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mc:AlternateContent xmlns:mc="http://schemas.openxmlformats.org/markup-compatibility/2006">
    <mc:Choice Requires="x15">
      <x15ac:absPath xmlns:x15ac="http://schemas.microsoft.com/office/spreadsheetml/2010/11/ac" url="https://konicaminoltaglobal-my.sharepoint.com/personal/08578hqw_konicaminolta_com/Documents/BT Package/Mar'24/"/>
    </mc:Choice>
  </mc:AlternateContent>
  <xr:revisionPtr revIDLastSave="0" documentId="8_{63D6FB4C-883D-4C12-80B0-9478F09BD21B}" xr6:coauthVersionLast="47" xr6:coauthVersionMax="47" xr10:uidLastSave="{00000000-0000-0000-0000-000000000000}"/>
  <bookViews>
    <workbookView xWindow="-110" yWindow="-110" windowWidth="19420" windowHeight="10300" tabRatio="909" activeTab="2" xr2:uid="{00000000-000D-0000-FFFF-FFFF00000000}"/>
  </bookViews>
  <sheets>
    <sheet name="Instruction" sheetId="28" r:id="rId1"/>
    <sheet name="Due date" sheetId="37" r:id="rId2"/>
    <sheet name="PL" sheetId="34" r:id="rId3"/>
    <sheet name="Definition" sheetId="30" r:id="rId4"/>
    <sheet name="OP" sheetId="35" r:id="rId5"/>
    <sheet name="Previous" sheetId="38" r:id="rId6"/>
    <sheet name="Work1" sheetId="8" state="hidden" r:id="rId7"/>
  </sheets>
  <definedNames>
    <definedName name="_1__123Graph_ACHART_2" localSheetId="3" hidden="1">#REF!</definedName>
    <definedName name="_1__123Graph_ACHART_2" localSheetId="1" hidden="1">#REF!</definedName>
    <definedName name="_1__123Graph_ACHART_2" localSheetId="4" hidden="1">#REF!</definedName>
    <definedName name="_1__123Graph_ACHART_2" localSheetId="5" hidden="1">#REF!</definedName>
    <definedName name="_1__123Graph_ACHART_2" hidden="1">#REF!</definedName>
    <definedName name="_16__123Graph_BCHART_2" localSheetId="1" hidden="1">#REF!</definedName>
    <definedName name="_16__123Graph_BCHART_2" localSheetId="4" hidden="1">#REF!</definedName>
    <definedName name="_16__123Graph_BCHART_2" localSheetId="5" hidden="1">#REF!</definedName>
    <definedName name="_16__123Graph_BCHART_2" hidden="1">#REF!</definedName>
    <definedName name="_2__123Graph_BCHART_2" localSheetId="1" hidden="1">#REF!</definedName>
    <definedName name="_2__123Graph_BCHART_2" localSheetId="5" hidden="1">#REF!</definedName>
    <definedName name="_2__123Graph_BCHART_2" hidden="1">#REF!</definedName>
    <definedName name="_24__123Graph_CCHART_2" localSheetId="1" hidden="1">#REF!</definedName>
    <definedName name="_24__123Graph_CCHART_2" localSheetId="5" hidden="1">#REF!</definedName>
    <definedName name="_24__123Graph_CCHART_2" hidden="1">#REF!</definedName>
    <definedName name="_3__123Graph_CCHART_2" localSheetId="1" hidden="1">#REF!</definedName>
    <definedName name="_3__123Graph_CCHART_2" localSheetId="5" hidden="1">#REF!</definedName>
    <definedName name="_3__123Graph_CCHART_2" hidden="1">#REF!</definedName>
    <definedName name="_32__123Graph_LBL_ACHART_2" localSheetId="1" hidden="1">#REF!</definedName>
    <definedName name="_32__123Graph_LBL_ACHART_2" localSheetId="5" hidden="1">#REF!</definedName>
    <definedName name="_32__123Graph_LBL_ACHART_2" hidden="1">#REF!</definedName>
    <definedName name="_4__123Graph_LBL_ACHART_2" localSheetId="1" hidden="1">#REF!</definedName>
    <definedName name="_4__123Graph_LBL_ACHART_2" localSheetId="5" hidden="1">#REF!</definedName>
    <definedName name="_4__123Graph_LBL_ACHART_2" hidden="1">#REF!</definedName>
    <definedName name="_40__123Graph_LBL_BCHART_2" localSheetId="1" hidden="1">#REF!</definedName>
    <definedName name="_40__123Graph_LBL_BCHART_2" localSheetId="5" hidden="1">#REF!</definedName>
    <definedName name="_40__123Graph_LBL_BCHART_2" hidden="1">#REF!</definedName>
    <definedName name="_48__123Graph_LBL_CCHART_2" localSheetId="1" hidden="1">#REF!</definedName>
    <definedName name="_48__123Graph_LBL_CCHART_2" localSheetId="5" hidden="1">#REF!</definedName>
    <definedName name="_48__123Graph_LBL_CCHART_2" hidden="1">#REF!</definedName>
    <definedName name="_5__123Graph_LBL_BCHART_2" localSheetId="1" hidden="1">#REF!</definedName>
    <definedName name="_5__123Graph_LBL_BCHART_2" localSheetId="5" hidden="1">#REF!</definedName>
    <definedName name="_5__123Graph_LBL_BCHART_2" hidden="1">#REF!</definedName>
    <definedName name="_6__123Graph_LBL_CCHART_2" localSheetId="1" hidden="1">#REF!</definedName>
    <definedName name="_6__123Graph_LBL_CCHART_2" localSheetId="5" hidden="1">#REF!</definedName>
    <definedName name="_6__123Graph_LBL_CCHART_2" hidden="1">#REF!</definedName>
    <definedName name="_8__123Graph_ACHART_2" localSheetId="1" hidden="1">#REF!</definedName>
    <definedName name="_8__123Graph_ACHART_2" localSheetId="5" hidden="1">#REF!</definedName>
    <definedName name="_8__123Graph_ACHART_2" hidden="1">#REF!</definedName>
    <definedName name="_Fill" localSheetId="1" hidden="1">#REF!</definedName>
    <definedName name="_Fill" localSheetId="4" hidden="1">#REF!</definedName>
    <definedName name="_Fill" localSheetId="5" hidden="1">#REF!</definedName>
    <definedName name="_Fill" hidden="1">#REF!</definedName>
    <definedName name="_xlnm._FilterDatabase" localSheetId="4" hidden="1">OP!$J$13:$AP$1613</definedName>
    <definedName name="_xlnm._FilterDatabase" localSheetId="2" hidden="1">PL!$E$13:$AL$1613</definedName>
    <definedName name="_xlnm._FilterDatabase" localSheetId="5" hidden="1">Previous!$A$13:$AJ$1596</definedName>
    <definedName name="_Key1" localSheetId="3" hidden="1">#REF!</definedName>
    <definedName name="_Key1" localSheetId="1" hidden="1">#REF!</definedName>
    <definedName name="_Key1" localSheetId="4" hidden="1">#REF!</definedName>
    <definedName name="_Key1" hidden="1">#REF!</definedName>
    <definedName name="_MatInverse_In" localSheetId="1" hidden="1">#REF!</definedName>
    <definedName name="_MatInverse_In" hidden="1">#REF!</definedName>
    <definedName name="_MatInverse_Out" hidden="1">#REF!</definedName>
    <definedName name="_Order1" hidden="1">1</definedName>
    <definedName name="_Sort" localSheetId="5" hidden="1">#REF!</definedName>
    <definedName name="_Sort" hidden="1">#REF!</definedName>
    <definedName name="a" hidden="1">#REF!</definedName>
    <definedName name="abcs" hidden="1">#REF!</definedName>
    <definedName name="AnaplanColHeader_5b675c0e_2247_4546_9242_0565ac0e1287" localSheetId="2">PL!$S$10:$AD$10</definedName>
    <definedName name="AnaplanColHeader_c4cb70b2_6598_4c0e_aa8c_9c4deb501a87" localSheetId="4">OP!$X$10:$AI$10</definedName>
    <definedName name="AnaplanColHeader_c4cb70b2_6598_4c0e_aa8c_9c4deb501a87" localSheetId="2">PL!$S$10:$AD$10</definedName>
    <definedName name="AnaplanColHeader_c4cb70b2_6598_4c0e_aa8c_9c4deb501a87" localSheetId="5">Previous!$R$10:$AC$10</definedName>
    <definedName name="AnaplanDescription_5b675c0e_2247_4546_9242_0565ac0e1287" localSheetId="2">PL!$R$4:$R$9</definedName>
    <definedName name="AnaplanDescription_c4cb70b2_6598_4c0e_aa8c_9c4deb501a87" localSheetId="4">OP!$W$4:$W$9</definedName>
    <definedName name="AnaplanDescription_c4cb70b2_6598_4c0e_aa8c_9c4deb501a87" localSheetId="2">PL!#REF!</definedName>
    <definedName name="AnaplanDescription_c4cb70b2_6598_4c0e_aa8c_9c4deb501a87" localSheetId="5">Previous!$Q$4:$Q$9</definedName>
    <definedName name="AnaplanRowHeader_5b675c0e_2247_4546_9242_0565ac0e1287" localSheetId="2">PL!$R$11:$R$1613</definedName>
    <definedName name="AnaplanRowHeader_c4cb70b2_6598_4c0e_aa8c_9c4deb501a87" localSheetId="4">OP!$W$11:$W$1613</definedName>
    <definedName name="AnaplanRowHeader_c4cb70b2_6598_4c0e_aa8c_9c4deb501a87" localSheetId="2">PL!$R$11:$R$1613</definedName>
    <definedName name="AnaplanRowHeader_c4cb70b2_6598_4c0e_aa8c_9c4deb501a87" localSheetId="5">Previous!$Q$11:$Q$1596</definedName>
    <definedName name="AS2DocOpenMode" hidden="1">"AS2DocumentEdit"</definedName>
    <definedName name="fill2" localSheetId="1" hidden="1">#REF!</definedName>
    <definedName name="fill2" localSheetId="4" hidden="1">#REF!</definedName>
    <definedName name="fill2" localSheetId="5" hidden="1">#REF!</definedName>
    <definedName name="fill2" hidden="1">#REF!</definedName>
    <definedName name="ppp" localSheetId="1" hidden="1">#REF!</definedName>
    <definedName name="ppp" hidden="1">#REF!</definedName>
    <definedName name="Pres" localSheetId="3" hidden="1">{"PR1","pr1",TRUE,"Sch PR-1"}</definedName>
    <definedName name="Pres" localSheetId="1" hidden="1">{"PR1","pr1",TRUE,"Sch PR-1"}</definedName>
    <definedName name="Pres" localSheetId="4" hidden="1">{"PR1","pr1",TRUE,"Sch PR-1"}</definedName>
    <definedName name="Pres" localSheetId="5" hidden="1">{"PR1","pr1",TRUE,"Sch PR-1"}</definedName>
    <definedName name="Pres" hidden="1">{"PR1","pr1",TRUE,"Sch PR-1"}</definedName>
    <definedName name="SAPBEXdnldView" hidden="1">"0PT0Y8NGKFQOPLJTD8FCV8OLJ"</definedName>
    <definedName name="SAPBEXrevision" hidden="1">4</definedName>
    <definedName name="SAPBEXsysID" hidden="1">"PBW"</definedName>
    <definedName name="SAPBEXwbID" hidden="1">"CU55R5ABAJTISWAHOLWCD1VI8"</definedName>
    <definedName name="test" localSheetId="1" hidden="1">#REF!</definedName>
    <definedName name="test" localSheetId="4" hidden="1">#REF!</definedName>
    <definedName name="test" localSheetId="5" hidden="1">#REF!</definedName>
    <definedName name="test" hidden="1">#REF!</definedName>
    <definedName name="wrn.Aging._.and._.Trend._.Analysis." localSheetId="3" hidden="1">{#N/A,#N/A,FALSE,"Aging Summary";#N/A,#N/A,FALSE,"Ratio Analysis";#N/A,#N/A,FALSE,"Test 120 Day Accts";#N/A,#N/A,FALSE,"Tickmarks"}</definedName>
    <definedName name="wrn.Aging._.and._.Trend._.Analysis." localSheetId="1" hidden="1">{#N/A,#N/A,FALSE,"Aging Summary";#N/A,#N/A,FALSE,"Ratio Analysis";#N/A,#N/A,FALSE,"Test 120 Day Accts";#N/A,#N/A,FALSE,"Tickmarks"}</definedName>
    <definedName name="wrn.Aging._.and._.Trend._.Analysis." localSheetId="4" hidden="1">{#N/A,#N/A,FALSE,"Aging Summary";#N/A,#N/A,FALSE,"Ratio Analysis";#N/A,#N/A,FALSE,"Test 120 Day Accts";#N/A,#N/A,FALSE,"Tickmarks"}</definedName>
    <definedName name="wrn.Aging._.and._.Trend._.Analysis." localSheetId="5"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Report_PR_1." localSheetId="3" hidden="1">{"PR1","pr1",TRUE,"Sch PR-1"}</definedName>
    <definedName name="wrn.Report_PR_1." localSheetId="1" hidden="1">{"PR1","pr1",TRUE,"Sch PR-1"}</definedName>
    <definedName name="wrn.Report_PR_1." localSheetId="4" hidden="1">{"PR1","pr1",TRUE,"Sch PR-1"}</definedName>
    <definedName name="wrn.Report_PR_1." localSheetId="5" hidden="1">{"PR1","pr1",TRUE,"Sch PR-1"}</definedName>
    <definedName name="wrn.Report_PR_1." hidden="1">{"PR1","pr1",TRUE,"Sch PR-1"}</definedName>
    <definedName name="xxx" localSheetId="1" hidden="1">#REF!</definedName>
    <definedName name="xxx" localSheetId="4" hidden="1">#REF!</definedName>
    <definedName name="xxx" localSheetId="5" hidden="1">#REF!</definedName>
    <definedName name="xxx" hidden="1">#REF!</definedName>
    <definedName name="yyy" localSheetId="1" hidden="1">#REF!</definedName>
    <definedName name="yyy"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682" i="34" l="1"/>
  <c r="AL371" i="34" l="1"/>
  <c r="AD79" i="34"/>
  <c r="AK77" i="34"/>
  <c r="AD656" i="34" l="1"/>
  <c r="AD762" i="34"/>
  <c r="AD763" i="34"/>
  <c r="AD356" i="34"/>
  <c r="AD815" i="34" l="1"/>
  <c r="AD776" i="34"/>
  <c r="AD940" i="34" l="1"/>
  <c r="AD921" i="34" l="1"/>
  <c r="AD32" i="34" l="1"/>
  <c r="AC921" i="34" l="1"/>
  <c r="AC940" i="34"/>
  <c r="AC105" i="34" l="1"/>
  <c r="AB940" i="34" l="1"/>
  <c r="AA940" i="34"/>
  <c r="Z940" i="34"/>
  <c r="Y940" i="34"/>
  <c r="X940" i="34"/>
  <c r="W940" i="34"/>
  <c r="V940" i="34"/>
  <c r="U940" i="34"/>
  <c r="T940" i="34"/>
  <c r="S940" i="34"/>
  <c r="AB921" i="34"/>
  <c r="AA921" i="34"/>
  <c r="Z921" i="34"/>
  <c r="Y921" i="34"/>
  <c r="X921" i="34"/>
  <c r="W921" i="34"/>
  <c r="V921" i="34"/>
  <c r="U921" i="34"/>
  <c r="T921" i="34"/>
  <c r="S921" i="34"/>
  <c r="AB1314" i="34" l="1"/>
  <c r="AB1346" i="34"/>
  <c r="AB85" i="34" l="1"/>
  <c r="AB84" i="34"/>
  <c r="AB83" i="34"/>
  <c r="Y1177" i="34" l="1"/>
  <c r="AA280" i="34"/>
  <c r="AA282" i="34"/>
  <c r="Z805" i="34" l="1"/>
  <c r="Z815" i="34"/>
  <c r="Z367" i="34" l="1"/>
  <c r="AA85" i="34" l="1"/>
  <c r="AA84" i="34"/>
  <c r="AA83" i="34"/>
  <c r="AA1133" i="34"/>
  <c r="AA32" i="34" l="1"/>
  <c r="AA598" i="34" l="1"/>
  <c r="AA503" i="34"/>
  <c r="Z598" i="34" l="1"/>
  <c r="Z143" i="34" l="1"/>
  <c r="Z211" i="34" l="1"/>
  <c r="Y350" i="34" l="1"/>
  <c r="S22" i="34" l="1"/>
  <c r="Y115" i="34"/>
  <c r="Y990" i="34" l="1"/>
  <c r="Y984" i="34"/>
  <c r="Y971" i="34"/>
  <c r="Y965" i="34"/>
  <c r="Y960" i="34"/>
  <c r="Y954" i="34"/>
  <c r="U151" i="34" l="1"/>
  <c r="AF393" i="34" l="1"/>
  <c r="X19" i="34"/>
  <c r="X269" i="34"/>
  <c r="X31" i="34" l="1"/>
  <c r="X598" i="34" l="1"/>
  <c r="W131" i="34" l="1"/>
  <c r="S10" i="34" l="1"/>
  <c r="T10" i="34"/>
  <c r="U10" i="34"/>
  <c r="V10" i="34"/>
  <c r="W10" i="34"/>
  <c r="X10" i="34"/>
  <c r="Y10" i="34"/>
  <c r="Z10" i="34"/>
  <c r="AA10" i="34"/>
  <c r="AB10" i="34"/>
  <c r="AC10" i="34"/>
  <c r="AD10" i="34"/>
  <c r="W1165" i="34" l="1"/>
  <c r="AE137" i="34" l="1"/>
  <c r="W598" i="34" l="1"/>
  <c r="W503" i="34"/>
  <c r="AE372" i="34"/>
  <c r="V598" i="34"/>
  <c r="V503" i="34"/>
  <c r="V48" i="34" l="1"/>
  <c r="V44" i="34"/>
  <c r="V1165" i="34" l="1"/>
  <c r="V1129" i="34"/>
  <c r="V1138" i="34"/>
  <c r="V776" i="34" l="1"/>
  <c r="AE188" i="34" l="1"/>
  <c r="U34" i="34"/>
  <c r="U50" i="34"/>
  <c r="U52" i="34"/>
  <c r="U598" i="34" l="1"/>
  <c r="U503" i="34"/>
  <c r="T503" i="34" l="1"/>
  <c r="T776" i="34" l="1"/>
  <c r="T598" i="34" l="1"/>
  <c r="S1087" i="34" l="1"/>
  <c r="S598" i="34"/>
  <c r="Q1596" i="38" l="1"/>
  <c r="Q1595" i="38"/>
  <c r="Q1594" i="38"/>
  <c r="AG1593" i="38"/>
  <c r="AI1593" i="38" s="1"/>
  <c r="AD1593" i="38"/>
  <c r="AC1593" i="38"/>
  <c r="AB1593" i="38"/>
  <c r="AA1593" i="38"/>
  <c r="Z1593" i="38"/>
  <c r="Y1593" i="38"/>
  <c r="X1593" i="38"/>
  <c r="AF1593" i="38" s="1"/>
  <c r="W1593" i="38"/>
  <c r="V1593" i="38"/>
  <c r="AE1593" i="38" s="1"/>
  <c r="U1593" i="38"/>
  <c r="T1593" i="38"/>
  <c r="S1593" i="38"/>
  <c r="R1593" i="38"/>
  <c r="Q1593" i="38"/>
  <c r="Q1592" i="38"/>
  <c r="Q1591" i="38"/>
  <c r="Q1590" i="38"/>
  <c r="Q1589" i="38"/>
  <c r="Q1588" i="38"/>
  <c r="Q1587" i="38"/>
  <c r="Q1586" i="38"/>
  <c r="Q1585" i="38"/>
  <c r="Q1584" i="38"/>
  <c r="Q1583" i="38"/>
  <c r="Q1582" i="38"/>
  <c r="Q1581" i="38"/>
  <c r="Q1580" i="38"/>
  <c r="Q1579" i="38"/>
  <c r="Q1578" i="38"/>
  <c r="Q1577" i="38"/>
  <c r="AC1576" i="38"/>
  <c r="AB1576" i="38"/>
  <c r="AA1576" i="38"/>
  <c r="AG1576" i="38" s="1"/>
  <c r="Z1576" i="38"/>
  <c r="Y1576" i="38"/>
  <c r="X1576" i="38"/>
  <c r="AF1576" i="38" s="1"/>
  <c r="W1576" i="38"/>
  <c r="V1576" i="38"/>
  <c r="U1576" i="38"/>
  <c r="AE1576" i="38" s="1"/>
  <c r="T1576" i="38"/>
  <c r="S1576" i="38"/>
  <c r="R1576" i="38"/>
  <c r="Q1576" i="38"/>
  <c r="Q1575" i="38"/>
  <c r="Q1574" i="38"/>
  <c r="Q1573" i="38"/>
  <c r="Q1572" i="38"/>
  <c r="Q1571" i="38"/>
  <c r="Q1570" i="38"/>
  <c r="Q1569" i="38"/>
  <c r="Q1568" i="38"/>
  <c r="Q1567" i="38"/>
  <c r="Q1566" i="38"/>
  <c r="Q1565" i="38"/>
  <c r="Q1564" i="38"/>
  <c r="Q1563" i="38"/>
  <c r="Q1562" i="38"/>
  <c r="Q1561" i="38"/>
  <c r="Q1560" i="38"/>
  <c r="Q1559" i="38"/>
  <c r="Q1558" i="38"/>
  <c r="Q1557" i="38"/>
  <c r="AG1556" i="38"/>
  <c r="AC1556" i="38"/>
  <c r="AB1556" i="38"/>
  <c r="AA1556" i="38"/>
  <c r="Z1556" i="38"/>
  <c r="Y1556" i="38"/>
  <c r="X1556" i="38"/>
  <c r="AF1556" i="38" s="1"/>
  <c r="W1556" i="38"/>
  <c r="AE1556" i="38" s="1"/>
  <c r="AH1556" i="38" s="1"/>
  <c r="V1556" i="38"/>
  <c r="U1556" i="38"/>
  <c r="T1556" i="38"/>
  <c r="S1556" i="38"/>
  <c r="R1556" i="38"/>
  <c r="AD1556" i="38" s="1"/>
  <c r="Q1556" i="38"/>
  <c r="Q1555" i="38"/>
  <c r="Q1554" i="38"/>
  <c r="Q1553" i="38"/>
  <c r="Q1552" i="38"/>
  <c r="Q1551" i="38"/>
  <c r="Q1550" i="38"/>
  <c r="Q1549" i="38"/>
  <c r="Q1548" i="38"/>
  <c r="Q1547" i="38"/>
  <c r="Q1546" i="38"/>
  <c r="Q1545" i="38"/>
  <c r="Q1544" i="38"/>
  <c r="Q1543" i="38"/>
  <c r="Q1542" i="38"/>
  <c r="Q1541" i="38"/>
  <c r="Q1540" i="38"/>
  <c r="Q1539" i="38"/>
  <c r="Q1538" i="38"/>
  <c r="Q1537" i="38"/>
  <c r="Q1536" i="38"/>
  <c r="Q1535" i="38"/>
  <c r="Q1534" i="38"/>
  <c r="Q1533" i="38"/>
  <c r="Q1532" i="38"/>
  <c r="Q1531" i="38"/>
  <c r="Q1530" i="38"/>
  <c r="Q1529" i="38"/>
  <c r="Q1528" i="38"/>
  <c r="Q1527" i="38"/>
  <c r="Q1526" i="38"/>
  <c r="Q1525" i="38"/>
  <c r="Q1524" i="38"/>
  <c r="Q1523" i="38"/>
  <c r="Q1522" i="38"/>
  <c r="Q1521" i="38"/>
  <c r="Q1520" i="38"/>
  <c r="Q1519" i="38"/>
  <c r="Q1518" i="38"/>
  <c r="Q1517" i="38"/>
  <c r="Q1516" i="38"/>
  <c r="Q1515" i="38"/>
  <c r="Q1514" i="38"/>
  <c r="Q1513" i="38"/>
  <c r="Q1512" i="38"/>
  <c r="Q1511" i="38"/>
  <c r="Q1510" i="38"/>
  <c r="Q1509" i="38"/>
  <c r="Q1508" i="38"/>
  <c r="Q1507" i="38"/>
  <c r="Q1506" i="38"/>
  <c r="Q1505" i="38"/>
  <c r="Q1504" i="38"/>
  <c r="Q1503" i="38"/>
  <c r="Q1502" i="38"/>
  <c r="Q1501" i="38"/>
  <c r="Q1500" i="38"/>
  <c r="Q1499" i="38"/>
  <c r="Q1498" i="38"/>
  <c r="Q1497" i="38"/>
  <c r="Q1496" i="38"/>
  <c r="Q1495" i="38"/>
  <c r="Q1494" i="38"/>
  <c r="Q1493" i="38"/>
  <c r="Q1492" i="38"/>
  <c r="Q1491" i="38"/>
  <c r="Q1490" i="38"/>
  <c r="Q1489" i="38"/>
  <c r="Q1488" i="38"/>
  <c r="Q1487" i="38"/>
  <c r="Q1486" i="38"/>
  <c r="AC1485" i="38"/>
  <c r="Q1485" i="38"/>
  <c r="Q1484" i="38"/>
  <c r="Q1483" i="38"/>
  <c r="AG1482" i="38"/>
  <c r="AD1482" i="38"/>
  <c r="AC1482" i="38"/>
  <c r="AB1482" i="38"/>
  <c r="AA1482" i="38"/>
  <c r="Z1482" i="38"/>
  <c r="Y1482" i="38"/>
  <c r="X1482" i="38"/>
  <c r="W1482" i="38"/>
  <c r="V1482" i="38"/>
  <c r="U1482" i="38"/>
  <c r="T1482" i="38"/>
  <c r="S1482" i="38"/>
  <c r="R1482" i="38"/>
  <c r="Q1482" i="38"/>
  <c r="Q1481" i="38"/>
  <c r="Q1480" i="38"/>
  <c r="Q1479" i="38"/>
  <c r="Q1478" i="38"/>
  <c r="Q1477" i="38"/>
  <c r="Q1476" i="38"/>
  <c r="Q1475" i="38"/>
  <c r="Q1474" i="38"/>
  <c r="Q1473" i="38"/>
  <c r="Q1472" i="38"/>
  <c r="Q1471" i="38"/>
  <c r="Q1470" i="38"/>
  <c r="Q1469" i="38"/>
  <c r="Q1468" i="38"/>
  <c r="Q1467" i="38"/>
  <c r="AC1466" i="38"/>
  <c r="AB1466" i="38"/>
  <c r="AA1466" i="38"/>
  <c r="Z1466" i="38"/>
  <c r="Y1466" i="38"/>
  <c r="X1466" i="38"/>
  <c r="W1466" i="38"/>
  <c r="V1466" i="38"/>
  <c r="U1466" i="38"/>
  <c r="T1466" i="38"/>
  <c r="S1466" i="38"/>
  <c r="R1466" i="38"/>
  <c r="Q1466" i="38"/>
  <c r="Q1465" i="38"/>
  <c r="Q1464" i="38"/>
  <c r="Q1463" i="38"/>
  <c r="Q1462" i="38"/>
  <c r="Q1461" i="38"/>
  <c r="Q1460" i="38"/>
  <c r="Q1459" i="38"/>
  <c r="Q1458" i="38"/>
  <c r="Q1457" i="38"/>
  <c r="Q1456" i="38"/>
  <c r="Q1455" i="38"/>
  <c r="BH1454" i="38"/>
  <c r="BG1454" i="38"/>
  <c r="BF1454" i="38"/>
  <c r="BE1454" i="38"/>
  <c r="BD1454" i="38"/>
  <c r="BC1454" i="38"/>
  <c r="BB1454" i="38"/>
  <c r="AZ1454" i="38"/>
  <c r="AY1454" i="38"/>
  <c r="AX1454" i="38"/>
  <c r="AW1454" i="38"/>
  <c r="AV1454" i="38"/>
  <c r="AU1454" i="38"/>
  <c r="AT1454" i="38"/>
  <c r="AR1454" i="38"/>
  <c r="AQ1454" i="38"/>
  <c r="AP1454" i="38"/>
  <c r="AO1454" i="38"/>
  <c r="AN1454" i="38"/>
  <c r="AM1454" i="38"/>
  <c r="AL1454" i="38"/>
  <c r="AJ1454" i="38"/>
  <c r="AI1454" i="38"/>
  <c r="AH1454" i="38"/>
  <c r="AG1454" i="38"/>
  <c r="AF1454" i="38"/>
  <c r="AE1454" i="38"/>
  <c r="AD1454" i="38"/>
  <c r="Q1454" i="38"/>
  <c r="Q1453" i="38"/>
  <c r="Q1452" i="38"/>
  <c r="Q1451" i="38"/>
  <c r="AG1450" i="38"/>
  <c r="AI1450" i="38" s="1"/>
  <c r="AJ1450" i="38" s="1"/>
  <c r="AF1450" i="38"/>
  <c r="AE1450" i="38"/>
  <c r="AH1450" i="38" s="1"/>
  <c r="AD1450" i="38"/>
  <c r="Q1450" i="38"/>
  <c r="AG1449" i="38"/>
  <c r="AI1449" i="38" s="1"/>
  <c r="AJ1449" i="38" s="1"/>
  <c r="AF1449" i="38"/>
  <c r="AE1449" i="38"/>
  <c r="AH1449" i="38" s="1"/>
  <c r="AD1449" i="38"/>
  <c r="Q1449" i="38"/>
  <c r="AG1448" i="38"/>
  <c r="AI1448" i="38" s="1"/>
  <c r="AF1448" i="38"/>
  <c r="AE1448" i="38"/>
  <c r="AH1448" i="38" s="1"/>
  <c r="AH1447" i="38" s="1"/>
  <c r="AD1448" i="38"/>
  <c r="Q1448" i="38"/>
  <c r="AE1447" i="38"/>
  <c r="AD1447" i="38"/>
  <c r="AC1447" i="38"/>
  <c r="AB1447" i="38"/>
  <c r="AA1447" i="38"/>
  <c r="Z1447" i="38"/>
  <c r="Y1447" i="38"/>
  <c r="X1447" i="38"/>
  <c r="W1447" i="38"/>
  <c r="V1447" i="38"/>
  <c r="U1447" i="38"/>
  <c r="T1447" i="38"/>
  <c r="S1447" i="38"/>
  <c r="R1447" i="38"/>
  <c r="Q1447" i="38"/>
  <c r="AG1446" i="38"/>
  <c r="AI1446" i="38" s="1"/>
  <c r="AJ1446" i="38" s="1"/>
  <c r="AF1446" i="38"/>
  <c r="AE1446" i="38"/>
  <c r="AH1446" i="38" s="1"/>
  <c r="AD1446" i="38"/>
  <c r="Q1446" i="38"/>
  <c r="AJ1445" i="38"/>
  <c r="AG1445" i="38"/>
  <c r="AI1445" i="38" s="1"/>
  <c r="AI1444" i="38" s="1"/>
  <c r="AF1445" i="38"/>
  <c r="AE1445" i="38"/>
  <c r="AH1445" i="38" s="1"/>
  <c r="AH1444" i="38" s="1"/>
  <c r="AD1445" i="38"/>
  <c r="Q1445" i="38"/>
  <c r="AG1444" i="38"/>
  <c r="AF1444" i="38"/>
  <c r="AE1444" i="38"/>
  <c r="AD1444" i="38"/>
  <c r="AC1444" i="38"/>
  <c r="AB1444" i="38"/>
  <c r="AA1444" i="38"/>
  <c r="Z1444" i="38"/>
  <c r="Y1444" i="38"/>
  <c r="X1444" i="38"/>
  <c r="W1444" i="38"/>
  <c r="V1444" i="38"/>
  <c r="U1444" i="38"/>
  <c r="T1444" i="38"/>
  <c r="S1444" i="38"/>
  <c r="R1444" i="38"/>
  <c r="Q1444" i="38"/>
  <c r="AG1443" i="38"/>
  <c r="AI1443" i="38" s="1"/>
  <c r="AJ1443" i="38" s="1"/>
  <c r="AF1443" i="38"/>
  <c r="AC1443" i="38"/>
  <c r="AB1443" i="38"/>
  <c r="AA1443" i="38"/>
  <c r="Z1443" i="38"/>
  <c r="Y1443" i="38"/>
  <c r="Y1441" i="38" s="1"/>
  <c r="X1443" i="38"/>
  <c r="W1443" i="38"/>
  <c r="AE1443" i="38" s="1"/>
  <c r="AH1443" i="38" s="1"/>
  <c r="V1443" i="38"/>
  <c r="U1443" i="38"/>
  <c r="T1443" i="38"/>
  <c r="AD1443" i="38" s="1"/>
  <c r="S1443" i="38"/>
  <c r="R1443" i="38"/>
  <c r="Q1443" i="38"/>
  <c r="AF1442" i="38"/>
  <c r="AC1442" i="38"/>
  <c r="AB1442" i="38"/>
  <c r="AA1442" i="38"/>
  <c r="Z1442" i="38"/>
  <c r="Y1442" i="38"/>
  <c r="X1442" i="38"/>
  <c r="W1442" i="38"/>
  <c r="AE1442" i="38" s="1"/>
  <c r="V1442" i="38"/>
  <c r="U1442" i="38"/>
  <c r="U1441" i="38" s="1"/>
  <c r="T1442" i="38"/>
  <c r="S1442" i="38"/>
  <c r="R1442" i="38"/>
  <c r="Q1442" i="38"/>
  <c r="AF1441" i="38"/>
  <c r="AA1441" i="38"/>
  <c r="Z1441" i="38"/>
  <c r="W1441" i="38"/>
  <c r="V1441" i="38"/>
  <c r="S1441" i="38"/>
  <c r="R1441" i="38"/>
  <c r="Q1441" i="38"/>
  <c r="AJ1440" i="38"/>
  <c r="AF1440" i="38"/>
  <c r="AC1440" i="38"/>
  <c r="AG1440" i="38" s="1"/>
  <c r="AI1440" i="38" s="1"/>
  <c r="AB1440" i="38"/>
  <c r="AA1440" i="38"/>
  <c r="Z1440" i="38"/>
  <c r="Y1440" i="38"/>
  <c r="X1440" i="38"/>
  <c r="W1440" i="38"/>
  <c r="AE1440" i="38" s="1"/>
  <c r="AH1440" i="38" s="1"/>
  <c r="V1440" i="38"/>
  <c r="U1440" i="38"/>
  <c r="T1440" i="38"/>
  <c r="AD1440" i="38" s="1"/>
  <c r="S1440" i="38"/>
  <c r="R1440" i="38"/>
  <c r="Q1440" i="38"/>
  <c r="AG1439" i="38"/>
  <c r="AF1439" i="38"/>
  <c r="AF1438" i="38" s="1"/>
  <c r="AC1439" i="38"/>
  <c r="AB1439" i="38"/>
  <c r="AA1439" i="38"/>
  <c r="Z1439" i="38"/>
  <c r="Y1439" i="38"/>
  <c r="Y1438" i="38" s="1"/>
  <c r="X1439" i="38"/>
  <c r="X1438" i="38" s="1"/>
  <c r="W1439" i="38"/>
  <c r="AE1439" i="38" s="1"/>
  <c r="V1439" i="38"/>
  <c r="U1439" i="38"/>
  <c r="T1439" i="38"/>
  <c r="AD1439" i="38" s="1"/>
  <c r="AD1438" i="38" s="1"/>
  <c r="S1439" i="38"/>
  <c r="R1439" i="38"/>
  <c r="Q1439" i="38"/>
  <c r="AC1438" i="38"/>
  <c r="AB1438" i="38"/>
  <c r="AA1438" i="38"/>
  <c r="Z1438" i="38"/>
  <c r="W1438" i="38"/>
  <c r="V1438" i="38"/>
  <c r="U1438" i="38"/>
  <c r="T1438" i="38"/>
  <c r="S1438" i="38"/>
  <c r="R1438" i="38"/>
  <c r="Q1438" i="38"/>
  <c r="AG1437" i="38"/>
  <c r="AI1437" i="38" s="1"/>
  <c r="AJ1437" i="38" s="1"/>
  <c r="AF1437" i="38"/>
  <c r="AC1437" i="38"/>
  <c r="AB1437" i="38"/>
  <c r="AA1437" i="38"/>
  <c r="Z1437" i="38"/>
  <c r="Y1437" i="38"/>
  <c r="X1437" i="38"/>
  <c r="W1437" i="38"/>
  <c r="AE1437" i="38" s="1"/>
  <c r="AH1437" i="38" s="1"/>
  <c r="V1437" i="38"/>
  <c r="U1437" i="38"/>
  <c r="T1437" i="38"/>
  <c r="AD1437" i="38" s="1"/>
  <c r="S1437" i="38"/>
  <c r="R1437" i="38"/>
  <c r="Q1437" i="38"/>
  <c r="AF1436" i="38"/>
  <c r="AC1436" i="38"/>
  <c r="AG1436" i="38" s="1"/>
  <c r="AB1436" i="38"/>
  <c r="AA1436" i="38"/>
  <c r="Z1436" i="38"/>
  <c r="Y1436" i="38"/>
  <c r="X1436" i="38"/>
  <c r="W1436" i="38"/>
  <c r="AE1436" i="38" s="1"/>
  <c r="V1436" i="38"/>
  <c r="U1436" i="38"/>
  <c r="U1434" i="38" s="1"/>
  <c r="T1436" i="38"/>
  <c r="AD1436" i="38" s="1"/>
  <c r="AD1426" i="38" s="1"/>
  <c r="S1436" i="38"/>
  <c r="R1436" i="38"/>
  <c r="Q1436" i="38"/>
  <c r="AG1435" i="38"/>
  <c r="AF1435" i="38"/>
  <c r="AC1435" i="38"/>
  <c r="AB1435" i="38"/>
  <c r="Z1435" i="38"/>
  <c r="Y1435" i="38"/>
  <c r="Y1434" i="38" s="1"/>
  <c r="X1435" i="38"/>
  <c r="X1434" i="38" s="1"/>
  <c r="W1435" i="38"/>
  <c r="AE1435" i="38" s="1"/>
  <c r="V1435" i="38"/>
  <c r="U1435" i="38"/>
  <c r="T1435" i="38"/>
  <c r="AD1435" i="38" s="1"/>
  <c r="S1435" i="38"/>
  <c r="R1435" i="38"/>
  <c r="Q1435" i="38"/>
  <c r="AC1434" i="38"/>
  <c r="AB1434" i="38"/>
  <c r="Z1434" i="38"/>
  <c r="W1434" i="38"/>
  <c r="V1434" i="38"/>
  <c r="T1434" i="38"/>
  <c r="S1434" i="38"/>
  <c r="R1434" i="38"/>
  <c r="Q1434" i="38"/>
  <c r="AG1433" i="38"/>
  <c r="AI1433" i="38" s="1"/>
  <c r="AJ1433" i="38" s="1"/>
  <c r="AF1433" i="38"/>
  <c r="AC1433" i="38"/>
  <c r="AB1433" i="38"/>
  <c r="AA1433" i="38"/>
  <c r="Z1433" i="38"/>
  <c r="Y1433" i="38"/>
  <c r="Y1431" i="38" s="1"/>
  <c r="X1433" i="38"/>
  <c r="X1431" i="38" s="1"/>
  <c r="W1433" i="38"/>
  <c r="AE1433" i="38" s="1"/>
  <c r="AH1433" i="38" s="1"/>
  <c r="V1433" i="38"/>
  <c r="U1433" i="38"/>
  <c r="T1433" i="38"/>
  <c r="AD1433" i="38" s="1"/>
  <c r="S1433" i="38"/>
  <c r="R1433" i="38"/>
  <c r="Q1433" i="38"/>
  <c r="AF1432" i="38"/>
  <c r="AC1432" i="38"/>
  <c r="AB1432" i="38"/>
  <c r="AB1431" i="38" s="1"/>
  <c r="AA1432" i="38"/>
  <c r="Z1432" i="38"/>
  <c r="Y1432" i="38"/>
  <c r="X1432" i="38"/>
  <c r="W1432" i="38"/>
  <c r="AE1432" i="38" s="1"/>
  <c r="V1432" i="38"/>
  <c r="U1432" i="38"/>
  <c r="U1431" i="38" s="1"/>
  <c r="T1432" i="38"/>
  <c r="S1432" i="38"/>
  <c r="R1432" i="38"/>
  <c r="Q1432" i="38"/>
  <c r="AF1431" i="38"/>
  <c r="AA1431" i="38"/>
  <c r="Z1431" i="38"/>
  <c r="W1431" i="38"/>
  <c r="V1431" i="38"/>
  <c r="S1431" i="38"/>
  <c r="R1431" i="38"/>
  <c r="Q1431" i="38"/>
  <c r="AF1430" i="38"/>
  <c r="AC1430" i="38"/>
  <c r="AB1430" i="38"/>
  <c r="AB1427" i="38" s="1"/>
  <c r="AA1430" i="38"/>
  <c r="Z1430" i="38"/>
  <c r="Y1430" i="38"/>
  <c r="X1430" i="38"/>
  <c r="W1430" i="38"/>
  <c r="AE1430" i="38" s="1"/>
  <c r="V1430" i="38"/>
  <c r="U1430" i="38"/>
  <c r="T1430" i="38"/>
  <c r="S1430" i="38"/>
  <c r="R1430" i="38"/>
  <c r="Q1430" i="38"/>
  <c r="AG1429" i="38"/>
  <c r="AF1429" i="38"/>
  <c r="AF1428" i="38" s="1"/>
  <c r="AC1429" i="38"/>
  <c r="AB1429" i="38"/>
  <c r="AA1429" i="38"/>
  <c r="Z1429" i="38"/>
  <c r="Y1429" i="38"/>
  <c r="X1429" i="38"/>
  <c r="X1428" i="38" s="1"/>
  <c r="W1429" i="38"/>
  <c r="AE1429" i="38" s="1"/>
  <c r="V1429" i="38"/>
  <c r="Q1429" i="38"/>
  <c r="AC1428" i="38"/>
  <c r="AB1428" i="38"/>
  <c r="AA1428" i="38"/>
  <c r="Z1428" i="38"/>
  <c r="W1428" i="38"/>
  <c r="V1428" i="38"/>
  <c r="Q1428" i="38"/>
  <c r="AF1427" i="38"/>
  <c r="AA1427" i="38"/>
  <c r="Z1427" i="38"/>
  <c r="W1427" i="38"/>
  <c r="V1427" i="38"/>
  <c r="S1427" i="38"/>
  <c r="R1427" i="38"/>
  <c r="Q1427" i="38"/>
  <c r="AF1426" i="38"/>
  <c r="AC1426" i="38"/>
  <c r="AB1426" i="38"/>
  <c r="AA1426" i="38"/>
  <c r="Z1426" i="38"/>
  <c r="Y1426" i="38"/>
  <c r="X1426" i="38"/>
  <c r="W1426" i="38"/>
  <c r="V1426" i="38"/>
  <c r="U1426" i="38"/>
  <c r="T1426" i="38"/>
  <c r="S1426" i="38"/>
  <c r="R1426" i="38"/>
  <c r="Q1426" i="38"/>
  <c r="Z1425" i="38"/>
  <c r="W1425" i="38"/>
  <c r="V1425" i="38"/>
  <c r="Q1425" i="38"/>
  <c r="Z1424" i="38"/>
  <c r="W1424" i="38"/>
  <c r="V1424" i="38"/>
  <c r="Q1424" i="38"/>
  <c r="Q1423" i="38"/>
  <c r="Q1422" i="38"/>
  <c r="Q1421" i="38"/>
  <c r="AJ1420" i="38"/>
  <c r="AI1420" i="38"/>
  <c r="AG1420" i="38"/>
  <c r="AF1420" i="38"/>
  <c r="AE1420" i="38"/>
  <c r="AH1420" i="38" s="1"/>
  <c r="AD1420" i="38"/>
  <c r="Q1420" i="38"/>
  <c r="AJ1419" i="38"/>
  <c r="AI1419" i="38"/>
  <c r="AG1419" i="38"/>
  <c r="AF1419" i="38"/>
  <c r="AE1419" i="38"/>
  <c r="AH1419" i="38" s="1"/>
  <c r="AD1419" i="38"/>
  <c r="Q1419" i="38"/>
  <c r="AJ1418" i="38"/>
  <c r="AI1418" i="38"/>
  <c r="AG1418" i="38"/>
  <c r="AF1418" i="38"/>
  <c r="AE1418" i="38"/>
  <c r="AH1418" i="38" s="1"/>
  <c r="AD1418" i="38"/>
  <c r="Q1418" i="38"/>
  <c r="AJ1417" i="38"/>
  <c r="AI1417" i="38"/>
  <c r="AG1417" i="38"/>
  <c r="AF1417" i="38"/>
  <c r="AE1417" i="38"/>
  <c r="AH1417" i="38" s="1"/>
  <c r="AD1417" i="38"/>
  <c r="Q1417" i="38"/>
  <c r="AJ1416" i="38"/>
  <c r="AI1416" i="38"/>
  <c r="AG1416" i="38"/>
  <c r="AF1416" i="38"/>
  <c r="AE1416" i="38"/>
  <c r="AH1416" i="38" s="1"/>
  <c r="AD1416" i="38"/>
  <c r="Q1416" i="38"/>
  <c r="AJ1415" i="38"/>
  <c r="AI1415" i="38"/>
  <c r="AG1415" i="38"/>
  <c r="AF1415" i="38"/>
  <c r="AF1414" i="38" s="1"/>
  <c r="AE1415" i="38"/>
  <c r="AD1415" i="38"/>
  <c r="Q1415" i="38"/>
  <c r="AJ1414" i="38"/>
  <c r="AI1414" i="38"/>
  <c r="AG1414" i="38"/>
  <c r="AD1414" i="38"/>
  <c r="AC1414" i="38"/>
  <c r="AB1414" i="38"/>
  <c r="AA1414" i="38"/>
  <c r="Z1414" i="38"/>
  <c r="Y1414" i="38"/>
  <c r="X1414" i="38"/>
  <c r="W1414" i="38"/>
  <c r="V1414" i="38"/>
  <c r="U1414" i="38"/>
  <c r="T1414" i="38"/>
  <c r="S1414" i="38"/>
  <c r="R1414" i="38"/>
  <c r="Q1414" i="38"/>
  <c r="Q1413" i="38"/>
  <c r="Q1412" i="38"/>
  <c r="AI1411" i="38"/>
  <c r="AJ1411" i="38" s="1"/>
  <c r="AH1411" i="38"/>
  <c r="AG1411" i="38"/>
  <c r="AF1411" i="38"/>
  <c r="AE1411" i="38"/>
  <c r="AD1411" i="38"/>
  <c r="Q1411" i="38"/>
  <c r="AI1410" i="38"/>
  <c r="AJ1410" i="38" s="1"/>
  <c r="AH1410" i="38"/>
  <c r="AG1410" i="38"/>
  <c r="AF1410" i="38"/>
  <c r="AE1410" i="38"/>
  <c r="AD1410" i="38"/>
  <c r="Q1410" i="38"/>
  <c r="AI1409" i="38"/>
  <c r="AJ1409" i="38" s="1"/>
  <c r="AH1409" i="38"/>
  <c r="AG1409" i="38"/>
  <c r="AF1409" i="38"/>
  <c r="AE1409" i="38"/>
  <c r="AD1409" i="38"/>
  <c r="Q1409" i="38"/>
  <c r="AI1408" i="38"/>
  <c r="AJ1408" i="38" s="1"/>
  <c r="AH1408" i="38"/>
  <c r="AG1408" i="38"/>
  <c r="AF1408" i="38"/>
  <c r="AE1408" i="38"/>
  <c r="AD1408" i="38"/>
  <c r="Q1408" i="38"/>
  <c r="AI1407" i="38"/>
  <c r="AJ1407" i="38" s="1"/>
  <c r="AH1407" i="38"/>
  <c r="AG1407" i="38"/>
  <c r="AF1407" i="38"/>
  <c r="AE1407" i="38"/>
  <c r="AD1407" i="38"/>
  <c r="Q1407" i="38"/>
  <c r="AI1406" i="38"/>
  <c r="AJ1406" i="38" s="1"/>
  <c r="AH1406" i="38"/>
  <c r="AG1406" i="38"/>
  <c r="AF1406" i="38"/>
  <c r="AE1406" i="38"/>
  <c r="AD1406" i="38"/>
  <c r="Q1406" i="38"/>
  <c r="AI1405" i="38"/>
  <c r="AH1405" i="38"/>
  <c r="AG1405" i="38"/>
  <c r="AF1405" i="38"/>
  <c r="AE1405" i="38"/>
  <c r="AC1405" i="38"/>
  <c r="AB1405" i="38"/>
  <c r="AA1405" i="38"/>
  <c r="Z1405" i="38"/>
  <c r="Y1405" i="38"/>
  <c r="X1405" i="38"/>
  <c r="W1405" i="38"/>
  <c r="V1405" i="38"/>
  <c r="U1405" i="38"/>
  <c r="T1405" i="38"/>
  <c r="S1405" i="38"/>
  <c r="R1405" i="38"/>
  <c r="Q1405" i="38"/>
  <c r="Q1404" i="38"/>
  <c r="Q1403" i="38"/>
  <c r="Q1402" i="38"/>
  <c r="Q1401" i="38"/>
  <c r="Q1400" i="38"/>
  <c r="Q1399" i="38"/>
  <c r="Q1398" i="38"/>
  <c r="Q1397" i="38"/>
  <c r="Q1396" i="38"/>
  <c r="Q1395" i="38"/>
  <c r="Q1394" i="38"/>
  <c r="Q1393" i="38"/>
  <c r="Q1392" i="38"/>
  <c r="Q1391" i="38"/>
  <c r="Q1390" i="38"/>
  <c r="AG1389" i="38"/>
  <c r="AI1389" i="38" s="1"/>
  <c r="AF1389" i="38"/>
  <c r="AE1389" i="38"/>
  <c r="AD1389" i="38"/>
  <c r="AH1389" i="38" s="1"/>
  <c r="AJ1389" i="38" s="1"/>
  <c r="Q1389" i="38"/>
  <c r="AG1388" i="38"/>
  <c r="AI1388" i="38" s="1"/>
  <c r="AF1388" i="38"/>
  <c r="AE1388" i="38"/>
  <c r="AD1388" i="38"/>
  <c r="AH1388" i="38" s="1"/>
  <c r="Q1388" i="38"/>
  <c r="Q1387" i="38"/>
  <c r="Q1386" i="38"/>
  <c r="AG1385" i="38"/>
  <c r="AI1385" i="38" s="1"/>
  <c r="AF1385" i="38"/>
  <c r="AE1385" i="38"/>
  <c r="AD1385" i="38"/>
  <c r="Q1385" i="38"/>
  <c r="AG1384" i="38"/>
  <c r="AF1384" i="38"/>
  <c r="AE1384" i="38"/>
  <c r="AE1382" i="38" s="1"/>
  <c r="AD1384" i="38"/>
  <c r="Q1384" i="38"/>
  <c r="AG1383" i="38"/>
  <c r="AI1383" i="38" s="1"/>
  <c r="AF1383" i="38"/>
  <c r="AE1383" i="38"/>
  <c r="AD1383" i="38"/>
  <c r="AH1383" i="38" s="1"/>
  <c r="Q1383" i="38"/>
  <c r="AG1382" i="38"/>
  <c r="AD1382" i="38"/>
  <c r="AC1382" i="38"/>
  <c r="AB1382" i="38"/>
  <c r="AA1382" i="38"/>
  <c r="Z1382" i="38"/>
  <c r="Y1382" i="38"/>
  <c r="X1382" i="38"/>
  <c r="W1382" i="38"/>
  <c r="V1382" i="38"/>
  <c r="U1382" i="38"/>
  <c r="T1382" i="38"/>
  <c r="S1382" i="38"/>
  <c r="R1382" i="38"/>
  <c r="Q1382" i="38"/>
  <c r="Q1381" i="38"/>
  <c r="AG1380" i="38"/>
  <c r="AI1380" i="38" s="1"/>
  <c r="AF1380" i="38"/>
  <c r="AE1380" i="38"/>
  <c r="AD1380" i="38"/>
  <c r="AH1380" i="38" s="1"/>
  <c r="Q1380" i="38"/>
  <c r="AG1379" i="38"/>
  <c r="AF1379" i="38"/>
  <c r="AE1379" i="38"/>
  <c r="AD1379" i="38"/>
  <c r="AH1379" i="38" s="1"/>
  <c r="Q1379" i="38"/>
  <c r="AG1378" i="38"/>
  <c r="AF1378" i="38"/>
  <c r="AE1378" i="38"/>
  <c r="AD1378" i="38"/>
  <c r="Q1378" i="38"/>
  <c r="AG1377" i="38"/>
  <c r="AF1377" i="38"/>
  <c r="AF1375" i="38" s="1"/>
  <c r="AE1377" i="38"/>
  <c r="AD1377" i="38"/>
  <c r="Q1377" i="38"/>
  <c r="AG1376" i="38"/>
  <c r="AI1376" i="38" s="1"/>
  <c r="AF1376" i="38"/>
  <c r="AE1376" i="38"/>
  <c r="AE1375" i="38" s="1"/>
  <c r="AD1376" i="38"/>
  <c r="AH1376" i="38" s="1"/>
  <c r="Q1376" i="38"/>
  <c r="AG1375" i="38"/>
  <c r="AD1375" i="38"/>
  <c r="AC1375" i="38"/>
  <c r="AB1375" i="38"/>
  <c r="AA1375" i="38"/>
  <c r="Z1375" i="38"/>
  <c r="Y1375" i="38"/>
  <c r="X1375" i="38"/>
  <c r="W1375" i="38"/>
  <c r="V1375" i="38"/>
  <c r="U1375" i="38"/>
  <c r="T1375" i="38"/>
  <c r="S1375" i="38"/>
  <c r="R1375" i="38"/>
  <c r="Q1375" i="38"/>
  <c r="AI1374" i="38"/>
  <c r="AI1373" i="38" s="1"/>
  <c r="AI1369" i="38" s="1"/>
  <c r="AG1374" i="38"/>
  <c r="AF1374" i="38"/>
  <c r="AE1374" i="38"/>
  <c r="AH1374" i="38" s="1"/>
  <c r="AH1373" i="38" s="1"/>
  <c r="AD1374" i="38"/>
  <c r="Q1374" i="38"/>
  <c r="AG1373" i="38"/>
  <c r="AF1373" i="38"/>
  <c r="AE1373" i="38"/>
  <c r="AD1373" i="38"/>
  <c r="AC1373" i="38"/>
  <c r="AB1373" i="38"/>
  <c r="AB1369" i="38" s="1"/>
  <c r="AB1368" i="38" s="1"/>
  <c r="AB1367" i="38" s="1"/>
  <c r="AB1366" i="38" s="1"/>
  <c r="AA1373" i="38"/>
  <c r="Z1373" i="38"/>
  <c r="Y1373" i="38"/>
  <c r="X1373" i="38"/>
  <c r="W1373" i="38"/>
  <c r="V1373" i="38"/>
  <c r="U1373" i="38"/>
  <c r="T1373" i="38"/>
  <c r="S1373" i="38"/>
  <c r="R1373" i="38"/>
  <c r="Q1373" i="38"/>
  <c r="AG1372" i="38"/>
  <c r="AI1372" i="38" s="1"/>
  <c r="AF1372" i="38"/>
  <c r="AE1372" i="38"/>
  <c r="AD1372" i="38"/>
  <c r="AH1372" i="38" s="1"/>
  <c r="AJ1372" i="38" s="1"/>
  <c r="Q1372" i="38"/>
  <c r="AG1371" i="38"/>
  <c r="AI1371" i="38" s="1"/>
  <c r="AI1370" i="38" s="1"/>
  <c r="AF1371" i="38"/>
  <c r="AE1371" i="38"/>
  <c r="AD1371" i="38"/>
  <c r="Q1371" i="38"/>
  <c r="AG1370" i="38"/>
  <c r="AF1370" i="38"/>
  <c r="AF1369" i="38" s="1"/>
  <c r="AF1368" i="38" s="1"/>
  <c r="AF1367" i="38" s="1"/>
  <c r="AF1366" i="38" s="1"/>
  <c r="AE1370" i="38"/>
  <c r="AE1369" i="38" s="1"/>
  <c r="AE1368" i="38" s="1"/>
  <c r="AE1367" i="38" s="1"/>
  <c r="AD1370" i="38"/>
  <c r="AD1369" i="38" s="1"/>
  <c r="AD1368" i="38" s="1"/>
  <c r="AD1367" i="38" s="1"/>
  <c r="AD1366" i="38" s="1"/>
  <c r="AC1370" i="38"/>
  <c r="AC1369" i="38" s="1"/>
  <c r="AC1368" i="38" s="1"/>
  <c r="AC1367" i="38" s="1"/>
  <c r="AC1366" i="38" s="1"/>
  <c r="AB1370" i="38"/>
  <c r="AA1370" i="38"/>
  <c r="Z1370" i="38"/>
  <c r="Y1370" i="38"/>
  <c r="X1370" i="38"/>
  <c r="X1369" i="38" s="1"/>
  <c r="X1368" i="38" s="1"/>
  <c r="X1367" i="38" s="1"/>
  <c r="X1366" i="38" s="1"/>
  <c r="W1370" i="38"/>
  <c r="W1369" i="38" s="1"/>
  <c r="W1368" i="38" s="1"/>
  <c r="W1367" i="38" s="1"/>
  <c r="W1366" i="38" s="1"/>
  <c r="V1370" i="38"/>
  <c r="U1370" i="38"/>
  <c r="U1369" i="38" s="1"/>
  <c r="U1368" i="38" s="1"/>
  <c r="U1367" i="38" s="1"/>
  <c r="U1366" i="38" s="1"/>
  <c r="T1370" i="38"/>
  <c r="S1370" i="38"/>
  <c r="R1370" i="38"/>
  <c r="Q1370" i="38"/>
  <c r="AG1369" i="38"/>
  <c r="AG1368" i="38" s="1"/>
  <c r="AG1367" i="38" s="1"/>
  <c r="AG1366" i="38" s="1"/>
  <c r="AA1369" i="38"/>
  <c r="AA1368" i="38" s="1"/>
  <c r="Z1369" i="38"/>
  <c r="Y1369" i="38"/>
  <c r="Y1368" i="38" s="1"/>
  <c r="Y1367" i="38" s="1"/>
  <c r="Y1366" i="38" s="1"/>
  <c r="V1369" i="38"/>
  <c r="T1369" i="38"/>
  <c r="T1368" i="38" s="1"/>
  <c r="T1367" i="38" s="1"/>
  <c r="T1366" i="38" s="1"/>
  <c r="S1369" i="38"/>
  <c r="S1368" i="38" s="1"/>
  <c r="S1367" i="38" s="1"/>
  <c r="S1366" i="38" s="1"/>
  <c r="R1369" i="38"/>
  <c r="Q1369" i="38"/>
  <c r="Z1368" i="38"/>
  <c r="V1368" i="38"/>
  <c r="R1368" i="38"/>
  <c r="Q1368" i="38"/>
  <c r="AA1367" i="38"/>
  <c r="AA1366" i="38" s="1"/>
  <c r="AA1381" i="38" s="1"/>
  <c r="Z1367" i="38"/>
  <c r="V1367" i="38"/>
  <c r="R1367" i="38"/>
  <c r="Q1367" i="38"/>
  <c r="Z1366" i="38"/>
  <c r="Z1386" i="38" s="1"/>
  <c r="V1366" i="38"/>
  <c r="V1386" i="38" s="1"/>
  <c r="R1366" i="38"/>
  <c r="R1386" i="38" s="1"/>
  <c r="Q1366" i="38"/>
  <c r="AI1365" i="38"/>
  <c r="AG1365" i="38"/>
  <c r="AF1365" i="38"/>
  <c r="AE1365" i="38"/>
  <c r="AD1365" i="38"/>
  <c r="AH1365" i="38" s="1"/>
  <c r="AJ1365" i="38" s="1"/>
  <c r="Q1365" i="38"/>
  <c r="AI1364" i="38"/>
  <c r="AG1364" i="38"/>
  <c r="AF1364" i="38"/>
  <c r="AE1364" i="38"/>
  <c r="AD1364" i="38"/>
  <c r="AH1364" i="38" s="1"/>
  <c r="AJ1364" i="38" s="1"/>
  <c r="Q1364" i="38"/>
  <c r="AI1363" i="38"/>
  <c r="AG1363" i="38"/>
  <c r="AF1363" i="38"/>
  <c r="AE1363" i="38"/>
  <c r="AD1363" i="38"/>
  <c r="AH1363" i="38" s="1"/>
  <c r="AJ1363" i="38" s="1"/>
  <c r="Q1363" i="38"/>
  <c r="AI1362" i="38"/>
  <c r="AI1360" i="38" s="1"/>
  <c r="AG1362" i="38"/>
  <c r="AF1362" i="38"/>
  <c r="AE1362" i="38"/>
  <c r="AD1362" i="38"/>
  <c r="AH1362" i="38" s="1"/>
  <c r="AJ1362" i="38" s="1"/>
  <c r="Q1362" i="38"/>
  <c r="AI1361" i="38"/>
  <c r="AG1361" i="38"/>
  <c r="AF1361" i="38"/>
  <c r="AE1361" i="38"/>
  <c r="AD1361" i="38"/>
  <c r="AH1361" i="38" s="1"/>
  <c r="Q1361" i="38"/>
  <c r="AG1360" i="38"/>
  <c r="AF1360" i="38"/>
  <c r="AE1360" i="38"/>
  <c r="AD1360" i="38"/>
  <c r="AC1360" i="38"/>
  <c r="AB1360" i="38"/>
  <c r="AA1360" i="38"/>
  <c r="Z1360" i="38"/>
  <c r="Y1360" i="38"/>
  <c r="X1360" i="38"/>
  <c r="W1360" i="38"/>
  <c r="V1360" i="38"/>
  <c r="U1360" i="38"/>
  <c r="T1360" i="38"/>
  <c r="S1360" i="38"/>
  <c r="R1360" i="38"/>
  <c r="Q1360" i="38"/>
  <c r="AG1359" i="38"/>
  <c r="AI1359" i="38" s="1"/>
  <c r="AI1358" i="38" s="1"/>
  <c r="AF1359" i="38"/>
  <c r="AE1359" i="38"/>
  <c r="AD1359" i="38"/>
  <c r="AH1359" i="38" s="1"/>
  <c r="Q1359" i="38"/>
  <c r="AG1358" i="38"/>
  <c r="AF1358" i="38"/>
  <c r="AE1358" i="38"/>
  <c r="AD1358" i="38"/>
  <c r="AC1358" i="38"/>
  <c r="AB1358" i="38"/>
  <c r="AA1358" i="38"/>
  <c r="Z1358" i="38"/>
  <c r="Y1358" i="38"/>
  <c r="X1358" i="38"/>
  <c r="W1358" i="38"/>
  <c r="V1358" i="38"/>
  <c r="U1358" i="38"/>
  <c r="T1358" i="38"/>
  <c r="S1358" i="38"/>
  <c r="R1358" i="38"/>
  <c r="Q1358" i="38"/>
  <c r="AI1357" i="38"/>
  <c r="AG1357" i="38"/>
  <c r="AF1357" i="38"/>
  <c r="AE1357" i="38"/>
  <c r="AD1357" i="38"/>
  <c r="AH1357" i="38" s="1"/>
  <c r="AJ1357" i="38" s="1"/>
  <c r="Q1357" i="38"/>
  <c r="AJ1356" i="38"/>
  <c r="AJ1355" i="38" s="1"/>
  <c r="AI1356" i="38"/>
  <c r="AG1356" i="38"/>
  <c r="AF1356" i="38"/>
  <c r="AE1356" i="38"/>
  <c r="AD1356" i="38"/>
  <c r="AH1356" i="38" s="1"/>
  <c r="Q1356" i="38"/>
  <c r="AI1355" i="38"/>
  <c r="AI1354" i="38" s="1"/>
  <c r="AI1353" i="38" s="1"/>
  <c r="AI1352" i="38" s="1"/>
  <c r="AI1351" i="38" s="1"/>
  <c r="AG1355" i="38"/>
  <c r="AF1355" i="38"/>
  <c r="AE1355" i="38"/>
  <c r="AD1355" i="38"/>
  <c r="AC1355" i="38"/>
  <c r="AB1355" i="38"/>
  <c r="AB1354" i="38" s="1"/>
  <c r="AA1355" i="38"/>
  <c r="AA1354" i="38" s="1"/>
  <c r="Z1355" i="38"/>
  <c r="Y1355" i="38"/>
  <c r="X1355" i="38"/>
  <c r="W1355" i="38"/>
  <c r="V1355" i="38"/>
  <c r="U1355" i="38"/>
  <c r="T1355" i="38"/>
  <c r="T1354" i="38" s="1"/>
  <c r="S1355" i="38"/>
  <c r="S1354" i="38" s="1"/>
  <c r="R1355" i="38"/>
  <c r="Q1355" i="38"/>
  <c r="AG1354" i="38"/>
  <c r="AF1354" i="38"/>
  <c r="AF1353" i="38" s="1"/>
  <c r="AE1354" i="38"/>
  <c r="AE1353" i="38" s="1"/>
  <c r="AD1354" i="38"/>
  <c r="AC1354" i="38"/>
  <c r="Z1354" i="38"/>
  <c r="Y1354" i="38"/>
  <c r="X1354" i="38"/>
  <c r="X1353" i="38" s="1"/>
  <c r="X1352" i="38" s="1"/>
  <c r="X1351" i="38" s="1"/>
  <c r="W1354" i="38"/>
  <c r="W1353" i="38" s="1"/>
  <c r="V1354" i="38"/>
  <c r="U1354" i="38"/>
  <c r="R1354" i="38"/>
  <c r="Q1354" i="38"/>
  <c r="AG1353" i="38"/>
  <c r="AD1353" i="38"/>
  <c r="AC1353" i="38"/>
  <c r="Z1353" i="38"/>
  <c r="Y1353" i="38"/>
  <c r="V1353" i="38"/>
  <c r="U1353" i="38"/>
  <c r="R1353" i="38"/>
  <c r="Q1353" i="38"/>
  <c r="AG1352" i="38"/>
  <c r="AF1352" i="38"/>
  <c r="AF1351" i="38" s="1"/>
  <c r="AE1352" i="38"/>
  <c r="AE1351" i="38" s="1"/>
  <c r="AD1352" i="38"/>
  <c r="AC1352" i="38"/>
  <c r="Z1352" i="38"/>
  <c r="Y1352" i="38"/>
  <c r="W1352" i="38"/>
  <c r="W1351" i="38" s="1"/>
  <c r="V1352" i="38"/>
  <c r="U1352" i="38"/>
  <c r="R1352" i="38"/>
  <c r="Q1352" i="38"/>
  <c r="AG1351" i="38"/>
  <c r="AD1351" i="38"/>
  <c r="AC1351" i="38"/>
  <c r="Z1351" i="38"/>
  <c r="Y1351" i="38"/>
  <c r="V1351" i="38"/>
  <c r="U1351" i="38"/>
  <c r="R1351" i="38"/>
  <c r="Q1351" i="38"/>
  <c r="AG1350" i="38"/>
  <c r="AF1350" i="38"/>
  <c r="AE1350" i="38"/>
  <c r="AD1350" i="38"/>
  <c r="Q1350" i="38"/>
  <c r="AG1349" i="38"/>
  <c r="AF1349" i="38"/>
  <c r="AE1349" i="38"/>
  <c r="AD1349" i="38"/>
  <c r="Q1349" i="38"/>
  <c r="AG1348" i="38"/>
  <c r="AI1348" i="38" s="1"/>
  <c r="AF1348" i="38"/>
  <c r="AE1348" i="38"/>
  <c r="AD1348" i="38"/>
  <c r="AH1348" i="38" s="1"/>
  <c r="AJ1348" i="38" s="1"/>
  <c r="Q1348" i="38"/>
  <c r="AG1347" i="38"/>
  <c r="AI1347" i="38" s="1"/>
  <c r="AF1347" i="38"/>
  <c r="AE1347" i="38"/>
  <c r="AD1347" i="38"/>
  <c r="Q1347" i="38"/>
  <c r="AG1346" i="38"/>
  <c r="AF1346" i="38"/>
  <c r="AF1345" i="38" s="1"/>
  <c r="AE1346" i="38"/>
  <c r="AE1345" i="38" s="1"/>
  <c r="AD1346" i="38"/>
  <c r="Q1346" i="38"/>
  <c r="AG1345" i="38"/>
  <c r="AD1345" i="38"/>
  <c r="AC1345" i="38"/>
  <c r="AB1345" i="38"/>
  <c r="AA1345" i="38"/>
  <c r="Z1345" i="38"/>
  <c r="Y1345" i="38"/>
  <c r="X1345" i="38"/>
  <c r="W1345" i="38"/>
  <c r="V1345" i="38"/>
  <c r="U1345" i="38"/>
  <c r="T1345" i="38"/>
  <c r="S1345" i="38"/>
  <c r="R1345" i="38"/>
  <c r="Q1345" i="38"/>
  <c r="AI1344" i="38"/>
  <c r="AG1344" i="38"/>
  <c r="AF1344" i="38"/>
  <c r="AE1344" i="38"/>
  <c r="AD1344" i="38"/>
  <c r="AH1344" i="38" s="1"/>
  <c r="AH1343" i="38" s="1"/>
  <c r="Q1344" i="38"/>
  <c r="AI1343" i="38"/>
  <c r="AG1343" i="38"/>
  <c r="AF1343" i="38"/>
  <c r="AE1343" i="38"/>
  <c r="AD1343" i="38"/>
  <c r="AC1343" i="38"/>
  <c r="AB1343" i="38"/>
  <c r="AA1343" i="38"/>
  <c r="Z1343" i="38"/>
  <c r="Y1343" i="38"/>
  <c r="X1343" i="38"/>
  <c r="W1343" i="38"/>
  <c r="V1343" i="38"/>
  <c r="U1343" i="38"/>
  <c r="T1343" i="38"/>
  <c r="S1343" i="38"/>
  <c r="S1339" i="38" s="1"/>
  <c r="S1338" i="38" s="1"/>
  <c r="S1337" i="38" s="1"/>
  <c r="S1336" i="38" s="1"/>
  <c r="R1343" i="38"/>
  <c r="Q1343" i="38"/>
  <c r="AG1342" i="38"/>
  <c r="AF1342" i="38"/>
  <c r="AF1340" i="38" s="1"/>
  <c r="AF1339" i="38" s="1"/>
  <c r="AF1338" i="38" s="1"/>
  <c r="AF1337" i="38" s="1"/>
  <c r="AF1336" i="38" s="1"/>
  <c r="AE1342" i="38"/>
  <c r="AE1340" i="38" s="1"/>
  <c r="AE1339" i="38" s="1"/>
  <c r="AD1342" i="38"/>
  <c r="Q1342" i="38"/>
  <c r="AG1341" i="38"/>
  <c r="AI1341" i="38" s="1"/>
  <c r="AF1341" i="38"/>
  <c r="AE1341" i="38"/>
  <c r="AD1341" i="38"/>
  <c r="AH1341" i="38" s="1"/>
  <c r="Q1341" i="38"/>
  <c r="AG1340" i="38"/>
  <c r="AG1339" i="38" s="1"/>
  <c r="AD1340" i="38"/>
  <c r="AC1340" i="38"/>
  <c r="AC1339" i="38" s="1"/>
  <c r="AC1338" i="38" s="1"/>
  <c r="AC1337" i="38" s="1"/>
  <c r="AB1340" i="38"/>
  <c r="AA1340" i="38"/>
  <c r="Z1340" i="38"/>
  <c r="Y1340" i="38"/>
  <c r="Y1339" i="38" s="1"/>
  <c r="Y1338" i="38" s="1"/>
  <c r="Y1337" i="38" s="1"/>
  <c r="Y1336" i="38" s="1"/>
  <c r="X1340" i="38"/>
  <c r="X1339" i="38" s="1"/>
  <c r="W1340" i="38"/>
  <c r="W1339" i="38" s="1"/>
  <c r="V1340" i="38"/>
  <c r="U1340" i="38"/>
  <c r="T1340" i="38"/>
  <c r="S1340" i="38"/>
  <c r="R1340" i="38"/>
  <c r="Q1340" i="38"/>
  <c r="AD1339" i="38"/>
  <c r="AB1339" i="38"/>
  <c r="AB1338" i="38" s="1"/>
  <c r="AB1337" i="38" s="1"/>
  <c r="AB1336" i="38" s="1"/>
  <c r="AA1339" i="38"/>
  <c r="AA1338" i="38" s="1"/>
  <c r="AA1337" i="38" s="1"/>
  <c r="AA1336" i="38" s="1"/>
  <c r="Z1339" i="38"/>
  <c r="V1339" i="38"/>
  <c r="U1339" i="38"/>
  <c r="U1338" i="38" s="1"/>
  <c r="T1339" i="38"/>
  <c r="T1338" i="38" s="1"/>
  <c r="R1339" i="38"/>
  <c r="Q1339" i="38"/>
  <c r="AG1338" i="38"/>
  <c r="AD1338" i="38"/>
  <c r="Z1338" i="38"/>
  <c r="X1338" i="38"/>
  <c r="X1337" i="38" s="1"/>
  <c r="X1336" i="38" s="1"/>
  <c r="W1338" i="38"/>
  <c r="W1337" i="38" s="1"/>
  <c r="W1336" i="38" s="1"/>
  <c r="V1338" i="38"/>
  <c r="R1338" i="38"/>
  <c r="Q1338" i="38"/>
  <c r="AG1337" i="38"/>
  <c r="AG1336" i="38" s="1"/>
  <c r="AD1337" i="38"/>
  <c r="Z1337" i="38"/>
  <c r="V1337" i="38"/>
  <c r="U1337" i="38"/>
  <c r="U1336" i="38" s="1"/>
  <c r="T1337" i="38"/>
  <c r="T1336" i="38" s="1"/>
  <c r="R1337" i="38"/>
  <c r="Q1337" i="38"/>
  <c r="AD1336" i="38"/>
  <c r="AC1336" i="38"/>
  <c r="Z1336" i="38"/>
  <c r="V1336" i="38"/>
  <c r="R1336" i="38"/>
  <c r="Q1336" i="38"/>
  <c r="Q1335" i="38"/>
  <c r="Q1334" i="38"/>
  <c r="Q1333" i="38"/>
  <c r="Y1332" i="38"/>
  <c r="Y1333" i="38" s="1"/>
  <c r="Q1332" i="38"/>
  <c r="AI1331" i="38"/>
  <c r="AG1331" i="38"/>
  <c r="AF1331" i="38"/>
  <c r="AE1331" i="38"/>
  <c r="AD1331" i="38"/>
  <c r="Q1331" i="38"/>
  <c r="AI1330" i="38"/>
  <c r="AG1330" i="38"/>
  <c r="AF1330" i="38"/>
  <c r="AE1330" i="38"/>
  <c r="AD1330" i="38"/>
  <c r="AH1330" i="38" s="1"/>
  <c r="Q1330" i="38"/>
  <c r="AC1329" i="38"/>
  <c r="V1329" i="38"/>
  <c r="Q1329" i="38"/>
  <c r="Z1328" i="38"/>
  <c r="Z1329" i="38" s="1"/>
  <c r="Y1328" i="38"/>
  <c r="Y1329" i="38" s="1"/>
  <c r="R1328" i="38"/>
  <c r="Q1328" i="38"/>
  <c r="AI1327" i="38"/>
  <c r="AG1327" i="38"/>
  <c r="AF1327" i="38"/>
  <c r="AE1327" i="38"/>
  <c r="AD1327" i="38"/>
  <c r="Q1327" i="38"/>
  <c r="AI1326" i="38"/>
  <c r="AG1326" i="38"/>
  <c r="AF1326" i="38"/>
  <c r="AE1326" i="38"/>
  <c r="AD1326" i="38"/>
  <c r="AH1326" i="38" s="1"/>
  <c r="Q1326" i="38"/>
  <c r="AI1325" i="38"/>
  <c r="AG1325" i="38"/>
  <c r="AF1325" i="38"/>
  <c r="AE1325" i="38"/>
  <c r="AD1325" i="38"/>
  <c r="Q1325" i="38"/>
  <c r="AC1324" i="38"/>
  <c r="AC1328" i="38" s="1"/>
  <c r="AC1332" i="38" s="1"/>
  <c r="AC1333" i="38" s="1"/>
  <c r="AB1324" i="38"/>
  <c r="AB1328" i="38" s="1"/>
  <c r="AA1324" i="38"/>
  <c r="Z1324" i="38"/>
  <c r="Y1324" i="38"/>
  <c r="X1324" i="38"/>
  <c r="X1328" i="38" s="1"/>
  <c r="W1324" i="38"/>
  <c r="W1328" i="38" s="1"/>
  <c r="V1324" i="38"/>
  <c r="V1328" i="38" s="1"/>
  <c r="V1332" i="38" s="1"/>
  <c r="V1333" i="38" s="1"/>
  <c r="U1324" i="38"/>
  <c r="U1328" i="38" s="1"/>
  <c r="U1332" i="38" s="1"/>
  <c r="U1333" i="38" s="1"/>
  <c r="T1324" i="38"/>
  <c r="T1328" i="38" s="1"/>
  <c r="S1324" i="38"/>
  <c r="R1324" i="38"/>
  <c r="Q1324" i="38"/>
  <c r="AC1323" i="38"/>
  <c r="AB1323" i="38"/>
  <c r="AA1323" i="38"/>
  <c r="Z1323" i="38"/>
  <c r="Y1323" i="38"/>
  <c r="X1323" i="38"/>
  <c r="W1323" i="38"/>
  <c r="V1323" i="38"/>
  <c r="U1323" i="38"/>
  <c r="T1323" i="38"/>
  <c r="S1323" i="38"/>
  <c r="R1323" i="38"/>
  <c r="Q1323" i="38"/>
  <c r="AI1322" i="38"/>
  <c r="AG1322" i="38"/>
  <c r="AG1323" i="38" s="1"/>
  <c r="AF1322" i="38"/>
  <c r="AE1322" i="38"/>
  <c r="AD1322" i="38"/>
  <c r="Q1322" i="38"/>
  <c r="AG1321" i="38"/>
  <c r="AI1321" i="38" s="1"/>
  <c r="AF1321" i="38"/>
  <c r="AE1321" i="38"/>
  <c r="AD1321" i="38"/>
  <c r="AH1321" i="38" s="1"/>
  <c r="Q1321" i="38"/>
  <c r="AI1320" i="38"/>
  <c r="AI1323" i="38" s="1"/>
  <c r="AG1320" i="38"/>
  <c r="AF1320" i="38"/>
  <c r="AE1320" i="38"/>
  <c r="AD1320" i="38"/>
  <c r="Q1320" i="38"/>
  <c r="Q1319" i="38"/>
  <c r="Q1318" i="38"/>
  <c r="Q1317" i="38"/>
  <c r="Q1316" i="38"/>
  <c r="Q1315" i="38"/>
  <c r="AF1314" i="38"/>
  <c r="AD1314" i="38"/>
  <c r="AC1314" i="38"/>
  <c r="AB1314" i="38"/>
  <c r="AG1314" i="38" s="1"/>
  <c r="AI1314" i="38" s="1"/>
  <c r="AA1314" i="38"/>
  <c r="Z1314" i="38"/>
  <c r="Y1314" i="38"/>
  <c r="X1314" i="38"/>
  <c r="W1314" i="38"/>
  <c r="V1314" i="38"/>
  <c r="U1314" i="38"/>
  <c r="AE1314" i="38" s="1"/>
  <c r="T1314" i="38"/>
  <c r="S1314" i="38"/>
  <c r="R1314" i="38"/>
  <c r="Q1314" i="38"/>
  <c r="Q1313" i="38"/>
  <c r="AF1312" i="38"/>
  <c r="AB1312" i="38"/>
  <c r="AA1312" i="38"/>
  <c r="Z1312" i="38"/>
  <c r="Y1312" i="38"/>
  <c r="X1312" i="38"/>
  <c r="V1312" i="38"/>
  <c r="U1312" i="38"/>
  <c r="S1312" i="38"/>
  <c r="R1312" i="38"/>
  <c r="Q1312" i="38"/>
  <c r="AG1311" i="38"/>
  <c r="AC1311" i="38"/>
  <c r="AB1311" i="38"/>
  <c r="AA1311" i="38"/>
  <c r="Y1311" i="38"/>
  <c r="W1311" i="38"/>
  <c r="U1311" i="38"/>
  <c r="T1311" i="38"/>
  <c r="S1311" i="38"/>
  <c r="Q1311" i="38"/>
  <c r="AB1310" i="38"/>
  <c r="AA1310" i="38"/>
  <c r="Y1310" i="38"/>
  <c r="S1310" i="38"/>
  <c r="Q1310" i="38"/>
  <c r="Q1309" i="38"/>
  <c r="Q1308" i="38"/>
  <c r="Q1307" i="38"/>
  <c r="Q1306" i="38"/>
  <c r="Q1305" i="38"/>
  <c r="Q1304" i="38"/>
  <c r="Q1303" i="38"/>
  <c r="Q1302" i="38"/>
  <c r="Q1301" i="38"/>
  <c r="Q1300" i="38"/>
  <c r="Q1299" i="38"/>
  <c r="Q1298" i="38"/>
  <c r="Q1297" i="38"/>
  <c r="Q1296" i="38"/>
  <c r="Q1295" i="38"/>
  <c r="Q1294" i="38"/>
  <c r="AJ1293" i="38"/>
  <c r="AI1293" i="38"/>
  <c r="AH1293" i="38"/>
  <c r="AG1293" i="38"/>
  <c r="AF1293" i="38"/>
  <c r="AE1293" i="38"/>
  <c r="AD1293" i="38"/>
  <c r="Q1293" i="38"/>
  <c r="Q1292" i="38"/>
  <c r="Q1291" i="38"/>
  <c r="Q1290" i="38"/>
  <c r="Q1289" i="38"/>
  <c r="Q1288" i="38"/>
  <c r="Q1287" i="38"/>
  <c r="Q1286" i="38"/>
  <c r="AC1285" i="38"/>
  <c r="AB1285" i="38"/>
  <c r="AA1285" i="38"/>
  <c r="Z1285" i="38"/>
  <c r="Y1285" i="38"/>
  <c r="X1285" i="38"/>
  <c r="W1285" i="38"/>
  <c r="V1285" i="38"/>
  <c r="U1285" i="38"/>
  <c r="T1285" i="38"/>
  <c r="S1285" i="38"/>
  <c r="R1285" i="38"/>
  <c r="Q1285" i="38"/>
  <c r="Q1284" i="38"/>
  <c r="Q1283" i="38"/>
  <c r="Q1282" i="38"/>
  <c r="AC1281" i="38"/>
  <c r="AB1281" i="38"/>
  <c r="AA1281" i="38"/>
  <c r="Z1281" i="38"/>
  <c r="Y1281" i="38"/>
  <c r="X1281" i="38"/>
  <c r="W1281" i="38"/>
  <c r="V1281" i="38"/>
  <c r="U1281" i="38"/>
  <c r="T1281" i="38"/>
  <c r="S1281" i="38"/>
  <c r="R1281" i="38"/>
  <c r="Q1281" i="38"/>
  <c r="AC1280" i="38"/>
  <c r="AB1280" i="38"/>
  <c r="AA1280" i="38"/>
  <c r="Z1280" i="38"/>
  <c r="Z1277" i="38" s="1"/>
  <c r="Y1280" i="38"/>
  <c r="X1280" i="38"/>
  <c r="W1280" i="38"/>
  <c r="V1280" i="38"/>
  <c r="U1280" i="38"/>
  <c r="T1280" i="38"/>
  <c r="S1280" i="38"/>
  <c r="R1280" i="38"/>
  <c r="R1277" i="38" s="1"/>
  <c r="Q1280" i="38"/>
  <c r="AC1279" i="38"/>
  <c r="AB1279" i="38"/>
  <c r="AA1279" i="38"/>
  <c r="Z1279" i="38"/>
  <c r="Y1279" i="38"/>
  <c r="X1279" i="38"/>
  <c r="W1279" i="38"/>
  <c r="W1277" i="38" s="1"/>
  <c r="V1279" i="38"/>
  <c r="V1277" i="38" s="1"/>
  <c r="U1279" i="38"/>
  <c r="T1279" i="38"/>
  <c r="S1279" i="38"/>
  <c r="R1279" i="38"/>
  <c r="Q1279" i="38"/>
  <c r="AC1278" i="38"/>
  <c r="AC1277" i="38" s="1"/>
  <c r="AB1278" i="38"/>
  <c r="AB1277" i="38" s="1"/>
  <c r="AA1278" i="38"/>
  <c r="AA1277" i="38" s="1"/>
  <c r="Z1278" i="38"/>
  <c r="Y1278" i="38"/>
  <c r="X1278" i="38"/>
  <c r="W1278" i="38"/>
  <c r="V1278" i="38"/>
  <c r="U1278" i="38"/>
  <c r="U1277" i="38" s="1"/>
  <c r="T1278" i="38"/>
  <c r="T1277" i="38" s="1"/>
  <c r="S1278" i="38"/>
  <c r="S1277" i="38" s="1"/>
  <c r="R1278" i="38"/>
  <c r="Q1278" i="38"/>
  <c r="Y1277" i="38"/>
  <c r="X1277" i="38"/>
  <c r="Q1277" i="38"/>
  <c r="AC1276" i="38"/>
  <c r="AB1276" i="38"/>
  <c r="AA1276" i="38"/>
  <c r="Z1276" i="38"/>
  <c r="Y1276" i="38"/>
  <c r="X1276" i="38"/>
  <c r="W1276" i="38"/>
  <c r="V1276" i="38"/>
  <c r="U1276" i="38"/>
  <c r="T1276" i="38"/>
  <c r="S1276" i="38"/>
  <c r="R1276" i="38"/>
  <c r="Q1276" i="38"/>
  <c r="Q1275" i="38"/>
  <c r="Q1274" i="38"/>
  <c r="AJ1273" i="38"/>
  <c r="AG1273" i="38"/>
  <c r="AI1273" i="38" s="1"/>
  <c r="AF1273" i="38"/>
  <c r="AE1273" i="38"/>
  <c r="AD1273" i="38"/>
  <c r="AH1273" i="38" s="1"/>
  <c r="Q1273" i="38"/>
  <c r="AG1272" i="38"/>
  <c r="AI1272" i="38" s="1"/>
  <c r="AF1272" i="38"/>
  <c r="AE1272" i="38"/>
  <c r="AD1272" i="38"/>
  <c r="AH1272" i="38" s="1"/>
  <c r="Q1272" i="38"/>
  <c r="AG1271" i="38"/>
  <c r="AF1271" i="38"/>
  <c r="AI1271" i="38" s="1"/>
  <c r="AE1271" i="38"/>
  <c r="AD1271" i="38"/>
  <c r="Q1271" i="38"/>
  <c r="AG1270" i="38"/>
  <c r="AI1270" i="38" s="1"/>
  <c r="AF1270" i="38"/>
  <c r="AE1270" i="38"/>
  <c r="AD1270" i="38"/>
  <c r="AH1270" i="38" s="1"/>
  <c r="Q1270" i="38"/>
  <c r="AH1269" i="38"/>
  <c r="AG1269" i="38"/>
  <c r="AF1269" i="38"/>
  <c r="AE1269" i="38"/>
  <c r="AD1269" i="38"/>
  <c r="Q1269" i="38"/>
  <c r="AH1268" i="38"/>
  <c r="AG1268" i="38"/>
  <c r="AI1268" i="38" s="1"/>
  <c r="AF1268" i="38"/>
  <c r="AE1268" i="38"/>
  <c r="AD1268" i="38"/>
  <c r="Q1268" i="38"/>
  <c r="AI1267" i="38"/>
  <c r="AH1267" i="38"/>
  <c r="AG1267" i="38"/>
  <c r="AF1267" i="38"/>
  <c r="AE1267" i="38"/>
  <c r="AD1267" i="38"/>
  <c r="Q1267" i="38"/>
  <c r="AI1266" i="38"/>
  <c r="AG1266" i="38"/>
  <c r="AF1266" i="38"/>
  <c r="AE1266" i="38"/>
  <c r="AD1266" i="38"/>
  <c r="AH1266" i="38" s="1"/>
  <c r="AJ1266" i="38" s="1"/>
  <c r="Q1266" i="38"/>
  <c r="AG1265" i="38"/>
  <c r="AI1265" i="38" s="1"/>
  <c r="AF1265" i="38"/>
  <c r="AE1265" i="38"/>
  <c r="AD1265" i="38"/>
  <c r="AH1265" i="38" s="1"/>
  <c r="AJ1265" i="38" s="1"/>
  <c r="Q1265" i="38"/>
  <c r="AG1264" i="38"/>
  <c r="AI1264" i="38" s="1"/>
  <c r="AF1264" i="38"/>
  <c r="AE1264" i="38"/>
  <c r="AD1264" i="38"/>
  <c r="AH1264" i="38" s="1"/>
  <c r="Q1264" i="38"/>
  <c r="AG1263" i="38"/>
  <c r="AF1263" i="38"/>
  <c r="AI1263" i="38" s="1"/>
  <c r="AE1263" i="38"/>
  <c r="AD1263" i="38"/>
  <c r="AH1263" i="38" s="1"/>
  <c r="AJ1263" i="38" s="1"/>
  <c r="Q1263" i="38"/>
  <c r="AG1262" i="38"/>
  <c r="AI1262" i="38" s="1"/>
  <c r="AF1262" i="38"/>
  <c r="AE1262" i="38"/>
  <c r="AD1262" i="38"/>
  <c r="AH1262" i="38" s="1"/>
  <c r="AJ1262" i="38" s="1"/>
  <c r="Q1262" i="38"/>
  <c r="AH1261" i="38"/>
  <c r="AG1261" i="38"/>
  <c r="AI1261" i="38" s="1"/>
  <c r="AF1261" i="38"/>
  <c r="AE1261" i="38"/>
  <c r="AD1261" i="38"/>
  <c r="Q1261" i="38"/>
  <c r="AH1260" i="38"/>
  <c r="AG1260" i="38"/>
  <c r="AI1260" i="38" s="1"/>
  <c r="AF1260" i="38"/>
  <c r="AE1260" i="38"/>
  <c r="AD1260" i="38"/>
  <c r="Q1260" i="38"/>
  <c r="AI1259" i="38"/>
  <c r="AH1259" i="38"/>
  <c r="AJ1259" i="38" s="1"/>
  <c r="AG1259" i="38"/>
  <c r="AF1259" i="38"/>
  <c r="AE1259" i="38"/>
  <c r="AD1259" i="38"/>
  <c r="Q1259" i="38"/>
  <c r="AI1258" i="38"/>
  <c r="AG1258" i="38"/>
  <c r="AF1258" i="38"/>
  <c r="AE1258" i="38"/>
  <c r="AD1258" i="38"/>
  <c r="AH1258" i="38" s="1"/>
  <c r="AJ1258" i="38" s="1"/>
  <c r="Q1258" i="38"/>
  <c r="AG1257" i="38"/>
  <c r="AI1257" i="38" s="1"/>
  <c r="AF1257" i="38"/>
  <c r="AE1257" i="38"/>
  <c r="AD1257" i="38"/>
  <c r="AH1257" i="38" s="1"/>
  <c r="AJ1257" i="38" s="1"/>
  <c r="Q1257" i="38"/>
  <c r="AG1256" i="38"/>
  <c r="AI1256" i="38" s="1"/>
  <c r="AF1256" i="38"/>
  <c r="AE1256" i="38"/>
  <c r="AD1256" i="38"/>
  <c r="AH1256" i="38" s="1"/>
  <c r="Q1256" i="38"/>
  <c r="AG1255" i="38"/>
  <c r="AF1255" i="38"/>
  <c r="AI1255" i="38" s="1"/>
  <c r="AE1255" i="38"/>
  <c r="AD1255" i="38"/>
  <c r="Q1255" i="38"/>
  <c r="AG1254" i="38"/>
  <c r="AF1254" i="38"/>
  <c r="AE1254" i="38"/>
  <c r="AD1254" i="38"/>
  <c r="AH1254" i="38" s="1"/>
  <c r="Q1254" i="38"/>
  <c r="AH1253" i="38"/>
  <c r="AJ1253" i="38" s="1"/>
  <c r="AG1253" i="38"/>
  <c r="AI1253" i="38" s="1"/>
  <c r="AF1253" i="38"/>
  <c r="AE1253" i="38"/>
  <c r="AD1253" i="38"/>
  <c r="Q1253" i="38"/>
  <c r="AH1252" i="38"/>
  <c r="AJ1252" i="38" s="1"/>
  <c r="AG1252" i="38"/>
  <c r="AI1252" i="38" s="1"/>
  <c r="AF1252" i="38"/>
  <c r="AE1252" i="38"/>
  <c r="AD1252" i="38"/>
  <c r="Q1252" i="38"/>
  <c r="AJ1251" i="38"/>
  <c r="AI1251" i="38"/>
  <c r="AH1251" i="38"/>
  <c r="AG1251" i="38"/>
  <c r="AF1251" i="38"/>
  <c r="AE1251" i="38"/>
  <c r="AD1251" i="38"/>
  <c r="Q1251" i="38"/>
  <c r="Q1250" i="38"/>
  <c r="Q1249" i="38"/>
  <c r="AJ1248" i="38"/>
  <c r="AI1248" i="38"/>
  <c r="AG1248" i="38"/>
  <c r="AF1248" i="38"/>
  <c r="AE1248" i="38"/>
  <c r="AH1248" i="38" s="1"/>
  <c r="AD1248" i="38"/>
  <c r="Q1248" i="38"/>
  <c r="AH1247" i="38"/>
  <c r="AG1247" i="38"/>
  <c r="AI1247" i="38" s="1"/>
  <c r="AJ1247" i="38" s="1"/>
  <c r="AF1247" i="38"/>
  <c r="AE1247" i="38"/>
  <c r="AD1247" i="38"/>
  <c r="Q1247" i="38"/>
  <c r="AD1246" i="38"/>
  <c r="AC1246" i="38"/>
  <c r="AG1246" i="38" s="1"/>
  <c r="AI1246" i="38" s="1"/>
  <c r="AJ1246" i="38" s="1"/>
  <c r="AB1246" i="38"/>
  <c r="AA1246" i="38"/>
  <c r="Z1246" i="38"/>
  <c r="AF1246" i="38" s="1"/>
  <c r="Y1246" i="38"/>
  <c r="X1246" i="38"/>
  <c r="W1246" i="38"/>
  <c r="AE1246" i="38" s="1"/>
  <c r="AH1246" i="38" s="1"/>
  <c r="V1246" i="38"/>
  <c r="U1246" i="38"/>
  <c r="T1246" i="38"/>
  <c r="S1246" i="38"/>
  <c r="R1246" i="38"/>
  <c r="Q1246" i="38"/>
  <c r="Q1245" i="38"/>
  <c r="Q1244" i="38"/>
  <c r="AI1243" i="38"/>
  <c r="AJ1243" i="38" s="1"/>
  <c r="AG1243" i="38"/>
  <c r="AF1243" i="38"/>
  <c r="AE1243" i="38"/>
  <c r="AH1243" i="38" s="1"/>
  <c r="AD1243" i="38"/>
  <c r="Q1243" i="38"/>
  <c r="AG1242" i="38"/>
  <c r="AI1242" i="38" s="1"/>
  <c r="AJ1242" i="38" s="1"/>
  <c r="AF1242" i="38"/>
  <c r="AE1242" i="38"/>
  <c r="AH1242" i="38" s="1"/>
  <c r="AD1242" i="38"/>
  <c r="Q1242" i="38"/>
  <c r="AG1241" i="38"/>
  <c r="AI1241" i="38" s="1"/>
  <c r="AJ1241" i="38" s="1"/>
  <c r="AF1241" i="38"/>
  <c r="AC1241" i="38"/>
  <c r="AB1241" i="38"/>
  <c r="AA1241" i="38"/>
  <c r="Z1241" i="38"/>
  <c r="Y1241" i="38"/>
  <c r="X1241" i="38"/>
  <c r="W1241" i="38"/>
  <c r="AE1241" i="38" s="1"/>
  <c r="AH1241" i="38" s="1"/>
  <c r="V1241" i="38"/>
  <c r="U1241" i="38"/>
  <c r="T1241" i="38"/>
  <c r="AD1241" i="38" s="1"/>
  <c r="S1241" i="38"/>
  <c r="R1241" i="38"/>
  <c r="Q1241" i="38"/>
  <c r="Q1240" i="38"/>
  <c r="Q1239" i="38"/>
  <c r="Q1238" i="38"/>
  <c r="Q1237" i="38"/>
  <c r="AI1236" i="38"/>
  <c r="AG1236" i="38"/>
  <c r="AF1236" i="38"/>
  <c r="AE1236" i="38"/>
  <c r="AD1236" i="38"/>
  <c r="AH1236" i="38" s="1"/>
  <c r="AJ1236" i="38" s="1"/>
  <c r="Q1236" i="38"/>
  <c r="Q1235" i="38"/>
  <c r="Q1234" i="38"/>
  <c r="Q1233" i="38"/>
  <c r="AG1232" i="38"/>
  <c r="AC1232" i="38"/>
  <c r="AB1232" i="38"/>
  <c r="AA1232" i="38"/>
  <c r="Z1232" i="38"/>
  <c r="Y1232" i="38"/>
  <c r="X1232" i="38"/>
  <c r="AF1232" i="38" s="1"/>
  <c r="W1232" i="38"/>
  <c r="V1232" i="38"/>
  <c r="U1232" i="38"/>
  <c r="AE1232" i="38" s="1"/>
  <c r="AH1232" i="38" s="1"/>
  <c r="T1232" i="38"/>
  <c r="S1232" i="38"/>
  <c r="R1232" i="38"/>
  <c r="AD1232" i="38" s="1"/>
  <c r="Q1232" i="38"/>
  <c r="AG1231" i="38"/>
  <c r="AF1231" i="38"/>
  <c r="AI1231" i="38" s="1"/>
  <c r="AE1231" i="38"/>
  <c r="AD1231" i="38"/>
  <c r="AH1231" i="38" s="1"/>
  <c r="AJ1231" i="38" s="1"/>
  <c r="Q1231" i="38"/>
  <c r="AG1230" i="38"/>
  <c r="AF1230" i="38"/>
  <c r="AI1230" i="38" s="1"/>
  <c r="AE1230" i="38"/>
  <c r="AD1230" i="38"/>
  <c r="AH1230" i="38" s="1"/>
  <c r="AJ1230" i="38" s="1"/>
  <c r="Q1230" i="38"/>
  <c r="AG1229" i="38"/>
  <c r="AF1229" i="38"/>
  <c r="AI1229" i="38" s="1"/>
  <c r="AE1229" i="38"/>
  <c r="AD1229" i="38"/>
  <c r="AH1229" i="38" s="1"/>
  <c r="Q1229" i="38"/>
  <c r="Q1228" i="38"/>
  <c r="AG1227" i="38"/>
  <c r="AC1227" i="38"/>
  <c r="AB1227" i="38"/>
  <c r="AA1227" i="38"/>
  <c r="Z1227" i="38"/>
  <c r="Y1227" i="38"/>
  <c r="X1227" i="38"/>
  <c r="W1227" i="38"/>
  <c r="V1227" i="38"/>
  <c r="U1227" i="38"/>
  <c r="AE1227" i="38" s="1"/>
  <c r="T1227" i="38"/>
  <c r="S1227" i="38"/>
  <c r="R1227" i="38"/>
  <c r="AD1227" i="38" s="1"/>
  <c r="AH1227" i="38" s="1"/>
  <c r="Q1227" i="38"/>
  <c r="AD1226" i="38"/>
  <c r="AC1226" i="38"/>
  <c r="AG1226" i="38" s="1"/>
  <c r="AB1226" i="38"/>
  <c r="AA1226" i="38"/>
  <c r="Z1226" i="38"/>
  <c r="Y1226" i="38"/>
  <c r="X1226" i="38"/>
  <c r="AF1226" i="38" s="1"/>
  <c r="AI1226" i="38" s="1"/>
  <c r="W1226" i="38"/>
  <c r="V1226" i="38"/>
  <c r="V1228" i="38" s="1"/>
  <c r="U1226" i="38"/>
  <c r="T1226" i="38"/>
  <c r="S1226" i="38"/>
  <c r="R1226" i="38"/>
  <c r="Q1226" i="38"/>
  <c r="AH1225" i="38"/>
  <c r="AG1225" i="38"/>
  <c r="AC1225" i="38"/>
  <c r="AB1225" i="38"/>
  <c r="AA1225" i="38"/>
  <c r="Z1225" i="38"/>
  <c r="Y1225" i="38"/>
  <c r="X1225" i="38"/>
  <c r="AF1225" i="38" s="1"/>
  <c r="W1225" i="38"/>
  <c r="V1225" i="38"/>
  <c r="U1225" i="38"/>
  <c r="AE1225" i="38" s="1"/>
  <c r="T1225" i="38"/>
  <c r="S1225" i="38"/>
  <c r="R1225" i="38"/>
  <c r="AD1225" i="38" s="1"/>
  <c r="Q1225" i="38"/>
  <c r="AD1224" i="38"/>
  <c r="AC1224" i="38"/>
  <c r="AB1224" i="38"/>
  <c r="AB1228" i="38" s="1"/>
  <c r="AA1224" i="38"/>
  <c r="AA1228" i="38" s="1"/>
  <c r="Z1224" i="38"/>
  <c r="Y1224" i="38"/>
  <c r="X1224" i="38"/>
  <c r="X1228" i="38" s="1"/>
  <c r="W1224" i="38"/>
  <c r="W1228" i="38" s="1"/>
  <c r="V1224" i="38"/>
  <c r="U1224" i="38"/>
  <c r="T1224" i="38"/>
  <c r="T1228" i="38" s="1"/>
  <c r="S1224" i="38"/>
  <c r="S1228" i="38" s="1"/>
  <c r="R1224" i="38"/>
  <c r="Q1224" i="38"/>
  <c r="Z1223" i="38"/>
  <c r="Y1223" i="38"/>
  <c r="R1223" i="38"/>
  <c r="Q1223" i="38"/>
  <c r="AD1222" i="38"/>
  <c r="AC1222" i="38"/>
  <c r="AG1222" i="38" s="1"/>
  <c r="AB1222" i="38"/>
  <c r="AA1222" i="38"/>
  <c r="Z1222" i="38"/>
  <c r="Y1222" i="38"/>
  <c r="X1222" i="38"/>
  <c r="AF1222" i="38" s="1"/>
  <c r="AI1222" i="38" s="1"/>
  <c r="W1222" i="38"/>
  <c r="V1222" i="38"/>
  <c r="U1222" i="38"/>
  <c r="T1222" i="38"/>
  <c r="S1222" i="38"/>
  <c r="R1222" i="38"/>
  <c r="Q1222" i="38"/>
  <c r="AH1221" i="38"/>
  <c r="AG1221" i="38"/>
  <c r="AC1221" i="38"/>
  <c r="AB1221" i="38"/>
  <c r="AA1221" i="38"/>
  <c r="Z1221" i="38"/>
  <c r="Y1221" i="38"/>
  <c r="X1221" i="38"/>
  <c r="AF1221" i="38" s="1"/>
  <c r="W1221" i="38"/>
  <c r="V1221" i="38"/>
  <c r="U1221" i="38"/>
  <c r="AE1221" i="38" s="1"/>
  <c r="T1221" i="38"/>
  <c r="S1221" i="38"/>
  <c r="R1221" i="38"/>
  <c r="AD1221" i="38" s="1"/>
  <c r="Q1221" i="38"/>
  <c r="AD1220" i="38"/>
  <c r="AC1220" i="38"/>
  <c r="AG1220" i="38" s="1"/>
  <c r="AB1220" i="38"/>
  <c r="AA1220" i="38"/>
  <c r="Z1220" i="38"/>
  <c r="Y1220" i="38"/>
  <c r="X1220" i="38"/>
  <c r="AF1220" i="38" s="1"/>
  <c r="W1220" i="38"/>
  <c r="V1220" i="38"/>
  <c r="U1220" i="38"/>
  <c r="T1220" i="38"/>
  <c r="S1220" i="38"/>
  <c r="R1220" i="38"/>
  <c r="Q1220" i="38"/>
  <c r="AG1219" i="38"/>
  <c r="AC1219" i="38"/>
  <c r="AC1223" i="38" s="1"/>
  <c r="AB1219" i="38"/>
  <c r="AB1223" i="38" s="1"/>
  <c r="AA1219" i="38"/>
  <c r="AA1223" i="38" s="1"/>
  <c r="Z1219" i="38"/>
  <c r="Y1219" i="38"/>
  <c r="X1219" i="38"/>
  <c r="X1223" i="38" s="1"/>
  <c r="W1219" i="38"/>
  <c r="W1223" i="38" s="1"/>
  <c r="V1219" i="38"/>
  <c r="U1219" i="38"/>
  <c r="AE1219" i="38" s="1"/>
  <c r="T1219" i="38"/>
  <c r="T1223" i="38" s="1"/>
  <c r="S1219" i="38"/>
  <c r="S1223" i="38" s="1"/>
  <c r="R1219" i="38"/>
  <c r="AD1219" i="38" s="1"/>
  <c r="AH1219" i="38" s="1"/>
  <c r="Q1219" i="38"/>
  <c r="AD1218" i="38"/>
  <c r="AC1218" i="38"/>
  <c r="AG1218" i="38" s="1"/>
  <c r="AB1218" i="38"/>
  <c r="AA1218" i="38"/>
  <c r="Z1218" i="38"/>
  <c r="Y1218" i="38"/>
  <c r="X1218" i="38"/>
  <c r="AF1218" i="38" s="1"/>
  <c r="AI1218" i="38" s="1"/>
  <c r="W1218" i="38"/>
  <c r="V1218" i="38"/>
  <c r="U1218" i="38"/>
  <c r="AE1218" i="38" s="1"/>
  <c r="T1218" i="38"/>
  <c r="S1218" i="38"/>
  <c r="R1218" i="38"/>
  <c r="Q1218" i="38"/>
  <c r="AG1217" i="38"/>
  <c r="AC1217" i="38"/>
  <c r="AB1217" i="38"/>
  <c r="AA1217" i="38"/>
  <c r="Z1217" i="38"/>
  <c r="Y1217" i="38"/>
  <c r="X1217" i="38"/>
  <c r="AF1217" i="38" s="1"/>
  <c r="AI1217" i="38" s="1"/>
  <c r="W1217" i="38"/>
  <c r="V1217" i="38"/>
  <c r="U1217" i="38"/>
  <c r="AE1217" i="38" s="1"/>
  <c r="T1217" i="38"/>
  <c r="S1217" i="38"/>
  <c r="R1217" i="38"/>
  <c r="AD1217" i="38" s="1"/>
  <c r="AH1217" i="38" s="1"/>
  <c r="Q1217" i="38"/>
  <c r="AG1216" i="38"/>
  <c r="AF1216" i="38"/>
  <c r="AI1216" i="38" s="1"/>
  <c r="AE1216" i="38"/>
  <c r="AD1216" i="38"/>
  <c r="AH1216" i="38" s="1"/>
  <c r="Q1216" i="38"/>
  <c r="AG1215" i="38"/>
  <c r="AF1215" i="38"/>
  <c r="AI1215" i="38" s="1"/>
  <c r="AE1215" i="38"/>
  <c r="AD1215" i="38"/>
  <c r="AH1215" i="38" s="1"/>
  <c r="AJ1215" i="38" s="1"/>
  <c r="Q1215" i="38"/>
  <c r="AG1214" i="38"/>
  <c r="AF1214" i="38"/>
  <c r="AI1214" i="38" s="1"/>
  <c r="AE1214" i="38"/>
  <c r="AD1214" i="38"/>
  <c r="AH1214" i="38" s="1"/>
  <c r="AJ1214" i="38" s="1"/>
  <c r="Q1214" i="38"/>
  <c r="AG1213" i="38"/>
  <c r="AF1213" i="38"/>
  <c r="AI1213" i="38" s="1"/>
  <c r="AE1213" i="38"/>
  <c r="AD1213" i="38"/>
  <c r="AH1213" i="38" s="1"/>
  <c r="Q1213" i="38"/>
  <c r="AD1212" i="38"/>
  <c r="AC1212" i="38"/>
  <c r="AG1212" i="38" s="1"/>
  <c r="AB1212" i="38"/>
  <c r="AA1212" i="38"/>
  <c r="Z1212" i="38"/>
  <c r="Y1212" i="38"/>
  <c r="X1212" i="38"/>
  <c r="AF1212" i="38" s="1"/>
  <c r="W1212" i="38"/>
  <c r="V1212" i="38"/>
  <c r="U1212" i="38"/>
  <c r="AE1212" i="38" s="1"/>
  <c r="T1212" i="38"/>
  <c r="S1212" i="38"/>
  <c r="R1212" i="38"/>
  <c r="Q1212" i="38"/>
  <c r="AH1211" i="38"/>
  <c r="AJ1211" i="38" s="1"/>
  <c r="AG1211" i="38"/>
  <c r="AI1211" i="38" s="1"/>
  <c r="AF1211" i="38"/>
  <c r="AE1211" i="38"/>
  <c r="AD1211" i="38"/>
  <c r="Q1211" i="38"/>
  <c r="AH1210" i="38"/>
  <c r="AJ1210" i="38" s="1"/>
  <c r="AG1210" i="38"/>
  <c r="AI1210" i="38" s="1"/>
  <c r="AF1210" i="38"/>
  <c r="AE1210" i="38"/>
  <c r="AD1210" i="38"/>
  <c r="Q1210" i="38"/>
  <c r="AH1209" i="38"/>
  <c r="AJ1209" i="38" s="1"/>
  <c r="AG1209" i="38"/>
  <c r="AI1209" i="38" s="1"/>
  <c r="AF1209" i="38"/>
  <c r="AE1209" i="38"/>
  <c r="AD1209" i="38"/>
  <c r="Q1209" i="38"/>
  <c r="AH1208" i="38"/>
  <c r="AG1208" i="38"/>
  <c r="AI1208" i="38" s="1"/>
  <c r="AF1208" i="38"/>
  <c r="AE1208" i="38"/>
  <c r="AD1208" i="38"/>
  <c r="Q1208" i="38"/>
  <c r="AH1207" i="38"/>
  <c r="AJ1207" i="38" s="1"/>
  <c r="AG1207" i="38"/>
  <c r="AI1207" i="38" s="1"/>
  <c r="AF1207" i="38"/>
  <c r="AE1207" i="38"/>
  <c r="AD1207" i="38"/>
  <c r="Q1207" i="38"/>
  <c r="AH1206" i="38"/>
  <c r="AG1206" i="38"/>
  <c r="AC1206" i="38"/>
  <c r="AB1206" i="38"/>
  <c r="AA1206" i="38"/>
  <c r="Z1206" i="38"/>
  <c r="Y1206" i="38"/>
  <c r="X1206" i="38"/>
  <c r="W1206" i="38"/>
  <c r="V1206" i="38"/>
  <c r="U1206" i="38"/>
  <c r="AE1206" i="38" s="1"/>
  <c r="T1206" i="38"/>
  <c r="S1206" i="38"/>
  <c r="R1206" i="38"/>
  <c r="AD1206" i="38" s="1"/>
  <c r="Q1206" i="38"/>
  <c r="AG1205" i="38"/>
  <c r="AI1205" i="38" s="1"/>
  <c r="AF1205" i="38"/>
  <c r="AE1205" i="38"/>
  <c r="AD1205" i="38"/>
  <c r="AH1205" i="38" s="1"/>
  <c r="Q1205" i="38"/>
  <c r="AG1204" i="38"/>
  <c r="AI1204" i="38" s="1"/>
  <c r="AF1204" i="38"/>
  <c r="AE1204" i="38"/>
  <c r="AD1204" i="38"/>
  <c r="AH1204" i="38" s="1"/>
  <c r="AJ1204" i="38" s="1"/>
  <c r="Q1204" i="38"/>
  <c r="AG1203" i="38"/>
  <c r="AI1203" i="38" s="1"/>
  <c r="AF1203" i="38"/>
  <c r="AE1203" i="38"/>
  <c r="AD1203" i="38"/>
  <c r="AH1203" i="38" s="1"/>
  <c r="Q1203" i="38"/>
  <c r="AG1202" i="38"/>
  <c r="AI1202" i="38" s="1"/>
  <c r="AF1202" i="38"/>
  <c r="AE1202" i="38"/>
  <c r="AD1202" i="38"/>
  <c r="AH1202" i="38" s="1"/>
  <c r="Q1202" i="38"/>
  <c r="AD1201" i="38"/>
  <c r="AC1201" i="38"/>
  <c r="AG1201" i="38" s="1"/>
  <c r="AB1201" i="38"/>
  <c r="AA1201" i="38"/>
  <c r="Z1201" i="38"/>
  <c r="Y1201" i="38"/>
  <c r="X1201" i="38"/>
  <c r="AF1201" i="38" s="1"/>
  <c r="AI1201" i="38" s="1"/>
  <c r="W1201" i="38"/>
  <c r="V1201" i="38"/>
  <c r="U1201" i="38"/>
  <c r="AE1201" i="38" s="1"/>
  <c r="T1201" i="38"/>
  <c r="S1201" i="38"/>
  <c r="R1201" i="38"/>
  <c r="Q1201" i="38"/>
  <c r="AH1200" i="38"/>
  <c r="AJ1200" i="38" s="1"/>
  <c r="AG1200" i="38"/>
  <c r="AI1200" i="38" s="1"/>
  <c r="AF1200" i="38"/>
  <c r="AE1200" i="38"/>
  <c r="AD1200" i="38"/>
  <c r="Q1200" i="38"/>
  <c r="AH1199" i="38"/>
  <c r="AG1199" i="38"/>
  <c r="AI1199" i="38" s="1"/>
  <c r="AF1199" i="38"/>
  <c r="AE1199" i="38"/>
  <c r="AD1199" i="38"/>
  <c r="Q1199" i="38"/>
  <c r="AH1198" i="38"/>
  <c r="AG1198" i="38"/>
  <c r="AI1198" i="38" s="1"/>
  <c r="AF1198" i="38"/>
  <c r="AE1198" i="38"/>
  <c r="AD1198" i="38"/>
  <c r="Q1198" i="38"/>
  <c r="AH1197" i="38"/>
  <c r="AG1197" i="38"/>
  <c r="AI1197" i="38" s="1"/>
  <c r="AF1197" i="38"/>
  <c r="AE1197" i="38"/>
  <c r="AD1197" i="38"/>
  <c r="Q1197" i="38"/>
  <c r="AH1196" i="38"/>
  <c r="AJ1196" i="38" s="1"/>
  <c r="AG1196" i="38"/>
  <c r="AI1196" i="38" s="1"/>
  <c r="AF1196" i="38"/>
  <c r="AE1196" i="38"/>
  <c r="AD1196" i="38"/>
  <c r="Q1196" i="38"/>
  <c r="Q1195" i="38"/>
  <c r="Q1194" i="38"/>
  <c r="Q1193" i="38"/>
  <c r="Q1192" i="38"/>
  <c r="Q1191" i="38"/>
  <c r="Q1190" i="38"/>
  <c r="AB1189" i="38"/>
  <c r="T1189" i="38"/>
  <c r="Q1189" i="38"/>
  <c r="AC1188" i="38"/>
  <c r="AB1188" i="38"/>
  <c r="AA1188" i="38"/>
  <c r="Z1188" i="38"/>
  <c r="Y1188" i="38"/>
  <c r="X1188" i="38"/>
  <c r="W1188" i="38"/>
  <c r="V1188" i="38"/>
  <c r="U1188" i="38"/>
  <c r="T1188" i="38"/>
  <c r="S1188" i="38"/>
  <c r="R1188" i="38"/>
  <c r="Q1188" i="38"/>
  <c r="Q1187" i="38"/>
  <c r="Q1186" i="38"/>
  <c r="Q1185" i="38"/>
  <c r="Q1184" i="38"/>
  <c r="Q1183" i="38"/>
  <c r="Q1182" i="38"/>
  <c r="Q1181" i="38"/>
  <c r="Q1180" i="38"/>
  <c r="Q1179" i="38"/>
  <c r="Q1178" i="38"/>
  <c r="Q1177" i="38"/>
  <c r="AC1176" i="38"/>
  <c r="AC1189" i="38" s="1"/>
  <c r="AB1176" i="38"/>
  <c r="AA1176" i="38"/>
  <c r="AA1189" i="38" s="1"/>
  <c r="Z1176" i="38"/>
  <c r="Z1189" i="38" s="1"/>
  <c r="Y1176" i="38"/>
  <c r="Y1189" i="38" s="1"/>
  <c r="X1176" i="38"/>
  <c r="X1189" i="38" s="1"/>
  <c r="W1176" i="38"/>
  <c r="W1189" i="38" s="1"/>
  <c r="V1176" i="38"/>
  <c r="V1189" i="38" s="1"/>
  <c r="U1176" i="38"/>
  <c r="U1189" i="38" s="1"/>
  <c r="T1176" i="38"/>
  <c r="S1176" i="38"/>
  <c r="S1189" i="38" s="1"/>
  <c r="R1176" i="38"/>
  <c r="R1189" i="38" s="1"/>
  <c r="Q1176" i="38"/>
  <c r="Q1175" i="38"/>
  <c r="Q1174" i="38"/>
  <c r="Q1173" i="38"/>
  <c r="Q1172" i="38"/>
  <c r="AC1171" i="38"/>
  <c r="AB1171" i="38"/>
  <c r="AA1171" i="38"/>
  <c r="Z1171" i="38"/>
  <c r="Y1171" i="38"/>
  <c r="X1171" i="38"/>
  <c r="X1162" i="38" s="1"/>
  <c r="W1171" i="38"/>
  <c r="W1162" i="38" s="1"/>
  <c r="V1171" i="38"/>
  <c r="U1171" i="38"/>
  <c r="T1171" i="38"/>
  <c r="S1171" i="38"/>
  <c r="R1171" i="38"/>
  <c r="Q1171" i="38"/>
  <c r="Q1170" i="38"/>
  <c r="AC1169" i="38"/>
  <c r="AC1168" i="38" s="1"/>
  <c r="AB1169" i="38"/>
  <c r="AB1168" i="38" s="1"/>
  <c r="AA1169" i="38"/>
  <c r="Z1169" i="38"/>
  <c r="Y1169" i="38"/>
  <c r="X1169" i="38"/>
  <c r="X1168" i="38" s="1"/>
  <c r="W1169" i="38"/>
  <c r="W1168" i="38" s="1"/>
  <c r="V1169" i="38"/>
  <c r="V1168" i="38" s="1"/>
  <c r="U1169" i="38"/>
  <c r="U1168" i="38" s="1"/>
  <c r="T1169" i="38"/>
  <c r="T1168" i="38" s="1"/>
  <c r="S1169" i="38"/>
  <c r="R1169" i="38"/>
  <c r="Q1169" i="38"/>
  <c r="AA1168" i="38"/>
  <c r="Z1168" i="38"/>
  <c r="Y1168" i="38"/>
  <c r="S1168" i="38"/>
  <c r="R1168" i="38"/>
  <c r="Q1168" i="38"/>
  <c r="Q1167" i="38"/>
  <c r="AC1166" i="38"/>
  <c r="AB1166" i="38"/>
  <c r="AA1166" i="38"/>
  <c r="AA1165" i="38" s="1"/>
  <c r="Z1166" i="38"/>
  <c r="Z1165" i="38" s="1"/>
  <c r="Y1166" i="38"/>
  <c r="Y1165" i="38" s="1"/>
  <c r="X1166" i="38"/>
  <c r="X1165" i="38" s="1"/>
  <c r="W1166" i="38"/>
  <c r="W1165" i="38" s="1"/>
  <c r="V1166" i="38"/>
  <c r="U1166" i="38"/>
  <c r="T1166" i="38"/>
  <c r="S1166" i="38"/>
  <c r="S1165" i="38" s="1"/>
  <c r="R1166" i="38"/>
  <c r="R1165" i="38" s="1"/>
  <c r="Q1166" i="38"/>
  <c r="AC1165" i="38"/>
  <c r="AB1165" i="38"/>
  <c r="V1165" i="38"/>
  <c r="U1165" i="38"/>
  <c r="T1165" i="38"/>
  <c r="Q1165" i="38"/>
  <c r="Q1164" i="38"/>
  <c r="AC1163" i="38"/>
  <c r="AC1162" i="38" s="1"/>
  <c r="AB1163" i="38"/>
  <c r="AB1162" i="38" s="1"/>
  <c r="AA1163" i="38"/>
  <c r="AA1162" i="38" s="1"/>
  <c r="Z1163" i="38"/>
  <c r="Z1162" i="38" s="1"/>
  <c r="Y1163" i="38"/>
  <c r="X1163" i="38"/>
  <c r="W1163" i="38"/>
  <c r="V1163" i="38"/>
  <c r="U1163" i="38"/>
  <c r="U1162" i="38" s="1"/>
  <c r="T1163" i="38"/>
  <c r="T1162" i="38" s="1"/>
  <c r="S1163" i="38"/>
  <c r="S1162" i="38" s="1"/>
  <c r="R1163" i="38"/>
  <c r="R1162" i="38" s="1"/>
  <c r="Q1163" i="38"/>
  <c r="Y1162" i="38"/>
  <c r="Q1162" i="38"/>
  <c r="Q1161" i="38"/>
  <c r="U1160" i="38"/>
  <c r="U1158" i="38" s="1"/>
  <c r="R1160" i="38"/>
  <c r="R1158" i="38" s="1"/>
  <c r="Q1160" i="38"/>
  <c r="Q1159" i="38"/>
  <c r="AC1158" i="38"/>
  <c r="AB1158" i="38"/>
  <c r="AA1158" i="38"/>
  <c r="Z1158" i="38"/>
  <c r="Y1158" i="38"/>
  <c r="X1158" i="38"/>
  <c r="W1158" i="38"/>
  <c r="V1158" i="38"/>
  <c r="T1158" i="38"/>
  <c r="S1158" i="38"/>
  <c r="Q1158" i="38"/>
  <c r="AC1157" i="38"/>
  <c r="AB1157" i="38"/>
  <c r="AA1157" i="38"/>
  <c r="Z1157" i="38"/>
  <c r="Y1157" i="38"/>
  <c r="W1157" i="38"/>
  <c r="V1157" i="38"/>
  <c r="U1157" i="38"/>
  <c r="T1157" i="38"/>
  <c r="S1157" i="38"/>
  <c r="R1157" i="38"/>
  <c r="Q1157" i="38"/>
  <c r="Q1156" i="38"/>
  <c r="X1155" i="38"/>
  <c r="Q1155" i="38"/>
  <c r="Q1154" i="38"/>
  <c r="Q1153" i="38"/>
  <c r="R1152" i="38"/>
  <c r="Q1152" i="38"/>
  <c r="Q1151" i="38"/>
  <c r="Q1150" i="38"/>
  <c r="Q1149" i="38"/>
  <c r="Q1148" i="38"/>
  <c r="AH1147" i="38"/>
  <c r="AJ1147" i="38" s="1"/>
  <c r="AG1147" i="38"/>
  <c r="AI1147" i="38" s="1"/>
  <c r="AF1147" i="38"/>
  <c r="AE1147" i="38"/>
  <c r="AD1147" i="38"/>
  <c r="Q1147" i="38"/>
  <c r="AH1146" i="38"/>
  <c r="AG1146" i="38"/>
  <c r="AF1146" i="38"/>
  <c r="AE1146" i="38"/>
  <c r="AD1146" i="38"/>
  <c r="Q1146" i="38"/>
  <c r="AH1145" i="38"/>
  <c r="AG1145" i="38"/>
  <c r="AF1145" i="38"/>
  <c r="AE1145" i="38"/>
  <c r="AD1145" i="38"/>
  <c r="Q1145" i="38"/>
  <c r="AH1144" i="38"/>
  <c r="AG1144" i="38"/>
  <c r="AF1144" i="38"/>
  <c r="AE1144" i="38"/>
  <c r="AD1144" i="38"/>
  <c r="Q1144" i="38"/>
  <c r="AH1143" i="38"/>
  <c r="AJ1143" i="38" s="1"/>
  <c r="AG1143" i="38"/>
  <c r="AI1143" i="38" s="1"/>
  <c r="AF1143" i="38"/>
  <c r="AE1143" i="38"/>
  <c r="AD1143" i="38"/>
  <c r="Q1143" i="38"/>
  <c r="AH1142" i="38"/>
  <c r="AG1142" i="38"/>
  <c r="AF1142" i="38"/>
  <c r="AE1142" i="38"/>
  <c r="AD1142" i="38"/>
  <c r="Q1142" i="38"/>
  <c r="AG1141" i="38"/>
  <c r="AF1141" i="38"/>
  <c r="AE1141" i="38"/>
  <c r="AD1141" i="38"/>
  <c r="AH1141" i="38" s="1"/>
  <c r="Q1141" i="38"/>
  <c r="Q1140" i="38"/>
  <c r="Q1139" i="38"/>
  <c r="Q1138" i="38"/>
  <c r="Q1137" i="38"/>
  <c r="AJ1136" i="38"/>
  <c r="AG1136" i="38"/>
  <c r="AI1136" i="38" s="1"/>
  <c r="AF1136" i="38"/>
  <c r="AE1136" i="38"/>
  <c r="AH1136" i="38" s="1"/>
  <c r="AD1136" i="38"/>
  <c r="Q1136" i="38"/>
  <c r="AI1135" i="38"/>
  <c r="AJ1135" i="38" s="1"/>
  <c r="AH1135" i="38"/>
  <c r="AG1135" i="38"/>
  <c r="AF1135" i="38"/>
  <c r="AE1135" i="38"/>
  <c r="AD1135" i="38"/>
  <c r="Q1135" i="38"/>
  <c r="AI1134" i="38"/>
  <c r="AG1134" i="38"/>
  <c r="AF1134" i="38"/>
  <c r="AE1134" i="38"/>
  <c r="AD1134" i="38"/>
  <c r="AH1134" i="38" s="1"/>
  <c r="Q1134" i="38"/>
  <c r="AI1133" i="38"/>
  <c r="AG1133" i="38"/>
  <c r="AF1133" i="38"/>
  <c r="AE1133" i="38"/>
  <c r="AD1133" i="38"/>
  <c r="AH1133" i="38" s="1"/>
  <c r="AJ1133" i="38" s="1"/>
  <c r="Q1133" i="38"/>
  <c r="AI1132" i="38"/>
  <c r="AG1132" i="38"/>
  <c r="AF1132" i="38"/>
  <c r="AE1132" i="38"/>
  <c r="AD1132" i="38"/>
  <c r="AH1132" i="38" s="1"/>
  <c r="AJ1132" i="38" s="1"/>
  <c r="Q1132" i="38"/>
  <c r="AI1131" i="38"/>
  <c r="AG1131" i="38"/>
  <c r="AF1131" i="38"/>
  <c r="AE1131" i="38"/>
  <c r="AD1131" i="38"/>
  <c r="AH1131" i="38" s="1"/>
  <c r="Q1131" i="38"/>
  <c r="AI1130" i="38"/>
  <c r="AI1129" i="38" s="1"/>
  <c r="AG1130" i="38"/>
  <c r="AF1130" i="38"/>
  <c r="AE1130" i="38"/>
  <c r="AD1130" i="38"/>
  <c r="AH1130" i="38" s="1"/>
  <c r="Q1130" i="38"/>
  <c r="AG1129" i="38"/>
  <c r="AF1129" i="38"/>
  <c r="AE1129" i="38"/>
  <c r="AD1129" i="38"/>
  <c r="AC1129" i="38"/>
  <c r="AB1129" i="38"/>
  <c r="AA1129" i="38"/>
  <c r="Z1129" i="38"/>
  <c r="Y1129" i="38"/>
  <c r="X1129" i="38"/>
  <c r="W1129" i="38"/>
  <c r="V1129" i="38"/>
  <c r="U1129" i="38"/>
  <c r="T1129" i="38"/>
  <c r="S1129" i="38"/>
  <c r="R1129" i="38"/>
  <c r="Q1129" i="38"/>
  <c r="AG1128" i="38"/>
  <c r="AI1128" i="38" s="1"/>
  <c r="AF1128" i="38"/>
  <c r="AE1128" i="38"/>
  <c r="AD1128" i="38"/>
  <c r="Q1128" i="38"/>
  <c r="AG1127" i="38"/>
  <c r="AI1127" i="38" s="1"/>
  <c r="AF1127" i="38"/>
  <c r="AE1127" i="38"/>
  <c r="AH1127" i="38" s="1"/>
  <c r="AD1127" i="38"/>
  <c r="Q1127" i="38"/>
  <c r="AG1126" i="38"/>
  <c r="AF1126" i="38"/>
  <c r="AE1126" i="38"/>
  <c r="AH1126" i="38" s="1"/>
  <c r="AD1126" i="38"/>
  <c r="Q1126" i="38"/>
  <c r="AF1125" i="38"/>
  <c r="AD1125" i="38"/>
  <c r="AC1125" i="38"/>
  <c r="AB1125" i="38"/>
  <c r="AA1125" i="38"/>
  <c r="Z1125" i="38"/>
  <c r="Y1125" i="38"/>
  <c r="X1125" i="38"/>
  <c r="W1125" i="38"/>
  <c r="W1120" i="38" s="1"/>
  <c r="V1125" i="38"/>
  <c r="U1125" i="38"/>
  <c r="T1125" i="38"/>
  <c r="S1125" i="38"/>
  <c r="R1125" i="38"/>
  <c r="Q1125" i="38"/>
  <c r="AI1124" i="38"/>
  <c r="AG1124" i="38"/>
  <c r="AF1124" i="38"/>
  <c r="AE1124" i="38"/>
  <c r="AD1124" i="38"/>
  <c r="AH1124" i="38" s="1"/>
  <c r="Q1124" i="38"/>
  <c r="AI1123" i="38"/>
  <c r="AG1123" i="38"/>
  <c r="AF1123" i="38"/>
  <c r="AE1123" i="38"/>
  <c r="AD1123" i="38"/>
  <c r="AH1123" i="38" s="1"/>
  <c r="AJ1123" i="38" s="1"/>
  <c r="Q1123" i="38"/>
  <c r="AI1122" i="38"/>
  <c r="AG1122" i="38"/>
  <c r="AF1122" i="38"/>
  <c r="AE1122" i="38"/>
  <c r="AD1122" i="38"/>
  <c r="AH1122" i="38" s="1"/>
  <c r="Q1122" i="38"/>
  <c r="AI1121" i="38"/>
  <c r="AG1121" i="38"/>
  <c r="AF1121" i="38"/>
  <c r="AE1121" i="38"/>
  <c r="AD1121" i="38"/>
  <c r="AD1120" i="38" s="1"/>
  <c r="AC1121" i="38"/>
  <c r="AC1120" i="38" s="1"/>
  <c r="AB1121" i="38"/>
  <c r="AB1120" i="38" s="1"/>
  <c r="AA1121" i="38"/>
  <c r="AA1120" i="38" s="1"/>
  <c r="Z1121" i="38"/>
  <c r="Y1121" i="38"/>
  <c r="X1121" i="38"/>
  <c r="W1121" i="38"/>
  <c r="V1121" i="38"/>
  <c r="V1120" i="38" s="1"/>
  <c r="U1121" i="38"/>
  <c r="U1120" i="38" s="1"/>
  <c r="T1121" i="38"/>
  <c r="T1120" i="38" s="1"/>
  <c r="S1121" i="38"/>
  <c r="S1120" i="38" s="1"/>
  <c r="R1121" i="38"/>
  <c r="Q1121" i="38"/>
  <c r="AF1120" i="38"/>
  <c r="Z1120" i="38"/>
  <c r="Y1120" i="38"/>
  <c r="X1120" i="38"/>
  <c r="R1120" i="38"/>
  <c r="Q1120" i="38"/>
  <c r="AI1119" i="38"/>
  <c r="AG1119" i="38"/>
  <c r="AF1119" i="38"/>
  <c r="AE1119" i="38"/>
  <c r="AD1119" i="38"/>
  <c r="AH1119" i="38" s="1"/>
  <c r="AJ1119" i="38" s="1"/>
  <c r="Q1119" i="38"/>
  <c r="AI1118" i="38"/>
  <c r="AG1118" i="38"/>
  <c r="AF1118" i="38"/>
  <c r="AE1118" i="38"/>
  <c r="AD1118" i="38"/>
  <c r="AH1118" i="38" s="1"/>
  <c r="AJ1118" i="38" s="1"/>
  <c r="Q1118" i="38"/>
  <c r="AI1117" i="38"/>
  <c r="AI1116" i="38" s="1"/>
  <c r="AG1117" i="38"/>
  <c r="AF1117" i="38"/>
  <c r="AE1117" i="38"/>
  <c r="AD1117" i="38"/>
  <c r="AH1117" i="38" s="1"/>
  <c r="Q1117" i="38"/>
  <c r="AG1116" i="38"/>
  <c r="AF1116" i="38"/>
  <c r="AE1116" i="38"/>
  <c r="AD1116" i="38"/>
  <c r="AC1116" i="38"/>
  <c r="AC1111" i="38" s="1"/>
  <c r="AC1110" i="38" s="1"/>
  <c r="AB1116" i="38"/>
  <c r="AA1116" i="38"/>
  <c r="Z1116" i="38"/>
  <c r="Y1116" i="38"/>
  <c r="X1116" i="38"/>
  <c r="W1116" i="38"/>
  <c r="V1116" i="38"/>
  <c r="U1116" i="38"/>
  <c r="T1116" i="38"/>
  <c r="S1116" i="38"/>
  <c r="R1116" i="38"/>
  <c r="Q1116" i="38"/>
  <c r="AG1115" i="38"/>
  <c r="AI1115" i="38" s="1"/>
  <c r="AF1115" i="38"/>
  <c r="AE1115" i="38"/>
  <c r="AH1115" i="38" s="1"/>
  <c r="AD1115" i="38"/>
  <c r="Q1115" i="38"/>
  <c r="AG1114" i="38"/>
  <c r="AI1114" i="38" s="1"/>
  <c r="AF1114" i="38"/>
  <c r="AE1114" i="38"/>
  <c r="AH1114" i="38" s="1"/>
  <c r="AJ1114" i="38" s="1"/>
  <c r="AD1114" i="38"/>
  <c r="Q1114" i="38"/>
  <c r="AG1113" i="38"/>
  <c r="AI1113" i="38" s="1"/>
  <c r="AF1113" i="38"/>
  <c r="AE1113" i="38"/>
  <c r="AH1113" i="38" s="1"/>
  <c r="AD1113" i="38"/>
  <c r="Q1113" i="38"/>
  <c r="AF1112" i="38"/>
  <c r="AF1111" i="38" s="1"/>
  <c r="AF1110" i="38" s="1"/>
  <c r="AF1140" i="38" s="1"/>
  <c r="AD1112" i="38"/>
  <c r="AC1112" i="38"/>
  <c r="AB1112" i="38"/>
  <c r="AA1112" i="38"/>
  <c r="Z1112" i="38"/>
  <c r="Z1111" i="38" s="1"/>
  <c r="Z1110" i="38" s="1"/>
  <c r="Y1112" i="38"/>
  <c r="Y1111" i="38" s="1"/>
  <c r="X1112" i="38"/>
  <c r="X1111" i="38" s="1"/>
  <c r="X1110" i="38" s="1"/>
  <c r="W1112" i="38"/>
  <c r="W1111" i="38" s="1"/>
  <c r="V1112" i="38"/>
  <c r="U1112" i="38"/>
  <c r="T1112" i="38"/>
  <c r="S1112" i="38"/>
  <c r="R1112" i="38"/>
  <c r="R1111" i="38" s="1"/>
  <c r="R1110" i="38" s="1"/>
  <c r="Q1112" i="38"/>
  <c r="AD1111" i="38"/>
  <c r="AD1110" i="38" s="1"/>
  <c r="AD1140" i="38" s="1"/>
  <c r="AB1111" i="38"/>
  <c r="AA1111" i="38"/>
  <c r="V1111" i="38"/>
  <c r="V1110" i="38" s="1"/>
  <c r="U1111" i="38"/>
  <c r="U1110" i="38" s="1"/>
  <c r="T1111" i="38"/>
  <c r="T1110" i="38" s="1"/>
  <c r="S1111" i="38"/>
  <c r="Q1111" i="38"/>
  <c r="Q1110" i="38"/>
  <c r="AC1109" i="38"/>
  <c r="AC1156" i="38" s="1"/>
  <c r="AC1155" i="38" s="1"/>
  <c r="Q1109" i="38"/>
  <c r="Q1108" i="38"/>
  <c r="Q1107" i="38"/>
  <c r="Q1106" i="38"/>
  <c r="Q1104" i="38"/>
  <c r="AG1103" i="38"/>
  <c r="AF1103" i="38"/>
  <c r="AI1103" i="38" s="1"/>
  <c r="AE1103" i="38"/>
  <c r="AD1103" i="38"/>
  <c r="Q1103" i="38"/>
  <c r="C1103" i="38"/>
  <c r="Q1102" i="38"/>
  <c r="C1102" i="38"/>
  <c r="Q1101" i="38"/>
  <c r="C1101" i="38"/>
  <c r="AI1100" i="38"/>
  <c r="AH1100" i="38"/>
  <c r="AJ1100" i="38" s="1"/>
  <c r="AG1100" i="38"/>
  <c r="AF1100" i="38"/>
  <c r="AE1100" i="38"/>
  <c r="AD1100" i="38"/>
  <c r="Q1100" i="38"/>
  <c r="C1100" i="38"/>
  <c r="AI1099" i="38"/>
  <c r="AH1099" i="38"/>
  <c r="AG1099" i="38"/>
  <c r="AF1099" i="38"/>
  <c r="AE1099" i="38"/>
  <c r="AD1099" i="38"/>
  <c r="Q1099" i="38"/>
  <c r="C1099" i="38"/>
  <c r="AG1098" i="38"/>
  <c r="AF1098" i="38"/>
  <c r="AC1098" i="38"/>
  <c r="AB1098" i="38"/>
  <c r="AA1098" i="38"/>
  <c r="Z1098" i="38"/>
  <c r="Y1098" i="38"/>
  <c r="X1098" i="38"/>
  <c r="W1098" i="38"/>
  <c r="V1098" i="38"/>
  <c r="AE1098" i="38" s="1"/>
  <c r="U1098" i="38"/>
  <c r="T1098" i="38"/>
  <c r="S1098" i="38"/>
  <c r="R1098" i="38"/>
  <c r="AD1098" i="38" s="1"/>
  <c r="AH1098" i="38" s="1"/>
  <c r="Q1098" i="38"/>
  <c r="Q1105" i="38" s="1"/>
  <c r="C1098" i="38"/>
  <c r="AI1097" i="38"/>
  <c r="AG1097" i="38"/>
  <c r="AF1097" i="38"/>
  <c r="AE1097" i="38"/>
  <c r="AD1097" i="38"/>
  <c r="AH1097" i="38" s="1"/>
  <c r="AJ1097" i="38" s="1"/>
  <c r="Q1097" i="38"/>
  <c r="C1097" i="38"/>
  <c r="Q1096" i="38"/>
  <c r="C1096" i="38"/>
  <c r="Q1095" i="38"/>
  <c r="C1095" i="38"/>
  <c r="Q1094" i="38"/>
  <c r="C1094" i="38"/>
  <c r="AA1093" i="38"/>
  <c r="Y1093" i="38"/>
  <c r="S1093" i="38"/>
  <c r="Q1093" i="38"/>
  <c r="C1093" i="38"/>
  <c r="AG1092" i="38"/>
  <c r="AI1092" i="38" s="1"/>
  <c r="AJ1092" i="38" s="1"/>
  <c r="AF1092" i="38"/>
  <c r="AE1092" i="38"/>
  <c r="AH1092" i="38" s="1"/>
  <c r="AD1092" i="38"/>
  <c r="Q1092" i="38"/>
  <c r="C1092" i="38"/>
  <c r="AI1091" i="38"/>
  <c r="AJ1091" i="38" s="1"/>
  <c r="AG1091" i="38"/>
  <c r="AF1091" i="38"/>
  <c r="AE1091" i="38"/>
  <c r="AH1091" i="38" s="1"/>
  <c r="AD1091" i="38"/>
  <c r="Q1091" i="38"/>
  <c r="C1091" i="38"/>
  <c r="AD1090" i="38"/>
  <c r="AC1090" i="38"/>
  <c r="AC1093" i="38" s="1"/>
  <c r="AG1093" i="38" s="1"/>
  <c r="AI1093" i="38" s="1"/>
  <c r="AJ1093" i="38" s="1"/>
  <c r="AB1090" i="38"/>
  <c r="AB1093" i="38" s="1"/>
  <c r="AA1090" i="38"/>
  <c r="Z1090" i="38"/>
  <c r="Z1093" i="38" s="1"/>
  <c r="AF1093" i="38" s="1"/>
  <c r="Y1090" i="38"/>
  <c r="X1090" i="38"/>
  <c r="X1093" i="38" s="1"/>
  <c r="W1090" i="38"/>
  <c r="W1093" i="38" s="1"/>
  <c r="AE1093" i="38" s="1"/>
  <c r="AH1093" i="38" s="1"/>
  <c r="V1090" i="38"/>
  <c r="V1093" i="38" s="1"/>
  <c r="U1090" i="38"/>
  <c r="U1093" i="38" s="1"/>
  <c r="T1090" i="38"/>
  <c r="T1093" i="38" s="1"/>
  <c r="AD1093" i="38" s="1"/>
  <c r="S1090" i="38"/>
  <c r="R1090" i="38"/>
  <c r="R1093" i="38" s="1"/>
  <c r="Q1090" i="38"/>
  <c r="C1090" i="38"/>
  <c r="AE1089" i="38"/>
  <c r="AH1089" i="38" s="1"/>
  <c r="Y1089" i="38"/>
  <c r="X1089" i="38"/>
  <c r="W1089" i="38"/>
  <c r="Q1089" i="38"/>
  <c r="C1089" i="38"/>
  <c r="AI1088" i="38"/>
  <c r="AJ1088" i="38" s="1"/>
  <c r="AG1088" i="38"/>
  <c r="AC1088" i="38"/>
  <c r="AB1088" i="38"/>
  <c r="AA1088" i="38"/>
  <c r="Z1088" i="38"/>
  <c r="AF1088" i="38" s="1"/>
  <c r="Y1088" i="38"/>
  <c r="X1088" i="38"/>
  <c r="W1088" i="38"/>
  <c r="AE1088" i="38" s="1"/>
  <c r="AH1088" i="38" s="1"/>
  <c r="V1088" i="38"/>
  <c r="V1089" i="38" s="1"/>
  <c r="U1088" i="38"/>
  <c r="T1088" i="38"/>
  <c r="AD1088" i="38" s="1"/>
  <c r="S1088" i="38"/>
  <c r="R1088" i="38"/>
  <c r="Q1088" i="38"/>
  <c r="C1088" i="38"/>
  <c r="AJ1087" i="38"/>
  <c r="AI1087" i="38"/>
  <c r="AG1087" i="38"/>
  <c r="AF1087" i="38"/>
  <c r="AE1087" i="38"/>
  <c r="AH1087" i="38" s="1"/>
  <c r="AD1087" i="38"/>
  <c r="Q1087" i="38"/>
  <c r="C1087" i="38"/>
  <c r="AJ1086" i="38"/>
  <c r="AI1086" i="38"/>
  <c r="AH1086" i="38"/>
  <c r="AG1086" i="38"/>
  <c r="AF1086" i="38"/>
  <c r="AE1086" i="38"/>
  <c r="AD1086" i="38"/>
  <c r="Q1086" i="38"/>
  <c r="C1086" i="38"/>
  <c r="AC1085" i="38"/>
  <c r="AB1085" i="38"/>
  <c r="AA1085" i="38"/>
  <c r="Z1085" i="38"/>
  <c r="Y1085" i="38"/>
  <c r="Y1084" i="38" s="1"/>
  <c r="X1085" i="38"/>
  <c r="W1085" i="38"/>
  <c r="V1085" i="38"/>
  <c r="U1085" i="38"/>
  <c r="T1085" i="38"/>
  <c r="S1085" i="38"/>
  <c r="R1085" i="38"/>
  <c r="Q1085" i="38"/>
  <c r="C1085" i="38"/>
  <c r="Z1084" i="38"/>
  <c r="X1084" i="38"/>
  <c r="W1084" i="38"/>
  <c r="V1084" i="38"/>
  <c r="R1084" i="38"/>
  <c r="Q1084" i="38"/>
  <c r="C1084" i="38"/>
  <c r="Q1083" i="38"/>
  <c r="C1083" i="38"/>
  <c r="Q1082" i="38"/>
  <c r="C1082" i="38"/>
  <c r="AG1081" i="38"/>
  <c r="AF1081" i="38"/>
  <c r="AE1081" i="38"/>
  <c r="AH1081" i="38" s="1"/>
  <c r="AD1081" i="38"/>
  <c r="Q1081" i="38"/>
  <c r="C1081" i="38"/>
  <c r="AG1080" i="38"/>
  <c r="AI1080" i="38" s="1"/>
  <c r="AF1080" i="38"/>
  <c r="AE1080" i="38"/>
  <c r="AH1080" i="38" s="1"/>
  <c r="AD1080" i="38"/>
  <c r="Q1080" i="38"/>
  <c r="C1080" i="38"/>
  <c r="AE1079" i="38"/>
  <c r="AD1079" i="38"/>
  <c r="AC1079" i="38"/>
  <c r="AB1079" i="38"/>
  <c r="AA1079" i="38"/>
  <c r="Z1079" i="38"/>
  <c r="Y1079" i="38"/>
  <c r="X1079" i="38"/>
  <c r="W1079" i="38"/>
  <c r="V1079" i="38"/>
  <c r="U1079" i="38"/>
  <c r="T1079" i="38"/>
  <c r="S1079" i="38"/>
  <c r="R1079" i="38"/>
  <c r="Q1079" i="38"/>
  <c r="C1079" i="38"/>
  <c r="AH1078" i="38"/>
  <c r="AG1078" i="38"/>
  <c r="AI1078" i="38" s="1"/>
  <c r="AJ1078" i="38" s="1"/>
  <c r="AF1078" i="38"/>
  <c r="AE1078" i="38"/>
  <c r="AD1078" i="38"/>
  <c r="Q1078" i="38"/>
  <c r="C1078" i="38"/>
  <c r="AG1077" i="38"/>
  <c r="AF1077" i="38"/>
  <c r="AE1077" i="38"/>
  <c r="AH1077" i="38" s="1"/>
  <c r="AD1077" i="38"/>
  <c r="Q1077" i="38"/>
  <c r="C1077" i="38"/>
  <c r="AF1076" i="38"/>
  <c r="AE1076" i="38"/>
  <c r="AD1076" i="38"/>
  <c r="AC1076" i="38"/>
  <c r="AB1076" i="38"/>
  <c r="AA1076" i="38"/>
  <c r="Z1076" i="38"/>
  <c r="Y1076" i="38"/>
  <c r="X1076" i="38"/>
  <c r="W1076" i="38"/>
  <c r="V1076" i="38"/>
  <c r="U1076" i="38"/>
  <c r="T1076" i="38"/>
  <c r="S1076" i="38"/>
  <c r="R1076" i="38"/>
  <c r="Q1076" i="38"/>
  <c r="C1076" i="38"/>
  <c r="AI1075" i="38"/>
  <c r="AH1075" i="38"/>
  <c r="AH1090" i="38" s="1"/>
  <c r="AG1075" i="38"/>
  <c r="AG1090" i="38" s="1"/>
  <c r="AF1075" i="38"/>
  <c r="AF1090" i="38" s="1"/>
  <c r="AE1075" i="38"/>
  <c r="AE1090" i="38" s="1"/>
  <c r="AD1075" i="38"/>
  <c r="Q1075" i="38"/>
  <c r="C1075" i="38"/>
  <c r="AH1074" i="38"/>
  <c r="AG1074" i="38"/>
  <c r="AI1074" i="38" s="1"/>
  <c r="AJ1074" i="38" s="1"/>
  <c r="AF1074" i="38"/>
  <c r="AF1064" i="38" s="1"/>
  <c r="AE1074" i="38"/>
  <c r="AD1074" i="38"/>
  <c r="AD1064" i="38" s="1"/>
  <c r="Q1074" i="38"/>
  <c r="C1074" i="38"/>
  <c r="AG1073" i="38"/>
  <c r="AF1073" i="38"/>
  <c r="AE1073" i="38"/>
  <c r="AD1073" i="38"/>
  <c r="AD1085" i="38" s="1"/>
  <c r="AD1084" i="38" s="1"/>
  <c r="AA1073" i="38"/>
  <c r="AA1435" i="38" s="1"/>
  <c r="Q1073" i="38"/>
  <c r="C1073" i="38"/>
  <c r="AE1072" i="38"/>
  <c r="AD1072" i="38"/>
  <c r="AC1072" i="38"/>
  <c r="AC1187" i="38" s="1"/>
  <c r="AB1072" i="38"/>
  <c r="AA1072" i="38"/>
  <c r="AA1187" i="38" s="1"/>
  <c r="Z1072" i="38"/>
  <c r="Y1072" i="38"/>
  <c r="Y1187" i="38" s="1"/>
  <c r="X1072" i="38"/>
  <c r="W1072" i="38"/>
  <c r="V1072" i="38"/>
  <c r="U1072" i="38"/>
  <c r="U1187" i="38" s="1"/>
  <c r="T1072" i="38"/>
  <c r="S1072" i="38"/>
  <c r="S1187" i="38" s="1"/>
  <c r="R1072" i="38"/>
  <c r="Q1072" i="38"/>
  <c r="C1072" i="38"/>
  <c r="AH1071" i="38"/>
  <c r="AG1071" i="38"/>
  <c r="AF1071" i="38"/>
  <c r="AE1071" i="38"/>
  <c r="AD1071" i="38"/>
  <c r="Q1071" i="38"/>
  <c r="C1071" i="38"/>
  <c r="AH1070" i="38"/>
  <c r="AG1070" i="38"/>
  <c r="AI1070" i="38" s="1"/>
  <c r="AF1070" i="38"/>
  <c r="AF1069" i="38" s="1"/>
  <c r="AE1070" i="38"/>
  <c r="AD1070" i="38"/>
  <c r="Q1070" i="38"/>
  <c r="C1070" i="38"/>
  <c r="AH1069" i="38"/>
  <c r="AE1069" i="38"/>
  <c r="AD1069" i="38"/>
  <c r="AC1069" i="38"/>
  <c r="AC1186" i="38" s="1"/>
  <c r="AB1069" i="38"/>
  <c r="AB1186" i="38" s="1"/>
  <c r="AA1069" i="38"/>
  <c r="AA1186" i="38" s="1"/>
  <c r="Z1069" i="38"/>
  <c r="Z1186" i="38" s="1"/>
  <c r="Y1069" i="38"/>
  <c r="Y1186" i="38" s="1"/>
  <c r="X1069" i="38"/>
  <c r="X1186" i="38" s="1"/>
  <c r="W1069" i="38"/>
  <c r="W1186" i="38" s="1"/>
  <c r="V1069" i="38"/>
  <c r="V1186" i="38" s="1"/>
  <c r="U1069" i="38"/>
  <c r="U1186" i="38" s="1"/>
  <c r="T1069" i="38"/>
  <c r="T1186" i="38" s="1"/>
  <c r="S1069" i="38"/>
  <c r="S1186" i="38" s="1"/>
  <c r="R1069" i="38"/>
  <c r="R1186" i="38" s="1"/>
  <c r="Q1069" i="38"/>
  <c r="C1069" i="38"/>
  <c r="AI1068" i="38"/>
  <c r="AG1068" i="38"/>
  <c r="AF1068" i="38"/>
  <c r="AE1068" i="38"/>
  <c r="AD1068" i="38"/>
  <c r="Q1068" i="38"/>
  <c r="C1068" i="38"/>
  <c r="AH1067" i="38"/>
  <c r="AG1067" i="38"/>
  <c r="AF1067" i="38"/>
  <c r="AE1067" i="38"/>
  <c r="U1067" i="38"/>
  <c r="U1429" i="38" s="1"/>
  <c r="T1067" i="38"/>
  <c r="T1429" i="38" s="1"/>
  <c r="S1067" i="38"/>
  <c r="R1067" i="38"/>
  <c r="Q1067" i="38"/>
  <c r="C1067" i="38"/>
  <c r="AC1066" i="38"/>
  <c r="AC1185" i="38" s="1"/>
  <c r="AC1190" i="38" s="1"/>
  <c r="AB1066" i="38"/>
  <c r="AB1185" i="38" s="1"/>
  <c r="AA1066" i="38"/>
  <c r="AA1185" i="38" s="1"/>
  <c r="Z1066" i="38"/>
  <c r="Z1185" i="38" s="1"/>
  <c r="Y1066" i="38"/>
  <c r="Y1185" i="38" s="1"/>
  <c r="X1066" i="38"/>
  <c r="X1185" i="38" s="1"/>
  <c r="W1066" i="38"/>
  <c r="W1185" i="38" s="1"/>
  <c r="V1066" i="38"/>
  <c r="V1185" i="38" s="1"/>
  <c r="U1066" i="38"/>
  <c r="U1185" i="38" s="1"/>
  <c r="U1190" i="38" s="1"/>
  <c r="T1066" i="38"/>
  <c r="T1185" i="38" s="1"/>
  <c r="S1066" i="38"/>
  <c r="S1185" i="38" s="1"/>
  <c r="Q1066" i="38"/>
  <c r="C1066" i="38"/>
  <c r="AF1065" i="38"/>
  <c r="AD1065" i="38"/>
  <c r="AC1065" i="38"/>
  <c r="AC1182" i="38" s="1"/>
  <c r="AB1065" i="38"/>
  <c r="AB1182" i="38" s="1"/>
  <c r="AC1154" i="38" s="1"/>
  <c r="AA1065" i="38"/>
  <c r="AA1182" i="38" s="1"/>
  <c r="AB1154" i="38" s="1"/>
  <c r="Z1065" i="38"/>
  <c r="Z1182" i="38" s="1"/>
  <c r="AA1154" i="38" s="1"/>
  <c r="Y1065" i="38"/>
  <c r="Y1182" i="38" s="1"/>
  <c r="Z1154" i="38" s="1"/>
  <c r="X1065" i="38"/>
  <c r="X1182" i="38" s="1"/>
  <c r="Y1154" i="38" s="1"/>
  <c r="W1065" i="38"/>
  <c r="W1182" i="38" s="1"/>
  <c r="X1154" i="38" s="1"/>
  <c r="V1065" i="38"/>
  <c r="V1182" i="38" s="1"/>
  <c r="W1154" i="38" s="1"/>
  <c r="U1065" i="38"/>
  <c r="U1182" i="38" s="1"/>
  <c r="V1154" i="38" s="1"/>
  <c r="T1065" i="38"/>
  <c r="T1182" i="38" s="1"/>
  <c r="U1154" i="38" s="1"/>
  <c r="S1065" i="38"/>
  <c r="S1182" i="38" s="1"/>
  <c r="T1154" i="38" s="1"/>
  <c r="R1065" i="38"/>
  <c r="R1182" i="38" s="1"/>
  <c r="S1154" i="38" s="1"/>
  <c r="Q1065" i="38"/>
  <c r="C1065" i="38"/>
  <c r="AJ1064" i="38"/>
  <c r="AI1064" i="38"/>
  <c r="AH1064" i="38"/>
  <c r="AG1064" i="38"/>
  <c r="AE1064" i="38"/>
  <c r="AC1064" i="38"/>
  <c r="AB1064" i="38"/>
  <c r="AA1064" i="38"/>
  <c r="Z1064" i="38"/>
  <c r="Z1062" i="38" s="1"/>
  <c r="Y1064" i="38"/>
  <c r="Y1062" i="38" s="1"/>
  <c r="X1064" i="38"/>
  <c r="W1064" i="38"/>
  <c r="V1064" i="38"/>
  <c r="U1064" i="38"/>
  <c r="T1064" i="38"/>
  <c r="S1064" i="38"/>
  <c r="R1064" i="38"/>
  <c r="Q1064" i="38"/>
  <c r="C1064" i="38"/>
  <c r="AE1063" i="38"/>
  <c r="AC1063" i="38"/>
  <c r="AB1063" i="38"/>
  <c r="Z1063" i="38"/>
  <c r="Y1063" i="38"/>
  <c r="X1063" i="38"/>
  <c r="X1181" i="38" s="1"/>
  <c r="W1063" i="38"/>
  <c r="W1181" i="38" s="1"/>
  <c r="V1063" i="38"/>
  <c r="U1063" i="38"/>
  <c r="U1181" i="38" s="1"/>
  <c r="T1063" i="38"/>
  <c r="Q1063" i="38"/>
  <c r="C1063" i="38"/>
  <c r="W1062" i="38"/>
  <c r="U1062" i="38"/>
  <c r="Q1062" i="38"/>
  <c r="C1062" i="38"/>
  <c r="BH1061" i="38"/>
  <c r="BG1061" i="38"/>
  <c r="BF1061" i="38"/>
  <c r="BE1061" i="38"/>
  <c r="BD1061" i="38"/>
  <c r="BC1061" i="38"/>
  <c r="BB1061" i="38"/>
  <c r="AZ1061" i="38"/>
  <c r="AY1061" i="38"/>
  <c r="AX1061" i="38"/>
  <c r="AW1061" i="38"/>
  <c r="AV1061" i="38"/>
  <c r="AU1061" i="38"/>
  <c r="AT1061" i="38"/>
  <c r="AR1061" i="38"/>
  <c r="AQ1061" i="38"/>
  <c r="AP1061" i="38"/>
  <c r="AO1061" i="38"/>
  <c r="AN1061" i="38"/>
  <c r="AM1061" i="38"/>
  <c r="AL1061" i="38"/>
  <c r="AJ1061" i="38"/>
  <c r="AI1061" i="38"/>
  <c r="AH1061" i="38"/>
  <c r="AG1061" i="38"/>
  <c r="AF1061" i="38"/>
  <c r="AE1061" i="38"/>
  <c r="AD1061" i="38"/>
  <c r="Q1061" i="38"/>
  <c r="C1061" i="38"/>
  <c r="Q1060" i="38"/>
  <c r="C1060" i="38"/>
  <c r="Q1059" i="38"/>
  <c r="C1059" i="38"/>
  <c r="Q1058" i="38"/>
  <c r="C1058" i="38"/>
  <c r="AI1057" i="38"/>
  <c r="AJ1057" i="38" s="1"/>
  <c r="AG1057" i="38"/>
  <c r="AF1057" i="38"/>
  <c r="AE1057" i="38"/>
  <c r="AH1057" i="38" s="1"/>
  <c r="AD1057" i="38"/>
  <c r="Q1057" i="38"/>
  <c r="C1057" i="38"/>
  <c r="AI1056" i="38"/>
  <c r="AJ1056" i="38" s="1"/>
  <c r="AH1056" i="38"/>
  <c r="AG1056" i="38"/>
  <c r="AF1056" i="38"/>
  <c r="AE1056" i="38"/>
  <c r="AD1056" i="38"/>
  <c r="Q1056" i="38"/>
  <c r="C1056" i="38"/>
  <c r="AJ1055" i="38"/>
  <c r="AG1055" i="38"/>
  <c r="AI1055" i="38" s="1"/>
  <c r="AF1055" i="38"/>
  <c r="AF1053" i="38" s="1"/>
  <c r="AE1055" i="38"/>
  <c r="AD1055" i="38"/>
  <c r="AD1053" i="38" s="1"/>
  <c r="Q1055" i="38"/>
  <c r="C1055" i="38"/>
  <c r="AG1054" i="38"/>
  <c r="AG1053" i="38" s="1"/>
  <c r="AF1054" i="38"/>
  <c r="AE1054" i="38"/>
  <c r="AH1054" i="38" s="1"/>
  <c r="AD1054" i="38"/>
  <c r="Q1054" i="38"/>
  <c r="C1054" i="38"/>
  <c r="AC1053" i="38"/>
  <c r="AB1053" i="38"/>
  <c r="AA1053" i="38"/>
  <c r="Z1053" i="38"/>
  <c r="Y1053" i="38"/>
  <c r="X1053" i="38"/>
  <c r="W1053" i="38"/>
  <c r="V1053" i="38"/>
  <c r="U1053" i="38"/>
  <c r="T1053" i="38"/>
  <c r="S1053" i="38"/>
  <c r="R1053" i="38"/>
  <c r="Q1053" i="38"/>
  <c r="C1053" i="38"/>
  <c r="AG1052" i="38"/>
  <c r="AI1052" i="38" s="1"/>
  <c r="AJ1052" i="38" s="1"/>
  <c r="AF1052" i="38"/>
  <c r="AE1052" i="38"/>
  <c r="AH1052" i="38" s="1"/>
  <c r="AD1052" i="38"/>
  <c r="AD1047" i="38" s="1"/>
  <c r="Q1052" i="38"/>
  <c r="C1052" i="38"/>
  <c r="AH1051" i="38"/>
  <c r="AG1051" i="38"/>
  <c r="AI1051" i="38" s="1"/>
  <c r="AJ1051" i="38" s="1"/>
  <c r="AF1051" i="38"/>
  <c r="AE1051" i="38"/>
  <c r="AD1051" i="38"/>
  <c r="Q1051" i="38"/>
  <c r="C1051" i="38"/>
  <c r="AG1050" i="38"/>
  <c r="AI1050" i="38" s="1"/>
  <c r="AJ1050" i="38" s="1"/>
  <c r="AF1050" i="38"/>
  <c r="AE1050" i="38"/>
  <c r="AH1050" i="38" s="1"/>
  <c r="AD1050" i="38"/>
  <c r="Q1050" i="38"/>
  <c r="C1050" i="38"/>
  <c r="AI1049" i="38"/>
  <c r="AJ1049" i="38" s="1"/>
  <c r="AG1049" i="38"/>
  <c r="AF1049" i="38"/>
  <c r="AE1049" i="38"/>
  <c r="AH1049" i="38" s="1"/>
  <c r="AD1049" i="38"/>
  <c r="Q1049" i="38"/>
  <c r="C1049" i="38"/>
  <c r="AI1048" i="38"/>
  <c r="AG1048" i="38"/>
  <c r="AF1048" i="38"/>
  <c r="AE1048" i="38"/>
  <c r="AD1048" i="38"/>
  <c r="Q1048" i="38"/>
  <c r="C1048" i="38"/>
  <c r="AG1047" i="38"/>
  <c r="AC1047" i="38"/>
  <c r="AB1047" i="38"/>
  <c r="AA1047" i="38"/>
  <c r="Z1047" i="38"/>
  <c r="Y1047" i="38"/>
  <c r="X1047" i="38"/>
  <c r="X1030" i="38" s="1"/>
  <c r="W1047" i="38"/>
  <c r="V1047" i="38"/>
  <c r="U1047" i="38"/>
  <c r="T1047" i="38"/>
  <c r="S1047" i="38"/>
  <c r="R1047" i="38"/>
  <c r="Q1047" i="38"/>
  <c r="C1047" i="38"/>
  <c r="AG1046" i="38"/>
  <c r="AI1046" i="38" s="1"/>
  <c r="AJ1046" i="38" s="1"/>
  <c r="AF1046" i="38"/>
  <c r="AE1046" i="38"/>
  <c r="AH1046" i="38" s="1"/>
  <c r="AD1046" i="38"/>
  <c r="Q1046" i="38"/>
  <c r="C1046" i="38"/>
  <c r="AI1045" i="38"/>
  <c r="AJ1045" i="38" s="1"/>
  <c r="AH1045" i="38"/>
  <c r="AG1045" i="38"/>
  <c r="AF1045" i="38"/>
  <c r="AE1045" i="38"/>
  <c r="AD1045" i="38"/>
  <c r="Q1045" i="38"/>
  <c r="C1045" i="38"/>
  <c r="AG1044" i="38"/>
  <c r="AI1044" i="38" s="1"/>
  <c r="AJ1044" i="38" s="1"/>
  <c r="AF1044" i="38"/>
  <c r="AE1044" i="38"/>
  <c r="AD1044" i="38"/>
  <c r="Q1044" i="38"/>
  <c r="C1044" i="38"/>
  <c r="AI1043" i="38"/>
  <c r="AH1043" i="38"/>
  <c r="AG1043" i="38"/>
  <c r="AG1042" i="38" s="1"/>
  <c r="AF1043" i="38"/>
  <c r="AE1043" i="38"/>
  <c r="AD1043" i="38"/>
  <c r="Q1043" i="38"/>
  <c r="C1043" i="38"/>
  <c r="AF1042" i="38"/>
  <c r="AC1042" i="38"/>
  <c r="AB1042" i="38"/>
  <c r="AA1042" i="38"/>
  <c r="Z1042" i="38"/>
  <c r="Y1042" i="38"/>
  <c r="X1042" i="38"/>
  <c r="W1042" i="38"/>
  <c r="V1042" i="38"/>
  <c r="U1042" i="38"/>
  <c r="T1042" i="38"/>
  <c r="T1030" i="38" s="1"/>
  <c r="S1042" i="38"/>
  <c r="R1042" i="38"/>
  <c r="Q1042" i="38"/>
  <c r="C1042" i="38"/>
  <c r="AG1041" i="38"/>
  <c r="AI1041" i="38" s="1"/>
  <c r="AJ1041" i="38" s="1"/>
  <c r="AF1041" i="38"/>
  <c r="AE1041" i="38"/>
  <c r="AH1041" i="38" s="1"/>
  <c r="AH1036" i="38" s="1"/>
  <c r="AD1041" i="38"/>
  <c r="Q1041" i="38"/>
  <c r="C1041" i="38"/>
  <c r="AI1040" i="38"/>
  <c r="AJ1040" i="38" s="1"/>
  <c r="AG1040" i="38"/>
  <c r="AF1040" i="38"/>
  <c r="AE1040" i="38"/>
  <c r="AH1040" i="38" s="1"/>
  <c r="AD1040" i="38"/>
  <c r="Q1040" i="38"/>
  <c r="C1040" i="38"/>
  <c r="AG1039" i="38"/>
  <c r="AI1039" i="38" s="1"/>
  <c r="AJ1039" i="38" s="1"/>
  <c r="AF1039" i="38"/>
  <c r="AE1039" i="38"/>
  <c r="AH1039" i="38" s="1"/>
  <c r="AD1039" i="38"/>
  <c r="Q1039" i="38"/>
  <c r="C1039" i="38"/>
  <c r="AG1038" i="38"/>
  <c r="AI1038" i="38" s="1"/>
  <c r="AJ1038" i="38" s="1"/>
  <c r="AF1038" i="38"/>
  <c r="AE1038" i="38"/>
  <c r="AH1038" i="38" s="1"/>
  <c r="AD1038" i="38"/>
  <c r="Q1038" i="38"/>
  <c r="C1038" i="38"/>
  <c r="AI1037" i="38"/>
  <c r="AJ1037" i="38" s="1"/>
  <c r="AG1037" i="38"/>
  <c r="AF1037" i="38"/>
  <c r="AE1037" i="38"/>
  <c r="AH1037" i="38" s="1"/>
  <c r="AD1037" i="38"/>
  <c r="Q1037" i="38"/>
  <c r="C1037" i="38"/>
  <c r="AJ1036" i="38"/>
  <c r="AI1036" i="38"/>
  <c r="AC1036" i="38"/>
  <c r="AB1036" i="38"/>
  <c r="AA1036" i="38"/>
  <c r="Z1036" i="38"/>
  <c r="Y1036" i="38"/>
  <c r="X1036" i="38"/>
  <c r="W1036" i="38"/>
  <c r="W1030" i="38" s="1"/>
  <c r="V1036" i="38"/>
  <c r="U1036" i="38"/>
  <c r="T1036" i="38"/>
  <c r="S1036" i="38"/>
  <c r="R1036" i="38"/>
  <c r="Q1036" i="38"/>
  <c r="C1036" i="38"/>
  <c r="AG1035" i="38"/>
  <c r="AI1035" i="38" s="1"/>
  <c r="AJ1035" i="38" s="1"/>
  <c r="AF1035" i="38"/>
  <c r="AE1035" i="38"/>
  <c r="AH1035" i="38" s="1"/>
  <c r="AD1035" i="38"/>
  <c r="Q1035" i="38"/>
  <c r="C1035" i="38"/>
  <c r="AG1034" i="38"/>
  <c r="AI1034" i="38" s="1"/>
  <c r="AJ1034" i="38" s="1"/>
  <c r="AF1034" i="38"/>
  <c r="AE1034" i="38"/>
  <c r="AH1034" i="38" s="1"/>
  <c r="AD1034" i="38"/>
  <c r="Q1034" i="38"/>
  <c r="C1034" i="38"/>
  <c r="AI1033" i="38"/>
  <c r="AJ1033" i="38" s="1"/>
  <c r="AG1033" i="38"/>
  <c r="AF1033" i="38"/>
  <c r="AF1031" i="38" s="1"/>
  <c r="AE1033" i="38"/>
  <c r="AH1033" i="38" s="1"/>
  <c r="AH1031" i="38" s="1"/>
  <c r="AD1033" i="38"/>
  <c r="Q1033" i="38"/>
  <c r="C1033" i="38"/>
  <c r="AJ1032" i="38"/>
  <c r="AI1032" i="38"/>
  <c r="AH1032" i="38"/>
  <c r="AG1032" i="38"/>
  <c r="AF1032" i="38"/>
  <c r="AE1032" i="38"/>
  <c r="AE1031" i="38" s="1"/>
  <c r="AD1032" i="38"/>
  <c r="Q1032" i="38"/>
  <c r="C1032" i="38"/>
  <c r="AG1031" i="38"/>
  <c r="AC1031" i="38"/>
  <c r="AB1031" i="38"/>
  <c r="AA1031" i="38"/>
  <c r="Z1031" i="38"/>
  <c r="Z1030" i="38" s="1"/>
  <c r="Y1031" i="38"/>
  <c r="Y1030" i="38" s="1"/>
  <c r="X1031" i="38"/>
  <c r="W1031" i="38"/>
  <c r="V1031" i="38"/>
  <c r="U1031" i="38"/>
  <c r="T1031" i="38"/>
  <c r="S1031" i="38"/>
  <c r="R1031" i="38"/>
  <c r="R1030" i="38" s="1"/>
  <c r="Q1031" i="38"/>
  <c r="C1031" i="38"/>
  <c r="AC1030" i="38"/>
  <c r="AB1030" i="38"/>
  <c r="V1030" i="38"/>
  <c r="U1030" i="38"/>
  <c r="Q1030" i="38"/>
  <c r="C1030" i="38"/>
  <c r="Q1029" i="38"/>
  <c r="C1029" i="38"/>
  <c r="Q1028" i="38"/>
  <c r="C1028" i="38"/>
  <c r="AG1027" i="38"/>
  <c r="AI1027" i="38" s="1"/>
  <c r="AJ1027" i="38" s="1"/>
  <c r="AF1027" i="38"/>
  <c r="AE1027" i="38"/>
  <c r="AH1027" i="38" s="1"/>
  <c r="AD1027" i="38"/>
  <c r="Q1027" i="38"/>
  <c r="C1027" i="38"/>
  <c r="AG1026" i="38"/>
  <c r="AI1026" i="38" s="1"/>
  <c r="AJ1026" i="38" s="1"/>
  <c r="AF1026" i="38"/>
  <c r="AE1026" i="38"/>
  <c r="AH1026" i="38" s="1"/>
  <c r="AH1023" i="38" s="1"/>
  <c r="AD1026" i="38"/>
  <c r="Q1026" i="38"/>
  <c r="C1026" i="38"/>
  <c r="AJ1025" i="38"/>
  <c r="AI1025" i="38"/>
  <c r="AG1025" i="38"/>
  <c r="AF1025" i="38"/>
  <c r="AF1023" i="38" s="1"/>
  <c r="AE1025" i="38"/>
  <c r="AH1025" i="38" s="1"/>
  <c r="AD1025" i="38"/>
  <c r="Q1025" i="38"/>
  <c r="C1025" i="38"/>
  <c r="AI1024" i="38"/>
  <c r="AJ1024" i="38" s="1"/>
  <c r="AH1024" i="38"/>
  <c r="AG1024" i="38"/>
  <c r="AF1024" i="38"/>
  <c r="AE1024" i="38"/>
  <c r="AE1023" i="38" s="1"/>
  <c r="AD1024" i="38"/>
  <c r="Q1024" i="38"/>
  <c r="C1024" i="38"/>
  <c r="AG1023" i="38"/>
  <c r="AC1023" i="38"/>
  <c r="AB1023" i="38"/>
  <c r="AA1023" i="38"/>
  <c r="Z1023" i="38"/>
  <c r="Y1023" i="38"/>
  <c r="X1023" i="38"/>
  <c r="W1023" i="38"/>
  <c r="V1023" i="38"/>
  <c r="U1023" i="38"/>
  <c r="T1023" i="38"/>
  <c r="S1023" i="38"/>
  <c r="R1023" i="38"/>
  <c r="Q1023" i="38"/>
  <c r="C1023" i="38"/>
  <c r="AG1022" i="38"/>
  <c r="AI1022" i="38" s="1"/>
  <c r="AJ1022" i="38" s="1"/>
  <c r="AF1022" i="38"/>
  <c r="AE1022" i="38"/>
  <c r="AH1022" i="38" s="1"/>
  <c r="AD1022" i="38"/>
  <c r="Q1022" i="38"/>
  <c r="C1022" i="38"/>
  <c r="AJ1021" i="38"/>
  <c r="AI1021" i="38"/>
  <c r="AG1021" i="38"/>
  <c r="AF1021" i="38"/>
  <c r="AE1021" i="38"/>
  <c r="AH1021" i="38" s="1"/>
  <c r="AD1021" i="38"/>
  <c r="Q1021" i="38"/>
  <c r="C1021" i="38"/>
  <c r="AI1020" i="38"/>
  <c r="AJ1020" i="38" s="1"/>
  <c r="AH1020" i="38"/>
  <c r="AG1020" i="38"/>
  <c r="AF1020" i="38"/>
  <c r="AE1020" i="38"/>
  <c r="AD1020" i="38"/>
  <c r="Q1020" i="38"/>
  <c r="C1020" i="38"/>
  <c r="AI1019" i="38"/>
  <c r="AJ1019" i="38" s="1"/>
  <c r="AH1019" i="38"/>
  <c r="AG1019" i="38"/>
  <c r="AF1019" i="38"/>
  <c r="AE1019" i="38"/>
  <c r="AD1019" i="38"/>
  <c r="Q1019" i="38"/>
  <c r="C1019" i="38"/>
  <c r="AH1018" i="38"/>
  <c r="AG1018" i="38"/>
  <c r="AI1018" i="38" s="1"/>
  <c r="AF1018" i="38"/>
  <c r="AF1017" i="38" s="1"/>
  <c r="AE1018" i="38"/>
  <c r="AD1018" i="38"/>
  <c r="Q1018" i="38"/>
  <c r="C1018" i="38"/>
  <c r="AG1017" i="38"/>
  <c r="AE1017" i="38"/>
  <c r="AC1017" i="38"/>
  <c r="AB1017" i="38"/>
  <c r="AA1017" i="38"/>
  <c r="Z1017" i="38"/>
  <c r="Y1017" i="38"/>
  <c r="X1017" i="38"/>
  <c r="W1017" i="38"/>
  <c r="V1017" i="38"/>
  <c r="U1017" i="38"/>
  <c r="T1017" i="38"/>
  <c r="S1017" i="38"/>
  <c r="R1017" i="38"/>
  <c r="Q1017" i="38"/>
  <c r="C1017" i="38"/>
  <c r="AJ1016" i="38"/>
  <c r="AI1016" i="38"/>
  <c r="AH1016" i="38"/>
  <c r="AG1016" i="38"/>
  <c r="AF1016" i="38"/>
  <c r="AE1016" i="38"/>
  <c r="AD1016" i="38"/>
  <c r="Q1016" i="38"/>
  <c r="C1016" i="38"/>
  <c r="AH1015" i="38"/>
  <c r="AG1015" i="38"/>
  <c r="AI1015" i="38" s="1"/>
  <c r="AJ1015" i="38" s="1"/>
  <c r="AF1015" i="38"/>
  <c r="AE1015" i="38"/>
  <c r="AD1015" i="38"/>
  <c r="Q1015" i="38"/>
  <c r="C1015" i="38"/>
  <c r="AH1014" i="38"/>
  <c r="AG1014" i="38"/>
  <c r="AI1014" i="38" s="1"/>
  <c r="AJ1014" i="38" s="1"/>
  <c r="AF1014" i="38"/>
  <c r="AE1014" i="38"/>
  <c r="AD1014" i="38"/>
  <c r="Q1014" i="38"/>
  <c r="C1014" i="38"/>
  <c r="AG1013" i="38"/>
  <c r="AF1013" i="38"/>
  <c r="AF1012" i="38" s="1"/>
  <c r="AE1013" i="38"/>
  <c r="AH1013" i="38" s="1"/>
  <c r="AD1013" i="38"/>
  <c r="Q1013" i="38"/>
  <c r="C1013" i="38"/>
  <c r="AE1012" i="38"/>
  <c r="AD1012" i="38"/>
  <c r="AC1012" i="38"/>
  <c r="AB1012" i="38"/>
  <c r="AA1012" i="38"/>
  <c r="Z1012" i="38"/>
  <c r="Z1000" i="38" s="1"/>
  <c r="Y1012" i="38"/>
  <c r="X1012" i="38"/>
  <c r="W1012" i="38"/>
  <c r="V1012" i="38"/>
  <c r="U1012" i="38"/>
  <c r="T1012" i="38"/>
  <c r="S1012" i="38"/>
  <c r="S1000" i="38" s="1"/>
  <c r="R1012" i="38"/>
  <c r="R1000" i="38" s="1"/>
  <c r="Q1012" i="38"/>
  <c r="C1012" i="38"/>
  <c r="AI1011" i="38"/>
  <c r="AJ1011" i="38" s="1"/>
  <c r="AH1011" i="38"/>
  <c r="AG1011" i="38"/>
  <c r="AF1011" i="38"/>
  <c r="AE1011" i="38"/>
  <c r="AD1011" i="38"/>
  <c r="Q1011" i="38"/>
  <c r="C1011" i="38"/>
  <c r="AJ1010" i="38"/>
  <c r="AH1010" i="38"/>
  <c r="AG1010" i="38"/>
  <c r="AI1010" i="38" s="1"/>
  <c r="AF1010" i="38"/>
  <c r="AE1010" i="38"/>
  <c r="AD1010" i="38"/>
  <c r="Q1010" i="38"/>
  <c r="C1010" i="38"/>
  <c r="AG1009" i="38"/>
  <c r="AI1009" i="38" s="1"/>
  <c r="AJ1009" i="38" s="1"/>
  <c r="AF1009" i="38"/>
  <c r="AE1009" i="38"/>
  <c r="AH1009" i="38" s="1"/>
  <c r="AD1009" i="38"/>
  <c r="Q1009" i="38"/>
  <c r="C1009" i="38"/>
  <c r="AI1008" i="38"/>
  <c r="AJ1008" i="38" s="1"/>
  <c r="AH1008" i="38"/>
  <c r="AG1008" i="38"/>
  <c r="AF1008" i="38"/>
  <c r="AE1008" i="38"/>
  <c r="AD1008" i="38"/>
  <c r="Q1008" i="38"/>
  <c r="C1008" i="38"/>
  <c r="AH1007" i="38"/>
  <c r="AG1007" i="38"/>
  <c r="AI1007" i="38" s="1"/>
  <c r="AF1007" i="38"/>
  <c r="AE1007" i="38"/>
  <c r="AD1007" i="38"/>
  <c r="Q1007" i="38"/>
  <c r="C1007" i="38"/>
  <c r="AG1006" i="38"/>
  <c r="AF1006" i="38"/>
  <c r="AD1006" i="38"/>
  <c r="AC1006" i="38"/>
  <c r="AB1006" i="38"/>
  <c r="AA1006" i="38"/>
  <c r="Z1006" i="38"/>
  <c r="Y1006" i="38"/>
  <c r="X1006" i="38"/>
  <c r="W1006" i="38"/>
  <c r="V1006" i="38"/>
  <c r="U1006" i="38"/>
  <c r="T1006" i="38"/>
  <c r="S1006" i="38"/>
  <c r="R1006" i="38"/>
  <c r="Q1006" i="38"/>
  <c r="C1006" i="38"/>
  <c r="AG1005" i="38"/>
  <c r="AI1005" i="38" s="1"/>
  <c r="AJ1005" i="38" s="1"/>
  <c r="AF1005" i="38"/>
  <c r="AE1005" i="38"/>
  <c r="AH1005" i="38" s="1"/>
  <c r="AD1005" i="38"/>
  <c r="Q1005" i="38"/>
  <c r="C1005" i="38"/>
  <c r="AI1004" i="38"/>
  <c r="AJ1004" i="38" s="1"/>
  <c r="AG1004" i="38"/>
  <c r="AF1004" i="38"/>
  <c r="AE1004" i="38"/>
  <c r="AH1004" i="38" s="1"/>
  <c r="AD1004" i="38"/>
  <c r="Q1004" i="38"/>
  <c r="C1004" i="38"/>
  <c r="AG1003" i="38"/>
  <c r="AI1003" i="38" s="1"/>
  <c r="AJ1003" i="38" s="1"/>
  <c r="AF1003" i="38"/>
  <c r="AE1003" i="38"/>
  <c r="AH1003" i="38" s="1"/>
  <c r="AD1003" i="38"/>
  <c r="Q1003" i="38"/>
  <c r="C1003" i="38"/>
  <c r="AG1002" i="38"/>
  <c r="AF1002" i="38"/>
  <c r="AF1001" i="38" s="1"/>
  <c r="AE1002" i="38"/>
  <c r="AH1002" i="38" s="1"/>
  <c r="AD1002" i="38"/>
  <c r="AD1001" i="38" s="1"/>
  <c r="Q1002" i="38"/>
  <c r="C1002" i="38"/>
  <c r="AC1001" i="38"/>
  <c r="AC1000" i="38" s="1"/>
  <c r="AB1001" i="38"/>
  <c r="AB1000" i="38" s="1"/>
  <c r="AA1001" i="38"/>
  <c r="AA1000" i="38" s="1"/>
  <c r="Z1001" i="38"/>
  <c r="Y1001" i="38"/>
  <c r="X1001" i="38"/>
  <c r="W1001" i="38"/>
  <c r="W1000" i="38" s="1"/>
  <c r="V1001" i="38"/>
  <c r="U1001" i="38"/>
  <c r="U1000" i="38" s="1"/>
  <c r="T1001" i="38"/>
  <c r="T1000" i="38" s="1"/>
  <c r="S1001" i="38"/>
  <c r="R1001" i="38"/>
  <c r="Q1001" i="38"/>
  <c r="C1001" i="38"/>
  <c r="Y1000" i="38"/>
  <c r="X1000" i="38"/>
  <c r="Q1000" i="38"/>
  <c r="C1000" i="38"/>
  <c r="Q999" i="38"/>
  <c r="C999" i="38"/>
  <c r="Q998" i="38"/>
  <c r="C998" i="38"/>
  <c r="AH997" i="38"/>
  <c r="AG997" i="38"/>
  <c r="AI997" i="38" s="1"/>
  <c r="AJ997" i="38" s="1"/>
  <c r="AF997" i="38"/>
  <c r="AE997" i="38"/>
  <c r="AD997" i="38"/>
  <c r="Q997" i="38"/>
  <c r="C997" i="38"/>
  <c r="AI996" i="38"/>
  <c r="AJ996" i="38" s="1"/>
  <c r="AH996" i="38"/>
  <c r="AG996" i="38"/>
  <c r="AF996" i="38"/>
  <c r="AE996" i="38"/>
  <c r="AD996" i="38"/>
  <c r="Q996" i="38"/>
  <c r="C996" i="38"/>
  <c r="AH995" i="38"/>
  <c r="AG995" i="38"/>
  <c r="AI995" i="38" s="1"/>
  <c r="AJ995" i="38" s="1"/>
  <c r="AF995" i="38"/>
  <c r="AE995" i="38"/>
  <c r="AD995" i="38"/>
  <c r="Q995" i="38"/>
  <c r="C995" i="38"/>
  <c r="AG994" i="38"/>
  <c r="AF994" i="38"/>
  <c r="AE994" i="38"/>
  <c r="AH994" i="38" s="1"/>
  <c r="AD994" i="38"/>
  <c r="Q994" i="38"/>
  <c r="C994" i="38"/>
  <c r="AF993" i="38"/>
  <c r="AD993" i="38"/>
  <c r="AC993" i="38"/>
  <c r="AB993" i="38"/>
  <c r="AA993" i="38"/>
  <c r="Z993" i="38"/>
  <c r="Y993" i="38"/>
  <c r="X993" i="38"/>
  <c r="W993" i="38"/>
  <c r="V993" i="38"/>
  <c r="U993" i="38"/>
  <c r="T993" i="38"/>
  <c r="S993" i="38"/>
  <c r="R993" i="38"/>
  <c r="Q993" i="38"/>
  <c r="C993" i="38"/>
  <c r="AI992" i="38"/>
  <c r="AJ992" i="38" s="1"/>
  <c r="AG992" i="38"/>
  <c r="AF992" i="38"/>
  <c r="AE992" i="38"/>
  <c r="AH992" i="38" s="1"/>
  <c r="AD992" i="38"/>
  <c r="AD987" i="38" s="1"/>
  <c r="Q992" i="38"/>
  <c r="C992" i="38"/>
  <c r="AG991" i="38"/>
  <c r="AI991" i="38" s="1"/>
  <c r="AJ991" i="38" s="1"/>
  <c r="AF991" i="38"/>
  <c r="AE991" i="38"/>
  <c r="AH991" i="38" s="1"/>
  <c r="AD991" i="38"/>
  <c r="Q991" i="38"/>
  <c r="C991" i="38"/>
  <c r="AG990" i="38"/>
  <c r="AF990" i="38"/>
  <c r="AE990" i="38"/>
  <c r="AH990" i="38" s="1"/>
  <c r="AD990" i="38"/>
  <c r="Q990" i="38"/>
  <c r="C990" i="38"/>
  <c r="AI989" i="38"/>
  <c r="AJ989" i="38" s="1"/>
  <c r="AG989" i="38"/>
  <c r="AF989" i="38"/>
  <c r="AE989" i="38"/>
  <c r="AH989" i="38" s="1"/>
  <c r="AD989" i="38"/>
  <c r="Q989" i="38"/>
  <c r="C989" i="38"/>
  <c r="AI988" i="38"/>
  <c r="AJ988" i="38" s="1"/>
  <c r="AH988" i="38"/>
  <c r="AG988" i="38"/>
  <c r="AF988" i="38"/>
  <c r="AE988" i="38"/>
  <c r="AD988" i="38"/>
  <c r="Q988" i="38"/>
  <c r="C988" i="38"/>
  <c r="AH987" i="38"/>
  <c r="AC987" i="38"/>
  <c r="AB987" i="38"/>
  <c r="AA987" i="38"/>
  <c r="Z987" i="38"/>
  <c r="Y987" i="38"/>
  <c r="X987" i="38"/>
  <c r="W987" i="38"/>
  <c r="V987" i="38"/>
  <c r="U987" i="38"/>
  <c r="T987" i="38"/>
  <c r="S987" i="38"/>
  <c r="R987" i="38"/>
  <c r="Q987" i="38"/>
  <c r="C987" i="38"/>
  <c r="AJ986" i="38"/>
  <c r="AG986" i="38"/>
  <c r="AI986" i="38" s="1"/>
  <c r="AF986" i="38"/>
  <c r="AE986" i="38"/>
  <c r="AH986" i="38" s="1"/>
  <c r="AD986" i="38"/>
  <c r="Q986" i="38"/>
  <c r="C986" i="38"/>
  <c r="AJ985" i="38"/>
  <c r="AI985" i="38"/>
  <c r="AG985" i="38"/>
  <c r="AF985" i="38"/>
  <c r="AE985" i="38"/>
  <c r="AH985" i="38" s="1"/>
  <c r="AD985" i="38"/>
  <c r="Q985" i="38"/>
  <c r="C985" i="38"/>
  <c r="AJ984" i="38"/>
  <c r="AI984" i="38"/>
  <c r="AH984" i="38"/>
  <c r="AG984" i="38"/>
  <c r="AF984" i="38"/>
  <c r="AE984" i="38"/>
  <c r="AE982" i="38" s="1"/>
  <c r="AD984" i="38"/>
  <c r="Q984" i="38"/>
  <c r="C984" i="38"/>
  <c r="AJ983" i="38"/>
  <c r="AJ982" i="38" s="1"/>
  <c r="AI983" i="38"/>
  <c r="AH983" i="38"/>
  <c r="AH982" i="38" s="1"/>
  <c r="AG983" i="38"/>
  <c r="AF983" i="38"/>
  <c r="AE983" i="38"/>
  <c r="AD983" i="38"/>
  <c r="Q983" i="38"/>
  <c r="C983" i="38"/>
  <c r="AI982" i="38"/>
  <c r="AF982" i="38"/>
  <c r="AC982" i="38"/>
  <c r="AB982" i="38"/>
  <c r="AA982" i="38"/>
  <c r="Z982" i="38"/>
  <c r="Y982" i="38"/>
  <c r="X982" i="38"/>
  <c r="W982" i="38"/>
  <c r="V982" i="38"/>
  <c r="U982" i="38"/>
  <c r="T982" i="38"/>
  <c r="S982" i="38"/>
  <c r="R982" i="38"/>
  <c r="Q982" i="38"/>
  <c r="C982" i="38"/>
  <c r="AI981" i="38"/>
  <c r="AJ981" i="38" s="1"/>
  <c r="AG981" i="38"/>
  <c r="AF981" i="38"/>
  <c r="AE981" i="38"/>
  <c r="AH981" i="38" s="1"/>
  <c r="AD981" i="38"/>
  <c r="Q981" i="38"/>
  <c r="C981" i="38"/>
  <c r="AI980" i="38"/>
  <c r="AJ980" i="38" s="1"/>
  <c r="AH980" i="38"/>
  <c r="AG980" i="38"/>
  <c r="AF980" i="38"/>
  <c r="AE980" i="38"/>
  <c r="AD980" i="38"/>
  <c r="Q980" i="38"/>
  <c r="C980" i="38"/>
  <c r="AI979" i="38"/>
  <c r="AJ979" i="38" s="1"/>
  <c r="AH979" i="38"/>
  <c r="AH976" i="38" s="1"/>
  <c r="AG979" i="38"/>
  <c r="AF979" i="38"/>
  <c r="AE979" i="38"/>
  <c r="AD979" i="38"/>
  <c r="Q979" i="38"/>
  <c r="C979" i="38"/>
  <c r="AI978" i="38"/>
  <c r="AJ978" i="38" s="1"/>
  <c r="AH978" i="38"/>
  <c r="AG978" i="38"/>
  <c r="AF978" i="38"/>
  <c r="AE978" i="38"/>
  <c r="AD978" i="38"/>
  <c r="Q978" i="38"/>
  <c r="C978" i="38"/>
  <c r="AH977" i="38"/>
  <c r="AG977" i="38"/>
  <c r="AI977" i="38" s="1"/>
  <c r="AF977" i="38"/>
  <c r="AE977" i="38"/>
  <c r="AD977" i="38"/>
  <c r="Q977" i="38"/>
  <c r="C977" i="38"/>
  <c r="AE976" i="38"/>
  <c r="AD976" i="38"/>
  <c r="AC976" i="38"/>
  <c r="AB976" i="38"/>
  <c r="AA976" i="38"/>
  <c r="Z976" i="38"/>
  <c r="Y976" i="38"/>
  <c r="X976" i="38"/>
  <c r="W976" i="38"/>
  <c r="V976" i="38"/>
  <c r="U976" i="38"/>
  <c r="T976" i="38"/>
  <c r="S976" i="38"/>
  <c r="R976" i="38"/>
  <c r="Q976" i="38"/>
  <c r="C976" i="38"/>
  <c r="AI975" i="38"/>
  <c r="AJ975" i="38" s="1"/>
  <c r="AH975" i="38"/>
  <c r="AG975" i="38"/>
  <c r="AF975" i="38"/>
  <c r="AE975" i="38"/>
  <c r="AD975" i="38"/>
  <c r="Q975" i="38"/>
  <c r="C975" i="38"/>
  <c r="AJ974" i="38"/>
  <c r="AI974" i="38"/>
  <c r="AH974" i="38"/>
  <c r="AG974" i="38"/>
  <c r="AF974" i="38"/>
  <c r="AE974" i="38"/>
  <c r="AD974" i="38"/>
  <c r="Q974" i="38"/>
  <c r="C974" i="38"/>
  <c r="AJ973" i="38"/>
  <c r="AH973" i="38"/>
  <c r="AG973" i="38"/>
  <c r="AI973" i="38" s="1"/>
  <c r="AF973" i="38"/>
  <c r="AE973" i="38"/>
  <c r="AD973" i="38"/>
  <c r="Q973" i="38"/>
  <c r="C973" i="38"/>
  <c r="AG972" i="38"/>
  <c r="AF972" i="38"/>
  <c r="AF971" i="38" s="1"/>
  <c r="AE972" i="38"/>
  <c r="AD972" i="38"/>
  <c r="Q972" i="38"/>
  <c r="C972" i="38"/>
  <c r="AD971" i="38"/>
  <c r="AC971" i="38"/>
  <c r="AB971" i="38"/>
  <c r="AB970" i="38" s="1"/>
  <c r="AA971" i="38"/>
  <c r="Z971" i="38"/>
  <c r="Y971" i="38"/>
  <c r="X971" i="38"/>
  <c r="X970" i="38" s="1"/>
  <c r="W971" i="38"/>
  <c r="V971" i="38"/>
  <c r="V970" i="38" s="1"/>
  <c r="U971" i="38"/>
  <c r="T971" i="38"/>
  <c r="T970" i="38" s="1"/>
  <c r="S971" i="38"/>
  <c r="R971" i="38"/>
  <c r="Q971" i="38"/>
  <c r="C971" i="38"/>
  <c r="AA970" i="38"/>
  <c r="Z970" i="38"/>
  <c r="Y970" i="38"/>
  <c r="S970" i="38"/>
  <c r="R970" i="38"/>
  <c r="Q970" i="38"/>
  <c r="C970" i="38"/>
  <c r="Q969" i="38"/>
  <c r="C969" i="38"/>
  <c r="Q968" i="38"/>
  <c r="C968" i="38"/>
  <c r="AI967" i="38"/>
  <c r="AJ967" i="38" s="1"/>
  <c r="AH967" i="38"/>
  <c r="AG967" i="38"/>
  <c r="AF967" i="38"/>
  <c r="AE967" i="38"/>
  <c r="AD967" i="38"/>
  <c r="Q967" i="38"/>
  <c r="C967" i="38"/>
  <c r="AI966" i="38"/>
  <c r="AJ966" i="38" s="1"/>
  <c r="AH966" i="38"/>
  <c r="AG966" i="38"/>
  <c r="AF966" i="38"/>
  <c r="AE966" i="38"/>
  <c r="AD966" i="38"/>
  <c r="Q966" i="38"/>
  <c r="C966" i="38"/>
  <c r="AH965" i="38"/>
  <c r="AG965" i="38"/>
  <c r="AI965" i="38" s="1"/>
  <c r="AJ965" i="38" s="1"/>
  <c r="AF965" i="38"/>
  <c r="AF963" i="38" s="1"/>
  <c r="AE965" i="38"/>
  <c r="AD965" i="38"/>
  <c r="Q965" i="38"/>
  <c r="C965" i="38"/>
  <c r="AG964" i="38"/>
  <c r="AF964" i="38"/>
  <c r="AE964" i="38"/>
  <c r="AD964" i="38"/>
  <c r="Q964" i="38"/>
  <c r="C964" i="38"/>
  <c r="AD963" i="38"/>
  <c r="AC963" i="38"/>
  <c r="AB963" i="38"/>
  <c r="AA963" i="38"/>
  <c r="Z963" i="38"/>
  <c r="Y963" i="38"/>
  <c r="X963" i="38"/>
  <c r="W963" i="38"/>
  <c r="V963" i="38"/>
  <c r="U963" i="38"/>
  <c r="T963" i="38"/>
  <c r="S963" i="38"/>
  <c r="R963" i="38"/>
  <c r="Q963" i="38"/>
  <c r="C963" i="38"/>
  <c r="AH962" i="38"/>
  <c r="AG962" i="38"/>
  <c r="AI962" i="38" s="1"/>
  <c r="AJ962" i="38" s="1"/>
  <c r="AF962" i="38"/>
  <c r="AE962" i="38"/>
  <c r="AD962" i="38"/>
  <c r="Q962" i="38"/>
  <c r="C962" i="38"/>
  <c r="AH961" i="38"/>
  <c r="AG961" i="38"/>
  <c r="AF961" i="38"/>
  <c r="AE961" i="38"/>
  <c r="AD961" i="38"/>
  <c r="Q961" i="38"/>
  <c r="C961" i="38"/>
  <c r="AG960" i="38"/>
  <c r="AI960" i="38" s="1"/>
  <c r="AJ960" i="38" s="1"/>
  <c r="AF960" i="38"/>
  <c r="AE960" i="38"/>
  <c r="AH960" i="38" s="1"/>
  <c r="AD960" i="38"/>
  <c r="Q960" i="38"/>
  <c r="C960" i="38"/>
  <c r="AI959" i="38"/>
  <c r="AG959" i="38"/>
  <c r="AF959" i="38"/>
  <c r="AE959" i="38"/>
  <c r="AH959" i="38" s="1"/>
  <c r="AD959" i="38"/>
  <c r="AD957" i="38" s="1"/>
  <c r="Q959" i="38"/>
  <c r="C959" i="38"/>
  <c r="AI958" i="38"/>
  <c r="AJ958" i="38" s="1"/>
  <c r="AH958" i="38"/>
  <c r="AG958" i="38"/>
  <c r="AF958" i="38"/>
  <c r="AE958" i="38"/>
  <c r="AD958" i="38"/>
  <c r="Q958" i="38"/>
  <c r="C958" i="38"/>
  <c r="AC957" i="38"/>
  <c r="AB957" i="38"/>
  <c r="AB940" i="38" s="1"/>
  <c r="AA957" i="38"/>
  <c r="Z957" i="38"/>
  <c r="Y957" i="38"/>
  <c r="X957" i="38"/>
  <c r="W957" i="38"/>
  <c r="V957" i="38"/>
  <c r="U957" i="38"/>
  <c r="T957" i="38"/>
  <c r="T940" i="38" s="1"/>
  <c r="S957" i="38"/>
  <c r="R957" i="38"/>
  <c r="Q957" i="38"/>
  <c r="C957" i="38"/>
  <c r="AG956" i="38"/>
  <c r="AI956" i="38" s="1"/>
  <c r="AF956" i="38"/>
  <c r="AE956" i="38"/>
  <c r="AH956" i="38" s="1"/>
  <c r="AD956" i="38"/>
  <c r="Q956" i="38"/>
  <c r="C956" i="38"/>
  <c r="AI955" i="38"/>
  <c r="AJ955" i="38" s="1"/>
  <c r="AG955" i="38"/>
  <c r="AF955" i="38"/>
  <c r="AF952" i="38" s="1"/>
  <c r="AE955" i="38"/>
  <c r="AH955" i="38" s="1"/>
  <c r="AD955" i="38"/>
  <c r="Q955" i="38"/>
  <c r="C955" i="38"/>
  <c r="AI954" i="38"/>
  <c r="AJ954" i="38" s="1"/>
  <c r="AH954" i="38"/>
  <c r="AG954" i="38"/>
  <c r="AF954" i="38"/>
  <c r="AE954" i="38"/>
  <c r="AD954" i="38"/>
  <c r="Q954" i="38"/>
  <c r="C954" i="38"/>
  <c r="AI953" i="38"/>
  <c r="AJ953" i="38" s="1"/>
  <c r="AH953" i="38"/>
  <c r="AG953" i="38"/>
  <c r="AF953" i="38"/>
  <c r="AE953" i="38"/>
  <c r="AD953" i="38"/>
  <c r="AD952" i="38" s="1"/>
  <c r="Q953" i="38"/>
  <c r="C953" i="38"/>
  <c r="AH952" i="38"/>
  <c r="AC952" i="38"/>
  <c r="AB952" i="38"/>
  <c r="AA952" i="38"/>
  <c r="Z952" i="38"/>
  <c r="Y952" i="38"/>
  <c r="X952" i="38"/>
  <c r="W952" i="38"/>
  <c r="V952" i="38"/>
  <c r="U952" i="38"/>
  <c r="T952" i="38"/>
  <c r="S952" i="38"/>
  <c r="R952" i="38"/>
  <c r="Q952" i="38"/>
  <c r="C952" i="38"/>
  <c r="AI951" i="38"/>
  <c r="AJ951" i="38" s="1"/>
  <c r="AG951" i="38"/>
  <c r="AF951" i="38"/>
  <c r="AE951" i="38"/>
  <c r="AH951" i="38" s="1"/>
  <c r="AD951" i="38"/>
  <c r="Q951" i="38"/>
  <c r="C951" i="38"/>
  <c r="AI950" i="38"/>
  <c r="AJ950" i="38" s="1"/>
  <c r="AG950" i="38"/>
  <c r="AF950" i="38"/>
  <c r="AE950" i="38"/>
  <c r="AD950" i="38"/>
  <c r="Q950" i="38"/>
  <c r="C950" i="38"/>
  <c r="AI949" i="38"/>
  <c r="AJ949" i="38" s="1"/>
  <c r="AH949" i="38"/>
  <c r="AG949" i="38"/>
  <c r="AF949" i="38"/>
  <c r="AE949" i="38"/>
  <c r="AD949" i="38"/>
  <c r="Q949" i="38"/>
  <c r="C949" i="38"/>
  <c r="AH948" i="38"/>
  <c r="AG948" i="38"/>
  <c r="AI948" i="38" s="1"/>
  <c r="AJ948" i="38" s="1"/>
  <c r="AF948" i="38"/>
  <c r="AE948" i="38"/>
  <c r="AD948" i="38"/>
  <c r="Q948" i="38"/>
  <c r="C948" i="38"/>
  <c r="AH947" i="38"/>
  <c r="AG947" i="38"/>
  <c r="AI947" i="38" s="1"/>
  <c r="AJ947" i="38" s="1"/>
  <c r="AF947" i="38"/>
  <c r="AE947" i="38"/>
  <c r="AD947" i="38"/>
  <c r="Q947" i="38"/>
  <c r="C947" i="38"/>
  <c r="AI946" i="38"/>
  <c r="AG946" i="38"/>
  <c r="AC946" i="38"/>
  <c r="AB946" i="38"/>
  <c r="AA946" i="38"/>
  <c r="AA940" i="38" s="1"/>
  <c r="Z946" i="38"/>
  <c r="Y946" i="38"/>
  <c r="X946" i="38"/>
  <c r="W946" i="38"/>
  <c r="V946" i="38"/>
  <c r="U946" i="38"/>
  <c r="T946" i="38"/>
  <c r="S946" i="38"/>
  <c r="R946" i="38"/>
  <c r="Q946" i="38"/>
  <c r="C946" i="38"/>
  <c r="AI945" i="38"/>
  <c r="AJ945" i="38" s="1"/>
  <c r="AH945" i="38"/>
  <c r="AG945" i="38"/>
  <c r="AF945" i="38"/>
  <c r="AE945" i="38"/>
  <c r="AD945" i="38"/>
  <c r="Q945" i="38"/>
  <c r="C945" i="38"/>
  <c r="AH944" i="38"/>
  <c r="AG944" i="38"/>
  <c r="AI944" i="38" s="1"/>
  <c r="AJ944" i="38" s="1"/>
  <c r="AF944" i="38"/>
  <c r="AE944" i="38"/>
  <c r="AD944" i="38"/>
  <c r="Q944" i="38"/>
  <c r="C944" i="38"/>
  <c r="AH943" i="38"/>
  <c r="AG943" i="38"/>
  <c r="AI943" i="38" s="1"/>
  <c r="AJ943" i="38" s="1"/>
  <c r="AF943" i="38"/>
  <c r="AE943" i="38"/>
  <c r="AD943" i="38"/>
  <c r="Q943" i="38"/>
  <c r="C943" i="38"/>
  <c r="AH942" i="38"/>
  <c r="AH941" i="38" s="1"/>
  <c r="AG942" i="38"/>
  <c r="AF942" i="38"/>
  <c r="AE942" i="38"/>
  <c r="AD942" i="38"/>
  <c r="AD941" i="38" s="1"/>
  <c r="Q942" i="38"/>
  <c r="C942" i="38"/>
  <c r="AE941" i="38"/>
  <c r="AC941" i="38"/>
  <c r="AB941" i="38"/>
  <c r="AA941" i="38"/>
  <c r="Z941" i="38"/>
  <c r="Z940" i="38" s="1"/>
  <c r="Y941" i="38"/>
  <c r="X941" i="38"/>
  <c r="W941" i="38"/>
  <c r="W940" i="38" s="1"/>
  <c r="V941" i="38"/>
  <c r="U941" i="38"/>
  <c r="T941" i="38"/>
  <c r="S941" i="38"/>
  <c r="R941" i="38"/>
  <c r="R940" i="38" s="1"/>
  <c r="Q941" i="38"/>
  <c r="C941" i="38"/>
  <c r="AC940" i="38"/>
  <c r="U940" i="38"/>
  <c r="S940" i="38"/>
  <c r="Q940" i="38"/>
  <c r="C940" i="38"/>
  <c r="Q939" i="38"/>
  <c r="C939" i="38"/>
  <c r="Q938" i="38"/>
  <c r="C938" i="38"/>
  <c r="AI937" i="38"/>
  <c r="AJ937" i="38" s="1"/>
  <c r="AH937" i="38"/>
  <c r="AG937" i="38"/>
  <c r="AF937" i="38"/>
  <c r="AE937" i="38"/>
  <c r="AD937" i="38"/>
  <c r="Q937" i="38"/>
  <c r="C937" i="38"/>
  <c r="AI936" i="38"/>
  <c r="AJ936" i="38" s="1"/>
  <c r="AH936" i="38"/>
  <c r="AG936" i="38"/>
  <c r="AF936" i="38"/>
  <c r="AE936" i="38"/>
  <c r="AD936" i="38"/>
  <c r="Q936" i="38"/>
  <c r="C936" i="38"/>
  <c r="AG935" i="38"/>
  <c r="AI935" i="38" s="1"/>
  <c r="AJ935" i="38" s="1"/>
  <c r="AF935" i="38"/>
  <c r="AE935" i="38"/>
  <c r="AD935" i="38"/>
  <c r="Q935" i="38"/>
  <c r="C935" i="38"/>
  <c r="AH934" i="38"/>
  <c r="AG934" i="38"/>
  <c r="AI934" i="38" s="1"/>
  <c r="AF934" i="38"/>
  <c r="AE934" i="38"/>
  <c r="AD934" i="38"/>
  <c r="Q934" i="38"/>
  <c r="C934" i="38"/>
  <c r="AD933" i="38"/>
  <c r="AC933" i="38"/>
  <c r="AB933" i="38"/>
  <c r="AA933" i="38"/>
  <c r="Z933" i="38"/>
  <c r="Y933" i="38"/>
  <c r="X933" i="38"/>
  <c r="W933" i="38"/>
  <c r="V933" i="38"/>
  <c r="U933" i="38"/>
  <c r="T933" i="38"/>
  <c r="S933" i="38"/>
  <c r="R933" i="38"/>
  <c r="Q933" i="38"/>
  <c r="C933" i="38"/>
  <c r="AI932" i="38"/>
  <c r="AJ932" i="38" s="1"/>
  <c r="AH932" i="38"/>
  <c r="AG932" i="38"/>
  <c r="AF932" i="38"/>
  <c r="AE932" i="38"/>
  <c r="AD932" i="38"/>
  <c r="Q932" i="38"/>
  <c r="C932" i="38"/>
  <c r="AG931" i="38"/>
  <c r="AI931" i="38" s="1"/>
  <c r="AJ931" i="38" s="1"/>
  <c r="AF931" i="38"/>
  <c r="AE931" i="38"/>
  <c r="AD931" i="38"/>
  <c r="Q931" i="38"/>
  <c r="C931" i="38"/>
  <c r="AI930" i="38"/>
  <c r="AJ930" i="38" s="1"/>
  <c r="AH930" i="38"/>
  <c r="AG930" i="38"/>
  <c r="AF930" i="38"/>
  <c r="AE930" i="38"/>
  <c r="AD930" i="38"/>
  <c r="Q930" i="38"/>
  <c r="C930" i="38"/>
  <c r="AG929" i="38"/>
  <c r="AI929" i="38" s="1"/>
  <c r="AJ929" i="38" s="1"/>
  <c r="AF929" i="38"/>
  <c r="AE929" i="38"/>
  <c r="AH929" i="38" s="1"/>
  <c r="AD929" i="38"/>
  <c r="Q929" i="38"/>
  <c r="C929" i="38"/>
  <c r="AJ928" i="38"/>
  <c r="AJ927" i="38" s="1"/>
  <c r="AH928" i="38"/>
  <c r="AG928" i="38"/>
  <c r="AI928" i="38" s="1"/>
  <c r="AF928" i="38"/>
  <c r="AE928" i="38"/>
  <c r="AD928" i="38"/>
  <c r="Q928" i="38"/>
  <c r="C928" i="38"/>
  <c r="AD927" i="38"/>
  <c r="AC927" i="38"/>
  <c r="AB927" i="38"/>
  <c r="AA927" i="38"/>
  <c r="Z927" i="38"/>
  <c r="Y927" i="38"/>
  <c r="X927" i="38"/>
  <c r="W927" i="38"/>
  <c r="V927" i="38"/>
  <c r="U927" i="38"/>
  <c r="T927" i="38"/>
  <c r="S927" i="38"/>
  <c r="R927" i="38"/>
  <c r="Q927" i="38"/>
  <c r="C927" i="38"/>
  <c r="AI926" i="38"/>
  <c r="AJ926" i="38" s="1"/>
  <c r="AG926" i="38"/>
  <c r="AF926" i="38"/>
  <c r="AE926" i="38"/>
  <c r="AH926" i="38" s="1"/>
  <c r="AD926" i="38"/>
  <c r="Q926" i="38"/>
  <c r="C926" i="38"/>
  <c r="AI925" i="38"/>
  <c r="AJ925" i="38" s="1"/>
  <c r="AH925" i="38"/>
  <c r="AG925" i="38"/>
  <c r="AF925" i="38"/>
  <c r="AE925" i="38"/>
  <c r="AD925" i="38"/>
  <c r="AB925" i="38"/>
  <c r="S925" i="38"/>
  <c r="Q925" i="38"/>
  <c r="C925" i="38"/>
  <c r="AH924" i="38"/>
  <c r="AH922" i="38" s="1"/>
  <c r="AG924" i="38"/>
  <c r="AI924" i="38" s="1"/>
  <c r="AJ924" i="38" s="1"/>
  <c r="AF924" i="38"/>
  <c r="AF922" i="38" s="1"/>
  <c r="AE924" i="38"/>
  <c r="AD924" i="38"/>
  <c r="Q924" i="38"/>
  <c r="C924" i="38"/>
  <c r="AH923" i="38"/>
  <c r="AG923" i="38"/>
  <c r="AI923" i="38" s="1"/>
  <c r="AF923" i="38"/>
  <c r="AE923" i="38"/>
  <c r="AD923" i="38"/>
  <c r="AD922" i="38" s="1"/>
  <c r="Q923" i="38"/>
  <c r="C923" i="38"/>
  <c r="AG922" i="38"/>
  <c r="AC922" i="38"/>
  <c r="AB922" i="38"/>
  <c r="AA922" i="38"/>
  <c r="Z922" i="38"/>
  <c r="Y922" i="38"/>
  <c r="X922" i="38"/>
  <c r="W922" i="38"/>
  <c r="V922" i="38"/>
  <c r="U922" i="38"/>
  <c r="T922" i="38"/>
  <c r="S922" i="38"/>
  <c r="R922" i="38"/>
  <c r="R910" i="38" s="1"/>
  <c r="Q922" i="38"/>
  <c r="C922" i="38"/>
  <c r="AH921" i="38"/>
  <c r="AG921" i="38"/>
  <c r="AI921" i="38" s="1"/>
  <c r="AJ921" i="38" s="1"/>
  <c r="AF921" i="38"/>
  <c r="AE921" i="38"/>
  <c r="AD921" i="38"/>
  <c r="Q921" i="38"/>
  <c r="C921" i="38"/>
  <c r="AH920" i="38"/>
  <c r="AG920" i="38"/>
  <c r="AI920" i="38" s="1"/>
  <c r="AJ920" i="38" s="1"/>
  <c r="AF920" i="38"/>
  <c r="AE920" i="38"/>
  <c r="AD920" i="38"/>
  <c r="Q920" i="38"/>
  <c r="C920" i="38"/>
  <c r="AH919" i="38"/>
  <c r="AG919" i="38"/>
  <c r="AI919" i="38" s="1"/>
  <c r="AJ919" i="38" s="1"/>
  <c r="AF919" i="38"/>
  <c r="AE919" i="38"/>
  <c r="AD919" i="38"/>
  <c r="Q919" i="38"/>
  <c r="C919" i="38"/>
  <c r="AH918" i="38"/>
  <c r="AG918" i="38"/>
  <c r="AI918" i="38" s="1"/>
  <c r="AJ918" i="38" s="1"/>
  <c r="AF918" i="38"/>
  <c r="AE918" i="38"/>
  <c r="AD918" i="38"/>
  <c r="AD916" i="38" s="1"/>
  <c r="Q918" i="38"/>
  <c r="C918" i="38"/>
  <c r="AG917" i="38"/>
  <c r="AF917" i="38"/>
  <c r="AE917" i="38"/>
  <c r="AH917" i="38" s="1"/>
  <c r="AH916" i="38" s="1"/>
  <c r="AD917" i="38"/>
  <c r="Q917" i="38"/>
  <c r="C917" i="38"/>
  <c r="AE916" i="38"/>
  <c r="AC916" i="38"/>
  <c r="AB916" i="38"/>
  <c r="AA916" i="38"/>
  <c r="Z916" i="38"/>
  <c r="Y916" i="38"/>
  <c r="X916" i="38"/>
  <c r="W916" i="38"/>
  <c r="V916" i="38"/>
  <c r="U916" i="38"/>
  <c r="T916" i="38"/>
  <c r="S916" i="38"/>
  <c r="R916" i="38"/>
  <c r="Q916" i="38"/>
  <c r="C916" i="38"/>
  <c r="AH915" i="38"/>
  <c r="AG915" i="38"/>
  <c r="AI915" i="38" s="1"/>
  <c r="AJ915" i="38" s="1"/>
  <c r="AF915" i="38"/>
  <c r="AE915" i="38"/>
  <c r="AD915" i="38"/>
  <c r="Q915" i="38"/>
  <c r="C915" i="38"/>
  <c r="AG914" i="38"/>
  <c r="AF914" i="38"/>
  <c r="AE914" i="38"/>
  <c r="AH914" i="38" s="1"/>
  <c r="AD914" i="38"/>
  <c r="Q914" i="38"/>
  <c r="C914" i="38"/>
  <c r="AI913" i="38"/>
  <c r="AG913" i="38"/>
  <c r="AF913" i="38"/>
  <c r="AE913" i="38"/>
  <c r="AH913" i="38" s="1"/>
  <c r="AD913" i="38"/>
  <c r="Q913" i="38"/>
  <c r="C913" i="38"/>
  <c r="AI912" i="38"/>
  <c r="AJ912" i="38" s="1"/>
  <c r="AH912" i="38"/>
  <c r="AG912" i="38"/>
  <c r="AF912" i="38"/>
  <c r="AE912" i="38"/>
  <c r="AD912" i="38"/>
  <c r="AD911" i="38" s="1"/>
  <c r="AD910" i="38" s="1"/>
  <c r="S912" i="38"/>
  <c r="Q912" i="38"/>
  <c r="C912" i="38"/>
  <c r="AC911" i="38"/>
  <c r="AC910" i="38" s="1"/>
  <c r="AB911" i="38"/>
  <c r="AB910" i="38" s="1"/>
  <c r="AA911" i="38"/>
  <c r="Z911" i="38"/>
  <c r="Y911" i="38"/>
  <c r="X911" i="38"/>
  <c r="W911" i="38"/>
  <c r="V911" i="38"/>
  <c r="U911" i="38"/>
  <c r="T911" i="38"/>
  <c r="T910" i="38" s="1"/>
  <c r="R911" i="38"/>
  <c r="Q911" i="38"/>
  <c r="C911" i="38"/>
  <c r="Y910" i="38"/>
  <c r="X910" i="38"/>
  <c r="U910" i="38"/>
  <c r="Q910" i="38"/>
  <c r="C910" i="38"/>
  <c r="Q909" i="38"/>
  <c r="C909" i="38"/>
  <c r="Q908" i="38"/>
  <c r="C908" i="38"/>
  <c r="Q907" i="38"/>
  <c r="C907" i="38"/>
  <c r="AC906" i="38"/>
  <c r="AB906" i="38"/>
  <c r="AB1402" i="38" s="1"/>
  <c r="AA906" i="38"/>
  <c r="AA1402" i="38" s="1"/>
  <c r="Z906" i="38"/>
  <c r="Z1402" i="38" s="1"/>
  <c r="Y906" i="38"/>
  <c r="Y1402" i="38" s="1"/>
  <c r="X906" i="38"/>
  <c r="X1402" i="38" s="1"/>
  <c r="W906" i="38"/>
  <c r="W1402" i="38" s="1"/>
  <c r="V906" i="38"/>
  <c r="V1402" i="38" s="1"/>
  <c r="U906" i="38"/>
  <c r="U1402" i="38" s="1"/>
  <c r="T906" i="38"/>
  <c r="S906" i="38"/>
  <c r="S1402" i="38" s="1"/>
  <c r="R906" i="38"/>
  <c r="R1402" i="38" s="1"/>
  <c r="Q906" i="38"/>
  <c r="C906" i="38"/>
  <c r="AG905" i="38"/>
  <c r="AF905" i="38"/>
  <c r="AE905" i="38"/>
  <c r="AH905" i="38" s="1"/>
  <c r="AC905" i="38"/>
  <c r="AB905" i="38"/>
  <c r="AA905" i="38"/>
  <c r="Z905" i="38"/>
  <c r="Y905" i="38"/>
  <c r="Y902" i="38" s="1"/>
  <c r="Y1401" i="38" s="1"/>
  <c r="X905" i="38"/>
  <c r="X902" i="38" s="1"/>
  <c r="X1401" i="38" s="1"/>
  <c r="W905" i="38"/>
  <c r="V905" i="38"/>
  <c r="U905" i="38"/>
  <c r="T905" i="38"/>
  <c r="AD905" i="38" s="1"/>
  <c r="S905" i="38"/>
  <c r="R905" i="38"/>
  <c r="Q905" i="38"/>
  <c r="C905" i="38"/>
  <c r="AI904" i="38"/>
  <c r="AJ904" i="38" s="1"/>
  <c r="AG904" i="38"/>
  <c r="AC904" i="38"/>
  <c r="AB904" i="38"/>
  <c r="AA904" i="38"/>
  <c r="Z904" i="38"/>
  <c r="AF904" i="38" s="1"/>
  <c r="Y904" i="38"/>
  <c r="X904" i="38"/>
  <c r="W904" i="38"/>
  <c r="AE904" i="38" s="1"/>
  <c r="AH904" i="38" s="1"/>
  <c r="V904" i="38"/>
  <c r="U904" i="38"/>
  <c r="T904" i="38"/>
  <c r="AD904" i="38" s="1"/>
  <c r="S904" i="38"/>
  <c r="R904" i="38"/>
  <c r="Q904" i="38"/>
  <c r="C904" i="38"/>
  <c r="AD903" i="38"/>
  <c r="AD902" i="38" s="1"/>
  <c r="AD1401" i="38" s="1"/>
  <c r="AC903" i="38"/>
  <c r="AG903" i="38" s="1"/>
  <c r="AI903" i="38" s="1"/>
  <c r="AB903" i="38"/>
  <c r="AB902" i="38" s="1"/>
  <c r="AB1401" i="38" s="1"/>
  <c r="AA903" i="38"/>
  <c r="AA902" i="38" s="1"/>
  <c r="AA1401" i="38" s="1"/>
  <c r="Z903" i="38"/>
  <c r="Y903" i="38"/>
  <c r="X903" i="38"/>
  <c r="W903" i="38"/>
  <c r="V903" i="38"/>
  <c r="V902" i="38" s="1"/>
  <c r="V1401" i="38" s="1"/>
  <c r="U903" i="38"/>
  <c r="T903" i="38"/>
  <c r="T902" i="38" s="1"/>
  <c r="T1401" i="38" s="1"/>
  <c r="S903" i="38"/>
  <c r="S902" i="38" s="1"/>
  <c r="S1401" i="38" s="1"/>
  <c r="R903" i="38"/>
  <c r="Q903" i="38"/>
  <c r="C903" i="38"/>
  <c r="U902" i="38"/>
  <c r="U1401" i="38" s="1"/>
  <c r="R902" i="38"/>
  <c r="R1401" i="38" s="1"/>
  <c r="Q902" i="38"/>
  <c r="C902" i="38"/>
  <c r="AF901" i="38"/>
  <c r="AC901" i="38"/>
  <c r="AG901" i="38" s="1"/>
  <c r="AI901" i="38" s="1"/>
  <c r="AJ901" i="38" s="1"/>
  <c r="AB901" i="38"/>
  <c r="AA901" i="38"/>
  <c r="Z901" i="38"/>
  <c r="Y901" i="38"/>
  <c r="X901" i="38"/>
  <c r="W901" i="38"/>
  <c r="AE901" i="38" s="1"/>
  <c r="AH901" i="38" s="1"/>
  <c r="V901" i="38"/>
  <c r="U901" i="38"/>
  <c r="T901" i="38"/>
  <c r="AD901" i="38" s="1"/>
  <c r="S901" i="38"/>
  <c r="R901" i="38"/>
  <c r="Q901" i="38"/>
  <c r="C901" i="38"/>
  <c r="AI900" i="38"/>
  <c r="AJ900" i="38" s="1"/>
  <c r="AF900" i="38"/>
  <c r="AC900" i="38"/>
  <c r="AG900" i="38" s="1"/>
  <c r="AB900" i="38"/>
  <c r="AA900" i="38"/>
  <c r="Z900" i="38"/>
  <c r="Y900" i="38"/>
  <c r="X900" i="38"/>
  <c r="W900" i="38"/>
  <c r="AE900" i="38" s="1"/>
  <c r="AH900" i="38" s="1"/>
  <c r="V900" i="38"/>
  <c r="U900" i="38"/>
  <c r="T900" i="38"/>
  <c r="AD900" i="38" s="1"/>
  <c r="S900" i="38"/>
  <c r="R900" i="38"/>
  <c r="Q900" i="38"/>
  <c r="C900" i="38"/>
  <c r="AG899" i="38"/>
  <c r="AI899" i="38" s="1"/>
  <c r="AJ899" i="38" s="1"/>
  <c r="AF899" i="38"/>
  <c r="AD899" i="38"/>
  <c r="AC899" i="38"/>
  <c r="AB899" i="38"/>
  <c r="AA899" i="38"/>
  <c r="Z899" i="38"/>
  <c r="Y899" i="38"/>
  <c r="X899" i="38"/>
  <c r="X896" i="38" s="1"/>
  <c r="X1400" i="38" s="1"/>
  <c r="W899" i="38"/>
  <c r="AE899" i="38" s="1"/>
  <c r="AH899" i="38" s="1"/>
  <c r="V899" i="38"/>
  <c r="U899" i="38"/>
  <c r="T899" i="38"/>
  <c r="S899" i="38"/>
  <c r="R899" i="38"/>
  <c r="Q899" i="38"/>
  <c r="C899" i="38"/>
  <c r="AI898" i="38"/>
  <c r="AJ898" i="38" s="1"/>
  <c r="AG898" i="38"/>
  <c r="AC898" i="38"/>
  <c r="AB898" i="38"/>
  <c r="AA898" i="38"/>
  <c r="Z898" i="38"/>
  <c r="AF898" i="38" s="1"/>
  <c r="Y898" i="38"/>
  <c r="Y896" i="38" s="1"/>
  <c r="Y1400" i="38" s="1"/>
  <c r="X898" i="38"/>
  <c r="W898" i="38"/>
  <c r="AE898" i="38" s="1"/>
  <c r="AH898" i="38" s="1"/>
  <c r="V898" i="38"/>
  <c r="U898" i="38"/>
  <c r="T898" i="38"/>
  <c r="S898" i="38"/>
  <c r="R898" i="38"/>
  <c r="R896" i="38" s="1"/>
  <c r="R1400" i="38" s="1"/>
  <c r="Q898" i="38"/>
  <c r="C898" i="38"/>
  <c r="AF897" i="38"/>
  <c r="AF896" i="38" s="1"/>
  <c r="AF1400" i="38" s="1"/>
  <c r="AD897" i="38"/>
  <c r="AC897" i="38"/>
  <c r="AB897" i="38"/>
  <c r="AA897" i="38"/>
  <c r="Z897" i="38"/>
  <c r="Y897" i="38"/>
  <c r="X897" i="38"/>
  <c r="W897" i="38"/>
  <c r="W896" i="38" s="1"/>
  <c r="W1400" i="38" s="1"/>
  <c r="V897" i="38"/>
  <c r="V896" i="38" s="1"/>
  <c r="V1400" i="38" s="1"/>
  <c r="U897" i="38"/>
  <c r="T897" i="38"/>
  <c r="S897" i="38"/>
  <c r="R897" i="38"/>
  <c r="Q897" i="38"/>
  <c r="C897" i="38"/>
  <c r="Z896" i="38"/>
  <c r="Z1400" i="38" s="1"/>
  <c r="Q896" i="38"/>
  <c r="C896" i="38"/>
  <c r="AJ895" i="38"/>
  <c r="AI895" i="38"/>
  <c r="AC895" i="38"/>
  <c r="AG895" i="38" s="1"/>
  <c r="AB895" i="38"/>
  <c r="AA895" i="38"/>
  <c r="Z895" i="38"/>
  <c r="AF895" i="38" s="1"/>
  <c r="Y895" i="38"/>
  <c r="X895" i="38"/>
  <c r="W895" i="38"/>
  <c r="AE895" i="38" s="1"/>
  <c r="AH895" i="38" s="1"/>
  <c r="V895" i="38"/>
  <c r="U895" i="38"/>
  <c r="T895" i="38"/>
  <c r="AD895" i="38" s="1"/>
  <c r="S895" i="38"/>
  <c r="R895" i="38"/>
  <c r="Q895" i="38"/>
  <c r="C895" i="38"/>
  <c r="AG894" i="38"/>
  <c r="AI894" i="38" s="1"/>
  <c r="AJ894" i="38" s="1"/>
  <c r="AF894" i="38"/>
  <c r="AD894" i="38"/>
  <c r="AC894" i="38"/>
  <c r="AB894" i="38"/>
  <c r="AA894" i="38"/>
  <c r="Z894" i="38"/>
  <c r="Y894" i="38"/>
  <c r="X894" i="38"/>
  <c r="W894" i="38"/>
  <c r="AE894" i="38" s="1"/>
  <c r="AH894" i="38" s="1"/>
  <c r="V894" i="38"/>
  <c r="U894" i="38"/>
  <c r="T894" i="38"/>
  <c r="S894" i="38"/>
  <c r="R894" i="38"/>
  <c r="Q894" i="38"/>
  <c r="C894" i="38"/>
  <c r="AI893" i="38"/>
  <c r="AJ893" i="38" s="1"/>
  <c r="AG893" i="38"/>
  <c r="AC893" i="38"/>
  <c r="AB893" i="38"/>
  <c r="AA893" i="38"/>
  <c r="Z893" i="38"/>
  <c r="Y893" i="38"/>
  <c r="Y891" i="38" s="1"/>
  <c r="Y1399" i="38" s="1"/>
  <c r="X893" i="38"/>
  <c r="W893" i="38"/>
  <c r="AE893" i="38" s="1"/>
  <c r="AH893" i="38" s="1"/>
  <c r="V893" i="38"/>
  <c r="U893" i="38"/>
  <c r="T893" i="38"/>
  <c r="AD893" i="38" s="1"/>
  <c r="S893" i="38"/>
  <c r="R893" i="38"/>
  <c r="R891" i="38" s="1"/>
  <c r="R1399" i="38" s="1"/>
  <c r="Q893" i="38"/>
  <c r="C893" i="38"/>
  <c r="AF892" i="38"/>
  <c r="AC892" i="38"/>
  <c r="AB892" i="38"/>
  <c r="AB891" i="38" s="1"/>
  <c r="AB1399" i="38" s="1"/>
  <c r="AA892" i="38"/>
  <c r="Z892" i="38"/>
  <c r="Y892" i="38"/>
  <c r="X892" i="38"/>
  <c r="W892" i="38"/>
  <c r="AE892" i="38" s="1"/>
  <c r="V892" i="38"/>
  <c r="V891" i="38" s="1"/>
  <c r="V1399" i="38" s="1"/>
  <c r="U892" i="38"/>
  <c r="U891" i="38" s="1"/>
  <c r="U1399" i="38" s="1"/>
  <c r="T892" i="38"/>
  <c r="T891" i="38" s="1"/>
  <c r="T1399" i="38" s="1"/>
  <c r="S892" i="38"/>
  <c r="R892" i="38"/>
  <c r="Q892" i="38"/>
  <c r="C892" i="38"/>
  <c r="X891" i="38"/>
  <c r="X1399" i="38" s="1"/>
  <c r="W891" i="38"/>
  <c r="W1399" i="38" s="1"/>
  <c r="Q891" i="38"/>
  <c r="C891" i="38"/>
  <c r="AI890" i="38"/>
  <c r="AJ890" i="38" s="1"/>
  <c r="AH890" i="38"/>
  <c r="AG890" i="38"/>
  <c r="AD890" i="38"/>
  <c r="AC890" i="38"/>
  <c r="AB890" i="38"/>
  <c r="AA890" i="38"/>
  <c r="Z890" i="38"/>
  <c r="AF890" i="38" s="1"/>
  <c r="Y890" i="38"/>
  <c r="X890" i="38"/>
  <c r="W890" i="38"/>
  <c r="AE890" i="38" s="1"/>
  <c r="V890" i="38"/>
  <c r="U890" i="38"/>
  <c r="T890" i="38"/>
  <c r="S890" i="38"/>
  <c r="R890" i="38"/>
  <c r="Q890" i="38"/>
  <c r="C890" i="38"/>
  <c r="AF889" i="38"/>
  <c r="AD889" i="38"/>
  <c r="AC889" i="38"/>
  <c r="AG889" i="38" s="1"/>
  <c r="AI889" i="38" s="1"/>
  <c r="AJ889" i="38" s="1"/>
  <c r="AB889" i="38"/>
  <c r="AA889" i="38"/>
  <c r="Z889" i="38"/>
  <c r="Y889" i="38"/>
  <c r="X889" i="38"/>
  <c r="W889" i="38"/>
  <c r="AE889" i="38" s="1"/>
  <c r="AH889" i="38" s="1"/>
  <c r="V889" i="38"/>
  <c r="U889" i="38"/>
  <c r="T889" i="38"/>
  <c r="S889" i="38"/>
  <c r="R889" i="38"/>
  <c r="Q889" i="38"/>
  <c r="C889" i="38"/>
  <c r="AH888" i="38"/>
  <c r="AG888" i="38"/>
  <c r="AI888" i="38" s="1"/>
  <c r="AJ888" i="38" s="1"/>
  <c r="AE888" i="38"/>
  <c r="AC888" i="38"/>
  <c r="AB888" i="38"/>
  <c r="AA888" i="38"/>
  <c r="Z888" i="38"/>
  <c r="AF888" i="38" s="1"/>
  <c r="Y888" i="38"/>
  <c r="X888" i="38"/>
  <c r="W888" i="38"/>
  <c r="V888" i="38"/>
  <c r="U888" i="38"/>
  <c r="T888" i="38"/>
  <c r="AD888" i="38" s="1"/>
  <c r="S888" i="38"/>
  <c r="R888" i="38"/>
  <c r="Q888" i="38"/>
  <c r="C888" i="38"/>
  <c r="AC887" i="38"/>
  <c r="AG887" i="38" s="1"/>
  <c r="AI887" i="38" s="1"/>
  <c r="AJ887" i="38" s="1"/>
  <c r="AB887" i="38"/>
  <c r="AA887" i="38"/>
  <c r="AA885" i="38" s="1"/>
  <c r="AA1398" i="38" s="1"/>
  <c r="Z887" i="38"/>
  <c r="AF887" i="38" s="1"/>
  <c r="Y887" i="38"/>
  <c r="X887" i="38"/>
  <c r="W887" i="38"/>
  <c r="AE887" i="38" s="1"/>
  <c r="AH887" i="38" s="1"/>
  <c r="V887" i="38"/>
  <c r="U887" i="38"/>
  <c r="T887" i="38"/>
  <c r="S887" i="38"/>
  <c r="S885" i="38" s="1"/>
  <c r="S1398" i="38" s="1"/>
  <c r="R887" i="38"/>
  <c r="Q887" i="38"/>
  <c r="C887" i="38"/>
  <c r="AG886" i="38"/>
  <c r="AD886" i="38"/>
  <c r="AC886" i="38"/>
  <c r="AB886" i="38"/>
  <c r="AA886" i="38"/>
  <c r="Z886" i="38"/>
  <c r="Y886" i="38"/>
  <c r="Y885" i="38" s="1"/>
  <c r="Y1398" i="38" s="1"/>
  <c r="X886" i="38"/>
  <c r="X885" i="38" s="1"/>
  <c r="X1398" i="38" s="1"/>
  <c r="W886" i="38"/>
  <c r="V886" i="38"/>
  <c r="U886" i="38"/>
  <c r="T886" i="38"/>
  <c r="S886" i="38"/>
  <c r="R886" i="38"/>
  <c r="R885" i="38" s="1"/>
  <c r="R1398" i="38" s="1"/>
  <c r="Q886" i="38"/>
  <c r="C886" i="38"/>
  <c r="AC885" i="38"/>
  <c r="AC1398" i="38" s="1"/>
  <c r="AB885" i="38"/>
  <c r="AB1398" i="38" s="1"/>
  <c r="Q885" i="38"/>
  <c r="C885" i="38"/>
  <c r="AF884" i="38"/>
  <c r="AC884" i="38"/>
  <c r="AG884" i="38" s="1"/>
  <c r="AI884" i="38" s="1"/>
  <c r="AJ884" i="38" s="1"/>
  <c r="AB884" i="38"/>
  <c r="AA884" i="38"/>
  <c r="Z884" i="38"/>
  <c r="Y884" i="38"/>
  <c r="X884" i="38"/>
  <c r="W884" i="38"/>
  <c r="AE884" i="38" s="1"/>
  <c r="AH884" i="38" s="1"/>
  <c r="V884" i="38"/>
  <c r="U884" i="38"/>
  <c r="T884" i="38"/>
  <c r="AD884" i="38" s="1"/>
  <c r="S884" i="38"/>
  <c r="R884" i="38"/>
  <c r="Q884" i="38"/>
  <c r="C884" i="38"/>
  <c r="AI883" i="38"/>
  <c r="AJ883" i="38" s="1"/>
  <c r="AH883" i="38"/>
  <c r="AG883" i="38"/>
  <c r="AD883" i="38"/>
  <c r="AC883" i="38"/>
  <c r="AB883" i="38"/>
  <c r="AA883" i="38"/>
  <c r="Z883" i="38"/>
  <c r="AF883" i="38" s="1"/>
  <c r="Y883" i="38"/>
  <c r="X883" i="38"/>
  <c r="W883" i="38"/>
  <c r="AE883" i="38" s="1"/>
  <c r="V883" i="38"/>
  <c r="U883" i="38"/>
  <c r="T883" i="38"/>
  <c r="S883" i="38"/>
  <c r="R883" i="38"/>
  <c r="Q883" i="38"/>
  <c r="C883" i="38"/>
  <c r="AD882" i="38"/>
  <c r="AC882" i="38"/>
  <c r="AG882" i="38" s="1"/>
  <c r="AI882" i="38" s="1"/>
  <c r="AJ882" i="38" s="1"/>
  <c r="AB882" i="38"/>
  <c r="AA882" i="38"/>
  <c r="Z882" i="38"/>
  <c r="AF882" i="38" s="1"/>
  <c r="Y882" i="38"/>
  <c r="X882" i="38"/>
  <c r="W882" i="38"/>
  <c r="AE882" i="38" s="1"/>
  <c r="AH882" i="38" s="1"/>
  <c r="V882" i="38"/>
  <c r="U882" i="38"/>
  <c r="T882" i="38"/>
  <c r="S882" i="38"/>
  <c r="R882" i="38"/>
  <c r="Q882" i="38"/>
  <c r="C882" i="38"/>
  <c r="AG881" i="38"/>
  <c r="AF881" i="38"/>
  <c r="AF880" i="38" s="1"/>
  <c r="AD881" i="38"/>
  <c r="AC881" i="38"/>
  <c r="AB881" i="38"/>
  <c r="AA881" i="38"/>
  <c r="Z881" i="38"/>
  <c r="Y881" i="38"/>
  <c r="Y880" i="38" s="1"/>
  <c r="X881" i="38"/>
  <c r="X880" i="38" s="1"/>
  <c r="W881" i="38"/>
  <c r="AE881" i="38" s="1"/>
  <c r="V881" i="38"/>
  <c r="U881" i="38"/>
  <c r="T881" i="38"/>
  <c r="R881" i="38"/>
  <c r="Q881" i="38"/>
  <c r="C881" i="38"/>
  <c r="AB880" i="38"/>
  <c r="AA880" i="38"/>
  <c r="Z880" i="38"/>
  <c r="R880" i="38"/>
  <c r="R1397" i="38" s="1"/>
  <c r="Q880" i="38"/>
  <c r="C880" i="38"/>
  <c r="R879" i="38"/>
  <c r="Q879" i="38"/>
  <c r="C879" i="38"/>
  <c r="Q878" i="38"/>
  <c r="C878" i="38"/>
  <c r="Q877" i="38"/>
  <c r="C877" i="38"/>
  <c r="Q876" i="38"/>
  <c r="C876" i="38"/>
  <c r="Q875" i="38"/>
  <c r="C875" i="38"/>
  <c r="Q874" i="38"/>
  <c r="C874" i="38"/>
  <c r="AG873" i="38"/>
  <c r="AI873" i="38" s="1"/>
  <c r="AF873" i="38"/>
  <c r="AE873" i="38"/>
  <c r="AD873" i="38"/>
  <c r="AH873" i="38" s="1"/>
  <c r="AJ873" i="38" s="1"/>
  <c r="Q873" i="38"/>
  <c r="C873" i="38"/>
  <c r="AJ872" i="38"/>
  <c r="AG872" i="38"/>
  <c r="AF872" i="38"/>
  <c r="AI872" i="38" s="1"/>
  <c r="AE872" i="38"/>
  <c r="AD872" i="38"/>
  <c r="AH872" i="38" s="1"/>
  <c r="Q872" i="38"/>
  <c r="C872" i="38"/>
  <c r="AJ871" i="38"/>
  <c r="AI871" i="38"/>
  <c r="AG871" i="38"/>
  <c r="AF871" i="38"/>
  <c r="AE871" i="38"/>
  <c r="AE869" i="38" s="1"/>
  <c r="AD871" i="38"/>
  <c r="AH871" i="38" s="1"/>
  <c r="Q871" i="38"/>
  <c r="C871" i="38"/>
  <c r="AI870" i="38"/>
  <c r="AI869" i="38" s="1"/>
  <c r="AG870" i="38"/>
  <c r="AF870" i="38"/>
  <c r="AE870" i="38"/>
  <c r="AD870" i="38"/>
  <c r="Q870" i="38"/>
  <c r="C870" i="38"/>
  <c r="AG869" i="38"/>
  <c r="AF869" i="38"/>
  <c r="AC869" i="38"/>
  <c r="AB869" i="38"/>
  <c r="AA869" i="38"/>
  <c r="Z869" i="38"/>
  <c r="Y869" i="38"/>
  <c r="X869" i="38"/>
  <c r="W869" i="38"/>
  <c r="V869" i="38"/>
  <c r="U869" i="38"/>
  <c r="T869" i="38"/>
  <c r="S869" i="38"/>
  <c r="R869" i="38"/>
  <c r="Q869" i="38"/>
  <c r="C869" i="38"/>
  <c r="AG868" i="38"/>
  <c r="AF868" i="38"/>
  <c r="AI868" i="38" s="1"/>
  <c r="AJ868" i="38" s="1"/>
  <c r="AE868" i="38"/>
  <c r="AD868" i="38"/>
  <c r="AH868" i="38" s="1"/>
  <c r="Q868" i="38"/>
  <c r="C868" i="38"/>
  <c r="AI867" i="38"/>
  <c r="AH867" i="38"/>
  <c r="AJ867" i="38" s="1"/>
  <c r="AG867" i="38"/>
  <c r="AF867" i="38"/>
  <c r="AE867" i="38"/>
  <c r="AD867" i="38"/>
  <c r="Q867" i="38"/>
  <c r="C867" i="38"/>
  <c r="AJ866" i="38"/>
  <c r="AI866" i="38"/>
  <c r="AH866" i="38"/>
  <c r="AG866" i="38"/>
  <c r="AF866" i="38"/>
  <c r="AE866" i="38"/>
  <c r="AD866" i="38"/>
  <c r="Q866" i="38"/>
  <c r="C866" i="38"/>
  <c r="AG865" i="38"/>
  <c r="AF865" i="38"/>
  <c r="AE865" i="38"/>
  <c r="AD865" i="38"/>
  <c r="Q865" i="38"/>
  <c r="C865" i="38"/>
  <c r="AE864" i="38"/>
  <c r="AD864" i="38"/>
  <c r="AC864" i="38"/>
  <c r="AB864" i="38"/>
  <c r="AA864" i="38"/>
  <c r="Z864" i="38"/>
  <c r="Y864" i="38"/>
  <c r="X864" i="38"/>
  <c r="W864" i="38"/>
  <c r="V864" i="38"/>
  <c r="U864" i="38"/>
  <c r="T864" i="38"/>
  <c r="S864" i="38"/>
  <c r="R864" i="38"/>
  <c r="Q864" i="38"/>
  <c r="C864" i="38"/>
  <c r="AG863" i="38"/>
  <c r="AC863" i="38"/>
  <c r="AB863" i="38"/>
  <c r="AA863" i="38"/>
  <c r="Z863" i="38"/>
  <c r="Y863" i="38"/>
  <c r="X863" i="38"/>
  <c r="W863" i="38"/>
  <c r="V863" i="38"/>
  <c r="U863" i="38"/>
  <c r="AE863" i="38" s="1"/>
  <c r="T863" i="38"/>
  <c r="S863" i="38"/>
  <c r="R863" i="38"/>
  <c r="AD863" i="38" s="1"/>
  <c r="AH863" i="38" s="1"/>
  <c r="Q863" i="38"/>
  <c r="C863" i="38"/>
  <c r="AC862" i="38"/>
  <c r="AB862" i="38"/>
  <c r="AA862" i="38"/>
  <c r="Z862" i="38"/>
  <c r="Y862" i="38"/>
  <c r="X862" i="38"/>
  <c r="AF862" i="38" s="1"/>
  <c r="W862" i="38"/>
  <c r="V862" i="38"/>
  <c r="U862" i="38"/>
  <c r="AE862" i="38" s="1"/>
  <c r="T862" i="38"/>
  <c r="S862" i="38"/>
  <c r="AD862" i="38" s="1"/>
  <c r="R862" i="38"/>
  <c r="Q862" i="38"/>
  <c r="C862" i="38"/>
  <c r="AG861" i="38"/>
  <c r="AD861" i="38"/>
  <c r="AC861" i="38"/>
  <c r="AB861" i="38"/>
  <c r="AA861" i="38"/>
  <c r="Z861" i="38"/>
  <c r="Y861" i="38"/>
  <c r="X861" i="38"/>
  <c r="X859" i="38" s="1"/>
  <c r="X1592" i="38" s="1"/>
  <c r="W861" i="38"/>
  <c r="W859" i="38" s="1"/>
  <c r="W1592" i="38" s="1"/>
  <c r="W1591" i="38" s="1"/>
  <c r="V861" i="38"/>
  <c r="V859" i="38" s="1"/>
  <c r="V1592" i="38" s="1"/>
  <c r="V1591" i="38" s="1"/>
  <c r="U861" i="38"/>
  <c r="T861" i="38"/>
  <c r="S861" i="38"/>
  <c r="R861" i="38"/>
  <c r="Q861" i="38"/>
  <c r="C861" i="38"/>
  <c r="AG860" i="38"/>
  <c r="AC860" i="38"/>
  <c r="AB860" i="38"/>
  <c r="AA860" i="38"/>
  <c r="Z860" i="38"/>
  <c r="Y860" i="38"/>
  <c r="X860" i="38"/>
  <c r="W860" i="38"/>
  <c r="AE860" i="38" s="1"/>
  <c r="V860" i="38"/>
  <c r="U860" i="38"/>
  <c r="T860" i="38"/>
  <c r="S860" i="38"/>
  <c r="R860" i="38"/>
  <c r="Q860" i="38"/>
  <c r="C860" i="38"/>
  <c r="AC859" i="38"/>
  <c r="AC1592" i="38" s="1"/>
  <c r="AC1591" i="38" s="1"/>
  <c r="AB859" i="38"/>
  <c r="AB1592" i="38" s="1"/>
  <c r="AB1591" i="38" s="1"/>
  <c r="T859" i="38"/>
  <c r="T1592" i="38" s="1"/>
  <c r="T1591" i="38" s="1"/>
  <c r="Q859" i="38"/>
  <c r="C859" i="38"/>
  <c r="AG858" i="38"/>
  <c r="AI858" i="38" s="1"/>
  <c r="AF858" i="38"/>
  <c r="AC858" i="38"/>
  <c r="AB858" i="38"/>
  <c r="AA858" i="38"/>
  <c r="Z858" i="38"/>
  <c r="Y858" i="38"/>
  <c r="X858" i="38"/>
  <c r="W858" i="38"/>
  <c r="AE858" i="38" s="1"/>
  <c r="V858" i="38"/>
  <c r="U858" i="38"/>
  <c r="T858" i="38"/>
  <c r="S858" i="38"/>
  <c r="R858" i="38"/>
  <c r="AD858" i="38" s="1"/>
  <c r="Q858" i="38"/>
  <c r="C858" i="38"/>
  <c r="AC857" i="38"/>
  <c r="AB857" i="38"/>
  <c r="AA857" i="38"/>
  <c r="Z857" i="38"/>
  <c r="Y857" i="38"/>
  <c r="X857" i="38"/>
  <c r="AF857" i="38" s="1"/>
  <c r="W857" i="38"/>
  <c r="V857" i="38"/>
  <c r="U857" i="38"/>
  <c r="AE857" i="38" s="1"/>
  <c r="T857" i="38"/>
  <c r="S857" i="38"/>
  <c r="R857" i="38"/>
  <c r="Q857" i="38"/>
  <c r="C857" i="38"/>
  <c r="AD856" i="38"/>
  <c r="AC856" i="38"/>
  <c r="AC854" i="38" s="1"/>
  <c r="AC1555" i="38" s="1"/>
  <c r="AC1554" i="38" s="1"/>
  <c r="AB856" i="38"/>
  <c r="AA856" i="38"/>
  <c r="Z856" i="38"/>
  <c r="Y856" i="38"/>
  <c r="X856" i="38"/>
  <c r="AF856" i="38" s="1"/>
  <c r="W856" i="38"/>
  <c r="V856" i="38"/>
  <c r="V854" i="38" s="1"/>
  <c r="V1555" i="38" s="1"/>
  <c r="V1554" i="38" s="1"/>
  <c r="U856" i="38"/>
  <c r="AE856" i="38" s="1"/>
  <c r="T856" i="38"/>
  <c r="S856" i="38"/>
  <c r="R856" i="38"/>
  <c r="Q856" i="38"/>
  <c r="C856" i="38"/>
  <c r="AG855" i="38"/>
  <c r="AC855" i="38"/>
  <c r="AB855" i="38"/>
  <c r="AA855" i="38"/>
  <c r="Z855" i="38"/>
  <c r="Z854" i="38" s="1"/>
  <c r="Z1555" i="38" s="1"/>
  <c r="Z1554" i="38" s="1"/>
  <c r="Y855" i="38"/>
  <c r="X855" i="38"/>
  <c r="AF855" i="38" s="1"/>
  <c r="W855" i="38"/>
  <c r="V855" i="38"/>
  <c r="U855" i="38"/>
  <c r="AE855" i="38" s="1"/>
  <c r="T855" i="38"/>
  <c r="S855" i="38"/>
  <c r="R855" i="38"/>
  <c r="Q855" i="38"/>
  <c r="C855" i="38"/>
  <c r="AB854" i="38"/>
  <c r="AB1555" i="38" s="1"/>
  <c r="AB1554" i="38" s="1"/>
  <c r="AA854" i="38"/>
  <c r="AA1555" i="38" s="1"/>
  <c r="U854" i="38"/>
  <c r="U1555" i="38" s="1"/>
  <c r="T854" i="38"/>
  <c r="T1555" i="38" s="1"/>
  <c r="T1554" i="38" s="1"/>
  <c r="S854" i="38"/>
  <c r="S1555" i="38" s="1"/>
  <c r="S1554" i="38" s="1"/>
  <c r="Q854" i="38"/>
  <c r="C854" i="38"/>
  <c r="AG853" i="38"/>
  <c r="AF853" i="38"/>
  <c r="AE853" i="38"/>
  <c r="AE849" i="38" s="1"/>
  <c r="AD853" i="38"/>
  <c r="Q853" i="38"/>
  <c r="C853" i="38"/>
  <c r="AG852" i="38"/>
  <c r="AI852" i="38" s="1"/>
  <c r="AF852" i="38"/>
  <c r="AE852" i="38"/>
  <c r="AD852" i="38"/>
  <c r="Q852" i="38"/>
  <c r="C852" i="38"/>
  <c r="AJ851" i="38"/>
  <c r="AI851" i="38"/>
  <c r="AH851" i="38"/>
  <c r="AG851" i="38"/>
  <c r="AF851" i="38"/>
  <c r="AE851" i="38"/>
  <c r="AD851" i="38"/>
  <c r="Q851" i="38"/>
  <c r="C851" i="38"/>
  <c r="AH850" i="38"/>
  <c r="AG850" i="38"/>
  <c r="AF850" i="38"/>
  <c r="AF849" i="38" s="1"/>
  <c r="AE850" i="38"/>
  <c r="AD850" i="38"/>
  <c r="Q850" i="38"/>
  <c r="C850" i="38"/>
  <c r="AC849" i="38"/>
  <c r="AB849" i="38"/>
  <c r="AA849" i="38"/>
  <c r="Z849" i="38"/>
  <c r="Y849" i="38"/>
  <c r="X849" i="38"/>
  <c r="W849" i="38"/>
  <c r="V849" i="38"/>
  <c r="U849" i="38"/>
  <c r="T849" i="38"/>
  <c r="S849" i="38"/>
  <c r="R849" i="38"/>
  <c r="Q849" i="38"/>
  <c r="C849" i="38"/>
  <c r="AG848" i="38"/>
  <c r="AC848" i="38"/>
  <c r="AB848" i="38"/>
  <c r="AA848" i="38"/>
  <c r="AA843" i="38" s="1"/>
  <c r="AA838" i="38" s="1"/>
  <c r="Z848" i="38"/>
  <c r="Z843" i="38" s="1"/>
  <c r="Z838" i="38" s="1"/>
  <c r="Z1237" i="38" s="1"/>
  <c r="Z1238" i="38" s="1"/>
  <c r="Y848" i="38"/>
  <c r="X848" i="38"/>
  <c r="W848" i="38"/>
  <c r="V848" i="38"/>
  <c r="U848" i="38"/>
  <c r="AE848" i="38" s="1"/>
  <c r="T848" i="38"/>
  <c r="S848" i="38"/>
  <c r="S843" i="38" s="1"/>
  <c r="S838" i="38" s="1"/>
  <c r="S1237" i="38" s="1"/>
  <c r="S1238" i="38" s="1"/>
  <c r="R848" i="38"/>
  <c r="Q848" i="38"/>
  <c r="C848" i="38"/>
  <c r="AC847" i="38"/>
  <c r="AC842" i="38" s="1"/>
  <c r="AB847" i="38"/>
  <c r="AB844" i="38" s="1"/>
  <c r="AA847" i="38"/>
  <c r="AG847" i="38" s="1"/>
  <c r="AI847" i="38" s="1"/>
  <c r="Z847" i="38"/>
  <c r="Y847" i="38"/>
  <c r="X847" i="38"/>
  <c r="AF847" i="38" s="1"/>
  <c r="W847" i="38"/>
  <c r="V847" i="38"/>
  <c r="V842" i="38" s="1"/>
  <c r="V837" i="38" s="1"/>
  <c r="U847" i="38"/>
  <c r="T847" i="38"/>
  <c r="T844" i="38" s="1"/>
  <c r="S847" i="38"/>
  <c r="R847" i="38"/>
  <c r="Q847" i="38"/>
  <c r="C847" i="38"/>
  <c r="AG846" i="38"/>
  <c r="AD846" i="38"/>
  <c r="AC846" i="38"/>
  <c r="AB846" i="38"/>
  <c r="AA846" i="38"/>
  <c r="Z846" i="38"/>
  <c r="Y846" i="38"/>
  <c r="Y841" i="38" s="1"/>
  <c r="Y836" i="38" s="1"/>
  <c r="X846" i="38"/>
  <c r="W846" i="38"/>
  <c r="W844" i="38" s="1"/>
  <c r="V846" i="38"/>
  <c r="U846" i="38"/>
  <c r="T846" i="38"/>
  <c r="S846" i="38"/>
  <c r="R846" i="38"/>
  <c r="Q846" i="38"/>
  <c r="C846" i="38"/>
  <c r="AG845" i="38"/>
  <c r="AC845" i="38"/>
  <c r="AB845" i="38"/>
  <c r="AB840" i="38" s="1"/>
  <c r="AB835" i="38" s="1"/>
  <c r="AA845" i="38"/>
  <c r="Z845" i="38"/>
  <c r="Y845" i="38"/>
  <c r="Y844" i="38" s="1"/>
  <c r="X845" i="38"/>
  <c r="W845" i="38"/>
  <c r="AE845" i="38" s="1"/>
  <c r="V845" i="38"/>
  <c r="U845" i="38"/>
  <c r="T845" i="38"/>
  <c r="T840" i="38" s="1"/>
  <c r="T835" i="38" s="1"/>
  <c r="S845" i="38"/>
  <c r="R845" i="38"/>
  <c r="R840" i="38" s="1"/>
  <c r="Q845" i="38"/>
  <c r="C845" i="38"/>
  <c r="AC844" i="38"/>
  <c r="U844" i="38"/>
  <c r="Q844" i="38"/>
  <c r="C844" i="38"/>
  <c r="AG843" i="38"/>
  <c r="AC843" i="38"/>
  <c r="AB843" i="38"/>
  <c r="Y843" i="38"/>
  <c r="X843" i="38"/>
  <c r="W843" i="38"/>
  <c r="AE843" i="38" s="1"/>
  <c r="V843" i="38"/>
  <c r="U843" i="38"/>
  <c r="T843" i="38"/>
  <c r="Q843" i="38"/>
  <c r="C843" i="38"/>
  <c r="AB842" i="38"/>
  <c r="Z842" i="38"/>
  <c r="Y842" i="38"/>
  <c r="X842" i="38"/>
  <c r="AF842" i="38" s="1"/>
  <c r="W842" i="38"/>
  <c r="T842" i="38"/>
  <c r="T837" i="38" s="1"/>
  <c r="R842" i="38"/>
  <c r="Q842" i="38"/>
  <c r="C842" i="38"/>
  <c r="AD841" i="38"/>
  <c r="AC841" i="38"/>
  <c r="AB841" i="38"/>
  <c r="AA841" i="38"/>
  <c r="AG841" i="38" s="1"/>
  <c r="Z841" i="38"/>
  <c r="U841" i="38"/>
  <c r="T841" i="38"/>
  <c r="S841" i="38"/>
  <c r="R841" i="38"/>
  <c r="Q841" i="38"/>
  <c r="C841" i="38"/>
  <c r="AC840" i="38"/>
  <c r="Z840" i="38"/>
  <c r="Y840" i="38"/>
  <c r="Y839" i="38" s="1"/>
  <c r="Y1511" i="38" s="1"/>
  <c r="X840" i="38"/>
  <c r="W840" i="38"/>
  <c r="V840" i="38"/>
  <c r="U840" i="38"/>
  <c r="AE840" i="38" s="1"/>
  <c r="Q840" i="38"/>
  <c r="C840" i="38"/>
  <c r="AC839" i="38"/>
  <c r="AC1511" i="38" s="1"/>
  <c r="Q839" i="38"/>
  <c r="C839" i="38"/>
  <c r="AC838" i="38"/>
  <c r="AC1237" i="38" s="1"/>
  <c r="AC1238" i="38" s="1"/>
  <c r="AB838" i="38"/>
  <c r="AB1237" i="38" s="1"/>
  <c r="AB1238" i="38" s="1"/>
  <c r="X838" i="38"/>
  <c r="V838" i="38"/>
  <c r="U838" i="38"/>
  <c r="U1237" i="38" s="1"/>
  <c r="T838" i="38"/>
  <c r="T1237" i="38" s="1"/>
  <c r="T1238" i="38" s="1"/>
  <c r="Q838" i="38"/>
  <c r="C838" i="38"/>
  <c r="Z837" i="38"/>
  <c r="Y837" i="38"/>
  <c r="X837" i="38"/>
  <c r="AF837" i="38" s="1"/>
  <c r="W837" i="38"/>
  <c r="Q837" i="38"/>
  <c r="C837" i="38"/>
  <c r="AC836" i="38"/>
  <c r="AB836" i="38"/>
  <c r="AA836" i="38"/>
  <c r="Z836" i="38"/>
  <c r="U836" i="38"/>
  <c r="T836" i="38"/>
  <c r="T834" i="38" s="1"/>
  <c r="T1465" i="38" s="1"/>
  <c r="S836" i="38"/>
  <c r="AD836" i="38" s="1"/>
  <c r="R836" i="38"/>
  <c r="Q836" i="38"/>
  <c r="C836" i="38"/>
  <c r="AC835" i="38"/>
  <c r="X835" i="38"/>
  <c r="W835" i="38"/>
  <c r="V835" i="38"/>
  <c r="U835" i="38"/>
  <c r="Q835" i="38"/>
  <c r="C835" i="38"/>
  <c r="Q834" i="38"/>
  <c r="C834" i="38"/>
  <c r="Q833" i="38"/>
  <c r="C833" i="38"/>
  <c r="A833" i="38"/>
  <c r="A834" i="38" s="1"/>
  <c r="A835" i="38" s="1"/>
  <c r="A836" i="38" s="1"/>
  <c r="A837" i="38" s="1"/>
  <c r="A838" i="38" s="1"/>
  <c r="A844" i="38" s="1"/>
  <c r="Q832" i="38"/>
  <c r="C832" i="38"/>
  <c r="AI831" i="38"/>
  <c r="AJ831" i="38" s="1"/>
  <c r="AH831" i="38"/>
  <c r="AG831" i="38"/>
  <c r="AF831" i="38"/>
  <c r="AE831" i="38"/>
  <c r="AD831" i="38"/>
  <c r="Q831" i="38"/>
  <c r="C831" i="38"/>
  <c r="AH830" i="38"/>
  <c r="AG830" i="38"/>
  <c r="AF830" i="38"/>
  <c r="AE830" i="38"/>
  <c r="AD830" i="38"/>
  <c r="Q830" i="38"/>
  <c r="C830" i="38"/>
  <c r="AG829" i="38"/>
  <c r="AF829" i="38"/>
  <c r="AE829" i="38"/>
  <c r="AD829" i="38"/>
  <c r="Q829" i="38"/>
  <c r="C829" i="38"/>
  <c r="AG828" i="38"/>
  <c r="AF828" i="38"/>
  <c r="AE828" i="38"/>
  <c r="AD828" i="38"/>
  <c r="Q828" i="38"/>
  <c r="C828" i="38"/>
  <c r="AI827" i="38"/>
  <c r="AG827" i="38"/>
  <c r="AF827" i="38"/>
  <c r="AE827" i="38"/>
  <c r="AD827" i="38"/>
  <c r="AH827" i="38" s="1"/>
  <c r="AJ827" i="38" s="1"/>
  <c r="Q827" i="38"/>
  <c r="C827" i="38"/>
  <c r="A827" i="38"/>
  <c r="A828" i="38" s="1"/>
  <c r="A829" i="38" s="1"/>
  <c r="AI826" i="38"/>
  <c r="AH826" i="38"/>
  <c r="AG826" i="38"/>
  <c r="AF826" i="38"/>
  <c r="AE826" i="38"/>
  <c r="AD826" i="38"/>
  <c r="Q826" i="38"/>
  <c r="C826" i="38"/>
  <c r="AC825" i="38"/>
  <c r="AB825" i="38"/>
  <c r="AA825" i="38"/>
  <c r="Z825" i="38"/>
  <c r="Y825" i="38"/>
  <c r="X825" i="38"/>
  <c r="W825" i="38"/>
  <c r="V825" i="38"/>
  <c r="U825" i="38"/>
  <c r="T825" i="38"/>
  <c r="S825" i="38"/>
  <c r="R825" i="38"/>
  <c r="Q825" i="38"/>
  <c r="C825" i="38"/>
  <c r="AI824" i="38"/>
  <c r="AG824" i="38"/>
  <c r="AF824" i="38"/>
  <c r="AE824" i="38"/>
  <c r="AD824" i="38"/>
  <c r="AH824" i="38" s="1"/>
  <c r="AJ824" i="38" s="1"/>
  <c r="Q824" i="38"/>
  <c r="C824" i="38"/>
  <c r="AG823" i="38"/>
  <c r="AF823" i="38"/>
  <c r="AI823" i="38" s="1"/>
  <c r="AE823" i="38"/>
  <c r="AH823" i="38" s="1"/>
  <c r="AD823" i="38"/>
  <c r="Q823" i="38"/>
  <c r="C823" i="38"/>
  <c r="AG822" i="38"/>
  <c r="AF822" i="38"/>
  <c r="AE822" i="38"/>
  <c r="AD822" i="38"/>
  <c r="Q822" i="38"/>
  <c r="C822" i="38"/>
  <c r="AI821" i="38"/>
  <c r="AH821" i="38"/>
  <c r="AG821" i="38"/>
  <c r="AF821" i="38"/>
  <c r="AE821" i="38"/>
  <c r="AD821" i="38"/>
  <c r="Q821" i="38"/>
  <c r="C821" i="38"/>
  <c r="AG820" i="38"/>
  <c r="AC820" i="38"/>
  <c r="AB820" i="38"/>
  <c r="AA820" i="38"/>
  <c r="Z820" i="38"/>
  <c r="Y820" i="38"/>
  <c r="X820" i="38"/>
  <c r="W820" i="38"/>
  <c r="V820" i="38"/>
  <c r="U820" i="38"/>
  <c r="T820" i="38"/>
  <c r="S820" i="38"/>
  <c r="R820" i="38"/>
  <c r="Q820" i="38"/>
  <c r="C820" i="38"/>
  <c r="AI819" i="38"/>
  <c r="AH819" i="38"/>
  <c r="AG819" i="38"/>
  <c r="AF819" i="38"/>
  <c r="AE819" i="38"/>
  <c r="AD819" i="38"/>
  <c r="Q819" i="38"/>
  <c r="C819" i="38"/>
  <c r="AI818" i="38"/>
  <c r="AG818" i="38"/>
  <c r="AF818" i="38"/>
  <c r="AE818" i="38"/>
  <c r="AD818" i="38"/>
  <c r="AH818" i="38" s="1"/>
  <c r="AJ818" i="38" s="1"/>
  <c r="Q818" i="38"/>
  <c r="C818" i="38"/>
  <c r="AH817" i="38"/>
  <c r="AG817" i="38"/>
  <c r="AI817" i="38" s="1"/>
  <c r="AF817" i="38"/>
  <c r="AF815" i="38" s="1"/>
  <c r="AE817" i="38"/>
  <c r="AD817" i="38"/>
  <c r="Q817" i="38"/>
  <c r="C817" i="38"/>
  <c r="AG816" i="38"/>
  <c r="AF816" i="38"/>
  <c r="AE816" i="38"/>
  <c r="AD816" i="38"/>
  <c r="AH816" i="38" s="1"/>
  <c r="Q816" i="38"/>
  <c r="C816" i="38"/>
  <c r="AE815" i="38"/>
  <c r="AD815" i="38"/>
  <c r="AC815" i="38"/>
  <c r="AB815" i="38"/>
  <c r="AA815" i="38"/>
  <c r="Z815" i="38"/>
  <c r="Y815" i="38"/>
  <c r="X815" i="38"/>
  <c r="W815" i="38"/>
  <c r="V815" i="38"/>
  <c r="V794" i="38" s="1"/>
  <c r="V793" i="38" s="1"/>
  <c r="U815" i="38"/>
  <c r="T815" i="38"/>
  <c r="S815" i="38"/>
  <c r="R815" i="38"/>
  <c r="Q815" i="38"/>
  <c r="C815" i="38"/>
  <c r="AG814" i="38"/>
  <c r="AF814" i="38"/>
  <c r="AE814" i="38"/>
  <c r="AH814" i="38" s="1"/>
  <c r="AD814" i="38"/>
  <c r="Q814" i="38"/>
  <c r="C814" i="38"/>
  <c r="AG813" i="38"/>
  <c r="AI813" i="38" s="1"/>
  <c r="AF813" i="38"/>
  <c r="AF810" i="38" s="1"/>
  <c r="AE813" i="38"/>
  <c r="AD813" i="38"/>
  <c r="AH813" i="38" s="1"/>
  <c r="Q813" i="38"/>
  <c r="C813" i="38"/>
  <c r="AI812" i="38"/>
  <c r="AG812" i="38"/>
  <c r="AF812" i="38"/>
  <c r="AE812" i="38"/>
  <c r="AD812" i="38"/>
  <c r="AH812" i="38" s="1"/>
  <c r="AJ812" i="38" s="1"/>
  <c r="Q812" i="38"/>
  <c r="C812" i="38"/>
  <c r="AG811" i="38"/>
  <c r="AI811" i="38" s="1"/>
  <c r="AF811" i="38"/>
  <c r="AE811" i="38"/>
  <c r="AE810" i="38" s="1"/>
  <c r="AD811" i="38"/>
  <c r="Q811" i="38"/>
  <c r="C811" i="38"/>
  <c r="AC810" i="38"/>
  <c r="AB810" i="38"/>
  <c r="AB794" i="38" s="1"/>
  <c r="AB793" i="38" s="1"/>
  <c r="AA810" i="38"/>
  <c r="AA794" i="38" s="1"/>
  <c r="AA793" i="38" s="1"/>
  <c r="Z810" i="38"/>
  <c r="Y810" i="38"/>
  <c r="X810" i="38"/>
  <c r="W810" i="38"/>
  <c r="V810" i="38"/>
  <c r="U810" i="38"/>
  <c r="T810" i="38"/>
  <c r="T794" i="38" s="1"/>
  <c r="T793" i="38" s="1"/>
  <c r="S810" i="38"/>
  <c r="S794" i="38" s="1"/>
  <c r="S793" i="38" s="1"/>
  <c r="R810" i="38"/>
  <c r="Q810" i="38"/>
  <c r="C810" i="38"/>
  <c r="AG809" i="38"/>
  <c r="AF809" i="38"/>
  <c r="AF805" i="38" s="1"/>
  <c r="AE809" i="38"/>
  <c r="AD809" i="38"/>
  <c r="Q809" i="38"/>
  <c r="C809" i="38"/>
  <c r="AI808" i="38"/>
  <c r="AG808" i="38"/>
  <c r="AF808" i="38"/>
  <c r="AE808" i="38"/>
  <c r="AE805" i="38" s="1"/>
  <c r="AD808" i="38"/>
  <c r="Q808" i="38"/>
  <c r="C808" i="38"/>
  <c r="AG807" i="38"/>
  <c r="AI807" i="38" s="1"/>
  <c r="AF807" i="38"/>
  <c r="AE807" i="38"/>
  <c r="AD807" i="38"/>
  <c r="AH807" i="38" s="1"/>
  <c r="AJ807" i="38" s="1"/>
  <c r="Q807" i="38"/>
  <c r="C807" i="38"/>
  <c r="AI806" i="38"/>
  <c r="AG806" i="38"/>
  <c r="AG805" i="38" s="1"/>
  <c r="AF806" i="38"/>
  <c r="AE806" i="38"/>
  <c r="AD806" i="38"/>
  <c r="AH806" i="38" s="1"/>
  <c r="Q806" i="38"/>
  <c r="C806" i="38"/>
  <c r="AC805" i="38"/>
  <c r="AB805" i="38"/>
  <c r="AA805" i="38"/>
  <c r="Z805" i="38"/>
  <c r="Y805" i="38"/>
  <c r="X805" i="38"/>
  <c r="W805" i="38"/>
  <c r="V805" i="38"/>
  <c r="U805" i="38"/>
  <c r="T805" i="38"/>
  <c r="S805" i="38"/>
  <c r="R805" i="38"/>
  <c r="Q805" i="38"/>
  <c r="C805" i="38"/>
  <c r="AI804" i="38"/>
  <c r="AG804" i="38"/>
  <c r="AF804" i="38"/>
  <c r="AE804" i="38"/>
  <c r="AE800" i="38" s="1"/>
  <c r="AD804" i="38"/>
  <c r="AH804" i="38" s="1"/>
  <c r="AJ804" i="38" s="1"/>
  <c r="Q804" i="38"/>
  <c r="C804" i="38"/>
  <c r="AG803" i="38"/>
  <c r="AI803" i="38" s="1"/>
  <c r="AF803" i="38"/>
  <c r="AE803" i="38"/>
  <c r="AD803" i="38"/>
  <c r="Q803" i="38"/>
  <c r="C803" i="38"/>
  <c r="AJ802" i="38"/>
  <c r="AI802" i="38"/>
  <c r="AG802" i="38"/>
  <c r="AF802" i="38"/>
  <c r="AE802" i="38"/>
  <c r="AD802" i="38"/>
  <c r="AH802" i="38" s="1"/>
  <c r="Q802" i="38"/>
  <c r="C802" i="38"/>
  <c r="AI801" i="38"/>
  <c r="AH801" i="38"/>
  <c r="AJ801" i="38" s="1"/>
  <c r="AG801" i="38"/>
  <c r="AF801" i="38"/>
  <c r="AF800" i="38" s="1"/>
  <c r="AE801" i="38"/>
  <c r="AD801" i="38"/>
  <c r="Q801" i="38"/>
  <c r="C801" i="38"/>
  <c r="AI800" i="38"/>
  <c r="AG800" i="38"/>
  <c r="AC800" i="38"/>
  <c r="AB800" i="38"/>
  <c r="AA800" i="38"/>
  <c r="Z800" i="38"/>
  <c r="Y800" i="38"/>
  <c r="X800" i="38"/>
  <c r="W800" i="38"/>
  <c r="W794" i="38" s="1"/>
  <c r="W793" i="38" s="1"/>
  <c r="V800" i="38"/>
  <c r="U800" i="38"/>
  <c r="T800" i="38"/>
  <c r="S800" i="38"/>
  <c r="R800" i="38"/>
  <c r="Q800" i="38"/>
  <c r="C800" i="38"/>
  <c r="AG799" i="38"/>
  <c r="AI799" i="38" s="1"/>
  <c r="AF799" i="38"/>
  <c r="AE799" i="38"/>
  <c r="AD799" i="38"/>
  <c r="Q799" i="38"/>
  <c r="C799" i="38"/>
  <c r="AJ798" i="38"/>
  <c r="AI798" i="38"/>
  <c r="AG798" i="38"/>
  <c r="AF798" i="38"/>
  <c r="AE798" i="38"/>
  <c r="AD798" i="38"/>
  <c r="AH798" i="38" s="1"/>
  <c r="Q798" i="38"/>
  <c r="C798" i="38"/>
  <c r="AI797" i="38"/>
  <c r="AI795" i="38" s="1"/>
  <c r="AH797" i="38"/>
  <c r="AG797" i="38"/>
  <c r="AF797" i="38"/>
  <c r="AE797" i="38"/>
  <c r="AD797" i="38"/>
  <c r="X797" i="38"/>
  <c r="Q797" i="38"/>
  <c r="C797" i="38"/>
  <c r="AI796" i="38"/>
  <c r="AH796" i="38"/>
  <c r="AJ796" i="38" s="1"/>
  <c r="AG796" i="38"/>
  <c r="AF796" i="38"/>
  <c r="AF795" i="38" s="1"/>
  <c r="AE796" i="38"/>
  <c r="AD796" i="38"/>
  <c r="Q796" i="38"/>
  <c r="C796" i="38"/>
  <c r="A796" i="38"/>
  <c r="A797" i="38" s="1"/>
  <c r="A798" i="38" s="1"/>
  <c r="A799" i="38" s="1"/>
  <c r="A800" i="38" s="1"/>
  <c r="A801" i="38" s="1"/>
  <c r="A802" i="38" s="1"/>
  <c r="A803" i="38" s="1"/>
  <c r="A804" i="38" s="1"/>
  <c r="A805" i="38" s="1"/>
  <c r="A806" i="38" s="1"/>
  <c r="A807" i="38" s="1"/>
  <c r="A808" i="38" s="1"/>
  <c r="A809" i="38" s="1"/>
  <c r="A810" i="38" s="1"/>
  <c r="A811" i="38" s="1"/>
  <c r="A812" i="38" s="1"/>
  <c r="A813" i="38" s="1"/>
  <c r="A814" i="38" s="1"/>
  <c r="AG795" i="38"/>
  <c r="AE795" i="38"/>
  <c r="AC795" i="38"/>
  <c r="AB795" i="38"/>
  <c r="AA795" i="38"/>
  <c r="Z795" i="38"/>
  <c r="Y795" i="38"/>
  <c r="X795" i="38"/>
  <c r="W795" i="38"/>
  <c r="V795" i="38"/>
  <c r="U795" i="38"/>
  <c r="T795" i="38"/>
  <c r="S795" i="38"/>
  <c r="R795" i="38"/>
  <c r="Q795" i="38"/>
  <c r="C795" i="38"/>
  <c r="X794" i="38"/>
  <c r="Q794" i="38"/>
  <c r="C794" i="38"/>
  <c r="A794" i="38"/>
  <c r="X793" i="38"/>
  <c r="Q793" i="38"/>
  <c r="C793" i="38"/>
  <c r="AH792" i="38"/>
  <c r="AG792" i="38"/>
  <c r="AF792" i="38"/>
  <c r="AE792" i="38"/>
  <c r="AD792" i="38"/>
  <c r="Q792" i="38"/>
  <c r="C792" i="38"/>
  <c r="AG791" i="38"/>
  <c r="AF791" i="38"/>
  <c r="AE791" i="38"/>
  <c r="AE786" i="38" s="1"/>
  <c r="AD791" i="38"/>
  <c r="Q791" i="38"/>
  <c r="C791" i="38"/>
  <c r="AI790" i="38"/>
  <c r="AG790" i="38"/>
  <c r="AF790" i="38"/>
  <c r="AE790" i="38"/>
  <c r="AD790" i="38"/>
  <c r="Q790" i="38"/>
  <c r="C790" i="38"/>
  <c r="AI789" i="38"/>
  <c r="AJ789" i="38" s="1"/>
  <c r="AH789" i="38"/>
  <c r="AG789" i="38"/>
  <c r="AF789" i="38"/>
  <c r="AE789" i="38"/>
  <c r="AD789" i="38"/>
  <c r="Q789" i="38"/>
  <c r="C789" i="38"/>
  <c r="AI788" i="38"/>
  <c r="AH788" i="38"/>
  <c r="AJ788" i="38" s="1"/>
  <c r="AG788" i="38"/>
  <c r="AF788" i="38"/>
  <c r="AE788" i="38"/>
  <c r="AD788" i="38"/>
  <c r="Q788" i="38"/>
  <c r="C788" i="38"/>
  <c r="A788" i="38"/>
  <c r="A789" i="38" s="1"/>
  <c r="A790" i="38" s="1"/>
  <c r="AI787" i="38"/>
  <c r="AH787" i="38"/>
  <c r="AG787" i="38"/>
  <c r="AF787" i="38"/>
  <c r="AE787" i="38"/>
  <c r="AD787" i="38"/>
  <c r="Q787" i="38"/>
  <c r="C787" i="38"/>
  <c r="AC786" i="38"/>
  <c r="AB786" i="38"/>
  <c r="AA786" i="38"/>
  <c r="Z786" i="38"/>
  <c r="Y786" i="38"/>
  <c r="X786" i="38"/>
  <c r="W786" i="38"/>
  <c r="V786" i="38"/>
  <c r="U786" i="38"/>
  <c r="T786" i="38"/>
  <c r="S786" i="38"/>
  <c r="R786" i="38"/>
  <c r="Q786" i="38"/>
  <c r="C786" i="38"/>
  <c r="AH785" i="38"/>
  <c r="AG785" i="38"/>
  <c r="AF785" i="38"/>
  <c r="AE785" i="38"/>
  <c r="AD785" i="38"/>
  <c r="Q785" i="38"/>
  <c r="C785" i="38"/>
  <c r="AG784" i="38"/>
  <c r="AF784" i="38"/>
  <c r="AF781" i="38" s="1"/>
  <c r="AE784" i="38"/>
  <c r="AD784" i="38"/>
  <c r="Q784" i="38"/>
  <c r="C784" i="38"/>
  <c r="AI783" i="38"/>
  <c r="AG783" i="38"/>
  <c r="AF783" i="38"/>
  <c r="AE783" i="38"/>
  <c r="AE781" i="38" s="1"/>
  <c r="AD783" i="38"/>
  <c r="Q783" i="38"/>
  <c r="C783" i="38"/>
  <c r="AI782" i="38"/>
  <c r="AG782" i="38"/>
  <c r="AF782" i="38"/>
  <c r="AE782" i="38"/>
  <c r="AH782" i="38" s="1"/>
  <c r="AD782" i="38"/>
  <c r="Q782" i="38"/>
  <c r="C782" i="38"/>
  <c r="AC781" i="38"/>
  <c r="AB781" i="38"/>
  <c r="AA781" i="38"/>
  <c r="AA361" i="38" s="1"/>
  <c r="Z781" i="38"/>
  <c r="Y781" i="38"/>
  <c r="Y755" i="38" s="1"/>
  <c r="Y754" i="38" s="1"/>
  <c r="X781" i="38"/>
  <c r="W781" i="38"/>
  <c r="V781" i="38"/>
  <c r="U781" i="38"/>
  <c r="T781" i="38"/>
  <c r="S781" i="38"/>
  <c r="S361" i="38" s="1"/>
  <c r="S380" i="38" s="1"/>
  <c r="R781" i="38"/>
  <c r="Q781" i="38"/>
  <c r="C781" i="38"/>
  <c r="AJ780" i="38"/>
  <c r="AI780" i="38"/>
  <c r="AG780" i="38"/>
  <c r="AF780" i="38"/>
  <c r="AE780" i="38"/>
  <c r="AH780" i="38" s="1"/>
  <c r="AD780" i="38"/>
  <c r="Q780" i="38"/>
  <c r="C780" i="38"/>
  <c r="AI779" i="38"/>
  <c r="AH779" i="38"/>
  <c r="AG779" i="38"/>
  <c r="AF779" i="38"/>
  <c r="AE779" i="38"/>
  <c r="AD779" i="38"/>
  <c r="Q779" i="38"/>
  <c r="C779" i="38"/>
  <c r="AG778" i="38"/>
  <c r="AF778" i="38"/>
  <c r="AF776" i="38" s="1"/>
  <c r="AE778" i="38"/>
  <c r="AD778" i="38"/>
  <c r="AH778" i="38" s="1"/>
  <c r="Q778" i="38"/>
  <c r="C778" i="38"/>
  <c r="AI777" i="38"/>
  <c r="AG777" i="38"/>
  <c r="AF777" i="38"/>
  <c r="AE777" i="38"/>
  <c r="AE776" i="38" s="1"/>
  <c r="AD777" i="38"/>
  <c r="Q777" i="38"/>
  <c r="C777" i="38"/>
  <c r="AC776" i="38"/>
  <c r="AB776" i="38"/>
  <c r="AA776" i="38"/>
  <c r="Z776" i="38"/>
  <c r="Y776" i="38"/>
  <c r="X776" i="38"/>
  <c r="W776" i="38"/>
  <c r="V776" i="38"/>
  <c r="U776" i="38"/>
  <c r="T776" i="38"/>
  <c r="S776" i="38"/>
  <c r="R776" i="38"/>
  <c r="Q776" i="38"/>
  <c r="C776" i="38"/>
  <c r="AI775" i="38"/>
  <c r="AG775" i="38"/>
  <c r="AF775" i="38"/>
  <c r="AE775" i="38"/>
  <c r="AE771" i="38" s="1"/>
  <c r="AD775" i="38"/>
  <c r="AH775" i="38" s="1"/>
  <c r="AJ775" i="38" s="1"/>
  <c r="Q775" i="38"/>
  <c r="C775" i="38"/>
  <c r="AG774" i="38"/>
  <c r="AF774" i="38"/>
  <c r="AI774" i="38" s="1"/>
  <c r="AE774" i="38"/>
  <c r="AD774" i="38"/>
  <c r="AH774" i="38" s="1"/>
  <c r="Q774" i="38"/>
  <c r="C774" i="38"/>
  <c r="AI773" i="38"/>
  <c r="AG773" i="38"/>
  <c r="AF773" i="38"/>
  <c r="AE773" i="38"/>
  <c r="AH773" i="38" s="1"/>
  <c r="AD773" i="38"/>
  <c r="Q773" i="38"/>
  <c r="C773" i="38"/>
  <c r="AI772" i="38"/>
  <c r="AJ772" i="38" s="1"/>
  <c r="AH772" i="38"/>
  <c r="AG772" i="38"/>
  <c r="AF772" i="38"/>
  <c r="AF771" i="38" s="1"/>
  <c r="AE772" i="38"/>
  <c r="AD772" i="38"/>
  <c r="AD771" i="38" s="1"/>
  <c r="Q772" i="38"/>
  <c r="C772" i="38"/>
  <c r="AG771" i="38"/>
  <c r="AC771" i="38"/>
  <c r="AB771" i="38"/>
  <c r="AA771" i="38"/>
  <c r="Z771" i="38"/>
  <c r="Y771" i="38"/>
  <c r="X771" i="38"/>
  <c r="W771" i="38"/>
  <c r="V771" i="38"/>
  <c r="U771" i="38"/>
  <c r="T771" i="38"/>
  <c r="S771" i="38"/>
  <c r="R771" i="38"/>
  <c r="Q771" i="38"/>
  <c r="C771" i="38"/>
  <c r="AG770" i="38"/>
  <c r="AF770" i="38"/>
  <c r="AI770" i="38" s="1"/>
  <c r="AE770" i="38"/>
  <c r="AD770" i="38"/>
  <c r="Q770" i="38"/>
  <c r="C770" i="38"/>
  <c r="AI769" i="38"/>
  <c r="AG769" i="38"/>
  <c r="AF769" i="38"/>
  <c r="AE769" i="38"/>
  <c r="AH769" i="38" s="1"/>
  <c r="AD769" i="38"/>
  <c r="Q769" i="38"/>
  <c r="C769" i="38"/>
  <c r="AI768" i="38"/>
  <c r="AH768" i="38"/>
  <c r="AJ768" i="38" s="1"/>
  <c r="AG768" i="38"/>
  <c r="AF768" i="38"/>
  <c r="AE768" i="38"/>
  <c r="AD768" i="38"/>
  <c r="Q768" i="38"/>
  <c r="C768" i="38"/>
  <c r="AI767" i="38"/>
  <c r="AH767" i="38"/>
  <c r="AJ767" i="38" s="1"/>
  <c r="AG767" i="38"/>
  <c r="AF767" i="38"/>
  <c r="AE767" i="38"/>
  <c r="AE766" i="38" s="1"/>
  <c r="AD767" i="38"/>
  <c r="Q767" i="38"/>
  <c r="C767" i="38"/>
  <c r="AG766" i="38"/>
  <c r="AF766" i="38"/>
  <c r="AC766" i="38"/>
  <c r="AB766" i="38"/>
  <c r="AA766" i="38"/>
  <c r="Z766" i="38"/>
  <c r="Y766" i="38"/>
  <c r="X766" i="38"/>
  <c r="W766" i="38"/>
  <c r="V766" i="38"/>
  <c r="U766" i="38"/>
  <c r="T766" i="38"/>
  <c r="S766" i="38"/>
  <c r="R766" i="38"/>
  <c r="Q766" i="38"/>
  <c r="C766" i="38"/>
  <c r="AG765" i="38"/>
  <c r="AI765" i="38" s="1"/>
  <c r="AJ765" i="38" s="1"/>
  <c r="AF765" i="38"/>
  <c r="AE765" i="38"/>
  <c r="AH765" i="38" s="1"/>
  <c r="AD765" i="38"/>
  <c r="Q765" i="38"/>
  <c r="C765" i="38"/>
  <c r="AJ764" i="38"/>
  <c r="AH764" i="38"/>
  <c r="AG764" i="38"/>
  <c r="AF764" i="38"/>
  <c r="AI764" i="38" s="1"/>
  <c r="AE764" i="38"/>
  <c r="AD764" i="38"/>
  <c r="Q764" i="38"/>
  <c r="C764" i="38"/>
  <c r="AG763" i="38"/>
  <c r="AF763" i="38"/>
  <c r="AE763" i="38"/>
  <c r="AD763" i="38"/>
  <c r="Q763" i="38"/>
  <c r="C763" i="38"/>
  <c r="AH762" i="38"/>
  <c r="AG762" i="38"/>
  <c r="AI762" i="38" s="1"/>
  <c r="AF762" i="38"/>
  <c r="AE762" i="38"/>
  <c r="AD762" i="38"/>
  <c r="AD761" i="38" s="1"/>
  <c r="Q762" i="38"/>
  <c r="C762" i="38"/>
  <c r="AF761" i="38"/>
  <c r="AC761" i="38"/>
  <c r="AB761" i="38"/>
  <c r="AA761" i="38"/>
  <c r="Z761" i="38"/>
  <c r="Y761" i="38"/>
  <c r="X761" i="38"/>
  <c r="X755" i="38" s="1"/>
  <c r="X754" i="38" s="1"/>
  <c r="W761" i="38"/>
  <c r="W755" i="38" s="1"/>
  <c r="W754" i="38" s="1"/>
  <c r="V761" i="38"/>
  <c r="U761" i="38"/>
  <c r="T761" i="38"/>
  <c r="S761" i="38"/>
  <c r="R761" i="38"/>
  <c r="Q761" i="38"/>
  <c r="C761" i="38"/>
  <c r="AI760" i="38"/>
  <c r="AH760" i="38"/>
  <c r="AJ760" i="38" s="1"/>
  <c r="AG760" i="38"/>
  <c r="AF760" i="38"/>
  <c r="AE760" i="38"/>
  <c r="AD760" i="38"/>
  <c r="Q760" i="38"/>
  <c r="C760" i="38"/>
  <c r="AG759" i="38"/>
  <c r="AI759" i="38" s="1"/>
  <c r="AF759" i="38"/>
  <c r="AE759" i="38"/>
  <c r="AD759" i="38"/>
  <c r="Q759" i="38"/>
  <c r="C759" i="38"/>
  <c r="AH758" i="38"/>
  <c r="AG758" i="38"/>
  <c r="AF758" i="38"/>
  <c r="AE758" i="38"/>
  <c r="AD758" i="38"/>
  <c r="Q758" i="38"/>
  <c r="C758" i="38"/>
  <c r="AG757" i="38"/>
  <c r="AF757" i="38"/>
  <c r="AE757" i="38"/>
  <c r="AD757" i="38"/>
  <c r="Q757" i="38"/>
  <c r="C757" i="38"/>
  <c r="A757" i="38"/>
  <c r="A758" i="38" s="1"/>
  <c r="A759" i="38" s="1"/>
  <c r="A760" i="38" s="1"/>
  <c r="A761" i="38" s="1"/>
  <c r="A762" i="38" s="1"/>
  <c r="A763" i="38" s="1"/>
  <c r="A764" i="38" s="1"/>
  <c r="A765" i="38" s="1"/>
  <c r="A766" i="38" s="1"/>
  <c r="A767" i="38" s="1"/>
  <c r="A768" i="38" s="1"/>
  <c r="A769" i="38" s="1"/>
  <c r="A770" i="38" s="1"/>
  <c r="A771" i="38" s="1"/>
  <c r="A772" i="38" s="1"/>
  <c r="A773" i="38" s="1"/>
  <c r="A774" i="38" s="1"/>
  <c r="A775" i="38" s="1"/>
  <c r="AD756" i="38"/>
  <c r="AC756" i="38"/>
  <c r="AB756" i="38"/>
  <c r="AA756" i="38"/>
  <c r="Z756" i="38"/>
  <c r="Y756" i="38"/>
  <c r="X756" i="38"/>
  <c r="W756" i="38"/>
  <c r="V756" i="38"/>
  <c r="U756" i="38"/>
  <c r="T756" i="38"/>
  <c r="T755" i="38" s="1"/>
  <c r="T754" i="38" s="1"/>
  <c r="S756" i="38"/>
  <c r="R756" i="38"/>
  <c r="Q756" i="38"/>
  <c r="C756" i="38"/>
  <c r="AB755" i="38"/>
  <c r="V755" i="38"/>
  <c r="V754" i="38" s="1"/>
  <c r="Q755" i="38"/>
  <c r="C755" i="38"/>
  <c r="AB754" i="38"/>
  <c r="Q754" i="38"/>
  <c r="C754" i="38"/>
  <c r="Q753" i="38"/>
  <c r="C753" i="38"/>
  <c r="Q752" i="38"/>
  <c r="C752" i="38"/>
  <c r="AG751" i="38"/>
  <c r="AF751" i="38"/>
  <c r="AI751" i="38" s="1"/>
  <c r="AJ751" i="38" s="1"/>
  <c r="AE751" i="38"/>
  <c r="AD751" i="38"/>
  <c r="AH751" i="38" s="1"/>
  <c r="Q751" i="38"/>
  <c r="C751" i="38"/>
  <c r="AG750" i="38"/>
  <c r="AI750" i="38" s="1"/>
  <c r="AF750" i="38"/>
  <c r="AE750" i="38"/>
  <c r="AH750" i="38" s="1"/>
  <c r="AD750" i="38"/>
  <c r="Q750" i="38"/>
  <c r="C750" i="38"/>
  <c r="AG749" i="38"/>
  <c r="AF749" i="38"/>
  <c r="AI749" i="38" s="1"/>
  <c r="AE749" i="38"/>
  <c r="AD749" i="38"/>
  <c r="AH749" i="38" s="1"/>
  <c r="Q749" i="38"/>
  <c r="C749" i="38"/>
  <c r="AJ748" i="38"/>
  <c r="AI748" i="38"/>
  <c r="AH748" i="38"/>
  <c r="AG748" i="38"/>
  <c r="AF748" i="38"/>
  <c r="AE748" i="38"/>
  <c r="AD748" i="38"/>
  <c r="Q748" i="38"/>
  <c r="C748" i="38"/>
  <c r="AG747" i="38"/>
  <c r="AE747" i="38"/>
  <c r="AC747" i="38"/>
  <c r="AB747" i="38"/>
  <c r="AA747" i="38"/>
  <c r="Z747" i="38"/>
  <c r="Y747" i="38"/>
  <c r="X747" i="38"/>
  <c r="AF747" i="38" s="1"/>
  <c r="W747" i="38"/>
  <c r="V747" i="38"/>
  <c r="U747" i="38"/>
  <c r="T747" i="38"/>
  <c r="S747" i="38"/>
  <c r="AD747" i="38" s="1"/>
  <c r="R747" i="38"/>
  <c r="Q747" i="38"/>
  <c r="C747" i="38"/>
  <c r="AI746" i="38"/>
  <c r="AH746" i="38"/>
  <c r="AJ746" i="38" s="1"/>
  <c r="AG746" i="38"/>
  <c r="AF746" i="38"/>
  <c r="AE746" i="38"/>
  <c r="AD746" i="38"/>
  <c r="Q746" i="38"/>
  <c r="C746" i="38"/>
  <c r="AH745" i="38"/>
  <c r="AJ745" i="38" s="1"/>
  <c r="AG745" i="38"/>
  <c r="AI745" i="38" s="1"/>
  <c r="AF745" i="38"/>
  <c r="AE745" i="38"/>
  <c r="AD745" i="38"/>
  <c r="Q745" i="38"/>
  <c r="C745" i="38"/>
  <c r="AH744" i="38"/>
  <c r="AG744" i="38"/>
  <c r="AI744" i="38" s="1"/>
  <c r="AF744" i="38"/>
  <c r="AE744" i="38"/>
  <c r="AD744" i="38"/>
  <c r="Q744" i="38"/>
  <c r="C744" i="38"/>
  <c r="AG743" i="38"/>
  <c r="AF743" i="38"/>
  <c r="AF741" i="38" s="1"/>
  <c r="AE743" i="38"/>
  <c r="AC743" i="38"/>
  <c r="AB743" i="38"/>
  <c r="AB741" i="38" s="1"/>
  <c r="AA743" i="38"/>
  <c r="Z743" i="38"/>
  <c r="Y743" i="38"/>
  <c r="X743" i="38"/>
  <c r="X741" i="38" s="1"/>
  <c r="W743" i="38"/>
  <c r="W741" i="38" s="1"/>
  <c r="V743" i="38"/>
  <c r="U743" i="38"/>
  <c r="T743" i="38"/>
  <c r="T741" i="38" s="1"/>
  <c r="S743" i="38"/>
  <c r="AD743" i="38" s="1"/>
  <c r="R743" i="38"/>
  <c r="Q743" i="38"/>
  <c r="C743" i="38"/>
  <c r="AI742" i="38"/>
  <c r="AH742" i="38"/>
  <c r="AG742" i="38"/>
  <c r="AF742" i="38"/>
  <c r="AE742" i="38"/>
  <c r="AD742" i="38"/>
  <c r="Q742" i="38"/>
  <c r="C742" i="38"/>
  <c r="AC741" i="38"/>
  <c r="AA741" i="38"/>
  <c r="Z741" i="38"/>
  <c r="Y741" i="38"/>
  <c r="V741" i="38"/>
  <c r="U741" i="38"/>
  <c r="S741" i="38"/>
  <c r="R741" i="38"/>
  <c r="Q741" i="38"/>
  <c r="C741" i="38"/>
  <c r="AG740" i="38"/>
  <c r="AF740" i="38"/>
  <c r="AI740" i="38" s="1"/>
  <c r="AE740" i="38"/>
  <c r="AD740" i="38"/>
  <c r="AH740" i="38" s="1"/>
  <c r="Q740" i="38"/>
  <c r="C740" i="38"/>
  <c r="AI739" i="38"/>
  <c r="AG739" i="38"/>
  <c r="AF739" i="38"/>
  <c r="AE739" i="38"/>
  <c r="AH739" i="38" s="1"/>
  <c r="AJ739" i="38" s="1"/>
  <c r="AD739" i="38"/>
  <c r="Q739" i="38"/>
  <c r="C739" i="38"/>
  <c r="AI738" i="38"/>
  <c r="AH738" i="38"/>
  <c r="AJ738" i="38" s="1"/>
  <c r="AG738" i="38"/>
  <c r="AF738" i="38"/>
  <c r="AE738" i="38"/>
  <c r="AD738" i="38"/>
  <c r="Q738" i="38"/>
  <c r="C738" i="38"/>
  <c r="AC737" i="38"/>
  <c r="AB737" i="38"/>
  <c r="AA737" i="38"/>
  <c r="Z737" i="38"/>
  <c r="Z735" i="38" s="1"/>
  <c r="Y737" i="38"/>
  <c r="Y735" i="38" s="1"/>
  <c r="X737" i="38"/>
  <c r="W737" i="38"/>
  <c r="V737" i="38"/>
  <c r="V735" i="38" s="1"/>
  <c r="U737" i="38"/>
  <c r="AE737" i="38" s="1"/>
  <c r="AE735" i="38" s="1"/>
  <c r="T737" i="38"/>
  <c r="S737" i="38"/>
  <c r="S735" i="38" s="1"/>
  <c r="R737" i="38"/>
  <c r="Q737" i="38"/>
  <c r="C737" i="38"/>
  <c r="AG736" i="38"/>
  <c r="AF736" i="38"/>
  <c r="AI736" i="38" s="1"/>
  <c r="AE736" i="38"/>
  <c r="AD736" i="38"/>
  <c r="Q736" i="38"/>
  <c r="C736" i="38"/>
  <c r="AC735" i="38"/>
  <c r="AB735" i="38"/>
  <c r="X735" i="38"/>
  <c r="W735" i="38"/>
  <c r="U735" i="38"/>
  <c r="T735" i="38"/>
  <c r="Q735" i="38"/>
  <c r="C735" i="38"/>
  <c r="AG734" i="38"/>
  <c r="AF734" i="38"/>
  <c r="AI734" i="38" s="1"/>
  <c r="AE734" i="38"/>
  <c r="AD734" i="38"/>
  <c r="Q734" i="38"/>
  <c r="C734" i="38"/>
  <c r="AG733" i="38"/>
  <c r="AI733" i="38" s="1"/>
  <c r="AF733" i="38"/>
  <c r="AE733" i="38"/>
  <c r="AD733" i="38"/>
  <c r="Q733" i="38"/>
  <c r="C733" i="38"/>
  <c r="AG732" i="38"/>
  <c r="AF732" i="38"/>
  <c r="AI732" i="38" s="1"/>
  <c r="AE732" i="38"/>
  <c r="AD732" i="38"/>
  <c r="AH732" i="38" s="1"/>
  <c r="AJ732" i="38" s="1"/>
  <c r="Q732" i="38"/>
  <c r="C732" i="38"/>
  <c r="AC731" i="38"/>
  <c r="AB731" i="38"/>
  <c r="AB729" i="38" s="1"/>
  <c r="AA731" i="38"/>
  <c r="Z731" i="38"/>
  <c r="Z729" i="38" s="1"/>
  <c r="Y731" i="38"/>
  <c r="X731" i="38"/>
  <c r="AF731" i="38" s="1"/>
  <c r="W731" i="38"/>
  <c r="V731" i="38"/>
  <c r="U731" i="38"/>
  <c r="AE731" i="38" s="1"/>
  <c r="AE729" i="38" s="1"/>
  <c r="T731" i="38"/>
  <c r="T729" i="38" s="1"/>
  <c r="S731" i="38"/>
  <c r="S729" i="38" s="1"/>
  <c r="R731" i="38"/>
  <c r="R729" i="38" s="1"/>
  <c r="Q731" i="38"/>
  <c r="C731" i="38"/>
  <c r="AG730" i="38"/>
  <c r="AF730" i="38"/>
  <c r="AE730" i="38"/>
  <c r="AD730" i="38"/>
  <c r="Q730" i="38"/>
  <c r="C730" i="38"/>
  <c r="AC729" i="38"/>
  <c r="Y729" i="38"/>
  <c r="W729" i="38"/>
  <c r="V729" i="38"/>
  <c r="V716" i="38" s="1"/>
  <c r="V708" i="38" s="1"/>
  <c r="U729" i="38"/>
  <c r="U716" i="38" s="1"/>
  <c r="U708" i="38" s="1"/>
  <c r="Q729" i="38"/>
  <c r="C729" i="38"/>
  <c r="AH728" i="38"/>
  <c r="AJ728" i="38" s="1"/>
  <c r="AG728" i="38"/>
  <c r="AI728" i="38" s="1"/>
  <c r="AF728" i="38"/>
  <c r="AE728" i="38"/>
  <c r="AD728" i="38"/>
  <c r="Q728" i="38"/>
  <c r="C728" i="38"/>
  <c r="AG727" i="38"/>
  <c r="AI727" i="38" s="1"/>
  <c r="AF727" i="38"/>
  <c r="AE727" i="38"/>
  <c r="AD727" i="38"/>
  <c r="AH727" i="38" s="1"/>
  <c r="AJ727" i="38" s="1"/>
  <c r="Q727" i="38"/>
  <c r="C727" i="38"/>
  <c r="AG726" i="38"/>
  <c r="AF726" i="38"/>
  <c r="AI726" i="38" s="1"/>
  <c r="AE726" i="38"/>
  <c r="AD726" i="38"/>
  <c r="Q726" i="38"/>
  <c r="C726" i="38"/>
  <c r="AD725" i="38"/>
  <c r="AC725" i="38"/>
  <c r="AB725" i="38"/>
  <c r="AB723" i="38" s="1"/>
  <c r="AA725" i="38"/>
  <c r="Z725" i="38"/>
  <c r="Z723" i="38" s="1"/>
  <c r="Y725" i="38"/>
  <c r="X725" i="38"/>
  <c r="AF725" i="38" s="1"/>
  <c r="AF723" i="38" s="1"/>
  <c r="W725" i="38"/>
  <c r="V725" i="38"/>
  <c r="V723" i="38" s="1"/>
  <c r="U725" i="38"/>
  <c r="U723" i="38" s="1"/>
  <c r="T725" i="38"/>
  <c r="T723" i="38" s="1"/>
  <c r="S725" i="38"/>
  <c r="R725" i="38"/>
  <c r="R723" i="38" s="1"/>
  <c r="Q725" i="38"/>
  <c r="C725" i="38"/>
  <c r="AH724" i="38"/>
  <c r="AG724" i="38"/>
  <c r="AI724" i="38" s="1"/>
  <c r="AF724" i="38"/>
  <c r="AE724" i="38"/>
  <c r="AD724" i="38"/>
  <c r="Q724" i="38"/>
  <c r="C724" i="38"/>
  <c r="AA723" i="38"/>
  <c r="Y723" i="38"/>
  <c r="X723" i="38"/>
  <c r="W723" i="38"/>
  <c r="S723" i="38"/>
  <c r="Q723" i="38"/>
  <c r="C723" i="38"/>
  <c r="AJ722" i="38"/>
  <c r="AI722" i="38"/>
  <c r="AH722" i="38"/>
  <c r="AG722" i="38"/>
  <c r="AF722" i="38"/>
  <c r="AE722" i="38"/>
  <c r="AD722" i="38"/>
  <c r="Q722" i="38"/>
  <c r="C722" i="38"/>
  <c r="AH721" i="38"/>
  <c r="AG721" i="38"/>
  <c r="AI721" i="38" s="1"/>
  <c r="AF721" i="38"/>
  <c r="AE721" i="38"/>
  <c r="AD721" i="38"/>
  <c r="Q721" i="38"/>
  <c r="C721" i="38"/>
  <c r="AH720" i="38"/>
  <c r="AG720" i="38"/>
  <c r="AI720" i="38" s="1"/>
  <c r="AF720" i="38"/>
  <c r="AE720" i="38"/>
  <c r="AD720" i="38"/>
  <c r="Q720" i="38"/>
  <c r="C720" i="38"/>
  <c r="AG719" i="38"/>
  <c r="AF719" i="38"/>
  <c r="AF717" i="38" s="1"/>
  <c r="AE719" i="38"/>
  <c r="AC719" i="38"/>
  <c r="AB719" i="38"/>
  <c r="AB717" i="38" s="1"/>
  <c r="AB716" i="38" s="1"/>
  <c r="AB708" i="38" s="1"/>
  <c r="AA719" i="38"/>
  <c r="Z719" i="38"/>
  <c r="Y719" i="38"/>
  <c r="X719" i="38"/>
  <c r="X717" i="38" s="1"/>
  <c r="W719" i="38"/>
  <c r="W717" i="38" s="1"/>
  <c r="W716" i="38" s="1"/>
  <c r="W708" i="38" s="1"/>
  <c r="V719" i="38"/>
  <c r="V717" i="38" s="1"/>
  <c r="U719" i="38"/>
  <c r="T719" i="38"/>
  <c r="T717" i="38" s="1"/>
  <c r="S719" i="38"/>
  <c r="AD719" i="38" s="1"/>
  <c r="R719" i="38"/>
  <c r="Q719" i="38"/>
  <c r="C719" i="38"/>
  <c r="AI718" i="38"/>
  <c r="AH718" i="38"/>
  <c r="AJ718" i="38" s="1"/>
  <c r="AG718" i="38"/>
  <c r="AF718" i="38"/>
  <c r="AE718" i="38"/>
  <c r="AD718" i="38"/>
  <c r="AD717" i="38" s="1"/>
  <c r="Q718" i="38"/>
  <c r="C718" i="38"/>
  <c r="AG717" i="38"/>
  <c r="AC717" i="38"/>
  <c r="AA717" i="38"/>
  <c r="Z717" i="38"/>
  <c r="Y717" i="38"/>
  <c r="U717" i="38"/>
  <c r="S717" i="38"/>
  <c r="S716" i="38" s="1"/>
  <c r="R717" i="38"/>
  <c r="Q717" i="38"/>
  <c r="C717" i="38"/>
  <c r="T716" i="38"/>
  <c r="T708" i="38" s="1"/>
  <c r="Q716" i="38"/>
  <c r="C716" i="38"/>
  <c r="AG715" i="38"/>
  <c r="AI715" i="38" s="1"/>
  <c r="AF715" i="38"/>
  <c r="AE715" i="38"/>
  <c r="AD715" i="38"/>
  <c r="Q715" i="38"/>
  <c r="C715" i="38"/>
  <c r="AG714" i="38"/>
  <c r="AF714" i="38"/>
  <c r="AI714" i="38" s="1"/>
  <c r="AE714" i="38"/>
  <c r="AD714" i="38"/>
  <c r="AH714" i="38" s="1"/>
  <c r="AJ714" i="38" s="1"/>
  <c r="Q714" i="38"/>
  <c r="C714" i="38"/>
  <c r="AG713" i="38"/>
  <c r="AI713" i="38" s="1"/>
  <c r="AF713" i="38"/>
  <c r="AE713" i="38"/>
  <c r="AD713" i="38"/>
  <c r="Q713" i="38"/>
  <c r="C713" i="38"/>
  <c r="AJ712" i="38"/>
  <c r="AG712" i="38"/>
  <c r="AF712" i="38"/>
  <c r="AI712" i="38" s="1"/>
  <c r="AE712" i="38"/>
  <c r="AD712" i="38"/>
  <c r="AH712" i="38" s="1"/>
  <c r="Q712" i="38"/>
  <c r="C712" i="38"/>
  <c r="AI711" i="38"/>
  <c r="AJ711" i="38" s="1"/>
  <c r="AG711" i="38"/>
  <c r="AF711" i="38"/>
  <c r="AE711" i="38"/>
  <c r="AH711" i="38" s="1"/>
  <c r="AD711" i="38"/>
  <c r="Q711" i="38"/>
  <c r="C711" i="38"/>
  <c r="AI710" i="38"/>
  <c r="AH710" i="38"/>
  <c r="AG710" i="38"/>
  <c r="AF710" i="38"/>
  <c r="AE710" i="38"/>
  <c r="AD710" i="38"/>
  <c r="Q710" i="38"/>
  <c r="C710" i="38"/>
  <c r="AI709" i="38"/>
  <c r="AG709" i="38"/>
  <c r="AC709" i="38"/>
  <c r="AB709" i="38"/>
  <c r="AA709" i="38"/>
  <c r="Z709" i="38"/>
  <c r="Y709" i="38"/>
  <c r="X709" i="38"/>
  <c r="W709" i="38"/>
  <c r="V709" i="38"/>
  <c r="U709" i="38"/>
  <c r="T709" i="38"/>
  <c r="S709" i="38"/>
  <c r="R709" i="38"/>
  <c r="Q709" i="38"/>
  <c r="C709" i="38"/>
  <c r="Q708" i="38"/>
  <c r="C708" i="38"/>
  <c r="AG707" i="38"/>
  <c r="AI707" i="38" s="1"/>
  <c r="AF707" i="38"/>
  <c r="AE707" i="38"/>
  <c r="AD707" i="38"/>
  <c r="Q707" i="38"/>
  <c r="C707" i="38"/>
  <c r="AG706" i="38"/>
  <c r="AF706" i="38"/>
  <c r="AI706" i="38" s="1"/>
  <c r="AE706" i="38"/>
  <c r="AD706" i="38"/>
  <c r="AH706" i="38" s="1"/>
  <c r="AJ706" i="38" s="1"/>
  <c r="Q706" i="38"/>
  <c r="C706" i="38"/>
  <c r="AG705" i="38"/>
  <c r="AI705" i="38" s="1"/>
  <c r="AF705" i="38"/>
  <c r="AE705" i="38"/>
  <c r="AD705" i="38"/>
  <c r="Q705" i="38"/>
  <c r="C705" i="38"/>
  <c r="AG704" i="38"/>
  <c r="AF704" i="38"/>
  <c r="AI704" i="38" s="1"/>
  <c r="AE704" i="38"/>
  <c r="AD704" i="38"/>
  <c r="AH704" i="38" s="1"/>
  <c r="Q704" i="38"/>
  <c r="C704" i="38"/>
  <c r="AC703" i="38"/>
  <c r="AB703" i="38"/>
  <c r="AA703" i="38"/>
  <c r="Z703" i="38"/>
  <c r="Y703" i="38"/>
  <c r="X703" i="38"/>
  <c r="AF703" i="38" s="1"/>
  <c r="W703" i="38"/>
  <c r="V703" i="38"/>
  <c r="U703" i="38"/>
  <c r="AE703" i="38" s="1"/>
  <c r="T703" i="38"/>
  <c r="S703" i="38"/>
  <c r="R703" i="38"/>
  <c r="Q703" i="38"/>
  <c r="C703" i="38"/>
  <c r="AG702" i="38"/>
  <c r="AF702" i="38"/>
  <c r="AI702" i="38" s="1"/>
  <c r="AE702" i="38"/>
  <c r="AD702" i="38"/>
  <c r="AH702" i="38" s="1"/>
  <c r="AJ702" i="38" s="1"/>
  <c r="Q702" i="38"/>
  <c r="C702" i="38"/>
  <c r="AG701" i="38"/>
  <c r="AI701" i="38" s="1"/>
  <c r="AF701" i="38"/>
  <c r="AE701" i="38"/>
  <c r="AD701" i="38"/>
  <c r="AH701" i="38" s="1"/>
  <c r="AJ701" i="38" s="1"/>
  <c r="Q701" i="38"/>
  <c r="C701" i="38"/>
  <c r="AG700" i="38"/>
  <c r="AF700" i="38"/>
  <c r="AI700" i="38" s="1"/>
  <c r="AJ700" i="38" s="1"/>
  <c r="AE700" i="38"/>
  <c r="AD700" i="38"/>
  <c r="AH700" i="38" s="1"/>
  <c r="Q700" i="38"/>
  <c r="C700" i="38"/>
  <c r="AC699" i="38"/>
  <c r="AB699" i="38"/>
  <c r="AB697" i="38" s="1"/>
  <c r="AA699" i="38"/>
  <c r="Z699" i="38"/>
  <c r="Z697" i="38" s="1"/>
  <c r="Y699" i="38"/>
  <c r="X699" i="38"/>
  <c r="AF699" i="38" s="1"/>
  <c r="W699" i="38"/>
  <c r="V699" i="38"/>
  <c r="U699" i="38"/>
  <c r="AE699" i="38" s="1"/>
  <c r="T699" i="38"/>
  <c r="T697" i="38" s="1"/>
  <c r="S699" i="38"/>
  <c r="S697" i="38" s="1"/>
  <c r="R699" i="38"/>
  <c r="R697" i="38" s="1"/>
  <c r="Q699" i="38"/>
  <c r="C699" i="38"/>
  <c r="AG698" i="38"/>
  <c r="AF698" i="38"/>
  <c r="AE698" i="38"/>
  <c r="AD698" i="38"/>
  <c r="AH698" i="38" s="1"/>
  <c r="Q698" i="38"/>
  <c r="C698" i="38"/>
  <c r="AE697" i="38"/>
  <c r="AC697" i="38"/>
  <c r="Y697" i="38"/>
  <c r="W697" i="38"/>
  <c r="V697" i="38"/>
  <c r="Q697" i="38"/>
  <c r="C697" i="38"/>
  <c r="AH696" i="38"/>
  <c r="AG696" i="38"/>
  <c r="AF696" i="38"/>
  <c r="AE696" i="38"/>
  <c r="AD696" i="38"/>
  <c r="Q696" i="38"/>
  <c r="C696" i="38"/>
  <c r="AG695" i="38"/>
  <c r="AI695" i="38" s="1"/>
  <c r="AF695" i="38"/>
  <c r="AE695" i="38"/>
  <c r="AD695" i="38"/>
  <c r="Q695" i="38"/>
  <c r="C695" i="38"/>
  <c r="AG694" i="38"/>
  <c r="AF694" i="38"/>
  <c r="AI694" i="38" s="1"/>
  <c r="AE694" i="38"/>
  <c r="AD694" i="38"/>
  <c r="AH694" i="38" s="1"/>
  <c r="AJ694" i="38" s="1"/>
  <c r="Q694" i="38"/>
  <c r="C694" i="38"/>
  <c r="AD693" i="38"/>
  <c r="AC693" i="38"/>
  <c r="AB693" i="38"/>
  <c r="AB691" i="38" s="1"/>
  <c r="AA693" i="38"/>
  <c r="Z693" i="38"/>
  <c r="Z691" i="38" s="1"/>
  <c r="Y693" i="38"/>
  <c r="X693" i="38"/>
  <c r="AF693" i="38" s="1"/>
  <c r="AF691" i="38" s="1"/>
  <c r="W693" i="38"/>
  <c r="W691" i="38" s="1"/>
  <c r="V693" i="38"/>
  <c r="V691" i="38" s="1"/>
  <c r="U693" i="38"/>
  <c r="U691" i="38" s="1"/>
  <c r="T693" i="38"/>
  <c r="T691" i="38" s="1"/>
  <c r="S693" i="38"/>
  <c r="R693" i="38"/>
  <c r="R691" i="38" s="1"/>
  <c r="Q693" i="38"/>
  <c r="C693" i="38"/>
  <c r="AH692" i="38"/>
  <c r="AG692" i="38"/>
  <c r="AI692" i="38" s="1"/>
  <c r="AF692" i="38"/>
  <c r="AE692" i="38"/>
  <c r="AD692" i="38"/>
  <c r="Q692" i="38"/>
  <c r="C692" i="38"/>
  <c r="AA691" i="38"/>
  <c r="Y691" i="38"/>
  <c r="X691" i="38"/>
  <c r="S691" i="38"/>
  <c r="Q691" i="38"/>
  <c r="C691" i="38"/>
  <c r="AI690" i="38"/>
  <c r="AH690" i="38"/>
  <c r="AJ690" i="38" s="1"/>
  <c r="AG690" i="38"/>
  <c r="AF690" i="38"/>
  <c r="AE690" i="38"/>
  <c r="AD690" i="38"/>
  <c r="Q690" i="38"/>
  <c r="C690" i="38"/>
  <c r="AH689" i="38"/>
  <c r="AG689" i="38"/>
  <c r="AI689" i="38" s="1"/>
  <c r="AF689" i="38"/>
  <c r="AE689" i="38"/>
  <c r="AD689" i="38"/>
  <c r="Q689" i="38"/>
  <c r="C689" i="38"/>
  <c r="AH688" i="38"/>
  <c r="AJ688" i="38" s="1"/>
  <c r="AG688" i="38"/>
  <c r="AI688" i="38" s="1"/>
  <c r="AF688" i="38"/>
  <c r="AE688" i="38"/>
  <c r="AD688" i="38"/>
  <c r="Q688" i="38"/>
  <c r="C688" i="38"/>
  <c r="AG687" i="38"/>
  <c r="AC687" i="38"/>
  <c r="AB687" i="38"/>
  <c r="AB685" i="38" s="1"/>
  <c r="AA687" i="38"/>
  <c r="Z687" i="38"/>
  <c r="Y687" i="38"/>
  <c r="X687" i="38"/>
  <c r="X685" i="38" s="1"/>
  <c r="W687" i="38"/>
  <c r="W685" i="38" s="1"/>
  <c r="V687" i="38"/>
  <c r="V685" i="38" s="1"/>
  <c r="U687" i="38"/>
  <c r="T687" i="38"/>
  <c r="T685" i="38" s="1"/>
  <c r="S687" i="38"/>
  <c r="AD687" i="38" s="1"/>
  <c r="R687" i="38"/>
  <c r="Q687" i="38"/>
  <c r="C687" i="38"/>
  <c r="AJ686" i="38"/>
  <c r="AI686" i="38"/>
  <c r="AH686" i="38"/>
  <c r="AG686" i="38"/>
  <c r="AF686" i="38"/>
  <c r="AE686" i="38"/>
  <c r="AD686" i="38"/>
  <c r="Q686" i="38"/>
  <c r="C686" i="38"/>
  <c r="AG685" i="38"/>
  <c r="AC685" i="38"/>
  <c r="AA685" i="38"/>
  <c r="Z685" i="38"/>
  <c r="Y685" i="38"/>
  <c r="U685" i="38"/>
  <c r="S685" i="38"/>
  <c r="R685" i="38"/>
  <c r="Q685" i="38"/>
  <c r="C685" i="38"/>
  <c r="AJ684" i="38"/>
  <c r="AG684" i="38"/>
  <c r="AF684" i="38"/>
  <c r="AI684" i="38" s="1"/>
  <c r="AE684" i="38"/>
  <c r="AD684" i="38"/>
  <c r="AH684" i="38" s="1"/>
  <c r="Q684" i="38"/>
  <c r="C684" i="38"/>
  <c r="AJ683" i="38"/>
  <c r="AI683" i="38"/>
  <c r="AG683" i="38"/>
  <c r="AF683" i="38"/>
  <c r="AE683" i="38"/>
  <c r="AH683" i="38" s="1"/>
  <c r="AD683" i="38"/>
  <c r="Q683" i="38"/>
  <c r="C683" i="38"/>
  <c r="AI682" i="38"/>
  <c r="AH682" i="38"/>
  <c r="AG682" i="38"/>
  <c r="AF682" i="38"/>
  <c r="AE682" i="38"/>
  <c r="AD682" i="38"/>
  <c r="Q682" i="38"/>
  <c r="C682" i="38"/>
  <c r="AG681" i="38"/>
  <c r="AI681" i="38" s="1"/>
  <c r="AI679" i="38" s="1"/>
  <c r="AC681" i="38"/>
  <c r="AB681" i="38"/>
  <c r="AA681" i="38"/>
  <c r="AA679" i="38" s="1"/>
  <c r="Z681" i="38"/>
  <c r="Z679" i="38" s="1"/>
  <c r="Y681" i="38"/>
  <c r="Y679" i="38" s="1"/>
  <c r="X681" i="38"/>
  <c r="AF681" i="38" s="1"/>
  <c r="W681" i="38"/>
  <c r="V681" i="38"/>
  <c r="V679" i="38" s="1"/>
  <c r="U681" i="38"/>
  <c r="AE681" i="38" s="1"/>
  <c r="AE679" i="38" s="1"/>
  <c r="T681" i="38"/>
  <c r="S681" i="38"/>
  <c r="S679" i="38" s="1"/>
  <c r="R681" i="38"/>
  <c r="Q681" i="38"/>
  <c r="C681" i="38"/>
  <c r="AG680" i="38"/>
  <c r="AG679" i="38" s="1"/>
  <c r="AF680" i="38"/>
  <c r="AI680" i="38" s="1"/>
  <c r="AE680" i="38"/>
  <c r="AD680" i="38"/>
  <c r="Q680" i="38"/>
  <c r="C680" i="38"/>
  <c r="AC679" i="38"/>
  <c r="AB679" i="38"/>
  <c r="W679" i="38"/>
  <c r="U679" i="38"/>
  <c r="T679" i="38"/>
  <c r="Q679" i="38"/>
  <c r="C679" i="38"/>
  <c r="AG678" i="38"/>
  <c r="AF678" i="38"/>
  <c r="AI678" i="38" s="1"/>
  <c r="AE678" i="38"/>
  <c r="AD678" i="38"/>
  <c r="Q678" i="38"/>
  <c r="C678" i="38"/>
  <c r="AG677" i="38"/>
  <c r="AI677" i="38" s="1"/>
  <c r="AF677" i="38"/>
  <c r="AE677" i="38"/>
  <c r="AD677" i="38"/>
  <c r="AH677" i="38" s="1"/>
  <c r="Q677" i="38"/>
  <c r="C677" i="38"/>
  <c r="AJ676" i="38"/>
  <c r="AG676" i="38"/>
  <c r="AF676" i="38"/>
  <c r="AI676" i="38" s="1"/>
  <c r="AE676" i="38"/>
  <c r="AD676" i="38"/>
  <c r="AH676" i="38" s="1"/>
  <c r="Q676" i="38"/>
  <c r="C676" i="38"/>
  <c r="AC675" i="38"/>
  <c r="AC673" i="38" s="1"/>
  <c r="AB675" i="38"/>
  <c r="AB673" i="38" s="1"/>
  <c r="AA675" i="38"/>
  <c r="Z675" i="38"/>
  <c r="Z673" i="38" s="1"/>
  <c r="Y675" i="38"/>
  <c r="X675" i="38"/>
  <c r="AF675" i="38" s="1"/>
  <c r="W675" i="38"/>
  <c r="V675" i="38"/>
  <c r="U675" i="38"/>
  <c r="T675" i="38"/>
  <c r="T673" i="38" s="1"/>
  <c r="S675" i="38"/>
  <c r="S673" i="38" s="1"/>
  <c r="R675" i="38"/>
  <c r="R673" i="38" s="1"/>
  <c r="Q675" i="38"/>
  <c r="C675" i="38"/>
  <c r="AG674" i="38"/>
  <c r="AF674" i="38"/>
  <c r="AE674" i="38"/>
  <c r="AD674" i="38"/>
  <c r="Q674" i="38"/>
  <c r="C674" i="38"/>
  <c r="Y673" i="38"/>
  <c r="W673" i="38"/>
  <c r="V673" i="38"/>
  <c r="Q673" i="38"/>
  <c r="C673" i="38"/>
  <c r="Z672" i="38"/>
  <c r="Y672" i="38"/>
  <c r="Q672" i="38"/>
  <c r="C672" i="38"/>
  <c r="AI671" i="38"/>
  <c r="AJ671" i="38" s="1"/>
  <c r="AG671" i="38"/>
  <c r="AF671" i="38"/>
  <c r="AE671" i="38"/>
  <c r="AH671" i="38" s="1"/>
  <c r="AD671" i="38"/>
  <c r="Q671" i="38"/>
  <c r="C671" i="38"/>
  <c r="AI670" i="38"/>
  <c r="AH670" i="38"/>
  <c r="AG670" i="38"/>
  <c r="AF670" i="38"/>
  <c r="AE670" i="38"/>
  <c r="AD670" i="38"/>
  <c r="Q670" i="38"/>
  <c r="C670" i="38"/>
  <c r="AI669" i="38"/>
  <c r="AH669" i="38"/>
  <c r="AG669" i="38"/>
  <c r="AF669" i="38"/>
  <c r="AE669" i="38"/>
  <c r="AD669" i="38"/>
  <c r="Q669" i="38"/>
  <c r="C669" i="38"/>
  <c r="AH668" i="38"/>
  <c r="AJ668" i="38" s="1"/>
  <c r="AG668" i="38"/>
  <c r="AI668" i="38" s="1"/>
  <c r="AF668" i="38"/>
  <c r="AE668" i="38"/>
  <c r="AD668" i="38"/>
  <c r="Q668" i="38"/>
  <c r="C668" i="38"/>
  <c r="AG667" i="38"/>
  <c r="AF667" i="38"/>
  <c r="AE667" i="38"/>
  <c r="AD667" i="38"/>
  <c r="Q667" i="38"/>
  <c r="C667" i="38"/>
  <c r="AG666" i="38"/>
  <c r="AF666" i="38"/>
  <c r="AE666" i="38"/>
  <c r="AE665" i="38" s="1"/>
  <c r="AD666" i="38"/>
  <c r="Q666" i="38"/>
  <c r="C666" i="38"/>
  <c r="AD665" i="38"/>
  <c r="AC665" i="38"/>
  <c r="AB665" i="38"/>
  <c r="AA665" i="38"/>
  <c r="Z665" i="38"/>
  <c r="Y665" i="38"/>
  <c r="X665" i="38"/>
  <c r="W665" i="38"/>
  <c r="V665" i="38"/>
  <c r="U665" i="38"/>
  <c r="T665" i="38"/>
  <c r="S665" i="38"/>
  <c r="R665" i="38"/>
  <c r="Q665" i="38"/>
  <c r="C665" i="38"/>
  <c r="Z664" i="38"/>
  <c r="Y664" i="38"/>
  <c r="Q664" i="38"/>
  <c r="C664" i="38"/>
  <c r="Q663" i="38"/>
  <c r="C663" i="38"/>
  <c r="AG662" i="38"/>
  <c r="AF662" i="38"/>
  <c r="AI662" i="38" s="1"/>
  <c r="AE662" i="38"/>
  <c r="AD662" i="38"/>
  <c r="Q662" i="38"/>
  <c r="C662" i="38"/>
  <c r="AG661" i="38"/>
  <c r="AI661" i="38" s="1"/>
  <c r="AF661" i="38"/>
  <c r="AE661" i="38"/>
  <c r="AD661" i="38"/>
  <c r="AH661" i="38" s="1"/>
  <c r="Q661" i="38"/>
  <c r="C661" i="38"/>
  <c r="AJ660" i="38"/>
  <c r="AG660" i="38"/>
  <c r="AF660" i="38"/>
  <c r="AI660" i="38" s="1"/>
  <c r="AE660" i="38"/>
  <c r="AD660" i="38"/>
  <c r="AH660" i="38" s="1"/>
  <c r="Q660" i="38"/>
  <c r="C660" i="38"/>
  <c r="AI659" i="38"/>
  <c r="AG659" i="38"/>
  <c r="AF659" i="38"/>
  <c r="AE659" i="38"/>
  <c r="AH659" i="38" s="1"/>
  <c r="AD659" i="38"/>
  <c r="Q659" i="38"/>
  <c r="C659" i="38"/>
  <c r="AJ658" i="38"/>
  <c r="AI658" i="38"/>
  <c r="AH658" i="38"/>
  <c r="AG658" i="38"/>
  <c r="AF658" i="38"/>
  <c r="AE658" i="38"/>
  <c r="AD658" i="38"/>
  <c r="Q658" i="38"/>
  <c r="C658" i="38"/>
  <c r="AH657" i="38"/>
  <c r="AG657" i="38"/>
  <c r="AI657" i="38" s="1"/>
  <c r="AI656" i="38" s="1"/>
  <c r="AF657" i="38"/>
  <c r="AE657" i="38"/>
  <c r="AD657" i="38"/>
  <c r="Q657" i="38"/>
  <c r="C657" i="38"/>
  <c r="AF656" i="38"/>
  <c r="AC656" i="38"/>
  <c r="AB656" i="38"/>
  <c r="AA656" i="38"/>
  <c r="Z656" i="38"/>
  <c r="Y656" i="38"/>
  <c r="X656" i="38"/>
  <c r="W656" i="38"/>
  <c r="V656" i="38"/>
  <c r="U656" i="38"/>
  <c r="T656" i="38"/>
  <c r="S656" i="38"/>
  <c r="R656" i="38"/>
  <c r="Q656" i="38"/>
  <c r="C656" i="38"/>
  <c r="AI655" i="38"/>
  <c r="AG655" i="38"/>
  <c r="AF655" i="38"/>
  <c r="AE655" i="38"/>
  <c r="AH655" i="38" s="1"/>
  <c r="AD655" i="38"/>
  <c r="Q655" i="38"/>
  <c r="C655" i="38"/>
  <c r="AI654" i="38"/>
  <c r="AH654" i="38"/>
  <c r="AJ654" i="38" s="1"/>
  <c r="AG654" i="38"/>
  <c r="AF654" i="38"/>
  <c r="AE654" i="38"/>
  <c r="AD654" i="38"/>
  <c r="Q654" i="38"/>
  <c r="C654" i="38"/>
  <c r="AH653" i="38"/>
  <c r="AG653" i="38"/>
  <c r="AI653" i="38" s="1"/>
  <c r="AF653" i="38"/>
  <c r="AE653" i="38"/>
  <c r="AD653" i="38"/>
  <c r="Q653" i="38"/>
  <c r="C653" i="38"/>
  <c r="AJ652" i="38"/>
  <c r="AH652" i="38"/>
  <c r="AG652" i="38"/>
  <c r="AI652" i="38" s="1"/>
  <c r="AF652" i="38"/>
  <c r="AE652" i="38"/>
  <c r="AD652" i="38"/>
  <c r="Q652" i="38"/>
  <c r="C652" i="38"/>
  <c r="AG651" i="38"/>
  <c r="AI651" i="38" s="1"/>
  <c r="AF651" i="38"/>
  <c r="AE651" i="38"/>
  <c r="AD651" i="38"/>
  <c r="AH651" i="38" s="1"/>
  <c r="AJ651" i="38" s="1"/>
  <c r="Q651" i="38"/>
  <c r="C651" i="38"/>
  <c r="AG650" i="38"/>
  <c r="AF650" i="38"/>
  <c r="AE650" i="38"/>
  <c r="AE649" i="38" s="1"/>
  <c r="AD650" i="38"/>
  <c r="AD649" i="38" s="1"/>
  <c r="Q650" i="38"/>
  <c r="C650" i="38"/>
  <c r="AG649" i="38"/>
  <c r="AC649" i="38"/>
  <c r="AB649" i="38"/>
  <c r="AA649" i="38"/>
  <c r="Z649" i="38"/>
  <c r="Y649" i="38"/>
  <c r="X649" i="38"/>
  <c r="W649" i="38"/>
  <c r="V649" i="38"/>
  <c r="U649" i="38"/>
  <c r="T649" i="38"/>
  <c r="S649" i="38"/>
  <c r="R649" i="38"/>
  <c r="Q649" i="38"/>
  <c r="C649" i="38"/>
  <c r="AB648" i="38"/>
  <c r="AA648" i="38"/>
  <c r="X648" i="38"/>
  <c r="T648" i="38"/>
  <c r="S648" i="38"/>
  <c r="R648" i="38"/>
  <c r="Q648" i="38"/>
  <c r="C648" i="38"/>
  <c r="AI647" i="38"/>
  <c r="AG647" i="38"/>
  <c r="AF647" i="38"/>
  <c r="AE647" i="38"/>
  <c r="AH647" i="38" s="1"/>
  <c r="AJ647" i="38" s="1"/>
  <c r="AD647" i="38"/>
  <c r="Q647" i="38"/>
  <c r="C647" i="38"/>
  <c r="AI646" i="38"/>
  <c r="AH646" i="38"/>
  <c r="AJ646" i="38" s="1"/>
  <c r="AG646" i="38"/>
  <c r="AF646" i="38"/>
  <c r="AE646" i="38"/>
  <c r="AD646" i="38"/>
  <c r="Q646" i="38"/>
  <c r="C646" i="38"/>
  <c r="AH645" i="38"/>
  <c r="AG645" i="38"/>
  <c r="AI645" i="38" s="1"/>
  <c r="AF645" i="38"/>
  <c r="AE645" i="38"/>
  <c r="AD645" i="38"/>
  <c r="Q645" i="38"/>
  <c r="C645" i="38"/>
  <c r="AH644" i="38"/>
  <c r="AG644" i="38"/>
  <c r="AF644" i="38"/>
  <c r="AE644" i="38"/>
  <c r="AD644" i="38"/>
  <c r="Q644" i="38"/>
  <c r="C644" i="38"/>
  <c r="AI643" i="38"/>
  <c r="AG643" i="38"/>
  <c r="AF643" i="38"/>
  <c r="AE643" i="38"/>
  <c r="AD643" i="38"/>
  <c r="Q643" i="38"/>
  <c r="C643" i="38"/>
  <c r="AG642" i="38"/>
  <c r="AF642" i="38"/>
  <c r="AE642" i="38"/>
  <c r="AD642" i="38"/>
  <c r="Q642" i="38"/>
  <c r="C642" i="38"/>
  <c r="AG641" i="38"/>
  <c r="AE641" i="38"/>
  <c r="AD641" i="38"/>
  <c r="AC641" i="38"/>
  <c r="AB641" i="38"/>
  <c r="AA641" i="38"/>
  <c r="Z641" i="38"/>
  <c r="Y641" i="38"/>
  <c r="X641" i="38"/>
  <c r="W641" i="38"/>
  <c r="V641" i="38"/>
  <c r="U641" i="38"/>
  <c r="T641" i="38"/>
  <c r="S641" i="38"/>
  <c r="R641" i="38"/>
  <c r="Q641" i="38"/>
  <c r="C641" i="38"/>
  <c r="AH640" i="38"/>
  <c r="AJ640" i="38" s="1"/>
  <c r="AG640" i="38"/>
  <c r="AI640" i="38" s="1"/>
  <c r="AF640" i="38"/>
  <c r="AE640" i="38"/>
  <c r="AD640" i="38"/>
  <c r="Q640" i="38"/>
  <c r="C640" i="38"/>
  <c r="AG639" i="38"/>
  <c r="AF639" i="38"/>
  <c r="AE639" i="38"/>
  <c r="AD639" i="38"/>
  <c r="Q639" i="38"/>
  <c r="C639" i="38"/>
  <c r="AH638" i="38"/>
  <c r="AJ638" i="38" s="1"/>
  <c r="AG638" i="38"/>
  <c r="AF638" i="38"/>
  <c r="AI638" i="38" s="1"/>
  <c r="AE638" i="38"/>
  <c r="AD638" i="38"/>
  <c r="Q638" i="38"/>
  <c r="C638" i="38"/>
  <c r="AG637" i="38"/>
  <c r="AF637" i="38"/>
  <c r="AE637" i="38"/>
  <c r="AD637" i="38"/>
  <c r="AH637" i="38" s="1"/>
  <c r="Q637" i="38"/>
  <c r="C637" i="38"/>
  <c r="AG636" i="38"/>
  <c r="AF636" i="38"/>
  <c r="AI636" i="38" s="1"/>
  <c r="AE636" i="38"/>
  <c r="AD636" i="38"/>
  <c r="Q636" i="38"/>
  <c r="C636" i="38"/>
  <c r="AI635" i="38"/>
  <c r="AG635" i="38"/>
  <c r="AF635" i="38"/>
  <c r="AE635" i="38"/>
  <c r="AD635" i="38"/>
  <c r="Q635" i="38"/>
  <c r="C635" i="38"/>
  <c r="AC634" i="38"/>
  <c r="AB634" i="38"/>
  <c r="AA634" i="38"/>
  <c r="Z634" i="38"/>
  <c r="Y634" i="38"/>
  <c r="X634" i="38"/>
  <c r="W634" i="38"/>
  <c r="V634" i="38"/>
  <c r="U634" i="38"/>
  <c r="T634" i="38"/>
  <c r="S634" i="38"/>
  <c r="R634" i="38"/>
  <c r="Q634" i="38"/>
  <c r="C634" i="38"/>
  <c r="AC633" i="38"/>
  <c r="Y633" i="38"/>
  <c r="X633" i="38"/>
  <c r="U633" i="38"/>
  <c r="Q633" i="38"/>
  <c r="C633" i="38"/>
  <c r="X632" i="38"/>
  <c r="Q632" i="38"/>
  <c r="C632" i="38"/>
  <c r="Q631" i="38"/>
  <c r="C631" i="38"/>
  <c r="Q630" i="38"/>
  <c r="C630" i="38"/>
  <c r="AI629" i="38"/>
  <c r="AH629" i="38"/>
  <c r="AG629" i="38"/>
  <c r="AF629" i="38"/>
  <c r="AE629" i="38"/>
  <c r="AD629" i="38"/>
  <c r="Q629" i="38"/>
  <c r="C629" i="38"/>
  <c r="AH628" i="38"/>
  <c r="AG628" i="38"/>
  <c r="AF628" i="38"/>
  <c r="AE628" i="38"/>
  <c r="AD628" i="38"/>
  <c r="Q628" i="38"/>
  <c r="C628" i="38"/>
  <c r="AG627" i="38"/>
  <c r="AF627" i="38"/>
  <c r="AF624" i="38" s="1"/>
  <c r="AE627" i="38"/>
  <c r="AD627" i="38"/>
  <c r="Q627" i="38"/>
  <c r="C627" i="38"/>
  <c r="AH626" i="38"/>
  <c r="AJ626" i="38" s="1"/>
  <c r="AG626" i="38"/>
  <c r="AF626" i="38"/>
  <c r="AI626" i="38" s="1"/>
  <c r="AE626" i="38"/>
  <c r="AD626" i="38"/>
  <c r="Q626" i="38"/>
  <c r="C626" i="38"/>
  <c r="AG625" i="38"/>
  <c r="AF625" i="38"/>
  <c r="AE625" i="38"/>
  <c r="AD625" i="38"/>
  <c r="AH625" i="38" s="1"/>
  <c r="Q625" i="38"/>
  <c r="C625" i="38"/>
  <c r="AD624" i="38"/>
  <c r="AC624" i="38"/>
  <c r="AB624" i="38"/>
  <c r="AA624" i="38"/>
  <c r="Z624" i="38"/>
  <c r="Y624" i="38"/>
  <c r="X624" i="38"/>
  <c r="W624" i="38"/>
  <c r="V624" i="38"/>
  <c r="U624" i="38"/>
  <c r="T624" i="38"/>
  <c r="S624" i="38"/>
  <c r="R624" i="38"/>
  <c r="Q624" i="38"/>
  <c r="C624" i="38"/>
  <c r="AI623" i="38"/>
  <c r="AG623" i="38"/>
  <c r="AF623" i="38"/>
  <c r="AE623" i="38"/>
  <c r="AD623" i="38"/>
  <c r="Q623" i="38"/>
  <c r="C623" i="38"/>
  <c r="AG622" i="38"/>
  <c r="AF622" i="38"/>
  <c r="AI622" i="38" s="1"/>
  <c r="AE622" i="38"/>
  <c r="AD622" i="38"/>
  <c r="Q622" i="38"/>
  <c r="C622" i="38"/>
  <c r="AG621" i="38"/>
  <c r="AF621" i="38"/>
  <c r="AE621" i="38"/>
  <c r="AE620" i="38" s="1"/>
  <c r="AD621" i="38"/>
  <c r="Q621" i="38"/>
  <c r="C621" i="38"/>
  <c r="AF620" i="38"/>
  <c r="AC620" i="38"/>
  <c r="AB620" i="38"/>
  <c r="AA620" i="38"/>
  <c r="Z620" i="38"/>
  <c r="Y620" i="38"/>
  <c r="X620" i="38"/>
  <c r="W620" i="38"/>
  <c r="V620" i="38"/>
  <c r="U620" i="38"/>
  <c r="T620" i="38"/>
  <c r="S620" i="38"/>
  <c r="R620" i="38"/>
  <c r="Q620" i="38"/>
  <c r="C620" i="38"/>
  <c r="AG619" i="38"/>
  <c r="AI619" i="38" s="1"/>
  <c r="AF619" i="38"/>
  <c r="AF616" i="38" s="1"/>
  <c r="AE619" i="38"/>
  <c r="AD619" i="38"/>
  <c r="AH619" i="38" s="1"/>
  <c r="Q619" i="38"/>
  <c r="C619" i="38"/>
  <c r="AH618" i="38"/>
  <c r="AJ618" i="38" s="1"/>
  <c r="AG618" i="38"/>
  <c r="AF618" i="38"/>
  <c r="AI618" i="38" s="1"/>
  <c r="AE618" i="38"/>
  <c r="AD618" i="38"/>
  <c r="Q618" i="38"/>
  <c r="C618" i="38"/>
  <c r="AG617" i="38"/>
  <c r="AF617" i="38"/>
  <c r="AE617" i="38"/>
  <c r="AE616" i="38" s="1"/>
  <c r="AD617" i="38"/>
  <c r="Q617" i="38"/>
  <c r="C617" i="38"/>
  <c r="AC616" i="38"/>
  <c r="AB616" i="38"/>
  <c r="AA616" i="38"/>
  <c r="Z616" i="38"/>
  <c r="Y616" i="38"/>
  <c r="X616" i="38"/>
  <c r="W616" i="38"/>
  <c r="V616" i="38"/>
  <c r="U616" i="38"/>
  <c r="T616" i="38"/>
  <c r="S616" i="38"/>
  <c r="R616" i="38"/>
  <c r="Q616" i="38"/>
  <c r="C616" i="38"/>
  <c r="AI615" i="38"/>
  <c r="AG615" i="38"/>
  <c r="AF615" i="38"/>
  <c r="AE615" i="38"/>
  <c r="AD615" i="38"/>
  <c r="Q615" i="38"/>
  <c r="C615" i="38"/>
  <c r="AH614" i="38"/>
  <c r="AG614" i="38"/>
  <c r="AF614" i="38"/>
  <c r="AE614" i="38"/>
  <c r="AD614" i="38"/>
  <c r="Q614" i="38"/>
  <c r="C614" i="38"/>
  <c r="AG613" i="38"/>
  <c r="AF613" i="38"/>
  <c r="AE613" i="38"/>
  <c r="AE612" i="38" s="1"/>
  <c r="AD613" i="38"/>
  <c r="Q613" i="38"/>
  <c r="C613" i="38"/>
  <c r="AC612" i="38"/>
  <c r="AC611" i="38" s="1"/>
  <c r="AC607" i="38" s="1"/>
  <c r="AB612" i="38"/>
  <c r="AA612" i="38"/>
  <c r="AA611" i="38" s="1"/>
  <c r="Z612" i="38"/>
  <c r="Y612" i="38"/>
  <c r="X612" i="38"/>
  <c r="W612" i="38"/>
  <c r="V612" i="38"/>
  <c r="V611" i="38" s="1"/>
  <c r="V607" i="38" s="1"/>
  <c r="U612" i="38"/>
  <c r="U611" i="38" s="1"/>
  <c r="T612" i="38"/>
  <c r="S612" i="38"/>
  <c r="S611" i="38" s="1"/>
  <c r="R612" i="38"/>
  <c r="Q612" i="38"/>
  <c r="C612" i="38"/>
  <c r="Z611" i="38"/>
  <c r="Y611" i="38"/>
  <c r="X611" i="38"/>
  <c r="X607" i="38" s="1"/>
  <c r="W611" i="38"/>
  <c r="R611" i="38"/>
  <c r="Q611" i="38"/>
  <c r="C611" i="38"/>
  <c r="AH610" i="38"/>
  <c r="AG610" i="38"/>
  <c r="AF610" i="38"/>
  <c r="AE610" i="38"/>
  <c r="AD610" i="38"/>
  <c r="AD608" i="38" s="1"/>
  <c r="Q610" i="38"/>
  <c r="C610" i="38"/>
  <c r="AG609" i="38"/>
  <c r="AF609" i="38"/>
  <c r="AI609" i="38" s="1"/>
  <c r="AD609" i="38"/>
  <c r="W609" i="38"/>
  <c r="Q609" i="38"/>
  <c r="C609" i="38"/>
  <c r="AF608" i="38"/>
  <c r="AC608" i="38"/>
  <c r="AB608" i="38"/>
  <c r="AA608" i="38"/>
  <c r="AA607" i="38" s="1"/>
  <c r="Z608" i="38"/>
  <c r="Z607" i="38" s="1"/>
  <c r="Y608" i="38"/>
  <c r="Y607" i="38" s="1"/>
  <c r="X608" i="38"/>
  <c r="V608" i="38"/>
  <c r="U608" i="38"/>
  <c r="T608" i="38"/>
  <c r="S608" i="38"/>
  <c r="R608" i="38"/>
  <c r="R607" i="38" s="1"/>
  <c r="Q608" i="38"/>
  <c r="C608" i="38"/>
  <c r="U607" i="38"/>
  <c r="Q607" i="38"/>
  <c r="C607" i="38"/>
  <c r="AG606" i="38"/>
  <c r="AI606" i="38" s="1"/>
  <c r="AF606" i="38"/>
  <c r="AE606" i="38"/>
  <c r="AD606" i="38"/>
  <c r="AH606" i="38" s="1"/>
  <c r="AJ606" i="38" s="1"/>
  <c r="Q606" i="38"/>
  <c r="C606" i="38"/>
  <c r="AI605" i="38"/>
  <c r="AG605" i="38"/>
  <c r="AF605" i="38"/>
  <c r="AE605" i="38"/>
  <c r="AD605" i="38"/>
  <c r="AH605" i="38" s="1"/>
  <c r="AJ605" i="38" s="1"/>
  <c r="Q605" i="38"/>
  <c r="C605" i="38"/>
  <c r="AG604" i="38"/>
  <c r="AI604" i="38" s="1"/>
  <c r="AF604" i="38"/>
  <c r="AE604" i="38"/>
  <c r="AD604" i="38"/>
  <c r="AH604" i="38" s="1"/>
  <c r="AJ604" i="38" s="1"/>
  <c r="Q604" i="38"/>
  <c r="C604" i="38"/>
  <c r="AG603" i="38"/>
  <c r="AI603" i="38" s="1"/>
  <c r="AF603" i="38"/>
  <c r="AE603" i="38"/>
  <c r="AD603" i="38"/>
  <c r="AH603" i="38" s="1"/>
  <c r="Q603" i="38"/>
  <c r="C603" i="38"/>
  <c r="AG602" i="38"/>
  <c r="AF602" i="38"/>
  <c r="AE602" i="38"/>
  <c r="AH602" i="38" s="1"/>
  <c r="AD602" i="38"/>
  <c r="Q602" i="38"/>
  <c r="C602" i="38"/>
  <c r="AE601" i="38"/>
  <c r="AD601" i="38"/>
  <c r="AC601" i="38"/>
  <c r="AB601" i="38"/>
  <c r="AA601" i="38"/>
  <c r="Z601" i="38"/>
  <c r="Y601" i="38"/>
  <c r="X601" i="38"/>
  <c r="W601" i="38"/>
  <c r="V601" i="38"/>
  <c r="V584" i="38" s="1"/>
  <c r="U601" i="38"/>
  <c r="T601" i="38"/>
  <c r="S601" i="38"/>
  <c r="R601" i="38"/>
  <c r="Q601" i="38"/>
  <c r="C601" i="38"/>
  <c r="AH600" i="38"/>
  <c r="AJ600" i="38" s="1"/>
  <c r="AG600" i="38"/>
  <c r="AI600" i="38" s="1"/>
  <c r="AF600" i="38"/>
  <c r="AE600" i="38"/>
  <c r="AD600" i="38"/>
  <c r="Q600" i="38"/>
  <c r="C600" i="38"/>
  <c r="AJ599" i="38"/>
  <c r="AI599" i="38"/>
  <c r="AG599" i="38"/>
  <c r="AF599" i="38"/>
  <c r="AE599" i="38"/>
  <c r="AD599" i="38"/>
  <c r="AH599" i="38" s="1"/>
  <c r="Q599" i="38"/>
  <c r="C599" i="38"/>
  <c r="AI598" i="38"/>
  <c r="AI597" i="38" s="1"/>
  <c r="AG598" i="38"/>
  <c r="AF598" i="38"/>
  <c r="AF597" i="38" s="1"/>
  <c r="AE598" i="38"/>
  <c r="AH598" i="38" s="1"/>
  <c r="AH597" i="38" s="1"/>
  <c r="AD598" i="38"/>
  <c r="Q598" i="38"/>
  <c r="C598" i="38"/>
  <c r="AG597" i="38"/>
  <c r="AE597" i="38"/>
  <c r="AD597" i="38"/>
  <c r="AC597" i="38"/>
  <c r="AB597" i="38"/>
  <c r="AA597" i="38"/>
  <c r="Z597" i="38"/>
  <c r="Y597" i="38"/>
  <c r="X597" i="38"/>
  <c r="W597" i="38"/>
  <c r="V597" i="38"/>
  <c r="U597" i="38"/>
  <c r="T597" i="38"/>
  <c r="S597" i="38"/>
  <c r="R597" i="38"/>
  <c r="Q597" i="38"/>
  <c r="C597" i="38"/>
  <c r="AG596" i="38"/>
  <c r="AI596" i="38" s="1"/>
  <c r="AF596" i="38"/>
  <c r="AE596" i="38"/>
  <c r="AD596" i="38"/>
  <c r="Q596" i="38"/>
  <c r="C596" i="38"/>
  <c r="AI595" i="38"/>
  <c r="AJ595" i="38" s="1"/>
  <c r="AG595" i="38"/>
  <c r="AF595" i="38"/>
  <c r="AE595" i="38"/>
  <c r="AD595" i="38"/>
  <c r="AH595" i="38" s="1"/>
  <c r="Q595" i="38"/>
  <c r="C595" i="38"/>
  <c r="AI594" i="38"/>
  <c r="AH594" i="38"/>
  <c r="AG594" i="38"/>
  <c r="AF594" i="38"/>
  <c r="AF593" i="38" s="1"/>
  <c r="AE594" i="38"/>
  <c r="AE593" i="38" s="1"/>
  <c r="AD594" i="38"/>
  <c r="Q594" i="38"/>
  <c r="C594" i="38"/>
  <c r="AI593" i="38"/>
  <c r="AG593" i="38"/>
  <c r="AC593" i="38"/>
  <c r="AB593" i="38"/>
  <c r="AA593" i="38"/>
  <c r="Z593" i="38"/>
  <c r="Y593" i="38"/>
  <c r="Y588" i="38" s="1"/>
  <c r="X593" i="38"/>
  <c r="W593" i="38"/>
  <c r="V593" i="38"/>
  <c r="U593" i="38"/>
  <c r="T593" i="38"/>
  <c r="S593" i="38"/>
  <c r="R593" i="38"/>
  <c r="Q593" i="38"/>
  <c r="C593" i="38"/>
  <c r="AJ592" i="38"/>
  <c r="AG592" i="38"/>
  <c r="AI592" i="38" s="1"/>
  <c r="AF592" i="38"/>
  <c r="AE592" i="38"/>
  <c r="AD592" i="38"/>
  <c r="AH592" i="38" s="1"/>
  <c r="Q592" i="38"/>
  <c r="C592" i="38"/>
  <c r="AI591" i="38"/>
  <c r="AJ591" i="38" s="1"/>
  <c r="AG591" i="38"/>
  <c r="AF591" i="38"/>
  <c r="AE591" i="38"/>
  <c r="AD591" i="38"/>
  <c r="AH591" i="38" s="1"/>
  <c r="Q591" i="38"/>
  <c r="C591" i="38"/>
  <c r="AC590" i="38"/>
  <c r="AB590" i="38"/>
  <c r="AB589" i="38" s="1"/>
  <c r="AB588" i="38" s="1"/>
  <c r="AA590" i="38"/>
  <c r="Z590" i="38"/>
  <c r="Z589" i="38" s="1"/>
  <c r="Y590" i="38"/>
  <c r="X590" i="38"/>
  <c r="AF590" i="38" s="1"/>
  <c r="AF589" i="38" s="1"/>
  <c r="AF588" i="38" s="1"/>
  <c r="W590" i="38"/>
  <c r="AE590" i="38" s="1"/>
  <c r="AE589" i="38" s="1"/>
  <c r="AE588" i="38" s="1"/>
  <c r="V590" i="38"/>
  <c r="U590" i="38"/>
  <c r="T590" i="38"/>
  <c r="T589" i="38" s="1"/>
  <c r="T588" i="38" s="1"/>
  <c r="S590" i="38"/>
  <c r="S589" i="38" s="1"/>
  <c r="S588" i="38" s="1"/>
  <c r="R590" i="38"/>
  <c r="Q590" i="38"/>
  <c r="C590" i="38"/>
  <c r="AC589" i="38"/>
  <c r="AC588" i="38" s="1"/>
  <c r="Y589" i="38"/>
  <c r="X589" i="38"/>
  <c r="W589" i="38"/>
  <c r="W588" i="38" s="1"/>
  <c r="V589" i="38"/>
  <c r="V588" i="38" s="1"/>
  <c r="U589" i="38"/>
  <c r="U588" i="38" s="1"/>
  <c r="U584" i="38" s="1"/>
  <c r="U583" i="38" s="1"/>
  <c r="Q589" i="38"/>
  <c r="C589" i="38"/>
  <c r="Z588" i="38"/>
  <c r="X588" i="38"/>
  <c r="X584" i="38" s="1"/>
  <c r="X583" i="38" s="1"/>
  <c r="Q588" i="38"/>
  <c r="C588" i="38"/>
  <c r="AI587" i="38"/>
  <c r="AI585" i="38" s="1"/>
  <c r="AG587" i="38"/>
  <c r="AF587" i="38"/>
  <c r="AE587" i="38"/>
  <c r="AD587" i="38"/>
  <c r="AH587" i="38" s="1"/>
  <c r="Q587" i="38"/>
  <c r="C587" i="38"/>
  <c r="AI586" i="38"/>
  <c r="AH586" i="38"/>
  <c r="AJ586" i="38" s="1"/>
  <c r="AG586" i="38"/>
  <c r="AF586" i="38"/>
  <c r="AF585" i="38" s="1"/>
  <c r="AE586" i="38"/>
  <c r="AE585" i="38" s="1"/>
  <c r="AE584" i="38" s="1"/>
  <c r="AD586" i="38"/>
  <c r="Q586" i="38"/>
  <c r="C586" i="38"/>
  <c r="AG585" i="38"/>
  <c r="AD585" i="38"/>
  <c r="AC585" i="38"/>
  <c r="AB585" i="38"/>
  <c r="AA585" i="38"/>
  <c r="Z585" i="38"/>
  <c r="Y585" i="38"/>
  <c r="X585" i="38"/>
  <c r="W585" i="38"/>
  <c r="V585" i="38"/>
  <c r="U585" i="38"/>
  <c r="T585" i="38"/>
  <c r="S585" i="38"/>
  <c r="S584" i="38" s="1"/>
  <c r="R585" i="38"/>
  <c r="Q585" i="38"/>
  <c r="C585" i="38"/>
  <c r="AC584" i="38"/>
  <c r="AB584" i="38"/>
  <c r="T584" i="38"/>
  <c r="Q584" i="38"/>
  <c r="C584" i="38"/>
  <c r="Q583" i="38"/>
  <c r="C583" i="38"/>
  <c r="AI582" i="38"/>
  <c r="AH582" i="38"/>
  <c r="AG582" i="38"/>
  <c r="AF582" i="38"/>
  <c r="AE582" i="38"/>
  <c r="AD582" i="38"/>
  <c r="Q582" i="38"/>
  <c r="C582" i="38"/>
  <c r="AH581" i="38"/>
  <c r="AG581" i="38"/>
  <c r="AI581" i="38" s="1"/>
  <c r="AF581" i="38"/>
  <c r="AE581" i="38"/>
  <c r="AD581" i="38"/>
  <c r="Q581" i="38"/>
  <c r="C581" i="38"/>
  <c r="AH580" i="38"/>
  <c r="AG580" i="38"/>
  <c r="AI580" i="38" s="1"/>
  <c r="AF580" i="38"/>
  <c r="AE580" i="38"/>
  <c r="AD580" i="38"/>
  <c r="Q580" i="38"/>
  <c r="C580" i="38"/>
  <c r="AG579" i="38"/>
  <c r="AF579" i="38"/>
  <c r="AE579" i="38"/>
  <c r="AH579" i="38" s="1"/>
  <c r="AD579" i="38"/>
  <c r="Q579" i="38"/>
  <c r="C579" i="38"/>
  <c r="AI578" i="38"/>
  <c r="AG578" i="38"/>
  <c r="AF578" i="38"/>
  <c r="AE578" i="38"/>
  <c r="AE577" i="38" s="1"/>
  <c r="AD578" i="38"/>
  <c r="Q578" i="38"/>
  <c r="C578" i="38"/>
  <c r="AD577" i="38"/>
  <c r="AC577" i="38"/>
  <c r="AB577" i="38"/>
  <c r="AA577" i="38"/>
  <c r="Z577" i="38"/>
  <c r="Y577" i="38"/>
  <c r="X577" i="38"/>
  <c r="W577" i="38"/>
  <c r="V577" i="38"/>
  <c r="U577" i="38"/>
  <c r="T577" i="38"/>
  <c r="S577" i="38"/>
  <c r="R577" i="38"/>
  <c r="Q577" i="38"/>
  <c r="C577" i="38"/>
  <c r="AH576" i="38"/>
  <c r="AG576" i="38"/>
  <c r="AF576" i="38"/>
  <c r="AE576" i="38"/>
  <c r="AD576" i="38"/>
  <c r="Q576" i="38"/>
  <c r="C576" i="38"/>
  <c r="AG575" i="38"/>
  <c r="AI575" i="38" s="1"/>
  <c r="AF575" i="38"/>
  <c r="AE575" i="38"/>
  <c r="AH575" i="38" s="1"/>
  <c r="AJ575" i="38" s="1"/>
  <c r="AD575" i="38"/>
  <c r="Q575" i="38"/>
  <c r="C575" i="38"/>
  <c r="AG574" i="38"/>
  <c r="AG573" i="38" s="1"/>
  <c r="AF574" i="38"/>
  <c r="AE574" i="38"/>
  <c r="AE573" i="38" s="1"/>
  <c r="AE572" i="38" s="1"/>
  <c r="AD574" i="38"/>
  <c r="Q574" i="38"/>
  <c r="C574" i="38"/>
  <c r="AC573" i="38"/>
  <c r="AB573" i="38"/>
  <c r="AA573" i="38"/>
  <c r="Z573" i="38"/>
  <c r="Z572" i="38" s="1"/>
  <c r="Y573" i="38"/>
  <c r="X573" i="38"/>
  <c r="W573" i="38"/>
  <c r="W572" i="38" s="1"/>
  <c r="V573" i="38"/>
  <c r="V572" i="38" s="1"/>
  <c r="U573" i="38"/>
  <c r="T573" i="38"/>
  <c r="S573" i="38"/>
  <c r="R573" i="38"/>
  <c r="Q573" i="38"/>
  <c r="C573" i="38"/>
  <c r="AG572" i="38"/>
  <c r="AC572" i="38"/>
  <c r="AB572" i="38"/>
  <c r="AA572" i="38"/>
  <c r="Y572" i="38"/>
  <c r="X572" i="38"/>
  <c r="U572" i="38"/>
  <c r="T572" i="38"/>
  <c r="S572" i="38"/>
  <c r="R572" i="38"/>
  <c r="Q572" i="38"/>
  <c r="C572" i="38"/>
  <c r="AI571" i="38"/>
  <c r="AJ571" i="38" s="1"/>
  <c r="AG571" i="38"/>
  <c r="AG569" i="38" s="1"/>
  <c r="AF571" i="38"/>
  <c r="AF569" i="38" s="1"/>
  <c r="AE571" i="38"/>
  <c r="AD571" i="38"/>
  <c r="AH571" i="38" s="1"/>
  <c r="Q571" i="38"/>
  <c r="C571" i="38"/>
  <c r="AI570" i="38"/>
  <c r="AI569" i="38" s="1"/>
  <c r="AH570" i="38"/>
  <c r="AG570" i="38"/>
  <c r="AF570" i="38"/>
  <c r="AE570" i="38"/>
  <c r="AD570" i="38"/>
  <c r="W570" i="38"/>
  <c r="Q570" i="38"/>
  <c r="C570" i="38"/>
  <c r="AH569" i="38"/>
  <c r="AE569" i="38"/>
  <c r="AC569" i="38"/>
  <c r="AB569" i="38"/>
  <c r="AB155" i="38" s="1"/>
  <c r="AA569" i="38"/>
  <c r="Z569" i="38"/>
  <c r="Y569" i="38"/>
  <c r="X569" i="38"/>
  <c r="W569" i="38"/>
  <c r="V569" i="38"/>
  <c r="U569" i="38"/>
  <c r="T569" i="38"/>
  <c r="S569" i="38"/>
  <c r="R569" i="38"/>
  <c r="Q569" i="38"/>
  <c r="C569" i="38"/>
  <c r="V568" i="38"/>
  <c r="U568" i="38"/>
  <c r="Q568" i="38"/>
  <c r="C568" i="38"/>
  <c r="AH567" i="38"/>
  <c r="AG567" i="38"/>
  <c r="AF567" i="38"/>
  <c r="AE567" i="38"/>
  <c r="AD567" i="38"/>
  <c r="Q567" i="38"/>
  <c r="C567" i="38"/>
  <c r="AG566" i="38"/>
  <c r="AI566" i="38" s="1"/>
  <c r="AF566" i="38"/>
  <c r="AE566" i="38"/>
  <c r="AH566" i="38" s="1"/>
  <c r="AJ566" i="38" s="1"/>
  <c r="AD566" i="38"/>
  <c r="Q566" i="38"/>
  <c r="C566" i="38"/>
  <c r="AG565" i="38"/>
  <c r="AF565" i="38"/>
  <c r="AE565" i="38"/>
  <c r="AD565" i="38"/>
  <c r="AH565" i="38" s="1"/>
  <c r="Q565" i="38"/>
  <c r="C565" i="38"/>
  <c r="AH564" i="38"/>
  <c r="AJ564" i="38" s="1"/>
  <c r="AG564" i="38"/>
  <c r="AF564" i="38"/>
  <c r="AI564" i="38" s="1"/>
  <c r="AE564" i="38"/>
  <c r="AD564" i="38"/>
  <c r="Q564" i="38"/>
  <c r="C564" i="38"/>
  <c r="AG563" i="38"/>
  <c r="AF563" i="38"/>
  <c r="AE563" i="38"/>
  <c r="AD563" i="38"/>
  <c r="Q563" i="38"/>
  <c r="C563" i="38"/>
  <c r="AC562" i="38"/>
  <c r="AB562" i="38"/>
  <c r="AA562" i="38"/>
  <c r="AA553" i="38" s="1"/>
  <c r="Z562" i="38"/>
  <c r="Y562" i="38"/>
  <c r="X562" i="38"/>
  <c r="W562" i="38"/>
  <c r="V562" i="38"/>
  <c r="U562" i="38"/>
  <c r="T562" i="38"/>
  <c r="S562" i="38"/>
  <c r="R562" i="38"/>
  <c r="Q562" i="38"/>
  <c r="C562" i="38"/>
  <c r="AG561" i="38"/>
  <c r="AF561" i="38"/>
  <c r="AI561" i="38" s="1"/>
  <c r="AE561" i="38"/>
  <c r="AD561" i="38"/>
  <c r="AH561" i="38" s="1"/>
  <c r="Q561" i="38"/>
  <c r="C561" i="38"/>
  <c r="AG560" i="38"/>
  <c r="AF560" i="38"/>
  <c r="AI560" i="38" s="1"/>
  <c r="AE560" i="38"/>
  <c r="AD560" i="38"/>
  <c r="AH560" i="38" s="1"/>
  <c r="AJ560" i="38" s="1"/>
  <c r="Q560" i="38"/>
  <c r="C560" i="38"/>
  <c r="AG559" i="38"/>
  <c r="AF559" i="38"/>
  <c r="AE559" i="38"/>
  <c r="AE558" i="38" s="1"/>
  <c r="AE557" i="38" s="1"/>
  <c r="AD559" i="38"/>
  <c r="Q559" i="38"/>
  <c r="C559" i="38"/>
  <c r="AF558" i="38"/>
  <c r="AC558" i="38"/>
  <c r="AC557" i="38" s="1"/>
  <c r="AB558" i="38"/>
  <c r="AB557" i="38" s="1"/>
  <c r="AA558" i="38"/>
  <c r="Z558" i="38"/>
  <c r="Y558" i="38"/>
  <c r="X558" i="38"/>
  <c r="W558" i="38"/>
  <c r="V558" i="38"/>
  <c r="U558" i="38"/>
  <c r="U557" i="38" s="1"/>
  <c r="T558" i="38"/>
  <c r="T557" i="38" s="1"/>
  <c r="S558" i="38"/>
  <c r="R558" i="38"/>
  <c r="Q558" i="38"/>
  <c r="C558" i="38"/>
  <c r="AA557" i="38"/>
  <c r="Z557" i="38"/>
  <c r="Y557" i="38"/>
  <c r="X557" i="38"/>
  <c r="W557" i="38"/>
  <c r="V557" i="38"/>
  <c r="S557" i="38"/>
  <c r="R557" i="38"/>
  <c r="Q557" i="38"/>
  <c r="C557" i="38"/>
  <c r="AG556" i="38"/>
  <c r="AI556" i="38" s="1"/>
  <c r="AF556" i="38"/>
  <c r="AE556" i="38"/>
  <c r="AD556" i="38"/>
  <c r="AH556" i="38" s="1"/>
  <c r="Q556" i="38"/>
  <c r="C556" i="38"/>
  <c r="AH555" i="38"/>
  <c r="AG555" i="38"/>
  <c r="AI555" i="38" s="1"/>
  <c r="AF555" i="38"/>
  <c r="AF554" i="38" s="1"/>
  <c r="AE555" i="38"/>
  <c r="AD555" i="38"/>
  <c r="Q555" i="38"/>
  <c r="C555" i="38"/>
  <c r="AG554" i="38"/>
  <c r="AE554" i="38"/>
  <c r="AC554" i="38"/>
  <c r="AB554" i="38"/>
  <c r="AA554" i="38"/>
  <c r="Z554" i="38"/>
  <c r="Y554" i="38"/>
  <c r="X554" i="38"/>
  <c r="W554" i="38"/>
  <c r="V554" i="38"/>
  <c r="U554" i="38"/>
  <c r="T554" i="38"/>
  <c r="S554" i="38"/>
  <c r="R554" i="38"/>
  <c r="Q554" i="38"/>
  <c r="C554" i="38"/>
  <c r="AB553" i="38"/>
  <c r="Z553" i="38"/>
  <c r="R553" i="38"/>
  <c r="Q553" i="38"/>
  <c r="C553" i="38"/>
  <c r="Q552" i="38"/>
  <c r="C552" i="38"/>
  <c r="Q551" i="38"/>
  <c r="C551" i="38"/>
  <c r="Q550" i="38"/>
  <c r="C550" i="38"/>
  <c r="AI549" i="38"/>
  <c r="AH549" i="38"/>
  <c r="AJ549" i="38" s="1"/>
  <c r="AG549" i="38"/>
  <c r="AF549" i="38"/>
  <c r="AE549" i="38"/>
  <c r="AD549" i="38"/>
  <c r="Q549" i="38"/>
  <c r="C549" i="38"/>
  <c r="AI548" i="38"/>
  <c r="AG548" i="38"/>
  <c r="AF548" i="38"/>
  <c r="AE548" i="38"/>
  <c r="AD548" i="38"/>
  <c r="AH548" i="38" s="1"/>
  <c r="AJ548" i="38" s="1"/>
  <c r="Q548" i="38"/>
  <c r="C548" i="38"/>
  <c r="AI547" i="38"/>
  <c r="AG547" i="38"/>
  <c r="AF547" i="38"/>
  <c r="AE547" i="38"/>
  <c r="AH547" i="38" s="1"/>
  <c r="AJ547" i="38" s="1"/>
  <c r="AD547" i="38"/>
  <c r="Q547" i="38"/>
  <c r="C547" i="38"/>
  <c r="AI546" i="38"/>
  <c r="AH546" i="38"/>
  <c r="AJ546" i="38" s="1"/>
  <c r="AG546" i="38"/>
  <c r="AF546" i="38"/>
  <c r="AE546" i="38"/>
  <c r="AD546" i="38"/>
  <c r="U546" i="38"/>
  <c r="T546" i="38"/>
  <c r="Q546" i="38"/>
  <c r="C546" i="38"/>
  <c r="AI545" i="38"/>
  <c r="AG545" i="38"/>
  <c r="AF545" i="38"/>
  <c r="AF544" i="38" s="1"/>
  <c r="AF543" i="38" s="1"/>
  <c r="AE545" i="38"/>
  <c r="AD545" i="38"/>
  <c r="Q545" i="38"/>
  <c r="C545" i="38"/>
  <c r="A545" i="38"/>
  <c r="A546" i="38" s="1"/>
  <c r="A547" i="38" s="1"/>
  <c r="A548" i="38" s="1"/>
  <c r="AI544" i="38"/>
  <c r="AI543" i="38" s="1"/>
  <c r="AG544" i="38"/>
  <c r="AG543" i="38" s="1"/>
  <c r="AD544" i="38"/>
  <c r="AD543" i="38" s="1"/>
  <c r="AC544" i="38"/>
  <c r="AB544" i="38"/>
  <c r="AA544" i="38"/>
  <c r="Z544" i="38"/>
  <c r="Z543" i="38" s="1"/>
  <c r="Y544" i="38"/>
  <c r="Y543" i="38" s="1"/>
  <c r="X544" i="38"/>
  <c r="W544" i="38"/>
  <c r="W543" i="38" s="1"/>
  <c r="V544" i="38"/>
  <c r="V543" i="38" s="1"/>
  <c r="U544" i="38"/>
  <c r="T544" i="38"/>
  <c r="S544" i="38"/>
  <c r="S543" i="38" s="1"/>
  <c r="R544" i="38"/>
  <c r="R543" i="38" s="1"/>
  <c r="Q544" i="38"/>
  <c r="C544" i="38"/>
  <c r="AC543" i="38"/>
  <c r="AB543" i="38"/>
  <c r="AA543" i="38"/>
  <c r="X543" i="38"/>
  <c r="U543" i="38"/>
  <c r="T543" i="38"/>
  <c r="Q543" i="38"/>
  <c r="C543" i="38"/>
  <c r="AI542" i="38"/>
  <c r="AG542" i="38"/>
  <c r="AF542" i="38"/>
  <c r="AE542" i="38"/>
  <c r="AD542" i="38"/>
  <c r="Q542" i="38"/>
  <c r="C542" i="38"/>
  <c r="AG541" i="38"/>
  <c r="AF541" i="38"/>
  <c r="AI541" i="38" s="1"/>
  <c r="AE541" i="38"/>
  <c r="AD541" i="38"/>
  <c r="AH541" i="38" s="1"/>
  <c r="Q541" i="38"/>
  <c r="C541" i="38"/>
  <c r="AJ540" i="38"/>
  <c r="AI540" i="38"/>
  <c r="AH540" i="38"/>
  <c r="AG540" i="38"/>
  <c r="AF540" i="38"/>
  <c r="AE540" i="38"/>
  <c r="AD540" i="38"/>
  <c r="Q540" i="38"/>
  <c r="C540" i="38"/>
  <c r="AI539" i="38"/>
  <c r="AG539" i="38"/>
  <c r="AF539" i="38"/>
  <c r="AE539" i="38"/>
  <c r="AD539" i="38"/>
  <c r="U539" i="38"/>
  <c r="T539" i="38"/>
  <c r="Q539" i="38"/>
  <c r="C539" i="38"/>
  <c r="AI538" i="38"/>
  <c r="AH538" i="38"/>
  <c r="AG538" i="38"/>
  <c r="AF538" i="38"/>
  <c r="AE538" i="38"/>
  <c r="AE537" i="38" s="1"/>
  <c r="AD538" i="38"/>
  <c r="Q538" i="38"/>
  <c r="C538" i="38"/>
  <c r="A538" i="38"/>
  <c r="A539" i="38" s="1"/>
  <c r="A540" i="38" s="1"/>
  <c r="A541" i="38" s="1"/>
  <c r="AG537" i="38"/>
  <c r="AG536" i="38" s="1"/>
  <c r="AC537" i="38"/>
  <c r="AB537" i="38"/>
  <c r="AA537" i="38"/>
  <c r="AA536" i="38" s="1"/>
  <c r="Z537" i="38"/>
  <c r="Z536" i="38" s="1"/>
  <c r="Y537" i="38"/>
  <c r="Y536" i="38" s="1"/>
  <c r="X537" i="38"/>
  <c r="W537" i="38"/>
  <c r="W536" i="38" s="1"/>
  <c r="V537" i="38"/>
  <c r="V536" i="38" s="1"/>
  <c r="U537" i="38"/>
  <c r="T537" i="38"/>
  <c r="S537" i="38"/>
  <c r="S536" i="38" s="1"/>
  <c r="R537" i="38"/>
  <c r="R536" i="38" s="1"/>
  <c r="Q537" i="38"/>
  <c r="C537" i="38"/>
  <c r="AC536" i="38"/>
  <c r="AB536" i="38"/>
  <c r="X536" i="38"/>
  <c r="U536" i="38"/>
  <c r="T536" i="38"/>
  <c r="Q536" i="38"/>
  <c r="C536" i="38"/>
  <c r="Q535" i="38"/>
  <c r="C535" i="38"/>
  <c r="Q534" i="38"/>
  <c r="C534" i="38"/>
  <c r="AJ533" i="38"/>
  <c r="AI533" i="38"/>
  <c r="AH533" i="38"/>
  <c r="AG533" i="38"/>
  <c r="AF533" i="38"/>
  <c r="AE533" i="38"/>
  <c r="AD533" i="38"/>
  <c r="Q533" i="38"/>
  <c r="C533" i="38"/>
  <c r="AH532" i="38"/>
  <c r="AG532" i="38"/>
  <c r="AI532" i="38" s="1"/>
  <c r="AF532" i="38"/>
  <c r="AE532" i="38"/>
  <c r="AD532" i="38"/>
  <c r="Q532" i="38"/>
  <c r="C532" i="38"/>
  <c r="AH531" i="38"/>
  <c r="AG531" i="38"/>
  <c r="AF531" i="38"/>
  <c r="AE531" i="38"/>
  <c r="AD531" i="38"/>
  <c r="Q531" i="38"/>
  <c r="C531" i="38"/>
  <c r="AG530" i="38"/>
  <c r="AF530" i="38"/>
  <c r="AE530" i="38"/>
  <c r="AH530" i="38" s="1"/>
  <c r="AD530" i="38"/>
  <c r="Q530" i="38"/>
  <c r="C530" i="38"/>
  <c r="AF529" i="38"/>
  <c r="AE529" i="38"/>
  <c r="AD529" i="38"/>
  <c r="AC529" i="38"/>
  <c r="AB529" i="38"/>
  <c r="AA529" i="38"/>
  <c r="Z529" i="38"/>
  <c r="Y529" i="38"/>
  <c r="X529" i="38"/>
  <c r="W529" i="38"/>
  <c r="V529" i="38"/>
  <c r="U529" i="38"/>
  <c r="T529" i="38"/>
  <c r="S529" i="38"/>
  <c r="R529" i="38"/>
  <c r="Q529" i="38"/>
  <c r="C529" i="38"/>
  <c r="AG528" i="38"/>
  <c r="AI528" i="38" s="1"/>
  <c r="AF528" i="38"/>
  <c r="AE528" i="38"/>
  <c r="AD528" i="38"/>
  <c r="Q528" i="38"/>
  <c r="C528" i="38"/>
  <c r="AH527" i="38"/>
  <c r="AG527" i="38"/>
  <c r="AI527" i="38" s="1"/>
  <c r="AF527" i="38"/>
  <c r="AF525" i="38" s="1"/>
  <c r="AE527" i="38"/>
  <c r="AD527" i="38"/>
  <c r="Q527" i="38"/>
  <c r="C527" i="38"/>
  <c r="AG526" i="38"/>
  <c r="AF526" i="38"/>
  <c r="AE526" i="38"/>
  <c r="AH526" i="38" s="1"/>
  <c r="AD526" i="38"/>
  <c r="Q526" i="38"/>
  <c r="C526" i="38"/>
  <c r="AC525" i="38"/>
  <c r="AB525" i="38"/>
  <c r="AA525" i="38"/>
  <c r="Z525" i="38"/>
  <c r="Y525" i="38"/>
  <c r="X525" i="38"/>
  <c r="W525" i="38"/>
  <c r="V525" i="38"/>
  <c r="U525" i="38"/>
  <c r="T525" i="38"/>
  <c r="S525" i="38"/>
  <c r="R525" i="38"/>
  <c r="Q525" i="38"/>
  <c r="C525" i="38"/>
  <c r="AH524" i="38"/>
  <c r="AG524" i="38"/>
  <c r="AI524" i="38" s="1"/>
  <c r="AF524" i="38"/>
  <c r="AE524" i="38"/>
  <c r="AD524" i="38"/>
  <c r="Q524" i="38"/>
  <c r="C524" i="38"/>
  <c r="AH523" i="38"/>
  <c r="AJ523" i="38" s="1"/>
  <c r="AG523" i="38"/>
  <c r="AI523" i="38" s="1"/>
  <c r="AF523" i="38"/>
  <c r="AE523" i="38"/>
  <c r="AD523" i="38"/>
  <c r="Q523" i="38"/>
  <c r="C523" i="38"/>
  <c r="AG522" i="38"/>
  <c r="AF522" i="38"/>
  <c r="AE522" i="38"/>
  <c r="AD522" i="38"/>
  <c r="Q522" i="38"/>
  <c r="C522" i="38"/>
  <c r="AF521" i="38"/>
  <c r="AD521" i="38"/>
  <c r="AC521" i="38"/>
  <c r="AB521" i="38"/>
  <c r="AA521" i="38"/>
  <c r="Z521" i="38"/>
  <c r="Y521" i="38"/>
  <c r="X521" i="38"/>
  <c r="W521" i="38"/>
  <c r="W517" i="38" s="1"/>
  <c r="W516" i="38" s="1"/>
  <c r="V521" i="38"/>
  <c r="V517" i="38" s="1"/>
  <c r="U521" i="38"/>
  <c r="T521" i="38"/>
  <c r="S521" i="38"/>
  <c r="R521" i="38"/>
  <c r="Q521" i="38"/>
  <c r="C521" i="38"/>
  <c r="AG520" i="38"/>
  <c r="AI520" i="38" s="1"/>
  <c r="AF520" i="38"/>
  <c r="AE520" i="38"/>
  <c r="AD520" i="38"/>
  <c r="AH520" i="38" s="1"/>
  <c r="AJ520" i="38" s="1"/>
  <c r="Q520" i="38"/>
  <c r="C520" i="38"/>
  <c r="AH519" i="38"/>
  <c r="AG519" i="38"/>
  <c r="AF519" i="38"/>
  <c r="AE519" i="38"/>
  <c r="AD519" i="38"/>
  <c r="Q519" i="38"/>
  <c r="C519" i="38"/>
  <c r="AF518" i="38"/>
  <c r="AE518" i="38"/>
  <c r="AC518" i="38"/>
  <c r="AB518" i="38"/>
  <c r="AB517" i="38" s="1"/>
  <c r="AB516" i="38" s="1"/>
  <c r="AA518" i="38"/>
  <c r="Z518" i="38"/>
  <c r="Y518" i="38"/>
  <c r="Y517" i="38" s="1"/>
  <c r="Y516" i="38" s="1"/>
  <c r="X518" i="38"/>
  <c r="W518" i="38"/>
  <c r="V518" i="38"/>
  <c r="U518" i="38"/>
  <c r="T518" i="38"/>
  <c r="S518" i="38"/>
  <c r="R518" i="38"/>
  <c r="Q518" i="38"/>
  <c r="C518" i="38"/>
  <c r="AC517" i="38"/>
  <c r="AA517" i="38"/>
  <c r="Z517" i="38"/>
  <c r="U517" i="38"/>
  <c r="T517" i="38"/>
  <c r="T516" i="38" s="1"/>
  <c r="T510" i="38" s="1"/>
  <c r="S517" i="38"/>
  <c r="S516" i="38" s="1"/>
  <c r="S510" i="38" s="1"/>
  <c r="R517" i="38"/>
  <c r="Q517" i="38"/>
  <c r="C517" i="38"/>
  <c r="AC516" i="38"/>
  <c r="Z516" i="38"/>
  <c r="V516" i="38"/>
  <c r="U516" i="38"/>
  <c r="U510" i="38" s="1"/>
  <c r="R516" i="38"/>
  <c r="Q516" i="38"/>
  <c r="C516" i="38"/>
  <c r="AH515" i="38"/>
  <c r="AG515" i="38"/>
  <c r="AI515" i="38" s="1"/>
  <c r="AF515" i="38"/>
  <c r="AE515" i="38"/>
  <c r="AD515" i="38"/>
  <c r="Q515" i="38"/>
  <c r="C515" i="38"/>
  <c r="AG514" i="38"/>
  <c r="AI514" i="38" s="1"/>
  <c r="AF514" i="38"/>
  <c r="AE514" i="38"/>
  <c r="AH514" i="38" s="1"/>
  <c r="AJ514" i="38" s="1"/>
  <c r="AD514" i="38"/>
  <c r="Q514" i="38"/>
  <c r="C514" i="38"/>
  <c r="AG513" i="38"/>
  <c r="AF513" i="38"/>
  <c r="AF512" i="38" s="1"/>
  <c r="AE513" i="38"/>
  <c r="AD513" i="38"/>
  <c r="Q513" i="38"/>
  <c r="C513" i="38"/>
  <c r="AE512" i="38"/>
  <c r="AE511" i="38" s="1"/>
  <c r="AD512" i="38"/>
  <c r="AD511" i="38" s="1"/>
  <c r="AC512" i="38"/>
  <c r="AB512" i="38"/>
  <c r="AA512" i="38"/>
  <c r="Z512" i="38"/>
  <c r="Z511" i="38" s="1"/>
  <c r="Z510" i="38" s="1"/>
  <c r="Y512" i="38"/>
  <c r="X512" i="38"/>
  <c r="W512" i="38"/>
  <c r="W511" i="38" s="1"/>
  <c r="V512" i="38"/>
  <c r="V511" i="38" s="1"/>
  <c r="V510" i="38" s="1"/>
  <c r="U512" i="38"/>
  <c r="T512" i="38"/>
  <c r="S512" i="38"/>
  <c r="R512" i="38"/>
  <c r="Q512" i="38"/>
  <c r="C512" i="38"/>
  <c r="AF511" i="38"/>
  <c r="AC511" i="38"/>
  <c r="AB511" i="38"/>
  <c r="AA511" i="38"/>
  <c r="Y511" i="38"/>
  <c r="Y510" i="38" s="1"/>
  <c r="X511" i="38"/>
  <c r="U511" i="38"/>
  <c r="T511" i="38"/>
  <c r="S511" i="38"/>
  <c r="R511" i="38"/>
  <c r="Q511" i="38"/>
  <c r="C511" i="38"/>
  <c r="AC510" i="38"/>
  <c r="AB510" i="38"/>
  <c r="Q510" i="38"/>
  <c r="C510" i="38"/>
  <c r="AG509" i="38"/>
  <c r="AF509" i="38"/>
  <c r="AI509" i="38" s="1"/>
  <c r="AE509" i="38"/>
  <c r="AD509" i="38"/>
  <c r="AH509" i="38" s="1"/>
  <c r="AJ509" i="38" s="1"/>
  <c r="Q509" i="38"/>
  <c r="C509" i="38"/>
  <c r="AI508" i="38"/>
  <c r="AH508" i="38"/>
  <c r="AJ508" i="38" s="1"/>
  <c r="AG508" i="38"/>
  <c r="AF508" i="38"/>
  <c r="AE508" i="38"/>
  <c r="AD508" i="38"/>
  <c r="Q508" i="38"/>
  <c r="C508" i="38"/>
  <c r="AG507" i="38"/>
  <c r="AI507" i="38" s="1"/>
  <c r="AF507" i="38"/>
  <c r="AE507" i="38"/>
  <c r="AD507" i="38"/>
  <c r="AH507" i="38" s="1"/>
  <c r="AJ507" i="38" s="1"/>
  <c r="Q507" i="38"/>
  <c r="C507" i="38"/>
  <c r="AG506" i="38"/>
  <c r="AF506" i="38"/>
  <c r="AF505" i="38" s="1"/>
  <c r="AE506" i="38"/>
  <c r="AD506" i="38"/>
  <c r="AH506" i="38" s="1"/>
  <c r="Q506" i="38"/>
  <c r="C506" i="38"/>
  <c r="AE505" i="38"/>
  <c r="AC505" i="38"/>
  <c r="AB505" i="38"/>
  <c r="AA505" i="38"/>
  <c r="Z505" i="38"/>
  <c r="Y505" i="38"/>
  <c r="X505" i="38"/>
  <c r="W505" i="38"/>
  <c r="V505" i="38"/>
  <c r="U505" i="38"/>
  <c r="T505" i="38"/>
  <c r="S505" i="38"/>
  <c r="R505" i="38"/>
  <c r="Q505" i="38"/>
  <c r="C505" i="38"/>
  <c r="AG504" i="38"/>
  <c r="AF504" i="38"/>
  <c r="AI504" i="38" s="1"/>
  <c r="AE504" i="38"/>
  <c r="AD504" i="38"/>
  <c r="AH504" i="38" s="1"/>
  <c r="AJ504" i="38" s="1"/>
  <c r="Q504" i="38"/>
  <c r="C504" i="38"/>
  <c r="AG503" i="38"/>
  <c r="AI503" i="38" s="1"/>
  <c r="AF503" i="38"/>
  <c r="AE503" i="38"/>
  <c r="AD503" i="38"/>
  <c r="AH503" i="38" s="1"/>
  <c r="AJ503" i="38" s="1"/>
  <c r="Q503" i="38"/>
  <c r="C503" i="38"/>
  <c r="AG502" i="38"/>
  <c r="AG501" i="38" s="1"/>
  <c r="AF502" i="38"/>
  <c r="AF501" i="38" s="1"/>
  <c r="AE502" i="38"/>
  <c r="AD502" i="38"/>
  <c r="AH502" i="38" s="1"/>
  <c r="AH501" i="38" s="1"/>
  <c r="Q502" i="38"/>
  <c r="C502" i="38"/>
  <c r="AE501" i="38"/>
  <c r="AC501" i="38"/>
  <c r="AB501" i="38"/>
  <c r="AA501" i="38"/>
  <c r="Z501" i="38"/>
  <c r="Y501" i="38"/>
  <c r="X501" i="38"/>
  <c r="W501" i="38"/>
  <c r="V501" i="38"/>
  <c r="U501" i="38"/>
  <c r="T501" i="38"/>
  <c r="S501" i="38"/>
  <c r="R501" i="38"/>
  <c r="Q501" i="38"/>
  <c r="C501" i="38"/>
  <c r="AI500" i="38"/>
  <c r="AG500" i="38"/>
  <c r="AF500" i="38"/>
  <c r="AE500" i="38"/>
  <c r="AD500" i="38"/>
  <c r="AH500" i="38" s="1"/>
  <c r="AJ500" i="38" s="1"/>
  <c r="Q500" i="38"/>
  <c r="C500" i="38"/>
  <c r="AG499" i="38"/>
  <c r="AI499" i="38" s="1"/>
  <c r="AF499" i="38"/>
  <c r="AE499" i="38"/>
  <c r="AD499" i="38"/>
  <c r="AH499" i="38" s="1"/>
  <c r="AJ499" i="38" s="1"/>
  <c r="Q499" i="38"/>
  <c r="C499" i="38"/>
  <c r="AI498" i="38"/>
  <c r="AG498" i="38"/>
  <c r="AG497" i="38" s="1"/>
  <c r="AF498" i="38"/>
  <c r="AE498" i="38"/>
  <c r="AD498" i="38"/>
  <c r="Q498" i="38"/>
  <c r="C498" i="38"/>
  <c r="AI497" i="38"/>
  <c r="AF497" i="38"/>
  <c r="AE497" i="38"/>
  <c r="AC497" i="38"/>
  <c r="AB497" i="38"/>
  <c r="AA497" i="38"/>
  <c r="AA493" i="38" s="1"/>
  <c r="AA492" i="38" s="1"/>
  <c r="Z497" i="38"/>
  <c r="Y497" i="38"/>
  <c r="X497" i="38"/>
  <c r="W497" i="38"/>
  <c r="V497" i="38"/>
  <c r="U497" i="38"/>
  <c r="T497" i="38"/>
  <c r="T493" i="38" s="1"/>
  <c r="T492" i="38" s="1"/>
  <c r="T486" i="38" s="1"/>
  <c r="T485" i="38" s="1"/>
  <c r="S497" i="38"/>
  <c r="S493" i="38" s="1"/>
  <c r="S492" i="38" s="1"/>
  <c r="R497" i="38"/>
  <c r="Q497" i="38"/>
  <c r="C497" i="38"/>
  <c r="AH496" i="38"/>
  <c r="AG496" i="38"/>
  <c r="AF496" i="38"/>
  <c r="AI496" i="38" s="1"/>
  <c r="AE496" i="38"/>
  <c r="AD496" i="38"/>
  <c r="Q496" i="38"/>
  <c r="C496" i="38"/>
  <c r="AG495" i="38"/>
  <c r="AC495" i="38"/>
  <c r="AB495" i="38"/>
  <c r="AA495" i="38"/>
  <c r="Z495" i="38"/>
  <c r="Z494" i="38" s="1"/>
  <c r="Z493" i="38" s="1"/>
  <c r="Y495" i="38"/>
  <c r="Y494" i="38" s="1"/>
  <c r="Y493" i="38" s="1"/>
  <c r="Y492" i="38" s="1"/>
  <c r="X495" i="38"/>
  <c r="AF495" i="38" s="1"/>
  <c r="AF494" i="38" s="1"/>
  <c r="W495" i="38"/>
  <c r="V495" i="38"/>
  <c r="V494" i="38" s="1"/>
  <c r="V493" i="38" s="1"/>
  <c r="U495" i="38"/>
  <c r="AE495" i="38" s="1"/>
  <c r="AE494" i="38" s="1"/>
  <c r="AE493" i="38" s="1"/>
  <c r="AE492" i="38" s="1"/>
  <c r="T495" i="38"/>
  <c r="S495" i="38"/>
  <c r="R495" i="38"/>
  <c r="Q495" i="38"/>
  <c r="C495" i="38"/>
  <c r="AC494" i="38"/>
  <c r="AC493" i="38" s="1"/>
  <c r="AC492" i="38" s="1"/>
  <c r="AB494" i="38"/>
  <c r="AA494" i="38"/>
  <c r="X494" i="38"/>
  <c r="W494" i="38"/>
  <c r="U494" i="38"/>
  <c r="T494" i="38"/>
  <c r="S494" i="38"/>
  <c r="Q494" i="38"/>
  <c r="C494" i="38"/>
  <c r="AF493" i="38"/>
  <c r="AF492" i="38" s="1"/>
  <c r="X493" i="38"/>
  <c r="W493" i="38"/>
  <c r="U493" i="38"/>
  <c r="U492" i="38" s="1"/>
  <c r="Q493" i="38"/>
  <c r="C493" i="38"/>
  <c r="X492" i="38"/>
  <c r="X486" i="38" s="1"/>
  <c r="W492" i="38"/>
  <c r="V492" i="38"/>
  <c r="Q492" i="38"/>
  <c r="C492" i="38"/>
  <c r="AI491" i="38"/>
  <c r="AH491" i="38"/>
  <c r="AG491" i="38"/>
  <c r="AF491" i="38"/>
  <c r="AE491" i="38"/>
  <c r="AD491" i="38"/>
  <c r="Q491" i="38"/>
  <c r="C491" i="38"/>
  <c r="AG490" i="38"/>
  <c r="AI490" i="38" s="1"/>
  <c r="AF490" i="38"/>
  <c r="AE490" i="38"/>
  <c r="AH490" i="38" s="1"/>
  <c r="AD490" i="38"/>
  <c r="Q490" i="38"/>
  <c r="C490" i="38"/>
  <c r="AG489" i="38"/>
  <c r="AG488" i="38" s="1"/>
  <c r="AF489" i="38"/>
  <c r="AE489" i="38"/>
  <c r="AD489" i="38"/>
  <c r="AH489" i="38" s="1"/>
  <c r="Q489" i="38"/>
  <c r="C489" i="38"/>
  <c r="AF488" i="38"/>
  <c r="AE488" i="38"/>
  <c r="AE487" i="38" s="1"/>
  <c r="AD488" i="38"/>
  <c r="AD487" i="38" s="1"/>
  <c r="AC488" i="38"/>
  <c r="AC487" i="38" s="1"/>
  <c r="AB488" i="38"/>
  <c r="AA488" i="38"/>
  <c r="AA487" i="38" s="1"/>
  <c r="AA486" i="38" s="1"/>
  <c r="Z488" i="38"/>
  <c r="Y488" i="38"/>
  <c r="X488" i="38"/>
  <c r="W488" i="38"/>
  <c r="W487" i="38" s="1"/>
  <c r="V488" i="38"/>
  <c r="U488" i="38"/>
  <c r="U487" i="38" s="1"/>
  <c r="T488" i="38"/>
  <c r="S488" i="38"/>
  <c r="S487" i="38" s="1"/>
  <c r="R488" i="38"/>
  <c r="Q488" i="38"/>
  <c r="C488" i="38"/>
  <c r="AG487" i="38"/>
  <c r="AF487" i="38"/>
  <c r="AB487" i="38"/>
  <c r="Z487" i="38"/>
  <c r="Y487" i="38"/>
  <c r="X487" i="38"/>
  <c r="V487" i="38"/>
  <c r="V486" i="38" s="1"/>
  <c r="V485" i="38" s="1"/>
  <c r="T487" i="38"/>
  <c r="R487" i="38"/>
  <c r="Q487" i="38"/>
  <c r="C487" i="38"/>
  <c r="Y486" i="38"/>
  <c r="Q486" i="38"/>
  <c r="C486" i="38"/>
  <c r="Y485" i="38"/>
  <c r="Q485" i="38"/>
  <c r="C485" i="38"/>
  <c r="AG484" i="38"/>
  <c r="AI484" i="38" s="1"/>
  <c r="AF484" i="38"/>
  <c r="AE484" i="38"/>
  <c r="AD484" i="38"/>
  <c r="AH484" i="38" s="1"/>
  <c r="AJ484" i="38" s="1"/>
  <c r="Q484" i="38"/>
  <c r="C484" i="38"/>
  <c r="AJ483" i="38"/>
  <c r="AI483" i="38"/>
  <c r="AG483" i="38"/>
  <c r="AF483" i="38"/>
  <c r="AE483" i="38"/>
  <c r="AD483" i="38"/>
  <c r="AH483" i="38" s="1"/>
  <c r="Q483" i="38"/>
  <c r="C483" i="38"/>
  <c r="AJ482" i="38"/>
  <c r="AI482" i="38"/>
  <c r="AH482" i="38"/>
  <c r="AG482" i="38"/>
  <c r="AF482" i="38"/>
  <c r="AE482" i="38"/>
  <c r="AD482" i="38"/>
  <c r="Q482" i="38"/>
  <c r="C482" i="38"/>
  <c r="AI481" i="38"/>
  <c r="AI480" i="38" s="1"/>
  <c r="AH481" i="38"/>
  <c r="AG481" i="38"/>
  <c r="AF481" i="38"/>
  <c r="AE481" i="38"/>
  <c r="AE480" i="38" s="1"/>
  <c r="AE476" i="38" s="1"/>
  <c r="AD481" i="38"/>
  <c r="Q481" i="38"/>
  <c r="C481" i="38"/>
  <c r="AH480" i="38"/>
  <c r="AG480" i="38"/>
  <c r="AF480" i="38"/>
  <c r="AD480" i="38"/>
  <c r="AC480" i="38"/>
  <c r="AB480" i="38"/>
  <c r="AA480" i="38"/>
  <c r="Z480" i="38"/>
  <c r="Y480" i="38"/>
  <c r="X480" i="38"/>
  <c r="X476" i="38" s="1"/>
  <c r="W480" i="38"/>
  <c r="V480" i="38"/>
  <c r="U480" i="38"/>
  <c r="T480" i="38"/>
  <c r="S480" i="38"/>
  <c r="R480" i="38"/>
  <c r="Q480" i="38"/>
  <c r="C480" i="38"/>
  <c r="AI479" i="38"/>
  <c r="AI477" i="38" s="1"/>
  <c r="AG479" i="38"/>
  <c r="AF479" i="38"/>
  <c r="AE479" i="38"/>
  <c r="AD479" i="38"/>
  <c r="AH479" i="38" s="1"/>
  <c r="Q479" i="38"/>
  <c r="C479" i="38"/>
  <c r="AI478" i="38"/>
  <c r="AH478" i="38"/>
  <c r="AJ478" i="38" s="1"/>
  <c r="AG478" i="38"/>
  <c r="AF478" i="38"/>
  <c r="AF477" i="38" s="1"/>
  <c r="AE478" i="38"/>
  <c r="AD478" i="38"/>
  <c r="Q478" i="38"/>
  <c r="C478" i="38"/>
  <c r="AG477" i="38"/>
  <c r="AG476" i="38" s="1"/>
  <c r="AE477" i="38"/>
  <c r="AC477" i="38"/>
  <c r="AB477" i="38"/>
  <c r="AA477" i="38"/>
  <c r="AA476" i="38" s="1"/>
  <c r="AA475" i="38" s="1"/>
  <c r="Z477" i="38"/>
  <c r="Y477" i="38"/>
  <c r="X477" i="38"/>
  <c r="W477" i="38"/>
  <c r="V477" i="38"/>
  <c r="U477" i="38"/>
  <c r="T477" i="38"/>
  <c r="S477" i="38"/>
  <c r="S476" i="38" s="1"/>
  <c r="S475" i="38" s="1"/>
  <c r="R477" i="38"/>
  <c r="Q477" i="38"/>
  <c r="C477" i="38"/>
  <c r="AC476" i="38"/>
  <c r="AC475" i="38" s="1"/>
  <c r="AB476" i="38"/>
  <c r="AB475" i="38" s="1"/>
  <c r="AB1480" i="38" s="1"/>
  <c r="W476" i="38"/>
  <c r="V476" i="38"/>
  <c r="V475" i="38" s="1"/>
  <c r="V1480" i="38" s="1"/>
  <c r="U476" i="38"/>
  <c r="U475" i="38" s="1"/>
  <c r="U1480" i="38" s="1"/>
  <c r="T476" i="38"/>
  <c r="T475" i="38" s="1"/>
  <c r="T1480" i="38" s="1"/>
  <c r="Q476" i="38"/>
  <c r="C476" i="38"/>
  <c r="AG475" i="38"/>
  <c r="AE475" i="38"/>
  <c r="X475" i="38"/>
  <c r="X1480" i="38" s="1"/>
  <c r="W475" i="38"/>
  <c r="W1480" i="38" s="1"/>
  <c r="Q475" i="38"/>
  <c r="C475" i="38"/>
  <c r="AI474" i="38"/>
  <c r="AH474" i="38"/>
  <c r="AJ474" i="38" s="1"/>
  <c r="AG474" i="38"/>
  <c r="AF474" i="38"/>
  <c r="AE474" i="38"/>
  <c r="AD474" i="38"/>
  <c r="Q474" i="38"/>
  <c r="C474" i="38"/>
  <c r="AI473" i="38"/>
  <c r="AH473" i="38"/>
  <c r="AJ473" i="38" s="1"/>
  <c r="AG473" i="38"/>
  <c r="AF473" i="38"/>
  <c r="AE473" i="38"/>
  <c r="AD473" i="38"/>
  <c r="Q473" i="38"/>
  <c r="C473" i="38"/>
  <c r="AH472" i="38"/>
  <c r="AG472" i="38"/>
  <c r="AI472" i="38" s="1"/>
  <c r="AF472" i="38"/>
  <c r="AE472" i="38"/>
  <c r="AD472" i="38"/>
  <c r="AD471" i="38" s="1"/>
  <c r="AD470" i="38" s="1"/>
  <c r="Q472" i="38"/>
  <c r="C472" i="38"/>
  <c r="AG471" i="38"/>
  <c r="AG470" i="38" s="1"/>
  <c r="AF471" i="38"/>
  <c r="AF470" i="38" s="1"/>
  <c r="AE471" i="38"/>
  <c r="AE470" i="38" s="1"/>
  <c r="AC471" i="38"/>
  <c r="AB471" i="38"/>
  <c r="AA471" i="38"/>
  <c r="Z471" i="38"/>
  <c r="Y471" i="38"/>
  <c r="Y470" i="38" s="1"/>
  <c r="X471" i="38"/>
  <c r="X470" i="38" s="1"/>
  <c r="W471" i="38"/>
  <c r="W470" i="38" s="1"/>
  <c r="W469" i="38" s="1"/>
  <c r="V471" i="38"/>
  <c r="U471" i="38"/>
  <c r="T471" i="38"/>
  <c r="S471" i="38"/>
  <c r="R471" i="38"/>
  <c r="Q471" i="38"/>
  <c r="C471" i="38"/>
  <c r="AC470" i="38"/>
  <c r="AB470" i="38"/>
  <c r="AA470" i="38"/>
  <c r="Z470" i="38"/>
  <c r="V470" i="38"/>
  <c r="U470" i="38"/>
  <c r="T470" i="38"/>
  <c r="S470" i="38"/>
  <c r="R470" i="38"/>
  <c r="Q470" i="38"/>
  <c r="C470" i="38"/>
  <c r="AE469" i="38"/>
  <c r="V469" i="38"/>
  <c r="U469" i="38"/>
  <c r="Q469" i="38"/>
  <c r="C469" i="38"/>
  <c r="AH468" i="38"/>
  <c r="AJ468" i="38" s="1"/>
  <c r="AG468" i="38"/>
  <c r="AI468" i="38" s="1"/>
  <c r="AF468" i="38"/>
  <c r="AE468" i="38"/>
  <c r="AD468" i="38"/>
  <c r="Q468" i="38"/>
  <c r="C468" i="38"/>
  <c r="AG467" i="38"/>
  <c r="AI467" i="38" s="1"/>
  <c r="AF467" i="38"/>
  <c r="AE467" i="38"/>
  <c r="AH467" i="38" s="1"/>
  <c r="AD467" i="38"/>
  <c r="Q467" i="38"/>
  <c r="C467" i="38"/>
  <c r="AG466" i="38"/>
  <c r="AF466" i="38"/>
  <c r="AE466" i="38"/>
  <c r="AD466" i="38"/>
  <c r="Q466" i="38"/>
  <c r="C466" i="38"/>
  <c r="AG465" i="38"/>
  <c r="AF465" i="38"/>
  <c r="AI465" i="38" s="1"/>
  <c r="AE465" i="38"/>
  <c r="AE464" i="38" s="1"/>
  <c r="AD465" i="38"/>
  <c r="AD464" i="38" s="1"/>
  <c r="Q465" i="38"/>
  <c r="C465" i="38"/>
  <c r="AC464" i="38"/>
  <c r="AB464" i="38"/>
  <c r="AB460" i="38" s="1"/>
  <c r="AB459" i="38" s="1"/>
  <c r="AB1479" i="38" s="1"/>
  <c r="AA464" i="38"/>
  <c r="Z464" i="38"/>
  <c r="Y464" i="38"/>
  <c r="X464" i="38"/>
  <c r="W464" i="38"/>
  <c r="V464" i="38"/>
  <c r="U464" i="38"/>
  <c r="T464" i="38"/>
  <c r="T460" i="38" s="1"/>
  <c r="T459" i="38" s="1"/>
  <c r="T1479" i="38" s="1"/>
  <c r="S464" i="38"/>
  <c r="R464" i="38"/>
  <c r="Q464" i="38"/>
  <c r="C464" i="38"/>
  <c r="AG463" i="38"/>
  <c r="AF463" i="38"/>
  <c r="AE463" i="38"/>
  <c r="AH463" i="38" s="1"/>
  <c r="AD463" i="38"/>
  <c r="Q463" i="38"/>
  <c r="C463" i="38"/>
  <c r="AG462" i="38"/>
  <c r="AI462" i="38" s="1"/>
  <c r="AF462" i="38"/>
  <c r="AE462" i="38"/>
  <c r="AD462" i="38"/>
  <c r="Q462" i="38"/>
  <c r="C462" i="38"/>
  <c r="AC461" i="38"/>
  <c r="AB461" i="38"/>
  <c r="AA461" i="38"/>
  <c r="Z461" i="38"/>
  <c r="Y461" i="38"/>
  <c r="X461" i="38"/>
  <c r="W461" i="38"/>
  <c r="W460" i="38" s="1"/>
  <c r="W459" i="38" s="1"/>
  <c r="W1479" i="38" s="1"/>
  <c r="V461" i="38"/>
  <c r="V460" i="38" s="1"/>
  <c r="V459" i="38" s="1"/>
  <c r="V1479" i="38" s="1"/>
  <c r="U461" i="38"/>
  <c r="T461" i="38"/>
  <c r="S461" i="38"/>
  <c r="R461" i="38"/>
  <c r="Q461" i="38"/>
  <c r="C461" i="38"/>
  <c r="AA460" i="38"/>
  <c r="Z460" i="38"/>
  <c r="Z459" i="38" s="1"/>
  <c r="Y460" i="38"/>
  <c r="Y459" i="38" s="1"/>
  <c r="Y1479" i="38" s="1"/>
  <c r="X460" i="38"/>
  <c r="X459" i="38" s="1"/>
  <c r="X1479" i="38" s="1"/>
  <c r="S460" i="38"/>
  <c r="R460" i="38"/>
  <c r="R459" i="38" s="1"/>
  <c r="R1479" i="38" s="1"/>
  <c r="Q460" i="38"/>
  <c r="C460" i="38"/>
  <c r="AA459" i="38"/>
  <c r="AA1479" i="38" s="1"/>
  <c r="S459" i="38"/>
  <c r="S1479" i="38" s="1"/>
  <c r="Q459" i="38"/>
  <c r="C459" i="38"/>
  <c r="AG458" i="38"/>
  <c r="AI458" i="38" s="1"/>
  <c r="AF458" i="38"/>
  <c r="AE458" i="38"/>
  <c r="AE454" i="38" s="1"/>
  <c r="AD458" i="38"/>
  <c r="Q458" i="38"/>
  <c r="C458" i="38"/>
  <c r="AG457" i="38"/>
  <c r="AF457" i="38"/>
  <c r="AI457" i="38" s="1"/>
  <c r="AE457" i="38"/>
  <c r="AD457" i="38"/>
  <c r="AH457" i="38" s="1"/>
  <c r="AJ457" i="38" s="1"/>
  <c r="Q457" i="38"/>
  <c r="C457" i="38"/>
  <c r="AG456" i="38"/>
  <c r="AI456" i="38" s="1"/>
  <c r="AI455" i="38" s="1"/>
  <c r="AI454" i="38" s="1"/>
  <c r="AF456" i="38"/>
  <c r="AE456" i="38"/>
  <c r="AE455" i="38" s="1"/>
  <c r="AD456" i="38"/>
  <c r="Q456" i="38"/>
  <c r="C456" i="38"/>
  <c r="AG455" i="38"/>
  <c r="AF455" i="38"/>
  <c r="AC455" i="38"/>
  <c r="AC454" i="38" s="1"/>
  <c r="AB455" i="38"/>
  <c r="AB454" i="38" s="1"/>
  <c r="AA455" i="38"/>
  <c r="AA454" i="38" s="1"/>
  <c r="Z455" i="38"/>
  <c r="Y455" i="38"/>
  <c r="X455" i="38"/>
  <c r="W455" i="38"/>
  <c r="V455" i="38"/>
  <c r="U455" i="38"/>
  <c r="U454" i="38" s="1"/>
  <c r="T455" i="38"/>
  <c r="T454" i="38" s="1"/>
  <c r="S455" i="38"/>
  <c r="S454" i="38" s="1"/>
  <c r="R455" i="38"/>
  <c r="Q455" i="38"/>
  <c r="C455" i="38"/>
  <c r="AG454" i="38"/>
  <c r="AF454" i="38"/>
  <c r="Z454" i="38"/>
  <c r="Y454" i="38"/>
  <c r="X454" i="38"/>
  <c r="W454" i="38"/>
  <c r="V454" i="38"/>
  <c r="R454" i="38"/>
  <c r="Q454" i="38"/>
  <c r="C454" i="38"/>
  <c r="AA453" i="38"/>
  <c r="Y453" i="38"/>
  <c r="S453" i="38"/>
  <c r="Q453" i="38"/>
  <c r="C453" i="38"/>
  <c r="Q452" i="38"/>
  <c r="C452" i="38"/>
  <c r="BH451" i="38"/>
  <c r="BG451" i="38"/>
  <c r="BF451" i="38"/>
  <c r="BE451" i="38"/>
  <c r="BD451" i="38"/>
  <c r="BC451" i="38"/>
  <c r="BB451" i="38"/>
  <c r="AZ451" i="38"/>
  <c r="AY451" i="38"/>
  <c r="AX451" i="38"/>
  <c r="AW451" i="38"/>
  <c r="AV451" i="38"/>
  <c r="AU451" i="38"/>
  <c r="AT451" i="38"/>
  <c r="AR451" i="38"/>
  <c r="AQ451" i="38"/>
  <c r="AP451" i="38"/>
  <c r="AO451" i="38"/>
  <c r="AN451" i="38"/>
  <c r="AM451" i="38"/>
  <c r="AL451" i="38"/>
  <c r="AJ451" i="38"/>
  <c r="AI451" i="38"/>
  <c r="AH451" i="38"/>
  <c r="AG451" i="38"/>
  <c r="AF451" i="38"/>
  <c r="AE451" i="38"/>
  <c r="AD451" i="38"/>
  <c r="Q451" i="38"/>
  <c r="C451" i="38"/>
  <c r="Q450" i="38"/>
  <c r="C450" i="38"/>
  <c r="Q449" i="38"/>
  <c r="C449" i="38"/>
  <c r="Q448" i="38"/>
  <c r="C448" i="38"/>
  <c r="Q447" i="38"/>
  <c r="C447" i="38"/>
  <c r="Q446" i="38"/>
  <c r="C446" i="38"/>
  <c r="AC445" i="38"/>
  <c r="AA445" i="38"/>
  <c r="V445" i="38"/>
  <c r="S445" i="38"/>
  <c r="Q445" i="38"/>
  <c r="C445" i="38"/>
  <c r="Q444" i="38"/>
  <c r="C444" i="38"/>
  <c r="Q443" i="38"/>
  <c r="C443" i="38"/>
  <c r="X442" i="38"/>
  <c r="W442" i="38"/>
  <c r="V442" i="38"/>
  <c r="Q442" i="38"/>
  <c r="C442" i="38"/>
  <c r="AA441" i="38"/>
  <c r="Z441" i="38"/>
  <c r="Y441" i="38"/>
  <c r="Q441" i="38"/>
  <c r="C441" i="38"/>
  <c r="AC440" i="38"/>
  <c r="Q440" i="38"/>
  <c r="C440" i="38"/>
  <c r="Q439" i="38"/>
  <c r="C439" i="38"/>
  <c r="Q438" i="38"/>
  <c r="C438" i="38"/>
  <c r="Q437" i="38"/>
  <c r="C437" i="38"/>
  <c r="S436" i="38"/>
  <c r="Q436" i="38"/>
  <c r="C436" i="38"/>
  <c r="Q435" i="38"/>
  <c r="C435" i="38"/>
  <c r="Q434" i="38"/>
  <c r="C434" i="38"/>
  <c r="Q433" i="38"/>
  <c r="C433" i="38"/>
  <c r="Q432" i="38"/>
  <c r="C432" i="38"/>
  <c r="Q431" i="38"/>
  <c r="C431" i="38"/>
  <c r="Q430" i="38"/>
  <c r="C430" i="38"/>
  <c r="Q429" i="38"/>
  <c r="C429" i="38"/>
  <c r="Q428" i="38"/>
  <c r="C428" i="38"/>
  <c r="Q427" i="38"/>
  <c r="C427" i="38"/>
  <c r="Q426" i="38"/>
  <c r="C426" i="38"/>
  <c r="Q425" i="38"/>
  <c r="C425" i="38"/>
  <c r="Q424" i="38"/>
  <c r="C424" i="38"/>
  <c r="Q423" i="38"/>
  <c r="C423" i="38"/>
  <c r="AF422" i="38"/>
  <c r="AD422" i="38"/>
  <c r="AC422" i="38"/>
  <c r="AB422" i="38"/>
  <c r="AA422" i="38"/>
  <c r="Z422" i="38"/>
  <c r="Y422" i="38"/>
  <c r="X422" i="38"/>
  <c r="W422" i="38"/>
  <c r="V422" i="38"/>
  <c r="U422" i="38"/>
  <c r="AE422" i="38" s="1"/>
  <c r="T422" i="38"/>
  <c r="S422" i="38"/>
  <c r="R422" i="38"/>
  <c r="Q422" i="38"/>
  <c r="C422" i="38"/>
  <c r="AC421" i="38"/>
  <c r="Y421" i="38"/>
  <c r="X421" i="38"/>
  <c r="V421" i="38"/>
  <c r="Q421" i="38"/>
  <c r="C421" i="38"/>
  <c r="AG420" i="38"/>
  <c r="AI420" i="38" s="1"/>
  <c r="AC420" i="38"/>
  <c r="AB420" i="38"/>
  <c r="AA420" i="38"/>
  <c r="Z420" i="38"/>
  <c r="Y420" i="38"/>
  <c r="X420" i="38"/>
  <c r="AF420" i="38" s="1"/>
  <c r="W420" i="38"/>
  <c r="V420" i="38"/>
  <c r="V418" i="38" s="1"/>
  <c r="V446" i="38" s="1"/>
  <c r="U420" i="38"/>
  <c r="T420" i="38"/>
  <c r="S420" i="38"/>
  <c r="R420" i="38"/>
  <c r="Q420" i="38"/>
  <c r="C420" i="38"/>
  <c r="X419" i="38"/>
  <c r="Q419" i="38"/>
  <c r="C419" i="38"/>
  <c r="Y418" i="38"/>
  <c r="Y446" i="38" s="1"/>
  <c r="X418" i="38"/>
  <c r="X446" i="38" s="1"/>
  <c r="W418" i="38"/>
  <c r="Q418" i="38"/>
  <c r="C418" i="38"/>
  <c r="AI417" i="38"/>
  <c r="AH417" i="38"/>
  <c r="AJ417" i="38" s="1"/>
  <c r="AG417" i="38"/>
  <c r="AF417" i="38"/>
  <c r="AE417" i="38"/>
  <c r="AD417" i="38"/>
  <c r="Q417" i="38"/>
  <c r="C417" i="38"/>
  <c r="AI416" i="38"/>
  <c r="AG416" i="38"/>
  <c r="AF416" i="38"/>
  <c r="AE416" i="38"/>
  <c r="T416" i="38"/>
  <c r="Q416" i="38"/>
  <c r="C416" i="38"/>
  <c r="AG415" i="38"/>
  <c r="AI415" i="38" s="1"/>
  <c r="AF415" i="38"/>
  <c r="AE415" i="38"/>
  <c r="AD415" i="38"/>
  <c r="Q415" i="38"/>
  <c r="C415" i="38"/>
  <c r="AF414" i="38"/>
  <c r="AE414" i="38"/>
  <c r="AC414" i="38"/>
  <c r="AB414" i="38"/>
  <c r="AB445" i="38" s="1"/>
  <c r="AA414" i="38"/>
  <c r="Z414" i="38"/>
  <c r="Z445" i="38" s="1"/>
  <c r="Y414" i="38"/>
  <c r="Y445" i="38" s="1"/>
  <c r="X414" i="38"/>
  <c r="X445" i="38" s="1"/>
  <c r="W414" i="38"/>
  <c r="W445" i="38" s="1"/>
  <c r="V414" i="38"/>
  <c r="U414" i="38"/>
  <c r="U445" i="38" s="1"/>
  <c r="S414" i="38"/>
  <c r="R414" i="38"/>
  <c r="R445" i="38" s="1"/>
  <c r="Q414" i="38"/>
  <c r="C414" i="38"/>
  <c r="Q413" i="38"/>
  <c r="C413" i="38"/>
  <c r="Q412" i="38"/>
  <c r="C412" i="38"/>
  <c r="Q411" i="38"/>
  <c r="C411" i="38"/>
  <c r="AG410" i="38"/>
  <c r="AI410" i="38" s="1"/>
  <c r="AF410" i="38"/>
  <c r="AE410" i="38"/>
  <c r="AH410" i="38" s="1"/>
  <c r="AJ410" i="38" s="1"/>
  <c r="AD410" i="38"/>
  <c r="Q410" i="38"/>
  <c r="C410" i="38"/>
  <c r="AG409" i="38"/>
  <c r="AI409" i="38" s="1"/>
  <c r="AF409" i="38"/>
  <c r="AE409" i="38"/>
  <c r="AD409" i="38"/>
  <c r="AH409" i="38" s="1"/>
  <c r="Q409" i="38"/>
  <c r="C409" i="38"/>
  <c r="S408" i="38"/>
  <c r="Q408" i="38"/>
  <c r="C408" i="38"/>
  <c r="Q407" i="38"/>
  <c r="C407" i="38"/>
  <c r="Q406" i="38"/>
  <c r="C406" i="38"/>
  <c r="Q405" i="38"/>
  <c r="C405" i="38"/>
  <c r="AC404" i="38"/>
  <c r="AB404" i="38"/>
  <c r="AA404" i="38"/>
  <c r="AG404" i="38" s="1"/>
  <c r="Z404" i="38"/>
  <c r="AF404" i="38" s="1"/>
  <c r="Y404" i="38"/>
  <c r="X404" i="38"/>
  <c r="W404" i="38"/>
  <c r="AE404" i="38" s="1"/>
  <c r="V404" i="38"/>
  <c r="U404" i="38"/>
  <c r="T404" i="38"/>
  <c r="S404" i="38"/>
  <c r="R404" i="38"/>
  <c r="AD404" i="38" s="1"/>
  <c r="AH404" i="38" s="1"/>
  <c r="Q404" i="38"/>
  <c r="C404" i="38"/>
  <c r="AC403" i="38"/>
  <c r="Y403" i="38"/>
  <c r="X403" i="38"/>
  <c r="X401" i="38" s="1"/>
  <c r="U403" i="38"/>
  <c r="Q403" i="38"/>
  <c r="C403" i="38"/>
  <c r="AD402" i="38"/>
  <c r="AC402" i="38"/>
  <c r="AC401" i="38" s="1"/>
  <c r="AB402" i="38"/>
  <c r="AA402" i="38"/>
  <c r="Z402" i="38"/>
  <c r="Y402" i="38"/>
  <c r="X402" i="38"/>
  <c r="W402" i="38"/>
  <c r="V402" i="38"/>
  <c r="V401" i="38" s="1"/>
  <c r="U402" i="38"/>
  <c r="T402" i="38"/>
  <c r="S402" i="38"/>
  <c r="R402" i="38"/>
  <c r="Q402" i="38"/>
  <c r="C402" i="38"/>
  <c r="Y401" i="38"/>
  <c r="Q401" i="38"/>
  <c r="C401" i="38"/>
  <c r="AI400" i="38"/>
  <c r="AG400" i="38"/>
  <c r="AF400" i="38"/>
  <c r="AE400" i="38"/>
  <c r="AD400" i="38"/>
  <c r="Q400" i="38"/>
  <c r="C400" i="38"/>
  <c r="AH399" i="38"/>
  <c r="AJ399" i="38" s="1"/>
  <c r="AG399" i="38"/>
  <c r="AI399" i="38" s="1"/>
  <c r="AF399" i="38"/>
  <c r="AE399" i="38"/>
  <c r="AD399" i="38"/>
  <c r="Q399" i="38"/>
  <c r="C399" i="38"/>
  <c r="AI398" i="38"/>
  <c r="AH398" i="38"/>
  <c r="AJ398" i="38" s="1"/>
  <c r="AG398" i="38"/>
  <c r="AF398" i="38"/>
  <c r="AE398" i="38"/>
  <c r="AD398" i="38"/>
  <c r="Q398" i="38"/>
  <c r="C398" i="38"/>
  <c r="AC397" i="38"/>
  <c r="AB397" i="38"/>
  <c r="AA397" i="38"/>
  <c r="Z397" i="38"/>
  <c r="Y397" i="38"/>
  <c r="X397" i="38"/>
  <c r="W397" i="38"/>
  <c r="AE397" i="38" s="1"/>
  <c r="V397" i="38"/>
  <c r="U397" i="38"/>
  <c r="T397" i="38"/>
  <c r="S397" i="38"/>
  <c r="R397" i="38"/>
  <c r="Q397" i="38"/>
  <c r="C397" i="38"/>
  <c r="AG396" i="38"/>
  <c r="AF396" i="38"/>
  <c r="AI396" i="38" s="1"/>
  <c r="AE396" i="38"/>
  <c r="AD396" i="38"/>
  <c r="AH396" i="38" s="1"/>
  <c r="AJ396" i="38" s="1"/>
  <c r="Q396" i="38"/>
  <c r="C396" i="38"/>
  <c r="AG395" i="38"/>
  <c r="AF395" i="38"/>
  <c r="AI395" i="38" s="1"/>
  <c r="AE395" i="38"/>
  <c r="T395" i="38"/>
  <c r="AD395" i="38" s="1"/>
  <c r="Q395" i="38"/>
  <c r="C395" i="38"/>
  <c r="AH394" i="38"/>
  <c r="AJ394" i="38" s="1"/>
  <c r="AG394" i="38"/>
  <c r="AF394" i="38"/>
  <c r="AI394" i="38" s="1"/>
  <c r="AE394" i="38"/>
  <c r="AD394" i="38"/>
  <c r="Q394" i="38"/>
  <c r="C394" i="38"/>
  <c r="AI393" i="38"/>
  <c r="AH393" i="38"/>
  <c r="AG393" i="38"/>
  <c r="AE393" i="38"/>
  <c r="AD393" i="38"/>
  <c r="AC393" i="38"/>
  <c r="AB393" i="38"/>
  <c r="Z393" i="38"/>
  <c r="AF393" i="38" s="1"/>
  <c r="Q393" i="38"/>
  <c r="C393" i="38"/>
  <c r="AJ392" i="38"/>
  <c r="AG392" i="38"/>
  <c r="AF392" i="38"/>
  <c r="AI392" i="38" s="1"/>
  <c r="AE392" i="38"/>
  <c r="AD392" i="38"/>
  <c r="AH392" i="38" s="1"/>
  <c r="Q392" i="38"/>
  <c r="C392" i="38"/>
  <c r="AC391" i="38"/>
  <c r="AB391" i="38"/>
  <c r="AA391" i="38"/>
  <c r="Z391" i="38"/>
  <c r="Y391" i="38"/>
  <c r="X391" i="38"/>
  <c r="X389" i="38" s="1"/>
  <c r="W391" i="38"/>
  <c r="W421" i="38" s="1"/>
  <c r="V391" i="38"/>
  <c r="V403" i="38" s="1"/>
  <c r="U391" i="38"/>
  <c r="U421" i="38" s="1"/>
  <c r="T391" i="38"/>
  <c r="S391" i="38"/>
  <c r="R391" i="38"/>
  <c r="R403" i="38" s="1"/>
  <c r="Q391" i="38"/>
  <c r="C391" i="38"/>
  <c r="AG390" i="38"/>
  <c r="AF390" i="38"/>
  <c r="AE390" i="38"/>
  <c r="AD390" i="38"/>
  <c r="AH390" i="38" s="1"/>
  <c r="Q390" i="38"/>
  <c r="C390" i="38"/>
  <c r="A390" i="38"/>
  <c r="A391" i="38" s="1"/>
  <c r="A392" i="38" s="1"/>
  <c r="A393" i="38" s="1"/>
  <c r="A394" i="38" s="1"/>
  <c r="A395" i="38" s="1"/>
  <c r="A396" i="38" s="1"/>
  <c r="A405" i="38" s="1"/>
  <c r="A406" i="38" s="1"/>
  <c r="A409" i="38" s="1"/>
  <c r="A410" i="38" s="1"/>
  <c r="A411" i="38" s="1"/>
  <c r="A412" i="38" s="1"/>
  <c r="A413" i="38" s="1"/>
  <c r="A414" i="38" s="1"/>
  <c r="A415" i="38" s="1"/>
  <c r="A416" i="38" s="1"/>
  <c r="A417" i="38" s="1"/>
  <c r="A418" i="38" s="1"/>
  <c r="A419" i="38" s="1"/>
  <c r="A420" i="38" s="1"/>
  <c r="A421" i="38" s="1"/>
  <c r="A422" i="38" s="1"/>
  <c r="A423" i="38" s="1"/>
  <c r="A424" i="38" s="1"/>
  <c r="A425" i="38" s="1"/>
  <c r="AC389" i="38"/>
  <c r="Y389" i="38"/>
  <c r="W389" i="38"/>
  <c r="V389" i="38"/>
  <c r="U389" i="38"/>
  <c r="Q389" i="38"/>
  <c r="C389" i="38"/>
  <c r="AG388" i="38"/>
  <c r="AC388" i="38"/>
  <c r="AB388" i="38"/>
  <c r="AA388" i="38"/>
  <c r="Z388" i="38"/>
  <c r="Y388" i="38"/>
  <c r="X388" i="38"/>
  <c r="W388" i="38"/>
  <c r="AE388" i="38" s="1"/>
  <c r="V388" i="38"/>
  <c r="U388" i="38"/>
  <c r="T388" i="38"/>
  <c r="S388" i="38"/>
  <c r="AD388" i="38" s="1"/>
  <c r="R388" i="38"/>
  <c r="Q388" i="38"/>
  <c r="C388" i="38"/>
  <c r="AC387" i="38"/>
  <c r="AC379" i="38" s="1"/>
  <c r="AB387" i="38"/>
  <c r="AA387" i="38"/>
  <c r="Z387" i="38"/>
  <c r="Y387" i="38"/>
  <c r="X387" i="38"/>
  <c r="AF387" i="38" s="1"/>
  <c r="W387" i="38"/>
  <c r="V387" i="38"/>
  <c r="U387" i="38"/>
  <c r="AE387" i="38" s="1"/>
  <c r="AE379" i="38" s="1"/>
  <c r="T387" i="38"/>
  <c r="S387" i="38"/>
  <c r="S385" i="38" s="1"/>
  <c r="R387" i="38"/>
  <c r="Q387" i="38"/>
  <c r="C387" i="38"/>
  <c r="AF386" i="38"/>
  <c r="AE386" i="38"/>
  <c r="AC386" i="38"/>
  <c r="AB386" i="38"/>
  <c r="AB385" i="38" s="1"/>
  <c r="AA386" i="38"/>
  <c r="Z386" i="38"/>
  <c r="Z378" i="38" s="1"/>
  <c r="Y386" i="38"/>
  <c r="X386" i="38"/>
  <c r="W386" i="38"/>
  <c r="V386" i="38"/>
  <c r="U386" i="38"/>
  <c r="T386" i="38"/>
  <c r="T385" i="38" s="1"/>
  <c r="S386" i="38"/>
  <c r="R386" i="38"/>
  <c r="AD386" i="38" s="1"/>
  <c r="Q386" i="38"/>
  <c r="C386" i="38"/>
  <c r="A386" i="38"/>
  <c r="A383" i="38" s="1"/>
  <c r="A384" i="38" s="1"/>
  <c r="Z385" i="38"/>
  <c r="W385" i="38"/>
  <c r="V385" i="38"/>
  <c r="V408" i="38" s="1"/>
  <c r="Q385" i="38"/>
  <c r="AB384" i="38"/>
  <c r="AA384" i="38"/>
  <c r="Z384" i="38"/>
  <c r="Y384" i="38"/>
  <c r="X384" i="38"/>
  <c r="W384" i="38"/>
  <c r="W376" i="38" s="1"/>
  <c r="V384" i="38"/>
  <c r="T384" i="38"/>
  <c r="AD384" i="38" s="1"/>
  <c r="S384" i="38"/>
  <c r="R384" i="38"/>
  <c r="Q384" i="38"/>
  <c r="C384" i="38"/>
  <c r="AC383" i="38"/>
  <c r="AB383" i="38"/>
  <c r="AA383" i="38"/>
  <c r="Z383" i="38"/>
  <c r="Y383" i="38"/>
  <c r="X383" i="38"/>
  <c r="AF383" i="38" s="1"/>
  <c r="W383" i="38"/>
  <c r="AE383" i="38" s="1"/>
  <c r="V383" i="38"/>
  <c r="U383" i="38"/>
  <c r="T383" i="38"/>
  <c r="S383" i="38"/>
  <c r="R383" i="38"/>
  <c r="AD383" i="38" s="1"/>
  <c r="Q383" i="38"/>
  <c r="C383" i="38"/>
  <c r="AH382" i="38"/>
  <c r="AG382" i="38"/>
  <c r="AE382" i="38"/>
  <c r="AC382" i="38"/>
  <c r="AB382" i="38"/>
  <c r="AA382" i="38"/>
  <c r="Z382" i="38"/>
  <c r="Y382" i="38"/>
  <c r="X382" i="38"/>
  <c r="W382" i="38"/>
  <c r="V382" i="38"/>
  <c r="U382" i="38"/>
  <c r="T382" i="38"/>
  <c r="AD382" i="38" s="1"/>
  <c r="S382" i="38"/>
  <c r="R382" i="38"/>
  <c r="Q382" i="38"/>
  <c r="C382" i="38"/>
  <c r="V381" i="38"/>
  <c r="Q381" i="38"/>
  <c r="AB380" i="38"/>
  <c r="Y380" i="38"/>
  <c r="T380" i="38"/>
  <c r="Q380" i="38"/>
  <c r="C380" i="38"/>
  <c r="AB379" i="38"/>
  <c r="AA379" i="38"/>
  <c r="T379" i="38"/>
  <c r="S379" i="38"/>
  <c r="Q379" i="38"/>
  <c r="C379" i="38"/>
  <c r="Y378" i="38"/>
  <c r="X378" i="38"/>
  <c r="W378" i="38"/>
  <c r="Q378" i="38"/>
  <c r="C378" i="38"/>
  <c r="A378" i="38"/>
  <c r="Q377" i="38"/>
  <c r="C377" i="38"/>
  <c r="A377" i="38"/>
  <c r="AA376" i="38"/>
  <c r="Z376" i="38"/>
  <c r="S376" i="38"/>
  <c r="R376" i="38"/>
  <c r="Q376" i="38"/>
  <c r="C376" i="38"/>
  <c r="AF375" i="38"/>
  <c r="X375" i="38"/>
  <c r="W375" i="38"/>
  <c r="V375" i="38"/>
  <c r="Q375" i="38"/>
  <c r="C375" i="38"/>
  <c r="A375" i="38"/>
  <c r="A376" i="38" s="1"/>
  <c r="AB374" i="38"/>
  <c r="AA374" i="38"/>
  <c r="X374" i="38"/>
  <c r="T374" i="38"/>
  <c r="S374" i="38"/>
  <c r="Q374" i="38"/>
  <c r="C374" i="38"/>
  <c r="Q373" i="38"/>
  <c r="C373" i="38"/>
  <c r="Q372" i="38"/>
  <c r="C372" i="38"/>
  <c r="A372" i="38"/>
  <c r="V371" i="38"/>
  <c r="Q371" i="38"/>
  <c r="C371" i="38"/>
  <c r="A371" i="38"/>
  <c r="AI370" i="38"/>
  <c r="AH370" i="38"/>
  <c r="AG370" i="38"/>
  <c r="AF370" i="38"/>
  <c r="AE370" i="38"/>
  <c r="AD370" i="38"/>
  <c r="Q370" i="38"/>
  <c r="C370" i="38"/>
  <c r="AG369" i="38"/>
  <c r="AF369" i="38"/>
  <c r="AF367" i="38" s="1"/>
  <c r="AE369" i="38"/>
  <c r="AD369" i="38"/>
  <c r="AH369" i="38" s="1"/>
  <c r="Q369" i="38"/>
  <c r="C369" i="38"/>
  <c r="AG368" i="38"/>
  <c r="AI368" i="38" s="1"/>
  <c r="AF368" i="38"/>
  <c r="AE368" i="38"/>
  <c r="AD368" i="38"/>
  <c r="AH368" i="38" s="1"/>
  <c r="Q368" i="38"/>
  <c r="C368" i="38"/>
  <c r="A368" i="38"/>
  <c r="AD367" i="38"/>
  <c r="AC367" i="38"/>
  <c r="AB367" i="38"/>
  <c r="AA367" i="38"/>
  <c r="Z367" i="38"/>
  <c r="Y367" i="38"/>
  <c r="X367" i="38"/>
  <c r="W367" i="38"/>
  <c r="V367" i="38"/>
  <c r="V362" i="38" s="1"/>
  <c r="U367" i="38"/>
  <c r="T367" i="38"/>
  <c r="S367" i="38"/>
  <c r="R367" i="38"/>
  <c r="Q367" i="38"/>
  <c r="C367" i="38"/>
  <c r="AG366" i="38"/>
  <c r="AF366" i="38"/>
  <c r="AI366" i="38" s="1"/>
  <c r="AE366" i="38"/>
  <c r="AD366" i="38"/>
  <c r="AH366" i="38" s="1"/>
  <c r="AJ366" i="38" s="1"/>
  <c r="Q366" i="38"/>
  <c r="C366" i="38"/>
  <c r="AG365" i="38"/>
  <c r="AI365" i="38" s="1"/>
  <c r="AF365" i="38"/>
  <c r="AE365" i="38"/>
  <c r="AE363" i="38" s="1"/>
  <c r="AD365" i="38"/>
  <c r="AH365" i="38" s="1"/>
  <c r="Q365" i="38"/>
  <c r="C365" i="38"/>
  <c r="A365" i="38"/>
  <c r="A366" i="38" s="1"/>
  <c r="AG364" i="38"/>
  <c r="AI364" i="38" s="1"/>
  <c r="AF364" i="38"/>
  <c r="AF363" i="38" s="1"/>
  <c r="AF362" i="38" s="1"/>
  <c r="AE364" i="38"/>
  <c r="AD364" i="38"/>
  <c r="Q364" i="38"/>
  <c r="C364" i="38"/>
  <c r="AC363" i="38"/>
  <c r="AB363" i="38"/>
  <c r="AA363" i="38"/>
  <c r="AA362" i="38" s="1"/>
  <c r="Z363" i="38"/>
  <c r="Z362" i="38" s="1"/>
  <c r="Y363" i="38"/>
  <c r="X363" i="38"/>
  <c r="W363" i="38"/>
  <c r="W362" i="38" s="1"/>
  <c r="V363" i="38"/>
  <c r="U363" i="38"/>
  <c r="T363" i="38"/>
  <c r="T362" i="38" s="1"/>
  <c r="T15" i="38" s="1"/>
  <c r="S363" i="38"/>
  <c r="S362" i="38" s="1"/>
  <c r="R363" i="38"/>
  <c r="R362" i="38" s="1"/>
  <c r="Q363" i="38"/>
  <c r="C363" i="38"/>
  <c r="AC362" i="38"/>
  <c r="AC15" i="38" s="1"/>
  <c r="AC1295" i="38" s="1"/>
  <c r="AB362" i="38"/>
  <c r="AB15" i="38" s="1"/>
  <c r="Y362" i="38"/>
  <c r="X362" i="38"/>
  <c r="U362" i="38"/>
  <c r="Q362" i="38"/>
  <c r="C362" i="38"/>
  <c r="AD361" i="38"/>
  <c r="AC361" i="38"/>
  <c r="AC380" i="38" s="1"/>
  <c r="AB361" i="38"/>
  <c r="Z361" i="38"/>
  <c r="Z380" i="38" s="1"/>
  <c r="Y361" i="38"/>
  <c r="X361" i="38"/>
  <c r="AF361" i="38" s="1"/>
  <c r="W361" i="38"/>
  <c r="W380" i="38" s="1"/>
  <c r="V361" i="38"/>
  <c r="V380" i="38" s="1"/>
  <c r="U361" i="38"/>
  <c r="U380" i="38" s="1"/>
  <c r="T361" i="38"/>
  <c r="R361" i="38"/>
  <c r="R380" i="38" s="1"/>
  <c r="Q361" i="38"/>
  <c r="C361" i="38"/>
  <c r="AG360" i="38"/>
  <c r="AC360" i="38"/>
  <c r="AB360" i="38"/>
  <c r="AA360" i="38"/>
  <c r="Z360" i="38"/>
  <c r="Z379" i="38" s="1"/>
  <c r="Y360" i="38"/>
  <c r="X360" i="38"/>
  <c r="W360" i="38"/>
  <c r="W379" i="38" s="1"/>
  <c r="V360" i="38"/>
  <c r="V379" i="38" s="1"/>
  <c r="U360" i="38"/>
  <c r="AE360" i="38" s="1"/>
  <c r="T360" i="38"/>
  <c r="S360" i="38"/>
  <c r="R360" i="38"/>
  <c r="Q360" i="38"/>
  <c r="C360" i="38"/>
  <c r="AC359" i="38"/>
  <c r="AB359" i="38"/>
  <c r="AA359" i="38"/>
  <c r="Z359" i="38"/>
  <c r="Y359" i="38"/>
  <c r="X359" i="38"/>
  <c r="AF359" i="38" s="1"/>
  <c r="W359" i="38"/>
  <c r="AE359" i="38" s="1"/>
  <c r="V359" i="38"/>
  <c r="V378" i="38" s="1"/>
  <c r="U359" i="38"/>
  <c r="T359" i="38"/>
  <c r="S359" i="38"/>
  <c r="R359" i="38"/>
  <c r="Q359" i="38"/>
  <c r="C359" i="38"/>
  <c r="A359" i="38"/>
  <c r="AC358" i="38"/>
  <c r="V358" i="38"/>
  <c r="V377" i="38" s="1"/>
  <c r="U358" i="38"/>
  <c r="Q358" i="38"/>
  <c r="C358" i="38"/>
  <c r="AG357" i="38"/>
  <c r="AC357" i="38"/>
  <c r="AB357" i="38"/>
  <c r="AB376" i="38" s="1"/>
  <c r="AA357" i="38"/>
  <c r="Z357" i="38"/>
  <c r="Y357" i="38"/>
  <c r="Y376" i="38" s="1"/>
  <c r="X357" i="38"/>
  <c r="AF357" i="38" s="1"/>
  <c r="W357" i="38"/>
  <c r="W354" i="38" s="1"/>
  <c r="V357" i="38"/>
  <c r="V376" i="38" s="1"/>
  <c r="U357" i="38"/>
  <c r="T357" i="38"/>
  <c r="AD357" i="38" s="1"/>
  <c r="S357" i="38"/>
  <c r="R357" i="38"/>
  <c r="Q357" i="38"/>
  <c r="C357" i="38"/>
  <c r="AC356" i="38"/>
  <c r="AC375" i="38" s="1"/>
  <c r="AB356" i="38"/>
  <c r="AB354" i="38" s="1"/>
  <c r="AA356" i="38"/>
  <c r="Z356" i="38"/>
  <c r="Z375" i="38" s="1"/>
  <c r="Y356" i="38"/>
  <c r="Y375" i="38" s="1"/>
  <c r="X356" i="38"/>
  <c r="AF356" i="38" s="1"/>
  <c r="W356" i="38"/>
  <c r="AE356" i="38" s="1"/>
  <c r="AE375" i="38" s="1"/>
  <c r="V356" i="38"/>
  <c r="U356" i="38"/>
  <c r="U375" i="38" s="1"/>
  <c r="T356" i="38"/>
  <c r="T354" i="38" s="1"/>
  <c r="S356" i="38"/>
  <c r="S354" i="38" s="1"/>
  <c r="R356" i="38"/>
  <c r="Q356" i="38"/>
  <c r="C356" i="38"/>
  <c r="A356" i="38"/>
  <c r="A357" i="38" s="1"/>
  <c r="AC355" i="38"/>
  <c r="AC354" i="38" s="1"/>
  <c r="AC353" i="38" s="1"/>
  <c r="AB355" i="38"/>
  <c r="AA355" i="38"/>
  <c r="Y355" i="38"/>
  <c r="X355" i="38"/>
  <c r="W355" i="38"/>
  <c r="V355" i="38"/>
  <c r="V354" i="38" s="1"/>
  <c r="U355" i="38"/>
  <c r="AE355" i="38" s="1"/>
  <c r="T355" i="38"/>
  <c r="S355" i="38"/>
  <c r="Q355" i="38"/>
  <c r="C355" i="38"/>
  <c r="Y354" i="38"/>
  <c r="X354" i="38"/>
  <c r="Q354" i="38"/>
  <c r="C354" i="38"/>
  <c r="Q353" i="38"/>
  <c r="C353" i="38"/>
  <c r="Q352" i="38"/>
  <c r="C352" i="38"/>
  <c r="Q351" i="38"/>
  <c r="C351" i="38"/>
  <c r="AC350" i="38"/>
  <c r="AB350" i="38"/>
  <c r="AB346" i="38" s="1"/>
  <c r="AA350" i="38"/>
  <c r="Z350" i="38"/>
  <c r="Z346" i="38" s="1"/>
  <c r="Y350" i="38"/>
  <c r="X350" i="38"/>
  <c r="W350" i="38"/>
  <c r="AE350" i="38" s="1"/>
  <c r="V350" i="38"/>
  <c r="U350" i="38"/>
  <c r="T350" i="38"/>
  <c r="T346" i="38" s="1"/>
  <c r="S350" i="38"/>
  <c r="S346" i="38" s="1"/>
  <c r="R350" i="38"/>
  <c r="Q350" i="38"/>
  <c r="C350" i="38"/>
  <c r="AD349" i="38"/>
  <c r="AC349" i="38"/>
  <c r="AC346" i="38" s="1"/>
  <c r="AC442" i="38" s="1"/>
  <c r="AB349" i="38"/>
  <c r="AG349" i="38" s="1"/>
  <c r="AA349" i="38"/>
  <c r="Z349" i="38"/>
  <c r="Y349" i="38"/>
  <c r="X349" i="38"/>
  <c r="AF349" i="38" s="1"/>
  <c r="W349" i="38"/>
  <c r="W346" i="38" s="1"/>
  <c r="V349" i="38"/>
  <c r="V346" i="38" s="1"/>
  <c r="U349" i="38"/>
  <c r="U346" i="38" s="1"/>
  <c r="U442" i="38" s="1"/>
  <c r="T349" i="38"/>
  <c r="S349" i="38"/>
  <c r="R349" i="38"/>
  <c r="Q349" i="38"/>
  <c r="C349" i="38"/>
  <c r="AG348" i="38"/>
  <c r="AF348" i="38"/>
  <c r="AC348" i="38"/>
  <c r="AB348" i="38"/>
  <c r="AA348" i="38"/>
  <c r="Z348" i="38"/>
  <c r="Y348" i="38"/>
  <c r="X348" i="38"/>
  <c r="X346" i="38" s="1"/>
  <c r="X347" i="38" s="1"/>
  <c r="W348" i="38"/>
  <c r="V348" i="38"/>
  <c r="U348" i="38"/>
  <c r="AE348" i="38" s="1"/>
  <c r="T348" i="38"/>
  <c r="S348" i="38"/>
  <c r="R348" i="38"/>
  <c r="AD348" i="38" s="1"/>
  <c r="Q348" i="38"/>
  <c r="C348" i="38"/>
  <c r="W347" i="38"/>
  <c r="V347" i="38"/>
  <c r="U347" i="38"/>
  <c r="Q347" i="38"/>
  <c r="C347" i="38"/>
  <c r="Y346" i="38"/>
  <c r="Q346" i="38"/>
  <c r="C346" i="38"/>
  <c r="AI345" i="38"/>
  <c r="AG345" i="38"/>
  <c r="AF345" i="38"/>
  <c r="AE345" i="38"/>
  <c r="AH345" i="38" s="1"/>
  <c r="AD345" i="38"/>
  <c r="Q345" i="38"/>
  <c r="C345" i="38"/>
  <c r="AJ344" i="38"/>
  <c r="AI344" i="38"/>
  <c r="AH344" i="38"/>
  <c r="AG344" i="38"/>
  <c r="AF344" i="38"/>
  <c r="AE344" i="38"/>
  <c r="AE342" i="38" s="1"/>
  <c r="AD344" i="38"/>
  <c r="Q344" i="38"/>
  <c r="C344" i="38"/>
  <c r="AH343" i="38"/>
  <c r="AG343" i="38"/>
  <c r="AI343" i="38" s="1"/>
  <c r="AI342" i="38" s="1"/>
  <c r="AF343" i="38"/>
  <c r="AE343" i="38"/>
  <c r="AD343" i="38"/>
  <c r="AD342" i="38" s="1"/>
  <c r="Q343" i="38"/>
  <c r="C343" i="38"/>
  <c r="AG342" i="38"/>
  <c r="AF342" i="38"/>
  <c r="AC342" i="38"/>
  <c r="AC441" i="38" s="1"/>
  <c r="AB342" i="38"/>
  <c r="AB441" i="38" s="1"/>
  <c r="AA342" i="38"/>
  <c r="Z342" i="38"/>
  <c r="Y342" i="38"/>
  <c r="X342" i="38"/>
  <c r="X441" i="38" s="1"/>
  <c r="W342" i="38"/>
  <c r="W441" i="38" s="1"/>
  <c r="V342" i="38"/>
  <c r="V441" i="38" s="1"/>
  <c r="V440" i="38" s="1"/>
  <c r="U342" i="38"/>
  <c r="U441" i="38" s="1"/>
  <c r="AE441" i="38" s="1"/>
  <c r="T342" i="38"/>
  <c r="T441" i="38" s="1"/>
  <c r="S342" i="38"/>
  <c r="S441" i="38" s="1"/>
  <c r="R342" i="38"/>
  <c r="R441" i="38" s="1"/>
  <c r="Q342" i="38"/>
  <c r="C342" i="38"/>
  <c r="Q341" i="38"/>
  <c r="C341" i="38"/>
  <c r="Q340" i="38"/>
  <c r="C340" i="38"/>
  <c r="Q339" i="38"/>
  <c r="C339" i="38"/>
  <c r="AH338" i="38"/>
  <c r="AG338" i="38"/>
  <c r="AI338" i="38" s="1"/>
  <c r="AF338" i="38"/>
  <c r="AE338" i="38"/>
  <c r="AD338" i="38"/>
  <c r="Q338" i="38"/>
  <c r="C338" i="38"/>
  <c r="AG337" i="38"/>
  <c r="AF337" i="38"/>
  <c r="AE337" i="38"/>
  <c r="AD337" i="38"/>
  <c r="Q337" i="38"/>
  <c r="C337" i="38"/>
  <c r="Q336" i="38"/>
  <c r="C336" i="38"/>
  <c r="AB335" i="38"/>
  <c r="Q335" i="38"/>
  <c r="C335" i="38"/>
  <c r="AG334" i="38"/>
  <c r="AF334" i="38"/>
  <c r="AE334" i="38"/>
  <c r="AD334" i="38"/>
  <c r="Q334" i="38"/>
  <c r="C334" i="38"/>
  <c r="AG333" i="38"/>
  <c r="AF333" i="38"/>
  <c r="AI333" i="38" s="1"/>
  <c r="AE333" i="38"/>
  <c r="AE331" i="38" s="1"/>
  <c r="AD333" i="38"/>
  <c r="Q333" i="38"/>
  <c r="C333" i="38"/>
  <c r="AG332" i="38"/>
  <c r="AI332" i="38" s="1"/>
  <c r="AF332" i="38"/>
  <c r="AE332" i="38"/>
  <c r="AD332" i="38"/>
  <c r="Q332" i="38"/>
  <c r="C332" i="38"/>
  <c r="AC331" i="38"/>
  <c r="AC347" i="38" s="1"/>
  <c r="AB331" i="38"/>
  <c r="AA331" i="38"/>
  <c r="Z331" i="38"/>
  <c r="Y331" i="38"/>
  <c r="X331" i="38"/>
  <c r="W331" i="38"/>
  <c r="V331" i="38"/>
  <c r="U331" i="38"/>
  <c r="T331" i="38"/>
  <c r="S331" i="38"/>
  <c r="R331" i="38"/>
  <c r="Q331" i="38"/>
  <c r="C331" i="38"/>
  <c r="AD330" i="38"/>
  <c r="AC330" i="38"/>
  <c r="AB330" i="38"/>
  <c r="AA330" i="38"/>
  <c r="AA325" i="38" s="1"/>
  <c r="Z330" i="38"/>
  <c r="Y330" i="38"/>
  <c r="X330" i="38"/>
  <c r="X325" i="38" s="1"/>
  <c r="W330" i="38"/>
  <c r="AE330" i="38" s="1"/>
  <c r="V330" i="38"/>
  <c r="U330" i="38"/>
  <c r="T330" i="38"/>
  <c r="S330" i="38"/>
  <c r="S325" i="38" s="1"/>
  <c r="R330" i="38"/>
  <c r="Q330" i="38"/>
  <c r="C330" i="38"/>
  <c r="AI329" i="38"/>
  <c r="AH329" i="38"/>
  <c r="AG329" i="38"/>
  <c r="AF329" i="38"/>
  <c r="AE329" i="38"/>
  <c r="AD329" i="38"/>
  <c r="AD320" i="38" s="1"/>
  <c r="Q329" i="38"/>
  <c r="C329" i="38"/>
  <c r="AH328" i="38"/>
  <c r="AG328" i="38"/>
  <c r="AF328" i="38"/>
  <c r="AF319" i="38" s="1"/>
  <c r="AE328" i="38"/>
  <c r="AD328" i="38"/>
  <c r="Q328" i="38"/>
  <c r="C328" i="38"/>
  <c r="AG327" i="38"/>
  <c r="AF327" i="38"/>
  <c r="AF318" i="38" s="1"/>
  <c r="AE327" i="38"/>
  <c r="AD327" i="38"/>
  <c r="Q327" i="38"/>
  <c r="C327" i="38"/>
  <c r="AG326" i="38"/>
  <c r="AF326" i="38"/>
  <c r="AE326" i="38"/>
  <c r="AE317" i="38" s="1"/>
  <c r="AD326" i="38"/>
  <c r="Q326" i="38"/>
  <c r="C326" i="38"/>
  <c r="AC325" i="38"/>
  <c r="AB325" i="38"/>
  <c r="Z325" i="38"/>
  <c r="Z316" i="38" s="1"/>
  <c r="Y325" i="38"/>
  <c r="W325" i="38"/>
  <c r="W316" i="38" s="1"/>
  <c r="V325" i="38"/>
  <c r="U325" i="38"/>
  <c r="T325" i="38"/>
  <c r="R325" i="38"/>
  <c r="R316" i="38" s="1"/>
  <c r="Q325" i="38"/>
  <c r="C325" i="38"/>
  <c r="AH324" i="38"/>
  <c r="AG324" i="38"/>
  <c r="AF324" i="38"/>
  <c r="AE324" i="38"/>
  <c r="AD324" i="38"/>
  <c r="Q324" i="38"/>
  <c r="C324" i="38"/>
  <c r="AG323" i="38"/>
  <c r="AF323" i="38"/>
  <c r="AF314" i="38" s="1"/>
  <c r="AE323" i="38"/>
  <c r="AD323" i="38"/>
  <c r="Q323" i="38"/>
  <c r="C323" i="38"/>
  <c r="AG322" i="38"/>
  <c r="AF322" i="38"/>
  <c r="AE322" i="38"/>
  <c r="AE313" i="38" s="1"/>
  <c r="AD322" i="38"/>
  <c r="Q322" i="38"/>
  <c r="C322" i="38"/>
  <c r="AD321" i="38"/>
  <c r="AC321" i="38"/>
  <c r="AB321" i="38"/>
  <c r="AA321" i="38"/>
  <c r="Z321" i="38"/>
  <c r="Y321" i="38"/>
  <c r="X321" i="38"/>
  <c r="AF321" i="38" s="1"/>
  <c r="W321" i="38"/>
  <c r="V321" i="38"/>
  <c r="U321" i="38"/>
  <c r="T321" i="38"/>
  <c r="S321" i="38"/>
  <c r="R321" i="38"/>
  <c r="Q321" i="38"/>
  <c r="C321" i="38"/>
  <c r="AC320" i="38"/>
  <c r="AB320" i="38"/>
  <c r="AA320" i="38"/>
  <c r="Z320" i="38"/>
  <c r="Y320" i="38"/>
  <c r="X320" i="38"/>
  <c r="W320" i="38"/>
  <c r="V320" i="38"/>
  <c r="U320" i="38"/>
  <c r="T320" i="38"/>
  <c r="S320" i="38"/>
  <c r="R320" i="38"/>
  <c r="Q320" i="38"/>
  <c r="C320" i="38"/>
  <c r="AG319" i="38"/>
  <c r="AC319" i="38"/>
  <c r="AB319" i="38"/>
  <c r="AA319" i="38"/>
  <c r="Z319" i="38"/>
  <c r="Y319" i="38"/>
  <c r="X319" i="38"/>
  <c r="W319" i="38"/>
  <c r="V319" i="38"/>
  <c r="U319" i="38"/>
  <c r="T319" i="38"/>
  <c r="S319" i="38"/>
  <c r="R319" i="38"/>
  <c r="Q319" i="38"/>
  <c r="C319" i="38"/>
  <c r="AC318" i="38"/>
  <c r="AB318" i="38"/>
  <c r="AA318" i="38"/>
  <c r="Z318" i="38"/>
  <c r="Y318" i="38"/>
  <c r="X318" i="38"/>
  <c r="W318" i="38"/>
  <c r="V318" i="38"/>
  <c r="U318" i="38"/>
  <c r="T318" i="38"/>
  <c r="S318" i="38"/>
  <c r="R318" i="38"/>
  <c r="Q318" i="38"/>
  <c r="C318" i="38"/>
  <c r="AC317" i="38"/>
  <c r="AB317" i="38"/>
  <c r="AA317" i="38"/>
  <c r="Z317" i="38"/>
  <c r="Y317" i="38"/>
  <c r="X317" i="38"/>
  <c r="W317" i="38"/>
  <c r="V317" i="38"/>
  <c r="U317" i="38"/>
  <c r="T317" i="38"/>
  <c r="S317" i="38"/>
  <c r="R317" i="38"/>
  <c r="Q317" i="38"/>
  <c r="C317" i="38"/>
  <c r="V316" i="38"/>
  <c r="Q316" i="38"/>
  <c r="C316" i="38"/>
  <c r="AC315" i="38"/>
  <c r="AB315" i="38"/>
  <c r="AA315" i="38"/>
  <c r="Z315" i="38"/>
  <c r="Y315" i="38"/>
  <c r="X315" i="38"/>
  <c r="W315" i="38"/>
  <c r="V315" i="38"/>
  <c r="U315" i="38"/>
  <c r="T315" i="38"/>
  <c r="S315" i="38"/>
  <c r="R315" i="38"/>
  <c r="Q315" i="38"/>
  <c r="C315" i="38"/>
  <c r="AC314" i="38"/>
  <c r="AB314" i="38"/>
  <c r="AA314" i="38"/>
  <c r="Z314" i="38"/>
  <c r="Y314" i="38"/>
  <c r="X314" i="38"/>
  <c r="W314" i="38"/>
  <c r="V314" i="38"/>
  <c r="U314" i="38"/>
  <c r="T314" i="38"/>
  <c r="S314" i="38"/>
  <c r="R314" i="38"/>
  <c r="Q314" i="38"/>
  <c r="C314" i="38"/>
  <c r="AD313" i="38"/>
  <c r="AC313" i="38"/>
  <c r="AB313" i="38"/>
  <c r="AA313" i="38"/>
  <c r="Z313" i="38"/>
  <c r="Y313" i="38"/>
  <c r="X313" i="38"/>
  <c r="W313" i="38"/>
  <c r="V313" i="38"/>
  <c r="U313" i="38"/>
  <c r="T313" i="38"/>
  <c r="S313" i="38"/>
  <c r="R313" i="38"/>
  <c r="Q313" i="38"/>
  <c r="C313" i="38"/>
  <c r="Z312" i="38"/>
  <c r="T312" i="38"/>
  <c r="S312" i="38"/>
  <c r="R312" i="38"/>
  <c r="Q312" i="38"/>
  <c r="C312" i="38"/>
  <c r="Y311" i="38"/>
  <c r="Q311" i="38"/>
  <c r="C311" i="38"/>
  <c r="AB310" i="38"/>
  <c r="Z310" i="38"/>
  <c r="Y310" i="38"/>
  <c r="Y335" i="38" s="1"/>
  <c r="Y339" i="38" s="1"/>
  <c r="Y340" i="38" s="1"/>
  <c r="T310" i="38"/>
  <c r="R310" i="38"/>
  <c r="Q310" i="38"/>
  <c r="C310" i="38"/>
  <c r="AG309" i="38"/>
  <c r="AF309" i="38"/>
  <c r="AI309" i="38" s="1"/>
  <c r="AE309" i="38"/>
  <c r="AD309" i="38"/>
  <c r="AH309" i="38" s="1"/>
  <c r="AJ309" i="38" s="1"/>
  <c r="Q309" i="38"/>
  <c r="C309" i="38"/>
  <c r="AG308" i="38"/>
  <c r="AI308" i="38" s="1"/>
  <c r="AF308" i="38"/>
  <c r="AE308" i="38"/>
  <c r="AD308" i="38"/>
  <c r="AH308" i="38" s="1"/>
  <c r="AJ308" i="38" s="1"/>
  <c r="Q308" i="38"/>
  <c r="C308" i="38"/>
  <c r="AI307" i="38"/>
  <c r="AG307" i="38"/>
  <c r="AF307" i="38"/>
  <c r="AE307" i="38"/>
  <c r="AD307" i="38"/>
  <c r="AH307" i="38" s="1"/>
  <c r="AJ307" i="38" s="1"/>
  <c r="Q307" i="38"/>
  <c r="C307" i="38"/>
  <c r="AJ306" i="38"/>
  <c r="AI306" i="38"/>
  <c r="AH306" i="38"/>
  <c r="AG306" i="38"/>
  <c r="AF306" i="38"/>
  <c r="AE306" i="38"/>
  <c r="AD306" i="38"/>
  <c r="Q306" i="38"/>
  <c r="C306" i="38"/>
  <c r="AC305" i="38"/>
  <c r="AB305" i="38"/>
  <c r="AA305" i="38"/>
  <c r="AG305" i="38" s="1"/>
  <c r="Z305" i="38"/>
  <c r="Y305" i="38"/>
  <c r="X305" i="38"/>
  <c r="W305" i="38"/>
  <c r="V305" i="38"/>
  <c r="AE305" i="38" s="1"/>
  <c r="U305" i="38"/>
  <c r="T305" i="38"/>
  <c r="S305" i="38"/>
  <c r="R305" i="38"/>
  <c r="Q305" i="38"/>
  <c r="C305" i="38"/>
  <c r="AG304" i="38"/>
  <c r="AI304" i="38" s="1"/>
  <c r="AF304" i="38"/>
  <c r="AE304" i="38"/>
  <c r="AD304" i="38"/>
  <c r="AH304" i="38" s="1"/>
  <c r="AJ304" i="38" s="1"/>
  <c r="Q304" i="38"/>
  <c r="C304" i="38"/>
  <c r="AJ303" i="38"/>
  <c r="AI303" i="38"/>
  <c r="AG303" i="38"/>
  <c r="AF303" i="38"/>
  <c r="AE303" i="38"/>
  <c r="AD303" i="38"/>
  <c r="AH303" i="38" s="1"/>
  <c r="Q303" i="38"/>
  <c r="C303" i="38"/>
  <c r="AI302" i="38"/>
  <c r="AJ302" i="38" s="1"/>
  <c r="AH302" i="38"/>
  <c r="AG302" i="38"/>
  <c r="AF302" i="38"/>
  <c r="AE302" i="38"/>
  <c r="AD302" i="38"/>
  <c r="Q302" i="38"/>
  <c r="C302" i="38"/>
  <c r="AI301" i="38"/>
  <c r="AG301" i="38"/>
  <c r="AC301" i="38"/>
  <c r="AB301" i="38"/>
  <c r="AA301" i="38"/>
  <c r="Z301" i="38"/>
  <c r="Z300" i="38" s="1"/>
  <c r="Y301" i="38"/>
  <c r="X301" i="38"/>
  <c r="AF301" i="38" s="1"/>
  <c r="W301" i="38"/>
  <c r="V301" i="38"/>
  <c r="AE301" i="38" s="1"/>
  <c r="U301" i="38"/>
  <c r="T301" i="38"/>
  <c r="S301" i="38"/>
  <c r="R301" i="38"/>
  <c r="Q301" i="38"/>
  <c r="C301" i="38"/>
  <c r="AC300" i="38"/>
  <c r="AB300" i="38"/>
  <c r="X300" i="38"/>
  <c r="W300" i="38"/>
  <c r="V300" i="38"/>
  <c r="U300" i="38"/>
  <c r="T300" i="38"/>
  <c r="Q300" i="38"/>
  <c r="C300" i="38"/>
  <c r="AG299" i="38"/>
  <c r="AF299" i="38"/>
  <c r="AF320" i="38" s="1"/>
  <c r="AE299" i="38"/>
  <c r="AD299" i="38"/>
  <c r="Q299" i="38"/>
  <c r="C299" i="38"/>
  <c r="AG298" i="38"/>
  <c r="AF298" i="38"/>
  <c r="AI298" i="38" s="1"/>
  <c r="AE298" i="38"/>
  <c r="AE319" i="38" s="1"/>
  <c r="AD298" i="38"/>
  <c r="Q298" i="38"/>
  <c r="C298" i="38"/>
  <c r="AG297" i="38"/>
  <c r="AF297" i="38"/>
  <c r="AI297" i="38" s="1"/>
  <c r="AE297" i="38"/>
  <c r="AD297" i="38"/>
  <c r="Q297" i="38"/>
  <c r="C297" i="38"/>
  <c r="AG296" i="38"/>
  <c r="AI296" i="38" s="1"/>
  <c r="AF296" i="38"/>
  <c r="AE296" i="38"/>
  <c r="AD296" i="38"/>
  <c r="AH296" i="38" s="1"/>
  <c r="AJ296" i="38" s="1"/>
  <c r="Q296" i="38"/>
  <c r="C296" i="38"/>
  <c r="AF295" i="38"/>
  <c r="AC295" i="38"/>
  <c r="AB295" i="38"/>
  <c r="AB316" i="38" s="1"/>
  <c r="AA295" i="38"/>
  <c r="Z295" i="38"/>
  <c r="Y295" i="38"/>
  <c r="Y316" i="38" s="1"/>
  <c r="X295" i="38"/>
  <c r="X316" i="38" s="1"/>
  <c r="W295" i="38"/>
  <c r="V295" i="38"/>
  <c r="U295" i="38"/>
  <c r="AE295" i="38" s="1"/>
  <c r="T295" i="38"/>
  <c r="T316" i="38" s="1"/>
  <c r="S295" i="38"/>
  <c r="R295" i="38"/>
  <c r="Q295" i="38"/>
  <c r="C295" i="38"/>
  <c r="AG294" i="38"/>
  <c r="AF294" i="38"/>
  <c r="AI294" i="38" s="1"/>
  <c r="AE294" i="38"/>
  <c r="AE315" i="38" s="1"/>
  <c r="AD294" i="38"/>
  <c r="Q294" i="38"/>
  <c r="C294" i="38"/>
  <c r="AG293" i="38"/>
  <c r="AF293" i="38"/>
  <c r="AI293" i="38" s="1"/>
  <c r="AE293" i="38"/>
  <c r="AD293" i="38"/>
  <c r="Q293" i="38"/>
  <c r="C293" i="38"/>
  <c r="AG292" i="38"/>
  <c r="AF292" i="38"/>
  <c r="AE292" i="38"/>
  <c r="AD292" i="38"/>
  <c r="AH292" i="38" s="1"/>
  <c r="Q292" i="38"/>
  <c r="C292" i="38"/>
  <c r="AC291" i="38"/>
  <c r="AB291" i="38"/>
  <c r="AB290" i="38" s="1"/>
  <c r="AA291" i="38"/>
  <c r="Z291" i="38"/>
  <c r="Y291" i="38"/>
  <c r="Y312" i="38" s="1"/>
  <c r="X291" i="38"/>
  <c r="W291" i="38"/>
  <c r="V291" i="38"/>
  <c r="U291" i="38"/>
  <c r="T291" i="38"/>
  <c r="T290" i="38" s="1"/>
  <c r="S291" i="38"/>
  <c r="S290" i="38" s="1"/>
  <c r="R291" i="38"/>
  <c r="Q291" i="38"/>
  <c r="C291" i="38"/>
  <c r="AA290" i="38"/>
  <c r="Z290" i="38"/>
  <c r="Y290" i="38"/>
  <c r="W290" i="38"/>
  <c r="V290" i="38"/>
  <c r="R290" i="38"/>
  <c r="Q290" i="38"/>
  <c r="C290" i="38"/>
  <c r="Q289" i="38"/>
  <c r="C289" i="38"/>
  <c r="Q288" i="38"/>
  <c r="C288" i="38"/>
  <c r="AF287" i="38"/>
  <c r="AC287" i="38"/>
  <c r="AB287" i="38"/>
  <c r="AG287" i="38" s="1"/>
  <c r="AI287" i="38" s="1"/>
  <c r="AA287" i="38"/>
  <c r="Z287" i="38"/>
  <c r="Y287" i="38"/>
  <c r="Y283" i="38" s="1"/>
  <c r="X287" i="38"/>
  <c r="X283" i="38" s="1"/>
  <c r="W287" i="38"/>
  <c r="AE287" i="38" s="1"/>
  <c r="V287" i="38"/>
  <c r="U287" i="38"/>
  <c r="T287" i="38"/>
  <c r="S287" i="38"/>
  <c r="R287" i="38"/>
  <c r="AD287" i="38" s="1"/>
  <c r="AH287" i="38" s="1"/>
  <c r="AJ287" i="38" s="1"/>
  <c r="Q287" i="38"/>
  <c r="C287" i="38"/>
  <c r="AE286" i="38"/>
  <c r="AC286" i="38"/>
  <c r="AB286" i="38"/>
  <c r="AA286" i="38"/>
  <c r="Z286" i="38"/>
  <c r="Y286" i="38"/>
  <c r="X286" i="38"/>
  <c r="AF286" i="38" s="1"/>
  <c r="W286" i="38"/>
  <c r="V286" i="38"/>
  <c r="U286" i="38"/>
  <c r="T286" i="38"/>
  <c r="S286" i="38"/>
  <c r="S283" i="38" s="1"/>
  <c r="S438" i="38" s="1"/>
  <c r="R286" i="38"/>
  <c r="Q286" i="38"/>
  <c r="C286" i="38"/>
  <c r="AC285" i="38"/>
  <c r="AB285" i="38"/>
  <c r="AA285" i="38"/>
  <c r="AG285" i="38" s="1"/>
  <c r="Z285" i="38"/>
  <c r="Y285" i="38"/>
  <c r="X285" i="38"/>
  <c r="AF285" i="38" s="1"/>
  <c r="W285" i="38"/>
  <c r="V285" i="38"/>
  <c r="U285" i="38"/>
  <c r="T285" i="38"/>
  <c r="S285" i="38"/>
  <c r="R285" i="38"/>
  <c r="AD285" i="38" s="1"/>
  <c r="Q285" i="38"/>
  <c r="C285" i="38"/>
  <c r="Q284" i="38"/>
  <c r="C284" i="38"/>
  <c r="AC283" i="38"/>
  <c r="Z283" i="38"/>
  <c r="Z438" i="38" s="1"/>
  <c r="V283" i="38"/>
  <c r="Q283" i="38"/>
  <c r="C283" i="38"/>
  <c r="AH282" i="38"/>
  <c r="AG282" i="38"/>
  <c r="AF282" i="38"/>
  <c r="AE282" i="38"/>
  <c r="AD282" i="38"/>
  <c r="Q282" i="38"/>
  <c r="C282" i="38"/>
  <c r="AG281" i="38"/>
  <c r="AF281" i="38"/>
  <c r="AE281" i="38"/>
  <c r="AH281" i="38" s="1"/>
  <c r="AD281" i="38"/>
  <c r="Q281" i="38"/>
  <c r="C281" i="38"/>
  <c r="AI280" i="38"/>
  <c r="AG280" i="38"/>
  <c r="AF280" i="38"/>
  <c r="AE280" i="38"/>
  <c r="AE279" i="38" s="1"/>
  <c r="AD280" i="38"/>
  <c r="Q280" i="38"/>
  <c r="C280" i="38"/>
  <c r="AD279" i="38"/>
  <c r="AC279" i="38"/>
  <c r="AC437" i="38" s="1"/>
  <c r="AB279" i="38"/>
  <c r="AB437" i="38" s="1"/>
  <c r="AA279" i="38"/>
  <c r="AA437" i="38" s="1"/>
  <c r="Z279" i="38"/>
  <c r="Z437" i="38" s="1"/>
  <c r="Y279" i="38"/>
  <c r="Y437" i="38" s="1"/>
  <c r="X279" i="38"/>
  <c r="X437" i="38" s="1"/>
  <c r="W279" i="38"/>
  <c r="W437" i="38" s="1"/>
  <c r="V279" i="38"/>
  <c r="V437" i="38" s="1"/>
  <c r="U279" i="38"/>
  <c r="U437" i="38" s="1"/>
  <c r="T279" i="38"/>
  <c r="T437" i="38" s="1"/>
  <c r="S279" i="38"/>
  <c r="S437" i="38" s="1"/>
  <c r="R279" i="38"/>
  <c r="R437" i="38" s="1"/>
  <c r="Q279" i="38"/>
  <c r="C279" i="38"/>
  <c r="Q278" i="38"/>
  <c r="C278" i="38"/>
  <c r="Q277" i="38"/>
  <c r="C277" i="38"/>
  <c r="Q276" i="38"/>
  <c r="C276" i="38"/>
  <c r="AI275" i="38"/>
  <c r="AG275" i="38"/>
  <c r="AF275" i="38"/>
  <c r="AE275" i="38"/>
  <c r="AH275" i="38" s="1"/>
  <c r="AD275" i="38"/>
  <c r="Q275" i="38"/>
  <c r="C275" i="38"/>
  <c r="AG274" i="38"/>
  <c r="AI274" i="38" s="1"/>
  <c r="AF274" i="38"/>
  <c r="AE274" i="38"/>
  <c r="AD274" i="38"/>
  <c r="AH274" i="38" s="1"/>
  <c r="AJ274" i="38" s="1"/>
  <c r="Q274" i="38"/>
  <c r="C274" i="38"/>
  <c r="Q273" i="38"/>
  <c r="C273" i="38"/>
  <c r="Q272" i="38"/>
  <c r="C272" i="38"/>
  <c r="AI271" i="38"/>
  <c r="AJ271" i="38" s="1"/>
  <c r="AG271" i="38"/>
  <c r="AF271" i="38"/>
  <c r="AE271" i="38"/>
  <c r="AD271" i="38"/>
  <c r="AH271" i="38" s="1"/>
  <c r="Q271" i="38"/>
  <c r="C271" i="38"/>
  <c r="AG270" i="38"/>
  <c r="AI270" i="38" s="1"/>
  <c r="AF270" i="38"/>
  <c r="AE270" i="38"/>
  <c r="AE268" i="38" s="1"/>
  <c r="AD270" i="38"/>
  <c r="AH270" i="38" s="1"/>
  <c r="AJ270" i="38" s="1"/>
  <c r="Q270" i="38"/>
  <c r="C270" i="38"/>
  <c r="AG269" i="38"/>
  <c r="AI269" i="38" s="1"/>
  <c r="AF269" i="38"/>
  <c r="AE269" i="38"/>
  <c r="AD269" i="38"/>
  <c r="Q269" i="38"/>
  <c r="C269" i="38"/>
  <c r="AI268" i="38"/>
  <c r="AF268" i="38"/>
  <c r="AC268" i="38"/>
  <c r="AB268" i="38"/>
  <c r="AA268" i="38"/>
  <c r="Z268" i="38"/>
  <c r="Y268" i="38"/>
  <c r="X268" i="38"/>
  <c r="W268" i="38"/>
  <c r="V268" i="38"/>
  <c r="U268" i="38"/>
  <c r="T268" i="38"/>
  <c r="S268" i="38"/>
  <c r="R268" i="38"/>
  <c r="Q268" i="38"/>
  <c r="C268" i="38"/>
  <c r="AD267" i="38"/>
  <c r="AC267" i="38"/>
  <c r="AB267" i="38"/>
  <c r="AA267" i="38"/>
  <c r="AG267" i="38" s="1"/>
  <c r="Z267" i="38"/>
  <c r="Y267" i="38"/>
  <c r="X267" i="38"/>
  <c r="X253" i="38" s="1"/>
  <c r="W267" i="38"/>
  <c r="W253" i="38" s="1"/>
  <c r="V267" i="38"/>
  <c r="V253" i="38" s="1"/>
  <c r="U267" i="38"/>
  <c r="T267" i="38"/>
  <c r="S267" i="38"/>
  <c r="R267" i="38"/>
  <c r="Q267" i="38"/>
  <c r="C267" i="38"/>
  <c r="AC266" i="38"/>
  <c r="AC252" i="38" s="1"/>
  <c r="AB266" i="38"/>
  <c r="Z266" i="38"/>
  <c r="Z252" i="38" s="1"/>
  <c r="Y266" i="38"/>
  <c r="W266" i="38"/>
  <c r="V266" i="38"/>
  <c r="T266" i="38"/>
  <c r="S266" i="38"/>
  <c r="S252" i="38" s="1"/>
  <c r="R266" i="38"/>
  <c r="Q266" i="38"/>
  <c r="C266" i="38"/>
  <c r="AB265" i="38"/>
  <c r="Z265" i="38"/>
  <c r="Y265" i="38"/>
  <c r="X265" i="38"/>
  <c r="AF265" i="38" s="1"/>
  <c r="W265" i="38"/>
  <c r="V265" i="38"/>
  <c r="V251" i="38" s="1"/>
  <c r="U265" i="38"/>
  <c r="T265" i="38"/>
  <c r="S265" i="38"/>
  <c r="Q265" i="38"/>
  <c r="C265" i="38"/>
  <c r="AC264" i="38"/>
  <c r="AB264" i="38"/>
  <c r="AB250" i="38" s="1"/>
  <c r="Z264" i="38"/>
  <c r="Y264" i="38"/>
  <c r="Y261" i="38" s="1"/>
  <c r="W264" i="38"/>
  <c r="V264" i="38"/>
  <c r="U264" i="38"/>
  <c r="T264" i="38"/>
  <c r="T250" i="38" s="1"/>
  <c r="S264" i="38"/>
  <c r="AD264" i="38" s="1"/>
  <c r="R264" i="38"/>
  <c r="Q264" i="38"/>
  <c r="C264" i="38"/>
  <c r="AB263" i="38"/>
  <c r="AA263" i="38"/>
  <c r="Z263" i="38"/>
  <c r="Y263" i="38"/>
  <c r="W263" i="38"/>
  <c r="V263" i="38"/>
  <c r="AE263" i="38" s="1"/>
  <c r="U263" i="38"/>
  <c r="T263" i="38"/>
  <c r="S263" i="38"/>
  <c r="Q263" i="38"/>
  <c r="C263" i="38"/>
  <c r="AC262" i="38"/>
  <c r="AB262" i="38"/>
  <c r="Z262" i="38"/>
  <c r="Y262" i="38"/>
  <c r="Y248" i="38" s="1"/>
  <c r="W262" i="38"/>
  <c r="V262" i="38"/>
  <c r="T262" i="38"/>
  <c r="S262" i="38"/>
  <c r="Q262" i="38"/>
  <c r="C262" i="38"/>
  <c r="Q261" i="38"/>
  <c r="C261" i="38"/>
  <c r="AC260" i="38"/>
  <c r="AC254" i="38" s="1"/>
  <c r="AB260" i="38"/>
  <c r="AB246" i="38" s="1"/>
  <c r="AA260" i="38"/>
  <c r="Z260" i="38"/>
  <c r="Y260" i="38"/>
  <c r="X260" i="38"/>
  <c r="AF260" i="38" s="1"/>
  <c r="W260" i="38"/>
  <c r="V260" i="38"/>
  <c r="U260" i="38"/>
  <c r="AE260" i="38" s="1"/>
  <c r="AE246" i="38" s="1"/>
  <c r="T260" i="38"/>
  <c r="T246" i="38" s="1"/>
  <c r="S260" i="38"/>
  <c r="R260" i="38"/>
  <c r="Q260" i="38"/>
  <c r="C260" i="38"/>
  <c r="AD259" i="38"/>
  <c r="AC259" i="38"/>
  <c r="AB259" i="38"/>
  <c r="AA259" i="38"/>
  <c r="AG259" i="38" s="1"/>
  <c r="Z259" i="38"/>
  <c r="Y259" i="38"/>
  <c r="X259" i="38"/>
  <c r="X245" i="38" s="1"/>
  <c r="W259" i="38"/>
  <c r="W245" i="38" s="1"/>
  <c r="V259" i="38"/>
  <c r="U259" i="38"/>
  <c r="T259" i="38"/>
  <c r="S259" i="38"/>
  <c r="R259" i="38"/>
  <c r="Q259" i="38"/>
  <c r="C259" i="38"/>
  <c r="AG258" i="38"/>
  <c r="AC258" i="38"/>
  <c r="AC244" i="38" s="1"/>
  <c r="AB258" i="38"/>
  <c r="AA258" i="38"/>
  <c r="AA244" i="38" s="1"/>
  <c r="Z258" i="38"/>
  <c r="Z244" i="38" s="1"/>
  <c r="Y258" i="38"/>
  <c r="X258" i="38"/>
  <c r="AF258" i="38" s="1"/>
  <c r="AI258" i="38" s="1"/>
  <c r="W258" i="38"/>
  <c r="V258" i="38"/>
  <c r="U258" i="38"/>
  <c r="AE258" i="38" s="1"/>
  <c r="T258" i="38"/>
  <c r="S258" i="38"/>
  <c r="S244" i="38" s="1"/>
  <c r="R258" i="38"/>
  <c r="Q258" i="38"/>
  <c r="C258" i="38"/>
  <c r="AC257" i="38"/>
  <c r="AB257" i="38"/>
  <c r="AG257" i="38" s="1"/>
  <c r="AA257" i="38"/>
  <c r="Z257" i="38"/>
  <c r="Y257" i="38"/>
  <c r="X257" i="38"/>
  <c r="AF257" i="38" s="1"/>
  <c r="W257" i="38"/>
  <c r="V257" i="38"/>
  <c r="U257" i="38"/>
  <c r="T257" i="38"/>
  <c r="AD257" i="38" s="1"/>
  <c r="S257" i="38"/>
  <c r="R257" i="38"/>
  <c r="Q257" i="38"/>
  <c r="C257" i="38"/>
  <c r="AG256" i="38"/>
  <c r="AE256" i="38"/>
  <c r="AC256" i="38"/>
  <c r="AB256" i="38"/>
  <c r="AB242" i="38" s="1"/>
  <c r="AA256" i="38"/>
  <c r="Z256" i="38"/>
  <c r="Y256" i="38"/>
  <c r="X256" i="38"/>
  <c r="W256" i="38"/>
  <c r="V256" i="38"/>
  <c r="U256" i="38"/>
  <c r="T256" i="38"/>
  <c r="T242" i="38" s="1"/>
  <c r="S256" i="38"/>
  <c r="AD256" i="38" s="1"/>
  <c r="R256" i="38"/>
  <c r="Q256" i="38"/>
  <c r="C256" i="38"/>
  <c r="AC255" i="38"/>
  <c r="AB255" i="38"/>
  <c r="AA255" i="38"/>
  <c r="Z255" i="38"/>
  <c r="Y255" i="38"/>
  <c r="Y241" i="38" s="1"/>
  <c r="X255" i="38"/>
  <c r="W255" i="38"/>
  <c r="V255" i="38"/>
  <c r="AE255" i="38" s="1"/>
  <c r="U255" i="38"/>
  <c r="T255" i="38"/>
  <c r="S255" i="38"/>
  <c r="R255" i="38"/>
  <c r="Q255" i="38"/>
  <c r="C255" i="38"/>
  <c r="U254" i="38"/>
  <c r="Q254" i="38"/>
  <c r="C254" i="38"/>
  <c r="AA253" i="38"/>
  <c r="Z253" i="38"/>
  <c r="T253" i="38"/>
  <c r="S253" i="38"/>
  <c r="R253" i="38"/>
  <c r="Q253" i="38"/>
  <c r="C253" i="38"/>
  <c r="Y252" i="38"/>
  <c r="W252" i="38"/>
  <c r="Q252" i="38"/>
  <c r="C252" i="38"/>
  <c r="U251" i="38"/>
  <c r="Q251" i="38"/>
  <c r="C251" i="38"/>
  <c r="Z250" i="38"/>
  <c r="S250" i="38"/>
  <c r="R250" i="38"/>
  <c r="Q250" i="38"/>
  <c r="C250" i="38"/>
  <c r="W249" i="38"/>
  <c r="V249" i="38"/>
  <c r="Q249" i="38"/>
  <c r="C249" i="38"/>
  <c r="Q248" i="38"/>
  <c r="C248" i="38"/>
  <c r="Q247" i="38"/>
  <c r="C247" i="38"/>
  <c r="W246" i="38"/>
  <c r="V246" i="38"/>
  <c r="Q246" i="38"/>
  <c r="C246" i="38"/>
  <c r="AB245" i="38"/>
  <c r="AA245" i="38"/>
  <c r="Z245" i="38"/>
  <c r="T245" i="38"/>
  <c r="S245" i="38"/>
  <c r="R245" i="38"/>
  <c r="Q245" i="38"/>
  <c r="C245" i="38"/>
  <c r="W244" i="38"/>
  <c r="Q244" i="38"/>
  <c r="C244" i="38"/>
  <c r="AC243" i="38"/>
  <c r="V243" i="38"/>
  <c r="U243" i="38"/>
  <c r="T243" i="38"/>
  <c r="Q243" i="38"/>
  <c r="C243" i="38"/>
  <c r="AA242" i="38"/>
  <c r="Z242" i="38"/>
  <c r="S242" i="38"/>
  <c r="R242" i="38"/>
  <c r="Q242" i="38"/>
  <c r="C242" i="38"/>
  <c r="W241" i="38"/>
  <c r="V241" i="38"/>
  <c r="Q241" i="38"/>
  <c r="C241" i="38"/>
  <c r="AC240" i="38"/>
  <c r="Q240" i="38"/>
  <c r="C240" i="38"/>
  <c r="Q239" i="38"/>
  <c r="C239" i="38"/>
  <c r="Q238" i="38"/>
  <c r="C238" i="38"/>
  <c r="AG237" i="38"/>
  <c r="AF237" i="38"/>
  <c r="AI237" i="38" s="1"/>
  <c r="AE237" i="38"/>
  <c r="AD237" i="38"/>
  <c r="Q237" i="38"/>
  <c r="C237" i="38"/>
  <c r="AG236" i="38"/>
  <c r="AI236" i="38" s="1"/>
  <c r="AF236" i="38"/>
  <c r="AE236" i="38"/>
  <c r="AD236" i="38"/>
  <c r="AH236" i="38" s="1"/>
  <c r="Q236" i="38"/>
  <c r="C236" i="38"/>
  <c r="AG235" i="38"/>
  <c r="AI235" i="38" s="1"/>
  <c r="AJ235" i="38" s="1"/>
  <c r="AF235" i="38"/>
  <c r="AE235" i="38"/>
  <c r="AD235" i="38"/>
  <c r="AH235" i="38" s="1"/>
  <c r="Q235" i="38"/>
  <c r="C235" i="38"/>
  <c r="AI234" i="38"/>
  <c r="AG234" i="38"/>
  <c r="AF234" i="38"/>
  <c r="AE234" i="38"/>
  <c r="R234" i="38"/>
  <c r="AD234" i="38" s="1"/>
  <c r="AH234" i="38" s="1"/>
  <c r="AJ234" i="38" s="1"/>
  <c r="Q234" i="38"/>
  <c r="C234" i="38"/>
  <c r="AI233" i="38"/>
  <c r="AG233" i="38"/>
  <c r="AF233" i="38"/>
  <c r="AE233" i="38"/>
  <c r="AH233" i="38" s="1"/>
  <c r="AJ233" i="38" s="1"/>
  <c r="AD233" i="38"/>
  <c r="Q233" i="38"/>
  <c r="C233" i="38"/>
  <c r="AI232" i="38"/>
  <c r="AJ232" i="38" s="1"/>
  <c r="AH232" i="38"/>
  <c r="AG232" i="38"/>
  <c r="AF232" i="38"/>
  <c r="AE232" i="38"/>
  <c r="AD232" i="38"/>
  <c r="Q232" i="38"/>
  <c r="C232" i="38"/>
  <c r="AC231" i="38"/>
  <c r="AB231" i="38"/>
  <c r="AA231" i="38"/>
  <c r="AG231" i="38" s="1"/>
  <c r="AI231" i="38" s="1"/>
  <c r="Z231" i="38"/>
  <c r="Y231" i="38"/>
  <c r="X231" i="38"/>
  <c r="AF231" i="38" s="1"/>
  <c r="W231" i="38"/>
  <c r="V231" i="38"/>
  <c r="U231" i="38"/>
  <c r="AE231" i="38" s="1"/>
  <c r="T231" i="38"/>
  <c r="S231" i="38"/>
  <c r="S223" i="38" s="1"/>
  <c r="R231" i="38"/>
  <c r="Q231" i="38"/>
  <c r="C231" i="38"/>
  <c r="AG230" i="38"/>
  <c r="AI230" i="38" s="1"/>
  <c r="AF230" i="38"/>
  <c r="AE230" i="38"/>
  <c r="AD230" i="38"/>
  <c r="AH230" i="38" s="1"/>
  <c r="AJ230" i="38" s="1"/>
  <c r="Q230" i="38"/>
  <c r="C230" i="38"/>
  <c r="AI229" i="38"/>
  <c r="AG229" i="38"/>
  <c r="AF229" i="38"/>
  <c r="AE229" i="38"/>
  <c r="AH229" i="38" s="1"/>
  <c r="AJ229" i="38" s="1"/>
  <c r="AD229" i="38"/>
  <c r="Q229" i="38"/>
  <c r="C229" i="38"/>
  <c r="AI228" i="38"/>
  <c r="AH228" i="38"/>
  <c r="AJ228" i="38" s="1"/>
  <c r="AG228" i="38"/>
  <c r="AF228" i="38"/>
  <c r="AE228" i="38"/>
  <c r="AD228" i="38"/>
  <c r="Q228" i="38"/>
  <c r="C228" i="38"/>
  <c r="AI227" i="38"/>
  <c r="AH227" i="38"/>
  <c r="AJ227" i="38" s="1"/>
  <c r="AG227" i="38"/>
  <c r="AF227" i="38"/>
  <c r="AE227" i="38"/>
  <c r="AD227" i="38"/>
  <c r="Q227" i="38"/>
  <c r="C227" i="38"/>
  <c r="AH226" i="38"/>
  <c r="AG226" i="38"/>
  <c r="AF226" i="38"/>
  <c r="AE226" i="38"/>
  <c r="AD226" i="38"/>
  <c r="Q226" i="38"/>
  <c r="C226" i="38"/>
  <c r="AG225" i="38"/>
  <c r="AI225" i="38" s="1"/>
  <c r="AF225" i="38"/>
  <c r="AE225" i="38"/>
  <c r="AD225" i="38"/>
  <c r="AH225" i="38" s="1"/>
  <c r="AJ225" i="38" s="1"/>
  <c r="Q225" i="38"/>
  <c r="C225" i="38"/>
  <c r="AD224" i="38"/>
  <c r="AC224" i="38"/>
  <c r="AB224" i="38"/>
  <c r="AA224" i="38"/>
  <c r="AG224" i="38" s="1"/>
  <c r="Z224" i="38"/>
  <c r="Y224" i="38"/>
  <c r="X224" i="38"/>
  <c r="X223" i="38" s="1"/>
  <c r="W224" i="38"/>
  <c r="W223" i="38" s="1"/>
  <c r="V224" i="38"/>
  <c r="V223" i="38" s="1"/>
  <c r="U224" i="38"/>
  <c r="T224" i="38"/>
  <c r="S224" i="38"/>
  <c r="R224" i="38"/>
  <c r="Q224" i="38"/>
  <c r="C224" i="38"/>
  <c r="AC223" i="38"/>
  <c r="AB223" i="38"/>
  <c r="AA223" i="38"/>
  <c r="Z223" i="38"/>
  <c r="Y223" i="38"/>
  <c r="U223" i="38"/>
  <c r="T223" i="38"/>
  <c r="R223" i="38"/>
  <c r="Q223" i="38"/>
  <c r="C223" i="38"/>
  <c r="AD222" i="38"/>
  <c r="AC222" i="38"/>
  <c r="AC253" i="38" s="1"/>
  <c r="AB222" i="38"/>
  <c r="AA222" i="38"/>
  <c r="Z222" i="38"/>
  <c r="Y222" i="38"/>
  <c r="Y253" i="38" s="1"/>
  <c r="X222" i="38"/>
  <c r="AF222" i="38" s="1"/>
  <c r="W222" i="38"/>
  <c r="V222" i="38"/>
  <c r="U222" i="38"/>
  <c r="T222" i="38"/>
  <c r="S222" i="38"/>
  <c r="R222" i="38"/>
  <c r="Q222" i="38"/>
  <c r="C222" i="38"/>
  <c r="AG221" i="38"/>
  <c r="AF221" i="38"/>
  <c r="AC221" i="38"/>
  <c r="AB221" i="38"/>
  <c r="AB252" i="38" s="1"/>
  <c r="AA221" i="38"/>
  <c r="Z221" i="38"/>
  <c r="Y221" i="38"/>
  <c r="X221" i="38"/>
  <c r="W221" i="38"/>
  <c r="W216" i="38" s="1"/>
  <c r="V221" i="38"/>
  <c r="V252" i="38" s="1"/>
  <c r="U221" i="38"/>
  <c r="T221" i="38"/>
  <c r="T252" i="38" s="1"/>
  <c r="S221" i="38"/>
  <c r="AD221" i="38" s="1"/>
  <c r="R221" i="38"/>
  <c r="Q221" i="38"/>
  <c r="C221" i="38"/>
  <c r="AC220" i="38"/>
  <c r="AB220" i="38"/>
  <c r="AB251" i="38" s="1"/>
  <c r="AA220" i="38"/>
  <c r="AG220" i="38" s="1"/>
  <c r="Z220" i="38"/>
  <c r="Z251" i="38" s="1"/>
  <c r="Y220" i="38"/>
  <c r="Y251" i="38" s="1"/>
  <c r="X220" i="38"/>
  <c r="W220" i="38"/>
  <c r="W251" i="38" s="1"/>
  <c r="V220" i="38"/>
  <c r="AE220" i="38" s="1"/>
  <c r="U220" i="38"/>
  <c r="T220" i="38"/>
  <c r="T251" i="38" s="1"/>
  <c r="S220" i="38"/>
  <c r="S251" i="38" s="1"/>
  <c r="R220" i="38"/>
  <c r="AD220" i="38" s="1"/>
  <c r="AH220" i="38" s="1"/>
  <c r="Q220" i="38"/>
  <c r="C220" i="38"/>
  <c r="AD219" i="38"/>
  <c r="AC219" i="38"/>
  <c r="AB219" i="38"/>
  <c r="AA219" i="38"/>
  <c r="Z219" i="38"/>
  <c r="Y219" i="38"/>
  <c r="X219" i="38"/>
  <c r="AF219" i="38" s="1"/>
  <c r="W219" i="38"/>
  <c r="V219" i="38"/>
  <c r="V250" i="38" s="1"/>
  <c r="U219" i="38"/>
  <c r="U250" i="38" s="1"/>
  <c r="T219" i="38"/>
  <c r="S219" i="38"/>
  <c r="R219" i="38"/>
  <c r="Q219" i="38"/>
  <c r="C219" i="38"/>
  <c r="AG218" i="38"/>
  <c r="AF218" i="38"/>
  <c r="AC218" i="38"/>
  <c r="AB218" i="38"/>
  <c r="AA218" i="38"/>
  <c r="Z218" i="38"/>
  <c r="Y218" i="38"/>
  <c r="X218" i="38"/>
  <c r="X216" i="38" s="1"/>
  <c r="W218" i="38"/>
  <c r="V218" i="38"/>
  <c r="U218" i="38"/>
  <c r="U249" i="38" s="1"/>
  <c r="T218" i="38"/>
  <c r="S218" i="38"/>
  <c r="R218" i="38"/>
  <c r="Q218" i="38"/>
  <c r="C218" i="38"/>
  <c r="AC217" i="38"/>
  <c r="AC216" i="38" s="1"/>
  <c r="AB217" i="38"/>
  <c r="AB216" i="38" s="1"/>
  <c r="AA217" i="38"/>
  <c r="Z217" i="38"/>
  <c r="Z248" i="38" s="1"/>
  <c r="Y217" i="38"/>
  <c r="X217" i="38"/>
  <c r="AF217" i="38" s="1"/>
  <c r="W217" i="38"/>
  <c r="V217" i="38"/>
  <c r="U217" i="38"/>
  <c r="T217" i="38"/>
  <c r="S217" i="38"/>
  <c r="S248" i="38" s="1"/>
  <c r="R217" i="38"/>
  <c r="Q217" i="38"/>
  <c r="C217" i="38"/>
  <c r="Q216" i="38"/>
  <c r="C216" i="38"/>
  <c r="AG215" i="38"/>
  <c r="AI215" i="38" s="1"/>
  <c r="AC215" i="38"/>
  <c r="AB215" i="38"/>
  <c r="AA215" i="38"/>
  <c r="Z215" i="38"/>
  <c r="Z246" i="38" s="1"/>
  <c r="Y215" i="38"/>
  <c r="Y246" i="38" s="1"/>
  <c r="X215" i="38"/>
  <c r="AF215" i="38" s="1"/>
  <c r="W215" i="38"/>
  <c r="V215" i="38"/>
  <c r="U215" i="38"/>
  <c r="AE215" i="38" s="1"/>
  <c r="T215" i="38"/>
  <c r="S215" i="38"/>
  <c r="R215" i="38"/>
  <c r="Q215" i="38"/>
  <c r="C215" i="38"/>
  <c r="AD214" i="38"/>
  <c r="AC214" i="38"/>
  <c r="AC245" i="38" s="1"/>
  <c r="AB214" i="38"/>
  <c r="AA214" i="38"/>
  <c r="Z214" i="38"/>
  <c r="Y214" i="38"/>
  <c r="Y245" i="38" s="1"/>
  <c r="X214" i="38"/>
  <c r="AF214" i="38" s="1"/>
  <c r="W214" i="38"/>
  <c r="V214" i="38"/>
  <c r="U214" i="38"/>
  <c r="T214" i="38"/>
  <c r="S214" i="38"/>
  <c r="R214" i="38"/>
  <c r="Q214" i="38"/>
  <c r="C214" i="38"/>
  <c r="AG213" i="38"/>
  <c r="AC213" i="38"/>
  <c r="AB213" i="38"/>
  <c r="AB244" i="38" s="1"/>
  <c r="AA213" i="38"/>
  <c r="Z213" i="38"/>
  <c r="Y213" i="38"/>
  <c r="Y244" i="38" s="1"/>
  <c r="X213" i="38"/>
  <c r="W213" i="38"/>
  <c r="AE213" i="38" s="1"/>
  <c r="AE244" i="38" s="1"/>
  <c r="V213" i="38"/>
  <c r="V244" i="38" s="1"/>
  <c r="U213" i="38"/>
  <c r="T213" i="38"/>
  <c r="T244" i="38" s="1"/>
  <c r="S213" i="38"/>
  <c r="AD213" i="38" s="1"/>
  <c r="R213" i="38"/>
  <c r="Q213" i="38"/>
  <c r="C213" i="38"/>
  <c r="AC212" i="38"/>
  <c r="AB212" i="38"/>
  <c r="AA212" i="38"/>
  <c r="Z212" i="38"/>
  <c r="Z243" i="38" s="1"/>
  <c r="Y212" i="38"/>
  <c r="Y243" i="38" s="1"/>
  <c r="X212" i="38"/>
  <c r="AF212" i="38" s="1"/>
  <c r="W212" i="38"/>
  <c r="W243" i="38" s="1"/>
  <c r="V212" i="38"/>
  <c r="AE212" i="38" s="1"/>
  <c r="U212" i="38"/>
  <c r="T212" i="38"/>
  <c r="S212" i="38"/>
  <c r="S243" i="38" s="1"/>
  <c r="R212" i="38"/>
  <c r="Q212" i="38"/>
  <c r="C212" i="38"/>
  <c r="AD211" i="38"/>
  <c r="AC211" i="38"/>
  <c r="AB211" i="38"/>
  <c r="AA211" i="38"/>
  <c r="Z211" i="38"/>
  <c r="Y211" i="38"/>
  <c r="X211" i="38"/>
  <c r="AF211" i="38" s="1"/>
  <c r="W211" i="38"/>
  <c r="V211" i="38"/>
  <c r="U211" i="38"/>
  <c r="U242" i="38" s="1"/>
  <c r="T211" i="38"/>
  <c r="S211" i="38"/>
  <c r="R211" i="38"/>
  <c r="Q211" i="38"/>
  <c r="C211" i="38"/>
  <c r="AG210" i="38"/>
  <c r="AF210" i="38"/>
  <c r="AC210" i="38"/>
  <c r="AC241" i="38" s="1"/>
  <c r="AB210" i="38"/>
  <c r="AA210" i="38"/>
  <c r="Z210" i="38"/>
  <c r="Y210" i="38"/>
  <c r="X210" i="38"/>
  <c r="W210" i="38"/>
  <c r="V210" i="38"/>
  <c r="U210" i="38"/>
  <c r="U241" i="38" s="1"/>
  <c r="T210" i="38"/>
  <c r="S210" i="38"/>
  <c r="R210" i="38"/>
  <c r="Q210" i="38"/>
  <c r="C210" i="38"/>
  <c r="AC209" i="38"/>
  <c r="AB209" i="38"/>
  <c r="AA209" i="38"/>
  <c r="U209" i="38"/>
  <c r="T209" i="38"/>
  <c r="Q209" i="38"/>
  <c r="C209" i="38"/>
  <c r="Q208" i="38"/>
  <c r="C208" i="38"/>
  <c r="Q207" i="38"/>
  <c r="C207" i="38"/>
  <c r="Q206" i="38"/>
  <c r="C206" i="38"/>
  <c r="AG205" i="38"/>
  <c r="AF205" i="38"/>
  <c r="AE205" i="38"/>
  <c r="AC205" i="38"/>
  <c r="AB205" i="38"/>
  <c r="AA205" i="38"/>
  <c r="Z205" i="38"/>
  <c r="Y205" i="38"/>
  <c r="Y201" i="38" s="1"/>
  <c r="X205" i="38"/>
  <c r="X201" i="38" s="1"/>
  <c r="W205" i="38"/>
  <c r="V205" i="38"/>
  <c r="U205" i="38"/>
  <c r="T205" i="38"/>
  <c r="S205" i="38"/>
  <c r="AD205" i="38" s="1"/>
  <c r="R205" i="38"/>
  <c r="Q205" i="38"/>
  <c r="C205" i="38"/>
  <c r="AC204" i="38"/>
  <c r="AB204" i="38"/>
  <c r="AB201" i="38" s="1"/>
  <c r="AA204" i="38"/>
  <c r="Z204" i="38"/>
  <c r="Z201" i="38" s="1"/>
  <c r="Z434" i="38" s="1"/>
  <c r="Y204" i="38"/>
  <c r="X204" i="38"/>
  <c r="AF204" i="38" s="1"/>
  <c r="W204" i="38"/>
  <c r="V204" i="38"/>
  <c r="AE204" i="38" s="1"/>
  <c r="U204" i="38"/>
  <c r="T204" i="38"/>
  <c r="T201" i="38" s="1"/>
  <c r="S204" i="38"/>
  <c r="S201" i="38" s="1"/>
  <c r="S434" i="38" s="1"/>
  <c r="R204" i="38"/>
  <c r="Q204" i="38"/>
  <c r="C204" i="38"/>
  <c r="AD203" i="38"/>
  <c r="AC203" i="38"/>
  <c r="AC201" i="38" s="1"/>
  <c r="AB203" i="38"/>
  <c r="Z203" i="38"/>
  <c r="Y203" i="38"/>
  <c r="X203" i="38"/>
  <c r="AF203" i="38" s="1"/>
  <c r="W203" i="38"/>
  <c r="W201" i="38" s="1"/>
  <c r="V203" i="38"/>
  <c r="V201" i="38" s="1"/>
  <c r="U203" i="38"/>
  <c r="AE203" i="38" s="1"/>
  <c r="AE201" i="38" s="1"/>
  <c r="AE202" i="38" s="1"/>
  <c r="T203" i="38"/>
  <c r="S203" i="38"/>
  <c r="R203" i="38"/>
  <c r="Q203" i="38"/>
  <c r="C203" i="38"/>
  <c r="Z202" i="38"/>
  <c r="Q202" i="38"/>
  <c r="C202" i="38"/>
  <c r="Q201" i="38"/>
  <c r="C201" i="38"/>
  <c r="AH200" i="38"/>
  <c r="AJ200" i="38" s="1"/>
  <c r="AG200" i="38"/>
  <c r="AI200" i="38" s="1"/>
  <c r="AF200" i="38"/>
  <c r="AE200" i="38"/>
  <c r="AD200" i="38"/>
  <c r="Q200" i="38"/>
  <c r="C200" i="38"/>
  <c r="AG199" i="38"/>
  <c r="AF199" i="38"/>
  <c r="AE199" i="38"/>
  <c r="AD199" i="38"/>
  <c r="AH199" i="38" s="1"/>
  <c r="Q199" i="38"/>
  <c r="C199" i="38"/>
  <c r="AG198" i="38"/>
  <c r="AF198" i="38"/>
  <c r="AE198" i="38"/>
  <c r="AD198" i="38"/>
  <c r="Q198" i="38"/>
  <c r="C198" i="38"/>
  <c r="AE197" i="38"/>
  <c r="AD197" i="38"/>
  <c r="AC197" i="38"/>
  <c r="AC433" i="38" s="1"/>
  <c r="AB197" i="38"/>
  <c r="AB433" i="38" s="1"/>
  <c r="AA197" i="38"/>
  <c r="AA433" i="38" s="1"/>
  <c r="Z197" i="38"/>
  <c r="Z433" i="38" s="1"/>
  <c r="Z432" i="38" s="1"/>
  <c r="Y197" i="38"/>
  <c r="Y433" i="38" s="1"/>
  <c r="X197" i="38"/>
  <c r="X433" i="38" s="1"/>
  <c r="W197" i="38"/>
  <c r="W433" i="38" s="1"/>
  <c r="V197" i="38"/>
  <c r="V433" i="38" s="1"/>
  <c r="U197" i="38"/>
  <c r="U433" i="38" s="1"/>
  <c r="T197" i="38"/>
  <c r="T433" i="38" s="1"/>
  <c r="S197" i="38"/>
  <c r="S433" i="38" s="1"/>
  <c r="R197" i="38"/>
  <c r="R433" i="38" s="1"/>
  <c r="Q197" i="38"/>
  <c r="C197" i="38"/>
  <c r="Q196" i="38"/>
  <c r="C196" i="38"/>
  <c r="Q195" i="38"/>
  <c r="C195" i="38"/>
  <c r="Q194" i="38"/>
  <c r="C194" i="38"/>
  <c r="AG193" i="38"/>
  <c r="AI193" i="38" s="1"/>
  <c r="AF193" i="38"/>
  <c r="AE193" i="38"/>
  <c r="AD193" i="38"/>
  <c r="AH193" i="38" s="1"/>
  <c r="Q193" i="38"/>
  <c r="C193" i="38"/>
  <c r="AG192" i="38"/>
  <c r="AI192" i="38" s="1"/>
  <c r="AJ192" i="38" s="1"/>
  <c r="AE192" i="38"/>
  <c r="AD192" i="38"/>
  <c r="AH192" i="38" s="1"/>
  <c r="Z192" i="38"/>
  <c r="AF192" i="38" s="1"/>
  <c r="Q192" i="38"/>
  <c r="C192" i="38"/>
  <c r="Q191" i="38"/>
  <c r="C191" i="38"/>
  <c r="Y190" i="38"/>
  <c r="Q190" i="38"/>
  <c r="C190" i="38"/>
  <c r="AG189" i="38"/>
  <c r="AI189" i="38" s="1"/>
  <c r="AJ189" i="38" s="1"/>
  <c r="AF189" i="38"/>
  <c r="AE189" i="38"/>
  <c r="AD189" i="38"/>
  <c r="AH189" i="38" s="1"/>
  <c r="Q189" i="38"/>
  <c r="C189" i="38"/>
  <c r="AI188" i="38"/>
  <c r="AG188" i="38"/>
  <c r="AF188" i="38"/>
  <c r="AE188" i="38"/>
  <c r="AH188" i="38" s="1"/>
  <c r="AH186" i="38" s="1"/>
  <c r="AD188" i="38"/>
  <c r="Q188" i="38"/>
  <c r="C188" i="38"/>
  <c r="AI187" i="38"/>
  <c r="AJ187" i="38" s="1"/>
  <c r="AH187" i="38"/>
  <c r="AG187" i="38"/>
  <c r="AF187" i="38"/>
  <c r="AE187" i="38"/>
  <c r="AD187" i="38"/>
  <c r="AA187" i="38"/>
  <c r="AA203" i="38" s="1"/>
  <c r="Q187" i="38"/>
  <c r="C187" i="38"/>
  <c r="AC186" i="38"/>
  <c r="AB186" i="38"/>
  <c r="AA186" i="38"/>
  <c r="AG186" i="38" s="1"/>
  <c r="Z186" i="38"/>
  <c r="Y186" i="38"/>
  <c r="X186" i="38"/>
  <c r="AF186" i="38" s="1"/>
  <c r="W186" i="38"/>
  <c r="AE186" i="38" s="1"/>
  <c r="V186" i="38"/>
  <c r="U186" i="38"/>
  <c r="T186" i="38"/>
  <c r="S186" i="38"/>
  <c r="R186" i="38"/>
  <c r="Q186" i="38"/>
  <c r="C186" i="38"/>
  <c r="AD185" i="38"/>
  <c r="AC185" i="38"/>
  <c r="AG185" i="38" s="1"/>
  <c r="AB185" i="38"/>
  <c r="AA185" i="38"/>
  <c r="Z185" i="38"/>
  <c r="Y185" i="38"/>
  <c r="X185" i="38"/>
  <c r="AF185" i="38" s="1"/>
  <c r="W185" i="38"/>
  <c r="V185" i="38"/>
  <c r="U185" i="38"/>
  <c r="U181" i="38" s="1"/>
  <c r="T185" i="38"/>
  <c r="S185" i="38"/>
  <c r="R185" i="38"/>
  <c r="Q185" i="38"/>
  <c r="C185" i="38"/>
  <c r="AH184" i="38"/>
  <c r="AG184" i="38"/>
  <c r="AF184" i="38"/>
  <c r="AC184" i="38"/>
  <c r="AB184" i="38"/>
  <c r="AA184" i="38"/>
  <c r="Z184" i="38"/>
  <c r="Y184" i="38"/>
  <c r="Y176" i="38" s="1"/>
  <c r="X184" i="38"/>
  <c r="X180" i="38" s="1"/>
  <c r="W184" i="38"/>
  <c r="V184" i="38"/>
  <c r="U184" i="38"/>
  <c r="AE184" i="38" s="1"/>
  <c r="T184" i="38"/>
  <c r="S184" i="38"/>
  <c r="R184" i="38"/>
  <c r="AD184" i="38" s="1"/>
  <c r="Q184" i="38"/>
  <c r="C184" i="38"/>
  <c r="AC183" i="38"/>
  <c r="Z183" i="38"/>
  <c r="Y183" i="38"/>
  <c r="X183" i="38"/>
  <c r="AF183" i="38" s="1"/>
  <c r="W183" i="38"/>
  <c r="V183" i="38"/>
  <c r="U183" i="38"/>
  <c r="S183" i="38"/>
  <c r="Q183" i="38"/>
  <c r="C183" i="38"/>
  <c r="AD182" i="38"/>
  <c r="AC182" i="38"/>
  <c r="AB182" i="38"/>
  <c r="AA182" i="38"/>
  <c r="AG182" i="38" s="1"/>
  <c r="Z182" i="38"/>
  <c r="Y182" i="38"/>
  <c r="X182" i="38"/>
  <c r="V182" i="38"/>
  <c r="U182" i="38"/>
  <c r="T182" i="38"/>
  <c r="S182" i="38"/>
  <c r="R182" i="38"/>
  <c r="Q182" i="38"/>
  <c r="C182" i="38"/>
  <c r="AC181" i="38"/>
  <c r="AB181" i="38"/>
  <c r="T181" i="38"/>
  <c r="Q181" i="38"/>
  <c r="C181" i="38"/>
  <c r="Z180" i="38"/>
  <c r="Q180" i="38"/>
  <c r="C180" i="38"/>
  <c r="W179" i="38"/>
  <c r="V179" i="38"/>
  <c r="Q179" i="38"/>
  <c r="C179" i="38"/>
  <c r="AA178" i="38"/>
  <c r="Z178" i="38"/>
  <c r="Q178" i="38"/>
  <c r="C178" i="38"/>
  <c r="Q177" i="38"/>
  <c r="C177" i="38"/>
  <c r="Z176" i="38"/>
  <c r="Z190" i="38" s="1"/>
  <c r="S176" i="38"/>
  <c r="Q176" i="38"/>
  <c r="C176" i="38"/>
  <c r="AC175" i="38"/>
  <c r="AC1535" i="38" s="1"/>
  <c r="Q175" i="38"/>
  <c r="C175" i="38"/>
  <c r="Q174" i="38"/>
  <c r="C174" i="38"/>
  <c r="Q173" i="38"/>
  <c r="C173" i="38"/>
  <c r="AD172" i="38"/>
  <c r="AC172" i="38"/>
  <c r="AB172" i="38"/>
  <c r="AA172" i="38"/>
  <c r="AG172" i="38" s="1"/>
  <c r="Z172" i="38"/>
  <c r="Y172" i="38"/>
  <c r="X172" i="38"/>
  <c r="AF172" i="38" s="1"/>
  <c r="W172" i="38"/>
  <c r="AE172" i="38" s="1"/>
  <c r="V172" i="38"/>
  <c r="U172" i="38"/>
  <c r="T172" i="38"/>
  <c r="S172" i="38"/>
  <c r="R172" i="38"/>
  <c r="Q172" i="38"/>
  <c r="C172" i="38"/>
  <c r="AC171" i="38"/>
  <c r="AB171" i="38"/>
  <c r="AA171" i="38"/>
  <c r="AG171" i="38" s="1"/>
  <c r="AI171" i="38" s="1"/>
  <c r="Z171" i="38"/>
  <c r="Y171" i="38"/>
  <c r="X171" i="38"/>
  <c r="AF171" i="38" s="1"/>
  <c r="W171" i="38"/>
  <c r="V171" i="38"/>
  <c r="U171" i="38"/>
  <c r="AE171" i="38" s="1"/>
  <c r="T171" i="38"/>
  <c r="S171" i="38"/>
  <c r="S173" i="38" s="1"/>
  <c r="R171" i="38"/>
  <c r="Q171" i="38"/>
  <c r="C171" i="38"/>
  <c r="AC170" i="38"/>
  <c r="AB170" i="38"/>
  <c r="AG170" i="38" s="1"/>
  <c r="AI170" i="38" s="1"/>
  <c r="AA170" i="38"/>
  <c r="Z170" i="38"/>
  <c r="Y170" i="38"/>
  <c r="X170" i="38"/>
  <c r="AF170" i="38" s="1"/>
  <c r="W170" i="38"/>
  <c r="V170" i="38"/>
  <c r="U170" i="38"/>
  <c r="AE170" i="38" s="1"/>
  <c r="T170" i="38"/>
  <c r="AD170" i="38" s="1"/>
  <c r="AH170" i="38" s="1"/>
  <c r="AJ170" i="38" s="1"/>
  <c r="S170" i="38"/>
  <c r="R170" i="38"/>
  <c r="Q170" i="38"/>
  <c r="C170" i="38"/>
  <c r="Y169" i="38"/>
  <c r="X169" i="38"/>
  <c r="Q169" i="38"/>
  <c r="C169" i="38"/>
  <c r="AE168" i="38"/>
  <c r="AE169" i="38" s="1"/>
  <c r="AC168" i="38"/>
  <c r="AC169" i="38" s="1"/>
  <c r="AB168" i="38"/>
  <c r="AB169" i="38" s="1"/>
  <c r="AA168" i="38"/>
  <c r="Z168" i="38"/>
  <c r="Z169" i="38" s="1"/>
  <c r="Y168" i="38"/>
  <c r="X168" i="38"/>
  <c r="AF168" i="38" s="1"/>
  <c r="AF169" i="38" s="1"/>
  <c r="W168" i="38"/>
  <c r="W169" i="38" s="1"/>
  <c r="V168" i="38"/>
  <c r="V169" i="38" s="1"/>
  <c r="U168" i="38"/>
  <c r="U169" i="38" s="1"/>
  <c r="T168" i="38"/>
  <c r="T169" i="38" s="1"/>
  <c r="S168" i="38"/>
  <c r="S169" i="38" s="1"/>
  <c r="R168" i="38"/>
  <c r="Q168" i="38"/>
  <c r="C168" i="38"/>
  <c r="AG167" i="38"/>
  <c r="AI167" i="38" s="1"/>
  <c r="AF167" i="38"/>
  <c r="AE167" i="38"/>
  <c r="AD167" i="38"/>
  <c r="Q167" i="38"/>
  <c r="C167" i="38"/>
  <c r="AC166" i="38"/>
  <c r="AC173" i="38" s="1"/>
  <c r="Q166" i="38"/>
  <c r="C166" i="38"/>
  <c r="Y165" i="38"/>
  <c r="Q165" i="38"/>
  <c r="C165" i="38"/>
  <c r="Q164" i="38"/>
  <c r="C164" i="38"/>
  <c r="AG163" i="38"/>
  <c r="AI163" i="38" s="1"/>
  <c r="AF163" i="38"/>
  <c r="AE163" i="38"/>
  <c r="AD163" i="38"/>
  <c r="AH163" i="38" s="1"/>
  <c r="AJ163" i="38" s="1"/>
  <c r="Q163" i="38"/>
  <c r="C163" i="38"/>
  <c r="AG162" i="38"/>
  <c r="AI162" i="38" s="1"/>
  <c r="AF162" i="38"/>
  <c r="AE162" i="38"/>
  <c r="AD162" i="38"/>
  <c r="AH162" i="38" s="1"/>
  <c r="AJ162" i="38" s="1"/>
  <c r="Q162" i="38"/>
  <c r="C162" i="38"/>
  <c r="AG161" i="38"/>
  <c r="AF161" i="38"/>
  <c r="AI161" i="38" s="1"/>
  <c r="AI159" i="38" s="1"/>
  <c r="AE161" i="38"/>
  <c r="R161" i="38"/>
  <c r="AD161" i="38" s="1"/>
  <c r="AH161" i="38" s="1"/>
  <c r="AJ161" i="38" s="1"/>
  <c r="Q161" i="38"/>
  <c r="C161" i="38"/>
  <c r="AI160" i="38"/>
  <c r="AG160" i="38"/>
  <c r="AF160" i="38"/>
  <c r="AD160" i="38"/>
  <c r="U160" i="38"/>
  <c r="AE160" i="38" s="1"/>
  <c r="Q160" i="38"/>
  <c r="C160" i="38"/>
  <c r="AC159" i="38"/>
  <c r="AB159" i="38"/>
  <c r="AA159" i="38"/>
  <c r="AG159" i="38" s="1"/>
  <c r="Z159" i="38"/>
  <c r="Y159" i="38"/>
  <c r="X159" i="38"/>
  <c r="AF159" i="38" s="1"/>
  <c r="W159" i="38"/>
  <c r="V159" i="38"/>
  <c r="V15" i="38" s="1"/>
  <c r="V1295" i="38" s="1"/>
  <c r="U159" i="38"/>
  <c r="U15" i="38" s="1"/>
  <c r="U1295" i="38" s="1"/>
  <c r="T159" i="38"/>
  <c r="S159" i="38"/>
  <c r="AD159" i="38" s="1"/>
  <c r="R159" i="38"/>
  <c r="Q159" i="38"/>
  <c r="C159" i="38"/>
  <c r="AG158" i="38"/>
  <c r="AI158" i="38" s="1"/>
  <c r="AF158" i="38"/>
  <c r="AD158" i="38"/>
  <c r="AC158" i="38"/>
  <c r="AC1526" i="38" s="1"/>
  <c r="AB158" i="38"/>
  <c r="AA158" i="38"/>
  <c r="Z158" i="38"/>
  <c r="Y158" i="38"/>
  <c r="X158" i="38"/>
  <c r="W158" i="38"/>
  <c r="W1526" i="38" s="1"/>
  <c r="V158" i="38"/>
  <c r="U158" i="38"/>
  <c r="U1526" i="38" s="1"/>
  <c r="T158" i="38"/>
  <c r="S158" i="38"/>
  <c r="S181" i="38" s="1"/>
  <c r="R158" i="38"/>
  <c r="Q158" i="38"/>
  <c r="C158" i="38"/>
  <c r="AG157" i="38"/>
  <c r="AC157" i="38"/>
  <c r="AB157" i="38"/>
  <c r="AA157" i="38"/>
  <c r="Z157" i="38"/>
  <c r="Z1525" i="38" s="1"/>
  <c r="Y157" i="38"/>
  <c r="X157" i="38"/>
  <c r="X1525" i="38" s="1"/>
  <c r="W157" i="38"/>
  <c r="V157" i="38"/>
  <c r="U157" i="38"/>
  <c r="T157" i="38"/>
  <c r="S157" i="38"/>
  <c r="R157" i="38"/>
  <c r="R1525" i="38" s="1"/>
  <c r="Q157" i="38"/>
  <c r="C157" i="38"/>
  <c r="AC156" i="38"/>
  <c r="AC154" i="38" s="1"/>
  <c r="AB156" i="38"/>
  <c r="AA156" i="38"/>
  <c r="Z156" i="38"/>
  <c r="Y156" i="38"/>
  <c r="Y179" i="38" s="1"/>
  <c r="X156" i="38"/>
  <c r="X166" i="38" s="1"/>
  <c r="W156" i="38"/>
  <c r="W166" i="38" s="1"/>
  <c r="W173" i="38" s="1"/>
  <c r="V156" i="38"/>
  <c r="V166" i="38" s="1"/>
  <c r="V173" i="38" s="1"/>
  <c r="U156" i="38"/>
  <c r="U154" i="38" s="1"/>
  <c r="T156" i="38"/>
  <c r="S156" i="38"/>
  <c r="S166" i="38" s="1"/>
  <c r="R156" i="38"/>
  <c r="Q156" i="38"/>
  <c r="C156" i="38"/>
  <c r="AF155" i="38"/>
  <c r="AE155" i="38"/>
  <c r="AC155" i="38"/>
  <c r="AA155" i="38"/>
  <c r="AA165" i="38" s="1"/>
  <c r="Z155" i="38"/>
  <c r="Z165" i="38" s="1"/>
  <c r="Y155" i="38"/>
  <c r="Y178" i="38" s="1"/>
  <c r="X155" i="38"/>
  <c r="X165" i="38" s="1"/>
  <c r="W155" i="38"/>
  <c r="V155" i="38"/>
  <c r="U155" i="38"/>
  <c r="S155" i="38"/>
  <c r="S165" i="38" s="1"/>
  <c r="R155" i="38"/>
  <c r="R165" i="38" s="1"/>
  <c r="Q155" i="38"/>
  <c r="C155" i="38"/>
  <c r="A155" i="38"/>
  <c r="AA154" i="38"/>
  <c r="Z154" i="38"/>
  <c r="S154" i="38"/>
  <c r="R154" i="38"/>
  <c r="Q154" i="38"/>
  <c r="C154" i="38"/>
  <c r="A154" i="38"/>
  <c r="Q153" i="38"/>
  <c r="C153" i="38"/>
  <c r="Q152" i="38"/>
  <c r="C152" i="38"/>
  <c r="Y151" i="38"/>
  <c r="Q151" i="38"/>
  <c r="C151" i="38"/>
  <c r="AC150" i="38"/>
  <c r="AC151" i="38" s="1"/>
  <c r="AB150" i="38"/>
  <c r="AB151" i="38" s="1"/>
  <c r="AA150" i="38"/>
  <c r="AA151" i="38" s="1"/>
  <c r="V150" i="38"/>
  <c r="V151" i="38" s="1"/>
  <c r="U150" i="38"/>
  <c r="U151" i="38" s="1"/>
  <c r="T150" i="38"/>
  <c r="T151" i="38" s="1"/>
  <c r="S150" i="38"/>
  <c r="S151" i="38" s="1"/>
  <c r="Q150" i="38"/>
  <c r="C150" i="38"/>
  <c r="AG149" i="38"/>
  <c r="AI149" i="38" s="1"/>
  <c r="AF149" i="38"/>
  <c r="AE149" i="38"/>
  <c r="AD149" i="38"/>
  <c r="AH149" i="38" s="1"/>
  <c r="AJ149" i="38" s="1"/>
  <c r="Q149" i="38"/>
  <c r="C149" i="38"/>
  <c r="AI148" i="38"/>
  <c r="AG148" i="38"/>
  <c r="AF148" i="38"/>
  <c r="AE148" i="38"/>
  <c r="AD148" i="38"/>
  <c r="AH148" i="38" s="1"/>
  <c r="Q148" i="38"/>
  <c r="C148" i="38"/>
  <c r="AH147" i="38"/>
  <c r="AG147" i="38"/>
  <c r="AF147" i="38"/>
  <c r="AE147" i="38"/>
  <c r="AD147" i="38"/>
  <c r="AD146" i="38" s="1"/>
  <c r="Q147" i="38"/>
  <c r="C147" i="38"/>
  <c r="AF146" i="38"/>
  <c r="AE146" i="38"/>
  <c r="AC146" i="38"/>
  <c r="AB146" i="38"/>
  <c r="AA146" i="38"/>
  <c r="Z146" i="38"/>
  <c r="Y146" i="38"/>
  <c r="X146" i="38"/>
  <c r="X150" i="38" s="1"/>
  <c r="X151" i="38" s="1"/>
  <c r="W146" i="38"/>
  <c r="V146" i="38"/>
  <c r="U146" i="38"/>
  <c r="T146" i="38"/>
  <c r="S146" i="38"/>
  <c r="R146" i="38"/>
  <c r="Q146" i="38"/>
  <c r="C146" i="38"/>
  <c r="AG145" i="38"/>
  <c r="AC145" i="38"/>
  <c r="AB145" i="38"/>
  <c r="AA145" i="38"/>
  <c r="Z145" i="38"/>
  <c r="Z150" i="38" s="1"/>
  <c r="Z151" i="38" s="1"/>
  <c r="Y145" i="38"/>
  <c r="Y150" i="38" s="1"/>
  <c r="X145" i="38"/>
  <c r="W145" i="38"/>
  <c r="W150" i="38" s="1"/>
  <c r="W151" i="38" s="1"/>
  <c r="V145" i="38"/>
  <c r="U145" i="38"/>
  <c r="AE145" i="38" s="1"/>
  <c r="AE150" i="38" s="1"/>
  <c r="AE151" i="38" s="1"/>
  <c r="T145" i="38"/>
  <c r="S145" i="38"/>
  <c r="R145" i="38"/>
  <c r="R150" i="38" s="1"/>
  <c r="R151" i="38" s="1"/>
  <c r="Q145" i="38"/>
  <c r="C145" i="38"/>
  <c r="AI144" i="38"/>
  <c r="AG144" i="38"/>
  <c r="AF144" i="38"/>
  <c r="AE144" i="38"/>
  <c r="AD144" i="38"/>
  <c r="AH144" i="38" s="1"/>
  <c r="Q144" i="38"/>
  <c r="C144" i="38"/>
  <c r="AG143" i="38"/>
  <c r="AC143" i="38"/>
  <c r="AB143" i="38"/>
  <c r="AA143" i="38"/>
  <c r="Z143" i="38"/>
  <c r="Y143" i="38"/>
  <c r="X143" i="38"/>
  <c r="W143" i="38"/>
  <c r="V143" i="38"/>
  <c r="U143" i="38"/>
  <c r="T143" i="38"/>
  <c r="S143" i="38"/>
  <c r="R143" i="38"/>
  <c r="Q143" i="38"/>
  <c r="C143" i="38"/>
  <c r="W142" i="38"/>
  <c r="V142" i="38"/>
  <c r="U142" i="38"/>
  <c r="T142" i="38"/>
  <c r="Q142" i="38"/>
  <c r="C142" i="38"/>
  <c r="Q141" i="38"/>
  <c r="C141" i="38"/>
  <c r="Q140" i="38"/>
  <c r="C140" i="38"/>
  <c r="Q139" i="38"/>
  <c r="C139" i="38"/>
  <c r="AG138" i="38"/>
  <c r="AI138" i="38" s="1"/>
  <c r="AF138" i="38"/>
  <c r="AE138" i="38"/>
  <c r="AD138" i="38"/>
  <c r="AH138" i="38" s="1"/>
  <c r="Q138" i="38"/>
  <c r="C138" i="38"/>
  <c r="AG137" i="38"/>
  <c r="AI137" i="38" s="1"/>
  <c r="AJ137" i="38" s="1"/>
  <c r="AE137" i="38"/>
  <c r="AD137" i="38"/>
  <c r="AH137" i="38" s="1"/>
  <c r="Z137" i="38"/>
  <c r="AF137" i="38" s="1"/>
  <c r="Q137" i="38"/>
  <c r="C137" i="38"/>
  <c r="Q136" i="38"/>
  <c r="C136" i="38"/>
  <c r="Q135" i="38"/>
  <c r="C135" i="38"/>
  <c r="AG134" i="38"/>
  <c r="AI134" i="38" s="1"/>
  <c r="AJ134" i="38" s="1"/>
  <c r="AF134" i="38"/>
  <c r="AE134" i="38"/>
  <c r="AD134" i="38"/>
  <c r="AH134" i="38" s="1"/>
  <c r="Q134" i="38"/>
  <c r="C134" i="38"/>
  <c r="AI133" i="38"/>
  <c r="AG133" i="38"/>
  <c r="AF133" i="38"/>
  <c r="AE133" i="38"/>
  <c r="T133" i="38"/>
  <c r="T84" i="38" s="1"/>
  <c r="S133" i="38"/>
  <c r="S131" i="38" s="1"/>
  <c r="AD131" i="38" s="1"/>
  <c r="Q133" i="38"/>
  <c r="C133" i="38"/>
  <c r="AF132" i="38"/>
  <c r="AE132" i="38"/>
  <c r="AD132" i="38"/>
  <c r="AH132" i="38" s="1"/>
  <c r="AA132" i="38"/>
  <c r="AA131" i="38" s="1"/>
  <c r="Q132" i="38"/>
  <c r="C132" i="38"/>
  <c r="AC131" i="38"/>
  <c r="AB131" i="38"/>
  <c r="Z131" i="38"/>
  <c r="Y131" i="38"/>
  <c r="X131" i="38"/>
  <c r="AF131" i="38" s="1"/>
  <c r="W131" i="38"/>
  <c r="V131" i="38"/>
  <c r="U131" i="38"/>
  <c r="AE131" i="38" s="1"/>
  <c r="T131" i="38"/>
  <c r="R131" i="38"/>
  <c r="Q131" i="38"/>
  <c r="C131" i="38"/>
  <c r="AG130" i="38"/>
  <c r="AC130" i="38"/>
  <c r="AB130" i="38"/>
  <c r="AA130" i="38"/>
  <c r="Z130" i="38"/>
  <c r="Y130" i="38"/>
  <c r="Y127" i="38" s="1"/>
  <c r="X130" i="38"/>
  <c r="AF130" i="38" s="1"/>
  <c r="W130" i="38"/>
  <c r="W127" i="38" s="1"/>
  <c r="V130" i="38"/>
  <c r="V127" i="38" s="1"/>
  <c r="U130" i="38"/>
  <c r="T130" i="38"/>
  <c r="S130" i="38"/>
  <c r="R130" i="38"/>
  <c r="AD130" i="38" s="1"/>
  <c r="Q130" i="38"/>
  <c r="C130" i="38"/>
  <c r="AC129" i="38"/>
  <c r="Y129" i="38"/>
  <c r="W129" i="38"/>
  <c r="V129" i="38"/>
  <c r="U129" i="38"/>
  <c r="T129" i="38"/>
  <c r="T126" i="38" s="1"/>
  <c r="S129" i="38"/>
  <c r="S123" i="38" s="1"/>
  <c r="Q129" i="38"/>
  <c r="C129" i="38"/>
  <c r="AF128" i="38"/>
  <c r="AD128" i="38"/>
  <c r="AC128" i="38"/>
  <c r="AB128" i="38"/>
  <c r="AA128" i="38"/>
  <c r="AG128" i="38" s="1"/>
  <c r="Z128" i="38"/>
  <c r="Z125" i="38" s="1"/>
  <c r="Y128" i="38"/>
  <c r="X128" i="38"/>
  <c r="W128" i="38"/>
  <c r="W123" i="38" s="1"/>
  <c r="V128" i="38"/>
  <c r="V125" i="38" s="1"/>
  <c r="U128" i="38"/>
  <c r="T128" i="38"/>
  <c r="S128" i="38"/>
  <c r="R128" i="38"/>
  <c r="R125" i="38" s="1"/>
  <c r="Q128" i="38"/>
  <c r="C128" i="38"/>
  <c r="Q127" i="38"/>
  <c r="C127" i="38"/>
  <c r="W126" i="38"/>
  <c r="Q126" i="38"/>
  <c r="C126" i="38"/>
  <c r="AB125" i="38"/>
  <c r="T125" i="38"/>
  <c r="Q125" i="38"/>
  <c r="C125" i="38"/>
  <c r="Q124" i="38"/>
  <c r="C124" i="38"/>
  <c r="T123" i="38"/>
  <c r="Q123" i="38"/>
  <c r="C123" i="38"/>
  <c r="AG122" i="38"/>
  <c r="AE122" i="38"/>
  <c r="AC122" i="38"/>
  <c r="AB122" i="38"/>
  <c r="AA122" i="38"/>
  <c r="Z122" i="38"/>
  <c r="Y122" i="38"/>
  <c r="Y1491" i="38" s="1"/>
  <c r="X122" i="38"/>
  <c r="X1491" i="38" s="1"/>
  <c r="W122" i="38"/>
  <c r="W1491" i="38" s="1"/>
  <c r="V122" i="38"/>
  <c r="U122" i="38"/>
  <c r="T122" i="38"/>
  <c r="S122" i="38"/>
  <c r="R122" i="38"/>
  <c r="Q122" i="38"/>
  <c r="C122" i="38"/>
  <c r="Q121" i="38"/>
  <c r="C121" i="38"/>
  <c r="AD120" i="38"/>
  <c r="AC120" i="38"/>
  <c r="AB120" i="38"/>
  <c r="AG120" i="38" s="1"/>
  <c r="AI120" i="38" s="1"/>
  <c r="AA120" i="38"/>
  <c r="Z120" i="38"/>
  <c r="Y120" i="38"/>
  <c r="X120" i="38"/>
  <c r="AF120" i="38" s="1"/>
  <c r="W120" i="38"/>
  <c r="V120" i="38"/>
  <c r="U120" i="38"/>
  <c r="AE120" i="38" s="1"/>
  <c r="T120" i="38"/>
  <c r="S120" i="38"/>
  <c r="R120" i="38"/>
  <c r="Q120" i="38"/>
  <c r="C120" i="38"/>
  <c r="AG119" i="38"/>
  <c r="AC119" i="38"/>
  <c r="AB119" i="38"/>
  <c r="AA119" i="38"/>
  <c r="Z119" i="38"/>
  <c r="Y119" i="38"/>
  <c r="AF119" i="38" s="1"/>
  <c r="X119" i="38"/>
  <c r="W119" i="38"/>
  <c r="V119" i="38"/>
  <c r="U119" i="38"/>
  <c r="AE119" i="38" s="1"/>
  <c r="T119" i="38"/>
  <c r="S119" i="38"/>
  <c r="R119" i="38"/>
  <c r="AD119" i="38" s="1"/>
  <c r="AH119" i="38" s="1"/>
  <c r="Q119" i="38"/>
  <c r="C119" i="38"/>
  <c r="AI118" i="38"/>
  <c r="AC118" i="38"/>
  <c r="AB118" i="38"/>
  <c r="AA118" i="38"/>
  <c r="AG118" i="38" s="1"/>
  <c r="Z118" i="38"/>
  <c r="Y118" i="38"/>
  <c r="X118" i="38"/>
  <c r="AF118" i="38" s="1"/>
  <c r="W118" i="38"/>
  <c r="V118" i="38"/>
  <c r="U118" i="38"/>
  <c r="AE118" i="38" s="1"/>
  <c r="T118" i="38"/>
  <c r="S118" i="38"/>
  <c r="AD118" i="38" s="1"/>
  <c r="R118" i="38"/>
  <c r="Q118" i="38"/>
  <c r="C118" i="38"/>
  <c r="AC117" i="38"/>
  <c r="X117" i="38"/>
  <c r="W117" i="38"/>
  <c r="V117" i="38"/>
  <c r="U117" i="38"/>
  <c r="Q117" i="38"/>
  <c r="C117" i="38"/>
  <c r="AG116" i="38"/>
  <c r="AC116" i="38"/>
  <c r="AB116" i="38"/>
  <c r="AB117" i="38" s="1"/>
  <c r="AA116" i="38"/>
  <c r="AA117" i="38" s="1"/>
  <c r="Z116" i="38"/>
  <c r="Z117" i="38" s="1"/>
  <c r="Y116" i="38"/>
  <c r="Y117" i="38" s="1"/>
  <c r="X116" i="38"/>
  <c r="W116" i="38"/>
  <c r="V116" i="38"/>
  <c r="U116" i="38"/>
  <c r="AE116" i="38" s="1"/>
  <c r="AE117" i="38" s="1"/>
  <c r="T116" i="38"/>
  <c r="T117" i="38" s="1"/>
  <c r="S116" i="38"/>
  <c r="S117" i="38" s="1"/>
  <c r="R116" i="38"/>
  <c r="Q116" i="38"/>
  <c r="C116" i="38"/>
  <c r="AJ115" i="38"/>
  <c r="AG115" i="38"/>
  <c r="AI115" i="38" s="1"/>
  <c r="AF115" i="38"/>
  <c r="AE115" i="38"/>
  <c r="AD115" i="38"/>
  <c r="AH115" i="38" s="1"/>
  <c r="Q115" i="38"/>
  <c r="C115" i="38"/>
  <c r="T114" i="38"/>
  <c r="T121" i="38" s="1"/>
  <c r="Q114" i="38"/>
  <c r="C114" i="38"/>
  <c r="AG113" i="38"/>
  <c r="AD113" i="38"/>
  <c r="AC113" i="38"/>
  <c r="AB113" i="38"/>
  <c r="AA113" i="38"/>
  <c r="Z113" i="38"/>
  <c r="Y113" i="38"/>
  <c r="X113" i="38"/>
  <c r="AF113" i="38" s="1"/>
  <c r="W113" i="38"/>
  <c r="W111" i="38" s="1"/>
  <c r="V113" i="38"/>
  <c r="V111" i="38" s="1"/>
  <c r="U113" i="38"/>
  <c r="T113" i="38"/>
  <c r="S113" i="38"/>
  <c r="R113" i="38"/>
  <c r="Q113" i="38"/>
  <c r="C113" i="38"/>
  <c r="AG112" i="38"/>
  <c r="AC112" i="38"/>
  <c r="AB112" i="38"/>
  <c r="AA112" i="38"/>
  <c r="AA111" i="38" s="1"/>
  <c r="Z112" i="38"/>
  <c r="Z111" i="38" s="1"/>
  <c r="Y112" i="38"/>
  <c r="Y111" i="38" s="1"/>
  <c r="X112" i="38"/>
  <c r="AF112" i="38" s="1"/>
  <c r="W112" i="38"/>
  <c r="V112" i="38"/>
  <c r="U112" i="38"/>
  <c r="AE112" i="38" s="1"/>
  <c r="T112" i="38"/>
  <c r="S112" i="38"/>
  <c r="S111" i="38" s="1"/>
  <c r="R112" i="38"/>
  <c r="Q112" i="38"/>
  <c r="C112" i="38"/>
  <c r="AC111" i="38"/>
  <c r="AB111" i="38"/>
  <c r="U111" i="38"/>
  <c r="T111" i="38"/>
  <c r="Q111" i="38"/>
  <c r="C111" i="38"/>
  <c r="Q110" i="38"/>
  <c r="C110" i="38"/>
  <c r="AI109" i="38"/>
  <c r="AH109" i="38"/>
  <c r="AJ109" i="38" s="1"/>
  <c r="AG109" i="38"/>
  <c r="AF109" i="38"/>
  <c r="AE109" i="38"/>
  <c r="AD109" i="38"/>
  <c r="Q109" i="38"/>
  <c r="C109" i="38"/>
  <c r="AH108" i="38"/>
  <c r="AJ108" i="38" s="1"/>
  <c r="AG108" i="38"/>
  <c r="AI108" i="38" s="1"/>
  <c r="AF108" i="38"/>
  <c r="AE108" i="38"/>
  <c r="AD108" i="38"/>
  <c r="Q108" i="38"/>
  <c r="C108" i="38"/>
  <c r="AH107" i="38"/>
  <c r="AJ107" i="38" s="1"/>
  <c r="AJ106" i="38" s="1"/>
  <c r="AG107" i="38"/>
  <c r="AI107" i="38" s="1"/>
  <c r="AF107" i="38"/>
  <c r="AE107" i="38"/>
  <c r="AD107" i="38"/>
  <c r="Q107" i="38"/>
  <c r="C107" i="38"/>
  <c r="AG106" i="38"/>
  <c r="AF106" i="38"/>
  <c r="AE106" i="38"/>
  <c r="AC106" i="38"/>
  <c r="AB106" i="38"/>
  <c r="AA106" i="38"/>
  <c r="Z106" i="38"/>
  <c r="Y106" i="38"/>
  <c r="X106" i="38"/>
  <c r="W106" i="38"/>
  <c r="W80" i="38" s="1"/>
  <c r="W15" i="38" s="1"/>
  <c r="V106" i="38"/>
  <c r="U106" i="38"/>
  <c r="T106" i="38"/>
  <c r="S106" i="38"/>
  <c r="R106" i="38"/>
  <c r="AD106" i="38" s="1"/>
  <c r="Q106" i="38"/>
  <c r="C106" i="38"/>
  <c r="AC105" i="38"/>
  <c r="AC127" i="38" s="1"/>
  <c r="AB105" i="38"/>
  <c r="AB127" i="38" s="1"/>
  <c r="AA105" i="38"/>
  <c r="Z105" i="38"/>
  <c r="Z127" i="38" s="1"/>
  <c r="Y105" i="38"/>
  <c r="X105" i="38"/>
  <c r="W105" i="38"/>
  <c r="V105" i="38"/>
  <c r="U105" i="38"/>
  <c r="AE105" i="38" s="1"/>
  <c r="T105" i="38"/>
  <c r="T127" i="38" s="1"/>
  <c r="S105" i="38"/>
  <c r="S127" i="38" s="1"/>
  <c r="R105" i="38"/>
  <c r="AD105" i="38" s="1"/>
  <c r="AH105" i="38" s="1"/>
  <c r="Q105" i="38"/>
  <c r="C105" i="38"/>
  <c r="X104" i="38"/>
  <c r="W104" i="38"/>
  <c r="W114" i="38" s="1"/>
  <c r="W121" i="38" s="1"/>
  <c r="V104" i="38"/>
  <c r="T104" i="38"/>
  <c r="Q104" i="38"/>
  <c r="C104" i="38"/>
  <c r="AG103" i="38"/>
  <c r="AC103" i="38"/>
  <c r="AB103" i="38"/>
  <c r="AA103" i="38"/>
  <c r="AA125" i="38" s="1"/>
  <c r="Z103" i="38"/>
  <c r="Y103" i="38"/>
  <c r="X103" i="38"/>
  <c r="X102" i="38" s="1"/>
  <c r="W103" i="38"/>
  <c r="V103" i="38"/>
  <c r="U103" i="38"/>
  <c r="AE103" i="38" s="1"/>
  <c r="T103" i="38"/>
  <c r="S103" i="38"/>
  <c r="S125" i="38" s="1"/>
  <c r="R103" i="38"/>
  <c r="Q103" i="38"/>
  <c r="C103" i="38"/>
  <c r="A103" i="38"/>
  <c r="A104" i="38" s="1"/>
  <c r="T102" i="38"/>
  <c r="T79" i="38" s="1"/>
  <c r="Q102" i="38"/>
  <c r="C102" i="38"/>
  <c r="Q101" i="38"/>
  <c r="C101" i="38"/>
  <c r="Q100" i="38"/>
  <c r="C100" i="38"/>
  <c r="AH99" i="38"/>
  <c r="AG99" i="38"/>
  <c r="AI99" i="38" s="1"/>
  <c r="AC99" i="38"/>
  <c r="AB99" i="38"/>
  <c r="AA99" i="38"/>
  <c r="Z99" i="38"/>
  <c r="Z95" i="38" s="1"/>
  <c r="Y99" i="38"/>
  <c r="Y95" i="38" s="1"/>
  <c r="X99" i="38"/>
  <c r="AF99" i="38" s="1"/>
  <c r="W99" i="38"/>
  <c r="V99" i="38"/>
  <c r="U99" i="38"/>
  <c r="AE99" i="38" s="1"/>
  <c r="T99" i="38"/>
  <c r="S99" i="38"/>
  <c r="R99" i="38"/>
  <c r="AD99" i="38" s="1"/>
  <c r="Q99" i="38"/>
  <c r="C99" i="38"/>
  <c r="AC98" i="38"/>
  <c r="AC95" i="38" s="1"/>
  <c r="AC430" i="38" s="1"/>
  <c r="AB98" i="38"/>
  <c r="AA98" i="38"/>
  <c r="Z98" i="38"/>
  <c r="Y98" i="38"/>
  <c r="X98" i="38"/>
  <c r="AF98" i="38" s="1"/>
  <c r="W98" i="38"/>
  <c r="V98" i="38"/>
  <c r="V95" i="38" s="1"/>
  <c r="U98" i="38"/>
  <c r="T98" i="38"/>
  <c r="T95" i="38" s="1"/>
  <c r="T430" i="38" s="1"/>
  <c r="Q98" i="38"/>
  <c r="C98" i="38"/>
  <c r="AF97" i="38"/>
  <c r="AE97" i="38"/>
  <c r="AC97" i="38"/>
  <c r="AB97" i="38"/>
  <c r="Z97" i="38"/>
  <c r="Y97" i="38"/>
  <c r="X97" i="38"/>
  <c r="W97" i="38"/>
  <c r="W95" i="38" s="1"/>
  <c r="V97" i="38"/>
  <c r="U97" i="38"/>
  <c r="T97" i="38"/>
  <c r="S97" i="38"/>
  <c r="Q97" i="38"/>
  <c r="C97" i="38"/>
  <c r="Q96" i="38"/>
  <c r="C96" i="38"/>
  <c r="X95" i="38"/>
  <c r="Q95" i="38"/>
  <c r="C95" i="38"/>
  <c r="AI94" i="38"/>
  <c r="AH94" i="38"/>
  <c r="AJ94" i="38" s="1"/>
  <c r="AG94" i="38"/>
  <c r="AF94" i="38"/>
  <c r="AE94" i="38"/>
  <c r="AD94" i="38"/>
  <c r="Q94" i="38"/>
  <c r="C94" i="38"/>
  <c r="AH93" i="38"/>
  <c r="AG93" i="38"/>
  <c r="AI93" i="38" s="1"/>
  <c r="AF93" i="38"/>
  <c r="AE93" i="38"/>
  <c r="AD93" i="38"/>
  <c r="Q93" i="38"/>
  <c r="C93" i="38"/>
  <c r="AH92" i="38"/>
  <c r="AG92" i="38"/>
  <c r="AF92" i="38"/>
  <c r="AE92" i="38"/>
  <c r="AD92" i="38"/>
  <c r="Q92" i="38"/>
  <c r="C92" i="38"/>
  <c r="AG91" i="38"/>
  <c r="AF91" i="38"/>
  <c r="AE91" i="38"/>
  <c r="AC91" i="38"/>
  <c r="AC429" i="38" s="1"/>
  <c r="AB91" i="38"/>
  <c r="AB429" i="38" s="1"/>
  <c r="AA91" i="38"/>
  <c r="AA429" i="38" s="1"/>
  <c r="Z91" i="38"/>
  <c r="Z429" i="38" s="1"/>
  <c r="Y91" i="38"/>
  <c r="Y429" i="38" s="1"/>
  <c r="X91" i="38"/>
  <c r="X429" i="38" s="1"/>
  <c r="W91" i="38"/>
  <c r="W429" i="38" s="1"/>
  <c r="V91" i="38"/>
  <c r="V429" i="38" s="1"/>
  <c r="U91" i="38"/>
  <c r="U429" i="38" s="1"/>
  <c r="T91" i="38"/>
  <c r="T429" i="38" s="1"/>
  <c r="S91" i="38"/>
  <c r="S429" i="38" s="1"/>
  <c r="R91" i="38"/>
  <c r="R429" i="38" s="1"/>
  <c r="Q91" i="38"/>
  <c r="C91" i="38"/>
  <c r="A91" i="38"/>
  <c r="Q90" i="38"/>
  <c r="C90" i="38"/>
  <c r="Q89" i="38"/>
  <c r="C89" i="38"/>
  <c r="AG88" i="38"/>
  <c r="AF88" i="38"/>
  <c r="AC88" i="38"/>
  <c r="AB88" i="38"/>
  <c r="AA88" i="38"/>
  <c r="AA27" i="38" s="1"/>
  <c r="Z88" i="38"/>
  <c r="Z27" i="38" s="1"/>
  <c r="Z1307" i="38" s="1"/>
  <c r="Y88" i="38"/>
  <c r="Y27" i="38" s="1"/>
  <c r="X88" i="38"/>
  <c r="X27" i="38" s="1"/>
  <c r="W88" i="38"/>
  <c r="V88" i="38"/>
  <c r="U88" i="38"/>
  <c r="AE88" i="38" s="1"/>
  <c r="T88" i="38"/>
  <c r="S88" i="38"/>
  <c r="S27" i="38" s="1"/>
  <c r="S1307" i="38" s="1"/>
  <c r="R88" i="38"/>
  <c r="AD88" i="38" s="1"/>
  <c r="AH88" i="38" s="1"/>
  <c r="Q88" i="38"/>
  <c r="C88" i="38"/>
  <c r="AC87" i="38"/>
  <c r="AC26" i="38" s="1"/>
  <c r="AC1306" i="38" s="1"/>
  <c r="AB87" i="38"/>
  <c r="AB26" i="38" s="1"/>
  <c r="AB1306" i="38" s="1"/>
  <c r="AA87" i="38"/>
  <c r="Z87" i="38"/>
  <c r="Z26" i="38" s="1"/>
  <c r="Y87" i="38"/>
  <c r="X87" i="38"/>
  <c r="W87" i="38"/>
  <c r="V87" i="38"/>
  <c r="U87" i="38"/>
  <c r="AE87" i="38" s="1"/>
  <c r="T87" i="38"/>
  <c r="T26" i="38" s="1"/>
  <c r="T1306" i="38" s="1"/>
  <c r="S87" i="38"/>
  <c r="S26" i="38" s="1"/>
  <c r="R87" i="38"/>
  <c r="Q87" i="38"/>
  <c r="C87" i="38"/>
  <c r="Q86" i="38"/>
  <c r="C86" i="38"/>
  <c r="AG85" i="38"/>
  <c r="AD85" i="38"/>
  <c r="AC85" i="38"/>
  <c r="AB85" i="38"/>
  <c r="AA85" i="38"/>
  <c r="Z85" i="38"/>
  <c r="Y85" i="38"/>
  <c r="Y23" i="38" s="1"/>
  <c r="X85" i="38"/>
  <c r="AF85" i="38" s="1"/>
  <c r="W85" i="38"/>
  <c r="V85" i="38"/>
  <c r="AE85" i="38" s="1"/>
  <c r="U85" i="38"/>
  <c r="T85" i="38"/>
  <c r="S85" i="38"/>
  <c r="R85" i="38"/>
  <c r="Q85" i="38"/>
  <c r="C85" i="38"/>
  <c r="AG84" i="38"/>
  <c r="AC84" i="38"/>
  <c r="AC1512" i="38" s="1"/>
  <c r="AB84" i="38"/>
  <c r="AB1512" i="38" s="1"/>
  <c r="AA84" i="38"/>
  <c r="AA1512" i="38" s="1"/>
  <c r="AG1512" i="38" s="1"/>
  <c r="Z84" i="38"/>
  <c r="Z1512" i="38" s="1"/>
  <c r="Y84" i="38"/>
  <c r="X84" i="38"/>
  <c r="AF84" i="38" s="1"/>
  <c r="W84" i="38"/>
  <c r="V84" i="38"/>
  <c r="U84" i="38"/>
  <c r="U1512" i="38" s="1"/>
  <c r="R84" i="38"/>
  <c r="R1512" i="38" s="1"/>
  <c r="Q84" i="38"/>
  <c r="C84" i="38"/>
  <c r="AC83" i="38"/>
  <c r="AC21" i="38" s="1"/>
  <c r="AB83" i="38"/>
  <c r="AB21" i="38" s="1"/>
  <c r="AA83" i="38"/>
  <c r="Z83" i="38"/>
  <c r="Z82" i="38" s="1"/>
  <c r="Y83" i="38"/>
  <c r="X83" i="38"/>
  <c r="W83" i="38"/>
  <c r="V83" i="38"/>
  <c r="U83" i="38"/>
  <c r="AE83" i="38" s="1"/>
  <c r="T83" i="38"/>
  <c r="T21" i="38" s="1"/>
  <c r="S83" i="38"/>
  <c r="R83" i="38"/>
  <c r="Q83" i="38"/>
  <c r="C83" i="38"/>
  <c r="AC82" i="38"/>
  <c r="AB82" i="38"/>
  <c r="U82" i="38"/>
  <c r="T82" i="38"/>
  <c r="Q82" i="38"/>
  <c r="C82" i="38"/>
  <c r="Q81" i="38"/>
  <c r="C81" i="38"/>
  <c r="AG80" i="38"/>
  <c r="AC80" i="38"/>
  <c r="AB80" i="38"/>
  <c r="AA80" i="38"/>
  <c r="Z80" i="38"/>
  <c r="Z15" i="38" s="1"/>
  <c r="Z1295" i="38" s="1"/>
  <c r="Y80" i="38"/>
  <c r="X80" i="38"/>
  <c r="AF80" i="38" s="1"/>
  <c r="V80" i="38"/>
  <c r="U80" i="38"/>
  <c r="T80" i="38"/>
  <c r="S80" i="38"/>
  <c r="R80" i="38"/>
  <c r="AD80" i="38" s="1"/>
  <c r="Q80" i="38"/>
  <c r="C80" i="38"/>
  <c r="Q79" i="38"/>
  <c r="C79" i="38"/>
  <c r="BH78" i="38"/>
  <c r="BG78" i="38"/>
  <c r="BF78" i="38"/>
  <c r="BE78" i="38"/>
  <c r="BD78" i="38"/>
  <c r="BC78" i="38"/>
  <c r="BB78" i="38"/>
  <c r="AZ78" i="38"/>
  <c r="AY78" i="38"/>
  <c r="AX78" i="38"/>
  <c r="AW78" i="38"/>
  <c r="AV78" i="38"/>
  <c r="AU78" i="38"/>
  <c r="AT78" i="38"/>
  <c r="AR78" i="38"/>
  <c r="AQ78" i="38"/>
  <c r="AP78" i="38"/>
  <c r="AO78" i="38"/>
  <c r="AN78" i="38"/>
  <c r="AM78" i="38"/>
  <c r="AL78" i="38"/>
  <c r="AJ78" i="38"/>
  <c r="AI78" i="38"/>
  <c r="AH78" i="38"/>
  <c r="AG78" i="38"/>
  <c r="AF78" i="38"/>
  <c r="AE78" i="38"/>
  <c r="AD78" i="38"/>
  <c r="Q78" i="38"/>
  <c r="C78" i="38"/>
  <c r="A78" i="38"/>
  <c r="Q77" i="38"/>
  <c r="C77" i="38"/>
  <c r="A77" i="38"/>
  <c r="Q76" i="38"/>
  <c r="C76" i="38"/>
  <c r="A76" i="38"/>
  <c r="Q75" i="38"/>
  <c r="C75" i="38"/>
  <c r="A75" i="38"/>
  <c r="Q74" i="38"/>
  <c r="C74" i="38"/>
  <c r="A74" i="38"/>
  <c r="AB73" i="38"/>
  <c r="T73" i="38"/>
  <c r="Q73" i="38"/>
  <c r="C73" i="38"/>
  <c r="A73" i="38"/>
  <c r="AG72" i="38"/>
  <c r="AI72" i="38" s="1"/>
  <c r="AF72" i="38"/>
  <c r="AE72" i="38"/>
  <c r="AD72" i="38"/>
  <c r="Q72" i="38"/>
  <c r="C72" i="38"/>
  <c r="A72" i="38"/>
  <c r="AG71" i="38"/>
  <c r="AI71" i="38" s="1"/>
  <c r="AF71" i="38"/>
  <c r="AE71" i="38"/>
  <c r="AD71" i="38"/>
  <c r="AH71" i="38" s="1"/>
  <c r="Q71" i="38"/>
  <c r="C71" i="38"/>
  <c r="A71" i="38"/>
  <c r="AG70" i="38"/>
  <c r="AI70" i="38" s="1"/>
  <c r="AF70" i="38"/>
  <c r="AE70" i="38"/>
  <c r="AD70" i="38"/>
  <c r="AH70" i="38" s="1"/>
  <c r="AJ70" i="38" s="1"/>
  <c r="Q70" i="38"/>
  <c r="C70" i="38"/>
  <c r="A70" i="38"/>
  <c r="AI69" i="38"/>
  <c r="AJ69" i="38" s="1"/>
  <c r="AG69" i="38"/>
  <c r="AF69" i="38"/>
  <c r="AE69" i="38"/>
  <c r="AD69" i="38"/>
  <c r="AH69" i="38" s="1"/>
  <c r="Q69" i="38"/>
  <c r="C69" i="38"/>
  <c r="A69" i="38"/>
  <c r="AB68" i="38"/>
  <c r="AA68" i="38"/>
  <c r="AA73" i="38" s="1"/>
  <c r="Z68" i="38"/>
  <c r="Z73" i="38" s="1"/>
  <c r="T68" i="38"/>
  <c r="Q68" i="38"/>
  <c r="C68" i="38"/>
  <c r="A68" i="38"/>
  <c r="W67" i="38"/>
  <c r="V67" i="38"/>
  <c r="Q67" i="38"/>
  <c r="C67" i="38"/>
  <c r="A67" i="38"/>
  <c r="AH66" i="38"/>
  <c r="AG66" i="38"/>
  <c r="AI66" i="38" s="1"/>
  <c r="AF66" i="38"/>
  <c r="AE66" i="38"/>
  <c r="AD66" i="38"/>
  <c r="Q66" i="38"/>
  <c r="C66" i="38"/>
  <c r="A66" i="38"/>
  <c r="AG65" i="38"/>
  <c r="AI65" i="38" s="1"/>
  <c r="AF65" i="38"/>
  <c r="AE65" i="38"/>
  <c r="AH65" i="38" s="1"/>
  <c r="AD65" i="38"/>
  <c r="Q65" i="38"/>
  <c r="C65" i="38"/>
  <c r="A65" i="38"/>
  <c r="AG64" i="38"/>
  <c r="AI64" i="38" s="1"/>
  <c r="AF64" i="38"/>
  <c r="AE64" i="38"/>
  <c r="AD64" i="38"/>
  <c r="AH64" i="38" s="1"/>
  <c r="AJ64" i="38" s="1"/>
  <c r="Q64" i="38"/>
  <c r="C64" i="38"/>
  <c r="A64" i="38"/>
  <c r="AG63" i="38"/>
  <c r="AI63" i="38" s="1"/>
  <c r="AF63" i="38"/>
  <c r="AE63" i="38"/>
  <c r="AD63" i="38"/>
  <c r="AH63" i="38" s="1"/>
  <c r="AJ63" i="38" s="1"/>
  <c r="Q63" i="38"/>
  <c r="C63" i="38"/>
  <c r="A63" i="38"/>
  <c r="AC62" i="38"/>
  <c r="AC67" i="38" s="1"/>
  <c r="AB62" i="38"/>
  <c r="AB67" i="38" s="1"/>
  <c r="W62" i="38"/>
  <c r="V62" i="38"/>
  <c r="Q62" i="38"/>
  <c r="C62" i="38"/>
  <c r="A62" i="38"/>
  <c r="Q61" i="38"/>
  <c r="C61" i="38"/>
  <c r="A61" i="38"/>
  <c r="Q60" i="38"/>
  <c r="C60" i="38"/>
  <c r="A60" i="38"/>
  <c r="AC59" i="38"/>
  <c r="AC57" i="38" s="1"/>
  <c r="V59" i="38"/>
  <c r="V57" i="38" s="1"/>
  <c r="U59" i="38"/>
  <c r="Q59" i="38"/>
  <c r="C59" i="38"/>
  <c r="A59" i="38"/>
  <c r="AC58" i="38"/>
  <c r="AB58" i="38"/>
  <c r="X58" i="38"/>
  <c r="X57" i="38" s="1"/>
  <c r="W58" i="38"/>
  <c r="V58" i="38"/>
  <c r="U58" i="38"/>
  <c r="AE58" i="38" s="1"/>
  <c r="T58" i="38"/>
  <c r="Q58" i="38"/>
  <c r="C58" i="38"/>
  <c r="A58" i="38"/>
  <c r="AB57" i="38"/>
  <c r="T57" i="38"/>
  <c r="Q57" i="38"/>
  <c r="C57" i="38"/>
  <c r="A57" i="38"/>
  <c r="Q56" i="38"/>
  <c r="C56" i="38"/>
  <c r="A56" i="38"/>
  <c r="Q55" i="38"/>
  <c r="C55" i="38"/>
  <c r="A55" i="38"/>
  <c r="AG54" i="38"/>
  <c r="AI54" i="38" s="1"/>
  <c r="AJ54" i="38" s="1"/>
  <c r="AF54" i="38"/>
  <c r="AE54" i="38"/>
  <c r="AD54" i="38"/>
  <c r="AH54" i="38" s="1"/>
  <c r="Q54" i="38"/>
  <c r="C54" i="38"/>
  <c r="A54" i="38"/>
  <c r="AI53" i="38"/>
  <c r="AG53" i="38"/>
  <c r="AF53" i="38"/>
  <c r="AE53" i="38"/>
  <c r="AD53" i="38"/>
  <c r="AH53" i="38" s="1"/>
  <c r="AJ53" i="38" s="1"/>
  <c r="Q53" i="38"/>
  <c r="C53" i="38"/>
  <c r="A53" i="38"/>
  <c r="AI52" i="38"/>
  <c r="AH52" i="38"/>
  <c r="AJ52" i="38" s="1"/>
  <c r="AG52" i="38"/>
  <c r="AF52" i="38"/>
  <c r="AE52" i="38"/>
  <c r="AD52" i="38"/>
  <c r="Q52" i="38"/>
  <c r="C52" i="38"/>
  <c r="A52" i="38"/>
  <c r="AH51" i="38"/>
  <c r="AG51" i="38"/>
  <c r="AI51" i="38" s="1"/>
  <c r="AF51" i="38"/>
  <c r="AE51" i="38"/>
  <c r="AD51" i="38"/>
  <c r="Q51" i="38"/>
  <c r="C51" i="38"/>
  <c r="A51" i="38"/>
  <c r="AH50" i="38"/>
  <c r="AJ50" i="38" s="1"/>
  <c r="AG50" i="38"/>
  <c r="AI50" i="38" s="1"/>
  <c r="AF50" i="38"/>
  <c r="AE50" i="38"/>
  <c r="AD50" i="38"/>
  <c r="Q50" i="38"/>
  <c r="C50" i="38"/>
  <c r="A50" i="38"/>
  <c r="AG49" i="38"/>
  <c r="AF49" i="38"/>
  <c r="AE49" i="38"/>
  <c r="AH49" i="38" s="1"/>
  <c r="AD49" i="38"/>
  <c r="Q49" i="38"/>
  <c r="C49" i="38"/>
  <c r="A49" i="38"/>
  <c r="AE48" i="38"/>
  <c r="AD48" i="38"/>
  <c r="AC48" i="38"/>
  <c r="AB48" i="38"/>
  <c r="AA48" i="38"/>
  <c r="Z48" i="38"/>
  <c r="Y48" i="38"/>
  <c r="X48" i="38"/>
  <c r="W48" i="38"/>
  <c r="V48" i="38"/>
  <c r="U48" i="38"/>
  <c r="T48" i="38"/>
  <c r="S48" i="38"/>
  <c r="R48" i="38"/>
  <c r="Q48" i="38"/>
  <c r="C48" i="38"/>
  <c r="A48" i="38"/>
  <c r="AH47" i="38"/>
  <c r="AJ47" i="38" s="1"/>
  <c r="AG47" i="38"/>
  <c r="AI47" i="38" s="1"/>
  <c r="AF47" i="38"/>
  <c r="AE47" i="38"/>
  <c r="AD47" i="38"/>
  <c r="Q47" i="38"/>
  <c r="C47" i="38"/>
  <c r="A47" i="38"/>
  <c r="AH46" i="38"/>
  <c r="AG46" i="38"/>
  <c r="AF46" i="38"/>
  <c r="AF1466" i="38" s="1"/>
  <c r="AE46" i="38"/>
  <c r="AD46" i="38"/>
  <c r="Q46" i="38"/>
  <c r="C46" i="38"/>
  <c r="A46" i="38"/>
  <c r="AG45" i="38"/>
  <c r="AI45" i="38" s="1"/>
  <c r="AF45" i="38"/>
  <c r="AE45" i="38"/>
  <c r="AH45" i="38" s="1"/>
  <c r="AD45" i="38"/>
  <c r="Y45" i="38"/>
  <c r="Q45" i="38"/>
  <c r="C45" i="38"/>
  <c r="A45" i="38"/>
  <c r="AF44" i="38"/>
  <c r="AE44" i="38"/>
  <c r="AC44" i="38"/>
  <c r="AB44" i="38"/>
  <c r="AB59" i="38" s="1"/>
  <c r="AA44" i="38"/>
  <c r="AA59" i="38" s="1"/>
  <c r="AG59" i="38" s="1"/>
  <c r="Z44" i="38"/>
  <c r="Z59" i="38" s="1"/>
  <c r="Y44" i="38"/>
  <c r="Y59" i="38" s="1"/>
  <c r="X44" i="38"/>
  <c r="X59" i="38" s="1"/>
  <c r="W44" i="38"/>
  <c r="W59" i="38" s="1"/>
  <c r="W57" i="38" s="1"/>
  <c r="V44" i="38"/>
  <c r="U44" i="38"/>
  <c r="T44" i="38"/>
  <c r="T59" i="38" s="1"/>
  <c r="S44" i="38"/>
  <c r="S59" i="38" s="1"/>
  <c r="R44" i="38"/>
  <c r="R59" i="38" s="1"/>
  <c r="AD59" i="38" s="1"/>
  <c r="Q44" i="38"/>
  <c r="C44" i="38"/>
  <c r="A44" i="38"/>
  <c r="AI43" i="38"/>
  <c r="AH43" i="38"/>
  <c r="AG43" i="38"/>
  <c r="AF43" i="38"/>
  <c r="AE43" i="38"/>
  <c r="AD43" i="38"/>
  <c r="Q43" i="38"/>
  <c r="C43" i="38"/>
  <c r="A43" i="38"/>
  <c r="AH42" i="38"/>
  <c r="AG42" i="38"/>
  <c r="AI42" i="38" s="1"/>
  <c r="AF42" i="38"/>
  <c r="AE42" i="38"/>
  <c r="AD42" i="38"/>
  <c r="Q42" i="38"/>
  <c r="C42" i="38"/>
  <c r="A42" i="38"/>
  <c r="AH41" i="38"/>
  <c r="AH40" i="38" s="1"/>
  <c r="AG41" i="38"/>
  <c r="AF41" i="38"/>
  <c r="AE41" i="38"/>
  <c r="AD41" i="38"/>
  <c r="AD40" i="38" s="1"/>
  <c r="Q41" i="38"/>
  <c r="C41" i="38"/>
  <c r="A41" i="38"/>
  <c r="AF40" i="38"/>
  <c r="AE40" i="38"/>
  <c r="AC40" i="38"/>
  <c r="AC1460" i="38" s="1"/>
  <c r="AB40" i="38"/>
  <c r="AB1460" i="38" s="1"/>
  <c r="AA40" i="38"/>
  <c r="AA1460" i="38" s="1"/>
  <c r="Z40" i="38"/>
  <c r="Z1460" i="38" s="1"/>
  <c r="Y40" i="38"/>
  <c r="Y1460" i="38" s="1"/>
  <c r="X40" i="38"/>
  <c r="X1460" i="38" s="1"/>
  <c r="W40" i="38"/>
  <c r="W1460" i="38" s="1"/>
  <c r="V40" i="38"/>
  <c r="V1460" i="38" s="1"/>
  <c r="U40" i="38"/>
  <c r="U1460" i="38" s="1"/>
  <c r="T40" i="38"/>
  <c r="T1460" i="38" s="1"/>
  <c r="S40" i="38"/>
  <c r="S1460" i="38" s="1"/>
  <c r="R40" i="38"/>
  <c r="R1460" i="38" s="1"/>
  <c r="Q40" i="38"/>
  <c r="C40" i="38"/>
  <c r="A40" i="38"/>
  <c r="Q39" i="38"/>
  <c r="C39" i="38"/>
  <c r="A39" i="38"/>
  <c r="Q38" i="38"/>
  <c r="C38" i="38"/>
  <c r="A38" i="38"/>
  <c r="Q37" i="38"/>
  <c r="C37" i="38"/>
  <c r="A37" i="38"/>
  <c r="Q36" i="38"/>
  <c r="C36" i="38"/>
  <c r="A36" i="38"/>
  <c r="Q35" i="38"/>
  <c r="C35" i="38"/>
  <c r="A35" i="38"/>
  <c r="AI34" i="38"/>
  <c r="AG34" i="38"/>
  <c r="AF34" i="38"/>
  <c r="AE34" i="38"/>
  <c r="AD34" i="38"/>
  <c r="AH34" i="38" s="1"/>
  <c r="AJ34" i="38" s="1"/>
  <c r="Q34" i="38"/>
  <c r="C34" i="38"/>
  <c r="A34" i="38"/>
  <c r="Q33" i="38"/>
  <c r="C33" i="38"/>
  <c r="A33" i="38"/>
  <c r="AF32" i="38"/>
  <c r="AE32" i="38"/>
  <c r="AD32" i="38"/>
  <c r="AH32" i="38" s="1"/>
  <c r="AC32" i="38"/>
  <c r="W32" i="38"/>
  <c r="W1312" i="38" s="1"/>
  <c r="W1310" i="38" s="1"/>
  <c r="T32" i="38"/>
  <c r="T1312" i="38" s="1"/>
  <c r="Q32" i="38"/>
  <c r="C32" i="38"/>
  <c r="A32" i="38"/>
  <c r="AG31" i="38"/>
  <c r="AF31" i="38"/>
  <c r="AE31" i="38"/>
  <c r="Z31" i="38"/>
  <c r="Z1311" i="38" s="1"/>
  <c r="Z1310" i="38" s="1"/>
  <c r="X31" i="38"/>
  <c r="X1311" i="38" s="1"/>
  <c r="V31" i="38"/>
  <c r="V1311" i="38" s="1"/>
  <c r="V1310" i="38" s="1"/>
  <c r="R31" i="38"/>
  <c r="R1311" i="38" s="1"/>
  <c r="Q31" i="38"/>
  <c r="C31" i="38"/>
  <c r="A31" i="38"/>
  <c r="AB30" i="38"/>
  <c r="AA30" i="38"/>
  <c r="Z30" i="38"/>
  <c r="Y30" i="38"/>
  <c r="W30" i="38"/>
  <c r="V30" i="38"/>
  <c r="U30" i="38"/>
  <c r="AE30" i="38" s="1"/>
  <c r="T30" i="38"/>
  <c r="S30" i="38"/>
  <c r="R30" i="38"/>
  <c r="AD30" i="38" s="1"/>
  <c r="AH30" i="38" s="1"/>
  <c r="Q30" i="38"/>
  <c r="C30" i="38"/>
  <c r="A30" i="38"/>
  <c r="Q29" i="38"/>
  <c r="C29" i="38"/>
  <c r="A29" i="38"/>
  <c r="Q28" i="38"/>
  <c r="C28" i="38"/>
  <c r="A28" i="38"/>
  <c r="AC27" i="38"/>
  <c r="AB27" i="38"/>
  <c r="AB1307" i="38" s="1"/>
  <c r="W27" i="38"/>
  <c r="W1307" i="38" s="1"/>
  <c r="V27" i="38"/>
  <c r="U27" i="38"/>
  <c r="T27" i="38"/>
  <c r="T1307" i="38" s="1"/>
  <c r="Q27" i="38"/>
  <c r="C27" i="38"/>
  <c r="A27" i="38"/>
  <c r="Y26" i="38"/>
  <c r="X26" i="38"/>
  <c r="W26" i="38"/>
  <c r="W1306" i="38" s="1"/>
  <c r="V26" i="38"/>
  <c r="V1306" i="38" s="1"/>
  <c r="Q26" i="38"/>
  <c r="C26" i="38"/>
  <c r="A26" i="38"/>
  <c r="Q25" i="38"/>
  <c r="C25" i="38"/>
  <c r="A25" i="38"/>
  <c r="Q24" i="38"/>
  <c r="C24" i="38"/>
  <c r="A24" i="38"/>
  <c r="AC23" i="38"/>
  <c r="AB23" i="38"/>
  <c r="AA23" i="38"/>
  <c r="Z23" i="38"/>
  <c r="U23" i="38"/>
  <c r="T23" i="38"/>
  <c r="S23" i="38"/>
  <c r="R23" i="38"/>
  <c r="Q23" i="38"/>
  <c r="C23" i="38"/>
  <c r="A23" i="38"/>
  <c r="AC22" i="38"/>
  <c r="AB22" i="38"/>
  <c r="W22" i="38"/>
  <c r="V22" i="38"/>
  <c r="U22" i="38"/>
  <c r="Q22" i="38"/>
  <c r="C22" i="38"/>
  <c r="A22" i="38"/>
  <c r="Z21" i="38"/>
  <c r="Z1301" i="38" s="1"/>
  <c r="Y21" i="38"/>
  <c r="Y1301" i="38" s="1"/>
  <c r="X21" i="38"/>
  <c r="X1301" i="38" s="1"/>
  <c r="W21" i="38"/>
  <c r="W1301" i="38" s="1"/>
  <c r="V21" i="38"/>
  <c r="V1301" i="38" s="1"/>
  <c r="R21" i="38"/>
  <c r="Q21" i="38"/>
  <c r="C21" i="38"/>
  <c r="A21" i="38"/>
  <c r="Q20" i="38"/>
  <c r="C20" i="38"/>
  <c r="A20" i="38"/>
  <c r="Q19" i="38"/>
  <c r="C19" i="38"/>
  <c r="A19" i="38"/>
  <c r="Q18" i="38"/>
  <c r="C18" i="38"/>
  <c r="A18" i="38"/>
  <c r="Q17" i="38"/>
  <c r="C17" i="38"/>
  <c r="A17" i="38"/>
  <c r="Q16" i="38"/>
  <c r="C16" i="38"/>
  <c r="A16" i="38"/>
  <c r="X15" i="38"/>
  <c r="X1295" i="38" s="1"/>
  <c r="Q15" i="38"/>
  <c r="C15" i="38"/>
  <c r="A15" i="38"/>
  <c r="Q14" i="38"/>
  <c r="C14" i="38"/>
  <c r="A14" i="38"/>
  <c r="Q13" i="38"/>
  <c r="Q12" i="38"/>
  <c r="R11" i="38"/>
  <c r="Q11" i="38"/>
  <c r="AC10" i="38"/>
  <c r="AB10" i="38"/>
  <c r="AA10" i="38"/>
  <c r="Z10" i="38"/>
  <c r="Y10" i="38"/>
  <c r="X10" i="38"/>
  <c r="W10" i="38"/>
  <c r="V10" i="38"/>
  <c r="U10" i="38"/>
  <c r="T10" i="38"/>
  <c r="S10" i="38"/>
  <c r="R10" i="38"/>
  <c r="R7" i="38"/>
  <c r="R6" i="38"/>
  <c r="BF1" i="38"/>
  <c r="BC1" i="38"/>
  <c r="AX1" i="38"/>
  <c r="AU1" i="38"/>
  <c r="BC23" i="38"/>
  <c r="AU332" i="38"/>
  <c r="BC235" i="38"/>
  <c r="BF48" i="38"/>
  <c r="BC114" i="38"/>
  <c r="AU63" i="38"/>
  <c r="BC73" i="38"/>
  <c r="AX58" i="38"/>
  <c r="BF32" i="38"/>
  <c r="BB703" i="38"/>
  <c r="BC34" i="38"/>
  <c r="BF49" i="38"/>
  <c r="AX66" i="38"/>
  <c r="BB105" i="38"/>
  <c r="BC133" i="38"/>
  <c r="AU559" i="38"/>
  <c r="BC137" i="38"/>
  <c r="AU234" i="38"/>
  <c r="BB43" i="38"/>
  <c r="BC132" i="38"/>
  <c r="BB215" i="38"/>
  <c r="BF72" i="38"/>
  <c r="BB204" i="38"/>
  <c r="BF65" i="38"/>
  <c r="BF91" i="38"/>
  <c r="BC102" i="38"/>
  <c r="AX46" i="38"/>
  <c r="BC260" i="38"/>
  <c r="AT233" i="38"/>
  <c r="AU62" i="38"/>
  <c r="AT115" i="38"/>
  <c r="BC192" i="38"/>
  <c r="BB260" i="38"/>
  <c r="AU230" i="38"/>
  <c r="BC53" i="38"/>
  <c r="BC459" i="38"/>
  <c r="BB455" i="38"/>
  <c r="BC281" i="38"/>
  <c r="AT132" i="38"/>
  <c r="AT331" i="38"/>
  <c r="BC148" i="38"/>
  <c r="BB133" i="38"/>
  <c r="BB234" i="38"/>
  <c r="BB94" i="38"/>
  <c r="BF155" i="38"/>
  <c r="BC111" i="38"/>
  <c r="AT562" i="38"/>
  <c r="AT131" i="38"/>
  <c r="BF59" i="38"/>
  <c r="BB144" i="38"/>
  <c r="BC189" i="38"/>
  <c r="AU552" i="38"/>
  <c r="BB386" i="38"/>
  <c r="BF27" i="38"/>
  <c r="BC183" i="38"/>
  <c r="BC156" i="38"/>
  <c r="AU70" i="38"/>
  <c r="BB52" i="38"/>
  <c r="BF67" i="38"/>
  <c r="BB168" i="38"/>
  <c r="BC131" i="38"/>
  <c r="AU279" i="38"/>
  <c r="BF22" i="38"/>
  <c r="BB538" i="38"/>
  <c r="BB53" i="38"/>
  <c r="BF146" i="38"/>
  <c r="BB69" i="38"/>
  <c r="BC98" i="38"/>
  <c r="AX26" i="38"/>
  <c r="BB109" i="38"/>
  <c r="AU170" i="38"/>
  <c r="AU27" i="38"/>
  <c r="BB148" i="38"/>
  <c r="BC57" i="38"/>
  <c r="BC238" i="38"/>
  <c r="BC150" i="38"/>
  <c r="BB150" i="38"/>
  <c r="BF40" i="38"/>
  <c r="BC164" i="38"/>
  <c r="BF71" i="38"/>
  <c r="BC62" i="38"/>
  <c r="BC118" i="38"/>
  <c r="BB709" i="38"/>
  <c r="BC16" i="38"/>
  <c r="AX50" i="38"/>
  <c r="BB118" i="38"/>
  <c r="BF45" i="38"/>
  <c r="AT209" i="38"/>
  <c r="BC123" i="38"/>
  <c r="BB681" i="38"/>
  <c r="AU104" i="38"/>
  <c r="AT156" i="38"/>
  <c r="AX24" i="38"/>
  <c r="AT161" i="38"/>
  <c r="BF63" i="38"/>
  <c r="AT137" i="38"/>
  <c r="BB429" i="38"/>
  <c r="BB160" i="38"/>
  <c r="AT70" i="38"/>
  <c r="BF64" i="38"/>
  <c r="BB344" i="38"/>
  <c r="BC704" i="38"/>
  <c r="AT188" i="38"/>
  <c r="AT53" i="38"/>
  <c r="BB34" i="38"/>
  <c r="BB356" i="38"/>
  <c r="BB217" i="38"/>
  <c r="BF149" i="38"/>
  <c r="BC292" i="38"/>
  <c r="BC217" i="38"/>
  <c r="AV70" i="38" l="1"/>
  <c r="AW70" i="38"/>
  <c r="BD53" i="38"/>
  <c r="BE53" i="38"/>
  <c r="AT87" i="38"/>
  <c r="BE150" i="38"/>
  <c r="BD150" i="38"/>
  <c r="BC124" i="38"/>
  <c r="BC87" i="38"/>
  <c r="BD34" i="38"/>
  <c r="BE34" i="38"/>
  <c r="BE260" i="38"/>
  <c r="BB246" i="38"/>
  <c r="BD260" i="38"/>
  <c r="BE133" i="38"/>
  <c r="BB84" i="38"/>
  <c r="BD133" i="38"/>
  <c r="BE217" i="38"/>
  <c r="BD217" i="38"/>
  <c r="BE118" i="38"/>
  <c r="BD118" i="38"/>
  <c r="BE148" i="38"/>
  <c r="BD148" i="38"/>
  <c r="BC1467" i="38"/>
  <c r="BC179" i="38"/>
  <c r="BC84" i="38"/>
  <c r="BB378" i="38"/>
  <c r="A426" i="38"/>
  <c r="A427" i="38" s="1"/>
  <c r="A428" i="38" s="1"/>
  <c r="W1295" i="38"/>
  <c r="AE15" i="38"/>
  <c r="W430" i="38"/>
  <c r="W96" i="38"/>
  <c r="AF165" i="38"/>
  <c r="AE433" i="38"/>
  <c r="AI198" i="38"/>
  <c r="AF197" i="38"/>
  <c r="V434" i="38"/>
  <c r="V202" i="38"/>
  <c r="Y254" i="38"/>
  <c r="Y242" i="38"/>
  <c r="AD245" i="38"/>
  <c r="Y379" i="38"/>
  <c r="Y358" i="38"/>
  <c r="AH85" i="38"/>
  <c r="AJ85" i="38" s="1"/>
  <c r="AI128" i="38"/>
  <c r="AG125" i="38"/>
  <c r="AH146" i="38"/>
  <c r="V1459" i="38"/>
  <c r="V1302" i="38"/>
  <c r="AI31" i="38"/>
  <c r="W23" i="38"/>
  <c r="W82" i="38"/>
  <c r="AD127" i="38"/>
  <c r="Z191" i="38"/>
  <c r="Z194" i="38"/>
  <c r="Z195" i="38" s="1"/>
  <c r="T216" i="38"/>
  <c r="T248" i="38"/>
  <c r="W1459" i="38"/>
  <c r="W1302" i="38"/>
  <c r="W19" i="38"/>
  <c r="T1467" i="38"/>
  <c r="T1303" i="38"/>
  <c r="V1307" i="38"/>
  <c r="V68" i="38"/>
  <c r="V73" i="38" s="1"/>
  <c r="AF59" i="38"/>
  <c r="AJ51" i="38"/>
  <c r="AE80" i="38"/>
  <c r="AF83" i="38"/>
  <c r="AF82" i="38" s="1"/>
  <c r="AI85" i="38"/>
  <c r="Y1307" i="38"/>
  <c r="Y68" i="38"/>
  <c r="Y73" i="38" s="1"/>
  <c r="AI92" i="38"/>
  <c r="AI91" i="38" s="1"/>
  <c r="T96" i="38"/>
  <c r="U95" i="38"/>
  <c r="AE98" i="38"/>
  <c r="Y430" i="38"/>
  <c r="Y96" i="38"/>
  <c r="V126" i="38"/>
  <c r="V102" i="38"/>
  <c r="V79" i="38" s="1"/>
  <c r="V114" i="38"/>
  <c r="V121" i="38" s="1"/>
  <c r="W110" i="38"/>
  <c r="R111" i="38"/>
  <c r="AD112" i="38"/>
  <c r="AH112" i="38" s="1"/>
  <c r="AH120" i="38"/>
  <c r="AJ120" i="38" s="1"/>
  <c r="AE128" i="38"/>
  <c r="AE125" i="38" s="1"/>
  <c r="U123" i="38"/>
  <c r="U125" i="38"/>
  <c r="AC125" i="38"/>
  <c r="AC123" i="38"/>
  <c r="V1526" i="38"/>
  <c r="V1544" i="38" s="1"/>
  <c r="V1553" i="38" s="1"/>
  <c r="V175" i="38"/>
  <c r="V1535" i="38" s="1"/>
  <c r="AE158" i="38"/>
  <c r="AH158" i="38" s="1"/>
  <c r="AJ158" i="38" s="1"/>
  <c r="V178" i="38"/>
  <c r="V176" i="38"/>
  <c r="Y194" i="38"/>
  <c r="Z261" i="38"/>
  <c r="U379" i="38"/>
  <c r="X430" i="38"/>
  <c r="X96" i="38"/>
  <c r="X79" i="38"/>
  <c r="AE111" i="38"/>
  <c r="AI147" i="38"/>
  <c r="AI146" i="38" s="1"/>
  <c r="AG146" i="38"/>
  <c r="AI199" i="38"/>
  <c r="AG197" i="38"/>
  <c r="AG244" i="38"/>
  <c r="V245" i="38"/>
  <c r="AE259" i="38"/>
  <c r="V254" i="38"/>
  <c r="R1301" i="38"/>
  <c r="AE59" i="38"/>
  <c r="AH59" i="38" s="1"/>
  <c r="AJ59" i="38" s="1"/>
  <c r="U57" i="38"/>
  <c r="AE57" i="38" s="1"/>
  <c r="AI88" i="38"/>
  <c r="AJ88" i="38" s="1"/>
  <c r="AG105" i="38"/>
  <c r="AA127" i="38"/>
  <c r="W434" i="38"/>
  <c r="W202" i="38"/>
  <c r="S1480" i="38"/>
  <c r="S104" i="38"/>
  <c r="AI1126" i="38"/>
  <c r="AI1125" i="38" s="1"/>
  <c r="AG1125" i="38"/>
  <c r="AG1120" i="38" s="1"/>
  <c r="AH1128" i="38"/>
  <c r="AJ1128" i="38" s="1"/>
  <c r="AE1125" i="38"/>
  <c r="AE1120" i="38" s="1"/>
  <c r="AE1438" i="38"/>
  <c r="AH1439" i="38"/>
  <c r="AH1438" i="38" s="1"/>
  <c r="AG1438" i="38"/>
  <c r="AI1439" i="38"/>
  <c r="X1307" i="38"/>
  <c r="X68" i="38"/>
  <c r="X73" i="38" s="1"/>
  <c r="AF27" i="38"/>
  <c r="AF68" i="38" s="1"/>
  <c r="AF73" i="38" s="1"/>
  <c r="AF95" i="38"/>
  <c r="AF96" i="38" s="1"/>
  <c r="AG98" i="38"/>
  <c r="AI98" i="38" s="1"/>
  <c r="AB95" i="38"/>
  <c r="AF213" i="38"/>
  <c r="AI213" i="38" s="1"/>
  <c r="AI244" i="38" s="1"/>
  <c r="X244" i="38"/>
  <c r="AJ710" i="38"/>
  <c r="R1423" i="38"/>
  <c r="R1454" i="38"/>
  <c r="R1293" i="38"/>
  <c r="R1395" i="38" s="1"/>
  <c r="S1395" i="38" s="1"/>
  <c r="T1395" i="38" s="1"/>
  <c r="U1395" i="38" s="1"/>
  <c r="V1395" i="38" s="1"/>
  <c r="W1395" i="38" s="1"/>
  <c r="X1395" i="38" s="1"/>
  <c r="Y1395" i="38" s="1"/>
  <c r="Z1395" i="38" s="1"/>
  <c r="AA1395" i="38" s="1"/>
  <c r="AB1395" i="38" s="1"/>
  <c r="AC1395" i="38" s="1"/>
  <c r="R1195" i="38"/>
  <c r="R1061" i="38"/>
  <c r="R1251" i="38"/>
  <c r="R451" i="38"/>
  <c r="R78" i="38"/>
  <c r="S13" i="38"/>
  <c r="AE23" i="38"/>
  <c r="AE1467" i="38" s="1"/>
  <c r="X1306" i="38"/>
  <c r="X62" i="38"/>
  <c r="X67" i="38" s="1"/>
  <c r="AJ43" i="38"/>
  <c r="T62" i="38"/>
  <c r="T67" i="38" s="1"/>
  <c r="AH72" i="38"/>
  <c r="AJ72" i="38" s="1"/>
  <c r="AI80" i="38"/>
  <c r="AI84" i="38"/>
  <c r="Y1467" i="38"/>
  <c r="Y1303" i="38"/>
  <c r="AH91" i="38"/>
  <c r="V430" i="38"/>
  <c r="V96" i="38"/>
  <c r="Z430" i="38"/>
  <c r="Z96" i="38"/>
  <c r="AG111" i="38"/>
  <c r="AG117" i="38"/>
  <c r="S81" i="38"/>
  <c r="S135" i="38"/>
  <c r="AG131" i="38"/>
  <c r="Y1481" i="38"/>
  <c r="Y1490" i="38"/>
  <c r="AG150" i="38"/>
  <c r="AG151" i="38" s="1"/>
  <c r="Y1525" i="38"/>
  <c r="Y1543" i="38" s="1"/>
  <c r="Y1552" i="38" s="1"/>
  <c r="Y174" i="38"/>
  <c r="Y1534" i="38" s="1"/>
  <c r="AF384" i="38"/>
  <c r="AF376" i="38" s="1"/>
  <c r="X381" i="38"/>
  <c r="X376" i="38"/>
  <c r="U401" i="38"/>
  <c r="AE402" i="38"/>
  <c r="A156" i="38"/>
  <c r="A157" i="38" s="1"/>
  <c r="V23" i="38"/>
  <c r="V19" i="38" s="1"/>
  <c r="V82" i="38"/>
  <c r="AG87" i="38"/>
  <c r="AA26" i="38"/>
  <c r="AJ93" i="38"/>
  <c r="AJ99" i="38"/>
  <c r="Y125" i="38"/>
  <c r="AB339" i="38"/>
  <c r="AB340" i="38" s="1"/>
  <c r="AB336" i="38"/>
  <c r="AH48" i="38"/>
  <c r="R82" i="38"/>
  <c r="AD83" i="38"/>
  <c r="R97" i="38"/>
  <c r="X1512" i="38"/>
  <c r="X82" i="38"/>
  <c r="X22" i="38"/>
  <c r="AA1307" i="38"/>
  <c r="AG1307" i="38" s="1"/>
  <c r="AG27" i="38"/>
  <c r="V110" i="38"/>
  <c r="W135" i="38"/>
  <c r="AF125" i="38"/>
  <c r="AC176" i="38"/>
  <c r="AC179" i="38"/>
  <c r="T434" i="38"/>
  <c r="T202" i="38"/>
  <c r="AB434" i="38"/>
  <c r="AB202" i="38"/>
  <c r="W250" i="38"/>
  <c r="AE264" i="38"/>
  <c r="AC284" i="38"/>
  <c r="AC438" i="38"/>
  <c r="AB178" i="38"/>
  <c r="AG155" i="38"/>
  <c r="AI155" i="38" s="1"/>
  <c r="AB154" i="38"/>
  <c r="AG154" i="38" s="1"/>
  <c r="AB165" i="38"/>
  <c r="AH80" i="38"/>
  <c r="AJ80" i="38" s="1"/>
  <c r="Z1306" i="38"/>
  <c r="Z62" i="38"/>
  <c r="Z67" i="38" s="1"/>
  <c r="S1306" i="38"/>
  <c r="S62" i="38"/>
  <c r="S67" i="38" s="1"/>
  <c r="R127" i="38"/>
  <c r="AA1480" i="38"/>
  <c r="AA104" i="38"/>
  <c r="S1467" i="38"/>
  <c r="S1303" i="38"/>
  <c r="AD23" i="38"/>
  <c r="U1307" i="38"/>
  <c r="AE1307" i="38" s="1"/>
  <c r="U68" i="38"/>
  <c r="U73" i="38" s="1"/>
  <c r="AE27" i="38"/>
  <c r="AE68" i="38" s="1"/>
  <c r="AE73" i="38" s="1"/>
  <c r="AG1466" i="38"/>
  <c r="AI46" i="38"/>
  <c r="AI1466" i="38" s="1"/>
  <c r="AG44" i="38"/>
  <c r="AA1467" i="38"/>
  <c r="AA1303" i="38"/>
  <c r="AG23" i="38"/>
  <c r="AF26" i="38"/>
  <c r="AF62" i="38" s="1"/>
  <c r="AF67" i="38" s="1"/>
  <c r="AC1307" i="38"/>
  <c r="AC68" i="38"/>
  <c r="AC73" i="38" s="1"/>
  <c r="AC1312" i="38"/>
  <c r="AC30" i="38"/>
  <c r="AG30" i="38" s="1"/>
  <c r="AG32" i="38"/>
  <c r="AI32" i="38" s="1"/>
  <c r="AI59" i="38"/>
  <c r="AH44" i="38"/>
  <c r="AJ45" i="38"/>
  <c r="AJ46" i="38"/>
  <c r="AJ1466" i="38" s="1"/>
  <c r="AF48" i="38"/>
  <c r="AJ65" i="38"/>
  <c r="AJ66" i="38"/>
  <c r="W81" i="38"/>
  <c r="S21" i="38"/>
  <c r="AG83" i="38"/>
  <c r="AA82" i="38"/>
  <c r="AA21" i="38"/>
  <c r="Y1512" i="38"/>
  <c r="Y82" i="38"/>
  <c r="Y22" i="38"/>
  <c r="AF87" i="38"/>
  <c r="A92" i="38"/>
  <c r="W426" i="38"/>
  <c r="W428" i="38"/>
  <c r="AC96" i="38"/>
  <c r="AF103" i="38"/>
  <c r="AF105" i="38"/>
  <c r="AF127" i="38" s="1"/>
  <c r="AE113" i="38"/>
  <c r="AH113" i="38" s="1"/>
  <c r="AF116" i="38"/>
  <c r="AF117" i="38" s="1"/>
  <c r="AH118" i="38"/>
  <c r="AJ118" i="38" s="1"/>
  <c r="AI119" i="38"/>
  <c r="AJ119" i="38" s="1"/>
  <c r="AF122" i="38"/>
  <c r="X125" i="38"/>
  <c r="AE130" i="38"/>
  <c r="AE127" i="38" s="1"/>
  <c r="T1512" i="38"/>
  <c r="T22" i="38"/>
  <c r="AJ138" i="38"/>
  <c r="AF145" i="38"/>
  <c r="V154" i="38"/>
  <c r="AD156" i="38"/>
  <c r="AG156" i="38"/>
  <c r="AE1295" i="38"/>
  <c r="AC434" i="38"/>
  <c r="AC432" i="38" s="1"/>
  <c r="AC202" i="38"/>
  <c r="AB248" i="38"/>
  <c r="U240" i="38"/>
  <c r="T311" i="38"/>
  <c r="T335" i="38"/>
  <c r="AI41" i="38"/>
  <c r="AI40" i="38" s="1"/>
  <c r="AG40" i="38"/>
  <c r="AC1301" i="38"/>
  <c r="AC19" i="38"/>
  <c r="AD87" i="38"/>
  <c r="AH87" i="38" s="1"/>
  <c r="R26" i="38"/>
  <c r="AD116" i="38"/>
  <c r="R117" i="38"/>
  <c r="Y1306" i="38"/>
  <c r="Y62" i="38"/>
  <c r="Y67" i="38" s="1"/>
  <c r="AE22" i="38"/>
  <c r="AE1459" i="38" s="1"/>
  <c r="AB1467" i="38"/>
  <c r="AB1303" i="38"/>
  <c r="AJ32" i="38"/>
  <c r="AJ42" i="38"/>
  <c r="AG48" i="38"/>
  <c r="S68" i="38"/>
  <c r="S73" i="38" s="1"/>
  <c r="AJ71" i="38"/>
  <c r="T1301" i="38"/>
  <c r="T19" i="38"/>
  <c r="AB1301" i="38"/>
  <c r="AB19" i="38"/>
  <c r="AF429" i="38"/>
  <c r="X426" i="38"/>
  <c r="X428" i="38"/>
  <c r="AI103" i="38"/>
  <c r="AI106" i="38"/>
  <c r="T110" i="38"/>
  <c r="AI112" i="38"/>
  <c r="AI113" i="38"/>
  <c r="AI122" i="38"/>
  <c r="T124" i="38"/>
  <c r="T81" i="38"/>
  <c r="T135" i="38"/>
  <c r="AG127" i="38"/>
  <c r="AJ144" i="38"/>
  <c r="AJ148" i="38"/>
  <c r="W154" i="38"/>
  <c r="AE154" i="38" s="1"/>
  <c r="AE183" i="38"/>
  <c r="U176" i="38"/>
  <c r="U179" i="38"/>
  <c r="AF256" i="38"/>
  <c r="AF242" i="38" s="1"/>
  <c r="Z442" i="38"/>
  <c r="Z347" i="38"/>
  <c r="AI185" i="38"/>
  <c r="AI181" i="38" s="1"/>
  <c r="AG181" i="38"/>
  <c r="V432" i="38"/>
  <c r="AC248" i="38"/>
  <c r="Z254" i="38"/>
  <c r="Z241" i="38"/>
  <c r="AE320" i="38"/>
  <c r="AH299" i="38"/>
  <c r="AI323" i="38"/>
  <c r="AI314" i="38" s="1"/>
  <c r="AG314" i="38"/>
  <c r="AD317" i="38"/>
  <c r="AH326" i="38"/>
  <c r="AA316" i="38"/>
  <c r="AG325" i="38"/>
  <c r="AA310" i="38"/>
  <c r="AI337" i="38"/>
  <c r="AH348" i="38"/>
  <c r="Y353" i="38"/>
  <c r="V444" i="38"/>
  <c r="AI466" i="38"/>
  <c r="T1521" i="38"/>
  <c r="T1539" i="38" s="1"/>
  <c r="T1548" i="38" s="1"/>
  <c r="T1530" i="38"/>
  <c r="T568" i="38"/>
  <c r="AH574" i="38"/>
  <c r="AD573" i="38"/>
  <c r="AD572" i="38" s="1"/>
  <c r="AC1467" i="38"/>
  <c r="AC1303" i="38"/>
  <c r="R1490" i="38"/>
  <c r="R1481" i="38"/>
  <c r="AI172" i="38"/>
  <c r="Z177" i="38"/>
  <c r="AI184" i="38"/>
  <c r="AH203" i="38"/>
  <c r="AG209" i="38"/>
  <c r="AA1490" i="38"/>
  <c r="AA1481" i="38"/>
  <c r="S1525" i="38"/>
  <c r="S180" i="38"/>
  <c r="S174" i="38"/>
  <c r="S1534" i="38" s="1"/>
  <c r="X1526" i="38"/>
  <c r="X181" i="38"/>
  <c r="X175" i="38"/>
  <c r="AG180" i="38"/>
  <c r="X178" i="38"/>
  <c r="X176" i="38"/>
  <c r="V181" i="38"/>
  <c r="AC246" i="38"/>
  <c r="W254" i="38"/>
  <c r="AG255" i="38"/>
  <c r="AA254" i="38"/>
  <c r="AA241" i="38"/>
  <c r="AF259" i="38"/>
  <c r="AF245" i="38" s="1"/>
  <c r="V261" i="38"/>
  <c r="V248" i="38"/>
  <c r="W408" i="38"/>
  <c r="AF388" i="38"/>
  <c r="X385" i="38"/>
  <c r="AI1120" i="38"/>
  <c r="AH106" i="38"/>
  <c r="R1491" i="38"/>
  <c r="W125" i="38"/>
  <c r="U127" i="38"/>
  <c r="AJ147" i="38"/>
  <c r="AJ146" i="38" s="1"/>
  <c r="T254" i="38"/>
  <c r="T241" i="38"/>
  <c r="AH269" i="38"/>
  <c r="AD268" i="38"/>
  <c r="AH327" i="38"/>
  <c r="AE318" i="38"/>
  <c r="AI404" i="38"/>
  <c r="Z440" i="38"/>
  <c r="AF573" i="38"/>
  <c r="AF572" i="38" s="1"/>
  <c r="AI574" i="38"/>
  <c r="AI573" i="38" s="1"/>
  <c r="AJ659" i="38"/>
  <c r="U21" i="38"/>
  <c r="R22" i="38"/>
  <c r="Z22" i="38"/>
  <c r="AJ41" i="38"/>
  <c r="AJ40" i="38" s="1"/>
  <c r="AI49" i="38"/>
  <c r="S426" i="38"/>
  <c r="AA426" i="38"/>
  <c r="AG429" i="38"/>
  <c r="AJ92" i="38"/>
  <c r="AJ91" i="38" s="1"/>
  <c r="AA97" i="38"/>
  <c r="W102" i="38"/>
  <c r="X111" i="38"/>
  <c r="S1491" i="38"/>
  <c r="S1500" i="38" s="1"/>
  <c r="S1509" i="38" s="1"/>
  <c r="AA1491" i="38"/>
  <c r="S126" i="38"/>
  <c r="AI130" i="38"/>
  <c r="U1490" i="38"/>
  <c r="U1481" i="38"/>
  <c r="AC1481" i="38"/>
  <c r="AC1490" i="38"/>
  <c r="X173" i="38"/>
  <c r="AF156" i="38"/>
  <c r="U1525" i="38"/>
  <c r="U180" i="38"/>
  <c r="U174" i="38"/>
  <c r="AC1525" i="38"/>
  <c r="AC180" i="38"/>
  <c r="AC174" i="38"/>
  <c r="AC1534" i="38" s="1"/>
  <c r="R1526" i="38"/>
  <c r="R175" i="38"/>
  <c r="Z1526" i="38"/>
  <c r="Z175" i="38"/>
  <c r="Z1535" i="38" s="1"/>
  <c r="AE159" i="38"/>
  <c r="U166" i="38"/>
  <c r="AD168" i="38"/>
  <c r="AH168" i="38" s="1"/>
  <c r="R169" i="38"/>
  <c r="AH172" i="38"/>
  <c r="AJ172" i="38" s="1"/>
  <c r="X174" i="38"/>
  <c r="AF181" i="38"/>
  <c r="AI186" i="38"/>
  <c r="U201" i="38"/>
  <c r="AF201" i="38"/>
  <c r="AF202" i="38" s="1"/>
  <c r="X434" i="38"/>
  <c r="X202" i="38"/>
  <c r="AI205" i="38"/>
  <c r="AI210" i="38"/>
  <c r="AC242" i="38"/>
  <c r="AG211" i="38"/>
  <c r="R246" i="38"/>
  <c r="AD215" i="38"/>
  <c r="AH215" i="38" s="1"/>
  <c r="AJ215" i="38" s="1"/>
  <c r="Y249" i="38"/>
  <c r="Y216" i="38"/>
  <c r="AE219" i="38"/>
  <c r="AE221" i="38"/>
  <c r="AH221" i="38" s="1"/>
  <c r="AG222" i="38"/>
  <c r="AI222" i="38" s="1"/>
  <c r="AI226" i="38"/>
  <c r="AH237" i="38"/>
  <c r="AJ237" i="38" s="1"/>
  <c r="AB243" i="38"/>
  <c r="AF244" i="38"/>
  <c r="Y250" i="38"/>
  <c r="AB253" i="38"/>
  <c r="AF246" i="38"/>
  <c r="Z249" i="38"/>
  <c r="AD250" i="38"/>
  <c r="AH264" i="38"/>
  <c r="AE437" i="38"/>
  <c r="AC436" i="38"/>
  <c r="AI281" i="38"/>
  <c r="AJ281" i="38" s="1"/>
  <c r="AE285" i="38"/>
  <c r="U283" i="38"/>
  <c r="X312" i="38"/>
  <c r="AF291" i="38"/>
  <c r="AF290" i="38" s="1"/>
  <c r="X290" i="38"/>
  <c r="AD314" i="38"/>
  <c r="AH293" i="38"/>
  <c r="AJ293" i="38" s="1"/>
  <c r="Y300" i="38"/>
  <c r="Y15" i="38" s="1"/>
  <c r="U312" i="38"/>
  <c r="U310" i="38"/>
  <c r="AC312" i="38"/>
  <c r="AC310" i="38"/>
  <c r="AH333" i="38"/>
  <c r="AJ333" i="38" s="1"/>
  <c r="AJ338" i="38"/>
  <c r="S442" i="38"/>
  <c r="S347" i="38"/>
  <c r="AG350" i="38"/>
  <c r="AA346" i="38"/>
  <c r="V353" i="38"/>
  <c r="AG356" i="38"/>
  <c r="AI356" i="38" s="1"/>
  <c r="AA354" i="38"/>
  <c r="T375" i="38"/>
  <c r="AB375" i="38"/>
  <c r="AB381" i="38"/>
  <c r="S389" i="38"/>
  <c r="S403" i="38"/>
  <c r="S421" i="38"/>
  <c r="AG391" i="38"/>
  <c r="AA389" i="38"/>
  <c r="AA403" i="38"/>
  <c r="AA421" i="38"/>
  <c r="AG441" i="38"/>
  <c r="Z1479" i="38"/>
  <c r="Z453" i="38"/>
  <c r="AH522" i="38"/>
  <c r="AE521" i="38"/>
  <c r="AE517" i="38" s="1"/>
  <c r="U216" i="38"/>
  <c r="AE217" i="38"/>
  <c r="AB208" i="38"/>
  <c r="AI218" i="38"/>
  <c r="R1310" i="38"/>
  <c r="AD1311" i="38"/>
  <c r="S84" i="38"/>
  <c r="R426" i="38"/>
  <c r="AD429" i="38"/>
  <c r="T1490" i="38"/>
  <c r="T1481" i="38"/>
  <c r="AE156" i="38"/>
  <c r="T1525" i="38"/>
  <c r="T180" i="38"/>
  <c r="T174" i="38"/>
  <c r="T1534" i="38" s="1"/>
  <c r="AE185" i="38"/>
  <c r="AE181" i="38" s="1"/>
  <c r="AH213" i="38"/>
  <c r="AJ213" i="38" s="1"/>
  <c r="AH219" i="38"/>
  <c r="W261" i="38"/>
  <c r="W247" i="38" s="1"/>
  <c r="W248" i="38"/>
  <c r="S375" i="38"/>
  <c r="S381" i="38"/>
  <c r="AA22" i="38"/>
  <c r="X23" i="38"/>
  <c r="U26" i="38"/>
  <c r="R27" i="38"/>
  <c r="AF1311" i="38"/>
  <c r="X1310" i="38"/>
  <c r="AF1310" i="38" s="1"/>
  <c r="W68" i="38"/>
  <c r="W73" i="38" s="1"/>
  <c r="T428" i="38"/>
  <c r="AB426" i="38"/>
  <c r="A105" i="38"/>
  <c r="T1491" i="38"/>
  <c r="T1500" i="38" s="1"/>
  <c r="T1509" i="38" s="1"/>
  <c r="AB1491" i="38"/>
  <c r="AB1500" i="38" s="1"/>
  <c r="AB1509" i="38" s="1"/>
  <c r="Y123" i="38"/>
  <c r="AH128" i="38"/>
  <c r="AE129" i="38"/>
  <c r="AG132" i="38"/>
  <c r="AI132" i="38" s="1"/>
  <c r="V1490" i="38"/>
  <c r="V1481" i="38"/>
  <c r="V1499" i="38" s="1"/>
  <c r="V1508" i="38" s="1"/>
  <c r="AD143" i="38"/>
  <c r="AD145" i="38"/>
  <c r="T155" i="38"/>
  <c r="V1525" i="38"/>
  <c r="V180" i="38"/>
  <c r="V174" i="38"/>
  <c r="V1534" i="38" s="1"/>
  <c r="AD157" i="38"/>
  <c r="S1526" i="38"/>
  <c r="S175" i="38"/>
  <c r="S1535" i="38" s="1"/>
  <c r="AA1526" i="38"/>
  <c r="AA175" i="38"/>
  <c r="AH167" i="38"/>
  <c r="AG168" i="38"/>
  <c r="AA169" i="38"/>
  <c r="U175" i="38"/>
  <c r="R180" i="38"/>
  <c r="AG178" i="38"/>
  <c r="Y181" i="38"/>
  <c r="AJ188" i="38"/>
  <c r="AJ186" i="38" s="1"/>
  <c r="AJ193" i="38"/>
  <c r="AJ199" i="38"/>
  <c r="Y434" i="38"/>
  <c r="Y432" i="38" s="1"/>
  <c r="Y202" i="38"/>
  <c r="X209" i="38"/>
  <c r="V242" i="38"/>
  <c r="V209" i="38"/>
  <c r="V216" i="38"/>
  <c r="AD218" i="38"/>
  <c r="R216" i="38"/>
  <c r="Z216" i="38"/>
  <c r="U253" i="38"/>
  <c r="AE222" i="38"/>
  <c r="AE224" i="38"/>
  <c r="AE223" i="38" s="1"/>
  <c r="AJ226" i="38"/>
  <c r="AJ236" i="38"/>
  <c r="X241" i="38"/>
  <c r="AI257" i="38"/>
  <c r="AI259" i="38"/>
  <c r="AA249" i="38"/>
  <c r="AD253" i="38"/>
  <c r="AI292" i="38"/>
  <c r="AJ292" i="38" s="1"/>
  <c r="AG313" i="38"/>
  <c r="R300" i="38"/>
  <c r="R15" i="38" s="1"/>
  <c r="AD301" i="38"/>
  <c r="V312" i="38"/>
  <c r="V310" i="38"/>
  <c r="AJ345" i="38"/>
  <c r="AH342" i="38"/>
  <c r="AE378" i="38"/>
  <c r="AI363" i="38"/>
  <c r="Y374" i="38"/>
  <c r="Y381" i="38"/>
  <c r="T389" i="38"/>
  <c r="T421" i="38"/>
  <c r="T418" i="38" s="1"/>
  <c r="T403" i="38"/>
  <c r="AB403" i="38"/>
  <c r="AB401" i="38" s="1"/>
  <c r="AB389" i="38"/>
  <c r="AB421" i="38"/>
  <c r="AB418" i="38" s="1"/>
  <c r="Z1481" i="38"/>
  <c r="Z1490" i="38"/>
  <c r="AD1525" i="38"/>
  <c r="U1467" i="38"/>
  <c r="U1303" i="38"/>
  <c r="AH1466" i="38"/>
  <c r="V123" i="38"/>
  <c r="S1490" i="38"/>
  <c r="S1481" i="38"/>
  <c r="S1499" i="38" s="1"/>
  <c r="S1508" i="38" s="1"/>
  <c r="AA1525" i="38"/>
  <c r="AA180" i="38"/>
  <c r="AA174" i="38"/>
  <c r="AF182" i="38"/>
  <c r="AC250" i="38"/>
  <c r="AG219" i="38"/>
  <c r="AI219" i="38" s="1"/>
  <c r="S254" i="38"/>
  <c r="S241" i="38"/>
  <c r="AG253" i="38"/>
  <c r="AH383" i="38"/>
  <c r="Z1491" i="38"/>
  <c r="AF1491" i="38" s="1"/>
  <c r="AD133" i="38"/>
  <c r="AH133" i="38" s="1"/>
  <c r="AB1525" i="38"/>
  <c r="AB180" i="38"/>
  <c r="AB174" i="38"/>
  <c r="AB1534" i="38" s="1"/>
  <c r="Y1526" i="38"/>
  <c r="Y175" i="38"/>
  <c r="Y1535" i="38" s="1"/>
  <c r="R174" i="38"/>
  <c r="AF179" i="38"/>
  <c r="W181" i="38"/>
  <c r="AC208" i="38"/>
  <c r="AG223" i="38"/>
  <c r="AB254" i="38"/>
  <c r="AB241" i="38"/>
  <c r="AD258" i="38"/>
  <c r="R244" i="38"/>
  <c r="AH332" i="38"/>
  <c r="AD331" i="38"/>
  <c r="AI349" i="38"/>
  <c r="AG346" i="38"/>
  <c r="AD350" i="38"/>
  <c r="AH350" i="38" s="1"/>
  <c r="R346" i="38"/>
  <c r="U354" i="38"/>
  <c r="U353" i="38" s="1"/>
  <c r="U374" i="38"/>
  <c r="AG383" i="38"/>
  <c r="AA375" i="38"/>
  <c r="AA381" i="38"/>
  <c r="AH415" i="38"/>
  <c r="AB1489" i="38"/>
  <c r="AB1498" i="38" s="1"/>
  <c r="AB1507" i="38" s="1"/>
  <c r="AM3" i="38"/>
  <c r="AB1459" i="38"/>
  <c r="AB1302" i="38"/>
  <c r="X30" i="38"/>
  <c r="T1310" i="38"/>
  <c r="AD1312" i="38"/>
  <c r="AD1466" i="38"/>
  <c r="V1512" i="38"/>
  <c r="AD84" i="38"/>
  <c r="AE429" i="38"/>
  <c r="U426" i="38"/>
  <c r="AC428" i="38"/>
  <c r="AC426" i="38"/>
  <c r="R98" i="38"/>
  <c r="AD103" i="38"/>
  <c r="U1491" i="38"/>
  <c r="AC1491" i="38"/>
  <c r="R123" i="38"/>
  <c r="X127" i="38"/>
  <c r="W1490" i="38"/>
  <c r="W1481" i="38"/>
  <c r="AE143" i="38"/>
  <c r="X154" i="38"/>
  <c r="U165" i="38"/>
  <c r="U178" i="38"/>
  <c r="AC165" i="38"/>
  <c r="AC164" i="38" s="1"/>
  <c r="AC178" i="38"/>
  <c r="R166" i="38"/>
  <c r="Z166" i="38"/>
  <c r="Z179" i="38"/>
  <c r="W1525" i="38"/>
  <c r="W1543" i="38" s="1"/>
  <c r="W1552" i="38" s="1"/>
  <c r="W180" i="38"/>
  <c r="W174" i="38"/>
  <c r="W1534" i="38" s="1"/>
  <c r="AE157" i="38"/>
  <c r="T1526" i="38"/>
  <c r="T1544" i="38" s="1"/>
  <c r="T1553" i="38" s="1"/>
  <c r="T175" i="38"/>
  <c r="T1535" i="38" s="1"/>
  <c r="AB1526" i="38"/>
  <c r="AB175" i="38"/>
  <c r="AB1535" i="38" s="1"/>
  <c r="AH160" i="38"/>
  <c r="Y166" i="38"/>
  <c r="Z174" i="38"/>
  <c r="Z1534" i="38" s="1"/>
  <c r="Z1543" i="38" s="1"/>
  <c r="Z1552" i="38" s="1"/>
  <c r="R178" i="38"/>
  <c r="S179" i="38"/>
  <c r="R181" i="38"/>
  <c r="Z181" i="38"/>
  <c r="AH198" i="38"/>
  <c r="S202" i="38"/>
  <c r="R201" i="38"/>
  <c r="AD204" i="38"/>
  <c r="S209" i="38"/>
  <c r="Y209" i="38"/>
  <c r="Y208" i="38" s="1"/>
  <c r="W209" i="38"/>
  <c r="W208" i="38" s="1"/>
  <c r="AE211" i="38"/>
  <c r="AG214" i="38"/>
  <c r="AD217" i="38"/>
  <c r="AH217" i="38" s="1"/>
  <c r="AJ217" i="38" s="1"/>
  <c r="AF220" i="38"/>
  <c r="AI220" i="38" s="1"/>
  <c r="AJ220" i="38" s="1"/>
  <c r="AI221" i="38"/>
  <c r="AH222" i="38"/>
  <c r="AJ222" i="38" s="1"/>
  <c r="AF224" i="38"/>
  <c r="W242" i="38"/>
  <c r="AE257" i="38"/>
  <c r="AD260" i="38"/>
  <c r="S249" i="38"/>
  <c r="S261" i="38"/>
  <c r="AB249" i="38"/>
  <c r="AB261" i="38"/>
  <c r="AB247" i="38" s="1"/>
  <c r="AE265" i="38"/>
  <c r="AE251" i="38" s="1"/>
  <c r="AE267" i="38"/>
  <c r="AJ275" i="38"/>
  <c r="W283" i="38"/>
  <c r="AH297" i="38"/>
  <c r="AJ297" i="38" s="1"/>
  <c r="AD318" i="38"/>
  <c r="AD305" i="38"/>
  <c r="AH305" i="38" s="1"/>
  <c r="W312" i="38"/>
  <c r="W310" i="38"/>
  <c r="AE321" i="38"/>
  <c r="AI322" i="38"/>
  <c r="AI313" i="38" s="1"/>
  <c r="AF313" i="38"/>
  <c r="Y442" i="38"/>
  <c r="Y347" i="38"/>
  <c r="AF358" i="38"/>
  <c r="AF378" i="38"/>
  <c r="U418" i="38"/>
  <c r="AE421" i="38"/>
  <c r="AH462" i="38"/>
  <c r="AD461" i="38"/>
  <c r="AD460" i="38" s="1"/>
  <c r="AD459" i="38" s="1"/>
  <c r="AH488" i="38"/>
  <c r="AH487" i="38" s="1"/>
  <c r="AJ490" i="38"/>
  <c r="R142" i="38"/>
  <c r="R254" i="38"/>
  <c r="AD255" i="38"/>
  <c r="R241" i="38"/>
  <c r="AF243" i="38"/>
  <c r="AI279" i="38"/>
  <c r="S316" i="38"/>
  <c r="AD325" i="38"/>
  <c r="R379" i="38"/>
  <c r="AD360" i="38"/>
  <c r="AH360" i="38" s="1"/>
  <c r="X380" i="38"/>
  <c r="AH402" i="38"/>
  <c r="AB1530" i="38"/>
  <c r="AB1521" i="38"/>
  <c r="AB1539" i="38" s="1"/>
  <c r="AB1548" i="38" s="1"/>
  <c r="AB568" i="38"/>
  <c r="AB552" i="38" s="1"/>
  <c r="R262" i="38"/>
  <c r="Y426" i="38"/>
  <c r="Y428" i="38"/>
  <c r="S142" i="38"/>
  <c r="AJ184" i="38"/>
  <c r="AH185" i="38"/>
  <c r="AD181" i="38"/>
  <c r="W432" i="38"/>
  <c r="R243" i="38"/>
  <c r="AD212" i="38"/>
  <c r="AD242" i="38"/>
  <c r="AH256" i="38"/>
  <c r="AD266" i="38"/>
  <c r="R252" i="38"/>
  <c r="AI285" i="38"/>
  <c r="AG283" i="38"/>
  <c r="AG284" i="38" s="1"/>
  <c r="AJ404" i="38"/>
  <c r="Y440" i="38"/>
  <c r="Z426" i="38"/>
  <c r="Z428" i="38"/>
  <c r="AB1490" i="38"/>
  <c r="AB1481" i="38"/>
  <c r="AA243" i="38"/>
  <c r="AG212" i="38"/>
  <c r="AL3" i="38"/>
  <c r="AP3" i="38"/>
  <c r="AF1301" i="38"/>
  <c r="AF21" i="38"/>
  <c r="AF1460" i="38" s="1"/>
  <c r="U1459" i="38"/>
  <c r="U1302" i="38"/>
  <c r="AE1302" i="38" s="1"/>
  <c r="AC1459" i="38"/>
  <c r="AC1302" i="38"/>
  <c r="R1467" i="38"/>
  <c r="R1303" i="38"/>
  <c r="AD1303" i="38" s="1"/>
  <c r="Z1467" i="38"/>
  <c r="Z1303" i="38"/>
  <c r="AD31" i="38"/>
  <c r="AH31" i="38" s="1"/>
  <c r="AJ31" i="38" s="1"/>
  <c r="AD44" i="38"/>
  <c r="AE1466" i="38"/>
  <c r="W1512" i="38"/>
  <c r="AE84" i="38"/>
  <c r="AE82" i="38" s="1"/>
  <c r="V428" i="38"/>
  <c r="V426" i="38"/>
  <c r="AD91" i="38"/>
  <c r="S98" i="38"/>
  <c r="S95" i="38" s="1"/>
  <c r="AB104" i="38"/>
  <c r="V1491" i="38"/>
  <c r="AD122" i="38"/>
  <c r="AH122" i="38" s="1"/>
  <c r="AJ122" i="38" s="1"/>
  <c r="X1481" i="38"/>
  <c r="X1490" i="38"/>
  <c r="AF1490" i="38" s="1"/>
  <c r="AF143" i="38"/>
  <c r="AI143" i="38" s="1"/>
  <c r="Y154" i="38"/>
  <c r="V165" i="38"/>
  <c r="V164" i="38" s="1"/>
  <c r="AD155" i="38"/>
  <c r="AA166" i="38"/>
  <c r="AF1525" i="38"/>
  <c r="AF157" i="38"/>
  <c r="AE1526" i="38"/>
  <c r="AC1544" i="38"/>
  <c r="AC1553" i="38" s="1"/>
  <c r="AD171" i="38"/>
  <c r="AH171" i="38" s="1"/>
  <c r="AJ171" i="38" s="1"/>
  <c r="W175" i="38"/>
  <c r="W1535" i="38" s="1"/>
  <c r="W1544" i="38" s="1"/>
  <c r="W1553" i="38" s="1"/>
  <c r="S177" i="38"/>
  <c r="S178" i="38"/>
  <c r="Y180" i="38"/>
  <c r="AA181" i="38"/>
  <c r="AE180" i="38"/>
  <c r="AD186" i="38"/>
  <c r="AA201" i="38"/>
  <c r="AG203" i="38"/>
  <c r="S190" i="38"/>
  <c r="AG204" i="38"/>
  <c r="AI204" i="38" s="1"/>
  <c r="AH205" i="38"/>
  <c r="AJ205" i="38" s="1"/>
  <c r="T208" i="38"/>
  <c r="R209" i="38"/>
  <c r="AD210" i="38"/>
  <c r="AH210" i="38" s="1"/>
  <c r="AJ210" i="38" s="1"/>
  <c r="Z209" i="38"/>
  <c r="Z208" i="38" s="1"/>
  <c r="U245" i="38"/>
  <c r="AE214" i="38"/>
  <c r="AH214" i="38" s="1"/>
  <c r="S216" i="38"/>
  <c r="AG217" i="38"/>
  <c r="AI217" i="38" s="1"/>
  <c r="AA216" i="38"/>
  <c r="AD231" i="38"/>
  <c r="U246" i="38"/>
  <c r="AF255" i="38"/>
  <c r="AF241" i="38" s="1"/>
  <c r="X242" i="38"/>
  <c r="X254" i="38"/>
  <c r="AI256" i="38"/>
  <c r="S246" i="38"/>
  <c r="AG260" i="38"/>
  <c r="AA246" i="38"/>
  <c r="T249" i="38"/>
  <c r="T261" i="38"/>
  <c r="T247" i="38" s="1"/>
  <c r="AF267" i="38"/>
  <c r="AD319" i="38"/>
  <c r="AH298" i="38"/>
  <c r="AJ298" i="38" s="1"/>
  <c r="S310" i="38"/>
  <c r="AI334" i="38"/>
  <c r="AI331" i="38" s="1"/>
  <c r="AF331" i="38"/>
  <c r="Y336" i="38"/>
  <c r="AH357" i="38"/>
  <c r="X379" i="38"/>
  <c r="X358" i="38"/>
  <c r="AF360" i="38"/>
  <c r="AC374" i="38"/>
  <c r="T401" i="38"/>
  <c r="AG402" i="38"/>
  <c r="V419" i="38"/>
  <c r="AG437" i="38"/>
  <c r="AI453" i="38"/>
  <c r="AI452" i="38" s="1"/>
  <c r="X179" i="38"/>
  <c r="AF433" i="38"/>
  <c r="X432" i="38"/>
  <c r="X246" i="38"/>
  <c r="AI282" i="38"/>
  <c r="R283" i="38"/>
  <c r="S284" i="38"/>
  <c r="AH294" i="38"/>
  <c r="AD315" i="38"/>
  <c r="AI299" i="38"/>
  <c r="AI320" i="38" s="1"/>
  <c r="S300" i="38"/>
  <c r="S15" i="38" s="1"/>
  <c r="AA300" i="38"/>
  <c r="AA15" i="38" s="1"/>
  <c r="Z335" i="38"/>
  <c r="Z311" i="38"/>
  <c r="AF312" i="38"/>
  <c r="AF310" i="38"/>
  <c r="AI328" i="38"/>
  <c r="AI319" i="38" s="1"/>
  <c r="AG320" i="38"/>
  <c r="AF441" i="38"/>
  <c r="X440" i="38"/>
  <c r="AJ343" i="38"/>
  <c r="AJ342" i="38" s="1"/>
  <c r="AI348" i="38"/>
  <c r="AE442" i="38"/>
  <c r="T442" i="38"/>
  <c r="T347" i="38"/>
  <c r="AB442" i="38"/>
  <c r="AB347" i="38"/>
  <c r="AE357" i="38"/>
  <c r="AE354" i="38" s="1"/>
  <c r="W358" i="38"/>
  <c r="R358" i="38"/>
  <c r="AD359" i="38"/>
  <c r="AD378" i="38" s="1"/>
  <c r="Z358" i="38"/>
  <c r="V405" i="38"/>
  <c r="V372" i="38"/>
  <c r="AD381" i="38"/>
  <c r="U385" i="38"/>
  <c r="U378" i="38"/>
  <c r="AC378" i="38"/>
  <c r="AC385" i="38"/>
  <c r="AH388" i="38"/>
  <c r="AD380" i="38"/>
  <c r="W446" i="38"/>
  <c r="W419" i="38"/>
  <c r="Y419" i="38"/>
  <c r="AG422" i="38"/>
  <c r="AI422" i="38" s="1"/>
  <c r="AE461" i="38"/>
  <c r="AE460" i="38" s="1"/>
  <c r="AE459" i="38" s="1"/>
  <c r="AE453" i="38" s="1"/>
  <c r="AE452" i="38" s="1"/>
  <c r="X1477" i="38"/>
  <c r="X1486" i="38"/>
  <c r="X469" i="38"/>
  <c r="AG469" i="38"/>
  <c r="AC1480" i="38"/>
  <c r="AC469" i="38"/>
  <c r="AI476" i="38"/>
  <c r="AI475" i="38" s="1"/>
  <c r="AB493" i="38"/>
  <c r="AB492" i="38" s="1"/>
  <c r="AB1488" i="38" s="1"/>
  <c r="AI519" i="38"/>
  <c r="AI518" i="38" s="1"/>
  <c r="AG518" i="38"/>
  <c r="AI526" i="38"/>
  <c r="AG525" i="38"/>
  <c r="AH593" i="38"/>
  <c r="AJ594" i="38"/>
  <c r="AJ670" i="38"/>
  <c r="AA380" i="38"/>
  <c r="AG361" i="38"/>
  <c r="X243" i="38"/>
  <c r="X251" i="38"/>
  <c r="AF437" i="38"/>
  <c r="AH280" i="38"/>
  <c r="AJ282" i="38"/>
  <c r="AD286" i="38"/>
  <c r="AD291" i="38"/>
  <c r="AG291" i="38"/>
  <c r="AA312" i="38"/>
  <c r="AC316" i="38"/>
  <c r="AF317" i="38"/>
  <c r="AI326" i="38"/>
  <c r="AI317" i="38" s="1"/>
  <c r="AG318" i="38"/>
  <c r="AI327" i="38"/>
  <c r="AI318" i="38" s="1"/>
  <c r="AH319" i="38"/>
  <c r="AJ329" i="38"/>
  <c r="AH330" i="38"/>
  <c r="AH349" i="38"/>
  <c r="AJ349" i="38" s="1"/>
  <c r="AF355" i="38"/>
  <c r="AF354" i="38" s="1"/>
  <c r="S358" i="38"/>
  <c r="S353" i="38" s="1"/>
  <c r="S378" i="38"/>
  <c r="AG359" i="38"/>
  <c r="AA358" i="38"/>
  <c r="AA378" i="38"/>
  <c r="V373" i="38"/>
  <c r="Z408" i="38"/>
  <c r="Z377" i="38"/>
  <c r="AE385" i="38"/>
  <c r="AF379" i="38"/>
  <c r="AI390" i="38"/>
  <c r="AF421" i="38"/>
  <c r="AF418" i="38" s="1"/>
  <c r="Z1486" i="38"/>
  <c r="Z1477" i="38"/>
  <c r="Z1495" i="38" s="1"/>
  <c r="Z1504" i="38" s="1"/>
  <c r="Y1477" i="38"/>
  <c r="Y1495" i="38" s="1"/>
  <c r="Y1504" i="38" s="1"/>
  <c r="Y1486" i="38"/>
  <c r="W1533" i="38"/>
  <c r="W1524" i="38"/>
  <c r="W568" i="38"/>
  <c r="AI771" i="38"/>
  <c r="AJ774" i="38"/>
  <c r="AD433" i="38"/>
  <c r="Y436" i="38"/>
  <c r="V438" i="38"/>
  <c r="V284" i="38"/>
  <c r="AF283" i="38"/>
  <c r="AF284" i="38" s="1"/>
  <c r="AG286" i="38"/>
  <c r="AI286" i="38" s="1"/>
  <c r="AA283" i="38"/>
  <c r="AB311" i="38"/>
  <c r="AB312" i="38"/>
  <c r="AD441" i="38"/>
  <c r="AE349" i="38"/>
  <c r="AE346" i="38" s="1"/>
  <c r="AE347" i="38" s="1"/>
  <c r="AI357" i="38"/>
  <c r="T358" i="38"/>
  <c r="T378" i="38"/>
  <c r="AB358" i="38"/>
  <c r="AB378" i="38"/>
  <c r="AH364" i="38"/>
  <c r="AD363" i="38"/>
  <c r="AD362" i="38" s="1"/>
  <c r="AJ365" i="38"/>
  <c r="AJ368" i="38"/>
  <c r="AH367" i="38"/>
  <c r="V374" i="38"/>
  <c r="AE374" i="38"/>
  <c r="AF385" i="38"/>
  <c r="AI414" i="38"/>
  <c r="AD420" i="38"/>
  <c r="S418" i="38"/>
  <c r="AA418" i="38"/>
  <c r="AF486" i="38"/>
  <c r="AI495" i="38"/>
  <c r="AI494" i="38" s="1"/>
  <c r="AI493" i="38" s="1"/>
  <c r="AG494" i="38"/>
  <c r="AG493" i="38" s="1"/>
  <c r="AJ581" i="38"/>
  <c r="AJ587" i="38"/>
  <c r="AJ585" i="38" s="1"/>
  <c r="AH585" i="38"/>
  <c r="AJ742" i="38"/>
  <c r="AJ741" i="38" s="1"/>
  <c r="T1463" i="38"/>
  <c r="S432" i="38"/>
  <c r="AG433" i="38"/>
  <c r="U244" i="38"/>
  <c r="AG268" i="38"/>
  <c r="AD437" i="38"/>
  <c r="Z436" i="38"/>
  <c r="AF279" i="38"/>
  <c r="Z284" i="38"/>
  <c r="T283" i="38"/>
  <c r="AB283" i="38"/>
  <c r="X438" i="38"/>
  <c r="X284" i="38"/>
  <c r="U290" i="38"/>
  <c r="AE291" i="38"/>
  <c r="AE290" i="38" s="1"/>
  <c r="AC290" i="38"/>
  <c r="AD295" i="38"/>
  <c r="AH295" i="38" s="1"/>
  <c r="AJ295" i="38" s="1"/>
  <c r="AG295" i="38"/>
  <c r="AI295" i="38" s="1"/>
  <c r="AE300" i="38"/>
  <c r="AG300" i="38"/>
  <c r="AG317" i="38"/>
  <c r="AG321" i="38"/>
  <c r="AH322" i="38"/>
  <c r="AE314" i="38"/>
  <c r="AH323" i="38"/>
  <c r="AF315" i="38"/>
  <c r="U316" i="38"/>
  <c r="AE325" i="38"/>
  <c r="AE316" i="38" s="1"/>
  <c r="X310" i="38"/>
  <c r="AF325" i="38"/>
  <c r="AF316" i="38" s="1"/>
  <c r="AF330" i="38"/>
  <c r="AH337" i="38"/>
  <c r="AJ337" i="38" s="1"/>
  <c r="S440" i="38"/>
  <c r="AD346" i="38"/>
  <c r="AD347" i="38" s="1"/>
  <c r="AE361" i="38"/>
  <c r="AE362" i="38"/>
  <c r="AE367" i="38"/>
  <c r="W381" i="38"/>
  <c r="W374" i="38"/>
  <c r="AD387" i="38"/>
  <c r="AH395" i="38"/>
  <c r="AJ395" i="38" s="1"/>
  <c r="AD397" i="38"/>
  <c r="AH397" i="38" s="1"/>
  <c r="R401" i="38"/>
  <c r="T414" i="38"/>
  <c r="T445" i="38" s="1"/>
  <c r="AD416" i="38"/>
  <c r="AH422" i="38"/>
  <c r="V1485" i="38"/>
  <c r="V1484" i="38" s="1"/>
  <c r="V1476" i="38"/>
  <c r="V453" i="38"/>
  <c r="V452" i="38" s="1"/>
  <c r="U1476" i="38"/>
  <c r="U1485" i="38"/>
  <c r="AC1476" i="38"/>
  <c r="T1488" i="38"/>
  <c r="T1487" i="38" s="1"/>
  <c r="T1478" i="38"/>
  <c r="AB1478" i="38"/>
  <c r="AJ472" i="38"/>
  <c r="AJ471" i="38" s="1"/>
  <c r="AJ470" i="38" s="1"/>
  <c r="AH471" i="38"/>
  <c r="AH470" i="38" s="1"/>
  <c r="AJ570" i="38"/>
  <c r="AJ569" i="38" s="1"/>
  <c r="V583" i="38"/>
  <c r="U794" i="38"/>
  <c r="U793" i="38" s="1"/>
  <c r="U384" i="38"/>
  <c r="AC794" i="38"/>
  <c r="AC793" i="38" s="1"/>
  <c r="AC384" i="38"/>
  <c r="AC381" i="38" s="1"/>
  <c r="T432" i="38"/>
  <c r="AB432" i="38"/>
  <c r="AE210" i="38"/>
  <c r="AE241" i="38" s="1"/>
  <c r="AE218" i="38"/>
  <c r="AE249" i="38" s="1"/>
  <c r="AG279" i="38"/>
  <c r="Y438" i="38"/>
  <c r="Y284" i="38"/>
  <c r="AF305" i="38"/>
  <c r="AF300" i="38" s="1"/>
  <c r="R335" i="38"/>
  <c r="R311" i="38"/>
  <c r="AG315" i="38"/>
  <c r="AI324" i="38"/>
  <c r="AH334" i="38"/>
  <c r="AJ334" i="38" s="1"/>
  <c r="T440" i="38"/>
  <c r="AF350" i="38"/>
  <c r="AF346" i="38" s="1"/>
  <c r="AF347" i="38" s="1"/>
  <c r="X353" i="38"/>
  <c r="AG355" i="38"/>
  <c r="AG374" i="38" s="1"/>
  <c r="R375" i="38"/>
  <c r="AD356" i="38"/>
  <c r="AI360" i="38"/>
  <c r="AG367" i="38"/>
  <c r="AI369" i="38"/>
  <c r="AI367" i="38" s="1"/>
  <c r="AJ370" i="38"/>
  <c r="AF382" i="38"/>
  <c r="AI382" i="38" s="1"/>
  <c r="AD376" i="38"/>
  <c r="S377" i="38"/>
  <c r="AG387" i="38"/>
  <c r="AA385" i="38"/>
  <c r="R421" i="38"/>
  <c r="AD391" i="38"/>
  <c r="R389" i="38"/>
  <c r="Z421" i="38"/>
  <c r="Z418" i="38" s="1"/>
  <c r="Z403" i="38"/>
  <c r="AF391" i="38"/>
  <c r="AF389" i="38" s="1"/>
  <c r="Z389" i="38"/>
  <c r="AJ393" i="38"/>
  <c r="AG397" i="38"/>
  <c r="AJ409" i="38"/>
  <c r="AE445" i="38"/>
  <c r="W1485" i="38"/>
  <c r="W1476" i="38"/>
  <c r="W453" i="38"/>
  <c r="W452" i="38" s="1"/>
  <c r="AI464" i="38"/>
  <c r="AJ479" i="38"/>
  <c r="AJ477" i="38" s="1"/>
  <c r="AJ476" i="38" s="1"/>
  <c r="AJ475" i="38" s="1"/>
  <c r="AH477" i="38"/>
  <c r="AH476" i="38" s="1"/>
  <c r="AH475" i="38" s="1"/>
  <c r="R755" i="38"/>
  <c r="R754" i="38" s="1"/>
  <c r="R355" i="38"/>
  <c r="Z755" i="38"/>
  <c r="Z754" i="38" s="1"/>
  <c r="Z355" i="38"/>
  <c r="AD848" i="38"/>
  <c r="AH848" i="38" s="1"/>
  <c r="R843" i="38"/>
  <c r="AG330" i="38"/>
  <c r="T376" i="38"/>
  <c r="R378" i="38"/>
  <c r="R381" i="38"/>
  <c r="Z381" i="38"/>
  <c r="AH386" i="38"/>
  <c r="AF402" i="38"/>
  <c r="W403" i="38"/>
  <c r="AF445" i="38"/>
  <c r="AG414" i="38"/>
  <c r="X444" i="38"/>
  <c r="X1485" i="38"/>
  <c r="X1476" i="38"/>
  <c r="X453" i="38"/>
  <c r="X452" i="38" s="1"/>
  <c r="S1497" i="38"/>
  <c r="S1506" i="38" s="1"/>
  <c r="S1488" i="38"/>
  <c r="S1478" i="38"/>
  <c r="U460" i="38"/>
  <c r="U459" i="38" s="1"/>
  <c r="AC460" i="38"/>
  <c r="AC459" i="38" s="1"/>
  <c r="AF461" i="38"/>
  <c r="AF460" i="38" s="1"/>
  <c r="AF459" i="38" s="1"/>
  <c r="AF453" i="38" s="1"/>
  <c r="AF452" i="38" s="1"/>
  <c r="AI463" i="38"/>
  <c r="AJ463" i="38" s="1"/>
  <c r="AA1486" i="38"/>
  <c r="AA1477" i="38"/>
  <c r="AA469" i="38"/>
  <c r="AA452" i="38" s="1"/>
  <c r="AF476" i="38"/>
  <c r="AF475" i="38" s="1"/>
  <c r="AJ491" i="38"/>
  <c r="AJ519" i="38"/>
  <c r="AJ518" i="38" s="1"/>
  <c r="AH518" i="38"/>
  <c r="AJ524" i="38"/>
  <c r="AH528" i="38"/>
  <c r="AJ528" i="38" s="1"/>
  <c r="AD525" i="38"/>
  <c r="S553" i="38"/>
  <c r="R1533" i="38"/>
  <c r="R1524" i="38"/>
  <c r="AC1533" i="38"/>
  <c r="AC1524" i="38"/>
  <c r="AC568" i="38"/>
  <c r="AI579" i="38"/>
  <c r="AI577" i="38" s="1"/>
  <c r="AJ682" i="38"/>
  <c r="AD691" i="38"/>
  <c r="T381" i="38"/>
  <c r="R385" i="38"/>
  <c r="AE391" i="38"/>
  <c r="AE389" i="38" s="1"/>
  <c r="AH400" i="38"/>
  <c r="AJ400" i="38" s="1"/>
  <c r="V407" i="38"/>
  <c r="Y444" i="38"/>
  <c r="AH458" i="38"/>
  <c r="AJ458" i="38" s="1"/>
  <c r="R1488" i="38"/>
  <c r="AD1479" i="38"/>
  <c r="V1488" i="38"/>
  <c r="V1478" i="38"/>
  <c r="V1497" i="38"/>
  <c r="V1506" i="38" s="1"/>
  <c r="AI461" i="38"/>
  <c r="AI460" i="38" s="1"/>
  <c r="AI459" i="38" s="1"/>
  <c r="AB1486" i="38"/>
  <c r="AB1477" i="38"/>
  <c r="AB1495" i="38" s="1"/>
  <c r="AB1504" i="38" s="1"/>
  <c r="AB469" i="38"/>
  <c r="W1489" i="38"/>
  <c r="W1498" i="38" s="1"/>
  <c r="W1507" i="38" s="1"/>
  <c r="R494" i="38"/>
  <c r="R493" i="38" s="1"/>
  <c r="R492" i="38" s="1"/>
  <c r="R129" i="38" s="1"/>
  <c r="AD495" i="38"/>
  <c r="Z492" i="38"/>
  <c r="Z129" i="38" s="1"/>
  <c r="AH513" i="38"/>
  <c r="T1523" i="38"/>
  <c r="T1532" i="38"/>
  <c r="T553" i="38"/>
  <c r="T552" i="38" s="1"/>
  <c r="AB1523" i="38"/>
  <c r="AB1532" i="38"/>
  <c r="AH559" i="38"/>
  <c r="AD558" i="38"/>
  <c r="AD557" i="38" s="1"/>
  <c r="AE568" i="38"/>
  <c r="Z1533" i="38"/>
  <c r="Z1524" i="38"/>
  <c r="Z568" i="38"/>
  <c r="Z552" i="38" s="1"/>
  <c r="AJ582" i="38"/>
  <c r="AH613" i="38"/>
  <c r="AD612" i="38"/>
  <c r="AE675" i="38"/>
  <c r="U673" i="38"/>
  <c r="AC672" i="38"/>
  <c r="AC664" i="38" s="1"/>
  <c r="AE693" i="38"/>
  <c r="AE691" i="38" s="1"/>
  <c r="AG781" i="38"/>
  <c r="AI785" i="38"/>
  <c r="R839" i="38"/>
  <c r="R1511" i="38" s="1"/>
  <c r="R835" i="38"/>
  <c r="AJ863" i="38"/>
  <c r="AE440" i="38"/>
  <c r="AD445" i="38"/>
  <c r="AC418" i="38"/>
  <c r="W1488" i="38"/>
  <c r="W1487" i="38" s="1"/>
  <c r="W1478" i="38"/>
  <c r="W1496" i="38" s="1"/>
  <c r="W1505" i="38" s="1"/>
  <c r="R1486" i="38"/>
  <c r="R1477" i="38"/>
  <c r="T1489" i="38"/>
  <c r="T1498" i="38"/>
  <c r="T1507" i="38" s="1"/>
  <c r="S486" i="38"/>
  <c r="S485" i="38" s="1"/>
  <c r="W510" i="38"/>
  <c r="AI537" i="38"/>
  <c r="AI536" i="38" s="1"/>
  <c r="X1520" i="38"/>
  <c r="X1529" i="38"/>
  <c r="X553" i="38"/>
  <c r="X552" i="38" s="1"/>
  <c r="W1532" i="38"/>
  <c r="W1523" i="38"/>
  <c r="W553" i="38"/>
  <c r="W552" i="38" s="1"/>
  <c r="U1532" i="38"/>
  <c r="U1523" i="38"/>
  <c r="U553" i="38"/>
  <c r="U552" i="38" s="1"/>
  <c r="AC1532" i="38"/>
  <c r="AC1523" i="38"/>
  <c r="AC553" i="38"/>
  <c r="AC552" i="38" s="1"/>
  <c r="AJ567" i="38"/>
  <c r="AE611" i="38"/>
  <c r="AD648" i="38"/>
  <c r="AJ797" i="38"/>
  <c r="AH795" i="38"/>
  <c r="W838" i="38"/>
  <c r="W1237" i="38" s="1"/>
  <c r="W1238" i="38" s="1"/>
  <c r="AG331" i="38"/>
  <c r="U381" i="38"/>
  <c r="AG386" i="38"/>
  <c r="Y385" i="38"/>
  <c r="AF397" i="38"/>
  <c r="AE420" i="38"/>
  <c r="AE418" i="38" s="1"/>
  <c r="AE419" i="38" s="1"/>
  <c r="U440" i="38"/>
  <c r="AG445" i="38"/>
  <c r="R453" i="38"/>
  <c r="S1476" i="38"/>
  <c r="S1485" i="38"/>
  <c r="AA1476" i="38"/>
  <c r="AA1485" i="38"/>
  <c r="AH456" i="38"/>
  <c r="AD455" i="38"/>
  <c r="AD454" i="38" s="1"/>
  <c r="AD453" i="38" s="1"/>
  <c r="AA1488" i="38"/>
  <c r="AA1478" i="38"/>
  <c r="AF1479" i="38"/>
  <c r="X1488" i="38"/>
  <c r="X1478" i="38"/>
  <c r="AH466" i="38"/>
  <c r="AJ466" i="38" s="1"/>
  <c r="AJ467" i="38"/>
  <c r="S1486" i="38"/>
  <c r="S1477" i="38"/>
  <c r="S469" i="38"/>
  <c r="U1498" i="38"/>
  <c r="U1489" i="38"/>
  <c r="AE1480" i="38"/>
  <c r="Y476" i="38"/>
  <c r="Y475" i="38" s="1"/>
  <c r="Y469" i="38" s="1"/>
  <c r="Y452" i="38" s="1"/>
  <c r="AI502" i="38"/>
  <c r="AH505" i="38"/>
  <c r="AJ515" i="38"/>
  <c r="AJ538" i="38"/>
  <c r="AH539" i="38"/>
  <c r="AJ539" i="38" s="1"/>
  <c r="AD537" i="38"/>
  <c r="AD536" i="38" s="1"/>
  <c r="AJ541" i="38"/>
  <c r="AE544" i="38"/>
  <c r="AE543" i="38" s="1"/>
  <c r="AH545" i="38"/>
  <c r="Y1529" i="38"/>
  <c r="Y1520" i="38"/>
  <c r="Y553" i="38"/>
  <c r="AF553" i="38"/>
  <c r="AJ556" i="38"/>
  <c r="X1532" i="38"/>
  <c r="X1523" i="38"/>
  <c r="AF557" i="38"/>
  <c r="AJ580" i="38"/>
  <c r="AC583" i="38"/>
  <c r="AI758" i="38"/>
  <c r="X1237" i="38"/>
  <c r="W440" i="38"/>
  <c r="AG363" i="38"/>
  <c r="AG362" i="38" s="1"/>
  <c r="T408" i="38"/>
  <c r="AB408" i="38"/>
  <c r="S452" i="38"/>
  <c r="T1476" i="38"/>
  <c r="T1485" i="38"/>
  <c r="T453" i="38"/>
  <c r="AB1476" i="38"/>
  <c r="AB1485" i="38"/>
  <c r="AB1484" i="38" s="1"/>
  <c r="AB453" i="38"/>
  <c r="AB452" i="38" s="1"/>
  <c r="Y1497" i="38"/>
  <c r="Y1506" i="38" s="1"/>
  <c r="Y1488" i="38"/>
  <c r="AH465" i="38"/>
  <c r="T1486" i="38"/>
  <c r="T1477" i="38"/>
  <c r="T1495" i="38" s="1"/>
  <c r="T1504" i="38" s="1"/>
  <c r="T469" i="38"/>
  <c r="W1477" i="38"/>
  <c r="W1486" i="38"/>
  <c r="AF469" i="38"/>
  <c r="AI471" i="38"/>
  <c r="AI470" i="38" s="1"/>
  <c r="AI469" i="38" s="1"/>
  <c r="V1489" i="38"/>
  <c r="V1498" i="38" s="1"/>
  <c r="V1507" i="38" s="1"/>
  <c r="R476" i="38"/>
  <c r="R475" i="38" s="1"/>
  <c r="Z476" i="38"/>
  <c r="Z475" i="38" s="1"/>
  <c r="Z469" i="38" s="1"/>
  <c r="AJ481" i="38"/>
  <c r="AJ480" i="38" s="1"/>
  <c r="U486" i="38"/>
  <c r="U485" i="38" s="1"/>
  <c r="AC486" i="38"/>
  <c r="AC485" i="38" s="1"/>
  <c r="AJ496" i="38"/>
  <c r="AH498" i="38"/>
  <c r="AD497" i="38"/>
  <c r="R510" i="38"/>
  <c r="AH542" i="38"/>
  <c r="AJ542" i="38" s="1"/>
  <c r="AI554" i="38"/>
  <c r="AI565" i="38"/>
  <c r="AJ565" i="38" s="1"/>
  <c r="AF562" i="38"/>
  <c r="AH617" i="38"/>
  <c r="AD616" i="38"/>
  <c r="AI650" i="38"/>
  <c r="AI649" i="38" s="1"/>
  <c r="AI648" i="38" s="1"/>
  <c r="AF649" i="38"/>
  <c r="AF648" i="38" s="1"/>
  <c r="AH741" i="38"/>
  <c r="AJ821" i="38"/>
  <c r="Y1485" i="38"/>
  <c r="Y1484" i="38" s="1"/>
  <c r="Y1476" i="38"/>
  <c r="U1486" i="38"/>
  <c r="AE1486" i="38" s="1"/>
  <c r="U1477" i="38"/>
  <c r="AC1486" i="38"/>
  <c r="AC1484" i="38" s="1"/>
  <c r="AC1477" i="38"/>
  <c r="AC1495" i="38" s="1"/>
  <c r="AC1504" i="38" s="1"/>
  <c r="AI522" i="38"/>
  <c r="AI521" i="38" s="1"/>
  <c r="AG521" i="38"/>
  <c r="AJ527" i="38"/>
  <c r="AH529" i="38"/>
  <c r="AJ532" i="38"/>
  <c r="AJ555" i="38"/>
  <c r="AJ554" i="38" s="1"/>
  <c r="AH554" i="38"/>
  <c r="AH563" i="38"/>
  <c r="AD562" i="38"/>
  <c r="W1521" i="38"/>
  <c r="U1533" i="38"/>
  <c r="AE1533" i="38" s="1"/>
  <c r="U1524" i="38"/>
  <c r="AH596" i="38"/>
  <c r="AJ596" i="38" s="1"/>
  <c r="AD593" i="38"/>
  <c r="AH622" i="38"/>
  <c r="AJ622" i="38" s="1"/>
  <c r="AD620" i="38"/>
  <c r="AF634" i="38"/>
  <c r="AH636" i="38"/>
  <c r="AJ636" i="38" s="1"/>
  <c r="AD634" i="38"/>
  <c r="AD633" i="38" s="1"/>
  <c r="AD632" i="38" s="1"/>
  <c r="Y1572" i="38"/>
  <c r="Y1565" i="38"/>
  <c r="Y1580" i="38" s="1"/>
  <c r="Y1587" i="38" s="1"/>
  <c r="Y648" i="38"/>
  <c r="Y632" i="38" s="1"/>
  <c r="AD703" i="38"/>
  <c r="AH703" i="38" s="1"/>
  <c r="AJ740" i="38"/>
  <c r="AA1397" i="38"/>
  <c r="AA1396" i="38" s="1"/>
  <c r="AJ956" i="38"/>
  <c r="AI952" i="38"/>
  <c r="R1485" i="38"/>
  <c r="R1476" i="38"/>
  <c r="Z1485" i="38"/>
  <c r="Z1484" i="38" s="1"/>
  <c r="Z1476" i="38"/>
  <c r="AG461" i="38"/>
  <c r="AF464" i="38"/>
  <c r="V1486" i="38"/>
  <c r="V1477" i="38"/>
  <c r="V1495" i="38" s="1"/>
  <c r="V1504" i="38" s="1"/>
  <c r="R486" i="38"/>
  <c r="W486" i="38"/>
  <c r="W485" i="38" s="1"/>
  <c r="AE486" i="38"/>
  <c r="AG505" i="38"/>
  <c r="AG512" i="38"/>
  <c r="AG511" i="38" s="1"/>
  <c r="T1529" i="38"/>
  <c r="T1528" i="38" s="1"/>
  <c r="T1520" i="38"/>
  <c r="AB1529" i="38"/>
  <c r="AB1528" i="38" s="1"/>
  <c r="AB1520" i="38"/>
  <c r="AA1532" i="38"/>
  <c r="AA1523" i="38"/>
  <c r="AI559" i="38"/>
  <c r="AI558" i="38" s="1"/>
  <c r="AI557" i="38" s="1"/>
  <c r="AG558" i="38"/>
  <c r="AG557" i="38" s="1"/>
  <c r="AG553" i="38" s="1"/>
  <c r="AG552" i="38" s="1"/>
  <c r="AE562" i="38"/>
  <c r="AE553" i="38" s="1"/>
  <c r="AE552" i="38" s="1"/>
  <c r="X1524" i="38"/>
  <c r="X1533" i="38"/>
  <c r="X568" i="38"/>
  <c r="AH578" i="38"/>
  <c r="W584" i="38"/>
  <c r="AJ602" i="38"/>
  <c r="AJ601" i="38" s="1"/>
  <c r="AH601" i="38"/>
  <c r="S607" i="38"/>
  <c r="S583" i="38" s="1"/>
  <c r="AJ629" i="38"/>
  <c r="AJ637" i="38"/>
  <c r="V1567" i="38"/>
  <c r="V633" i="38"/>
  <c r="AH642" i="38"/>
  <c r="AJ653" i="38"/>
  <c r="AG656" i="38"/>
  <c r="AG648" i="38" s="1"/>
  <c r="W672" i="38"/>
  <c r="W664" i="38" s="1"/>
  <c r="W663" i="38" s="1"/>
  <c r="AH674" i="38"/>
  <c r="AG703" i="38"/>
  <c r="AI703" i="38" s="1"/>
  <c r="AJ704" i="38"/>
  <c r="AH736" i="38"/>
  <c r="AI743" i="38"/>
  <c r="AI741" i="38" s="1"/>
  <c r="AG741" i="38"/>
  <c r="AB1397" i="38"/>
  <c r="AG464" i="38"/>
  <c r="AD477" i="38"/>
  <c r="AD476" i="38" s="1"/>
  <c r="AD475" i="38" s="1"/>
  <c r="AD469" i="38" s="1"/>
  <c r="AI506" i="38"/>
  <c r="AI505" i="38" s="1"/>
  <c r="AI513" i="38"/>
  <c r="AI512" i="38" s="1"/>
  <c r="AI511" i="38" s="1"/>
  <c r="AA516" i="38"/>
  <c r="AF517" i="38"/>
  <c r="AF516" i="38" s="1"/>
  <c r="AF510" i="38" s="1"/>
  <c r="AD518" i="38"/>
  <c r="AD517" i="38" s="1"/>
  <c r="AE525" i="38"/>
  <c r="AI530" i="38"/>
  <c r="AG529" i="38"/>
  <c r="AE536" i="38"/>
  <c r="Y1524" i="38"/>
  <c r="Y1542" i="38" s="1"/>
  <c r="Y1551" i="38" s="1"/>
  <c r="Y1533" i="38"/>
  <c r="Y568" i="38"/>
  <c r="R589" i="38"/>
  <c r="R588" i="38" s="1"/>
  <c r="R183" i="38" s="1"/>
  <c r="AD590" i="38"/>
  <c r="AI621" i="38"/>
  <c r="AI620" i="38" s="1"/>
  <c r="AG620" i="38"/>
  <c r="R1571" i="38"/>
  <c r="R1564" i="38"/>
  <c r="R633" i="38"/>
  <c r="R632" i="38" s="1"/>
  <c r="Z1571" i="38"/>
  <c r="Z1564" i="38"/>
  <c r="Z633" i="38"/>
  <c r="Z632" i="38" s="1"/>
  <c r="W1574" i="38"/>
  <c r="W1573" i="38" s="1"/>
  <c r="W1567" i="38"/>
  <c r="W633" i="38"/>
  <c r="W632" i="38" s="1"/>
  <c r="AI666" i="38"/>
  <c r="AF665" i="38"/>
  <c r="AJ669" i="38"/>
  <c r="AE673" i="38"/>
  <c r="R735" i="38"/>
  <c r="R265" i="38" s="1"/>
  <c r="AD737" i="38"/>
  <c r="AH737" i="38" s="1"/>
  <c r="AF786" i="38"/>
  <c r="X517" i="38"/>
  <c r="X516" i="38" s="1"/>
  <c r="AH525" i="38"/>
  <c r="AJ530" i="38"/>
  <c r="AF537" i="38"/>
  <c r="AF536" i="38" s="1"/>
  <c r="S1532" i="38"/>
  <c r="S1523" i="38"/>
  <c r="AJ561" i="38"/>
  <c r="AI563" i="38"/>
  <c r="AG562" i="38"/>
  <c r="R1530" i="38"/>
  <c r="R1521" i="38"/>
  <c r="Z1530" i="38"/>
  <c r="Z1521" i="38"/>
  <c r="AF577" i="38"/>
  <c r="AF568" i="38" s="1"/>
  <c r="Y584" i="38"/>
  <c r="Y583" i="38" s="1"/>
  <c r="AG590" i="38"/>
  <c r="AA589" i="38"/>
  <c r="AA588" i="38" s="1"/>
  <c r="AA183" i="38" s="1"/>
  <c r="AG608" i="38"/>
  <c r="AI610" i="38"/>
  <c r="AJ610" i="38" s="1"/>
  <c r="AI627" i="38"/>
  <c r="AI639" i="38"/>
  <c r="AI644" i="38"/>
  <c r="AJ655" i="38"/>
  <c r="AI674" i="38"/>
  <c r="AF673" i="38"/>
  <c r="S672" i="38"/>
  <c r="S664" i="38" s="1"/>
  <c r="S663" i="38" s="1"/>
  <c r="AG675" i="38"/>
  <c r="AA673" i="38"/>
  <c r="AH687" i="38"/>
  <c r="AJ692" i="38"/>
  <c r="AG737" i="38"/>
  <c r="AI737" i="38" s="1"/>
  <c r="AI735" i="38" s="1"/>
  <c r="AA735" i="38"/>
  <c r="AA265" i="38" s="1"/>
  <c r="AJ744" i="38"/>
  <c r="V844" i="38"/>
  <c r="V841" i="38"/>
  <c r="AE846" i="38"/>
  <c r="AH846" i="38"/>
  <c r="AI489" i="38"/>
  <c r="AI531" i="38"/>
  <c r="AJ531" i="38" s="1"/>
  <c r="W1529" i="38"/>
  <c r="W1520" i="38"/>
  <c r="AD554" i="38"/>
  <c r="AD553" i="38" s="1"/>
  <c r="AD552" i="38" s="1"/>
  <c r="V1532" i="38"/>
  <c r="V1523" i="38"/>
  <c r="V553" i="38"/>
  <c r="V552" i="38" s="1"/>
  <c r="AI567" i="38"/>
  <c r="R568" i="38"/>
  <c r="R552" i="38" s="1"/>
  <c r="S1530" i="38"/>
  <c r="S1521" i="38"/>
  <c r="S568" i="38"/>
  <c r="AA1530" i="38"/>
  <c r="AA1521" i="38"/>
  <c r="AA568" i="38"/>
  <c r="AA552" i="38" s="1"/>
  <c r="V1533" i="38"/>
  <c r="V1524" i="38"/>
  <c r="V1542" i="38" s="1"/>
  <c r="V1551" i="38" s="1"/>
  <c r="AI576" i="38"/>
  <c r="AJ576" i="38" s="1"/>
  <c r="AG577" i="38"/>
  <c r="AG568" i="38" s="1"/>
  <c r="AJ579" i="38"/>
  <c r="R584" i="38"/>
  <c r="R583" i="38" s="1"/>
  <c r="Z584" i="38"/>
  <c r="Z583" i="38" s="1"/>
  <c r="AJ598" i="38"/>
  <c r="AJ597" i="38" s="1"/>
  <c r="AJ603" i="38"/>
  <c r="AE609" i="38"/>
  <c r="W608" i="38"/>
  <c r="W1530" i="38" s="1"/>
  <c r="AI614" i="38"/>
  <c r="AJ614" i="38" s="1"/>
  <c r="AF612" i="38"/>
  <c r="AF611" i="38" s="1"/>
  <c r="AF607" i="38" s="1"/>
  <c r="AJ644" i="38"/>
  <c r="AI667" i="38"/>
  <c r="AG665" i="38"/>
  <c r="T672" i="38"/>
  <c r="T664" i="38" s="1"/>
  <c r="T663" i="38" s="1"/>
  <c r="AB672" i="38"/>
  <c r="AB664" i="38" s="1"/>
  <c r="AB663" i="38" s="1"/>
  <c r="AH715" i="38"/>
  <c r="AJ715" i="38" s="1"/>
  <c r="AH733" i="38"/>
  <c r="AJ733" i="38" s="1"/>
  <c r="AF756" i="38"/>
  <c r="AF755" i="38" s="1"/>
  <c r="AF754" i="38" s="1"/>
  <c r="AJ806" i="38"/>
  <c r="AH805" i="38"/>
  <c r="R1529" i="38"/>
  <c r="R1520" i="38"/>
  <c r="Z1529" i="38"/>
  <c r="Z1528" i="38" s="1"/>
  <c r="Z1520" i="38"/>
  <c r="Y1532" i="38"/>
  <c r="Y1531" i="38" s="1"/>
  <c r="Y1523" i="38"/>
  <c r="U1521" i="38"/>
  <c r="U1530" i="38"/>
  <c r="AC1530" i="38"/>
  <c r="AC1521" i="38"/>
  <c r="S1533" i="38"/>
  <c r="S1524" i="38"/>
  <c r="AA1533" i="38"/>
  <c r="AA1524" i="38"/>
  <c r="AG601" i="38"/>
  <c r="AF601" i="38"/>
  <c r="AF584" i="38" s="1"/>
  <c r="AF583" i="38" s="1"/>
  <c r="AI617" i="38"/>
  <c r="AI616" i="38" s="1"/>
  <c r="AG616" i="38"/>
  <c r="AJ619" i="38"/>
  <c r="AE624" i="38"/>
  <c r="S1564" i="38"/>
  <c r="S1571" i="38"/>
  <c r="S633" i="38"/>
  <c r="S632" i="38" s="1"/>
  <c r="AA1564" i="38"/>
  <c r="AA1571" i="38"/>
  <c r="AA633" i="38"/>
  <c r="AA632" i="38" s="1"/>
  <c r="Y1567" i="38"/>
  <c r="Y1574" i="38"/>
  <c r="AI642" i="38"/>
  <c r="AI641" i="38" s="1"/>
  <c r="AF641" i="38"/>
  <c r="AH650" i="38"/>
  <c r="X1568" i="38"/>
  <c r="AJ657" i="38"/>
  <c r="AE687" i="38"/>
  <c r="AE685" i="38" s="1"/>
  <c r="U697" i="38"/>
  <c r="U266" i="38" s="1"/>
  <c r="AH713" i="38"/>
  <c r="AI719" i="38"/>
  <c r="AI717" i="38" s="1"/>
  <c r="AJ720" i="38"/>
  <c r="AJ721" i="38"/>
  <c r="AH726" i="38"/>
  <c r="AJ726" i="38" s="1"/>
  <c r="AH730" i="38"/>
  <c r="AG731" i="38"/>
  <c r="AA729" i="38"/>
  <c r="AA264" i="38" s="1"/>
  <c r="AJ750" i="38"/>
  <c r="AJ758" i="38"/>
  <c r="AJ782" i="38"/>
  <c r="AI792" i="38"/>
  <c r="AG786" i="38"/>
  <c r="Y794" i="38"/>
  <c r="Y793" i="38" s="1"/>
  <c r="AI810" i="38"/>
  <c r="AH815" i="38"/>
  <c r="AI843" i="38"/>
  <c r="AA1237" i="38"/>
  <c r="AG838" i="38"/>
  <c r="AH892" i="38"/>
  <c r="AH891" i="38" s="1"/>
  <c r="AH1399" i="38" s="1"/>
  <c r="AE891" i="38"/>
  <c r="AE1399" i="38" s="1"/>
  <c r="AI990" i="38"/>
  <c r="AG987" i="38"/>
  <c r="AD501" i="38"/>
  <c r="AD505" i="38"/>
  <c r="S1529" i="38"/>
  <c r="S1520" i="38"/>
  <c r="AA1529" i="38"/>
  <c r="AA1520" i="38"/>
  <c r="R1523" i="38"/>
  <c r="R1532" i="38"/>
  <c r="Z1523" i="38"/>
  <c r="Z1532" i="38"/>
  <c r="V1521" i="38"/>
  <c r="V1530" i="38"/>
  <c r="AD569" i="38"/>
  <c r="AD568" i="38" s="1"/>
  <c r="T1524" i="38"/>
  <c r="AB1524" i="38"/>
  <c r="T611" i="38"/>
  <c r="T1533" i="38" s="1"/>
  <c r="AB611" i="38"/>
  <c r="AI613" i="38"/>
  <c r="AI612" i="38" s="1"/>
  <c r="AG612" i="38"/>
  <c r="AH615" i="38"/>
  <c r="AJ615" i="38" s="1"/>
  <c r="AH623" i="38"/>
  <c r="AJ623" i="38" s="1"/>
  <c r="AI628" i="38"/>
  <c r="AJ628" i="38" s="1"/>
  <c r="T1564" i="38"/>
  <c r="T1571" i="38"/>
  <c r="T1570" i="38" s="1"/>
  <c r="T1569" i="38" s="1"/>
  <c r="T633" i="38"/>
  <c r="T632" i="38" s="1"/>
  <c r="AB1564" i="38"/>
  <c r="AB1571" i="38"/>
  <c r="AB633" i="38"/>
  <c r="AB632" i="38" s="1"/>
  <c r="AH643" i="38"/>
  <c r="AJ643" i="38" s="1"/>
  <c r="Y1575" i="38"/>
  <c r="Y1568" i="38"/>
  <c r="AH662" i="38"/>
  <c r="AH678" i="38"/>
  <c r="AJ678" i="38" s="1"/>
  <c r="R679" i="38"/>
  <c r="AD681" i="38"/>
  <c r="AH681" i="38" s="1"/>
  <c r="AJ681" i="38" s="1"/>
  <c r="AF687" i="38"/>
  <c r="AF685" i="38" s="1"/>
  <c r="AH695" i="38"/>
  <c r="AJ695" i="38" s="1"/>
  <c r="AH707" i="38"/>
  <c r="AJ707" i="38" s="1"/>
  <c r="Y716" i="38"/>
  <c r="Y708" i="38" s="1"/>
  <c r="Y663" i="38" s="1"/>
  <c r="AD741" i="38"/>
  <c r="AI747" i="38"/>
  <c r="AJ762" i="38"/>
  <c r="AJ761" i="38" s="1"/>
  <c r="AH783" i="38"/>
  <c r="AJ783" i="38" s="1"/>
  <c r="AD781" i="38"/>
  <c r="AH808" i="38"/>
  <c r="AJ808" i="38" s="1"/>
  <c r="AJ819" i="38"/>
  <c r="A845" i="38"/>
  <c r="A839" i="38"/>
  <c r="AH852" i="38"/>
  <c r="AJ852" i="38" s="1"/>
  <c r="AD849" i="38"/>
  <c r="AI625" i="38"/>
  <c r="AI624" i="38" s="1"/>
  <c r="AG624" i="38"/>
  <c r="AG634" i="38"/>
  <c r="AG633" i="38" s="1"/>
  <c r="AI637" i="38"/>
  <c r="AJ645" i="38"/>
  <c r="U1572" i="38"/>
  <c r="AE1572" i="38" s="1"/>
  <c r="U1565" i="38"/>
  <c r="U648" i="38"/>
  <c r="U632" i="38" s="1"/>
  <c r="AC1572" i="38"/>
  <c r="AC1565" i="38"/>
  <c r="AC648" i="38"/>
  <c r="AC632" i="38" s="1"/>
  <c r="R1568" i="38"/>
  <c r="Z1568" i="38"/>
  <c r="AJ661" i="38"/>
  <c r="AJ677" i="38"/>
  <c r="AH680" i="38"/>
  <c r="AD679" i="38"/>
  <c r="AI687" i="38"/>
  <c r="AI685" i="38" s="1"/>
  <c r="AJ689" i="38"/>
  <c r="AJ698" i="38"/>
  <c r="AG699" i="38"/>
  <c r="AA697" i="38"/>
  <c r="AA266" i="38" s="1"/>
  <c r="S708" i="38"/>
  <c r="AD709" i="38"/>
  <c r="Z716" i="38"/>
  <c r="Z708" i="38" s="1"/>
  <c r="Z663" i="38" s="1"/>
  <c r="AC723" i="38"/>
  <c r="AG725" i="38"/>
  <c r="AI725" i="38" s="1"/>
  <c r="AI723" i="38" s="1"/>
  <c r="AI730" i="38"/>
  <c r="AF729" i="38"/>
  <c r="AE741" i="38"/>
  <c r="AH743" i="38"/>
  <c r="AJ743" i="38" s="1"/>
  <c r="AG756" i="38"/>
  <c r="S755" i="38"/>
  <c r="S754" i="38" s="1"/>
  <c r="AA755" i="38"/>
  <c r="AA754" i="38" s="1"/>
  <c r="AH763" i="38"/>
  <c r="AJ763" i="38" s="1"/>
  <c r="AE761" i="38"/>
  <c r="AD786" i="38"/>
  <c r="AH790" i="38"/>
  <c r="AJ790" i="38" s="1"/>
  <c r="AD847" i="38"/>
  <c r="AH847" i="38" s="1"/>
  <c r="AJ847" i="38" s="1"/>
  <c r="S842" i="38"/>
  <c r="S837" i="38" s="1"/>
  <c r="AD896" i="38"/>
  <c r="AD1400" i="38" s="1"/>
  <c r="U1529" i="38"/>
  <c r="U1520" i="38"/>
  <c r="AC1529" i="38"/>
  <c r="AC1520" i="38"/>
  <c r="X1530" i="38"/>
  <c r="X1521" i="38"/>
  <c r="AI602" i="38"/>
  <c r="AI601" i="38" s="1"/>
  <c r="V1571" i="38"/>
  <c r="V1570" i="38" s="1"/>
  <c r="V1564" i="38"/>
  <c r="Z648" i="38"/>
  <c r="V1572" i="38"/>
  <c r="V1565" i="38"/>
  <c r="V1580" i="38" s="1"/>
  <c r="V1587" i="38" s="1"/>
  <c r="V648" i="38"/>
  <c r="AH667" i="38"/>
  <c r="AJ667" i="38" s="1"/>
  <c r="AI696" i="38"/>
  <c r="AJ696" i="38" s="1"/>
  <c r="AH705" i="38"/>
  <c r="AJ705" i="38" s="1"/>
  <c r="AE709" i="38"/>
  <c r="AE717" i="38"/>
  <c r="AH719" i="38"/>
  <c r="AG723" i="38"/>
  <c r="AJ724" i="38"/>
  <c r="AD723" i="38"/>
  <c r="AF737" i="38"/>
  <c r="AJ749" i="38"/>
  <c r="AI757" i="38"/>
  <c r="AI756" i="38" s="1"/>
  <c r="AE756" i="38"/>
  <c r="AH759" i="38"/>
  <c r="AJ759" i="38" s="1"/>
  <c r="AH784" i="38"/>
  <c r="AH809" i="38"/>
  <c r="AH822" i="38"/>
  <c r="AD820" i="38"/>
  <c r="AJ826" i="38"/>
  <c r="AI828" i="38"/>
  <c r="AI825" i="38" s="1"/>
  <c r="AF825" i="38"/>
  <c r="AC1510" i="38"/>
  <c r="V1520" i="38"/>
  <c r="V1529" i="38"/>
  <c r="V1528" i="38" s="1"/>
  <c r="Y1530" i="38"/>
  <c r="Y1521" i="38"/>
  <c r="AH621" i="38"/>
  <c r="AH627" i="38"/>
  <c r="AJ627" i="38" s="1"/>
  <c r="AH635" i="38"/>
  <c r="AE634" i="38"/>
  <c r="AE633" i="38" s="1"/>
  <c r="AH639" i="38"/>
  <c r="U1567" i="38"/>
  <c r="AC1567" i="38"/>
  <c r="W1565" i="38"/>
  <c r="W1580" i="38" s="1"/>
  <c r="W1587" i="38" s="1"/>
  <c r="W1572" i="38"/>
  <c r="W648" i="38"/>
  <c r="AD656" i="38"/>
  <c r="AH666" i="38"/>
  <c r="V672" i="38"/>
  <c r="V1574" i="38" s="1"/>
  <c r="V1573" i="38" s="1"/>
  <c r="AD685" i="38"/>
  <c r="AC691" i="38"/>
  <c r="AC265" i="38" s="1"/>
  <c r="AC251" i="38" s="1"/>
  <c r="AG693" i="38"/>
  <c r="AI698" i="38"/>
  <c r="AF697" i="38"/>
  <c r="AE725" i="38"/>
  <c r="AE723" i="38" s="1"/>
  <c r="AH734" i="38"/>
  <c r="AJ734" i="38" s="1"/>
  <c r="AH747" i="38"/>
  <c r="AJ747" i="38" s="1"/>
  <c r="U755" i="38"/>
  <c r="U754" i="38" s="1"/>
  <c r="AC755" i="38"/>
  <c r="AC754" i="38" s="1"/>
  <c r="AG761" i="38"/>
  <c r="AI763" i="38"/>
  <c r="AJ769" i="38"/>
  <c r="AH766" i="38"/>
  <c r="AJ773" i="38"/>
  <c r="AJ771" i="38" s="1"/>
  <c r="AH771" i="38"/>
  <c r="AH791" i="38"/>
  <c r="AI830" i="38"/>
  <c r="AJ830" i="38" s="1"/>
  <c r="AG825" i="38"/>
  <c r="AA842" i="38"/>
  <c r="U1571" i="38"/>
  <c r="U1564" i="38"/>
  <c r="AC1571" i="38"/>
  <c r="AC1564" i="38"/>
  <c r="X1567" i="38"/>
  <c r="X1565" i="38"/>
  <c r="X1572" i="38"/>
  <c r="S1575" i="38"/>
  <c r="S1568" i="38"/>
  <c r="AA1568" i="38"/>
  <c r="X673" i="38"/>
  <c r="AD675" i="38"/>
  <c r="AH675" i="38" s="1"/>
  <c r="X697" i="38"/>
  <c r="X266" i="38" s="1"/>
  <c r="AD699" i="38"/>
  <c r="X729" i="38"/>
  <c r="X264" i="38" s="1"/>
  <c r="AD731" i="38"/>
  <c r="AH731" i="38" s="1"/>
  <c r="AI784" i="38"/>
  <c r="AJ785" i="38"/>
  <c r="AI791" i="38"/>
  <c r="AJ792" i="38"/>
  <c r="R794" i="38"/>
  <c r="R793" i="38" s="1"/>
  <c r="Z794" i="38"/>
  <c r="Z793" i="38" s="1"/>
  <c r="AH803" i="38"/>
  <c r="AD800" i="38"/>
  <c r="AI809" i="38"/>
  <c r="AI805" i="38" s="1"/>
  <c r="R837" i="38"/>
  <c r="AB837" i="38"/>
  <c r="AB834" i="38" s="1"/>
  <c r="AB1465" i="38" s="1"/>
  <c r="AB1463" i="38" s="1"/>
  <c r="AB839" i="38"/>
  <c r="AB1511" i="38" s="1"/>
  <c r="AB1510" i="38" s="1"/>
  <c r="AH853" i="38"/>
  <c r="X1397" i="38"/>
  <c r="X1396" i="38" s="1"/>
  <c r="X879" i="38"/>
  <c r="AI881" i="38"/>
  <c r="AG880" i="38"/>
  <c r="AI886" i="38"/>
  <c r="AG885" i="38"/>
  <c r="AG1398" i="38" s="1"/>
  <c r="AE897" i="38"/>
  <c r="T1568" i="38"/>
  <c r="T1575" i="38"/>
  <c r="AB1568" i="38"/>
  <c r="AB1575" i="38"/>
  <c r="AJ766" i="38"/>
  <c r="AH777" i="38"/>
  <c r="AD776" i="38"/>
  <c r="AJ778" i="38"/>
  <c r="AJ787" i="38"/>
  <c r="AH786" i="38"/>
  <c r="AH799" i="38"/>
  <c r="AJ799" i="38" s="1"/>
  <c r="AJ795" i="38" s="1"/>
  <c r="AD795" i="38"/>
  <c r="AF820" i="38"/>
  <c r="AF794" i="38" s="1"/>
  <c r="AF793" i="38" s="1"/>
  <c r="AE835" i="38"/>
  <c r="AF840" i="38"/>
  <c r="AF854" i="38"/>
  <c r="Y1397" i="38"/>
  <c r="Y1396" i="38" s="1"/>
  <c r="Y879" i="38"/>
  <c r="W1571" i="38"/>
  <c r="W1570" i="38" s="1"/>
  <c r="W1569" i="38" s="1"/>
  <c r="W1564" i="38"/>
  <c r="R1567" i="38"/>
  <c r="Z1574" i="38"/>
  <c r="Z1567" i="38"/>
  <c r="R1565" i="38"/>
  <c r="R1572" i="38"/>
  <c r="Z1572" i="38"/>
  <c r="Z1565" i="38"/>
  <c r="U1575" i="38"/>
  <c r="U1568" i="38"/>
  <c r="AC1568" i="38"/>
  <c r="X679" i="38"/>
  <c r="X263" i="38" s="1"/>
  <c r="AF679" i="38"/>
  <c r="AF735" i="38"/>
  <c r="AF716" i="38" s="1"/>
  <c r="AI766" i="38"/>
  <c r="AI786" i="38"/>
  <c r="AJ813" i="38"/>
  <c r="AJ817" i="38"/>
  <c r="Y1510" i="38"/>
  <c r="AF893" i="38"/>
  <c r="AF891" i="38" s="1"/>
  <c r="Z891" i="38"/>
  <c r="Z1399" i="38" s="1"/>
  <c r="AI905" i="38"/>
  <c r="AJ905" i="38" s="1"/>
  <c r="AG902" i="38"/>
  <c r="AG1401" i="38" s="1"/>
  <c r="X1571" i="38"/>
  <c r="X1564" i="38"/>
  <c r="S1567" i="38"/>
  <c r="AA1567" i="38"/>
  <c r="S1572" i="38"/>
  <c r="S1565" i="38"/>
  <c r="AA1565" i="38"/>
  <c r="AA1572" i="38"/>
  <c r="V1568" i="38"/>
  <c r="V1583" i="38" s="1"/>
  <c r="V1590" i="38" s="1"/>
  <c r="V1575" i="38"/>
  <c r="AH757" i="38"/>
  <c r="AH811" i="38"/>
  <c r="AD810" i="38"/>
  <c r="Y835" i="38"/>
  <c r="Z839" i="38"/>
  <c r="Z1511" i="38" s="1"/>
  <c r="Z1510" i="38" s="1"/>
  <c r="Z835" i="38"/>
  <c r="AF843" i="38"/>
  <c r="AG844" i="38"/>
  <c r="U1554" i="38"/>
  <c r="R854" i="38"/>
  <c r="R1555" i="38" s="1"/>
  <c r="AD855" i="38"/>
  <c r="AI860" i="38"/>
  <c r="AI859" i="38" s="1"/>
  <c r="Z885" i="38"/>
  <c r="Z1398" i="38" s="1"/>
  <c r="AF886" i="38"/>
  <c r="AF885" i="38" s="1"/>
  <c r="AF1398" i="38" s="1"/>
  <c r="S891" i="38"/>
  <c r="S1399" i="38" s="1"/>
  <c r="AA891" i="38"/>
  <c r="AA1399" i="38" s="1"/>
  <c r="Y1564" i="38"/>
  <c r="Y1571" i="38"/>
  <c r="Y1570" i="38" s="1"/>
  <c r="T1574" i="38"/>
  <c r="T1573" i="38" s="1"/>
  <c r="T1567" i="38"/>
  <c r="AB1567" i="38"/>
  <c r="T1572" i="38"/>
  <c r="T1565" i="38"/>
  <c r="T1580" i="38" s="1"/>
  <c r="T1587" i="38" s="1"/>
  <c r="AB1572" i="38"/>
  <c r="AB1565" i="38"/>
  <c r="W1575" i="38"/>
  <c r="W1568" i="38"/>
  <c r="W1583" i="38" s="1"/>
  <c r="W1590" i="38" s="1"/>
  <c r="AE656" i="38"/>
  <c r="AE648" i="38" s="1"/>
  <c r="AF709" i="38"/>
  <c r="AI761" i="38"/>
  <c r="AH770" i="38"/>
  <c r="AJ770" i="38" s="1"/>
  <c r="AD766" i="38"/>
  <c r="AD755" i="38" s="1"/>
  <c r="AD754" i="38" s="1"/>
  <c r="AG776" i="38"/>
  <c r="AI778" i="38"/>
  <c r="AI776" i="38" s="1"/>
  <c r="AJ779" i="38"/>
  <c r="AG810" i="38"/>
  <c r="AG794" i="38" s="1"/>
  <c r="AG793" i="38" s="1"/>
  <c r="AI814" i="38"/>
  <c r="AJ814" i="38" s="1"/>
  <c r="AJ823" i="38"/>
  <c r="V1237" i="38"/>
  <c r="V1238" i="38" s="1"/>
  <c r="AE838" i="38"/>
  <c r="AF848" i="38"/>
  <c r="AI848" i="38" s="1"/>
  <c r="AG1555" i="38"/>
  <c r="AA1554" i="38"/>
  <c r="AF863" i="38"/>
  <c r="AD869" i="38"/>
  <c r="AH870" i="38"/>
  <c r="AI822" i="38"/>
  <c r="AI820" i="38" s="1"/>
  <c r="AE825" i="38"/>
  <c r="Y838" i="38"/>
  <c r="Y1237" i="38" s="1"/>
  <c r="Y1238" i="38" s="1"/>
  <c r="AF845" i="38"/>
  <c r="AI853" i="38"/>
  <c r="AE854" i="38"/>
  <c r="AG856" i="38"/>
  <c r="AI856" i="38" s="1"/>
  <c r="AD857" i="38"/>
  <c r="AH857" i="38" s="1"/>
  <c r="AJ857" i="38" s="1"/>
  <c r="AH858" i="38"/>
  <c r="AJ858" i="38" s="1"/>
  <c r="AH862" i="38"/>
  <c r="AG862" i="38"/>
  <c r="AI862" i="38" s="1"/>
  <c r="AF903" i="38"/>
  <c r="AF902" i="38" s="1"/>
  <c r="AF1401" i="38" s="1"/>
  <c r="Z902" i="38"/>
  <c r="Z1401" i="38" s="1"/>
  <c r="AD805" i="38"/>
  <c r="AD825" i="38"/>
  <c r="AH829" i="38"/>
  <c r="AJ829" i="38" s="1"/>
  <c r="AG836" i="38"/>
  <c r="T839" i="38"/>
  <c r="T1511" i="38" s="1"/>
  <c r="T1510" i="38" s="1"/>
  <c r="X844" i="38"/>
  <c r="X841" i="38"/>
  <c r="AF846" i="38"/>
  <c r="AI846" i="38" s="1"/>
  <c r="AE847" i="38"/>
  <c r="AE844" i="38" s="1"/>
  <c r="U842" i="38"/>
  <c r="AC837" i="38"/>
  <c r="AG857" i="38"/>
  <c r="AI857" i="38" s="1"/>
  <c r="AF860" i="38"/>
  <c r="AE861" i="38"/>
  <c r="AE859" i="38" s="1"/>
  <c r="AH865" i="38"/>
  <c r="T880" i="38"/>
  <c r="AD887" i="38"/>
  <c r="AD885" i="38" s="1"/>
  <c r="AD1398" i="38" s="1"/>
  <c r="T885" i="38"/>
  <c r="T1398" i="38" s="1"/>
  <c r="S896" i="38"/>
  <c r="S1400" i="38" s="1"/>
  <c r="AA896" i="38"/>
  <c r="AA1400" i="38" s="1"/>
  <c r="T1402" i="38"/>
  <c r="AD906" i="38"/>
  <c r="AD1402" i="38" s="1"/>
  <c r="AJ952" i="38"/>
  <c r="R844" i="38"/>
  <c r="AD845" i="38"/>
  <c r="Z844" i="38"/>
  <c r="AG854" i="38"/>
  <c r="AI855" i="38"/>
  <c r="Y859" i="38"/>
  <c r="Y1592" i="38" s="1"/>
  <c r="Y1591" i="38" s="1"/>
  <c r="X1591" i="38"/>
  <c r="AF861" i="38"/>
  <c r="U885" i="38"/>
  <c r="U1398" i="38" s="1"/>
  <c r="T896" i="38"/>
  <c r="T1400" i="38" s="1"/>
  <c r="AB896" i="38"/>
  <c r="AB1400" i="38" s="1"/>
  <c r="AC1402" i="38"/>
  <c r="AG906" i="38"/>
  <c r="Z910" i="38"/>
  <c r="AI816" i="38"/>
  <c r="AI815" i="38" s="1"/>
  <c r="AG815" i="38"/>
  <c r="AE820" i="38"/>
  <c r="AE794" i="38" s="1"/>
  <c r="AE793" i="38" s="1"/>
  <c r="AC834" i="38"/>
  <c r="AC1465" i="38" s="1"/>
  <c r="AC1463" i="38" s="1"/>
  <c r="S844" i="38"/>
  <c r="S840" i="38"/>
  <c r="AD840" i="38" s="1"/>
  <c r="AA844" i="38"/>
  <c r="AA840" i="38"/>
  <c r="AI850" i="38"/>
  <c r="AI849" i="38" s="1"/>
  <c r="AG849" i="38"/>
  <c r="X854" i="38"/>
  <c r="X1555" i="38" s="1"/>
  <c r="AH856" i="38"/>
  <c r="U859" i="38"/>
  <c r="U1592" i="38" s="1"/>
  <c r="R859" i="38"/>
  <c r="R1592" i="38" s="1"/>
  <c r="AD860" i="38"/>
  <c r="Z859" i="38"/>
  <c r="Z1592" i="38" s="1"/>
  <c r="Z1591" i="38" s="1"/>
  <c r="AI861" i="38"/>
  <c r="AI863" i="38"/>
  <c r="AF864" i="38"/>
  <c r="R1396" i="38"/>
  <c r="AC891" i="38"/>
  <c r="AC1399" i="38" s="1"/>
  <c r="AG892" i="38"/>
  <c r="AA910" i="38"/>
  <c r="AH911" i="38"/>
  <c r="AF927" i="38"/>
  <c r="AH931" i="38"/>
  <c r="AE927" i="38"/>
  <c r="AE933" i="38"/>
  <c r="AH935" i="38"/>
  <c r="AH933" i="38" s="1"/>
  <c r="AH964" i="38"/>
  <c r="AH963" i="38" s="1"/>
  <c r="AE963" i="38"/>
  <c r="AH828" i="38"/>
  <c r="AH825" i="38" s="1"/>
  <c r="AI829" i="38"/>
  <c r="U1238" i="38"/>
  <c r="AE1238" i="38" s="1"/>
  <c r="W841" i="38"/>
  <c r="W836" i="38" s="1"/>
  <c r="W834" i="38" s="1"/>
  <c r="W1465" i="38" s="1"/>
  <c r="AJ850" i="38"/>
  <c r="Y854" i="38"/>
  <c r="Y1555" i="38" s="1"/>
  <c r="Y1554" i="38" s="1"/>
  <c r="W854" i="38"/>
  <c r="W1555" i="38" s="1"/>
  <c r="W1554" i="38" s="1"/>
  <c r="S859" i="38"/>
  <c r="S1592" i="38" s="1"/>
  <c r="S1591" i="38" s="1"/>
  <c r="AA859" i="38"/>
  <c r="AA1592" i="38" s="1"/>
  <c r="AI865" i="38"/>
  <c r="AI864" i="38" s="1"/>
  <c r="Z1397" i="38"/>
  <c r="AH881" i="38"/>
  <c r="AH880" i="38" s="1"/>
  <c r="AE880" i="38"/>
  <c r="AF1397" i="38"/>
  <c r="AD892" i="38"/>
  <c r="AD891" i="38" s="1"/>
  <c r="AD1399" i="38" s="1"/>
  <c r="U896" i="38"/>
  <c r="U1400" i="38" s="1"/>
  <c r="AC896" i="38"/>
  <c r="AC1400" i="38" s="1"/>
  <c r="AG897" i="38"/>
  <c r="AG916" i="38"/>
  <c r="AI917" i="38"/>
  <c r="AG941" i="38"/>
  <c r="AG940" i="38" s="1"/>
  <c r="AI942" i="38"/>
  <c r="AG1063" i="38"/>
  <c r="AG1066" i="38"/>
  <c r="AI1067" i="38"/>
  <c r="AJ903" i="38"/>
  <c r="AJ902" i="38" s="1"/>
  <c r="AJ1401" i="38" s="1"/>
  <c r="AI902" i="38"/>
  <c r="AI1401" i="38" s="1"/>
  <c r="AF933" i="38"/>
  <c r="U970" i="38"/>
  <c r="AC970" i="38"/>
  <c r="AH972" i="38"/>
  <c r="AH971" i="38" s="1"/>
  <c r="AE971" i="38"/>
  <c r="AH1055" i="38"/>
  <c r="AH1053" i="38" s="1"/>
  <c r="AE1053" i="38"/>
  <c r="AG864" i="38"/>
  <c r="V910" i="38"/>
  <c r="AF911" i="38"/>
  <c r="AG933" i="38"/>
  <c r="AJ934" i="38"/>
  <c r="AJ933" i="38" s="1"/>
  <c r="AI933" i="38"/>
  <c r="X940" i="38"/>
  <c r="AE946" i="38"/>
  <c r="AH950" i="38"/>
  <c r="AH946" i="38" s="1"/>
  <c r="AH940" i="38" s="1"/>
  <c r="AI961" i="38"/>
  <c r="AJ961" i="38" s="1"/>
  <c r="AG957" i="38"/>
  <c r="AF970" i="38"/>
  <c r="W880" i="38"/>
  <c r="U880" i="38"/>
  <c r="AC880" i="38"/>
  <c r="AD898" i="38"/>
  <c r="W902" i="38"/>
  <c r="W1401" i="38" s="1"/>
  <c r="AE903" i="38"/>
  <c r="W910" i="38"/>
  <c r="AE911" i="38"/>
  <c r="S911" i="38"/>
  <c r="S910" i="38" s="1"/>
  <c r="S881" i="38"/>
  <c r="S880" i="38" s="1"/>
  <c r="AJ923" i="38"/>
  <c r="AJ922" i="38" s="1"/>
  <c r="AI922" i="38"/>
  <c r="Y940" i="38"/>
  <c r="AF946" i="38"/>
  <c r="AD946" i="38"/>
  <c r="AJ1023" i="38"/>
  <c r="AI1071" i="38"/>
  <c r="AJ1071" i="38" s="1"/>
  <c r="AG1065" i="38"/>
  <c r="AG1069" i="38"/>
  <c r="V880" i="38"/>
  <c r="AD880" i="38"/>
  <c r="V885" i="38"/>
  <c r="V1398" i="38" s="1"/>
  <c r="AC902" i="38"/>
  <c r="AC1401" i="38" s="1"/>
  <c r="AJ913" i="38"/>
  <c r="AJ911" i="38" s="1"/>
  <c r="AD940" i="38"/>
  <c r="AF941" i="38"/>
  <c r="AF940" i="38" s="1"/>
  <c r="AJ946" i="38"/>
  <c r="AH957" i="38"/>
  <c r="AI1077" i="38"/>
  <c r="AG1076" i="38"/>
  <c r="W885" i="38"/>
  <c r="W1398" i="38" s="1"/>
  <c r="AE886" i="38"/>
  <c r="AI914" i="38"/>
  <c r="AJ914" i="38" s="1"/>
  <c r="AG911" i="38"/>
  <c r="AG910" i="38" s="1"/>
  <c r="AF916" i="38"/>
  <c r="AE922" i="38"/>
  <c r="AI927" i="38"/>
  <c r="AG952" i="38"/>
  <c r="AI976" i="38"/>
  <c r="AJ977" i="38"/>
  <c r="AJ976" i="38" s="1"/>
  <c r="AJ1232" i="38"/>
  <c r="AE906" i="38"/>
  <c r="AG927" i="38"/>
  <c r="W970" i="38"/>
  <c r="AI972" i="38"/>
  <c r="AG971" i="38"/>
  <c r="AD982" i="38"/>
  <c r="AD970" i="38" s="1"/>
  <c r="V1000" i="38"/>
  <c r="AI1023" i="38"/>
  <c r="AH1044" i="38"/>
  <c r="AE1042" i="38"/>
  <c r="AF1047" i="38"/>
  <c r="AF906" i="38"/>
  <c r="AF1402" i="38" s="1"/>
  <c r="V940" i="38"/>
  <c r="AI957" i="38"/>
  <c r="AJ959" i="38"/>
  <c r="AJ957" i="38" s="1"/>
  <c r="AI964" i="38"/>
  <c r="AG963" i="38"/>
  <c r="AF987" i="38"/>
  <c r="AE1001" i="38"/>
  <c r="AC1108" i="38"/>
  <c r="AC1140" i="38"/>
  <c r="AC1148" i="38" s="1"/>
  <c r="AE940" i="38"/>
  <c r="AE957" i="38"/>
  <c r="AE952" i="38"/>
  <c r="AF957" i="38"/>
  <c r="AF976" i="38"/>
  <c r="AH1001" i="38"/>
  <c r="AH1017" i="38"/>
  <c r="AH1030" i="38"/>
  <c r="AH927" i="38"/>
  <c r="AF1000" i="38"/>
  <c r="AH1006" i="38"/>
  <c r="AG982" i="38"/>
  <c r="AI1002" i="38"/>
  <c r="AG1001" i="38"/>
  <c r="AG1000" i="38" s="1"/>
  <c r="AD1023" i="38"/>
  <c r="AD1036" i="38"/>
  <c r="T1181" i="38"/>
  <c r="T1062" i="38"/>
  <c r="AC1181" i="38"/>
  <c r="AC1180" i="38" s="1"/>
  <c r="AC1062" i="38"/>
  <c r="AE1066" i="38"/>
  <c r="AH1068" i="38"/>
  <c r="AH1065" i="38" s="1"/>
  <c r="AJ1070" i="38"/>
  <c r="AJ1069" i="38" s="1"/>
  <c r="AI1069" i="38"/>
  <c r="AJ1080" i="38"/>
  <c r="AJ1079" i="38" s="1"/>
  <c r="AH1121" i="38"/>
  <c r="AJ1122" i="38"/>
  <c r="AG976" i="38"/>
  <c r="AH1012" i="38"/>
  <c r="AD1017" i="38"/>
  <c r="AD1000" i="38" s="1"/>
  <c r="AI1031" i="38"/>
  <c r="U1180" i="38"/>
  <c r="U1161" i="38" s="1"/>
  <c r="U1191" i="38" s="1"/>
  <c r="V1153" i="38"/>
  <c r="V1152" i="38" s="1"/>
  <c r="AE1065" i="38"/>
  <c r="AI1090" i="38"/>
  <c r="AJ1075" i="38"/>
  <c r="AJ1090" i="38" s="1"/>
  <c r="W1110" i="38"/>
  <c r="AE1112" i="38"/>
  <c r="AE1111" i="38" s="1"/>
  <c r="AE1110" i="38" s="1"/>
  <c r="AE1140" i="38" s="1"/>
  <c r="AF1227" i="38"/>
  <c r="AI1227" i="38" s="1"/>
  <c r="W1386" i="38"/>
  <c r="W1381" i="38"/>
  <c r="AH993" i="38"/>
  <c r="AE1006" i="38"/>
  <c r="AJ1031" i="38"/>
  <c r="AH1042" i="38"/>
  <c r="V1181" i="38"/>
  <c r="V1062" i="38"/>
  <c r="AE1062" i="38"/>
  <c r="X1140" i="38"/>
  <c r="X1148" i="38" s="1"/>
  <c r="X1109" i="38"/>
  <c r="X1108" i="38"/>
  <c r="AJ1146" i="38"/>
  <c r="X1386" i="38"/>
  <c r="X1381" i="38"/>
  <c r="AF1381" i="38"/>
  <c r="AE993" i="38"/>
  <c r="AI1013" i="38"/>
  <c r="AG1012" i="38"/>
  <c r="AF1036" i="38"/>
  <c r="AF1030" i="38" s="1"/>
  <c r="AI1042" i="38"/>
  <c r="AJ1043" i="38"/>
  <c r="AJ1042" i="38" s="1"/>
  <c r="AI1047" i="38"/>
  <c r="AI1054" i="38"/>
  <c r="S1190" i="38"/>
  <c r="AA1190" i="38"/>
  <c r="AI1098" i="38"/>
  <c r="AJ1098" i="38" s="1"/>
  <c r="S1110" i="38"/>
  <c r="Y1110" i="38"/>
  <c r="AG1112" i="38"/>
  <c r="AG1111" i="38" s="1"/>
  <c r="AG1110" i="38" s="1"/>
  <c r="AG1140" i="38" s="1"/>
  <c r="AC1161" i="38"/>
  <c r="AE1224" i="38"/>
  <c r="AH1224" i="38" s="1"/>
  <c r="AJ1224" i="38" s="1"/>
  <c r="U1228" i="38"/>
  <c r="AE1228" i="38" s="1"/>
  <c r="AG1224" i="38"/>
  <c r="AC1228" i="38"/>
  <c r="AG1228" i="38" s="1"/>
  <c r="AJ1227" i="38"/>
  <c r="S1381" i="38"/>
  <c r="S1386" i="38"/>
  <c r="AE987" i="38"/>
  <c r="AI994" i="38"/>
  <c r="AG993" i="38"/>
  <c r="AJ1007" i="38"/>
  <c r="AJ1006" i="38" s="1"/>
  <c r="AI1006" i="38"/>
  <c r="AJ1018" i="38"/>
  <c r="AJ1017" i="38" s="1"/>
  <c r="AI1017" i="38"/>
  <c r="S1030" i="38"/>
  <c r="AA1030" i="38"/>
  <c r="AD1031" i="38"/>
  <c r="AD1030" i="38" s="1"/>
  <c r="AJ1048" i="38"/>
  <c r="AJ1047" i="38" s="1"/>
  <c r="X1062" i="38"/>
  <c r="Y1153" i="38"/>
  <c r="Y1152" i="38" s="1"/>
  <c r="X1180" i="38"/>
  <c r="AF1066" i="38"/>
  <c r="AF1063" i="38"/>
  <c r="AF1062" i="38" s="1"/>
  <c r="AJ1099" i="38"/>
  <c r="T1140" i="38"/>
  <c r="T1148" i="38" s="1"/>
  <c r="T1108" i="38"/>
  <c r="T1109" i="38"/>
  <c r="T1156" i="38" s="1"/>
  <c r="T1155" i="38" s="1"/>
  <c r="X1153" i="38"/>
  <c r="X1152" i="38" s="1"/>
  <c r="X1151" i="38" s="1"/>
  <c r="W1180" i="38"/>
  <c r="AC1191" i="38"/>
  <c r="R1429" i="38"/>
  <c r="R1066" i="38"/>
  <c r="R1185" i="38" s="1"/>
  <c r="R1190" i="38" s="1"/>
  <c r="R1089" i="38"/>
  <c r="Z1089" i="38"/>
  <c r="AF1089" i="38" s="1"/>
  <c r="AH1103" i="38"/>
  <c r="AJ1103" i="38" s="1"/>
  <c r="U1108" i="38"/>
  <c r="U1140" i="38"/>
  <c r="U1148" i="38" s="1"/>
  <c r="R1109" i="38"/>
  <c r="R1140" i="38"/>
  <c r="R1148" i="38" s="1"/>
  <c r="R1108" i="38"/>
  <c r="Z1109" i="38"/>
  <c r="Z1156" i="38" s="1"/>
  <c r="Z1155" i="38" s="1"/>
  <c r="Z1108" i="38"/>
  <c r="Z1140" i="38"/>
  <c r="Z1148" i="38" s="1"/>
  <c r="AJ1127" i="38"/>
  <c r="AG1223" i="38"/>
  <c r="AJ1379" i="38"/>
  <c r="AE1047" i="38"/>
  <c r="S1429" i="38"/>
  <c r="S1063" i="38"/>
  <c r="V1187" i="38"/>
  <c r="V1190" i="38" s="1"/>
  <c r="S1084" i="38"/>
  <c r="S1089" i="38"/>
  <c r="AA1084" i="38"/>
  <c r="AA1089" i="38"/>
  <c r="V1108" i="38"/>
  <c r="V1140" i="38"/>
  <c r="V1148" i="38" s="1"/>
  <c r="V1109" i="38"/>
  <c r="V1156" i="38" s="1"/>
  <c r="V1155" i="38" s="1"/>
  <c r="AJ1131" i="38"/>
  <c r="AJ1206" i="38"/>
  <c r="AI1221" i="38"/>
  <c r="AE1036" i="38"/>
  <c r="AE1030" i="38" s="1"/>
  <c r="AD1042" i="38"/>
  <c r="Y1181" i="38"/>
  <c r="W1190" i="38"/>
  <c r="W1191" i="38" s="1"/>
  <c r="AD1429" i="38"/>
  <c r="T1425" i="38"/>
  <c r="T1424" i="38" s="1"/>
  <c r="T1428" i="38"/>
  <c r="W1187" i="38"/>
  <c r="AE1085" i="38"/>
  <c r="AE1084" i="38" s="1"/>
  <c r="AH1073" i="38"/>
  <c r="T1084" i="38"/>
  <c r="T1089" i="38"/>
  <c r="AD1089" i="38" s="1"/>
  <c r="AB1084" i="38"/>
  <c r="AB1089" i="38"/>
  <c r="AA1110" i="38"/>
  <c r="AJ1113" i="38"/>
  <c r="AH1112" i="38"/>
  <c r="AH1116" i="38"/>
  <c r="AJ1117" i="38"/>
  <c r="AJ1116" i="38" s="1"/>
  <c r="Z1181" i="38"/>
  <c r="AJ1068" i="38"/>
  <c r="X1187" i="38"/>
  <c r="X1190" i="38" s="1"/>
  <c r="X1191" i="38" s="1"/>
  <c r="AF1072" i="38"/>
  <c r="AF1085" i="38"/>
  <c r="AF1084" i="38" s="1"/>
  <c r="AH1076" i="38"/>
  <c r="AH1079" i="38"/>
  <c r="U1084" i="38"/>
  <c r="U1089" i="38"/>
  <c r="AC1084" i="38"/>
  <c r="AC1089" i="38"/>
  <c r="AG1089" i="38" s="1"/>
  <c r="AI1089" i="38" s="1"/>
  <c r="AJ1089" i="38" s="1"/>
  <c r="AB1110" i="38"/>
  <c r="AJ1124" i="38"/>
  <c r="AJ1126" i="38"/>
  <c r="AH1125" i="38"/>
  <c r="AH1129" i="38"/>
  <c r="AJ1130" i="38"/>
  <c r="AJ1134" i="38"/>
  <c r="W1161" i="38"/>
  <c r="AJ1217" i="38"/>
  <c r="AJ1254" i="38"/>
  <c r="AG1036" i="38"/>
  <c r="AG1030" i="38" s="1"/>
  <c r="AH1048" i="38"/>
  <c r="AH1047" i="38" s="1"/>
  <c r="R1063" i="38"/>
  <c r="AB1181" i="38"/>
  <c r="AB1062" i="38"/>
  <c r="Y1190" i="38"/>
  <c r="AD1067" i="38"/>
  <c r="AG1072" i="38"/>
  <c r="AG1085" i="38"/>
  <c r="AG1084" i="38" s="1"/>
  <c r="AI1073" i="38"/>
  <c r="AF1079" i="38"/>
  <c r="AI1081" i="38"/>
  <c r="AJ1081" i="38" s="1"/>
  <c r="AG1079" i="38"/>
  <c r="U1109" i="38"/>
  <c r="AI1112" i="38"/>
  <c r="AI1111" i="38" s="1"/>
  <c r="AI1110" i="38" s="1"/>
  <c r="AI1140" i="38" s="1"/>
  <c r="AJ1115" i="38"/>
  <c r="X1161" i="38"/>
  <c r="AD1323" i="38"/>
  <c r="AH1322" i="38"/>
  <c r="W1329" i="38"/>
  <c r="W1332" i="38"/>
  <c r="W1333" i="38" s="1"/>
  <c r="AI1142" i="38"/>
  <c r="AJ1142" i="38" s="1"/>
  <c r="AI1146" i="38"/>
  <c r="AJ1199" i="38"/>
  <c r="AF1206" i="38"/>
  <c r="AI1206" i="38" s="1"/>
  <c r="AE1220" i="38"/>
  <c r="AH1220" i="38" s="1"/>
  <c r="AJ1220" i="38" s="1"/>
  <c r="AJ1221" i="38"/>
  <c r="AD1223" i="38"/>
  <c r="AJ1261" i="38"/>
  <c r="AI1269" i="38"/>
  <c r="AJ1269" i="38" s="1"/>
  <c r="AH1271" i="38"/>
  <c r="AJ1271" i="38" s="1"/>
  <c r="AH1314" i="38"/>
  <c r="AJ1314" i="38" s="1"/>
  <c r="T1381" i="38"/>
  <c r="T1386" i="38"/>
  <c r="AD1405" i="38"/>
  <c r="AE1434" i="38"/>
  <c r="AH1435" i="38"/>
  <c r="U1425" i="38"/>
  <c r="U1424" i="38" s="1"/>
  <c r="U1428" i="38"/>
  <c r="R1187" i="38"/>
  <c r="Z1187" i="38"/>
  <c r="AI1141" i="38"/>
  <c r="AJ1141" i="38" s="1"/>
  <c r="AI1145" i="38"/>
  <c r="AJ1145" i="38" s="1"/>
  <c r="V1162" i="38"/>
  <c r="AJ1198" i="38"/>
  <c r="V1223" i="38"/>
  <c r="AI1225" i="38"/>
  <c r="AJ1225" i="38" s="1"/>
  <c r="AI1232" i="38"/>
  <c r="AJ1260" i="38"/>
  <c r="AE1328" i="38"/>
  <c r="AE1323" i="38"/>
  <c r="S1353" i="38"/>
  <c r="S1352" i="38" s="1"/>
  <c r="S1351" i="38" s="1"/>
  <c r="AA1353" i="38"/>
  <c r="AA1352" i="38" s="1"/>
  <c r="AA1351" i="38" s="1"/>
  <c r="Z1390" i="38"/>
  <c r="Z1391" i="38" s="1"/>
  <c r="Z1387" i="38"/>
  <c r="AJ1376" i="38"/>
  <c r="AI1377" i="38"/>
  <c r="AI1375" i="38" s="1"/>
  <c r="AI1368" i="38" s="1"/>
  <c r="AI1367" i="38" s="1"/>
  <c r="AI1366" i="38" s="1"/>
  <c r="AJ1203" i="38"/>
  <c r="AJ1208" i="38"/>
  <c r="AH1212" i="38"/>
  <c r="AI1220" i="38"/>
  <c r="AJ1256" i="38"/>
  <c r="AJ1268" i="38"/>
  <c r="AJ1270" i="38"/>
  <c r="R1329" i="38"/>
  <c r="R1332" i="38"/>
  <c r="R1333" i="38" s="1"/>
  <c r="AI1349" i="38"/>
  <c r="T1353" i="38"/>
  <c r="T1352" i="38" s="1"/>
  <c r="T1351" i="38" s="1"/>
  <c r="T1295" i="38" s="1"/>
  <c r="AB1353" i="38"/>
  <c r="AB1352" i="38" s="1"/>
  <c r="AB1351" i="38" s="1"/>
  <c r="AB1295" i="38" s="1"/>
  <c r="AJ1444" i="38"/>
  <c r="AF1447" i="38"/>
  <c r="AA1063" i="38"/>
  <c r="Z1190" i="38"/>
  <c r="T1187" i="38"/>
  <c r="T1190" i="38" s="1"/>
  <c r="AB1187" i="38"/>
  <c r="AB1190" i="38" s="1"/>
  <c r="AI1144" i="38"/>
  <c r="AJ1197" i="38"/>
  <c r="AH1201" i="38"/>
  <c r="AJ1201" i="38" s="1"/>
  <c r="AJ1216" i="38"/>
  <c r="AH1218" i="38"/>
  <c r="AJ1218" i="38" s="1"/>
  <c r="AF1223" i="38"/>
  <c r="AI1254" i="38"/>
  <c r="AJ1264" i="38"/>
  <c r="AJ1267" i="38"/>
  <c r="AE1312" i="38"/>
  <c r="U1310" i="38"/>
  <c r="AE1310" i="38" s="1"/>
  <c r="AA1434" i="38"/>
  <c r="AA1425" i="38"/>
  <c r="AA1424" i="38" s="1"/>
  <c r="AJ1144" i="38"/>
  <c r="AJ1205" i="38"/>
  <c r="AI1212" i="38"/>
  <c r="AJ1213" i="38"/>
  <c r="AE1222" i="38"/>
  <c r="Y1228" i="38"/>
  <c r="AF1228" i="38" s="1"/>
  <c r="AI1228" i="38" s="1"/>
  <c r="AJ1229" i="38"/>
  <c r="AJ1272" i="38"/>
  <c r="AD1324" i="38"/>
  <c r="AH1324" i="38" s="1"/>
  <c r="S1328" i="38"/>
  <c r="AG1324" i="38"/>
  <c r="AA1328" i="38"/>
  <c r="AF1382" i="38"/>
  <c r="AF1386" i="38" s="1"/>
  <c r="Y1428" i="38"/>
  <c r="Y1425" i="38"/>
  <c r="Y1424" i="38" s="1"/>
  <c r="AE1441" i="38"/>
  <c r="AH1442" i="38"/>
  <c r="AH1441" i="38" s="1"/>
  <c r="X1441" i="38"/>
  <c r="X1427" i="38"/>
  <c r="AJ1202" i="38"/>
  <c r="AH1222" i="38"/>
  <c r="AJ1222" i="38" s="1"/>
  <c r="R1228" i="38"/>
  <c r="AD1228" i="38" s="1"/>
  <c r="AH1228" i="38" s="1"/>
  <c r="Z1228" i="38"/>
  <c r="AE1226" i="38"/>
  <c r="AH1226" i="38" s="1"/>
  <c r="AJ1226" i="38" s="1"/>
  <c r="AH1255" i="38"/>
  <c r="AJ1255" i="38" s="1"/>
  <c r="T1329" i="38"/>
  <c r="T1332" i="38"/>
  <c r="T1333" i="38" s="1"/>
  <c r="AB1329" i="38"/>
  <c r="AB1332" i="38"/>
  <c r="AB1333" i="38" s="1"/>
  <c r="AE1338" i="38"/>
  <c r="AE1337" i="38" s="1"/>
  <c r="AE1336" i="38" s="1"/>
  <c r="AE1366" i="38"/>
  <c r="AB1381" i="38"/>
  <c r="AB1386" i="38"/>
  <c r="AH1415" i="38"/>
  <c r="AH1414" i="38" s="1"/>
  <c r="AE1414" i="38"/>
  <c r="AI1311" i="38"/>
  <c r="AJ1321" i="38"/>
  <c r="AF1328" i="38"/>
  <c r="AJ1341" i="38"/>
  <c r="AI1342" i="38"/>
  <c r="AI1346" i="38"/>
  <c r="AI1345" i="38" s="1"/>
  <c r="AJ1359" i="38"/>
  <c r="AJ1358" i="38" s="1"/>
  <c r="AJ1354" i="38" s="1"/>
  <c r="AJ1353" i="38" s="1"/>
  <c r="AJ1352" i="38" s="1"/>
  <c r="AJ1351" i="38" s="1"/>
  <c r="AH1358" i="38"/>
  <c r="AH1360" i="38"/>
  <c r="AJ1383" i="38"/>
  <c r="AI1384" i="38"/>
  <c r="T1427" i="38"/>
  <c r="AD1430" i="38"/>
  <c r="AD1427" i="38" s="1"/>
  <c r="AF1224" i="38"/>
  <c r="AI1224" i="38" s="1"/>
  <c r="AH1327" i="38"/>
  <c r="AJ1327" i="38" s="1"/>
  <c r="AH1350" i="38"/>
  <c r="AH1355" i="38"/>
  <c r="Y1386" i="38"/>
  <c r="Y1381" i="38"/>
  <c r="AH1378" i="38"/>
  <c r="AI1379" i="38"/>
  <c r="AA1386" i="38"/>
  <c r="X1425" i="38"/>
  <c r="X1424" i="38" s="1"/>
  <c r="U1427" i="38"/>
  <c r="AG1430" i="38"/>
  <c r="AG1428" i="38" s="1"/>
  <c r="AC1427" i="38"/>
  <c r="U1223" i="38"/>
  <c r="AH1320" i="38"/>
  <c r="AJ1320" i="38" s="1"/>
  <c r="AE1324" i="38"/>
  <c r="AH1331" i="38"/>
  <c r="AJ1331" i="38" s="1"/>
  <c r="AJ1344" i="38"/>
  <c r="AJ1343" i="38" s="1"/>
  <c r="AH1347" i="38"/>
  <c r="AJ1347" i="38" s="1"/>
  <c r="AH1371" i="38"/>
  <c r="AH1385" i="38"/>
  <c r="AJ1385" i="38" s="1"/>
  <c r="T1431" i="38"/>
  <c r="AD1432" i="38"/>
  <c r="AD1431" i="38" s="1"/>
  <c r="AI1436" i="38"/>
  <c r="AG1426" i="38"/>
  <c r="AJ1448" i="38"/>
  <c r="AJ1447" i="38" s="1"/>
  <c r="AI1447" i="38"/>
  <c r="X1332" i="38"/>
  <c r="X1333" i="38" s="1"/>
  <c r="X1329" i="38"/>
  <c r="AJ1326" i="38"/>
  <c r="U1329" i="38"/>
  <c r="AI1340" i="38"/>
  <c r="AI1339" i="38" s="1"/>
  <c r="AI1338" i="38" s="1"/>
  <c r="AI1337" i="38" s="1"/>
  <c r="AI1336" i="38" s="1"/>
  <c r="R1390" i="38"/>
  <c r="R1391" i="38" s="1"/>
  <c r="R1387" i="38"/>
  <c r="AJ1380" i="38"/>
  <c r="AI1382" i="38"/>
  <c r="AJ1388" i="38"/>
  <c r="Y1427" i="38"/>
  <c r="AE1427" i="38"/>
  <c r="AH1430" i="38"/>
  <c r="AH1427" i="38" s="1"/>
  <c r="AG1432" i="38"/>
  <c r="AC1431" i="38"/>
  <c r="AD1434" i="38"/>
  <c r="AJ1330" i="38"/>
  <c r="Z1332" i="38"/>
  <c r="Z1333" i="38" s="1"/>
  <c r="AH1349" i="38"/>
  <c r="AI1350" i="38"/>
  <c r="V1387" i="38"/>
  <c r="V1390" i="38"/>
  <c r="V1391" i="38" s="1"/>
  <c r="U1386" i="38"/>
  <c r="U1381" i="38"/>
  <c r="AC1386" i="38"/>
  <c r="AC1381" i="38"/>
  <c r="AJ1374" i="38"/>
  <c r="AJ1373" i="38" s="1"/>
  <c r="AH1377" i="38"/>
  <c r="AI1378" i="38"/>
  <c r="AJ1405" i="38"/>
  <c r="AF1425" i="38"/>
  <c r="AF1424" i="38" s="1"/>
  <c r="AE1425" i="38"/>
  <c r="AE1424" i="38" s="1"/>
  <c r="AE1428" i="38"/>
  <c r="AH1429" i="38"/>
  <c r="AI1429" i="38"/>
  <c r="AF1434" i="38"/>
  <c r="AH1436" i="38"/>
  <c r="AH1426" i="38" s="1"/>
  <c r="AE1426" i="38"/>
  <c r="T1441" i="38"/>
  <c r="AD1442" i="38"/>
  <c r="AD1441" i="38" s="1"/>
  <c r="AB1441" i="38"/>
  <c r="AB1425" i="38"/>
  <c r="AB1424" i="38" s="1"/>
  <c r="AF1219" i="38"/>
  <c r="AI1219" i="38" s="1"/>
  <c r="AJ1219" i="38" s="1"/>
  <c r="AE1311" i="38"/>
  <c r="AH1325" i="38"/>
  <c r="AJ1325" i="38" s="1"/>
  <c r="AH1342" i="38"/>
  <c r="AJ1342" i="38" s="1"/>
  <c r="AH1346" i="38"/>
  <c r="AJ1361" i="38"/>
  <c r="AJ1360" i="38" s="1"/>
  <c r="AG1386" i="38"/>
  <c r="AG1381" i="38"/>
  <c r="AD1386" i="38"/>
  <c r="AD1381" i="38"/>
  <c r="AH1384" i="38"/>
  <c r="AJ1384" i="38" s="1"/>
  <c r="AE1431" i="38"/>
  <c r="AH1432" i="38"/>
  <c r="AH1431" i="38" s="1"/>
  <c r="AG1434" i="38"/>
  <c r="AI1435" i="38"/>
  <c r="AG1442" i="38"/>
  <c r="AC1441" i="38"/>
  <c r="AC1425" i="38"/>
  <c r="AC1424" i="38" s="1"/>
  <c r="AG1447" i="38"/>
  <c r="AF1324" i="38"/>
  <c r="V1381" i="38"/>
  <c r="W1500" i="38"/>
  <c r="W1509" i="38" s="1"/>
  <c r="AE1482" i="38"/>
  <c r="AF1323" i="38"/>
  <c r="R1381" i="38"/>
  <c r="Z1381" i="38"/>
  <c r="X1500" i="38"/>
  <c r="AF1482" i="38"/>
  <c r="Y1500" i="38"/>
  <c r="Y1509" i="38" s="1"/>
  <c r="AI1482" i="38"/>
  <c r="Z1500" i="38"/>
  <c r="Z1509" i="38" s="1"/>
  <c r="AA1500" i="38"/>
  <c r="AH1482" i="38"/>
  <c r="AJ1482" i="38" s="1"/>
  <c r="U1500" i="38"/>
  <c r="AC1500" i="38"/>
  <c r="AC1509" i="38" s="1"/>
  <c r="AI1556" i="38"/>
  <c r="AJ1556" i="38" s="1"/>
  <c r="V1500" i="38"/>
  <c r="V1509" i="38" s="1"/>
  <c r="AI1576" i="38"/>
  <c r="AH1593" i="38"/>
  <c r="AJ1593" i="38" s="1"/>
  <c r="AD1576" i="38"/>
  <c r="AH1576" i="38" s="1"/>
  <c r="AJ1576" i="38" s="1"/>
  <c r="AX103" i="38"/>
  <c r="AI794" i="38" l="1"/>
  <c r="AI793" i="38" s="1"/>
  <c r="AF1390" i="38"/>
  <c r="AF1391" i="38" s="1"/>
  <c r="AF1387" i="38"/>
  <c r="AI374" i="38"/>
  <c r="AJ382" i="38"/>
  <c r="AC371" i="38"/>
  <c r="AC373" i="38"/>
  <c r="AC407" i="38"/>
  <c r="AI1381" i="38"/>
  <c r="AI1386" i="38"/>
  <c r="AH840" i="38"/>
  <c r="AB1487" i="38"/>
  <c r="AB1497" i="38"/>
  <c r="AB1506" i="38" s="1"/>
  <c r="W1463" i="38"/>
  <c r="AF1399" i="38"/>
  <c r="AF879" i="38"/>
  <c r="X836" i="38"/>
  <c r="AF841" i="38"/>
  <c r="AI841" i="38" s="1"/>
  <c r="AJ870" i="38"/>
  <c r="AJ869" i="38" s="1"/>
  <c r="AH869" i="38"/>
  <c r="AE1571" i="38"/>
  <c r="U1570" i="38"/>
  <c r="Z1575" i="38"/>
  <c r="AJ650" i="38"/>
  <c r="AJ649" i="38" s="1"/>
  <c r="AH649" i="38"/>
  <c r="AJ529" i="38"/>
  <c r="AH735" i="38"/>
  <c r="AJ736" i="38"/>
  <c r="AB1494" i="38"/>
  <c r="AB1503" i="38" s="1"/>
  <c r="AB1475" i="38"/>
  <c r="T1531" i="38"/>
  <c r="W1494" i="38"/>
  <c r="W1503" i="38" s="1"/>
  <c r="W1475" i="38"/>
  <c r="X439" i="38"/>
  <c r="X278" i="38" s="1"/>
  <c r="AF438" i="38"/>
  <c r="AH433" i="38"/>
  <c r="AD1387" i="38"/>
  <c r="AD1390" i="38"/>
  <c r="AD1391" i="38" s="1"/>
  <c r="AI1428" i="38"/>
  <c r="AJ1429" i="38"/>
  <c r="AJ1377" i="38"/>
  <c r="AH1375" i="38"/>
  <c r="T1387" i="38"/>
  <c r="T1390" i="38"/>
  <c r="T1391" i="38" s="1"/>
  <c r="U1156" i="38"/>
  <c r="U1155" i="38" s="1"/>
  <c r="AE1109" i="38"/>
  <c r="AB1140" i="38"/>
  <c r="AB1148" i="38" s="1"/>
  <c r="AB1108" i="38"/>
  <c r="AB1109" i="38"/>
  <c r="AB1156" i="38" s="1"/>
  <c r="AB1155" i="38" s="1"/>
  <c r="AH1111" i="38"/>
  <c r="S1181" i="38"/>
  <c r="S1062" i="38"/>
  <c r="S1387" i="38"/>
  <c r="S1390" i="38"/>
  <c r="S1391" i="38" s="1"/>
  <c r="AI1053" i="38"/>
  <c r="AJ1054" i="38"/>
  <c r="AJ1053" i="38" s="1"/>
  <c r="AJ1002" i="38"/>
  <c r="AJ1001" i="38" s="1"/>
  <c r="AI1001" i="38"/>
  <c r="AE885" i="38"/>
  <c r="AE1398" i="38" s="1"/>
  <c r="AH886" i="38"/>
  <c r="AH885" i="38" s="1"/>
  <c r="AH1398" i="38" s="1"/>
  <c r="AI911" i="38"/>
  <c r="AI910" i="38" s="1"/>
  <c r="AI916" i="38"/>
  <c r="AJ917" i="38"/>
  <c r="AJ916" i="38" s="1"/>
  <c r="AJ910" i="38" s="1"/>
  <c r="AE1397" i="38"/>
  <c r="X1554" i="38"/>
  <c r="AF1555" i="38"/>
  <c r="AD1555" i="38"/>
  <c r="AH1555" i="38" s="1"/>
  <c r="AJ1555" i="38" s="1"/>
  <c r="R1554" i="38"/>
  <c r="Y834" i="38"/>
  <c r="Y1465" i="38" s="1"/>
  <c r="Y1463" i="38" s="1"/>
  <c r="Y58" i="38"/>
  <c r="AG1565" i="38"/>
  <c r="AA1580" i="38"/>
  <c r="AF1571" i="38"/>
  <c r="X1570" i="38"/>
  <c r="AF835" i="38"/>
  <c r="AD1572" i="38"/>
  <c r="AH1572" i="38" s="1"/>
  <c r="AI880" i="38"/>
  <c r="AJ881" i="38"/>
  <c r="AJ880" i="38" s="1"/>
  <c r="AD837" i="38"/>
  <c r="AH699" i="38"/>
  <c r="AD697" i="38"/>
  <c r="AF1572" i="38"/>
  <c r="AG842" i="38"/>
  <c r="AI842" i="38" s="1"/>
  <c r="AA837" i="38"/>
  <c r="AE1567" i="38"/>
  <c r="U1566" i="38"/>
  <c r="AE716" i="38"/>
  <c r="AC1519" i="38"/>
  <c r="AC1538" i="38"/>
  <c r="AC1547" i="38" s="1"/>
  <c r="AD1568" i="38"/>
  <c r="A846" i="38"/>
  <c r="AA1538" i="38"/>
  <c r="AA1519" i="38"/>
  <c r="AG1520" i="38"/>
  <c r="AG729" i="38"/>
  <c r="AI731" i="38"/>
  <c r="S1570" i="38"/>
  <c r="U1539" i="38"/>
  <c r="AE1521" i="38"/>
  <c r="AI488" i="38"/>
  <c r="AI487" i="38" s="1"/>
  <c r="AJ489" i="38"/>
  <c r="AJ488" i="38" s="1"/>
  <c r="AJ487" i="38" s="1"/>
  <c r="AF672" i="38"/>
  <c r="AA179" i="38"/>
  <c r="AA176" i="38"/>
  <c r="AD1530" i="38"/>
  <c r="AH1530" i="38" s="1"/>
  <c r="AJ1530" i="38" s="1"/>
  <c r="AF664" i="38"/>
  <c r="Z1579" i="38"/>
  <c r="Z1586" i="38" s="1"/>
  <c r="Z1563" i="38"/>
  <c r="AH590" i="38"/>
  <c r="AD589" i="38"/>
  <c r="AD588" i="38" s="1"/>
  <c r="AD584" i="38" s="1"/>
  <c r="AB879" i="38"/>
  <c r="AH624" i="38"/>
  <c r="AB1519" i="38"/>
  <c r="AB1538" i="38"/>
  <c r="AB1547" i="38" s="1"/>
  <c r="R485" i="38"/>
  <c r="AD1485" i="38"/>
  <c r="R1484" i="38"/>
  <c r="AF633" i="38"/>
  <c r="AF632" i="38" s="1"/>
  <c r="W1539" i="38"/>
  <c r="W1548" i="38" s="1"/>
  <c r="Y1494" i="38"/>
  <c r="Y1503" i="38" s="1"/>
  <c r="Y1475" i="38"/>
  <c r="T452" i="38"/>
  <c r="AF838" i="38"/>
  <c r="AJ545" i="38"/>
  <c r="AJ544" i="38" s="1"/>
  <c r="AJ543" i="38" s="1"/>
  <c r="AH544" i="38"/>
  <c r="AH543" i="38" s="1"/>
  <c r="AJ502" i="38"/>
  <c r="AJ501" i="38" s="1"/>
  <c r="AI501" i="38"/>
  <c r="AA584" i="38"/>
  <c r="AC1531" i="38"/>
  <c r="X1528" i="38"/>
  <c r="AF1529" i="38"/>
  <c r="R58" i="38"/>
  <c r="U672" i="38"/>
  <c r="U262" i="38"/>
  <c r="T1541" i="38"/>
  <c r="T1550" i="38" s="1"/>
  <c r="T1522" i="38"/>
  <c r="T1540" i="38" s="1"/>
  <c r="T1549" i="38" s="1"/>
  <c r="AD129" i="38"/>
  <c r="R1542" i="38"/>
  <c r="AD1524" i="38"/>
  <c r="AJ517" i="38"/>
  <c r="AJ516" i="38" s="1"/>
  <c r="AC1479" i="38"/>
  <c r="AC104" i="38"/>
  <c r="W1484" i="38"/>
  <c r="W1483" i="38" s="1"/>
  <c r="AH469" i="38"/>
  <c r="AC453" i="38"/>
  <c r="AH387" i="38"/>
  <c r="AD385" i="38"/>
  <c r="AD371" i="38" s="1"/>
  <c r="AD379" i="38"/>
  <c r="AE380" i="38"/>
  <c r="AE358" i="38"/>
  <c r="AB438" i="38"/>
  <c r="AB284" i="38"/>
  <c r="S446" i="38"/>
  <c r="S419" i="38"/>
  <c r="AA438" i="38"/>
  <c r="AA284" i="38"/>
  <c r="AJ369" i="38"/>
  <c r="X436" i="38"/>
  <c r="U408" i="38"/>
  <c r="U377" i="38"/>
  <c r="W377" i="38"/>
  <c r="W353" i="38"/>
  <c r="AJ357" i="38"/>
  <c r="R208" i="38"/>
  <c r="AD209" i="38"/>
  <c r="AH155" i="38"/>
  <c r="AD178" i="38"/>
  <c r="AB114" i="38"/>
  <c r="AB102" i="38"/>
  <c r="AB79" i="38" s="1"/>
  <c r="AI283" i="38"/>
  <c r="AI284" i="38" s="1"/>
  <c r="AF251" i="38"/>
  <c r="W335" i="38"/>
  <c r="W311" i="38"/>
  <c r="W438" i="38"/>
  <c r="W284" i="38"/>
  <c r="AF223" i="38"/>
  <c r="AI224" i="38"/>
  <c r="AI223" i="38" s="1"/>
  <c r="AI214" i="38"/>
  <c r="AJ214" i="38" s="1"/>
  <c r="AG245" i="38"/>
  <c r="AH204" i="38"/>
  <c r="AJ204" i="38" s="1"/>
  <c r="AD201" i="38"/>
  <c r="AD202" i="38" s="1"/>
  <c r="AD1066" i="38"/>
  <c r="AD1063" i="38"/>
  <c r="AD1062" i="38" s="1"/>
  <c r="AH1085" i="38"/>
  <c r="AH1084" i="38" s="1"/>
  <c r="AH1072" i="38"/>
  <c r="Y1579" i="38"/>
  <c r="Y1586" i="38" s="1"/>
  <c r="Y1563" i="38"/>
  <c r="X250" i="38"/>
  <c r="AF264" i="38"/>
  <c r="AF250" i="38" s="1"/>
  <c r="A840" i="38"/>
  <c r="T1542" i="38"/>
  <c r="T1551" i="38" s="1"/>
  <c r="AJ713" i="38"/>
  <c r="AH709" i="38"/>
  <c r="AE608" i="38"/>
  <c r="AE607" i="38" s="1"/>
  <c r="AE583" i="38" s="1"/>
  <c r="AH609" i="38"/>
  <c r="AI529" i="38"/>
  <c r="R1480" i="38"/>
  <c r="R104" i="38"/>
  <c r="AC1489" i="38"/>
  <c r="AC1498" i="38" s="1"/>
  <c r="AC1507" i="38" s="1"/>
  <c r="S311" i="38"/>
  <c r="S335" i="38"/>
  <c r="R173" i="38"/>
  <c r="R164" i="38"/>
  <c r="AA1509" i="38"/>
  <c r="AG1500" i="38"/>
  <c r="AI1442" i="38"/>
  <c r="AG1425" i="38"/>
  <c r="AG1441" i="38"/>
  <c r="AJ1349" i="38"/>
  <c r="AJ1378" i="38"/>
  <c r="AB1387" i="38"/>
  <c r="AB1390" i="38"/>
  <c r="AB1391" i="38" s="1"/>
  <c r="AA1332" i="38"/>
  <c r="AA1333" i="38" s="1"/>
  <c r="AA1329" i="38"/>
  <c r="AJ1375" i="38"/>
  <c r="AJ1322" i="38"/>
  <c r="AH1323" i="38"/>
  <c r="AH1328" i="38"/>
  <c r="AJ1112" i="38"/>
  <c r="AJ1111" i="38" s="1"/>
  <c r="S1428" i="38"/>
  <c r="S1425" i="38"/>
  <c r="S1424" i="38" s="1"/>
  <c r="X1183" i="38"/>
  <c r="W1390" i="38"/>
  <c r="W1391" i="38" s="1"/>
  <c r="W1387" i="38"/>
  <c r="AH1063" i="38"/>
  <c r="AH1062" i="38" s="1"/>
  <c r="AJ1121" i="38"/>
  <c r="AH1000" i="38"/>
  <c r="AG970" i="38"/>
  <c r="AC1397" i="38"/>
  <c r="AC1396" i="38" s="1"/>
  <c r="AC879" i="38"/>
  <c r="AH1397" i="38"/>
  <c r="AF859" i="38"/>
  <c r="AE1555" i="38"/>
  <c r="S1580" i="38"/>
  <c r="S1587" i="38" s="1"/>
  <c r="AF263" i="38"/>
  <c r="AF249" i="38" s="1"/>
  <c r="X249" i="38"/>
  <c r="AD1565" i="38"/>
  <c r="R1580" i="38"/>
  <c r="AB1583" i="38"/>
  <c r="AB1590" i="38" s="1"/>
  <c r="AD842" i="38"/>
  <c r="AD839" i="38" s="1"/>
  <c r="AF266" i="38"/>
  <c r="AF252" i="38" s="1"/>
  <c r="X252" i="38"/>
  <c r="AF1565" i="38"/>
  <c r="X1580" i="38"/>
  <c r="AG755" i="38"/>
  <c r="AG754" i="38" s="1"/>
  <c r="AJ639" i="38"/>
  <c r="V1538" i="38"/>
  <c r="V1547" i="38" s="1"/>
  <c r="V1519" i="38"/>
  <c r="AJ822" i="38"/>
  <c r="AD729" i="38"/>
  <c r="AA716" i="38"/>
  <c r="AC1528" i="38"/>
  <c r="AC1527" i="38" s="1"/>
  <c r="AI634" i="38"/>
  <c r="AI633" i="38" s="1"/>
  <c r="AI632" i="38" s="1"/>
  <c r="AB1570" i="38"/>
  <c r="AG611" i="38"/>
  <c r="AG607" i="38" s="1"/>
  <c r="AG1529" i="38"/>
  <c r="AA1528" i="38"/>
  <c r="AJ730" i="38"/>
  <c r="AH729" i="38"/>
  <c r="AE266" i="38"/>
  <c r="AE252" i="38" s="1"/>
  <c r="U252" i="38"/>
  <c r="S1579" i="38"/>
  <c r="S1586" i="38" s="1"/>
  <c r="S1563" i="38"/>
  <c r="AA1542" i="38"/>
  <c r="AG1524" i="38"/>
  <c r="Y1541" i="38"/>
  <c r="Y1550" i="38" s="1"/>
  <c r="Y1522" i="38"/>
  <c r="Y1540" i="38" s="1"/>
  <c r="Y1549" i="38" s="1"/>
  <c r="AG664" i="38"/>
  <c r="AJ846" i="38"/>
  <c r="AG589" i="38"/>
  <c r="AG588" i="38" s="1"/>
  <c r="AG584" i="38" s="1"/>
  <c r="AI590" i="38"/>
  <c r="AI589" i="38" s="1"/>
  <c r="AI588" i="38" s="1"/>
  <c r="AI584" i="38" s="1"/>
  <c r="X510" i="38"/>
  <c r="X129" i="38"/>
  <c r="AI665" i="38"/>
  <c r="Z1570" i="38"/>
  <c r="Z1569" i="38" s="1"/>
  <c r="R179" i="38"/>
  <c r="R176" i="38"/>
  <c r="AD516" i="38"/>
  <c r="AD510" i="38" s="1"/>
  <c r="AB1396" i="38"/>
  <c r="AJ625" i="38"/>
  <c r="AJ624" i="38" s="1"/>
  <c r="AF1533" i="38"/>
  <c r="AJ498" i="38"/>
  <c r="AJ497" i="38" s="1"/>
  <c r="AH497" i="38"/>
  <c r="AJ465" i="38"/>
  <c r="AJ464" i="38" s="1"/>
  <c r="AH464" i="38"/>
  <c r="T1484" i="38"/>
  <c r="T1483" i="38" s="1"/>
  <c r="X1238" i="38"/>
  <c r="AF1238" i="38" s="1"/>
  <c r="AF1237" i="38"/>
  <c r="X1522" i="38"/>
  <c r="X1541" i="38"/>
  <c r="AF1523" i="38"/>
  <c r="Y1480" i="38"/>
  <c r="Y104" i="38"/>
  <c r="AA1497" i="38"/>
  <c r="U371" i="38"/>
  <c r="U373" i="38"/>
  <c r="U407" i="38"/>
  <c r="AF1520" i="38"/>
  <c r="X1538" i="38"/>
  <c r="X1519" i="38"/>
  <c r="W1497" i="38"/>
  <c r="W1506" i="38" s="1"/>
  <c r="V1487" i="38"/>
  <c r="V1496" i="38" s="1"/>
  <c r="V1505" i="38" s="1"/>
  <c r="AD1533" i="38"/>
  <c r="AH1533" i="38" s="1"/>
  <c r="U1479" i="38"/>
  <c r="U104" i="38"/>
  <c r="AF403" i="38"/>
  <c r="Z401" i="38"/>
  <c r="AF401" i="38" s="1"/>
  <c r="AE384" i="38"/>
  <c r="U376" i="38"/>
  <c r="AJ469" i="38"/>
  <c r="AC1494" i="38"/>
  <c r="AC1503" i="38" s="1"/>
  <c r="AC1475" i="38"/>
  <c r="AJ422" i="38"/>
  <c r="T438" i="38"/>
  <c r="T284" i="38"/>
  <c r="AI433" i="38"/>
  <c r="AH420" i="38"/>
  <c r="AJ367" i="38"/>
  <c r="T377" i="38"/>
  <c r="T353" i="38"/>
  <c r="AJ390" i="38"/>
  <c r="AI525" i="38"/>
  <c r="AJ526" i="38"/>
  <c r="AJ525" i="38" s="1"/>
  <c r="AE353" i="38"/>
  <c r="R438" i="38"/>
  <c r="R284" i="38"/>
  <c r="AI437" i="38"/>
  <c r="AI305" i="38"/>
  <c r="AI300" i="38" s="1"/>
  <c r="AF253" i="38"/>
  <c r="AI267" i="38"/>
  <c r="AI253" i="38" s="1"/>
  <c r="AG246" i="38"/>
  <c r="AI260" i="38"/>
  <c r="AI246" i="38" s="1"/>
  <c r="S191" i="38"/>
  <c r="S194" i="38"/>
  <c r="S195" i="38" s="1"/>
  <c r="AF1481" i="38"/>
  <c r="X1499" i="38"/>
  <c r="R248" i="38"/>
  <c r="R261" i="38"/>
  <c r="AD262" i="38"/>
  <c r="U446" i="38"/>
  <c r="U419" i="38"/>
  <c r="AF442" i="38"/>
  <c r="R434" i="38"/>
  <c r="R202" i="38"/>
  <c r="AH84" i="38"/>
  <c r="AJ84" i="38" s="1"/>
  <c r="AA1387" i="38"/>
  <c r="AA1390" i="38"/>
  <c r="AA1391" i="38" s="1"/>
  <c r="AE1329" i="38"/>
  <c r="AE1332" i="38"/>
  <c r="AE1333" i="38" s="1"/>
  <c r="AJ719" i="38"/>
  <c r="AJ717" i="38" s="1"/>
  <c r="AH717" i="38"/>
  <c r="AJ990" i="38"/>
  <c r="AJ987" i="38" s="1"/>
  <c r="AI987" i="38"/>
  <c r="AG385" i="38"/>
  <c r="AI386" i="38"/>
  <c r="AG378" i="38"/>
  <c r="AC1541" i="38"/>
  <c r="AC1550" i="38" s="1"/>
  <c r="AC1522" i="38"/>
  <c r="AC1540" i="38" s="1"/>
  <c r="AC1549" i="38" s="1"/>
  <c r="AI387" i="38"/>
  <c r="AI379" i="38" s="1"/>
  <c r="AG379" i="38"/>
  <c r="V1483" i="38"/>
  <c r="AB377" i="38"/>
  <c r="AB353" i="38"/>
  <c r="AE312" i="38"/>
  <c r="AE310" i="38"/>
  <c r="AH321" i="38"/>
  <c r="AI1434" i="38"/>
  <c r="AJ1435" i="38"/>
  <c r="AG1390" i="38"/>
  <c r="AG1391" i="38" s="1"/>
  <c r="AG1387" i="38"/>
  <c r="AH1428" i="38"/>
  <c r="AH1425" i="38"/>
  <c r="AH1424" i="38" s="1"/>
  <c r="AE1223" i="38"/>
  <c r="AH1340" i="38"/>
  <c r="AH1339" i="38" s="1"/>
  <c r="AI1324" i="38"/>
  <c r="AI1328" i="38" s="1"/>
  <c r="AG1328" i="38"/>
  <c r="AB1180" i="38"/>
  <c r="AB1161" i="38" s="1"/>
  <c r="AC1153" i="38"/>
  <c r="AC1152" i="38" s="1"/>
  <c r="AC1151" i="38" s="1"/>
  <c r="AC1183" i="38" s="1"/>
  <c r="AJ1065" i="38"/>
  <c r="AA1140" i="38"/>
  <c r="AA1148" i="38" s="1"/>
  <c r="AA1108" i="38"/>
  <c r="AG1108" i="38" s="1"/>
  <c r="AA1109" i="38"/>
  <c r="AI1065" i="38"/>
  <c r="AH1120" i="38"/>
  <c r="AE1000" i="38"/>
  <c r="AJ972" i="38"/>
  <c r="AJ971" i="38" s="1"/>
  <c r="AI971" i="38"/>
  <c r="S1397" i="38"/>
  <c r="S1396" i="38" s="1"/>
  <c r="S879" i="38"/>
  <c r="U1397" i="38"/>
  <c r="U1396" i="38" s="1"/>
  <c r="U879" i="38"/>
  <c r="AI897" i="38"/>
  <c r="AG896" i="38"/>
  <c r="AG1400" i="38" s="1"/>
  <c r="Z879" i="38"/>
  <c r="AH849" i="38"/>
  <c r="AJ828" i="38"/>
  <c r="AJ825" i="38" s="1"/>
  <c r="AH910" i="38"/>
  <c r="AF1592" i="38"/>
  <c r="AJ862" i="38"/>
  <c r="AG1554" i="38"/>
  <c r="AF708" i="38"/>
  <c r="AB1566" i="38"/>
  <c r="AE1554" i="38"/>
  <c r="AH810" i="38"/>
  <c r="AJ811" i="38"/>
  <c r="AJ810" i="38" s="1"/>
  <c r="Z1582" i="38"/>
  <c r="Z1589" i="38" s="1"/>
  <c r="Z1566" i="38"/>
  <c r="AI693" i="38"/>
  <c r="AI691" i="38" s="1"/>
  <c r="AG691" i="38"/>
  <c r="AE632" i="38"/>
  <c r="AJ809" i="38"/>
  <c r="AJ805" i="38" s="1"/>
  <c r="AH725" i="38"/>
  <c r="AE708" i="38"/>
  <c r="U1538" i="38"/>
  <c r="AE1520" i="38"/>
  <c r="U1519" i="38"/>
  <c r="AG632" i="38"/>
  <c r="AG735" i="38"/>
  <c r="AG716" i="38" s="1"/>
  <c r="AG708" i="38" s="1"/>
  <c r="R672" i="38"/>
  <c r="R263" i="38"/>
  <c r="AB1579" i="38"/>
  <c r="AB1586" i="38" s="1"/>
  <c r="AB1563" i="38"/>
  <c r="AI611" i="38"/>
  <c r="S1519" i="38"/>
  <c r="S1538" i="38"/>
  <c r="S1547" i="38" s="1"/>
  <c r="AI838" i="38"/>
  <c r="Y1573" i="38"/>
  <c r="AA1539" i="38"/>
  <c r="AG1521" i="38"/>
  <c r="V1522" i="38"/>
  <c r="V1541" i="38"/>
  <c r="V1550" i="38" s="1"/>
  <c r="AI562" i="38"/>
  <c r="AD673" i="38"/>
  <c r="AD672" i="38" s="1"/>
  <c r="AD664" i="38" s="1"/>
  <c r="AJ642" i="38"/>
  <c r="AJ641" i="38" s="1"/>
  <c r="AH641" i="38"/>
  <c r="AF1524" i="38"/>
  <c r="X1542" i="38"/>
  <c r="T1519" i="38"/>
  <c r="T1538" i="38"/>
  <c r="T1547" i="38" s="1"/>
  <c r="AJ703" i="38"/>
  <c r="AH616" i="38"/>
  <c r="AJ617" i="38"/>
  <c r="AJ616" i="38" s="1"/>
  <c r="T1494" i="38"/>
  <c r="T1503" i="38" s="1"/>
  <c r="T1475" i="38"/>
  <c r="AF1532" i="38"/>
  <c r="X1531" i="38"/>
  <c r="AD452" i="38"/>
  <c r="AI445" i="38"/>
  <c r="U1541" i="38"/>
  <c r="AE1523" i="38"/>
  <c r="U1522" i="38"/>
  <c r="AC446" i="38"/>
  <c r="AC419" i="38"/>
  <c r="R1510" i="38"/>
  <c r="AD611" i="38"/>
  <c r="AD607" i="38" s="1"/>
  <c r="AH537" i="38"/>
  <c r="AH536" i="38" s="1"/>
  <c r="AI608" i="38"/>
  <c r="AI607" i="38" s="1"/>
  <c r="AI330" i="38"/>
  <c r="AJ330" i="38" s="1"/>
  <c r="Z419" i="38"/>
  <c r="Z446" i="38"/>
  <c r="AI315" i="38"/>
  <c r="AJ324" i="38"/>
  <c r="AB1496" i="38"/>
  <c r="AB1505" i="38" s="1"/>
  <c r="U453" i="38"/>
  <c r="AH416" i="38"/>
  <c r="AJ416" i="38" s="1"/>
  <c r="AD414" i="38"/>
  <c r="AJ323" i="38"/>
  <c r="AJ314" i="38" s="1"/>
  <c r="AH314" i="38"/>
  <c r="AG290" i="38"/>
  <c r="AI291" i="38"/>
  <c r="AI290" i="38" s="1"/>
  <c r="AG517" i="38"/>
  <c r="AG516" i="38" s="1"/>
  <c r="AF1486" i="38"/>
  <c r="W444" i="38"/>
  <c r="Z339" i="38"/>
  <c r="Z340" i="38" s="1"/>
  <c r="Z336" i="38"/>
  <c r="AI203" i="38"/>
  <c r="AI201" i="38" s="1"/>
  <c r="AI202" i="38" s="1"/>
  <c r="AG201" i="38"/>
  <c r="AG202" i="38" s="1"/>
  <c r="AF180" i="38"/>
  <c r="AI157" i="38"/>
  <c r="AD252" i="38"/>
  <c r="AJ185" i="38"/>
  <c r="AJ181" i="38" s="1"/>
  <c r="AH181" i="38"/>
  <c r="R716" i="38"/>
  <c r="AJ305" i="38"/>
  <c r="S247" i="38"/>
  <c r="AE242" i="38"/>
  <c r="AH211" i="38"/>
  <c r="AE1491" i="38"/>
  <c r="AE1512" i="38"/>
  <c r="AI1426" i="38"/>
  <c r="AJ1436" i="38"/>
  <c r="AJ1426" i="38" s="1"/>
  <c r="AA1181" i="38"/>
  <c r="AA1062" i="38"/>
  <c r="Z1153" i="38"/>
  <c r="Z1152" i="38" s="1"/>
  <c r="Z1151" i="38" s="1"/>
  <c r="Y1180" i="38"/>
  <c r="Y1161" i="38" s="1"/>
  <c r="Y1191" i="38" s="1"/>
  <c r="AJ666" i="38"/>
  <c r="AJ665" i="38" s="1"/>
  <c r="AH665" i="38"/>
  <c r="AF1530" i="38"/>
  <c r="AA250" i="38"/>
  <c r="AG264" i="38"/>
  <c r="R1539" i="38"/>
  <c r="AD1521" i="38"/>
  <c r="AA1531" i="38"/>
  <c r="AG1532" i="38"/>
  <c r="AI1532" i="38" s="1"/>
  <c r="S1494" i="38"/>
  <c r="S1503" i="38" s="1"/>
  <c r="S1475" i="38"/>
  <c r="AD494" i="38"/>
  <c r="AD493" i="38" s="1"/>
  <c r="AD492" i="38" s="1"/>
  <c r="AD486" i="38" s="1"/>
  <c r="AD485" i="38" s="1"/>
  <c r="AH495" i="38"/>
  <c r="AF1485" i="38"/>
  <c r="X1484" i="38"/>
  <c r="AC376" i="38"/>
  <c r="AG384" i="38"/>
  <c r="AE243" i="38"/>
  <c r="AH257" i="38"/>
  <c r="AD123" i="38"/>
  <c r="R81" i="38"/>
  <c r="R135" i="38"/>
  <c r="AC1387" i="38"/>
  <c r="AC1390" i="38"/>
  <c r="AC1391" i="38" s="1"/>
  <c r="Y1390" i="38"/>
  <c r="Y1391" i="38" s="1"/>
  <c r="Y1387" i="38"/>
  <c r="AH1382" i="38"/>
  <c r="AJ1340" i="38"/>
  <c r="AJ1339" i="38" s="1"/>
  <c r="AE1386" i="38"/>
  <c r="AE1381" i="38"/>
  <c r="S1329" i="38"/>
  <c r="S1332" i="38"/>
  <c r="S1333" i="38" s="1"/>
  <c r="AJ1212" i="38"/>
  <c r="AD1328" i="38"/>
  <c r="R1181" i="38"/>
  <c r="R1062" i="38"/>
  <c r="AJ1129" i="38"/>
  <c r="AH1066" i="38"/>
  <c r="Y1151" i="38"/>
  <c r="Y1109" i="38"/>
  <c r="Y1156" i="38" s="1"/>
  <c r="Y1155" i="38" s="1"/>
  <c r="Y1140" i="38"/>
  <c r="Y1148" i="38" s="1"/>
  <c r="Y1108" i="38"/>
  <c r="X1390" i="38"/>
  <c r="X1391" i="38" s="1"/>
  <c r="X1387" i="38"/>
  <c r="W1153" i="38"/>
  <c r="W1152" i="38" s="1"/>
  <c r="V1180" i="38"/>
  <c r="V1151" i="38"/>
  <c r="AI1079" i="38"/>
  <c r="AJ1077" i="38"/>
  <c r="AJ1076" i="38" s="1"/>
  <c r="AI1076" i="38"/>
  <c r="W1397" i="38"/>
  <c r="W1396" i="38" s="1"/>
  <c r="W879" i="38"/>
  <c r="AE970" i="38"/>
  <c r="AI1063" i="38"/>
  <c r="AI1062" i="38" s="1"/>
  <c r="AI1066" i="38"/>
  <c r="AJ1067" i="38"/>
  <c r="Z1396" i="38"/>
  <c r="AH860" i="38"/>
  <c r="AD859" i="38"/>
  <c r="AA835" i="38"/>
  <c r="AA839" i="38"/>
  <c r="AG840" i="38"/>
  <c r="AF1591" i="38"/>
  <c r="AH845" i="38"/>
  <c r="AD844" i="38"/>
  <c r="AH861" i="38"/>
  <c r="AJ861" i="38" s="1"/>
  <c r="AF844" i="38"/>
  <c r="AI1555" i="38"/>
  <c r="AB1574" i="38"/>
  <c r="AB1573" i="38" s="1"/>
  <c r="AI845" i="38"/>
  <c r="AI844" i="38" s="1"/>
  <c r="AA1566" i="38"/>
  <c r="AG1567" i="38"/>
  <c r="AI1567" i="38" s="1"/>
  <c r="Z1573" i="38"/>
  <c r="AF839" i="38"/>
  <c r="AJ786" i="38"/>
  <c r="T1583" i="38"/>
  <c r="T1590" i="38" s="1"/>
  <c r="X672" i="38"/>
  <c r="X262" i="38"/>
  <c r="AF1567" i="38"/>
  <c r="X1566" i="38"/>
  <c r="AJ791" i="38"/>
  <c r="AH634" i="38"/>
  <c r="AH633" i="38" s="1"/>
  <c r="AJ635" i="38"/>
  <c r="AJ634" i="38" s="1"/>
  <c r="AJ633" i="38" s="1"/>
  <c r="AJ784" i="38"/>
  <c r="V1579" i="38"/>
  <c r="V1586" i="38" s="1"/>
  <c r="V1563" i="38"/>
  <c r="AE1529" i="38"/>
  <c r="U1528" i="38"/>
  <c r="AE755" i="38"/>
  <c r="AE754" i="38" s="1"/>
  <c r="AI729" i="38"/>
  <c r="AA252" i="38"/>
  <c r="AG266" i="38"/>
  <c r="AH679" i="38"/>
  <c r="AJ680" i="38"/>
  <c r="AJ679" i="38" s="1"/>
  <c r="AC1580" i="38"/>
  <c r="AC1587" i="38" s="1"/>
  <c r="AB607" i="38"/>
  <c r="AB183" i="38"/>
  <c r="AG183" i="38" s="1"/>
  <c r="V1539" i="38"/>
  <c r="V1548" i="38" s="1"/>
  <c r="S1528" i="38"/>
  <c r="AG1237" i="38"/>
  <c r="AA1238" i="38"/>
  <c r="AG1238" i="38" s="1"/>
  <c r="AI1238" i="38" s="1"/>
  <c r="AH781" i="38"/>
  <c r="Y1582" i="38"/>
  <c r="Y1589" i="38" s="1"/>
  <c r="Y1566" i="38"/>
  <c r="Y1581" i="38" s="1"/>
  <c r="Y1588" i="38" s="1"/>
  <c r="S1542" i="38"/>
  <c r="S1551" i="38" s="1"/>
  <c r="Z1538" i="38"/>
  <c r="Z1547" i="38" s="1"/>
  <c r="Z1519" i="38"/>
  <c r="AG1530" i="38"/>
  <c r="AI1530" i="38" s="1"/>
  <c r="V1531" i="38"/>
  <c r="V1527" i="38" s="1"/>
  <c r="V839" i="38"/>
  <c r="V1511" i="38" s="1"/>
  <c r="V1510" i="38" s="1"/>
  <c r="V836" i="38"/>
  <c r="V664" i="38"/>
  <c r="V663" i="38" s="1"/>
  <c r="R1579" i="38"/>
  <c r="R1563" i="38"/>
  <c r="AD1564" i="38"/>
  <c r="AA510" i="38"/>
  <c r="AA129" i="38"/>
  <c r="AA114" i="38" s="1"/>
  <c r="AJ674" i="38"/>
  <c r="AH673" i="38"/>
  <c r="V632" i="38"/>
  <c r="T1527" i="38"/>
  <c r="AA879" i="38"/>
  <c r="AH562" i="38"/>
  <c r="AJ563" i="38"/>
  <c r="AJ562" i="38" s="1"/>
  <c r="Z486" i="38"/>
  <c r="AE1489" i="38"/>
  <c r="X1487" i="38"/>
  <c r="AH455" i="38"/>
  <c r="AH454" i="38" s="1"/>
  <c r="AJ456" i="38"/>
  <c r="AJ455" i="38" s="1"/>
  <c r="AJ454" i="38" s="1"/>
  <c r="AE1532" i="38"/>
  <c r="U1531" i="38"/>
  <c r="AE1531" i="38" s="1"/>
  <c r="X1489" i="38"/>
  <c r="AE841" i="38"/>
  <c r="AH612" i="38"/>
  <c r="AJ613" i="38"/>
  <c r="AJ612" i="38" s="1"/>
  <c r="AH558" i="38"/>
  <c r="AH557" i="38" s="1"/>
  <c r="AJ559" i="38"/>
  <c r="AJ558" i="38" s="1"/>
  <c r="AJ557" i="38" s="1"/>
  <c r="AJ513" i="38"/>
  <c r="AJ512" i="38" s="1"/>
  <c r="AJ511" i="38" s="1"/>
  <c r="AH512" i="38"/>
  <c r="AH511" i="38" s="1"/>
  <c r="S552" i="38"/>
  <c r="W401" i="38"/>
  <c r="AE403" i="38"/>
  <c r="AD843" i="38"/>
  <c r="AH843" i="38" s="1"/>
  <c r="AJ843" i="38" s="1"/>
  <c r="R838" i="38"/>
  <c r="AH356" i="38"/>
  <c r="AJ356" i="38" s="1"/>
  <c r="AD375" i="38"/>
  <c r="U1484" i="38"/>
  <c r="AE1485" i="38"/>
  <c r="T426" i="38"/>
  <c r="AG492" i="38"/>
  <c r="AG486" i="38" s="1"/>
  <c r="AG485" i="38" s="1"/>
  <c r="AG358" i="38"/>
  <c r="AI359" i="38"/>
  <c r="AI358" i="38" s="1"/>
  <c r="AJ328" i="38"/>
  <c r="AJ319" i="38" s="1"/>
  <c r="AH291" i="38"/>
  <c r="AD290" i="38"/>
  <c r="AD312" i="38"/>
  <c r="AI361" i="38"/>
  <c r="AG380" i="38"/>
  <c r="AI517" i="38"/>
  <c r="AI516" i="38" s="1"/>
  <c r="AF1477" i="38"/>
  <c r="X1495" i="38"/>
  <c r="AB440" i="38"/>
  <c r="AA1295" i="38"/>
  <c r="AG1295" i="38" s="1"/>
  <c r="AG15" i="38"/>
  <c r="AA434" i="38"/>
  <c r="AA202" i="38"/>
  <c r="Y177" i="38"/>
  <c r="Y191" i="38"/>
  <c r="S430" i="38"/>
  <c r="S96" i="38"/>
  <c r="AB1499" i="38"/>
  <c r="AB1508" i="38" s="1"/>
  <c r="AJ256" i="38"/>
  <c r="AH242" i="38"/>
  <c r="AJ360" i="38"/>
  <c r="AD241" i="38"/>
  <c r="AH255" i="38"/>
  <c r="AJ198" i="38"/>
  <c r="AJ197" i="38" s="1"/>
  <c r="AH197" i="38"/>
  <c r="Y173" i="38"/>
  <c r="Y164" i="38"/>
  <c r="AF166" i="38"/>
  <c r="AH103" i="38"/>
  <c r="AD125" i="38"/>
  <c r="AF1396" i="38"/>
  <c r="AG1572" i="38"/>
  <c r="AI1572" i="38" s="1"/>
  <c r="AG1397" i="38"/>
  <c r="R1541" i="38"/>
  <c r="AD1523" i="38"/>
  <c r="AH1523" i="38" s="1"/>
  <c r="R1522" i="38"/>
  <c r="AE1530" i="38"/>
  <c r="R1494" i="38"/>
  <c r="AD1476" i="38"/>
  <c r="R1475" i="38"/>
  <c r="Y1528" i="38"/>
  <c r="Y1527" i="38" s="1"/>
  <c r="R371" i="38"/>
  <c r="R407" i="38"/>
  <c r="AH1354" i="38"/>
  <c r="AH1353" i="38" s="1"/>
  <c r="AH1352" i="38" s="1"/>
  <c r="AH1351" i="38" s="1"/>
  <c r="AJ1324" i="38"/>
  <c r="AJ1073" i="38"/>
  <c r="AI1085" i="38"/>
  <c r="AI1084" i="38" s="1"/>
  <c r="AI1072" i="38"/>
  <c r="T1180" i="38"/>
  <c r="T1161" i="38" s="1"/>
  <c r="T1191" i="38" s="1"/>
  <c r="U1153" i="38"/>
  <c r="U1152" i="38" s="1"/>
  <c r="U1151" i="38" s="1"/>
  <c r="U1183" i="38" s="1"/>
  <c r="AE910" i="38"/>
  <c r="AH970" i="38"/>
  <c r="AD1592" i="38"/>
  <c r="R1591" i="38"/>
  <c r="AG1402" i="38"/>
  <c r="AI906" i="38"/>
  <c r="T1582" i="38"/>
  <c r="T1589" i="38" s="1"/>
  <c r="T1566" i="38"/>
  <c r="T1581" i="38" s="1"/>
  <c r="T1588" i="38" s="1"/>
  <c r="U1583" i="38"/>
  <c r="AE1568" i="38"/>
  <c r="X839" i="38"/>
  <c r="X1511" i="38" s="1"/>
  <c r="AH897" i="38"/>
  <c r="AH896" i="38" s="1"/>
  <c r="AH1400" i="38" s="1"/>
  <c r="AE896" i="38"/>
  <c r="AE1400" i="38" s="1"/>
  <c r="AG1568" i="38"/>
  <c r="AC1579" i="38"/>
  <c r="AC1586" i="38" s="1"/>
  <c r="AC1563" i="38"/>
  <c r="V1569" i="38"/>
  <c r="AG697" i="38"/>
  <c r="AI699" i="38"/>
  <c r="AI697" i="38" s="1"/>
  <c r="AJ662" i="38"/>
  <c r="AJ656" i="38" s="1"/>
  <c r="AH656" i="38"/>
  <c r="T183" i="38"/>
  <c r="T607" i="38"/>
  <c r="Z1531" i="38"/>
  <c r="AJ781" i="38"/>
  <c r="Z1527" i="38"/>
  <c r="AJ687" i="38"/>
  <c r="AJ685" i="38" s="1"/>
  <c r="AH685" i="38"/>
  <c r="S1541" i="38"/>
  <c r="S1550" i="38" s="1"/>
  <c r="S1522" i="38"/>
  <c r="AJ737" i="38"/>
  <c r="R1570" i="38"/>
  <c r="AD1571" i="38"/>
  <c r="AH1571" i="38" s="1"/>
  <c r="AI510" i="38"/>
  <c r="V1582" i="38"/>
  <c r="V1589" i="38" s="1"/>
  <c r="V1566" i="38"/>
  <c r="V1581" i="38" s="1"/>
  <c r="V1588" i="38" s="1"/>
  <c r="AG510" i="38"/>
  <c r="AG460" i="38"/>
  <c r="AG459" i="38" s="1"/>
  <c r="AG453" i="38" s="1"/>
  <c r="AG452" i="38" s="1"/>
  <c r="AH553" i="38"/>
  <c r="AJ820" i="38"/>
  <c r="AF552" i="38"/>
  <c r="AE1498" i="38"/>
  <c r="AE1507" i="38" s="1"/>
  <c r="U1507" i="38"/>
  <c r="AG1485" i="38"/>
  <c r="AA1484" i="38"/>
  <c r="R469" i="38"/>
  <c r="R452" i="38" s="1"/>
  <c r="AH445" i="38"/>
  <c r="AD1488" i="38"/>
  <c r="R377" i="38"/>
  <c r="R408" i="38"/>
  <c r="AA1495" i="38"/>
  <c r="AG1477" i="38"/>
  <c r="AI1477" i="38" s="1"/>
  <c r="AJ848" i="38"/>
  <c r="AD389" i="38"/>
  <c r="AH391" i="38"/>
  <c r="U1494" i="38"/>
  <c r="U1475" i="38"/>
  <c r="AE1476" i="38"/>
  <c r="AJ322" i="38"/>
  <c r="AJ313" i="38" s="1"/>
  <c r="AH313" i="38"/>
  <c r="AI492" i="38"/>
  <c r="AF377" i="38"/>
  <c r="AF408" i="38"/>
  <c r="AJ364" i="38"/>
  <c r="AJ363" i="38" s="1"/>
  <c r="AJ362" i="38" s="1"/>
  <c r="AH363" i="38"/>
  <c r="AH362" i="38" s="1"/>
  <c r="AH441" i="38"/>
  <c r="AE408" i="38"/>
  <c r="AE377" i="38"/>
  <c r="AH286" i="38"/>
  <c r="AJ286" i="38" s="1"/>
  <c r="AD283" i="38"/>
  <c r="AD284" i="38" s="1"/>
  <c r="AB486" i="38"/>
  <c r="AB129" i="38"/>
  <c r="V411" i="38"/>
  <c r="V412" i="38" s="1"/>
  <c r="V406" i="38"/>
  <c r="AF440" i="38"/>
  <c r="S1295" i="38"/>
  <c r="AG216" i="38"/>
  <c r="AA208" i="38"/>
  <c r="R240" i="38"/>
  <c r="R238" i="38"/>
  <c r="AD254" i="38"/>
  <c r="U164" i="38"/>
  <c r="R374" i="38"/>
  <c r="R354" i="38"/>
  <c r="R353" i="38" s="1"/>
  <c r="AD355" i="38"/>
  <c r="AA446" i="38"/>
  <c r="AA419" i="38"/>
  <c r="AF436" i="38"/>
  <c r="AF335" i="38"/>
  <c r="AF311" i="38"/>
  <c r="AH159" i="38"/>
  <c r="AJ160" i="38"/>
  <c r="AJ159" i="38" s="1"/>
  <c r="AJ1346" i="38"/>
  <c r="AJ1345" i="38" s="1"/>
  <c r="AH1345" i="38"/>
  <c r="AJ1371" i="38"/>
  <c r="AJ1370" i="38" s="1"/>
  <c r="AJ1369" i="38" s="1"/>
  <c r="AJ1368" i="38" s="1"/>
  <c r="AJ1367" i="38" s="1"/>
  <c r="AJ1366" i="38" s="1"/>
  <c r="AH1370" i="38"/>
  <c r="AH1369" i="38" s="1"/>
  <c r="AH1368" i="38" s="1"/>
  <c r="AH1367" i="38" s="1"/>
  <c r="AH1366" i="38" s="1"/>
  <c r="AI1430" i="38"/>
  <c r="AG1427" i="38"/>
  <c r="AJ1382" i="38"/>
  <c r="AF1332" i="38"/>
  <c r="AF1333" i="38" s="1"/>
  <c r="AF1329" i="38"/>
  <c r="AJ1228" i="38"/>
  <c r="AA1153" i="38"/>
  <c r="AA1152" i="38" s="1"/>
  <c r="Z1180" i="38"/>
  <c r="Z1161" i="38" s="1"/>
  <c r="S1140" i="38"/>
  <c r="S1148" i="38" s="1"/>
  <c r="S1108" i="38"/>
  <c r="AD1108" i="38" s="1"/>
  <c r="S1109" i="38"/>
  <c r="S1156" i="38" s="1"/>
  <c r="S1155" i="38" s="1"/>
  <c r="AI892" i="38"/>
  <c r="AG891" i="38"/>
  <c r="AG1399" i="38" s="1"/>
  <c r="AE842" i="38"/>
  <c r="U837" i="38"/>
  <c r="U839" i="38"/>
  <c r="U1511" i="38" s="1"/>
  <c r="AJ757" i="38"/>
  <c r="AJ756" i="38" s="1"/>
  <c r="AH756" i="38"/>
  <c r="U1387" i="38"/>
  <c r="U1390" i="38"/>
  <c r="U1391" i="38" s="1"/>
  <c r="AJ1350" i="38"/>
  <c r="AI1223" i="38"/>
  <c r="AH1434" i="38"/>
  <c r="AD1425" i="38"/>
  <c r="AD1424" i="38" s="1"/>
  <c r="AD1428" i="38"/>
  <c r="R1156" i="38"/>
  <c r="R1155" i="38" s="1"/>
  <c r="R1151" i="38" s="1"/>
  <c r="R1428" i="38"/>
  <c r="R1425" i="38"/>
  <c r="R1424" i="38" s="1"/>
  <c r="AJ1030" i="38"/>
  <c r="AI1030" i="38"/>
  <c r="AJ964" i="38"/>
  <c r="AJ963" i="38" s="1"/>
  <c r="AI963" i="38"/>
  <c r="AE1402" i="38"/>
  <c r="AH906" i="38"/>
  <c r="AH1402" i="38" s="1"/>
  <c r="AD1397" i="38"/>
  <c r="AD1396" i="38" s="1"/>
  <c r="AD879" i="38"/>
  <c r="AG1062" i="38"/>
  <c r="AG1592" i="38"/>
  <c r="AI1592" i="38" s="1"/>
  <c r="AA1591" i="38"/>
  <c r="W839" i="38"/>
  <c r="W1511" i="38" s="1"/>
  <c r="W1510" i="38" s="1"/>
  <c r="U1591" i="38"/>
  <c r="AE1592" i="38"/>
  <c r="S835" i="38"/>
  <c r="AD835" i="38" s="1"/>
  <c r="S839" i="38"/>
  <c r="T1397" i="38"/>
  <c r="T1396" i="38" s="1"/>
  <c r="T879" i="38"/>
  <c r="AG859" i="38"/>
  <c r="S1566" i="38"/>
  <c r="S1581" i="38" s="1"/>
  <c r="S1588" i="38" s="1"/>
  <c r="AE1575" i="38"/>
  <c r="AD1567" i="38"/>
  <c r="AH1567" i="38" s="1"/>
  <c r="R1566" i="38"/>
  <c r="AJ853" i="38"/>
  <c r="AJ849" i="38" s="1"/>
  <c r="AI781" i="38"/>
  <c r="AI755" i="38" s="1"/>
  <c r="AI754" i="38" s="1"/>
  <c r="AC1570" i="38"/>
  <c r="AC1574" i="38"/>
  <c r="AJ621" i="38"/>
  <c r="AJ620" i="38" s="1"/>
  <c r="AH620" i="38"/>
  <c r="AC716" i="38"/>
  <c r="AC263" i="38"/>
  <c r="Y1583" i="38"/>
  <c r="Y1590" i="38" s="1"/>
  <c r="T1579" i="38"/>
  <c r="T1586" i="38" s="1"/>
  <c r="T1563" i="38"/>
  <c r="AB1533" i="38"/>
  <c r="AB1531" i="38" s="1"/>
  <c r="AB1527" i="38" s="1"/>
  <c r="Z1541" i="38"/>
  <c r="Z1550" i="38" s="1"/>
  <c r="Z1522" i="38"/>
  <c r="Z1540" i="38" s="1"/>
  <c r="Z1549" i="38" s="1"/>
  <c r="AJ816" i="38"/>
  <c r="AJ815" i="38" s="1"/>
  <c r="AI716" i="38"/>
  <c r="AI708" i="38" s="1"/>
  <c r="AF1568" i="38"/>
  <c r="AG1571" i="38"/>
  <c r="AI1571" i="38" s="1"/>
  <c r="AA1570" i="38"/>
  <c r="AC1539" i="38"/>
  <c r="AC1548" i="38" s="1"/>
  <c r="AD1520" i="38"/>
  <c r="AH1520" i="38" s="1"/>
  <c r="R1538" i="38"/>
  <c r="R1519" i="38"/>
  <c r="S1539" i="38"/>
  <c r="S1548" i="38" s="1"/>
  <c r="W1538" i="38"/>
  <c r="W1547" i="38" s="1"/>
  <c r="W1519" i="38"/>
  <c r="AA672" i="38"/>
  <c r="AA262" i="38"/>
  <c r="Z1539" i="38"/>
  <c r="Z1548" i="38" s="1"/>
  <c r="S1531" i="38"/>
  <c r="R251" i="38"/>
  <c r="AD265" i="38"/>
  <c r="W1582" i="38"/>
  <c r="W1589" i="38" s="1"/>
  <c r="W1566" i="38"/>
  <c r="W1581" i="38" s="1"/>
  <c r="W1588" i="38" s="1"/>
  <c r="Z1494" i="38"/>
  <c r="Z1503" i="38" s="1"/>
  <c r="Z1475" i="38"/>
  <c r="AJ553" i="38"/>
  <c r="AH820" i="38"/>
  <c r="AI553" i="38"/>
  <c r="W1495" i="38"/>
  <c r="W1504" i="38" s="1"/>
  <c r="Y552" i="38"/>
  <c r="AJ537" i="38"/>
  <c r="AJ536" i="38" s="1"/>
  <c r="X1497" i="38"/>
  <c r="AA1475" i="38"/>
  <c r="AA1494" i="38"/>
  <c r="AG1476" i="38"/>
  <c r="W1522" i="38"/>
  <c r="W1541" i="38"/>
  <c r="W1550" i="38" s="1"/>
  <c r="R1495" i="38"/>
  <c r="AD1477" i="38"/>
  <c r="AB1541" i="38"/>
  <c r="AB1550" i="38" s="1"/>
  <c r="AB1522" i="38"/>
  <c r="AJ506" i="38"/>
  <c r="AJ505" i="38" s="1"/>
  <c r="R1497" i="38"/>
  <c r="T407" i="38"/>
  <c r="T371" i="38"/>
  <c r="T373" i="38"/>
  <c r="AG1486" i="38"/>
  <c r="AI1486" i="38" s="1"/>
  <c r="AJ386" i="38"/>
  <c r="AH385" i="38"/>
  <c r="Z374" i="38"/>
  <c r="Z354" i="38"/>
  <c r="Z353" i="38" s="1"/>
  <c r="AI397" i="38"/>
  <c r="AJ397" i="38" s="1"/>
  <c r="R418" i="38"/>
  <c r="AD421" i="38"/>
  <c r="AH421" i="38" s="1"/>
  <c r="AI355" i="38"/>
  <c r="AI354" i="38" s="1"/>
  <c r="AI353" i="38" s="1"/>
  <c r="AG354" i="38"/>
  <c r="AG353" i="38" s="1"/>
  <c r="R339" i="38"/>
  <c r="R336" i="38"/>
  <c r="T1497" i="38"/>
  <c r="T1506" i="38" s="1"/>
  <c r="AD401" i="38"/>
  <c r="AH401" i="38" s="1"/>
  <c r="AJ401" i="38" s="1"/>
  <c r="W407" i="38"/>
  <c r="W373" i="38"/>
  <c r="W371" i="38"/>
  <c r="AG312" i="38"/>
  <c r="AG310" i="38"/>
  <c r="AI321" i="38"/>
  <c r="AH437" i="38"/>
  <c r="AF485" i="38"/>
  <c r="AH361" i="38"/>
  <c r="AJ361" i="38" s="1"/>
  <c r="V436" i="38"/>
  <c r="AC377" i="38"/>
  <c r="AC408" i="38"/>
  <c r="AI402" i="38"/>
  <c r="AJ402" i="38" s="1"/>
  <c r="X240" i="38"/>
  <c r="AF254" i="38"/>
  <c r="AI212" i="38"/>
  <c r="AG243" i="38"/>
  <c r="AH212" i="38"/>
  <c r="AD243" i="38"/>
  <c r="AH325" i="38"/>
  <c r="AD316" i="38"/>
  <c r="AD310" i="38"/>
  <c r="AJ462" i="38"/>
  <c r="AJ461" i="38" s="1"/>
  <c r="AJ460" i="38" s="1"/>
  <c r="AJ459" i="38" s="1"/>
  <c r="AH461" i="38"/>
  <c r="AH460" i="38" s="1"/>
  <c r="AH459" i="38" s="1"/>
  <c r="AE253" i="38"/>
  <c r="AH267" i="38"/>
  <c r="AH260" i="38"/>
  <c r="AD246" i="38"/>
  <c r="AB1544" i="38"/>
  <c r="AB1553" i="38" s="1"/>
  <c r="AF154" i="38"/>
  <c r="AF1109" i="38"/>
  <c r="AD854" i="38"/>
  <c r="AH855" i="38"/>
  <c r="X1579" i="38"/>
  <c r="X1563" i="38"/>
  <c r="AF1564" i="38"/>
  <c r="AJ803" i="38"/>
  <c r="AJ800" i="38" s="1"/>
  <c r="AH800" i="38"/>
  <c r="AH794" i="38" s="1"/>
  <c r="AH793" i="38" s="1"/>
  <c r="AJ755" i="38"/>
  <c r="AJ754" i="38" s="1"/>
  <c r="AJ578" i="38"/>
  <c r="AJ577" i="38" s="1"/>
  <c r="AH577" i="38"/>
  <c r="AF419" i="38"/>
  <c r="AJ294" i="38"/>
  <c r="AH315" i="38"/>
  <c r="AE1500" i="38"/>
  <c r="AE1509" i="38" s="1"/>
  <c r="U1509" i="38"/>
  <c r="X1509" i="38"/>
  <c r="AF1500" i="38"/>
  <c r="AF1509" i="38" s="1"/>
  <c r="AI1432" i="38"/>
  <c r="AG1431" i="38"/>
  <c r="Z1191" i="38"/>
  <c r="V1161" i="38"/>
  <c r="V1191" i="38" s="1"/>
  <c r="AH1223" i="38"/>
  <c r="AJ1223" i="38" s="1"/>
  <c r="AJ1125" i="38"/>
  <c r="AJ994" i="38"/>
  <c r="AJ993" i="38" s="1"/>
  <c r="AI993" i="38"/>
  <c r="AJ1013" i="38"/>
  <c r="AJ1012" i="38" s="1"/>
  <c r="AI1012" i="38"/>
  <c r="AF1108" i="38"/>
  <c r="AI1108" i="38" s="1"/>
  <c r="W1140" i="38"/>
  <c r="W1148" i="38" s="1"/>
  <c r="W1109" i="38"/>
  <c r="W1156" i="38" s="1"/>
  <c r="W1155" i="38" s="1"/>
  <c r="W1108" i="38"/>
  <c r="AE1108" i="38" s="1"/>
  <c r="V1397" i="38"/>
  <c r="V1396" i="38" s="1"/>
  <c r="V879" i="38"/>
  <c r="AE902" i="38"/>
  <c r="AE1401" i="38" s="1"/>
  <c r="AH903" i="38"/>
  <c r="AH902" i="38" s="1"/>
  <c r="AH1401" i="38" s="1"/>
  <c r="AF910" i="38"/>
  <c r="AJ942" i="38"/>
  <c r="AJ941" i="38" s="1"/>
  <c r="AJ940" i="38" s="1"/>
  <c r="AI941" i="38"/>
  <c r="AI940" i="38" s="1"/>
  <c r="AE1237" i="38"/>
  <c r="AJ856" i="38"/>
  <c r="AI854" i="38"/>
  <c r="AJ865" i="38"/>
  <c r="AJ864" i="38" s="1"/>
  <c r="AH864" i="38"/>
  <c r="AB1580" i="38"/>
  <c r="AB1587" i="38" s="1"/>
  <c r="Y1569" i="38"/>
  <c r="Z834" i="38"/>
  <c r="Z1465" i="38" s="1"/>
  <c r="Z1463" i="38" s="1"/>
  <c r="Z58" i="38"/>
  <c r="Z57" i="38" s="1"/>
  <c r="S1574" i="38"/>
  <c r="S1573" i="38" s="1"/>
  <c r="Z1580" i="38"/>
  <c r="Z1587" i="38" s="1"/>
  <c r="W1579" i="38"/>
  <c r="W1586" i="38" s="1"/>
  <c r="W1563" i="38"/>
  <c r="AJ777" i="38"/>
  <c r="AJ776" i="38" s="1"/>
  <c r="AH776" i="38"/>
  <c r="AJ886" i="38"/>
  <c r="AJ885" i="38" s="1"/>
  <c r="AJ1398" i="38" s="1"/>
  <c r="AI885" i="38"/>
  <c r="AI1398" i="38" s="1"/>
  <c r="AD794" i="38"/>
  <c r="AD793" i="38" s="1"/>
  <c r="AJ731" i="38"/>
  <c r="S1583" i="38"/>
  <c r="S1590" i="38" s="1"/>
  <c r="U1579" i="38"/>
  <c r="U1563" i="38"/>
  <c r="AE1564" i="38"/>
  <c r="AC1582" i="38"/>
  <c r="AC1589" i="38" s="1"/>
  <c r="AC1566" i="38"/>
  <c r="Y1539" i="38"/>
  <c r="Y1548" i="38" s="1"/>
  <c r="X1539" i="38"/>
  <c r="AF1521" i="38"/>
  <c r="Z1583" i="38"/>
  <c r="Z1590" i="38" s="1"/>
  <c r="U1580" i="38"/>
  <c r="AE1565" i="38"/>
  <c r="AH761" i="38"/>
  <c r="AB1542" i="38"/>
  <c r="AB1551" i="38" s="1"/>
  <c r="AD1532" i="38"/>
  <c r="AH1532" i="38" s="1"/>
  <c r="AJ1532" i="38" s="1"/>
  <c r="R1531" i="38"/>
  <c r="AD1531" i="38" s="1"/>
  <c r="X716" i="38"/>
  <c r="AA1563" i="38"/>
  <c r="AA1579" i="38"/>
  <c r="AG1564" i="38"/>
  <c r="AI1564" i="38" s="1"/>
  <c r="AD1529" i="38"/>
  <c r="AH1529" i="38" s="1"/>
  <c r="R1528" i="38"/>
  <c r="W607" i="38"/>
  <c r="W583" i="38" s="1"/>
  <c r="W182" i="38"/>
  <c r="W1528" i="38"/>
  <c r="AA251" i="38"/>
  <c r="AG265" i="38"/>
  <c r="AG673" i="38"/>
  <c r="AG672" i="38" s="1"/>
  <c r="AI675" i="38"/>
  <c r="AI673" i="38" s="1"/>
  <c r="AI672" i="38" s="1"/>
  <c r="AE672" i="38"/>
  <c r="AE664" i="38" s="1"/>
  <c r="AD735" i="38"/>
  <c r="AD716" i="38" s="1"/>
  <c r="AD708" i="38" s="1"/>
  <c r="AA1541" i="38"/>
  <c r="AG1523" i="38"/>
  <c r="AI1523" i="38" s="1"/>
  <c r="AA1522" i="38"/>
  <c r="AE485" i="38"/>
  <c r="U1542" i="38"/>
  <c r="AE1524" i="38"/>
  <c r="AE1477" i="38"/>
  <c r="U1495" i="38"/>
  <c r="Z1480" i="38"/>
  <c r="Z104" i="38"/>
  <c r="AB1483" i="38"/>
  <c r="Y1538" i="38"/>
  <c r="Y1547" i="38" s="1"/>
  <c r="Y1519" i="38"/>
  <c r="S1495" i="38"/>
  <c r="S1504" i="38" s="1"/>
  <c r="S1484" i="38"/>
  <c r="Y408" i="38"/>
  <c r="Y377" i="38"/>
  <c r="W1531" i="38"/>
  <c r="AD1486" i="38"/>
  <c r="AH1486" i="38" s="1"/>
  <c r="AJ1486" i="38" s="1"/>
  <c r="Z1542" i="38"/>
  <c r="Z1551" i="38" s="1"/>
  <c r="Z126" i="38"/>
  <c r="AH693" i="38"/>
  <c r="AC1542" i="38"/>
  <c r="AC1551" i="38" s="1"/>
  <c r="X1494" i="38"/>
  <c r="X1475" i="38"/>
  <c r="AF1476" i="38"/>
  <c r="Z407" i="38"/>
  <c r="Z371" i="38"/>
  <c r="Z373" i="38"/>
  <c r="AA377" i="38"/>
  <c r="AA408" i="38"/>
  <c r="AF381" i="38"/>
  <c r="AF374" i="38"/>
  <c r="T1496" i="38"/>
  <c r="T1505" i="38" s="1"/>
  <c r="V1494" i="38"/>
  <c r="V1503" i="38" s="1"/>
  <c r="V1475" i="38"/>
  <c r="X335" i="38"/>
  <c r="X311" i="38"/>
  <c r="W1542" i="38"/>
  <c r="W1551" i="38" s="1"/>
  <c r="AF353" i="38"/>
  <c r="AJ280" i="38"/>
  <c r="AJ279" i="38" s="1"/>
  <c r="AH279" i="38"/>
  <c r="AJ593" i="38"/>
  <c r="AH359" i="38"/>
  <c r="AD358" i="38"/>
  <c r="AH231" i="38"/>
  <c r="AJ231" i="38" s="1"/>
  <c r="AD223" i="38"/>
  <c r="AA164" i="38"/>
  <c r="AA173" i="38"/>
  <c r="S208" i="38"/>
  <c r="Z173" i="38"/>
  <c r="Z164" i="38"/>
  <c r="W1499" i="38"/>
  <c r="W1508" i="38" s="1"/>
  <c r="Z123" i="38"/>
  <c r="AD98" i="38"/>
  <c r="AH98" i="38" s="1"/>
  <c r="AJ98" i="38" s="1"/>
  <c r="AE426" i="38"/>
  <c r="AJ415" i="38"/>
  <c r="AJ414" i="38" s="1"/>
  <c r="AH414" i="38"/>
  <c r="S240" i="38"/>
  <c r="S238" i="38"/>
  <c r="AI245" i="38"/>
  <c r="AG347" i="38"/>
  <c r="AB240" i="38"/>
  <c r="AB238" i="38"/>
  <c r="AG1525" i="38"/>
  <c r="AI1525" i="38" s="1"/>
  <c r="AI362" i="38"/>
  <c r="AI243" i="38"/>
  <c r="AF30" i="38"/>
  <c r="AA371" i="38"/>
  <c r="AA373" i="38"/>
  <c r="AA407" i="38"/>
  <c r="AB1543" i="38"/>
  <c r="AB1552" i="38" s="1"/>
  <c r="R1534" i="38"/>
  <c r="AD174" i="38"/>
  <c r="T446" i="38"/>
  <c r="T427" i="38" s="1"/>
  <c r="T419" i="38"/>
  <c r="V311" i="38"/>
  <c r="V335" i="38"/>
  <c r="AG1526" i="38"/>
  <c r="AI131" i="38"/>
  <c r="AJ132" i="38"/>
  <c r="AI383" i="38"/>
  <c r="AI375" i="38" s="1"/>
  <c r="AG375" i="38"/>
  <c r="AH331" i="38"/>
  <c r="AJ332" i="38"/>
  <c r="AJ331" i="38" s="1"/>
  <c r="AJ133" i="38"/>
  <c r="AH131" i="38"/>
  <c r="AF178" i="38"/>
  <c r="AI182" i="38"/>
  <c r="V135" i="38"/>
  <c r="V124" i="38"/>
  <c r="V81" i="38"/>
  <c r="AD216" i="38"/>
  <c r="R1295" i="38"/>
  <c r="AD1295" i="38" s="1"/>
  <c r="AH1295" i="38" s="1"/>
  <c r="AD15" i="38"/>
  <c r="AH15" i="38" s="1"/>
  <c r="AH157" i="38"/>
  <c r="AD180" i="38"/>
  <c r="AH1312" i="38"/>
  <c r="R442" i="38"/>
  <c r="R347" i="38"/>
  <c r="AD244" i="38"/>
  <c r="AH258" i="38"/>
  <c r="Y1544" i="38"/>
  <c r="Y1553" i="38" s="1"/>
  <c r="AA1534" i="38"/>
  <c r="AG1534" i="38" s="1"/>
  <c r="AG174" i="38"/>
  <c r="AG169" i="38"/>
  <c r="AI168" i="38"/>
  <c r="AI169" i="38" s="1"/>
  <c r="AH143" i="38"/>
  <c r="AJ143" i="38" s="1"/>
  <c r="Y81" i="38"/>
  <c r="Y135" i="38"/>
  <c r="Y1295" i="38"/>
  <c r="AF1295" i="38" s="1"/>
  <c r="AF15" i="38"/>
  <c r="AG97" i="38"/>
  <c r="AI97" i="38" s="1"/>
  <c r="AI95" i="38" s="1"/>
  <c r="AI96" i="38" s="1"/>
  <c r="AA95" i="38"/>
  <c r="AD1491" i="38"/>
  <c r="AH1491" i="38" s="1"/>
  <c r="R1500" i="38"/>
  <c r="AJ203" i="38"/>
  <c r="AJ201" i="38" s="1"/>
  <c r="AJ202" i="38" s="1"/>
  <c r="AH201" i="38"/>
  <c r="AH202" i="38" s="1"/>
  <c r="V208" i="38"/>
  <c r="AE209" i="38"/>
  <c r="U1535" i="38"/>
  <c r="AE175" i="38"/>
  <c r="AA1459" i="38"/>
  <c r="AA1302" i="38"/>
  <c r="AG1302" i="38" s="1"/>
  <c r="AG22" i="38"/>
  <c r="AH1311" i="38"/>
  <c r="AJ1311" i="38" s="1"/>
  <c r="AE516" i="38"/>
  <c r="AE510" i="38" s="1"/>
  <c r="AB407" i="38"/>
  <c r="AB371" i="38"/>
  <c r="AB373" i="38"/>
  <c r="AJ221" i="38"/>
  <c r="AI211" i="38"/>
  <c r="AI242" i="38" s="1"/>
  <c r="AG242" i="38"/>
  <c r="U434" i="38"/>
  <c r="U202" i="38"/>
  <c r="AE166" i="38"/>
  <c r="U173" i="38"/>
  <c r="AE173" i="38" s="1"/>
  <c r="AF173" i="38"/>
  <c r="T1499" i="38"/>
  <c r="T1508" i="38" s="1"/>
  <c r="AD1310" i="38"/>
  <c r="AH1310" i="38" s="1"/>
  <c r="AH521" i="38"/>
  <c r="AH517" i="38" s="1"/>
  <c r="AH516" i="38" s="1"/>
  <c r="AJ522" i="38"/>
  <c r="AJ521" i="38" s="1"/>
  <c r="AG421" i="38"/>
  <c r="AH250" i="38"/>
  <c r="AC1499" i="38"/>
  <c r="AC1508" i="38" s="1"/>
  <c r="T240" i="38"/>
  <c r="T238" i="38"/>
  <c r="AF209" i="38"/>
  <c r="X208" i="38"/>
  <c r="AA1535" i="38"/>
  <c r="AG1535" i="38" s="1"/>
  <c r="AG175" i="38"/>
  <c r="V1543" i="38"/>
  <c r="V1552" i="38" s="1"/>
  <c r="R1307" i="38"/>
  <c r="AD1307" i="38" s="1"/>
  <c r="AH1307" i="38" s="1"/>
  <c r="AD27" i="38"/>
  <c r="R68" i="38"/>
  <c r="AH429" i="38"/>
  <c r="AG403" i="38"/>
  <c r="AI403" i="38" s="1"/>
  <c r="AA401" i="38"/>
  <c r="AG401" i="38" s="1"/>
  <c r="AI401" i="38" s="1"/>
  <c r="AA442" i="38"/>
  <c r="AA347" i="38"/>
  <c r="AC1543" i="38"/>
  <c r="AC1552" i="38" s="1"/>
  <c r="X190" i="38"/>
  <c r="AF176" i="38"/>
  <c r="X177" i="38"/>
  <c r="AI350" i="38"/>
  <c r="AI346" i="38" s="1"/>
  <c r="AI347" i="38" s="1"/>
  <c r="AC311" i="38"/>
  <c r="AC335" i="38"/>
  <c r="AF216" i="38"/>
  <c r="Y247" i="38"/>
  <c r="X1534" i="38"/>
  <c r="AF174" i="38"/>
  <c r="X164" i="38"/>
  <c r="U1534" i="38"/>
  <c r="AE1534" i="38" s="1"/>
  <c r="AE174" i="38"/>
  <c r="AE1490" i="38"/>
  <c r="AD169" i="38"/>
  <c r="AH218" i="38"/>
  <c r="AJ218" i="38" s="1"/>
  <c r="AJ167" i="38"/>
  <c r="AH169" i="38"/>
  <c r="A106" i="38"/>
  <c r="U1306" i="38"/>
  <c r="AE1306" i="38" s="1"/>
  <c r="AE26" i="38"/>
  <c r="AE62" i="38" s="1"/>
  <c r="AE67" i="38" s="1"/>
  <c r="U62" i="38"/>
  <c r="U67" i="38" s="1"/>
  <c r="AJ219" i="38"/>
  <c r="AD426" i="38"/>
  <c r="AE216" i="38"/>
  <c r="U208" i="38"/>
  <c r="Z452" i="38"/>
  <c r="AI391" i="38"/>
  <c r="AI389" i="38" s="1"/>
  <c r="AG389" i="38"/>
  <c r="Z1544" i="38"/>
  <c r="Z1553" i="38" s="1"/>
  <c r="AG1491" i="38"/>
  <c r="AI1491" i="38" s="1"/>
  <c r="AF111" i="38"/>
  <c r="AG1490" i="38"/>
  <c r="AI1490" i="38" s="1"/>
  <c r="Y407" i="38"/>
  <c r="Y371" i="38"/>
  <c r="Y373" i="38"/>
  <c r="S1544" i="38"/>
  <c r="S1553" i="38" s="1"/>
  <c r="AD150" i="38"/>
  <c r="AD151" i="38" s="1"/>
  <c r="AH145" i="38"/>
  <c r="AJ128" i="38"/>
  <c r="T1543" i="38"/>
  <c r="T1552" i="38" s="1"/>
  <c r="S1512" i="38"/>
  <c r="AD1512" i="38" s="1"/>
  <c r="AH1512" i="38" s="1"/>
  <c r="S22" i="38"/>
  <c r="S82" i="38"/>
  <c r="Z1488" i="38"/>
  <c r="Z1497" i="38" s="1"/>
  <c r="Z1506" i="38" s="1"/>
  <c r="Z1478" i="38"/>
  <c r="U311" i="38"/>
  <c r="U335" i="38"/>
  <c r="U438" i="38"/>
  <c r="U284" i="38"/>
  <c r="AH224" i="38"/>
  <c r="AF434" i="38"/>
  <c r="W79" i="38"/>
  <c r="W124" i="38"/>
  <c r="X1535" i="38"/>
  <c r="AF1535" i="38" s="1"/>
  <c r="AF175" i="38"/>
  <c r="AJ383" i="38"/>
  <c r="Z1499" i="38"/>
  <c r="Z1508" i="38" s="1"/>
  <c r="AB446" i="38"/>
  <c r="AB419" i="38"/>
  <c r="AH301" i="38"/>
  <c r="AD300" i="38"/>
  <c r="T165" i="38"/>
  <c r="T154" i="38"/>
  <c r="T178" i="38"/>
  <c r="X1467" i="38"/>
  <c r="X1303" i="38"/>
  <c r="AF1303" i="38" s="1"/>
  <c r="AF23" i="38"/>
  <c r="AF1467" i="38" s="1"/>
  <c r="S371" i="38"/>
  <c r="S373" i="38"/>
  <c r="AI441" i="38"/>
  <c r="S401" i="38"/>
  <c r="S407" i="38" s="1"/>
  <c r="AD403" i="38"/>
  <c r="AH403" i="38" s="1"/>
  <c r="AJ403" i="38" s="1"/>
  <c r="AA353" i="38"/>
  <c r="AE283" i="38"/>
  <c r="AE284" i="38" s="1"/>
  <c r="AH285" i="38"/>
  <c r="AJ168" i="38"/>
  <c r="AD1526" i="38"/>
  <c r="AH1526" i="38" s="1"/>
  <c r="R1544" i="38"/>
  <c r="AI48" i="38"/>
  <c r="AJ49" i="38"/>
  <c r="AJ48" i="38" s="1"/>
  <c r="W240" i="38"/>
  <c r="W238" i="38"/>
  <c r="AE254" i="38"/>
  <c r="R1302" i="38"/>
  <c r="R1459" i="38"/>
  <c r="AD22" i="38"/>
  <c r="R19" i="38"/>
  <c r="V247" i="38"/>
  <c r="AA1499" i="38"/>
  <c r="AG1481" i="38"/>
  <c r="AI1481" i="38" s="1"/>
  <c r="AG208" i="38"/>
  <c r="AI209" i="38"/>
  <c r="AJ299" i="38"/>
  <c r="AJ320" i="38" s="1"/>
  <c r="AH320" i="38"/>
  <c r="AF150" i="38"/>
  <c r="AF151" i="38" s="1"/>
  <c r="AI145" i="38"/>
  <c r="AI150" i="38" s="1"/>
  <c r="AI151" i="38" s="1"/>
  <c r="AD111" i="38"/>
  <c r="AA311" i="38"/>
  <c r="AA335" i="38"/>
  <c r="U177" i="38"/>
  <c r="U190" i="38"/>
  <c r="U1301" i="38"/>
  <c r="AE21" i="38"/>
  <c r="AE1460" i="38" s="1"/>
  <c r="U19" i="38"/>
  <c r="X408" i="38"/>
  <c r="X377" i="38"/>
  <c r="AI180" i="38"/>
  <c r="AJ574" i="38"/>
  <c r="AJ573" i="38" s="1"/>
  <c r="AJ572" i="38" s="1"/>
  <c r="AJ568" i="38" s="1"/>
  <c r="AH573" i="38"/>
  <c r="AH572" i="38" s="1"/>
  <c r="AH568" i="38" s="1"/>
  <c r="AI325" i="38"/>
  <c r="AI316" i="38" s="1"/>
  <c r="AG316" i="38"/>
  <c r="AE179" i="38"/>
  <c r="T139" i="38"/>
  <c r="T140" i="38" s="1"/>
  <c r="T136" i="38"/>
  <c r="AF426" i="38"/>
  <c r="X1459" i="38"/>
  <c r="X1302" i="38"/>
  <c r="X19" i="38"/>
  <c r="AF22" i="38"/>
  <c r="AF1459" i="38" s="1"/>
  <c r="A429" i="38"/>
  <c r="AI572" i="38"/>
  <c r="AI568" i="38" s="1"/>
  <c r="AF380" i="38"/>
  <c r="AI388" i="38"/>
  <c r="AI380" i="38" s="1"/>
  <c r="AG254" i="38"/>
  <c r="AA240" i="38"/>
  <c r="X1544" i="38"/>
  <c r="AF1526" i="38"/>
  <c r="T86" i="38"/>
  <c r="T89" i="38" s="1"/>
  <c r="AC427" i="38"/>
  <c r="AJ113" i="38"/>
  <c r="W86" i="38"/>
  <c r="W89" i="38" s="1"/>
  <c r="AH318" i="38"/>
  <c r="AJ327" i="38"/>
  <c r="AJ318" i="38" s="1"/>
  <c r="AG241" i="38"/>
  <c r="AI255" i="38"/>
  <c r="AI241" i="38" s="1"/>
  <c r="AJ326" i="38"/>
  <c r="AJ317" i="38" s="1"/>
  <c r="AH317" i="38"/>
  <c r="Z240" i="38"/>
  <c r="Z238" i="38"/>
  <c r="Z443" i="38"/>
  <c r="Z341" i="38" s="1"/>
  <c r="Y1459" i="38"/>
  <c r="Y1302" i="38"/>
  <c r="Y1299" i="38" s="1"/>
  <c r="Y19" i="38"/>
  <c r="AI30" i="38"/>
  <c r="AJ30" i="38" s="1"/>
  <c r="S164" i="38"/>
  <c r="AE245" i="38"/>
  <c r="AH259" i="38"/>
  <c r="AB1299" i="38"/>
  <c r="AC1310" i="38"/>
  <c r="AG1310" i="38" s="1"/>
  <c r="AI1310" i="38" s="1"/>
  <c r="AG1312" i="38"/>
  <c r="AI1312" i="38" s="1"/>
  <c r="X14" i="38"/>
  <c r="AI429" i="38"/>
  <c r="S1543" i="38"/>
  <c r="S1552" i="38" s="1"/>
  <c r="R1499" i="38"/>
  <c r="AD1481" i="38"/>
  <c r="AJ348" i="38"/>
  <c r="AH346" i="38"/>
  <c r="AH347" i="38" s="1"/>
  <c r="AG165" i="38"/>
  <c r="W139" i="38"/>
  <c r="W140" i="38" s="1"/>
  <c r="W136" i="38"/>
  <c r="R1535" i="38"/>
  <c r="AD1535" i="38" s="1"/>
  <c r="AD175" i="38"/>
  <c r="AH175" i="38" s="1"/>
  <c r="U1543" i="38"/>
  <c r="AE1525" i="38"/>
  <c r="AH1525" i="38" s="1"/>
  <c r="AJ1525" i="38" s="1"/>
  <c r="U1499" i="38"/>
  <c r="AE1481" i="38"/>
  <c r="AG426" i="38"/>
  <c r="Z1459" i="38"/>
  <c r="Z1302" i="38"/>
  <c r="Z1299" i="38" s="1"/>
  <c r="Z19" i="38"/>
  <c r="AH268" i="38"/>
  <c r="AJ269" i="38"/>
  <c r="AJ268" i="38" s="1"/>
  <c r="AD1490" i="38"/>
  <c r="AH1490" i="38" s="1"/>
  <c r="AJ1490" i="38" s="1"/>
  <c r="AJ709" i="38"/>
  <c r="AH156" i="38"/>
  <c r="A93" i="38"/>
  <c r="S1301" i="38"/>
  <c r="S19" i="38"/>
  <c r="AG1303" i="38"/>
  <c r="AI1303" i="38" s="1"/>
  <c r="AG104" i="38"/>
  <c r="AA102" i="38"/>
  <c r="AC177" i="38"/>
  <c r="AC190" i="38"/>
  <c r="AG68" i="38"/>
  <c r="AG73" i="38" s="1"/>
  <c r="AI27" i="38"/>
  <c r="AI68" i="38" s="1"/>
  <c r="AI73" i="38" s="1"/>
  <c r="S86" i="38"/>
  <c r="S89" i="38" s="1"/>
  <c r="S17" i="38"/>
  <c r="AI111" i="38"/>
  <c r="AI1438" i="38"/>
  <c r="AJ1439" i="38"/>
  <c r="AJ1438" i="38" s="1"/>
  <c r="S102" i="38"/>
  <c r="S114" i="38"/>
  <c r="AC1299" i="38"/>
  <c r="AA1489" i="38"/>
  <c r="AA1487" i="38" s="1"/>
  <c r="AG1480" i="38"/>
  <c r="AE250" i="38"/>
  <c r="AI1307" i="38"/>
  <c r="A158" i="38"/>
  <c r="X407" i="38"/>
  <c r="X373" i="38"/>
  <c r="X371" i="38"/>
  <c r="AF1306" i="38"/>
  <c r="AB430" i="38"/>
  <c r="AB96" i="38"/>
  <c r="S1489" i="38"/>
  <c r="S1498" i="38" s="1"/>
  <c r="S1507" i="38" s="1"/>
  <c r="AI105" i="38"/>
  <c r="AJ105" i="38" s="1"/>
  <c r="V240" i="38"/>
  <c r="V238" i="38"/>
  <c r="Z247" i="38"/>
  <c r="AC81" i="38"/>
  <c r="AC135" i="38"/>
  <c r="AJ112" i="38"/>
  <c r="Y431" i="38"/>
  <c r="Y90" i="38" s="1"/>
  <c r="Y427" i="38"/>
  <c r="Y447" i="38" s="1"/>
  <c r="Y413" i="38" s="1"/>
  <c r="W1467" i="38"/>
  <c r="W1303" i="38"/>
  <c r="W1299" i="38" s="1"/>
  <c r="AJ44" i="38"/>
  <c r="Y1499" i="38"/>
  <c r="Y1508" i="38" s="1"/>
  <c r="Y195" i="38"/>
  <c r="AI197" i="38"/>
  <c r="W427" i="38"/>
  <c r="W443" i="38" s="1"/>
  <c r="W341" i="38" s="1"/>
  <c r="W431" i="38"/>
  <c r="W90" i="38" s="1"/>
  <c r="T1459" i="38"/>
  <c r="T1302" i="38"/>
  <c r="T1299" i="38" s="1"/>
  <c r="AF1512" i="38"/>
  <c r="AI1512" i="38" s="1"/>
  <c r="AA1306" i="38"/>
  <c r="AG1306" i="38" s="1"/>
  <c r="AI1306" i="38" s="1"/>
  <c r="AA62" i="38"/>
  <c r="AG26" i="38"/>
  <c r="AI44" i="38"/>
  <c r="AI116" i="38"/>
  <c r="AI117" i="38" s="1"/>
  <c r="Z431" i="38"/>
  <c r="Z90" i="38" s="1"/>
  <c r="Z427" i="38"/>
  <c r="Z425" i="38" s="1"/>
  <c r="W435" i="38"/>
  <c r="W196" i="38" s="1"/>
  <c r="X427" i="38"/>
  <c r="X431" i="38" s="1"/>
  <c r="X90" i="38" s="1"/>
  <c r="AF430" i="38"/>
  <c r="U81" i="38"/>
  <c r="AE123" i="38"/>
  <c r="U135" i="38"/>
  <c r="AH130" i="38"/>
  <c r="AH116" i="38"/>
  <c r="AD117" i="38"/>
  <c r="AI156" i="38"/>
  <c r="AI154" i="38" s="1"/>
  <c r="AA1301" i="38"/>
  <c r="AA19" i="38"/>
  <c r="AG21" i="38"/>
  <c r="AD1467" i="38"/>
  <c r="AH23" i="38"/>
  <c r="AD97" i="38"/>
  <c r="AH97" i="38" s="1"/>
  <c r="R95" i="38"/>
  <c r="AI87" i="38"/>
  <c r="S1454" i="38"/>
  <c r="S1423" i="38"/>
  <c r="S1293" i="38"/>
  <c r="S1195" i="38"/>
  <c r="S1251" i="38"/>
  <c r="S1061" i="38"/>
  <c r="S451" i="38"/>
  <c r="S78" i="38"/>
  <c r="T13" i="38"/>
  <c r="U430" i="38"/>
  <c r="AE95" i="38"/>
  <c r="AE96" i="38" s="1"/>
  <c r="U96" i="38"/>
  <c r="R1306" i="38"/>
  <c r="AD1306" i="38" s="1"/>
  <c r="AH1306" i="38" s="1"/>
  <c r="AJ1306" i="38" s="1"/>
  <c r="R62" i="38"/>
  <c r="AD26" i="38"/>
  <c r="T339" i="38"/>
  <c r="T340" i="38" s="1"/>
  <c r="T336" i="38"/>
  <c r="W425" i="38"/>
  <c r="AD82" i="38"/>
  <c r="AH83" i="38"/>
  <c r="S136" i="38"/>
  <c r="S139" i="38"/>
  <c r="S140" i="38" s="1"/>
  <c r="V427" i="38"/>
  <c r="AF1307" i="38"/>
  <c r="AD21" i="38"/>
  <c r="V177" i="38"/>
  <c r="V190" i="38"/>
  <c r="V14" i="38"/>
  <c r="AI125" i="38"/>
  <c r="BE84" i="38"/>
  <c r="BD84" i="38"/>
  <c r="AJ87" i="38"/>
  <c r="AG82" i="38"/>
  <c r="AI83" i="38"/>
  <c r="AI82" i="38" s="1"/>
  <c r="AG1467" i="38"/>
  <c r="AI23" i="38"/>
  <c r="AI1467" i="38" s="1"/>
  <c r="AC439" i="38"/>
  <c r="AC278" i="38" s="1"/>
  <c r="V1303" i="38"/>
  <c r="V1299" i="38" s="1"/>
  <c r="V1467" i="38"/>
  <c r="AE401" i="38"/>
  <c r="AD1301" i="38"/>
  <c r="R1299" i="38"/>
  <c r="Y240" i="38"/>
  <c r="Y238" i="38"/>
  <c r="AF164" i="38"/>
  <c r="AG179" i="38" l="1"/>
  <c r="AI183" i="38"/>
  <c r="AI179" i="38" s="1"/>
  <c r="T431" i="38"/>
  <c r="T90" i="38" s="1"/>
  <c r="T435" i="38"/>
  <c r="T196" i="38" s="1"/>
  <c r="T443" i="38"/>
  <c r="T341" i="38" s="1"/>
  <c r="AA1496" i="38"/>
  <c r="AD834" i="38"/>
  <c r="AD1465" i="38" s="1"/>
  <c r="AD1463" i="38" s="1"/>
  <c r="AH835" i="38"/>
  <c r="AH1108" i="38"/>
  <c r="AJ1108" i="38" s="1"/>
  <c r="AA121" i="38"/>
  <c r="AA110" i="38"/>
  <c r="AD405" i="38"/>
  <c r="V447" i="38"/>
  <c r="V413" i="38" s="1"/>
  <c r="V443" i="38"/>
  <c r="V341" i="38" s="1"/>
  <c r="R1553" i="38"/>
  <c r="AD1544" i="38"/>
  <c r="R372" i="38"/>
  <c r="R405" i="38"/>
  <c r="AG434" i="38"/>
  <c r="AA432" i="38"/>
  <c r="U1550" i="38"/>
  <c r="AE1541" i="38"/>
  <c r="AE1550" i="38" s="1"/>
  <c r="AJ609" i="38"/>
  <c r="AJ608" i="38" s="1"/>
  <c r="AJ607" i="38" s="1"/>
  <c r="AH608" i="38"/>
  <c r="AH607" i="38" s="1"/>
  <c r="U261" i="38"/>
  <c r="U248" i="38"/>
  <c r="AE262" i="38"/>
  <c r="AE248" i="38" s="1"/>
  <c r="R67" i="38"/>
  <c r="AJ97" i="38"/>
  <c r="AJ95" i="38" s="1"/>
  <c r="AH95" i="38"/>
  <c r="AH96" i="38" s="1"/>
  <c r="AE135" i="38"/>
  <c r="V435" i="38"/>
  <c r="V196" i="38" s="1"/>
  <c r="AC86" i="38"/>
  <c r="AC89" i="38" s="1"/>
  <c r="AB431" i="38"/>
  <c r="AB90" i="38" s="1"/>
  <c r="AB427" i="38"/>
  <c r="AB428" i="38"/>
  <c r="S79" i="38"/>
  <c r="S14" i="38" s="1"/>
  <c r="S124" i="38"/>
  <c r="U1508" i="38"/>
  <c r="AE1499" i="38"/>
  <c r="AE1508" i="38" s="1"/>
  <c r="Z272" i="38"/>
  <c r="Z239" i="38"/>
  <c r="AJ1526" i="38"/>
  <c r="AD154" i="38"/>
  <c r="AJ375" i="38"/>
  <c r="AJ224" i="38"/>
  <c r="AJ223" i="38" s="1"/>
  <c r="AH223" i="38"/>
  <c r="AH150" i="38"/>
  <c r="AH151" i="38" s="1"/>
  <c r="AJ145" i="38"/>
  <c r="AJ150" i="38" s="1"/>
  <c r="AJ151" i="38" s="1"/>
  <c r="AH426" i="38"/>
  <c r="AI175" i="38"/>
  <c r="AI127" i="38"/>
  <c r="AJ1491" i="38"/>
  <c r="AJ131" i="38"/>
  <c r="AF407" i="38"/>
  <c r="AF371" i="38"/>
  <c r="AF373" i="38"/>
  <c r="X1503" i="38"/>
  <c r="AF1494" i="38"/>
  <c r="AF1503" i="38" s="1"/>
  <c r="Z114" i="38"/>
  <c r="Z102" i="38"/>
  <c r="Z79" i="38" s="1"/>
  <c r="Z14" i="38" s="1"/>
  <c r="Z20" i="38" s="1"/>
  <c r="AA1540" i="38"/>
  <c r="AG1522" i="38"/>
  <c r="AA1562" i="38"/>
  <c r="AG1563" i="38"/>
  <c r="AA1578" i="38"/>
  <c r="U1562" i="38"/>
  <c r="AE1563" i="38"/>
  <c r="U1578" i="38"/>
  <c r="AJ267" i="38"/>
  <c r="AJ253" i="38" s="1"/>
  <c r="AH253" i="38"/>
  <c r="AJ212" i="38"/>
  <c r="W1540" i="38"/>
  <c r="W1549" i="38" s="1"/>
  <c r="AI552" i="38"/>
  <c r="AH265" i="38"/>
  <c r="AD251" i="38"/>
  <c r="S1582" i="38"/>
  <c r="S1589" i="38" s="1"/>
  <c r="AD354" i="38"/>
  <c r="AH355" i="38"/>
  <c r="AD374" i="38"/>
  <c r="R272" i="38"/>
  <c r="R239" i="38"/>
  <c r="AJ391" i="38"/>
  <c r="AH389" i="38"/>
  <c r="AG879" i="38"/>
  <c r="AJ242" i="38"/>
  <c r="AI15" i="38"/>
  <c r="R1237" i="38"/>
  <c r="AD838" i="38"/>
  <c r="AH838" i="38" s="1"/>
  <c r="AJ838" i="38" s="1"/>
  <c r="AJ510" i="38"/>
  <c r="AA485" i="38"/>
  <c r="AG1566" i="38"/>
  <c r="AH859" i="38"/>
  <c r="AJ860" i="38"/>
  <c r="AJ859" i="38" s="1"/>
  <c r="AJ1338" i="38"/>
  <c r="AJ1337" i="38" s="1"/>
  <c r="AJ1336" i="38" s="1"/>
  <c r="AJ1381" i="38" s="1"/>
  <c r="AD135" i="38"/>
  <c r="AH494" i="38"/>
  <c r="AH493" i="38" s="1"/>
  <c r="AH492" i="38" s="1"/>
  <c r="AH486" i="38" s="1"/>
  <c r="AJ495" i="38"/>
  <c r="AJ494" i="38" s="1"/>
  <c r="AJ493" i="38" s="1"/>
  <c r="AJ492" i="38" s="1"/>
  <c r="AI264" i="38"/>
  <c r="AG250" i="38"/>
  <c r="Z1183" i="38"/>
  <c r="Z447" i="38"/>
  <c r="Z413" i="38" s="1"/>
  <c r="AF446" i="38"/>
  <c r="Z444" i="38"/>
  <c r="AG1533" i="38"/>
  <c r="AI1533" i="38" s="1"/>
  <c r="AJ1533" i="38" s="1"/>
  <c r="AD263" i="38"/>
  <c r="R249" i="38"/>
  <c r="AJ725" i="38"/>
  <c r="AJ723" i="38" s="1"/>
  <c r="AH723" i="38"/>
  <c r="AI970" i="38"/>
  <c r="AD418" i="38"/>
  <c r="AD419" i="38" s="1"/>
  <c r="U405" i="38"/>
  <c r="U372" i="38"/>
  <c r="AI664" i="38"/>
  <c r="AI663" i="38" s="1"/>
  <c r="AA1575" i="38"/>
  <c r="AA708" i="38"/>
  <c r="AG1509" i="38"/>
  <c r="AI1500" i="38"/>
  <c r="AI1509" i="38" s="1"/>
  <c r="W336" i="38"/>
  <c r="W339" i="38"/>
  <c r="W340" i="38" s="1"/>
  <c r="AJ387" i="38"/>
  <c r="AJ379" i="38" s="1"/>
  <c r="AH379" i="38"/>
  <c r="AH1524" i="38"/>
  <c r="U1574" i="38"/>
  <c r="U664" i="38"/>
  <c r="U663" i="38" s="1"/>
  <c r="AA177" i="38"/>
  <c r="AA190" i="38"/>
  <c r="U1548" i="38"/>
  <c r="AE1539" i="38"/>
  <c r="AE1548" i="38" s="1"/>
  <c r="AF1570" i="38"/>
  <c r="W1474" i="38"/>
  <c r="W1492" i="38" s="1"/>
  <c r="W1493" i="38"/>
  <c r="W1502" i="38" s="1"/>
  <c r="AH648" i="38"/>
  <c r="AI381" i="38"/>
  <c r="AD62" i="38"/>
  <c r="AD67" i="38" s="1"/>
  <c r="AH26" i="38"/>
  <c r="AC136" i="38"/>
  <c r="AC139" i="38"/>
  <c r="Z1487" i="38"/>
  <c r="Z1483" i="38" s="1"/>
  <c r="R1509" i="38"/>
  <c r="AD1500" i="38"/>
  <c r="T447" i="38"/>
  <c r="T413" i="38" s="1"/>
  <c r="AH246" i="38"/>
  <c r="AJ260" i="38"/>
  <c r="AJ246" i="38" s="1"/>
  <c r="AE1591" i="38"/>
  <c r="AB485" i="38"/>
  <c r="AI1568" i="38"/>
  <c r="AJ103" i="38"/>
  <c r="Z485" i="38"/>
  <c r="AD434" i="38"/>
  <c r="R432" i="38"/>
  <c r="AG663" i="38"/>
  <c r="AA583" i="38"/>
  <c r="V1455" i="38"/>
  <c r="V1294" i="38"/>
  <c r="AJ116" i="38"/>
  <c r="AJ117" i="38" s="1"/>
  <c r="AH117" i="38"/>
  <c r="U86" i="38"/>
  <c r="U89" i="38" s="1"/>
  <c r="AE89" i="38" s="1"/>
  <c r="AE81" i="38"/>
  <c r="AE86" i="38" s="1"/>
  <c r="AC191" i="38"/>
  <c r="AC194" i="38"/>
  <c r="X1553" i="38"/>
  <c r="AF1544" i="38"/>
  <c r="AF1553" i="38" s="1"/>
  <c r="A430" i="38"/>
  <c r="AA339" i="38"/>
  <c r="AA336" i="38"/>
  <c r="AI208" i="38"/>
  <c r="AD165" i="38"/>
  <c r="AH375" i="38"/>
  <c r="AI1535" i="38"/>
  <c r="AI421" i="38"/>
  <c r="AI418" i="38" s="1"/>
  <c r="AI419" i="38" s="1"/>
  <c r="AG418" i="38"/>
  <c r="AG419" i="38" s="1"/>
  <c r="AA430" i="38"/>
  <c r="AA96" i="38"/>
  <c r="AG95" i="38"/>
  <c r="AG96" i="38" s="1"/>
  <c r="AD442" i="38"/>
  <c r="R440" i="38"/>
  <c r="V17" i="38"/>
  <c r="V86" i="38"/>
  <c r="V89" i="38" s="1"/>
  <c r="AA405" i="38"/>
  <c r="AA372" i="38"/>
  <c r="AH358" i="38"/>
  <c r="AJ359" i="38"/>
  <c r="AJ358" i="38" s="1"/>
  <c r="X339" i="38"/>
  <c r="X340" i="38" s="1"/>
  <c r="X336" i="38"/>
  <c r="Z1489" i="38"/>
  <c r="Z1498" i="38"/>
  <c r="Z1507" i="38" s="1"/>
  <c r="W1527" i="38"/>
  <c r="X708" i="38"/>
  <c r="X1575" i="38"/>
  <c r="U1586" i="38"/>
  <c r="AE1579" i="38"/>
  <c r="AE1586" i="38" s="1"/>
  <c r="AJ794" i="38"/>
  <c r="AJ793" i="38" s="1"/>
  <c r="AI312" i="38"/>
  <c r="AI310" i="38"/>
  <c r="R1506" i="38"/>
  <c r="AD1497" i="38"/>
  <c r="AI1476" i="38"/>
  <c r="R1537" i="38"/>
  <c r="AD1519" i="38"/>
  <c r="R1518" i="38"/>
  <c r="AC249" i="38"/>
  <c r="AG263" i="38"/>
  <c r="AC261" i="38"/>
  <c r="AG1591" i="38"/>
  <c r="AI1591" i="38" s="1"/>
  <c r="U1510" i="38"/>
  <c r="AE1511" i="38"/>
  <c r="AI1427" i="38"/>
  <c r="AJ1430" i="38"/>
  <c r="AJ1427" i="38" s="1"/>
  <c r="AJ1571" i="38"/>
  <c r="AD1591" i="38"/>
  <c r="AH1591" i="38" s="1"/>
  <c r="AJ1591" i="38" s="1"/>
  <c r="R1493" i="38"/>
  <c r="AD1475" i="38"/>
  <c r="R1474" i="38"/>
  <c r="AG1396" i="38"/>
  <c r="AI1295" i="38"/>
  <c r="AJ453" i="38"/>
  <c r="AJ452" i="38" s="1"/>
  <c r="AH1564" i="38"/>
  <c r="AJ1564" i="38" s="1"/>
  <c r="AI1237" i="38"/>
  <c r="AI266" i="38"/>
  <c r="AI252" i="38" s="1"/>
  <c r="AG252" i="38"/>
  <c r="X248" i="38"/>
  <c r="AF262" i="38"/>
  <c r="AF248" i="38" s="1"/>
  <c r="X261" i="38"/>
  <c r="AH844" i="38"/>
  <c r="AJ845" i="38"/>
  <c r="AJ844" i="38" s="1"/>
  <c r="S1153" i="38"/>
  <c r="S1152" i="38" s="1"/>
  <c r="S1151" i="38" s="1"/>
  <c r="S1183" i="38" s="1"/>
  <c r="R1180" i="38"/>
  <c r="R1161" i="38" s="1"/>
  <c r="R1191" i="38" s="1"/>
  <c r="R664" i="38"/>
  <c r="R1574" i="38"/>
  <c r="AJ970" i="38"/>
  <c r="AI378" i="38"/>
  <c r="AI385" i="38"/>
  <c r="Y443" i="38"/>
  <c r="Y341" i="38" s="1"/>
  <c r="AF1499" i="38"/>
  <c r="AF1508" i="38" s="1"/>
  <c r="X1508" i="38"/>
  <c r="AH418" i="38"/>
  <c r="AJ420" i="38"/>
  <c r="AA1506" i="38"/>
  <c r="X126" i="38"/>
  <c r="AF129" i="38"/>
  <c r="X114" i="38"/>
  <c r="X123" i="38"/>
  <c r="AJ729" i="38"/>
  <c r="AJ155" i="38"/>
  <c r="AJ154" i="38" s="1"/>
  <c r="AH154" i="38"/>
  <c r="S444" i="38"/>
  <c r="AC452" i="38"/>
  <c r="AD1542" i="38"/>
  <c r="R1551" i="38"/>
  <c r="R57" i="38"/>
  <c r="AD58" i="38"/>
  <c r="AH58" i="38" s="1"/>
  <c r="S1569" i="38"/>
  <c r="AF1554" i="38"/>
  <c r="AI1554" i="38" s="1"/>
  <c r="S1180" i="38"/>
  <c r="S1161" i="38" s="1"/>
  <c r="S1191" i="38" s="1"/>
  <c r="T1153" i="38"/>
  <c r="T1152" i="38" s="1"/>
  <c r="T1151" i="38" s="1"/>
  <c r="T1183" i="38" s="1"/>
  <c r="AJ648" i="38"/>
  <c r="AF836" i="38"/>
  <c r="AI836" i="38" s="1"/>
  <c r="X834" i="38"/>
  <c r="X1465" i="38" s="1"/>
  <c r="X1463" i="38" s="1"/>
  <c r="AI1387" i="38"/>
  <c r="AI1390" i="38"/>
  <c r="AI1391" i="38" s="1"/>
  <c r="AJ259" i="38"/>
  <c r="AJ245" i="38" s="1"/>
  <c r="AH245" i="38"/>
  <c r="A107" i="38"/>
  <c r="Y86" i="38"/>
  <c r="Y89" i="38" s="1"/>
  <c r="Y17" i="38"/>
  <c r="AF1475" i="38"/>
  <c r="X1474" i="38"/>
  <c r="X1493" i="38"/>
  <c r="AH510" i="38"/>
  <c r="R86" i="38"/>
  <c r="R89" i="38" s="1"/>
  <c r="AD89" i="38" s="1"/>
  <c r="AH89" i="38" s="1"/>
  <c r="AD81" i="38"/>
  <c r="R17" i="38"/>
  <c r="AA1548" i="38"/>
  <c r="AG1539" i="38"/>
  <c r="U1488" i="38"/>
  <c r="U1497" i="38" s="1"/>
  <c r="U1478" i="38"/>
  <c r="AE1479" i="38"/>
  <c r="AH1479" i="38" s="1"/>
  <c r="AI1441" i="38"/>
  <c r="AJ1442" i="38"/>
  <c r="AJ1441" i="38" s="1"/>
  <c r="AB121" i="38"/>
  <c r="AB110" i="38"/>
  <c r="AF834" i="38"/>
  <c r="AF1465" i="38" s="1"/>
  <c r="AF1463" i="38" s="1"/>
  <c r="Y272" i="38"/>
  <c r="Y239" i="38"/>
  <c r="V194" i="38"/>
  <c r="V195" i="38" s="1"/>
  <c r="V191" i="38"/>
  <c r="AH82" i="38"/>
  <c r="AJ83" i="38"/>
  <c r="AJ82" i="38" s="1"/>
  <c r="AH1467" i="38"/>
  <c r="AJ23" i="38"/>
  <c r="AJ1467" i="38" s="1"/>
  <c r="AI26" i="38"/>
  <c r="AI62" i="38" s="1"/>
  <c r="AI67" i="38" s="1"/>
  <c r="AG62" i="38"/>
  <c r="AG67" i="38" s="1"/>
  <c r="V239" i="38"/>
  <c r="V272" i="38"/>
  <c r="X405" i="38"/>
  <c r="X372" i="38"/>
  <c r="AA1498" i="38"/>
  <c r="A94" i="38"/>
  <c r="U1552" i="38"/>
  <c r="AE1543" i="38"/>
  <c r="AE1552" i="38" s="1"/>
  <c r="X1455" i="38"/>
  <c r="X1294" i="38"/>
  <c r="AE19" i="38"/>
  <c r="AE240" i="38"/>
  <c r="AJ285" i="38"/>
  <c r="AJ283" i="38" s="1"/>
  <c r="AJ284" i="38" s="1"/>
  <c r="AH283" i="38"/>
  <c r="AH284" i="38" s="1"/>
  <c r="AE438" i="38"/>
  <c r="U436" i="38"/>
  <c r="S1459" i="38"/>
  <c r="S1302" i="38"/>
  <c r="AJ169" i="38"/>
  <c r="AF190" i="38"/>
  <c r="AF177" i="38"/>
  <c r="AB405" i="38"/>
  <c r="AB372" i="38"/>
  <c r="AE1535" i="38"/>
  <c r="U1544" i="38"/>
  <c r="AJ1312" i="38"/>
  <c r="AI1526" i="38"/>
  <c r="AH174" i="38"/>
  <c r="AJ693" i="38"/>
  <c r="AJ691" i="38" s="1"/>
  <c r="AH691" i="38"/>
  <c r="U1504" i="38"/>
  <c r="AE1495" i="38"/>
  <c r="AE1504" i="38" s="1"/>
  <c r="AA1550" i="38"/>
  <c r="AG1541" i="38"/>
  <c r="W178" i="38"/>
  <c r="W176" i="38"/>
  <c r="AE182" i="38"/>
  <c r="W165" i="38"/>
  <c r="AH1531" i="38"/>
  <c r="W1578" i="38"/>
  <c r="W1585" i="38" s="1"/>
  <c r="W1562" i="38"/>
  <c r="AG335" i="38"/>
  <c r="AG311" i="38"/>
  <c r="R340" i="38"/>
  <c r="AH377" i="38"/>
  <c r="AH408" i="38"/>
  <c r="AA1503" i="38"/>
  <c r="AG1494" i="38"/>
  <c r="AJ552" i="38"/>
  <c r="AD1538" i="38"/>
  <c r="R1547" i="38"/>
  <c r="AC708" i="38"/>
  <c r="AC1575" i="38"/>
  <c r="AC1583" i="38" s="1"/>
  <c r="AC1590" i="38" s="1"/>
  <c r="AE837" i="38"/>
  <c r="AH837" i="38" s="1"/>
  <c r="U834" i="38"/>
  <c r="U1465" i="38" s="1"/>
  <c r="U1463" i="38" s="1"/>
  <c r="AH1386" i="38"/>
  <c r="AH1381" i="38"/>
  <c r="Y425" i="38"/>
  <c r="AD1570" i="38"/>
  <c r="X1510" i="38"/>
  <c r="AF1511" i="38"/>
  <c r="AH1592" i="38"/>
  <c r="AJ1592" i="38" s="1"/>
  <c r="AJ1072" i="38"/>
  <c r="AJ1085" i="38"/>
  <c r="AJ1084" i="38" s="1"/>
  <c r="AH1476" i="38"/>
  <c r="AJ1476" i="38" s="1"/>
  <c r="T425" i="38"/>
  <c r="AH453" i="38"/>
  <c r="AH452" i="38" s="1"/>
  <c r="AD1563" i="38"/>
  <c r="AH1563" i="38" s="1"/>
  <c r="R1578" i="38"/>
  <c r="R1562" i="38"/>
  <c r="Z1537" i="38"/>
  <c r="Z1546" i="38" s="1"/>
  <c r="Z1518" i="38"/>
  <c r="Z1536" i="38" s="1"/>
  <c r="S1527" i="38"/>
  <c r="X664" i="38"/>
  <c r="X663" i="38" s="1"/>
  <c r="X1574" i="38"/>
  <c r="AD1332" i="38"/>
  <c r="AD1333" i="38" s="1"/>
  <c r="AD1329" i="38"/>
  <c r="AH243" i="38"/>
  <c r="AJ257" i="38"/>
  <c r="S1493" i="38"/>
  <c r="S1502" i="38" s="1"/>
  <c r="S1474" i="38"/>
  <c r="AA1180" i="38"/>
  <c r="AA1161" i="38" s="1"/>
  <c r="AA1191" i="38" s="1"/>
  <c r="AB1153" i="38"/>
  <c r="AB1152" i="38" s="1"/>
  <c r="AB1151" i="38" s="1"/>
  <c r="AB1183" i="38" s="1"/>
  <c r="AD663" i="38"/>
  <c r="AD1161" i="38"/>
  <c r="AG377" i="38"/>
  <c r="AG408" i="38"/>
  <c r="Y126" i="38"/>
  <c r="Y114" i="38"/>
  <c r="AF104" i="38"/>
  <c r="Y102" i="38"/>
  <c r="X485" i="38"/>
  <c r="AI1524" i="38"/>
  <c r="AG1528" i="38"/>
  <c r="AA1527" i="38"/>
  <c r="AG1527" i="38" s="1"/>
  <c r="AI1527" i="38" s="1"/>
  <c r="AH209" i="38"/>
  <c r="AD208" i="38"/>
  <c r="AD583" i="38"/>
  <c r="A847" i="38"/>
  <c r="AJ699" i="38"/>
  <c r="AJ697" i="38" s="1"/>
  <c r="AH697" i="38"/>
  <c r="AG1580" i="38"/>
  <c r="AA1587" i="38"/>
  <c r="AI1000" i="38"/>
  <c r="AH1110" i="38"/>
  <c r="AH1140" i="38" s="1"/>
  <c r="R430" i="38"/>
  <c r="AD95" i="38"/>
  <c r="AD96" i="38" s="1"/>
  <c r="R96" i="38"/>
  <c r="AF432" i="38"/>
  <c r="AG446" i="38"/>
  <c r="AA444" i="38"/>
  <c r="AD1541" i="38"/>
  <c r="R1550" i="38"/>
  <c r="V1578" i="38"/>
  <c r="V1585" i="38" s="1"/>
  <c r="V1562" i="38"/>
  <c r="AE1390" i="38"/>
  <c r="AE1391" i="38" s="1"/>
  <c r="AE1387" i="38"/>
  <c r="X1587" i="38"/>
  <c r="AF1580" i="38"/>
  <c r="AF1587" i="38" s="1"/>
  <c r="Y1474" i="38"/>
  <c r="Y1492" i="38" s="1"/>
  <c r="Y1493" i="38"/>
  <c r="Y1502" i="38" s="1"/>
  <c r="AA67" i="38"/>
  <c r="AG1489" i="38"/>
  <c r="AJ156" i="38"/>
  <c r="AJ175" i="38"/>
  <c r="AC431" i="38"/>
  <c r="AC90" i="38" s="1"/>
  <c r="AC443" i="38"/>
  <c r="AC341" i="38" s="1"/>
  <c r="AF19" i="38"/>
  <c r="X20" i="38"/>
  <c r="AH111" i="38"/>
  <c r="W272" i="38"/>
  <c r="W239" i="38"/>
  <c r="S405" i="38"/>
  <c r="S372" i="38"/>
  <c r="AH300" i="38"/>
  <c r="AJ301" i="38"/>
  <c r="AJ300" i="38" s="1"/>
  <c r="U336" i="38"/>
  <c r="U339" i="38"/>
  <c r="U340" i="38" s="1"/>
  <c r="AJ1512" i="38"/>
  <c r="Y435" i="38"/>
  <c r="Y196" i="38" s="1"/>
  <c r="AF1534" i="38"/>
  <c r="AI1534" i="38" s="1"/>
  <c r="X1543" i="38"/>
  <c r="X194" i="38"/>
  <c r="X195" i="38" s="1"/>
  <c r="X191" i="38"/>
  <c r="AJ429" i="38"/>
  <c r="AF208" i="38"/>
  <c r="AE208" i="38"/>
  <c r="AI174" i="38"/>
  <c r="V139" i="38"/>
  <c r="V140" i="38" s="1"/>
  <c r="V136" i="38"/>
  <c r="AA1544" i="38"/>
  <c r="AD1534" i="38"/>
  <c r="AH1534" i="38" s="1"/>
  <c r="R1543" i="38"/>
  <c r="S272" i="38"/>
  <c r="S239" i="38"/>
  <c r="Z135" i="38"/>
  <c r="Z81" i="38"/>
  <c r="V1493" i="38"/>
  <c r="V1502" i="38" s="1"/>
  <c r="V1474" i="38"/>
  <c r="V1492" i="38" s="1"/>
  <c r="X1548" i="38"/>
  <c r="AF1539" i="38"/>
  <c r="AF1548" i="38" s="1"/>
  <c r="AF1563" i="38"/>
  <c r="X1578" i="38"/>
  <c r="X1562" i="38"/>
  <c r="AH378" i="38"/>
  <c r="AB1540" i="38"/>
  <c r="AB1549" i="38" s="1"/>
  <c r="AA1493" i="38"/>
  <c r="AG1475" i="38"/>
  <c r="AA1474" i="38"/>
  <c r="Z1493" i="38"/>
  <c r="Z1502" i="38" s="1"/>
  <c r="Z1474" i="38"/>
  <c r="Z1492" i="38" s="1"/>
  <c r="AD1566" i="38"/>
  <c r="AH1566" i="38" s="1"/>
  <c r="AJ1386" i="38"/>
  <c r="AC425" i="38"/>
  <c r="AJ445" i="38"/>
  <c r="AH552" i="38"/>
  <c r="R1503" i="38"/>
  <c r="AD1494" i="38"/>
  <c r="AH241" i="38"/>
  <c r="AJ255" i="38"/>
  <c r="AJ241" i="38" s="1"/>
  <c r="S427" i="38"/>
  <c r="S428" i="38"/>
  <c r="AH290" i="38"/>
  <c r="AJ291" i="38"/>
  <c r="AJ290" i="38" s="1"/>
  <c r="T444" i="38"/>
  <c r="AJ611" i="38"/>
  <c r="AF1488" i="38"/>
  <c r="AD1579" i="38"/>
  <c r="R1586" i="38"/>
  <c r="AJ632" i="38"/>
  <c r="AJ1063" i="38"/>
  <c r="AJ1062" i="38" s="1"/>
  <c r="AJ1066" i="38"/>
  <c r="R708" i="38"/>
  <c r="R1575" i="38"/>
  <c r="W447" i="38"/>
  <c r="W413" i="38" s="1"/>
  <c r="AJ897" i="38"/>
  <c r="AJ896" i="38" s="1"/>
  <c r="AJ1400" i="38" s="1"/>
  <c r="AI896" i="38"/>
  <c r="AI1400" i="38" s="1"/>
  <c r="AG1329" i="38"/>
  <c r="AG1332" i="38"/>
  <c r="AG1333" i="38" s="1"/>
  <c r="AJ1434" i="38"/>
  <c r="AE446" i="38"/>
  <c r="U447" i="38"/>
  <c r="U413" i="38" s="1"/>
  <c r="U444" i="38"/>
  <c r="AJ389" i="38"/>
  <c r="AE376" i="38"/>
  <c r="AE381" i="38"/>
  <c r="AH384" i="38"/>
  <c r="X1537" i="38"/>
  <c r="AF1519" i="38"/>
  <c r="X1518" i="38"/>
  <c r="Y1489" i="38"/>
  <c r="Y1487" i="38" s="1"/>
  <c r="Y1483" i="38" s="1"/>
  <c r="AF1480" i="38"/>
  <c r="AI1480" i="38" s="1"/>
  <c r="Y1478" i="38"/>
  <c r="AI583" i="38"/>
  <c r="AG1542" i="38"/>
  <c r="AA1551" i="38"/>
  <c r="AI1529" i="38"/>
  <c r="V1537" i="38"/>
  <c r="V1546" i="38" s="1"/>
  <c r="V1518" i="38"/>
  <c r="V1536" i="38" s="1"/>
  <c r="AH842" i="38"/>
  <c r="AJ842" i="38" s="1"/>
  <c r="AJ1120" i="38"/>
  <c r="AJ1110" i="38" s="1"/>
  <c r="AJ1140" i="38" s="1"/>
  <c r="AH1329" i="38"/>
  <c r="AH1332" i="38"/>
  <c r="AH1333" i="38" s="1"/>
  <c r="R114" i="38"/>
  <c r="AD104" i="38"/>
  <c r="AH104" i="38" s="1"/>
  <c r="AH102" i="38" s="1"/>
  <c r="R102" i="38"/>
  <c r="AB439" i="38"/>
  <c r="AB278" i="38" s="1"/>
  <c r="AB436" i="38"/>
  <c r="Y439" i="38"/>
  <c r="Y278" i="38" s="1"/>
  <c r="R126" i="38"/>
  <c r="R834" i="38"/>
  <c r="AD1484" i="38"/>
  <c r="AH1484" i="38" s="1"/>
  <c r="AH589" i="38"/>
  <c r="AH588" i="38" s="1"/>
  <c r="AH584" i="38" s="1"/>
  <c r="AH583" i="38" s="1"/>
  <c r="AJ590" i="38"/>
  <c r="AJ589" i="38" s="1"/>
  <c r="AJ588" i="38" s="1"/>
  <c r="AJ584" i="38" s="1"/>
  <c r="AH1568" i="38"/>
  <c r="AJ1568" i="38" s="1"/>
  <c r="AE1566" i="38"/>
  <c r="AI1565" i="38"/>
  <c r="AE879" i="38"/>
  <c r="AJ1000" i="38"/>
  <c r="AB1474" i="38"/>
  <c r="AB1492" i="38" s="1"/>
  <c r="AB1493" i="38"/>
  <c r="AB1502" i="38" s="1"/>
  <c r="AE1570" i="38"/>
  <c r="V1300" i="38"/>
  <c r="U136" i="38"/>
  <c r="U139" i="38"/>
  <c r="U140" i="38" s="1"/>
  <c r="AG442" i="38"/>
  <c r="AA440" i="38"/>
  <c r="AA1586" i="38"/>
  <c r="AG1579" i="38"/>
  <c r="AJ437" i="38"/>
  <c r="AH254" i="38"/>
  <c r="AD240" i="38"/>
  <c r="AE1494" i="38"/>
  <c r="AE1503" i="38" s="1"/>
  <c r="U1503" i="38"/>
  <c r="AI1402" i="38"/>
  <c r="AJ906" i="38"/>
  <c r="AJ1402" i="38" s="1"/>
  <c r="AD407" i="38"/>
  <c r="T1493" i="38"/>
  <c r="T1502" i="38" s="1"/>
  <c r="T1474" i="38"/>
  <c r="T1492" i="38" s="1"/>
  <c r="AC1493" i="38"/>
  <c r="AC1502" i="38" s="1"/>
  <c r="AG438" i="38"/>
  <c r="AA436" i="38"/>
  <c r="AB1518" i="38"/>
  <c r="AB1536" i="38" s="1"/>
  <c r="AB1537" i="38"/>
  <c r="AB1546" i="38" s="1"/>
  <c r="AH1301" i="38"/>
  <c r="AJ1301" i="38" s="1"/>
  <c r="AD1460" i="38"/>
  <c r="AH21" i="38"/>
  <c r="AE430" i="38"/>
  <c r="U427" i="38"/>
  <c r="U431" i="38" s="1"/>
  <c r="U90" i="38" s="1"/>
  <c r="U428" i="38"/>
  <c r="AG1460" i="38"/>
  <c r="AI21" i="38"/>
  <c r="AI1460" i="38" s="1"/>
  <c r="AF427" i="38"/>
  <c r="AF435" i="38" s="1"/>
  <c r="AF196" i="38" s="1"/>
  <c r="X443" i="38"/>
  <c r="X341" i="38" s="1"/>
  <c r="X447" i="38"/>
  <c r="X413" i="38" s="1"/>
  <c r="AA79" i="38"/>
  <c r="AH1535" i="38"/>
  <c r="AJ1535" i="38" s="1"/>
  <c r="AJ346" i="38"/>
  <c r="AJ347" i="38" s="1"/>
  <c r="AC435" i="38"/>
  <c r="AC196" i="38" s="1"/>
  <c r="AI254" i="38"/>
  <c r="AG240" i="38"/>
  <c r="AF1302" i="38"/>
  <c r="AI1302" i="38" s="1"/>
  <c r="X1299" i="38"/>
  <c r="U1299" i="38"/>
  <c r="AE1301" i="38"/>
  <c r="AG1499" i="38"/>
  <c r="AA1508" i="38"/>
  <c r="Y372" i="38"/>
  <c r="Y405" i="38"/>
  <c r="R73" i="38"/>
  <c r="T272" i="38"/>
  <c r="T239" i="38"/>
  <c r="AJ1310" i="38"/>
  <c r="AJ157" i="38"/>
  <c r="AJ180" i="38" s="1"/>
  <c r="AH180" i="38"/>
  <c r="AI178" i="38"/>
  <c r="AI176" i="38"/>
  <c r="V336" i="38"/>
  <c r="V339" i="38"/>
  <c r="V340" i="38" s="1"/>
  <c r="Z372" i="38"/>
  <c r="Z405" i="38"/>
  <c r="AE663" i="38"/>
  <c r="AD1528" i="38"/>
  <c r="AH1528" i="38" s="1"/>
  <c r="R1527" i="38"/>
  <c r="AF1579" i="38"/>
  <c r="AF1586" i="38" s="1"/>
  <c r="X1586" i="38"/>
  <c r="AD311" i="38"/>
  <c r="AD335" i="38"/>
  <c r="AF240" i="38"/>
  <c r="V439" i="38"/>
  <c r="V278" i="38" s="1"/>
  <c r="W372" i="38"/>
  <c r="W405" i="38"/>
  <c r="AJ385" i="38"/>
  <c r="AJ378" i="38"/>
  <c r="AF1497" i="38"/>
  <c r="AF1506" i="38" s="1"/>
  <c r="X1506" i="38"/>
  <c r="AG262" i="38"/>
  <c r="AA261" i="38"/>
  <c r="AA248" i="38"/>
  <c r="S1511" i="38"/>
  <c r="AF339" i="38"/>
  <c r="AF340" i="38" s="1"/>
  <c r="AF336" i="38"/>
  <c r="AH380" i="38"/>
  <c r="AG1495" i="38"/>
  <c r="AA1504" i="38"/>
  <c r="S1540" i="38"/>
  <c r="S1549" i="38" s="1"/>
  <c r="T583" i="38"/>
  <c r="AC1562" i="38"/>
  <c r="AC1578" i="38"/>
  <c r="AC1585" i="38" s="1"/>
  <c r="AE1583" i="38"/>
  <c r="AE1590" i="38" s="1"/>
  <c r="U1590" i="38"/>
  <c r="X1504" i="38"/>
  <c r="AF1495" i="38"/>
  <c r="AF1504" i="38" s="1"/>
  <c r="S1487" i="38"/>
  <c r="S1496" i="38" s="1"/>
  <c r="S1505" i="38" s="1"/>
  <c r="AH611" i="38"/>
  <c r="AF1487" i="38"/>
  <c r="AB179" i="38"/>
  <c r="AB176" i="38"/>
  <c r="AG176" i="38" s="1"/>
  <c r="AB166" i="38"/>
  <c r="AH632" i="38"/>
  <c r="AG839" i="38"/>
  <c r="AI840" i="38"/>
  <c r="AI839" i="38" s="1"/>
  <c r="V1183" i="38"/>
  <c r="Y1183" i="38"/>
  <c r="AG376" i="38"/>
  <c r="AI384" i="38"/>
  <c r="AI376" i="38" s="1"/>
  <c r="AG381" i="38"/>
  <c r="U452" i="38"/>
  <c r="AC447" i="38"/>
  <c r="AC413" i="38" s="1"/>
  <c r="AC444" i="38"/>
  <c r="X1496" i="38"/>
  <c r="S1537" i="38"/>
  <c r="S1546" i="38" s="1"/>
  <c r="S1518" i="38"/>
  <c r="S1536" i="38" s="1"/>
  <c r="U1537" i="38"/>
  <c r="U1518" i="38"/>
  <c r="AE1519" i="38"/>
  <c r="AI1329" i="38"/>
  <c r="AI1332" i="38"/>
  <c r="AI1333" i="38" s="1"/>
  <c r="AH262" i="38"/>
  <c r="AD248" i="38"/>
  <c r="X1547" i="38"/>
  <c r="AF1538" i="38"/>
  <c r="AF1547" i="38" s="1"/>
  <c r="R177" i="38"/>
  <c r="R190" i="38"/>
  <c r="AG583" i="38"/>
  <c r="S1562" i="38"/>
  <c r="S1578" i="38"/>
  <c r="S1585" i="38" s="1"/>
  <c r="R1489" i="38"/>
  <c r="AD1480" i="38"/>
  <c r="AH1480" i="38" s="1"/>
  <c r="R1498" i="38"/>
  <c r="R1478" i="38"/>
  <c r="Y1578" i="38"/>
  <c r="Y1585" i="38" s="1"/>
  <c r="Y1562" i="38"/>
  <c r="AD126" i="38"/>
  <c r="AH129" i="38"/>
  <c r="AH1485" i="38"/>
  <c r="Z1562" i="38"/>
  <c r="Z1578" i="38"/>
  <c r="Z1585" i="38" s="1"/>
  <c r="AJ486" i="38"/>
  <c r="AI1520" i="38"/>
  <c r="AJ1520" i="38" s="1"/>
  <c r="AJ1397" i="38"/>
  <c r="AJ1396" i="38" s="1"/>
  <c r="Y57" i="38"/>
  <c r="AF57" i="38" s="1"/>
  <c r="AF58" i="38"/>
  <c r="AE1396" i="38"/>
  <c r="AJ433" i="38"/>
  <c r="S121" i="38"/>
  <c r="S110" i="38"/>
  <c r="AE1303" i="38"/>
  <c r="AH1303" i="38" s="1"/>
  <c r="AJ1303" i="38" s="1"/>
  <c r="AH216" i="38"/>
  <c r="U1587" i="38"/>
  <c r="AE1580" i="38"/>
  <c r="AE1587" i="38" s="1"/>
  <c r="AG129" i="38"/>
  <c r="AA123" i="38"/>
  <c r="AA126" i="38"/>
  <c r="AJ211" i="38"/>
  <c r="A841" i="38"/>
  <c r="T1454" i="38"/>
  <c r="T1423" i="38"/>
  <c r="T1293" i="38"/>
  <c r="T1251" i="38"/>
  <c r="T1195" i="38"/>
  <c r="T1061" i="38"/>
  <c r="T451" i="38"/>
  <c r="U13" i="38"/>
  <c r="T78" i="38"/>
  <c r="AG19" i="38"/>
  <c r="AJ130" i="38"/>
  <c r="AJ127" i="38" s="1"/>
  <c r="AH127" i="38"/>
  <c r="S1297" i="38"/>
  <c r="S24" i="38"/>
  <c r="AI104" i="38"/>
  <c r="AI102" i="38" s="1"/>
  <c r="AH1481" i="38"/>
  <c r="AJ1481" i="38" s="1"/>
  <c r="AF428" i="38"/>
  <c r="V20" i="38"/>
  <c r="AB447" i="38"/>
  <c r="AB413" i="38" s="1"/>
  <c r="AB444" i="38"/>
  <c r="W14" i="38"/>
  <c r="AH27" i="38"/>
  <c r="AD68" i="38"/>
  <c r="AD73" i="38" s="1"/>
  <c r="AE434" i="38"/>
  <c r="U432" i="38"/>
  <c r="Y139" i="38"/>
  <c r="Y140" i="38" s="1"/>
  <c r="AJ15" i="38"/>
  <c r="AJ350" i="38"/>
  <c r="Y1537" i="38"/>
  <c r="Y1546" i="38" s="1"/>
  <c r="Y1518" i="38"/>
  <c r="Y1536" i="38" s="1"/>
  <c r="AE1542" i="38"/>
  <c r="AE1551" i="38" s="1"/>
  <c r="U1551" i="38"/>
  <c r="AJ1529" i="38"/>
  <c r="AH755" i="38"/>
  <c r="AH754" i="38" s="1"/>
  <c r="AI1431" i="38"/>
  <c r="AJ1432" i="38"/>
  <c r="AJ1431" i="38" s="1"/>
  <c r="AH854" i="38"/>
  <c r="AJ855" i="38"/>
  <c r="AJ854" i="38" s="1"/>
  <c r="AJ421" i="38"/>
  <c r="AH1477" i="38"/>
  <c r="AJ1477" i="38" s="1"/>
  <c r="AA664" i="38"/>
  <c r="AA1574" i="38"/>
  <c r="AG1570" i="38"/>
  <c r="AI1570" i="38" s="1"/>
  <c r="AJ1567" i="38"/>
  <c r="S834" i="38"/>
  <c r="S1465" i="38" s="1"/>
  <c r="S1463" i="38" s="1"/>
  <c r="S58" i="38"/>
  <c r="AI216" i="38"/>
  <c r="AJ388" i="38"/>
  <c r="AJ380" i="38" s="1"/>
  <c r="AJ441" i="38"/>
  <c r="AA1483" i="38"/>
  <c r="AG1484" i="38"/>
  <c r="T179" i="38"/>
  <c r="T176" i="38"/>
  <c r="AD176" i="38" s="1"/>
  <c r="T166" i="38"/>
  <c r="R1540" i="38"/>
  <c r="AD1522" i="38"/>
  <c r="AH1522" i="38" s="1"/>
  <c r="AE1484" i="38"/>
  <c r="AE839" i="38"/>
  <c r="AH841" i="38"/>
  <c r="AH672" i="38"/>
  <c r="AH664" i="38" s="1"/>
  <c r="AH663" i="38" s="1"/>
  <c r="AB583" i="38"/>
  <c r="AE1528" i="38"/>
  <c r="U1527" i="38"/>
  <c r="AE1527" i="38" s="1"/>
  <c r="AA1511" i="38"/>
  <c r="AG1531" i="38"/>
  <c r="AE1522" i="38"/>
  <c r="U1540" i="38"/>
  <c r="AF1531" i="38"/>
  <c r="T1537" i="38"/>
  <c r="T1546" i="38" s="1"/>
  <c r="T1518" i="38"/>
  <c r="T1536" i="38" s="1"/>
  <c r="V1540" i="38"/>
  <c r="V1549" i="38" s="1"/>
  <c r="AJ675" i="38"/>
  <c r="AB1581" i="38"/>
  <c r="AB1588" i="38" s="1"/>
  <c r="AA1156" i="38"/>
  <c r="AA1155" i="38" s="1"/>
  <c r="AA1151" i="38" s="1"/>
  <c r="AA1183" i="38" s="1"/>
  <c r="AG1109" i="38"/>
  <c r="AI1109" i="38" s="1"/>
  <c r="AH1338" i="38"/>
  <c r="AH1337" i="38" s="1"/>
  <c r="AH1336" i="38" s="1"/>
  <c r="AJ321" i="38"/>
  <c r="AH312" i="38"/>
  <c r="AH310" i="38"/>
  <c r="AH716" i="38"/>
  <c r="AH708" i="38" s="1"/>
  <c r="AD261" i="38"/>
  <c r="AD238" i="38" s="1"/>
  <c r="R247" i="38"/>
  <c r="R436" i="38"/>
  <c r="AD438" i="38"/>
  <c r="T14" i="38"/>
  <c r="T439" i="38"/>
  <c r="T278" i="38" s="1"/>
  <c r="T436" i="38"/>
  <c r="X1550" i="38"/>
  <c r="AF1541" i="38"/>
  <c r="AF1550" i="38" s="1"/>
  <c r="AD183" i="38"/>
  <c r="AB1569" i="38"/>
  <c r="R1587" i="38"/>
  <c r="AD1580" i="38"/>
  <c r="AH879" i="38"/>
  <c r="AJ1328" i="38"/>
  <c r="AJ1323" i="38"/>
  <c r="S339" i="38"/>
  <c r="S336" i="38"/>
  <c r="AC102" i="38"/>
  <c r="AG102" i="38" s="1"/>
  <c r="AC114" i="38"/>
  <c r="AG114" i="38" s="1"/>
  <c r="AC126" i="38"/>
  <c r="AF1528" i="38"/>
  <c r="X1527" i="38"/>
  <c r="AF1527" i="38" s="1"/>
  <c r="AI486" i="38"/>
  <c r="AI485" i="38" s="1"/>
  <c r="AA1537" i="38"/>
  <c r="AA1518" i="38"/>
  <c r="AG1519" i="38"/>
  <c r="AI1397" i="38"/>
  <c r="AI1396" i="38" s="1"/>
  <c r="AI1425" i="38"/>
  <c r="AI1424" i="38" s="1"/>
  <c r="AJ735" i="38"/>
  <c r="AC405" i="38"/>
  <c r="AC372" i="38"/>
  <c r="AB1191" i="38"/>
  <c r="AI165" i="38"/>
  <c r="AD1459" i="38"/>
  <c r="AH22" i="38"/>
  <c r="AJ125" i="38"/>
  <c r="AB272" i="38"/>
  <c r="AB239" i="38"/>
  <c r="AI265" i="38"/>
  <c r="AI251" i="38" s="1"/>
  <c r="AG251" i="38"/>
  <c r="T405" i="38"/>
  <c r="T372" i="38"/>
  <c r="R1548" i="38"/>
  <c r="AD1539" i="38"/>
  <c r="AD377" i="38"/>
  <c r="AD408" i="38"/>
  <c r="AC1518" i="38"/>
  <c r="AC1536" i="38" s="1"/>
  <c r="AC1537" i="38"/>
  <c r="AC1546" i="38" s="1"/>
  <c r="AJ840" i="38"/>
  <c r="V431" i="38"/>
  <c r="V90" i="38" s="1"/>
  <c r="AA1299" i="38"/>
  <c r="AG1301" i="38"/>
  <c r="AI1301" i="38" s="1"/>
  <c r="Z439" i="38"/>
  <c r="Z278" i="38" s="1"/>
  <c r="Z435" i="38"/>
  <c r="Z196" i="38" s="1"/>
  <c r="A159" i="38"/>
  <c r="AI426" i="38"/>
  <c r="AD1499" i="38"/>
  <c r="R1508" i="38"/>
  <c r="X425" i="38"/>
  <c r="U191" i="38"/>
  <c r="U194" i="38"/>
  <c r="U195" i="38" s="1"/>
  <c r="AD19" i="38"/>
  <c r="X435" i="38"/>
  <c r="X196" i="38" s="1"/>
  <c r="Z1496" i="38"/>
  <c r="Z1505" i="38" s="1"/>
  <c r="AH125" i="38"/>
  <c r="AC336" i="38"/>
  <c r="AC339" i="38"/>
  <c r="AJ1307" i="38"/>
  <c r="AG1459" i="38"/>
  <c r="AI22" i="38"/>
  <c r="AI1459" i="38" s="1"/>
  <c r="AJ258" i="38"/>
  <c r="AJ244" i="38" s="1"/>
  <c r="AH244" i="38"/>
  <c r="AJ1295" i="38"/>
  <c r="AA1543" i="38"/>
  <c r="AJ325" i="38"/>
  <c r="AJ316" i="38" s="1"/>
  <c r="AH316" i="38"/>
  <c r="R419" i="38"/>
  <c r="R446" i="38"/>
  <c r="AD1495" i="38"/>
  <c r="R1504" i="38"/>
  <c r="W1537" i="38"/>
  <c r="W1546" i="38" s="1"/>
  <c r="W1518" i="38"/>
  <c r="T1578" i="38"/>
  <c r="T1585" i="38" s="1"/>
  <c r="T1562" i="38"/>
  <c r="AC1573" i="38"/>
  <c r="AC1569" i="38" s="1"/>
  <c r="AD1109" i="38"/>
  <c r="AH1109" i="38" s="1"/>
  <c r="AJ892" i="38"/>
  <c r="AJ891" i="38" s="1"/>
  <c r="AJ1399" i="38" s="1"/>
  <c r="AI891" i="38"/>
  <c r="AI1399" i="38" s="1"/>
  <c r="AB126" i="38"/>
  <c r="AB123" i="38"/>
  <c r="U1493" i="38"/>
  <c r="U1474" i="38"/>
  <c r="AE1475" i="38"/>
  <c r="AI1485" i="38"/>
  <c r="R373" i="38"/>
  <c r="AJ1523" i="38"/>
  <c r="X1498" i="38"/>
  <c r="AJ673" i="38"/>
  <c r="AJ672" i="38" s="1"/>
  <c r="AJ664" i="38" s="1"/>
  <c r="AJ663" i="38" s="1"/>
  <c r="AE836" i="38"/>
  <c r="V834" i="38"/>
  <c r="V1465" i="38" s="1"/>
  <c r="V1463" i="38" s="1"/>
  <c r="AF1566" i="38"/>
  <c r="AG835" i="38"/>
  <c r="AA834" i="38"/>
  <c r="AA58" i="38"/>
  <c r="W1151" i="38"/>
  <c r="W1183" i="38" s="1"/>
  <c r="R136" i="38"/>
  <c r="R139" i="38"/>
  <c r="X1483" i="38"/>
  <c r="AF1484" i="38"/>
  <c r="AH1521" i="38"/>
  <c r="AJ1521" i="38" s="1"/>
  <c r="AH266" i="38"/>
  <c r="V425" i="38"/>
  <c r="AJ315" i="38"/>
  <c r="X1551" i="38"/>
  <c r="AF1542" i="38"/>
  <c r="AF1551" i="38" s="1"/>
  <c r="AI1521" i="38"/>
  <c r="AB1578" i="38"/>
  <c r="AB1585" i="38" s="1"/>
  <c r="AB1562" i="38"/>
  <c r="AE1538" i="38"/>
  <c r="AE1547" i="38" s="1"/>
  <c r="U1547" i="38"/>
  <c r="Z1581" i="38"/>
  <c r="Z1588" i="38" s="1"/>
  <c r="AB1582" i="38"/>
  <c r="AB1589" i="38" s="1"/>
  <c r="AE335" i="38"/>
  <c r="AE311" i="38"/>
  <c r="AJ716" i="38"/>
  <c r="AJ708" i="38" s="1"/>
  <c r="U114" i="38"/>
  <c r="AE104" i="38"/>
  <c r="AE126" i="38" s="1"/>
  <c r="U102" i="38"/>
  <c r="U126" i="38"/>
  <c r="AF1522" i="38"/>
  <c r="X1540" i="38"/>
  <c r="AH1565" i="38"/>
  <c r="AH1396" i="38"/>
  <c r="AG1424" i="38"/>
  <c r="W439" i="38"/>
  <c r="W278" i="38" s="1"/>
  <c r="W436" i="38"/>
  <c r="AB14" i="38"/>
  <c r="AC1488" i="38"/>
  <c r="AC1497" i="38" s="1"/>
  <c r="AC1506" i="38" s="1"/>
  <c r="AC1478" i="38"/>
  <c r="AC1474" i="38" s="1"/>
  <c r="AG1479" i="38"/>
  <c r="AI1479" i="38" s="1"/>
  <c r="AF663" i="38"/>
  <c r="AA1547" i="38"/>
  <c r="AG1538" i="38"/>
  <c r="AG837" i="38"/>
  <c r="AI837" i="38" s="1"/>
  <c r="AJ1572" i="38"/>
  <c r="AD1554" i="38"/>
  <c r="AH1554" i="38" s="1"/>
  <c r="AJ1425" i="38"/>
  <c r="AJ1424" i="38" s="1"/>
  <c r="AJ1428" i="38"/>
  <c r="R1183" i="38" l="1"/>
  <c r="AA14" i="38"/>
  <c r="A160" i="38"/>
  <c r="AD272" i="38"/>
  <c r="AD239" i="38"/>
  <c r="AA427" i="38"/>
  <c r="AG430" i="38"/>
  <c r="AA428" i="38"/>
  <c r="AD411" i="38"/>
  <c r="AJ1387" i="38"/>
  <c r="AJ1390" i="38"/>
  <c r="AJ1391" i="38" s="1"/>
  <c r="AC406" i="38"/>
  <c r="AC411" i="38"/>
  <c r="AE432" i="38"/>
  <c r="AG190" i="38"/>
  <c r="AG177" i="38"/>
  <c r="W273" i="38"/>
  <c r="W276" i="38"/>
  <c r="W277" i="38" s="1"/>
  <c r="X406" i="38"/>
  <c r="X411" i="38"/>
  <c r="X412" i="38" s="1"/>
  <c r="X1464" i="38"/>
  <c r="AA411" i="38"/>
  <c r="AA406" i="38"/>
  <c r="AI177" i="38"/>
  <c r="AI190" i="38"/>
  <c r="S273" i="38"/>
  <c r="S276" i="38"/>
  <c r="S277" i="38" s="1"/>
  <c r="AG249" i="38"/>
  <c r="AI263" i="38"/>
  <c r="AI249" i="38" s="1"/>
  <c r="U406" i="38"/>
  <c r="U411" i="38"/>
  <c r="U412" i="38" s="1"/>
  <c r="AG1562" i="38"/>
  <c r="AD1575" i="38"/>
  <c r="AH1575" i="38" s="1"/>
  <c r="R1583" i="38"/>
  <c r="AD1302" i="38"/>
  <c r="AH1302" i="38" s="1"/>
  <c r="AJ1302" i="38" s="1"/>
  <c r="S1299" i="38"/>
  <c r="AI311" i="38"/>
  <c r="AI335" i="38"/>
  <c r="AF405" i="38"/>
  <c r="AF372" i="38"/>
  <c r="AC1577" i="38"/>
  <c r="S1510" i="38"/>
  <c r="AD1511" i="38"/>
  <c r="AH1511" i="38" s="1"/>
  <c r="W411" i="38"/>
  <c r="W412" i="38" s="1"/>
  <c r="W406" i="38"/>
  <c r="AA1492" i="38"/>
  <c r="AG1474" i="38"/>
  <c r="W1577" i="38"/>
  <c r="AA191" i="38"/>
  <c r="AA194" i="38"/>
  <c r="AJ355" i="38"/>
  <c r="AH354" i="38"/>
  <c r="AH353" i="38" s="1"/>
  <c r="AH374" i="38"/>
  <c r="U1502" i="38"/>
  <c r="AE1493" i="38"/>
  <c r="AE1502" i="38" s="1"/>
  <c r="AC340" i="38"/>
  <c r="AG110" i="38"/>
  <c r="AD177" i="38"/>
  <c r="AD190" i="38"/>
  <c r="AH248" i="38"/>
  <c r="X1505" i="38"/>
  <c r="AF1496" i="38"/>
  <c r="AF1505" i="38" s="1"/>
  <c r="AJ1484" i="38"/>
  <c r="AD114" i="38"/>
  <c r="R121" i="38"/>
  <c r="R110" i="38"/>
  <c r="Y1513" i="38"/>
  <c r="Y1501" i="38"/>
  <c r="Y1514" i="38" s="1"/>
  <c r="Y1515" i="38" s="1"/>
  <c r="AH1541" i="38"/>
  <c r="AD1550" i="38"/>
  <c r="Z1557" i="38"/>
  <c r="Z1545" i="38"/>
  <c r="Z1558" i="38" s="1"/>
  <c r="Z1559" i="38" s="1"/>
  <c r="AI407" i="38"/>
  <c r="AI371" i="38"/>
  <c r="AI373" i="38"/>
  <c r="AE136" i="38"/>
  <c r="AE139" i="38"/>
  <c r="U1506" i="38"/>
  <c r="AE1497" i="38"/>
  <c r="AE1506" i="38" s="1"/>
  <c r="S1577" i="38"/>
  <c r="AB1455" i="38"/>
  <c r="AB1294" i="38"/>
  <c r="AB20" i="38"/>
  <c r="AJ839" i="38"/>
  <c r="AA1536" i="38"/>
  <c r="AG1518" i="38"/>
  <c r="AH183" i="38"/>
  <c r="AD179" i="38"/>
  <c r="AE1540" i="38"/>
  <c r="AE1549" i="38" s="1"/>
  <c r="U1549" i="38"/>
  <c r="AJ841" i="38"/>
  <c r="AH839" i="38"/>
  <c r="Y1577" i="38"/>
  <c r="AJ837" i="38"/>
  <c r="AG1497" i="38"/>
  <c r="S1455" i="38"/>
  <c r="S1461" i="38" s="1"/>
  <c r="S1294" i="38"/>
  <c r="S1296" i="38" s="1"/>
  <c r="S16" i="38"/>
  <c r="S1458" i="38" s="1"/>
  <c r="S1456" i="38" s="1"/>
  <c r="S20" i="38"/>
  <c r="S18" i="38"/>
  <c r="AA1505" i="38"/>
  <c r="AG1547" i="38"/>
  <c r="AI1538" i="38"/>
  <c r="AI1547" i="38" s="1"/>
  <c r="AE102" i="38"/>
  <c r="AE124" i="38" s="1"/>
  <c r="U79" i="38"/>
  <c r="U124" i="38"/>
  <c r="AG58" i="38"/>
  <c r="AI58" i="38" s="1"/>
  <c r="AJ58" i="38" s="1"/>
  <c r="AA57" i="38"/>
  <c r="X1507" i="38"/>
  <c r="AB81" i="38"/>
  <c r="AB135" i="38"/>
  <c r="AB124" i="38"/>
  <c r="W1536" i="38"/>
  <c r="AG1543" i="38"/>
  <c r="AA1552" i="38"/>
  <c r="AH1459" i="38"/>
  <c r="AJ22" i="38"/>
  <c r="AJ1459" i="38" s="1"/>
  <c r="AG1537" i="38"/>
  <c r="AA1546" i="38"/>
  <c r="S340" i="38"/>
  <c r="AI1484" i="38"/>
  <c r="Y1557" i="38"/>
  <c r="Y1545" i="38"/>
  <c r="Y1558" i="38" s="1"/>
  <c r="Y1559" i="38" s="1"/>
  <c r="U435" i="38"/>
  <c r="U196" i="38" s="1"/>
  <c r="AI19" i="38"/>
  <c r="AD1527" i="38"/>
  <c r="AH1527" i="38" s="1"/>
  <c r="AJ1527" i="38" s="1"/>
  <c r="Y411" i="38"/>
  <c r="Y412" i="38" s="1"/>
  <c r="Y406" i="38"/>
  <c r="R1465" i="38"/>
  <c r="R1463" i="38" s="1"/>
  <c r="AG1551" i="38"/>
  <c r="AI1542" i="38"/>
  <c r="AI1551" i="38" s="1"/>
  <c r="X1546" i="38"/>
  <c r="AF1537" i="38"/>
  <c r="AF1546" i="38" s="1"/>
  <c r="AE444" i="38"/>
  <c r="AI1475" i="38"/>
  <c r="R1552" i="38"/>
  <c r="AD1543" i="38"/>
  <c r="AJ111" i="38"/>
  <c r="AD430" i="38"/>
  <c r="R431" i="38"/>
  <c r="R90" i="38" s="1"/>
  <c r="R427" i="38"/>
  <c r="R428" i="38"/>
  <c r="AI1528" i="38"/>
  <c r="AJ1528" i="38" s="1"/>
  <c r="AJ243" i="38"/>
  <c r="AH1390" i="38"/>
  <c r="AH1391" i="38" s="1"/>
  <c r="AH1387" i="38"/>
  <c r="AG1503" i="38"/>
  <c r="AI1494" i="38"/>
  <c r="AI1503" i="38" s="1"/>
  <c r="U1553" i="38"/>
  <c r="AE1544" i="38"/>
  <c r="AE1553" i="38" s="1"/>
  <c r="V276" i="38"/>
  <c r="V277" i="38" s="1"/>
  <c r="V273" i="38"/>
  <c r="R1297" i="38"/>
  <c r="R24" i="38"/>
  <c r="Y1297" i="38"/>
  <c r="Y24" i="38"/>
  <c r="AJ418" i="38"/>
  <c r="AJ419" i="38" s="1"/>
  <c r="AD1574" i="38"/>
  <c r="R1573" i="38"/>
  <c r="R1582" i="38"/>
  <c r="X247" i="38"/>
  <c r="AF261" i="38"/>
  <c r="X238" i="38"/>
  <c r="AC195" i="38"/>
  <c r="AH434" i="38"/>
  <c r="AD432" i="38"/>
  <c r="AH62" i="38"/>
  <c r="AH67" i="38" s="1"/>
  <c r="AJ26" i="38"/>
  <c r="AJ62" i="38" s="1"/>
  <c r="AJ67" i="38" s="1"/>
  <c r="AH263" i="38"/>
  <c r="AD249" i="38"/>
  <c r="AI250" i="38"/>
  <c r="AJ264" i="38"/>
  <c r="AJ250" i="38" s="1"/>
  <c r="AI1566" i="38"/>
  <c r="AD353" i="38"/>
  <c r="AD372" i="38" s="1"/>
  <c r="AD373" i="38"/>
  <c r="AI1522" i="38"/>
  <c r="AF439" i="38"/>
  <c r="AF278" i="38" s="1"/>
  <c r="AJ266" i="38"/>
  <c r="AJ252" i="38" s="1"/>
  <c r="AH252" i="38"/>
  <c r="AA1465" i="38"/>
  <c r="AA1463" i="38" s="1"/>
  <c r="AF1489" i="38"/>
  <c r="T406" i="38"/>
  <c r="T411" i="38"/>
  <c r="T412" i="38" s="1"/>
  <c r="AD247" i="38"/>
  <c r="AI1531" i="38"/>
  <c r="AA124" i="38"/>
  <c r="AG123" i="38"/>
  <c r="AA81" i="38"/>
  <c r="AA135" i="38"/>
  <c r="AJ485" i="38"/>
  <c r="AD1478" i="38"/>
  <c r="R191" i="38"/>
  <c r="R194" i="38"/>
  <c r="AA247" i="38"/>
  <c r="AG261" i="38"/>
  <c r="AA238" i="38"/>
  <c r="T1501" i="38"/>
  <c r="T1514" i="38" s="1"/>
  <c r="T1515" i="38" s="1"/>
  <c r="T1513" i="38"/>
  <c r="AI442" i="38"/>
  <c r="AG440" i="38"/>
  <c r="AH376" i="38"/>
  <c r="AJ384" i="38"/>
  <c r="AH381" i="38"/>
  <c r="AD1503" i="38"/>
  <c r="AH1494" i="38"/>
  <c r="AG1493" i="38"/>
  <c r="AA1502" i="38"/>
  <c r="V1513" i="38"/>
  <c r="V1501" i="38"/>
  <c r="V1514" i="38" s="1"/>
  <c r="V1515" i="38" s="1"/>
  <c r="AJ1534" i="38"/>
  <c r="AI446" i="38"/>
  <c r="AG444" i="38"/>
  <c r="AD1562" i="38"/>
  <c r="AJ1531" i="38"/>
  <c r="AD86" i="38"/>
  <c r="AH81" i="38"/>
  <c r="AH419" i="38"/>
  <c r="R663" i="38"/>
  <c r="R1536" i="38"/>
  <c r="AD1518" i="38"/>
  <c r="S1483" i="38"/>
  <c r="S1492" i="38" s="1"/>
  <c r="V1297" i="38"/>
  <c r="V24" i="38"/>
  <c r="V18" i="38"/>
  <c r="AA340" i="38"/>
  <c r="V16" i="38"/>
  <c r="V1458" i="38" s="1"/>
  <c r="V1456" i="38" s="1"/>
  <c r="V1457" i="38" s="1"/>
  <c r="AA1549" i="38"/>
  <c r="AG1540" i="38"/>
  <c r="Z273" i="38"/>
  <c r="Z276" i="38"/>
  <c r="Z277" i="38" s="1"/>
  <c r="AB425" i="38"/>
  <c r="AB435" i="38"/>
  <c r="AB196" i="38" s="1"/>
  <c r="AB443" i="38"/>
  <c r="AB341" i="38" s="1"/>
  <c r="AJ96" i="38"/>
  <c r="U121" i="38"/>
  <c r="AE121" i="38" s="1"/>
  <c r="AE114" i="38"/>
  <c r="AE110" i="38" s="1"/>
  <c r="U110" i="38"/>
  <c r="AB1577" i="38"/>
  <c r="AI835" i="38"/>
  <c r="AI834" i="38" s="1"/>
  <c r="AI1465" i="38" s="1"/>
  <c r="AI1463" i="38" s="1"/>
  <c r="AG834" i="38"/>
  <c r="AG1465" i="38" s="1"/>
  <c r="AG1463" i="38" s="1"/>
  <c r="AC1545" i="38"/>
  <c r="AC1558" i="38" s="1"/>
  <c r="AC1559" i="38" s="1"/>
  <c r="AC1557" i="38"/>
  <c r="AJ1329" i="38"/>
  <c r="AJ1332" i="38"/>
  <c r="AJ1333" i="38" s="1"/>
  <c r="AG1511" i="38"/>
  <c r="AI1511" i="38" s="1"/>
  <c r="AA1510" i="38"/>
  <c r="AJ27" i="38"/>
  <c r="AJ68" i="38" s="1"/>
  <c r="AJ73" i="38" s="1"/>
  <c r="AH68" i="38"/>
  <c r="AH73" i="38" s="1"/>
  <c r="AG126" i="38"/>
  <c r="AI129" i="38"/>
  <c r="R1507" i="38"/>
  <c r="AD1498" i="38"/>
  <c r="AI262" i="38"/>
  <c r="AI248" i="38" s="1"/>
  <c r="AG248" i="38"/>
  <c r="AI240" i="38"/>
  <c r="AE427" i="38"/>
  <c r="U443" i="38"/>
  <c r="U341" i="38" s="1"/>
  <c r="U425" i="38"/>
  <c r="AJ254" i="38"/>
  <c r="AH240" i="38"/>
  <c r="Y1496" i="38"/>
  <c r="Y1505" i="38" s="1"/>
  <c r="AF1478" i="38"/>
  <c r="AE407" i="38"/>
  <c r="AE373" i="38"/>
  <c r="AE371" i="38"/>
  <c r="AJ1566" i="38"/>
  <c r="AG1544" i="38"/>
  <c r="AA1553" i="38"/>
  <c r="AI1489" i="38"/>
  <c r="A848" i="38"/>
  <c r="R1585" i="38"/>
  <c r="AD1578" i="38"/>
  <c r="W164" i="38"/>
  <c r="AE165" i="38"/>
  <c r="AE164" i="38" s="1"/>
  <c r="AE436" i="38"/>
  <c r="AD1551" i="38"/>
  <c r="AH1542" i="38"/>
  <c r="X135" i="38"/>
  <c r="X124" i="38"/>
  <c r="AF123" i="38"/>
  <c r="X81" i="38"/>
  <c r="AD1474" i="38"/>
  <c r="AH1474" i="38" s="1"/>
  <c r="AH1519" i="38"/>
  <c r="V1296" i="38"/>
  <c r="W1513" i="38"/>
  <c r="W1501" i="38"/>
  <c r="W1514" i="38" s="1"/>
  <c r="W1515" i="38" s="1"/>
  <c r="AF443" i="38"/>
  <c r="AF341" i="38" s="1"/>
  <c r="AH485" i="38"/>
  <c r="U1585" i="38"/>
  <c r="AE1578" i="38"/>
  <c r="AE1585" i="38" s="1"/>
  <c r="Z1455" i="38"/>
  <c r="Z1294" i="38"/>
  <c r="AH1544" i="38"/>
  <c r="AD1553" i="38"/>
  <c r="AD1504" i="38"/>
  <c r="AH1495" i="38"/>
  <c r="AD1508" i="38"/>
  <c r="AH1499" i="38"/>
  <c r="AJ1522" i="38"/>
  <c r="AG1574" i="38"/>
  <c r="AA1573" i="38"/>
  <c r="AA1582" i="38"/>
  <c r="AC1581" i="38"/>
  <c r="AC1588" i="38" s="1"/>
  <c r="W1455" i="38"/>
  <c r="W1294" i="38"/>
  <c r="W20" i="38"/>
  <c r="Z1577" i="38"/>
  <c r="AI1495" i="38"/>
  <c r="AI1504" i="38" s="1"/>
  <c r="AG1504" i="38"/>
  <c r="AE428" i="38"/>
  <c r="Z86" i="38"/>
  <c r="Z89" i="38" s="1"/>
  <c r="Z17" i="38"/>
  <c r="Z16" i="38" s="1"/>
  <c r="Z1458" i="38" s="1"/>
  <c r="Z1456" i="38" s="1"/>
  <c r="Z1457" i="38" s="1"/>
  <c r="Y79" i="38"/>
  <c r="AF102" i="38"/>
  <c r="Y124" i="38"/>
  <c r="AJ1563" i="38"/>
  <c r="AF1510" i="38"/>
  <c r="AE1510" i="38"/>
  <c r="AH442" i="38"/>
  <c r="AD440" i="38"/>
  <c r="AD1509" i="38"/>
  <c r="AH1500" i="38"/>
  <c r="Z121" i="38"/>
  <c r="Z110" i="38"/>
  <c r="AH335" i="38"/>
  <c r="AH311" i="38"/>
  <c r="U1454" i="38"/>
  <c r="U1423" i="38"/>
  <c r="U1293" i="38"/>
  <c r="U1251" i="38"/>
  <c r="U1195" i="38"/>
  <c r="U1061" i="38"/>
  <c r="U451" i="38"/>
  <c r="V13" i="38"/>
  <c r="U78" i="38"/>
  <c r="AJ1480" i="38"/>
  <c r="U1536" i="38"/>
  <c r="AE1518" i="38"/>
  <c r="Z406" i="38"/>
  <c r="Z411" i="38"/>
  <c r="Z412" i="38" s="1"/>
  <c r="AI1499" i="38"/>
  <c r="AI1508" i="38" s="1"/>
  <c r="AG1508" i="38"/>
  <c r="AB1557" i="38"/>
  <c r="AB1545" i="38"/>
  <c r="AB1558" i="38" s="1"/>
  <c r="AB1559" i="38" s="1"/>
  <c r="AF425" i="38"/>
  <c r="AE178" i="38"/>
  <c r="AH182" i="38"/>
  <c r="AB406" i="38"/>
  <c r="AB411" i="38"/>
  <c r="AB412" i="38" s="1"/>
  <c r="U439" i="38"/>
  <c r="U278" i="38" s="1"/>
  <c r="AJ1479" i="38"/>
  <c r="X121" i="38"/>
  <c r="AF114" i="38"/>
  <c r="AF110" i="38" s="1"/>
  <c r="X110" i="38"/>
  <c r="AH1475" i="38"/>
  <c r="AJ1475" i="38" s="1"/>
  <c r="R1546" i="38"/>
  <c r="AD1537" i="38"/>
  <c r="U1573" i="38"/>
  <c r="AE1574" i="38"/>
  <c r="U1582" i="38"/>
  <c r="AJ1554" i="38"/>
  <c r="AJ1565" i="38"/>
  <c r="AF1483" i="38"/>
  <c r="AJ1109" i="38"/>
  <c r="AD446" i="38"/>
  <c r="R447" i="38"/>
  <c r="R413" i="38" s="1"/>
  <c r="R444" i="38"/>
  <c r="AI879" i="38"/>
  <c r="AH1580" i="38"/>
  <c r="AD1587" i="38"/>
  <c r="T1455" i="38"/>
  <c r="T1294" i="38"/>
  <c r="T20" i="38"/>
  <c r="T1557" i="38"/>
  <c r="T1545" i="38"/>
  <c r="T1558" i="38" s="1"/>
  <c r="T1559" i="38" s="1"/>
  <c r="AD1540" i="38"/>
  <c r="R1549" i="38"/>
  <c r="AA663" i="38"/>
  <c r="Y136" i="38"/>
  <c r="S25" i="38"/>
  <c r="S28" i="38"/>
  <c r="AJ1485" i="38"/>
  <c r="AD1489" i="38"/>
  <c r="AH1489" i="38" s="1"/>
  <c r="AJ1489" i="38" s="1"/>
  <c r="R1487" i="38"/>
  <c r="R1496" i="38" s="1"/>
  <c r="U1546" i="38"/>
  <c r="AE1537" i="38"/>
  <c r="AE1546" i="38" s="1"/>
  <c r="AG407" i="38"/>
  <c r="AG371" i="38"/>
  <c r="AG373" i="38"/>
  <c r="AB173" i="38"/>
  <c r="AG166" i="38"/>
  <c r="AB164" i="38"/>
  <c r="AD336" i="38"/>
  <c r="AD339" i="38"/>
  <c r="AD340" i="38" s="1"/>
  <c r="AH1460" i="38"/>
  <c r="AJ21" i="38"/>
  <c r="AJ1460" i="38" s="1"/>
  <c r="AB1513" i="38"/>
  <c r="AB1501" i="38"/>
  <c r="AB1514" i="38" s="1"/>
  <c r="AB1515" i="38" s="1"/>
  <c r="AJ583" i="38"/>
  <c r="V1557" i="38"/>
  <c r="V1545" i="38"/>
  <c r="V1558" i="38" s="1"/>
  <c r="V1559" i="38" s="1"/>
  <c r="Y1498" i="38"/>
  <c r="Y1507" i="38" s="1"/>
  <c r="AF1562" i="38"/>
  <c r="Z124" i="38"/>
  <c r="X1552" i="38"/>
  <c r="AF1543" i="38"/>
  <c r="AF1552" i="38" s="1"/>
  <c r="V1577" i="38"/>
  <c r="AG1587" i="38"/>
  <c r="AI1580" i="38"/>
  <c r="AI1587" i="38" s="1"/>
  <c r="X1573" i="38"/>
  <c r="AF1574" i="38"/>
  <c r="X1582" i="38"/>
  <c r="AC663" i="38"/>
  <c r="W190" i="38"/>
  <c r="W177" i="38"/>
  <c r="AE176" i="38"/>
  <c r="W17" i="38"/>
  <c r="W16" i="38" s="1"/>
  <c r="W1458" i="38" s="1"/>
  <c r="W1456" i="38" s="1"/>
  <c r="W1457" i="38" s="1"/>
  <c r="A95" i="38"/>
  <c r="AF431" i="38"/>
  <c r="AF90" i="38" s="1"/>
  <c r="Y276" i="38"/>
  <c r="Y277" i="38" s="1"/>
  <c r="Y273" i="38"/>
  <c r="AE1478" i="38"/>
  <c r="AF126" i="38"/>
  <c r="AD1493" i="38"/>
  <c r="R1502" i="38"/>
  <c r="AF1575" i="38"/>
  <c r="X1583" i="38"/>
  <c r="AH165" i="38"/>
  <c r="AJ1524" i="38"/>
  <c r="AG1575" i="38"/>
  <c r="AA1583" i="38"/>
  <c r="AF447" i="38"/>
  <c r="AF413" i="38" s="1"/>
  <c r="AF444" i="38"/>
  <c r="AD139" i="38"/>
  <c r="AD136" i="38"/>
  <c r="AH251" i="38"/>
  <c r="AJ265" i="38"/>
  <c r="AJ251" i="38" s="1"/>
  <c r="AE1562" i="38"/>
  <c r="AI434" i="38"/>
  <c r="AG432" i="38"/>
  <c r="AG1478" i="38"/>
  <c r="AI1478" i="38" s="1"/>
  <c r="AE336" i="38"/>
  <c r="AE339" i="38"/>
  <c r="AE340" i="38" s="1"/>
  <c r="V1464" i="38"/>
  <c r="AG1299" i="38"/>
  <c r="AH1539" i="38"/>
  <c r="AD1548" i="38"/>
  <c r="AB273" i="38"/>
  <c r="AB276" i="38"/>
  <c r="AB277" i="38" s="1"/>
  <c r="AC121" i="38"/>
  <c r="AG121" i="38" s="1"/>
  <c r="AC110" i="38"/>
  <c r="AH438" i="38"/>
  <c r="AD436" i="38"/>
  <c r="AJ312" i="38"/>
  <c r="AJ310" i="38"/>
  <c r="T173" i="38"/>
  <c r="AD166" i="38"/>
  <c r="AH166" i="38" s="1"/>
  <c r="S1304" i="38"/>
  <c r="AJ216" i="38"/>
  <c r="AH126" i="38"/>
  <c r="AH123" i="38"/>
  <c r="S1557" i="38"/>
  <c r="S1545" i="38"/>
  <c r="S1558" i="38" s="1"/>
  <c r="S1559" i="38" s="1"/>
  <c r="AB177" i="38"/>
  <c r="AB190" i="38"/>
  <c r="AE1299" i="38"/>
  <c r="AG1586" i="38"/>
  <c r="AI1579" i="38"/>
  <c r="AI1586" i="38" s="1"/>
  <c r="AD102" i="38"/>
  <c r="AD124" i="38" s="1"/>
  <c r="R79" i="38"/>
  <c r="R124" i="38"/>
  <c r="S435" i="38"/>
  <c r="S196" i="38" s="1"/>
  <c r="S439" i="38"/>
  <c r="S278" i="38" s="1"/>
  <c r="S443" i="38"/>
  <c r="S341" i="38" s="1"/>
  <c r="S425" i="38"/>
  <c r="Z1513" i="38"/>
  <c r="Z1501" i="38"/>
  <c r="Z1514" i="38" s="1"/>
  <c r="Z1515" i="38" s="1"/>
  <c r="X1585" i="38"/>
  <c r="AF1578" i="38"/>
  <c r="AF1585" i="38" s="1"/>
  <c r="Z136" i="38"/>
  <c r="Z139" i="38"/>
  <c r="Z140" i="38" s="1"/>
  <c r="S411" i="38"/>
  <c r="S412" i="38" s="1"/>
  <c r="S406" i="38"/>
  <c r="AH208" i="38"/>
  <c r="AJ209" i="38"/>
  <c r="Y121" i="38"/>
  <c r="Y110" i="38"/>
  <c r="AH1570" i="38"/>
  <c r="AJ1570" i="38" s="1"/>
  <c r="AJ174" i="38"/>
  <c r="AF194" i="38"/>
  <c r="AF195" i="38" s="1"/>
  <c r="AF191" i="38"/>
  <c r="AA1507" i="38"/>
  <c r="AG1498" i="38"/>
  <c r="U1487" i="38"/>
  <c r="AE1488" i="38"/>
  <c r="AH1488" i="38" s="1"/>
  <c r="AJ1488" i="38" s="1"/>
  <c r="AF1493" i="38"/>
  <c r="AF1502" i="38" s="1"/>
  <c r="X1502" i="38"/>
  <c r="A108" i="38"/>
  <c r="S447" i="38"/>
  <c r="S413" i="38" s="1"/>
  <c r="AI377" i="38"/>
  <c r="AI408" i="38"/>
  <c r="AD1506" i="38"/>
  <c r="T164" i="38"/>
  <c r="A431" i="38"/>
  <c r="A432" i="38" s="1"/>
  <c r="R1238" i="38"/>
  <c r="AD1238" i="38" s="1"/>
  <c r="AH1238" i="38" s="1"/>
  <c r="AJ1238" i="38" s="1"/>
  <c r="AD1237" i="38"/>
  <c r="AH1237" i="38" s="1"/>
  <c r="AJ1237" i="38" s="1"/>
  <c r="R273" i="38"/>
  <c r="R276" i="38"/>
  <c r="AG1578" i="38"/>
  <c r="AA1585" i="38"/>
  <c r="AE261" i="38"/>
  <c r="U247" i="38"/>
  <c r="U238" i="38"/>
  <c r="R406" i="38"/>
  <c r="R411" i="38"/>
  <c r="X1549" i="38"/>
  <c r="AF1540" i="38"/>
  <c r="AF1549" i="38" s="1"/>
  <c r="R140" i="38"/>
  <c r="AH19" i="38"/>
  <c r="AC1487" i="38"/>
  <c r="AG1488" i="38"/>
  <c r="AI1488" i="38" s="1"/>
  <c r="AH836" i="38"/>
  <c r="AJ836" i="38" s="1"/>
  <c r="AE834" i="38"/>
  <c r="AE1465" i="38" s="1"/>
  <c r="AE1463" i="38" s="1"/>
  <c r="AE1474" i="38"/>
  <c r="T1577" i="38"/>
  <c r="AI1519" i="38"/>
  <c r="AC79" i="38"/>
  <c r="AC14" i="38" s="1"/>
  <c r="AC124" i="38"/>
  <c r="T177" i="38"/>
  <c r="T190" i="38"/>
  <c r="T17" i="38"/>
  <c r="S57" i="38"/>
  <c r="AD57" i="38" s="1"/>
  <c r="AH57" i="38" s="1"/>
  <c r="A842" i="38"/>
  <c r="AJ879" i="38"/>
  <c r="AJ408" i="38"/>
  <c r="AJ377" i="38"/>
  <c r="T273" i="38"/>
  <c r="T276" i="38"/>
  <c r="T277" i="38" s="1"/>
  <c r="X1300" i="38"/>
  <c r="AF1299" i="38"/>
  <c r="AI438" i="38"/>
  <c r="AG436" i="38"/>
  <c r="AJ104" i="38"/>
  <c r="AJ102" i="38" s="1"/>
  <c r="X1536" i="38"/>
  <c r="AF1518" i="38"/>
  <c r="AD1586" i="38"/>
  <c r="AH1579" i="38"/>
  <c r="S431" i="38"/>
  <c r="S90" i="38" s="1"/>
  <c r="AD1547" i="38"/>
  <c r="AH1538" i="38"/>
  <c r="AG339" i="38"/>
  <c r="AG340" i="38" s="1"/>
  <c r="AG336" i="38"/>
  <c r="AI1541" i="38"/>
  <c r="AI1550" i="38" s="1"/>
  <c r="AG1550" i="38"/>
  <c r="AI1539" i="38"/>
  <c r="AI1548" i="38" s="1"/>
  <c r="AG1548" i="38"/>
  <c r="AF1474" i="38"/>
  <c r="X1492" i="38"/>
  <c r="AC247" i="38"/>
  <c r="AC238" i="38"/>
  <c r="AC140" i="38"/>
  <c r="AI1563" i="38"/>
  <c r="AJ426" i="38"/>
  <c r="S1513" i="38" l="1"/>
  <c r="S1501" i="38"/>
  <c r="S1514" i="38" s="1"/>
  <c r="S1515" i="38" s="1"/>
  <c r="R1505" i="38"/>
  <c r="AD1496" i="38"/>
  <c r="AE1487" i="38"/>
  <c r="U1483" i="38"/>
  <c r="T1297" i="38"/>
  <c r="T18" i="38"/>
  <c r="T24" i="38"/>
  <c r="V1594" i="38"/>
  <c r="V1584" i="38"/>
  <c r="V1595" i="38" s="1"/>
  <c r="V1596" i="38" s="1"/>
  <c r="AG405" i="38"/>
  <c r="AG372" i="38"/>
  <c r="T16" i="38"/>
  <c r="T1458" i="38" s="1"/>
  <c r="T1456" i="38" s="1"/>
  <c r="T1457" i="38" s="1"/>
  <c r="AE443" i="38"/>
  <c r="AE341" i="38" s="1"/>
  <c r="AE425" i="38"/>
  <c r="AF247" i="38"/>
  <c r="AF238" i="38"/>
  <c r="AD1552" i="38"/>
  <c r="AH1543" i="38"/>
  <c r="AH179" i="38"/>
  <c r="AJ183" i="38"/>
  <c r="AJ179" i="38" s="1"/>
  <c r="W1594" i="38"/>
  <c r="W1584" i="38"/>
  <c r="W1595" i="38" s="1"/>
  <c r="W1596" i="38" s="1"/>
  <c r="AG427" i="38"/>
  <c r="AA425" i="38"/>
  <c r="AA439" i="38"/>
  <c r="AA278" i="38" s="1"/>
  <c r="AA435" i="38"/>
  <c r="AA196" i="38" s="1"/>
  <c r="AA447" i="38"/>
  <c r="AA413" i="38" s="1"/>
  <c r="AA443" i="38"/>
  <c r="AA341" i="38" s="1"/>
  <c r="T191" i="38"/>
  <c r="T194" i="38"/>
  <c r="AB191" i="38"/>
  <c r="AB194" i="38"/>
  <c r="S1298" i="38"/>
  <c r="AJ438" i="38"/>
  <c r="AH436" i="38"/>
  <c r="AI1299" i="38"/>
  <c r="AH834" i="38"/>
  <c r="AH1465" i="38" s="1"/>
  <c r="AH1463" i="38" s="1"/>
  <c r="W194" i="38"/>
  <c r="W195" i="38" s="1"/>
  <c r="W191" i="38"/>
  <c r="T1296" i="38"/>
  <c r="T1300" i="38"/>
  <c r="AE1573" i="38"/>
  <c r="U1581" i="38"/>
  <c r="U1569" i="38"/>
  <c r="AG1573" i="38"/>
  <c r="AA1581" i="38"/>
  <c r="AA1569" i="38"/>
  <c r="X17" i="38"/>
  <c r="AF81" i="38"/>
  <c r="AF86" i="38" s="1"/>
  <c r="X86" i="38"/>
  <c r="X89" i="38" s="1"/>
  <c r="AF89" i="38" s="1"/>
  <c r="AI89" i="38" s="1"/>
  <c r="AJ89" i="38" s="1"/>
  <c r="AE439" i="38"/>
  <c r="AE278" i="38" s="1"/>
  <c r="A854" i="38"/>
  <c r="AG1549" i="38"/>
  <c r="AI1540" i="38"/>
  <c r="AI1549" i="38" s="1"/>
  <c r="AH1518" i="38"/>
  <c r="AJ1518" i="38" s="1"/>
  <c r="AH407" i="38"/>
  <c r="AH371" i="38"/>
  <c r="AH373" i="38"/>
  <c r="Y1304" i="38"/>
  <c r="AF1498" i="38"/>
  <c r="AF1507" i="38" s="1"/>
  <c r="Y1594" i="38"/>
  <c r="Y1584" i="38"/>
  <c r="Y1595" i="38" s="1"/>
  <c r="Y1596" i="38" s="1"/>
  <c r="AI1518" i="38"/>
  <c r="AJ262" i="38"/>
  <c r="AJ248" i="38" s="1"/>
  <c r="AA431" i="38"/>
  <c r="AA90" i="38" s="1"/>
  <c r="AC1483" i="38"/>
  <c r="AG1487" i="38"/>
  <c r="AI1487" i="38" s="1"/>
  <c r="AJ311" i="38"/>
  <c r="AJ335" i="38"/>
  <c r="AF1492" i="38"/>
  <c r="AF1501" i="38" s="1"/>
  <c r="X1513" i="38"/>
  <c r="AF1513" i="38" s="1"/>
  <c r="X1501" i="38"/>
  <c r="X1514" i="38" s="1"/>
  <c r="AJ19" i="38"/>
  <c r="AE247" i="38"/>
  <c r="AE238" i="38"/>
  <c r="AC1496" i="38"/>
  <c r="AI1575" i="38"/>
  <c r="AJ1575" i="38" s="1"/>
  <c r="AH446" i="38"/>
  <c r="AD444" i="38"/>
  <c r="AG1582" i="38"/>
  <c r="AA1589" i="38"/>
  <c r="AH1553" i="38"/>
  <c r="AI126" i="38"/>
  <c r="AI123" i="38"/>
  <c r="AI444" i="38"/>
  <c r="AH249" i="38"/>
  <c r="AJ263" i="38"/>
  <c r="AJ249" i="38" s="1"/>
  <c r="S1594" i="38"/>
  <c r="S1584" i="38"/>
  <c r="S1595" i="38" s="1"/>
  <c r="S1596" i="38" s="1"/>
  <c r="AC1584" i="38"/>
  <c r="AC1595" i="38" s="1"/>
  <c r="AC1596" i="38" s="1"/>
  <c r="AC1594" i="38"/>
  <c r="R1590" i="38"/>
  <c r="AD1583" i="38"/>
  <c r="AA412" i="38"/>
  <c r="AG1585" i="38"/>
  <c r="AI1578" i="38"/>
  <c r="AI1585" i="38" s="1"/>
  <c r="A433" i="38"/>
  <c r="S1305" i="38"/>
  <c r="S1308" i="38"/>
  <c r="AJ835" i="38"/>
  <c r="AJ834" i="38" s="1"/>
  <c r="AJ1465" i="38" s="1"/>
  <c r="AJ1463" i="38" s="1"/>
  <c r="AH164" i="38"/>
  <c r="AJ165" i="38"/>
  <c r="T1461" i="38"/>
  <c r="T1464" i="38"/>
  <c r="AH1537" i="38"/>
  <c r="AD1546" i="38"/>
  <c r="V1454" i="38"/>
  <c r="V1423" i="38"/>
  <c r="V1293" i="38"/>
  <c r="V1251" i="38"/>
  <c r="V1195" i="38"/>
  <c r="V1061" i="38"/>
  <c r="V451" i="38"/>
  <c r="W13" i="38"/>
  <c r="V78" i="38"/>
  <c r="AJ442" i="38"/>
  <c r="AH440" i="38"/>
  <c r="Y14" i="38"/>
  <c r="AF79" i="38"/>
  <c r="Z1594" i="38"/>
  <c r="Z1584" i="38"/>
  <c r="Z1595" i="38" s="1"/>
  <c r="Z1596" i="38" s="1"/>
  <c r="AI1574" i="38"/>
  <c r="Z1296" i="38"/>
  <c r="Z1300" i="38"/>
  <c r="AF135" i="38"/>
  <c r="AF124" i="38"/>
  <c r="AD1536" i="38"/>
  <c r="R1557" i="38"/>
  <c r="AD1557" i="38" s="1"/>
  <c r="R1545" i="38"/>
  <c r="R1558" i="38" s="1"/>
  <c r="AJ376" i="38"/>
  <c r="AJ381" i="38"/>
  <c r="AH1478" i="38"/>
  <c r="AJ1478" i="38" s="1"/>
  <c r="AH261" i="38"/>
  <c r="R1589" i="38"/>
  <c r="AD1582" i="38"/>
  <c r="AD24" i="38"/>
  <c r="R28" i="38"/>
  <c r="AD427" i="38"/>
  <c r="AD447" i="38" s="1"/>
  <c r="AD413" i="38" s="1"/>
  <c r="R425" i="38"/>
  <c r="R443" i="38"/>
  <c r="R341" i="38" s="1"/>
  <c r="R439" i="38"/>
  <c r="R278" i="38" s="1"/>
  <c r="R435" i="38"/>
  <c r="R196" i="38" s="1"/>
  <c r="AG57" i="38"/>
  <c r="AI57" i="38" s="1"/>
  <c r="AJ57" i="38" s="1"/>
  <c r="AA1545" i="38"/>
  <c r="AA1558" i="38" s="1"/>
  <c r="AG1536" i="38"/>
  <c r="AA1557" i="38"/>
  <c r="AG1557" i="38" s="1"/>
  <c r="AI1557" i="38" s="1"/>
  <c r="AI405" i="38"/>
  <c r="AI372" i="38"/>
  <c r="S1464" i="38"/>
  <c r="AI1474" i="38"/>
  <c r="AG194" i="38"/>
  <c r="AG195" i="38" s="1"/>
  <c r="AG191" i="38"/>
  <c r="A161" i="38"/>
  <c r="AI436" i="38"/>
  <c r="R277" i="38"/>
  <c r="AG1507" i="38"/>
  <c r="AD164" i="38"/>
  <c r="X1589" i="38"/>
  <c r="AF1582" i="38"/>
  <c r="AF1589" i="38" s="1"/>
  <c r="Z1461" i="38"/>
  <c r="Z1464" i="38"/>
  <c r="AD1573" i="38"/>
  <c r="AH1573" i="38" s="1"/>
  <c r="R1569" i="38"/>
  <c r="R1581" i="38"/>
  <c r="AI1543" i="38"/>
  <c r="AI1552" i="38" s="1"/>
  <c r="AG1552" i="38"/>
  <c r="AD121" i="38"/>
  <c r="AH121" i="38" s="1"/>
  <c r="AA1513" i="38"/>
  <c r="AA1501" i="38"/>
  <c r="AF406" i="38"/>
  <c r="AF411" i="38"/>
  <c r="AF412" i="38" s="1"/>
  <c r="AA1455" i="38"/>
  <c r="AA1464" i="38" s="1"/>
  <c r="AA1294" i="38"/>
  <c r="AG14" i="38"/>
  <c r="AA20" i="38"/>
  <c r="AF1573" i="38"/>
  <c r="X1569" i="38"/>
  <c r="X1581" i="38"/>
  <c r="AH1547" i="38"/>
  <c r="AJ1538" i="38"/>
  <c r="AJ1547" i="38" s="1"/>
  <c r="AD79" i="38"/>
  <c r="R14" i="38"/>
  <c r="A96" i="38"/>
  <c r="A97" i="38" s="1"/>
  <c r="AH339" i="38"/>
  <c r="AH340" i="38" s="1"/>
  <c r="AH336" i="38"/>
  <c r="Z1297" i="38"/>
  <c r="Z24" i="38"/>
  <c r="Z18" i="38"/>
  <c r="AJ1579" i="38"/>
  <c r="AJ1586" i="38" s="1"/>
  <c r="AH1586" i="38"/>
  <c r="AC1455" i="38"/>
  <c r="AC1294" i="38"/>
  <c r="AC16" i="38"/>
  <c r="AC20" i="38"/>
  <c r="R412" i="38"/>
  <c r="AH1497" i="38"/>
  <c r="A109" i="38"/>
  <c r="AJ208" i="38"/>
  <c r="AD173" i="38"/>
  <c r="AH173" i="38" s="1"/>
  <c r="AD140" i="38"/>
  <c r="AF1583" i="38"/>
  <c r="AF1590" i="38" s="1"/>
  <c r="X1590" i="38"/>
  <c r="U1496" i="38"/>
  <c r="AD1487" i="38"/>
  <c r="R1483" i="38"/>
  <c r="AD1549" i="38"/>
  <c r="AH1540" i="38"/>
  <c r="AJ1580" i="38"/>
  <c r="AJ1587" i="38" s="1"/>
  <c r="AH1587" i="38"/>
  <c r="AJ182" i="38"/>
  <c r="AH178" i="38"/>
  <c r="AH176" i="38"/>
  <c r="AJ1499" i="38"/>
  <c r="AJ1508" i="38" s="1"/>
  <c r="AH1508" i="38"/>
  <c r="X136" i="38"/>
  <c r="X139" i="38"/>
  <c r="AH1578" i="38"/>
  <c r="AD1585" i="38"/>
  <c r="AG1553" i="38"/>
  <c r="AI1544" i="38"/>
  <c r="AI1553" i="38" s="1"/>
  <c r="AH1562" i="38"/>
  <c r="AA272" i="38"/>
  <c r="AA239" i="38"/>
  <c r="AA139" i="38"/>
  <c r="AA136" i="38"/>
  <c r="AJ434" i="38"/>
  <c r="AH432" i="38"/>
  <c r="AH1574" i="38"/>
  <c r="AD17" i="38"/>
  <c r="AH430" i="38"/>
  <c r="AD428" i="38"/>
  <c r="AE447" i="38"/>
  <c r="AE413" i="38" s="1"/>
  <c r="W1557" i="38"/>
  <c r="W1545" i="38"/>
  <c r="W1558" i="38" s="1"/>
  <c r="W1559" i="38" s="1"/>
  <c r="S1457" i="38"/>
  <c r="AH114" i="38"/>
  <c r="AD110" i="38"/>
  <c r="AD194" i="38"/>
  <c r="AD195" i="38" s="1"/>
  <c r="AD191" i="38"/>
  <c r="AI339" i="38"/>
  <c r="AI340" i="38" s="1"/>
  <c r="AI336" i="38"/>
  <c r="AE435" i="38"/>
  <c r="AE196" i="38" s="1"/>
  <c r="AD412" i="38"/>
  <c r="AG79" i="38"/>
  <c r="AI79" i="38" s="1"/>
  <c r="AH135" i="38"/>
  <c r="AH124" i="38"/>
  <c r="AA86" i="38"/>
  <c r="AA89" i="38" s="1"/>
  <c r="AG89" i="38" s="1"/>
  <c r="AA17" i="38"/>
  <c r="AA16" i="38" s="1"/>
  <c r="AG81" i="38"/>
  <c r="R1304" i="38"/>
  <c r="AD1297" i="38"/>
  <c r="U14" i="38"/>
  <c r="AE79" i="38"/>
  <c r="AJ354" i="38"/>
  <c r="AJ353" i="38" s="1"/>
  <c r="AJ374" i="38"/>
  <c r="AI1562" i="38"/>
  <c r="AI191" i="38"/>
  <c r="AI194" i="38"/>
  <c r="AI195" i="38" s="1"/>
  <c r="AC412" i="38"/>
  <c r="AD406" i="38"/>
  <c r="AI432" i="38"/>
  <c r="AI166" i="38"/>
  <c r="AI164" i="38" s="1"/>
  <c r="AG164" i="38"/>
  <c r="AH1509" i="38"/>
  <c r="AJ1500" i="38"/>
  <c r="AJ1509" i="38" s="1"/>
  <c r="W1300" i="38"/>
  <c r="AJ1542" i="38"/>
  <c r="AJ1551" i="38" s="1"/>
  <c r="AH1551" i="38"/>
  <c r="AJ240" i="38"/>
  <c r="AD1507" i="38"/>
  <c r="AH1498" i="38"/>
  <c r="AA1514" i="38"/>
  <c r="AG1510" i="38"/>
  <c r="AI1510" i="38" s="1"/>
  <c r="AI261" i="38"/>
  <c r="AG247" i="38"/>
  <c r="AG238" i="38"/>
  <c r="AC272" i="38"/>
  <c r="AC239" i="38"/>
  <c r="AC17" i="38"/>
  <c r="A843" i="38"/>
  <c r="T1594" i="38"/>
  <c r="T1584" i="38"/>
  <c r="T1595" i="38" s="1"/>
  <c r="T1596" i="38" s="1"/>
  <c r="U272" i="38"/>
  <c r="U239" i="38"/>
  <c r="U17" i="38"/>
  <c r="AJ129" i="38"/>
  <c r="W1297" i="38"/>
  <c r="W24" i="38"/>
  <c r="W18" i="38"/>
  <c r="AG173" i="38"/>
  <c r="AI173" i="38" s="1"/>
  <c r="AE431" i="38"/>
  <c r="AE90" i="38" s="1"/>
  <c r="W1461" i="38"/>
  <c r="W1464" i="38"/>
  <c r="AH1504" i="38"/>
  <c r="AJ1495" i="38"/>
  <c r="AJ1504" i="38" s="1"/>
  <c r="AJ1519" i="38"/>
  <c r="AE405" i="38"/>
  <c r="AE372" i="38"/>
  <c r="AB1594" i="38"/>
  <c r="AB1584" i="38"/>
  <c r="AB1595" i="38" s="1"/>
  <c r="AB1596" i="38" s="1"/>
  <c r="V28" i="38"/>
  <c r="V25" i="38"/>
  <c r="AI1493" i="38"/>
  <c r="AI1502" i="38" s="1"/>
  <c r="AG1502" i="38"/>
  <c r="AG124" i="38"/>
  <c r="AG135" i="38"/>
  <c r="AB136" i="38"/>
  <c r="AB139" i="38"/>
  <c r="AB140" i="38" s="1"/>
  <c r="S1470" i="38"/>
  <c r="S1471" i="38" s="1"/>
  <c r="S1462" i="38"/>
  <c r="S1468" i="38" s="1"/>
  <c r="S1469" i="38" s="1"/>
  <c r="AB1291" i="38"/>
  <c r="AB1300" i="38"/>
  <c r="AA195" i="38"/>
  <c r="AJ1511" i="38"/>
  <c r="S1300" i="38"/>
  <c r="AD1299" i="38"/>
  <c r="AD276" i="38"/>
  <c r="AD277" i="38" s="1"/>
  <c r="AD273" i="38"/>
  <c r="X1557" i="38"/>
  <c r="AF1557" i="38" s="1"/>
  <c r="X1545" i="38"/>
  <c r="X1558" i="38" s="1"/>
  <c r="AF1536" i="38"/>
  <c r="AF1545" i="38" s="1"/>
  <c r="AJ1539" i="38"/>
  <c r="AJ1548" i="38" s="1"/>
  <c r="AH1548" i="38"/>
  <c r="AA1590" i="38"/>
  <c r="AG1583" i="38"/>
  <c r="AD1502" i="38"/>
  <c r="AH1493" i="38"/>
  <c r="AE190" i="38"/>
  <c r="AE177" i="38"/>
  <c r="S29" i="38"/>
  <c r="S33" i="38"/>
  <c r="S35" i="38" s="1"/>
  <c r="S36" i="38" s="1"/>
  <c r="U1589" i="38"/>
  <c r="AE1582" i="38"/>
  <c r="AE1589" i="38" s="1"/>
  <c r="AF121" i="38"/>
  <c r="AI121" i="38" s="1"/>
  <c r="U1557" i="38"/>
  <c r="AE1557" i="38" s="1"/>
  <c r="U1545" i="38"/>
  <c r="U1558" i="38" s="1"/>
  <c r="AE1536" i="38"/>
  <c r="AE1545" i="38" s="1"/>
  <c r="V1461" i="38"/>
  <c r="AJ1474" i="38"/>
  <c r="V1304" i="38"/>
  <c r="V1298" i="38"/>
  <c r="AH86" i="38"/>
  <c r="AH1503" i="38"/>
  <c r="AJ1494" i="38"/>
  <c r="AJ1503" i="38" s="1"/>
  <c r="AI440" i="38"/>
  <c r="R195" i="38"/>
  <c r="X239" i="38"/>
  <c r="X272" i="38"/>
  <c r="Y28" i="38"/>
  <c r="Y25" i="38"/>
  <c r="AG1546" i="38"/>
  <c r="AI1537" i="38"/>
  <c r="AI1546" i="38" s="1"/>
  <c r="AB17" i="38"/>
  <c r="AB86" i="38"/>
  <c r="AB89" i="38" s="1"/>
  <c r="AI1497" i="38"/>
  <c r="AI1506" i="38" s="1"/>
  <c r="AG1506" i="38"/>
  <c r="AB1464" i="38"/>
  <c r="AE140" i="38"/>
  <c r="AH1550" i="38"/>
  <c r="AJ1541" i="38"/>
  <c r="AJ1550" i="38" s="1"/>
  <c r="AI114" i="38"/>
  <c r="AI110" i="38" s="1"/>
  <c r="AD1510" i="38"/>
  <c r="AH1510" i="38" s="1"/>
  <c r="AG431" i="38"/>
  <c r="AG90" i="38" s="1"/>
  <c r="AI430" i="38"/>
  <c r="AG428" i="38"/>
  <c r="AA1458" i="38" l="1"/>
  <c r="AA1456" i="38" s="1"/>
  <c r="AA1457" i="38" s="1"/>
  <c r="AG16" i="38"/>
  <c r="AJ126" i="38"/>
  <c r="AJ123" i="38"/>
  <c r="AJ440" i="38"/>
  <c r="AG139" i="38"/>
  <c r="AG140" i="38" s="1"/>
  <c r="AG136" i="38"/>
  <c r="R1588" i="38"/>
  <c r="AD1581" i="38"/>
  <c r="R1308" i="38"/>
  <c r="AJ114" i="38"/>
  <c r="AJ110" i="38" s="1"/>
  <c r="AH110" i="38"/>
  <c r="W1454" i="38"/>
  <c r="W1423" i="38"/>
  <c r="W1251" i="38"/>
  <c r="W1195" i="38"/>
  <c r="W1293" i="38"/>
  <c r="W1061" i="38"/>
  <c r="W451" i="38"/>
  <c r="X13" i="38"/>
  <c r="W78" i="38"/>
  <c r="T195" i="38"/>
  <c r="AG86" i="38"/>
  <c r="AI81" i="38"/>
  <c r="AJ1574" i="38"/>
  <c r="AJ1562" i="38"/>
  <c r="AH1549" i="38"/>
  <c r="AJ1540" i="38"/>
  <c r="AJ1549" i="38" s="1"/>
  <c r="AC1461" i="38"/>
  <c r="AC1464" i="38"/>
  <c r="AI1498" i="38"/>
  <c r="AI1507" i="38" s="1"/>
  <c r="AH1557" i="38"/>
  <c r="AJ1557" i="38" s="1"/>
  <c r="AJ1537" i="38"/>
  <c r="AJ1546" i="38" s="1"/>
  <c r="AH1546" i="38"/>
  <c r="AI135" i="38"/>
  <c r="AI124" i="38"/>
  <c r="AJ446" i="38"/>
  <c r="AH444" i="38"/>
  <c r="AG1569" i="38"/>
  <c r="AA1577" i="38"/>
  <c r="AH1502" i="38"/>
  <c r="AJ1493" i="38"/>
  <c r="AJ1502" i="38" s="1"/>
  <c r="AE1496" i="38"/>
  <c r="AE1505" i="38" s="1"/>
  <c r="U1505" i="38"/>
  <c r="AJ430" i="38"/>
  <c r="AH428" i="38"/>
  <c r="R1455" i="38"/>
  <c r="R1294" i="38"/>
  <c r="R1305" i="38" s="1"/>
  <c r="R16" i="38"/>
  <c r="AD14" i="38"/>
  <c r="R20" i="38"/>
  <c r="R18" i="38"/>
  <c r="AH427" i="38"/>
  <c r="AH447" i="38" s="1"/>
  <c r="AH413" i="38" s="1"/>
  <c r="AD425" i="38"/>
  <c r="AD435" i="38"/>
  <c r="AD196" i="38" s="1"/>
  <c r="AD439" i="38"/>
  <c r="AD278" i="38" s="1"/>
  <c r="AD443" i="38"/>
  <c r="AD341" i="38" s="1"/>
  <c r="AC1492" i="38"/>
  <c r="AG1483" i="38"/>
  <c r="AI1483" i="38" s="1"/>
  <c r="U276" i="38"/>
  <c r="U273" i="38"/>
  <c r="A110" i="38"/>
  <c r="AG1455" i="38"/>
  <c r="AI14" i="38"/>
  <c r="AG20" i="38"/>
  <c r="AJ166" i="38"/>
  <c r="AA1559" i="38"/>
  <c r="AG1558" i="38"/>
  <c r="R25" i="38"/>
  <c r="AF1514" i="38"/>
  <c r="AF1515" i="38" s="1"/>
  <c r="X1515" i="38"/>
  <c r="Y33" i="38"/>
  <c r="Y35" i="38" s="1"/>
  <c r="Y36" i="38" s="1"/>
  <c r="Y29" i="38"/>
  <c r="AC1297" i="38"/>
  <c r="AC18" i="38"/>
  <c r="AC24" i="38"/>
  <c r="AJ1510" i="38"/>
  <c r="X273" i="38"/>
  <c r="X276" i="38"/>
  <c r="X277" i="38" s="1"/>
  <c r="V1462" i="38"/>
  <c r="V1468" i="38" s="1"/>
  <c r="V1469" i="38" s="1"/>
  <c r="V1470" i="38"/>
  <c r="V1471" i="38" s="1"/>
  <c r="AH1299" i="38"/>
  <c r="AG272" i="38"/>
  <c r="AG239" i="38"/>
  <c r="AA1297" i="38"/>
  <c r="AA24" i="38"/>
  <c r="AA18" i="38"/>
  <c r="AG17" i="38"/>
  <c r="AJ1497" i="38"/>
  <c r="AJ1506" i="38" s="1"/>
  <c r="AH1506" i="38"/>
  <c r="AF1581" i="38"/>
  <c r="AF1588" i="38" s="1"/>
  <c r="X1588" i="38"/>
  <c r="AG1294" i="38"/>
  <c r="AA1296" i="38"/>
  <c r="AA1300" i="38"/>
  <c r="AD1589" i="38"/>
  <c r="AH1582" i="38"/>
  <c r="AD1545" i="38"/>
  <c r="AH1536" i="38"/>
  <c r="Y1308" i="38"/>
  <c r="X1297" i="38"/>
  <c r="AF17" i="38"/>
  <c r="X18" i="38"/>
  <c r="X24" i="38"/>
  <c r="X16" i="38"/>
  <c r="AG1581" i="38"/>
  <c r="AA1588" i="38"/>
  <c r="T25" i="38"/>
  <c r="T28" i="38"/>
  <c r="U1297" i="38"/>
  <c r="U18" i="38"/>
  <c r="AE17" i="38"/>
  <c r="AE18" i="38" s="1"/>
  <c r="U24" i="38"/>
  <c r="AA140" i="38"/>
  <c r="AA273" i="38"/>
  <c r="AA276" i="38"/>
  <c r="V29" i="38"/>
  <c r="V33" i="38"/>
  <c r="V35" i="38" s="1"/>
  <c r="V36" i="38" s="1"/>
  <c r="W25" i="38"/>
  <c r="W28" i="38"/>
  <c r="AC273" i="38"/>
  <c r="AC276" i="38"/>
  <c r="AD1483" i="38"/>
  <c r="R1492" i="38"/>
  <c r="AF1569" i="38"/>
  <c r="X1577" i="38"/>
  <c r="AA1461" i="38"/>
  <c r="AJ121" i="38"/>
  <c r="Y1455" i="38"/>
  <c r="Y1294" i="38"/>
  <c r="Y16" i="38"/>
  <c r="Y1458" i="38" s="1"/>
  <c r="Y1456" i="38" s="1"/>
  <c r="Y20" i="38"/>
  <c r="AF14" i="38"/>
  <c r="Y18" i="38"/>
  <c r="T1462" i="38"/>
  <c r="T1468" i="38" s="1"/>
  <c r="T1469" i="38" s="1"/>
  <c r="T1470" i="38"/>
  <c r="T1471" i="38" s="1"/>
  <c r="AC1505" i="38"/>
  <c r="AG1496" i="38"/>
  <c r="AJ339" i="38"/>
  <c r="AJ340" i="38" s="1"/>
  <c r="AJ336" i="38"/>
  <c r="AI1573" i="38"/>
  <c r="AJ436" i="38"/>
  <c r="AH1496" i="38"/>
  <c r="AD1505" i="38"/>
  <c r="AH136" i="38"/>
  <c r="AH139" i="38"/>
  <c r="AH140" i="38" s="1"/>
  <c r="Z25" i="38"/>
  <c r="Z28" i="38"/>
  <c r="AJ407" i="38"/>
  <c r="AJ371" i="38"/>
  <c r="AJ373" i="38"/>
  <c r="AI431" i="38"/>
  <c r="AI90" i="38" s="1"/>
  <c r="AI428" i="38"/>
  <c r="AE406" i="38"/>
  <c r="AE411" i="38"/>
  <c r="AE412" i="38" s="1"/>
  <c r="AD18" i="38"/>
  <c r="X140" i="38"/>
  <c r="AC1296" i="38"/>
  <c r="AC1300" i="38"/>
  <c r="AJ1573" i="38"/>
  <c r="AD1558" i="38"/>
  <c r="R1559" i="38"/>
  <c r="AJ432" i="38"/>
  <c r="AE1558" i="38"/>
  <c r="AE1559" i="38" s="1"/>
  <c r="U1559" i="38"/>
  <c r="AE194" i="38"/>
  <c r="AE195" i="38" s="1"/>
  <c r="AE191" i="38"/>
  <c r="W1304" i="38"/>
  <c r="W1298" i="38"/>
  <c r="AI247" i="38"/>
  <c r="AI238" i="38"/>
  <c r="AA1515" i="38"/>
  <c r="W1296" i="38"/>
  <c r="U1455" i="38"/>
  <c r="U1294" i="38"/>
  <c r="AE14" i="38"/>
  <c r="U16" i="38"/>
  <c r="U20" i="38"/>
  <c r="AH177" i="38"/>
  <c r="AH190" i="38"/>
  <c r="AH1487" i="38"/>
  <c r="AJ1487" i="38" s="1"/>
  <c r="AJ173" i="38"/>
  <c r="Z1470" i="38"/>
  <c r="Z1471" i="38" s="1"/>
  <c r="Z1462" i="38"/>
  <c r="Z1468" i="38" s="1"/>
  <c r="Z1469" i="38" s="1"/>
  <c r="AJ261" i="38"/>
  <c r="AH247" i="38"/>
  <c r="AH238" i="38"/>
  <c r="AF139" i="38"/>
  <c r="AF140" i="38" s="1"/>
  <c r="AF136" i="38"/>
  <c r="AJ164" i="38"/>
  <c r="A434" i="38"/>
  <c r="AJ1544" i="38"/>
  <c r="AJ1553" i="38" s="1"/>
  <c r="AE272" i="38"/>
  <c r="AE239" i="38"/>
  <c r="T1298" i="38"/>
  <c r="T1304" i="38"/>
  <c r="AD1304" i="38" s="1"/>
  <c r="AI411" i="38"/>
  <c r="AI412" i="38" s="1"/>
  <c r="AI406" i="38"/>
  <c r="AH1552" i="38"/>
  <c r="AJ1543" i="38"/>
  <c r="AJ1552" i="38" s="1"/>
  <c r="AG411" i="38"/>
  <c r="AG412" i="38" s="1"/>
  <c r="AG406" i="38"/>
  <c r="W1470" i="38"/>
  <c r="W1471" i="38" s="1"/>
  <c r="W1462" i="38"/>
  <c r="W1468" i="38" s="1"/>
  <c r="W1469" i="38" s="1"/>
  <c r="A98" i="38"/>
  <c r="AE1569" i="38"/>
  <c r="U1577" i="38"/>
  <c r="AB195" i="38"/>
  <c r="AB1297" i="38"/>
  <c r="AB18" i="38"/>
  <c r="AB24" i="38"/>
  <c r="AB16" i="38"/>
  <c r="AH1507" i="38"/>
  <c r="AJ1498" i="38"/>
  <c r="AJ1507" i="38" s="1"/>
  <c r="V1305" i="38"/>
  <c r="V1308" i="38"/>
  <c r="AJ178" i="38"/>
  <c r="AJ176" i="38"/>
  <c r="AG1589" i="38"/>
  <c r="AI1582" i="38"/>
  <c r="AI1589" i="38" s="1"/>
  <c r="AH372" i="38"/>
  <c r="AH405" i="38"/>
  <c r="A855" i="38"/>
  <c r="AG1590" i="38"/>
  <c r="AI1583" i="38"/>
  <c r="AI1590" i="38" s="1"/>
  <c r="AF1558" i="38"/>
  <c r="AF1559" i="38" s="1"/>
  <c r="X1559" i="38"/>
  <c r="AD431" i="38"/>
  <c r="AD90" i="38" s="1"/>
  <c r="AJ1578" i="38"/>
  <c r="AJ1585" i="38" s="1"/>
  <c r="AH1585" i="38"/>
  <c r="AC1458" i="38"/>
  <c r="AC1456" i="38" s="1"/>
  <c r="AC1457" i="38" s="1"/>
  <c r="Z1304" i="38"/>
  <c r="Z1298" i="38"/>
  <c r="AH79" i="38"/>
  <c r="AJ79" i="38" s="1"/>
  <c r="AD1569" i="38"/>
  <c r="R1577" i="38"/>
  <c r="A162" i="38"/>
  <c r="AI1536" i="38"/>
  <c r="AI1545" i="38" s="1"/>
  <c r="AG1545" i="38"/>
  <c r="AD28" i="38"/>
  <c r="R29" i="38"/>
  <c r="R33" i="38"/>
  <c r="S1313" i="38"/>
  <c r="S1315" i="38" s="1"/>
  <c r="S1316" i="38" s="1"/>
  <c r="S1309" i="38"/>
  <c r="AD1590" i="38"/>
  <c r="AH1583" i="38"/>
  <c r="U1588" i="38"/>
  <c r="AE1581" i="38"/>
  <c r="AE1588" i="38" s="1"/>
  <c r="AI427" i="38"/>
  <c r="AG425" i="38"/>
  <c r="AG435" i="38"/>
  <c r="AG196" i="38" s="1"/>
  <c r="AG439" i="38"/>
  <c r="AG278" i="38" s="1"/>
  <c r="AG443" i="38"/>
  <c r="AG341" i="38" s="1"/>
  <c r="AG447" i="38"/>
  <c r="AG413" i="38" s="1"/>
  <c r="AF272" i="38"/>
  <c r="AF239" i="38"/>
  <c r="AE1483" i="38"/>
  <c r="U1492" i="38"/>
  <c r="AG1458" i="38" l="1"/>
  <c r="AG1456" i="38" s="1"/>
  <c r="AG1457" i="38" s="1"/>
  <c r="AI16" i="38"/>
  <c r="AI1458" i="38" s="1"/>
  <c r="AI1456" i="38" s="1"/>
  <c r="AI1457" i="38" s="1"/>
  <c r="AA277" i="38"/>
  <c r="AJ1299" i="38"/>
  <c r="AG1559" i="38"/>
  <c r="AI1558" i="38"/>
  <c r="AI1559" i="38" s="1"/>
  <c r="W1308" i="38"/>
  <c r="W1305" i="38"/>
  <c r="AH17" i="38"/>
  <c r="AG1505" i="38"/>
  <c r="AI1496" i="38"/>
  <c r="AI1505" i="38" s="1"/>
  <c r="AF1577" i="38"/>
  <c r="AF1584" i="38" s="1"/>
  <c r="X1594" i="38"/>
  <c r="AF1594" i="38" s="1"/>
  <c r="X1584" i="38"/>
  <c r="X1595" i="38" s="1"/>
  <c r="AH1483" i="38"/>
  <c r="AJ1483" i="38" s="1"/>
  <c r="AC1298" i="38"/>
  <c r="AC1304" i="38"/>
  <c r="A111" i="38"/>
  <c r="AC1501" i="38"/>
  <c r="AC1514" i="38" s="1"/>
  <c r="AC1513" i="38"/>
  <c r="AG1513" i="38" s="1"/>
  <c r="AI1513" i="38" s="1"/>
  <c r="AG1492" i="38"/>
  <c r="AD1455" i="38"/>
  <c r="AH14" i="38"/>
  <c r="AD20" i="38"/>
  <c r="AI1569" i="38"/>
  <c r="AI86" i="38"/>
  <c r="AJ81" i="38"/>
  <c r="AJ86" i="38" s="1"/>
  <c r="AI239" i="38"/>
  <c r="AI272" i="38"/>
  <c r="U1304" i="38"/>
  <c r="U1298" i="38"/>
  <c r="AE1297" i="38"/>
  <c r="AJ1536" i="38"/>
  <c r="AJ1545" i="38" s="1"/>
  <c r="AH1545" i="38"/>
  <c r="Z1305" i="38"/>
  <c r="Z1308" i="38"/>
  <c r="U1461" i="38"/>
  <c r="U1464" i="38"/>
  <c r="AF1455" i="38"/>
  <c r="AF20" i="38"/>
  <c r="AA1470" i="38"/>
  <c r="AA1471" i="38" s="1"/>
  <c r="AA1462" i="38"/>
  <c r="AA1468" i="38" s="1"/>
  <c r="AA1469" i="38" s="1"/>
  <c r="R1513" i="38"/>
  <c r="AD1513" i="38" s="1"/>
  <c r="AH1513" i="38" s="1"/>
  <c r="AJ1513" i="38" s="1"/>
  <c r="R1501" i="38"/>
  <c r="R1514" i="38" s="1"/>
  <c r="AD1492" i="38"/>
  <c r="X28" i="38"/>
  <c r="X25" i="38"/>
  <c r="AF24" i="38"/>
  <c r="AF25" i="38" s="1"/>
  <c r="AG1577" i="38"/>
  <c r="AA1594" i="38"/>
  <c r="AG1594" i="38" s="1"/>
  <c r="AA1584" i="38"/>
  <c r="AA1595" i="38" s="1"/>
  <c r="AE1492" i="38"/>
  <c r="AE1501" i="38" s="1"/>
  <c r="U1501" i="38"/>
  <c r="U1514" i="38" s="1"/>
  <c r="U1513" i="38"/>
  <c r="AE1513" i="38" s="1"/>
  <c r="AE276" i="38"/>
  <c r="AE277" i="38" s="1"/>
  <c r="AE273" i="38"/>
  <c r="AH191" i="38"/>
  <c r="AH194" i="38"/>
  <c r="AH195" i="38" s="1"/>
  <c r="AJ405" i="38"/>
  <c r="AJ372" i="38"/>
  <c r="Y1457" i="38"/>
  <c r="AC277" i="38"/>
  <c r="AF18" i="38"/>
  <c r="AI17" i="38"/>
  <c r="AI18" i="38" s="1"/>
  <c r="AG18" i="38"/>
  <c r="R1458" i="38"/>
  <c r="R1456" i="38" s="1"/>
  <c r="R1457" i="38" s="1"/>
  <c r="AD16" i="38"/>
  <c r="AD25" i="38"/>
  <c r="AJ124" i="38"/>
  <c r="AJ135" i="38"/>
  <c r="AD1577" i="38"/>
  <c r="R1594" i="38"/>
  <c r="AD1594" i="38" s="1"/>
  <c r="R1584" i="38"/>
  <c r="R1595" i="38" s="1"/>
  <c r="AB25" i="38"/>
  <c r="AB28" i="38"/>
  <c r="AJ431" i="38"/>
  <c r="AJ90" i="38" s="1"/>
  <c r="AJ428" i="38"/>
  <c r="AJ1582" i="38"/>
  <c r="AJ1589" i="38" s="1"/>
  <c r="AH1589" i="38"/>
  <c r="AI425" i="38"/>
  <c r="AI439" i="38"/>
  <c r="AI278" i="38" s="1"/>
  <c r="AI443" i="38"/>
  <c r="AI341" i="38" s="1"/>
  <c r="AI435" i="38"/>
  <c r="AI196" i="38" s="1"/>
  <c r="AI447" i="38"/>
  <c r="AI413" i="38" s="1"/>
  <c r="R35" i="38"/>
  <c r="A163" i="38"/>
  <c r="AJ177" i="38"/>
  <c r="AJ190" i="38"/>
  <c r="AB1458" i="38"/>
  <c r="AB1456" i="38" s="1"/>
  <c r="AH272" i="38"/>
  <c r="AH239" i="38"/>
  <c r="AH1558" i="38"/>
  <c r="AD1559" i="38"/>
  <c r="AH1505" i="38"/>
  <c r="Y1296" i="38"/>
  <c r="Y1300" i="38"/>
  <c r="AF1294" i="38"/>
  <c r="AF1300" i="38" s="1"/>
  <c r="Y1298" i="38"/>
  <c r="AE24" i="38"/>
  <c r="U28" i="38"/>
  <c r="U25" i="38"/>
  <c r="T29" i="38"/>
  <c r="T33" i="38"/>
  <c r="X1304" i="38"/>
  <c r="X1298" i="38"/>
  <c r="AF1297" i="38"/>
  <c r="X1296" i="38"/>
  <c r="R1296" i="38"/>
  <c r="AD1296" i="38" s="1"/>
  <c r="AD1294" i="38"/>
  <c r="R1300" i="38"/>
  <c r="R1298" i="38"/>
  <c r="AJ444" i="38"/>
  <c r="R1313" i="38"/>
  <c r="R1309" i="38"/>
  <c r="AD1588" i="38"/>
  <c r="AH1581" i="38"/>
  <c r="A856" i="38"/>
  <c r="Z29" i="38"/>
  <c r="Z33" i="38"/>
  <c r="Z35" i="38" s="1"/>
  <c r="Z36" i="38" s="1"/>
  <c r="Y1461" i="38"/>
  <c r="Y1464" i="38"/>
  <c r="W33" i="38"/>
  <c r="W35" i="38" s="1"/>
  <c r="W36" i="38" s="1"/>
  <c r="W29" i="38"/>
  <c r="Y1313" i="38"/>
  <c r="Y1315" i="38" s="1"/>
  <c r="Y1316" i="38" s="1"/>
  <c r="Y1309" i="38"/>
  <c r="AA25" i="38"/>
  <c r="AG24" i="38"/>
  <c r="AA28" i="38"/>
  <c r="AI1455" i="38"/>
  <c r="AI20" i="38"/>
  <c r="R1461" i="38"/>
  <c r="R1464" i="38"/>
  <c r="AC1470" i="38"/>
  <c r="AC1471" i="38" s="1"/>
  <c r="AC1462" i="38"/>
  <c r="AC1468" i="38" s="1"/>
  <c r="AC1469" i="38" s="1"/>
  <c r="AF276" i="38"/>
  <c r="AF277" i="38" s="1"/>
  <c r="AF273" i="38"/>
  <c r="AD29" i="38"/>
  <c r="AH1569" i="38"/>
  <c r="AJ1569" i="38" s="1"/>
  <c r="AH411" i="38"/>
  <c r="AH412" i="38" s="1"/>
  <c r="AH406" i="38"/>
  <c r="V1309" i="38"/>
  <c r="V1313" i="38"/>
  <c r="V1315" i="38" s="1"/>
  <c r="V1316" i="38" s="1"/>
  <c r="AJ247" i="38"/>
  <c r="AJ238" i="38"/>
  <c r="U1458" i="38"/>
  <c r="U1456" i="38" s="1"/>
  <c r="U1457" i="38" s="1"/>
  <c r="AE16" i="38"/>
  <c r="AE1458" i="38" s="1"/>
  <c r="AE1456" i="38" s="1"/>
  <c r="AE1457" i="38" s="1"/>
  <c r="Y1305" i="38"/>
  <c r="AG1300" i="38"/>
  <c r="AA1304" i="38"/>
  <c r="AG1297" i="38"/>
  <c r="AA1298" i="38"/>
  <c r="AG1461" i="38"/>
  <c r="AG1464" i="38"/>
  <c r="AB1298" i="38"/>
  <c r="AB1304" i="38"/>
  <c r="AB1296" i="38"/>
  <c r="AG1296" i="38" s="1"/>
  <c r="A99" i="38"/>
  <c r="AE1455" i="38"/>
  <c r="AE20" i="38"/>
  <c r="AG1588" i="38"/>
  <c r="AI1581" i="38"/>
  <c r="AI1588" i="38" s="1"/>
  <c r="AJ427" i="38"/>
  <c r="AH425" i="38"/>
  <c r="AH439" i="38"/>
  <c r="AH278" i="38" s="1"/>
  <c r="AH435" i="38"/>
  <c r="AH196" i="38" s="1"/>
  <c r="AH443" i="38"/>
  <c r="AH341" i="38" s="1"/>
  <c r="AI139" i="38"/>
  <c r="AI140" i="38" s="1"/>
  <c r="AI136" i="38"/>
  <c r="AJ1583" i="38"/>
  <c r="AJ1590" i="38" s="1"/>
  <c r="AH1590" i="38"/>
  <c r="U1594" i="38"/>
  <c r="AE1594" i="38" s="1"/>
  <c r="AE1577" i="38"/>
  <c r="AE1584" i="38" s="1"/>
  <c r="U1584" i="38"/>
  <c r="U1595" i="38" s="1"/>
  <c r="T1308" i="38"/>
  <c r="AD1308" i="38" s="1"/>
  <c r="T1305" i="38"/>
  <c r="A435" i="38"/>
  <c r="A436" i="38" s="1"/>
  <c r="AE1294" i="38"/>
  <c r="AE1300" i="38" s="1"/>
  <c r="U1296" i="38"/>
  <c r="AE1296" i="38" s="1"/>
  <c r="U1300" i="38"/>
  <c r="X1458" i="38"/>
  <c r="X1456" i="38" s="1"/>
  <c r="AF16" i="38"/>
  <c r="AF1458" i="38" s="1"/>
  <c r="AF1456" i="38" s="1"/>
  <c r="AG276" i="38"/>
  <c r="AG277" i="38" s="1"/>
  <c r="AG273" i="38"/>
  <c r="AC28" i="38"/>
  <c r="AC25" i="38"/>
  <c r="U277" i="38"/>
  <c r="AH431" i="38"/>
  <c r="AH90" i="38" s="1"/>
  <c r="X1454" i="38"/>
  <c r="X1423" i="38"/>
  <c r="X1251" i="38"/>
  <c r="X1195" i="38"/>
  <c r="X1293" i="38"/>
  <c r="X1061" i="38"/>
  <c r="X451" i="38"/>
  <c r="X78" i="38"/>
  <c r="Y13" i="38"/>
  <c r="AI1296" i="38" l="1"/>
  <c r="AD1309" i="38"/>
  <c r="AG1462" i="38"/>
  <c r="AG1468" i="38" s="1"/>
  <c r="AG1469" i="38" s="1"/>
  <c r="AG1470" i="38"/>
  <c r="AG1471" i="38" s="1"/>
  <c r="AJ272" i="38"/>
  <c r="AJ239" i="38"/>
  <c r="AI1461" i="38"/>
  <c r="AI1464" i="38"/>
  <c r="A857" i="38"/>
  <c r="R1315" i="38"/>
  <c r="AH1296" i="38"/>
  <c r="AJ1296" i="38" s="1"/>
  <c r="U33" i="38"/>
  <c r="U29" i="38"/>
  <c r="AE28" i="38"/>
  <c r="AD1595" i="38"/>
  <c r="R1596" i="38"/>
  <c r="AI1594" i="38"/>
  <c r="AG1501" i="38"/>
  <c r="AI1492" i="38"/>
  <c r="AI1501" i="38" s="1"/>
  <c r="T35" i="38"/>
  <c r="U1462" i="38"/>
  <c r="U1468" i="38" s="1"/>
  <c r="U1469" i="38" s="1"/>
  <c r="U1470" i="38"/>
  <c r="U1471" i="38" s="1"/>
  <c r="AH1294" i="38"/>
  <c r="AD1298" i="38"/>
  <c r="AD1300" i="38"/>
  <c r="AD1458" i="38"/>
  <c r="AD1456" i="38" s="1"/>
  <c r="AD1457" i="38" s="1"/>
  <c r="AH16" i="38"/>
  <c r="AG1595" i="38"/>
  <c r="AA1596" i="38"/>
  <c r="AD1461" i="38"/>
  <c r="AD1464" i="38"/>
  <c r="AC1308" i="38"/>
  <c r="AC1305" i="38"/>
  <c r="AH18" i="38"/>
  <c r="AJ17" i="38"/>
  <c r="AE1461" i="38"/>
  <c r="AE1464" i="38"/>
  <c r="AF1457" i="38"/>
  <c r="A437" i="38"/>
  <c r="AG1298" i="38"/>
  <c r="AI1297" i="38"/>
  <c r="AG28" i="38"/>
  <c r="AA29" i="38"/>
  <c r="AA33" i="38"/>
  <c r="AJ1581" i="38"/>
  <c r="AJ1588" i="38" s="1"/>
  <c r="AH1588" i="38"/>
  <c r="AF1296" i="38"/>
  <c r="AE25" i="38"/>
  <c r="AH24" i="38"/>
  <c r="AJ1558" i="38"/>
  <c r="AJ1559" i="38" s="1"/>
  <c r="AH1559" i="38"/>
  <c r="AH1594" i="38"/>
  <c r="AE1514" i="38"/>
  <c r="AE1515" i="38" s="1"/>
  <c r="U1515" i="38"/>
  <c r="AG1584" i="38"/>
  <c r="AI1577" i="38"/>
  <c r="AI1584" i="38" s="1"/>
  <c r="W1313" i="38"/>
  <c r="W1315" i="38" s="1"/>
  <c r="W1316" i="38" s="1"/>
  <c r="W1309" i="38"/>
  <c r="AD1305" i="38"/>
  <c r="AJ191" i="38"/>
  <c r="AJ194" i="38"/>
  <c r="AJ195" i="38" s="1"/>
  <c r="AI273" i="38"/>
  <c r="AI276" i="38"/>
  <c r="AI277" i="38" s="1"/>
  <c r="A112" i="38"/>
  <c r="Y1251" i="38"/>
  <c r="Y1195" i="38"/>
  <c r="Y1423" i="38"/>
  <c r="Y1454" i="38"/>
  <c r="Y1293" i="38"/>
  <c r="Y1061" i="38"/>
  <c r="Y451" i="38"/>
  <c r="Y78" i="38"/>
  <c r="Z13" i="38"/>
  <c r="X1457" i="38"/>
  <c r="X1461" i="38"/>
  <c r="AA1305" i="38"/>
  <c r="AA1308" i="38"/>
  <c r="AG1304" i="38"/>
  <c r="AG25" i="38"/>
  <c r="AI24" i="38"/>
  <c r="AI25" i="38" s="1"/>
  <c r="Y1462" i="38"/>
  <c r="Y1468" i="38" s="1"/>
  <c r="Y1469" i="38" s="1"/>
  <c r="Y1470" i="38"/>
  <c r="Y1471" i="38" s="1"/>
  <c r="AF1298" i="38"/>
  <c r="A164" i="38"/>
  <c r="AD1584" i="38"/>
  <c r="AH1577" i="38"/>
  <c r="AE1298" i="38"/>
  <c r="AH1297" i="38"/>
  <c r="AC1515" i="38"/>
  <c r="AG1514" i="38"/>
  <c r="AF1595" i="38"/>
  <c r="AF1596" i="38" s="1"/>
  <c r="X1596" i="38"/>
  <c r="R1470" i="38"/>
  <c r="R1471" i="38" s="1"/>
  <c r="R1462" i="38"/>
  <c r="R1468" i="38" s="1"/>
  <c r="R1469" i="38" s="1"/>
  <c r="AH276" i="38"/>
  <c r="AH277" i="38" s="1"/>
  <c r="AH273" i="38"/>
  <c r="AD33" i="38"/>
  <c r="AJ406" i="38"/>
  <c r="AJ411" i="38"/>
  <c r="AJ412" i="38" s="1"/>
  <c r="AF1461" i="38"/>
  <c r="AF1464" i="38"/>
  <c r="AE1595" i="38"/>
  <c r="AE1596" i="38" s="1"/>
  <c r="U1596" i="38"/>
  <c r="AJ425" i="38"/>
  <c r="AJ439" i="38"/>
  <c r="AJ278" i="38" s="1"/>
  <c r="AJ443" i="38"/>
  <c r="AJ341" i="38" s="1"/>
  <c r="AJ435" i="38"/>
  <c r="AJ196" i="38" s="1"/>
  <c r="AI1294" i="38"/>
  <c r="AI1300" i="38" s="1"/>
  <c r="AJ447" i="38"/>
  <c r="AJ413" i="38" s="1"/>
  <c r="X1305" i="38"/>
  <c r="AF1304" i="38"/>
  <c r="AF1305" i="38" s="1"/>
  <c r="X1308" i="38"/>
  <c r="AB1457" i="38"/>
  <c r="AB1461" i="38"/>
  <c r="AD35" i="38"/>
  <c r="R36" i="38"/>
  <c r="AJ139" i="38"/>
  <c r="AJ140" i="38" s="1"/>
  <c r="AJ136" i="38"/>
  <c r="X33" i="38"/>
  <c r="AF28" i="38"/>
  <c r="AF29" i="38" s="1"/>
  <c r="X29" i="38"/>
  <c r="AE1304" i="38"/>
  <c r="U1308" i="38"/>
  <c r="U1305" i="38"/>
  <c r="T1309" i="38"/>
  <c r="T1313" i="38"/>
  <c r="T1315" i="38" s="1"/>
  <c r="T1316" i="38" s="1"/>
  <c r="AD1501" i="38"/>
  <c r="AH1492" i="38"/>
  <c r="AC29" i="38"/>
  <c r="AC33" i="38"/>
  <c r="AB1305" i="38"/>
  <c r="AB1308" i="38"/>
  <c r="AJ1496" i="38"/>
  <c r="AJ1505" i="38" s="1"/>
  <c r="AB29" i="38"/>
  <c r="AB33" i="38"/>
  <c r="AB35" i="38" s="1"/>
  <c r="AB36" i="38" s="1"/>
  <c r="R1515" i="38"/>
  <c r="AD1514" i="38"/>
  <c r="Z1313" i="38"/>
  <c r="Z1315" i="38" s="1"/>
  <c r="Z1316" i="38" s="1"/>
  <c r="Z1309" i="38"/>
  <c r="AH1455" i="38"/>
  <c r="AJ14" i="38"/>
  <c r="AH20" i="38"/>
  <c r="AH1464" i="38" l="1"/>
  <c r="AE1305" i="38"/>
  <c r="AH1304" i="38"/>
  <c r="AJ1294" i="38"/>
  <c r="AJ1300" i="38" s="1"/>
  <c r="AH1300" i="38"/>
  <c r="AD1596" i="38"/>
  <c r="AH1595" i="38"/>
  <c r="AF1462" i="38"/>
  <c r="AF1468" i="38" s="1"/>
  <c r="AF1469" i="38" s="1"/>
  <c r="AF1470" i="38"/>
  <c r="AF1471" i="38" s="1"/>
  <c r="AG1596" i="38"/>
  <c r="AI1595" i="38"/>
  <c r="AI1596" i="38" s="1"/>
  <c r="T36" i="38"/>
  <c r="AE29" i="38"/>
  <c r="AH28" i="38"/>
  <c r="AB1313" i="38"/>
  <c r="AB1315" i="38" s="1"/>
  <c r="AB1316" i="38" s="1"/>
  <c r="AB1309" i="38"/>
  <c r="AB1462" i="38"/>
  <c r="AB1468" i="38" s="1"/>
  <c r="AB1469" i="38" s="1"/>
  <c r="AB1470" i="38"/>
  <c r="AB1471" i="38" s="1"/>
  <c r="AJ273" i="38"/>
  <c r="AJ276" i="38"/>
  <c r="AJ277" i="38" s="1"/>
  <c r="AC35" i="38"/>
  <c r="AF1308" i="38"/>
  <c r="AF1309" i="38" s="1"/>
  <c r="X1313" i="38"/>
  <c r="X1309" i="38"/>
  <c r="AD1515" i="38"/>
  <c r="AH1514" i="38"/>
  <c r="AF33" i="38"/>
  <c r="X35" i="38"/>
  <c r="AJ1577" i="38"/>
  <c r="AJ1584" i="38" s="1"/>
  <c r="AH1584" i="38"/>
  <c r="AH1501" i="38"/>
  <c r="AJ1492" i="38"/>
  <c r="AJ1501" i="38" s="1"/>
  <c r="AJ18" i="38"/>
  <c r="AH1458" i="38"/>
  <c r="AH1456" i="38" s="1"/>
  <c r="AH1457" i="38" s="1"/>
  <c r="AJ16" i="38"/>
  <c r="AJ1458" i="38" s="1"/>
  <c r="AJ1456" i="38" s="1"/>
  <c r="AJ1457" i="38" s="1"/>
  <c r="A858" i="38"/>
  <c r="AG29" i="38"/>
  <c r="AI28" i="38"/>
  <c r="AI29" i="38" s="1"/>
  <c r="AD1315" i="38"/>
  <c r="R1316" i="38"/>
  <c r="A113" i="38"/>
  <c r="U35" i="38"/>
  <c r="AE33" i="38"/>
  <c r="AH33" i="38"/>
  <c r="AI1304" i="38"/>
  <c r="AI1305" i="38" s="1"/>
  <c r="AG1305" i="38"/>
  <c r="AJ1594" i="38"/>
  <c r="AG33" i="38"/>
  <c r="AA35" i="38"/>
  <c r="A438" i="38"/>
  <c r="AI1470" i="38"/>
  <c r="AI1471" i="38" s="1"/>
  <c r="AI1462" i="38"/>
  <c r="AI1468" i="38" s="1"/>
  <c r="AI1469" i="38" s="1"/>
  <c r="AJ1455" i="38"/>
  <c r="AJ20" i="38"/>
  <c r="AE1308" i="38"/>
  <c r="U1309" i="38"/>
  <c r="U1313" i="38"/>
  <c r="AD36" i="38"/>
  <c r="AG1515" i="38"/>
  <c r="AI1514" i="38"/>
  <c r="AI1515" i="38" s="1"/>
  <c r="A165" i="38"/>
  <c r="AA1313" i="38"/>
  <c r="AA1309" i="38"/>
  <c r="AG1308" i="38"/>
  <c r="X1462" i="38"/>
  <c r="X1468" i="38" s="1"/>
  <c r="X1469" i="38" s="1"/>
  <c r="X1470" i="38"/>
  <c r="X1471" i="38" s="1"/>
  <c r="AC1313" i="38"/>
  <c r="AC1315" i="38" s="1"/>
  <c r="AC1316" i="38" s="1"/>
  <c r="AC1309" i="38"/>
  <c r="AD1313" i="38"/>
  <c r="AH1298" i="38"/>
  <c r="AJ1297" i="38"/>
  <c r="AJ1298" i="38" s="1"/>
  <c r="Z1423" i="38"/>
  <c r="Z1454" i="38"/>
  <c r="Z1293" i="38"/>
  <c r="Z1251" i="38"/>
  <c r="Z1195" i="38"/>
  <c r="Z1061" i="38"/>
  <c r="Z451" i="38"/>
  <c r="AA13" i="38"/>
  <c r="Z78" i="38"/>
  <c r="AH25" i="38"/>
  <c r="AJ24" i="38"/>
  <c r="AJ25" i="38" s="1"/>
  <c r="AI1298" i="38"/>
  <c r="AE1470" i="38"/>
  <c r="AE1471" i="38" s="1"/>
  <c r="AE1462" i="38"/>
  <c r="AE1468" i="38" s="1"/>
  <c r="AE1469" i="38" s="1"/>
  <c r="AD1462" i="38"/>
  <c r="AD1468" i="38" s="1"/>
  <c r="AD1469" i="38" s="1"/>
  <c r="AD1470" i="38"/>
  <c r="AD1471" i="38" s="1"/>
  <c r="A166" i="38" l="1"/>
  <c r="X1315" i="38"/>
  <c r="AF1313" i="38"/>
  <c r="AE1313" i="38"/>
  <c r="U1315" i="38"/>
  <c r="AE35" i="38"/>
  <c r="U36" i="38"/>
  <c r="AI1308" i="38"/>
  <c r="AI1309" i="38" s="1"/>
  <c r="AG1309" i="38"/>
  <c r="AA1315" i="38"/>
  <c r="AG1313" i="38"/>
  <c r="AH1313" i="38"/>
  <c r="AC36" i="38"/>
  <c r="AJ1304" i="38"/>
  <c r="AJ1305" i="38" s="1"/>
  <c r="AH1305" i="38"/>
  <c r="AA1454" i="38"/>
  <c r="AA1423" i="38"/>
  <c r="AA1293" i="38"/>
  <c r="AA1251" i="38"/>
  <c r="AA1195" i="38"/>
  <c r="AA1061" i="38"/>
  <c r="AA451" i="38"/>
  <c r="AA78" i="38"/>
  <c r="AB13" i="38"/>
  <c r="AE1309" i="38"/>
  <c r="AH1308" i="38"/>
  <c r="A439" i="38"/>
  <c r="A440" i="38" s="1"/>
  <c r="X36" i="38"/>
  <c r="AF35" i="38"/>
  <c r="AF36" i="38" s="1"/>
  <c r="AA36" i="38"/>
  <c r="AG35" i="38"/>
  <c r="AJ1461" i="38"/>
  <c r="AJ1464" i="38"/>
  <c r="AI33" i="38"/>
  <c r="AJ33" i="38" s="1"/>
  <c r="A114" i="38"/>
  <c r="A859" i="38"/>
  <c r="AH1515" i="38"/>
  <c r="AJ1514" i="38"/>
  <c r="AJ1515" i="38" s="1"/>
  <c r="AH1461" i="38"/>
  <c r="AH1596" i="38"/>
  <c r="AJ1595" i="38"/>
  <c r="AJ1596" i="38" s="1"/>
  <c r="AD1316" i="38"/>
  <c r="AJ28" i="38"/>
  <c r="AJ29" i="38" s="1"/>
  <c r="AH29" i="38"/>
  <c r="AB1454" i="38" l="1"/>
  <c r="AB1423" i="38"/>
  <c r="AB1293" i="38"/>
  <c r="AB1251" i="38"/>
  <c r="AB1195" i="38"/>
  <c r="AB1061" i="38"/>
  <c r="AB451" i="38"/>
  <c r="AC13" i="38"/>
  <c r="AB78" i="38"/>
  <c r="A167" i="38"/>
  <c r="U1316" i="38"/>
  <c r="AE1315" i="38"/>
  <c r="AJ1308" i="38"/>
  <c r="AJ1309" i="38" s="1"/>
  <c r="AH1309" i="38"/>
  <c r="AG1315" i="38"/>
  <c r="AA1316" i="38"/>
  <c r="A115" i="38"/>
  <c r="AE36" i="38"/>
  <c r="AH35" i="38"/>
  <c r="AJ1470" i="38"/>
  <c r="AJ1471" i="38" s="1"/>
  <c r="AJ1462" i="38"/>
  <c r="AJ1468" i="38" s="1"/>
  <c r="AJ1469" i="38" s="1"/>
  <c r="A860" i="38"/>
  <c r="AJ1313" i="38"/>
  <c r="X1316" i="38"/>
  <c r="AF1315" i="38"/>
  <c r="AF1316" i="38" s="1"/>
  <c r="AH1470" i="38"/>
  <c r="AH1471" i="38" s="1"/>
  <c r="AH1462" i="38"/>
  <c r="AH1468" i="38" s="1"/>
  <c r="AH1469" i="38" s="1"/>
  <c r="AI35" i="38"/>
  <c r="AI36" i="38" s="1"/>
  <c r="AG36" i="38"/>
  <c r="A441" i="38"/>
  <c r="AI1313" i="38"/>
  <c r="BF104" i="38"/>
  <c r="AH36" i="38" l="1"/>
  <c r="AJ35" i="38"/>
  <c r="AJ36" i="38" s="1"/>
  <c r="AI1315" i="38"/>
  <c r="AI1316" i="38" s="1"/>
  <c r="AG1316" i="38"/>
  <c r="A442" i="38"/>
  <c r="A861" i="38"/>
  <c r="A116" i="38"/>
  <c r="A168" i="38"/>
  <c r="AE1316" i="38"/>
  <c r="AH1315" i="38"/>
  <c r="AC1454" i="38"/>
  <c r="AC1423" i="38"/>
  <c r="AC1293" i="38"/>
  <c r="AC1251" i="38"/>
  <c r="AC1195" i="38"/>
  <c r="AC1061" i="38"/>
  <c r="AC451" i="38"/>
  <c r="AC78" i="38"/>
  <c r="AH1316" i="38" l="1"/>
  <c r="AJ1315" i="38"/>
  <c r="AJ1316" i="38" s="1"/>
  <c r="A117" i="38"/>
  <c r="A862" i="38"/>
  <c r="A443" i="38"/>
  <c r="A444" i="38" s="1"/>
  <c r="A169" i="38"/>
  <c r="A863" i="38" l="1"/>
  <c r="A445" i="38"/>
  <c r="A118" i="38"/>
  <c r="A170" i="38"/>
  <c r="A171" i="38" l="1"/>
  <c r="A446" i="38"/>
  <c r="A119" i="38"/>
  <c r="A864" i="38"/>
  <c r="A120" i="38" l="1"/>
  <c r="A172" i="38"/>
  <c r="A447" i="38"/>
  <c r="A448" i="38" s="1"/>
  <c r="A449" i="38" s="1"/>
  <c r="A450" i="38" s="1"/>
  <c r="A451" i="38" s="1"/>
  <c r="A452" i="38" s="1"/>
  <c r="A865" i="38"/>
  <c r="A866" i="38" l="1"/>
  <c r="A453" i="38"/>
  <c r="A121" i="38"/>
  <c r="A173" i="38"/>
  <c r="A454" i="38" l="1"/>
  <c r="A174" i="38"/>
  <c r="A122" i="38"/>
  <c r="A867" i="38"/>
  <c r="A123" i="38" l="1"/>
  <c r="A868" i="38"/>
  <c r="A175" i="38"/>
  <c r="A455" i="38"/>
  <c r="A456" i="38" l="1"/>
  <c r="A869" i="38"/>
  <c r="A176" i="38"/>
  <c r="A124" i="38"/>
  <c r="A125" i="38" s="1"/>
  <c r="A126" i="38" s="1"/>
  <c r="A127" i="38" s="1"/>
  <c r="A128" i="38" s="1"/>
  <c r="A870" i="38" l="1"/>
  <c r="A129" i="38"/>
  <c r="A177" i="38"/>
  <c r="A178" i="38" s="1"/>
  <c r="A179" i="38" s="1"/>
  <c r="A180" i="38" s="1"/>
  <c r="A181" i="38" s="1"/>
  <c r="A182" i="38" s="1"/>
  <c r="A457" i="38"/>
  <c r="A183" i="38" l="1"/>
  <c r="A871" i="38"/>
  <c r="A130" i="38"/>
  <c r="A458" i="38"/>
  <c r="A184" i="38" l="1"/>
  <c r="A131" i="38"/>
  <c r="A872" i="38"/>
  <c r="A459" i="38"/>
  <c r="A873" i="38" l="1"/>
  <c r="A185" i="38"/>
  <c r="A132" i="38"/>
  <c r="A460" i="38"/>
  <c r="A133" i="38" l="1"/>
  <c r="A874" i="38"/>
  <c r="A875" i="38" s="1"/>
  <c r="A876" i="38" s="1"/>
  <c r="A877" i="38" s="1"/>
  <c r="A878" i="38" s="1"/>
  <c r="A879" i="38" s="1"/>
  <c r="A186" i="38"/>
  <c r="A461" i="38"/>
  <c r="A187" i="38" l="1"/>
  <c r="A134" i="38"/>
  <c r="A462" i="38"/>
  <c r="A880" i="38"/>
  <c r="A463" i="38" l="1"/>
  <c r="A188" i="38"/>
  <c r="A881" i="38"/>
  <c r="A135" i="38"/>
  <c r="A189" i="38" l="1"/>
  <c r="A882" i="38"/>
  <c r="A136" i="38"/>
  <c r="A137" i="38" s="1"/>
  <c r="A464" i="38"/>
  <c r="A883" i="38" l="1"/>
  <c r="A465" i="38"/>
  <c r="A190" i="38"/>
  <c r="A138" i="38"/>
  <c r="A884" i="38" l="1"/>
  <c r="A466" i="38"/>
  <c r="A139" i="38"/>
  <c r="A191" i="38"/>
  <c r="A192" i="38" s="1"/>
  <c r="A140" i="38" l="1"/>
  <c r="A193" i="38"/>
  <c r="A467" i="38"/>
  <c r="A885" i="38"/>
  <c r="A886" i="38" l="1"/>
  <c r="A194" i="38"/>
  <c r="A468" i="38"/>
  <c r="A469" i="38" l="1"/>
  <c r="A887" i="38"/>
  <c r="A195" i="38"/>
  <c r="A196" i="38" s="1"/>
  <c r="A197" i="38" s="1"/>
  <c r="A470" i="38" l="1"/>
  <c r="A888" i="38"/>
  <c r="A198" i="38"/>
  <c r="A889" i="38" l="1"/>
  <c r="A199" i="38"/>
  <c r="A471" i="38"/>
  <c r="A890" i="38" l="1"/>
  <c r="A200" i="38"/>
  <c r="A472" i="38"/>
  <c r="A201" i="38" l="1"/>
  <c r="A473" i="38"/>
  <c r="A891" i="38"/>
  <c r="A474" i="38" l="1"/>
  <c r="A202" i="38"/>
  <c r="A203" i="38" s="1"/>
  <c r="A892" i="38"/>
  <c r="A893" i="38" l="1"/>
  <c r="A204" i="38"/>
  <c r="A475" i="38"/>
  <c r="A476" i="38" l="1"/>
  <c r="A894" i="38"/>
  <c r="A205" i="38"/>
  <c r="A206" i="38" l="1"/>
  <c r="A207" i="38" s="1"/>
  <c r="A208" i="38" s="1"/>
  <c r="A895" i="38"/>
  <c r="A477" i="38"/>
  <c r="A478" i="38" l="1"/>
  <c r="A896" i="38"/>
  <c r="A209" i="38"/>
  <c r="A897" i="38" l="1"/>
  <c r="A210" i="38"/>
  <c r="A479" i="38"/>
  <c r="A480" i="38" l="1"/>
  <c r="A211" i="38"/>
  <c r="A898" i="38"/>
  <c r="A212" i="38" l="1"/>
  <c r="A899" i="38"/>
  <c r="A481" i="38"/>
  <c r="A900" i="38" l="1"/>
  <c r="A482" i="38"/>
  <c r="A213" i="38"/>
  <c r="A483" i="38" l="1"/>
  <c r="A214" i="38"/>
  <c r="A901" i="38"/>
  <c r="A484" i="38" l="1"/>
  <c r="A902" i="38"/>
  <c r="A215" i="38"/>
  <c r="A216" i="38" l="1"/>
  <c r="A903" i="38"/>
  <c r="A485" i="38"/>
  <c r="A217" i="38" l="1"/>
  <c r="A904" i="38"/>
  <c r="A486" i="38"/>
  <c r="A218" i="38" l="1"/>
  <c r="A905" i="38"/>
  <c r="A487" i="38"/>
  <c r="A219" i="38" l="1"/>
  <c r="A906" i="38"/>
  <c r="A488" i="38"/>
  <c r="A907" i="38" l="1"/>
  <c r="A908" i="38" s="1"/>
  <c r="A909" i="38" s="1"/>
  <c r="A910" i="38" s="1"/>
  <c r="A489" i="38"/>
  <c r="A220" i="38"/>
  <c r="A490" i="38" l="1"/>
  <c r="A221" i="38"/>
  <c r="A911" i="38"/>
  <c r="A912" i="38" l="1"/>
  <c r="A222" i="38"/>
  <c r="A491" i="38"/>
  <c r="A223" i="38" l="1"/>
  <c r="A492" i="38"/>
  <c r="A913" i="38"/>
  <c r="A224" i="38" l="1"/>
  <c r="A914" i="38"/>
  <c r="A493" i="38"/>
  <c r="A915" i="38" l="1"/>
  <c r="A494" i="38"/>
  <c r="A225" i="38"/>
  <c r="A495" i="38" l="1"/>
  <c r="A226" i="38"/>
  <c r="A916" i="38"/>
  <c r="A917" i="38" l="1"/>
  <c r="A496" i="38"/>
  <c r="A227" i="38"/>
  <c r="A918" i="38" l="1"/>
  <c r="A497" i="38"/>
  <c r="A228" i="38"/>
  <c r="A229" i="38" l="1"/>
  <c r="A498" i="38"/>
  <c r="A919" i="38"/>
  <c r="A230" i="38" l="1"/>
  <c r="A499" i="38"/>
  <c r="A920" i="38"/>
  <c r="A921" i="38" l="1"/>
  <c r="A500" i="38"/>
  <c r="A231" i="38"/>
  <c r="A922" i="38" l="1"/>
  <c r="A232" i="38"/>
  <c r="A501" i="38"/>
  <c r="A233" i="38" l="1"/>
  <c r="A502" i="38"/>
  <c r="A923" i="38"/>
  <c r="A924" i="38" l="1"/>
  <c r="A234" i="38"/>
  <c r="A503" i="38"/>
  <c r="A504" i="38" l="1"/>
  <c r="A235" i="38"/>
  <c r="A925" i="38"/>
  <c r="A505" i="38" l="1"/>
  <c r="A236" i="38"/>
  <c r="A926" i="38"/>
  <c r="A237" i="38" l="1"/>
  <c r="A927" i="38"/>
  <c r="A506" i="38"/>
  <c r="A928" i="38" l="1"/>
  <c r="A507" i="38"/>
  <c r="A238" i="38"/>
  <c r="A508" i="38" l="1"/>
  <c r="A239" i="38"/>
  <c r="A240" i="38" s="1"/>
  <c r="A241" i="38" s="1"/>
  <c r="A242" i="38" s="1"/>
  <c r="A243" i="38" s="1"/>
  <c r="A244" i="38" s="1"/>
  <c r="A245" i="38" s="1"/>
  <c r="A246" i="38" s="1"/>
  <c r="A247" i="38" s="1"/>
  <c r="A929" i="38"/>
  <c r="A248" i="38" l="1"/>
  <c r="A249" i="38" s="1"/>
  <c r="A250" i="38" s="1"/>
  <c r="A251" i="38" s="1"/>
  <c r="A252" i="38" s="1"/>
  <c r="A253" i="38" s="1"/>
  <c r="A254" i="38" s="1"/>
  <c r="A930" i="38"/>
  <c r="A509" i="38"/>
  <c r="A255" i="38" l="1"/>
  <c r="A510" i="38"/>
  <c r="A931" i="38"/>
  <c r="A256" i="38" l="1"/>
  <c r="A932" i="38"/>
  <c r="A511" i="38"/>
  <c r="A257" i="38" l="1"/>
  <c r="A512" i="38"/>
  <c r="A933" i="38"/>
  <c r="A258" i="38" l="1"/>
  <c r="A934" i="38"/>
  <c r="A513" i="38"/>
  <c r="A259" i="38" l="1"/>
  <c r="A514" i="38"/>
  <c r="A935" i="38"/>
  <c r="A936" i="38" l="1"/>
  <c r="A260" i="38"/>
  <c r="A515" i="38"/>
  <c r="A516" i="38" l="1"/>
  <c r="A937" i="38"/>
  <c r="A261" i="38"/>
  <c r="A262" i="38" l="1"/>
  <c r="A517" i="38"/>
  <c r="A938" i="38"/>
  <c r="A939" i="38" s="1"/>
  <c r="A940" i="38" s="1"/>
  <c r="A941" i="38" l="1"/>
  <c r="A263" i="38"/>
  <c r="A518" i="38"/>
  <c r="A519" i="38" l="1"/>
  <c r="A942" i="38"/>
  <c r="A264" i="38"/>
  <c r="A520" i="38" l="1"/>
  <c r="A265" i="38"/>
  <c r="A943" i="38"/>
  <c r="A944" i="38" l="1"/>
  <c r="A521" i="38"/>
  <c r="A266" i="38"/>
  <c r="A945" i="38" l="1"/>
  <c r="A267" i="38"/>
  <c r="A522" i="38"/>
  <c r="A523" i="38" l="1"/>
  <c r="A946" i="38"/>
  <c r="A268" i="38"/>
  <c r="A269" i="38" l="1"/>
  <c r="A524" i="38"/>
  <c r="A947" i="38"/>
  <c r="A270" i="38" l="1"/>
  <c r="A948" i="38"/>
  <c r="A525" i="38"/>
  <c r="AP859" i="38"/>
  <c r="AL834" i="38"/>
  <c r="AU409" i="38"/>
  <c r="BC806" i="38"/>
  <c r="AM471" i="38"/>
  <c r="BB596" i="38"/>
  <c r="BC900" i="38"/>
  <c r="AM98" i="38"/>
  <c r="BC1005" i="38"/>
  <c r="BB343" i="38"/>
  <c r="AT588" i="38"/>
  <c r="AT806" i="38"/>
  <c r="BB620" i="38"/>
  <c r="AM638" i="38"/>
  <c r="BB433" i="38"/>
  <c r="AM724" i="38"/>
  <c r="AL565" i="38"/>
  <c r="BB1032" i="38"/>
  <c r="BB531" i="38"/>
  <c r="AU634" i="38"/>
  <c r="AU975" i="38"/>
  <c r="AM574" i="38"/>
  <c r="AL906" i="38"/>
  <c r="BF109" i="38"/>
  <c r="AU896" i="38"/>
  <c r="AM147" i="38"/>
  <c r="AM395" i="38"/>
  <c r="BB893" i="38"/>
  <c r="AM493" i="38"/>
  <c r="AP904" i="38"/>
  <c r="BF427" i="38"/>
  <c r="AU702" i="38"/>
  <c r="BC370" i="38"/>
  <c r="BC1076" i="38"/>
  <c r="BC951" i="38"/>
  <c r="AL993" i="38"/>
  <c r="BC763" i="38"/>
  <c r="AM515" i="38"/>
  <c r="AU263" i="38"/>
  <c r="AL708" i="38"/>
  <c r="AX922" i="38"/>
  <c r="BB268" i="38"/>
  <c r="AX384" i="38"/>
  <c r="BC1049" i="38"/>
  <c r="BB174" i="38"/>
  <c r="AT355" i="38"/>
  <c r="AM845" i="38"/>
  <c r="AU151" i="38"/>
  <c r="BF824" i="38"/>
  <c r="AL835" i="38"/>
  <c r="AL736" i="38"/>
  <c r="BB816" i="38"/>
  <c r="AP383" i="38"/>
  <c r="AU842" i="38"/>
  <c r="BC831" i="38"/>
  <c r="AT238" i="38"/>
  <c r="BC115" i="38"/>
  <c r="BF478" i="38"/>
  <c r="AX930" i="38"/>
  <c r="AX107" i="38"/>
  <c r="BB915" i="38"/>
  <c r="AT151" i="38"/>
  <c r="AU537" i="38"/>
  <c r="AL291" i="38"/>
  <c r="AT362" i="38"/>
  <c r="AM585" i="38"/>
  <c r="AU15" i="38"/>
  <c r="BC1018" i="38"/>
  <c r="AM453" i="38"/>
  <c r="BB198" i="38"/>
  <c r="AX855" i="38"/>
  <c r="BC291" i="38"/>
  <c r="AM562" i="38"/>
  <c r="AT422" i="38"/>
  <c r="AU452" i="38"/>
  <c r="AU134" i="38"/>
  <c r="AL24" i="38"/>
  <c r="AL922" i="38"/>
  <c r="AM977" i="38"/>
  <c r="AM800" i="38"/>
  <c r="BC173" i="38"/>
  <c r="AU625" i="38"/>
  <c r="BC138" i="38"/>
  <c r="BB464" i="38"/>
  <c r="AP164" i="38"/>
  <c r="AM781" i="38"/>
  <c r="AU776" i="38"/>
  <c r="AL434" i="38"/>
  <c r="AU523" i="38"/>
  <c r="AL787" i="38"/>
  <c r="BC19" i="38"/>
  <c r="BC482" i="38"/>
  <c r="BB911" i="38"/>
  <c r="BC1052" i="38"/>
  <c r="AU709" i="38"/>
  <c r="AP209" i="38"/>
  <c r="BB149" i="38"/>
  <c r="BC1099" i="38"/>
  <c r="AM427" i="38"/>
  <c r="BC915" i="38"/>
  <c r="AU1085" i="38"/>
  <c r="BF410" i="38"/>
  <c r="BF122" i="38"/>
  <c r="BC416" i="38"/>
  <c r="BC483" i="38"/>
  <c r="BF851" i="38"/>
  <c r="AM256" i="38"/>
  <c r="AM91" i="38"/>
  <c r="BF759" i="38"/>
  <c r="BC1024" i="38"/>
  <c r="AU513" i="38"/>
  <c r="AU301" i="38"/>
  <c r="AT1097" i="38"/>
  <c r="AU1035" i="38"/>
  <c r="BC614" i="38"/>
  <c r="AT517" i="38"/>
  <c r="BB641" i="38"/>
  <c r="AL580" i="38"/>
  <c r="BC1003" i="38"/>
  <c r="AX420" i="38"/>
  <c r="AU167" i="38"/>
  <c r="AM303" i="38"/>
  <c r="AL114" i="38"/>
  <c r="AL325" i="38"/>
  <c r="AT738" i="38"/>
  <c r="AL936" i="38"/>
  <c r="BB651" i="38"/>
  <c r="AT51" i="38"/>
  <c r="BB758" i="38"/>
  <c r="AM33" i="38"/>
  <c r="AL452" i="38"/>
  <c r="AP219" i="38"/>
  <c r="AU858" i="38"/>
  <c r="AX415" i="38"/>
  <c r="AL911" i="38"/>
  <c r="AU779" i="38"/>
  <c r="AP392" i="38"/>
  <c r="AM930" i="38"/>
  <c r="BF444" i="38"/>
  <c r="AT769" i="38"/>
  <c r="AT414" i="38"/>
  <c r="AU325" i="38"/>
  <c r="BB541" i="38"/>
  <c r="BC229" i="38"/>
  <c r="AP471" i="38"/>
  <c r="AM339" i="38"/>
  <c r="AL774" i="38"/>
  <c r="BB808" i="38"/>
  <c r="AT65" i="38"/>
  <c r="AU185" i="38"/>
  <c r="AM735" i="38"/>
  <c r="AT807" i="38"/>
  <c r="AL978" i="38"/>
  <c r="AX111" i="38"/>
  <c r="AM520" i="38"/>
  <c r="AP156" i="38"/>
  <c r="AM494" i="38"/>
  <c r="AP203" i="38"/>
  <c r="AP499" i="38"/>
  <c r="BC669" i="38"/>
  <c r="AM97" i="38"/>
  <c r="BB767" i="38"/>
  <c r="BF458" i="38"/>
  <c r="AU829" i="38"/>
  <c r="BC945" i="38"/>
  <c r="BF194" i="38"/>
  <c r="BC130" i="38"/>
  <c r="AM185" i="38"/>
  <c r="AU274" i="38"/>
  <c r="BC966" i="38"/>
  <c r="BB484" i="38"/>
  <c r="AT230" i="38"/>
  <c r="AT442" i="38"/>
  <c r="AT629" i="38"/>
  <c r="AL800" i="38"/>
  <c r="AT525" i="38"/>
  <c r="AL106" i="38"/>
  <c r="AU892" i="38"/>
  <c r="BB638" i="38"/>
  <c r="AU691" i="38"/>
  <c r="BF421" i="38"/>
  <c r="AU1053" i="38"/>
  <c r="AX482" i="38"/>
  <c r="AT22" i="38"/>
  <c r="AM860" i="38"/>
  <c r="BB924" i="38"/>
  <c r="BC113" i="38"/>
  <c r="AT716" i="38"/>
  <c r="AU346" i="38"/>
  <c r="BF503" i="38"/>
  <c r="BB143" i="38"/>
  <c r="BF145" i="38"/>
  <c r="AL581" i="38"/>
  <c r="AL918" i="38"/>
  <c r="AL128" i="38"/>
  <c r="AT713" i="38"/>
  <c r="AU259" i="38"/>
  <c r="AP816" i="38"/>
  <c r="AT157" i="38"/>
  <c r="AX483" i="38"/>
  <c r="BF849" i="38"/>
  <c r="BC1020" i="38"/>
  <c r="AU97" i="38"/>
  <c r="AM595" i="38"/>
  <c r="BC904" i="38"/>
  <c r="AX71" i="38"/>
  <c r="BB1080" i="38"/>
  <c r="AM851" i="38"/>
  <c r="BB301" i="38"/>
  <c r="BF184" i="38"/>
  <c r="AX445" i="38"/>
  <c r="AM411" i="38"/>
  <c r="AM669" i="38"/>
  <c r="AT1081" i="38"/>
  <c r="AM1025" i="38"/>
  <c r="AM436" i="38"/>
  <c r="AU422" i="38"/>
  <c r="AT915" i="38"/>
  <c r="BC256" i="38"/>
  <c r="AT707" i="38"/>
  <c r="AM792" i="38"/>
  <c r="AL230" i="38"/>
  <c r="BB226" i="38"/>
  <c r="AM911" i="38"/>
  <c r="AM830" i="38"/>
  <c r="AU512" i="38"/>
  <c r="AT1039" i="38"/>
  <c r="AU209" i="38"/>
  <c r="AL847" i="38"/>
  <c r="AP105" i="38"/>
  <c r="AL933" i="38"/>
  <c r="BC190" i="38"/>
  <c r="AM624" i="38"/>
  <c r="BC735" i="38"/>
  <c r="AM164" i="38"/>
  <c r="BB885" i="38"/>
  <c r="AX162" i="38"/>
  <c r="BB476" i="38"/>
  <c r="BB65" i="38"/>
  <c r="AT343" i="38"/>
  <c r="BF546" i="38"/>
  <c r="AT332" i="38"/>
  <c r="AL808" i="38"/>
  <c r="AM801" i="38"/>
  <c r="AT276" i="38"/>
  <c r="AL392" i="38"/>
  <c r="BB409" i="38"/>
  <c r="AL19" i="38"/>
  <c r="BB932" i="38"/>
  <c r="BF844" i="38"/>
  <c r="AM369" i="38"/>
  <c r="AM487" i="38"/>
  <c r="AL156" i="38"/>
  <c r="BC665" i="38"/>
  <c r="AL1000" i="38"/>
  <c r="AL539" i="38"/>
  <c r="AU580" i="38"/>
  <c r="BB598" i="38"/>
  <c r="BC432" i="38"/>
  <c r="AM823" i="38"/>
  <c r="AT843" i="38"/>
  <c r="AU292" i="38"/>
  <c r="BB166" i="38"/>
  <c r="AM609" i="38"/>
  <c r="BF173" i="38"/>
  <c r="BC744" i="38"/>
  <c r="AT584" i="38"/>
  <c r="AL274" i="38"/>
  <c r="AL542" i="38"/>
  <c r="BC503" i="38"/>
  <c r="BB899" i="38"/>
  <c r="AL789" i="38"/>
  <c r="AT988" i="38"/>
  <c r="BC530" i="38"/>
  <c r="BB780" i="38"/>
  <c r="AX818" i="38"/>
  <c r="AU365" i="38"/>
  <c r="BB460" i="38"/>
  <c r="AT1072" i="38"/>
  <c r="BB1092" i="38"/>
  <c r="AM384" i="38"/>
  <c r="AT139" i="38"/>
  <c r="BC775" i="38"/>
  <c r="AP893" i="38"/>
  <c r="AL767" i="38"/>
  <c r="AM937" i="38"/>
  <c r="BC499" i="38"/>
  <c r="AT174" i="38"/>
  <c r="BB986" i="38"/>
  <c r="BC606" i="38"/>
  <c r="BF200" i="38"/>
  <c r="AU680" i="38"/>
  <c r="AU1032" i="38"/>
  <c r="BC453" i="38"/>
  <c r="BF538" i="38"/>
  <c r="BF904" i="38"/>
  <c r="AL167" i="38"/>
  <c r="AX484" i="38"/>
  <c r="BF237" i="38"/>
  <c r="AT655" i="38"/>
  <c r="AT494" i="38"/>
  <c r="AM797" i="38"/>
  <c r="BB1067" i="38"/>
  <c r="AM394" i="38"/>
  <c r="AP470" i="38"/>
  <c r="AL887" i="38"/>
  <c r="AX176" i="38"/>
  <c r="AT759" i="38"/>
  <c r="BC632" i="38"/>
  <c r="AT204" i="38"/>
  <c r="AX927" i="38"/>
  <c r="BB485" i="38"/>
  <c r="AL429" i="38"/>
  <c r="BB309" i="38"/>
  <c r="AT429" i="38"/>
  <c r="BC941" i="38"/>
  <c r="AL886" i="38"/>
  <c r="BB856" i="38"/>
  <c r="BB693" i="38"/>
  <c r="AT200" i="38"/>
  <c r="AU848" i="38"/>
  <c r="BB848" i="38"/>
  <c r="BF486" i="38"/>
  <c r="BB123" i="38"/>
  <c r="AU983" i="38"/>
  <c r="AM69" i="38"/>
  <c r="AU584" i="38"/>
  <c r="AM840" i="38"/>
  <c r="BC106" i="38"/>
  <c r="BB189" i="38"/>
  <c r="AU143" i="38"/>
  <c r="BB405" i="38"/>
  <c r="AM283" i="38"/>
  <c r="BB334" i="38"/>
  <c r="AU600" i="38"/>
  <c r="BC553" i="38"/>
  <c r="AM568" i="38"/>
  <c r="AU510" i="38"/>
  <c r="BF430" i="38"/>
  <c r="BB308" i="38"/>
  <c r="AT804" i="38"/>
  <c r="AM868" i="38"/>
  <c r="BB1074" i="38"/>
  <c r="AP480" i="38"/>
  <c r="AL931" i="38"/>
  <c r="AM601" i="38"/>
  <c r="AU913" i="38"/>
  <c r="BB657" i="38"/>
  <c r="AP910" i="38"/>
  <c r="AX132" i="38"/>
  <c r="AL193" i="38"/>
  <c r="AM750" i="38"/>
  <c r="AU159" i="38"/>
  <c r="BC27" i="38"/>
  <c r="BB236" i="38"/>
  <c r="BB218" i="38"/>
  <c r="AU1036" i="38"/>
  <c r="BB670" i="38"/>
  <c r="AP903" i="38"/>
  <c r="AU873" i="38"/>
  <c r="AL210" i="38"/>
  <c r="AL1046" i="38"/>
  <c r="BC464" i="38"/>
  <c r="BB1026" i="38"/>
  <c r="AL266" i="38"/>
  <c r="AP826" i="38"/>
  <c r="AU506" i="38"/>
  <c r="BC721" i="38"/>
  <c r="AU675" i="38"/>
  <c r="AP801" i="38"/>
  <c r="BB735" i="38"/>
  <c r="BC209" i="38"/>
  <c r="BF472" i="38"/>
  <c r="AU846" i="38"/>
  <c r="AT418" i="38"/>
  <c r="AU589" i="38"/>
  <c r="AU738" i="38"/>
  <c r="AM105" i="38"/>
  <c r="AL306" i="38"/>
  <c r="AM308" i="38"/>
  <c r="BC517" i="38"/>
  <c r="BB795" i="38"/>
  <c r="AX63" i="38"/>
  <c r="AM489" i="38"/>
  <c r="BB897" i="38"/>
  <c r="AT1040" i="38"/>
  <c r="AM531" i="38"/>
  <c r="AL731" i="38"/>
  <c r="AT46" i="38"/>
  <c r="AX121" i="38"/>
  <c r="AM346" i="38"/>
  <c r="AX62" i="38"/>
  <c r="AP122" i="38"/>
  <c r="BB649" i="38"/>
  <c r="AU720" i="38"/>
  <c r="AT350" i="38"/>
  <c r="AU329" i="38"/>
  <c r="AM21" i="38"/>
  <c r="AL1052" i="38"/>
  <c r="BB800" i="38"/>
  <c r="AL748" i="38"/>
  <c r="BB119" i="38"/>
  <c r="AU972" i="38"/>
  <c r="AM785" i="38"/>
  <c r="AU45" i="38"/>
  <c r="BC69" i="38"/>
  <c r="BC819" i="38"/>
  <c r="AM614" i="38"/>
  <c r="AL502" i="38"/>
  <c r="AL566" i="38"/>
  <c r="BC1032" i="38"/>
  <c r="BB454" i="38"/>
  <c r="BC688" i="38"/>
  <c r="BB1049" i="38"/>
  <c r="AM57" i="38"/>
  <c r="AT599" i="38"/>
  <c r="AM194" i="38"/>
  <c r="BC641" i="38"/>
  <c r="AT94" i="38"/>
  <c r="BC257" i="38"/>
  <c r="AT927" i="38"/>
  <c r="BF92" i="38"/>
  <c r="AM1030" i="38"/>
  <c r="AM709" i="38"/>
  <c r="AX28" i="38"/>
  <c r="AX498" i="38"/>
  <c r="AM1039" i="38"/>
  <c r="AL628" i="38"/>
  <c r="AX502" i="38"/>
  <c r="AL1015" i="38"/>
  <c r="BB600" i="38"/>
  <c r="BC105" i="38"/>
  <c r="BC1071" i="38"/>
  <c r="BB1079" i="38"/>
  <c r="AU906" i="38"/>
  <c r="AL209" i="38"/>
  <c r="AL902" i="38"/>
  <c r="AU698" i="38"/>
  <c r="BB602" i="38"/>
  <c r="AX504" i="38"/>
  <c r="AL615" i="38"/>
  <c r="AU257" i="38"/>
  <c r="BC638" i="38"/>
  <c r="AT357" i="38"/>
  <c r="AL521" i="38"/>
  <c r="AX788" i="38"/>
  <c r="AX154" i="38"/>
  <c r="AM1003" i="38"/>
  <c r="AU322" i="38"/>
  <c r="AT756" i="38"/>
  <c r="BC842" i="38"/>
  <c r="BB519" i="38"/>
  <c r="AL746" i="38"/>
  <c r="BF164" i="38"/>
  <c r="AU113" i="38"/>
  <c r="BC538" i="38"/>
  <c r="AM942" i="38"/>
  <c r="AM219" i="38"/>
  <c r="AT1014" i="38"/>
  <c r="AU205" i="38"/>
  <c r="AL481" i="38"/>
  <c r="AL415" i="38"/>
  <c r="AM467" i="38"/>
  <c r="AL486" i="38"/>
  <c r="AU129" i="38"/>
  <c r="AL953" i="38"/>
  <c r="AM838" i="38"/>
  <c r="BC718" i="38"/>
  <c r="AL701" i="38"/>
  <c r="BB422" i="38"/>
  <c r="AM634" i="38"/>
  <c r="BB24" i="38"/>
  <c r="AM509" i="38"/>
  <c r="BC1008" i="38"/>
  <c r="AM468" i="38"/>
  <c r="AM1064" i="38"/>
  <c r="AT329" i="38"/>
  <c r="AX892" i="38"/>
  <c r="AU359" i="38"/>
  <c r="AU355" i="38"/>
  <c r="AT910" i="38"/>
  <c r="AL57" i="38"/>
  <c r="AM541" i="38"/>
  <c r="AU43" i="38"/>
  <c r="AL797" i="38"/>
  <c r="BB1012" i="38"/>
  <c r="BB186" i="38"/>
  <c r="AM14" i="38"/>
  <c r="BB852" i="38"/>
  <c r="BC863" i="38"/>
  <c r="BB900" i="38"/>
  <c r="BC942" i="38"/>
  <c r="AU1020" i="38"/>
  <c r="AL1012" i="38"/>
  <c r="AM732" i="38"/>
  <c r="AT475" i="38"/>
  <c r="BC280" i="38"/>
  <c r="AT482" i="38"/>
  <c r="AL915" i="38"/>
  <c r="AM533" i="38"/>
  <c r="AT952" i="38"/>
  <c r="AX51" i="38"/>
  <c r="BB761" i="38"/>
  <c r="AP62" i="38"/>
  <c r="BC793" i="38"/>
  <c r="AU282" i="38"/>
  <c r="BB804" i="38"/>
  <c r="AL932" i="38"/>
  <c r="AU1072" i="38"/>
  <c r="BC888" i="38"/>
  <c r="BC605" i="38"/>
  <c r="AM758" i="38"/>
  <c r="AM1026" i="38"/>
  <c r="BC1045" i="38"/>
  <c r="AU102" i="38"/>
  <c r="BC343" i="38"/>
  <c r="BF440" i="38"/>
  <c r="BC958" i="38"/>
  <c r="BB799" i="38"/>
  <c r="AM335" i="38"/>
  <c r="BB463" i="38"/>
  <c r="BC360" i="38"/>
  <c r="AU861" i="38"/>
  <c r="BB197" i="38"/>
  <c r="BB72" i="38"/>
  <c r="BF477" i="38"/>
  <c r="BC760" i="38"/>
  <c r="AM211" i="38"/>
  <c r="AL860" i="38"/>
  <c r="AM213" i="38"/>
  <c r="BB258" i="38"/>
  <c r="AL369" i="38"/>
  <c r="AT128" i="38"/>
  <c r="AT704" i="38"/>
  <c r="AM810" i="38"/>
  <c r="BB797" i="38"/>
  <c r="BF889" i="38"/>
  <c r="AL885" i="38"/>
  <c r="BC705" i="38"/>
  <c r="AP844" i="38"/>
  <c r="AM620" i="38"/>
  <c r="AX226" i="38"/>
  <c r="BB574" i="38"/>
  <c r="BC558" i="38"/>
  <c r="AX235" i="38"/>
  <c r="AM992" i="38"/>
  <c r="AU855" i="38"/>
  <c r="BB847" i="38"/>
  <c r="BB21" i="38"/>
  <c r="BB1039" i="38"/>
  <c r="AL396" i="38"/>
  <c r="AP159" i="38"/>
  <c r="BC993" i="38"/>
  <c r="BC144" i="38"/>
  <c r="AL656" i="38"/>
  <c r="BB211" i="38"/>
  <c r="AL1057" i="38"/>
  <c r="AU267" i="38"/>
  <c r="AL529" i="38"/>
  <c r="BC813" i="38"/>
  <c r="BB996" i="38"/>
  <c r="AP464" i="38"/>
  <c r="AT465" i="38"/>
  <c r="AU1049" i="38"/>
  <c r="BB290" i="38"/>
  <c r="AU732" i="38"/>
  <c r="AP132" i="38"/>
  <c r="AP95" i="38"/>
  <c r="AL1064" i="38"/>
  <c r="AU923" i="38"/>
  <c r="AT98" i="38"/>
  <c r="BB159" i="38"/>
  <c r="AT673" i="38"/>
  <c r="BB748" i="38"/>
  <c r="AM1068" i="38"/>
  <c r="AP901" i="38"/>
  <c r="BB228" i="38"/>
  <c r="AL345" i="38"/>
  <c r="AT499" i="38"/>
  <c r="AL866" i="38"/>
  <c r="AX792" i="38"/>
  <c r="AM925" i="38"/>
  <c r="AU1066" i="38"/>
  <c r="AL788" i="38"/>
  <c r="AP213" i="38"/>
  <c r="BB794" i="38"/>
  <c r="BC954" i="38"/>
  <c r="BC827" i="38"/>
  <c r="AP769" i="38"/>
  <c r="AT957" i="38"/>
  <c r="AT546" i="38"/>
  <c r="AL508" i="38"/>
  <c r="AT1007" i="38"/>
  <c r="AP900" i="38"/>
  <c r="AU567" i="38"/>
  <c r="AU575" i="38"/>
  <c r="BC498" i="38"/>
  <c r="AU934" i="38"/>
  <c r="AU814" i="38"/>
  <c r="BB902" i="38"/>
  <c r="BB644" i="38"/>
  <c r="BC651" i="38"/>
  <c r="BB674" i="38"/>
  <c r="BB210" i="38"/>
  <c r="AL283" i="38"/>
  <c r="AT1065" i="38"/>
  <c r="BC322" i="38"/>
  <c r="BC1012" i="38"/>
  <c r="AL470" i="38"/>
  <c r="AM503" i="38"/>
  <c r="BB769" i="38"/>
  <c r="AU733" i="38"/>
  <c r="BB890" i="38"/>
  <c r="BB387" i="38"/>
  <c r="BB132" i="38"/>
  <c r="AL627" i="38"/>
  <c r="BB474" i="38"/>
  <c r="AL901" i="38"/>
  <c r="AL474" i="38"/>
  <c r="BB979" i="38"/>
  <c r="AM135" i="38"/>
  <c r="AM960" i="38"/>
  <c r="AM415" i="38"/>
  <c r="BF485" i="38"/>
  <c r="BC706" i="38"/>
  <c r="AT997" i="38"/>
  <c r="BC633" i="38"/>
  <c r="AM30" i="38"/>
  <c r="AT962" i="38"/>
  <c r="AM470" i="38"/>
  <c r="AM1037" i="38"/>
  <c r="BC668" i="38"/>
  <c r="AM459" i="38"/>
  <c r="AT781" i="38"/>
  <c r="AT528" i="38"/>
  <c r="AX859" i="38"/>
  <c r="BF764" i="38"/>
  <c r="BF864" i="38"/>
  <c r="AM329" i="38"/>
  <c r="AM51" i="38"/>
  <c r="AM107" i="38"/>
  <c r="BB1084" i="38"/>
  <c r="AL925" i="38"/>
  <c r="BB99" i="38"/>
  <c r="AU1004" i="38"/>
  <c r="AT208" i="38"/>
  <c r="BB1001" i="38"/>
  <c r="AX485" i="38"/>
  <c r="AT338" i="38"/>
  <c r="AX771" i="38"/>
  <c r="AU957" i="38"/>
  <c r="BC799" i="38"/>
  <c r="AT498" i="38"/>
  <c r="AT437" i="38"/>
  <c r="AP171" i="38"/>
  <c r="BB880" i="38"/>
  <c r="BF16" i="38"/>
  <c r="AL395" i="38"/>
  <c r="AU131" i="38"/>
  <c r="AM625" i="38"/>
  <c r="AM982" i="38"/>
  <c r="AP112" i="38"/>
  <c r="AT175" i="38"/>
  <c r="AL547" i="38"/>
  <c r="AM717" i="38"/>
  <c r="BC91" i="38"/>
  <c r="AM442" i="38"/>
  <c r="AP809" i="38"/>
  <c r="BC777" i="38"/>
  <c r="AL271" i="38"/>
  <c r="AM926" i="38"/>
  <c r="AP881" i="38"/>
  <c r="BB214" i="38"/>
  <c r="BF779" i="38"/>
  <c r="AT595" i="38"/>
  <c r="AL247" i="38"/>
  <c r="BC852" i="38"/>
  <c r="AP500" i="38"/>
  <c r="AP437" i="38"/>
  <c r="BF917" i="38"/>
  <c r="AL295" i="38"/>
  <c r="AU866" i="38"/>
  <c r="BB477" i="38"/>
  <c r="BC690" i="38"/>
  <c r="AP486" i="38"/>
  <c r="BB364" i="38"/>
  <c r="BB414" i="38"/>
  <c r="BF829" i="38"/>
  <c r="AM71" i="38"/>
  <c r="AT993" i="38"/>
  <c r="AL722" i="38"/>
  <c r="AT770" i="38"/>
  <c r="AU28" i="38"/>
  <c r="AX19" i="38"/>
  <c r="BB975" i="38"/>
  <c r="AL93" i="38"/>
  <c r="BB591" i="38"/>
  <c r="AL1009" i="38"/>
  <c r="AT560" i="38"/>
  <c r="AT327" i="38"/>
  <c r="AX114" i="38"/>
  <c r="AT130" i="38"/>
  <c r="AM149" i="38"/>
  <c r="AX219" i="38"/>
  <c r="AM438" i="38"/>
  <c r="BB546" i="38"/>
  <c r="BF229" i="38"/>
  <c r="BC797" i="38"/>
  <c r="AT542" i="38"/>
  <c r="AT1001" i="38"/>
  <c r="BB922" i="38"/>
  <c r="AX756" i="38"/>
  <c r="BB840" i="38"/>
  <c r="AL747" i="38"/>
  <c r="BB776" i="38"/>
  <c r="AL804" i="38"/>
  <c r="AT761" i="38"/>
  <c r="BB213" i="38"/>
  <c r="AL147" i="38"/>
  <c r="AT970" i="38"/>
  <c r="AT705" i="38"/>
  <c r="BB494" i="38"/>
  <c r="AL872" i="38"/>
  <c r="BC862" i="38"/>
  <c r="BC787" i="38"/>
  <c r="BC686" i="38"/>
  <c r="BB530" i="38"/>
  <c r="BC146" i="38"/>
  <c r="BC662" i="38"/>
  <c r="AT72" i="38"/>
  <c r="BF868" i="38"/>
  <c r="AM963" i="38"/>
  <c r="AU815" i="38"/>
  <c r="AL444" i="38"/>
  <c r="AT480" i="38"/>
  <c r="BF493" i="38"/>
  <c r="AL14" i="38"/>
  <c r="AL272" i="38"/>
  <c r="AL638" i="38"/>
  <c r="AT486" i="38"/>
  <c r="BC913" i="38"/>
  <c r="AL742" i="38"/>
  <c r="AU673" i="38"/>
  <c r="BB1089" i="38"/>
  <c r="AX465" i="38"/>
  <c r="AT831" i="38"/>
  <c r="AU433" i="38"/>
  <c r="AM948" i="38"/>
  <c r="AM619" i="38"/>
  <c r="AX422" i="38"/>
  <c r="AP359" i="38"/>
  <c r="AT221" i="38"/>
  <c r="AT1044" i="38"/>
  <c r="BC1057" i="38"/>
  <c r="AL707" i="38"/>
  <c r="AX166" i="38"/>
  <c r="BB328" i="38"/>
  <c r="AT819" i="38"/>
  <c r="AU937" i="38"/>
  <c r="BB438" i="38"/>
  <c r="AT473" i="38"/>
  <c r="AL197" i="38"/>
  <c r="AM226" i="38"/>
  <c r="AT471" i="38"/>
  <c r="AU770" i="38"/>
  <c r="AT112" i="38"/>
  <c r="AU478" i="38"/>
  <c r="BC495" i="38"/>
  <c r="AM898" i="38"/>
  <c r="BF107" i="38"/>
  <c r="AP819" i="38"/>
  <c r="BB486" i="38"/>
  <c r="BB731" i="38"/>
  <c r="BB700" i="38"/>
  <c r="BB19" i="38"/>
  <c r="AL1069" i="38"/>
  <c r="AU922" i="38"/>
  <c r="AL588" i="38"/>
  <c r="AT254" i="38"/>
  <c r="AU155" i="38"/>
  <c r="BF482" i="38"/>
  <c r="AM852" i="38"/>
  <c r="AL952" i="38"/>
  <c r="BB452" i="38"/>
  <c r="AM302" i="38"/>
  <c r="BB348" i="38"/>
  <c r="BC918" i="38"/>
  <c r="AU736" i="38"/>
  <c r="AP862" i="38"/>
  <c r="BC465" i="38"/>
  <c r="AX804" i="38"/>
  <c r="AX192" i="38"/>
  <c r="AL613" i="38"/>
  <c r="AU1069" i="38"/>
  <c r="BC1001" i="38"/>
  <c r="AL219" i="38"/>
  <c r="AL654" i="38"/>
  <c r="AL1037" i="38"/>
  <c r="AM254" i="38"/>
  <c r="BF839" i="38"/>
  <c r="BC964" i="38"/>
  <c r="BB392" i="38"/>
  <c r="AU294" i="38"/>
  <c r="AU321" i="38"/>
  <c r="BC971" i="38"/>
  <c r="AP885" i="38"/>
  <c r="AM814" i="38"/>
  <c r="BB1044" i="38"/>
  <c r="AX197" i="38"/>
  <c r="AL211" i="38"/>
  <c r="AL672" i="38"/>
  <c r="AU396" i="38"/>
  <c r="AU627" i="38"/>
  <c r="AL323" i="38"/>
  <c r="AU935" i="38"/>
  <c r="AL1070" i="38"/>
  <c r="BB156" i="38"/>
  <c r="AU764" i="38"/>
  <c r="AM432" i="38"/>
  <c r="BB1076" i="38"/>
  <c r="BC689" i="38"/>
  <c r="BC865" i="38"/>
  <c r="BC415" i="38"/>
  <c r="BC903" i="38"/>
  <c r="AT261" i="38"/>
  <c r="AL685" i="38"/>
  <c r="AL1043" i="38"/>
  <c r="BB221" i="38"/>
  <c r="AU1021" i="38"/>
  <c r="AU560" i="38"/>
  <c r="AM190" i="38"/>
  <c r="BF217" i="38"/>
  <c r="AU582" i="38"/>
  <c r="AT197" i="38"/>
  <c r="AL117" i="38"/>
  <c r="AL335" i="38"/>
  <c r="AT978" i="38"/>
  <c r="AL954" i="38"/>
  <c r="AU493" i="38"/>
  <c r="BC368" i="38"/>
  <c r="AL116" i="38"/>
  <c r="BC800" i="38"/>
  <c r="AM581" i="38"/>
  <c r="AU34" i="38"/>
  <c r="AM575" i="38"/>
  <c r="AU795" i="38"/>
  <c r="AP889" i="38"/>
  <c r="AM978" i="38"/>
  <c r="AM275" i="38"/>
  <c r="AL189" i="38"/>
  <c r="BF366" i="38"/>
  <c r="BC234" i="38"/>
  <c r="AU350" i="38"/>
  <c r="AT602" i="38"/>
  <c r="BF882" i="38"/>
  <c r="BB977" i="38"/>
  <c r="AM594" i="38"/>
  <c r="AM719" i="38"/>
  <c r="AX829" i="38"/>
  <c r="AM48" i="38"/>
  <c r="AT742" i="38"/>
  <c r="AX91" i="38"/>
  <c r="AT605" i="38"/>
  <c r="BB456" i="38"/>
  <c r="AL233" i="38"/>
  <c r="BB881" i="38"/>
  <c r="AL95" i="38"/>
  <c r="AL235" i="38"/>
  <c r="AT346" i="38"/>
  <c r="AP32" i="38"/>
  <c r="BB92" i="38"/>
  <c r="AT929" i="38"/>
  <c r="BC699" i="38"/>
  <c r="BC812" i="38"/>
  <c r="AL1079" i="38"/>
  <c r="AT229" i="38"/>
  <c r="AM1027" i="38"/>
  <c r="BC593" i="38"/>
  <c r="BB389" i="38"/>
  <c r="BC1021" i="38"/>
  <c r="BB806" i="38"/>
  <c r="AM172" i="38"/>
  <c r="AP114" i="38"/>
  <c r="BB418" i="38"/>
  <c r="AL442" i="38"/>
  <c r="AL981" i="38"/>
  <c r="AT71" i="38"/>
  <c r="BC720" i="38"/>
  <c r="BC1103" i="38"/>
  <c r="AU160" i="38"/>
  <c r="AM516" i="38"/>
  <c r="AL641" i="38"/>
  <c r="BC581" i="38"/>
  <c r="AM165" i="38"/>
  <c r="AM286" i="38"/>
  <c r="BC961" i="38"/>
  <c r="AT884" i="38"/>
  <c r="AT722" i="38"/>
  <c r="BB17" i="38"/>
  <c r="BF873" i="38"/>
  <c r="AL814" i="38"/>
  <c r="AM1017" i="38"/>
  <c r="BC1067" i="38"/>
  <c r="AT205" i="38"/>
  <c r="BC219" i="38"/>
  <c r="AU1075" i="38"/>
  <c r="BC1077" i="38"/>
  <c r="AU554" i="38"/>
  <c r="AM1067" i="38"/>
  <c r="BB1000" i="38"/>
  <c r="AM765" i="38"/>
  <c r="AM465" i="38"/>
  <c r="AU860" i="38"/>
  <c r="AM849" i="38"/>
  <c r="AP778" i="38"/>
  <c r="BC507" i="38"/>
  <c r="BC309" i="38"/>
  <c r="AL1073" i="38"/>
  <c r="AT996" i="38"/>
  <c r="AM897" i="38"/>
  <c r="AU553" i="38"/>
  <c r="BF386" i="38"/>
  <c r="AL310" i="38"/>
  <c r="BC927" i="38"/>
  <c r="BB520" i="38"/>
  <c r="AM1009" i="38"/>
  <c r="AL1054" i="38"/>
  <c r="AL1004" i="38"/>
  <c r="BB626" i="38"/>
  <c r="AU905" i="38"/>
  <c r="AX896" i="38"/>
  <c r="AU283" i="38"/>
  <c r="AM1020" i="38"/>
  <c r="AP792" i="38"/>
  <c r="AT201" i="38"/>
  <c r="AX805" i="38"/>
  <c r="AM988" i="38"/>
  <c r="BB511" i="38"/>
  <c r="AP173" i="38"/>
  <c r="BC22" i="38"/>
  <c r="BC643" i="38"/>
  <c r="AT386" i="38"/>
  <c r="AL472" i="38"/>
  <c r="BF781" i="38"/>
  <c r="BB187" i="38"/>
  <c r="BC477" i="38"/>
  <c r="BB765" i="38"/>
  <c r="AL478" i="38"/>
  <c r="AT117" i="38"/>
  <c r="AL479" i="38"/>
  <c r="AU881" i="38"/>
  <c r="BC548" i="38"/>
  <c r="AP166" i="38"/>
  <c r="AP800" i="38"/>
  <c r="AT1077" i="38"/>
  <c r="AX105" i="38"/>
  <c r="AU695" i="38"/>
  <c r="AU98" i="38"/>
  <c r="AX480" i="38"/>
  <c r="BB512" i="38"/>
  <c r="AM857" i="38"/>
  <c r="BF857" i="38"/>
  <c r="AL382" i="38"/>
  <c r="BB593" i="38"/>
  <c r="AP771" i="38"/>
  <c r="AT138" i="38"/>
  <c r="AX34" i="38"/>
  <c r="BB231" i="38"/>
  <c r="AM187" i="38"/>
  <c r="AM626" i="38"/>
  <c r="BF808" i="38"/>
  <c r="BB566" i="38"/>
  <c r="BB821" i="38"/>
  <c r="AM816" i="38"/>
  <c r="AM965" i="38"/>
  <c r="AL28" i="38"/>
  <c r="BB1062" i="38"/>
  <c r="BB863" i="38"/>
  <c r="BF777" i="38"/>
  <c r="AM160" i="38"/>
  <c r="AU1015" i="38"/>
  <c r="AT607" i="38"/>
  <c r="BF775" i="38"/>
  <c r="AT476" i="38"/>
  <c r="BB539" i="38"/>
  <c r="BB1054" i="38"/>
  <c r="AT265" i="38"/>
  <c r="BB499" i="38"/>
  <c r="BB436" i="38"/>
  <c r="AU864" i="38"/>
  <c r="AU174" i="38"/>
  <c r="AM511" i="38"/>
  <c r="AX454" i="38"/>
  <c r="BF198" i="38"/>
  <c r="AP894" i="38"/>
  <c r="BB854" i="38"/>
  <c r="AU649" i="38"/>
  <c r="AL1055" i="38"/>
  <c r="AT335" i="38"/>
  <c r="AL699" i="38"/>
  <c r="AP218" i="38"/>
  <c r="BC925" i="38"/>
  <c r="BC158" i="38"/>
  <c r="BB303" i="38"/>
  <c r="AP28" i="38"/>
  <c r="BB1031" i="38"/>
  <c r="BC326" i="38"/>
  <c r="BB57" i="38"/>
  <c r="AL298" i="38"/>
  <c r="BB192" i="38"/>
  <c r="AL585" i="38"/>
  <c r="AT500" i="38"/>
  <c r="AU895" i="38"/>
  <c r="AL1006" i="38"/>
  <c r="AU628" i="38"/>
  <c r="BB903" i="38"/>
  <c r="AX49" i="38"/>
  <c r="AT488" i="38"/>
  <c r="AU545" i="38"/>
  <c r="BB145" i="38"/>
  <c r="AL801" i="38"/>
  <c r="AP428" i="38"/>
  <c r="AT792" i="38"/>
  <c r="AM901" i="38"/>
  <c r="BF112" i="38"/>
  <c r="BB851" i="38"/>
  <c r="AL989" i="38"/>
  <c r="AP869" i="38"/>
  <c r="AT694" i="38"/>
  <c r="AL262" i="38"/>
  <c r="BF836" i="38"/>
  <c r="AM576" i="38"/>
  <c r="BB490" i="38"/>
  <c r="BB1087" i="38"/>
  <c r="AL930" i="38"/>
  <c r="AP21" i="38"/>
  <c r="AP145" i="38"/>
  <c r="BF812" i="38"/>
  <c r="BB102" i="38"/>
  <c r="AL349" i="38"/>
  <c r="AT1047" i="38"/>
  <c r="AM175" i="38"/>
  <c r="AT321" i="38"/>
  <c r="AM863" i="38"/>
  <c r="AX116" i="38"/>
  <c r="BC692" i="38"/>
  <c r="BC879" i="38"/>
  <c r="BC169" i="38"/>
  <c r="BF216" i="38"/>
  <c r="AM1049" i="38"/>
  <c r="AT168" i="38"/>
  <c r="AL735" i="38"/>
  <c r="AM47" i="38"/>
  <c r="AT867" i="38"/>
  <c r="BC596" i="38"/>
  <c r="AX500" i="38"/>
  <c r="AL513" i="38"/>
  <c r="AL173" i="38"/>
  <c r="AM295" i="38"/>
  <c r="BB440" i="38"/>
  <c r="BF918" i="38"/>
  <c r="BB666" i="38"/>
  <c r="BC586" i="38"/>
  <c r="AM934" i="38"/>
  <c r="AT846" i="38"/>
  <c r="BB726" i="38"/>
  <c r="AU228" i="38"/>
  <c r="AX932" i="38"/>
  <c r="BB307" i="38"/>
  <c r="AT294" i="38"/>
  <c r="AT734" i="38"/>
  <c r="AL574" i="38"/>
  <c r="AT958" i="38"/>
  <c r="BC468" i="38"/>
  <c r="BF843" i="38"/>
  <c r="AT646" i="38"/>
  <c r="AP848" i="38"/>
  <c r="BB1047" i="38"/>
  <c r="AT947" i="38"/>
  <c r="AT519" i="38"/>
  <c r="AT538" i="38"/>
  <c r="AT310" i="38"/>
  <c r="BF224" i="38"/>
  <c r="BC1092" i="38"/>
  <c r="AP808" i="38"/>
  <c r="AT1084" i="38"/>
  <c r="AT268" i="38"/>
  <c r="AL1098" i="38"/>
  <c r="AT981" i="38"/>
  <c r="AT571" i="38"/>
  <c r="AU796" i="38"/>
  <c r="AT982" i="38"/>
  <c r="AL487" i="38"/>
  <c r="AU53" i="38"/>
  <c r="BC917" i="38"/>
  <c r="BC584" i="38"/>
  <c r="BF209" i="38"/>
  <c r="AT552" i="38"/>
  <c r="AU454" i="38"/>
  <c r="AM1081" i="38"/>
  <c r="AT733" i="38"/>
  <c r="AU295" i="38"/>
  <c r="BC396" i="38"/>
  <c r="AL608" i="38"/>
  <c r="BC746" i="38"/>
  <c r="AT1043" i="38"/>
  <c r="BF900" i="38"/>
  <c r="AT827" i="38"/>
  <c r="AX466" i="38"/>
  <c r="AT859" i="38"/>
  <c r="AU339" i="38"/>
  <c r="AL514" i="38"/>
  <c r="AU214" i="38"/>
  <c r="BC187" i="38"/>
  <c r="BC154" i="38"/>
  <c r="AL632" i="38"/>
  <c r="AL184" i="38"/>
  <c r="AU1054" i="38"/>
  <c r="BC580" i="38"/>
  <c r="AP46" i="38"/>
  <c r="AU787" i="38"/>
  <c r="AL601" i="38"/>
  <c r="AT771" i="38"/>
  <c r="AU778" i="38"/>
  <c r="AX396" i="38"/>
  <c r="AT512" i="38"/>
  <c r="AT665" i="38"/>
  <c r="BB162" i="38"/>
  <c r="AX93" i="38"/>
  <c r="AP438" i="38"/>
  <c r="AM586" i="38"/>
  <c r="BB686" i="38"/>
  <c r="BF52" i="38"/>
  <c r="AX775" i="38"/>
  <c r="AT1009" i="38"/>
  <c r="AU817" i="38"/>
  <c r="BB532" i="38"/>
  <c r="AP442" i="38"/>
  <c r="AP760" i="38"/>
  <c r="AU1006" i="38"/>
  <c r="BF901" i="38"/>
  <c r="BB581" i="38"/>
  <c r="AU755" i="38"/>
  <c r="BB845" i="38"/>
  <c r="AM529" i="38"/>
  <c r="BF215" i="38"/>
  <c r="AP828" i="38"/>
  <c r="BB45" i="38"/>
  <c r="AP229" i="38"/>
  <c r="AT775" i="38"/>
  <c r="AL983" i="38"/>
  <c r="AU1056" i="38"/>
  <c r="AU670" i="38"/>
  <c r="AT906" i="38"/>
  <c r="AU163" i="38"/>
  <c r="BB362" i="38"/>
  <c r="BF382" i="38"/>
  <c r="AM345" i="38"/>
  <c r="AM1044" i="38"/>
  <c r="BC642" i="38"/>
  <c r="AU942" i="38"/>
  <c r="AU48" i="38"/>
  <c r="AT975" i="38"/>
  <c r="BC139" i="38"/>
  <c r="AT1057" i="38"/>
  <c r="AP790" i="38"/>
  <c r="BF756" i="38"/>
  <c r="BC810" i="38"/>
  <c r="AT194" i="38"/>
  <c r="BC430" i="38"/>
  <c r="BB738" i="38"/>
  <c r="AM716" i="38"/>
  <c r="AM971" i="38"/>
  <c r="AL579" i="38"/>
  <c r="AP489" i="38"/>
  <c r="AM360" i="38"/>
  <c r="AT337" i="38"/>
  <c r="BC1054" i="38"/>
  <c r="AM513" i="38"/>
  <c r="AM166" i="38"/>
  <c r="AT503" i="38"/>
  <c r="BC504" i="38"/>
  <c r="AU793" i="38"/>
  <c r="AL1066" i="38"/>
  <c r="AX156" i="38"/>
  <c r="AL489" i="38"/>
  <c r="AU827" i="38"/>
  <c r="AP92" i="38"/>
  <c r="BB669" i="38"/>
  <c r="AM183" i="38"/>
  <c r="AL965" i="38"/>
  <c r="BC160" i="38"/>
  <c r="BC756" i="38"/>
  <c r="AM552" i="38"/>
  <c r="BC471" i="38"/>
  <c r="BC621" i="38"/>
  <c r="BC122" i="38"/>
  <c r="AP41" i="38"/>
  <c r="AT93" i="38"/>
  <c r="AT1090" i="38"/>
  <c r="AX205" i="38"/>
  <c r="AP31" i="38"/>
  <c r="AT593" i="38"/>
  <c r="AU772" i="38"/>
  <c r="BC1035" i="38"/>
  <c r="AU617" i="38"/>
  <c r="BC388" i="38"/>
  <c r="AT57" i="38"/>
  <c r="AT232" i="38"/>
  <c r="BF500" i="38"/>
  <c r="AM858" i="38"/>
  <c r="BF480" i="38"/>
  <c r="BB656" i="38"/>
  <c r="AU520" i="38"/>
  <c r="AL359" i="38"/>
  <c r="AX394" i="38"/>
  <c r="AU547" i="38"/>
  <c r="AT582" i="38"/>
  <c r="AX849" i="38"/>
  <c r="BB1063" i="38"/>
  <c r="AM497" i="38"/>
  <c r="BC485" i="38"/>
  <c r="AM841" i="38"/>
  <c r="BC389" i="38"/>
  <c r="AT35" i="38"/>
  <c r="BB991" i="38"/>
  <c r="BC353" i="38"/>
  <c r="AT523" i="38"/>
  <c r="AM73" i="38"/>
  <c r="AL528" i="38"/>
  <c r="AX815" i="38"/>
  <c r="AP427" i="38"/>
  <c r="BB282" i="38"/>
  <c r="BF457" i="38"/>
  <c r="BC816" i="38"/>
  <c r="AP441" i="38"/>
  <c r="AU786" i="38"/>
  <c r="AL819" i="38"/>
  <c r="AT27" i="38"/>
  <c r="AU502" i="38"/>
  <c r="BB768" i="38"/>
  <c r="AT637" i="38"/>
  <c r="AX546" i="38"/>
  <c r="BC452" i="38"/>
  <c r="AT461" i="38"/>
  <c r="AL169" i="38"/>
  <c r="AP226" i="38"/>
  <c r="BF220" i="38"/>
  <c r="BB229" i="38"/>
  <c r="AU477" i="38"/>
  <c r="BC940" i="38"/>
  <c r="AL884" i="38"/>
  <c r="AM807" i="38"/>
  <c r="BC265" i="38"/>
  <c r="BB509" i="38"/>
  <c r="BB122" i="38"/>
  <c r="AL583" i="38"/>
  <c r="BC598" i="38"/>
  <c r="BC275" i="38"/>
  <c r="AP892" i="38"/>
  <c r="AP776" i="38"/>
  <c r="AL410" i="38"/>
  <c r="AP188" i="38"/>
  <c r="AT228" i="38"/>
  <c r="BB719" i="38"/>
  <c r="AP513" i="38"/>
  <c r="BC97" i="38"/>
  <c r="AM567" i="38"/>
  <c r="BC873" i="38"/>
  <c r="BB525" i="38"/>
  <c r="BC675" i="38"/>
  <c r="AP759" i="38"/>
  <c r="AU917" i="38"/>
  <c r="AT934" i="38"/>
  <c r="AM783" i="38"/>
  <c r="AU1023" i="38"/>
  <c r="AX865" i="38"/>
  <c r="BB1035" i="38"/>
  <c r="AP920" i="38"/>
  <c r="AM42" i="38"/>
  <c r="AL927" i="38"/>
  <c r="AM995" i="38"/>
  <c r="AL157" i="38"/>
  <c r="AP366" i="38"/>
  <c r="AL549" i="38"/>
  <c r="BB331" i="38"/>
  <c r="BF912" i="38"/>
  <c r="BB1042" i="38"/>
  <c r="AU768" i="38"/>
  <c r="BC1041" i="38"/>
  <c r="AP57" i="38"/>
  <c r="BC176" i="38"/>
  <c r="AL475" i="38"/>
  <c r="AL950" i="38"/>
  <c r="AL892" i="38"/>
  <c r="AM569" i="38"/>
  <c r="AX115" i="38"/>
  <c r="AT257" i="38"/>
  <c r="AX109" i="38"/>
  <c r="BB927" i="38"/>
  <c r="AT1071" i="38"/>
  <c r="BF446" i="38"/>
  <c r="AL1078" i="38"/>
  <c r="BF392" i="38"/>
  <c r="BC977" i="38"/>
  <c r="BF214" i="38"/>
  <c r="AU115" i="38"/>
  <c r="AL690" i="38"/>
  <c r="BB1022" i="38"/>
  <c r="BC802" i="38"/>
  <c r="AL994" i="38"/>
  <c r="AU694" i="38"/>
  <c r="BC325" i="38"/>
  <c r="AL302" i="38"/>
  <c r="AL54" i="38"/>
  <c r="AT634" i="38"/>
  <c r="AT328" i="38"/>
  <c r="BB1003" i="38"/>
  <c r="AP224" i="38"/>
  <c r="BB355" i="38"/>
  <c r="BB704" i="38"/>
  <c r="AM446" i="38"/>
  <c r="AM186" i="38"/>
  <c r="AT923" i="38"/>
  <c r="AM481" i="38"/>
  <c r="AX847" i="38"/>
  <c r="AM437" i="38"/>
  <c r="AU1090" i="38"/>
  <c r="BC868" i="38"/>
  <c r="BC771" i="38"/>
  <c r="BF103" i="38"/>
  <c r="BC557" i="38"/>
  <c r="AP422" i="38"/>
  <c r="BB1014" i="38"/>
  <c r="AU946" i="38"/>
  <c r="AU996" i="38"/>
  <c r="AP436" i="38"/>
  <c r="BB461" i="38"/>
  <c r="AL162" i="38"/>
  <c r="AL949" i="38"/>
  <c r="AT223" i="38"/>
  <c r="BF801" i="38"/>
  <c r="AP898" i="38"/>
  <c r="BB882" i="38"/>
  <c r="AU213" i="38"/>
  <c r="AM261" i="38"/>
  <c r="AP860" i="38"/>
  <c r="BB526" i="38"/>
  <c r="AX479" i="38"/>
  <c r="BF357" i="38"/>
  <c r="AL914" i="38"/>
  <c r="BF872" i="38"/>
  <c r="AM993" i="38"/>
  <c r="AL73" i="38"/>
  <c r="BC914" i="38"/>
  <c r="AL817" i="38"/>
  <c r="AT290" i="38"/>
  <c r="AX200" i="38"/>
  <c r="BC982" i="38"/>
  <c r="BC711" i="38"/>
  <c r="AL853" i="38"/>
  <c r="AU342" i="38"/>
  <c r="AU751" i="38"/>
  <c r="BC885" i="38"/>
  <c r="AU415" i="38"/>
  <c r="AM258" i="38"/>
  <c r="AL668" i="38"/>
  <c r="AX32" i="38"/>
  <c r="AU1022" i="38"/>
  <c r="BC1014" i="38"/>
  <c r="BB763" i="38"/>
  <c r="BB488" i="38"/>
  <c r="AP814" i="38"/>
  <c r="AT990" i="38"/>
  <c r="AU995" i="38"/>
  <c r="AU949" i="38"/>
  <c r="BC1011" i="38"/>
  <c r="BB342" i="38"/>
  <c r="AT42" i="38"/>
  <c r="AX149" i="38"/>
  <c r="BC546" i="38"/>
  <c r="AU1103" i="38"/>
  <c r="AM507" i="38"/>
  <c r="AX455" i="38"/>
  <c r="BF428" i="38"/>
  <c r="AT169" i="38"/>
  <c r="BB216" i="38"/>
  <c r="AX164" i="38"/>
  <c r="AT162" i="38"/>
  <c r="AT714" i="38"/>
  <c r="AU426" i="38"/>
  <c r="BC579" i="38"/>
  <c r="AL383" i="38"/>
  <c r="AM962" i="38"/>
  <c r="AM23" i="38"/>
  <c r="AM893" i="38"/>
  <c r="AL657" i="38"/>
  <c r="AL960" i="38"/>
  <c r="AL625" i="38"/>
  <c r="BB953" i="38"/>
  <c r="AM342" i="38"/>
  <c r="AM802" i="38"/>
  <c r="BC980" i="38"/>
  <c r="BC539" i="38"/>
  <c r="AU744" i="38"/>
  <c r="BB849" i="38"/>
  <c r="AU498" i="38"/>
  <c r="BC359" i="38"/>
  <c r="BC712" i="38"/>
  <c r="AL405" i="38"/>
  <c r="AM941" i="38"/>
  <c r="AP59" i="38"/>
  <c r="AM866" i="38"/>
  <c r="BC684" i="38"/>
  <c r="BB114" i="38"/>
  <c r="AU309" i="38"/>
  <c r="AL640" i="38"/>
  <c r="AU717" i="38"/>
  <c r="BB943" i="38"/>
  <c r="BF66" i="38"/>
  <c r="AM130" i="38"/>
  <c r="BC104" i="38"/>
  <c r="BB665" i="38"/>
  <c r="AX888" i="38"/>
  <c r="AP47" i="38"/>
  <c r="AM613" i="38"/>
  <c r="AL292" i="38"/>
  <c r="AU393" i="38"/>
  <c r="AL1086" i="38"/>
  <c r="AT751" i="38"/>
  <c r="AL744" i="38"/>
  <c r="BF885" i="38"/>
  <c r="AT810" i="38"/>
  <c r="BB188" i="38"/>
  <c r="AU276" i="38"/>
  <c r="BC270" i="38"/>
  <c r="AP212" i="38"/>
  <c r="BC264" i="38"/>
  <c r="AT778" i="38"/>
  <c r="AT192" i="38"/>
  <c r="AM743" i="38"/>
  <c r="AM144" i="38"/>
  <c r="AT585" i="38"/>
  <c r="BC654" i="38"/>
  <c r="AX468" i="38"/>
  <c r="AL43" i="38"/>
  <c r="AM53" i="38"/>
  <c r="BB988" i="38"/>
  <c r="AT361" i="38"/>
  <c r="BB864" i="38"/>
  <c r="AM714" i="38"/>
  <c r="BC1047" i="38"/>
  <c r="BB771" i="38"/>
  <c r="AT68" i="38"/>
  <c r="AL548" i="38"/>
  <c r="AM297" i="38"/>
  <c r="AM72" i="38"/>
  <c r="BB481" i="38"/>
  <c r="AM808" i="38"/>
  <c r="AT618" i="38"/>
  <c r="BF501" i="38"/>
  <c r="AX797" i="38"/>
  <c r="AU919" i="38"/>
  <c r="BB554" i="38"/>
  <c r="AP838" i="38"/>
  <c r="AL198" i="38"/>
  <c r="AT650" i="38"/>
  <c r="AU444" i="38"/>
  <c r="AU924" i="38"/>
  <c r="AT533" i="38"/>
  <c r="AX920" i="38"/>
  <c r="AU737" i="38"/>
  <c r="AL778" i="38"/>
  <c r="AT387" i="38"/>
  <c r="AU293" i="38"/>
  <c r="BF545" i="38"/>
  <c r="AT521" i="38"/>
  <c r="AM1103" i="38"/>
  <c r="BB139" i="38"/>
  <c r="AT609" i="38"/>
  <c r="AL20" i="38"/>
  <c r="BC299" i="38"/>
  <c r="AT1078" i="38"/>
  <c r="AT1049" i="38"/>
  <c r="BB93" i="38"/>
  <c r="AL799" i="38"/>
  <c r="BC395" i="38"/>
  <c r="BF835" i="38"/>
  <c r="AT941" i="38"/>
  <c r="AT104" i="38"/>
  <c r="AL1041" i="38"/>
  <c r="AL201" i="38"/>
  <c r="BB696" i="38"/>
  <c r="AL554" i="38"/>
  <c r="AM1005" i="38"/>
  <c r="AP461" i="38"/>
  <c r="BC212" i="38"/>
  <c r="AM266" i="38"/>
  <c r="AT818" i="38"/>
  <c r="BC628" i="38"/>
  <c r="AX926" i="38"/>
  <c r="AM741" i="38"/>
  <c r="AM1041" i="38"/>
  <c r="AP544" i="38"/>
  <c r="AL648" i="38"/>
  <c r="AT457" i="38"/>
  <c r="AL578" i="38"/>
  <c r="BB920" i="38"/>
  <c r="BC990" i="38"/>
  <c r="AM695" i="38"/>
  <c r="BC147" i="38"/>
  <c r="AU22" i="38"/>
  <c r="AL870" i="38"/>
  <c r="AL798" i="38"/>
  <c r="BB811" i="38"/>
  <c r="BB829" i="38"/>
  <c r="AL455" i="38"/>
  <c r="AU368" i="38"/>
  <c r="AT897" i="38"/>
  <c r="BB739" i="38"/>
  <c r="AL975" i="38"/>
  <c r="AL811" i="38"/>
  <c r="BC185" i="38"/>
  <c r="BC440" i="38"/>
  <c r="AU459" i="38"/>
  <c r="BC884" i="38"/>
  <c r="AM680" i="38"/>
  <c r="AL984" i="38"/>
  <c r="BC604" i="38"/>
  <c r="BC843" i="38"/>
  <c r="AX184" i="38"/>
  <c r="AM903" i="38"/>
  <c r="BC620" i="38"/>
  <c r="BF42" i="38"/>
  <c r="AM174" i="38"/>
  <c r="BC1015" i="38"/>
  <c r="AP912" i="38"/>
  <c r="BF182" i="38"/>
  <c r="BC627" i="38"/>
  <c r="AU1030" i="38"/>
  <c r="AL970" i="38"/>
  <c r="BC345" i="38"/>
  <c r="AU971" i="38"/>
  <c r="AU891" i="38"/>
  <c r="AL928" i="38"/>
  <c r="AP67" i="38"/>
  <c r="BC231" i="38"/>
  <c r="AM1015" i="38"/>
  <c r="AT900" i="38"/>
  <c r="AU945" i="38"/>
  <c r="AM58" i="38"/>
  <c r="BB810" i="38"/>
  <c r="AT1032" i="38"/>
  <c r="AU1100" i="38"/>
  <c r="AM747" i="38"/>
  <c r="BC609" i="38"/>
  <c r="AP462" i="38"/>
  <c r="AX129" i="38"/>
  <c r="BB325" i="38"/>
  <c r="AP788" i="38"/>
  <c r="AT717" i="38"/>
  <c r="AT758" i="38"/>
  <c r="AP158" i="38"/>
  <c r="AL852" i="38"/>
  <c r="AU52" i="38"/>
  <c r="BB823" i="38"/>
  <c r="BF815" i="38"/>
  <c r="BB957" i="38"/>
  <c r="AX175" i="38"/>
  <c r="AT1036" i="38"/>
  <c r="BC344" i="38"/>
  <c r="AX809" i="38"/>
  <c r="AT227" i="38"/>
  <c r="AL762" i="38"/>
  <c r="BB923" i="38"/>
  <c r="BB728" i="38"/>
  <c r="AL296" i="38"/>
  <c r="AT682" i="38"/>
  <c r="AT782" i="38"/>
  <c r="AU624" i="38"/>
  <c r="AP789" i="38"/>
  <c r="AX512" i="38"/>
  <c r="AU910" i="38"/>
  <c r="AT308" i="38"/>
  <c r="BC327" i="38"/>
  <c r="BC480" i="38"/>
  <c r="BC433" i="38"/>
  <c r="BB1046" i="38"/>
  <c r="AT324" i="38"/>
  <c r="AM235" i="38"/>
  <c r="BB793" i="38"/>
  <c r="BC724" i="38"/>
  <c r="BB697" i="38"/>
  <c r="AL995" i="38"/>
  <c r="BB809" i="38"/>
  <c r="BC165" i="38"/>
  <c r="AL350" i="38"/>
  <c r="BF199" i="38"/>
  <c r="AU343" i="38"/>
  <c r="AL1023" i="38"/>
  <c r="BB437" i="38"/>
  <c r="AL538" i="38"/>
  <c r="AL53" i="38"/>
  <c r="BF43" i="38"/>
  <c r="AL1020" i="38"/>
  <c r="BB708" i="38"/>
  <c r="AM462" i="38"/>
  <c r="BC255" i="38"/>
  <c r="AP922" i="38"/>
  <c r="BC293" i="38"/>
  <c r="AM656" i="38"/>
  <c r="AL951" i="38"/>
  <c r="AM466" i="38"/>
  <c r="AM958" i="38"/>
  <c r="AL626" i="38"/>
  <c r="BC955" i="38"/>
  <c r="AU107" i="38"/>
  <c r="AP851" i="38"/>
  <c r="AL104" i="38"/>
  <c r="AL576" i="38"/>
  <c r="AX217" i="38"/>
  <c r="BF805" i="38"/>
  <c r="AU280" i="38"/>
  <c r="AM976" i="38"/>
  <c r="AX95" i="38"/>
  <c r="BC626" i="38"/>
  <c r="BB1055" i="38"/>
  <c r="BB225" i="38"/>
  <c r="BB1066" i="38"/>
  <c r="AP70" i="38"/>
  <c r="AU821" i="38"/>
  <c r="AL883" i="38"/>
  <c r="BB411" i="38"/>
  <c r="BB814" i="38"/>
  <c r="AX31" i="38"/>
  <c r="AT477" i="38"/>
  <c r="BB300" i="38"/>
  <c r="BF429" i="38"/>
  <c r="AU479" i="38"/>
  <c r="BF502" i="38"/>
  <c r="AP887" i="38"/>
  <c r="AL1042" i="38"/>
  <c r="AL674" i="38"/>
  <c r="AM690" i="38"/>
  <c r="BC434" i="38"/>
  <c r="AM867" i="38"/>
  <c r="BB1077" i="38"/>
  <c r="AM209" i="38"/>
  <c r="AM393" i="38"/>
  <c r="AU660" i="38"/>
  <c r="AL1022" i="38"/>
  <c r="AM524" i="38"/>
  <c r="BC929" i="38"/>
  <c r="AM916" i="38"/>
  <c r="AM32" i="38"/>
  <c r="AU704" i="38"/>
  <c r="AL293" i="38"/>
  <c r="AU799" i="38"/>
  <c r="AL333" i="38"/>
  <c r="AM607" i="38"/>
  <c r="BF370" i="38"/>
  <c r="BC554" i="38"/>
  <c r="AT786" i="38"/>
  <c r="AP882" i="38"/>
  <c r="BC779" i="38"/>
  <c r="AT854" i="38"/>
  <c r="AU714" i="38"/>
  <c r="AM920" i="38"/>
  <c r="AL934" i="38"/>
  <c r="AU21" i="38"/>
  <c r="AU871" i="38"/>
  <c r="AX910" i="38"/>
  <c r="AX807" i="38"/>
  <c r="AT516" i="38"/>
  <c r="BC143" i="38"/>
  <c r="BB383" i="38"/>
  <c r="AU73" i="38"/>
  <c r="AP220" i="38"/>
  <c r="AU157" i="38"/>
  <c r="BB884" i="38"/>
  <c r="BF148" i="38"/>
  <c r="BC555" i="38"/>
  <c r="AM260" i="38"/>
  <c r="AM68" i="38"/>
  <c r="AM512" i="38"/>
  <c r="AL781" i="38"/>
  <c r="BF138" i="38"/>
  <c r="BC687" i="38"/>
  <c r="AL754" i="38"/>
  <c r="AX395" i="38"/>
  <c r="BB1030" i="38"/>
  <c r="AT66" i="38"/>
  <c r="AL959" i="38"/>
  <c r="BC226" i="38"/>
  <c r="AM947" i="38"/>
  <c r="BC672" i="38"/>
  <c r="BC267" i="38"/>
  <c r="BB468" i="38"/>
  <c r="AT614" i="38"/>
  <c r="BB506" i="38"/>
  <c r="BC809" i="38"/>
  <c r="AM114" i="38"/>
  <c r="BC838" i="38"/>
  <c r="BB23" i="38"/>
  <c r="AM332" i="38"/>
  <c r="AL129" i="38"/>
  <c r="BC110" i="38"/>
  <c r="BC871" i="38"/>
  <c r="AP508" i="38"/>
  <c r="AX160" i="38"/>
  <c r="AM1007" i="38"/>
  <c r="AX161" i="38"/>
  <c r="BC959" i="38"/>
  <c r="AU299" i="38"/>
  <c r="AL217" i="38"/>
  <c r="AM150" i="38"/>
  <c r="AL321" i="38"/>
  <c r="AT391" i="38"/>
  <c r="BB1045" i="38"/>
  <c r="AL653" i="38"/>
  <c r="AP445" i="38"/>
  <c r="AU334" i="38"/>
  <c r="AU496" i="38"/>
  <c r="AX941" i="38"/>
  <c r="AL992" i="38"/>
  <c r="AU201" i="38"/>
  <c r="AL783" i="38"/>
  <c r="AT882" i="38"/>
  <c r="AL1100" i="38"/>
  <c r="AL393" i="38"/>
  <c r="AU774" i="38"/>
  <c r="AX814" i="38"/>
  <c r="BF858" i="38"/>
  <c r="AL851" i="38"/>
  <c r="AU811" i="38"/>
  <c r="AL610" i="38"/>
  <c r="BB44" i="38"/>
  <c r="AT434" i="38"/>
  <c r="AT135" i="38"/>
  <c r="AU333" i="38"/>
  <c r="AM197" i="38"/>
  <c r="AT984" i="38"/>
  <c r="AL194" i="38"/>
  <c r="AL441" i="38"/>
  <c r="AP541" i="38"/>
  <c r="AT723" i="38"/>
  <c r="BB238" i="38"/>
  <c r="BC708" i="38"/>
  <c r="AL593" i="38"/>
  <c r="AX913" i="38"/>
  <c r="BF774" i="38"/>
  <c r="AT620" i="38"/>
  <c r="BC578" i="38"/>
  <c r="AT1074" i="38"/>
  <c r="AX441" i="38"/>
  <c r="AL62" i="38"/>
  <c r="AM19" i="38"/>
  <c r="AP426" i="38"/>
  <c r="AU455" i="38"/>
  <c r="AT326" i="38"/>
  <c r="AM894" i="38"/>
  <c r="AX123" i="38"/>
  <c r="BB434" i="38"/>
  <c r="AM382" i="38"/>
  <c r="AM476" i="38"/>
  <c r="AL465" i="38"/>
  <c r="AT219" i="38"/>
  <c r="AM333" i="38"/>
  <c r="BB305" i="38"/>
  <c r="AT1005" i="38"/>
  <c r="AX462" i="38"/>
  <c r="AM357" i="38"/>
  <c r="AM199" i="38"/>
  <c r="AX915" i="38"/>
  <c r="AM888" i="38"/>
  <c r="BC1031" i="38"/>
  <c r="AL422" i="38"/>
  <c r="BF861" i="38"/>
  <c r="AT62" i="38"/>
  <c r="AP768" i="38"/>
  <c r="BC286" i="38"/>
  <c r="AM809" i="38"/>
  <c r="BC960" i="38"/>
  <c r="AU229" i="38"/>
  <c r="AU989" i="38"/>
  <c r="AT1089" i="38"/>
  <c r="AL356" i="38"/>
  <c r="AT330" i="38"/>
  <c r="AT225" i="38"/>
  <c r="BC1010" i="38"/>
  <c r="AP866" i="38"/>
  <c r="AL430" i="38"/>
  <c r="AT549" i="38"/>
  <c r="AL972" i="38"/>
  <c r="AM734" i="38"/>
  <c r="BB40" i="38"/>
  <c r="BB544" i="38"/>
  <c r="AU825" i="38"/>
  <c r="AT20" i="38"/>
  <c r="BB989" i="38"/>
  <c r="BC261" i="38"/>
  <c r="AU763" i="38"/>
  <c r="AU441" i="38"/>
  <c r="BB925" i="38"/>
  <c r="AT299" i="38"/>
  <c r="AT644" i="38"/>
  <c r="BB569" i="38"/>
  <c r="AU484" i="38"/>
  <c r="AU574" i="38"/>
  <c r="BB586" i="38"/>
  <c r="AX41" i="38"/>
  <c r="BB841" i="38"/>
  <c r="BC762" i="38"/>
  <c r="BF787" i="38"/>
  <c r="AP58" i="38"/>
  <c r="AU304" i="38"/>
  <c r="BB702" i="38"/>
  <c r="AP68" i="38"/>
  <c r="AP370" i="38"/>
  <c r="AM687" i="38"/>
  <c r="AL982" i="38"/>
  <c r="AX759" i="38"/>
  <c r="AU839" i="38"/>
  <c r="AT945" i="38"/>
  <c r="AT383" i="38"/>
  <c r="AL1050" i="38"/>
  <c r="AU607" i="38"/>
  <c r="AU521" i="38"/>
  <c r="AM881" i="38"/>
  <c r="AM831" i="38"/>
  <c r="AT464" i="38"/>
  <c r="AM691" i="38"/>
  <c r="AM763" i="38"/>
  <c r="AL849" i="38"/>
  <c r="AT1076" i="38"/>
  <c r="AT971" i="38"/>
  <c r="AU862" i="38"/>
  <c r="AL463" i="38"/>
  <c r="BF129" i="38"/>
  <c r="BC745" i="38"/>
  <c r="AX256" i="38"/>
  <c r="BC531" i="38"/>
  <c r="AT700" i="38"/>
  <c r="AM779" i="38"/>
  <c r="BB910" i="38"/>
  <c r="BC42" i="38"/>
  <c r="AX852" i="38"/>
  <c r="AX146" i="38"/>
  <c r="BC1091" i="38"/>
  <c r="AU621" i="38"/>
  <c r="AL1007" i="38"/>
  <c r="AL222" i="38"/>
  <c r="BC276" i="38"/>
  <c r="AT986" i="38"/>
  <c r="AU112" i="38"/>
  <c r="BC355" i="38"/>
  <c r="AL725" i="38"/>
  <c r="AL213" i="38"/>
  <c r="AT28" i="38"/>
  <c r="AM733" i="38"/>
  <c r="AX134" i="38"/>
  <c r="AU1001" i="38"/>
  <c r="BB754" i="38"/>
  <c r="BC685" i="38"/>
  <c r="BB441" i="38"/>
  <c r="BC1065" i="38"/>
  <c r="BC14" i="38"/>
  <c r="AL301" i="38"/>
  <c r="BC840" i="38"/>
  <c r="AT883" i="38"/>
  <c r="AU710" i="38"/>
  <c r="BC697" i="38"/>
  <c r="BF798" i="38"/>
  <c r="AU716" i="38"/>
  <c r="AT754" i="38"/>
  <c r="AU1076" i="38"/>
  <c r="AL458" i="38"/>
  <c r="AM222" i="38"/>
  <c r="AM799" i="38"/>
  <c r="AM505" i="38"/>
  <c r="AU308" i="38"/>
  <c r="AL480" i="38"/>
  <c r="AT966" i="38"/>
  <c r="BB846" i="38"/>
  <c r="BF230" i="38"/>
  <c r="BC506" i="38"/>
  <c r="AT226" i="38"/>
  <c r="BC739" i="38"/>
  <c r="AM786" i="38"/>
  <c r="BB931" i="38"/>
  <c r="AM548" i="38"/>
  <c r="BB633" i="38"/>
  <c r="AU849" i="38"/>
  <c r="AU247" i="38"/>
  <c r="AM821" i="38"/>
  <c r="AL689" i="38"/>
  <c r="BC1089" i="38"/>
  <c r="BF830" i="38"/>
  <c r="BC911" i="38"/>
  <c r="AX453" i="38"/>
  <c r="AL322" i="38"/>
  <c r="AP42" i="38"/>
  <c r="AT309" i="38"/>
  <c r="BC789" i="38"/>
  <c r="AP490" i="38"/>
  <c r="AT212" i="38"/>
  <c r="AT777" i="38"/>
  <c r="BB886" i="38"/>
  <c r="AU880" i="38"/>
  <c r="AX897" i="38"/>
  <c r="AU1044" i="38"/>
  <c r="BC949" i="38"/>
  <c r="AL94" i="38"/>
  <c r="AL1097" i="38"/>
  <c r="BB610" i="38"/>
  <c r="AT821" i="38"/>
  <c r="AU203" i="38"/>
  <c r="AT817" i="38"/>
  <c r="AL440" i="38"/>
  <c r="AU754" i="38"/>
  <c r="AU200" i="38"/>
  <c r="AU834" i="38"/>
  <c r="AP934" i="38"/>
  <c r="AM103" i="38"/>
  <c r="BC1081" i="38"/>
  <c r="BB894" i="38"/>
  <c r="AM664" i="38"/>
  <c r="AX470" i="38"/>
  <c r="AX540" i="38"/>
  <c r="AT247" i="38"/>
  <c r="BC186" i="38"/>
  <c r="AM826" i="38"/>
  <c r="AL715" i="38"/>
  <c r="AT491" i="38"/>
  <c r="BB190" i="38"/>
  <c r="BF465" i="38"/>
  <c r="AT507" i="38"/>
  <c r="BB508" i="38"/>
  <c r="BF821" i="38"/>
  <c r="BF210" i="38"/>
  <c r="AU533" i="38"/>
  <c r="AU360" i="38"/>
  <c r="BB621" i="38"/>
  <c r="AU154" i="38"/>
  <c r="AU59" i="38"/>
  <c r="BF227" i="38"/>
  <c r="AX172" i="38"/>
  <c r="AP933" i="38"/>
  <c r="BB285" i="38"/>
  <c r="AM924" i="38"/>
  <c r="AX848" i="38"/>
  <c r="AL603" i="38"/>
  <c r="AX108" i="38"/>
  <c r="AT749" i="38"/>
  <c r="AT285" i="38"/>
  <c r="BC1085" i="38"/>
  <c r="AU729" i="38"/>
  <c r="AX16" i="38"/>
  <c r="AT974" i="38"/>
  <c r="BC757" i="38"/>
  <c r="AL665" i="38"/>
  <c r="AM663" i="38"/>
  <c r="AU684" i="38"/>
  <c r="AT935" i="38"/>
  <c r="AU300" i="38"/>
  <c r="AM1034" i="38"/>
  <c r="BB698" i="38"/>
  <c r="AT256" i="38"/>
  <c r="AT902" i="38"/>
  <c r="AT750" i="38"/>
  <c r="AT868" i="38"/>
  <c r="BC17" i="38"/>
  <c r="BB110" i="38"/>
  <c r="BB366" i="38"/>
  <c r="AU820" i="38"/>
  <c r="BF927" i="38"/>
  <c r="BF238" i="38"/>
  <c r="BB63" i="38"/>
  <c r="AM757" i="38"/>
  <c r="BC198" i="38"/>
  <c r="AU291" i="38"/>
  <c r="BB254" i="38"/>
  <c r="BC1044" i="38"/>
  <c r="AL149" i="38"/>
  <c r="AT735" i="38"/>
  <c r="AM330" i="38"/>
  <c r="AU33" i="38"/>
  <c r="BC329" i="38"/>
  <c r="AP201" i="38"/>
  <c r="AP820" i="38"/>
  <c r="AM99" i="38"/>
  <c r="AT513" i="38"/>
  <c r="BB14" i="38"/>
  <c r="AM170" i="38"/>
  <c r="AX163" i="38"/>
  <c r="AT167" i="38"/>
  <c r="AP784" i="38"/>
  <c r="AL642" i="38"/>
  <c r="AM974" i="38"/>
  <c r="AM628" i="38"/>
  <c r="BF853" i="38"/>
  <c r="AT805" i="38"/>
  <c r="BC1050" i="38"/>
  <c r="AT165" i="38"/>
  <c r="BB917" i="38"/>
  <c r="AL718" i="38"/>
  <c r="BC611" i="38"/>
  <c r="AT269" i="38"/>
  <c r="BB609" i="38"/>
  <c r="AL750" i="38"/>
  <c r="AM205" i="38"/>
  <c r="AU391" i="38"/>
  <c r="AM171" i="38"/>
  <c r="AT349" i="38"/>
  <c r="AM386" i="38"/>
  <c r="AM232" i="38"/>
  <c r="AT527" i="38"/>
  <c r="AX873" i="38"/>
  <c r="AL903" i="38"/>
  <c r="AX355" i="38"/>
  <c r="AU166" i="38"/>
  <c r="AP129" i="38"/>
  <c r="AL436" i="38"/>
  <c r="AP135" i="38"/>
  <c r="AL366" i="38"/>
  <c r="AT794" i="38"/>
  <c r="AU587" i="38"/>
  <c r="AU14" i="38"/>
  <c r="BF890" i="38"/>
  <c r="AL882" i="38"/>
  <c r="AL652" i="38"/>
  <c r="AT520" i="38"/>
  <c r="BB807" i="38"/>
  <c r="BC230" i="38"/>
  <c r="AU114" i="38"/>
  <c r="AU453" i="38"/>
  <c r="AM35" i="38"/>
  <c r="AP176" i="38"/>
  <c r="BC119" i="38"/>
  <c r="BC346" i="38"/>
  <c r="BC203" i="38"/>
  <c r="AU712" i="38"/>
  <c r="AT928" i="38"/>
  <c r="AU529" i="38"/>
  <c r="AP835" i="38"/>
  <c r="AX509" i="38"/>
  <c r="AL573" i="38"/>
  <c r="AT390" i="38"/>
  <c r="BB457" i="38"/>
  <c r="AU963" i="38"/>
  <c r="BC732" i="38"/>
  <c r="BC508" i="38"/>
  <c r="AL977" i="38"/>
  <c r="BB333" i="38"/>
  <c r="AX515" i="38"/>
  <c r="AU1078" i="38"/>
  <c r="BF782" i="38"/>
  <c r="BC197" i="38"/>
  <c r="AM737" i="38"/>
  <c r="AX444" i="38"/>
  <c r="AU106" i="38"/>
  <c r="BB850" i="38"/>
  <c r="AU348" i="38"/>
  <c r="AT899" i="38"/>
  <c r="AU987" i="38"/>
  <c r="BB503" i="38"/>
  <c r="AT757" i="38"/>
  <c r="AT155" i="38"/>
  <c r="BB699" i="38"/>
  <c r="AT645" i="38"/>
  <c r="AX845" i="38"/>
  <c r="AX368" i="38"/>
  <c r="AT972" i="38"/>
  <c r="BF460" i="38"/>
  <c r="AL706" i="38"/>
  <c r="AU233" i="38"/>
  <c r="AX231" i="38"/>
  <c r="AX193" i="38"/>
  <c r="BC193" i="38"/>
  <c r="AT95" i="38"/>
  <c r="AM1006" i="38"/>
  <c r="AL686" i="38"/>
  <c r="BF823" i="38"/>
  <c r="AL1068" i="38"/>
  <c r="AX54" i="38"/>
  <c r="AL343" i="38"/>
  <c r="AX98" i="38"/>
  <c r="BB1052" i="38"/>
  <c r="AX777" i="38"/>
  <c r="AU886" i="38"/>
  <c r="BB163" i="38"/>
  <c r="AT1073" i="38"/>
  <c r="AU268" i="38"/>
  <c r="AU1031" i="38"/>
  <c r="BF99" i="38"/>
  <c r="AM110" i="38"/>
  <c r="BC1000" i="38"/>
  <c r="BB370" i="38"/>
  <c r="AP170" i="38"/>
  <c r="AM331" i="38"/>
  <c r="AT727" i="38"/>
  <c r="AM203" i="38"/>
  <c r="AT977" i="38"/>
  <c r="BC825" i="38"/>
  <c r="BC725" i="38"/>
  <c r="AL71" i="38"/>
  <c r="AU121" i="38"/>
  <c r="AU711" i="38"/>
  <c r="AT334" i="38"/>
  <c r="AM805" i="38"/>
  <c r="AU789" i="38"/>
  <c r="AT1055" i="38"/>
  <c r="AM644" i="38"/>
  <c r="AU915" i="38"/>
  <c r="AU161" i="38"/>
  <c r="BF110" i="38"/>
  <c r="AX776" i="38"/>
  <c r="AM1078" i="38"/>
  <c r="AU977" i="38"/>
  <c r="AT918" i="38"/>
  <c r="AU1051" i="38"/>
  <c r="AM456" i="38"/>
  <c r="BC622" i="38"/>
  <c r="BB257" i="38"/>
  <c r="AM616" i="38"/>
  <c r="AT815" i="38"/>
  <c r="BC1022" i="38"/>
  <c r="AT913" i="38"/>
  <c r="AM964" i="38"/>
  <c r="AP932" i="38"/>
  <c r="BF814" i="38"/>
  <c r="BF761" i="38"/>
  <c r="AT54" i="38"/>
  <c r="AM710" i="38"/>
  <c r="BF445" i="38"/>
  <c r="AX104" i="38"/>
  <c r="BC513" i="38"/>
  <c r="AU1097" i="38"/>
  <c r="AL812" i="38"/>
  <c r="AL659" i="38"/>
  <c r="AU156" i="38"/>
  <c r="AM985" i="38"/>
  <c r="AL743" i="38"/>
  <c r="AP16" i="38"/>
  <c r="AL820" i="38"/>
  <c r="AP365" i="38"/>
  <c r="BF785" i="38"/>
  <c r="BC1027" i="38"/>
  <c r="AT171" i="38"/>
  <c r="BB642" i="38"/>
  <c r="AP396" i="38"/>
  <c r="AX113" i="38"/>
  <c r="AM698" i="38"/>
  <c r="BC663" i="38"/>
  <c r="BB734" i="38"/>
  <c r="BB121" i="38"/>
  <c r="AL118" i="38"/>
  <c r="BC935" i="38"/>
  <c r="BC634" i="38"/>
  <c r="BC824" i="38"/>
  <c r="AL433" i="38"/>
  <c r="BB1038" i="38"/>
  <c r="AT564" i="38"/>
  <c r="BB1027" i="38"/>
  <c r="AL297" i="38"/>
  <c r="BB636" i="38"/>
  <c r="AL491" i="38"/>
  <c r="BC658" i="38"/>
  <c r="BF359" i="38"/>
  <c r="BC956" i="38"/>
  <c r="AL108" i="38"/>
  <c r="AM210" i="38"/>
  <c r="AM957" i="38"/>
  <c r="AT522" i="38"/>
  <c r="AM649" i="38"/>
  <c r="AM488" i="38"/>
  <c r="BF920" i="38"/>
  <c r="BC331" i="38"/>
  <c r="BB803" i="38"/>
  <c r="BF223" i="38"/>
  <c r="BC731" i="38"/>
  <c r="BC967" i="38"/>
  <c r="AP168" i="38"/>
  <c r="BB112" i="38"/>
  <c r="AM544" i="38"/>
  <c r="AU703" i="38"/>
  <c r="BC425" i="38"/>
  <c r="BF489" i="38"/>
  <c r="BB561" i="38"/>
  <c r="AT147" i="38"/>
  <c r="AL562" i="38"/>
  <c r="AM366" i="38"/>
  <c r="BB993" i="38"/>
  <c r="AP761" i="38"/>
  <c r="AL584" i="38"/>
  <c r="AM1016" i="38"/>
  <c r="BB891" i="38"/>
  <c r="AP418" i="38"/>
  <c r="AT951" i="38"/>
  <c r="AU788" i="38"/>
  <c r="AU576" i="38"/>
  <c r="AL976" i="38"/>
  <c r="AT67" i="38"/>
  <c r="BC857" i="38"/>
  <c r="BC394" i="38"/>
  <c r="AL963" i="38"/>
  <c r="AU697" i="38"/>
  <c r="BF17" i="38"/>
  <c r="AU800" i="38"/>
  <c r="AX767" i="38"/>
  <c r="BC467" i="38"/>
  <c r="BB507" i="38"/>
  <c r="BC521" i="38"/>
  <c r="AT235" i="38"/>
  <c r="AL172" i="38"/>
  <c r="AX488" i="38"/>
  <c r="AL644" i="38"/>
  <c r="AM604" i="38"/>
  <c r="AM364" i="38"/>
  <c r="BB306" i="38"/>
  <c r="BB496" i="38"/>
  <c r="AL1053" i="38"/>
  <c r="AU149" i="38"/>
  <c r="BC225" i="38"/>
  <c r="BB193" i="38"/>
  <c r="BF541" i="38"/>
  <c r="AU184" i="38"/>
  <c r="AL1010" i="38"/>
  <c r="AX870" i="38"/>
  <c r="AU805" i="38"/>
  <c r="AM711" i="38"/>
  <c r="AU489" i="38"/>
  <c r="AT872" i="38"/>
  <c r="BF852" i="38"/>
  <c r="AU599" i="38"/>
  <c r="AU1089" i="38"/>
  <c r="AM1066" i="38"/>
  <c r="AP501" i="38"/>
  <c r="AM24" i="38"/>
  <c r="BC478" i="38"/>
  <c r="BC603" i="38"/>
  <c r="BC899" i="38"/>
  <c r="BB1093" i="38"/>
  <c r="BC330" i="38"/>
  <c r="BF771" i="38"/>
  <c r="AU194" i="38"/>
  <c r="AL825" i="38"/>
  <c r="AP49" i="38"/>
  <c r="AM526" i="38"/>
  <c r="AT670" i="38"/>
  <c r="BF426" i="38"/>
  <c r="AL636" i="38"/>
  <c r="BB279" i="38"/>
  <c r="AX781" i="38"/>
  <c r="AM139" i="38"/>
  <c r="AL498" i="38"/>
  <c r="BB559" i="38"/>
  <c r="AX259" i="38"/>
  <c r="AX880" i="38"/>
  <c r="AT266" i="38"/>
  <c r="AT616" i="38"/>
  <c r="AL838" i="38"/>
  <c r="AL681" i="38"/>
  <c r="BB339" i="38"/>
  <c r="AU54" i="38"/>
  <c r="AT844" i="38"/>
  <c r="BF422" i="38"/>
  <c r="AL1049" i="38"/>
  <c r="BC484" i="38"/>
  <c r="AL651" i="38"/>
  <c r="AU16" i="38"/>
  <c r="BB870" i="38"/>
  <c r="AX882" i="38"/>
  <c r="AT657" i="38"/>
  <c r="AT852" i="38"/>
  <c r="AT814" i="38"/>
  <c r="BC333" i="38"/>
  <c r="AP414" i="38"/>
  <c r="BC514" i="38"/>
  <c r="BC835" i="38"/>
  <c r="AM433" i="38"/>
  <c r="AP52" i="38"/>
  <c r="BB625" i="38"/>
  <c r="AL517" i="38"/>
  <c r="AU361" i="38"/>
  <c r="BF497" i="38"/>
  <c r="BC749" i="38"/>
  <c r="AX537" i="38"/>
  <c r="AT73" i="38"/>
  <c r="BC983" i="38"/>
  <c r="AU296" i="38"/>
  <c r="AU286" i="38"/>
  <c r="AM913" i="38"/>
  <c r="BF895" i="38"/>
  <c r="BB778" i="38"/>
  <c r="BC629" i="38"/>
  <c r="BB962" i="38"/>
  <c r="AU1003" i="38"/>
  <c r="BB982" i="38"/>
  <c r="AM835" i="38"/>
  <c r="BC707" i="38"/>
  <c r="BB22" i="38"/>
  <c r="AM229" i="38"/>
  <c r="AT501" i="38"/>
  <c r="AX895" i="38"/>
  <c r="BF108" i="38"/>
  <c r="AL587" i="38"/>
  <c r="BB286" i="38"/>
  <c r="AT855" i="38"/>
  <c r="AT861" i="38"/>
  <c r="BF226" i="38"/>
  <c r="AP780" i="38"/>
  <c r="AM1048" i="38"/>
  <c r="BB155" i="38"/>
  <c r="AP497" i="38"/>
  <c r="AM560" i="38"/>
  <c r="AL986" i="38"/>
  <c r="AP762" i="38"/>
  <c r="AT736" i="38"/>
  <c r="BB222" i="38"/>
  <c r="BC613" i="38"/>
  <c r="BB971" i="38"/>
  <c r="AT298" i="38"/>
  <c r="AU569" i="38"/>
  <c r="AT638" i="38"/>
  <c r="BC932" i="38"/>
  <c r="BB879" i="38"/>
  <c r="BB95" i="38"/>
  <c r="BB964" i="38"/>
  <c r="AU791" i="38"/>
  <c r="BC50" i="38"/>
  <c r="BC992" i="38"/>
  <c r="AU632" i="38"/>
  <c r="BF547" i="38"/>
  <c r="AP913" i="38"/>
  <c r="BB1004" i="38"/>
  <c r="BB459" i="38"/>
  <c r="AM1051" i="38"/>
  <c r="AL421" i="38"/>
  <c r="AP803" i="38"/>
  <c r="AL161" i="38"/>
  <c r="AM1031" i="38"/>
  <c r="AM782" i="38"/>
  <c r="AP444" i="38"/>
  <c r="AM390" i="38"/>
  <c r="AM296" i="38"/>
  <c r="BC522" i="38"/>
  <c r="AL500" i="38"/>
  <c r="BC768" i="38"/>
  <c r="AT931" i="38"/>
  <c r="AM944" i="38"/>
  <c r="AL133" i="38"/>
  <c r="BB1068" i="38"/>
  <c r="AM636" i="38"/>
  <c r="AL203" i="38"/>
  <c r="BB265" i="38"/>
  <c r="AU1067" i="38"/>
  <c r="AX97" i="38"/>
  <c r="AP109" i="38"/>
  <c r="BC462" i="38"/>
  <c r="BC994" i="38"/>
  <c r="AX425" i="38"/>
  <c r="BC70" i="38"/>
  <c r="BB64" i="38"/>
  <c r="AM856" i="38"/>
  <c r="AU685" i="38"/>
  <c r="AM640" i="38"/>
  <c r="BC30" i="38"/>
  <c r="AT816" i="38"/>
  <c r="BB1057" i="38"/>
  <c r="AX33" i="38"/>
  <c r="AU30" i="38"/>
  <c r="AM368" i="38"/>
  <c r="AM1084" i="38"/>
  <c r="AU705" i="38"/>
  <c r="AL605" i="38"/>
  <c r="AU603" i="38"/>
  <c r="AX806" i="38"/>
  <c r="AX492" i="38"/>
  <c r="BF441" i="38"/>
  <c r="AM486" i="38"/>
  <c r="AM762" i="38"/>
  <c r="BC807" i="38"/>
  <c r="AM304" i="38"/>
  <c r="BC962" i="38"/>
  <c r="AX544" i="38"/>
  <c r="AX481" i="38"/>
  <c r="AT558" i="38"/>
  <c r="BF490" i="38"/>
  <c r="AU605" i="38"/>
  <c r="AU108" i="38"/>
  <c r="AU583" i="38"/>
  <c r="BB614" i="38"/>
  <c r="AT912" i="38"/>
  <c r="BC63" i="38"/>
  <c r="AL58" i="38"/>
  <c r="AL268" i="38"/>
  <c r="AX15" i="38"/>
  <c r="AL714" i="38"/>
  <c r="AM1085" i="38"/>
  <c r="BB425" i="38"/>
  <c r="AT24" i="38"/>
  <c r="AM627" i="38"/>
  <c r="AM409" i="38"/>
  <c r="BB756" i="38"/>
  <c r="BB1008" i="38"/>
  <c r="BC710" i="38"/>
  <c r="AT596" i="38"/>
  <c r="AL948" i="38"/>
  <c r="AM955" i="38"/>
  <c r="AL913" i="38"/>
  <c r="AL437" i="38"/>
  <c r="AL577" i="38"/>
  <c r="BF470" i="38"/>
  <c r="BC986" i="38"/>
  <c r="AM167" i="38"/>
  <c r="BC72" i="38"/>
  <c r="AL795" i="38"/>
  <c r="AU561" i="38"/>
  <c r="AL164" i="38"/>
  <c r="AP111" i="38"/>
  <c r="AU1038" i="38"/>
  <c r="BB360" i="38"/>
  <c r="AT633" i="38"/>
  <c r="AP467" i="38"/>
  <c r="BF183" i="38"/>
  <c r="BC221" i="38"/>
  <c r="AT746" i="38"/>
  <c r="BB817" i="38"/>
  <c r="AU557" i="38"/>
  <c r="AX763" i="38"/>
  <c r="AT281" i="38"/>
  <c r="AM612" i="38"/>
  <c r="AL231" i="38"/>
  <c r="AM292" i="38"/>
  <c r="BF813" i="38"/>
  <c r="BC31" i="38"/>
  <c r="BF106" i="38"/>
  <c r="AT1088" i="38"/>
  <c r="AU727" i="38"/>
  <c r="AT824" i="38"/>
  <c r="AT1030" i="38"/>
  <c r="AL726" i="38"/>
  <c r="AL190" i="38"/>
  <c r="AU19" i="38"/>
  <c r="AP811" i="38"/>
  <c r="BF887" i="38"/>
  <c r="AX761" i="38"/>
  <c r="AM667" i="38"/>
  <c r="AM812" i="38"/>
  <c r="AX784" i="38"/>
  <c r="AM421" i="38"/>
  <c r="AT679" i="38"/>
  <c r="BC922" i="38"/>
  <c r="BB992" i="38"/>
  <c r="AL806" i="38"/>
  <c r="AU701" i="38"/>
  <c r="BB1069" i="38"/>
  <c r="AU812" i="38"/>
  <c r="BF919" i="38"/>
  <c r="BB1064" i="38"/>
  <c r="BC332" i="38"/>
  <c r="AL68" i="38"/>
  <c r="AT1068" i="38"/>
  <c r="BC897" i="38"/>
  <c r="BB944" i="38"/>
  <c r="BB337" i="38"/>
  <c r="AM1033" i="38"/>
  <c r="AM859" i="38"/>
  <c r="AM1032" i="38"/>
  <c r="AT559" i="38"/>
  <c r="AT980" i="38"/>
  <c r="BC494" i="38"/>
  <c r="AM770" i="38"/>
  <c r="AU527" i="38"/>
  <c r="BB946" i="38"/>
  <c r="AT580" i="38"/>
  <c r="BB549" i="38"/>
  <c r="AL766" i="38"/>
  <c r="AM138" i="38"/>
  <c r="BB27" i="38"/>
  <c r="BC1069" i="38"/>
  <c r="AT217" i="38"/>
  <c r="AM198" i="38"/>
  <c r="BC1093" i="38"/>
  <c r="AM850" i="38"/>
  <c r="AT21" i="38"/>
  <c r="AU555" i="38"/>
  <c r="AP130" i="38"/>
  <c r="AX850" i="38"/>
  <c r="AL738" i="38"/>
  <c r="AM499" i="38"/>
  <c r="AM94" i="38"/>
  <c r="BB492" i="38"/>
  <c r="BB788" i="38"/>
  <c r="BB1005" i="38"/>
  <c r="AP519" i="38"/>
  <c r="AX390" i="38"/>
  <c r="AX779" i="38"/>
  <c r="BB592" i="38"/>
  <c r="BC892" i="38"/>
  <c r="BB945" i="38"/>
  <c r="BC821" i="38"/>
  <c r="AL900" i="38"/>
  <c r="AL647" i="38"/>
  <c r="BC497" i="38"/>
  <c r="BC830" i="38"/>
  <c r="AT17" i="38"/>
  <c r="AP223" i="38"/>
  <c r="AU474" i="38"/>
  <c r="AL683" i="38"/>
  <c r="AU434" i="38"/>
  <c r="BF799" i="38"/>
  <c r="AM864" i="38"/>
  <c r="AT612" i="38"/>
  <c r="AX198" i="38"/>
  <c r="BB369" i="38"/>
  <c r="AM689" i="38"/>
  <c r="AT31" i="38"/>
  <c r="BC1042" i="38"/>
  <c r="BC828" i="38"/>
  <c r="AU962" i="38"/>
  <c r="AP897" i="38"/>
  <c r="BC673" i="38"/>
  <c r="AT577" i="38"/>
  <c r="AM518" i="38"/>
  <c r="BF936" i="38"/>
  <c r="BB687" i="38"/>
  <c r="BC324" i="38"/>
  <c r="AX23" i="38"/>
  <c r="AT425" i="38"/>
  <c r="AX209" i="38"/>
  <c r="AT1048" i="38"/>
  <c r="AM796" i="38"/>
  <c r="BF175" i="38"/>
  <c r="AP118" i="38"/>
  <c r="BC220" i="38"/>
  <c r="BB958" i="38"/>
  <c r="AX816" i="38"/>
  <c r="BC664" i="38"/>
  <c r="BB717" i="38"/>
  <c r="AL598" i="38"/>
  <c r="AP54" i="38"/>
  <c r="AT511" i="38"/>
  <c r="AT581" i="38"/>
  <c r="AX35" i="38"/>
  <c r="AL1035" i="38"/>
  <c r="AU857" i="38"/>
  <c r="AU658" i="38"/>
  <c r="AM621" i="38"/>
  <c r="AM559" i="38"/>
  <c r="AT895" i="38"/>
  <c r="AT1012" i="38"/>
  <c r="AP454" i="38"/>
  <c r="AX257" i="38"/>
  <c r="AM112" i="38"/>
  <c r="BC948" i="38"/>
  <c r="BB458" i="38"/>
  <c r="BF542" i="38"/>
  <c r="AU494" i="38"/>
  <c r="AT30" i="38"/>
  <c r="AU46" i="38"/>
  <c r="AM676" i="38"/>
  <c r="AM675" i="38"/>
  <c r="AX758" i="38"/>
  <c r="AU959" i="38"/>
  <c r="AL492" i="38"/>
  <c r="AT671" i="38"/>
  <c r="BF854" i="38"/>
  <c r="BB1098" i="38"/>
  <c r="AT456" i="38"/>
  <c r="BB115" i="38"/>
  <c r="AT123" i="38"/>
  <c r="AP468" i="38"/>
  <c r="AL103" i="38"/>
  <c r="AT841" i="38"/>
  <c r="BF117" i="38"/>
  <c r="BF425" i="38"/>
  <c r="AT282" i="38"/>
  <c r="AP390" i="38"/>
  <c r="BB616" i="38"/>
  <c r="BC648" i="38"/>
  <c r="AL533" i="38"/>
  <c r="BC479" i="38"/>
  <c r="AL985" i="38"/>
  <c r="AM787" i="38"/>
  <c r="BB1023" i="38"/>
  <c r="AL454" i="38"/>
  <c r="AX826" i="38"/>
  <c r="BF158" i="38"/>
  <c r="AX858" i="38"/>
  <c r="AX489" i="38"/>
  <c r="AP139" i="38"/>
  <c r="AX782" i="38"/>
  <c r="AT116" i="38"/>
  <c r="BB267" i="38"/>
  <c r="BB970" i="38"/>
  <c r="AM1098" i="38"/>
  <c r="BC66" i="38"/>
  <c r="AU760" i="38"/>
  <c r="AL456" i="38"/>
  <c r="AT1026" i="38"/>
  <c r="BF811" i="38"/>
  <c r="AP806" i="38"/>
  <c r="BC109" i="38"/>
  <c r="AM704" i="38"/>
  <c r="AL1014" i="38"/>
  <c r="AX44" i="38"/>
  <c r="AP165" i="38"/>
  <c r="BB898" i="38"/>
  <c r="BC916" i="38"/>
  <c r="AP72" i="38"/>
  <c r="AU859" i="38"/>
  <c r="BC268" i="38"/>
  <c r="AP926" i="38"/>
  <c r="AU382" i="38"/>
  <c r="BF929" i="38"/>
  <c r="BF454" i="38"/>
  <c r="BF409" i="38"/>
  <c r="BC923" i="38"/>
  <c r="AM760" i="38"/>
  <c r="AL843" i="38"/>
  <c r="AL794" i="38"/>
  <c r="AU798" i="38"/>
  <c r="AT780" i="38"/>
  <c r="AM912" i="38"/>
  <c r="BB652" i="38"/>
  <c r="BC1040" i="38"/>
  <c r="BC547" i="38"/>
  <c r="BB639" i="38"/>
  <c r="AL619" i="38"/>
  <c r="BC445" i="38"/>
  <c r="BB773" i="38"/>
  <c r="AX145" i="38"/>
  <c r="AT721" i="38"/>
  <c r="BB928" i="38"/>
  <c r="BF26" i="38"/>
  <c r="AM1055" i="38"/>
  <c r="AX131" i="38"/>
  <c r="BF417" i="38"/>
  <c r="AM653" i="38"/>
  <c r="AL1088" i="38"/>
  <c r="AX856" i="38"/>
  <c r="AT224" i="38"/>
  <c r="AL966" i="38"/>
  <c r="AM677" i="38"/>
  <c r="AT1037" i="38"/>
  <c r="BB618" i="38"/>
  <c r="BB287" i="38"/>
  <c r="AL1099" i="38"/>
  <c r="AL730" i="38"/>
  <c r="BC405" i="38"/>
  <c r="AT652" i="38"/>
  <c r="AX760" i="38"/>
  <c r="AM231" i="38"/>
  <c r="AU1034" i="38"/>
  <c r="AT255" i="38"/>
  <c r="BF94" i="38"/>
  <c r="BF201" i="38"/>
  <c r="BC544" i="38"/>
  <c r="BB724" i="38"/>
  <c r="AT826" i="38"/>
  <c r="BB599" i="38"/>
  <c r="AT99" i="38"/>
  <c r="AU762" i="38"/>
  <c r="AT305" i="38"/>
  <c r="AU808" i="38"/>
  <c r="AU460" i="38"/>
  <c r="BB1036" i="38"/>
  <c r="AP211" i="38"/>
  <c r="AU619" i="38"/>
  <c r="AX487" i="38"/>
  <c r="BC559" i="38"/>
  <c r="BC836" i="38"/>
  <c r="AM637" i="38"/>
  <c r="BB679" i="38"/>
  <c r="AM434" i="38"/>
  <c r="BB660" i="38"/>
  <c r="BB371" i="38"/>
  <c r="AL979" i="38"/>
  <c r="BB784" i="38"/>
  <c r="AL31" i="38"/>
  <c r="AU392" i="38"/>
  <c r="AU883" i="38"/>
  <c r="BC1100" i="38"/>
  <c r="AP767" i="38"/>
  <c r="AX918" i="38"/>
  <c r="AT322" i="38"/>
  <c r="AX764" i="38"/>
  <c r="BB33" i="38"/>
  <c r="AM269" i="38"/>
  <c r="AT263" i="38"/>
  <c r="AM356" i="38"/>
  <c r="AM1002" i="38"/>
  <c r="AL810" i="38"/>
  <c r="AM1046" i="38"/>
  <c r="BF51" i="38"/>
  <c r="AL889" i="38"/>
  <c r="AX883" i="38"/>
  <c r="BB732" i="38"/>
  <c r="BC1048" i="38"/>
  <c r="BC488" i="38"/>
  <c r="AT518" i="38"/>
  <c r="AM565" i="38"/>
  <c r="BF139" i="38"/>
  <c r="AM305" i="38"/>
  <c r="AU824" i="38"/>
  <c r="AM1056" i="38"/>
  <c r="AL1005" i="38"/>
  <c r="AU921" i="38"/>
  <c r="AT766" i="38"/>
  <c r="AT654" i="38"/>
  <c r="AL511" i="38"/>
  <c r="BB831" i="38"/>
  <c r="BC222" i="38"/>
  <c r="AL555" i="38"/>
  <c r="BC748" i="38"/>
  <c r="BB388" i="38"/>
  <c r="AT936" i="38"/>
  <c r="AU740" i="38"/>
  <c r="BC656" i="38"/>
  <c r="AX22" i="38"/>
  <c r="BC151" i="38"/>
  <c r="AU197" i="38"/>
  <c r="AT920" i="38"/>
  <c r="AT468" i="38"/>
  <c r="AU897" i="38"/>
  <c r="AT837" i="38"/>
  <c r="AT730" i="38"/>
  <c r="AL357" i="38"/>
  <c r="AT69" i="38"/>
  <c r="AM554" i="38"/>
  <c r="AM1091" i="38"/>
  <c r="BB930" i="38"/>
  <c r="AM428" i="38"/>
  <c r="AP48" i="38"/>
  <c r="AP452" i="38"/>
  <c r="BB682" i="38"/>
  <c r="AM324" i="38"/>
  <c r="BC1004" i="38"/>
  <c r="BF869" i="38"/>
  <c r="BC121" i="38"/>
  <c r="AL790" i="38"/>
  <c r="AL891" i="38"/>
  <c r="AT455" i="38"/>
  <c r="AM950" i="38"/>
  <c r="AU836" i="38"/>
  <c r="BC1033" i="38"/>
  <c r="AL509" i="38"/>
  <c r="BC304" i="38"/>
  <c r="AP355" i="38"/>
  <c r="AT870" i="38"/>
  <c r="BC492" i="38"/>
  <c r="BC1072" i="38"/>
  <c r="AL303" i="38"/>
  <c r="AL858" i="38"/>
  <c r="BB224" i="38"/>
  <c r="AL185" i="38"/>
  <c r="BC937" i="38"/>
  <c r="BF147" i="38"/>
  <c r="BF221" i="38"/>
  <c r="AP884" i="38"/>
  <c r="BC683" i="38"/>
  <c r="BB41" i="38"/>
  <c r="BC589" i="38"/>
  <c r="BB182" i="38"/>
  <c r="BC1055" i="38"/>
  <c r="AM271" i="38"/>
  <c r="AL1074" i="38"/>
  <c r="AX234" i="38"/>
  <c r="AU904" i="38"/>
  <c r="AU801" i="38"/>
  <c r="AM563" i="38"/>
  <c r="BB295" i="38"/>
  <c r="AT789" i="38"/>
  <c r="AU608" i="38"/>
  <c r="AL334" i="38"/>
  <c r="AM1040" i="38"/>
  <c r="AM846" i="38"/>
  <c r="AM464" i="38"/>
  <c r="AT545" i="38"/>
  <c r="AX864" i="38"/>
  <c r="BC776" i="38"/>
  <c r="AM65" i="38"/>
  <c r="AM806" i="38"/>
  <c r="BF863" i="38"/>
  <c r="AU222" i="38"/>
  <c r="BC437" i="38"/>
  <c r="AT163" i="38"/>
  <c r="AX891" i="38"/>
  <c r="AP34" i="38"/>
  <c r="AM730" i="38"/>
  <c r="AX795" i="38"/>
  <c r="BC1034" i="38"/>
  <c r="AL597" i="38"/>
  <c r="AM1052" i="38"/>
  <c r="AM1045" i="38"/>
  <c r="BC159" i="38"/>
  <c r="BC650" i="38"/>
  <c r="AX828" i="38"/>
  <c r="AL176" i="38"/>
  <c r="BC476" i="38"/>
  <c r="BF795" i="38"/>
  <c r="AM818" i="38"/>
  <c r="AM584" i="38"/>
  <c r="AL1067" i="38"/>
  <c r="AT47" i="38"/>
  <c r="AP472" i="38"/>
  <c r="AM272" i="38"/>
  <c r="BF467" i="38"/>
  <c r="AL232" i="38"/>
  <c r="BF193" i="38"/>
  <c r="AT932" i="38"/>
  <c r="AT896" i="38"/>
  <c r="AP785" i="38"/>
  <c r="AM257" i="38"/>
  <c r="AT610" i="38"/>
  <c r="AM274" i="38"/>
  <c r="BC920" i="38"/>
  <c r="AX204" i="38"/>
  <c r="AM661" i="38"/>
  <c r="BB826" i="38"/>
  <c r="AU530" i="38"/>
  <c r="AU495" i="38"/>
  <c r="BB1019" i="38"/>
  <c r="BB1073" i="38"/>
  <c r="AM761" i="38"/>
  <c r="AL671" i="38"/>
  <c r="AL305" i="38"/>
  <c r="BB350" i="38"/>
  <c r="AX437" i="38"/>
  <c r="BB138" i="38"/>
  <c r="AL171" i="38"/>
  <c r="AM498" i="38"/>
  <c r="BC947" i="38"/>
  <c r="AU928" i="38"/>
  <c r="AP463" i="38"/>
  <c r="AM887" i="38"/>
  <c r="AU217" i="38"/>
  <c r="BC616" i="38"/>
  <c r="BC975" i="38"/>
  <c r="AP880" i="38"/>
  <c r="AX167" i="38"/>
  <c r="BC112" i="38"/>
  <c r="BC758" i="38"/>
  <c r="BF827" i="38"/>
  <c r="BF396" i="38"/>
  <c r="BC893" i="38"/>
  <c r="AM525" i="38"/>
  <c r="AL582" i="38"/>
  <c r="BC851" i="38"/>
  <c r="AL265" i="38"/>
  <c r="AX762" i="38"/>
  <c r="BB31" i="38"/>
  <c r="BF420" i="38"/>
  <c r="AP247" i="38"/>
  <c r="BC934" i="38"/>
  <c r="AP856" i="38"/>
  <c r="AU539" i="38"/>
  <c r="AM495" i="38"/>
  <c r="BC989" i="38"/>
  <c r="BB50" i="38"/>
  <c r="AL824" i="38"/>
  <c r="AL170" i="38"/>
  <c r="BB558" i="38"/>
  <c r="AM646" i="38"/>
  <c r="AL740" i="38"/>
  <c r="AU370" i="38"/>
  <c r="AL205" i="38"/>
  <c r="BB623" i="38"/>
  <c r="BB781" i="38"/>
  <c r="BC565" i="38"/>
  <c r="AM746" i="38"/>
  <c r="AM1087" i="38"/>
  <c r="AL1087" i="38"/>
  <c r="AM767" i="38"/>
  <c r="AP546" i="38"/>
  <c r="AL560" i="38"/>
  <c r="BC71" i="38"/>
  <c r="AM685" i="38"/>
  <c r="AT490" i="38"/>
  <c r="AU570" i="38"/>
  <c r="AU68" i="38"/>
  <c r="BC1037" i="38"/>
  <c r="BB603" i="38"/>
  <c r="BB51" i="38"/>
  <c r="AX846" i="38"/>
  <c r="BB796" i="38"/>
  <c r="AT651" i="38"/>
  <c r="AU1045" i="38"/>
  <c r="AL1076" i="38"/>
  <c r="AM721" i="38"/>
  <c r="AP425" i="38"/>
  <c r="AU1008" i="38"/>
  <c r="AL163" i="38"/>
  <c r="BF24" i="38"/>
  <c r="AT420" i="38"/>
  <c r="BB608" i="38"/>
  <c r="BB547" i="38"/>
  <c r="AL869" i="38"/>
  <c r="BC1017" i="38"/>
  <c r="AU458" i="38"/>
  <c r="AU646" i="38"/>
  <c r="BB741" i="38"/>
  <c r="AL227" i="38"/>
  <c r="BB296" i="38"/>
  <c r="BC974" i="38"/>
  <c r="AX787" i="38"/>
  <c r="BF93" i="38"/>
  <c r="AL1063" i="38"/>
  <c r="BB955" i="38"/>
  <c r="AL826" i="38"/>
  <c r="BB802" i="38"/>
  <c r="AM1018" i="38"/>
  <c r="AP867" i="38"/>
  <c r="BB513" i="38"/>
  <c r="AM119" i="38"/>
  <c r="AM754" i="38"/>
  <c r="AL865" i="38"/>
  <c r="BB467" i="38"/>
  <c r="AT887" i="38"/>
  <c r="BF185" i="38"/>
  <c r="BC782" i="38"/>
  <c r="AT1075" i="38"/>
  <c r="AU748" i="38"/>
  <c r="BC696" i="38"/>
  <c r="AM777" i="38"/>
  <c r="AM238" i="38"/>
  <c r="AL763" i="38"/>
  <c r="AM932" i="38"/>
  <c r="AX459" i="38"/>
  <c r="AU430" i="38"/>
  <c r="BB940" i="38"/>
  <c r="BF930" i="38"/>
  <c r="AT1045" i="38"/>
  <c r="AT97" i="38"/>
  <c r="BF902" i="38"/>
  <c r="BB589" i="38"/>
  <c r="AX839" i="38"/>
  <c r="BC839" i="38"/>
  <c r="AM416" i="38"/>
  <c r="AT469" i="38"/>
  <c r="BF464" i="38"/>
  <c r="BC271" i="38"/>
  <c r="AL1016" i="38"/>
  <c r="AU491" i="38"/>
  <c r="AU497" i="38"/>
  <c r="BB1097" i="38"/>
  <c r="AU579" i="38"/>
  <c r="BB582" i="38"/>
  <c r="AM1062" i="38"/>
  <c r="AL165" i="38"/>
  <c r="BF769" i="38"/>
  <c r="BF247" i="38"/>
  <c r="AU266" i="38"/>
  <c r="BB580" i="38"/>
  <c r="AT493" i="38"/>
  <c r="AP899" i="38"/>
  <c r="AT1033" i="38"/>
  <c r="AU1071" i="38"/>
  <c r="BB446" i="38"/>
  <c r="AX902" i="38"/>
  <c r="AU188" i="38"/>
  <c r="AX837" i="38"/>
  <c r="BB291" i="38"/>
  <c r="BB710" i="38"/>
  <c r="BC734" i="38"/>
  <c r="BC411" i="38"/>
  <c r="AU285" i="38"/>
  <c r="AU637" i="38"/>
  <c r="AX224" i="38"/>
  <c r="AU189" i="38"/>
  <c r="BB839" i="38"/>
  <c r="AX185" i="38"/>
  <c r="AX869" i="38"/>
  <c r="AT304" i="38"/>
  <c r="AX842" i="38"/>
  <c r="AM387" i="38"/>
  <c r="BC889" i="38"/>
  <c r="AM1023" i="38"/>
  <c r="AU956" i="38"/>
  <c r="BB283" i="38"/>
  <c r="AL888" i="38"/>
  <c r="AL618" i="38"/>
  <c r="BF416" i="38"/>
  <c r="BF15" i="38"/>
  <c r="AL769" i="38"/>
  <c r="AU804" i="38"/>
  <c r="AU503" i="38"/>
  <c r="AT684" i="38"/>
  <c r="AL23" i="38"/>
  <c r="AT1034" i="38"/>
  <c r="AT869" i="38"/>
  <c r="AU442" i="38"/>
  <c r="BB842" i="38"/>
  <c r="AU918" i="38"/>
  <c r="BC583" i="38"/>
  <c r="AU150" i="38"/>
  <c r="AM794" i="38"/>
  <c r="BF33" i="38"/>
  <c r="AP393" i="38"/>
  <c r="BB792" i="38"/>
  <c r="AM641" i="38"/>
  <c r="AL607" i="38"/>
  <c r="BB725" i="38"/>
  <c r="BB30" i="38"/>
  <c r="AL1077" i="38"/>
  <c r="AL1091" i="38"/>
  <c r="BB901" i="38"/>
  <c r="BC733" i="38"/>
  <c r="AL940" i="38"/>
  <c r="AT606" i="38"/>
  <c r="AU69" i="38"/>
  <c r="AM365" i="38"/>
  <c r="AT567" i="38"/>
  <c r="AP911" i="38"/>
  <c r="BB515" i="38"/>
  <c r="AT1054" i="38"/>
  <c r="BC965" i="38"/>
  <c r="BC588" i="38"/>
  <c r="AP193" i="38"/>
  <c r="AM561" i="38"/>
  <c r="AU974" i="38"/>
  <c r="BF508" i="38"/>
  <c r="AX254" i="38"/>
  <c r="AL1027" i="38"/>
  <c r="AT185" i="38"/>
  <c r="AM492" i="38"/>
  <c r="AM684" i="38"/>
  <c r="BC936" i="38"/>
  <c r="BC469" i="38"/>
  <c r="BF867" i="38"/>
  <c r="AU269" i="38"/>
  <c r="AT845" i="38"/>
  <c r="AU671" i="38"/>
  <c r="AL238" i="38"/>
  <c r="AU362" i="38"/>
  <c r="AP91" i="38"/>
  <c r="BB645" i="38"/>
  <c r="AT1069" i="38"/>
  <c r="BB1018" i="38"/>
  <c r="BC972" i="38"/>
  <c r="AL32" i="38"/>
  <c r="BC575" i="38"/>
  <c r="AX210" i="38"/>
  <c r="AM1073" i="38"/>
  <c r="AP930" i="38"/>
  <c r="BF513" i="38"/>
  <c r="BC891" i="38"/>
  <c r="AL1045" i="38"/>
  <c r="AM517" i="38"/>
  <c r="BC1025" i="38"/>
  <c r="BF820" i="38"/>
  <c r="AM1100" i="38"/>
  <c r="AU967" i="38"/>
  <c r="AU665" i="38"/>
  <c r="BB16" i="38"/>
  <c r="BC997" i="38"/>
  <c r="AX780" i="38"/>
  <c r="AM134" i="38"/>
  <c r="AL775" i="38"/>
  <c r="BC855" i="38"/>
  <c r="BF415" i="38"/>
  <c r="BB130" i="38"/>
  <c r="BB230" i="38"/>
  <c r="BB843" i="38"/>
  <c r="AM588" i="38"/>
  <c r="AT134" i="38"/>
  <c r="BC562" i="38"/>
  <c r="BB1041" i="38"/>
  <c r="BF757" i="38"/>
  <c r="BF913" i="38"/>
  <c r="AM425" i="38"/>
  <c r="AM1008" i="38"/>
  <c r="BC676" i="38"/>
  <c r="AL263" i="38"/>
  <c r="AU327" i="38"/>
  <c r="AU1064" i="38"/>
  <c r="BC334" i="38"/>
  <c r="AL711" i="38"/>
  <c r="AM904" i="38"/>
  <c r="BC228" i="38"/>
  <c r="AT149" i="38"/>
  <c r="BB97" i="38"/>
  <c r="BF434" i="38"/>
  <c r="AT184" i="38"/>
  <c r="AM769" i="38"/>
  <c r="AL596" i="38"/>
  <c r="AP143" i="38"/>
  <c r="AL572" i="38"/>
  <c r="BB1078" i="38"/>
  <c r="AL520" i="38"/>
  <c r="AT664" i="38"/>
  <c r="AT613" i="38"/>
  <c r="AP22" i="38"/>
  <c r="AU236" i="38"/>
  <c r="AL330" i="38"/>
  <c r="BF903" i="38"/>
  <c r="AP71" i="38"/>
  <c r="BC700" i="38"/>
  <c r="BB575" i="38"/>
  <c r="AU40" i="38"/>
  <c r="AL1090" i="38"/>
  <c r="BB259" i="38"/>
  <c r="AU758" i="38"/>
  <c r="BB972" i="38"/>
  <c r="AM578" i="38"/>
  <c r="AX220" i="38"/>
  <c r="AT890" i="38"/>
  <c r="AU645" i="38"/>
  <c r="BB393" i="38"/>
  <c r="BB1007" i="38"/>
  <c r="AL782" i="38"/>
  <c r="AX863" i="38"/>
  <c r="AM349" i="38"/>
  <c r="AT1008" i="38"/>
  <c r="BF773" i="38"/>
  <c r="AM106" i="38"/>
  <c r="BC860" i="38"/>
  <c r="AT926" i="38"/>
  <c r="AL821" i="38"/>
  <c r="AM460" i="38"/>
  <c r="AM290" i="38"/>
  <c r="AT820" i="38"/>
  <c r="AL290" i="38"/>
  <c r="BB106" i="38"/>
  <c r="AM337" i="38"/>
  <c r="BF770" i="38"/>
  <c r="AX430" i="38"/>
  <c r="AM469" i="38"/>
  <c r="AP487" i="38"/>
  <c r="AM391" i="38"/>
  <c r="AP204" i="38"/>
  <c r="BC701" i="38"/>
  <c r="AX772" i="38"/>
  <c r="AX803" i="38"/>
  <c r="AM109" i="38"/>
  <c r="BB131" i="38"/>
  <c r="AL48" i="38"/>
  <c r="BB235" i="38"/>
  <c r="AL192" i="38"/>
  <c r="AU844" i="38"/>
  <c r="AX467" i="38"/>
  <c r="BB199" i="38"/>
  <c r="AX128" i="38"/>
  <c r="AX147" i="38"/>
  <c r="BF395" i="38"/>
  <c r="AT366" i="38"/>
  <c r="AU916" i="38"/>
  <c r="BF213" i="38"/>
  <c r="AU24" i="38"/>
  <c r="AU638" i="38"/>
  <c r="BC518" i="38"/>
  <c r="BC44" i="38"/>
  <c r="AU1065" i="38"/>
  <c r="AM600" i="38"/>
  <c r="BC533" i="38"/>
  <c r="BF881" i="38"/>
  <c r="BB395" i="38"/>
  <c r="BC463" i="38"/>
  <c r="AU802" i="38"/>
  <c r="BC680" i="38"/>
  <c r="BC505" i="38"/>
  <c r="AT556" i="38"/>
  <c r="AU887" i="38"/>
  <c r="BF21" i="38"/>
  <c r="BC441" i="38"/>
  <c r="AL409" i="38"/>
  <c r="AT879" i="38"/>
  <c r="BC781" i="38"/>
  <c r="AL676" i="38"/>
  <c r="AX893" i="38"/>
  <c r="AT1027" i="38"/>
  <c r="AT965" i="38"/>
  <c r="AL501" i="38"/>
  <c r="AT914" i="38"/>
  <c r="BC619" i="38"/>
  <c r="AT444" i="38"/>
  <c r="BC594" i="38"/>
  <c r="AX130" i="38"/>
  <c r="BF368" i="38"/>
  <c r="AX169" i="38"/>
  <c r="AU210" i="38"/>
  <c r="BC458" i="38"/>
  <c r="AP902" i="38"/>
  <c r="AX503" i="38"/>
  <c r="BC1026" i="38"/>
  <c r="AL411" i="38"/>
  <c r="AP502" i="38"/>
  <c r="AX912" i="38"/>
  <c r="AM523" i="38"/>
  <c r="AP845" i="38"/>
  <c r="AU186" i="38"/>
  <c r="BC390" i="38"/>
  <c r="AL16" i="38"/>
  <c r="AL759" i="38"/>
  <c r="AP44" i="38"/>
  <c r="AU1047" i="38"/>
  <c r="AM645" i="38"/>
  <c r="AP474" i="38"/>
  <c r="AL895" i="38"/>
  <c r="AL287" i="38"/>
  <c r="AX871" i="38"/>
  <c r="BF54" i="38"/>
  <c r="AX57" i="38"/>
  <c r="BB872" i="38"/>
  <c r="AL159" i="38"/>
  <c r="AL614" i="38"/>
  <c r="AT1023" i="38"/>
  <c r="AP484" i="38"/>
  <c r="AL368" i="38"/>
  <c r="AX227" i="38"/>
  <c r="AX901" i="38"/>
  <c r="AT963" i="38"/>
  <c r="BC382" i="38"/>
  <c r="AX157" i="38"/>
  <c r="AU1014" i="38"/>
  <c r="BF174" i="38"/>
  <c r="AU773" i="38"/>
  <c r="AT594" i="38"/>
  <c r="BC737" i="38"/>
  <c r="AT658" i="38"/>
  <c r="BF438" i="38"/>
  <c r="BB68" i="38"/>
  <c r="AL1040" i="38"/>
  <c r="AP382" i="38"/>
  <c r="AL175" i="38"/>
  <c r="AM298" i="38"/>
  <c r="AM984" i="38"/>
  <c r="AU193" i="38"/>
  <c r="AL218" i="38"/>
  <c r="BB98" i="38"/>
  <c r="BC564" i="38"/>
  <c r="AU749" i="38"/>
  <c r="AX382" i="38"/>
  <c r="AU662" i="38"/>
  <c r="BB262" i="38"/>
  <c r="BF933" i="38"/>
  <c r="AM602" i="38"/>
  <c r="BC921" i="38"/>
  <c r="AU666" i="38"/>
  <c r="AU344" i="38"/>
  <c r="AM1042" i="38"/>
  <c r="BB527" i="38"/>
  <c r="BC834" i="38"/>
  <c r="AU931" i="38"/>
  <c r="AP547" i="38"/>
  <c r="AU211" i="38"/>
  <c r="AX442" i="38"/>
  <c r="AM1065" i="38"/>
  <c r="AP395" i="38"/>
  <c r="AU509" i="38"/>
  <c r="AX868" i="38"/>
  <c r="AT365" i="38"/>
  <c r="AU517" i="38"/>
  <c r="BB171" i="38"/>
  <c r="AT108" i="38"/>
  <c r="AP26" i="38"/>
  <c r="AX360" i="38"/>
  <c r="AP106" i="38"/>
  <c r="AU215" i="38"/>
  <c r="AX819" i="38"/>
  <c r="AU722" i="38"/>
  <c r="AT1087" i="38"/>
  <c r="AP258" i="38"/>
  <c r="AX496" i="38"/>
  <c r="AU192" i="38"/>
  <c r="AL389" i="38"/>
  <c r="BF899" i="38"/>
  <c r="BB836" i="38"/>
  <c r="AT925" i="38"/>
  <c r="AT489" i="38"/>
  <c r="BF120" i="38"/>
  <c r="AL827" i="38"/>
  <c r="AU524" i="38"/>
  <c r="AL52" i="38"/>
  <c r="AM718" i="38"/>
  <c r="BB888" i="38"/>
  <c r="BB497" i="38"/>
  <c r="AT1042" i="38"/>
  <c r="BF792" i="38"/>
  <c r="AL107" i="38"/>
  <c r="AM452" i="38"/>
  <c r="BC496" i="38"/>
  <c r="AP539" i="38"/>
  <c r="BB332" i="38"/>
  <c r="AX414" i="38"/>
  <c r="AT1019" i="38"/>
  <c r="BB1065" i="38"/>
  <c r="AP549" i="38"/>
  <c r="BB1081" i="38"/>
  <c r="AU483" i="38"/>
  <c r="AT430" i="38"/>
  <c r="BF840" i="38"/>
  <c r="BB172" i="38"/>
  <c r="BB471" i="38"/>
  <c r="AL842" i="38"/>
  <c r="BB113" i="38"/>
  <c r="AU1087" i="38"/>
  <c r="BB263" i="38"/>
  <c r="AP774" i="38"/>
  <c r="AT686" i="38"/>
  <c r="AP779" i="38"/>
  <c r="AM519" i="38"/>
  <c r="AL964" i="38"/>
  <c r="BB323" i="38"/>
  <c r="AM496" i="38"/>
  <c r="AM749" i="38"/>
  <c r="AL483" i="38"/>
  <c r="BC475" i="38"/>
  <c r="BF159" i="38"/>
  <c r="BC46" i="38"/>
  <c r="BF763" i="38"/>
  <c r="AX456" i="38"/>
  <c r="BB740" i="38"/>
  <c r="AT287" i="38"/>
  <c r="AT989" i="38"/>
  <c r="BC795" i="38"/>
  <c r="BB576" i="38"/>
  <c r="AP873" i="38"/>
  <c r="AU468" i="38"/>
  <c r="AT234" i="38"/>
  <c r="AL545" i="38"/>
  <c r="AT64" i="38"/>
  <c r="AM694" i="38"/>
  <c r="BB965" i="38"/>
  <c r="AT445" i="38"/>
  <c r="BC350" i="38"/>
  <c r="AU164" i="38"/>
  <c r="AP30" i="38"/>
  <c r="AT1070" i="38"/>
  <c r="BB727" i="38"/>
  <c r="AM482" i="38"/>
  <c r="BC426" i="38"/>
  <c r="AT574" i="38"/>
  <c r="AM862" i="38"/>
  <c r="AU387" i="38"/>
  <c r="BC906" i="38"/>
  <c r="BC1023" i="38"/>
  <c r="BB487" i="38"/>
  <c r="BB47" i="38"/>
  <c r="AM236" i="38"/>
  <c r="AM966" i="38"/>
  <c r="AL1011" i="38"/>
  <c r="AU1025" i="38"/>
  <c r="AU644" i="38"/>
  <c r="BF47" i="38"/>
  <c r="AT526" i="38"/>
  <c r="AT497" i="38"/>
  <c r="AL756" i="38"/>
  <c r="AU122" i="38"/>
  <c r="BB952" i="38"/>
  <c r="AL370" i="38"/>
  <c r="AU1080" i="38"/>
  <c r="AX770" i="38"/>
  <c r="AL477" i="38"/>
  <c r="BB1053" i="38"/>
  <c r="BC323" i="38"/>
  <c r="BB1100" i="38"/>
  <c r="AM587" i="38"/>
  <c r="BC649" i="38"/>
  <c r="AM549" i="38"/>
  <c r="AX67" i="38"/>
  <c r="AU427" i="38"/>
  <c r="AM1090" i="38"/>
  <c r="AP174" i="38"/>
  <c r="AP368" i="38"/>
  <c r="AP836" i="38"/>
  <c r="AT1010" i="38"/>
  <c r="AT509" i="38"/>
  <c r="AL459" i="38"/>
  <c r="BF170" i="38"/>
  <c r="BF204" i="38"/>
  <c r="BB892" i="38"/>
  <c r="AU911" i="38"/>
  <c r="AU759" i="38"/>
  <c r="AX478" i="38"/>
  <c r="AU667" i="38"/>
  <c r="AU488" i="38"/>
  <c r="BF886" i="38"/>
  <c r="BC487" i="38"/>
  <c r="AU225" i="38"/>
  <c r="AU926" i="38"/>
  <c r="BB601" i="38"/>
  <c r="AX369" i="38"/>
  <c r="BF144" i="38"/>
  <c r="AP891" i="38"/>
  <c r="AM871" i="38"/>
  <c r="AT697" i="38"/>
  <c r="AM923" i="38"/>
  <c r="BF189" i="38"/>
  <c r="BF481" i="38"/>
  <c r="BF847" i="38"/>
  <c r="AU500" i="38"/>
  <c r="AU611" i="38"/>
  <c r="AU516" i="38"/>
  <c r="AU782" i="38"/>
  <c r="BC307" i="38"/>
  <c r="AT296" i="38"/>
  <c r="AM155" i="38"/>
  <c r="BB353" i="38"/>
  <c r="AU602" i="38"/>
  <c r="BB35" i="38"/>
  <c r="AT840" i="38"/>
  <c r="AL796" i="38"/>
  <c r="BB524" i="38"/>
  <c r="AL850" i="38"/>
  <c r="AL120" i="38"/>
  <c r="BC174" i="38"/>
  <c r="AT484" i="38"/>
  <c r="BF115" i="38"/>
  <c r="BB212" i="38"/>
  <c r="AL923" i="38"/>
  <c r="BC210" i="38"/>
  <c r="AU109" i="38"/>
  <c r="AM41" i="38"/>
  <c r="AT834" i="38"/>
  <c r="AU544" i="38"/>
  <c r="BF850" i="38"/>
  <c r="BF156" i="38"/>
  <c r="BF137" i="38"/>
  <c r="BB869" i="38"/>
  <c r="AL962" i="38"/>
  <c r="AP841" i="38"/>
  <c r="AP853" i="38"/>
  <c r="AM931" i="38"/>
  <c r="AU1077" i="38"/>
  <c r="AM325" i="38"/>
  <c r="AM778" i="38"/>
  <c r="AM359" i="38"/>
  <c r="AT851" i="38"/>
  <c r="AU440" i="38"/>
  <c r="AX187" i="38"/>
  <c r="BB619" i="38"/>
  <c r="BC32" i="38"/>
  <c r="AM217" i="38"/>
  <c r="BB916" i="38"/>
  <c r="AT145" i="38"/>
  <c r="AL122" i="38"/>
  <c r="AM571" i="38"/>
  <c r="AL786" i="38"/>
  <c r="AM961" i="38"/>
  <c r="BF762" i="38"/>
  <c r="BB985" i="38"/>
  <c r="AT773" i="38"/>
  <c r="AT659" i="38"/>
  <c r="AU99" i="38"/>
  <c r="AU885" i="38"/>
  <c r="BC149" i="38"/>
  <c r="AL935" i="38"/>
  <c r="BB1072" i="38"/>
  <c r="BF841" i="38"/>
  <c r="AP476" i="38"/>
  <c r="AP772" i="38"/>
  <c r="AU920" i="38"/>
  <c r="BF361" i="38"/>
  <c r="AT737" i="38"/>
  <c r="AU1050" i="38"/>
  <c r="AU1019" i="38"/>
  <c r="AU465" i="38"/>
  <c r="AX359" i="38"/>
  <c r="AT19" i="38"/>
  <c r="BB233" i="38"/>
  <c r="AL1033" i="38"/>
  <c r="BF804" i="38"/>
  <c r="AM508" i="38"/>
  <c r="BF911" i="38"/>
  <c r="AP936" i="38"/>
  <c r="AT784" i="38"/>
  <c r="BF414" i="38"/>
  <c r="AL504" i="38"/>
  <c r="BB650" i="38"/>
  <c r="BC866" i="38"/>
  <c r="AU643" i="38"/>
  <c r="AU220" i="38"/>
  <c r="BB786" i="38"/>
  <c r="AT839" i="38"/>
  <c r="BB570" i="38"/>
  <c r="BF831" i="38"/>
  <c r="AP225" i="38"/>
  <c r="AP217" i="38"/>
  <c r="BC542" i="38"/>
  <c r="BF816" i="38"/>
  <c r="AU1055" i="38"/>
  <c r="AM731" i="38"/>
  <c r="AT416" i="38"/>
  <c r="AL1080" i="38"/>
  <c r="AM819" i="38"/>
  <c r="AU1026" i="38"/>
  <c r="BC516" i="38"/>
  <c r="AM70" i="38"/>
  <c r="AL223" i="38"/>
  <c r="BC652" i="38"/>
  <c r="AL65" i="38"/>
  <c r="AT353" i="38"/>
  <c r="AU830" i="38"/>
  <c r="AU927" i="38"/>
  <c r="BB983" i="38"/>
  <c r="BC236" i="38"/>
  <c r="AU781" i="38"/>
  <c r="BB678" i="38"/>
  <c r="AM959" i="38"/>
  <c r="BC681" i="38"/>
  <c r="BB659" i="38"/>
  <c r="AL1047" i="38"/>
  <c r="AM117" i="38"/>
  <c r="AU845" i="38"/>
  <c r="AT579" i="38"/>
  <c r="AL941" i="38"/>
  <c r="BB689" i="38"/>
  <c r="AM915" i="38"/>
  <c r="AM306" i="38"/>
  <c r="BC896" i="38"/>
  <c r="AT946" i="38"/>
  <c r="AL254" i="38"/>
  <c r="AM1075" i="38"/>
  <c r="AL716" i="38"/>
  <c r="BB1024" i="38"/>
  <c r="AM1014" i="38"/>
  <c r="BC420" i="38"/>
  <c r="BB705" i="38"/>
  <c r="AT692" i="38"/>
  <c r="BB629" i="38"/>
  <c r="AL464" i="38"/>
  <c r="AP134" i="38"/>
  <c r="BB914" i="38"/>
  <c r="BC674" i="38"/>
  <c r="BF394" i="38"/>
  <c r="AU681" i="38"/>
  <c r="AM479" i="38"/>
  <c r="BC366" i="38"/>
  <c r="BC778" i="38"/>
  <c r="AM855" i="38"/>
  <c r="AT798" i="38"/>
  <c r="AU1099" i="38"/>
  <c r="AM886" i="38"/>
  <c r="AL67" i="38"/>
  <c r="BB612" i="38"/>
  <c r="BC93" i="38"/>
  <c r="AT741" i="38"/>
  <c r="AL848" i="38"/>
  <c r="AM510" i="38"/>
  <c r="AT272" i="38"/>
  <c r="AL526" i="38"/>
  <c r="AL353" i="38"/>
  <c r="AT41" i="38"/>
  <c r="AP410" i="38"/>
  <c r="AM309" i="38"/>
  <c r="BC213" i="38"/>
  <c r="AP432" i="38"/>
  <c r="AL137" i="38"/>
  <c r="BB714" i="38"/>
  <c r="AM454" i="38"/>
  <c r="AL772" i="38"/>
  <c r="BF505" i="38"/>
  <c r="AP810" i="38"/>
  <c r="AL527" i="38"/>
  <c r="AU604" i="38"/>
  <c r="AL894" i="38"/>
  <c r="BC54" i="38"/>
  <c r="BB542" i="38"/>
  <c r="AL1062" i="38"/>
  <c r="AU353" i="38"/>
  <c r="AL559" i="38"/>
  <c r="AU868" i="38"/>
  <c r="AL1025" i="38"/>
  <c r="AT110" i="38"/>
  <c r="AL186" i="38"/>
  <c r="AL867" i="38"/>
  <c r="BB672" i="38"/>
  <c r="BB147" i="38"/>
  <c r="AM1047" i="38"/>
  <c r="BB516" i="38"/>
  <c r="BB368" i="38"/>
  <c r="AT678" i="38"/>
  <c r="AT857" i="38"/>
  <c r="AM66" i="38"/>
  <c r="AM707" i="38"/>
  <c r="BC1062" i="38"/>
  <c r="BF163" i="38"/>
  <c r="AU1011" i="38"/>
  <c r="AT368" i="38"/>
  <c r="AM935" i="38"/>
  <c r="BB772" i="38"/>
  <c r="BC486" i="38"/>
  <c r="AT611" i="38"/>
  <c r="BB1011" i="38"/>
  <c r="BB15" i="38"/>
  <c r="AT603" i="38"/>
  <c r="AL224" i="38"/>
  <c r="BC64" i="38"/>
  <c r="BB417" i="38"/>
  <c r="AU1043" i="38"/>
  <c r="BC597" i="38"/>
  <c r="BB470" i="38"/>
  <c r="AU546" i="38"/>
  <c r="AT364" i="38"/>
  <c r="AL732" i="38"/>
  <c r="AT176" i="38"/>
  <c r="BC894" i="38"/>
  <c r="AT45" i="38"/>
  <c r="AP465" i="38"/>
  <c r="AL896" i="38"/>
  <c r="AP940" i="38"/>
  <c r="AM788" i="38"/>
  <c r="AX106" i="38"/>
  <c r="AL468" i="38"/>
  <c r="AM234" i="38"/>
  <c r="BB472" i="38"/>
  <c r="AL391" i="38"/>
  <c r="AT502" i="38"/>
  <c r="AX94" i="38"/>
  <c r="AM522" i="38"/>
  <c r="AL836" i="38"/>
  <c r="AL332" i="38"/>
  <c r="AM1053" i="38"/>
  <c r="AX417" i="38"/>
  <c r="AT994" i="38"/>
  <c r="AL997" i="38"/>
  <c r="AM270" i="38"/>
  <c r="AP110" i="38"/>
  <c r="AT446" i="38"/>
  <c r="AU420" i="38"/>
  <c r="AM383" i="38"/>
  <c r="BB867" i="38"/>
  <c r="AT718" i="38"/>
  <c r="BB1034" i="38"/>
  <c r="BB465" i="38"/>
  <c r="AP259" i="38"/>
  <c r="AX860" i="38"/>
  <c r="BC184" i="38"/>
  <c r="AU390" i="38"/>
  <c r="AP782" i="38"/>
  <c r="AU345" i="38"/>
  <c r="AM326" i="38"/>
  <c r="BF765" i="38"/>
  <c r="BC981" i="38"/>
  <c r="AL275" i="38"/>
  <c r="AU932" i="38"/>
  <c r="AL105" i="38"/>
  <c r="AU338" i="38"/>
  <c r="AU1074" i="38"/>
  <c r="AX840" i="38"/>
  <c r="BB1085" i="38"/>
  <c r="AM1012" i="38"/>
  <c r="AU290" i="38"/>
  <c r="AL229" i="38"/>
  <c r="AL1017" i="38"/>
  <c r="AU718" i="38"/>
  <c r="BC736" i="38"/>
  <c r="BC528" i="38"/>
  <c r="BC1084" i="38"/>
  <c r="BB812" i="38"/>
  <c r="AP194" i="38"/>
  <c r="BB128" i="38"/>
  <c r="AT802" i="38"/>
  <c r="BC262" i="38"/>
  <c r="AX137" i="38"/>
  <c r="BF254" i="38"/>
  <c r="BB540" i="38"/>
  <c r="AL758" i="38"/>
  <c r="AU563" i="38"/>
  <c r="AL497" i="38"/>
  <c r="AT683" i="38"/>
  <c r="BF212" i="38"/>
  <c r="AT1006" i="38"/>
  <c r="AT590" i="38"/>
  <c r="AM927" i="38"/>
  <c r="AU147" i="38"/>
  <c r="AX208" i="38"/>
  <c r="BB813" i="38"/>
  <c r="AX426" i="38"/>
  <c r="AM647" i="38"/>
  <c r="AT649" i="38"/>
  <c r="AX841" i="38"/>
  <c r="BC1090" i="38"/>
  <c r="BC384" i="38"/>
  <c r="AT409" i="38"/>
  <c r="BF921" i="38"/>
  <c r="BC655" i="38"/>
  <c r="BF469" i="38"/>
  <c r="AU746" i="38"/>
  <c r="AL569" i="38"/>
  <c r="BF384" i="38"/>
  <c r="BC444" i="38"/>
  <c r="AM1088" i="38"/>
  <c r="BF168" i="38"/>
  <c r="AU44" i="38"/>
  <c r="AT901" i="38"/>
  <c r="BB151" i="38"/>
  <c r="AU819" i="38"/>
  <c r="AL158" i="38"/>
  <c r="BB129" i="38"/>
  <c r="BB906" i="38"/>
  <c r="AU49" i="38"/>
  <c r="AT583" i="38"/>
  <c r="AX429" i="38"/>
  <c r="AP236" i="38"/>
  <c r="AT453" i="38"/>
  <c r="AM745" i="38"/>
  <c r="AL371" i="38"/>
  <c r="BB194" i="38"/>
  <c r="AT626" i="38"/>
  <c r="BB723" i="38"/>
  <c r="AX933" i="38"/>
  <c r="AP102" i="38"/>
  <c r="BB107" i="38"/>
  <c r="BC991" i="38"/>
  <c r="BF105" i="38"/>
  <c r="AP460" i="38"/>
  <c r="AM161" i="38"/>
  <c r="BF937" i="38"/>
  <c r="AT216" i="38"/>
  <c r="AU418" i="38"/>
  <c r="BC617" i="38"/>
  <c r="BC926" i="38"/>
  <c r="AM688" i="38"/>
  <c r="AL662" i="38"/>
  <c r="BF459" i="38"/>
  <c r="AU371" i="38"/>
  <c r="BB677" i="38"/>
  <c r="AX821" i="38"/>
  <c r="AU986" i="38"/>
  <c r="AU145" i="38"/>
  <c r="AT1035" i="38"/>
  <c r="BB32" i="38"/>
  <c r="AU614" i="38"/>
  <c r="BC569" i="38"/>
  <c r="AM158" i="38"/>
  <c r="BC200" i="38"/>
  <c r="AX194" i="38"/>
  <c r="AT540" i="38"/>
  <c r="BB537" i="38"/>
  <c r="BB661" i="38"/>
  <c r="AP233" i="38"/>
  <c r="AM847" i="38"/>
  <c r="BB658" i="38"/>
  <c r="AP829" i="38"/>
  <c r="BB563" i="38"/>
  <c r="AU592" i="38"/>
  <c r="AU1010" i="38"/>
  <c r="BB304" i="38"/>
  <c r="AT58" i="38"/>
  <c r="AL428" i="38"/>
  <c r="BB322" i="38"/>
  <c r="AT43" i="38"/>
  <c r="BF788" i="38"/>
  <c r="AL768" i="38"/>
  <c r="AT835" i="38"/>
  <c r="AM693" i="38"/>
  <c r="AL144" i="38"/>
  <c r="BC694" i="38"/>
  <c r="BB718" i="38"/>
  <c r="BB668" i="38"/>
  <c r="AM592" i="38"/>
  <c r="AL355" i="38"/>
  <c r="AM59" i="38"/>
  <c r="AL342" i="38"/>
  <c r="AU305" i="38"/>
  <c r="AM267" i="38"/>
  <c r="AM480" i="38"/>
  <c r="AX810" i="38"/>
  <c r="AT1098" i="38"/>
  <c r="AL1051" i="38"/>
  <c r="BC161" i="38"/>
  <c r="AL388" i="38"/>
  <c r="AM521" i="38"/>
  <c r="AT922" i="38"/>
  <c r="AL703" i="38"/>
  <c r="AL633" i="38"/>
  <c r="AU1073" i="38"/>
  <c r="AX188" i="38"/>
  <c r="BB70" i="38"/>
  <c r="AT1093" i="38"/>
  <c r="AM654" i="38"/>
  <c r="AT302" i="38"/>
  <c r="AL69" i="38"/>
  <c r="BC963" i="38"/>
  <c r="AT32" i="38"/>
  <c r="BC489" i="38"/>
  <c r="AM825" i="38"/>
  <c r="AL208" i="38"/>
  <c r="AU982" i="38"/>
  <c r="AX232" i="38"/>
  <c r="BC774" i="38"/>
  <c r="BB941" i="38"/>
  <c r="BF910" i="38"/>
  <c r="AM490" i="38"/>
  <c r="AP147" i="38"/>
  <c r="AU635" i="38"/>
  <c r="BB560" i="38"/>
  <c r="BB632" i="38"/>
  <c r="BB327" i="38"/>
  <c r="AM658" i="38"/>
  <c r="AM1072" i="38"/>
  <c r="AM922" i="38"/>
  <c r="AX885" i="38"/>
  <c r="AT709" i="38"/>
  <c r="BB302" i="38"/>
  <c r="AM596" i="38"/>
  <c r="AM990" i="38"/>
  <c r="AU504" i="38"/>
  <c r="AM635" i="38"/>
  <c r="BB165" i="38"/>
  <c r="AT961" i="38"/>
  <c r="BF879" i="38"/>
  <c r="BF235" i="38"/>
  <c r="BB635" i="38"/>
  <c r="BC1051" i="38"/>
  <c r="AU993" i="38"/>
  <c r="AT345" i="38"/>
  <c r="AU261" i="38"/>
  <c r="AX785" i="38"/>
  <c r="AM163" i="38"/>
  <c r="BF192" i="38"/>
  <c r="AM892" i="38"/>
  <c r="AT944" i="38"/>
  <c r="AU742" i="38"/>
  <c r="BC502" i="38"/>
  <c r="AU620" i="38"/>
  <c r="AP189" i="38"/>
  <c r="AM564" i="38"/>
  <c r="AX924" i="38"/>
  <c r="AT933" i="38"/>
  <c r="BB775" i="38"/>
  <c r="AM122" i="38"/>
  <c r="AU238" i="38"/>
  <c r="BC791" i="38"/>
  <c r="AP154" i="38"/>
  <c r="AT150" i="38"/>
  <c r="AL846" i="38"/>
  <c r="BB984" i="38"/>
  <c r="AT214" i="38"/>
  <c r="AL622" i="38"/>
  <c r="BB760" i="38"/>
  <c r="BB410" i="38"/>
  <c r="AX872" i="38"/>
  <c r="BB462" i="38"/>
  <c r="AU991" i="38"/>
  <c r="AP144" i="38"/>
  <c r="BB688" i="38"/>
  <c r="BC979" i="38"/>
  <c r="BB853" i="38"/>
  <c r="BB859" i="38"/>
  <c r="BB1090" i="38"/>
  <c r="AU674" i="38"/>
  <c r="AT173" i="38"/>
  <c r="AU879" i="38"/>
  <c r="AX817" i="38"/>
  <c r="AX798" i="38"/>
  <c r="AL387" i="38"/>
  <c r="AL72" i="38"/>
  <c r="AT803" i="38"/>
  <c r="AL880" i="38"/>
  <c r="AX189" i="38"/>
  <c r="AM671" i="38"/>
  <c r="AX866" i="38"/>
  <c r="AP33" i="38"/>
  <c r="AU813" i="38"/>
  <c r="AU1000" i="38"/>
  <c r="BB713" i="38"/>
  <c r="AU1091" i="38"/>
  <c r="AT396" i="38"/>
  <c r="AT976" i="38"/>
  <c r="BC545" i="38"/>
  <c r="AP163" i="38"/>
  <c r="BC99" i="38"/>
  <c r="AM674" i="38"/>
  <c r="AT1056" i="38"/>
  <c r="AL537" i="38"/>
  <c r="AT496" i="38"/>
  <c r="AU198" i="38"/>
  <c r="BB695" i="38"/>
  <c r="AL260" i="38"/>
  <c r="AP804" i="38"/>
  <c r="BF883" i="38"/>
  <c r="AT417" i="38"/>
  <c r="AL300" i="38"/>
  <c r="AU475" i="38"/>
  <c r="AM756" i="38"/>
  <c r="AP388" i="38"/>
  <c r="AX440" i="38"/>
  <c r="AL845" i="38"/>
  <c r="BC837" i="38"/>
  <c r="AT466" i="38"/>
  <c r="BC349" i="38"/>
  <c r="AM189" i="38"/>
  <c r="AU1040" i="38"/>
  <c r="AL102" i="38"/>
  <c r="BC51" i="38"/>
  <c r="AT842" i="38"/>
  <c r="AT942" i="38"/>
  <c r="AT342" i="38"/>
  <c r="BB391" i="38"/>
  <c r="AT724" i="38"/>
  <c r="AX144" i="38"/>
  <c r="AM987" i="38"/>
  <c r="AM705" i="38"/>
  <c r="BC364" i="38"/>
  <c r="BC905" i="38"/>
  <c r="AM755" i="38"/>
  <c r="AL942" i="38"/>
  <c r="AL139" i="38"/>
  <c r="BC436" i="38"/>
  <c r="AL45" i="38"/>
  <c r="AU227" i="38"/>
  <c r="AU639" i="38"/>
  <c r="AM836" i="38"/>
  <c r="AL898" i="38"/>
  <c r="BB820" i="38"/>
  <c r="AT783" i="38"/>
  <c r="AU492" i="38"/>
  <c r="AL809" i="38"/>
  <c r="BF34" i="38"/>
  <c r="AL831" i="38"/>
  <c r="AM712" i="38"/>
  <c r="AT472" i="38"/>
  <c r="BB966" i="38"/>
  <c r="AU970" i="38"/>
  <c r="BC693" i="38"/>
  <c r="AM678" i="38"/>
  <c r="AM123" i="38"/>
  <c r="AM441" i="38"/>
  <c r="BB873" i="38"/>
  <c r="AL33" i="38"/>
  <c r="AT1066" i="38"/>
  <c r="BB577" i="38"/>
  <c r="AP216" i="38"/>
  <c r="BB505" i="38"/>
  <c r="AL713" i="38"/>
  <c r="AL599" i="38"/>
  <c r="AU978" i="38"/>
  <c r="BC1070" i="38"/>
  <c r="AT393" i="38"/>
  <c r="BC818" i="38"/>
  <c r="AM327" i="38"/>
  <c r="BC306" i="38"/>
  <c r="AT515" i="38"/>
  <c r="AL854" i="38"/>
  <c r="BB834" i="38"/>
  <c r="AT625" i="38"/>
  <c r="AX774" i="38"/>
  <c r="AU882" i="38"/>
  <c r="AM648" i="38"/>
  <c r="AL1084" i="38"/>
  <c r="BC48" i="38"/>
  <c r="BB967" i="38"/>
  <c r="BC1046" i="38"/>
  <c r="AT621" i="38"/>
  <c r="AL771" i="38"/>
  <c r="AM896" i="38"/>
  <c r="AL530" i="38"/>
  <c r="AX511" i="38"/>
  <c r="AT182" i="38"/>
  <c r="BB579" i="38"/>
  <c r="AL727" i="38"/>
  <c r="AL592" i="38"/>
  <c r="AU456" i="38"/>
  <c r="AX911" i="38"/>
  <c r="BF259" i="38"/>
  <c r="AM905" i="38"/>
  <c r="AT415" i="38"/>
  <c r="AU165" i="38"/>
  <c r="BB220" i="38"/>
  <c r="BC175" i="38"/>
  <c r="AL621" i="38"/>
  <c r="AP230" i="38"/>
  <c r="BF203" i="38"/>
  <c r="BB895" i="38"/>
  <c r="AX158" i="38"/>
  <c r="BF931" i="38"/>
  <c r="BC58" i="38"/>
  <c r="AX446" i="38"/>
  <c r="BF23" i="38"/>
  <c r="AM343" i="38"/>
  <c r="BF133" i="38"/>
  <c r="BB745" i="38"/>
  <c r="BF187" i="38"/>
  <c r="AU585" i="38"/>
  <c r="AM1063" i="38"/>
  <c r="BC639" i="38"/>
  <c r="AP488" i="38"/>
  <c r="AP924" i="38"/>
  <c r="AX364" i="38"/>
  <c r="AX365" i="38"/>
  <c r="AU172" i="38"/>
  <c r="BF172" i="38"/>
  <c r="AM764" i="38"/>
  <c r="BC858" i="38"/>
  <c r="AM949" i="38"/>
  <c r="AU912" i="38"/>
  <c r="BF356" i="38"/>
  <c r="BC1007" i="38"/>
  <c r="AP545" i="38"/>
  <c r="AT267" i="38"/>
  <c r="AL453" i="38"/>
  <c r="AM936" i="38"/>
  <c r="BC659" i="38"/>
  <c r="BC592" i="38"/>
  <c r="AM16" i="38"/>
  <c r="AL522" i="38"/>
  <c r="AP24" i="38"/>
  <c r="AT215" i="38"/>
  <c r="BC321" i="38"/>
  <c r="AT259" i="38"/>
  <c r="BC15" i="38"/>
  <c r="AP161" i="38"/>
  <c r="AT762" i="38"/>
  <c r="BB627" i="38"/>
  <c r="AX216" i="38"/>
  <c r="AM52" i="38"/>
  <c r="BB801" i="38"/>
  <c r="AX72" i="38"/>
  <c r="AL261" i="38"/>
  <c r="AX894" i="38"/>
  <c r="AM953" i="38"/>
  <c r="BC661" i="38"/>
  <c r="AP796" i="38"/>
  <c r="AT1015" i="38"/>
  <c r="BB578" i="38"/>
  <c r="AT767" i="38"/>
  <c r="BC297" i="38"/>
  <c r="AL115" i="38"/>
  <c r="AX542" i="38"/>
  <c r="BB824" i="38"/>
  <c r="BB480" i="38"/>
  <c r="AX40" i="38"/>
  <c r="AU713" i="38"/>
  <c r="AM128" i="38"/>
  <c r="AX463" i="38"/>
  <c r="AL612" i="38"/>
  <c r="BC636" i="38"/>
  <c r="AU411" i="38"/>
  <c r="AU298" i="38"/>
  <c r="AU148" i="38"/>
  <c r="BF232" i="38"/>
  <c r="AM759" i="38"/>
  <c r="AU463" i="38"/>
  <c r="AT462" i="38"/>
  <c r="AU769" i="38"/>
  <c r="AU118" i="38"/>
  <c r="AT731" i="38"/>
  <c r="AP498" i="38"/>
  <c r="AL1071" i="38"/>
  <c r="BC727" i="38"/>
  <c r="AT985" i="38"/>
  <c r="BB978" i="38"/>
  <c r="BB865" i="38"/>
  <c r="BB790" i="38"/>
  <c r="BC995" i="38"/>
  <c r="BB326" i="38"/>
  <c r="BB830" i="38"/>
  <c r="AL121" i="38"/>
  <c r="AM545" i="38"/>
  <c r="BF896" i="38"/>
  <c r="BC924" i="38"/>
  <c r="BC65" i="38"/>
  <c r="BB904" i="38"/>
  <c r="AM910" i="38"/>
  <c r="AU767" i="38"/>
  <c r="AM361" i="38"/>
  <c r="AX519" i="38"/>
  <c r="AP116" i="38"/>
  <c r="BC214" i="38"/>
  <c r="BC418" i="38"/>
  <c r="AP766" i="38"/>
  <c r="AM952" i="38"/>
  <c r="AL482" i="38"/>
  <c r="AP420" i="38"/>
  <c r="BB330" i="38"/>
  <c r="AL188" i="38"/>
  <c r="AU810" i="38"/>
  <c r="AM504" i="38"/>
  <c r="AT218" i="38"/>
  <c r="AP795" i="38"/>
  <c r="AL146" i="38"/>
  <c r="AX861" i="38"/>
  <c r="AU851" i="38"/>
  <c r="BB1099" i="38"/>
  <c r="BC618" i="38"/>
  <c r="BF453" i="38"/>
  <c r="BC599" i="38"/>
  <c r="BB921" i="38"/>
  <c r="BB1021" i="38"/>
  <c r="AM834" i="38"/>
  <c r="AM829" i="38"/>
  <c r="BC298" i="38"/>
  <c r="BF766" i="38"/>
  <c r="AT608" i="38"/>
  <c r="BC339" i="38"/>
  <c r="AM224" i="38"/>
  <c r="AX914" i="38"/>
  <c r="AM154" i="38"/>
  <c r="AU446" i="38"/>
  <c r="AL897" i="38"/>
  <c r="AU93" i="38"/>
  <c r="BB956" i="38"/>
  <c r="AM285" i="38"/>
  <c r="AT696" i="38"/>
  <c r="AM615" i="38"/>
  <c r="BB274" i="38"/>
  <c r="BB201" i="38"/>
  <c r="BF131" i="38"/>
  <c r="BB205" i="38"/>
  <c r="BB498" i="38"/>
  <c r="AT426" i="38"/>
  <c r="BC172" i="38"/>
  <c r="AP492" i="38"/>
  <c r="BB293" i="38"/>
  <c r="AM994" i="38"/>
  <c r="AP857" i="38"/>
  <c r="AT295" i="38"/>
  <c r="BF261" i="38"/>
  <c r="AL698" i="38"/>
  <c r="AX844" i="38"/>
  <c r="AX898" i="38"/>
  <c r="BB167" i="38"/>
  <c r="AP895" i="38"/>
  <c r="AT619" i="38"/>
  <c r="AX70" i="38"/>
  <c r="AU601" i="38"/>
  <c r="BB297" i="38"/>
  <c r="AM662" i="38"/>
  <c r="AL384" i="38"/>
  <c r="BB489" i="38"/>
  <c r="BB475" i="38"/>
  <c r="AT800" i="38"/>
  <c r="BF941" i="38"/>
  <c r="BF494" i="38"/>
  <c r="AX769" i="38"/>
  <c r="BC391" i="38"/>
  <c r="AP357" i="38"/>
  <c r="AM643" i="38"/>
  <c r="BB420" i="38"/>
  <c r="BC912" i="38"/>
  <c r="BB590" i="38"/>
  <c r="AU948" i="38"/>
  <c r="AU119" i="38"/>
  <c r="BC52" i="38"/>
  <c r="AM461" i="38"/>
  <c r="BF549" i="38"/>
  <c r="BF68" i="38"/>
  <c r="AL947" i="38"/>
  <c r="AU437" i="38"/>
  <c r="BC527" i="38"/>
  <c r="BB866" i="38"/>
  <c r="AL1039" i="38"/>
  <c r="AX45" i="38"/>
  <c r="BC560" i="38"/>
  <c r="AM500" i="38"/>
  <c r="BB48" i="38"/>
  <c r="BF894" i="38"/>
  <c r="BC182" i="38"/>
  <c r="BC801" i="38"/>
  <c r="BF848" i="38"/>
  <c r="AU133" i="38"/>
  <c r="AP167" i="38"/>
  <c r="AL693" i="38"/>
  <c r="AX64" i="38"/>
  <c r="AX474" i="38"/>
  <c r="AT1092" i="38"/>
  <c r="AM861" i="38"/>
  <c r="BF432" i="38"/>
  <c r="AL664" i="38"/>
  <c r="AT880" i="38"/>
  <c r="BB960" i="38"/>
  <c r="AP394" i="38"/>
  <c r="AU725" i="38"/>
  <c r="AU822" i="38"/>
  <c r="BB445" i="38"/>
  <c r="BB73" i="38"/>
  <c r="BB158" i="38"/>
  <c r="AU111" i="38"/>
  <c r="AX392" i="38"/>
  <c r="AL204" i="38"/>
  <c r="AL525" i="38"/>
  <c r="AM583" i="38"/>
  <c r="AU865" i="38"/>
  <c r="AX383" i="38"/>
  <c r="AL112" i="38"/>
  <c r="AT485" i="38"/>
  <c r="AU1009" i="38"/>
  <c r="AT524" i="38"/>
  <c r="BF928" i="38"/>
  <c r="AM259" i="38"/>
  <c r="AM143" i="38"/>
  <c r="AU780" i="38"/>
  <c r="AX59" i="38"/>
  <c r="AL873" i="38"/>
  <c r="AM113" i="38"/>
  <c r="AU794" i="38"/>
  <c r="AT919" i="38"/>
  <c r="AT1024" i="38"/>
  <c r="BB1088" i="38"/>
  <c r="AP235" i="38"/>
  <c r="BB961" i="38"/>
  <c r="AM789" i="38"/>
  <c r="AU66" i="38"/>
  <c r="AL130" i="38"/>
  <c r="AM622" i="38"/>
  <c r="AM780" i="38"/>
  <c r="AU692" i="38"/>
  <c r="AP364" i="38"/>
  <c r="AT954" i="38"/>
  <c r="AU130" i="38"/>
  <c r="AM772" i="38"/>
  <c r="AX486" i="38"/>
  <c r="AU700" i="38"/>
  <c r="AM725" i="38"/>
  <c r="BC805" i="38"/>
  <c r="AX182" i="38"/>
  <c r="AL42" i="38"/>
  <c r="AL823" i="38"/>
  <c r="AU64" i="38"/>
  <c r="AT690" i="38"/>
  <c r="AM417" i="38"/>
  <c r="AP510" i="38"/>
  <c r="BC204" i="38"/>
  <c r="BB299" i="38"/>
  <c r="BB685" i="38"/>
  <c r="AX52" i="38"/>
  <c r="AT858" i="38"/>
  <c r="AM729" i="38"/>
  <c r="AT262" i="38"/>
  <c r="AX830" i="38"/>
  <c r="AU505" i="38"/>
  <c r="AM440" i="38"/>
  <c r="BC1098" i="38"/>
  <c r="AU1081" i="38"/>
  <c r="AX824" i="38"/>
  <c r="AT189" i="38"/>
  <c r="BB184" i="38"/>
  <c r="BB111" i="38"/>
  <c r="AP928" i="38"/>
  <c r="BC371" i="38"/>
  <c r="AT395" i="38"/>
  <c r="BC561" i="38"/>
  <c r="BC957" i="38"/>
  <c r="AM310" i="38"/>
  <c r="AT193" i="38"/>
  <c r="AM865" i="38"/>
  <c r="AT323" i="38"/>
  <c r="BC21" i="38"/>
  <c r="BF118" i="38"/>
  <c r="AU613" i="38"/>
  <c r="AL490" i="38"/>
  <c r="AT275" i="38"/>
  <c r="AU190" i="38"/>
  <c r="BB862" i="38"/>
  <c r="BB264" i="38"/>
  <c r="AU831" i="38"/>
  <c r="AL471" i="38"/>
  <c r="AL646" i="38"/>
  <c r="AU17" i="38"/>
  <c r="AL467" i="38"/>
  <c r="AT987" i="38"/>
  <c r="AT370" i="38"/>
  <c r="BF860" i="38"/>
  <c r="AL327" i="38"/>
  <c r="AM264" i="38"/>
  <c r="BB523" i="38"/>
  <c r="AU169" i="38"/>
  <c r="AT885" i="38"/>
  <c r="BF916" i="38"/>
  <c r="AT122" i="38"/>
  <c r="AT1091" i="38"/>
  <c r="BF940" i="38"/>
  <c r="AL697" i="38"/>
  <c r="AT888" i="38"/>
  <c r="AX262" i="38"/>
  <c r="AM650" i="38"/>
  <c r="BC784" i="38"/>
  <c r="AU1092" i="38"/>
  <c r="BB67" i="38"/>
  <c r="AU173" i="38"/>
  <c r="AL862" i="38"/>
  <c r="AT740" i="38"/>
  <c r="BB324" i="38"/>
  <c r="AL337" i="38"/>
  <c r="AL670" i="38"/>
  <c r="AM795" i="38"/>
  <c r="AP433" i="38"/>
  <c r="AT808" i="38"/>
  <c r="BC796" i="38"/>
  <c r="BB175" i="38"/>
  <c r="AL1024" i="38"/>
  <c r="AP137" i="38"/>
  <c r="AU766" i="38"/>
  <c r="BB108" i="38"/>
  <c r="AT850" i="38"/>
  <c r="AL34" i="38"/>
  <c r="BC702" i="38"/>
  <c r="BC573" i="38"/>
  <c r="BF69" i="38"/>
  <c r="AP896" i="38"/>
  <c r="AL611" i="38"/>
  <c r="AL66" i="38"/>
  <c r="BC524" i="38"/>
  <c r="AL360" i="38"/>
  <c r="BB743" i="38"/>
  <c r="AU260" i="38"/>
  <c r="AU481" i="38"/>
  <c r="AL904" i="38"/>
  <c r="AP921" i="38"/>
  <c r="AM538" i="38"/>
  <c r="AM212" i="38"/>
  <c r="AL666" i="38"/>
  <c r="BC1002" i="38"/>
  <c r="AT953" i="38"/>
  <c r="BC682" i="38"/>
  <c r="AL390" i="38"/>
  <c r="AM287" i="38"/>
  <c r="BC43" i="38"/>
  <c r="AM889" i="38"/>
  <c r="BC666" i="38"/>
  <c r="AT689" i="38"/>
  <c r="AU330" i="38"/>
  <c r="AU745" i="38"/>
  <c r="AP805" i="38"/>
  <c r="AT587" i="38"/>
  <c r="AT1103" i="38"/>
  <c r="AM121" i="38"/>
  <c r="AU92" i="38"/>
  <c r="AT113" i="38"/>
  <c r="BC846" i="38"/>
  <c r="AT662" i="38"/>
  <c r="AM748" i="38"/>
  <c r="AU941" i="38"/>
  <c r="AU835" i="38"/>
  <c r="BC68" i="38"/>
  <c r="AT148" i="38"/>
  <c r="AU728" i="38"/>
  <c r="AL134" i="38"/>
  <c r="BC120" i="38"/>
  <c r="AU1070" i="38"/>
  <c r="AT701" i="38"/>
  <c r="BC194" i="38"/>
  <c r="AT622" i="38"/>
  <c r="AM17" i="38"/>
  <c r="BF463" i="38"/>
  <c r="AL135" i="38"/>
  <c r="AT463" i="38"/>
  <c r="AU594" i="38"/>
  <c r="AT258" i="38"/>
  <c r="AT129" i="38"/>
  <c r="AP491" i="38"/>
  <c r="AM223" i="38"/>
  <c r="BB583" i="38"/>
  <c r="AP162" i="38"/>
  <c r="BF915" i="38"/>
  <c r="BB777" i="38"/>
  <c r="BC414" i="38"/>
  <c r="AU651" i="38"/>
  <c r="AX203" i="38"/>
  <c r="BB54" i="38"/>
  <c r="AX436" i="38"/>
  <c r="BC1016" i="38"/>
  <c r="AX510" i="38"/>
  <c r="AL1089" i="38"/>
  <c r="AU571" i="38"/>
  <c r="AP360" i="38"/>
  <c r="AT569" i="38"/>
  <c r="AL643" i="38"/>
  <c r="AX854" i="38"/>
  <c r="AU747" i="38"/>
  <c r="AM102" i="38"/>
  <c r="AM1080" i="38"/>
  <c r="AU1016" i="38"/>
  <c r="AL225" i="38"/>
  <c r="BC26" i="38"/>
  <c r="BB421" i="38"/>
  <c r="AU490" i="38"/>
  <c r="BC116" i="38"/>
  <c r="AM605" i="38"/>
  <c r="BB427" i="38"/>
  <c r="AX464" i="38"/>
  <c r="BF28" i="38"/>
  <c r="BF914" i="38"/>
  <c r="AP264" i="38"/>
  <c r="AP97" i="38"/>
  <c r="AU761" i="38"/>
  <c r="AP905" i="38"/>
  <c r="AT63" i="38"/>
  <c r="AM895" i="38"/>
  <c r="AL510" i="38"/>
  <c r="BC422" i="38"/>
  <c r="AU331" i="38"/>
  <c r="AM566" i="38"/>
  <c r="AT911" i="38"/>
  <c r="AP103" i="38"/>
  <c r="AT187" i="38"/>
  <c r="AU462" i="38"/>
  <c r="AM599" i="38"/>
  <c r="AT860" i="38"/>
  <c r="AU586" i="38"/>
  <c r="AL506" i="38"/>
  <c r="AX919" i="38"/>
  <c r="AT14" i="38"/>
  <c r="AP455" i="38"/>
  <c r="AU669" i="38"/>
  <c r="AU219" i="38"/>
  <c r="AX516" i="38"/>
  <c r="BF809" i="38"/>
  <c r="AX800" i="38"/>
  <c r="AU144" i="38"/>
  <c r="AP155" i="38"/>
  <c r="AX513" i="38"/>
  <c r="AT118" i="38"/>
  <c r="BF942" i="38"/>
  <c r="AL595" i="38"/>
  <c r="AP864" i="38"/>
  <c r="BB1009" i="38"/>
  <c r="AU750" i="38"/>
  <c r="AM371" i="38"/>
  <c r="AU95" i="38"/>
  <c r="AX135" i="38"/>
  <c r="AM1093" i="38"/>
  <c r="AT384" i="38"/>
  <c r="BB1020" i="38"/>
  <c r="BF176" i="38"/>
  <c r="AM280" i="38"/>
  <c r="AP185" i="38"/>
  <c r="AM697" i="38"/>
  <c r="AT917" i="38"/>
  <c r="BF471" i="38"/>
  <c r="BF171" i="38"/>
  <c r="BB415" i="38"/>
  <c r="AT557" i="38"/>
  <c r="AU936" i="38"/>
  <c r="AL682" i="38"/>
  <c r="AL30" i="38"/>
  <c r="AL770" i="38"/>
  <c r="BB857" i="38"/>
  <c r="AX493" i="38"/>
  <c r="AX942" i="38"/>
  <c r="BC713" i="38"/>
  <c r="AL386" i="38"/>
  <c r="BB553" i="38"/>
  <c r="AU357" i="38"/>
  <c r="AM255" i="38"/>
  <c r="AL749" i="38"/>
  <c r="AP369" i="38"/>
  <c r="AU591" i="38"/>
  <c r="AU472" i="38"/>
  <c r="AT510" i="38"/>
  <c r="AP215" i="38"/>
  <c r="BF70" i="38"/>
  <c r="BF544" i="38"/>
  <c r="AL281" i="38"/>
  <c r="AL720" i="38"/>
  <c r="BB995" i="38"/>
  <c r="AU1046" i="38"/>
  <c r="AP925" i="38"/>
  <c r="AM986" i="38"/>
  <c r="AU724" i="38"/>
  <c r="AP764" i="38"/>
  <c r="AU499" i="38"/>
  <c r="AU615" i="38"/>
  <c r="AM557" i="38"/>
  <c r="BB934" i="38"/>
  <c r="BF265" i="38"/>
  <c r="BB994" i="38"/>
  <c r="BB837" i="38"/>
  <c r="AU647" i="38"/>
  <c r="AU785" i="38"/>
  <c r="AU976" i="38"/>
  <c r="AL557" i="38"/>
  <c r="BC728" i="38"/>
  <c r="AL365" i="38"/>
  <c r="AL556" i="38"/>
  <c r="AX452" i="38"/>
  <c r="AM918" i="38"/>
  <c r="AP157" i="38"/>
  <c r="BB798" i="38"/>
  <c r="AM682" i="38"/>
  <c r="AP517" i="38"/>
  <c r="AT1053" i="38"/>
  <c r="AL729" i="38"/>
  <c r="BC667" i="38"/>
  <c r="AT44" i="38"/>
  <c r="AM137" i="38"/>
  <c r="BF521" i="38"/>
  <c r="AT809" i="38"/>
  <c r="BC529" i="38"/>
  <c r="BF262" i="38"/>
  <c r="BC996" i="38"/>
  <c r="AL924" i="38"/>
  <c r="AU139" i="38"/>
  <c r="AT479" i="38"/>
  <c r="BB733" i="38"/>
  <c r="AU900" i="38"/>
  <c r="AM418" i="38"/>
  <c r="AU467" i="38"/>
  <c r="AX119" i="38"/>
  <c r="AU135" i="38"/>
  <c r="AM532" i="38"/>
  <c r="AU162" i="38"/>
  <c r="BC512" i="38"/>
  <c r="BB747" i="38"/>
  <c r="AT1013" i="38"/>
  <c r="BB335" i="38"/>
  <c r="BB1050" i="38"/>
  <c r="AM193" i="38"/>
  <c r="AM943" i="38"/>
  <c r="AL59" i="38"/>
  <c r="AU818" i="38"/>
  <c r="AX258" i="38"/>
  <c r="AM972" i="38"/>
  <c r="AU356" i="38"/>
  <c r="BB28" i="38"/>
  <c r="BB104" i="38"/>
  <c r="AL226" i="38"/>
  <c r="AM282" i="38"/>
  <c r="BF855" i="38"/>
  <c r="AP479" i="38"/>
  <c r="AL35" i="38"/>
  <c r="AU593" i="38"/>
  <c r="BB762" i="38"/>
  <c r="BC671" i="38"/>
  <c r="AT211" i="38"/>
  <c r="BC716" i="38"/>
  <c r="BB91" i="38"/>
  <c r="AL805" i="38"/>
  <c r="AU914" i="38"/>
  <c r="AT687" i="38"/>
  <c r="BB510" i="38"/>
  <c r="AM215" i="38"/>
  <c r="BB564" i="38"/>
  <c r="BB604" i="38"/>
  <c r="AL591" i="38"/>
  <c r="BC887" i="38"/>
  <c r="AU208" i="38"/>
  <c r="BC227" i="38"/>
  <c r="BC205" i="38"/>
  <c r="BB647" i="38"/>
  <c r="BB936" i="38"/>
  <c r="AM603" i="38"/>
  <c r="BF418" i="38"/>
  <c r="AX853" i="38"/>
  <c r="AT691" i="38"/>
  <c r="AM970" i="38"/>
  <c r="AU622" i="38"/>
  <c r="AT848" i="38"/>
  <c r="AX757" i="38"/>
  <c r="AL764" i="38"/>
  <c r="AX174" i="38"/>
  <c r="AX438" i="38"/>
  <c r="AL859" i="38"/>
  <c r="AM410" i="38"/>
  <c r="AT237" i="38"/>
  <c r="AU568" i="38"/>
  <c r="AL507" i="38"/>
  <c r="BC811" i="38"/>
  <c r="AP386" i="38"/>
  <c r="AX501" i="38"/>
  <c r="AX904" i="38"/>
  <c r="BB913" i="38"/>
  <c r="AT213" i="38"/>
  <c r="AP821" i="38"/>
  <c r="AT333" i="38"/>
  <c r="AU158" i="38"/>
  <c r="AX929" i="38"/>
  <c r="BC224" i="38"/>
  <c r="BC427" i="38"/>
  <c r="AL996" i="38"/>
  <c r="AT943" i="38"/>
  <c r="BC33" i="38"/>
  <c r="BC679" i="38"/>
  <c r="BB1015" i="38"/>
  <c r="AU616" i="38"/>
  <c r="AX505" i="38"/>
  <c r="AL776" i="38"/>
  <c r="AT26" i="38"/>
  <c r="AL438" i="38"/>
  <c r="AT743" i="38"/>
  <c r="AM192" i="38"/>
  <c r="AX356" i="38"/>
  <c r="BF134" i="38"/>
  <c r="AT720" i="38"/>
  <c r="AT307" i="38"/>
  <c r="AL777" i="38"/>
  <c r="BB662" i="38"/>
  <c r="AM873" i="38"/>
  <c r="AM474" i="38"/>
  <c r="BC279" i="38"/>
  <c r="AL692" i="38"/>
  <c r="AM673" i="38"/>
  <c r="AT103" i="38"/>
  <c r="BC308" i="38"/>
  <c r="BF364" i="38"/>
  <c r="BF123" i="38"/>
  <c r="AP183" i="38"/>
  <c r="AP842" i="38"/>
  <c r="BC1064" i="38"/>
  <c r="AP65" i="38"/>
  <c r="BB394" i="38"/>
  <c r="AT905" i="38"/>
  <c r="AP944" i="38"/>
  <c r="BC976" i="38"/>
  <c r="BF807" i="38"/>
  <c r="BC719" i="38"/>
  <c r="BF802" i="38"/>
  <c r="AT693" i="38"/>
  <c r="BF257" i="38"/>
  <c r="AM214" i="38"/>
  <c r="AT828" i="38"/>
  <c r="AX937" i="38"/>
  <c r="BF870" i="38"/>
  <c r="BB281" i="38"/>
  <c r="AL255" i="38"/>
  <c r="BC168" i="38"/>
  <c r="AP361" i="38"/>
  <c r="AL1030" i="38"/>
  <c r="AX508" i="38"/>
  <c r="AX836" i="38"/>
  <c r="BC362" i="38"/>
  <c r="AL168" i="38"/>
  <c r="BB613" i="38"/>
  <c r="BC703" i="38"/>
  <c r="AX778" i="38"/>
  <c r="BC470" i="38"/>
  <c r="BB146" i="38"/>
  <c r="AM300" i="38"/>
  <c r="BB483" i="38"/>
  <c r="AP802" i="38"/>
  <c r="AT470" i="38"/>
  <c r="BC973" i="38"/>
  <c r="AT623" i="38"/>
  <c r="BF383" i="38"/>
  <c r="BB815" i="38"/>
  <c r="BF492" i="38"/>
  <c r="AM582" i="38"/>
  <c r="AT34" i="38"/>
  <c r="AU1068" i="38"/>
  <c r="AX520" i="38"/>
  <c r="AP943" i="38"/>
  <c r="AT849" i="38"/>
  <c r="BB573" i="38"/>
  <c r="AM1086" i="38"/>
  <c r="AT950" i="38"/>
  <c r="AX943" i="38"/>
  <c r="BF62" i="38"/>
  <c r="BC867" i="38"/>
  <c r="BB223" i="38"/>
  <c r="BC978" i="38"/>
  <c r="BF768" i="38"/>
  <c r="AX545" i="38"/>
  <c r="BF789" i="38"/>
  <c r="AU326" i="38"/>
  <c r="AM706" i="38"/>
  <c r="AM991" i="38"/>
  <c r="AT889" i="38"/>
  <c r="AL304" i="38"/>
  <c r="AL620" i="38"/>
  <c r="AU688" i="38"/>
  <c r="AL837" i="38"/>
  <c r="AL338" i="38"/>
  <c r="AM173" i="38"/>
  <c r="BB701" i="38"/>
  <c r="AX225" i="38"/>
  <c r="BB1016" i="38"/>
  <c r="AX92" i="38"/>
  <c r="BB838" i="38"/>
  <c r="AU771" i="38"/>
  <c r="AL791" i="38"/>
  <c r="AX867" i="38"/>
  <c r="BC337" i="38"/>
  <c r="BF924" i="38"/>
  <c r="BB428" i="38"/>
  <c r="BC849" i="38"/>
  <c r="AM844" i="38"/>
  <c r="BB606" i="38"/>
  <c r="AL624" i="38"/>
  <c r="AU672" i="38"/>
  <c r="BC541" i="38"/>
  <c r="AX903" i="38"/>
  <c r="AM1070" i="38"/>
  <c r="AX539" i="38"/>
  <c r="BC717" i="38"/>
  <c r="BB617" i="38"/>
  <c r="AL466" i="38"/>
  <c r="AM979" i="38"/>
  <c r="BF169" i="38"/>
  <c r="BF119" i="38"/>
  <c r="AU693" i="38"/>
  <c r="BC738" i="38"/>
  <c r="AL64" i="38"/>
  <c r="AL679" i="38"/>
  <c r="AL988" i="38"/>
  <c r="AT106" i="38"/>
  <c r="AP886" i="38"/>
  <c r="BB634" i="38"/>
  <c r="BB628" i="38"/>
  <c r="AM1050" i="38"/>
  <c r="AL26" i="38"/>
  <c r="AL495" i="38"/>
  <c r="AL1013" i="38"/>
  <c r="BB203" i="38"/>
  <c r="AP107" i="38"/>
  <c r="BB416" i="38"/>
  <c r="BF468" i="38"/>
  <c r="AT643" i="38"/>
  <c r="AU837" i="38"/>
  <c r="BB161" i="38"/>
  <c r="AL484" i="38"/>
  <c r="AU297" i="38"/>
  <c r="BC282" i="38"/>
  <c r="AX495" i="38"/>
  <c r="BB349" i="38"/>
  <c r="AP417" i="38"/>
  <c r="AU843" i="38"/>
  <c r="AL446" i="38"/>
  <c r="BB557" i="38"/>
  <c r="AU522" i="38"/>
  <c r="AM726" i="38"/>
  <c r="AP237" i="38"/>
  <c r="AU626" i="38"/>
  <c r="AP799" i="38"/>
  <c r="BC145" i="38"/>
  <c r="AP916" i="38"/>
  <c r="AT776" i="38"/>
  <c r="AT866" i="38"/>
  <c r="BF154" i="38"/>
  <c r="AX218" i="38"/>
  <c r="AM553" i="38"/>
  <c r="AT339" i="38"/>
  <c r="AM49" i="38"/>
  <c r="AX851" i="38"/>
  <c r="BC166" i="38"/>
  <c r="AX148" i="38"/>
  <c r="AL220" i="38"/>
  <c r="AM281" i="38"/>
  <c r="AU221" i="38"/>
  <c r="AX171" i="38"/>
  <c r="AT1067" i="38"/>
  <c r="BB949" i="38"/>
  <c r="AP14" i="38"/>
  <c r="BB365" i="38"/>
  <c r="AU809" i="38"/>
  <c r="BC780" i="38"/>
  <c r="AX43" i="38"/>
  <c r="AX265" i="38"/>
  <c r="AU564" i="38"/>
  <c r="AU854" i="38"/>
  <c r="AU687" i="38"/>
  <c r="BC870" i="38"/>
  <c r="AU577" i="38"/>
  <c r="BC171" i="38"/>
  <c r="AT991" i="38"/>
  <c r="AP512" i="38"/>
  <c r="AX799" i="38"/>
  <c r="AX768" i="38"/>
  <c r="AX923" i="38"/>
  <c r="AT52" i="38"/>
  <c r="AP787" i="38"/>
  <c r="AL561" i="38"/>
  <c r="AL639" i="38"/>
  <c r="AU389" i="38"/>
  <c r="AU526" i="38"/>
  <c r="AT729" i="38"/>
  <c r="BF838" i="38"/>
  <c r="AL602" i="38"/>
  <c r="AM790" i="38"/>
  <c r="AU641" i="38"/>
  <c r="BC722" i="38"/>
  <c r="AM45" i="38"/>
  <c r="BF161" i="38"/>
  <c r="AM129" i="38"/>
  <c r="BF466" i="38"/>
  <c r="AU573" i="38"/>
  <c r="AM542" i="38"/>
  <c r="AU902" i="38"/>
  <c r="AL755" i="38"/>
  <c r="BF44" i="38"/>
  <c r="AU469" i="38"/>
  <c r="AT1099" i="38"/>
  <c r="AP837" i="38"/>
  <c r="AM670" i="38"/>
  <c r="AU281" i="38"/>
  <c r="BB664" i="38"/>
  <c r="AM458" i="38"/>
  <c r="AP824" i="38"/>
  <c r="BB789" i="38"/>
  <c r="AP263" i="38"/>
  <c r="AM951" i="38"/>
  <c r="BB529" i="38"/>
  <c r="AU1013" i="38"/>
  <c r="AM484" i="38"/>
  <c r="BF487" i="38"/>
  <c r="AL792" i="38"/>
  <c r="AT274" i="38"/>
  <c r="AM632" i="38"/>
  <c r="AM95" i="38"/>
  <c r="BC601" i="38"/>
  <c r="BC1056" i="38"/>
  <c r="BC361" i="38"/>
  <c r="AT506" i="38"/>
  <c r="AP99" i="38"/>
  <c r="AP509" i="38"/>
  <c r="AT681" i="38"/>
  <c r="BB654" i="38"/>
  <c r="AT547" i="38"/>
  <c r="BC829" i="38"/>
  <c r="AT15" i="38"/>
  <c r="BB676" i="38"/>
  <c r="AT921" i="38"/>
  <c r="AL590" i="38"/>
  <c r="AU480" i="38"/>
  <c r="AT669" i="38"/>
  <c r="AM1019" i="38"/>
  <c r="BB396" i="38"/>
  <c r="AU464" i="38"/>
  <c r="AT796" i="38"/>
  <c r="AL803" i="38"/>
  <c r="AX214" i="38"/>
  <c r="AT812" i="38"/>
  <c r="AL751" i="38"/>
  <c r="BB980" i="38"/>
  <c r="AT539" i="38"/>
  <c r="AT1022" i="38"/>
  <c r="BF475" i="38"/>
  <c r="AL326" i="38"/>
  <c r="AU966" i="38"/>
  <c r="AL1021" i="38"/>
  <c r="AT863" i="38"/>
  <c r="AU335" i="38"/>
  <c r="BC691" i="38"/>
  <c r="AL1032" i="38"/>
  <c r="AL700" i="38"/>
  <c r="AM928" i="38"/>
  <c r="AM528" i="38"/>
  <c r="BC287" i="38"/>
  <c r="AU287" i="38"/>
  <c r="BC263" i="38"/>
  <c r="AM334" i="38"/>
  <c r="AT787" i="38"/>
  <c r="BF842" i="38"/>
  <c r="AP113" i="38"/>
  <c r="AM169" i="38"/>
  <c r="BC623" i="38"/>
  <c r="AU690" i="38"/>
  <c r="AL958" i="38"/>
  <c r="AU51" i="38"/>
  <c r="BC523" i="38"/>
  <c r="BF369" i="38"/>
  <c r="AU514" i="38"/>
  <c r="BF393" i="38"/>
  <c r="AT635" i="38"/>
  <c r="BC134" i="38"/>
  <c r="BB607" i="38"/>
  <c r="AU994" i="38"/>
  <c r="AM708" i="38"/>
  <c r="BF509" i="38"/>
  <c r="AM159" i="38"/>
  <c r="AT459" i="38"/>
  <c r="AP384" i="38"/>
  <c r="AT710" i="38"/>
  <c r="AU306" i="38"/>
  <c r="AL802" i="38"/>
  <c r="BC804" i="38"/>
  <c r="AM820" i="38"/>
  <c r="AM884" i="38"/>
  <c r="AL855" i="38"/>
  <c r="AL324" i="38"/>
  <c r="AP868" i="38"/>
  <c r="BF437" i="38"/>
  <c r="AU659" i="38"/>
  <c r="AU610" i="38"/>
  <c r="AU984" i="38"/>
  <c r="AU548" i="38"/>
  <c r="AP865" i="38"/>
  <c r="BC814" i="38"/>
  <c r="BC28" i="38"/>
  <c r="AP466" i="38"/>
  <c r="BF14" i="38"/>
  <c r="BF162" i="38"/>
  <c r="AL780" i="38"/>
  <c r="BB937" i="38"/>
  <c r="BC532" i="38"/>
  <c r="AX461" i="38"/>
  <c r="AU856" i="38"/>
  <c r="AX783" i="38"/>
  <c r="BC1066" i="38"/>
  <c r="AM665" i="38"/>
  <c r="BB844" i="38"/>
  <c r="AU558" i="38"/>
  <c r="AM652" i="38"/>
  <c r="AT1064" i="38"/>
  <c r="BB588" i="38"/>
  <c r="AX433" i="38"/>
  <c r="AX42" i="38"/>
  <c r="BC520" i="38"/>
  <c r="AM696" i="38"/>
  <c r="BB491" i="38"/>
  <c r="BF135" i="38"/>
  <c r="BB584" i="38"/>
  <c r="BB310" i="38"/>
  <c r="AM618" i="38"/>
  <c r="BB755" i="38"/>
  <c r="AM50" i="38"/>
  <c r="AU303" i="38"/>
  <c r="AX899" i="38"/>
  <c r="BB706" i="38"/>
  <c r="AU721" i="38"/>
  <c r="AU486" i="38"/>
  <c r="AT983" i="38"/>
  <c r="AP175" i="38"/>
  <c r="BC67" i="38"/>
  <c r="AM118" i="38"/>
  <c r="AT514" i="38"/>
  <c r="AL822" i="38"/>
  <c r="AX945" i="38"/>
  <c r="AX99" i="38"/>
  <c r="AX155" i="38"/>
  <c r="AP847" i="38"/>
  <c r="AX834" i="38"/>
  <c r="AP266" i="38"/>
  <c r="AU383" i="38"/>
  <c r="AU678" i="38"/>
  <c r="AT706" i="38"/>
  <c r="AT210" i="38"/>
  <c r="BF834" i="38"/>
  <c r="BB648" i="38"/>
  <c r="BF473" i="38"/>
  <c r="AP483" i="38"/>
  <c r="AT589" i="38"/>
  <c r="AM355" i="38"/>
  <c r="AU1098" i="38"/>
  <c r="AP511" i="38"/>
  <c r="AM870" i="38"/>
  <c r="AM902" i="38"/>
  <c r="AT916" i="38"/>
  <c r="AU828" i="38"/>
  <c r="AL27" i="38"/>
  <c r="AX120" i="38"/>
  <c r="AU416" i="38"/>
  <c r="AT198" i="38"/>
  <c r="BC726" i="38"/>
  <c r="AU929" i="38"/>
  <c r="BC730" i="38"/>
  <c r="BB954" i="38"/>
  <c r="AL571" i="38"/>
  <c r="AL655" i="38"/>
  <c r="AU457" i="38"/>
  <c r="AP927" i="38"/>
  <c r="BF442" i="38"/>
  <c r="AL280" i="38"/>
  <c r="AX811" i="38"/>
  <c r="BC338" i="38"/>
  <c r="BF880" i="38"/>
  <c r="AP149" i="38"/>
  <c r="AL546" i="38"/>
  <c r="BF548" i="38"/>
  <c r="AM558" i="38"/>
  <c r="AX944" i="38"/>
  <c r="BB219" i="38"/>
  <c r="AU369" i="38"/>
  <c r="AT483" i="38"/>
  <c r="AM1035" i="38"/>
  <c r="AT604" i="38"/>
  <c r="AM824" i="38"/>
  <c r="AP758" i="38"/>
  <c r="AT1051" i="38"/>
  <c r="AL461" i="38"/>
  <c r="AM307" i="38"/>
  <c r="AP50" i="38"/>
  <c r="BF365" i="38"/>
  <c r="AL609" i="38"/>
  <c r="AL702" i="38"/>
  <c r="AL1075" i="38"/>
  <c r="BB294" i="38"/>
  <c r="BC237" i="38"/>
  <c r="AX497" i="38"/>
  <c r="BC637" i="38"/>
  <c r="BC188" i="38"/>
  <c r="AP227" i="38"/>
  <c r="BF474" i="38"/>
  <c r="AT452" i="38"/>
  <c r="AX264" i="38"/>
  <c r="AL418" i="38"/>
  <c r="AP119" i="38"/>
  <c r="AL604" i="38"/>
  <c r="AX393" i="38"/>
  <c r="AP817" i="38"/>
  <c r="BC822" i="38"/>
  <c r="BC301" i="38"/>
  <c r="AT674" i="38"/>
  <c r="AU930" i="38"/>
  <c r="AT231" i="38"/>
  <c r="AU171" i="38"/>
  <c r="AT601" i="38"/>
  <c r="AU258" i="38"/>
  <c r="AT615" i="38"/>
  <c r="AU204" i="38"/>
  <c r="AM883" i="38"/>
  <c r="BF810" i="38"/>
  <c r="BB466" i="38"/>
  <c r="BC167" i="38"/>
  <c r="BC886" i="38"/>
  <c r="AU653" i="38"/>
  <c r="AM837" i="38"/>
  <c r="BF114" i="38"/>
  <c r="BC92" i="38"/>
  <c r="AL276" i="38"/>
  <c r="BC1079" i="38"/>
  <c r="AL956" i="38"/>
  <c r="AM679" i="38"/>
  <c r="BB720" i="38"/>
  <c r="BB653" i="38"/>
  <c r="AM115" i="38"/>
  <c r="BF803" i="38"/>
  <c r="AX491" i="38"/>
  <c r="BB1048" i="38"/>
  <c r="BC952" i="38"/>
  <c r="AL1072" i="38"/>
  <c r="BC769" i="38"/>
  <c r="AL199" i="38"/>
  <c r="AM1010" i="38"/>
  <c r="AU981" i="38"/>
  <c r="AX170" i="38"/>
  <c r="AM473" i="38"/>
  <c r="BC853" i="38"/>
  <c r="AP254" i="38"/>
  <c r="AP192" i="38"/>
  <c r="AP854" i="38"/>
  <c r="BC898" i="38"/>
  <c r="BF776" i="38"/>
  <c r="AU734" i="38"/>
  <c r="AT748" i="38"/>
  <c r="AX790" i="38"/>
  <c r="BC902" i="38"/>
  <c r="AX905" i="38"/>
  <c r="BF522" i="38"/>
  <c r="BF264" i="38"/>
  <c r="AL531" i="38"/>
  <c r="AL270" i="38"/>
  <c r="AM629" i="38"/>
  <c r="AT411" i="38"/>
  <c r="AX791" i="38"/>
  <c r="AL394" i="38"/>
  <c r="AL586" i="38"/>
  <c r="BB887" i="38"/>
  <c r="AU656" i="38"/>
  <c r="BC820" i="38"/>
  <c r="AM457" i="38"/>
  <c r="AL1031" i="38"/>
  <c r="AM506" i="38"/>
  <c r="BF256" i="38"/>
  <c r="AP256" i="38"/>
  <c r="AT838" i="38"/>
  <c r="AP503" i="38"/>
  <c r="AT371" i="38"/>
  <c r="AT592" i="38"/>
  <c r="AM323" i="38"/>
  <c r="BB707" i="38"/>
  <c r="AX410" i="38"/>
  <c r="AL1056" i="38"/>
  <c r="AM444" i="38"/>
  <c r="AL214" i="38"/>
  <c r="AL256" i="38"/>
  <c r="AP765" i="38"/>
  <c r="AT992" i="38"/>
  <c r="AP807" i="38"/>
  <c r="BB883" i="38"/>
  <c r="AT170" i="38"/>
  <c r="AT964" i="38"/>
  <c r="AM148" i="38"/>
  <c r="AU507" i="38"/>
  <c r="AT356" i="38"/>
  <c r="BB183" i="38"/>
  <c r="AT959" i="38"/>
  <c r="AP917" i="38"/>
  <c r="BC1043" i="38"/>
  <c r="AU756" i="38"/>
  <c r="AX212" i="38"/>
  <c r="AU965" i="38"/>
  <c r="AU394" i="38"/>
  <c r="AL695" i="38"/>
  <c r="AT711" i="38"/>
  <c r="BC759" i="38"/>
  <c r="BB976" i="38"/>
  <c r="AX808" i="38"/>
  <c r="AP495" i="38"/>
  <c r="AX165" i="38"/>
  <c r="AL308" i="38"/>
  <c r="BF758" i="38"/>
  <c r="AT732" i="38"/>
  <c r="BB568" i="38"/>
  <c r="AM201" i="38"/>
  <c r="AU581" i="38"/>
  <c r="BB556" i="38"/>
  <c r="AM570" i="38"/>
  <c r="AX17" i="38"/>
  <c r="AU992" i="38"/>
  <c r="AL905" i="38"/>
  <c r="BC1086" i="38"/>
  <c r="AP494" i="38"/>
  <c r="AT91" i="38"/>
  <c r="BC872" i="38"/>
  <c r="AU67" i="38"/>
  <c r="AL110" i="38"/>
  <c r="AP221" i="38"/>
  <c r="AP356" i="38"/>
  <c r="BC644" i="38"/>
  <c r="AP775" i="38"/>
  <c r="AT811" i="38"/>
  <c r="AT1050" i="38"/>
  <c r="AU176" i="38"/>
  <c r="AU417" i="38"/>
  <c r="AT774" i="38"/>
  <c r="AM247" i="38"/>
  <c r="AT1018" i="38"/>
  <c r="AM713" i="38"/>
  <c r="AU146" i="38"/>
  <c r="AM589" i="38"/>
  <c r="AP520" i="38"/>
  <c r="BB493" i="38"/>
  <c r="AM975" i="38"/>
  <c r="BC869" i="38"/>
  <c r="AX506" i="38"/>
  <c r="BC157" i="38"/>
  <c r="AL361" i="38"/>
  <c r="AU1024" i="38"/>
  <c r="BF483" i="38"/>
  <c r="BC59" i="38"/>
  <c r="AU1052" i="38"/>
  <c r="BB329" i="38"/>
  <c r="AU168" i="38"/>
  <c r="AU689" i="38"/>
  <c r="AT822" i="38"/>
  <c r="AM537" i="38"/>
  <c r="AP518" i="38"/>
  <c r="AM263" i="38"/>
  <c r="AM728" i="38"/>
  <c r="AM555" i="38"/>
  <c r="AT699" i="38"/>
  <c r="AM919" i="38"/>
  <c r="BC303" i="38"/>
  <c r="BF46" i="38"/>
  <c r="AL694" i="38"/>
  <c r="AM1024" i="38"/>
  <c r="AT359" i="38"/>
  <c r="BC570" i="38"/>
  <c r="BB974" i="38"/>
  <c r="AM853" i="38"/>
  <c r="AP231" i="38"/>
  <c r="AL119" i="38"/>
  <c r="AX221" i="38"/>
  <c r="AU953" i="38"/>
  <c r="BB200" i="38"/>
  <c r="AX473" i="38"/>
  <c r="BC254" i="38"/>
  <c r="AU1039" i="38"/>
  <c r="AL131" i="38"/>
  <c r="AL649" i="38"/>
  <c r="AL540" i="38"/>
  <c r="BC566" i="38"/>
  <c r="AP120" i="38"/>
  <c r="AX260" i="38"/>
  <c r="AU741" i="38"/>
  <c r="AU823" i="38"/>
  <c r="BF790" i="38"/>
  <c r="AL143" i="38"/>
  <c r="AL331" i="38"/>
  <c r="BB66" i="38"/>
  <c r="AL532" i="38"/>
  <c r="AT688" i="38"/>
  <c r="AX789" i="38"/>
  <c r="AU501" i="38"/>
  <c r="AL677" i="38"/>
  <c r="BB432" i="38"/>
  <c r="AT685" i="38"/>
  <c r="AM617" i="38"/>
  <c r="AU598" i="38"/>
  <c r="AT427" i="38"/>
  <c r="AP815" i="38"/>
  <c r="AP485" i="38"/>
  <c r="AM885" i="38"/>
  <c r="AU985" i="38"/>
  <c r="AM321" i="38"/>
  <c r="AP190" i="38"/>
  <c r="BB359" i="38"/>
  <c r="BB26" i="38"/>
  <c r="AU683" i="38"/>
  <c r="BB858" i="38"/>
  <c r="AU901" i="38"/>
  <c r="AP205" i="38"/>
  <c r="AT973" i="38"/>
  <c r="AM268" i="38"/>
  <c r="AP522" i="38"/>
  <c r="AL485" i="38"/>
  <c r="AM1022" i="38"/>
  <c r="AT624" i="38"/>
  <c r="BC95" i="38"/>
  <c r="AU933" i="38"/>
  <c r="BC491" i="38"/>
  <c r="AM1076" i="38"/>
  <c r="AL721" i="38"/>
  <c r="AT529" i="38"/>
  <c r="AP879" i="38"/>
  <c r="AL294" i="38"/>
  <c r="AT186" i="38"/>
  <c r="AL564" i="38"/>
  <c r="AL148" i="38"/>
  <c r="BF211" i="38"/>
  <c r="AU110" i="38"/>
  <c r="BC944" i="38"/>
  <c r="AU224" i="38"/>
  <c r="BC409" i="38"/>
  <c r="AP478" i="38"/>
  <c r="AL739" i="38"/>
  <c r="AT260" i="38"/>
  <c r="AM869" i="38"/>
  <c r="BF479" i="38"/>
  <c r="AM1054" i="38"/>
  <c r="AP457" i="38"/>
  <c r="BC612" i="38"/>
  <c r="AU57" i="38"/>
  <c r="BC215" i="38"/>
  <c r="BC540" i="38"/>
  <c r="AL961" i="38"/>
  <c r="BB170" i="38"/>
  <c r="AU642" i="38"/>
  <c r="AT120" i="38"/>
  <c r="BC442" i="38"/>
  <c r="AL92" i="38"/>
  <c r="AX928" i="38"/>
  <c r="AT597" i="38"/>
  <c r="AL49" i="38"/>
  <c r="BF506" i="38"/>
  <c r="AL899" i="38"/>
  <c r="AM540" i="38"/>
  <c r="BC519" i="38"/>
  <c r="AU272" i="38"/>
  <c r="AL1001" i="38"/>
  <c r="AT791" i="38"/>
  <c r="AM527" i="38"/>
  <c r="AX499" i="38"/>
  <c r="AL710" i="38"/>
  <c r="AU1086" i="38"/>
  <c r="BB929" i="38"/>
  <c r="BB208" i="38"/>
  <c r="AL132" i="38"/>
  <c r="AU541" i="38"/>
  <c r="BB346" i="38"/>
  <c r="AT394" i="38"/>
  <c r="AU432" i="38"/>
  <c r="AU438" i="38"/>
  <c r="AL828" i="38"/>
  <c r="AM1038" i="38"/>
  <c r="AT49" i="38"/>
  <c r="AM218" i="38"/>
  <c r="AL687" i="38"/>
  <c r="AX940" i="38"/>
  <c r="AL606" i="38"/>
  <c r="AM132" i="38"/>
  <c r="AT121" i="38"/>
  <c r="AP415" i="38"/>
  <c r="BB749" i="38"/>
  <c r="AM940" i="38"/>
  <c r="BB692" i="38"/>
  <c r="BF455" i="38"/>
  <c r="AU686" i="38"/>
  <c r="AT541" i="38"/>
  <c r="AT955" i="38"/>
  <c r="AU730" i="38"/>
  <c r="AL339" i="38"/>
  <c r="AL660" i="38"/>
  <c r="AT1003" i="38"/>
  <c r="AT1017" i="38"/>
  <c r="BB605" i="38"/>
  <c r="AU719" i="38"/>
  <c r="AM798" i="38"/>
  <c r="BC305" i="38"/>
  <c r="BF945" i="38"/>
  <c r="AX65" i="38"/>
  <c r="AP757" i="38"/>
  <c r="BF391" i="38"/>
  <c r="AL709" i="38"/>
  <c r="AT639" i="38"/>
  <c r="BB548" i="38"/>
  <c r="AT478" i="38"/>
  <c r="AL728" i="38"/>
  <c r="BF926" i="38"/>
  <c r="AX801" i="38"/>
  <c r="AM744" i="38"/>
  <c r="AM455" i="38"/>
  <c r="AL257" i="38"/>
  <c r="AT554" i="38"/>
  <c r="AL816" i="38"/>
  <c r="BF102" i="38"/>
  <c r="AM890" i="38"/>
  <c r="AX934" i="38"/>
  <c r="AX434" i="38"/>
  <c r="AX946" i="38"/>
  <c r="BB948" i="38"/>
  <c r="BF897" i="38"/>
  <c r="BC933" i="38"/>
  <c r="AM156" i="38"/>
  <c r="AL299" i="38"/>
  <c r="AT698" i="38"/>
  <c r="AT199" i="38"/>
  <c r="BC647" i="38"/>
  <c r="AU847" i="38"/>
  <c r="BF517" i="38"/>
  <c r="BF166" i="38"/>
  <c r="AM608" i="38"/>
  <c r="AM420" i="38"/>
  <c r="AM1071" i="38"/>
  <c r="AL160" i="38"/>
  <c r="AM188" i="38"/>
  <c r="BC216" i="38"/>
  <c r="AM157" i="38"/>
  <c r="AU869" i="38"/>
  <c r="AL445" i="38"/>
  <c r="AP822" i="38"/>
  <c r="BB567" i="38"/>
  <c r="AT16" i="38"/>
  <c r="BC357" i="38"/>
  <c r="BF791" i="38"/>
  <c r="AP870" i="38"/>
  <c r="BB71" i="38"/>
  <c r="AU655" i="38"/>
  <c r="BF537" i="38"/>
  <c r="BC393" i="38"/>
  <c r="BC841" i="38"/>
  <c r="AT728" i="38"/>
  <c r="AX69" i="38"/>
  <c r="AT586" i="38"/>
  <c r="AT293" i="38"/>
  <c r="AX835" i="38"/>
  <c r="AX110" i="38"/>
  <c r="AL493" i="38"/>
  <c r="AL541" i="38"/>
  <c r="AL414" i="38"/>
  <c r="AX370" i="38"/>
  <c r="BB1025" i="38"/>
  <c r="AU226" i="38"/>
  <c r="AU466" i="38"/>
  <c r="BF190" i="38"/>
  <c r="BC473" i="38"/>
  <c r="AX139" i="38"/>
  <c r="BF491" i="38"/>
  <c r="AT303" i="38"/>
  <c r="BC1019" i="38"/>
  <c r="BC1088" i="38"/>
  <c r="AP458" i="38"/>
  <c r="AP27" i="38"/>
  <c r="AL840" i="38"/>
  <c r="BB1010" i="38"/>
  <c r="AP459" i="38"/>
  <c r="BC792" i="38"/>
  <c r="AM111" i="38"/>
  <c r="AT504" i="38"/>
  <c r="BF519" i="38"/>
  <c r="AU187" i="38"/>
  <c r="BB757" i="38"/>
  <c r="AT154" i="38"/>
  <c r="AM299" i="38"/>
  <c r="AX102" i="38"/>
  <c r="AU328" i="38"/>
  <c r="BB1006" i="38"/>
  <c r="AP773" i="38"/>
  <c r="AX796" i="38"/>
  <c r="BB58" i="38"/>
  <c r="AU1027" i="38"/>
  <c r="AL258" i="38"/>
  <c r="AL44" i="38"/>
  <c r="AL457" i="38"/>
  <c r="AU947" i="38"/>
  <c r="AL145" i="38"/>
  <c r="AT190" i="38"/>
  <c r="AL594" i="38"/>
  <c r="AX223" i="38"/>
  <c r="AP852" i="38"/>
  <c r="AP861" i="38"/>
  <c r="BC660" i="38"/>
  <c r="AT388" i="38"/>
  <c r="AX366" i="38"/>
  <c r="AU840" i="38"/>
  <c r="BF188" i="38"/>
  <c r="AX432" i="38"/>
  <c r="AP813" i="38"/>
  <c r="AL724" i="38"/>
  <c r="AT59" i="38"/>
  <c r="AM62" i="38"/>
  <c r="AU973" i="38"/>
  <c r="AT995" i="38"/>
  <c r="AM15" i="38"/>
  <c r="AU1079" i="38"/>
  <c r="BF767" i="38"/>
  <c r="AT979" i="38"/>
  <c r="AM430" i="38"/>
  <c r="AM967" i="38"/>
  <c r="BF258" i="38"/>
  <c r="AU395" i="38"/>
  <c r="AL473" i="38"/>
  <c r="BB280" i="38"/>
  <c r="BC640" i="38"/>
  <c r="BC625" i="38"/>
  <c r="AU679" i="38"/>
  <c r="AU852" i="38"/>
  <c r="BF514" i="38"/>
  <c r="AP63" i="38"/>
  <c r="AM392" i="38"/>
  <c r="BF488" i="38"/>
  <c r="AU979" i="38"/>
  <c r="AU1033" i="38"/>
  <c r="AU302" i="38"/>
  <c r="BC844" i="38"/>
  <c r="AL425" i="38"/>
  <c r="AP834" i="38"/>
  <c r="BC356" i="38"/>
  <c r="AL416" i="38"/>
  <c r="AM1013" i="38"/>
  <c r="AT348" i="38"/>
  <c r="BC387" i="38"/>
  <c r="AT703" i="38"/>
  <c r="BF111" i="38"/>
  <c r="AU595" i="38"/>
  <c r="AM657" i="38"/>
  <c r="AM775" i="38"/>
  <c r="AT712" i="38"/>
  <c r="AM389" i="38"/>
  <c r="AU183" i="38"/>
  <c r="BB690" i="38"/>
  <c r="AX261" i="38"/>
  <c r="AL154" i="38"/>
  <c r="AL286" i="38"/>
  <c r="AM872" i="38"/>
  <c r="AX211" i="38"/>
  <c r="AL544" i="38"/>
  <c r="AL987" i="38"/>
  <c r="AM92" i="38"/>
  <c r="AP98" i="38"/>
  <c r="BB479" i="38"/>
  <c r="AT892" i="38"/>
  <c r="BB871" i="38"/>
  <c r="AM914" i="38"/>
  <c r="AU838" i="38"/>
  <c r="AT725" i="38"/>
  <c r="AM699" i="38"/>
  <c r="AL267" i="38"/>
  <c r="AM610" i="38"/>
  <c r="AU511" i="38"/>
  <c r="BB973" i="38"/>
  <c r="AM483" i="38"/>
  <c r="BC1030" i="38"/>
  <c r="AT745" i="38"/>
  <c r="AT747" i="38"/>
  <c r="AP133" i="38"/>
  <c r="AP863" i="38"/>
  <c r="BF30" i="38"/>
  <c r="AX213" i="38"/>
  <c r="AU1018" i="38"/>
  <c r="AX118" i="38"/>
  <c r="BC591" i="38"/>
  <c r="BB232" i="38"/>
  <c r="AM294" i="38"/>
  <c r="AM40" i="38"/>
  <c r="AT830" i="38"/>
  <c r="AL600" i="38"/>
  <c r="AL733" i="38"/>
  <c r="AU850" i="38"/>
  <c r="AM891" i="38"/>
  <c r="AM577" i="38"/>
  <c r="BB926" i="38"/>
  <c r="AU668" i="38"/>
  <c r="BC610" i="38"/>
  <c r="AT50" i="38"/>
  <c r="AP210" i="38"/>
  <c r="AL151" i="38"/>
  <c r="AT570" i="38"/>
  <c r="BC859" i="38"/>
  <c r="AM900" i="38"/>
  <c r="AM668" i="38"/>
  <c r="AL1081" i="38"/>
  <c r="AM463" i="38"/>
  <c r="AU572" i="38"/>
  <c r="AL187" i="38"/>
  <c r="BF539" i="38"/>
  <c r="BB860" i="38"/>
  <c r="BC785" i="38"/>
  <c r="AT164" i="38"/>
  <c r="AM120" i="38"/>
  <c r="AM348" i="38"/>
  <c r="AL871" i="38"/>
  <c r="BF818" i="38"/>
  <c r="BC552" i="38"/>
  <c r="AU739" i="38"/>
  <c r="BB522" i="38"/>
  <c r="BB819" i="38"/>
  <c r="AT144" i="38"/>
  <c r="AL645" i="38"/>
  <c r="BC490" i="38"/>
  <c r="AL813" i="38"/>
  <c r="AL364" i="38"/>
  <c r="AM623" i="38"/>
  <c r="AM472" i="38"/>
  <c r="AU652" i="38"/>
  <c r="AU366" i="38"/>
  <c r="AT894" i="38"/>
  <c r="AM611" i="38"/>
  <c r="AT33" i="38"/>
  <c r="AU958" i="38"/>
  <c r="AP93" i="38"/>
  <c r="AU894" i="38"/>
  <c r="AT666" i="38"/>
  <c r="AL22" i="38"/>
  <c r="BF511" i="38"/>
  <c r="BB103" i="38"/>
  <c r="BC162" i="38"/>
  <c r="AU518" i="38"/>
  <c r="AP440" i="38"/>
  <c r="BC342" i="38"/>
  <c r="BB272" i="38"/>
  <c r="AL1065" i="38"/>
  <c r="AU94" i="38"/>
  <c r="BB770" i="38"/>
  <c r="AU677" i="38"/>
  <c r="BB611" i="38"/>
  <c r="BC1068" i="38"/>
  <c r="AP507" i="38"/>
  <c r="AP846" i="38"/>
  <c r="AU1063" i="38"/>
  <c r="AM63" i="38"/>
  <c r="AP409" i="38"/>
  <c r="AX802" i="38"/>
  <c r="BF53" i="38"/>
  <c r="BC910" i="38"/>
  <c r="AL637" i="38"/>
  <c r="AM228" i="38"/>
  <c r="AX773" i="38"/>
  <c r="AU212" i="38"/>
  <c r="BC657" i="38"/>
  <c r="AU1017" i="38"/>
  <c r="BB774" i="38"/>
  <c r="AX199" i="38"/>
  <c r="AL515" i="38"/>
  <c r="AL216" i="38"/>
  <c r="BF783" i="38"/>
  <c r="AP45" i="38"/>
  <c r="AX879" i="38"/>
  <c r="AX490" i="38"/>
  <c r="AU32" i="38"/>
  <c r="AM1036" i="38"/>
  <c r="BF871" i="38"/>
  <c r="BB805" i="38"/>
  <c r="AL844" i="38"/>
  <c r="AM26" i="38"/>
  <c r="BC454" i="38"/>
  <c r="AT183" i="38"/>
  <c r="BB1037" i="38"/>
  <c r="BB227" i="38"/>
  <c r="AT801" i="38"/>
  <c r="AL945" i="38"/>
  <c r="AP53" i="38"/>
  <c r="BF898" i="38"/>
  <c r="AT481" i="38"/>
  <c r="AL41" i="38"/>
  <c r="AT739" i="38"/>
  <c r="BC882" i="38"/>
  <c r="BC577" i="38"/>
  <c r="AT799" i="38"/>
  <c r="BB715" i="38"/>
  <c r="BB751" i="38"/>
  <c r="BC328" i="38"/>
  <c r="BB185" i="38"/>
  <c r="AP818" i="38"/>
  <c r="AU790" i="38"/>
  <c r="BB266" i="38"/>
  <c r="AU757" i="38"/>
  <c r="AU735" i="38"/>
  <c r="AX388" i="38"/>
  <c r="AT1011" i="38"/>
  <c r="BB624" i="38"/>
  <c r="AP128" i="38"/>
  <c r="BB675" i="38"/>
  <c r="AX357" i="38"/>
  <c r="AM921" i="38"/>
  <c r="BC743" i="38"/>
  <c r="AL691" i="38"/>
  <c r="AL623" i="38"/>
  <c r="AM104" i="38"/>
  <c r="AT956" i="38"/>
  <c r="AX73" i="38"/>
  <c r="BF828" i="38"/>
  <c r="AT474" i="38"/>
  <c r="BC803" i="38"/>
  <c r="BF219" i="38"/>
  <c r="BC526" i="38"/>
  <c r="BB514" i="38"/>
  <c r="AU661" i="38"/>
  <c r="AX201" i="38"/>
  <c r="AT270" i="38"/>
  <c r="BF922" i="38"/>
  <c r="BF116" i="38"/>
  <c r="AM672" i="38"/>
  <c r="AU797" i="38"/>
  <c r="AP538" i="38"/>
  <c r="BB759" i="38"/>
  <c r="BF197" i="38"/>
  <c r="AT788" i="38"/>
  <c r="AM546" i="38"/>
  <c r="AT405" i="38"/>
  <c r="AU623" i="38"/>
  <c r="BF456" i="38"/>
  <c r="BB504" i="38"/>
  <c r="AX921" i="38"/>
  <c r="BC466" i="38"/>
  <c r="AT292" i="38"/>
  <c r="AU707" i="38"/>
  <c r="AL881" i="38"/>
  <c r="AU1042" i="38"/>
  <c r="AU597" i="38"/>
  <c r="AL974" i="38"/>
  <c r="AU870" i="38"/>
  <c r="BB521" i="38"/>
  <c r="AT1080" i="38"/>
  <c r="AL719" i="38"/>
  <c r="BF186" i="38"/>
  <c r="AP121" i="38"/>
  <c r="AU792" i="38"/>
  <c r="BB1043" i="38"/>
  <c r="BB1075" i="38"/>
  <c r="AX255" i="38"/>
  <c r="AM162" i="38"/>
  <c r="AP469" i="38"/>
  <c r="AT960" i="38"/>
  <c r="BF222" i="38"/>
  <c r="AT421" i="38"/>
  <c r="BC295" i="38"/>
  <c r="AL955" i="38"/>
  <c r="AT133" i="38"/>
  <c r="AX887" i="38"/>
  <c r="AM660" i="38"/>
  <c r="BC585" i="38"/>
  <c r="AU726" i="38"/>
  <c r="AX476" i="38"/>
  <c r="AM1074" i="38"/>
  <c r="AM46" i="38"/>
  <c r="AT1052" i="38"/>
  <c r="AX889" i="38"/>
  <c r="AU1041" i="38"/>
  <c r="BB533" i="38"/>
  <c r="AU72" i="38"/>
  <c r="AL70" i="38"/>
  <c r="AL575" i="38"/>
  <c r="AM485" i="38"/>
  <c r="BC646" i="38"/>
  <c r="BB684" i="38"/>
  <c r="AX228" i="38"/>
  <c r="AP521" i="38"/>
  <c r="AM655" i="38"/>
  <c r="BC369" i="38"/>
  <c r="AU262" i="38"/>
  <c r="BF461" i="38"/>
  <c r="AT1000" i="38"/>
  <c r="AM405" i="38"/>
  <c r="AT708" i="38"/>
  <c r="BB1091" i="38"/>
  <c r="AL912" i="38"/>
  <c r="AM880" i="38"/>
  <c r="AL893" i="38"/>
  <c r="AU612" i="38"/>
  <c r="BC950" i="38"/>
  <c r="BC1006" i="38"/>
  <c r="AT856" i="38"/>
  <c r="AL494" i="38"/>
  <c r="BC258" i="38"/>
  <c r="AP888" i="38"/>
  <c r="AP387" i="38"/>
  <c r="BC294" i="38"/>
  <c r="BB321" i="38"/>
  <c r="AT642" i="38"/>
  <c r="BB552" i="38"/>
  <c r="AL469" i="38"/>
  <c r="AT668" i="38"/>
  <c r="AT280" i="38"/>
  <c r="AM598" i="38"/>
  <c r="AM839" i="38"/>
  <c r="BB683" i="38"/>
  <c r="AX190" i="38"/>
  <c r="AM776" i="38"/>
  <c r="AX823" i="38"/>
  <c r="BB134" i="38"/>
  <c r="AP473" i="38"/>
  <c r="AU386" i="38"/>
  <c r="AP35" i="38"/>
  <c r="AL279" i="38"/>
  <c r="AM817" i="38"/>
  <c r="AM22" i="38"/>
  <c r="AP222" i="38"/>
  <c r="AU414" i="38"/>
  <c r="AP182" i="38"/>
  <c r="BC653" i="38"/>
  <c r="AX173" i="38"/>
  <c r="AX521" i="38"/>
  <c r="AT563" i="38"/>
  <c r="BC45" i="38"/>
  <c r="AU715" i="38"/>
  <c r="BC946" i="38"/>
  <c r="AU470" i="38"/>
  <c r="AT114" i="38"/>
  <c r="AM751" i="38"/>
  <c r="AM426" i="38"/>
  <c r="AT825" i="38"/>
  <c r="AT862" i="38"/>
  <c r="BF462" i="38"/>
  <c r="BC259" i="38"/>
  <c r="BC590" i="38"/>
  <c r="BB615" i="38"/>
  <c r="BC808" i="38"/>
  <c r="BC930" i="38"/>
  <c r="AL629" i="38"/>
  <c r="AT203" i="38"/>
  <c r="BC848" i="38"/>
  <c r="AT548" i="38"/>
  <c r="BB46" i="38"/>
  <c r="AU556" i="38"/>
  <c r="AX233" i="38"/>
  <c r="AP69" i="38"/>
  <c r="AU116" i="38"/>
  <c r="AP831" i="38"/>
  <c r="BF837" i="38"/>
  <c r="AX112" i="38"/>
  <c r="AX477" i="38"/>
  <c r="AT667" i="38"/>
  <c r="AU654" i="38"/>
  <c r="AX458" i="38"/>
  <c r="AM27" i="38"/>
  <c r="BC895" i="38"/>
  <c r="BC790" i="38"/>
  <c r="BF231" i="38"/>
  <c r="AM842" i="38"/>
  <c r="AT102" i="38"/>
  <c r="AX523" i="38"/>
  <c r="AP850" i="38"/>
  <c r="BC1097" i="38"/>
  <c r="AL113" i="38"/>
  <c r="AM723" i="38"/>
  <c r="AU609" i="38"/>
  <c r="BB49" i="38"/>
  <c r="BB597" i="38"/>
  <c r="AP777" i="38"/>
  <c r="BB905" i="38"/>
  <c r="AP770" i="38"/>
  <c r="BC567" i="38"/>
  <c r="AM1057" i="38"/>
  <c r="AX268" i="38"/>
  <c r="BB382" i="38"/>
  <c r="BC563" i="38"/>
  <c r="BB270" i="38"/>
  <c r="BB209" i="38"/>
  <c r="AT297" i="38"/>
  <c r="AL17" i="38"/>
  <c r="AL362" i="38"/>
  <c r="AM573" i="38"/>
  <c r="AT143" i="38"/>
  <c r="AT410" i="38"/>
  <c r="AT656" i="38"/>
  <c r="AL1044" i="38"/>
  <c r="AP797" i="38"/>
  <c r="AU706" i="38"/>
  <c r="BC715" i="38"/>
  <c r="BB444" i="38"/>
  <c r="BF826" i="38"/>
  <c r="BC49" i="38"/>
  <c r="AL839" i="38"/>
  <c r="AT591" i="38"/>
  <c r="BF436" i="38"/>
  <c r="AL617" i="38"/>
  <c r="BB1017" i="38"/>
  <c r="AT553" i="38"/>
  <c r="BC274" i="38"/>
  <c r="BB783" i="38"/>
  <c r="AX822" i="38"/>
  <c r="AP184" i="38"/>
  <c r="AP798" i="38"/>
  <c r="AX457" i="38"/>
  <c r="AU562" i="38"/>
  <c r="AL967" i="38"/>
  <c r="BB959" i="38"/>
  <c r="AM701" i="38"/>
  <c r="BC537" i="38"/>
  <c r="BB247" i="38"/>
  <c r="AP200" i="38"/>
  <c r="BF498" i="38"/>
  <c r="AM422" i="38"/>
  <c r="BC135" i="38"/>
  <c r="AM791" i="38"/>
  <c r="BF923" i="38"/>
  <c r="BC772" i="38"/>
  <c r="AM43" i="38"/>
  <c r="AL779" i="38"/>
  <c r="BB1013" i="38"/>
  <c r="BB528" i="38"/>
  <c r="BF504" i="38"/>
  <c r="AX765" i="38"/>
  <c r="AM929" i="38"/>
  <c r="BF819" i="38"/>
  <c r="BC410" i="38"/>
  <c r="AL427" i="38"/>
  <c r="BB500" i="38"/>
  <c r="AU323" i="38"/>
  <c r="AT369" i="38"/>
  <c r="AM145" i="38"/>
  <c r="AM989" i="38"/>
  <c r="AL1048" i="38"/>
  <c r="BC847" i="38"/>
  <c r="BF355" i="38"/>
  <c r="AT793" i="38"/>
  <c r="AX890" i="38"/>
  <c r="BF41" i="38"/>
  <c r="BF518" i="38"/>
  <c r="BC549" i="38"/>
  <c r="AM580" i="38"/>
  <c r="AP265" i="38"/>
  <c r="BC773" i="38"/>
  <c r="AL519" i="38"/>
  <c r="BC678" i="38"/>
  <c r="AP791" i="38"/>
  <c r="AX409" i="38"/>
  <c r="AM44" i="38"/>
  <c r="AM945" i="38"/>
  <c r="AM651" i="38"/>
  <c r="AT772" i="38"/>
  <c r="AL553" i="38"/>
  <c r="BC890" i="38"/>
  <c r="BF934" i="38"/>
  <c r="AL63" i="38"/>
  <c r="BC429" i="38"/>
  <c r="AT1021" i="38"/>
  <c r="AP923" i="38"/>
  <c r="BF267" i="38"/>
  <c r="AP267" i="38"/>
  <c r="AT48" i="38"/>
  <c r="AT790" i="38"/>
  <c r="AT600" i="38"/>
  <c r="AM738" i="38"/>
  <c r="BF143" i="38"/>
  <c r="AT433" i="38"/>
  <c r="AP919" i="38"/>
  <c r="AP43" i="38"/>
  <c r="AX494" i="38"/>
  <c r="AP197" i="38"/>
  <c r="BB622" i="38"/>
  <c r="AU980" i="38"/>
  <c r="AT924" i="38"/>
  <c r="BB828" i="38"/>
  <c r="BB1040" i="38"/>
  <c r="AX247" i="38"/>
  <c r="AP446" i="38"/>
  <c r="AL757" i="38"/>
  <c r="AU436" i="38"/>
  <c r="BF943" i="38"/>
  <c r="AM362" i="38"/>
  <c r="AM803" i="38"/>
  <c r="AT677" i="38"/>
  <c r="BF360" i="38"/>
  <c r="AU41" i="38"/>
  <c r="AT726" i="38"/>
  <c r="AX514" i="38"/>
  <c r="AU731" i="38"/>
  <c r="BC472" i="38"/>
  <c r="AT576" i="38"/>
  <c r="AX159" i="38"/>
  <c r="BC392" i="38"/>
  <c r="AX236" i="38"/>
  <c r="AX391" i="38"/>
  <c r="AP214" i="38"/>
  <c r="AL807" i="38"/>
  <c r="AU988" i="38"/>
  <c r="BF260" i="38"/>
  <c r="AP429" i="38"/>
  <c r="AM784" i="38"/>
  <c r="BB637" i="38"/>
  <c r="AM276" i="38"/>
  <c r="BC919" i="38"/>
  <c r="AU682" i="38"/>
  <c r="AT286" i="38"/>
  <c r="AM291" i="38"/>
  <c r="AP51" i="38"/>
  <c r="AL675" i="38"/>
  <c r="AP146" i="38"/>
  <c r="BB787" i="38"/>
  <c r="BB680" i="38"/>
  <c r="BC1074" i="38"/>
  <c r="AX884" i="38"/>
  <c r="AT715" i="38"/>
  <c r="BC481" i="38"/>
  <c r="AM720" i="38"/>
  <c r="BB345" i="38"/>
  <c r="AM633" i="38"/>
  <c r="BF932" i="38"/>
  <c r="AU898" i="38"/>
  <c r="AU925" i="38"/>
  <c r="AT166" i="38"/>
  <c r="AX460" i="38"/>
  <c r="AM31" i="38"/>
  <c r="AX30" i="38"/>
  <c r="AP260" i="38"/>
  <c r="BC128" i="38"/>
  <c r="BB712" i="38"/>
  <c r="AM1043" i="38"/>
  <c r="BF132" i="38"/>
  <c r="BC211" i="38"/>
  <c r="BC624" i="38"/>
  <c r="BF58" i="38"/>
  <c r="BB453" i="38"/>
  <c r="AT765" i="38"/>
  <c r="BC826" i="38"/>
  <c r="AP843" i="38"/>
  <c r="AM108" i="38"/>
  <c r="AM221" i="38"/>
  <c r="AM815" i="38"/>
  <c r="BB997" i="38"/>
  <c r="AL723" i="38"/>
  <c r="AP906" i="38"/>
  <c r="BB518" i="38"/>
  <c r="AP66" i="38"/>
  <c r="BB275" i="38"/>
  <c r="AU633" i="38"/>
  <c r="AT146" i="38"/>
  <c r="AL1003" i="38"/>
  <c r="BC493" i="38"/>
  <c r="AL910" i="38"/>
  <c r="AU270" i="38"/>
  <c r="AU428" i="38"/>
  <c r="BC129" i="38"/>
  <c r="AL1103" i="38"/>
  <c r="AM176" i="38"/>
  <c r="AL868" i="38"/>
  <c r="AL568" i="38"/>
  <c r="BB673" i="38"/>
  <c r="AU531" i="38"/>
  <c r="AL635" i="38"/>
  <c r="AU485" i="38"/>
  <c r="BF865" i="38"/>
  <c r="AU482" i="38"/>
  <c r="AU528" i="38"/>
  <c r="BC446" i="38"/>
  <c r="BF233" i="38"/>
  <c r="AM773" i="38"/>
  <c r="AM547" i="38"/>
  <c r="BF128" i="38"/>
  <c r="AU826" i="38"/>
  <c r="BB361" i="38"/>
  <c r="AP756" i="38"/>
  <c r="AT428" i="38"/>
  <c r="AX916" i="38"/>
  <c r="AP138" i="38"/>
  <c r="BF130" i="38"/>
  <c r="AP17" i="38"/>
  <c r="AT172" i="38"/>
  <c r="AL616" i="38"/>
  <c r="AP827" i="38"/>
  <c r="BC310" i="38"/>
  <c r="AL420" i="38"/>
  <c r="AL99" i="38"/>
  <c r="AM1099" i="38"/>
  <c r="AT795" i="38"/>
  <c r="AL857" i="38"/>
  <c r="AU1002" i="38"/>
  <c r="AM692" i="38"/>
  <c r="BC218" i="38"/>
  <c r="AL47" i="38"/>
  <c r="BF905" i="38"/>
  <c r="AM322" i="38"/>
  <c r="AT813" i="38"/>
  <c r="BC742" i="38"/>
  <c r="AX475" i="38"/>
  <c r="AT797" i="38"/>
  <c r="AL1026" i="38"/>
  <c r="AL182" i="38"/>
  <c r="BB271" i="38"/>
  <c r="AL861" i="38"/>
  <c r="BC794" i="38"/>
  <c r="AU777" i="38"/>
  <c r="BC740" i="38"/>
  <c r="AP416" i="38"/>
  <c r="BC767" i="38"/>
  <c r="AL237" i="38"/>
  <c r="AU223" i="38"/>
  <c r="AT325" i="38"/>
  <c r="AT695" i="38"/>
  <c r="BC602" i="38"/>
  <c r="AU445" i="38"/>
  <c r="AX428" i="38"/>
  <c r="AM879" i="38"/>
  <c r="BF476" i="38"/>
  <c r="BC1053" i="38"/>
  <c r="AU889" i="38"/>
  <c r="AT847" i="38"/>
  <c r="AM983" i="38"/>
  <c r="AL488" i="38"/>
  <c r="BB746" i="38"/>
  <c r="AX186" i="38"/>
  <c r="BB764" i="38"/>
  <c r="BB495" i="38"/>
  <c r="AM429" i="38"/>
  <c r="AU123" i="38"/>
  <c r="AL1093" i="38"/>
  <c r="BC40" i="38"/>
  <c r="BF388" i="38"/>
  <c r="BC525" i="38"/>
  <c r="AT505" i="38"/>
  <c r="AT937" i="38"/>
  <c r="AM722" i="38"/>
  <c r="AT458" i="38"/>
  <c r="BC1013" i="38"/>
  <c r="AT279" i="38"/>
  <c r="AL830" i="38"/>
  <c r="AM491" i="38"/>
  <c r="AT236" i="38"/>
  <c r="AM370" i="38"/>
  <c r="AX857" i="38"/>
  <c r="AM997" i="38"/>
  <c r="BB785" i="38"/>
  <c r="AT640" i="38"/>
  <c r="AP514" i="38"/>
  <c r="AP783" i="38"/>
  <c r="BF800" i="38"/>
  <c r="AT873" i="38"/>
  <c r="BC232" i="38"/>
  <c r="AX47" i="38"/>
  <c r="AL680" i="38"/>
  <c r="AU47" i="38"/>
  <c r="AT940" i="38"/>
  <c r="AP257" i="38"/>
  <c r="AL650" i="38"/>
  <c r="AL1036" i="38"/>
  <c r="BB990" i="38"/>
  <c r="AP261" i="38"/>
  <c r="AU893" i="38"/>
  <c r="AT768" i="38"/>
  <c r="BC272" i="38"/>
  <c r="AU91" i="38"/>
  <c r="BC698" i="38"/>
  <c r="BC850" i="38"/>
  <c r="AU128" i="38"/>
  <c r="AL829" i="38"/>
  <c r="AM556" i="38"/>
  <c r="AT764" i="38"/>
  <c r="AX862" i="38"/>
  <c r="AL971" i="38"/>
  <c r="BC677" i="38"/>
  <c r="BC741" i="38"/>
  <c r="BC269" i="38"/>
  <c r="AT598" i="38"/>
  <c r="AX538" i="38"/>
  <c r="AU120" i="38"/>
  <c r="AU648" i="38"/>
  <c r="AX361" i="38"/>
  <c r="BF95" i="38"/>
  <c r="AL990" i="38"/>
  <c r="BB176" i="38"/>
  <c r="AL980" i="38"/>
  <c r="AU784" i="38"/>
  <c r="AT441" i="38"/>
  <c r="AU232" i="38"/>
  <c r="BC170" i="38"/>
  <c r="AP840" i="38"/>
  <c r="BB947" i="38"/>
  <c r="BF98" i="38"/>
  <c r="BB818" i="38"/>
  <c r="AT865" i="38"/>
  <c r="BB671" i="38"/>
  <c r="BB736" i="38"/>
  <c r="AP942" i="38"/>
  <c r="AU565" i="38"/>
  <c r="AM639" i="38"/>
  <c r="BB555" i="38"/>
  <c r="AM146" i="38"/>
  <c r="BB154" i="38"/>
  <c r="BC1087" i="38"/>
  <c r="AL426" i="38"/>
  <c r="AL818" i="38"/>
  <c r="AT903" i="38"/>
  <c r="BF255" i="38"/>
  <c r="AP456" i="38"/>
  <c r="AX813" i="38"/>
  <c r="AT1002" i="38"/>
  <c r="AL663" i="38"/>
  <c r="AL669" i="38"/>
  <c r="AT565" i="38"/>
  <c r="AT92" i="38"/>
  <c r="BC854" i="38"/>
  <c r="BC750" i="38"/>
  <c r="AM64" i="38"/>
  <c r="AU255" i="38"/>
  <c r="AL1002" i="38"/>
  <c r="BB782" i="38"/>
  <c r="AP430" i="38"/>
  <c r="AL667" i="38"/>
  <c r="AP839" i="38"/>
  <c r="AM956" i="38"/>
  <c r="AM530" i="38"/>
  <c r="AX522" i="38"/>
  <c r="BB298" i="38"/>
  <c r="BC456" i="38"/>
  <c r="AT1004" i="38"/>
  <c r="BB825" i="38"/>
  <c r="AL864" i="38"/>
  <c r="BC556" i="38"/>
  <c r="AM715" i="38"/>
  <c r="BB256" i="38"/>
  <c r="BB721" i="38"/>
  <c r="AM597" i="38"/>
  <c r="AU231" i="38"/>
  <c r="AT1062" i="38"/>
  <c r="AU264" i="38"/>
  <c r="BB691" i="38"/>
  <c r="BC747" i="38"/>
  <c r="BF236" i="38"/>
  <c r="AX881" i="38"/>
  <c r="AX900" i="38"/>
  <c r="BC163" i="38"/>
  <c r="AT760" i="38"/>
  <c r="AX541" i="38"/>
  <c r="AL920" i="38"/>
  <c r="AL212" i="38"/>
  <c r="BC348" i="38"/>
  <c r="AT572" i="38"/>
  <c r="AL516" i="38"/>
  <c r="BB933" i="38"/>
  <c r="BF893" i="38"/>
  <c r="AT291" i="38"/>
  <c r="AM208" i="38"/>
  <c r="AP946" i="38"/>
  <c r="AX238" i="38"/>
  <c r="BF73" i="38"/>
  <c r="BB169" i="38"/>
  <c r="BB1056" i="38"/>
  <c r="AU388" i="38"/>
  <c r="AT220" i="38"/>
  <c r="BB861" i="38"/>
  <c r="AT653" i="38"/>
  <c r="AM642" i="38"/>
  <c r="AT1085" i="38"/>
  <c r="BC798" i="38"/>
  <c r="AL309" i="38"/>
  <c r="AU743" i="38"/>
  <c r="BC117" i="38"/>
  <c r="AP540" i="38"/>
  <c r="AU699" i="38"/>
  <c r="AT40" i="38"/>
  <c r="AM793" i="38"/>
  <c r="AM946" i="38"/>
  <c r="AM980" i="38"/>
  <c r="BC300" i="38"/>
  <c r="AP781" i="38"/>
  <c r="BF944" i="38"/>
  <c r="AP199" i="38"/>
  <c r="BB1002" i="38"/>
  <c r="AP941" i="38"/>
  <c r="AT636" i="38"/>
  <c r="AT389" i="38"/>
  <c r="AT949" i="38"/>
  <c r="BB276" i="38"/>
  <c r="AU271" i="38"/>
  <c r="BF57" i="38"/>
  <c r="AU708" i="38"/>
  <c r="BC729" i="38"/>
  <c r="AU324" i="38"/>
  <c r="BF268" i="38"/>
  <c r="BC460" i="38"/>
  <c r="AL150" i="38"/>
  <c r="AM182" i="38"/>
  <c r="AT109" i="38"/>
  <c r="AU723" i="38"/>
  <c r="BC943" i="38"/>
  <c r="AU1012" i="38"/>
  <c r="BB729" i="38"/>
  <c r="BC457" i="38"/>
  <c r="AM233" i="38"/>
  <c r="BF228" i="38"/>
  <c r="AU618" i="38"/>
  <c r="BF167" i="38"/>
  <c r="AU31" i="38"/>
  <c r="AX820" i="38"/>
  <c r="AM742" i="38"/>
  <c r="AU425" i="38"/>
  <c r="BC266" i="38"/>
  <c r="BC582" i="38"/>
  <c r="AP268" i="38"/>
  <c r="AL917" i="38"/>
  <c r="AU807" i="38"/>
  <c r="AL712" i="38"/>
  <c r="AU519" i="38"/>
  <c r="BB868" i="38"/>
  <c r="BB173" i="38"/>
  <c r="BB1103" i="38"/>
  <c r="AM1089" i="38"/>
  <c r="BF160" i="38"/>
  <c r="AU696" i="38"/>
  <c r="AL523" i="38"/>
  <c r="BF266" i="38"/>
  <c r="BF784" i="38"/>
  <c r="AM981" i="38"/>
  <c r="AX766" i="38"/>
  <c r="AM854" i="38"/>
  <c r="AT891" i="38"/>
  <c r="AM328" i="38"/>
  <c r="AU384" i="38"/>
  <c r="AT676" i="38"/>
  <c r="AL346" i="38"/>
  <c r="AL166" i="38"/>
  <c r="AX387" i="38"/>
  <c r="AU636" i="38"/>
  <c r="AM681" i="38"/>
  <c r="AL1008" i="38"/>
  <c r="AM353" i="38"/>
  <c r="AT864" i="38"/>
  <c r="AT898" i="38"/>
  <c r="AU58" i="38"/>
  <c r="AM996" i="38"/>
  <c r="AP929" i="38"/>
  <c r="BC1073" i="38"/>
  <c r="BB737" i="38"/>
  <c r="AU1084" i="38"/>
  <c r="AX229" i="38"/>
  <c r="AP883" i="38"/>
  <c r="AT1100" i="38"/>
  <c r="AM237" i="38"/>
  <c r="BC455" i="38"/>
  <c r="AL97" i="38"/>
  <c r="AM659" i="38"/>
  <c r="BF113" i="38"/>
  <c r="AL417" i="38"/>
  <c r="AP421" i="38"/>
  <c r="AP131" i="38"/>
  <c r="AP115" i="38"/>
  <c r="AX471" i="38"/>
  <c r="AT301" i="38"/>
  <c r="AM590" i="38"/>
  <c r="BC417" i="38"/>
  <c r="BF234" i="38"/>
  <c r="BB935" i="38"/>
  <c r="AU307" i="38"/>
  <c r="AL496" i="38"/>
  <c r="BF946" i="38"/>
  <c r="AU872" i="38"/>
  <c r="AT531" i="38"/>
  <c r="AP523" i="38"/>
  <c r="BC302" i="38"/>
  <c r="AT1020" i="38"/>
  <c r="AM445" i="38"/>
  <c r="AL937" i="38"/>
  <c r="BF496" i="38"/>
  <c r="BF520" i="38"/>
  <c r="BC928" i="38"/>
  <c r="AU138" i="38"/>
  <c r="AM184" i="38"/>
  <c r="AM34" i="38"/>
  <c r="AL1085" i="38"/>
  <c r="AT881" i="38"/>
  <c r="AP40" i="38"/>
  <c r="AP434" i="38"/>
  <c r="AU803" i="38"/>
  <c r="BC754" i="38"/>
  <c r="BC461" i="38"/>
  <c r="BC766" i="38"/>
  <c r="AT382" i="38"/>
  <c r="AP172" i="38"/>
  <c r="AL46" i="38"/>
  <c r="AU1005" i="38"/>
  <c r="AU596" i="38"/>
  <c r="AP537" i="38"/>
  <c r="AP918" i="38"/>
  <c r="AT661" i="38"/>
  <c r="AL123" i="38"/>
  <c r="BF806" i="38"/>
  <c r="AT627" i="38"/>
  <c r="AP763" i="38"/>
  <c r="AT158" i="38"/>
  <c r="BB292" i="38"/>
  <c r="AM1001" i="38"/>
  <c r="AP945" i="38"/>
  <c r="BB164" i="38"/>
  <c r="BB951" i="38"/>
  <c r="AT432" i="38"/>
  <c r="BB646" i="38"/>
  <c r="AT555" i="38"/>
  <c r="BF925" i="38"/>
  <c r="BB426" i="38"/>
  <c r="AL944" i="38"/>
  <c r="AL200" i="38"/>
  <c r="BB711" i="38"/>
  <c r="AX935" i="38"/>
  <c r="AL282" i="38"/>
  <c r="AT495" i="38"/>
  <c r="AT454" i="38"/>
  <c r="AT1016" i="38"/>
  <c r="AL737" i="38"/>
  <c r="AT264" i="38"/>
  <c r="AU405" i="38"/>
  <c r="BC786" i="38"/>
  <c r="BB390" i="38"/>
  <c r="BC901" i="38"/>
  <c r="AM906" i="38"/>
  <c r="AL307" i="38"/>
  <c r="BB478" i="38"/>
  <c r="AT460" i="38"/>
  <c r="AP108" i="38"/>
  <c r="BB42" i="38"/>
  <c r="AU237" i="38"/>
  <c r="AT641" i="38"/>
  <c r="AL221" i="38"/>
  <c r="BC600" i="38"/>
  <c r="AU903" i="38"/>
  <c r="BB722" i="38"/>
  <c r="BB942" i="38"/>
  <c r="AU364" i="38"/>
  <c r="AM338" i="38"/>
  <c r="BC438" i="38"/>
  <c r="AP849" i="38"/>
  <c r="BB855" i="38"/>
  <c r="BB135" i="38"/>
  <c r="BC755" i="38"/>
  <c r="BC510" i="38"/>
  <c r="AM539" i="38"/>
  <c r="AL40" i="38"/>
  <c r="BC500" i="38"/>
  <c r="BB730" i="38"/>
  <c r="AU549" i="38"/>
  <c r="AU640" i="38"/>
  <c r="BC501" i="38"/>
  <c r="AU349" i="38"/>
  <c r="AT779" i="38"/>
  <c r="BB750" i="38"/>
  <c r="BB572" i="38"/>
  <c r="AT675" i="38"/>
  <c r="AU471" i="38"/>
  <c r="BC670" i="38"/>
  <c r="AU71" i="38"/>
  <c r="AL929" i="38"/>
  <c r="BF817" i="38"/>
  <c r="BC208" i="38"/>
  <c r="BB744" i="38"/>
  <c r="BB640" i="38"/>
  <c r="AU952" i="38"/>
  <c r="AP496" i="38"/>
  <c r="AX53" i="38"/>
  <c r="AT1046" i="38"/>
  <c r="BC247" i="38"/>
  <c r="AL890" i="38"/>
  <c r="AU50" i="38"/>
  <c r="AP855" i="38"/>
  <c r="BB269" i="38"/>
  <c r="AX427" i="38"/>
  <c r="AM702" i="38"/>
  <c r="AL734" i="38"/>
  <c r="AL717" i="38"/>
  <c r="BF390" i="38"/>
  <c r="AU566" i="38"/>
  <c r="AT886" i="38"/>
  <c r="BC645" i="38"/>
  <c r="BF35" i="38"/>
  <c r="AL745" i="38"/>
  <c r="AU606" i="38"/>
  <c r="BB912" i="38"/>
  <c r="AT744" i="38"/>
  <c r="BF772" i="38"/>
  <c r="AM1079" i="38"/>
  <c r="AP481" i="38"/>
  <c r="AX472" i="38"/>
  <c r="BF906" i="38"/>
  <c r="AL264" i="38"/>
  <c r="BB742" i="38"/>
  <c r="AL460" i="38"/>
  <c r="BC783" i="38"/>
  <c r="BF50" i="38"/>
  <c r="AL285" i="38"/>
  <c r="AU964" i="38"/>
  <c r="AM477" i="38"/>
  <c r="AT532" i="38"/>
  <c r="AU337" i="38"/>
  <c r="AU132" i="38"/>
  <c r="AT344" i="38"/>
  <c r="BF208" i="38"/>
  <c r="AU863" i="38"/>
  <c r="AU103" i="38"/>
  <c r="AM813" i="38"/>
  <c r="AM388" i="38"/>
  <c r="AL678" i="38"/>
  <c r="BB442" i="38"/>
  <c r="AP23" i="38"/>
  <c r="AU590" i="38"/>
  <c r="BC107" i="38"/>
  <c r="AX266" i="38"/>
  <c r="AM771" i="38"/>
  <c r="AX215" i="38"/>
  <c r="AP931" i="38"/>
  <c r="AU182" i="38"/>
  <c r="AL329" i="38"/>
  <c r="BB950" i="38"/>
  <c r="AX469" i="38"/>
  <c r="BC723" i="38"/>
  <c r="AP198" i="38"/>
  <c r="BB663" i="38"/>
  <c r="AM973" i="38"/>
  <c r="AX168" i="38"/>
  <c r="AT967" i="38"/>
  <c r="AL51" i="38"/>
  <c r="AU664" i="38"/>
  <c r="AT663" i="38"/>
  <c r="AT1038" i="38"/>
  <c r="BC1039" i="38"/>
  <c r="AM501" i="38"/>
  <c r="AL269" i="38"/>
  <c r="BB643" i="38"/>
  <c r="AL21" i="38"/>
  <c r="BB779" i="38"/>
  <c r="AL879" i="38"/>
  <c r="BC953" i="38"/>
  <c r="AM768" i="38"/>
  <c r="AT1079" i="38"/>
  <c r="AX547" i="38"/>
  <c r="AT530" i="38"/>
  <c r="AT105" i="38"/>
  <c r="AU954" i="38"/>
  <c r="AX416" i="38"/>
  <c r="BB59" i="38"/>
  <c r="AM396" i="38"/>
  <c r="BC770" i="38"/>
  <c r="AT755" i="38"/>
  <c r="BC931" i="38"/>
  <c r="AT617" i="38"/>
  <c r="AL973" i="38"/>
  <c r="AM579" i="38"/>
  <c r="AT719" i="38"/>
  <c r="AM666" i="38"/>
  <c r="AP148" i="38"/>
  <c r="AL15" i="38"/>
  <c r="BF856" i="38"/>
  <c r="AL661" i="38"/>
  <c r="AX838" i="38"/>
  <c r="BC1038" i="38"/>
  <c r="AP169" i="38"/>
  <c r="AX263" i="38"/>
  <c r="BC709" i="38"/>
  <c r="AU487" i="38"/>
  <c r="AP914" i="38"/>
  <c r="BC1075" i="38"/>
  <c r="BC1009" i="38"/>
  <c r="AX906" i="38"/>
  <c r="AT702" i="38"/>
  <c r="AU588" i="38"/>
  <c r="AX230" i="38"/>
  <c r="AM727" i="38"/>
  <c r="AM220" i="38"/>
  <c r="AU26" i="38"/>
  <c r="AP542" i="38"/>
  <c r="AU899" i="38"/>
  <c r="BC823" i="38"/>
  <c r="BC788" i="38"/>
  <c r="AU951" i="38"/>
  <c r="AL570" i="38"/>
  <c r="BB963" i="38"/>
  <c r="BF495" i="38"/>
  <c r="BF760" i="38"/>
  <c r="BB120" i="38"/>
  <c r="BC615" i="38"/>
  <c r="BF510" i="38"/>
  <c r="BC815" i="38"/>
  <c r="AT904" i="38"/>
  <c r="AU1048" i="38"/>
  <c r="BB157" i="38"/>
  <c r="AU275" i="38"/>
  <c r="BF516" i="38"/>
  <c r="AU42" i="38"/>
  <c r="AT306" i="38"/>
  <c r="AU1088" i="38"/>
  <c r="AL98" i="38"/>
  <c r="AP19" i="38"/>
  <c r="AT853" i="38"/>
  <c r="AU940" i="38"/>
  <c r="AU1007" i="38"/>
  <c r="AL228" i="38"/>
  <c r="BB237" i="38"/>
  <c r="AM301" i="38"/>
  <c r="AX418" i="38"/>
  <c r="AP94" i="38"/>
  <c r="AT544" i="38"/>
  <c r="AM414" i="38"/>
  <c r="AP823" i="38"/>
  <c r="AM606" i="38"/>
  <c r="AU888" i="38"/>
  <c r="AT360" i="38"/>
  <c r="AL183" i="38"/>
  <c r="AX517" i="38"/>
  <c r="AT660" i="38"/>
  <c r="BC515" i="38"/>
  <c r="AT438" i="38"/>
  <c r="BC41" i="38"/>
  <c r="AL111" i="38"/>
  <c r="AP548" i="38"/>
  <c r="BB587" i="38"/>
  <c r="BB667" i="38"/>
  <c r="AL432" i="38"/>
  <c r="BC861" i="38"/>
  <c r="BB889" i="38"/>
  <c r="AM1097" i="38"/>
  <c r="AM899" i="38"/>
  <c r="AP186" i="38"/>
  <c r="AM168" i="38"/>
  <c r="BF780" i="38"/>
  <c r="AU199" i="38"/>
  <c r="AT1063" i="38"/>
  <c r="AM822" i="38"/>
  <c r="AL234" i="38"/>
  <c r="BF225" i="38"/>
  <c r="AT573" i="38"/>
  <c r="BC285" i="38"/>
  <c r="AT107" i="38"/>
  <c r="AX843" i="38"/>
  <c r="AU841" i="38"/>
  <c r="AT1031" i="38"/>
  <c r="AL943" i="38"/>
  <c r="AX917" i="38"/>
  <c r="AM848" i="38"/>
  <c r="BB918" i="38"/>
  <c r="BF797" i="38"/>
  <c r="BC595" i="38"/>
  <c r="AU256" i="38"/>
  <c r="AL946" i="38"/>
  <c r="BC864" i="38"/>
  <c r="AU961" i="38"/>
  <c r="AP872" i="38"/>
  <c r="AX831" i="38"/>
  <c r="AM279" i="38"/>
  <c r="AM475" i="38"/>
  <c r="AP505" i="38"/>
  <c r="BF387" i="38"/>
  <c r="AM344" i="38"/>
  <c r="AT487" i="38"/>
  <c r="AM766" i="38"/>
  <c r="AU960" i="38"/>
  <c r="BB827" i="38"/>
  <c r="AL589" i="38"/>
  <c r="AL1018" i="38"/>
  <c r="BF515" i="38"/>
  <c r="AU35" i="38"/>
  <c r="BC984" i="38"/>
  <c r="AX548" i="38"/>
  <c r="AU765" i="38"/>
  <c r="AP504" i="38"/>
  <c r="AP493" i="38"/>
  <c r="AT537" i="38"/>
  <c r="BC576" i="38"/>
  <c r="AP858" i="38"/>
  <c r="AL916" i="38"/>
  <c r="AT578" i="38"/>
  <c r="BF484" i="38"/>
  <c r="AP187" i="38"/>
  <c r="AU578" i="38"/>
  <c r="BC24" i="38"/>
  <c r="BC47" i="38"/>
  <c r="AL761" i="38"/>
  <c r="BC296" i="38"/>
  <c r="AM131" i="38"/>
  <c r="AT628" i="38"/>
  <c r="AU117" i="38"/>
  <c r="AU944" i="38"/>
  <c r="AL688" i="38"/>
  <c r="AU421" i="38"/>
  <c r="AU806" i="38"/>
  <c r="BC608" i="38"/>
  <c r="AX143" i="38"/>
  <c r="BC290" i="38"/>
  <c r="AT283" i="38"/>
  <c r="BB716" i="38"/>
  <c r="BF97" i="38"/>
  <c r="AM774" i="38"/>
  <c r="BC764" i="38"/>
  <c r="AL155" i="38"/>
  <c r="BF165" i="38"/>
  <c r="AU783" i="38"/>
  <c r="BC635" i="38"/>
  <c r="BC509" i="38"/>
  <c r="BB501" i="38"/>
  <c r="AL741" i="38"/>
  <c r="AU997" i="38"/>
  <c r="BF884" i="38"/>
  <c r="BB585" i="38"/>
  <c r="BF862" i="38"/>
  <c r="AL50" i="38"/>
  <c r="BC386" i="38"/>
  <c r="AT763" i="38"/>
  <c r="AX267" i="38"/>
  <c r="AL505" i="38"/>
  <c r="AL91" i="38"/>
  <c r="AX931" i="38"/>
  <c r="AT1041" i="38"/>
  <c r="BB473" i="38"/>
  <c r="BF778" i="38"/>
  <c r="AT111" i="38"/>
  <c r="AT440" i="38"/>
  <c r="AM200" i="38"/>
  <c r="AU310" i="38"/>
  <c r="AU853" i="38"/>
  <c r="AL174" i="38"/>
  <c r="AT492" i="38"/>
  <c r="AU538" i="38"/>
  <c r="AP935" i="38"/>
  <c r="BB338" i="38"/>
  <c r="AL138" i="38"/>
  <c r="AX133" i="38"/>
  <c r="BC223" i="38"/>
  <c r="AL1038" i="38"/>
  <c r="BF507" i="38"/>
  <c r="BC108" i="38"/>
  <c r="BF891" i="38"/>
  <c r="AM683" i="38"/>
  <c r="BF888" i="38"/>
  <c r="AU650" i="38"/>
  <c r="BF859" i="38"/>
  <c r="AM1011" i="38"/>
  <c r="AM811" i="38"/>
  <c r="AL863" i="38"/>
  <c r="AL704" i="38"/>
  <c r="AT392" i="38"/>
  <c r="BB594" i="38"/>
  <c r="AL684" i="38"/>
  <c r="AU23" i="38"/>
  <c r="AP830" i="38"/>
  <c r="AP255" i="38"/>
  <c r="AU410" i="38"/>
  <c r="AT271" i="38"/>
  <c r="AL773" i="38"/>
  <c r="AM917" i="38"/>
  <c r="BB384" i="38"/>
  <c r="AL921" i="38"/>
  <c r="BB62" i="38"/>
  <c r="AM882" i="38"/>
  <c r="AM514" i="38"/>
  <c r="AL558" i="38"/>
  <c r="BB1051" i="38"/>
  <c r="BC568" i="38"/>
  <c r="BB117" i="38"/>
  <c r="AT672" i="38"/>
  <c r="AU775" i="38"/>
  <c r="AM262" i="38"/>
  <c r="AL705" i="38"/>
  <c r="BC1036" i="38"/>
  <c r="AL344" i="38"/>
  <c r="BB502" i="38"/>
  <c r="AU1093" i="38"/>
  <c r="AU65" i="38"/>
  <c r="AL348" i="38"/>
  <c r="AM933" i="38"/>
  <c r="AM1004" i="38"/>
  <c r="BB655" i="38"/>
  <c r="AU254" i="38"/>
  <c r="AP890" i="38"/>
  <c r="AM700" i="38"/>
  <c r="AM151" i="38"/>
  <c r="BC233" i="38"/>
  <c r="AU990" i="38"/>
  <c r="BB357" i="38"/>
  <c r="AU629" i="38"/>
  <c r="AT632" i="38"/>
  <c r="AX507" i="38"/>
  <c r="AU515" i="38"/>
  <c r="AL785" i="38"/>
  <c r="AU1057" i="38"/>
  <c r="BF866" i="38"/>
  <c r="AM116" i="38"/>
  <c r="AL815" i="38"/>
  <c r="AU950" i="38"/>
  <c r="AM828" i="38"/>
  <c r="BC283" i="38"/>
  <c r="AP937" i="38"/>
  <c r="BB565" i="38"/>
  <c r="AU508" i="38"/>
  <c r="BC1080" i="38"/>
  <c r="AL503" i="38"/>
  <c r="AU943" i="38"/>
  <c r="AL658" i="38"/>
  <c r="BC970" i="38"/>
  <c r="AX48" i="38"/>
  <c r="AT648" i="38"/>
  <c r="BC845" i="38"/>
  <c r="AU175" i="38"/>
  <c r="BF523" i="38"/>
  <c r="AU265" i="38"/>
  <c r="BF205" i="38"/>
  <c r="AT829" i="38"/>
  <c r="AP262" i="38"/>
  <c r="AL563" i="38"/>
  <c r="AM954" i="38"/>
  <c r="BB1086" i="38"/>
  <c r="AP73" i="38"/>
  <c r="BC511" i="38"/>
  <c r="BB571" i="38"/>
  <c r="AL991" i="38"/>
  <c r="AT566" i="38"/>
  <c r="AL259" i="38"/>
  <c r="BB545" i="38"/>
  <c r="AU461" i="38"/>
  <c r="AT871" i="38"/>
  <c r="BC817" i="38"/>
  <c r="AL841" i="38"/>
  <c r="AM843" i="38"/>
  <c r="BF845" i="38"/>
  <c r="AU137" i="38"/>
  <c r="AU1062" i="38"/>
  <c r="AL793" i="38"/>
  <c r="AP475" i="38"/>
  <c r="AU884" i="38"/>
  <c r="AT647" i="38"/>
  <c r="BB981" i="38"/>
  <c r="AL524" i="38"/>
  <c r="AL634" i="38"/>
  <c r="AT561" i="38"/>
  <c r="AM591" i="38"/>
  <c r="BC883" i="38"/>
  <c r="AT785" i="38"/>
  <c r="AM740" i="38"/>
  <c r="AP238" i="38"/>
  <c r="AT836" i="38"/>
  <c r="AU525" i="38"/>
  <c r="AP64" i="38"/>
  <c r="BB694" i="38"/>
  <c r="BC335" i="38"/>
  <c r="AT1086" i="38"/>
  <c r="AP391" i="38"/>
  <c r="AM216" i="38"/>
  <c r="AM478" i="38"/>
  <c r="BC35" i="38"/>
  <c r="AU816" i="38"/>
  <c r="AP232" i="38"/>
  <c r="BF433" i="38"/>
  <c r="AU473" i="38"/>
  <c r="AP123" i="38"/>
  <c r="AT300" i="38"/>
  <c r="BF935" i="38"/>
  <c r="AM67" i="38"/>
  <c r="AU532" i="38"/>
  <c r="AP516" i="38"/>
  <c r="AX886" i="38"/>
  <c r="AU542" i="38"/>
  <c r="AM686" i="38"/>
  <c r="AU657" i="38"/>
  <c r="BF846" i="38"/>
  <c r="AL476" i="38"/>
  <c r="AX936" i="38"/>
  <c r="BC1078" i="38"/>
  <c r="BF218" i="38"/>
  <c r="AX117" i="38"/>
  <c r="AP208" i="38"/>
  <c r="AP515" i="38"/>
  <c r="BF540" i="38"/>
  <c r="BB482" i="38"/>
  <c r="AX518" i="38"/>
  <c r="BF796" i="38"/>
  <c r="BB430" i="38"/>
  <c r="AT680" i="38"/>
  <c r="BC365" i="38"/>
  <c r="AT159" i="38"/>
  <c r="AM225" i="38"/>
  <c r="AU105" i="38"/>
  <c r="AX68" i="38"/>
  <c r="AM827" i="38"/>
  <c r="AT930" i="38"/>
  <c r="BC988" i="38"/>
  <c r="AX421" i="38"/>
  <c r="BC881" i="38"/>
  <c r="BB595" i="38"/>
  <c r="BB255" i="38"/>
  <c r="BC987" i="38"/>
  <c r="AP506" i="38"/>
  <c r="AT575" i="38"/>
  <c r="AU676" i="38"/>
  <c r="AM265" i="38"/>
  <c r="AT568" i="38"/>
  <c r="AM350" i="38"/>
  <c r="BF452" i="38"/>
  <c r="BC761" i="38"/>
  <c r="AM739" i="38"/>
  <c r="AT948" i="38"/>
  <c r="AM28" i="38"/>
  <c r="BC1063" i="38"/>
  <c r="AX27" i="38"/>
  <c r="AM54" i="38"/>
  <c r="BC695" i="38"/>
  <c r="BC474" i="38"/>
  <c r="BB987" i="38"/>
  <c r="AU429" i="38"/>
  <c r="AL109" i="38"/>
  <c r="BB919" i="38"/>
  <c r="AP453" i="38"/>
  <c r="BF892" i="38"/>
  <c r="AM204" i="38"/>
  <c r="AX21" i="38"/>
  <c r="AP477" i="38"/>
  <c r="AL552" i="38"/>
  <c r="AM572" i="38"/>
  <c r="AP482" i="38"/>
  <c r="AX812" i="38"/>
  <c r="AL765" i="38"/>
  <c r="AL696" i="38"/>
  <c r="AU955" i="38"/>
  <c r="BB791" i="38"/>
  <c r="AL760" i="38"/>
  <c r="AL567" i="38"/>
  <c r="AM230" i="38"/>
  <c r="BF822" i="38"/>
  <c r="BF157" i="38"/>
  <c r="AT119" i="38"/>
  <c r="AU540" i="38"/>
  <c r="BB822" i="38"/>
  <c r="BC103" i="38"/>
  <c r="BC587" i="38"/>
  <c r="AX827" i="38"/>
  <c r="AL499" i="38"/>
  <c r="AP228" i="38"/>
  <c r="AM1021" i="38"/>
  <c r="AT508" i="38"/>
  <c r="AX138" i="38"/>
  <c r="AM227" i="38"/>
  <c r="AL328" i="38"/>
  <c r="AX14" i="38"/>
  <c r="BB137" i="38"/>
  <c r="AL919" i="38"/>
  <c r="AL1092" i="38"/>
  <c r="BC201" i="38"/>
  <c r="AL512" i="38"/>
  <c r="AP915" i="38"/>
  <c r="BC428" i="38"/>
  <c r="AT160" i="38"/>
  <c r="AM1000" i="38"/>
  <c r="AP117" i="38"/>
  <c r="AL462" i="38"/>
  <c r="BB835" i="38"/>
  <c r="BC199" i="38"/>
  <c r="AP15" i="38"/>
  <c r="AL1019" i="38"/>
  <c r="BB517" i="38"/>
  <c r="AT436" i="38"/>
  <c r="AP234" i="38"/>
  <c r="BC856" i="38"/>
  <c r="BB1070" i="38"/>
  <c r="BC421" i="38"/>
  <c r="BB1033" i="38"/>
  <c r="AL215" i="38"/>
  <c r="AU476" i="38"/>
  <c r="AT893" i="38"/>
  <c r="BC571" i="38"/>
  <c r="AX122" i="38"/>
  <c r="AU867" i="38"/>
  <c r="BB1071" i="38"/>
  <c r="BF263" i="38"/>
  <c r="BF31" i="38"/>
  <c r="BC572" i="38"/>
  <c r="AT467" i="38"/>
  <c r="BC155" i="38"/>
  <c r="AM593" i="38"/>
  <c r="AL856" i="38"/>
  <c r="AX222" i="38"/>
  <c r="AL926" i="38"/>
  <c r="AL784" i="38"/>
  <c r="AX386" i="38"/>
  <c r="BC714" i="38"/>
  <c r="AT823" i="38"/>
  <c r="BC751" i="38"/>
  <c r="BB766" i="38"/>
  <c r="AM502" i="38"/>
  <c r="AU216" i="38"/>
  <c r="AM133" i="38"/>
  <c r="BF499" i="38"/>
  <c r="AM804" i="38"/>
  <c r="AX549" i="38"/>
  <c r="BF19" i="38"/>
  <c r="AU1037" i="38"/>
  <c r="BB261" i="38"/>
  <c r="AX237" i="38"/>
  <c r="AM1077" i="38"/>
  <c r="AL236" i="38"/>
  <c r="AM93" i="38"/>
  <c r="BC765" i="38"/>
  <c r="BF512" i="38"/>
  <c r="AM736" i="38"/>
  <c r="AM1092" i="38"/>
  <c r="BB896" i="38"/>
  <c r="AP812" i="38"/>
  <c r="AX925" i="38"/>
  <c r="BF121" i="38"/>
  <c r="AM1069" i="38"/>
  <c r="AT1025" i="38"/>
  <c r="AL957" i="38"/>
  <c r="BB116" i="38"/>
  <c r="BC607" i="38"/>
  <c r="BC94" i="38"/>
  <c r="BC880" i="38"/>
  <c r="AU663" i="38"/>
  <c r="BC383" i="38"/>
  <c r="BB469" i="38"/>
  <c r="AL1034" i="38"/>
  <c r="AP104" i="38"/>
  <c r="AM293" i="38"/>
  <c r="AL518" i="38"/>
  <c r="AU218" i="38"/>
  <c r="AU890" i="38"/>
  <c r="AM703" i="38"/>
  <c r="AU235" i="38"/>
  <c r="BC985" i="38"/>
  <c r="AP160" i="38"/>
  <c r="AT222" i="38"/>
  <c r="AT23" i="38"/>
  <c r="BB562" i="38"/>
  <c r="AL673" i="38"/>
  <c r="AP871" i="38"/>
  <c r="BC574" i="38"/>
  <c r="AX183" i="38"/>
  <c r="AX947" i="38"/>
  <c r="AX269" i="38"/>
  <c r="AX524" i="38"/>
  <c r="BF524" i="38"/>
  <c r="BF269" i="38"/>
  <c r="BF947" i="38"/>
  <c r="AP524" i="38"/>
  <c r="AP947" i="38"/>
  <c r="AP269" i="38"/>
  <c r="AX179" i="38" l="1"/>
  <c r="AN673" i="38"/>
  <c r="AO673" i="38"/>
  <c r="BD562" i="38"/>
  <c r="BE562" i="38"/>
  <c r="AY23" i="38"/>
  <c r="AT1467" i="38"/>
  <c r="AW23" i="38"/>
  <c r="AV23" i="38"/>
  <c r="AZ23" i="38"/>
  <c r="AW222" i="38"/>
  <c r="AZ222" i="38"/>
  <c r="AV222" i="38"/>
  <c r="AY222" i="38"/>
  <c r="AN518" i="38"/>
  <c r="AQ518" i="38"/>
  <c r="AR518" i="38"/>
  <c r="AO518" i="38"/>
  <c r="AO1034" i="38"/>
  <c r="AN1034" i="38"/>
  <c r="BG469" i="38"/>
  <c r="BD469" i="38"/>
  <c r="BE469" i="38"/>
  <c r="BH469" i="38"/>
  <c r="BC375" i="38"/>
  <c r="BE94" i="38"/>
  <c r="BD94" i="38"/>
  <c r="BG116" i="38"/>
  <c r="BE116" i="38"/>
  <c r="BD116" i="38"/>
  <c r="BH116" i="38"/>
  <c r="AO957" i="38"/>
  <c r="AN957" i="38"/>
  <c r="AV1025" i="38"/>
  <c r="AW1025" i="38"/>
  <c r="BE896" i="38"/>
  <c r="BD896" i="38"/>
  <c r="BH896" i="38"/>
  <c r="BG896" i="38"/>
  <c r="AR236" i="38"/>
  <c r="AQ236" i="38"/>
  <c r="AO236" i="38"/>
  <c r="AN236" i="38"/>
  <c r="BG261" i="38"/>
  <c r="BH261" i="38"/>
  <c r="BD261" i="38"/>
  <c r="BE261" i="38"/>
  <c r="BF20" i="38"/>
  <c r="AM84" i="38"/>
  <c r="BG766" i="38"/>
  <c r="BE766" i="38"/>
  <c r="BD766" i="38"/>
  <c r="BH766" i="38"/>
  <c r="AW823" i="38"/>
  <c r="AV823" i="38"/>
  <c r="AZ823" i="38"/>
  <c r="AY823" i="38"/>
  <c r="AX385" i="38"/>
  <c r="AX377" i="38" s="1"/>
  <c r="AX378" i="38"/>
  <c r="AY378" i="38" s="1"/>
  <c r="AR784" i="38"/>
  <c r="AQ784" i="38"/>
  <c r="AN784" i="38"/>
  <c r="AO784" i="38"/>
  <c r="AQ926" i="38"/>
  <c r="AR926" i="38"/>
  <c r="AN926" i="38"/>
  <c r="AO926" i="38"/>
  <c r="AR856" i="38"/>
  <c r="AQ856" i="38"/>
  <c r="AO856" i="38"/>
  <c r="AN856" i="38"/>
  <c r="AY467" i="38"/>
  <c r="AZ467" i="38"/>
  <c r="AV467" i="38"/>
  <c r="AW467" i="38"/>
  <c r="BF249" i="38"/>
  <c r="BE1071" i="38"/>
  <c r="BD1071" i="38"/>
  <c r="AW893" i="38"/>
  <c r="AV893" i="38"/>
  <c r="AZ893" i="38"/>
  <c r="AY893" i="38"/>
  <c r="AQ215" i="38"/>
  <c r="AN215" i="38"/>
  <c r="AR215" i="38"/>
  <c r="AO215" i="38"/>
  <c r="BD1033" i="38"/>
  <c r="BE1033" i="38"/>
  <c r="BD1070" i="38"/>
  <c r="BE1070" i="38"/>
  <c r="AV436" i="38"/>
  <c r="AZ436" i="38"/>
  <c r="AW436" i="38"/>
  <c r="AY436" i="38"/>
  <c r="BG517" i="38"/>
  <c r="BE517" i="38"/>
  <c r="BD517" i="38"/>
  <c r="BH517" i="38"/>
  <c r="AO1019" i="38"/>
  <c r="AN1019" i="38"/>
  <c r="BH835" i="38"/>
  <c r="BD835" i="38"/>
  <c r="BG835" i="38"/>
  <c r="BE835" i="38"/>
  <c r="AR462" i="38"/>
  <c r="AN462" i="38"/>
  <c r="AQ462" i="38"/>
  <c r="AO462" i="38"/>
  <c r="AY160" i="38"/>
  <c r="AZ160" i="38"/>
  <c r="AV160" i="38"/>
  <c r="AW160" i="38"/>
  <c r="AN512" i="38"/>
  <c r="AO512" i="38"/>
  <c r="AQ512" i="38"/>
  <c r="AR512" i="38"/>
  <c r="BC202" i="38"/>
  <c r="AN1092" i="38"/>
  <c r="AO1092" i="38"/>
  <c r="AO919" i="38"/>
  <c r="AN919" i="38"/>
  <c r="AQ919" i="38"/>
  <c r="AR919" i="38"/>
  <c r="BG137" i="38"/>
  <c r="BE137" i="38"/>
  <c r="BH137" i="38"/>
  <c r="BB87" i="38"/>
  <c r="BD137" i="38"/>
  <c r="AX25" i="38"/>
  <c r="AX1455" i="38"/>
  <c r="AO328" i="38"/>
  <c r="AN328" i="38"/>
  <c r="AL319" i="38"/>
  <c r="AX88" i="38"/>
  <c r="AZ508" i="38"/>
  <c r="AY508" i="38"/>
  <c r="AV508" i="38"/>
  <c r="AW508" i="38"/>
  <c r="AR499" i="38"/>
  <c r="AN499" i="38"/>
  <c r="AO499" i="38"/>
  <c r="AQ499" i="38"/>
  <c r="BE822" i="38"/>
  <c r="BH822" i="38"/>
  <c r="BD822" i="38"/>
  <c r="BG822" i="38"/>
  <c r="AY119" i="38"/>
  <c r="AV119" i="38"/>
  <c r="AZ119" i="38"/>
  <c r="AW119" i="38"/>
  <c r="AO567" i="38"/>
  <c r="AN567" i="38"/>
  <c r="AO760" i="38"/>
  <c r="AR760" i="38"/>
  <c r="AN760" i="38"/>
  <c r="AQ760" i="38"/>
  <c r="BH791" i="38"/>
  <c r="BG791" i="38"/>
  <c r="BE791" i="38"/>
  <c r="BD791" i="38"/>
  <c r="AN696" i="38"/>
  <c r="AO696" i="38"/>
  <c r="AQ765" i="38"/>
  <c r="AO765" i="38"/>
  <c r="AN765" i="38"/>
  <c r="AR765" i="38"/>
  <c r="AO552" i="38"/>
  <c r="AN552" i="38"/>
  <c r="AX1460" i="38"/>
  <c r="BD919" i="38"/>
  <c r="BH919" i="38"/>
  <c r="BG919" i="38"/>
  <c r="BE919" i="38"/>
  <c r="AR109" i="38"/>
  <c r="AQ109" i="38"/>
  <c r="AO109" i="38"/>
  <c r="AN109" i="38"/>
  <c r="BD987" i="38"/>
  <c r="BE987" i="38"/>
  <c r="AM29" i="38"/>
  <c r="AV948" i="38"/>
  <c r="AW948" i="38"/>
  <c r="AW568" i="38"/>
  <c r="AV568" i="38"/>
  <c r="AM251" i="38"/>
  <c r="AW575" i="38"/>
  <c r="AV575" i="38"/>
  <c r="BH255" i="38"/>
  <c r="BB241" i="38"/>
  <c r="BD255" i="38"/>
  <c r="BG255" i="38"/>
  <c r="BE255" i="38"/>
  <c r="BE595" i="38"/>
  <c r="BD595" i="38"/>
  <c r="AZ930" i="38"/>
  <c r="AV930" i="38"/>
  <c r="AW930" i="38"/>
  <c r="AY930" i="38"/>
  <c r="AY159" i="38"/>
  <c r="AW159" i="38"/>
  <c r="AZ159" i="38"/>
  <c r="AV159" i="38"/>
  <c r="AW680" i="38"/>
  <c r="AV680" i="38"/>
  <c r="BH430" i="38"/>
  <c r="BG430" i="38"/>
  <c r="BB431" i="38"/>
  <c r="BE430" i="38"/>
  <c r="BD430" i="38"/>
  <c r="BD482" i="38"/>
  <c r="BH482" i="38"/>
  <c r="BG482" i="38"/>
  <c r="BE482" i="38"/>
  <c r="AQ476" i="38"/>
  <c r="AO476" i="38"/>
  <c r="AN476" i="38"/>
  <c r="AR476" i="38"/>
  <c r="AV300" i="38"/>
  <c r="AW300" i="38"/>
  <c r="AP124" i="38"/>
  <c r="AP81" i="38"/>
  <c r="BC36" i="38"/>
  <c r="AV1086" i="38"/>
  <c r="AW1086" i="38"/>
  <c r="BC336" i="38"/>
  <c r="BE694" i="38"/>
  <c r="BD694" i="38"/>
  <c r="AV836" i="38"/>
  <c r="AY836" i="38"/>
  <c r="AW836" i="38"/>
  <c r="AZ836" i="38"/>
  <c r="AP239" i="38"/>
  <c r="AV785" i="38"/>
  <c r="AZ785" i="38"/>
  <c r="AW785" i="38"/>
  <c r="AY785" i="38"/>
  <c r="AW561" i="38"/>
  <c r="AV561" i="38"/>
  <c r="AN634" i="38"/>
  <c r="AO634" i="38"/>
  <c r="AO524" i="38"/>
  <c r="AN524" i="38"/>
  <c r="BE981" i="38"/>
  <c r="BD981" i="38"/>
  <c r="AV647" i="38"/>
  <c r="AW647" i="38"/>
  <c r="AO793" i="38"/>
  <c r="AN793" i="38"/>
  <c r="AW137" i="38"/>
  <c r="AV137" i="38"/>
  <c r="AU87" i="38"/>
  <c r="AN841" i="38"/>
  <c r="AR841" i="38"/>
  <c r="AQ841" i="38"/>
  <c r="AO841" i="38"/>
  <c r="AV871" i="38"/>
  <c r="AW871" i="38"/>
  <c r="AZ871" i="38"/>
  <c r="AY871" i="38"/>
  <c r="BE545" i="38"/>
  <c r="BH545" i="38"/>
  <c r="BG545" i="38"/>
  <c r="BD545" i="38"/>
  <c r="AL245" i="38"/>
  <c r="AN259" i="38"/>
  <c r="AR259" i="38"/>
  <c r="AQ259" i="38"/>
  <c r="AO259" i="38"/>
  <c r="AW566" i="38"/>
  <c r="AV566" i="38"/>
  <c r="AN991" i="38"/>
  <c r="AO991" i="38"/>
  <c r="BD571" i="38"/>
  <c r="BE571" i="38"/>
  <c r="BE1086" i="38"/>
  <c r="BD1086" i="38"/>
  <c r="AN563" i="38"/>
  <c r="AO563" i="38"/>
  <c r="AP248" i="38"/>
  <c r="AZ829" i="38"/>
  <c r="AV829" i="38"/>
  <c r="AW829" i="38"/>
  <c r="AY829" i="38"/>
  <c r="AU251" i="38"/>
  <c r="AV648" i="38"/>
  <c r="AW648" i="38"/>
  <c r="AO658" i="38"/>
  <c r="AN658" i="38"/>
  <c r="AR503" i="38"/>
  <c r="AO503" i="38"/>
  <c r="AQ503" i="38"/>
  <c r="AN503" i="38"/>
  <c r="BE565" i="38"/>
  <c r="BD565" i="38"/>
  <c r="BC284" i="38"/>
  <c r="AR815" i="38"/>
  <c r="AO815" i="38"/>
  <c r="AN815" i="38"/>
  <c r="AQ815" i="38"/>
  <c r="AR785" i="38"/>
  <c r="AN785" i="38"/>
  <c r="AO785" i="38"/>
  <c r="AQ785" i="38"/>
  <c r="AV632" i="38"/>
  <c r="AW632" i="38"/>
  <c r="BH357" i="38"/>
  <c r="BE357" i="38"/>
  <c r="BG357" i="38"/>
  <c r="BD357" i="38"/>
  <c r="AU240" i="38"/>
  <c r="BE655" i="38"/>
  <c r="BD655" i="38"/>
  <c r="AN348" i="38"/>
  <c r="AO348" i="38"/>
  <c r="BE502" i="38"/>
  <c r="BD502" i="38"/>
  <c r="BH502" i="38"/>
  <c r="BG502" i="38"/>
  <c r="AO344" i="38"/>
  <c r="AN344" i="38"/>
  <c r="AN705" i="38"/>
  <c r="AO705" i="38"/>
  <c r="AM248" i="38"/>
  <c r="AW672" i="38"/>
  <c r="AV672" i="38"/>
  <c r="BH117" i="38"/>
  <c r="BG117" i="38"/>
  <c r="BD117" i="38"/>
  <c r="BE117" i="38"/>
  <c r="BD1051" i="38"/>
  <c r="BE1051" i="38"/>
  <c r="AN558" i="38"/>
  <c r="AO558" i="38"/>
  <c r="BE62" i="38"/>
  <c r="BD62" i="38"/>
  <c r="BH62" i="38"/>
  <c r="BG62" i="38"/>
  <c r="AQ921" i="38"/>
  <c r="AO921" i="38"/>
  <c r="AN921" i="38"/>
  <c r="AR921" i="38"/>
  <c r="BH384" i="38"/>
  <c r="BE384" i="38"/>
  <c r="BG384" i="38"/>
  <c r="BD384" i="38"/>
  <c r="AQ773" i="38"/>
  <c r="AO773" i="38"/>
  <c r="AN773" i="38"/>
  <c r="AR773" i="38"/>
  <c r="AW271" i="38"/>
  <c r="AV271" i="38"/>
  <c r="AP241" i="38"/>
  <c r="AU1467" i="38"/>
  <c r="AO684" i="38"/>
  <c r="AN684" i="38"/>
  <c r="BD594" i="38"/>
  <c r="BE594" i="38"/>
  <c r="AW392" i="38"/>
  <c r="AY392" i="38"/>
  <c r="AV392" i="38"/>
  <c r="AZ392" i="38"/>
  <c r="AO704" i="38"/>
  <c r="AN704" i="38"/>
  <c r="AO863" i="38"/>
  <c r="AR863" i="38"/>
  <c r="AQ863" i="38"/>
  <c r="AN863" i="38"/>
  <c r="AO1038" i="38"/>
  <c r="AN1038" i="38"/>
  <c r="AX84" i="38"/>
  <c r="AZ84" i="38" s="1"/>
  <c r="AL88" i="38"/>
  <c r="AR88" i="38" s="1"/>
  <c r="AO138" i="38"/>
  <c r="AN138" i="38"/>
  <c r="AR138" i="38"/>
  <c r="AQ138" i="38"/>
  <c r="BD338" i="38"/>
  <c r="BE338" i="38"/>
  <c r="AV492" i="38"/>
  <c r="AY492" i="38"/>
  <c r="AZ492" i="38"/>
  <c r="AW492" i="38"/>
  <c r="AN174" i="38"/>
  <c r="AO174" i="38"/>
  <c r="AR174" i="38"/>
  <c r="AQ174" i="38"/>
  <c r="AU311" i="38"/>
  <c r="AY440" i="38"/>
  <c r="AZ440" i="38"/>
  <c r="AW440" i="38"/>
  <c r="AV440" i="38"/>
  <c r="AY111" i="38"/>
  <c r="AZ111" i="38"/>
  <c r="AV111" i="38"/>
  <c r="AW111" i="38"/>
  <c r="BE473" i="38"/>
  <c r="BH473" i="38"/>
  <c r="BD473" i="38"/>
  <c r="BG473" i="38"/>
  <c r="AV1041" i="38"/>
  <c r="AW1041" i="38"/>
  <c r="AN91" i="38"/>
  <c r="AQ91" i="38"/>
  <c r="AR91" i="38"/>
  <c r="AO91" i="38"/>
  <c r="AO505" i="38"/>
  <c r="AN505" i="38"/>
  <c r="AQ505" i="38"/>
  <c r="AR505" i="38"/>
  <c r="AX253" i="38"/>
  <c r="AZ763" i="38"/>
  <c r="AW763" i="38"/>
  <c r="AV763" i="38"/>
  <c r="AY763" i="38"/>
  <c r="BC378" i="38"/>
  <c r="BD378" i="38" s="1"/>
  <c r="BC385" i="38"/>
  <c r="BC377" i="38" s="1"/>
  <c r="BD386" i="38"/>
  <c r="BE386" i="38"/>
  <c r="AQ50" i="38"/>
  <c r="AN50" i="38"/>
  <c r="AR50" i="38"/>
  <c r="AO50" i="38"/>
  <c r="BD585" i="38"/>
  <c r="BE585" i="38"/>
  <c r="AO741" i="38"/>
  <c r="AN741" i="38"/>
  <c r="BD501" i="38"/>
  <c r="BH501" i="38"/>
  <c r="BE501" i="38"/>
  <c r="BG501" i="38"/>
  <c r="AO155" i="38"/>
  <c r="AQ155" i="38"/>
  <c r="AR155" i="38"/>
  <c r="AN155" i="38"/>
  <c r="BD716" i="38"/>
  <c r="BE716" i="38"/>
  <c r="AW283" i="38"/>
  <c r="AT284" i="38"/>
  <c r="AV283" i="38"/>
  <c r="AN688" i="38"/>
  <c r="AO688" i="38"/>
  <c r="AV628" i="38"/>
  <c r="AW628" i="38"/>
  <c r="AQ761" i="38"/>
  <c r="AR761" i="38"/>
  <c r="AO761" i="38"/>
  <c r="AN761" i="38"/>
  <c r="BC25" i="38"/>
  <c r="AW578" i="38"/>
  <c r="AV578" i="38"/>
  <c r="AR916" i="38"/>
  <c r="AO916" i="38"/>
  <c r="AQ916" i="38"/>
  <c r="AN916" i="38"/>
  <c r="AV537" i="38"/>
  <c r="AZ537" i="38"/>
  <c r="AY537" i="38"/>
  <c r="AT536" i="38"/>
  <c r="AW537" i="38"/>
  <c r="AU36" i="38"/>
  <c r="AO1018" i="38"/>
  <c r="AN1018" i="38"/>
  <c r="AN589" i="38"/>
  <c r="AO589" i="38"/>
  <c r="BG827" i="38"/>
  <c r="BE827" i="38"/>
  <c r="BH827" i="38"/>
  <c r="BD827" i="38"/>
  <c r="AW487" i="38"/>
  <c r="AY487" i="38"/>
  <c r="AZ487" i="38"/>
  <c r="AV487" i="38"/>
  <c r="AO946" i="38"/>
  <c r="AN946" i="38"/>
  <c r="AQ946" i="38"/>
  <c r="AR946" i="38"/>
  <c r="AU242" i="38"/>
  <c r="BG918" i="38"/>
  <c r="BE918" i="38"/>
  <c r="BD918" i="38"/>
  <c r="BH918" i="38"/>
  <c r="AN943" i="38"/>
  <c r="AQ943" i="38"/>
  <c r="AR943" i="38"/>
  <c r="AO943" i="38"/>
  <c r="AV1031" i="38"/>
  <c r="AW1031" i="38"/>
  <c r="AV107" i="38"/>
  <c r="AW107" i="38"/>
  <c r="AY107" i="38"/>
  <c r="AZ107" i="38"/>
  <c r="AW573" i="38"/>
  <c r="AV573" i="38"/>
  <c r="AN234" i="38"/>
  <c r="AO234" i="38"/>
  <c r="AQ234" i="38"/>
  <c r="AR234" i="38"/>
  <c r="AW1063" i="38"/>
  <c r="AV1063" i="38"/>
  <c r="BD889" i="38"/>
  <c r="BH889" i="38"/>
  <c r="BE889" i="38"/>
  <c r="BG889" i="38"/>
  <c r="AR432" i="38"/>
  <c r="AO432" i="38"/>
  <c r="AN432" i="38"/>
  <c r="AQ432" i="38"/>
  <c r="BE667" i="38"/>
  <c r="BD667" i="38"/>
  <c r="BD587" i="38"/>
  <c r="BE587" i="38"/>
  <c r="AN111" i="38"/>
  <c r="AO111" i="38"/>
  <c r="AR111" i="38"/>
  <c r="AQ111" i="38"/>
  <c r="AV438" i="38"/>
  <c r="AY438" i="38"/>
  <c r="AW438" i="38"/>
  <c r="AT439" i="38"/>
  <c r="AZ438" i="38"/>
  <c r="AV660" i="38"/>
  <c r="AW660" i="38"/>
  <c r="AR183" i="38"/>
  <c r="AO183" i="38"/>
  <c r="AN183" i="38"/>
  <c r="AQ183" i="38"/>
  <c r="AL179" i="38"/>
  <c r="AQ179" i="38" s="1"/>
  <c r="AZ360" i="38"/>
  <c r="AV360" i="38"/>
  <c r="AY360" i="38"/>
  <c r="AW360" i="38"/>
  <c r="AY544" i="38"/>
  <c r="AV544" i="38"/>
  <c r="AT543" i="38"/>
  <c r="AW544" i="38"/>
  <c r="AZ544" i="38"/>
  <c r="BE237" i="38"/>
  <c r="BG237" i="38"/>
  <c r="BD237" i="38"/>
  <c r="BH237" i="38"/>
  <c r="AN228" i="38"/>
  <c r="AQ228" i="38"/>
  <c r="AR228" i="38"/>
  <c r="AO228" i="38"/>
  <c r="AW853" i="38"/>
  <c r="AV853" i="38"/>
  <c r="AY853" i="38"/>
  <c r="AZ853" i="38"/>
  <c r="AP20" i="38"/>
  <c r="AQ20" i="38" s="1"/>
  <c r="AO98" i="38"/>
  <c r="AN98" i="38"/>
  <c r="AQ98" i="38"/>
  <c r="AR98" i="38"/>
  <c r="AV306" i="38"/>
  <c r="AW306" i="38"/>
  <c r="BD157" i="38"/>
  <c r="BH157" i="38"/>
  <c r="BE157" i="38"/>
  <c r="BG157" i="38"/>
  <c r="AY904" i="38"/>
  <c r="AW904" i="38"/>
  <c r="AV904" i="38"/>
  <c r="AZ904" i="38"/>
  <c r="BE120" i="38"/>
  <c r="BG120" i="38"/>
  <c r="BD120" i="38"/>
  <c r="BH120" i="38"/>
  <c r="BE963" i="38"/>
  <c r="BD963" i="38"/>
  <c r="AO570" i="38"/>
  <c r="AN570" i="38"/>
  <c r="AV702" i="38"/>
  <c r="AW702" i="38"/>
  <c r="BD709" i="38"/>
  <c r="BE709" i="38"/>
  <c r="AX249" i="38"/>
  <c r="AY249" i="38" s="1"/>
  <c r="AN661" i="38"/>
  <c r="AO661" i="38"/>
  <c r="AQ15" i="38"/>
  <c r="AN15" i="38"/>
  <c r="AR15" i="38"/>
  <c r="AO15" i="38"/>
  <c r="AV719" i="38"/>
  <c r="AW719" i="38"/>
  <c r="AO973" i="38"/>
  <c r="AN973" i="38"/>
  <c r="AW617" i="38"/>
  <c r="AV617" i="38"/>
  <c r="AV755" i="38"/>
  <c r="AW755" i="38"/>
  <c r="BD59" i="38"/>
  <c r="BH59" i="38"/>
  <c r="BE59" i="38"/>
  <c r="BG59" i="38"/>
  <c r="AV105" i="38"/>
  <c r="AW105" i="38"/>
  <c r="AZ105" i="38"/>
  <c r="AY105" i="38"/>
  <c r="AV530" i="38"/>
  <c r="AW530" i="38"/>
  <c r="AV1079" i="38"/>
  <c r="AW1079" i="38"/>
  <c r="AO879" i="38"/>
  <c r="AN879" i="38"/>
  <c r="AR879" i="38"/>
  <c r="AQ879" i="38"/>
  <c r="BD779" i="38"/>
  <c r="BH779" i="38"/>
  <c r="BG779" i="38"/>
  <c r="BE779" i="38"/>
  <c r="AQ21" i="38"/>
  <c r="AR21" i="38"/>
  <c r="AN21" i="38"/>
  <c r="AL1460" i="38"/>
  <c r="AO21" i="38"/>
  <c r="BD643" i="38"/>
  <c r="BE643" i="38"/>
  <c r="AO269" i="38"/>
  <c r="AN269" i="38"/>
  <c r="AW1038" i="38"/>
  <c r="AV1038" i="38"/>
  <c r="AW663" i="38"/>
  <c r="AV663" i="38"/>
  <c r="AN51" i="38"/>
  <c r="AQ51" i="38"/>
  <c r="AR51" i="38"/>
  <c r="AO51" i="38"/>
  <c r="AW967" i="38"/>
  <c r="AV967" i="38"/>
  <c r="BE663" i="38"/>
  <c r="BD663" i="38"/>
  <c r="BD950" i="38"/>
  <c r="BE950" i="38"/>
  <c r="AL320" i="38"/>
  <c r="AO329" i="38"/>
  <c r="AN329" i="38"/>
  <c r="AU178" i="38"/>
  <c r="AX252" i="38"/>
  <c r="AP1467" i="38"/>
  <c r="BD442" i="38"/>
  <c r="BB443" i="38"/>
  <c r="BH442" i="38"/>
  <c r="BE442" i="38"/>
  <c r="BG442" i="38"/>
  <c r="AO678" i="38"/>
  <c r="AN678" i="38"/>
  <c r="AM376" i="38"/>
  <c r="AV344" i="38"/>
  <c r="AW344" i="38"/>
  <c r="AV132" i="38"/>
  <c r="AU83" i="38"/>
  <c r="AW132" i="38"/>
  <c r="AV532" i="38"/>
  <c r="AW532" i="38"/>
  <c r="AN285" i="38"/>
  <c r="AO285" i="38"/>
  <c r="AR460" i="38"/>
  <c r="AO460" i="38"/>
  <c r="AN460" i="38"/>
  <c r="AQ460" i="38"/>
  <c r="BD742" i="38"/>
  <c r="BE742" i="38"/>
  <c r="AL250" i="38"/>
  <c r="AR264" i="38"/>
  <c r="AQ264" i="38"/>
  <c r="AO264" i="38"/>
  <c r="AN264" i="38"/>
  <c r="AW744" i="38"/>
  <c r="AV744" i="38"/>
  <c r="BD912" i="38"/>
  <c r="BG912" i="38"/>
  <c r="BE912" i="38"/>
  <c r="BH912" i="38"/>
  <c r="AO745" i="38"/>
  <c r="AN745" i="38"/>
  <c r="BF36" i="38"/>
  <c r="AZ886" i="38"/>
  <c r="AW886" i="38"/>
  <c r="AY886" i="38"/>
  <c r="AV886" i="38"/>
  <c r="BF380" i="38"/>
  <c r="BF389" i="38"/>
  <c r="BF379" i="38" s="1"/>
  <c r="AN717" i="38"/>
  <c r="AO717" i="38"/>
  <c r="AN734" i="38"/>
  <c r="AO734" i="38"/>
  <c r="BD269" i="38"/>
  <c r="BE269" i="38"/>
  <c r="AO890" i="38"/>
  <c r="AN890" i="38"/>
  <c r="AR890" i="38"/>
  <c r="AQ890" i="38"/>
  <c r="AV1046" i="38"/>
  <c r="AW1046" i="38"/>
  <c r="AY53" i="38"/>
  <c r="AZ53" i="38"/>
  <c r="BE640" i="38"/>
  <c r="BD640" i="38"/>
  <c r="BD744" i="38"/>
  <c r="BE744" i="38"/>
  <c r="BC239" i="38"/>
  <c r="AO929" i="38"/>
  <c r="AN929" i="38"/>
  <c r="AQ929" i="38"/>
  <c r="AR929" i="38"/>
  <c r="AV675" i="38"/>
  <c r="AW675" i="38"/>
  <c r="BD572" i="38"/>
  <c r="BE572" i="38"/>
  <c r="BD750" i="38"/>
  <c r="BE750" i="38"/>
  <c r="AW779" i="38"/>
  <c r="AV779" i="38"/>
  <c r="AZ779" i="38"/>
  <c r="AY779" i="38"/>
  <c r="BE730" i="38"/>
  <c r="BD730" i="38"/>
  <c r="AN40" i="38"/>
  <c r="AQ40" i="38"/>
  <c r="AO40" i="38"/>
  <c r="AR40" i="38"/>
  <c r="BE135" i="38"/>
  <c r="BD135" i="38"/>
  <c r="BG135" i="38"/>
  <c r="BB136" i="38"/>
  <c r="BH135" i="38"/>
  <c r="BH855" i="38"/>
  <c r="BG855" i="38"/>
  <c r="BE855" i="38"/>
  <c r="BD855" i="38"/>
  <c r="BC439" i="38"/>
  <c r="BC278" i="38" s="1"/>
  <c r="AU363" i="38"/>
  <c r="BD942" i="38"/>
  <c r="BH942" i="38"/>
  <c r="BG942" i="38"/>
  <c r="BE942" i="38"/>
  <c r="BE722" i="38"/>
  <c r="BD722" i="38"/>
  <c r="AQ221" i="38"/>
  <c r="AR221" i="38"/>
  <c r="AO221" i="38"/>
  <c r="AN221" i="38"/>
  <c r="AW641" i="38"/>
  <c r="AV641" i="38"/>
  <c r="BH42" i="38"/>
  <c r="BG42" i="38"/>
  <c r="BE42" i="38"/>
  <c r="BD42" i="38"/>
  <c r="AV460" i="38"/>
  <c r="AW460" i="38"/>
  <c r="AZ460" i="38"/>
  <c r="AY460" i="38"/>
  <c r="BH478" i="38"/>
  <c r="BE478" i="38"/>
  <c r="BG478" i="38"/>
  <c r="BD478" i="38"/>
  <c r="AO307" i="38"/>
  <c r="AN307" i="38"/>
  <c r="BD390" i="38"/>
  <c r="BB380" i="38"/>
  <c r="BH390" i="38"/>
  <c r="BE390" i="38"/>
  <c r="BG390" i="38"/>
  <c r="AU406" i="38"/>
  <c r="AT250" i="38"/>
  <c r="AW264" i="38"/>
  <c r="AZ264" i="38"/>
  <c r="AY264" i="38"/>
  <c r="AV264" i="38"/>
  <c r="AO737" i="38"/>
  <c r="AN737" i="38"/>
  <c r="AW1016" i="38"/>
  <c r="AV1016" i="38"/>
  <c r="AZ454" i="38"/>
  <c r="AY454" i="38"/>
  <c r="AV454" i="38"/>
  <c r="AW454" i="38"/>
  <c r="AW495" i="38"/>
  <c r="AZ495" i="38"/>
  <c r="AV495" i="38"/>
  <c r="AY495" i="38"/>
  <c r="AN282" i="38"/>
  <c r="AO282" i="38"/>
  <c r="BD711" i="38"/>
  <c r="BE711" i="38"/>
  <c r="AR200" i="38"/>
  <c r="AQ200" i="38"/>
  <c r="AO200" i="38"/>
  <c r="AN200" i="38"/>
  <c r="AN944" i="38"/>
  <c r="AO944" i="38"/>
  <c r="AR944" i="38"/>
  <c r="AQ944" i="38"/>
  <c r="BD426" i="38"/>
  <c r="BG426" i="38"/>
  <c r="BE426" i="38"/>
  <c r="BH426" i="38"/>
  <c r="AV555" i="38"/>
  <c r="AW555" i="38"/>
  <c r="BD646" i="38"/>
  <c r="BE646" i="38"/>
  <c r="AW432" i="38"/>
  <c r="AZ432" i="38"/>
  <c r="AY432" i="38"/>
  <c r="AV432" i="38"/>
  <c r="BE951" i="38"/>
  <c r="BD951" i="38"/>
  <c r="BH164" i="38"/>
  <c r="BD164" i="38"/>
  <c r="BG164" i="38"/>
  <c r="BE164" i="38"/>
  <c r="BD292" i="38"/>
  <c r="BE292" i="38"/>
  <c r="AV158" i="38"/>
  <c r="AY158" i="38"/>
  <c r="AW158" i="38"/>
  <c r="AZ158" i="38"/>
  <c r="AV627" i="38"/>
  <c r="AW627" i="38"/>
  <c r="AL81" i="38"/>
  <c r="AL124" i="38"/>
  <c r="AO123" i="38"/>
  <c r="AN123" i="38"/>
  <c r="AQ123" i="38"/>
  <c r="AR123" i="38"/>
  <c r="AW661" i="38"/>
  <c r="AV661" i="38"/>
  <c r="AP536" i="38"/>
  <c r="AR536" i="38" s="1"/>
  <c r="AO46" i="38"/>
  <c r="AR46" i="38"/>
  <c r="AN46" i="38"/>
  <c r="AQ46" i="38"/>
  <c r="AL1466" i="38"/>
  <c r="AT374" i="38"/>
  <c r="AT381" i="38"/>
  <c r="AW382" i="38"/>
  <c r="AZ382" i="38"/>
  <c r="AY382" i="38"/>
  <c r="AV382" i="38"/>
  <c r="AP435" i="38"/>
  <c r="AP196" i="38" s="1"/>
  <c r="AZ881" i="38"/>
  <c r="AY881" i="38"/>
  <c r="AV881" i="38"/>
  <c r="AW881" i="38"/>
  <c r="AN1085" i="38"/>
  <c r="AO1085" i="38"/>
  <c r="AM180" i="38"/>
  <c r="AU88" i="38"/>
  <c r="AQ937" i="38"/>
  <c r="AR937" i="38"/>
  <c r="AO937" i="38"/>
  <c r="AN937" i="38"/>
  <c r="AV1020" i="38"/>
  <c r="AW1020" i="38"/>
  <c r="AW531" i="38"/>
  <c r="AV531" i="38"/>
  <c r="AQ496" i="38"/>
  <c r="AN496" i="38"/>
  <c r="AR496" i="38"/>
  <c r="AO496" i="38"/>
  <c r="BD935" i="38"/>
  <c r="BH935" i="38"/>
  <c r="BE935" i="38"/>
  <c r="BG935" i="38"/>
  <c r="BH234" i="38"/>
  <c r="BG234" i="38"/>
  <c r="AV301" i="38"/>
  <c r="AW301" i="38"/>
  <c r="AO417" i="38"/>
  <c r="AQ417" i="38"/>
  <c r="AN417" i="38"/>
  <c r="AR417" i="38"/>
  <c r="AO97" i="38"/>
  <c r="AQ97" i="38"/>
  <c r="AR97" i="38"/>
  <c r="AN97" i="38"/>
  <c r="BD455" i="38"/>
  <c r="BE455" i="38"/>
  <c r="AV1100" i="38"/>
  <c r="AW1100" i="38"/>
  <c r="BD737" i="38"/>
  <c r="BE737" i="38"/>
  <c r="AZ898" i="38"/>
  <c r="AW898" i="38"/>
  <c r="AV898" i="38"/>
  <c r="AY898" i="38"/>
  <c r="AZ864" i="38"/>
  <c r="AY864" i="38"/>
  <c r="AV864" i="38"/>
  <c r="AW864" i="38"/>
  <c r="AN1008" i="38"/>
  <c r="AO1008" i="38"/>
  <c r="AQ166" i="38"/>
  <c r="AR166" i="38"/>
  <c r="AO166" i="38"/>
  <c r="AN166" i="38"/>
  <c r="AL347" i="38"/>
  <c r="AO346" i="38"/>
  <c r="AN346" i="38"/>
  <c r="AV676" i="38"/>
  <c r="AW676" i="38"/>
  <c r="AM319" i="38"/>
  <c r="AY891" i="38"/>
  <c r="AV891" i="38"/>
  <c r="AZ891" i="38"/>
  <c r="AW891" i="38"/>
  <c r="BF252" i="38"/>
  <c r="AN523" i="38"/>
  <c r="AO523" i="38"/>
  <c r="AR523" i="38"/>
  <c r="AQ523" i="38"/>
  <c r="BG160" i="38"/>
  <c r="BH160" i="38"/>
  <c r="BD1103" i="38"/>
  <c r="BE1103" i="38"/>
  <c r="BE173" i="38"/>
  <c r="BG173" i="38"/>
  <c r="BD173" i="38"/>
  <c r="BH173" i="38"/>
  <c r="BH868" i="38"/>
  <c r="BG868" i="38"/>
  <c r="BE868" i="38"/>
  <c r="BD868" i="38"/>
  <c r="AN712" i="38"/>
  <c r="AO712" i="38"/>
  <c r="AQ917" i="38"/>
  <c r="AO917" i="38"/>
  <c r="AN917" i="38"/>
  <c r="AR917" i="38"/>
  <c r="BC252" i="38"/>
  <c r="BE729" i="38"/>
  <c r="BD729" i="38"/>
  <c r="AW109" i="38"/>
  <c r="AV109" i="38"/>
  <c r="AY109" i="38"/>
  <c r="AZ109" i="38"/>
  <c r="AM178" i="38"/>
  <c r="AN178" i="38" s="1"/>
  <c r="AN150" i="38"/>
  <c r="AO150" i="38"/>
  <c r="AU315" i="38"/>
  <c r="BD276" i="38"/>
  <c r="BB277" i="38"/>
  <c r="BE276" i="38"/>
  <c r="AV949" i="38"/>
  <c r="AW949" i="38"/>
  <c r="AV389" i="38"/>
  <c r="AT379" i="38"/>
  <c r="AV379" i="38" s="1"/>
  <c r="AW389" i="38"/>
  <c r="AV636" i="38"/>
  <c r="AW636" i="38"/>
  <c r="BD1002" i="38"/>
  <c r="BE1002" i="38"/>
  <c r="AW40" i="38"/>
  <c r="AV40" i="38"/>
  <c r="AY40" i="38"/>
  <c r="AZ40" i="38"/>
  <c r="AN309" i="38"/>
  <c r="AO309" i="38"/>
  <c r="AW1085" i="38"/>
  <c r="AV1085" i="38"/>
  <c r="AW653" i="38"/>
  <c r="AV653" i="38"/>
  <c r="BD861" i="38"/>
  <c r="BH861" i="38"/>
  <c r="BG861" i="38"/>
  <c r="BE861" i="38"/>
  <c r="AV220" i="38"/>
  <c r="AW220" i="38"/>
  <c r="AY220" i="38"/>
  <c r="AZ220" i="38"/>
  <c r="AU376" i="38"/>
  <c r="BE1056" i="38"/>
  <c r="BD1056" i="38"/>
  <c r="BG169" i="38"/>
  <c r="BH169" i="38"/>
  <c r="BD169" i="38"/>
  <c r="BE169" i="38"/>
  <c r="AX239" i="38"/>
  <c r="AV291" i="38"/>
  <c r="AW291" i="38"/>
  <c r="BH933" i="38"/>
  <c r="BG933" i="38"/>
  <c r="BD933" i="38"/>
  <c r="BE933" i="38"/>
  <c r="AN516" i="38"/>
  <c r="AO516" i="38"/>
  <c r="AR516" i="38"/>
  <c r="AQ516" i="38"/>
  <c r="AW572" i="38"/>
  <c r="AV572" i="38"/>
  <c r="AO212" i="38"/>
  <c r="AQ212" i="38"/>
  <c r="AR212" i="38"/>
  <c r="AN212" i="38"/>
  <c r="AQ920" i="38"/>
  <c r="AN920" i="38"/>
  <c r="AO920" i="38"/>
  <c r="AR920" i="38"/>
  <c r="AZ760" i="38"/>
  <c r="AY760" i="38"/>
  <c r="AV760" i="38"/>
  <c r="AW760" i="38"/>
  <c r="BE691" i="38"/>
  <c r="BD691" i="38"/>
  <c r="AU250" i="38"/>
  <c r="AW1062" i="38"/>
  <c r="AV1062" i="38"/>
  <c r="BE721" i="38"/>
  <c r="BD721" i="38"/>
  <c r="BH256" i="38"/>
  <c r="BG256" i="38"/>
  <c r="BD256" i="38"/>
  <c r="BE256" i="38"/>
  <c r="BB242" i="38"/>
  <c r="AO864" i="38"/>
  <c r="AN864" i="38"/>
  <c r="AR864" i="38"/>
  <c r="AQ864" i="38"/>
  <c r="BD825" i="38"/>
  <c r="BE825" i="38"/>
  <c r="BG825" i="38"/>
  <c r="AW1004" i="38"/>
  <c r="AV1004" i="38"/>
  <c r="BD298" i="38"/>
  <c r="BE298" i="38"/>
  <c r="AN667" i="38"/>
  <c r="AO667" i="38"/>
  <c r="AP431" i="38"/>
  <c r="AP90" i="38" s="1"/>
  <c r="BE782" i="38"/>
  <c r="BD782" i="38"/>
  <c r="BG782" i="38"/>
  <c r="BH782" i="38"/>
  <c r="AN1002" i="38"/>
  <c r="AO1002" i="38"/>
  <c r="AU241" i="38"/>
  <c r="AV92" i="38"/>
  <c r="AW92" i="38"/>
  <c r="AY92" i="38"/>
  <c r="AZ92" i="38"/>
  <c r="AV565" i="38"/>
  <c r="AW565" i="38"/>
  <c r="AN669" i="38"/>
  <c r="AO669" i="38"/>
  <c r="AO663" i="38"/>
  <c r="AN663" i="38"/>
  <c r="AW1002" i="38"/>
  <c r="AV1002" i="38"/>
  <c r="BF241" i="38"/>
  <c r="AY903" i="38"/>
  <c r="AZ903" i="38"/>
  <c r="AW903" i="38"/>
  <c r="AV903" i="38"/>
  <c r="AN818" i="38"/>
  <c r="AR818" i="38"/>
  <c r="AQ818" i="38"/>
  <c r="AO818" i="38"/>
  <c r="AQ426" i="38"/>
  <c r="AN426" i="38"/>
  <c r="AO426" i="38"/>
  <c r="AR426" i="38"/>
  <c r="BG154" i="38"/>
  <c r="BE154" i="38"/>
  <c r="BH154" i="38"/>
  <c r="BD154" i="38"/>
  <c r="BE555" i="38"/>
  <c r="BD555" i="38"/>
  <c r="BE736" i="38"/>
  <c r="BD736" i="38"/>
  <c r="BE671" i="38"/>
  <c r="BD671" i="38"/>
  <c r="AY865" i="38"/>
  <c r="AZ865" i="38"/>
  <c r="AW865" i="38"/>
  <c r="AV865" i="38"/>
  <c r="BG818" i="38"/>
  <c r="BD818" i="38"/>
  <c r="BH818" i="38"/>
  <c r="BE818" i="38"/>
  <c r="BE947" i="38"/>
  <c r="BD947" i="38"/>
  <c r="AW441" i="38"/>
  <c r="AV441" i="38"/>
  <c r="AY441" i="38"/>
  <c r="AZ441" i="38"/>
  <c r="AN980" i="38"/>
  <c r="AO980" i="38"/>
  <c r="BD176" i="38"/>
  <c r="BB177" i="38"/>
  <c r="BG176" i="38"/>
  <c r="BE176" i="38"/>
  <c r="BH176" i="38"/>
  <c r="AO990" i="38"/>
  <c r="AN990" i="38"/>
  <c r="BF96" i="38"/>
  <c r="AW598" i="38"/>
  <c r="AV598" i="38"/>
  <c r="AO971" i="38"/>
  <c r="AN971" i="38"/>
  <c r="AY764" i="38"/>
  <c r="AW764" i="38"/>
  <c r="AZ764" i="38"/>
  <c r="AV764" i="38"/>
  <c r="AN829" i="38"/>
  <c r="AR829" i="38"/>
  <c r="AQ829" i="38"/>
  <c r="AO829" i="38"/>
  <c r="AU125" i="38"/>
  <c r="BC273" i="38"/>
  <c r="AZ768" i="38"/>
  <c r="AV768" i="38"/>
  <c r="AW768" i="38"/>
  <c r="AY768" i="38"/>
  <c r="BE990" i="38"/>
  <c r="BD990" i="38"/>
  <c r="AO1036" i="38"/>
  <c r="AN1036" i="38"/>
  <c r="AO650" i="38"/>
  <c r="AN650" i="38"/>
  <c r="AP243" i="38"/>
  <c r="AZ940" i="38"/>
  <c r="AV940" i="38"/>
  <c r="AY940" i="38"/>
  <c r="AW940" i="38"/>
  <c r="AO680" i="38"/>
  <c r="AN680" i="38"/>
  <c r="AX1466" i="38"/>
  <c r="AW873" i="38"/>
  <c r="AV873" i="38"/>
  <c r="AY873" i="38"/>
  <c r="AZ873" i="38"/>
  <c r="BF794" i="38"/>
  <c r="AW640" i="38"/>
  <c r="AV640" i="38"/>
  <c r="BD785" i="38"/>
  <c r="BH785" i="38"/>
  <c r="BG785" i="38"/>
  <c r="BE785" i="38"/>
  <c r="AV236" i="38"/>
  <c r="AW236" i="38"/>
  <c r="AZ236" i="38"/>
  <c r="AY236" i="38"/>
  <c r="AO830" i="38"/>
  <c r="AR830" i="38"/>
  <c r="AN830" i="38"/>
  <c r="AQ830" i="38"/>
  <c r="AV279" i="38"/>
  <c r="AW279" i="38"/>
  <c r="AZ458" i="38"/>
  <c r="AW458" i="38"/>
  <c r="AV458" i="38"/>
  <c r="AY458" i="38"/>
  <c r="AZ937" i="38"/>
  <c r="AV937" i="38"/>
  <c r="AY937" i="38"/>
  <c r="AW937" i="38"/>
  <c r="AY505" i="38"/>
  <c r="AV505" i="38"/>
  <c r="AZ505" i="38"/>
  <c r="AW505" i="38"/>
  <c r="BF376" i="38"/>
  <c r="AN1093" i="38"/>
  <c r="AO1093" i="38"/>
  <c r="AU124" i="38"/>
  <c r="AU81" i="38"/>
  <c r="AW81" i="38" s="1"/>
  <c r="BG495" i="38"/>
  <c r="BD495" i="38"/>
  <c r="BE495" i="38"/>
  <c r="BH495" i="38"/>
  <c r="BD764" i="38"/>
  <c r="BH764" i="38"/>
  <c r="BE764" i="38"/>
  <c r="BG764" i="38"/>
  <c r="BE746" i="38"/>
  <c r="BD746" i="38"/>
  <c r="AQ488" i="38"/>
  <c r="AR488" i="38"/>
  <c r="AO488" i="38"/>
  <c r="AN488" i="38"/>
  <c r="AV847" i="38"/>
  <c r="AZ847" i="38"/>
  <c r="AY847" i="38"/>
  <c r="AW847" i="38"/>
  <c r="AV695" i="38"/>
  <c r="AW695" i="38"/>
  <c r="AV325" i="38"/>
  <c r="AW325" i="38"/>
  <c r="AT316" i="38"/>
  <c r="AO237" i="38"/>
  <c r="AR237" i="38"/>
  <c r="AQ237" i="38"/>
  <c r="AN237" i="38"/>
  <c r="AO861" i="38"/>
  <c r="AN861" i="38"/>
  <c r="AQ861" i="38"/>
  <c r="AR861" i="38"/>
  <c r="BD271" i="38"/>
  <c r="BE271" i="38"/>
  <c r="AN182" i="38"/>
  <c r="AR182" i="38"/>
  <c r="AO182" i="38"/>
  <c r="AQ182" i="38"/>
  <c r="AL178" i="38"/>
  <c r="AN1026" i="38"/>
  <c r="AO1026" i="38"/>
  <c r="AW797" i="38"/>
  <c r="AZ797" i="38"/>
  <c r="AV797" i="38"/>
  <c r="AY797" i="38"/>
  <c r="AZ813" i="38"/>
  <c r="AW813" i="38"/>
  <c r="AV813" i="38"/>
  <c r="AY813" i="38"/>
  <c r="AM313" i="38"/>
  <c r="AN313" i="38" s="1"/>
  <c r="AR47" i="38"/>
  <c r="AN47" i="38"/>
  <c r="AO47" i="38"/>
  <c r="AQ47" i="38"/>
  <c r="AQ857" i="38"/>
  <c r="AN857" i="38"/>
  <c r="AO857" i="38"/>
  <c r="AR857" i="38"/>
  <c r="AZ795" i="38"/>
  <c r="AY795" i="38"/>
  <c r="AW795" i="38"/>
  <c r="AV795" i="38"/>
  <c r="AQ99" i="38"/>
  <c r="AN99" i="38"/>
  <c r="AO99" i="38"/>
  <c r="AR99" i="38"/>
  <c r="AQ420" i="38"/>
  <c r="AO420" i="38"/>
  <c r="AN420" i="38"/>
  <c r="AR420" i="38"/>
  <c r="BC311" i="38"/>
  <c r="AO616" i="38"/>
  <c r="AN616" i="38"/>
  <c r="AY172" i="38"/>
  <c r="AW172" i="38"/>
  <c r="AZ172" i="38"/>
  <c r="AV172" i="38"/>
  <c r="AP18" i="38"/>
  <c r="BF127" i="38"/>
  <c r="AP88" i="38"/>
  <c r="AV428" i="38"/>
  <c r="AW428" i="38"/>
  <c r="AY428" i="38"/>
  <c r="AZ428" i="38"/>
  <c r="BD361" i="38"/>
  <c r="BE361" i="38"/>
  <c r="BH361" i="38"/>
  <c r="BG361" i="38"/>
  <c r="BF125" i="38"/>
  <c r="BC447" i="38"/>
  <c r="BC413" i="38" s="1"/>
  <c r="AN635" i="38"/>
  <c r="AO635" i="38"/>
  <c r="BE673" i="38"/>
  <c r="BD673" i="38"/>
  <c r="AO568" i="38"/>
  <c r="AN568" i="38"/>
  <c r="AO868" i="38"/>
  <c r="AQ868" i="38"/>
  <c r="AN868" i="38"/>
  <c r="AR868" i="38"/>
  <c r="AM177" i="38"/>
  <c r="AO1103" i="38"/>
  <c r="AN1103" i="38"/>
  <c r="BC126" i="38"/>
  <c r="AO910" i="38"/>
  <c r="AQ910" i="38"/>
  <c r="AN910" i="38"/>
  <c r="AR910" i="38"/>
  <c r="AO1003" i="38"/>
  <c r="AN1003" i="38"/>
  <c r="AV146" i="38"/>
  <c r="AW146" i="38"/>
  <c r="AY146" i="38"/>
  <c r="AZ146" i="38"/>
  <c r="BD275" i="38"/>
  <c r="BE275" i="38"/>
  <c r="BE518" i="38"/>
  <c r="BD518" i="38"/>
  <c r="BH518" i="38"/>
  <c r="BG518" i="38"/>
  <c r="AN723" i="38"/>
  <c r="AO723" i="38"/>
  <c r="BD997" i="38"/>
  <c r="BE997" i="38"/>
  <c r="AW765" i="38"/>
  <c r="AY765" i="38"/>
  <c r="AZ765" i="38"/>
  <c r="AV765" i="38"/>
  <c r="BD453" i="38"/>
  <c r="BH453" i="38"/>
  <c r="BG453" i="38"/>
  <c r="BE453" i="38"/>
  <c r="BF83" i="38"/>
  <c r="BG83" i="38" s="1"/>
  <c r="BE712" i="38"/>
  <c r="BD712" i="38"/>
  <c r="BC125" i="38"/>
  <c r="AP246" i="38"/>
  <c r="AV166" i="38"/>
  <c r="AZ166" i="38"/>
  <c r="AW166" i="38"/>
  <c r="AY166" i="38"/>
  <c r="BE345" i="38"/>
  <c r="BD345" i="38"/>
  <c r="AW715" i="38"/>
  <c r="AV715" i="38"/>
  <c r="BE680" i="38"/>
  <c r="BD680" i="38"/>
  <c r="BG787" i="38"/>
  <c r="BE787" i="38"/>
  <c r="BH787" i="38"/>
  <c r="BD787" i="38"/>
  <c r="AO675" i="38"/>
  <c r="AN675" i="38"/>
  <c r="AW286" i="38"/>
  <c r="AV286" i="38"/>
  <c r="AM277" i="38"/>
  <c r="AN277" i="38" s="1"/>
  <c r="BE637" i="38"/>
  <c r="BD637" i="38"/>
  <c r="BH260" i="38"/>
  <c r="BG260" i="38"/>
  <c r="BF246" i="38"/>
  <c r="BG246" i="38" s="1"/>
  <c r="AR807" i="38"/>
  <c r="AQ807" i="38"/>
  <c r="AN807" i="38"/>
  <c r="AO807" i="38"/>
  <c r="AV576" i="38"/>
  <c r="AW576" i="38"/>
  <c r="AV726" i="38"/>
  <c r="AW726" i="38"/>
  <c r="AV677" i="38"/>
  <c r="AW677" i="38"/>
  <c r="AR757" i="38"/>
  <c r="AQ757" i="38"/>
  <c r="AN757" i="38"/>
  <c r="AO757" i="38"/>
  <c r="AP447" i="38"/>
  <c r="AP413" i="38" s="1"/>
  <c r="BD1040" i="38"/>
  <c r="BE1040" i="38"/>
  <c r="BG828" i="38"/>
  <c r="BH828" i="38"/>
  <c r="BD828" i="38"/>
  <c r="BE828" i="38"/>
  <c r="AW924" i="38"/>
  <c r="AZ924" i="38"/>
  <c r="AY924" i="38"/>
  <c r="AV924" i="38"/>
  <c r="BE622" i="38"/>
  <c r="BD622" i="38"/>
  <c r="AW433" i="38"/>
  <c r="AV433" i="38"/>
  <c r="AZ433" i="38"/>
  <c r="AY433" i="38"/>
  <c r="AV600" i="38"/>
  <c r="AW600" i="38"/>
  <c r="AZ790" i="38"/>
  <c r="AY790" i="38"/>
  <c r="AW790" i="38"/>
  <c r="AV790" i="38"/>
  <c r="AY48" i="38"/>
  <c r="AZ48" i="38"/>
  <c r="AW48" i="38"/>
  <c r="AV48" i="38"/>
  <c r="AP253" i="38"/>
  <c r="BF253" i="38"/>
  <c r="BG253" i="38" s="1"/>
  <c r="AV1021" i="38"/>
  <c r="AW1021" i="38"/>
  <c r="BE429" i="38"/>
  <c r="BD429" i="38"/>
  <c r="AR63" i="38"/>
  <c r="AQ63" i="38"/>
  <c r="AO63" i="38"/>
  <c r="AN63" i="38"/>
  <c r="AN553" i="38"/>
  <c r="AO553" i="38"/>
  <c r="AW772" i="38"/>
  <c r="AY772" i="38"/>
  <c r="AZ772" i="38"/>
  <c r="AV772" i="38"/>
  <c r="AN519" i="38"/>
  <c r="AO519" i="38"/>
  <c r="AQ519" i="38"/>
  <c r="AR519" i="38"/>
  <c r="AP251" i="38"/>
  <c r="AV793" i="38"/>
  <c r="AW793" i="38"/>
  <c r="BF354" i="38"/>
  <c r="AO1048" i="38"/>
  <c r="AN1048" i="38"/>
  <c r="AZ369" i="38"/>
  <c r="AV369" i="38"/>
  <c r="AY369" i="38"/>
  <c r="AW369" i="38"/>
  <c r="AU314" i="38"/>
  <c r="BD500" i="38"/>
  <c r="BE500" i="38"/>
  <c r="BG500" i="38"/>
  <c r="BH500" i="38"/>
  <c r="AR427" i="38"/>
  <c r="AN427" i="38"/>
  <c r="AO427" i="38"/>
  <c r="AQ427" i="38"/>
  <c r="BD528" i="38"/>
  <c r="BE528" i="38"/>
  <c r="BE1013" i="38"/>
  <c r="BD1013" i="38"/>
  <c r="AO779" i="38"/>
  <c r="AQ779" i="38"/>
  <c r="AN779" i="38"/>
  <c r="AR779" i="38"/>
  <c r="BC136" i="38"/>
  <c r="BD247" i="38"/>
  <c r="BG247" i="38"/>
  <c r="BC536" i="38"/>
  <c r="BE959" i="38"/>
  <c r="BD959" i="38"/>
  <c r="AN967" i="38"/>
  <c r="AO967" i="38"/>
  <c r="AW562" i="38"/>
  <c r="AV562" i="38"/>
  <c r="AP180" i="38"/>
  <c r="BE783" i="38"/>
  <c r="BH783" i="38"/>
  <c r="BD783" i="38"/>
  <c r="BG783" i="38"/>
  <c r="AW553" i="38"/>
  <c r="AV553" i="38"/>
  <c r="BE1017" i="38"/>
  <c r="BD1017" i="38"/>
  <c r="AO617" i="38"/>
  <c r="AN617" i="38"/>
  <c r="AV591" i="38"/>
  <c r="AW591" i="38"/>
  <c r="AN839" i="38"/>
  <c r="AR839" i="38"/>
  <c r="AO839" i="38"/>
  <c r="AQ839" i="38"/>
  <c r="BF825" i="38"/>
  <c r="BH825" i="38" s="1"/>
  <c r="BH444" i="38"/>
  <c r="BE444" i="38"/>
  <c r="BG444" i="38"/>
  <c r="BD444" i="38"/>
  <c r="AO1044" i="38"/>
  <c r="AN1044" i="38"/>
  <c r="AV656" i="38"/>
  <c r="AW656" i="38"/>
  <c r="AY410" i="38"/>
  <c r="AW410" i="38"/>
  <c r="AZ410" i="38"/>
  <c r="AV410" i="38"/>
  <c r="AZ143" i="38"/>
  <c r="AY143" i="38"/>
  <c r="AV143" i="38"/>
  <c r="AW143" i="38"/>
  <c r="AO362" i="38"/>
  <c r="AN362" i="38"/>
  <c r="AR17" i="38"/>
  <c r="AN17" i="38"/>
  <c r="AO17" i="38"/>
  <c r="AQ17" i="38"/>
  <c r="AL18" i="38"/>
  <c r="AW297" i="38"/>
  <c r="AV297" i="38"/>
  <c r="BE209" i="38"/>
  <c r="BD209" i="38"/>
  <c r="BG209" i="38"/>
  <c r="BH209" i="38"/>
  <c r="BE270" i="38"/>
  <c r="BD270" i="38"/>
  <c r="BB374" i="38"/>
  <c r="BG382" i="38"/>
  <c r="BD382" i="38"/>
  <c r="BB381" i="38"/>
  <c r="BE382" i="38"/>
  <c r="BH382" i="38"/>
  <c r="BD905" i="38"/>
  <c r="BH905" i="38"/>
  <c r="BG905" i="38"/>
  <c r="BE905" i="38"/>
  <c r="BE597" i="38"/>
  <c r="BD597" i="38"/>
  <c r="BG49" i="38"/>
  <c r="BE49" i="38"/>
  <c r="BD49" i="38"/>
  <c r="BH49" i="38"/>
  <c r="AQ113" i="38"/>
  <c r="AN113" i="38"/>
  <c r="AR113" i="38"/>
  <c r="AO113" i="38"/>
  <c r="AT79" i="38"/>
  <c r="AY102" i="38"/>
  <c r="AZ102" i="38"/>
  <c r="AV102" i="38"/>
  <c r="AW102" i="38"/>
  <c r="AW667" i="38"/>
  <c r="AV667" i="38"/>
  <c r="AZ233" i="38"/>
  <c r="AY233" i="38"/>
  <c r="BE46" i="38"/>
  <c r="BB1466" i="38"/>
  <c r="BH46" i="38"/>
  <c r="BG46" i="38"/>
  <c r="BD46" i="38"/>
  <c r="AZ548" i="38"/>
  <c r="AV548" i="38"/>
  <c r="AW548" i="38"/>
  <c r="AY548" i="38"/>
  <c r="AW203" i="38"/>
  <c r="AY203" i="38"/>
  <c r="AV203" i="38"/>
  <c r="AZ203" i="38"/>
  <c r="AO629" i="38"/>
  <c r="AN629" i="38"/>
  <c r="BE615" i="38"/>
  <c r="BD615" i="38"/>
  <c r="BC245" i="38"/>
  <c r="AZ862" i="38"/>
  <c r="AV862" i="38"/>
  <c r="AW862" i="38"/>
  <c r="AY862" i="38"/>
  <c r="AV825" i="38"/>
  <c r="AW825" i="38"/>
  <c r="AV114" i="38"/>
  <c r="AY114" i="38"/>
  <c r="AW114" i="38"/>
  <c r="AZ114" i="38"/>
  <c r="AW563" i="38"/>
  <c r="AV563" i="38"/>
  <c r="AP178" i="38"/>
  <c r="AM1459" i="38"/>
  <c r="AN279" i="38"/>
  <c r="AO279" i="38"/>
  <c r="AP36" i="38"/>
  <c r="AU385" i="38"/>
  <c r="AU377" i="38" s="1"/>
  <c r="AU378" i="38"/>
  <c r="AV378" i="38" s="1"/>
  <c r="BB85" i="38"/>
  <c r="BG134" i="38"/>
  <c r="BD134" i="38"/>
  <c r="BE134" i="38"/>
  <c r="BH134" i="38"/>
  <c r="AX191" i="38"/>
  <c r="BD683" i="38"/>
  <c r="BE683" i="38"/>
  <c r="AV280" i="38"/>
  <c r="AW280" i="38"/>
  <c r="AW668" i="38"/>
  <c r="AV668" i="38"/>
  <c r="AQ469" i="38"/>
  <c r="AR469" i="38"/>
  <c r="AN469" i="38"/>
  <c r="AO469" i="38"/>
  <c r="BE552" i="38"/>
  <c r="BD552" i="38"/>
  <c r="AV642" i="38"/>
  <c r="AW642" i="38"/>
  <c r="BE321" i="38"/>
  <c r="BB312" i="38"/>
  <c r="BD312" i="38" s="1"/>
  <c r="BD321" i="38"/>
  <c r="BC244" i="38"/>
  <c r="BD244" i="38" s="1"/>
  <c r="AO494" i="38"/>
  <c r="AQ494" i="38"/>
  <c r="AN494" i="38"/>
  <c r="AR494" i="38"/>
  <c r="AZ856" i="38"/>
  <c r="AV856" i="38"/>
  <c r="AY856" i="38"/>
  <c r="AW856" i="38"/>
  <c r="AO893" i="38"/>
  <c r="AR893" i="38"/>
  <c r="AN893" i="38"/>
  <c r="AQ893" i="38"/>
  <c r="AR912" i="38"/>
  <c r="AQ912" i="38"/>
  <c r="AN912" i="38"/>
  <c r="AO912" i="38"/>
  <c r="BD1091" i="38"/>
  <c r="BE1091" i="38"/>
  <c r="AV708" i="38"/>
  <c r="AW708" i="38"/>
  <c r="AM406" i="38"/>
  <c r="AV1000" i="38"/>
  <c r="AW1000" i="38"/>
  <c r="AU248" i="38"/>
  <c r="BD684" i="38"/>
  <c r="BE684" i="38"/>
  <c r="AN575" i="38"/>
  <c r="AO575" i="38"/>
  <c r="AR70" i="38"/>
  <c r="AN70" i="38"/>
  <c r="AQ70" i="38"/>
  <c r="AO70" i="38"/>
  <c r="BE533" i="38"/>
  <c r="BD533" i="38"/>
  <c r="AV1052" i="38"/>
  <c r="AW1052" i="38"/>
  <c r="AM1466" i="38"/>
  <c r="AV133" i="38"/>
  <c r="AZ133" i="38"/>
  <c r="AW133" i="38"/>
  <c r="AY133" i="38"/>
  <c r="AT84" i="38"/>
  <c r="AO955" i="38"/>
  <c r="AN955" i="38"/>
  <c r="AW421" i="38"/>
  <c r="AZ421" i="38"/>
  <c r="AV421" i="38"/>
  <c r="AY421" i="38"/>
  <c r="AV960" i="38"/>
  <c r="AW960" i="38"/>
  <c r="AX241" i="38"/>
  <c r="BE1075" i="38"/>
  <c r="BD1075" i="38"/>
  <c r="BD1043" i="38"/>
  <c r="BE1043" i="38"/>
  <c r="AO719" i="38"/>
  <c r="AN719" i="38"/>
  <c r="AW1080" i="38"/>
  <c r="AV1080" i="38"/>
  <c r="BD521" i="38"/>
  <c r="BE521" i="38"/>
  <c r="BH521" i="38"/>
  <c r="BG521" i="38"/>
  <c r="AN974" i="38"/>
  <c r="AO974" i="38"/>
  <c r="AO881" i="38"/>
  <c r="AN881" i="38"/>
  <c r="AR881" i="38"/>
  <c r="AQ881" i="38"/>
  <c r="AV292" i="38"/>
  <c r="AW292" i="38"/>
  <c r="BH504" i="38"/>
  <c r="BG504" i="38"/>
  <c r="BE504" i="38"/>
  <c r="BD504" i="38"/>
  <c r="AW405" i="38"/>
  <c r="AV405" i="38"/>
  <c r="AT406" i="38"/>
  <c r="AV406" i="38" s="1"/>
  <c r="AW788" i="38"/>
  <c r="AZ788" i="38"/>
  <c r="AY788" i="38"/>
  <c r="AV788" i="38"/>
  <c r="BG759" i="38"/>
  <c r="BH759" i="38"/>
  <c r="BD759" i="38"/>
  <c r="BE759" i="38"/>
  <c r="AW270" i="38"/>
  <c r="AV270" i="38"/>
  <c r="AX202" i="38"/>
  <c r="BD514" i="38"/>
  <c r="BE514" i="38"/>
  <c r="BG514" i="38"/>
  <c r="BH514" i="38"/>
  <c r="AZ474" i="38"/>
  <c r="AY474" i="38"/>
  <c r="AW474" i="38"/>
  <c r="AV474" i="38"/>
  <c r="AW956" i="38"/>
  <c r="AV956" i="38"/>
  <c r="AO623" i="38"/>
  <c r="AN623" i="38"/>
  <c r="AO691" i="38"/>
  <c r="AN691" i="38"/>
  <c r="BD675" i="38"/>
  <c r="BE675" i="38"/>
  <c r="AP125" i="38"/>
  <c r="BE624" i="38"/>
  <c r="BD624" i="38"/>
  <c r="AV1011" i="38"/>
  <c r="AW1011" i="38"/>
  <c r="AX376" i="38"/>
  <c r="BB252" i="38"/>
  <c r="BD252" i="38" s="1"/>
  <c r="BE266" i="38"/>
  <c r="BH266" i="38"/>
  <c r="BD266" i="38"/>
  <c r="BG266" i="38"/>
  <c r="BB181" i="38"/>
  <c r="BG185" i="38"/>
  <c r="BD185" i="38"/>
  <c r="BH185" i="38"/>
  <c r="BE185" i="38"/>
  <c r="BC319" i="38"/>
  <c r="BD751" i="38"/>
  <c r="BE751" i="38"/>
  <c r="BE715" i="38"/>
  <c r="BD715" i="38"/>
  <c r="AV799" i="38"/>
  <c r="AZ799" i="38"/>
  <c r="AW799" i="38"/>
  <c r="AY799" i="38"/>
  <c r="AW739" i="38"/>
  <c r="AV739" i="38"/>
  <c r="AQ41" i="38"/>
  <c r="AR41" i="38"/>
  <c r="AN41" i="38"/>
  <c r="AO41" i="38"/>
  <c r="AY481" i="38"/>
  <c r="AV481" i="38"/>
  <c r="AW481" i="38"/>
  <c r="AZ481" i="38"/>
  <c r="AO945" i="38"/>
  <c r="AR945" i="38"/>
  <c r="AQ945" i="38"/>
  <c r="AN945" i="38"/>
  <c r="AW801" i="38"/>
  <c r="AV801" i="38"/>
  <c r="AY801" i="38"/>
  <c r="AZ801" i="38"/>
  <c r="BE227" i="38"/>
  <c r="BG227" i="38"/>
  <c r="BD227" i="38"/>
  <c r="BH227" i="38"/>
  <c r="BE1037" i="38"/>
  <c r="BD1037" i="38"/>
  <c r="AW183" i="38"/>
  <c r="AT179" i="38"/>
  <c r="AY179" i="38" s="1"/>
  <c r="AZ183" i="38"/>
  <c r="AV183" i="38"/>
  <c r="AY183" i="38"/>
  <c r="AR844" i="38"/>
  <c r="AQ844" i="38"/>
  <c r="AO844" i="38"/>
  <c r="AN844" i="38"/>
  <c r="BH805" i="38"/>
  <c r="BD805" i="38"/>
  <c r="BE805" i="38"/>
  <c r="BG805" i="38"/>
  <c r="AO216" i="38"/>
  <c r="AQ216" i="38"/>
  <c r="AR216" i="38"/>
  <c r="AN216" i="38"/>
  <c r="AO515" i="38"/>
  <c r="AQ515" i="38"/>
  <c r="AN515" i="38"/>
  <c r="AR515" i="38"/>
  <c r="BD774" i="38"/>
  <c r="BE774" i="38"/>
  <c r="BH774" i="38"/>
  <c r="BG774" i="38"/>
  <c r="AO637" i="38"/>
  <c r="AN637" i="38"/>
  <c r="BG53" i="38"/>
  <c r="BH53" i="38"/>
  <c r="BD611" i="38"/>
  <c r="BE611" i="38"/>
  <c r="BE770" i="38"/>
  <c r="BH770" i="38"/>
  <c r="BD770" i="38"/>
  <c r="BG770" i="38"/>
  <c r="AO1065" i="38"/>
  <c r="AN1065" i="38"/>
  <c r="BB273" i="38"/>
  <c r="BD273" i="38" s="1"/>
  <c r="BE272" i="38"/>
  <c r="BD272" i="38"/>
  <c r="BG103" i="38"/>
  <c r="BD103" i="38"/>
  <c r="BH103" i="38"/>
  <c r="BE103" i="38"/>
  <c r="AR22" i="38"/>
  <c r="AQ22" i="38"/>
  <c r="AN22" i="38"/>
  <c r="AL1459" i="38"/>
  <c r="AR1459" i="38" s="1"/>
  <c r="AO22" i="38"/>
  <c r="AV666" i="38"/>
  <c r="AW666" i="38"/>
  <c r="AV33" i="38"/>
  <c r="AZ33" i="38"/>
  <c r="AY33" i="38"/>
  <c r="AW33" i="38"/>
  <c r="AV894" i="38"/>
  <c r="AW894" i="38"/>
  <c r="AY894" i="38"/>
  <c r="AZ894" i="38"/>
  <c r="AQ364" i="38"/>
  <c r="AL363" i="38"/>
  <c r="AO363" i="38" s="1"/>
  <c r="AR364" i="38"/>
  <c r="AO364" i="38"/>
  <c r="AN364" i="38"/>
  <c r="AQ813" i="38"/>
  <c r="AO813" i="38"/>
  <c r="AN813" i="38"/>
  <c r="AR813" i="38"/>
  <c r="AN645" i="38"/>
  <c r="AO645" i="38"/>
  <c r="AW144" i="38"/>
  <c r="AZ144" i="38"/>
  <c r="AV144" i="38"/>
  <c r="AY144" i="38"/>
  <c r="BH819" i="38"/>
  <c r="BD819" i="38"/>
  <c r="BE819" i="38"/>
  <c r="BG819" i="38"/>
  <c r="BG522" i="38"/>
  <c r="BD522" i="38"/>
  <c r="BE522" i="38"/>
  <c r="BH522" i="38"/>
  <c r="AR871" i="38"/>
  <c r="AN871" i="38"/>
  <c r="AO871" i="38"/>
  <c r="AQ871" i="38"/>
  <c r="AY164" i="38"/>
  <c r="AW164" i="38"/>
  <c r="AZ164" i="38"/>
  <c r="AV164" i="38"/>
  <c r="BH860" i="38"/>
  <c r="BG860" i="38"/>
  <c r="BD860" i="38"/>
  <c r="BE860" i="38"/>
  <c r="AR187" i="38"/>
  <c r="AQ187" i="38"/>
  <c r="AO187" i="38"/>
  <c r="AN187" i="38"/>
  <c r="AO1081" i="38"/>
  <c r="AN1081" i="38"/>
  <c r="AW570" i="38"/>
  <c r="AV570" i="38"/>
  <c r="AN151" i="38"/>
  <c r="AO151" i="38"/>
  <c r="AV50" i="38"/>
  <c r="AZ50" i="38"/>
  <c r="AW50" i="38"/>
  <c r="AY50" i="38"/>
  <c r="BD926" i="38"/>
  <c r="BH926" i="38"/>
  <c r="BE926" i="38"/>
  <c r="BG926" i="38"/>
  <c r="AO733" i="38"/>
  <c r="AN733" i="38"/>
  <c r="AO600" i="38"/>
  <c r="AN600" i="38"/>
  <c r="AY830" i="38"/>
  <c r="AV830" i="38"/>
  <c r="AW830" i="38"/>
  <c r="AZ830" i="38"/>
  <c r="BE232" i="38"/>
  <c r="BG232" i="38"/>
  <c r="BD232" i="38"/>
  <c r="BH232" i="38"/>
  <c r="AP84" i="38"/>
  <c r="AW747" i="38"/>
  <c r="AV747" i="38"/>
  <c r="AW745" i="38"/>
  <c r="AV745" i="38"/>
  <c r="BD973" i="38"/>
  <c r="BE973" i="38"/>
  <c r="AQ267" i="38"/>
  <c r="AO267" i="38"/>
  <c r="AN267" i="38"/>
  <c r="AL253" i="38"/>
  <c r="AR267" i="38"/>
  <c r="AW725" i="38"/>
  <c r="AV725" i="38"/>
  <c r="BG871" i="38"/>
  <c r="BD871" i="38"/>
  <c r="BH871" i="38"/>
  <c r="BE871" i="38"/>
  <c r="AW892" i="38"/>
  <c r="AV892" i="38"/>
  <c r="AY892" i="38"/>
  <c r="AZ892" i="38"/>
  <c r="BE479" i="38"/>
  <c r="BH479" i="38"/>
  <c r="BG479" i="38"/>
  <c r="BD479" i="38"/>
  <c r="AO987" i="38"/>
  <c r="AN987" i="38"/>
  <c r="AQ544" i="38"/>
  <c r="AN544" i="38"/>
  <c r="AO544" i="38"/>
  <c r="AR544" i="38"/>
  <c r="AL543" i="38"/>
  <c r="AR543" i="38" s="1"/>
  <c r="AO286" i="38"/>
  <c r="AN286" i="38"/>
  <c r="AR154" i="38"/>
  <c r="AN154" i="38"/>
  <c r="AQ154" i="38"/>
  <c r="AO154" i="38"/>
  <c r="BE690" i="38"/>
  <c r="BD690" i="38"/>
  <c r="AU179" i="38"/>
  <c r="AM379" i="38"/>
  <c r="AV712" i="38"/>
  <c r="AW712" i="38"/>
  <c r="AV703" i="38"/>
  <c r="AW703" i="38"/>
  <c r="AW348" i="38"/>
  <c r="AV348" i="38"/>
  <c r="AO416" i="38"/>
  <c r="AQ416" i="38"/>
  <c r="AR416" i="38"/>
  <c r="AN416" i="38"/>
  <c r="BD356" i="38"/>
  <c r="BE356" i="38"/>
  <c r="AP1465" i="38"/>
  <c r="AQ1465" i="38" s="1"/>
  <c r="AO425" i="38"/>
  <c r="AR425" i="38"/>
  <c r="AQ425" i="38"/>
  <c r="AN425" i="38"/>
  <c r="BE280" i="38"/>
  <c r="BD280" i="38"/>
  <c r="AR473" i="38"/>
  <c r="AN473" i="38"/>
  <c r="AQ473" i="38"/>
  <c r="AO473" i="38"/>
  <c r="BF244" i="38"/>
  <c r="AM431" i="38"/>
  <c r="AM90" i="38" s="1"/>
  <c r="AV979" i="38"/>
  <c r="AW979" i="38"/>
  <c r="AW995" i="38"/>
  <c r="AV995" i="38"/>
  <c r="AW59" i="38"/>
  <c r="AV59" i="38"/>
  <c r="AY59" i="38"/>
  <c r="AZ59" i="38"/>
  <c r="AN724" i="38"/>
  <c r="AO724" i="38"/>
  <c r="AZ388" i="38"/>
  <c r="AT376" i="38"/>
  <c r="AW388" i="38"/>
  <c r="AY388" i="38"/>
  <c r="AV388" i="38"/>
  <c r="AO594" i="38"/>
  <c r="AN594" i="38"/>
  <c r="AZ190" i="38"/>
  <c r="AT191" i="38"/>
  <c r="AW190" i="38"/>
  <c r="AY190" i="38"/>
  <c r="AV190" i="38"/>
  <c r="AR145" i="38"/>
  <c r="AO145" i="38"/>
  <c r="AQ145" i="38"/>
  <c r="AN145" i="38"/>
  <c r="AN457" i="38"/>
  <c r="AO457" i="38"/>
  <c r="AR457" i="38"/>
  <c r="AQ457" i="38"/>
  <c r="AQ44" i="38"/>
  <c r="AO44" i="38"/>
  <c r="AN44" i="38"/>
  <c r="AR44" i="38"/>
  <c r="AR258" i="38"/>
  <c r="AQ258" i="38"/>
  <c r="AL244" i="38"/>
  <c r="AN258" i="38"/>
  <c r="AO258" i="38"/>
  <c r="BE58" i="38"/>
  <c r="BD58" i="38"/>
  <c r="BG58" i="38"/>
  <c r="BH58" i="38"/>
  <c r="BE1006" i="38"/>
  <c r="BD1006" i="38"/>
  <c r="AU319" i="38"/>
  <c r="AX79" i="38"/>
  <c r="AV154" i="38"/>
  <c r="AW154" i="38"/>
  <c r="AY154" i="38"/>
  <c r="AZ154" i="38"/>
  <c r="BE757" i="38"/>
  <c r="BG757" i="38"/>
  <c r="BH757" i="38"/>
  <c r="BD757" i="38"/>
  <c r="AV504" i="38"/>
  <c r="AY504" i="38"/>
  <c r="AW504" i="38"/>
  <c r="AZ504" i="38"/>
  <c r="BD1010" i="38"/>
  <c r="BE1010" i="38"/>
  <c r="AO840" i="38"/>
  <c r="AQ840" i="38"/>
  <c r="AR840" i="38"/>
  <c r="AN840" i="38"/>
  <c r="AW303" i="38"/>
  <c r="AV303" i="38"/>
  <c r="AX140" i="38"/>
  <c r="BF191" i="38"/>
  <c r="BE1025" i="38"/>
  <c r="BD1025" i="38"/>
  <c r="AO414" i="38"/>
  <c r="AR414" i="38"/>
  <c r="AN414" i="38"/>
  <c r="AQ414" i="38"/>
  <c r="AQ541" i="38"/>
  <c r="AO541" i="38"/>
  <c r="AR541" i="38"/>
  <c r="AN541" i="38"/>
  <c r="AO493" i="38"/>
  <c r="AN493" i="38"/>
  <c r="AR493" i="38"/>
  <c r="AQ493" i="38"/>
  <c r="AV293" i="38"/>
  <c r="AW293" i="38"/>
  <c r="AV586" i="38"/>
  <c r="AW586" i="38"/>
  <c r="AV728" i="38"/>
  <c r="AW728" i="38"/>
  <c r="BF536" i="38"/>
  <c r="BH71" i="38"/>
  <c r="BD71" i="38"/>
  <c r="BE71" i="38"/>
  <c r="BG71" i="38"/>
  <c r="AY16" i="38"/>
  <c r="AV16" i="38"/>
  <c r="AW16" i="38"/>
  <c r="AZ16" i="38"/>
  <c r="BD567" i="38"/>
  <c r="BE567" i="38"/>
  <c r="AR445" i="38"/>
  <c r="AQ445" i="38"/>
  <c r="AO445" i="38"/>
  <c r="AN445" i="38"/>
  <c r="AO160" i="38"/>
  <c r="AQ160" i="38"/>
  <c r="AN160" i="38"/>
  <c r="AR160" i="38"/>
  <c r="AY199" i="38"/>
  <c r="AV199" i="38"/>
  <c r="AZ199" i="38"/>
  <c r="AW199" i="38"/>
  <c r="AW698" i="38"/>
  <c r="AV698" i="38"/>
  <c r="AN299" i="38"/>
  <c r="AO299" i="38"/>
  <c r="BE948" i="38"/>
  <c r="BD948" i="38"/>
  <c r="AX435" i="38"/>
  <c r="AX196" i="38" s="1"/>
  <c r="BF79" i="38"/>
  <c r="AN816" i="38"/>
  <c r="AQ816" i="38"/>
  <c r="AR816" i="38"/>
  <c r="AO816" i="38"/>
  <c r="AW554" i="38"/>
  <c r="AV554" i="38"/>
  <c r="AN257" i="38"/>
  <c r="AR257" i="38"/>
  <c r="AO257" i="38"/>
  <c r="AQ257" i="38"/>
  <c r="AL243" i="38"/>
  <c r="AQ243" i="38" s="1"/>
  <c r="AO728" i="38"/>
  <c r="AN728" i="38"/>
  <c r="AW478" i="38"/>
  <c r="AV478" i="38"/>
  <c r="AY478" i="38"/>
  <c r="AZ478" i="38"/>
  <c r="BD548" i="38"/>
  <c r="BE548" i="38"/>
  <c r="BH548" i="38"/>
  <c r="BG548" i="38"/>
  <c r="AV639" i="38"/>
  <c r="AW639" i="38"/>
  <c r="AO709" i="38"/>
  <c r="AN709" i="38"/>
  <c r="BE605" i="38"/>
  <c r="BD605" i="38"/>
  <c r="AW1017" i="38"/>
  <c r="AV1017" i="38"/>
  <c r="AW1003" i="38"/>
  <c r="AV1003" i="38"/>
  <c r="AN660" i="38"/>
  <c r="AO660" i="38"/>
  <c r="AO339" i="38"/>
  <c r="AL340" i="38"/>
  <c r="AN339" i="38"/>
  <c r="AV955" i="38"/>
  <c r="AW955" i="38"/>
  <c r="AY541" i="38"/>
  <c r="AV541" i="38"/>
  <c r="AZ541" i="38"/>
  <c r="AW541" i="38"/>
  <c r="BG455" i="38"/>
  <c r="BH455" i="38"/>
  <c r="BE692" i="38"/>
  <c r="BD692" i="38"/>
  <c r="BD749" i="38"/>
  <c r="BE749" i="38"/>
  <c r="AV121" i="38"/>
  <c r="AW121" i="38"/>
  <c r="AY121" i="38"/>
  <c r="AZ121" i="38"/>
  <c r="AM83" i="38"/>
  <c r="AN606" i="38"/>
  <c r="AO606" i="38"/>
  <c r="AN687" i="38"/>
  <c r="AO687" i="38"/>
  <c r="AY49" i="38"/>
  <c r="AV49" i="38"/>
  <c r="AZ49" i="38"/>
  <c r="AW49" i="38"/>
  <c r="AR828" i="38"/>
  <c r="AN828" i="38"/>
  <c r="AQ828" i="38"/>
  <c r="AO828" i="38"/>
  <c r="AU439" i="38"/>
  <c r="AU278" i="38" s="1"/>
  <c r="AZ394" i="38"/>
  <c r="AW394" i="38"/>
  <c r="AV394" i="38"/>
  <c r="AY394" i="38"/>
  <c r="BB347" i="38"/>
  <c r="BD346" i="38"/>
  <c r="BE346" i="38"/>
  <c r="AO132" i="38"/>
  <c r="AQ132" i="38"/>
  <c r="AN132" i="38"/>
  <c r="AL83" i="38"/>
  <c r="AR132" i="38"/>
  <c r="BG208" i="38"/>
  <c r="BD208" i="38"/>
  <c r="BH208" i="38"/>
  <c r="BE208" i="38"/>
  <c r="BG929" i="38"/>
  <c r="BE929" i="38"/>
  <c r="BD929" i="38"/>
  <c r="BH929" i="38"/>
  <c r="AN710" i="38"/>
  <c r="AO710" i="38"/>
  <c r="AY791" i="38"/>
  <c r="AV791" i="38"/>
  <c r="AZ791" i="38"/>
  <c r="AW791" i="38"/>
  <c r="AN1001" i="38"/>
  <c r="AO1001" i="38"/>
  <c r="AU273" i="38"/>
  <c r="AR899" i="38"/>
  <c r="AQ899" i="38"/>
  <c r="AN899" i="38"/>
  <c r="AO899" i="38"/>
  <c r="AN49" i="38"/>
  <c r="AQ49" i="38"/>
  <c r="AO49" i="38"/>
  <c r="AR49" i="38"/>
  <c r="AW597" i="38"/>
  <c r="AV597" i="38"/>
  <c r="AN92" i="38"/>
  <c r="AQ92" i="38"/>
  <c r="AO92" i="38"/>
  <c r="AR92" i="38"/>
  <c r="BC443" i="38"/>
  <c r="BC341" i="38" s="1"/>
  <c r="AV120" i="38"/>
  <c r="AW120" i="38"/>
  <c r="AY120" i="38"/>
  <c r="AZ120" i="38"/>
  <c r="BE170" i="38"/>
  <c r="BD170" i="38"/>
  <c r="BG170" i="38"/>
  <c r="BH170" i="38"/>
  <c r="AO961" i="38"/>
  <c r="AN961" i="38"/>
  <c r="BD215" i="38"/>
  <c r="BC246" i="38"/>
  <c r="BD246" i="38" s="1"/>
  <c r="BE215" i="38"/>
  <c r="AZ260" i="38"/>
  <c r="AT246" i="38"/>
  <c r="AV260" i="38"/>
  <c r="AY260" i="38"/>
  <c r="AW260" i="38"/>
  <c r="AN739" i="38"/>
  <c r="AO739" i="38"/>
  <c r="AR148" i="38"/>
  <c r="AO148" i="38"/>
  <c r="AN148" i="38"/>
  <c r="AQ148" i="38"/>
  <c r="AN564" i="38"/>
  <c r="AO564" i="38"/>
  <c r="AV186" i="38"/>
  <c r="AZ186" i="38"/>
  <c r="AY186" i="38"/>
  <c r="AW186" i="38"/>
  <c r="AO294" i="38"/>
  <c r="AN294" i="38"/>
  <c r="AW529" i="38"/>
  <c r="AV529" i="38"/>
  <c r="AO721" i="38"/>
  <c r="AN721" i="38"/>
  <c r="BC96" i="38"/>
  <c r="AV624" i="38"/>
  <c r="AW624" i="38"/>
  <c r="AO485" i="38"/>
  <c r="AR485" i="38"/>
  <c r="AN485" i="38"/>
  <c r="AQ485" i="38"/>
  <c r="AW973" i="38"/>
  <c r="AV973" i="38"/>
  <c r="BD858" i="38"/>
  <c r="BH858" i="38"/>
  <c r="BG858" i="38"/>
  <c r="BE858" i="38"/>
  <c r="BH26" i="38"/>
  <c r="BE26" i="38"/>
  <c r="BD26" i="38"/>
  <c r="BG26" i="38"/>
  <c r="BD359" i="38"/>
  <c r="BB358" i="38"/>
  <c r="BH359" i="38"/>
  <c r="BE359" i="38"/>
  <c r="BG359" i="38"/>
  <c r="AP191" i="38"/>
  <c r="AM312" i="38"/>
  <c r="AY427" i="38"/>
  <c r="AV427" i="38"/>
  <c r="AZ427" i="38"/>
  <c r="AW427" i="38"/>
  <c r="AV685" i="38"/>
  <c r="AW685" i="38"/>
  <c r="BH432" i="38"/>
  <c r="BG432" i="38"/>
  <c r="BD432" i="38"/>
  <c r="BE432" i="38"/>
  <c r="AN677" i="38"/>
  <c r="AO677" i="38"/>
  <c r="AW688" i="38"/>
  <c r="AV688" i="38"/>
  <c r="AN532" i="38"/>
  <c r="AO532" i="38"/>
  <c r="BG66" i="38"/>
  <c r="BH66" i="38"/>
  <c r="BD66" i="38"/>
  <c r="BE66" i="38"/>
  <c r="AO331" i="38"/>
  <c r="AN331" i="38"/>
  <c r="AN143" i="38"/>
  <c r="AQ143" i="38"/>
  <c r="AO143" i="38"/>
  <c r="AR143" i="38"/>
  <c r="AX246" i="38"/>
  <c r="AN540" i="38"/>
  <c r="AR540" i="38"/>
  <c r="AO540" i="38"/>
  <c r="AQ540" i="38"/>
  <c r="AO649" i="38"/>
  <c r="AN649" i="38"/>
  <c r="AN131" i="38"/>
  <c r="AR131" i="38"/>
  <c r="AQ131" i="38"/>
  <c r="AO131" i="38"/>
  <c r="BC240" i="38"/>
  <c r="BD200" i="38"/>
  <c r="BE200" i="38"/>
  <c r="BH200" i="38"/>
  <c r="BG200" i="38"/>
  <c r="AQ119" i="38"/>
  <c r="AN119" i="38"/>
  <c r="AO119" i="38"/>
  <c r="AR119" i="38"/>
  <c r="BD974" i="38"/>
  <c r="BE974" i="38"/>
  <c r="AT358" i="38"/>
  <c r="AW359" i="38"/>
  <c r="AZ359" i="38"/>
  <c r="AV359" i="38"/>
  <c r="AY359" i="38"/>
  <c r="AO694" i="38"/>
  <c r="AN694" i="38"/>
  <c r="BF1459" i="38"/>
  <c r="BF1466" i="38"/>
  <c r="BG1466" i="38" s="1"/>
  <c r="AV699" i="38"/>
  <c r="AW699" i="38"/>
  <c r="AM249" i="38"/>
  <c r="AM536" i="38"/>
  <c r="AY822" i="38"/>
  <c r="AZ822" i="38"/>
  <c r="AW822" i="38"/>
  <c r="AV822" i="38"/>
  <c r="BE329" i="38"/>
  <c r="BD329" i="38"/>
  <c r="BB320" i="38"/>
  <c r="AQ361" i="38"/>
  <c r="AR361" i="38"/>
  <c r="AO361" i="38"/>
  <c r="AN361" i="38"/>
  <c r="BE493" i="38"/>
  <c r="BG493" i="38"/>
  <c r="BD493" i="38"/>
  <c r="BH493" i="38"/>
  <c r="AW1018" i="38"/>
  <c r="AV1018" i="38"/>
  <c r="AZ774" i="38"/>
  <c r="AW774" i="38"/>
  <c r="AV774" i="38"/>
  <c r="AY774" i="38"/>
  <c r="AU177" i="38"/>
  <c r="AW1050" i="38"/>
  <c r="AV1050" i="38"/>
  <c r="AV811" i="38"/>
  <c r="AZ811" i="38"/>
  <c r="AW811" i="38"/>
  <c r="AY811" i="38"/>
  <c r="AQ110" i="38"/>
  <c r="AO110" i="38"/>
  <c r="AN110" i="38"/>
  <c r="AR110" i="38"/>
  <c r="AY91" i="38"/>
  <c r="AZ91" i="38"/>
  <c r="AV91" i="38"/>
  <c r="AW91" i="38"/>
  <c r="AR905" i="38"/>
  <c r="AQ905" i="38"/>
  <c r="AO905" i="38"/>
  <c r="AN905" i="38"/>
  <c r="AX18" i="38"/>
  <c r="BD556" i="38"/>
  <c r="BE556" i="38"/>
  <c r="AM202" i="38"/>
  <c r="BD568" i="38"/>
  <c r="BE568" i="38"/>
  <c r="AW732" i="38"/>
  <c r="AV732" i="38"/>
  <c r="AN308" i="38"/>
  <c r="AO308" i="38"/>
  <c r="BD976" i="38"/>
  <c r="BE976" i="38"/>
  <c r="AV711" i="38"/>
  <c r="AW711" i="38"/>
  <c r="AN695" i="38"/>
  <c r="AO695" i="38"/>
  <c r="AV959" i="38"/>
  <c r="AW959" i="38"/>
  <c r="BE183" i="38"/>
  <c r="BD183" i="38"/>
  <c r="BG183" i="38"/>
  <c r="BB179" i="38"/>
  <c r="BH183" i="38"/>
  <c r="AY356" i="38"/>
  <c r="AZ356" i="38"/>
  <c r="AV356" i="38"/>
  <c r="AW356" i="38"/>
  <c r="AW964" i="38"/>
  <c r="AV964" i="38"/>
  <c r="AY170" i="38"/>
  <c r="AW170" i="38"/>
  <c r="AV170" i="38"/>
  <c r="AZ170" i="38"/>
  <c r="BH883" i="38"/>
  <c r="BD883" i="38"/>
  <c r="BG883" i="38"/>
  <c r="BE883" i="38"/>
  <c r="AW992" i="38"/>
  <c r="AV992" i="38"/>
  <c r="AQ256" i="38"/>
  <c r="AR256" i="38"/>
  <c r="AO256" i="38"/>
  <c r="AL242" i="38"/>
  <c r="AN256" i="38"/>
  <c r="AR214" i="38"/>
  <c r="AQ214" i="38"/>
  <c r="AO214" i="38"/>
  <c r="AN214" i="38"/>
  <c r="AN1056" i="38"/>
  <c r="AO1056" i="38"/>
  <c r="BD707" i="38"/>
  <c r="BE707" i="38"/>
  <c r="AM314" i="38"/>
  <c r="AV592" i="38"/>
  <c r="AW592" i="38"/>
  <c r="AV371" i="38"/>
  <c r="AT372" i="38"/>
  <c r="AW371" i="38"/>
  <c r="AW838" i="38"/>
  <c r="AV838" i="38"/>
  <c r="AY838" i="38"/>
  <c r="AZ838" i="38"/>
  <c r="AP242" i="38"/>
  <c r="BF242" i="38"/>
  <c r="BG242" i="38" s="1"/>
  <c r="AN1031" i="38"/>
  <c r="AO1031" i="38"/>
  <c r="BH887" i="38"/>
  <c r="BE887" i="38"/>
  <c r="BG887" i="38"/>
  <c r="BD887" i="38"/>
  <c r="AO586" i="38"/>
  <c r="AN586" i="38"/>
  <c r="AN394" i="38"/>
  <c r="AQ394" i="38"/>
  <c r="AO394" i="38"/>
  <c r="AR394" i="38"/>
  <c r="AT412" i="38"/>
  <c r="AV411" i="38"/>
  <c r="AW411" i="38"/>
  <c r="AN270" i="38"/>
  <c r="AO270" i="38"/>
  <c r="AO531" i="38"/>
  <c r="AN531" i="38"/>
  <c r="BF250" i="38"/>
  <c r="AV748" i="38"/>
  <c r="AW748" i="38"/>
  <c r="AP240" i="38"/>
  <c r="AO199" i="38"/>
  <c r="AQ199" i="38"/>
  <c r="AN199" i="38"/>
  <c r="AR199" i="38"/>
  <c r="AN1072" i="38"/>
  <c r="AO1072" i="38"/>
  <c r="BE1048" i="38"/>
  <c r="BD1048" i="38"/>
  <c r="BD653" i="38"/>
  <c r="BE653" i="38"/>
  <c r="BD720" i="38"/>
  <c r="BE720" i="38"/>
  <c r="AN956" i="38"/>
  <c r="AO956" i="38"/>
  <c r="AO276" i="38"/>
  <c r="AN276" i="38"/>
  <c r="AL277" i="38"/>
  <c r="BE466" i="38"/>
  <c r="BD466" i="38"/>
  <c r="BG466" i="38"/>
  <c r="BH466" i="38"/>
  <c r="AW615" i="38"/>
  <c r="AV615" i="38"/>
  <c r="AU244" i="38"/>
  <c r="AV601" i="38"/>
  <c r="AW601" i="38"/>
  <c r="AV231" i="38"/>
  <c r="AW231" i="38"/>
  <c r="AY231" i="38"/>
  <c r="AZ231" i="38"/>
  <c r="AV674" i="38"/>
  <c r="AW674" i="38"/>
  <c r="AO604" i="38"/>
  <c r="AN604" i="38"/>
  <c r="AQ418" i="38"/>
  <c r="AR418" i="38"/>
  <c r="AN418" i="38"/>
  <c r="AO418" i="38"/>
  <c r="AL419" i="38"/>
  <c r="AN419" i="38" s="1"/>
  <c r="AX250" i="38"/>
  <c r="AZ452" i="38"/>
  <c r="AW452" i="38"/>
  <c r="AV452" i="38"/>
  <c r="AY452" i="38"/>
  <c r="BD294" i="38"/>
  <c r="BE294" i="38"/>
  <c r="AO1075" i="38"/>
  <c r="AN1075" i="38"/>
  <c r="AN702" i="38"/>
  <c r="AO702" i="38"/>
  <c r="AO609" i="38"/>
  <c r="AN609" i="38"/>
  <c r="AO461" i="38"/>
  <c r="AQ461" i="38"/>
  <c r="AN461" i="38"/>
  <c r="AR461" i="38"/>
  <c r="AW1051" i="38"/>
  <c r="AV1051" i="38"/>
  <c r="AV604" i="38"/>
  <c r="AW604" i="38"/>
  <c r="AW483" i="38"/>
  <c r="AY483" i="38"/>
  <c r="AZ483" i="38"/>
  <c r="AV483" i="38"/>
  <c r="BG219" i="38"/>
  <c r="BE219" i="38"/>
  <c r="BH219" i="38"/>
  <c r="BD219" i="38"/>
  <c r="AO546" i="38"/>
  <c r="AR546" i="38"/>
  <c r="AQ546" i="38"/>
  <c r="AN546" i="38"/>
  <c r="AN280" i="38"/>
  <c r="AO280" i="38"/>
  <c r="BF443" i="38"/>
  <c r="BF341" i="38" s="1"/>
  <c r="AO655" i="38"/>
  <c r="AN655" i="38"/>
  <c r="AO571" i="38"/>
  <c r="AN571" i="38"/>
  <c r="BE954" i="38"/>
  <c r="BD954" i="38"/>
  <c r="AV198" i="38"/>
  <c r="AW198" i="38"/>
  <c r="AZ198" i="38"/>
  <c r="AY198" i="38"/>
  <c r="AO27" i="38"/>
  <c r="AQ27" i="38"/>
  <c r="AR27" i="38"/>
  <c r="AN27" i="38"/>
  <c r="AW916" i="38"/>
  <c r="AV916" i="38"/>
  <c r="AY916" i="38"/>
  <c r="AZ916" i="38"/>
  <c r="AM354" i="38"/>
  <c r="AV589" i="38"/>
  <c r="AW589" i="38"/>
  <c r="BE648" i="38"/>
  <c r="BD648" i="38"/>
  <c r="BF1465" i="38"/>
  <c r="BF1458" i="38" s="1"/>
  <c r="BF1456" i="38" s="1"/>
  <c r="BF1457" i="38" s="1"/>
  <c r="AZ210" i="38"/>
  <c r="AW210" i="38"/>
  <c r="AY210" i="38"/>
  <c r="AV210" i="38"/>
  <c r="AW706" i="38"/>
  <c r="AV706" i="38"/>
  <c r="AU375" i="38"/>
  <c r="AP252" i="38"/>
  <c r="AX1465" i="38"/>
  <c r="AO822" i="38"/>
  <c r="AQ822" i="38"/>
  <c r="AR822" i="38"/>
  <c r="AN822" i="38"/>
  <c r="AY514" i="38"/>
  <c r="AW514" i="38"/>
  <c r="AZ514" i="38"/>
  <c r="AV514" i="38"/>
  <c r="AW983" i="38"/>
  <c r="AV983" i="38"/>
  <c r="BE706" i="38"/>
  <c r="BD706" i="38"/>
  <c r="BE755" i="38"/>
  <c r="BD755" i="38"/>
  <c r="BE310" i="38"/>
  <c r="BD310" i="38"/>
  <c r="BB311" i="38"/>
  <c r="BD311" i="38" s="1"/>
  <c r="BD584" i="38"/>
  <c r="BE584" i="38"/>
  <c r="BF136" i="38"/>
  <c r="BE491" i="38"/>
  <c r="BD491" i="38"/>
  <c r="BG491" i="38"/>
  <c r="BH491" i="38"/>
  <c r="BD588" i="38"/>
  <c r="BE588" i="38"/>
  <c r="AV1064" i="38"/>
  <c r="AW1064" i="38"/>
  <c r="BE844" i="38"/>
  <c r="BD844" i="38"/>
  <c r="BH844" i="38"/>
  <c r="BG844" i="38"/>
  <c r="BD937" i="38"/>
  <c r="BE937" i="38"/>
  <c r="BG937" i="38"/>
  <c r="BH937" i="38"/>
  <c r="AN780" i="38"/>
  <c r="AQ780" i="38"/>
  <c r="AO780" i="38"/>
  <c r="AR780" i="38"/>
  <c r="BF1455" i="38"/>
  <c r="BC29" i="38"/>
  <c r="AN324" i="38"/>
  <c r="AO324" i="38"/>
  <c r="AL315" i="38"/>
  <c r="AN855" i="38"/>
  <c r="AR855" i="38"/>
  <c r="AO855" i="38"/>
  <c r="AQ855" i="38"/>
  <c r="AN802" i="38"/>
  <c r="AO802" i="38"/>
  <c r="AQ802" i="38"/>
  <c r="AR802" i="38"/>
  <c r="AW710" i="38"/>
  <c r="AV710" i="38"/>
  <c r="AZ459" i="38"/>
  <c r="AV459" i="38"/>
  <c r="AW459" i="38"/>
  <c r="AY459" i="38"/>
  <c r="BE607" i="38"/>
  <c r="BD607" i="38"/>
  <c r="BC85" i="38"/>
  <c r="AW635" i="38"/>
  <c r="AV635" i="38"/>
  <c r="AO958" i="38"/>
  <c r="AN958" i="38"/>
  <c r="AV787" i="38"/>
  <c r="AW787" i="38"/>
  <c r="AZ787" i="38"/>
  <c r="AY787" i="38"/>
  <c r="BC249" i="38"/>
  <c r="AO700" i="38"/>
  <c r="AN700" i="38"/>
  <c r="AO1032" i="38"/>
  <c r="AN1032" i="38"/>
  <c r="AU336" i="38"/>
  <c r="AW863" i="38"/>
  <c r="AV863" i="38"/>
  <c r="AY863" i="38"/>
  <c r="AZ863" i="38"/>
  <c r="AN1021" i="38"/>
  <c r="AO1021" i="38"/>
  <c r="AO326" i="38"/>
  <c r="AN326" i="38"/>
  <c r="AL317" i="38"/>
  <c r="AW1022" i="38"/>
  <c r="AV1022" i="38"/>
  <c r="AZ539" i="38"/>
  <c r="AV539" i="38"/>
  <c r="AY539" i="38"/>
  <c r="AW539" i="38"/>
  <c r="BE980" i="38"/>
  <c r="BD980" i="38"/>
  <c r="AO751" i="38"/>
  <c r="AN751" i="38"/>
  <c r="AZ812" i="38"/>
  <c r="AW812" i="38"/>
  <c r="AV812" i="38"/>
  <c r="AY812" i="38"/>
  <c r="AN803" i="38"/>
  <c r="AQ803" i="38"/>
  <c r="AO803" i="38"/>
  <c r="AR803" i="38"/>
  <c r="AW796" i="38"/>
  <c r="AY796" i="38"/>
  <c r="AV796" i="38"/>
  <c r="AZ796" i="38"/>
  <c r="BD396" i="38"/>
  <c r="BH396" i="38"/>
  <c r="BG396" i="38"/>
  <c r="BE396" i="38"/>
  <c r="AV669" i="38"/>
  <c r="AW669" i="38"/>
  <c r="AN590" i="38"/>
  <c r="AO590" i="38"/>
  <c r="AZ921" i="38"/>
  <c r="AY921" i="38"/>
  <c r="AV921" i="38"/>
  <c r="AW921" i="38"/>
  <c r="BE676" i="38"/>
  <c r="BD676" i="38"/>
  <c r="AZ15" i="38"/>
  <c r="AW15" i="38"/>
  <c r="AV15" i="38"/>
  <c r="AY15" i="38"/>
  <c r="AW547" i="38"/>
  <c r="AY547" i="38"/>
  <c r="AZ547" i="38"/>
  <c r="AV547" i="38"/>
  <c r="BD654" i="38"/>
  <c r="BE654" i="38"/>
  <c r="AW681" i="38"/>
  <c r="AV681" i="38"/>
  <c r="AY506" i="38"/>
  <c r="AW506" i="38"/>
  <c r="AZ506" i="38"/>
  <c r="AV506" i="38"/>
  <c r="AM96" i="38"/>
  <c r="AW274" i="38"/>
  <c r="AV274" i="38"/>
  <c r="AO792" i="38"/>
  <c r="AR792" i="38"/>
  <c r="AN792" i="38"/>
  <c r="AQ792" i="38"/>
  <c r="BE529" i="38"/>
  <c r="BD529" i="38"/>
  <c r="AP249" i="38"/>
  <c r="BE789" i="38"/>
  <c r="BH789" i="38"/>
  <c r="BD789" i="38"/>
  <c r="BG789" i="38"/>
  <c r="BE664" i="38"/>
  <c r="BD664" i="38"/>
  <c r="AV1099" i="38"/>
  <c r="AW1099" i="38"/>
  <c r="AN755" i="38"/>
  <c r="AO755" i="38"/>
  <c r="AM126" i="38"/>
  <c r="AO602" i="38"/>
  <c r="AN602" i="38"/>
  <c r="AV729" i="38"/>
  <c r="AW729" i="38"/>
  <c r="AU379" i="38"/>
  <c r="AO639" i="38"/>
  <c r="AN639" i="38"/>
  <c r="AN561" i="38"/>
  <c r="AO561" i="38"/>
  <c r="AP786" i="38"/>
  <c r="AR786" i="38" s="1"/>
  <c r="AV52" i="38"/>
  <c r="AW52" i="38"/>
  <c r="AY52" i="38"/>
  <c r="AZ52" i="38"/>
  <c r="AV991" i="38"/>
  <c r="AW991" i="38"/>
  <c r="AX251" i="38"/>
  <c r="BD365" i="38"/>
  <c r="BG365" i="38"/>
  <c r="BE365" i="38"/>
  <c r="BH365" i="38"/>
  <c r="AP1455" i="38"/>
  <c r="BE949" i="38"/>
  <c r="BD949" i="38"/>
  <c r="AV1067" i="38"/>
  <c r="AW1067" i="38"/>
  <c r="AQ220" i="38"/>
  <c r="AN220" i="38"/>
  <c r="AR220" i="38"/>
  <c r="AO220" i="38"/>
  <c r="AV339" i="38"/>
  <c r="AT340" i="38"/>
  <c r="AW339" i="38"/>
  <c r="AY866" i="38"/>
  <c r="AW866" i="38"/>
  <c r="AZ866" i="38"/>
  <c r="AV866" i="38"/>
  <c r="AW776" i="38"/>
  <c r="AY776" i="38"/>
  <c r="AV776" i="38"/>
  <c r="AZ776" i="38"/>
  <c r="BC81" i="38"/>
  <c r="BE557" i="38"/>
  <c r="BD557" i="38"/>
  <c r="AL447" i="38"/>
  <c r="AR446" i="38"/>
  <c r="AO446" i="38"/>
  <c r="AN446" i="38"/>
  <c r="AQ446" i="38"/>
  <c r="BD349" i="38"/>
  <c r="BE349" i="38"/>
  <c r="AO484" i="38"/>
  <c r="AR484" i="38"/>
  <c r="AQ484" i="38"/>
  <c r="AN484" i="38"/>
  <c r="BG161" i="38"/>
  <c r="BD161" i="38"/>
  <c r="BH161" i="38"/>
  <c r="BE161" i="38"/>
  <c r="AW643" i="38"/>
  <c r="AV643" i="38"/>
  <c r="BG416" i="38"/>
  <c r="BD416" i="38"/>
  <c r="BE416" i="38"/>
  <c r="BH416" i="38"/>
  <c r="BH203" i="38"/>
  <c r="BD203" i="38"/>
  <c r="BE203" i="38"/>
  <c r="BG203" i="38"/>
  <c r="AO1013" i="38"/>
  <c r="AN1013" i="38"/>
  <c r="AN495" i="38"/>
  <c r="AO495" i="38"/>
  <c r="AR495" i="38"/>
  <c r="AQ495" i="38"/>
  <c r="AR26" i="38"/>
  <c r="AN26" i="38"/>
  <c r="AQ26" i="38"/>
  <c r="AO26" i="38"/>
  <c r="BD628" i="38"/>
  <c r="BE628" i="38"/>
  <c r="BD634" i="38"/>
  <c r="BE634" i="38"/>
  <c r="AZ106" i="38"/>
  <c r="AY106" i="38"/>
  <c r="AV106" i="38"/>
  <c r="AW106" i="38"/>
  <c r="AT80" i="38"/>
  <c r="AN988" i="38"/>
  <c r="AO988" i="38"/>
  <c r="AN679" i="38"/>
  <c r="AO679" i="38"/>
  <c r="AR64" i="38"/>
  <c r="AN64" i="38"/>
  <c r="AO64" i="38"/>
  <c r="AQ64" i="38"/>
  <c r="AO466" i="38"/>
  <c r="AQ466" i="38"/>
  <c r="AN466" i="38"/>
  <c r="AR466" i="38"/>
  <c r="BD617" i="38"/>
  <c r="BE617" i="38"/>
  <c r="AO624" i="38"/>
  <c r="AN624" i="38"/>
  <c r="BD606" i="38"/>
  <c r="BE606" i="38"/>
  <c r="BH428" i="38"/>
  <c r="BD428" i="38"/>
  <c r="BE428" i="38"/>
  <c r="BG428" i="38"/>
  <c r="AR791" i="38"/>
  <c r="AQ791" i="38"/>
  <c r="AO791" i="38"/>
  <c r="AN791" i="38"/>
  <c r="BG838" i="38"/>
  <c r="BH838" i="38"/>
  <c r="BE838" i="38"/>
  <c r="BD838" i="38"/>
  <c r="BD1016" i="38"/>
  <c r="BE1016" i="38"/>
  <c r="BE701" i="38"/>
  <c r="BD701" i="38"/>
  <c r="AN338" i="38"/>
  <c r="AO338" i="38"/>
  <c r="AQ837" i="38"/>
  <c r="AR837" i="38"/>
  <c r="AO837" i="38"/>
  <c r="AN837" i="38"/>
  <c r="AN620" i="38"/>
  <c r="AO620" i="38"/>
  <c r="AN304" i="38"/>
  <c r="AO304" i="38"/>
  <c r="AZ889" i="38"/>
  <c r="AY889" i="38"/>
  <c r="AW889" i="38"/>
  <c r="AV889" i="38"/>
  <c r="AU317" i="38"/>
  <c r="BH223" i="38"/>
  <c r="BE223" i="38"/>
  <c r="BD223" i="38"/>
  <c r="BG223" i="38"/>
  <c r="AV950" i="38"/>
  <c r="AW950" i="38"/>
  <c r="BD573" i="38"/>
  <c r="BE573" i="38"/>
  <c r="AW849" i="38"/>
  <c r="AV849" i="38"/>
  <c r="AZ849" i="38"/>
  <c r="AY849" i="38"/>
  <c r="AZ34" i="38"/>
  <c r="AV34" i="38"/>
  <c r="AY34" i="38"/>
  <c r="AW34" i="38"/>
  <c r="BE815" i="38"/>
  <c r="BG815" i="38"/>
  <c r="BH815" i="38"/>
  <c r="BD815" i="38"/>
  <c r="BF375" i="38"/>
  <c r="BG375" i="38" s="1"/>
  <c r="AV623" i="38"/>
  <c r="AW623" i="38"/>
  <c r="AZ470" i="38"/>
  <c r="AV470" i="38"/>
  <c r="AW470" i="38"/>
  <c r="AY470" i="38"/>
  <c r="BH483" i="38"/>
  <c r="BE483" i="38"/>
  <c r="BD483" i="38"/>
  <c r="BG483" i="38"/>
  <c r="BE146" i="38"/>
  <c r="BD146" i="38"/>
  <c r="BG146" i="38"/>
  <c r="BH146" i="38"/>
  <c r="BE703" i="38"/>
  <c r="BD703" i="38"/>
  <c r="BD613" i="38"/>
  <c r="BE613" i="38"/>
  <c r="AQ168" i="38"/>
  <c r="AR168" i="38"/>
  <c r="AN168" i="38"/>
  <c r="AO168" i="38"/>
  <c r="AN1030" i="38"/>
  <c r="AO1030" i="38"/>
  <c r="BE168" i="38"/>
  <c r="BD168" i="38"/>
  <c r="AN255" i="38"/>
  <c r="AL241" i="38"/>
  <c r="AQ255" i="38"/>
  <c r="AO255" i="38"/>
  <c r="AR255" i="38"/>
  <c r="BD281" i="38"/>
  <c r="BE281" i="38"/>
  <c r="AV828" i="38"/>
  <c r="AW828" i="38"/>
  <c r="AZ828" i="38"/>
  <c r="AY828" i="38"/>
  <c r="BF243" i="38"/>
  <c r="AV693" i="38"/>
  <c r="AW693" i="38"/>
  <c r="AV905" i="38"/>
  <c r="AW905" i="38"/>
  <c r="AZ905" i="38"/>
  <c r="AY905" i="38"/>
  <c r="BG394" i="38"/>
  <c r="BE394" i="38"/>
  <c r="BD394" i="38"/>
  <c r="BH394" i="38"/>
  <c r="AP179" i="38"/>
  <c r="BF124" i="38"/>
  <c r="BF81" i="38"/>
  <c r="BF363" i="38"/>
  <c r="AY103" i="38"/>
  <c r="AZ103" i="38"/>
  <c r="AW103" i="38"/>
  <c r="AV103" i="38"/>
  <c r="AO692" i="38"/>
  <c r="AN692" i="38"/>
  <c r="BE662" i="38"/>
  <c r="BD662" i="38"/>
  <c r="AO777" i="38"/>
  <c r="AQ777" i="38"/>
  <c r="AN777" i="38"/>
  <c r="AR777" i="38"/>
  <c r="AW307" i="38"/>
  <c r="AV307" i="38"/>
  <c r="AV720" i="38"/>
  <c r="AW720" i="38"/>
  <c r="BF85" i="38"/>
  <c r="AV743" i="38"/>
  <c r="AW743" i="38"/>
  <c r="AO438" i="38"/>
  <c r="AL439" i="38"/>
  <c r="AQ438" i="38"/>
  <c r="AN438" i="38"/>
  <c r="AR438" i="38"/>
  <c r="AW26" i="38"/>
  <c r="AZ26" i="38"/>
  <c r="AY26" i="38"/>
  <c r="AV26" i="38"/>
  <c r="AQ776" i="38"/>
  <c r="AN776" i="38"/>
  <c r="AO776" i="38"/>
  <c r="AR776" i="38"/>
  <c r="BE1015" i="38"/>
  <c r="BD1015" i="38"/>
  <c r="AZ943" i="38"/>
  <c r="AY943" i="38"/>
  <c r="AW943" i="38"/>
  <c r="AV943" i="38"/>
  <c r="AN996" i="38"/>
  <c r="AO996" i="38"/>
  <c r="AV333" i="38"/>
  <c r="AW333" i="38"/>
  <c r="AV213" i="38"/>
  <c r="AW213" i="38"/>
  <c r="AY213" i="38"/>
  <c r="AZ213" i="38"/>
  <c r="BH913" i="38"/>
  <c r="BD913" i="38"/>
  <c r="BE913" i="38"/>
  <c r="BG913" i="38"/>
  <c r="AP378" i="38"/>
  <c r="AP385" i="38"/>
  <c r="AP377" i="38" s="1"/>
  <c r="AO507" i="38"/>
  <c r="AN507" i="38"/>
  <c r="AR507" i="38"/>
  <c r="AQ507" i="38"/>
  <c r="AY237" i="38"/>
  <c r="AV237" i="38"/>
  <c r="AW237" i="38"/>
  <c r="AZ237" i="38"/>
  <c r="AQ859" i="38"/>
  <c r="AR859" i="38"/>
  <c r="AO859" i="38"/>
  <c r="AN859" i="38"/>
  <c r="AX439" i="38"/>
  <c r="AX278" i="38" s="1"/>
  <c r="AR764" i="38"/>
  <c r="AO764" i="38"/>
  <c r="AQ764" i="38"/>
  <c r="AN764" i="38"/>
  <c r="AY848" i="38"/>
  <c r="AV848" i="38"/>
  <c r="AZ848" i="38"/>
  <c r="AW848" i="38"/>
  <c r="AW691" i="38"/>
  <c r="AV691" i="38"/>
  <c r="BE936" i="38"/>
  <c r="BH936" i="38"/>
  <c r="BG936" i="38"/>
  <c r="BD936" i="38"/>
  <c r="BD647" i="38"/>
  <c r="BE647" i="38"/>
  <c r="AN591" i="38"/>
  <c r="AO591" i="38"/>
  <c r="BD604" i="38"/>
  <c r="BE604" i="38"/>
  <c r="BE564" i="38"/>
  <c r="BD564" i="38"/>
  <c r="BE510" i="38"/>
  <c r="BG510" i="38"/>
  <c r="BH510" i="38"/>
  <c r="BD510" i="38"/>
  <c r="AW687" i="38"/>
  <c r="AV687" i="38"/>
  <c r="AN805" i="38"/>
  <c r="AQ805" i="38"/>
  <c r="AR805" i="38"/>
  <c r="AO805" i="38"/>
  <c r="BH91" i="38"/>
  <c r="BD91" i="38"/>
  <c r="BE91" i="38"/>
  <c r="BG91" i="38"/>
  <c r="AW211" i="38"/>
  <c r="AV211" i="38"/>
  <c r="AZ211" i="38"/>
  <c r="AY211" i="38"/>
  <c r="BE762" i="38"/>
  <c r="BH762" i="38"/>
  <c r="BG762" i="38"/>
  <c r="BD762" i="38"/>
  <c r="AQ35" i="38"/>
  <c r="AL36" i="38"/>
  <c r="AR35" i="38"/>
  <c r="AN35" i="38"/>
  <c r="AO35" i="38"/>
  <c r="AQ226" i="38"/>
  <c r="AR226" i="38"/>
  <c r="AO226" i="38"/>
  <c r="AN226" i="38"/>
  <c r="BG104" i="38"/>
  <c r="BE104" i="38"/>
  <c r="BD104" i="38"/>
  <c r="BH104" i="38"/>
  <c r="BH28" i="38"/>
  <c r="BD28" i="38"/>
  <c r="BG28" i="38"/>
  <c r="BE28" i="38"/>
  <c r="BB29" i="38"/>
  <c r="BD29" i="38" s="1"/>
  <c r="AX244" i="38"/>
  <c r="AY244" i="38" s="1"/>
  <c r="AR59" i="38"/>
  <c r="AN59" i="38"/>
  <c r="AQ59" i="38"/>
  <c r="AO59" i="38"/>
  <c r="BD1050" i="38"/>
  <c r="BE1050" i="38"/>
  <c r="BB336" i="38"/>
  <c r="BD336" i="38" s="1"/>
  <c r="BE335" i="38"/>
  <c r="BD335" i="38"/>
  <c r="AV1013" i="38"/>
  <c r="AW1013" i="38"/>
  <c r="BE747" i="38"/>
  <c r="BD747" i="38"/>
  <c r="AU136" i="38"/>
  <c r="AM419" i="38"/>
  <c r="BE733" i="38"/>
  <c r="BD733" i="38"/>
  <c r="AW479" i="38"/>
  <c r="AY479" i="38"/>
  <c r="AZ479" i="38"/>
  <c r="AV479" i="38"/>
  <c r="AU140" i="38"/>
  <c r="AO924" i="38"/>
  <c r="AN924" i="38"/>
  <c r="AQ924" i="38"/>
  <c r="AR924" i="38"/>
  <c r="BF248" i="38"/>
  <c r="AZ809" i="38"/>
  <c r="AY809" i="38"/>
  <c r="AW809" i="38"/>
  <c r="AV809" i="38"/>
  <c r="AM87" i="38"/>
  <c r="AY44" i="38"/>
  <c r="AV44" i="38"/>
  <c r="AZ44" i="38"/>
  <c r="AW44" i="38"/>
  <c r="AO729" i="38"/>
  <c r="AN729" i="38"/>
  <c r="AV1053" i="38"/>
  <c r="AW1053" i="38"/>
  <c r="BG798" i="38"/>
  <c r="BE798" i="38"/>
  <c r="BD798" i="38"/>
  <c r="BH798" i="38"/>
  <c r="AN556" i="38"/>
  <c r="AO556" i="38"/>
  <c r="AQ365" i="38"/>
  <c r="AN365" i="38"/>
  <c r="AO365" i="38"/>
  <c r="AR365" i="38"/>
  <c r="AO557" i="38"/>
  <c r="AN557" i="38"/>
  <c r="BH837" i="38"/>
  <c r="BG837" i="38"/>
  <c r="BD837" i="38"/>
  <c r="BE837" i="38"/>
  <c r="BE994" i="38"/>
  <c r="BD994" i="38"/>
  <c r="BF251" i="38"/>
  <c r="BG251" i="38" s="1"/>
  <c r="BH934" i="38"/>
  <c r="BE934" i="38"/>
  <c r="BG934" i="38"/>
  <c r="BD934" i="38"/>
  <c r="BD995" i="38"/>
  <c r="BE995" i="38"/>
  <c r="AO720" i="38"/>
  <c r="AN720" i="38"/>
  <c r="AN281" i="38"/>
  <c r="AO281" i="38"/>
  <c r="BF543" i="38"/>
  <c r="AZ510" i="38"/>
  <c r="AV510" i="38"/>
  <c r="AW510" i="38"/>
  <c r="AY510" i="38"/>
  <c r="AN749" i="38"/>
  <c r="AO749" i="38"/>
  <c r="AM241" i="38"/>
  <c r="BE553" i="38"/>
  <c r="BD553" i="38"/>
  <c r="AL378" i="38"/>
  <c r="AN386" i="38"/>
  <c r="AO386" i="38"/>
  <c r="AR386" i="38"/>
  <c r="AQ386" i="38"/>
  <c r="AL385" i="38"/>
  <c r="BE857" i="38"/>
  <c r="BH857" i="38"/>
  <c r="BG857" i="38"/>
  <c r="BD857" i="38"/>
  <c r="AO770" i="38"/>
  <c r="AR770" i="38"/>
  <c r="AQ770" i="38"/>
  <c r="AN770" i="38"/>
  <c r="AQ30" i="38"/>
  <c r="AO30" i="38"/>
  <c r="AN30" i="38"/>
  <c r="AR30" i="38"/>
  <c r="AN682" i="38"/>
  <c r="AO682" i="38"/>
  <c r="AW557" i="38"/>
  <c r="AV557" i="38"/>
  <c r="BE415" i="38"/>
  <c r="BG415" i="38"/>
  <c r="BD415" i="38"/>
  <c r="BH415" i="38"/>
  <c r="AY917" i="38"/>
  <c r="AZ917" i="38"/>
  <c r="AW917" i="38"/>
  <c r="AV917" i="38"/>
  <c r="AP181" i="38"/>
  <c r="BF177" i="38"/>
  <c r="BE1020" i="38"/>
  <c r="BD1020" i="38"/>
  <c r="AY384" i="38"/>
  <c r="AZ384" i="38"/>
  <c r="AV384" i="38"/>
  <c r="AW384" i="38"/>
  <c r="AX136" i="38"/>
  <c r="AU96" i="38"/>
  <c r="AV96" i="38" s="1"/>
  <c r="AM372" i="38"/>
  <c r="BE1009" i="38"/>
  <c r="BD1009" i="38"/>
  <c r="AO595" i="38"/>
  <c r="AN595" i="38"/>
  <c r="AZ118" i="38"/>
  <c r="AW118" i="38"/>
  <c r="AV118" i="38"/>
  <c r="AY118" i="38"/>
  <c r="AX794" i="38"/>
  <c r="AY14" i="38"/>
  <c r="AV14" i="38"/>
  <c r="AW14" i="38"/>
  <c r="AZ14" i="38"/>
  <c r="AT1455" i="38"/>
  <c r="AN506" i="38"/>
  <c r="AO506" i="38"/>
  <c r="AQ506" i="38"/>
  <c r="AR506" i="38"/>
  <c r="AZ860" i="38"/>
  <c r="AW860" i="38"/>
  <c r="AV860" i="38"/>
  <c r="AY860" i="38"/>
  <c r="AY187" i="38"/>
  <c r="AW187" i="38"/>
  <c r="AZ187" i="38"/>
  <c r="AV187" i="38"/>
  <c r="AY911" i="38"/>
  <c r="AV911" i="38"/>
  <c r="AZ911" i="38"/>
  <c r="AW911" i="38"/>
  <c r="AW331" i="38"/>
  <c r="AV331" i="38"/>
  <c r="AQ510" i="38"/>
  <c r="AO510" i="38"/>
  <c r="AN510" i="38"/>
  <c r="AR510" i="38"/>
  <c r="AW63" i="38"/>
  <c r="AY63" i="38"/>
  <c r="AZ63" i="38"/>
  <c r="AV63" i="38"/>
  <c r="AP250" i="38"/>
  <c r="BF29" i="38"/>
  <c r="BG427" i="38"/>
  <c r="BH427" i="38"/>
  <c r="BD427" i="38"/>
  <c r="BE427" i="38"/>
  <c r="BD421" i="38"/>
  <c r="BG421" i="38"/>
  <c r="BE421" i="38"/>
  <c r="BH421" i="38"/>
  <c r="AR225" i="38"/>
  <c r="AQ225" i="38"/>
  <c r="AN225" i="38"/>
  <c r="AO225" i="38"/>
  <c r="AM79" i="38"/>
  <c r="AO643" i="38"/>
  <c r="AN643" i="38"/>
  <c r="AW569" i="38"/>
  <c r="AV569" i="38"/>
  <c r="AN1089" i="38"/>
  <c r="AO1089" i="38"/>
  <c r="BG54" i="38"/>
  <c r="BH54" i="38"/>
  <c r="BD54" i="38"/>
  <c r="BE54" i="38"/>
  <c r="BE777" i="38"/>
  <c r="BG777" i="38"/>
  <c r="BD777" i="38"/>
  <c r="BH777" i="38"/>
  <c r="BD583" i="38"/>
  <c r="BE583" i="38"/>
  <c r="AY129" i="38"/>
  <c r="AV129" i="38"/>
  <c r="AW129" i="38"/>
  <c r="AZ129" i="38"/>
  <c r="AT126" i="38"/>
  <c r="AT244" i="38"/>
  <c r="AW258" i="38"/>
  <c r="AY258" i="38"/>
  <c r="AZ258" i="38"/>
  <c r="AV258" i="38"/>
  <c r="AV463" i="38"/>
  <c r="AY463" i="38"/>
  <c r="AZ463" i="38"/>
  <c r="AW463" i="38"/>
  <c r="AO135" i="38"/>
  <c r="AR135" i="38"/>
  <c r="AQ135" i="38"/>
  <c r="AN135" i="38"/>
  <c r="AL136" i="38"/>
  <c r="AM18" i="38"/>
  <c r="AV622" i="38"/>
  <c r="AW622" i="38"/>
  <c r="BC195" i="38"/>
  <c r="AW701" i="38"/>
  <c r="AV701" i="38"/>
  <c r="AO134" i="38"/>
  <c r="AR134" i="38"/>
  <c r="AQ134" i="38"/>
  <c r="AN134" i="38"/>
  <c r="AL85" i="38"/>
  <c r="AW148" i="38"/>
  <c r="AZ148" i="38"/>
  <c r="AY148" i="38"/>
  <c r="AV148" i="38"/>
  <c r="AV662" i="38"/>
  <c r="AW662" i="38"/>
  <c r="AW113" i="38"/>
  <c r="AY113" i="38"/>
  <c r="AV113" i="38"/>
  <c r="AZ113" i="38"/>
  <c r="AW1103" i="38"/>
  <c r="AV1103" i="38"/>
  <c r="AV587" i="38"/>
  <c r="AW587" i="38"/>
  <c r="AV689" i="38"/>
  <c r="AW689" i="38"/>
  <c r="BD43" i="38"/>
  <c r="BE43" i="38"/>
  <c r="AL380" i="38"/>
  <c r="AQ390" i="38"/>
  <c r="AR390" i="38"/>
  <c r="AN390" i="38"/>
  <c r="AO390" i="38"/>
  <c r="AV953" i="38"/>
  <c r="AW953" i="38"/>
  <c r="AN666" i="38"/>
  <c r="AO666" i="38"/>
  <c r="AO904" i="38"/>
  <c r="AR904" i="38"/>
  <c r="AN904" i="38"/>
  <c r="AQ904" i="38"/>
  <c r="AU246" i="38"/>
  <c r="AV246" i="38" s="1"/>
  <c r="BE743" i="38"/>
  <c r="BD743" i="38"/>
  <c r="AR360" i="38"/>
  <c r="AO360" i="38"/>
  <c r="AN360" i="38"/>
  <c r="AQ360" i="38"/>
  <c r="AN66" i="38"/>
  <c r="AQ66" i="38"/>
  <c r="AO66" i="38"/>
  <c r="AR66" i="38"/>
  <c r="AN611" i="38"/>
  <c r="AO611" i="38"/>
  <c r="BG69" i="38"/>
  <c r="BH69" i="38"/>
  <c r="AQ34" i="38"/>
  <c r="AN34" i="38"/>
  <c r="AR34" i="38"/>
  <c r="AO34" i="38"/>
  <c r="AY850" i="38"/>
  <c r="AW850" i="38"/>
  <c r="AV850" i="38"/>
  <c r="AZ850" i="38"/>
  <c r="BE108" i="38"/>
  <c r="BD108" i="38"/>
  <c r="BH108" i="38"/>
  <c r="BG108" i="38"/>
  <c r="AP87" i="38"/>
  <c r="AO1024" i="38"/>
  <c r="AN1024" i="38"/>
  <c r="BH175" i="38"/>
  <c r="BD175" i="38"/>
  <c r="BE175" i="38"/>
  <c r="BG175" i="38"/>
  <c r="AV808" i="38"/>
  <c r="AW808" i="38"/>
  <c r="AZ808" i="38"/>
  <c r="AY808" i="38"/>
  <c r="AN670" i="38"/>
  <c r="AO670" i="38"/>
  <c r="AO337" i="38"/>
  <c r="AN337" i="38"/>
  <c r="BD324" i="38"/>
  <c r="BE324" i="38"/>
  <c r="BB315" i="38"/>
  <c r="AV740" i="38"/>
  <c r="AW740" i="38"/>
  <c r="AR862" i="38"/>
  <c r="AQ862" i="38"/>
  <c r="AO862" i="38"/>
  <c r="AN862" i="38"/>
  <c r="BG67" i="38"/>
  <c r="BE67" i="38"/>
  <c r="BD67" i="38"/>
  <c r="BH67" i="38"/>
  <c r="AX248" i="38"/>
  <c r="AV888" i="38"/>
  <c r="AW888" i="38"/>
  <c r="AY888" i="38"/>
  <c r="AZ888" i="38"/>
  <c r="AN697" i="38"/>
  <c r="AO697" i="38"/>
  <c r="AV1091" i="38"/>
  <c r="AW1091" i="38"/>
  <c r="AV122" i="38"/>
  <c r="AW122" i="38"/>
  <c r="AZ122" i="38"/>
  <c r="AY122" i="38"/>
  <c r="AW885" i="38"/>
  <c r="AV885" i="38"/>
  <c r="AZ885" i="38"/>
  <c r="AY885" i="38"/>
  <c r="BD523" i="38"/>
  <c r="BE523" i="38"/>
  <c r="BG523" i="38"/>
  <c r="BH523" i="38"/>
  <c r="AM250" i="38"/>
  <c r="AN327" i="38"/>
  <c r="AL318" i="38"/>
  <c r="AO327" i="38"/>
  <c r="AV370" i="38"/>
  <c r="AZ370" i="38"/>
  <c r="AW370" i="38"/>
  <c r="AY370" i="38"/>
  <c r="AW987" i="38"/>
  <c r="AV987" i="38"/>
  <c r="AN467" i="38"/>
  <c r="AR467" i="38"/>
  <c r="AQ467" i="38"/>
  <c r="AO467" i="38"/>
  <c r="AU18" i="38"/>
  <c r="AO646" i="38"/>
  <c r="AN646" i="38"/>
  <c r="AO471" i="38"/>
  <c r="AR471" i="38"/>
  <c r="AQ471" i="38"/>
  <c r="AN471" i="38"/>
  <c r="BH264" i="38"/>
  <c r="BE264" i="38"/>
  <c r="BB250" i="38"/>
  <c r="BG250" i="38" s="1"/>
  <c r="BD264" i="38"/>
  <c r="BG264" i="38"/>
  <c r="BE862" i="38"/>
  <c r="BG862" i="38"/>
  <c r="BH862" i="38"/>
  <c r="BD862" i="38"/>
  <c r="AU191" i="38"/>
  <c r="AV275" i="38"/>
  <c r="AW275" i="38"/>
  <c r="AR490" i="38"/>
  <c r="AQ490" i="38"/>
  <c r="AN490" i="38"/>
  <c r="AO490" i="38"/>
  <c r="BG118" i="38"/>
  <c r="BH118" i="38"/>
  <c r="BC1460" i="38"/>
  <c r="AW323" i="38"/>
  <c r="AT314" i="38"/>
  <c r="AV314" i="38" s="1"/>
  <c r="AV323" i="38"/>
  <c r="AY193" i="38"/>
  <c r="AZ193" i="38"/>
  <c r="AV193" i="38"/>
  <c r="AW193" i="38"/>
  <c r="AM311" i="38"/>
  <c r="AV395" i="38"/>
  <c r="AY395" i="38"/>
  <c r="AW395" i="38"/>
  <c r="AZ395" i="38"/>
  <c r="BC372" i="38"/>
  <c r="BE111" i="38"/>
  <c r="BH111" i="38"/>
  <c r="BD111" i="38"/>
  <c r="BG111" i="38"/>
  <c r="BD184" i="38"/>
  <c r="BG184" i="38"/>
  <c r="BE184" i="38"/>
  <c r="BB180" i="38"/>
  <c r="BH184" i="38"/>
  <c r="AY189" i="38"/>
  <c r="AW189" i="38"/>
  <c r="AV189" i="38"/>
  <c r="AZ189" i="38"/>
  <c r="AT248" i="38"/>
  <c r="AY262" i="38"/>
  <c r="AV262" i="38"/>
  <c r="AW262" i="38"/>
  <c r="AZ262" i="38"/>
  <c r="AZ858" i="38"/>
  <c r="AW858" i="38"/>
  <c r="AV858" i="38"/>
  <c r="AY858" i="38"/>
  <c r="BD685" i="38"/>
  <c r="BE685" i="38"/>
  <c r="BE299" i="38"/>
  <c r="BD299" i="38"/>
  <c r="BD204" i="38"/>
  <c r="BE204" i="38"/>
  <c r="AV690" i="38"/>
  <c r="AW690" i="38"/>
  <c r="AN823" i="38"/>
  <c r="AO823" i="38"/>
  <c r="AQ823" i="38"/>
  <c r="AR823" i="38"/>
  <c r="AN42" i="38"/>
  <c r="AO42" i="38"/>
  <c r="AQ42" i="38"/>
  <c r="AR42" i="38"/>
  <c r="AX178" i="38"/>
  <c r="AU127" i="38"/>
  <c r="AW954" i="38"/>
  <c r="AV954" i="38"/>
  <c r="AP363" i="38"/>
  <c r="AO130" i="38"/>
  <c r="AR130" i="38"/>
  <c r="AL127" i="38"/>
  <c r="AQ130" i="38"/>
  <c r="AN130" i="38"/>
  <c r="BD961" i="38"/>
  <c r="BE961" i="38"/>
  <c r="BE1088" i="38"/>
  <c r="BD1088" i="38"/>
  <c r="AW1024" i="38"/>
  <c r="AV1024" i="38"/>
  <c r="AY919" i="38"/>
  <c r="AV919" i="38"/>
  <c r="AW919" i="38"/>
  <c r="AZ919" i="38"/>
  <c r="AR873" i="38"/>
  <c r="AO873" i="38"/>
  <c r="AQ873" i="38"/>
  <c r="AN873" i="38"/>
  <c r="AM245" i="38"/>
  <c r="AW524" i="38"/>
  <c r="AV524" i="38"/>
  <c r="AV485" i="38"/>
  <c r="AZ485" i="38"/>
  <c r="AW485" i="38"/>
  <c r="AY485" i="38"/>
  <c r="AR112" i="38"/>
  <c r="AO112" i="38"/>
  <c r="AN112" i="38"/>
  <c r="AQ112" i="38"/>
  <c r="AX375" i="38"/>
  <c r="AN525" i="38"/>
  <c r="AO525" i="38"/>
  <c r="AQ204" i="38"/>
  <c r="AR204" i="38"/>
  <c r="AN204" i="38"/>
  <c r="AO204" i="38"/>
  <c r="BD158" i="38"/>
  <c r="BE158" i="38"/>
  <c r="BG158" i="38"/>
  <c r="BH158" i="38"/>
  <c r="BD73" i="38"/>
  <c r="BE73" i="38"/>
  <c r="BH73" i="38"/>
  <c r="BG73" i="38"/>
  <c r="BE445" i="38"/>
  <c r="BG445" i="38"/>
  <c r="BD445" i="38"/>
  <c r="BH445" i="38"/>
  <c r="BE960" i="38"/>
  <c r="BD960" i="38"/>
  <c r="AV880" i="38"/>
  <c r="AY880" i="38"/>
  <c r="AW880" i="38"/>
  <c r="AZ880" i="38"/>
  <c r="AN664" i="38"/>
  <c r="AO664" i="38"/>
  <c r="AW1092" i="38"/>
  <c r="AV1092" i="38"/>
  <c r="AO693" i="38"/>
  <c r="AN693" i="38"/>
  <c r="AU84" i="38"/>
  <c r="BC178" i="38"/>
  <c r="BG48" i="38"/>
  <c r="BD48" i="38"/>
  <c r="BH48" i="38"/>
  <c r="BE48" i="38"/>
  <c r="AN1039" i="38"/>
  <c r="AO1039" i="38"/>
  <c r="BG866" i="38"/>
  <c r="BD866" i="38"/>
  <c r="BE866" i="38"/>
  <c r="BH866" i="38"/>
  <c r="AO947" i="38"/>
  <c r="AN947" i="38"/>
  <c r="BE52" i="38"/>
  <c r="BD52" i="38"/>
  <c r="BE590" i="38"/>
  <c r="BD590" i="38"/>
  <c r="BE420" i="38"/>
  <c r="BH420" i="38"/>
  <c r="BD420" i="38"/>
  <c r="BG420" i="38"/>
  <c r="AV800" i="38"/>
  <c r="AY800" i="38"/>
  <c r="AW800" i="38"/>
  <c r="AZ800" i="38"/>
  <c r="BG475" i="38"/>
  <c r="BE475" i="38"/>
  <c r="BD475" i="38"/>
  <c r="BH475" i="38"/>
  <c r="BD489" i="38"/>
  <c r="BH489" i="38"/>
  <c r="BE489" i="38"/>
  <c r="BG489" i="38"/>
  <c r="AO384" i="38"/>
  <c r="AR384" i="38"/>
  <c r="AQ384" i="38"/>
  <c r="AN384" i="38"/>
  <c r="BD297" i="38"/>
  <c r="BE297" i="38"/>
  <c r="AZ70" i="38"/>
  <c r="AY70" i="38"/>
  <c r="AV619" i="38"/>
  <c r="AW619" i="38"/>
  <c r="BG167" i="38"/>
  <c r="BD167" i="38"/>
  <c r="BE167" i="38"/>
  <c r="BH167" i="38"/>
  <c r="AO698" i="38"/>
  <c r="AN698" i="38"/>
  <c r="AW295" i="38"/>
  <c r="AV295" i="38"/>
  <c r="BE293" i="38"/>
  <c r="BD293" i="38"/>
  <c r="AZ426" i="38"/>
  <c r="AY426" i="38"/>
  <c r="AW426" i="38"/>
  <c r="AV426" i="38"/>
  <c r="BG498" i="38"/>
  <c r="BE498" i="38"/>
  <c r="BD498" i="38"/>
  <c r="BH498" i="38"/>
  <c r="BD205" i="38"/>
  <c r="BH205" i="38"/>
  <c r="BG205" i="38"/>
  <c r="BE205" i="38"/>
  <c r="BG201" i="38"/>
  <c r="BG202" i="38" s="1"/>
  <c r="BH201" i="38"/>
  <c r="BB202" i="38"/>
  <c r="BD202" i="38" s="1"/>
  <c r="BD201" i="38"/>
  <c r="BE201" i="38"/>
  <c r="BE274" i="38"/>
  <c r="BD274" i="38"/>
  <c r="AW696" i="38"/>
  <c r="AV696" i="38"/>
  <c r="BE956" i="38"/>
  <c r="BD956" i="38"/>
  <c r="AN897" i="38"/>
  <c r="AR897" i="38"/>
  <c r="AO897" i="38"/>
  <c r="AQ897" i="38"/>
  <c r="AU447" i="38"/>
  <c r="AU413" i="38" s="1"/>
  <c r="BC340" i="38"/>
  <c r="AW608" i="38"/>
  <c r="AV608" i="38"/>
  <c r="AM1465" i="38"/>
  <c r="BE1021" i="38"/>
  <c r="BD1021" i="38"/>
  <c r="BH921" i="38"/>
  <c r="BD921" i="38"/>
  <c r="BG921" i="38"/>
  <c r="BE921" i="38"/>
  <c r="BD1099" i="38"/>
  <c r="BE1099" i="38"/>
  <c r="AN146" i="38"/>
  <c r="AR146" i="38"/>
  <c r="AQ146" i="38"/>
  <c r="AO146" i="38"/>
  <c r="AW218" i="38"/>
  <c r="AY218" i="38"/>
  <c r="AV218" i="38"/>
  <c r="AZ218" i="38"/>
  <c r="AR188" i="38"/>
  <c r="AN188" i="38"/>
  <c r="AO188" i="38"/>
  <c r="AQ188" i="38"/>
  <c r="BD330" i="38"/>
  <c r="BE330" i="38"/>
  <c r="AQ482" i="38"/>
  <c r="AR482" i="38"/>
  <c r="AO482" i="38"/>
  <c r="AN482" i="38"/>
  <c r="BC419" i="38"/>
  <c r="BD904" i="38"/>
  <c r="BE904" i="38"/>
  <c r="BG904" i="38"/>
  <c r="BH904" i="38"/>
  <c r="AO121" i="38"/>
  <c r="AN121" i="38"/>
  <c r="AR121" i="38"/>
  <c r="AQ121" i="38"/>
  <c r="BG830" i="38"/>
  <c r="BD830" i="38"/>
  <c r="BH830" i="38"/>
  <c r="BE830" i="38"/>
  <c r="BD326" i="38"/>
  <c r="BE326" i="38"/>
  <c r="BB317" i="38"/>
  <c r="BG790" i="38"/>
  <c r="BH790" i="38"/>
  <c r="BE790" i="38"/>
  <c r="BD790" i="38"/>
  <c r="BE865" i="38"/>
  <c r="BH865" i="38"/>
  <c r="BD865" i="38"/>
  <c r="BG865" i="38"/>
  <c r="BE978" i="38"/>
  <c r="BD978" i="38"/>
  <c r="AV985" i="38"/>
  <c r="AW985" i="38"/>
  <c r="AO1071" i="38"/>
  <c r="AN1071" i="38"/>
  <c r="AW731" i="38"/>
  <c r="AV731" i="38"/>
  <c r="AZ462" i="38"/>
  <c r="AY462" i="38"/>
  <c r="AV462" i="38"/>
  <c r="AW462" i="38"/>
  <c r="AU412" i="38"/>
  <c r="AN612" i="38"/>
  <c r="AO612" i="38"/>
  <c r="AM125" i="38"/>
  <c r="BE480" i="38"/>
  <c r="BG480" i="38"/>
  <c r="BD480" i="38"/>
  <c r="BH480" i="38"/>
  <c r="BE824" i="38"/>
  <c r="BD824" i="38"/>
  <c r="BH824" i="38"/>
  <c r="BG824" i="38"/>
  <c r="AR115" i="38"/>
  <c r="AQ115" i="38"/>
  <c r="AN115" i="38"/>
  <c r="AO115" i="38"/>
  <c r="AY767" i="38"/>
  <c r="AZ767" i="38"/>
  <c r="AV767" i="38"/>
  <c r="AW767" i="38"/>
  <c r="BD578" i="38"/>
  <c r="BE578" i="38"/>
  <c r="AW1015" i="38"/>
  <c r="AV1015" i="38"/>
  <c r="AR261" i="38"/>
  <c r="AO261" i="38"/>
  <c r="AQ261" i="38"/>
  <c r="AN261" i="38"/>
  <c r="BG801" i="38"/>
  <c r="BH801" i="38"/>
  <c r="BD801" i="38"/>
  <c r="BE801" i="38"/>
  <c r="BD627" i="38"/>
  <c r="BE627" i="38"/>
  <c r="AZ762" i="38"/>
  <c r="AY762" i="38"/>
  <c r="AV762" i="38"/>
  <c r="AW762" i="38"/>
  <c r="AV259" i="38"/>
  <c r="AZ259" i="38"/>
  <c r="AT245" i="38"/>
  <c r="AW259" i="38"/>
  <c r="AY259" i="38"/>
  <c r="BC312" i="38"/>
  <c r="AZ215" i="38"/>
  <c r="AV215" i="38"/>
  <c r="AW215" i="38"/>
  <c r="AY215" i="38"/>
  <c r="AP25" i="38"/>
  <c r="AQ25" i="38" s="1"/>
  <c r="AO522" i="38"/>
  <c r="AR522" i="38"/>
  <c r="AQ522" i="38"/>
  <c r="AN522" i="38"/>
  <c r="AN453" i="38"/>
  <c r="AQ453" i="38"/>
  <c r="AO453" i="38"/>
  <c r="AR453" i="38"/>
  <c r="AZ267" i="38"/>
  <c r="AT253" i="38"/>
  <c r="AY253" i="38" s="1"/>
  <c r="AV267" i="38"/>
  <c r="AW267" i="38"/>
  <c r="AY267" i="38"/>
  <c r="BG356" i="38"/>
  <c r="BH356" i="38"/>
  <c r="AX363" i="38"/>
  <c r="BD745" i="38"/>
  <c r="BE745" i="38"/>
  <c r="BH133" i="38"/>
  <c r="BG133" i="38"/>
  <c r="BF84" i="38"/>
  <c r="BH84" i="38" s="1"/>
  <c r="BF1467" i="38"/>
  <c r="AX447" i="38"/>
  <c r="AX413" i="38" s="1"/>
  <c r="BD895" i="38"/>
  <c r="BE895" i="38"/>
  <c r="BH895" i="38"/>
  <c r="BG895" i="38"/>
  <c r="AO621" i="38"/>
  <c r="AN621" i="38"/>
  <c r="BH220" i="38"/>
  <c r="BG220" i="38"/>
  <c r="BD220" i="38"/>
  <c r="BE220" i="38"/>
  <c r="AY415" i="38"/>
  <c r="AZ415" i="38"/>
  <c r="AW415" i="38"/>
  <c r="AV415" i="38"/>
  <c r="BF245" i="38"/>
  <c r="AN592" i="38"/>
  <c r="AO592" i="38"/>
  <c r="AO727" i="38"/>
  <c r="AN727" i="38"/>
  <c r="BE579" i="38"/>
  <c r="BD579" i="38"/>
  <c r="AT178" i="38"/>
  <c r="AZ182" i="38"/>
  <c r="AW182" i="38"/>
  <c r="AV182" i="38"/>
  <c r="AY182" i="38"/>
  <c r="AO530" i="38"/>
  <c r="AN530" i="38"/>
  <c r="AO771" i="38"/>
  <c r="AQ771" i="38"/>
  <c r="AN771" i="38"/>
  <c r="AR771" i="38"/>
  <c r="AW621" i="38"/>
  <c r="AV621" i="38"/>
  <c r="BE967" i="38"/>
  <c r="BD967" i="38"/>
  <c r="AO1084" i="38"/>
  <c r="AN1084" i="38"/>
  <c r="AV625" i="38"/>
  <c r="AW625" i="38"/>
  <c r="BD834" i="38"/>
  <c r="BB1465" i="38"/>
  <c r="BE834" i="38"/>
  <c r="BH834" i="38"/>
  <c r="BG834" i="38"/>
  <c r="AR854" i="38"/>
  <c r="AO854" i="38"/>
  <c r="AN854" i="38"/>
  <c r="AQ854" i="38"/>
  <c r="AV515" i="38"/>
  <c r="AY515" i="38"/>
  <c r="AW515" i="38"/>
  <c r="AZ515" i="38"/>
  <c r="AM318" i="38"/>
  <c r="AZ393" i="38"/>
  <c r="AV393" i="38"/>
  <c r="AY393" i="38"/>
  <c r="AW393" i="38"/>
  <c r="AO599" i="38"/>
  <c r="AN599" i="38"/>
  <c r="AO713" i="38"/>
  <c r="AN713" i="38"/>
  <c r="BE505" i="38"/>
  <c r="BD505" i="38"/>
  <c r="BG505" i="38"/>
  <c r="BH505" i="38"/>
  <c r="BD577" i="38"/>
  <c r="BE577" i="38"/>
  <c r="AV1066" i="38"/>
  <c r="AW1066" i="38"/>
  <c r="AO33" i="38"/>
  <c r="AR33" i="38"/>
  <c r="AQ33" i="38"/>
  <c r="AN33" i="38"/>
  <c r="BG873" i="38"/>
  <c r="BE873" i="38"/>
  <c r="BD873" i="38"/>
  <c r="BH873" i="38"/>
  <c r="AM124" i="38"/>
  <c r="AM81" i="38"/>
  <c r="BE966" i="38"/>
  <c r="BD966" i="38"/>
  <c r="AW472" i="38"/>
  <c r="AV472" i="38"/>
  <c r="AY472" i="38"/>
  <c r="AZ472" i="38"/>
  <c r="AR831" i="38"/>
  <c r="AN831" i="38"/>
  <c r="AQ831" i="38"/>
  <c r="AO831" i="38"/>
  <c r="BG34" i="38"/>
  <c r="BH34" i="38"/>
  <c r="AR809" i="38"/>
  <c r="AO809" i="38"/>
  <c r="AQ809" i="38"/>
  <c r="AN809" i="38"/>
  <c r="AY783" i="38"/>
  <c r="AZ783" i="38"/>
  <c r="AV783" i="38"/>
  <c r="AW783" i="38"/>
  <c r="BD820" i="38"/>
  <c r="BG820" i="38"/>
  <c r="BE820" i="38"/>
  <c r="BH820" i="38"/>
  <c r="AR898" i="38"/>
  <c r="AO898" i="38"/>
  <c r="AN898" i="38"/>
  <c r="AQ898" i="38"/>
  <c r="AQ45" i="38"/>
  <c r="AO45" i="38"/>
  <c r="AN45" i="38"/>
  <c r="AR45" i="38"/>
  <c r="AN139" i="38"/>
  <c r="AL140" i="38"/>
  <c r="AO139" i="38"/>
  <c r="AR139" i="38"/>
  <c r="AQ139" i="38"/>
  <c r="AQ942" i="38"/>
  <c r="AN942" i="38"/>
  <c r="AO942" i="38"/>
  <c r="AR942" i="38"/>
  <c r="BC363" i="38"/>
  <c r="BE363" i="38" s="1"/>
  <c r="AV724" i="38"/>
  <c r="AW724" i="38"/>
  <c r="BG391" i="38"/>
  <c r="BE391" i="38"/>
  <c r="BH391" i="38"/>
  <c r="BD391" i="38"/>
  <c r="AV342" i="38"/>
  <c r="AW342" i="38"/>
  <c r="AY942" i="38"/>
  <c r="AZ942" i="38"/>
  <c r="AW942" i="38"/>
  <c r="AV942" i="38"/>
  <c r="AW842" i="38"/>
  <c r="AZ842" i="38"/>
  <c r="AY842" i="38"/>
  <c r="AV842" i="38"/>
  <c r="AN102" i="38"/>
  <c r="AL79" i="38"/>
  <c r="AQ102" i="38"/>
  <c r="AR102" i="38"/>
  <c r="AO102" i="38"/>
  <c r="AV466" i="38"/>
  <c r="AY466" i="38"/>
  <c r="AZ466" i="38"/>
  <c r="AW466" i="38"/>
  <c r="AN845" i="38"/>
  <c r="AO845" i="38"/>
  <c r="AQ845" i="38"/>
  <c r="AR845" i="38"/>
  <c r="AP376" i="38"/>
  <c r="AO300" i="38"/>
  <c r="AN300" i="38"/>
  <c r="AV417" i="38"/>
  <c r="AW417" i="38"/>
  <c r="AZ417" i="38"/>
  <c r="AY417" i="38"/>
  <c r="AN260" i="38"/>
  <c r="AL246" i="38"/>
  <c r="AO260" i="38"/>
  <c r="AQ260" i="38"/>
  <c r="AR260" i="38"/>
  <c r="BE695" i="38"/>
  <c r="BD695" i="38"/>
  <c r="AY496" i="38"/>
  <c r="AW496" i="38"/>
  <c r="AZ496" i="38"/>
  <c r="AV496" i="38"/>
  <c r="AO537" i="38"/>
  <c r="AR537" i="38"/>
  <c r="AQ537" i="38"/>
  <c r="AN537" i="38"/>
  <c r="AL536" i="38"/>
  <c r="AW1056" i="38"/>
  <c r="AV1056" i="38"/>
  <c r="AW976" i="38"/>
  <c r="AV976" i="38"/>
  <c r="AV396" i="38"/>
  <c r="AZ396" i="38"/>
  <c r="AW396" i="38"/>
  <c r="AY396" i="38"/>
  <c r="BD713" i="38"/>
  <c r="BE713" i="38"/>
  <c r="AQ880" i="38"/>
  <c r="AN880" i="38"/>
  <c r="AO880" i="38"/>
  <c r="AR880" i="38"/>
  <c r="AW803" i="38"/>
  <c r="AV803" i="38"/>
  <c r="AZ803" i="38"/>
  <c r="AY803" i="38"/>
  <c r="AQ72" i="38"/>
  <c r="AO72" i="38"/>
  <c r="AR72" i="38"/>
  <c r="AN72" i="38"/>
  <c r="AQ387" i="38"/>
  <c r="AO387" i="38"/>
  <c r="AR387" i="38"/>
  <c r="AN387" i="38"/>
  <c r="AV173" i="38"/>
  <c r="AZ173" i="38"/>
  <c r="AY173" i="38"/>
  <c r="AW173" i="38"/>
  <c r="BD1090" i="38"/>
  <c r="BE1090" i="38"/>
  <c r="BH859" i="38"/>
  <c r="BE859" i="38"/>
  <c r="BD859" i="38"/>
  <c r="BG859" i="38"/>
  <c r="BE853" i="38"/>
  <c r="BG853" i="38"/>
  <c r="BH853" i="38"/>
  <c r="BD853" i="38"/>
  <c r="BE688" i="38"/>
  <c r="BD688" i="38"/>
  <c r="BE462" i="38"/>
  <c r="BH462" i="38"/>
  <c r="BD462" i="38"/>
  <c r="BG462" i="38"/>
  <c r="BG410" i="38"/>
  <c r="BD410" i="38"/>
  <c r="BE410" i="38"/>
  <c r="BH410" i="38"/>
  <c r="BD760" i="38"/>
  <c r="BH760" i="38"/>
  <c r="BG760" i="38"/>
  <c r="BE760" i="38"/>
  <c r="AO622" i="38"/>
  <c r="AN622" i="38"/>
  <c r="AZ214" i="38"/>
  <c r="AY214" i="38"/>
  <c r="AV214" i="38"/>
  <c r="AW214" i="38"/>
  <c r="BD984" i="38"/>
  <c r="BE984" i="38"/>
  <c r="AO846" i="38"/>
  <c r="AQ846" i="38"/>
  <c r="AN846" i="38"/>
  <c r="AR846" i="38"/>
  <c r="AV150" i="38"/>
  <c r="AW150" i="38"/>
  <c r="AU239" i="38"/>
  <c r="AV239" i="38" s="1"/>
  <c r="BH775" i="38"/>
  <c r="BG775" i="38"/>
  <c r="BD775" i="38"/>
  <c r="BE775" i="38"/>
  <c r="AV933" i="38"/>
  <c r="AZ933" i="38"/>
  <c r="AY933" i="38"/>
  <c r="AW933" i="38"/>
  <c r="AY944" i="38"/>
  <c r="AW944" i="38"/>
  <c r="AV944" i="38"/>
  <c r="AZ944" i="38"/>
  <c r="AW345" i="38"/>
  <c r="AV345" i="38"/>
  <c r="BD635" i="38"/>
  <c r="BE635" i="38"/>
  <c r="AW961" i="38"/>
  <c r="AV961" i="38"/>
  <c r="BE165" i="38"/>
  <c r="BH165" i="38"/>
  <c r="BD165" i="38"/>
  <c r="BG165" i="38"/>
  <c r="BE302" i="38"/>
  <c r="BD302" i="38"/>
  <c r="AW709" i="38"/>
  <c r="AV709" i="38"/>
  <c r="BD327" i="38"/>
  <c r="BE327" i="38"/>
  <c r="BB318" i="38"/>
  <c r="BE632" i="38"/>
  <c r="BD632" i="38"/>
  <c r="BD560" i="38"/>
  <c r="BE560" i="38"/>
  <c r="BD941" i="38"/>
  <c r="BE941" i="38"/>
  <c r="BH941" i="38"/>
  <c r="BG941" i="38"/>
  <c r="AR208" i="38"/>
  <c r="AO208" i="38"/>
  <c r="AQ208" i="38"/>
  <c r="AN208" i="38"/>
  <c r="AZ32" i="38"/>
  <c r="AY32" i="38"/>
  <c r="AW32" i="38"/>
  <c r="AV32" i="38"/>
  <c r="AQ69" i="38"/>
  <c r="AR69" i="38"/>
  <c r="AN69" i="38"/>
  <c r="AO69" i="38"/>
  <c r="AW302" i="38"/>
  <c r="AV302" i="38"/>
  <c r="AW1093" i="38"/>
  <c r="AV1093" i="38"/>
  <c r="BE70" i="38"/>
  <c r="BG70" i="38"/>
  <c r="BD70" i="38"/>
  <c r="BH70" i="38"/>
  <c r="AZ188" i="38"/>
  <c r="AY188" i="38"/>
  <c r="AN633" i="38"/>
  <c r="AO633" i="38"/>
  <c r="AN703" i="38"/>
  <c r="AO703" i="38"/>
  <c r="AZ922" i="38"/>
  <c r="AV922" i="38"/>
  <c r="AY922" i="38"/>
  <c r="AW922" i="38"/>
  <c r="AR388" i="38"/>
  <c r="AQ388" i="38"/>
  <c r="AL376" i="38"/>
  <c r="AO388" i="38"/>
  <c r="AN388" i="38"/>
  <c r="AN1051" i="38"/>
  <c r="AO1051" i="38"/>
  <c r="AW1098" i="38"/>
  <c r="AV1098" i="38"/>
  <c r="AM253" i="38"/>
  <c r="AN253" i="38" s="1"/>
  <c r="AN342" i="38"/>
  <c r="AO342" i="38"/>
  <c r="AO355" i="38"/>
  <c r="AN355" i="38"/>
  <c r="AL354" i="38"/>
  <c r="AQ354" i="38" s="1"/>
  <c r="AR355" i="38"/>
  <c r="AQ355" i="38"/>
  <c r="BE668" i="38"/>
  <c r="BD668" i="38"/>
  <c r="BD718" i="38"/>
  <c r="BE718" i="38"/>
  <c r="AQ144" i="38"/>
  <c r="AO144" i="38"/>
  <c r="AR144" i="38"/>
  <c r="AN144" i="38"/>
  <c r="AW835" i="38"/>
  <c r="AV835" i="38"/>
  <c r="AY835" i="38"/>
  <c r="AZ835" i="38"/>
  <c r="AO768" i="38"/>
  <c r="AN768" i="38"/>
  <c r="AR768" i="38"/>
  <c r="AQ768" i="38"/>
  <c r="AW43" i="38"/>
  <c r="AV43" i="38"/>
  <c r="AZ43" i="38"/>
  <c r="AY43" i="38"/>
  <c r="BE322" i="38"/>
  <c r="BD322" i="38"/>
  <c r="BB313" i="38"/>
  <c r="AQ428" i="38"/>
  <c r="AO428" i="38"/>
  <c r="AR428" i="38"/>
  <c r="AN428" i="38"/>
  <c r="AV58" i="38"/>
  <c r="AZ58" i="38"/>
  <c r="AY58" i="38"/>
  <c r="AW58" i="38"/>
  <c r="BE304" i="38"/>
  <c r="BD304" i="38"/>
  <c r="BE563" i="38"/>
  <c r="BD563" i="38"/>
  <c r="BD658" i="38"/>
  <c r="BE658" i="38"/>
  <c r="BD661" i="38"/>
  <c r="BE661" i="38"/>
  <c r="BH537" i="38"/>
  <c r="BB536" i="38"/>
  <c r="BD537" i="38"/>
  <c r="BG537" i="38"/>
  <c r="BE537" i="38"/>
  <c r="AW540" i="38"/>
  <c r="AV540" i="38"/>
  <c r="AY540" i="38"/>
  <c r="AZ540" i="38"/>
  <c r="AX195" i="38"/>
  <c r="BG32" i="38"/>
  <c r="BE32" i="38"/>
  <c r="BH32" i="38"/>
  <c r="BD32" i="38"/>
  <c r="AW1035" i="38"/>
  <c r="AV1035" i="38"/>
  <c r="BD677" i="38"/>
  <c r="BE677" i="38"/>
  <c r="AU372" i="38"/>
  <c r="AO662" i="38"/>
  <c r="AN662" i="38"/>
  <c r="AU419" i="38"/>
  <c r="AV216" i="38"/>
  <c r="AW216" i="38"/>
  <c r="AY216" i="38"/>
  <c r="AZ216" i="38"/>
  <c r="BG105" i="38"/>
  <c r="BH105" i="38"/>
  <c r="BE107" i="38"/>
  <c r="BD107" i="38"/>
  <c r="BG107" i="38"/>
  <c r="BH107" i="38"/>
  <c r="AP79" i="38"/>
  <c r="AQ79" i="38" s="1"/>
  <c r="BE723" i="38"/>
  <c r="BD723" i="38"/>
  <c r="AV626" i="38"/>
  <c r="AW626" i="38"/>
  <c r="BB195" i="38"/>
  <c r="BH194" i="38"/>
  <c r="BD194" i="38"/>
  <c r="BE194" i="38"/>
  <c r="BG194" i="38"/>
  <c r="AN371" i="38"/>
  <c r="AO371" i="38"/>
  <c r="AL372" i="38"/>
  <c r="AN372" i="38" s="1"/>
  <c r="AV453" i="38"/>
  <c r="AZ453" i="38"/>
  <c r="AY453" i="38"/>
  <c r="AW453" i="38"/>
  <c r="AW583" i="38"/>
  <c r="AV583" i="38"/>
  <c r="BG906" i="38"/>
  <c r="BD906" i="38"/>
  <c r="BH906" i="38"/>
  <c r="BE906" i="38"/>
  <c r="BG129" i="38"/>
  <c r="BH129" i="38"/>
  <c r="BB126" i="38"/>
  <c r="BD129" i="38"/>
  <c r="BE129" i="38"/>
  <c r="AN158" i="38"/>
  <c r="AO158" i="38"/>
  <c r="AR158" i="38"/>
  <c r="AQ158" i="38"/>
  <c r="BE151" i="38"/>
  <c r="BD151" i="38"/>
  <c r="AY901" i="38"/>
  <c r="AW901" i="38"/>
  <c r="AV901" i="38"/>
  <c r="AZ901" i="38"/>
  <c r="BH168" i="38"/>
  <c r="BG168" i="38"/>
  <c r="AN569" i="38"/>
  <c r="AO569" i="38"/>
  <c r="AY409" i="38"/>
  <c r="AW409" i="38"/>
  <c r="AZ409" i="38"/>
  <c r="AV409" i="38"/>
  <c r="AW649" i="38"/>
  <c r="AV649" i="38"/>
  <c r="BG813" i="38"/>
  <c r="BH813" i="38"/>
  <c r="BD813" i="38"/>
  <c r="BE813" i="38"/>
  <c r="AW590" i="38"/>
  <c r="AV590" i="38"/>
  <c r="AW1006" i="38"/>
  <c r="AV1006" i="38"/>
  <c r="AW683" i="38"/>
  <c r="AV683" i="38"/>
  <c r="AR497" i="38"/>
  <c r="AO497" i="38"/>
  <c r="AQ497" i="38"/>
  <c r="AN497" i="38"/>
  <c r="AR758" i="38"/>
  <c r="AN758" i="38"/>
  <c r="AO758" i="38"/>
  <c r="AQ758" i="38"/>
  <c r="BE540" i="38"/>
  <c r="BG540" i="38"/>
  <c r="BH540" i="38"/>
  <c r="BD540" i="38"/>
  <c r="BF240" i="38"/>
  <c r="AY137" i="38"/>
  <c r="AZ137" i="38"/>
  <c r="AX87" i="38"/>
  <c r="BC248" i="38"/>
  <c r="AZ802" i="38"/>
  <c r="AY802" i="38"/>
  <c r="AW802" i="38"/>
  <c r="AV802" i="38"/>
  <c r="BE128" i="38"/>
  <c r="BH128" i="38"/>
  <c r="BD128" i="38"/>
  <c r="BB125" i="38"/>
  <c r="BG128" i="38"/>
  <c r="AP195" i="38"/>
  <c r="AQ195" i="38" s="1"/>
  <c r="BD812" i="38"/>
  <c r="BE812" i="38"/>
  <c r="BH812" i="38"/>
  <c r="BG812" i="38"/>
  <c r="AN1017" i="38"/>
  <c r="AO1017" i="38"/>
  <c r="AQ229" i="38"/>
  <c r="AR229" i="38"/>
  <c r="AN229" i="38"/>
  <c r="AO229" i="38"/>
  <c r="BD1085" i="38"/>
  <c r="BE1085" i="38"/>
  <c r="AQ105" i="38"/>
  <c r="AN105" i="38"/>
  <c r="AR105" i="38"/>
  <c r="AO105" i="38"/>
  <c r="AO275" i="38"/>
  <c r="AN275" i="38"/>
  <c r="AM317" i="38"/>
  <c r="AU380" i="38"/>
  <c r="BC180" i="38"/>
  <c r="AP245" i="38"/>
  <c r="BD465" i="38"/>
  <c r="BE465" i="38"/>
  <c r="BG465" i="38"/>
  <c r="BH465" i="38"/>
  <c r="BE1034" i="38"/>
  <c r="BD1034" i="38"/>
  <c r="AV718" i="38"/>
  <c r="AW718" i="38"/>
  <c r="BE867" i="38"/>
  <c r="BD867" i="38"/>
  <c r="BH867" i="38"/>
  <c r="BG867" i="38"/>
  <c r="AM375" i="38"/>
  <c r="AN375" i="38" s="1"/>
  <c r="AV446" i="38"/>
  <c r="AZ446" i="38"/>
  <c r="AW446" i="38"/>
  <c r="AY446" i="38"/>
  <c r="AT447" i="38"/>
  <c r="AV447" i="38" s="1"/>
  <c r="AO997" i="38"/>
  <c r="AN997" i="38"/>
  <c r="AW994" i="38"/>
  <c r="AV994" i="38"/>
  <c r="AN332" i="38"/>
  <c r="AO332" i="38"/>
  <c r="AR836" i="38"/>
  <c r="AN836" i="38"/>
  <c r="AQ836" i="38"/>
  <c r="AO836" i="38"/>
  <c r="AZ502" i="38"/>
  <c r="AY502" i="38"/>
  <c r="AW502" i="38"/>
  <c r="AV502" i="38"/>
  <c r="AR391" i="38"/>
  <c r="AQ391" i="38"/>
  <c r="AN391" i="38"/>
  <c r="AO391" i="38"/>
  <c r="BE472" i="38"/>
  <c r="BG472" i="38"/>
  <c r="BD472" i="38"/>
  <c r="BH472" i="38"/>
  <c r="AR468" i="38"/>
  <c r="AO468" i="38"/>
  <c r="AN468" i="38"/>
  <c r="AQ468" i="38"/>
  <c r="AX80" i="38"/>
  <c r="AQ896" i="38"/>
  <c r="AR896" i="38"/>
  <c r="AN896" i="38"/>
  <c r="AO896" i="38"/>
  <c r="AY45" i="38"/>
  <c r="AV45" i="38"/>
  <c r="AW45" i="38"/>
  <c r="AZ45" i="38"/>
  <c r="AZ176" i="38"/>
  <c r="AT177" i="38"/>
  <c r="AV176" i="38"/>
  <c r="AY176" i="38"/>
  <c r="AW176" i="38"/>
  <c r="AN732" i="38"/>
  <c r="AO732" i="38"/>
  <c r="AW364" i="38"/>
  <c r="AT363" i="38"/>
  <c r="AY364" i="38"/>
  <c r="AZ364" i="38"/>
  <c r="AV364" i="38"/>
  <c r="BH470" i="38"/>
  <c r="BE470" i="38"/>
  <c r="BD470" i="38"/>
  <c r="BG470" i="38"/>
  <c r="BD417" i="38"/>
  <c r="BH417" i="38"/>
  <c r="BG417" i="38"/>
  <c r="BE417" i="38"/>
  <c r="AQ224" i="38"/>
  <c r="AO224" i="38"/>
  <c r="AN224" i="38"/>
  <c r="AR224" i="38"/>
  <c r="AV603" i="38"/>
  <c r="AW603" i="38"/>
  <c r="BE15" i="38"/>
  <c r="BH15" i="38"/>
  <c r="BG15" i="38"/>
  <c r="BD15" i="38"/>
  <c r="BE1011" i="38"/>
  <c r="BD1011" i="38"/>
  <c r="AW611" i="38"/>
  <c r="AV611" i="38"/>
  <c r="BE772" i="38"/>
  <c r="BG772" i="38"/>
  <c r="BD772" i="38"/>
  <c r="BH772" i="38"/>
  <c r="AZ368" i="38"/>
  <c r="AY368" i="38"/>
  <c r="AW368" i="38"/>
  <c r="AT367" i="38"/>
  <c r="AV368" i="38"/>
  <c r="AW857" i="38"/>
  <c r="AY857" i="38"/>
  <c r="AZ857" i="38"/>
  <c r="AV857" i="38"/>
  <c r="AW678" i="38"/>
  <c r="AV678" i="38"/>
  <c r="BD368" i="38"/>
  <c r="BE368" i="38"/>
  <c r="BH368" i="38"/>
  <c r="BG368" i="38"/>
  <c r="BB367" i="38"/>
  <c r="BH516" i="38"/>
  <c r="BD516" i="38"/>
  <c r="BG516" i="38"/>
  <c r="BE516" i="38"/>
  <c r="BH147" i="38"/>
  <c r="BG147" i="38"/>
  <c r="BD147" i="38"/>
  <c r="BE147" i="38"/>
  <c r="BE672" i="38"/>
  <c r="BD672" i="38"/>
  <c r="AR867" i="38"/>
  <c r="AQ867" i="38"/>
  <c r="AN867" i="38"/>
  <c r="AO867" i="38"/>
  <c r="AQ186" i="38"/>
  <c r="AR186" i="38"/>
  <c r="AO186" i="38"/>
  <c r="AN186" i="38"/>
  <c r="AW110" i="38"/>
  <c r="AY110" i="38"/>
  <c r="AZ110" i="38"/>
  <c r="AV110" i="38"/>
  <c r="AN1025" i="38"/>
  <c r="AO1025" i="38"/>
  <c r="AN559" i="38"/>
  <c r="AO559" i="38"/>
  <c r="AO1062" i="38"/>
  <c r="AN1062" i="38"/>
  <c r="BG542" i="38"/>
  <c r="BD542" i="38"/>
  <c r="BE542" i="38"/>
  <c r="BH542" i="38"/>
  <c r="AR894" i="38"/>
  <c r="AN894" i="38"/>
  <c r="AQ894" i="38"/>
  <c r="AO894" i="38"/>
  <c r="AO527" i="38"/>
  <c r="AN527" i="38"/>
  <c r="AN772" i="38"/>
  <c r="AO772" i="38"/>
  <c r="AQ772" i="38"/>
  <c r="AR772" i="38"/>
  <c r="BE714" i="38"/>
  <c r="BD714" i="38"/>
  <c r="AL87" i="38"/>
  <c r="AQ137" i="38"/>
  <c r="AO137" i="38"/>
  <c r="AN137" i="38"/>
  <c r="AR137" i="38"/>
  <c r="AV41" i="38"/>
  <c r="AZ41" i="38"/>
  <c r="AW41" i="38"/>
  <c r="AY41" i="38"/>
  <c r="AN353" i="38"/>
  <c r="AO353" i="38"/>
  <c r="AO526" i="38"/>
  <c r="AN526" i="38"/>
  <c r="AT273" i="38"/>
  <c r="AV272" i="38"/>
  <c r="AW272" i="38"/>
  <c r="AO848" i="38"/>
  <c r="AR848" i="38"/>
  <c r="AQ848" i="38"/>
  <c r="AN848" i="38"/>
  <c r="AV741" i="38"/>
  <c r="AW741" i="38"/>
  <c r="BE612" i="38"/>
  <c r="BD612" i="38"/>
  <c r="AR67" i="38"/>
  <c r="AO67" i="38"/>
  <c r="AN67" i="38"/>
  <c r="AQ67" i="38"/>
  <c r="AV798" i="38"/>
  <c r="AY798" i="38"/>
  <c r="AW798" i="38"/>
  <c r="AZ798" i="38"/>
  <c r="BG914" i="38"/>
  <c r="BE914" i="38"/>
  <c r="BH914" i="38"/>
  <c r="BD914" i="38"/>
  <c r="AP85" i="38"/>
  <c r="AR464" i="38"/>
  <c r="AO464" i="38"/>
  <c r="AN464" i="38"/>
  <c r="AQ464" i="38"/>
  <c r="BE629" i="38"/>
  <c r="BD629" i="38"/>
  <c r="AV692" i="38"/>
  <c r="AW692" i="38"/>
  <c r="BE705" i="38"/>
  <c r="BD705" i="38"/>
  <c r="BD1024" i="38"/>
  <c r="BE1024" i="38"/>
  <c r="AO716" i="38"/>
  <c r="AN716" i="38"/>
  <c r="AQ254" i="38"/>
  <c r="AO254" i="38"/>
  <c r="AR254" i="38"/>
  <c r="AN254" i="38"/>
  <c r="AL240" i="38"/>
  <c r="AV946" i="38"/>
  <c r="AW946" i="38"/>
  <c r="AZ946" i="38"/>
  <c r="AY946" i="38"/>
  <c r="BE689" i="38"/>
  <c r="BD689" i="38"/>
  <c r="AO941" i="38"/>
  <c r="AN941" i="38"/>
  <c r="AR941" i="38"/>
  <c r="AQ941" i="38"/>
  <c r="AV579" i="38"/>
  <c r="AW579" i="38"/>
  <c r="AN1047" i="38"/>
  <c r="AO1047" i="38"/>
  <c r="BD659" i="38"/>
  <c r="BE659" i="38"/>
  <c r="BE681" i="38"/>
  <c r="BD681" i="38"/>
  <c r="BE678" i="38"/>
  <c r="BD678" i="38"/>
  <c r="BD983" i="38"/>
  <c r="BE983" i="38"/>
  <c r="AV353" i="38"/>
  <c r="AW353" i="38"/>
  <c r="AQ65" i="38"/>
  <c r="AN65" i="38"/>
  <c r="AR65" i="38"/>
  <c r="AO65" i="38"/>
  <c r="AO223" i="38"/>
  <c r="AR223" i="38"/>
  <c r="AN223" i="38"/>
  <c r="AQ223" i="38"/>
  <c r="AO1080" i="38"/>
  <c r="AN1080" i="38"/>
  <c r="AW416" i="38"/>
  <c r="AY416" i="38"/>
  <c r="AZ416" i="38"/>
  <c r="AV416" i="38"/>
  <c r="BD570" i="38"/>
  <c r="BE570" i="38"/>
  <c r="AZ839" i="38"/>
  <c r="AW839" i="38"/>
  <c r="AV839" i="38"/>
  <c r="AY839" i="38"/>
  <c r="BE786" i="38"/>
  <c r="BD786" i="38"/>
  <c r="BD650" i="38"/>
  <c r="BE650" i="38"/>
  <c r="AR504" i="38"/>
  <c r="AN504" i="38"/>
  <c r="AQ504" i="38"/>
  <c r="AO504" i="38"/>
  <c r="AZ784" i="38"/>
  <c r="AY784" i="38"/>
  <c r="AV784" i="38"/>
  <c r="AW784" i="38"/>
  <c r="AN1033" i="38"/>
  <c r="AO1033" i="38"/>
  <c r="BE233" i="38"/>
  <c r="BH233" i="38"/>
  <c r="BG233" i="38"/>
  <c r="BD233" i="38"/>
  <c r="AW19" i="38"/>
  <c r="AV19" i="38"/>
  <c r="AZ19" i="38"/>
  <c r="AY19" i="38"/>
  <c r="AX358" i="38"/>
  <c r="AX373" i="38" s="1"/>
  <c r="AX374" i="38"/>
  <c r="AV737" i="38"/>
  <c r="AW737" i="38"/>
  <c r="BE1072" i="38"/>
  <c r="BD1072" i="38"/>
  <c r="AO935" i="38"/>
  <c r="AR935" i="38"/>
  <c r="AN935" i="38"/>
  <c r="AQ935" i="38"/>
  <c r="AW659" i="38"/>
  <c r="AV659" i="38"/>
  <c r="AY773" i="38"/>
  <c r="AW773" i="38"/>
  <c r="AV773" i="38"/>
  <c r="AZ773" i="38"/>
  <c r="BD985" i="38"/>
  <c r="BE985" i="38"/>
  <c r="AO786" i="38"/>
  <c r="AN786" i="38"/>
  <c r="AN122" i="38"/>
  <c r="AQ122" i="38"/>
  <c r="AR122" i="38"/>
  <c r="AO122" i="38"/>
  <c r="AW145" i="38"/>
  <c r="AV145" i="38"/>
  <c r="AZ145" i="38"/>
  <c r="AY145" i="38"/>
  <c r="BD916" i="38"/>
  <c r="BG916" i="38"/>
  <c r="BH916" i="38"/>
  <c r="BE916" i="38"/>
  <c r="BD619" i="38"/>
  <c r="BE619" i="38"/>
  <c r="AY851" i="38"/>
  <c r="AW851" i="38"/>
  <c r="AZ851" i="38"/>
  <c r="AV851" i="38"/>
  <c r="AM358" i="38"/>
  <c r="AM373" i="38" s="1"/>
  <c r="AM374" i="38"/>
  <c r="AN374" i="38" s="1"/>
  <c r="AM316" i="38"/>
  <c r="AO962" i="38"/>
  <c r="AN962" i="38"/>
  <c r="BG869" i="38"/>
  <c r="BH869" i="38"/>
  <c r="BD869" i="38"/>
  <c r="BE869" i="38"/>
  <c r="BF87" i="38"/>
  <c r="BG87" i="38" s="1"/>
  <c r="AU543" i="38"/>
  <c r="AT1465" i="38"/>
  <c r="AW834" i="38"/>
  <c r="AY834" i="38"/>
  <c r="AZ834" i="38"/>
  <c r="AV834" i="38"/>
  <c r="AO923" i="38"/>
  <c r="AR923" i="38"/>
  <c r="AN923" i="38"/>
  <c r="AQ923" i="38"/>
  <c r="BG212" i="38"/>
  <c r="BE212" i="38"/>
  <c r="BH212" i="38"/>
  <c r="BD212" i="38"/>
  <c r="AW484" i="38"/>
  <c r="AZ484" i="38"/>
  <c r="AY484" i="38"/>
  <c r="AV484" i="38"/>
  <c r="AN120" i="38"/>
  <c r="AR120" i="38"/>
  <c r="AQ120" i="38"/>
  <c r="AO120" i="38"/>
  <c r="AQ850" i="38"/>
  <c r="AN850" i="38"/>
  <c r="AR850" i="38"/>
  <c r="AO850" i="38"/>
  <c r="BE524" i="38"/>
  <c r="BD524" i="38"/>
  <c r="AN796" i="38"/>
  <c r="AO796" i="38"/>
  <c r="AQ796" i="38"/>
  <c r="AR796" i="38"/>
  <c r="AY840" i="38"/>
  <c r="AZ840" i="38"/>
  <c r="AW840" i="38"/>
  <c r="AV840" i="38"/>
  <c r="BG35" i="38"/>
  <c r="BB36" i="38"/>
  <c r="BE35" i="38"/>
  <c r="BD35" i="38"/>
  <c r="BH35" i="38"/>
  <c r="BE353" i="38"/>
  <c r="BD353" i="38"/>
  <c r="AV296" i="38"/>
  <c r="AW296" i="38"/>
  <c r="AV697" i="38"/>
  <c r="AW697" i="38"/>
  <c r="BH144" i="38"/>
  <c r="BG144" i="38"/>
  <c r="BE601" i="38"/>
  <c r="BD601" i="38"/>
  <c r="BE892" i="38"/>
  <c r="BD892" i="38"/>
  <c r="BG892" i="38"/>
  <c r="BH892" i="38"/>
  <c r="BG204" i="38"/>
  <c r="BH204" i="38"/>
  <c r="AR459" i="38"/>
  <c r="AQ459" i="38"/>
  <c r="AO459" i="38"/>
  <c r="AN459" i="38"/>
  <c r="AW509" i="38"/>
  <c r="AY509" i="38"/>
  <c r="AV509" i="38"/>
  <c r="AZ509" i="38"/>
  <c r="AW1010" i="38"/>
  <c r="AV1010" i="38"/>
  <c r="AP367" i="38"/>
  <c r="AR367" i="38" s="1"/>
  <c r="BE1100" i="38"/>
  <c r="BD1100" i="38"/>
  <c r="BC314" i="38"/>
  <c r="BD1053" i="38"/>
  <c r="BE1053" i="38"/>
  <c r="AN477" i="38"/>
  <c r="AR477" i="38"/>
  <c r="AQ477" i="38"/>
  <c r="AO477" i="38"/>
  <c r="AO370" i="38"/>
  <c r="AQ370" i="38"/>
  <c r="AR370" i="38"/>
  <c r="AN370" i="38"/>
  <c r="BE952" i="38"/>
  <c r="BD952" i="38"/>
  <c r="AO756" i="38"/>
  <c r="AN756" i="38"/>
  <c r="AR756" i="38"/>
  <c r="AQ756" i="38"/>
  <c r="AV497" i="38"/>
  <c r="AY497" i="38"/>
  <c r="AW497" i="38"/>
  <c r="AZ497" i="38"/>
  <c r="AW526" i="38"/>
  <c r="AV526" i="38"/>
  <c r="AN1011" i="38"/>
  <c r="AO1011" i="38"/>
  <c r="BE47" i="38"/>
  <c r="BD47" i="38"/>
  <c r="BG47" i="38"/>
  <c r="BH47" i="38"/>
  <c r="BD487" i="38"/>
  <c r="BG487" i="38"/>
  <c r="BH487" i="38"/>
  <c r="BE487" i="38"/>
  <c r="AW574" i="38"/>
  <c r="AV574" i="38"/>
  <c r="BD727" i="38"/>
  <c r="BE727" i="38"/>
  <c r="AV1070" i="38"/>
  <c r="AW1070" i="38"/>
  <c r="AV445" i="38"/>
  <c r="AW445" i="38"/>
  <c r="AY445" i="38"/>
  <c r="AZ445" i="38"/>
  <c r="BE965" i="38"/>
  <c r="BD965" i="38"/>
  <c r="AZ64" i="38"/>
  <c r="AW64" i="38"/>
  <c r="AY64" i="38"/>
  <c r="AV64" i="38"/>
  <c r="AO545" i="38"/>
  <c r="AN545" i="38"/>
  <c r="AQ545" i="38"/>
  <c r="AR545" i="38"/>
  <c r="AW234" i="38"/>
  <c r="AY234" i="38"/>
  <c r="AV234" i="38"/>
  <c r="AZ234" i="38"/>
  <c r="BD576" i="38"/>
  <c r="BE576" i="38"/>
  <c r="AV989" i="38"/>
  <c r="AW989" i="38"/>
  <c r="AW287" i="38"/>
  <c r="AV287" i="38"/>
  <c r="BE740" i="38"/>
  <c r="BD740" i="38"/>
  <c r="BC1466" i="38"/>
  <c r="BE1466" i="38" s="1"/>
  <c r="AO483" i="38"/>
  <c r="AN483" i="38"/>
  <c r="AR483" i="38"/>
  <c r="AQ483" i="38"/>
  <c r="BE323" i="38"/>
  <c r="BD323" i="38"/>
  <c r="BB314" i="38"/>
  <c r="AN964" i="38"/>
  <c r="AO964" i="38"/>
  <c r="AV686" i="38"/>
  <c r="AW686" i="38"/>
  <c r="BE263" i="38"/>
  <c r="BH263" i="38"/>
  <c r="BD263" i="38"/>
  <c r="BG263" i="38"/>
  <c r="BB249" i="38"/>
  <c r="BG249" i="38" s="1"/>
  <c r="BD113" i="38"/>
  <c r="BG113" i="38"/>
  <c r="BE113" i="38"/>
  <c r="BH113" i="38"/>
  <c r="AN842" i="38"/>
  <c r="AO842" i="38"/>
  <c r="AR842" i="38"/>
  <c r="AQ842" i="38"/>
  <c r="BE471" i="38"/>
  <c r="BG471" i="38"/>
  <c r="BH471" i="38"/>
  <c r="BD471" i="38"/>
  <c r="BH172" i="38"/>
  <c r="BE172" i="38"/>
  <c r="BG172" i="38"/>
  <c r="BD172" i="38"/>
  <c r="AV430" i="38"/>
  <c r="AZ430" i="38"/>
  <c r="AW430" i="38"/>
  <c r="AY430" i="38"/>
  <c r="AT431" i="38"/>
  <c r="AT90" i="38" s="1"/>
  <c r="BE1081" i="38"/>
  <c r="BD1081" i="38"/>
  <c r="BD1065" i="38"/>
  <c r="BE1065" i="38"/>
  <c r="AV1019" i="38"/>
  <c r="AW1019" i="38"/>
  <c r="BD332" i="38"/>
  <c r="BE332" i="38"/>
  <c r="AO107" i="38"/>
  <c r="AQ107" i="38"/>
  <c r="AN107" i="38"/>
  <c r="AR107" i="38"/>
  <c r="AV1042" i="38"/>
  <c r="AW1042" i="38"/>
  <c r="BH497" i="38"/>
  <c r="BG497" i="38"/>
  <c r="BE497" i="38"/>
  <c r="BD497" i="38"/>
  <c r="BH888" i="38"/>
  <c r="BD888" i="38"/>
  <c r="BG888" i="38"/>
  <c r="BE888" i="38"/>
  <c r="AR52" i="38"/>
  <c r="AO52" i="38"/>
  <c r="AQ52" i="38"/>
  <c r="AN52" i="38"/>
  <c r="AR827" i="38"/>
  <c r="AN827" i="38"/>
  <c r="AQ827" i="38"/>
  <c r="AO827" i="38"/>
  <c r="AZ489" i="38"/>
  <c r="AV489" i="38"/>
  <c r="AW489" i="38"/>
  <c r="AY489" i="38"/>
  <c r="AY925" i="38"/>
  <c r="AZ925" i="38"/>
  <c r="AW925" i="38"/>
  <c r="AV925" i="38"/>
  <c r="BG836" i="38"/>
  <c r="BE836" i="38"/>
  <c r="BH836" i="38"/>
  <c r="BD836" i="38"/>
  <c r="AO389" i="38"/>
  <c r="AL379" i="38"/>
  <c r="AN389" i="38"/>
  <c r="AP244" i="38"/>
  <c r="AW1087" i="38"/>
  <c r="AV1087" i="38"/>
  <c r="AP80" i="38"/>
  <c r="AZ108" i="38"/>
  <c r="AW108" i="38"/>
  <c r="AY108" i="38"/>
  <c r="AV108" i="38"/>
  <c r="BD171" i="38"/>
  <c r="BE171" i="38"/>
  <c r="BG171" i="38"/>
  <c r="BH171" i="38"/>
  <c r="AV365" i="38"/>
  <c r="AZ365" i="38"/>
  <c r="AW365" i="38"/>
  <c r="AY365" i="38"/>
  <c r="AX443" i="38"/>
  <c r="AX341" i="38" s="1"/>
  <c r="BC1465" i="38"/>
  <c r="BE527" i="38"/>
  <c r="BD527" i="38"/>
  <c r="BB248" i="38"/>
  <c r="BD262" i="38"/>
  <c r="BE262" i="38"/>
  <c r="BH262" i="38"/>
  <c r="BG262" i="38"/>
  <c r="AX381" i="38"/>
  <c r="AX371" i="38" s="1"/>
  <c r="BG98" i="38"/>
  <c r="BE98" i="38"/>
  <c r="BH98" i="38"/>
  <c r="BD98" i="38"/>
  <c r="AQ218" i="38"/>
  <c r="AN218" i="38"/>
  <c r="AO218" i="38"/>
  <c r="AR218" i="38"/>
  <c r="AN175" i="38"/>
  <c r="AO175" i="38"/>
  <c r="AR175" i="38"/>
  <c r="AQ175" i="38"/>
  <c r="AP381" i="38"/>
  <c r="AR381" i="38" s="1"/>
  <c r="AN1040" i="38"/>
  <c r="AO1040" i="38"/>
  <c r="BE68" i="38"/>
  <c r="BD68" i="38"/>
  <c r="BG68" i="38"/>
  <c r="BH68" i="38"/>
  <c r="BF439" i="38"/>
  <c r="BF278" i="38" s="1"/>
  <c r="AV658" i="38"/>
  <c r="AW658" i="38"/>
  <c r="AW594" i="38"/>
  <c r="AV594" i="38"/>
  <c r="BC381" i="38"/>
  <c r="AW963" i="38"/>
  <c r="AV963" i="38"/>
  <c r="AQ368" i="38"/>
  <c r="AN368" i="38"/>
  <c r="AR368" i="38"/>
  <c r="AL367" i="38"/>
  <c r="AO368" i="38"/>
  <c r="AV1023" i="38"/>
  <c r="AW1023" i="38"/>
  <c r="AO614" i="38"/>
  <c r="AN614" i="38"/>
  <c r="AO159" i="38"/>
  <c r="AR159" i="38"/>
  <c r="AN159" i="38"/>
  <c r="AQ159" i="38"/>
  <c r="BD872" i="38"/>
  <c r="BG872" i="38"/>
  <c r="BE872" i="38"/>
  <c r="BH872" i="38"/>
  <c r="AO287" i="38"/>
  <c r="AN287" i="38"/>
  <c r="AN895" i="38"/>
  <c r="AR895" i="38"/>
  <c r="AO895" i="38"/>
  <c r="AQ895" i="38"/>
  <c r="AO759" i="38"/>
  <c r="AQ759" i="38"/>
  <c r="AN759" i="38"/>
  <c r="AR759" i="38"/>
  <c r="AR16" i="38"/>
  <c r="AO16" i="38"/>
  <c r="AN16" i="38"/>
  <c r="AQ16" i="38"/>
  <c r="BC380" i="38"/>
  <c r="AL412" i="38"/>
  <c r="AN411" i="38"/>
  <c r="AO411" i="38"/>
  <c r="BF367" i="38"/>
  <c r="BF362" i="38" s="1"/>
  <c r="BG362" i="38" s="1"/>
  <c r="AX127" i="38"/>
  <c r="AZ444" i="38"/>
  <c r="AY444" i="38"/>
  <c r="AV444" i="38"/>
  <c r="AW444" i="38"/>
  <c r="AY914" i="38"/>
  <c r="AZ914" i="38"/>
  <c r="AV914" i="38"/>
  <c r="AW914" i="38"/>
  <c r="AR501" i="38"/>
  <c r="AQ501" i="38"/>
  <c r="AO501" i="38"/>
  <c r="AN501" i="38"/>
  <c r="AV965" i="38"/>
  <c r="AW965" i="38"/>
  <c r="AW1027" i="38"/>
  <c r="AV1027" i="38"/>
  <c r="AO676" i="38"/>
  <c r="AN676" i="38"/>
  <c r="AY879" i="38"/>
  <c r="AZ879" i="38"/>
  <c r="AV879" i="38"/>
  <c r="AW879" i="38"/>
  <c r="AO409" i="38"/>
  <c r="AR409" i="38"/>
  <c r="AQ409" i="38"/>
  <c r="AN409" i="38"/>
  <c r="BF1460" i="38"/>
  <c r="AW556" i="38"/>
  <c r="AV556" i="38"/>
  <c r="BG395" i="38"/>
  <c r="BD395" i="38"/>
  <c r="BE395" i="38"/>
  <c r="BH395" i="38"/>
  <c r="AU25" i="38"/>
  <c r="AV366" i="38"/>
  <c r="AY366" i="38"/>
  <c r="AW366" i="38"/>
  <c r="AZ366" i="38"/>
  <c r="AX125" i="38"/>
  <c r="BE199" i="38"/>
  <c r="BD199" i="38"/>
  <c r="BG199" i="38"/>
  <c r="BH199" i="38"/>
  <c r="AQ192" i="38"/>
  <c r="AN192" i="38"/>
  <c r="AO192" i="38"/>
  <c r="AR192" i="38"/>
  <c r="BH235" i="38"/>
  <c r="BD235" i="38"/>
  <c r="BE235" i="38"/>
  <c r="BG235" i="38"/>
  <c r="AN48" i="38"/>
  <c r="AQ48" i="38"/>
  <c r="AR48" i="38"/>
  <c r="AO48" i="38"/>
  <c r="BH131" i="38"/>
  <c r="BG131" i="38"/>
  <c r="BD131" i="38"/>
  <c r="BE131" i="38"/>
  <c r="AX431" i="38"/>
  <c r="AX90" i="38" s="1"/>
  <c r="BG106" i="38"/>
  <c r="BD106" i="38"/>
  <c r="BB80" i="38"/>
  <c r="BE106" i="38"/>
  <c r="BH106" i="38"/>
  <c r="AN290" i="38"/>
  <c r="AO290" i="38"/>
  <c r="AZ820" i="38"/>
  <c r="AW820" i="38"/>
  <c r="AV820" i="38"/>
  <c r="AY820" i="38"/>
  <c r="AO821" i="38"/>
  <c r="AR821" i="38"/>
  <c r="AN821" i="38"/>
  <c r="AQ821" i="38"/>
  <c r="AV926" i="38"/>
  <c r="AY926" i="38"/>
  <c r="AZ926" i="38"/>
  <c r="AW926" i="38"/>
  <c r="AM80" i="38"/>
  <c r="AV1008" i="38"/>
  <c r="AW1008" i="38"/>
  <c r="AQ782" i="38"/>
  <c r="AR782" i="38"/>
  <c r="AN782" i="38"/>
  <c r="AO782" i="38"/>
  <c r="BE1007" i="38"/>
  <c r="BD1007" i="38"/>
  <c r="BE393" i="38"/>
  <c r="BD393" i="38"/>
  <c r="BH393" i="38"/>
  <c r="BG393" i="38"/>
  <c r="AW890" i="38"/>
  <c r="AY890" i="38"/>
  <c r="AV890" i="38"/>
  <c r="AZ890" i="38"/>
  <c r="BE972" i="38"/>
  <c r="BD972" i="38"/>
  <c r="BE259" i="38"/>
  <c r="BD259" i="38"/>
  <c r="BB245" i="38"/>
  <c r="BG259" i="38"/>
  <c r="BH259" i="38"/>
  <c r="AN1090" i="38"/>
  <c r="AO1090" i="38"/>
  <c r="BD575" i="38"/>
  <c r="BE575" i="38"/>
  <c r="AO330" i="38"/>
  <c r="AN330" i="38"/>
  <c r="AP1459" i="38"/>
  <c r="AW613" i="38"/>
  <c r="AV613" i="38"/>
  <c r="AV664" i="38"/>
  <c r="AW664" i="38"/>
  <c r="AN520" i="38"/>
  <c r="AQ520" i="38"/>
  <c r="AR520" i="38"/>
  <c r="AO520" i="38"/>
  <c r="BE1078" i="38"/>
  <c r="BD1078" i="38"/>
  <c r="AO572" i="38"/>
  <c r="AN572" i="38"/>
  <c r="AN596" i="38"/>
  <c r="AO596" i="38"/>
  <c r="AW184" i="38"/>
  <c r="AY184" i="38"/>
  <c r="AT180" i="38"/>
  <c r="AZ184" i="38"/>
  <c r="AV184" i="38"/>
  <c r="BF435" i="38"/>
  <c r="BF196" i="38" s="1"/>
  <c r="BD97" i="38"/>
  <c r="BH97" i="38"/>
  <c r="BE97" i="38"/>
  <c r="BG97" i="38"/>
  <c r="AY149" i="38"/>
  <c r="AZ149" i="38"/>
  <c r="AV149" i="38"/>
  <c r="AW149" i="38"/>
  <c r="AO711" i="38"/>
  <c r="AN711" i="38"/>
  <c r="AU318" i="38"/>
  <c r="AQ263" i="38"/>
  <c r="AN263" i="38"/>
  <c r="AL249" i="38"/>
  <c r="AR263" i="38"/>
  <c r="AO263" i="38"/>
  <c r="BD1041" i="38"/>
  <c r="BE1041" i="38"/>
  <c r="AW134" i="38"/>
  <c r="AV134" i="38"/>
  <c r="AT85" i="38"/>
  <c r="AY134" i="38"/>
  <c r="AZ134" i="38"/>
  <c r="BE843" i="38"/>
  <c r="BD843" i="38"/>
  <c r="BG843" i="38"/>
  <c r="BH843" i="38"/>
  <c r="BH230" i="38"/>
  <c r="BD230" i="38"/>
  <c r="BG230" i="38"/>
  <c r="BE230" i="38"/>
  <c r="BH130" i="38"/>
  <c r="BB127" i="38"/>
  <c r="BG127" i="38" s="1"/>
  <c r="BD130" i="38"/>
  <c r="BG130" i="38"/>
  <c r="BE130" i="38"/>
  <c r="AR775" i="38"/>
  <c r="AQ775" i="38"/>
  <c r="AO775" i="38"/>
  <c r="AN775" i="38"/>
  <c r="AM85" i="38"/>
  <c r="AM82" i="38" s="1"/>
  <c r="BH16" i="38"/>
  <c r="BG16" i="38"/>
  <c r="BD16" i="38"/>
  <c r="BE16" i="38"/>
  <c r="BB1458" i="38"/>
  <c r="BH1458" i="38" s="1"/>
  <c r="AO1045" i="38"/>
  <c r="AN1045" i="38"/>
  <c r="AR32" i="38"/>
  <c r="AN32" i="38"/>
  <c r="AO32" i="38"/>
  <c r="AQ32" i="38"/>
  <c r="BD1018" i="38"/>
  <c r="BE1018" i="38"/>
  <c r="AV1069" i="38"/>
  <c r="AW1069" i="38"/>
  <c r="BD645" i="38"/>
  <c r="BE645" i="38"/>
  <c r="AN238" i="38"/>
  <c r="AR238" i="38"/>
  <c r="AQ238" i="38"/>
  <c r="AO238" i="38"/>
  <c r="AL239" i="38"/>
  <c r="AQ239" i="38" s="1"/>
  <c r="AZ845" i="38"/>
  <c r="AV845" i="38"/>
  <c r="AW845" i="38"/>
  <c r="AY845" i="38"/>
  <c r="AY185" i="38"/>
  <c r="AZ185" i="38"/>
  <c r="AV185" i="38"/>
  <c r="AW185" i="38"/>
  <c r="AT181" i="38"/>
  <c r="AN1027" i="38"/>
  <c r="AO1027" i="38"/>
  <c r="AX240" i="38"/>
  <c r="AW1054" i="38"/>
  <c r="AV1054" i="38"/>
  <c r="BD515" i="38"/>
  <c r="BG515" i="38"/>
  <c r="BH515" i="38"/>
  <c r="BE515" i="38"/>
  <c r="AW567" i="38"/>
  <c r="AV567" i="38"/>
  <c r="AW606" i="38"/>
  <c r="AV606" i="38"/>
  <c r="AN940" i="38"/>
  <c r="AQ940" i="38"/>
  <c r="AO940" i="38"/>
  <c r="AR940" i="38"/>
  <c r="BD901" i="38"/>
  <c r="BE901" i="38"/>
  <c r="BH901" i="38"/>
  <c r="BG901" i="38"/>
  <c r="AO1091" i="38"/>
  <c r="AN1091" i="38"/>
  <c r="AO1077" i="38"/>
  <c r="AN1077" i="38"/>
  <c r="BH30" i="38"/>
  <c r="BG30" i="38"/>
  <c r="BE30" i="38"/>
  <c r="BD30" i="38"/>
  <c r="BD725" i="38"/>
  <c r="BE725" i="38"/>
  <c r="AO607" i="38"/>
  <c r="AN607" i="38"/>
  <c r="BH792" i="38"/>
  <c r="BD792" i="38"/>
  <c r="BG792" i="38"/>
  <c r="BE792" i="38"/>
  <c r="BD842" i="38"/>
  <c r="BG842" i="38"/>
  <c r="BH842" i="38"/>
  <c r="BE842" i="38"/>
  <c r="AU443" i="38"/>
  <c r="AU341" i="38" s="1"/>
  <c r="AY869" i="38"/>
  <c r="AV869" i="38"/>
  <c r="AZ869" i="38"/>
  <c r="AW869" i="38"/>
  <c r="AV1034" i="38"/>
  <c r="AW1034" i="38"/>
  <c r="AO23" i="38"/>
  <c r="AQ23" i="38"/>
  <c r="AL1467" i="38"/>
  <c r="AN23" i="38"/>
  <c r="AR23" i="38"/>
  <c r="AW684" i="38"/>
  <c r="AV684" i="38"/>
  <c r="AR769" i="38"/>
  <c r="AO769" i="38"/>
  <c r="AQ769" i="38"/>
  <c r="AN769" i="38"/>
  <c r="AO618" i="38"/>
  <c r="AN618" i="38"/>
  <c r="AO888" i="38"/>
  <c r="AN888" i="38"/>
  <c r="AQ888" i="38"/>
  <c r="AR888" i="38"/>
  <c r="BB284" i="38"/>
  <c r="BD283" i="38"/>
  <c r="BE283" i="38"/>
  <c r="AV304" i="38"/>
  <c r="AW304" i="38"/>
  <c r="AX181" i="38"/>
  <c r="AY181" i="38" s="1"/>
  <c r="BE839" i="38"/>
  <c r="BD839" i="38"/>
  <c r="BG839" i="38"/>
  <c r="BH839" i="38"/>
  <c r="BC412" i="38"/>
  <c r="BD710" i="38"/>
  <c r="BE710" i="38"/>
  <c r="BD291" i="38"/>
  <c r="BE291" i="38"/>
  <c r="AW188" i="38"/>
  <c r="AV188" i="38"/>
  <c r="BB447" i="38"/>
  <c r="BD447" i="38" s="1"/>
  <c r="BG446" i="38"/>
  <c r="BE446" i="38"/>
  <c r="BH446" i="38"/>
  <c r="BD446" i="38"/>
  <c r="AW1033" i="38"/>
  <c r="AV1033" i="38"/>
  <c r="AZ493" i="38"/>
  <c r="AV493" i="38"/>
  <c r="AW493" i="38"/>
  <c r="AY493" i="38"/>
  <c r="BE580" i="38"/>
  <c r="BD580" i="38"/>
  <c r="AU252" i="38"/>
  <c r="AQ165" i="38"/>
  <c r="AR165" i="38"/>
  <c r="AO165" i="38"/>
  <c r="AN165" i="38"/>
  <c r="BE582" i="38"/>
  <c r="BD582" i="38"/>
  <c r="BD1097" i="38"/>
  <c r="BE1097" i="38"/>
  <c r="AN1016" i="38"/>
  <c r="AO1016" i="38"/>
  <c r="AW469" i="38"/>
  <c r="AV469" i="38"/>
  <c r="AZ469" i="38"/>
  <c r="AY469" i="38"/>
  <c r="BD589" i="38"/>
  <c r="BE589" i="38"/>
  <c r="AV97" i="38"/>
  <c r="AY97" i="38"/>
  <c r="AW97" i="38"/>
  <c r="AZ97" i="38"/>
  <c r="AV1045" i="38"/>
  <c r="AW1045" i="38"/>
  <c r="BH940" i="38"/>
  <c r="BG940" i="38"/>
  <c r="BD940" i="38"/>
  <c r="BE940" i="38"/>
  <c r="AU431" i="38"/>
  <c r="AU90" i="38" s="1"/>
  <c r="AR763" i="38"/>
  <c r="AQ763" i="38"/>
  <c r="AO763" i="38"/>
  <c r="AN763" i="38"/>
  <c r="AM239" i="38"/>
  <c r="AW1075" i="38"/>
  <c r="AV1075" i="38"/>
  <c r="BF181" i="38"/>
  <c r="AV887" i="38"/>
  <c r="AY887" i="38"/>
  <c r="AW887" i="38"/>
  <c r="AZ887" i="38"/>
  <c r="BD467" i="38"/>
  <c r="BE467" i="38"/>
  <c r="BG467" i="38"/>
  <c r="BH467" i="38"/>
  <c r="AO865" i="38"/>
  <c r="AR865" i="38"/>
  <c r="AN865" i="38"/>
  <c r="AQ865" i="38"/>
  <c r="BH513" i="38"/>
  <c r="BE513" i="38"/>
  <c r="BG513" i="38"/>
  <c r="BD513" i="38"/>
  <c r="BD802" i="38"/>
  <c r="BH802" i="38"/>
  <c r="BG802" i="38"/>
  <c r="BE802" i="38"/>
  <c r="AN826" i="38"/>
  <c r="AR826" i="38"/>
  <c r="AQ826" i="38"/>
  <c r="AO826" i="38"/>
  <c r="BD955" i="38"/>
  <c r="BE955" i="38"/>
  <c r="AO1063" i="38"/>
  <c r="AN1063" i="38"/>
  <c r="AX786" i="38"/>
  <c r="AY786" i="38" s="1"/>
  <c r="BD296" i="38"/>
  <c r="BE296" i="38"/>
  <c r="AR227" i="38"/>
  <c r="AN227" i="38"/>
  <c r="AO227" i="38"/>
  <c r="AQ227" i="38"/>
  <c r="BE741" i="38"/>
  <c r="BD741" i="38"/>
  <c r="AR869" i="38"/>
  <c r="AQ869" i="38"/>
  <c r="AN869" i="38"/>
  <c r="AO869" i="38"/>
  <c r="BE547" i="38"/>
  <c r="BG547" i="38"/>
  <c r="BD547" i="38"/>
  <c r="BH547" i="38"/>
  <c r="BD608" i="38"/>
  <c r="BE608" i="38"/>
  <c r="AV420" i="38"/>
  <c r="AW420" i="38"/>
  <c r="AY420" i="38"/>
  <c r="AZ420" i="38"/>
  <c r="BF25" i="38"/>
  <c r="AO163" i="38"/>
  <c r="AN163" i="38"/>
  <c r="AR163" i="38"/>
  <c r="AQ163" i="38"/>
  <c r="AN1076" i="38"/>
  <c r="AO1076" i="38"/>
  <c r="AV651" i="38"/>
  <c r="AW651" i="38"/>
  <c r="BG796" i="38"/>
  <c r="BD796" i="38"/>
  <c r="BH796" i="38"/>
  <c r="BE796" i="38"/>
  <c r="BE51" i="38"/>
  <c r="BH51" i="38"/>
  <c r="BG51" i="38"/>
  <c r="BD51" i="38"/>
  <c r="BE603" i="38"/>
  <c r="BD603" i="38"/>
  <c r="AV490" i="38"/>
  <c r="AY490" i="38"/>
  <c r="AW490" i="38"/>
  <c r="AZ490" i="38"/>
  <c r="AN560" i="38"/>
  <c r="AO560" i="38"/>
  <c r="AN1087" i="38"/>
  <c r="AO1087" i="38"/>
  <c r="BE781" i="38"/>
  <c r="BD781" i="38"/>
  <c r="BG781" i="38"/>
  <c r="BH781" i="38"/>
  <c r="BD623" i="38"/>
  <c r="BE623" i="38"/>
  <c r="AO205" i="38"/>
  <c r="AQ205" i="38"/>
  <c r="AN205" i="38"/>
  <c r="AR205" i="38"/>
  <c r="AO740" i="38"/>
  <c r="AN740" i="38"/>
  <c r="BE558" i="38"/>
  <c r="BD558" i="38"/>
  <c r="AN170" i="38"/>
  <c r="AO170" i="38"/>
  <c r="AQ170" i="38"/>
  <c r="AR170" i="38"/>
  <c r="AO824" i="38"/>
  <c r="AR824" i="38"/>
  <c r="AQ824" i="38"/>
  <c r="AN824" i="38"/>
  <c r="BG50" i="38"/>
  <c r="BE50" i="38"/>
  <c r="BH50" i="38"/>
  <c r="BD50" i="38"/>
  <c r="BE31" i="38"/>
  <c r="BD31" i="38"/>
  <c r="BH31" i="38"/>
  <c r="BG31" i="38"/>
  <c r="AR265" i="38"/>
  <c r="AL251" i="38"/>
  <c r="AN251" i="38" s="1"/>
  <c r="AN265" i="38"/>
  <c r="AO265" i="38"/>
  <c r="AQ265" i="38"/>
  <c r="AN582" i="38"/>
  <c r="AO582" i="38"/>
  <c r="AN171" i="38"/>
  <c r="AR171" i="38"/>
  <c r="AQ171" i="38"/>
  <c r="AO171" i="38"/>
  <c r="BG138" i="38"/>
  <c r="BE138" i="38"/>
  <c r="BD138" i="38"/>
  <c r="BB88" i="38"/>
  <c r="BH138" i="38"/>
  <c r="BE350" i="38"/>
  <c r="BD350" i="38"/>
  <c r="AO305" i="38"/>
  <c r="AN305" i="38"/>
  <c r="AO671" i="38"/>
  <c r="AN671" i="38"/>
  <c r="BE1073" i="38"/>
  <c r="BD1073" i="38"/>
  <c r="BE1019" i="38"/>
  <c r="BD1019" i="38"/>
  <c r="BH826" i="38"/>
  <c r="BG826" i="38"/>
  <c r="BD826" i="38"/>
  <c r="BE826" i="38"/>
  <c r="AV610" i="38"/>
  <c r="AW610" i="38"/>
  <c r="AM243" i="38"/>
  <c r="AY896" i="38"/>
  <c r="AW896" i="38"/>
  <c r="AV896" i="38"/>
  <c r="AZ896" i="38"/>
  <c r="AV932" i="38"/>
  <c r="AY932" i="38"/>
  <c r="AW932" i="38"/>
  <c r="AZ932" i="38"/>
  <c r="AO232" i="38"/>
  <c r="AR232" i="38"/>
  <c r="AN232" i="38"/>
  <c r="AQ232" i="38"/>
  <c r="AM273" i="38"/>
  <c r="AV47" i="38"/>
  <c r="AW47" i="38"/>
  <c r="AZ47" i="38"/>
  <c r="AY47" i="38"/>
  <c r="AN1067" i="38"/>
  <c r="AO1067" i="38"/>
  <c r="AO176" i="38"/>
  <c r="AL177" i="38"/>
  <c r="AR176" i="38"/>
  <c r="AN176" i="38"/>
  <c r="AQ176" i="38"/>
  <c r="AO597" i="38"/>
  <c r="AN597" i="38"/>
  <c r="AY163" i="38"/>
  <c r="AZ163" i="38"/>
  <c r="AW163" i="38"/>
  <c r="AV163" i="38"/>
  <c r="AY545" i="38"/>
  <c r="AV545" i="38"/>
  <c r="AW545" i="38"/>
  <c r="AZ545" i="38"/>
  <c r="AN334" i="38"/>
  <c r="AO334" i="38"/>
  <c r="AZ789" i="38"/>
  <c r="AW789" i="38"/>
  <c r="AV789" i="38"/>
  <c r="AY789" i="38"/>
  <c r="BE295" i="38"/>
  <c r="BD295" i="38"/>
  <c r="AN1074" i="38"/>
  <c r="AO1074" i="38"/>
  <c r="BD182" i="38"/>
  <c r="BG182" i="38"/>
  <c r="BH182" i="38"/>
  <c r="BE182" i="38"/>
  <c r="BB178" i="38"/>
  <c r="BD178" i="38" s="1"/>
  <c r="BE41" i="38"/>
  <c r="BD41" i="38"/>
  <c r="BG41" i="38"/>
  <c r="BH41" i="38"/>
  <c r="AQ185" i="38"/>
  <c r="AR185" i="38"/>
  <c r="AN185" i="38"/>
  <c r="AO185" i="38"/>
  <c r="AL181" i="38"/>
  <c r="AQ181" i="38" s="1"/>
  <c r="BD224" i="38"/>
  <c r="BG224" i="38"/>
  <c r="BE224" i="38"/>
  <c r="BH224" i="38"/>
  <c r="AN858" i="38"/>
  <c r="AO858" i="38"/>
  <c r="AR858" i="38"/>
  <c r="AQ858" i="38"/>
  <c r="AO303" i="38"/>
  <c r="AN303" i="38"/>
  <c r="AW870" i="38"/>
  <c r="AY870" i="38"/>
  <c r="AV870" i="38"/>
  <c r="AZ870" i="38"/>
  <c r="AP354" i="38"/>
  <c r="AP353" i="38" s="1"/>
  <c r="AN509" i="38"/>
  <c r="AO509" i="38"/>
  <c r="AQ509" i="38"/>
  <c r="AR509" i="38"/>
  <c r="AY455" i="38"/>
  <c r="AV455" i="38"/>
  <c r="AZ455" i="38"/>
  <c r="AW455" i="38"/>
  <c r="AO891" i="38"/>
  <c r="AN891" i="38"/>
  <c r="AR891" i="38"/>
  <c r="AQ891" i="38"/>
  <c r="AQ790" i="38"/>
  <c r="AN790" i="38"/>
  <c r="AO790" i="38"/>
  <c r="AR790" i="38"/>
  <c r="AM315" i="38"/>
  <c r="BD682" i="38"/>
  <c r="BE682" i="38"/>
  <c r="BD930" i="38"/>
  <c r="BG930" i="38"/>
  <c r="BE930" i="38"/>
  <c r="BH930" i="38"/>
  <c r="AV69" i="38"/>
  <c r="AW69" i="38"/>
  <c r="AY69" i="38"/>
  <c r="AZ69" i="38"/>
  <c r="AN357" i="38"/>
  <c r="AR357" i="38"/>
  <c r="AO357" i="38"/>
  <c r="AQ357" i="38"/>
  <c r="AW730" i="38"/>
  <c r="AV730" i="38"/>
  <c r="AV837" i="38"/>
  <c r="AW837" i="38"/>
  <c r="AZ837" i="38"/>
  <c r="AY837" i="38"/>
  <c r="AZ468" i="38"/>
  <c r="AV468" i="38"/>
  <c r="AY468" i="38"/>
  <c r="AW468" i="38"/>
  <c r="AZ920" i="38"/>
  <c r="AV920" i="38"/>
  <c r="AW920" i="38"/>
  <c r="AY920" i="38"/>
  <c r="AX1459" i="38"/>
  <c r="AV936" i="38"/>
  <c r="AW936" i="38"/>
  <c r="AY936" i="38"/>
  <c r="AZ936" i="38"/>
  <c r="BH388" i="38"/>
  <c r="BD388" i="38"/>
  <c r="BG388" i="38"/>
  <c r="BB376" i="38"/>
  <c r="BG376" i="38" s="1"/>
  <c r="BE388" i="38"/>
  <c r="AO555" i="38"/>
  <c r="AN555" i="38"/>
  <c r="BD831" i="38"/>
  <c r="BH831" i="38"/>
  <c r="BG831" i="38"/>
  <c r="BE831" i="38"/>
  <c r="AN511" i="38"/>
  <c r="AQ511" i="38"/>
  <c r="AO511" i="38"/>
  <c r="AR511" i="38"/>
  <c r="AW654" i="38"/>
  <c r="AV654" i="38"/>
  <c r="AV766" i="38"/>
  <c r="AZ766" i="38"/>
  <c r="AY766" i="38"/>
  <c r="AW766" i="38"/>
  <c r="AN1005" i="38"/>
  <c r="AO1005" i="38"/>
  <c r="BF140" i="38"/>
  <c r="AW518" i="38"/>
  <c r="AZ518" i="38"/>
  <c r="AV518" i="38"/>
  <c r="AY518" i="38"/>
  <c r="BE732" i="38"/>
  <c r="BD732" i="38"/>
  <c r="AN889" i="38"/>
  <c r="AQ889" i="38"/>
  <c r="AO889" i="38"/>
  <c r="AR889" i="38"/>
  <c r="AQ810" i="38"/>
  <c r="AO810" i="38"/>
  <c r="AR810" i="38"/>
  <c r="AN810" i="38"/>
  <c r="AV263" i="38"/>
  <c r="AW263" i="38"/>
  <c r="AT249" i="38"/>
  <c r="AZ263" i="38"/>
  <c r="AY263" i="38"/>
  <c r="BD33" i="38"/>
  <c r="BE33" i="38"/>
  <c r="BG33" i="38"/>
  <c r="BH33" i="38"/>
  <c r="AT313" i="38"/>
  <c r="AW322" i="38"/>
  <c r="AV322" i="38"/>
  <c r="AR31" i="38"/>
  <c r="AO31" i="38"/>
  <c r="AQ31" i="38"/>
  <c r="AN31" i="38"/>
  <c r="BG784" i="38"/>
  <c r="BE784" i="38"/>
  <c r="BD784" i="38"/>
  <c r="BH784" i="38"/>
  <c r="AN979" i="38"/>
  <c r="AO979" i="38"/>
  <c r="BE371" i="38"/>
  <c r="BB372" i="38"/>
  <c r="BD372" i="38" s="1"/>
  <c r="BD371" i="38"/>
  <c r="BD660" i="38"/>
  <c r="BE660" i="38"/>
  <c r="AM435" i="38"/>
  <c r="AM196" i="38" s="1"/>
  <c r="BD679" i="38"/>
  <c r="BE679" i="38"/>
  <c r="BD1036" i="38"/>
  <c r="BE1036" i="38"/>
  <c r="AW305" i="38"/>
  <c r="AV305" i="38"/>
  <c r="AY99" i="38"/>
  <c r="AZ99" i="38"/>
  <c r="AW99" i="38"/>
  <c r="AV99" i="38"/>
  <c r="BD599" i="38"/>
  <c r="BE599" i="38"/>
  <c r="AY826" i="38"/>
  <c r="AV826" i="38"/>
  <c r="AZ826" i="38"/>
  <c r="AW826" i="38"/>
  <c r="BE724" i="38"/>
  <c r="BD724" i="38"/>
  <c r="BC543" i="38"/>
  <c r="BF202" i="38"/>
  <c r="BH94" i="38"/>
  <c r="BG94" i="38"/>
  <c r="AY255" i="38"/>
  <c r="AT241" i="38"/>
  <c r="AZ255" i="38"/>
  <c r="AV255" i="38"/>
  <c r="AW255" i="38"/>
  <c r="AW652" i="38"/>
  <c r="AV652" i="38"/>
  <c r="BC406" i="38"/>
  <c r="BD406" i="38" s="1"/>
  <c r="AN730" i="38"/>
  <c r="AO730" i="38"/>
  <c r="AN1099" i="38"/>
  <c r="AO1099" i="38"/>
  <c r="BE287" i="38"/>
  <c r="BD287" i="38"/>
  <c r="BE618" i="38"/>
  <c r="BD618" i="38"/>
  <c r="AW1037" i="38"/>
  <c r="AV1037" i="38"/>
  <c r="AN966" i="38"/>
  <c r="AO966" i="38"/>
  <c r="AZ224" i="38"/>
  <c r="AV224" i="38"/>
  <c r="AY224" i="38"/>
  <c r="AW224" i="38"/>
  <c r="AN1088" i="38"/>
  <c r="AO1088" i="38"/>
  <c r="AZ131" i="38"/>
  <c r="AY131" i="38"/>
  <c r="BE928" i="38"/>
  <c r="BD928" i="38"/>
  <c r="BG928" i="38"/>
  <c r="BH928" i="38"/>
  <c r="AW721" i="38"/>
  <c r="AV721" i="38"/>
  <c r="AX150" i="38"/>
  <c r="AX151" i="38" s="1"/>
  <c r="AY151" i="38" s="1"/>
  <c r="BG773" i="38"/>
  <c r="BH773" i="38"/>
  <c r="BD773" i="38"/>
  <c r="BE773" i="38"/>
  <c r="AO619" i="38"/>
  <c r="AN619" i="38"/>
  <c r="BD639" i="38"/>
  <c r="BE639" i="38"/>
  <c r="BE652" i="38"/>
  <c r="BD652" i="38"/>
  <c r="AZ780" i="38"/>
  <c r="AY780" i="38"/>
  <c r="AW780" i="38"/>
  <c r="AV780" i="38"/>
  <c r="AO794" i="38"/>
  <c r="AN794" i="38"/>
  <c r="AN843" i="38"/>
  <c r="AO843" i="38"/>
  <c r="AR843" i="38"/>
  <c r="AQ843" i="38"/>
  <c r="AU381" i="38"/>
  <c r="BE898" i="38"/>
  <c r="BH898" i="38"/>
  <c r="BD898" i="38"/>
  <c r="BG898" i="38"/>
  <c r="AO1014" i="38"/>
  <c r="AN1014" i="38"/>
  <c r="BE109" i="38"/>
  <c r="BD109" i="38"/>
  <c r="AW1026" i="38"/>
  <c r="AV1026" i="38"/>
  <c r="AR456" i="38"/>
  <c r="AO456" i="38"/>
  <c r="AN456" i="38"/>
  <c r="AQ456" i="38"/>
  <c r="BE970" i="38"/>
  <c r="BD970" i="38"/>
  <c r="BB253" i="38"/>
  <c r="BD267" i="38"/>
  <c r="BE267" i="38"/>
  <c r="BH267" i="38"/>
  <c r="BG267" i="38"/>
  <c r="AZ116" i="38"/>
  <c r="AY116" i="38"/>
  <c r="AW116" i="38"/>
  <c r="AV116" i="38"/>
  <c r="AP140" i="38"/>
  <c r="AQ140" i="38" s="1"/>
  <c r="AX825" i="38"/>
  <c r="AZ825" i="38" s="1"/>
  <c r="AR454" i="38"/>
  <c r="AO454" i="38"/>
  <c r="AN454" i="38"/>
  <c r="AQ454" i="38"/>
  <c r="BE1023" i="38"/>
  <c r="BD1023" i="38"/>
  <c r="AN985" i="38"/>
  <c r="AO985" i="38"/>
  <c r="AN533" i="38"/>
  <c r="AO533" i="38"/>
  <c r="BE616" i="38"/>
  <c r="BD616" i="38"/>
  <c r="AP380" i="38"/>
  <c r="AP389" i="38"/>
  <c r="AP379" i="38" s="1"/>
  <c r="AQ379" i="38" s="1"/>
  <c r="AV282" i="38"/>
  <c r="AW282" i="38"/>
  <c r="AY841" i="38"/>
  <c r="AZ841" i="38"/>
  <c r="AW841" i="38"/>
  <c r="AV841" i="38"/>
  <c r="AQ103" i="38"/>
  <c r="AR103" i="38"/>
  <c r="AN103" i="38"/>
  <c r="AO103" i="38"/>
  <c r="AT124" i="38"/>
  <c r="AT81" i="38"/>
  <c r="AY123" i="38"/>
  <c r="AW123" i="38"/>
  <c r="AZ123" i="38"/>
  <c r="AV123" i="38"/>
  <c r="BG115" i="38"/>
  <c r="BD115" i="38"/>
  <c r="BE115" i="38"/>
  <c r="BH115" i="38"/>
  <c r="AY456" i="38"/>
  <c r="AV456" i="38"/>
  <c r="AZ456" i="38"/>
  <c r="AW456" i="38"/>
  <c r="BE1098" i="38"/>
  <c r="BD1098" i="38"/>
  <c r="AV671" i="38"/>
  <c r="AW671" i="38"/>
  <c r="AQ492" i="38"/>
  <c r="AO492" i="38"/>
  <c r="AN492" i="38"/>
  <c r="AR492" i="38"/>
  <c r="AU1466" i="38"/>
  <c r="AZ30" i="38"/>
  <c r="AW30" i="38"/>
  <c r="AV30" i="38"/>
  <c r="AY30" i="38"/>
  <c r="BE458" i="38"/>
  <c r="BG458" i="38"/>
  <c r="BH458" i="38"/>
  <c r="BD458" i="38"/>
  <c r="AX243" i="38"/>
  <c r="AW1012" i="38"/>
  <c r="AV1012" i="38"/>
  <c r="AZ895" i="38"/>
  <c r="AY895" i="38"/>
  <c r="AV895" i="38"/>
  <c r="AW895" i="38"/>
  <c r="AN1035" i="38"/>
  <c r="AO1035" i="38"/>
  <c r="AX36" i="38"/>
  <c r="AW581" i="38"/>
  <c r="AV581" i="38"/>
  <c r="AZ511" i="38"/>
  <c r="AY511" i="38"/>
  <c r="AW511" i="38"/>
  <c r="AV511" i="38"/>
  <c r="AO598" i="38"/>
  <c r="AN598" i="38"/>
  <c r="BE717" i="38"/>
  <c r="BD717" i="38"/>
  <c r="BE958" i="38"/>
  <c r="BD958" i="38"/>
  <c r="AV1048" i="38"/>
  <c r="AW1048" i="38"/>
  <c r="AY209" i="38"/>
  <c r="AZ209" i="38"/>
  <c r="AZ425" i="38"/>
  <c r="AV425" i="38"/>
  <c r="AW425" i="38"/>
  <c r="AY425" i="38"/>
  <c r="AX1467" i="38"/>
  <c r="BC315" i="38"/>
  <c r="BD687" i="38"/>
  <c r="BE687" i="38"/>
  <c r="AV577" i="38"/>
  <c r="AW577" i="38"/>
  <c r="AW31" i="38"/>
  <c r="AY31" i="38"/>
  <c r="AZ31" i="38"/>
  <c r="AV31" i="38"/>
  <c r="BG369" i="38"/>
  <c r="BD369" i="38"/>
  <c r="BE369" i="38"/>
  <c r="BH369" i="38"/>
  <c r="AV612" i="38"/>
  <c r="AW612" i="38"/>
  <c r="AU435" i="38"/>
  <c r="AU196" i="38" s="1"/>
  <c r="AO683" i="38"/>
  <c r="AN683" i="38"/>
  <c r="AV17" i="38"/>
  <c r="AT18" i="38"/>
  <c r="AW17" i="38"/>
  <c r="AZ17" i="38"/>
  <c r="AY17" i="38"/>
  <c r="AN647" i="38"/>
  <c r="AO647" i="38"/>
  <c r="AR900" i="38"/>
  <c r="AN900" i="38"/>
  <c r="AO900" i="38"/>
  <c r="AQ900" i="38"/>
  <c r="BG945" i="38"/>
  <c r="BE945" i="38"/>
  <c r="BD945" i="38"/>
  <c r="BH945" i="38"/>
  <c r="BD592" i="38"/>
  <c r="BE592" i="38"/>
  <c r="AX380" i="38"/>
  <c r="AX389" i="38"/>
  <c r="AX379" i="38" s="1"/>
  <c r="BE1005" i="38"/>
  <c r="BD1005" i="38"/>
  <c r="BG788" i="38"/>
  <c r="BH788" i="38"/>
  <c r="BD788" i="38"/>
  <c r="BE788" i="38"/>
  <c r="BD492" i="38"/>
  <c r="BE492" i="38"/>
  <c r="BH492" i="38"/>
  <c r="BG492" i="38"/>
  <c r="AO738" i="38"/>
  <c r="AN738" i="38"/>
  <c r="AP127" i="38"/>
  <c r="AW21" i="38"/>
  <c r="AV21" i="38"/>
  <c r="AY21" i="38"/>
  <c r="AT1460" i="38"/>
  <c r="AW1460" i="38" s="1"/>
  <c r="AZ21" i="38"/>
  <c r="AW217" i="38"/>
  <c r="AY217" i="38"/>
  <c r="AV217" i="38"/>
  <c r="AZ217" i="38"/>
  <c r="BE27" i="38"/>
  <c r="BH27" i="38"/>
  <c r="BG27" i="38"/>
  <c r="BD27" i="38"/>
  <c r="AM88" i="38"/>
  <c r="AR766" i="38"/>
  <c r="AN766" i="38"/>
  <c r="AQ766" i="38"/>
  <c r="AO766" i="38"/>
  <c r="BG549" i="38"/>
  <c r="BE549" i="38"/>
  <c r="BH549" i="38"/>
  <c r="BD549" i="38"/>
  <c r="AV580" i="38"/>
  <c r="AW580" i="38"/>
  <c r="BE946" i="38"/>
  <c r="BD946" i="38"/>
  <c r="BG946" i="38"/>
  <c r="BH946" i="38"/>
  <c r="AW980" i="38"/>
  <c r="AV980" i="38"/>
  <c r="AV559" i="38"/>
  <c r="AW559" i="38"/>
  <c r="BE337" i="38"/>
  <c r="BD337" i="38"/>
  <c r="BD944" i="38"/>
  <c r="BE944" i="38"/>
  <c r="BG944" i="38"/>
  <c r="BH944" i="38"/>
  <c r="AV1068" i="38"/>
  <c r="AW1068" i="38"/>
  <c r="AO68" i="38"/>
  <c r="AN68" i="38"/>
  <c r="AR68" i="38"/>
  <c r="AQ68" i="38"/>
  <c r="BD1064" i="38"/>
  <c r="BE1064" i="38"/>
  <c r="BE1069" i="38"/>
  <c r="BD1069" i="38"/>
  <c r="AQ806" i="38"/>
  <c r="AO806" i="38"/>
  <c r="AR806" i="38"/>
  <c r="AN806" i="38"/>
  <c r="BE992" i="38"/>
  <c r="BD992" i="38"/>
  <c r="AW679" i="38"/>
  <c r="AV679" i="38"/>
  <c r="AX755" i="38"/>
  <c r="AZ755" i="38" s="1"/>
  <c r="AU20" i="38"/>
  <c r="AV20" i="38" s="1"/>
  <c r="AN190" i="38"/>
  <c r="AR190" i="38"/>
  <c r="AO190" i="38"/>
  <c r="AQ190" i="38"/>
  <c r="AL191" i="38"/>
  <c r="AN726" i="38"/>
  <c r="AO726" i="38"/>
  <c r="AW1030" i="38"/>
  <c r="AV1030" i="38"/>
  <c r="AY824" i="38"/>
  <c r="AZ824" i="38"/>
  <c r="AV824" i="38"/>
  <c r="AW824" i="38"/>
  <c r="AW1088" i="38"/>
  <c r="AV1088" i="38"/>
  <c r="BF80" i="38"/>
  <c r="AQ231" i="38"/>
  <c r="AR231" i="38"/>
  <c r="AN231" i="38"/>
  <c r="AO231" i="38"/>
  <c r="AV281" i="38"/>
  <c r="AW281" i="38"/>
  <c r="BG817" i="38"/>
  <c r="BH817" i="38"/>
  <c r="BD817" i="38"/>
  <c r="BE817" i="38"/>
  <c r="AV746" i="38"/>
  <c r="AW746" i="38"/>
  <c r="BF179" i="38"/>
  <c r="AW633" i="38"/>
  <c r="AV633" i="38"/>
  <c r="BE360" i="38"/>
  <c r="BD360" i="38"/>
  <c r="BG360" i="38"/>
  <c r="BH360" i="38"/>
  <c r="AQ164" i="38"/>
  <c r="AR164" i="38"/>
  <c r="AN164" i="38"/>
  <c r="AO164" i="38"/>
  <c r="AQ795" i="38"/>
  <c r="AN795" i="38"/>
  <c r="AO795" i="38"/>
  <c r="AR795" i="38"/>
  <c r="AN577" i="38"/>
  <c r="AO577" i="38"/>
  <c r="AN437" i="38"/>
  <c r="AR437" i="38"/>
  <c r="AO437" i="38"/>
  <c r="AQ437" i="38"/>
  <c r="AR913" i="38"/>
  <c r="AQ913" i="38"/>
  <c r="AO913" i="38"/>
  <c r="AN913" i="38"/>
  <c r="AO948" i="38"/>
  <c r="AN948" i="38"/>
  <c r="AW596" i="38"/>
  <c r="AV596" i="38"/>
  <c r="BE1008" i="38"/>
  <c r="BD1008" i="38"/>
  <c r="BE756" i="38"/>
  <c r="BG756" i="38"/>
  <c r="BH756" i="38"/>
  <c r="BD756" i="38"/>
  <c r="AT25" i="38"/>
  <c r="AV24" i="38"/>
  <c r="AY24" i="38"/>
  <c r="AZ24" i="38"/>
  <c r="AW24" i="38"/>
  <c r="BD425" i="38"/>
  <c r="BG425" i="38"/>
  <c r="BH425" i="38"/>
  <c r="BE425" i="38"/>
  <c r="AN714" i="38"/>
  <c r="AO714" i="38"/>
  <c r="AN268" i="38"/>
  <c r="AO268" i="38"/>
  <c r="AR268" i="38"/>
  <c r="AQ268" i="38"/>
  <c r="AR58" i="38"/>
  <c r="AN58" i="38"/>
  <c r="AO58" i="38"/>
  <c r="AQ58" i="38"/>
  <c r="AZ912" i="38"/>
  <c r="AY912" i="38"/>
  <c r="AW912" i="38"/>
  <c r="AV912" i="38"/>
  <c r="BD614" i="38"/>
  <c r="BE614" i="38"/>
  <c r="AV558" i="38"/>
  <c r="AW558" i="38"/>
  <c r="AX543" i="38"/>
  <c r="AZ543" i="38" s="1"/>
  <c r="AN605" i="38"/>
  <c r="AO605" i="38"/>
  <c r="AM367" i="38"/>
  <c r="BD1057" i="38"/>
  <c r="BE1057" i="38"/>
  <c r="AW816" i="38"/>
  <c r="AY816" i="38"/>
  <c r="AZ816" i="38"/>
  <c r="AV816" i="38"/>
  <c r="BE64" i="38"/>
  <c r="BH64" i="38"/>
  <c r="BG64" i="38"/>
  <c r="BD64" i="38"/>
  <c r="BG265" i="38"/>
  <c r="BE265" i="38"/>
  <c r="BD265" i="38"/>
  <c r="BH265" i="38"/>
  <c r="BB251" i="38"/>
  <c r="AN203" i="38"/>
  <c r="AQ203" i="38"/>
  <c r="AR203" i="38"/>
  <c r="AO203" i="38"/>
  <c r="BE1068" i="38"/>
  <c r="BD1068" i="38"/>
  <c r="AO133" i="38"/>
  <c r="AN133" i="38"/>
  <c r="AQ133" i="38"/>
  <c r="AR133" i="38"/>
  <c r="AL84" i="38"/>
  <c r="AW931" i="38"/>
  <c r="AV931" i="38"/>
  <c r="AZ931" i="38"/>
  <c r="AY931" i="38"/>
  <c r="AO500" i="38"/>
  <c r="AR500" i="38"/>
  <c r="AN500" i="38"/>
  <c r="AQ500" i="38"/>
  <c r="AM380" i="38"/>
  <c r="AQ161" i="38"/>
  <c r="AO161" i="38"/>
  <c r="AR161" i="38"/>
  <c r="AN161" i="38"/>
  <c r="AN421" i="38"/>
  <c r="AR421" i="38"/>
  <c r="AQ421" i="38"/>
  <c r="AO421" i="38"/>
  <c r="BE459" i="38"/>
  <c r="BD459" i="38"/>
  <c r="BH459" i="38"/>
  <c r="BG459" i="38"/>
  <c r="BD1004" i="38"/>
  <c r="BE1004" i="38"/>
  <c r="BD964" i="38"/>
  <c r="BE964" i="38"/>
  <c r="BG95" i="38"/>
  <c r="BB96" i="38"/>
  <c r="BD96" i="38" s="1"/>
  <c r="BE95" i="38"/>
  <c r="BH95" i="38"/>
  <c r="BD95" i="38"/>
  <c r="BE879" i="38"/>
  <c r="BD879" i="38"/>
  <c r="BH879" i="38"/>
  <c r="BG879" i="38"/>
  <c r="AV638" i="38"/>
  <c r="AW638" i="38"/>
  <c r="AW298" i="38"/>
  <c r="AV298" i="38"/>
  <c r="BD971" i="38"/>
  <c r="BE971" i="38"/>
  <c r="BE222" i="38"/>
  <c r="BG222" i="38"/>
  <c r="BD222" i="38"/>
  <c r="BH222" i="38"/>
  <c r="AW736" i="38"/>
  <c r="AV736" i="38"/>
  <c r="AN986" i="38"/>
  <c r="AO986" i="38"/>
  <c r="BH155" i="38"/>
  <c r="BD155" i="38"/>
  <c r="BE155" i="38"/>
  <c r="BG155" i="38"/>
  <c r="AY861" i="38"/>
  <c r="AZ861" i="38"/>
  <c r="AV861" i="38"/>
  <c r="AW861" i="38"/>
  <c r="AZ855" i="38"/>
  <c r="AY855" i="38"/>
  <c r="AW855" i="38"/>
  <c r="AV855" i="38"/>
  <c r="BE286" i="38"/>
  <c r="BD286" i="38"/>
  <c r="AO587" i="38"/>
  <c r="AN587" i="38"/>
  <c r="AW501" i="38"/>
  <c r="AZ501" i="38"/>
  <c r="AV501" i="38"/>
  <c r="AY501" i="38"/>
  <c r="BH22" i="38"/>
  <c r="BD22" i="38"/>
  <c r="BB1459" i="38"/>
  <c r="BE22" i="38"/>
  <c r="BG22" i="38"/>
  <c r="BE982" i="38"/>
  <c r="BD982" i="38"/>
  <c r="BD962" i="38"/>
  <c r="BE962" i="38"/>
  <c r="BE778" i="38"/>
  <c r="BD778" i="38"/>
  <c r="BG778" i="38"/>
  <c r="BH778" i="38"/>
  <c r="AW73" i="38"/>
  <c r="AV73" i="38"/>
  <c r="AZ73" i="38"/>
  <c r="AY73" i="38"/>
  <c r="AX536" i="38"/>
  <c r="AZ536" i="38" s="1"/>
  <c r="AO517" i="38"/>
  <c r="AQ517" i="38"/>
  <c r="AN517" i="38"/>
  <c r="AR517" i="38"/>
  <c r="BD625" i="38"/>
  <c r="BE625" i="38"/>
  <c r="AZ814" i="38"/>
  <c r="AV814" i="38"/>
  <c r="AW814" i="38"/>
  <c r="AY814" i="38"/>
  <c r="AW852" i="38"/>
  <c r="AZ852" i="38"/>
  <c r="AV852" i="38"/>
  <c r="AY852" i="38"/>
  <c r="AV657" i="38"/>
  <c r="AW657" i="38"/>
  <c r="BD870" i="38"/>
  <c r="BH870" i="38"/>
  <c r="BG870" i="38"/>
  <c r="BE870" i="38"/>
  <c r="AO651" i="38"/>
  <c r="AN651" i="38"/>
  <c r="AN1049" i="38"/>
  <c r="AO1049" i="38"/>
  <c r="AW844" i="38"/>
  <c r="AV844" i="38"/>
  <c r="AY844" i="38"/>
  <c r="AZ844" i="38"/>
  <c r="BB340" i="38"/>
  <c r="BD340" i="38" s="1"/>
  <c r="BD339" i="38"/>
  <c r="BE339" i="38"/>
  <c r="AN681" i="38"/>
  <c r="AO681" i="38"/>
  <c r="AR838" i="38"/>
  <c r="AO838" i="38"/>
  <c r="AQ838" i="38"/>
  <c r="AN838" i="38"/>
  <c r="AW616" i="38"/>
  <c r="AV616" i="38"/>
  <c r="AT252" i="38"/>
  <c r="AY252" i="38" s="1"/>
  <c r="AZ266" i="38"/>
  <c r="AY266" i="38"/>
  <c r="AV266" i="38"/>
  <c r="AW266" i="38"/>
  <c r="AX245" i="38"/>
  <c r="AY245" i="38" s="1"/>
  <c r="BE559" i="38"/>
  <c r="BD559" i="38"/>
  <c r="AN498" i="38"/>
  <c r="AO498" i="38"/>
  <c r="AR498" i="38"/>
  <c r="AQ498" i="38"/>
  <c r="AM140" i="38"/>
  <c r="BD279" i="38"/>
  <c r="BE279" i="38"/>
  <c r="AO636" i="38"/>
  <c r="AN636" i="38"/>
  <c r="AW670" i="38"/>
  <c r="AV670" i="38"/>
  <c r="AO825" i="38"/>
  <c r="AN825" i="38"/>
  <c r="AU195" i="38"/>
  <c r="BD1093" i="38"/>
  <c r="BE1093" i="38"/>
  <c r="AM25" i="38"/>
  <c r="AN25" i="38" s="1"/>
  <c r="AV872" i="38"/>
  <c r="AW872" i="38"/>
  <c r="AY872" i="38"/>
  <c r="AZ872" i="38"/>
  <c r="AO1010" i="38"/>
  <c r="AN1010" i="38"/>
  <c r="AU180" i="38"/>
  <c r="BH193" i="38"/>
  <c r="BE193" i="38"/>
  <c r="BD193" i="38"/>
  <c r="BG193" i="38"/>
  <c r="AO1053" i="38"/>
  <c r="AN1053" i="38"/>
  <c r="BG496" i="38"/>
  <c r="BH496" i="38"/>
  <c r="BD496" i="38"/>
  <c r="BE496" i="38"/>
  <c r="BD306" i="38"/>
  <c r="BE306" i="38"/>
  <c r="AM363" i="38"/>
  <c r="AO644" i="38"/>
  <c r="AN644" i="38"/>
  <c r="AO172" i="38"/>
  <c r="AN172" i="38"/>
  <c r="AQ172" i="38"/>
  <c r="AR172" i="38"/>
  <c r="AY235" i="38"/>
  <c r="AZ235" i="38"/>
  <c r="AV235" i="38"/>
  <c r="AW235" i="38"/>
  <c r="BG507" i="38"/>
  <c r="BH507" i="38"/>
  <c r="BE507" i="38"/>
  <c r="BD507" i="38"/>
  <c r="BF18" i="38"/>
  <c r="AO963" i="38"/>
  <c r="AN963" i="38"/>
  <c r="AZ67" i="38"/>
  <c r="AY67" i="38"/>
  <c r="AW67" i="38"/>
  <c r="AV67" i="38"/>
  <c r="AN976" i="38"/>
  <c r="AO976" i="38"/>
  <c r="AW951" i="38"/>
  <c r="AV951" i="38"/>
  <c r="BG891" i="38"/>
  <c r="BD891" i="38"/>
  <c r="BE891" i="38"/>
  <c r="BH891" i="38"/>
  <c r="AN584" i="38"/>
  <c r="AO584" i="38"/>
  <c r="AP755" i="38"/>
  <c r="AQ755" i="38" s="1"/>
  <c r="BE993" i="38"/>
  <c r="BD993" i="38"/>
  <c r="AN562" i="38"/>
  <c r="AO562" i="38"/>
  <c r="AY147" i="38"/>
  <c r="AZ147" i="38"/>
  <c r="AW147" i="38"/>
  <c r="AV147" i="38"/>
  <c r="AT83" i="38"/>
  <c r="AZ83" i="38" s="1"/>
  <c r="BD561" i="38"/>
  <c r="BE561" i="38"/>
  <c r="AM543" i="38"/>
  <c r="BE112" i="38"/>
  <c r="BD112" i="38"/>
  <c r="BH112" i="38"/>
  <c r="BG112" i="38"/>
  <c r="BH803" i="38"/>
  <c r="BG803" i="38"/>
  <c r="BD803" i="38"/>
  <c r="BE803" i="38"/>
  <c r="AZ522" i="38"/>
  <c r="AW522" i="38"/>
  <c r="AV522" i="38"/>
  <c r="AY522" i="38"/>
  <c r="AR108" i="38"/>
  <c r="AQ108" i="38"/>
  <c r="AN108" i="38"/>
  <c r="AO108" i="38"/>
  <c r="BF374" i="38"/>
  <c r="BF358" i="38"/>
  <c r="BF373" i="38" s="1"/>
  <c r="AR491" i="38"/>
  <c r="AQ491" i="38"/>
  <c r="AN491" i="38"/>
  <c r="AO491" i="38"/>
  <c r="BD636" i="38"/>
  <c r="BE636" i="38"/>
  <c r="AO297" i="38"/>
  <c r="AN297" i="38"/>
  <c r="BD1027" i="38"/>
  <c r="BE1027" i="38"/>
  <c r="AW564" i="38"/>
  <c r="AV564" i="38"/>
  <c r="BD1038" i="38"/>
  <c r="BE1038" i="38"/>
  <c r="AO433" i="38"/>
  <c r="AN433" i="38"/>
  <c r="AQ433" i="38"/>
  <c r="AR433" i="38"/>
  <c r="AR118" i="38"/>
  <c r="AN118" i="38"/>
  <c r="AQ118" i="38"/>
  <c r="AO118" i="38"/>
  <c r="BE121" i="38"/>
  <c r="BG121" i="38"/>
  <c r="BD121" i="38"/>
  <c r="BH121" i="38"/>
  <c r="BE734" i="38"/>
  <c r="BD734" i="38"/>
  <c r="BE642" i="38"/>
  <c r="BD642" i="38"/>
  <c r="AZ171" i="38"/>
  <c r="AW171" i="38"/>
  <c r="AY171" i="38"/>
  <c r="AV171" i="38"/>
  <c r="AR820" i="38"/>
  <c r="AO820" i="38"/>
  <c r="AN820" i="38"/>
  <c r="AQ820" i="38"/>
  <c r="AO743" i="38"/>
  <c r="AN743" i="38"/>
  <c r="AW156" i="38"/>
  <c r="AV156" i="38"/>
  <c r="AO659" i="38"/>
  <c r="AN659" i="38"/>
  <c r="AR812" i="38"/>
  <c r="AQ812" i="38"/>
  <c r="AO812" i="38"/>
  <c r="AN812" i="38"/>
  <c r="AW54" i="38"/>
  <c r="AV54" i="38"/>
  <c r="AY54" i="38"/>
  <c r="AZ54" i="38"/>
  <c r="BF755" i="38"/>
  <c r="AZ913" i="38"/>
  <c r="AW913" i="38"/>
  <c r="AY913" i="38"/>
  <c r="AV913" i="38"/>
  <c r="AW815" i="38"/>
  <c r="AZ815" i="38"/>
  <c r="AV815" i="38"/>
  <c r="AY815" i="38"/>
  <c r="BD257" i="38"/>
  <c r="BE257" i="38"/>
  <c r="BB243" i="38"/>
  <c r="BG257" i="38"/>
  <c r="BH257" i="38"/>
  <c r="AZ918" i="38"/>
  <c r="AV918" i="38"/>
  <c r="AY918" i="38"/>
  <c r="AW918" i="38"/>
  <c r="AW161" i="38"/>
  <c r="AV161" i="38"/>
  <c r="AW1055" i="38"/>
  <c r="AV1055" i="38"/>
  <c r="AV334" i="38"/>
  <c r="AW334" i="38"/>
  <c r="AR71" i="38"/>
  <c r="AO71" i="38"/>
  <c r="AQ71" i="38"/>
  <c r="AN71" i="38"/>
  <c r="AV977" i="38"/>
  <c r="AW977" i="38"/>
  <c r="AV727" i="38"/>
  <c r="AW727" i="38"/>
  <c r="BH370" i="38"/>
  <c r="BD370" i="38"/>
  <c r="BG370" i="38"/>
  <c r="BE370" i="38"/>
  <c r="AV1073" i="38"/>
  <c r="AW1073" i="38"/>
  <c r="BD163" i="38"/>
  <c r="BG163" i="38"/>
  <c r="BH163" i="38"/>
  <c r="BE163" i="38"/>
  <c r="BD1052" i="38"/>
  <c r="BE1052" i="38"/>
  <c r="AN343" i="38"/>
  <c r="AO343" i="38"/>
  <c r="AO1068" i="38"/>
  <c r="AN1068" i="38"/>
  <c r="AO686" i="38"/>
  <c r="AN686" i="38"/>
  <c r="AW95" i="38"/>
  <c r="AY95" i="38"/>
  <c r="AT96" i="38"/>
  <c r="AV95" i="38"/>
  <c r="AZ95" i="38"/>
  <c r="AW233" i="38"/>
  <c r="AV233" i="38"/>
  <c r="AN706" i="38"/>
  <c r="AO706" i="38"/>
  <c r="AW972" i="38"/>
  <c r="AV972" i="38"/>
  <c r="AX367" i="38"/>
  <c r="AX362" i="38" s="1"/>
  <c r="AZ362" i="38" s="1"/>
  <c r="AW645" i="38"/>
  <c r="AV645" i="38"/>
  <c r="BD699" i="38"/>
  <c r="BE699" i="38"/>
  <c r="AV155" i="38"/>
  <c r="AZ155" i="38"/>
  <c r="AW155" i="38"/>
  <c r="AY155" i="38"/>
  <c r="AW757" i="38"/>
  <c r="AY757" i="38"/>
  <c r="AV757" i="38"/>
  <c r="AZ757" i="38"/>
  <c r="BD503" i="38"/>
  <c r="BE503" i="38"/>
  <c r="BG503" i="38"/>
  <c r="BH503" i="38"/>
  <c r="AV899" i="38"/>
  <c r="AZ899" i="38"/>
  <c r="AW899" i="38"/>
  <c r="AY899" i="38"/>
  <c r="BH850" i="38"/>
  <c r="BD850" i="38"/>
  <c r="BG850" i="38"/>
  <c r="BE850" i="38"/>
  <c r="AU80" i="38"/>
  <c r="AV80" i="38" s="1"/>
  <c r="BD333" i="38"/>
  <c r="BE333" i="38"/>
  <c r="AN977" i="38"/>
  <c r="AO977" i="38"/>
  <c r="BE457" i="38"/>
  <c r="BH457" i="38"/>
  <c r="BD457" i="38"/>
  <c r="BG457" i="38"/>
  <c r="AZ390" i="38"/>
  <c r="AW390" i="38"/>
  <c r="AV390" i="38"/>
  <c r="AT380" i="38"/>
  <c r="AY380" i="38" s="1"/>
  <c r="AY390" i="38"/>
  <c r="AO573" i="38"/>
  <c r="AN573" i="38"/>
  <c r="AV928" i="38"/>
  <c r="AY928" i="38"/>
  <c r="AZ928" i="38"/>
  <c r="AW928" i="38"/>
  <c r="BC347" i="38"/>
  <c r="AP177" i="38"/>
  <c r="AM36" i="38"/>
  <c r="BH807" i="38"/>
  <c r="BD807" i="38"/>
  <c r="BE807" i="38"/>
  <c r="BG807" i="38"/>
  <c r="AY520" i="38"/>
  <c r="AW520" i="38"/>
  <c r="AV520" i="38"/>
  <c r="AZ520" i="38"/>
  <c r="AN652" i="38"/>
  <c r="AO652" i="38"/>
  <c r="AR882" i="38"/>
  <c r="AN882" i="38"/>
  <c r="AO882" i="38"/>
  <c r="AQ882" i="38"/>
  <c r="AU1455" i="38"/>
  <c r="AW1455" i="38" s="1"/>
  <c r="AV794" i="38"/>
  <c r="AW794" i="38"/>
  <c r="AY794" i="38"/>
  <c r="AZ794" i="38"/>
  <c r="AR366" i="38"/>
  <c r="AN366" i="38"/>
  <c r="AQ366" i="38"/>
  <c r="AO366" i="38"/>
  <c r="AP136" i="38"/>
  <c r="AN436" i="38"/>
  <c r="AO436" i="38"/>
  <c r="AR436" i="38"/>
  <c r="AQ436" i="38"/>
  <c r="AP126" i="38"/>
  <c r="AX354" i="38"/>
  <c r="AQ903" i="38"/>
  <c r="AO903" i="38"/>
  <c r="AR903" i="38"/>
  <c r="AN903" i="38"/>
  <c r="AV527" i="38"/>
  <c r="AW527" i="38"/>
  <c r="AM378" i="38"/>
  <c r="AM385" i="38"/>
  <c r="AM377" i="38" s="1"/>
  <c r="AW349" i="38"/>
  <c r="AV349" i="38"/>
  <c r="AO750" i="38"/>
  <c r="AN750" i="38"/>
  <c r="BD609" i="38"/>
  <c r="BE609" i="38"/>
  <c r="AV269" i="38"/>
  <c r="AW269" i="38"/>
  <c r="AO718" i="38"/>
  <c r="AN718" i="38"/>
  <c r="BG917" i="38"/>
  <c r="BE917" i="38"/>
  <c r="BH917" i="38"/>
  <c r="BD917" i="38"/>
  <c r="AY165" i="38"/>
  <c r="AW165" i="38"/>
  <c r="AZ165" i="38"/>
  <c r="AV165" i="38"/>
  <c r="AW805" i="38"/>
  <c r="AV805" i="38"/>
  <c r="AY805" i="38"/>
  <c r="AZ805" i="38"/>
  <c r="AN642" i="38"/>
  <c r="AO642" i="38"/>
  <c r="AZ167" i="38"/>
  <c r="AW167" i="38"/>
  <c r="AV167" i="38"/>
  <c r="AY167" i="38"/>
  <c r="BH14" i="38"/>
  <c r="BD14" i="38"/>
  <c r="BB1455" i="38"/>
  <c r="BD1455" i="38" s="1"/>
  <c r="BG14" i="38"/>
  <c r="BE14" i="38"/>
  <c r="AV513" i="38"/>
  <c r="AZ513" i="38"/>
  <c r="AW513" i="38"/>
  <c r="AY513" i="38"/>
  <c r="AP202" i="38"/>
  <c r="BC320" i="38"/>
  <c r="AV735" i="38"/>
  <c r="AW735" i="38"/>
  <c r="AQ149" i="38"/>
  <c r="AO149" i="38"/>
  <c r="AR149" i="38"/>
  <c r="AN149" i="38"/>
  <c r="BD254" i="38"/>
  <c r="BB240" i="38"/>
  <c r="BD240" i="38" s="1"/>
  <c r="BG254" i="38"/>
  <c r="BE254" i="38"/>
  <c r="BH254" i="38"/>
  <c r="BD63" i="38"/>
  <c r="BE63" i="38"/>
  <c r="BH63" i="38"/>
  <c r="BG63" i="38"/>
  <c r="BF239" i="38"/>
  <c r="BH366" i="38"/>
  <c r="BG366" i="38"/>
  <c r="BD366" i="38"/>
  <c r="BE366" i="38"/>
  <c r="BD110" i="38"/>
  <c r="BH110" i="38"/>
  <c r="BG110" i="38"/>
  <c r="BE110" i="38"/>
  <c r="BC18" i="38"/>
  <c r="AZ868" i="38"/>
  <c r="AW868" i="38"/>
  <c r="AY868" i="38"/>
  <c r="AV868" i="38"/>
  <c r="AV750" i="38"/>
  <c r="AW750" i="38"/>
  <c r="AY902" i="38"/>
  <c r="AZ902" i="38"/>
  <c r="AW902" i="38"/>
  <c r="AV902" i="38"/>
  <c r="AT242" i="38"/>
  <c r="AV242" i="38" s="1"/>
  <c r="AV256" i="38"/>
  <c r="AZ256" i="38"/>
  <c r="AY256" i="38"/>
  <c r="AW256" i="38"/>
  <c r="BD698" i="38"/>
  <c r="BE698" i="38"/>
  <c r="AW935" i="38"/>
  <c r="AZ935" i="38"/>
  <c r="AY935" i="38"/>
  <c r="AV935" i="38"/>
  <c r="AN665" i="38"/>
  <c r="AO665" i="38"/>
  <c r="AW974" i="38"/>
  <c r="AV974" i="38"/>
  <c r="AW285" i="38"/>
  <c r="AV285" i="38"/>
  <c r="AV749" i="38"/>
  <c r="AW749" i="38"/>
  <c r="AN603" i="38"/>
  <c r="AO603" i="38"/>
  <c r="BD285" i="38"/>
  <c r="BE285" i="38"/>
  <c r="BE621" i="38"/>
  <c r="BD621" i="38"/>
  <c r="BH508" i="38"/>
  <c r="BE508" i="38"/>
  <c r="BD508" i="38"/>
  <c r="BG508" i="38"/>
  <c r="AY507" i="38"/>
  <c r="AV507" i="38"/>
  <c r="AW507" i="38"/>
  <c r="AZ507" i="38"/>
  <c r="BG190" i="38"/>
  <c r="BE190" i="38"/>
  <c r="BB191" i="38"/>
  <c r="BG191" i="38" s="1"/>
  <c r="BH190" i="38"/>
  <c r="BD190" i="38"/>
  <c r="AW491" i="38"/>
  <c r="AY491" i="38"/>
  <c r="AV491" i="38"/>
  <c r="AZ491" i="38"/>
  <c r="AN715" i="38"/>
  <c r="AO715" i="38"/>
  <c r="AY247" i="38"/>
  <c r="AV247" i="38"/>
  <c r="BD894" i="38"/>
  <c r="BH894" i="38"/>
  <c r="BE894" i="38"/>
  <c r="BG894" i="38"/>
  <c r="AU1465" i="38"/>
  <c r="AR440" i="38"/>
  <c r="AN440" i="38"/>
  <c r="AQ440" i="38"/>
  <c r="AO440" i="38"/>
  <c r="AW817" i="38"/>
  <c r="AY817" i="38"/>
  <c r="AZ817" i="38"/>
  <c r="AV817" i="38"/>
  <c r="AW821" i="38"/>
  <c r="AZ821" i="38"/>
  <c r="AY821" i="38"/>
  <c r="AV821" i="38"/>
  <c r="BE610" i="38"/>
  <c r="BD610" i="38"/>
  <c r="AO1097" i="38"/>
  <c r="AN1097" i="38"/>
  <c r="AR94" i="38"/>
  <c r="AQ94" i="38"/>
  <c r="AO94" i="38"/>
  <c r="AN94" i="38"/>
  <c r="BH886" i="38"/>
  <c r="BE886" i="38"/>
  <c r="BD886" i="38"/>
  <c r="BG886" i="38"/>
  <c r="AY777" i="38"/>
  <c r="AW777" i="38"/>
  <c r="AZ777" i="38"/>
  <c r="AV777" i="38"/>
  <c r="AZ212" i="38"/>
  <c r="AY212" i="38"/>
  <c r="AV212" i="38"/>
  <c r="AW212" i="38"/>
  <c r="AV309" i="38"/>
  <c r="AW309" i="38"/>
  <c r="AN322" i="38"/>
  <c r="AL313" i="38"/>
  <c r="AO322" i="38"/>
  <c r="AO689" i="38"/>
  <c r="AN689" i="38"/>
  <c r="BD633" i="38"/>
  <c r="BE633" i="38"/>
  <c r="BG931" i="38"/>
  <c r="BH931" i="38"/>
  <c r="BD931" i="38"/>
  <c r="BE931" i="38"/>
  <c r="AY226" i="38"/>
  <c r="AW226" i="38"/>
  <c r="AV226" i="38"/>
  <c r="AZ226" i="38"/>
  <c r="BH846" i="38"/>
  <c r="BG846" i="38"/>
  <c r="BD846" i="38"/>
  <c r="BE846" i="38"/>
  <c r="AV966" i="38"/>
  <c r="AW966" i="38"/>
  <c r="AO480" i="38"/>
  <c r="AQ480" i="38"/>
  <c r="AN480" i="38"/>
  <c r="AR480" i="38"/>
  <c r="AN458" i="38"/>
  <c r="AQ458" i="38"/>
  <c r="AR458" i="38"/>
  <c r="AO458" i="38"/>
  <c r="AW754" i="38"/>
  <c r="AV754" i="38"/>
  <c r="AW883" i="38"/>
  <c r="AV883" i="38"/>
  <c r="AZ883" i="38"/>
  <c r="AY883" i="38"/>
  <c r="AN301" i="38"/>
  <c r="AO301" i="38"/>
  <c r="BC1455" i="38"/>
  <c r="BE441" i="38"/>
  <c r="BD441" i="38"/>
  <c r="BH441" i="38"/>
  <c r="BG441" i="38"/>
  <c r="BD754" i="38"/>
  <c r="BE754" i="38"/>
  <c r="AX85" i="38"/>
  <c r="AV28" i="38"/>
  <c r="AY28" i="38"/>
  <c r="AZ28" i="38"/>
  <c r="AW28" i="38"/>
  <c r="AT29" i="38"/>
  <c r="AN213" i="38"/>
  <c r="AQ213" i="38"/>
  <c r="AR213" i="38"/>
  <c r="AO213" i="38"/>
  <c r="AN725" i="38"/>
  <c r="AO725" i="38"/>
  <c r="BC354" i="38"/>
  <c r="AV986" i="38"/>
  <c r="AW986" i="38"/>
  <c r="BC277" i="38"/>
  <c r="AR222" i="38"/>
  <c r="AQ222" i="38"/>
  <c r="AN222" i="38"/>
  <c r="AO222" i="38"/>
  <c r="AO1007" i="38"/>
  <c r="AN1007" i="38"/>
  <c r="BG910" i="38"/>
  <c r="BD910" i="38"/>
  <c r="BH910" i="38"/>
  <c r="BE910" i="38"/>
  <c r="AV700" i="38"/>
  <c r="AW700" i="38"/>
  <c r="AX242" i="38"/>
  <c r="BF126" i="38"/>
  <c r="AQ463" i="38"/>
  <c r="AO463" i="38"/>
  <c r="AN463" i="38"/>
  <c r="AR463" i="38"/>
  <c r="AW971" i="38"/>
  <c r="AV971" i="38"/>
  <c r="AW1076" i="38"/>
  <c r="AV1076" i="38"/>
  <c r="AO849" i="38"/>
  <c r="AR849" i="38"/>
  <c r="AN849" i="38"/>
  <c r="AQ849" i="38"/>
  <c r="AW464" i="38"/>
  <c r="AV464" i="38"/>
  <c r="AY464" i="38"/>
  <c r="AZ464" i="38"/>
  <c r="AO1050" i="38"/>
  <c r="AN1050" i="38"/>
  <c r="AV383" i="38"/>
  <c r="AT375" i="38"/>
  <c r="AY383" i="38"/>
  <c r="AZ383" i="38"/>
  <c r="AW383" i="38"/>
  <c r="AW945" i="38"/>
  <c r="AZ945" i="38"/>
  <c r="AY945" i="38"/>
  <c r="AV945" i="38"/>
  <c r="AN982" i="38"/>
  <c r="AO982" i="38"/>
  <c r="BE702" i="38"/>
  <c r="BD702" i="38"/>
  <c r="BF786" i="38"/>
  <c r="BH786" i="38" s="1"/>
  <c r="BE841" i="38"/>
  <c r="BD841" i="38"/>
  <c r="BH841" i="38"/>
  <c r="BG841" i="38"/>
  <c r="BE586" i="38"/>
  <c r="BD586" i="38"/>
  <c r="BD569" i="38"/>
  <c r="BE569" i="38"/>
  <c r="AW644" i="38"/>
  <c r="AV644" i="38"/>
  <c r="AW299" i="38"/>
  <c r="AV299" i="38"/>
  <c r="BG925" i="38"/>
  <c r="BH925" i="38"/>
  <c r="BE925" i="38"/>
  <c r="BD925" i="38"/>
  <c r="BD989" i="38"/>
  <c r="BE989" i="38"/>
  <c r="BD544" i="38"/>
  <c r="BG544" i="38"/>
  <c r="BE544" i="38"/>
  <c r="BB543" i="38"/>
  <c r="BH544" i="38"/>
  <c r="BH40" i="38"/>
  <c r="BD40" i="38"/>
  <c r="BG40" i="38"/>
  <c r="BE40" i="38"/>
  <c r="AO972" i="38"/>
  <c r="AN972" i="38"/>
  <c r="AV549" i="38"/>
  <c r="AW549" i="38"/>
  <c r="AZ549" i="38"/>
  <c r="AY549" i="38"/>
  <c r="AO430" i="38"/>
  <c r="AQ430" i="38"/>
  <c r="AN430" i="38"/>
  <c r="AR430" i="38"/>
  <c r="AL431" i="38"/>
  <c r="AY225" i="38"/>
  <c r="AV225" i="38"/>
  <c r="AW225" i="38"/>
  <c r="AZ225" i="38"/>
  <c r="AW330" i="38"/>
  <c r="AV330" i="38"/>
  <c r="AO356" i="38"/>
  <c r="AQ356" i="38"/>
  <c r="AN356" i="38"/>
  <c r="AR356" i="38"/>
  <c r="AW1089" i="38"/>
  <c r="AV1089" i="38"/>
  <c r="AZ62" i="38"/>
  <c r="AW62" i="38"/>
  <c r="AY62" i="38"/>
  <c r="AV62" i="38"/>
  <c r="AQ422" i="38"/>
  <c r="AO422" i="38"/>
  <c r="AN422" i="38"/>
  <c r="AR422" i="38"/>
  <c r="AW1005" i="38"/>
  <c r="AV1005" i="38"/>
  <c r="BE305" i="38"/>
  <c r="BD305" i="38"/>
  <c r="AZ219" i="38"/>
  <c r="AV219" i="38"/>
  <c r="AY219" i="38"/>
  <c r="AW219" i="38"/>
  <c r="AN465" i="38"/>
  <c r="AR465" i="38"/>
  <c r="AQ465" i="38"/>
  <c r="AO465" i="38"/>
  <c r="AM381" i="38"/>
  <c r="BH434" i="38"/>
  <c r="BD434" i="38"/>
  <c r="BB435" i="38"/>
  <c r="BG434" i="38"/>
  <c r="BE434" i="38"/>
  <c r="AX81" i="38"/>
  <c r="AZ81" i="38" s="1"/>
  <c r="AX124" i="38"/>
  <c r="AV326" i="38"/>
  <c r="AT317" i="38"/>
  <c r="AV317" i="38" s="1"/>
  <c r="AW326" i="38"/>
  <c r="AM20" i="38"/>
  <c r="AN20" i="38" s="1"/>
  <c r="AO62" i="38"/>
  <c r="AN62" i="38"/>
  <c r="AQ62" i="38"/>
  <c r="AR62" i="38"/>
  <c r="AV1074" i="38"/>
  <c r="AW1074" i="38"/>
  <c r="AV620" i="38"/>
  <c r="AW620" i="38"/>
  <c r="AO593" i="38"/>
  <c r="AN593" i="38"/>
  <c r="BB239" i="38"/>
  <c r="BD239" i="38" s="1"/>
  <c r="BD238" i="38"/>
  <c r="BE238" i="38"/>
  <c r="BH238" i="38"/>
  <c r="BG238" i="38"/>
  <c r="AW723" i="38"/>
  <c r="AV723" i="38"/>
  <c r="AQ441" i="38"/>
  <c r="AO441" i="38"/>
  <c r="AN441" i="38"/>
  <c r="AR441" i="38"/>
  <c r="AQ194" i="38"/>
  <c r="AO194" i="38"/>
  <c r="AR194" i="38"/>
  <c r="AN194" i="38"/>
  <c r="AL195" i="38"/>
  <c r="AV984" i="38"/>
  <c r="AW984" i="38"/>
  <c r="AV135" i="38"/>
  <c r="AW135" i="38"/>
  <c r="AZ135" i="38"/>
  <c r="AY135" i="38"/>
  <c r="AT136" i="38"/>
  <c r="AY136" i="38" s="1"/>
  <c r="AT435" i="38"/>
  <c r="AZ434" i="38"/>
  <c r="AY434" i="38"/>
  <c r="AW434" i="38"/>
  <c r="AV434" i="38"/>
  <c r="BG44" i="38"/>
  <c r="BH44" i="38"/>
  <c r="BE44" i="38"/>
  <c r="BD44" i="38"/>
  <c r="AO610" i="38"/>
  <c r="AN610" i="38"/>
  <c r="AO851" i="38"/>
  <c r="AQ851" i="38"/>
  <c r="AN851" i="38"/>
  <c r="AR851" i="38"/>
  <c r="AQ393" i="38"/>
  <c r="AO393" i="38"/>
  <c r="AR393" i="38"/>
  <c r="AN393" i="38"/>
  <c r="AN1100" i="38"/>
  <c r="AO1100" i="38"/>
  <c r="AZ882" i="38"/>
  <c r="AV882" i="38"/>
  <c r="AY882" i="38"/>
  <c r="AW882" i="38"/>
  <c r="AR783" i="38"/>
  <c r="AO783" i="38"/>
  <c r="AN783" i="38"/>
  <c r="AQ783" i="38"/>
  <c r="AU202" i="38"/>
  <c r="AO992" i="38"/>
  <c r="AN992" i="38"/>
  <c r="AO653" i="38"/>
  <c r="AN653" i="38"/>
  <c r="BD1045" i="38"/>
  <c r="BE1045" i="38"/>
  <c r="AY391" i="38"/>
  <c r="AV391" i="38"/>
  <c r="AW391" i="38"/>
  <c r="AZ391" i="38"/>
  <c r="AO321" i="38"/>
  <c r="AL312" i="38"/>
  <c r="AN321" i="38"/>
  <c r="AO217" i="38"/>
  <c r="AN217" i="38"/>
  <c r="AQ217" i="38"/>
  <c r="AR217" i="38"/>
  <c r="AY161" i="38"/>
  <c r="AZ161" i="38"/>
  <c r="AQ129" i="38"/>
  <c r="AN129" i="38"/>
  <c r="AR129" i="38"/>
  <c r="AO129" i="38"/>
  <c r="AL126" i="38"/>
  <c r="BG23" i="38"/>
  <c r="BD23" i="38"/>
  <c r="BB1467" i="38"/>
  <c r="BE23" i="38"/>
  <c r="BH23" i="38"/>
  <c r="BG506" i="38"/>
  <c r="BE506" i="38"/>
  <c r="BD506" i="38"/>
  <c r="BH506" i="38"/>
  <c r="AV614" i="38"/>
  <c r="AW614" i="38"/>
  <c r="BG468" i="38"/>
  <c r="BD468" i="38"/>
  <c r="BH468" i="38"/>
  <c r="BE468" i="38"/>
  <c r="BC253" i="38"/>
  <c r="BD253" i="38" s="1"/>
  <c r="AO959" i="38"/>
  <c r="AN959" i="38"/>
  <c r="AY66" i="38"/>
  <c r="AZ66" i="38"/>
  <c r="AW66" i="38"/>
  <c r="AV66" i="38"/>
  <c r="BD1030" i="38"/>
  <c r="BE1030" i="38"/>
  <c r="AN754" i="38"/>
  <c r="AO754" i="38"/>
  <c r="BF88" i="38"/>
  <c r="AN781" i="38"/>
  <c r="AR781" i="38"/>
  <c r="AQ781" i="38"/>
  <c r="AO781" i="38"/>
  <c r="AM246" i="38"/>
  <c r="AN246" i="38" s="1"/>
  <c r="BH148" i="38"/>
  <c r="BG148" i="38"/>
  <c r="BD884" i="38"/>
  <c r="BG884" i="38"/>
  <c r="BE884" i="38"/>
  <c r="BH884" i="38"/>
  <c r="BG383" i="38"/>
  <c r="BH383" i="38"/>
  <c r="BD383" i="38"/>
  <c r="BE383" i="38"/>
  <c r="BB375" i="38"/>
  <c r="BC79" i="38"/>
  <c r="AZ516" i="38"/>
  <c r="AW516" i="38"/>
  <c r="AV516" i="38"/>
  <c r="AY516" i="38"/>
  <c r="AU1460" i="38"/>
  <c r="AO934" i="38"/>
  <c r="AQ934" i="38"/>
  <c r="AN934" i="38"/>
  <c r="AR934" i="38"/>
  <c r="AY854" i="38"/>
  <c r="AV854" i="38"/>
  <c r="AZ854" i="38"/>
  <c r="AW854" i="38"/>
  <c r="AW786" i="38"/>
  <c r="AV786" i="38"/>
  <c r="AZ786" i="38"/>
  <c r="AN333" i="38"/>
  <c r="AO333" i="38"/>
  <c r="AN293" i="38"/>
  <c r="AO293" i="38"/>
  <c r="AO1022" i="38"/>
  <c r="AN1022" i="38"/>
  <c r="BE1077" i="38"/>
  <c r="BD1077" i="38"/>
  <c r="BC435" i="38"/>
  <c r="BC196" i="38" s="1"/>
  <c r="AO674" i="38"/>
  <c r="AN674" i="38"/>
  <c r="AN1042" i="38"/>
  <c r="AO1042" i="38"/>
  <c r="BG429" i="38"/>
  <c r="BH429" i="38"/>
  <c r="BD300" i="38"/>
  <c r="BE300" i="38"/>
  <c r="AZ477" i="38"/>
  <c r="AY477" i="38"/>
  <c r="AW477" i="38"/>
  <c r="AV477" i="38"/>
  <c r="BG814" i="38"/>
  <c r="BH814" i="38"/>
  <c r="BD814" i="38"/>
  <c r="BE814" i="38"/>
  <c r="BD411" i="38"/>
  <c r="BB412" i="38"/>
  <c r="BD412" i="38" s="1"/>
  <c r="BE411" i="38"/>
  <c r="AO883" i="38"/>
  <c r="AR883" i="38"/>
  <c r="AN883" i="38"/>
  <c r="AQ883" i="38"/>
  <c r="BE1066" i="38"/>
  <c r="BD1066" i="38"/>
  <c r="BG225" i="38"/>
  <c r="BH225" i="38"/>
  <c r="BE225" i="38"/>
  <c r="BD225" i="38"/>
  <c r="BE1055" i="38"/>
  <c r="BD1055" i="38"/>
  <c r="AX96" i="38"/>
  <c r="AO576" i="38"/>
  <c r="AN576" i="38"/>
  <c r="AO104" i="38"/>
  <c r="AN104" i="38"/>
  <c r="AR104" i="38"/>
  <c r="AQ104" i="38"/>
  <c r="AN626" i="38"/>
  <c r="AO626" i="38"/>
  <c r="AO951" i="38"/>
  <c r="AN951" i="38"/>
  <c r="BC241" i="38"/>
  <c r="BE708" i="38"/>
  <c r="BD708" i="38"/>
  <c r="AN1020" i="38"/>
  <c r="AO1020" i="38"/>
  <c r="BH43" i="38"/>
  <c r="BG43" i="38"/>
  <c r="AN53" i="38"/>
  <c r="AO53" i="38"/>
  <c r="AQ53" i="38"/>
  <c r="AR53" i="38"/>
  <c r="AQ538" i="38"/>
  <c r="AR538" i="38"/>
  <c r="AN538" i="38"/>
  <c r="AO538" i="38"/>
  <c r="BE437" i="38"/>
  <c r="BD437" i="38"/>
  <c r="BH437" i="38"/>
  <c r="BG437" i="38"/>
  <c r="AN1023" i="38"/>
  <c r="AO1023" i="38"/>
  <c r="AN350" i="38"/>
  <c r="AO350" i="38"/>
  <c r="BE809" i="38"/>
  <c r="BD809" i="38"/>
  <c r="BH809" i="38"/>
  <c r="BG809" i="38"/>
  <c r="AN995" i="38"/>
  <c r="AO995" i="38"/>
  <c r="BD697" i="38"/>
  <c r="BE697" i="38"/>
  <c r="BD793" i="38"/>
  <c r="BE793" i="38"/>
  <c r="AV324" i="38"/>
  <c r="AW324" i="38"/>
  <c r="AT315" i="38"/>
  <c r="AV315" i="38" s="1"/>
  <c r="BD1046" i="38"/>
  <c r="BE1046" i="38"/>
  <c r="BC318" i="38"/>
  <c r="AV308" i="38"/>
  <c r="AW308" i="38"/>
  <c r="AZ782" i="38"/>
  <c r="AY782" i="38"/>
  <c r="AV782" i="38"/>
  <c r="AW782" i="38"/>
  <c r="AW682" i="38"/>
  <c r="AV682" i="38"/>
  <c r="AN296" i="38"/>
  <c r="AO296" i="38"/>
  <c r="BD728" i="38"/>
  <c r="BE728" i="38"/>
  <c r="BH923" i="38"/>
  <c r="BG923" i="38"/>
  <c r="BD923" i="38"/>
  <c r="BE923" i="38"/>
  <c r="AO762" i="38"/>
  <c r="AR762" i="38"/>
  <c r="AN762" i="38"/>
  <c r="AQ762" i="38"/>
  <c r="AV227" i="38"/>
  <c r="AW227" i="38"/>
  <c r="AY227" i="38"/>
  <c r="AZ227" i="38"/>
  <c r="BD344" i="38"/>
  <c r="BE344" i="38"/>
  <c r="AV1036" i="38"/>
  <c r="AW1036" i="38"/>
  <c r="BE957" i="38"/>
  <c r="BD957" i="38"/>
  <c r="BH823" i="38"/>
  <c r="BD823" i="38"/>
  <c r="BG823" i="38"/>
  <c r="BE823" i="38"/>
  <c r="AR852" i="38"/>
  <c r="AQ852" i="38"/>
  <c r="AO852" i="38"/>
  <c r="AN852" i="38"/>
  <c r="AW758" i="38"/>
  <c r="AZ758" i="38"/>
  <c r="AV758" i="38"/>
  <c r="AY758" i="38"/>
  <c r="AW717" i="38"/>
  <c r="AV717" i="38"/>
  <c r="BE325" i="38"/>
  <c r="BB316" i="38"/>
  <c r="BD325" i="38"/>
  <c r="AX126" i="38"/>
  <c r="AV1032" i="38"/>
  <c r="AW1032" i="38"/>
  <c r="BD810" i="38"/>
  <c r="BH810" i="38"/>
  <c r="BE810" i="38"/>
  <c r="BG810" i="38"/>
  <c r="AY900" i="38"/>
  <c r="AW900" i="38"/>
  <c r="AZ900" i="38"/>
  <c r="AV900" i="38"/>
  <c r="AN928" i="38"/>
  <c r="AR928" i="38"/>
  <c r="AQ928" i="38"/>
  <c r="AO928" i="38"/>
  <c r="AO970" i="38"/>
  <c r="AN970" i="38"/>
  <c r="BF178" i="38"/>
  <c r="AX180" i="38"/>
  <c r="AN984" i="38"/>
  <c r="AO984" i="38"/>
  <c r="BC181" i="38"/>
  <c r="AN811" i="38"/>
  <c r="AR811" i="38"/>
  <c r="AQ811" i="38"/>
  <c r="AO811" i="38"/>
  <c r="AN975" i="38"/>
  <c r="AO975" i="38"/>
  <c r="BE739" i="38"/>
  <c r="BD739" i="38"/>
  <c r="AV897" i="38"/>
  <c r="AY897" i="38"/>
  <c r="AZ897" i="38"/>
  <c r="AW897" i="38"/>
  <c r="AU367" i="38"/>
  <c r="AW367" i="38" s="1"/>
  <c r="AO455" i="38"/>
  <c r="AQ455" i="38"/>
  <c r="AR455" i="38"/>
  <c r="AN455" i="38"/>
  <c r="BD829" i="38"/>
  <c r="BE829" i="38"/>
  <c r="BG829" i="38"/>
  <c r="BH829" i="38"/>
  <c r="BH811" i="38"/>
  <c r="BD811" i="38"/>
  <c r="BE811" i="38"/>
  <c r="BG811" i="38"/>
  <c r="AQ798" i="38"/>
  <c r="AN798" i="38"/>
  <c r="AR798" i="38"/>
  <c r="AO798" i="38"/>
  <c r="AQ870" i="38"/>
  <c r="AO870" i="38"/>
  <c r="AN870" i="38"/>
  <c r="AR870" i="38"/>
  <c r="AU1459" i="38"/>
  <c r="BC83" i="38"/>
  <c r="BG920" i="38"/>
  <c r="BD920" i="38"/>
  <c r="BE920" i="38"/>
  <c r="BH920" i="38"/>
  <c r="AN578" i="38"/>
  <c r="AO578" i="38"/>
  <c r="AY457" i="38"/>
  <c r="AZ457" i="38"/>
  <c r="AV457" i="38"/>
  <c r="AW457" i="38"/>
  <c r="AO648" i="38"/>
  <c r="AN648" i="38"/>
  <c r="AP543" i="38"/>
  <c r="AV818" i="38"/>
  <c r="AW818" i="38"/>
  <c r="AY818" i="38"/>
  <c r="AZ818" i="38"/>
  <c r="AM252" i="38"/>
  <c r="AO554" i="38"/>
  <c r="AN554" i="38"/>
  <c r="BD696" i="38"/>
  <c r="BE696" i="38"/>
  <c r="AO201" i="38"/>
  <c r="AN201" i="38"/>
  <c r="AR201" i="38"/>
  <c r="AQ201" i="38"/>
  <c r="AL202" i="38"/>
  <c r="AN1041" i="38"/>
  <c r="AO1041" i="38"/>
  <c r="AV104" i="38"/>
  <c r="AY104" i="38"/>
  <c r="AZ104" i="38"/>
  <c r="AW104" i="38"/>
  <c r="AW941" i="38"/>
  <c r="AV941" i="38"/>
  <c r="AZ941" i="38"/>
  <c r="AY941" i="38"/>
  <c r="AN799" i="38"/>
  <c r="AR799" i="38"/>
  <c r="AQ799" i="38"/>
  <c r="AO799" i="38"/>
  <c r="BG93" i="38"/>
  <c r="BE93" i="38"/>
  <c r="BD93" i="38"/>
  <c r="BH93" i="38"/>
  <c r="AW1049" i="38"/>
  <c r="AV1049" i="38"/>
  <c r="AV1078" i="38"/>
  <c r="AW1078" i="38"/>
  <c r="AV609" i="38"/>
  <c r="AW609" i="38"/>
  <c r="BE139" i="38"/>
  <c r="BH139" i="38"/>
  <c r="BB140" i="38"/>
  <c r="BD139" i="38"/>
  <c r="BG139" i="38"/>
  <c r="AV521" i="38"/>
  <c r="AY521" i="38"/>
  <c r="AW521" i="38"/>
  <c r="AZ521" i="38"/>
  <c r="AW387" i="38"/>
  <c r="AV387" i="38"/>
  <c r="AZ387" i="38"/>
  <c r="AY387" i="38"/>
  <c r="AN778" i="38"/>
  <c r="AR778" i="38"/>
  <c r="AO778" i="38"/>
  <c r="AQ778" i="38"/>
  <c r="AW533" i="38"/>
  <c r="AV533" i="38"/>
  <c r="AV650" i="38"/>
  <c r="AW650" i="38"/>
  <c r="AQ198" i="38"/>
  <c r="AO198" i="38"/>
  <c r="AR198" i="38"/>
  <c r="AN198" i="38"/>
  <c r="BD554" i="38"/>
  <c r="BE554" i="38"/>
  <c r="AV618" i="38"/>
  <c r="AW618" i="38"/>
  <c r="BD481" i="38"/>
  <c r="BE481" i="38"/>
  <c r="BG481" i="38"/>
  <c r="BH481" i="38"/>
  <c r="AR548" i="38"/>
  <c r="AN548" i="38"/>
  <c r="AQ548" i="38"/>
  <c r="AO548" i="38"/>
  <c r="AV68" i="38"/>
  <c r="AY68" i="38"/>
  <c r="AZ68" i="38"/>
  <c r="AW68" i="38"/>
  <c r="BD771" i="38"/>
  <c r="BG771" i="38"/>
  <c r="BH771" i="38"/>
  <c r="BE771" i="38"/>
  <c r="BE864" i="38"/>
  <c r="BD864" i="38"/>
  <c r="BG864" i="38"/>
  <c r="BH864" i="38"/>
  <c r="AW361" i="38"/>
  <c r="AY361" i="38"/>
  <c r="AV361" i="38"/>
  <c r="AZ361" i="38"/>
  <c r="BD988" i="38"/>
  <c r="BE988" i="38"/>
  <c r="AR43" i="38"/>
  <c r="AO43" i="38"/>
  <c r="AQ43" i="38"/>
  <c r="AN43" i="38"/>
  <c r="AV585" i="38"/>
  <c r="AW585" i="38"/>
  <c r="AV192" i="38"/>
  <c r="AZ192" i="38"/>
  <c r="AY192" i="38"/>
  <c r="AW192" i="38"/>
  <c r="AZ778" i="38"/>
  <c r="AW778" i="38"/>
  <c r="AY778" i="38"/>
  <c r="AV778" i="38"/>
  <c r="BC250" i="38"/>
  <c r="BD250" i="38" s="1"/>
  <c r="AU277" i="38"/>
  <c r="BG188" i="38"/>
  <c r="BH188" i="38"/>
  <c r="BD188" i="38"/>
  <c r="BE188" i="38"/>
  <c r="AY810" i="38"/>
  <c r="AW810" i="38"/>
  <c r="AV810" i="38"/>
  <c r="AZ810" i="38"/>
  <c r="AO744" i="38"/>
  <c r="AN744" i="38"/>
  <c r="AV751" i="38"/>
  <c r="AW751" i="38"/>
  <c r="AN1086" i="38"/>
  <c r="AO1086" i="38"/>
  <c r="AN292" i="38"/>
  <c r="AO292" i="38"/>
  <c r="BD665" i="38"/>
  <c r="BE665" i="38"/>
  <c r="AM127" i="38"/>
  <c r="BD943" i="38"/>
  <c r="BE943" i="38"/>
  <c r="BH943" i="38"/>
  <c r="BG943" i="38"/>
  <c r="AN640" i="38"/>
  <c r="AO640" i="38"/>
  <c r="BD114" i="38"/>
  <c r="BH114" i="38"/>
  <c r="BE114" i="38"/>
  <c r="BG114" i="38"/>
  <c r="AN405" i="38"/>
  <c r="AL406" i="38"/>
  <c r="AN406" i="38" s="1"/>
  <c r="AO405" i="38"/>
  <c r="BC374" i="38"/>
  <c r="BD374" i="38" s="1"/>
  <c r="BC358" i="38"/>
  <c r="BC373" i="38" s="1"/>
  <c r="BG849" i="38"/>
  <c r="BE849" i="38"/>
  <c r="BH849" i="38"/>
  <c r="BD849" i="38"/>
  <c r="BE953" i="38"/>
  <c r="BD953" i="38"/>
  <c r="AO625" i="38"/>
  <c r="AN625" i="38"/>
  <c r="AO960" i="38"/>
  <c r="AN960" i="38"/>
  <c r="AO657" i="38"/>
  <c r="AN657" i="38"/>
  <c r="AM1467" i="38"/>
  <c r="AO383" i="38"/>
  <c r="AQ383" i="38"/>
  <c r="AR383" i="38"/>
  <c r="AL375" i="38"/>
  <c r="AN383" i="38"/>
  <c r="AV714" i="38"/>
  <c r="AW714" i="38"/>
  <c r="AY162" i="38"/>
  <c r="AW162" i="38"/>
  <c r="AZ162" i="38"/>
  <c r="AV162" i="38"/>
  <c r="BD216" i="38"/>
  <c r="BG216" i="38"/>
  <c r="BH216" i="38"/>
  <c r="BE216" i="38"/>
  <c r="AW169" i="38"/>
  <c r="AV169" i="38"/>
  <c r="AY169" i="38"/>
  <c r="AZ169" i="38"/>
  <c r="AV42" i="38"/>
  <c r="AZ42" i="38"/>
  <c r="AY42" i="38"/>
  <c r="AW42" i="38"/>
  <c r="BD342" i="38"/>
  <c r="BE342" i="38"/>
  <c r="AW990" i="38"/>
  <c r="AV990" i="38"/>
  <c r="BG488" i="38"/>
  <c r="BD488" i="38"/>
  <c r="BE488" i="38"/>
  <c r="BH488" i="38"/>
  <c r="BE763" i="38"/>
  <c r="BG763" i="38"/>
  <c r="BH763" i="38"/>
  <c r="BD763" i="38"/>
  <c r="AN668" i="38"/>
  <c r="AO668" i="38"/>
  <c r="AM244" i="38"/>
  <c r="AN853" i="38"/>
  <c r="AR853" i="38"/>
  <c r="AQ853" i="38"/>
  <c r="AO853" i="38"/>
  <c r="AW290" i="38"/>
  <c r="AV290" i="38"/>
  <c r="AO817" i="38"/>
  <c r="AN817" i="38"/>
  <c r="AQ817" i="38"/>
  <c r="AR817" i="38"/>
  <c r="AR73" i="38"/>
  <c r="AQ73" i="38"/>
  <c r="AO73" i="38"/>
  <c r="AN73" i="38"/>
  <c r="AR914" i="38"/>
  <c r="AQ914" i="38"/>
  <c r="AN914" i="38"/>
  <c r="AO914" i="38"/>
  <c r="BE526" i="38"/>
  <c r="BD526" i="38"/>
  <c r="BD882" i="38"/>
  <c r="BE882" i="38"/>
  <c r="BH882" i="38"/>
  <c r="BG882" i="38"/>
  <c r="AV223" i="38"/>
  <c r="AY223" i="38"/>
  <c r="AZ223" i="38"/>
  <c r="AW223" i="38"/>
  <c r="AN949" i="38"/>
  <c r="AO949" i="38"/>
  <c r="AQ162" i="38"/>
  <c r="AO162" i="38"/>
  <c r="AN162" i="38"/>
  <c r="AR162" i="38"/>
  <c r="BH461" i="38"/>
  <c r="BD461" i="38"/>
  <c r="BE461" i="38"/>
  <c r="BG461" i="38"/>
  <c r="BE1014" i="38"/>
  <c r="BD1014" i="38"/>
  <c r="AY923" i="38"/>
  <c r="AV923" i="38"/>
  <c r="AZ923" i="38"/>
  <c r="AW923" i="38"/>
  <c r="AM447" i="38"/>
  <c r="AM413" i="38" s="1"/>
  <c r="BD704" i="38"/>
  <c r="BE704" i="38"/>
  <c r="BD355" i="38"/>
  <c r="BB354" i="38"/>
  <c r="BG354" i="38" s="1"/>
  <c r="BG355" i="38"/>
  <c r="BE355" i="38"/>
  <c r="BH355" i="38"/>
  <c r="BE1003" i="38"/>
  <c r="BD1003" i="38"/>
  <c r="AW328" i="38"/>
  <c r="AV328" i="38"/>
  <c r="AT319" i="38"/>
  <c r="AV319" i="38" s="1"/>
  <c r="AW634" i="38"/>
  <c r="AV634" i="38"/>
  <c r="AQ54" i="38"/>
  <c r="AR54" i="38"/>
  <c r="AN54" i="38"/>
  <c r="AO54" i="38"/>
  <c r="AN302" i="38"/>
  <c r="AO302" i="38"/>
  <c r="BC316" i="38"/>
  <c r="AO994" i="38"/>
  <c r="AN994" i="38"/>
  <c r="BE1022" i="38"/>
  <c r="BD1022" i="38"/>
  <c r="AO690" i="38"/>
  <c r="AN690" i="38"/>
  <c r="AV115" i="38"/>
  <c r="AW115" i="38"/>
  <c r="AO1078" i="38"/>
  <c r="AN1078" i="38"/>
  <c r="BF447" i="38"/>
  <c r="BF413" i="38" s="1"/>
  <c r="AW1071" i="38"/>
  <c r="AV1071" i="38"/>
  <c r="BH927" i="38"/>
  <c r="BE927" i="38"/>
  <c r="BG927" i="38"/>
  <c r="BD927" i="38"/>
  <c r="AT243" i="38"/>
  <c r="AY243" i="38" s="1"/>
  <c r="AY257" i="38"/>
  <c r="AW257" i="38"/>
  <c r="AZ257" i="38"/>
  <c r="AV257" i="38"/>
  <c r="AZ115" i="38"/>
  <c r="AY115" i="38"/>
  <c r="AQ892" i="38"/>
  <c r="AN892" i="38"/>
  <c r="AR892" i="38"/>
  <c r="AO892" i="38"/>
  <c r="AN950" i="38"/>
  <c r="AO950" i="38"/>
  <c r="AR475" i="38"/>
  <c r="AO475" i="38"/>
  <c r="AN475" i="38"/>
  <c r="AQ475" i="38"/>
  <c r="BC177" i="38"/>
  <c r="BD177" i="38" s="1"/>
  <c r="BD1042" i="38"/>
  <c r="BE1042" i="38"/>
  <c r="BE331" i="38"/>
  <c r="BD331" i="38"/>
  <c r="AR549" i="38"/>
  <c r="AQ549" i="38"/>
  <c r="AO549" i="38"/>
  <c r="AN549" i="38"/>
  <c r="AR157" i="38"/>
  <c r="AN157" i="38"/>
  <c r="AQ157" i="38"/>
  <c r="AO157" i="38"/>
  <c r="AQ927" i="38"/>
  <c r="AO927" i="38"/>
  <c r="AR927" i="38"/>
  <c r="AN927" i="38"/>
  <c r="BE1035" i="38"/>
  <c r="BD1035" i="38"/>
  <c r="AW934" i="38"/>
  <c r="AZ934" i="38"/>
  <c r="AY934" i="38"/>
  <c r="AV934" i="38"/>
  <c r="BE525" i="38"/>
  <c r="BD525" i="38"/>
  <c r="BD719" i="38"/>
  <c r="BE719" i="38"/>
  <c r="AY228" i="38"/>
  <c r="AV228" i="38"/>
  <c r="AZ228" i="38"/>
  <c r="AW228" i="38"/>
  <c r="AN410" i="38"/>
  <c r="AR410" i="38"/>
  <c r="AO410" i="38"/>
  <c r="AQ410" i="38"/>
  <c r="AO583" i="38"/>
  <c r="AN583" i="38"/>
  <c r="BG122" i="38"/>
  <c r="BD122" i="38"/>
  <c r="BE122" i="38"/>
  <c r="BH122" i="38"/>
  <c r="BE509" i="38"/>
  <c r="BD509" i="38"/>
  <c r="BH509" i="38"/>
  <c r="BG509" i="38"/>
  <c r="BC251" i="38"/>
  <c r="AN884" i="38"/>
  <c r="AR884" i="38"/>
  <c r="AO884" i="38"/>
  <c r="AQ884" i="38"/>
  <c r="BD229" i="38"/>
  <c r="BG229" i="38"/>
  <c r="BE229" i="38"/>
  <c r="BH229" i="38"/>
  <c r="AQ169" i="38"/>
  <c r="AN169" i="38"/>
  <c r="AO169" i="38"/>
  <c r="AR169" i="38"/>
  <c r="AW461" i="38"/>
  <c r="AV461" i="38"/>
  <c r="AZ461" i="38"/>
  <c r="AY461" i="38"/>
  <c r="AW637" i="38"/>
  <c r="AV637" i="38"/>
  <c r="BE768" i="38"/>
  <c r="BG768" i="38"/>
  <c r="BD768" i="38"/>
  <c r="BH768" i="38"/>
  <c r="AW27" i="38"/>
  <c r="AV27" i="38"/>
  <c r="AZ27" i="38"/>
  <c r="AY27" i="38"/>
  <c r="AQ819" i="38"/>
  <c r="AR819" i="38"/>
  <c r="AO819" i="38"/>
  <c r="AN819" i="38"/>
  <c r="BE282" i="38"/>
  <c r="BD282" i="38"/>
  <c r="AN528" i="38"/>
  <c r="AO528" i="38"/>
  <c r="AZ523" i="38"/>
  <c r="AY523" i="38"/>
  <c r="AW523" i="38"/>
  <c r="AV523" i="38"/>
  <c r="BE991" i="38"/>
  <c r="BD991" i="38"/>
  <c r="AT36" i="38"/>
  <c r="AY36" i="38" s="1"/>
  <c r="AY35" i="38"/>
  <c r="AV35" i="38"/>
  <c r="AW35" i="38"/>
  <c r="AZ35" i="38"/>
  <c r="BC379" i="38"/>
  <c r="BD379" i="38" s="1"/>
  <c r="BE1063" i="38"/>
  <c r="BD1063" i="38"/>
  <c r="AV582" i="38"/>
  <c r="AW582" i="38"/>
  <c r="AL358" i="38"/>
  <c r="AN359" i="38"/>
  <c r="AR359" i="38"/>
  <c r="AO359" i="38"/>
  <c r="AQ359" i="38"/>
  <c r="BE656" i="38"/>
  <c r="BD656" i="38"/>
  <c r="AY232" i="38"/>
  <c r="AZ232" i="38"/>
  <c r="AW232" i="38"/>
  <c r="AV232" i="38"/>
  <c r="AW57" i="38"/>
  <c r="AV57" i="38"/>
  <c r="AZ57" i="38"/>
  <c r="AY57" i="38"/>
  <c r="BC376" i="38"/>
  <c r="AW593" i="38"/>
  <c r="AV593" i="38"/>
  <c r="AV1090" i="38"/>
  <c r="AW1090" i="38"/>
  <c r="AZ93" i="38"/>
  <c r="AY93" i="38"/>
  <c r="AW93" i="38"/>
  <c r="AV93" i="38"/>
  <c r="BD160" i="38"/>
  <c r="BE160" i="38"/>
  <c r="AO965" i="38"/>
  <c r="AN965" i="38"/>
  <c r="AM179" i="38"/>
  <c r="BD669" i="38"/>
  <c r="BE669" i="38"/>
  <c r="AN489" i="38"/>
  <c r="AO489" i="38"/>
  <c r="AR489" i="38"/>
  <c r="AQ489" i="38"/>
  <c r="AZ156" i="38"/>
  <c r="AY156" i="38"/>
  <c r="AN1066" i="38"/>
  <c r="AO1066" i="38"/>
  <c r="AW503" i="38"/>
  <c r="AY503" i="38"/>
  <c r="AV503" i="38"/>
  <c r="AZ503" i="38"/>
  <c r="AW337" i="38"/>
  <c r="AV337" i="38"/>
  <c r="AO579" i="38"/>
  <c r="AN579" i="38"/>
  <c r="BD738" i="38"/>
  <c r="BE738" i="38"/>
  <c r="BC431" i="38"/>
  <c r="BC90" i="38" s="1"/>
  <c r="AY194" i="38"/>
  <c r="AW194" i="38"/>
  <c r="AT195" i="38"/>
  <c r="AZ194" i="38"/>
  <c r="AV194" i="38"/>
  <c r="AV1057" i="38"/>
  <c r="AW1057" i="38"/>
  <c r="BC140" i="38"/>
  <c r="AW975" i="38"/>
  <c r="AV975" i="38"/>
  <c r="BF381" i="38"/>
  <c r="BE362" i="38"/>
  <c r="BD362" i="38"/>
  <c r="AW906" i="38"/>
  <c r="AV906" i="38"/>
  <c r="AY906" i="38"/>
  <c r="AZ906" i="38"/>
  <c r="AN983" i="38"/>
  <c r="AO983" i="38"/>
  <c r="AW775" i="38"/>
  <c r="AZ775" i="38"/>
  <c r="AV775" i="38"/>
  <c r="AY775" i="38"/>
  <c r="BD45" i="38"/>
  <c r="BG45" i="38"/>
  <c r="BH45" i="38"/>
  <c r="BE45" i="38"/>
  <c r="BG215" i="38"/>
  <c r="BH215" i="38"/>
  <c r="BH845" i="38"/>
  <c r="BE845" i="38"/>
  <c r="BD845" i="38"/>
  <c r="BG845" i="38"/>
  <c r="BE581" i="38"/>
  <c r="BD581" i="38"/>
  <c r="AP443" i="38"/>
  <c r="AP341" i="38" s="1"/>
  <c r="BE532" i="38"/>
  <c r="BD532" i="38"/>
  <c r="AV1009" i="38"/>
  <c r="AW1009" i="38"/>
  <c r="BH52" i="38"/>
  <c r="BG52" i="38"/>
  <c r="BD686" i="38"/>
  <c r="BE686" i="38"/>
  <c r="AP439" i="38"/>
  <c r="AP278" i="38" s="1"/>
  <c r="BE162" i="38"/>
  <c r="BD162" i="38"/>
  <c r="BH162" i="38"/>
  <c r="BG162" i="38"/>
  <c r="AV665" i="38"/>
  <c r="AW665" i="38"/>
  <c r="AZ512" i="38"/>
  <c r="AW512" i="38"/>
  <c r="AV512" i="38"/>
  <c r="AY512" i="38"/>
  <c r="AW771" i="38"/>
  <c r="AZ771" i="38"/>
  <c r="AY771" i="38"/>
  <c r="AV771" i="38"/>
  <c r="AO601" i="38"/>
  <c r="AN601" i="38"/>
  <c r="AP1466" i="38"/>
  <c r="AR1466" i="38" s="1"/>
  <c r="AL180" i="38"/>
  <c r="AO184" i="38"/>
  <c r="AQ184" i="38"/>
  <c r="AN184" i="38"/>
  <c r="AR184" i="38"/>
  <c r="AO632" i="38"/>
  <c r="AN632" i="38"/>
  <c r="AO514" i="38"/>
  <c r="AN514" i="38"/>
  <c r="AR514" i="38"/>
  <c r="AQ514" i="38"/>
  <c r="AU340" i="38"/>
  <c r="AV859" i="38"/>
  <c r="AY859" i="38"/>
  <c r="AZ859" i="38"/>
  <c r="AW859" i="38"/>
  <c r="AY827" i="38"/>
  <c r="AZ827" i="38"/>
  <c r="AW827" i="38"/>
  <c r="AV827" i="38"/>
  <c r="AV1043" i="38"/>
  <c r="AW1043" i="38"/>
  <c r="AO608" i="38"/>
  <c r="AN608" i="38"/>
  <c r="AW733" i="38"/>
  <c r="AV733" i="38"/>
  <c r="AV552" i="38"/>
  <c r="AW552" i="38"/>
  <c r="AW53" i="38"/>
  <c r="AV53" i="38"/>
  <c r="AQ487" i="38"/>
  <c r="AR487" i="38"/>
  <c r="AO487" i="38"/>
  <c r="AN487" i="38"/>
  <c r="AW982" i="38"/>
  <c r="AV982" i="38"/>
  <c r="AW571" i="38"/>
  <c r="AV571" i="38"/>
  <c r="AW981" i="38"/>
  <c r="AV981" i="38"/>
  <c r="AO1098" i="38"/>
  <c r="AN1098" i="38"/>
  <c r="AZ268" i="38"/>
  <c r="AW268" i="38"/>
  <c r="AV268" i="38"/>
  <c r="AY268" i="38"/>
  <c r="AW1084" i="38"/>
  <c r="AV1084" i="38"/>
  <c r="AV310" i="38"/>
  <c r="AW310" i="38"/>
  <c r="AT311" i="38"/>
  <c r="AV311" i="38" s="1"/>
  <c r="AY538" i="38"/>
  <c r="AV538" i="38"/>
  <c r="AZ538" i="38"/>
  <c r="AW538" i="38"/>
  <c r="AW519" i="38"/>
  <c r="AY519" i="38"/>
  <c r="AV519" i="38"/>
  <c r="AZ519" i="38"/>
  <c r="AV947" i="38"/>
  <c r="AW947" i="38"/>
  <c r="BD1047" i="38"/>
  <c r="BE1047" i="38"/>
  <c r="AV646" i="38"/>
  <c r="AW646" i="38"/>
  <c r="AW958" i="38"/>
  <c r="AV958" i="38"/>
  <c r="AO574" i="38"/>
  <c r="AN574" i="38"/>
  <c r="AV734" i="38"/>
  <c r="AW734" i="38"/>
  <c r="AW294" i="38"/>
  <c r="AV294" i="38"/>
  <c r="BD307" i="38"/>
  <c r="BE307" i="38"/>
  <c r="BD726" i="38"/>
  <c r="BE726" i="38"/>
  <c r="AZ846" i="38"/>
  <c r="AW846" i="38"/>
  <c r="AY846" i="38"/>
  <c r="AV846" i="38"/>
  <c r="BD666" i="38"/>
  <c r="BE666" i="38"/>
  <c r="BG440" i="38"/>
  <c r="BH440" i="38"/>
  <c r="BE440" i="38"/>
  <c r="BD440" i="38"/>
  <c r="AQ173" i="38"/>
  <c r="AR173" i="38"/>
  <c r="AN173" i="38"/>
  <c r="AO173" i="38"/>
  <c r="AO513" i="38"/>
  <c r="AR513" i="38"/>
  <c r="AQ513" i="38"/>
  <c r="AN513" i="38"/>
  <c r="AZ867" i="38"/>
  <c r="AY867" i="38"/>
  <c r="AW867" i="38"/>
  <c r="AV867" i="38"/>
  <c r="AN735" i="38"/>
  <c r="AO735" i="38"/>
  <c r="AY168" i="38"/>
  <c r="AV168" i="38"/>
  <c r="AZ168" i="38"/>
  <c r="AW168" i="38"/>
  <c r="AW321" i="38"/>
  <c r="AV321" i="38"/>
  <c r="AT312" i="38"/>
  <c r="AW1047" i="38"/>
  <c r="AV1047" i="38"/>
  <c r="AN349" i="38"/>
  <c r="AO349" i="38"/>
  <c r="BH102" i="38"/>
  <c r="BG102" i="38"/>
  <c r="BE102" i="38"/>
  <c r="BB79" i="38"/>
  <c r="BD102" i="38"/>
  <c r="AP150" i="38"/>
  <c r="AP151" i="38" s="1"/>
  <c r="AQ151" i="38" s="1"/>
  <c r="AP1460" i="38"/>
  <c r="AQ1460" i="38" s="1"/>
  <c r="AQ930" i="38"/>
  <c r="AO930" i="38"/>
  <c r="AR930" i="38"/>
  <c r="AN930" i="38"/>
  <c r="BE1087" i="38"/>
  <c r="BD1087" i="38"/>
  <c r="BH490" i="38"/>
  <c r="BD490" i="38"/>
  <c r="BG490" i="38"/>
  <c r="BE490" i="38"/>
  <c r="AR262" i="38"/>
  <c r="AQ262" i="38"/>
  <c r="AL248" i="38"/>
  <c r="AN262" i="38"/>
  <c r="AO262" i="38"/>
  <c r="AV694" i="38"/>
  <c r="AW694" i="38"/>
  <c r="AO989" i="38"/>
  <c r="AN989" i="38"/>
  <c r="BD851" i="38"/>
  <c r="BE851" i="38"/>
  <c r="BH851" i="38"/>
  <c r="BG851" i="38"/>
  <c r="AY792" i="38"/>
  <c r="AV792" i="38"/>
  <c r="AZ792" i="38"/>
  <c r="AW792" i="38"/>
  <c r="AR801" i="38"/>
  <c r="AO801" i="38"/>
  <c r="AN801" i="38"/>
  <c r="AQ801" i="38"/>
  <c r="BH145" i="38"/>
  <c r="BE145" i="38"/>
  <c r="BD145" i="38"/>
  <c r="BG145" i="38"/>
  <c r="AW488" i="38"/>
  <c r="AV488" i="38"/>
  <c r="AY488" i="38"/>
  <c r="AZ488" i="38"/>
  <c r="BG903" i="38"/>
  <c r="BD903" i="38"/>
  <c r="BE903" i="38"/>
  <c r="BH903" i="38"/>
  <c r="AN1006" i="38"/>
  <c r="AO1006" i="38"/>
  <c r="AV500" i="38"/>
  <c r="AY500" i="38"/>
  <c r="AZ500" i="38"/>
  <c r="AW500" i="38"/>
  <c r="AN585" i="38"/>
  <c r="AO585" i="38"/>
  <c r="BG192" i="38"/>
  <c r="BE192" i="38"/>
  <c r="BH192" i="38"/>
  <c r="BD192" i="38"/>
  <c r="AO298" i="38"/>
  <c r="AN298" i="38"/>
  <c r="BH57" i="38"/>
  <c r="BD57" i="38"/>
  <c r="BE57" i="38"/>
  <c r="BG57" i="38"/>
  <c r="BC317" i="38"/>
  <c r="BD317" i="38" s="1"/>
  <c r="BE1031" i="38"/>
  <c r="BD1031" i="38"/>
  <c r="AP29" i="38"/>
  <c r="BE303" i="38"/>
  <c r="BD303" i="38"/>
  <c r="AN699" i="38"/>
  <c r="AO699" i="38"/>
  <c r="AT336" i="38"/>
  <c r="AV335" i="38"/>
  <c r="AW335" i="38"/>
  <c r="AN1055" i="38"/>
  <c r="AO1055" i="38"/>
  <c r="BD854" i="38"/>
  <c r="BE854" i="38"/>
  <c r="BG854" i="38"/>
  <c r="BH854" i="38"/>
  <c r="BH436" i="38"/>
  <c r="BG436" i="38"/>
  <c r="BE436" i="38"/>
  <c r="BD436" i="38"/>
  <c r="BH499" i="38"/>
  <c r="BD499" i="38"/>
  <c r="BE499" i="38"/>
  <c r="BG499" i="38"/>
  <c r="AY265" i="38"/>
  <c r="AW265" i="38"/>
  <c r="AZ265" i="38"/>
  <c r="AV265" i="38"/>
  <c r="AT251" i="38"/>
  <c r="AV251" i="38" s="1"/>
  <c r="BD1054" i="38"/>
  <c r="BE1054" i="38"/>
  <c r="BG539" i="38"/>
  <c r="BH539" i="38"/>
  <c r="BE539" i="38"/>
  <c r="BD539" i="38"/>
  <c r="AY476" i="38"/>
  <c r="AZ476" i="38"/>
  <c r="AV476" i="38"/>
  <c r="AW476" i="38"/>
  <c r="AW607" i="38"/>
  <c r="AV607" i="38"/>
  <c r="BD863" i="38"/>
  <c r="BH863" i="38"/>
  <c r="BG863" i="38"/>
  <c r="BE863" i="38"/>
  <c r="BD1062" i="38"/>
  <c r="BE1062" i="38"/>
  <c r="AL29" i="38"/>
  <c r="AR28" i="38"/>
  <c r="AO28" i="38"/>
  <c r="AQ28" i="38"/>
  <c r="AN28" i="38"/>
  <c r="BD821" i="38"/>
  <c r="BG821" i="38"/>
  <c r="BE821" i="38"/>
  <c r="BH821" i="38"/>
  <c r="BE566" i="38"/>
  <c r="BD566" i="38"/>
  <c r="BD231" i="38"/>
  <c r="BH231" i="38"/>
  <c r="BG231" i="38"/>
  <c r="BE231" i="38"/>
  <c r="AZ138" i="38"/>
  <c r="AT88" i="38"/>
  <c r="AY88" i="38" s="1"/>
  <c r="AY138" i="38"/>
  <c r="AV138" i="38"/>
  <c r="AW138" i="38"/>
  <c r="BD593" i="38"/>
  <c r="BE593" i="38"/>
  <c r="AL381" i="38"/>
  <c r="AL374" i="38"/>
  <c r="AN382" i="38"/>
  <c r="AQ382" i="38"/>
  <c r="AR382" i="38"/>
  <c r="AO382" i="38"/>
  <c r="BD512" i="38"/>
  <c r="BE512" i="38"/>
  <c r="BH512" i="38"/>
  <c r="BG512" i="38"/>
  <c r="AV1077" i="38"/>
  <c r="AW1077" i="38"/>
  <c r="AP794" i="38"/>
  <c r="AQ794" i="38" s="1"/>
  <c r="AN479" i="38"/>
  <c r="AQ479" i="38"/>
  <c r="AO479" i="38"/>
  <c r="AR479" i="38"/>
  <c r="AW117" i="38"/>
  <c r="AZ117" i="38"/>
  <c r="AY117" i="38"/>
  <c r="AV117" i="38"/>
  <c r="AR478" i="38"/>
  <c r="AO478" i="38"/>
  <c r="AN478" i="38"/>
  <c r="AQ478" i="38"/>
  <c r="BG765" i="38"/>
  <c r="BE765" i="38"/>
  <c r="BD765" i="38"/>
  <c r="BH765" i="38"/>
  <c r="BG187" i="38"/>
  <c r="BE187" i="38"/>
  <c r="BD187" i="38"/>
  <c r="BH187" i="38"/>
  <c r="AN472" i="38"/>
  <c r="AR472" i="38"/>
  <c r="AQ472" i="38"/>
  <c r="AO472" i="38"/>
  <c r="AV386" i="38"/>
  <c r="AT378" i="38"/>
  <c r="AZ386" i="38"/>
  <c r="AT385" i="38"/>
  <c r="AT377" i="38" s="1"/>
  <c r="AW386" i="38"/>
  <c r="AY386" i="38"/>
  <c r="BC1459" i="38"/>
  <c r="BD511" i="38"/>
  <c r="BE511" i="38"/>
  <c r="BG511" i="38"/>
  <c r="BH511" i="38"/>
  <c r="AY201" i="38"/>
  <c r="AV201" i="38"/>
  <c r="AZ201" i="38"/>
  <c r="AW201" i="38"/>
  <c r="AT202" i="38"/>
  <c r="AU284" i="38"/>
  <c r="AV284" i="38" s="1"/>
  <c r="BD626" i="38"/>
  <c r="BE626" i="38"/>
  <c r="AN1004" i="38"/>
  <c r="AO1004" i="38"/>
  <c r="AN1054" i="38"/>
  <c r="AO1054" i="38"/>
  <c r="BE520" i="38"/>
  <c r="BH520" i="38"/>
  <c r="BG520" i="38"/>
  <c r="BD520" i="38"/>
  <c r="AO310" i="38"/>
  <c r="AL311" i="38"/>
  <c r="AN311" i="38" s="1"/>
  <c r="AN310" i="38"/>
  <c r="BF378" i="38"/>
  <c r="BG378" i="38" s="1"/>
  <c r="BH386" i="38"/>
  <c r="BG386" i="38"/>
  <c r="BF385" i="38"/>
  <c r="BF377" i="38" s="1"/>
  <c r="AV996" i="38"/>
  <c r="AW996" i="38"/>
  <c r="AN1073" i="38"/>
  <c r="AO1073" i="38"/>
  <c r="BE1000" i="38"/>
  <c r="BD1000" i="38"/>
  <c r="AZ205" i="38"/>
  <c r="AV205" i="38"/>
  <c r="AW205" i="38"/>
  <c r="AY205" i="38"/>
  <c r="AR814" i="38"/>
  <c r="AQ814" i="38"/>
  <c r="AO814" i="38"/>
  <c r="AN814" i="38"/>
  <c r="BD17" i="38"/>
  <c r="BH17" i="38"/>
  <c r="BG17" i="38"/>
  <c r="BB18" i="38"/>
  <c r="BD18" i="38" s="1"/>
  <c r="BE17" i="38"/>
  <c r="AV722" i="38"/>
  <c r="AW722" i="38"/>
  <c r="AY884" i="38"/>
  <c r="AV884" i="38"/>
  <c r="AZ884" i="38"/>
  <c r="AW884" i="38"/>
  <c r="AN641" i="38"/>
  <c r="AO641" i="38"/>
  <c r="AV71" i="38"/>
  <c r="AZ71" i="38"/>
  <c r="AY71" i="38"/>
  <c r="AW71" i="38"/>
  <c r="AO981" i="38"/>
  <c r="AN981" i="38"/>
  <c r="AQ442" i="38"/>
  <c r="AN442" i="38"/>
  <c r="AL443" i="38"/>
  <c r="AO442" i="38"/>
  <c r="AR442" i="38"/>
  <c r="BE418" i="38"/>
  <c r="BG418" i="38"/>
  <c r="BH418" i="38"/>
  <c r="BB419" i="38"/>
  <c r="BD418" i="38"/>
  <c r="BE806" i="38"/>
  <c r="BD806" i="38"/>
  <c r="BG806" i="38"/>
  <c r="BH806" i="38"/>
  <c r="BB379" i="38"/>
  <c r="BE389" i="38"/>
  <c r="BD389" i="38"/>
  <c r="AW229" i="38"/>
  <c r="AZ229" i="38"/>
  <c r="AV229" i="38"/>
  <c r="AY229" i="38"/>
  <c r="AN1079" i="38"/>
  <c r="AO1079" i="38"/>
  <c r="AV929" i="38"/>
  <c r="AW929" i="38"/>
  <c r="AY929" i="38"/>
  <c r="AZ929" i="38"/>
  <c r="BD92" i="38"/>
  <c r="BE92" i="38"/>
  <c r="BG92" i="38"/>
  <c r="BH92" i="38"/>
  <c r="AT347" i="38"/>
  <c r="AW346" i="38"/>
  <c r="AV346" i="38"/>
  <c r="AO235" i="38"/>
  <c r="AN235" i="38"/>
  <c r="AQ235" i="38"/>
  <c r="AR235" i="38"/>
  <c r="AN95" i="38"/>
  <c r="AL96" i="38"/>
  <c r="AN96" i="38" s="1"/>
  <c r="AO95" i="38"/>
  <c r="AQ95" i="38"/>
  <c r="AR95" i="38"/>
  <c r="BD881" i="38"/>
  <c r="BH881" i="38"/>
  <c r="BE881" i="38"/>
  <c r="BG881" i="38"/>
  <c r="AN233" i="38"/>
  <c r="AQ233" i="38"/>
  <c r="AR233" i="38"/>
  <c r="AO233" i="38"/>
  <c r="BH456" i="38"/>
  <c r="BG456" i="38"/>
  <c r="BD456" i="38"/>
  <c r="BE456" i="38"/>
  <c r="AW605" i="38"/>
  <c r="AV605" i="38"/>
  <c r="AV742" i="38"/>
  <c r="AW742" i="38"/>
  <c r="BD977" i="38"/>
  <c r="BE977" i="38"/>
  <c r="AV602" i="38"/>
  <c r="AW602" i="38"/>
  <c r="BD234" i="38"/>
  <c r="BE234" i="38"/>
  <c r="AQ189" i="38"/>
  <c r="AN189" i="38"/>
  <c r="AO189" i="38"/>
  <c r="AR189" i="38"/>
  <c r="AR116" i="38"/>
  <c r="AN116" i="38"/>
  <c r="AQ116" i="38"/>
  <c r="AO116" i="38"/>
  <c r="BC367" i="38"/>
  <c r="BE367" i="38" s="1"/>
  <c r="AN954" i="38"/>
  <c r="AO954" i="38"/>
  <c r="AV978" i="38"/>
  <c r="AW978" i="38"/>
  <c r="AL336" i="38"/>
  <c r="AO335" i="38"/>
  <c r="AN335" i="38"/>
  <c r="AQ117" i="38"/>
  <c r="AR117" i="38"/>
  <c r="AO117" i="38"/>
  <c r="AN117" i="38"/>
  <c r="AZ197" i="38"/>
  <c r="AY197" i="38"/>
  <c r="AW197" i="38"/>
  <c r="AV197" i="38"/>
  <c r="BG217" i="38"/>
  <c r="BH217" i="38"/>
  <c r="AM191" i="38"/>
  <c r="BG221" i="38"/>
  <c r="BH221" i="38"/>
  <c r="BE221" i="38"/>
  <c r="BD221" i="38"/>
  <c r="AN1043" i="38"/>
  <c r="AO1043" i="38"/>
  <c r="AN685" i="38"/>
  <c r="AO685" i="38"/>
  <c r="AV261" i="38"/>
  <c r="AW261" i="38"/>
  <c r="AY261" i="38"/>
  <c r="AZ261" i="38"/>
  <c r="BE1076" i="38"/>
  <c r="BD1076" i="38"/>
  <c r="BG156" i="38"/>
  <c r="BE156" i="38"/>
  <c r="BD156" i="38"/>
  <c r="BH156" i="38"/>
  <c r="AO1070" i="38"/>
  <c r="AN1070" i="38"/>
  <c r="AN323" i="38"/>
  <c r="AO323" i="38"/>
  <c r="AL314" i="38"/>
  <c r="AN672" i="38"/>
  <c r="AO672" i="38"/>
  <c r="AN211" i="38"/>
  <c r="AO211" i="38"/>
  <c r="AQ211" i="38"/>
  <c r="AR211" i="38"/>
  <c r="BD1044" i="38"/>
  <c r="BE1044" i="38"/>
  <c r="AU312" i="38"/>
  <c r="BG392" i="38"/>
  <c r="BD392" i="38"/>
  <c r="BE392" i="38"/>
  <c r="BH392" i="38"/>
  <c r="AM240" i="38"/>
  <c r="AN240" i="38" s="1"/>
  <c r="AN1037" i="38"/>
  <c r="AO1037" i="38"/>
  <c r="AO654" i="38"/>
  <c r="AN654" i="38"/>
  <c r="AR219" i="38"/>
  <c r="AO219" i="38"/>
  <c r="AQ219" i="38"/>
  <c r="AN219" i="38"/>
  <c r="AN613" i="38"/>
  <c r="AO613" i="38"/>
  <c r="BE348" i="38"/>
  <c r="BD348" i="38"/>
  <c r="BG452" i="38"/>
  <c r="BE452" i="38"/>
  <c r="BD452" i="38"/>
  <c r="BH452" i="38"/>
  <c r="AN952" i="38"/>
  <c r="AO952" i="38"/>
  <c r="AY254" i="38"/>
  <c r="AW254" i="38"/>
  <c r="AT240" i="38"/>
  <c r="AZ254" i="38"/>
  <c r="AV254" i="38"/>
  <c r="AO588" i="38"/>
  <c r="AN588" i="38"/>
  <c r="AN1069" i="38"/>
  <c r="AO1069" i="38"/>
  <c r="BB20" i="38"/>
  <c r="BD19" i="38"/>
  <c r="BG19" i="38"/>
  <c r="BE19" i="38"/>
  <c r="BH19" i="38"/>
  <c r="BD700" i="38"/>
  <c r="BE700" i="38"/>
  <c r="BD731" i="38"/>
  <c r="BE731" i="38"/>
  <c r="BD486" i="38"/>
  <c r="BE486" i="38"/>
  <c r="BH486" i="38"/>
  <c r="BG486" i="38"/>
  <c r="AW112" i="38"/>
  <c r="AY112" i="38"/>
  <c r="AZ112" i="38"/>
  <c r="AV112" i="38"/>
  <c r="AV471" i="38"/>
  <c r="AW471" i="38"/>
  <c r="AZ471" i="38"/>
  <c r="AY471" i="38"/>
  <c r="AO197" i="38"/>
  <c r="AR197" i="38"/>
  <c r="AQ197" i="38"/>
  <c r="AN197" i="38"/>
  <c r="AZ473" i="38"/>
  <c r="AY473" i="38"/>
  <c r="AW473" i="38"/>
  <c r="AV473" i="38"/>
  <c r="BG438" i="38"/>
  <c r="BE438" i="38"/>
  <c r="BD438" i="38"/>
  <c r="BH438" i="38"/>
  <c r="BB439" i="38"/>
  <c r="AZ819" i="38"/>
  <c r="AW819" i="38"/>
  <c r="AV819" i="38"/>
  <c r="AY819" i="38"/>
  <c r="BE328" i="38"/>
  <c r="BD328" i="38"/>
  <c r="BB319" i="38"/>
  <c r="BD319" i="38" s="1"/>
  <c r="AN707" i="38"/>
  <c r="AO707" i="38"/>
  <c r="AW1044" i="38"/>
  <c r="AV1044" i="38"/>
  <c r="AW221" i="38"/>
  <c r="AV221" i="38"/>
  <c r="AY221" i="38"/>
  <c r="AZ221" i="38"/>
  <c r="AP374" i="38"/>
  <c r="AP358" i="38"/>
  <c r="AP373" i="38" s="1"/>
  <c r="AY831" i="38"/>
  <c r="AZ831" i="38"/>
  <c r="AV831" i="38"/>
  <c r="AW831" i="38"/>
  <c r="BE1089" i="38"/>
  <c r="BD1089" i="38"/>
  <c r="AN742" i="38"/>
  <c r="AO742" i="38"/>
  <c r="AY486" i="38"/>
  <c r="AZ486" i="38"/>
  <c r="AW486" i="38"/>
  <c r="AV486" i="38"/>
  <c r="AO638" i="38"/>
  <c r="AN638" i="38"/>
  <c r="AL273" i="38"/>
  <c r="AO272" i="38"/>
  <c r="AN272" i="38"/>
  <c r="AO14" i="38"/>
  <c r="AQ14" i="38"/>
  <c r="AR14" i="38"/>
  <c r="AN14" i="38"/>
  <c r="AL1455" i="38"/>
  <c r="AQ1455" i="38" s="1"/>
  <c r="AZ480" i="38"/>
  <c r="AV480" i="38"/>
  <c r="AW480" i="38"/>
  <c r="AY480" i="38"/>
  <c r="AO444" i="38"/>
  <c r="AN444" i="38"/>
  <c r="AQ444" i="38"/>
  <c r="AR444" i="38"/>
  <c r="AV72" i="38"/>
  <c r="AY72" i="38"/>
  <c r="AW72" i="38"/>
  <c r="AZ72" i="38"/>
  <c r="BD530" i="38"/>
  <c r="BE530" i="38"/>
  <c r="AO872" i="38"/>
  <c r="AQ872" i="38"/>
  <c r="AN872" i="38"/>
  <c r="AR872" i="38"/>
  <c r="BD494" i="38"/>
  <c r="BE494" i="38"/>
  <c r="BH494" i="38"/>
  <c r="BG494" i="38"/>
  <c r="AW705" i="38"/>
  <c r="AV705" i="38"/>
  <c r="AV970" i="38"/>
  <c r="AW970" i="38"/>
  <c r="AQ147" i="38"/>
  <c r="AO147" i="38"/>
  <c r="AR147" i="38"/>
  <c r="AN147" i="38"/>
  <c r="BD213" i="38"/>
  <c r="BH213" i="38"/>
  <c r="BG213" i="38"/>
  <c r="BE213" i="38"/>
  <c r="AW761" i="38"/>
  <c r="AZ761" i="38"/>
  <c r="AY761" i="38"/>
  <c r="AV761" i="38"/>
  <c r="AR804" i="38"/>
  <c r="AQ804" i="38"/>
  <c r="AN804" i="38"/>
  <c r="AO804" i="38"/>
  <c r="BD776" i="38"/>
  <c r="BH776" i="38"/>
  <c r="BG776" i="38"/>
  <c r="BE776" i="38"/>
  <c r="AN747" i="38"/>
  <c r="AO747" i="38"/>
  <c r="BE840" i="38"/>
  <c r="BG840" i="38"/>
  <c r="BD840" i="38"/>
  <c r="BH840" i="38"/>
  <c r="BH922" i="38"/>
  <c r="BE922" i="38"/>
  <c r="BG922" i="38"/>
  <c r="BD922" i="38"/>
  <c r="AW1001" i="38"/>
  <c r="AV1001" i="38"/>
  <c r="AY542" i="38"/>
  <c r="AZ542" i="38"/>
  <c r="AW542" i="38"/>
  <c r="AV542" i="38"/>
  <c r="BG546" i="38"/>
  <c r="BD546" i="38"/>
  <c r="BE546" i="38"/>
  <c r="BH546" i="38"/>
  <c r="AM439" i="38"/>
  <c r="AM278" i="38" s="1"/>
  <c r="AY130" i="38"/>
  <c r="AZ130" i="38"/>
  <c r="AW130" i="38"/>
  <c r="AV130" i="38"/>
  <c r="AT127" i="38"/>
  <c r="AY127" i="38" s="1"/>
  <c r="AY96" i="38" s="1"/>
  <c r="AW327" i="38"/>
  <c r="AT318" i="38"/>
  <c r="AV327" i="38"/>
  <c r="AV560" i="38"/>
  <c r="AW560" i="38"/>
  <c r="AN1009" i="38"/>
  <c r="AO1009" i="38"/>
  <c r="BD591" i="38"/>
  <c r="BE591" i="38"/>
  <c r="AR93" i="38"/>
  <c r="AQ93" i="38"/>
  <c r="AO93" i="38"/>
  <c r="AN93" i="38"/>
  <c r="BD975" i="38"/>
  <c r="BE975" i="38"/>
  <c r="AX20" i="38"/>
  <c r="AY20" i="38" s="1"/>
  <c r="AU29" i="38"/>
  <c r="AV29" i="38" s="1"/>
  <c r="AV770" i="38"/>
  <c r="AY770" i="38"/>
  <c r="AZ770" i="38"/>
  <c r="AW770" i="38"/>
  <c r="AN722" i="38"/>
  <c r="AO722" i="38"/>
  <c r="AW993" i="38"/>
  <c r="AV993" i="38"/>
  <c r="BH414" i="38"/>
  <c r="BG414" i="38"/>
  <c r="BD414" i="38"/>
  <c r="BE414" i="38"/>
  <c r="BE364" i="38"/>
  <c r="BB363" i="38"/>
  <c r="BH363" i="38" s="1"/>
  <c r="BG364" i="38"/>
  <c r="BH364" i="38"/>
  <c r="BD364" i="38"/>
  <c r="BG477" i="38"/>
  <c r="BD477" i="38"/>
  <c r="BE477" i="38"/>
  <c r="BH477" i="38"/>
  <c r="AN295" i="38"/>
  <c r="AO295" i="38"/>
  <c r="AQ247" i="38"/>
  <c r="AN247" i="38"/>
  <c r="AV595" i="38"/>
  <c r="AW595" i="38"/>
  <c r="BE214" i="38"/>
  <c r="BH214" i="38"/>
  <c r="BD214" i="38"/>
  <c r="BG214" i="38"/>
  <c r="AO271" i="38"/>
  <c r="AN271" i="38"/>
  <c r="AM443" i="38"/>
  <c r="AM341" i="38" s="1"/>
  <c r="AQ547" i="38"/>
  <c r="AN547" i="38"/>
  <c r="AR547" i="38"/>
  <c r="AO547" i="38"/>
  <c r="AZ175" i="38"/>
  <c r="AV175" i="38"/>
  <c r="AW175" i="38"/>
  <c r="AY175" i="38"/>
  <c r="AV131" i="38"/>
  <c r="AW131" i="38"/>
  <c r="AQ395" i="38"/>
  <c r="AR395" i="38"/>
  <c r="AO395" i="38"/>
  <c r="AN395" i="38"/>
  <c r="BH880" i="38"/>
  <c r="BG880" i="38"/>
  <c r="BD880" i="38"/>
  <c r="BE880" i="38"/>
  <c r="AZ437" i="38"/>
  <c r="AW437" i="38"/>
  <c r="AY437" i="38"/>
  <c r="AV437" i="38"/>
  <c r="AY498" i="38"/>
  <c r="AZ498" i="38"/>
  <c r="AV498" i="38"/>
  <c r="AW498" i="38"/>
  <c r="AV338" i="38"/>
  <c r="AW338" i="38"/>
  <c r="BD1001" i="38"/>
  <c r="BE1001" i="38"/>
  <c r="AZ208" i="38"/>
  <c r="AV208" i="38"/>
  <c r="AY208" i="38"/>
  <c r="AW208" i="38"/>
  <c r="BH99" i="38"/>
  <c r="BD99" i="38"/>
  <c r="BE99" i="38"/>
  <c r="BG99" i="38"/>
  <c r="AQ925" i="38"/>
  <c r="AN925" i="38"/>
  <c r="AR925" i="38"/>
  <c r="AO925" i="38"/>
  <c r="BE1084" i="38"/>
  <c r="BD1084" i="38"/>
  <c r="AM320" i="38"/>
  <c r="AN320" i="38" s="1"/>
  <c r="AV528" i="38"/>
  <c r="AW528" i="38"/>
  <c r="AZ781" i="38"/>
  <c r="AY781" i="38"/>
  <c r="AW781" i="38"/>
  <c r="AV781" i="38"/>
  <c r="AV962" i="38"/>
  <c r="AW962" i="38"/>
  <c r="AW997" i="38"/>
  <c r="AV997" i="38"/>
  <c r="AM136" i="38"/>
  <c r="AN136" i="38" s="1"/>
  <c r="BD979" i="38"/>
  <c r="BE979" i="38"/>
  <c r="AR474" i="38"/>
  <c r="AN474" i="38"/>
  <c r="AO474" i="38"/>
  <c r="AQ474" i="38"/>
  <c r="AR901" i="38"/>
  <c r="AO901" i="38"/>
  <c r="AQ901" i="38"/>
  <c r="AN901" i="38"/>
  <c r="BH474" i="38"/>
  <c r="BE474" i="38"/>
  <c r="BD474" i="38"/>
  <c r="BG474" i="38"/>
  <c r="AO627" i="38"/>
  <c r="AN627" i="38"/>
  <c r="BE132" i="38"/>
  <c r="BB83" i="38"/>
  <c r="BB82" i="38" s="1"/>
  <c r="BG132" i="38"/>
  <c r="BH132" i="38"/>
  <c r="BD132" i="38"/>
  <c r="BG387" i="38"/>
  <c r="BB385" i="38"/>
  <c r="BE385" i="38" s="1"/>
  <c r="BH387" i="38"/>
  <c r="BE387" i="38"/>
  <c r="BD387" i="38"/>
  <c r="BH890" i="38"/>
  <c r="BG890" i="38"/>
  <c r="BD890" i="38"/>
  <c r="BE890" i="38"/>
  <c r="BD769" i="38"/>
  <c r="BE769" i="38"/>
  <c r="BG769" i="38"/>
  <c r="BH769" i="38"/>
  <c r="AO470" i="38"/>
  <c r="AQ470" i="38"/>
  <c r="AN470" i="38"/>
  <c r="AR470" i="38"/>
  <c r="BC313" i="38"/>
  <c r="AW1065" i="38"/>
  <c r="AV1065" i="38"/>
  <c r="AL284" i="38"/>
  <c r="AN283" i="38"/>
  <c r="AO283" i="38"/>
  <c r="BE210" i="38"/>
  <c r="BD210" i="38"/>
  <c r="BG210" i="38"/>
  <c r="BH210" i="38"/>
  <c r="BD674" i="38"/>
  <c r="BE674" i="38"/>
  <c r="BD644" i="38"/>
  <c r="BE644" i="38"/>
  <c r="BD902" i="38"/>
  <c r="BH902" i="38"/>
  <c r="BG902" i="38"/>
  <c r="BE902" i="38"/>
  <c r="AV1007" i="38"/>
  <c r="AW1007" i="38"/>
  <c r="AQ508" i="38"/>
  <c r="AO508" i="38"/>
  <c r="AN508" i="38"/>
  <c r="AR508" i="38"/>
  <c r="AW546" i="38"/>
  <c r="AY546" i="38"/>
  <c r="AZ546" i="38"/>
  <c r="AV546" i="38"/>
  <c r="AV957" i="38"/>
  <c r="AW957" i="38"/>
  <c r="BG794" i="38"/>
  <c r="BD794" i="38"/>
  <c r="BE794" i="38"/>
  <c r="BH794" i="38"/>
  <c r="AN788" i="38"/>
  <c r="AO788" i="38"/>
  <c r="AR788" i="38"/>
  <c r="AQ788" i="38"/>
  <c r="AQ866" i="38"/>
  <c r="AN866" i="38"/>
  <c r="AR866" i="38"/>
  <c r="AO866" i="38"/>
  <c r="AV499" i="38"/>
  <c r="AY499" i="38"/>
  <c r="AZ499" i="38"/>
  <c r="AW499" i="38"/>
  <c r="AN345" i="38"/>
  <c r="AO345" i="38"/>
  <c r="BH228" i="38"/>
  <c r="BD228" i="38"/>
  <c r="BE228" i="38"/>
  <c r="BG228" i="38"/>
  <c r="BD748" i="38"/>
  <c r="BE748" i="38"/>
  <c r="AW673" i="38"/>
  <c r="AV673" i="38"/>
  <c r="BH159" i="38"/>
  <c r="BD159" i="38"/>
  <c r="BG159" i="38"/>
  <c r="BE159" i="38"/>
  <c r="AW98" i="38"/>
  <c r="AV98" i="38"/>
  <c r="AY98" i="38"/>
  <c r="AZ98" i="38"/>
  <c r="AO1064" i="38"/>
  <c r="AN1064" i="38"/>
  <c r="AP96" i="38"/>
  <c r="AP83" i="38"/>
  <c r="AQ83" i="38" s="1"/>
  <c r="BE290" i="38"/>
  <c r="BD290" i="38"/>
  <c r="AW465" i="38"/>
  <c r="AZ465" i="38"/>
  <c r="AY465" i="38"/>
  <c r="AV465" i="38"/>
  <c r="BE996" i="38"/>
  <c r="BD996" i="38"/>
  <c r="AN529" i="38"/>
  <c r="AO529" i="38"/>
  <c r="AU253" i="38"/>
  <c r="AN1057" i="38"/>
  <c r="AO1057" i="38"/>
  <c r="BG211" i="38"/>
  <c r="BD211" i="38"/>
  <c r="BH211" i="38"/>
  <c r="BE211" i="38"/>
  <c r="AN656" i="38"/>
  <c r="AO656" i="38"/>
  <c r="BE144" i="38"/>
  <c r="BD144" i="38"/>
  <c r="AR396" i="38"/>
  <c r="AN396" i="38"/>
  <c r="AQ396" i="38"/>
  <c r="AO396" i="38"/>
  <c r="BD1039" i="38"/>
  <c r="BE1039" i="38"/>
  <c r="BG21" i="38"/>
  <c r="BB1460" i="38"/>
  <c r="BE1460" i="38" s="1"/>
  <c r="BH21" i="38"/>
  <c r="BD21" i="38"/>
  <c r="BE21" i="38"/>
  <c r="BG847" i="38"/>
  <c r="BH847" i="38"/>
  <c r="BE847" i="38"/>
  <c r="BD847" i="38"/>
  <c r="BE574" i="38"/>
  <c r="BD574" i="38"/>
  <c r="AO885" i="38"/>
  <c r="AN885" i="38"/>
  <c r="AQ885" i="38"/>
  <c r="AR885" i="38"/>
  <c r="BD797" i="38"/>
  <c r="BH797" i="38"/>
  <c r="BG797" i="38"/>
  <c r="BE797" i="38"/>
  <c r="AV704" i="38"/>
  <c r="AW704" i="38"/>
  <c r="AW128" i="38"/>
  <c r="AV128" i="38"/>
  <c r="AY128" i="38"/>
  <c r="AT125" i="38"/>
  <c r="AZ128" i="38"/>
  <c r="AR369" i="38"/>
  <c r="AO369" i="38"/>
  <c r="AQ369" i="38"/>
  <c r="AN369" i="38"/>
  <c r="BB244" i="38"/>
  <c r="BG244" i="38" s="1"/>
  <c r="BD258" i="38"/>
  <c r="BG258" i="38"/>
  <c r="BH258" i="38"/>
  <c r="BE258" i="38"/>
  <c r="AQ860" i="38"/>
  <c r="AR860" i="38"/>
  <c r="AO860" i="38"/>
  <c r="AN860" i="38"/>
  <c r="BH72" i="38"/>
  <c r="BE72" i="38"/>
  <c r="BG72" i="38"/>
  <c r="BD72" i="38"/>
  <c r="BD197" i="38"/>
  <c r="BE197" i="38"/>
  <c r="BG197" i="38"/>
  <c r="BH197" i="38"/>
  <c r="BD463" i="38"/>
  <c r="BG463" i="38"/>
  <c r="BE463" i="38"/>
  <c r="BH463" i="38"/>
  <c r="AM336" i="38"/>
  <c r="BG799" i="38"/>
  <c r="BE799" i="38"/>
  <c r="BH799" i="38"/>
  <c r="BD799" i="38"/>
  <c r="AU79" i="38"/>
  <c r="AW79" i="38" s="1"/>
  <c r="AO932" i="38"/>
  <c r="AQ932" i="38"/>
  <c r="AR932" i="38"/>
  <c r="AN932" i="38"/>
  <c r="BH804" i="38"/>
  <c r="BE804" i="38"/>
  <c r="BD804" i="38"/>
  <c r="BG804" i="38"/>
  <c r="BH761" i="38"/>
  <c r="BE761" i="38"/>
  <c r="BG761" i="38"/>
  <c r="BD761" i="38"/>
  <c r="AW952" i="38"/>
  <c r="AV952" i="38"/>
  <c r="AN915" i="38"/>
  <c r="AR915" i="38"/>
  <c r="AQ915" i="38"/>
  <c r="AO915" i="38"/>
  <c r="AW482" i="38"/>
  <c r="AV482" i="38"/>
  <c r="AY482" i="38"/>
  <c r="AZ482" i="38"/>
  <c r="AZ475" i="38"/>
  <c r="AW475" i="38"/>
  <c r="AV475" i="38"/>
  <c r="AY475" i="38"/>
  <c r="AN1012" i="38"/>
  <c r="AO1012" i="38"/>
  <c r="BH900" i="38"/>
  <c r="BE900" i="38"/>
  <c r="BD900" i="38"/>
  <c r="BG900" i="38"/>
  <c r="BE852" i="38"/>
  <c r="BD852" i="38"/>
  <c r="BG852" i="38"/>
  <c r="BH852" i="38"/>
  <c r="AM1455" i="38"/>
  <c r="BG186" i="38"/>
  <c r="BE186" i="38"/>
  <c r="BD186" i="38"/>
  <c r="BH186" i="38"/>
  <c r="BE1012" i="38"/>
  <c r="BD1012" i="38"/>
  <c r="AR797" i="38"/>
  <c r="AO797" i="38"/>
  <c r="AN797" i="38"/>
  <c r="AQ797" i="38"/>
  <c r="AN57" i="38"/>
  <c r="AO57" i="38"/>
  <c r="AQ57" i="38"/>
  <c r="AR57" i="38"/>
  <c r="AZ910" i="38"/>
  <c r="AV910" i="38"/>
  <c r="AW910" i="38"/>
  <c r="AY910" i="38"/>
  <c r="AU354" i="38"/>
  <c r="AU358" i="38"/>
  <c r="AU373" i="38" s="1"/>
  <c r="AU374" i="38"/>
  <c r="AV374" i="38" s="1"/>
  <c r="AW329" i="38"/>
  <c r="AT320" i="38"/>
  <c r="AV329" i="38"/>
  <c r="BE24" i="38"/>
  <c r="BB25" i="38"/>
  <c r="BD25" i="38" s="1"/>
  <c r="BH24" i="38"/>
  <c r="BD24" i="38"/>
  <c r="BG24" i="38"/>
  <c r="BG422" i="38"/>
  <c r="BD422" i="38"/>
  <c r="BE422" i="38"/>
  <c r="BH422" i="38"/>
  <c r="AO701" i="38"/>
  <c r="AN701" i="38"/>
  <c r="AO953" i="38"/>
  <c r="AN953" i="38"/>
  <c r="AU126" i="38"/>
  <c r="AV126" i="38" s="1"/>
  <c r="AN486" i="38"/>
  <c r="AO486" i="38"/>
  <c r="AR486" i="38"/>
  <c r="AQ486" i="38"/>
  <c r="AQ415" i="38"/>
  <c r="AR415" i="38"/>
  <c r="AO415" i="38"/>
  <c r="AN415" i="38"/>
  <c r="AO481" i="38"/>
  <c r="AQ481" i="38"/>
  <c r="AR481" i="38"/>
  <c r="AN481" i="38"/>
  <c r="AW1014" i="38"/>
  <c r="AV1014" i="38"/>
  <c r="BD538" i="38"/>
  <c r="BE538" i="38"/>
  <c r="AO746" i="38"/>
  <c r="AN746" i="38"/>
  <c r="BE519" i="38"/>
  <c r="BH519" i="38"/>
  <c r="BD519" i="38"/>
  <c r="BG519" i="38"/>
  <c r="AY756" i="38"/>
  <c r="AW756" i="38"/>
  <c r="AV756" i="38"/>
  <c r="AZ756" i="38"/>
  <c r="AU313" i="38"/>
  <c r="AN521" i="38"/>
  <c r="AQ521" i="38"/>
  <c r="AR521" i="38"/>
  <c r="AO521" i="38"/>
  <c r="AZ357" i="38"/>
  <c r="AY357" i="38"/>
  <c r="AV357" i="38"/>
  <c r="AW357" i="38"/>
  <c r="AU243" i="38"/>
  <c r="AO615" i="38"/>
  <c r="AN615" i="38"/>
  <c r="BD602" i="38"/>
  <c r="BE602" i="38"/>
  <c r="AQ902" i="38"/>
  <c r="AN902" i="38"/>
  <c r="AO902" i="38"/>
  <c r="AR902" i="38"/>
  <c r="AR209" i="38"/>
  <c r="AN209" i="38"/>
  <c r="AO209" i="38"/>
  <c r="AQ209" i="38"/>
  <c r="BE1079" i="38"/>
  <c r="BD1079" i="38"/>
  <c r="BD105" i="38"/>
  <c r="BE105" i="38"/>
  <c r="BE600" i="38"/>
  <c r="BD600" i="38"/>
  <c r="AN1015" i="38"/>
  <c r="AO1015" i="38"/>
  <c r="AO628" i="38"/>
  <c r="AN628" i="38"/>
  <c r="AX29" i="38"/>
  <c r="AY29" i="38" s="1"/>
  <c r="AY927" i="38"/>
  <c r="AV927" i="38"/>
  <c r="AW927" i="38"/>
  <c r="AZ927" i="38"/>
  <c r="BC243" i="38"/>
  <c r="AW94" i="38"/>
  <c r="AY94" i="38"/>
  <c r="AZ94" i="38"/>
  <c r="AV94" i="38"/>
  <c r="AM195" i="38"/>
  <c r="AN195" i="38" s="1"/>
  <c r="AV599" i="38"/>
  <c r="AW599" i="38"/>
  <c r="BD1049" i="38"/>
  <c r="BE1049" i="38"/>
  <c r="BE454" i="38"/>
  <c r="BG454" i="38"/>
  <c r="BH454" i="38"/>
  <c r="BD454" i="38"/>
  <c r="AO566" i="38"/>
  <c r="AN566" i="38"/>
  <c r="AR502" i="38"/>
  <c r="AO502" i="38"/>
  <c r="AN502" i="38"/>
  <c r="AQ502" i="38"/>
  <c r="BE69" i="38"/>
  <c r="BD69" i="38"/>
  <c r="BD119" i="38"/>
  <c r="BG119" i="38"/>
  <c r="BH119" i="38"/>
  <c r="BE119" i="38"/>
  <c r="AN748" i="38"/>
  <c r="AO748" i="38"/>
  <c r="BG800" i="38"/>
  <c r="BE800" i="38"/>
  <c r="BD800" i="38"/>
  <c r="BH800" i="38"/>
  <c r="AN1052" i="38"/>
  <c r="AO1052" i="38"/>
  <c r="AM1460" i="38"/>
  <c r="AN1460" i="38" s="1"/>
  <c r="AU320" i="38"/>
  <c r="AV350" i="38"/>
  <c r="AW350" i="38"/>
  <c r="BE649" i="38"/>
  <c r="BD649" i="38"/>
  <c r="AM347" i="38"/>
  <c r="AN347" i="38" s="1"/>
  <c r="AT1466" i="38"/>
  <c r="AT1463" i="38" s="1"/>
  <c r="AV46" i="38"/>
  <c r="AY46" i="38"/>
  <c r="AZ46" i="38"/>
  <c r="AW46" i="38"/>
  <c r="AO731" i="38"/>
  <c r="AN731" i="38"/>
  <c r="AW1040" i="38"/>
  <c r="AV1040" i="38"/>
  <c r="BG897" i="38"/>
  <c r="BH897" i="38"/>
  <c r="BD897" i="38"/>
  <c r="BE897" i="38"/>
  <c r="BE795" i="38"/>
  <c r="BH795" i="38"/>
  <c r="BD795" i="38"/>
  <c r="BG795" i="38"/>
  <c r="AO306" i="38"/>
  <c r="AN306" i="38"/>
  <c r="AT419" i="38"/>
  <c r="AV419" i="38" s="1"/>
  <c r="AW418" i="38"/>
  <c r="AY418" i="38"/>
  <c r="AZ418" i="38"/>
  <c r="AV418" i="38"/>
  <c r="BE735" i="38"/>
  <c r="BD735" i="38"/>
  <c r="AP825" i="38"/>
  <c r="AR825" i="38" s="1"/>
  <c r="AR266" i="38"/>
  <c r="AQ266" i="38"/>
  <c r="AL252" i="38"/>
  <c r="AO266" i="38"/>
  <c r="AN266" i="38"/>
  <c r="BE1026" i="38"/>
  <c r="BD1026" i="38"/>
  <c r="AO1046" i="38"/>
  <c r="AN1046" i="38"/>
  <c r="AO210" i="38"/>
  <c r="AN210" i="38"/>
  <c r="AQ210" i="38"/>
  <c r="AR210" i="38"/>
  <c r="BD670" i="38"/>
  <c r="BE670" i="38"/>
  <c r="BG218" i="38"/>
  <c r="BD218" i="38"/>
  <c r="BH218" i="38"/>
  <c r="BE218" i="38"/>
  <c r="BD236" i="38"/>
  <c r="BE236" i="38"/>
  <c r="BG236" i="38"/>
  <c r="BH236" i="38"/>
  <c r="AR193" i="38"/>
  <c r="AO193" i="38"/>
  <c r="AN193" i="38"/>
  <c r="AQ193" i="38"/>
  <c r="AZ132" i="38"/>
  <c r="AY132" i="38"/>
  <c r="AX83" i="38"/>
  <c r="BD657" i="38"/>
  <c r="BE657" i="38"/>
  <c r="AR931" i="38"/>
  <c r="AQ931" i="38"/>
  <c r="AO931" i="38"/>
  <c r="AN931" i="38"/>
  <c r="BD1074" i="38"/>
  <c r="BE1074" i="38"/>
  <c r="AV804" i="38"/>
  <c r="AY804" i="38"/>
  <c r="AW804" i="38"/>
  <c r="AZ804" i="38"/>
  <c r="BE308" i="38"/>
  <c r="BD308" i="38"/>
  <c r="BF431" i="38"/>
  <c r="BF90" i="38" s="1"/>
  <c r="BD334" i="38"/>
  <c r="BE334" i="38"/>
  <c r="AM284" i="38"/>
  <c r="BD405" i="38"/>
  <c r="BE405" i="38"/>
  <c r="BB406" i="38"/>
  <c r="BG189" i="38"/>
  <c r="BH189" i="38"/>
  <c r="BE189" i="38"/>
  <c r="BD189" i="38"/>
  <c r="BC80" i="38"/>
  <c r="BE80" i="38" s="1"/>
  <c r="BD123" i="38"/>
  <c r="BB81" i="38"/>
  <c r="BH81" i="38" s="1"/>
  <c r="BG123" i="38"/>
  <c r="BE123" i="38"/>
  <c r="BB124" i="38"/>
  <c r="BG124" i="38" s="1"/>
  <c r="BH123" i="38"/>
  <c r="BG848" i="38"/>
  <c r="BD848" i="38"/>
  <c r="BE848" i="38"/>
  <c r="BH848" i="38"/>
  <c r="AW200" i="38"/>
  <c r="AY200" i="38"/>
  <c r="AZ200" i="38"/>
  <c r="AV200" i="38"/>
  <c r="BD693" i="38"/>
  <c r="BE693" i="38"/>
  <c r="BG856" i="38"/>
  <c r="BE856" i="38"/>
  <c r="BH856" i="38"/>
  <c r="BD856" i="38"/>
  <c r="AR886" i="38"/>
  <c r="AN886" i="38"/>
  <c r="AQ886" i="38"/>
  <c r="AO886" i="38"/>
  <c r="AZ429" i="38"/>
  <c r="AV429" i="38"/>
  <c r="AY429" i="38"/>
  <c r="AW429" i="38"/>
  <c r="BE309" i="38"/>
  <c r="BD309" i="38"/>
  <c r="AO429" i="38"/>
  <c r="AQ429" i="38"/>
  <c r="AN429" i="38"/>
  <c r="AR429" i="38"/>
  <c r="BE485" i="38"/>
  <c r="BG485" i="38"/>
  <c r="BH485" i="38"/>
  <c r="BD485" i="38"/>
  <c r="AV204" i="38"/>
  <c r="AY204" i="38"/>
  <c r="AZ204" i="38"/>
  <c r="AW204" i="38"/>
  <c r="AW759" i="38"/>
  <c r="AY759" i="38"/>
  <c r="AZ759" i="38"/>
  <c r="AV759" i="38"/>
  <c r="AX177" i="38"/>
  <c r="AN887" i="38"/>
  <c r="AQ887" i="38"/>
  <c r="AR887" i="38"/>
  <c r="AO887" i="38"/>
  <c r="BD1067" i="38"/>
  <c r="BE1067" i="38"/>
  <c r="AV494" i="38"/>
  <c r="AZ494" i="38"/>
  <c r="AY494" i="38"/>
  <c r="AW494" i="38"/>
  <c r="AV655" i="38"/>
  <c r="AW655" i="38"/>
  <c r="AQ167" i="38"/>
  <c r="AN167" i="38"/>
  <c r="AR167" i="38"/>
  <c r="AO167" i="38"/>
  <c r="BH538" i="38"/>
  <c r="BG538" i="38"/>
  <c r="BD986" i="38"/>
  <c r="BE986" i="38"/>
  <c r="AZ174" i="38"/>
  <c r="AW174" i="38"/>
  <c r="AY174" i="38"/>
  <c r="AV174" i="38"/>
  <c r="AO767" i="38"/>
  <c r="AR767" i="38"/>
  <c r="AQ767" i="38"/>
  <c r="AN767" i="38"/>
  <c r="AY139" i="38"/>
  <c r="AZ139" i="38"/>
  <c r="AV139" i="38"/>
  <c r="AW139" i="38"/>
  <c r="AT140" i="38"/>
  <c r="BE1092" i="38"/>
  <c r="BD1092" i="38"/>
  <c r="AV1072" i="38"/>
  <c r="AW1072" i="38"/>
  <c r="BE460" i="38"/>
  <c r="BD460" i="38"/>
  <c r="BG460" i="38"/>
  <c r="BH460" i="38"/>
  <c r="BG780" i="38"/>
  <c r="BH780" i="38"/>
  <c r="BD780" i="38"/>
  <c r="BE780" i="38"/>
  <c r="AW988" i="38"/>
  <c r="AV988" i="38"/>
  <c r="AR789" i="38"/>
  <c r="AQ789" i="38"/>
  <c r="AN789" i="38"/>
  <c r="AO789" i="38"/>
  <c r="BD899" i="38"/>
  <c r="BH899" i="38"/>
  <c r="BE899" i="38"/>
  <c r="BG899" i="38"/>
  <c r="AQ542" i="38"/>
  <c r="AR542" i="38"/>
  <c r="AO542" i="38"/>
  <c r="AN542" i="38"/>
  <c r="AN274" i="38"/>
  <c r="AO274" i="38"/>
  <c r="AW584" i="38"/>
  <c r="AV584" i="38"/>
  <c r="BE166" i="38"/>
  <c r="BG166" i="38"/>
  <c r="BD166" i="38"/>
  <c r="BH166" i="38"/>
  <c r="AY843" i="38"/>
  <c r="AV843" i="38"/>
  <c r="AZ843" i="38"/>
  <c r="AW843" i="38"/>
  <c r="BE598" i="38"/>
  <c r="BD598" i="38"/>
  <c r="AO539" i="38"/>
  <c r="AR539" i="38"/>
  <c r="AQ539" i="38"/>
  <c r="AN539" i="38"/>
  <c r="AO1000" i="38"/>
  <c r="AN1000" i="38"/>
  <c r="AQ156" i="38"/>
  <c r="AR156" i="38"/>
  <c r="AO156" i="38"/>
  <c r="AN156" i="38"/>
  <c r="BG932" i="38"/>
  <c r="BH932" i="38"/>
  <c r="BD932" i="38"/>
  <c r="BE932" i="38"/>
  <c r="AR19" i="38"/>
  <c r="AN19" i="38"/>
  <c r="AQ19" i="38"/>
  <c r="AO19" i="38"/>
  <c r="BH409" i="38"/>
  <c r="BE409" i="38"/>
  <c r="BG409" i="38"/>
  <c r="BD409" i="38"/>
  <c r="AR392" i="38"/>
  <c r="AN392" i="38"/>
  <c r="AO392" i="38"/>
  <c r="AQ392" i="38"/>
  <c r="AV276" i="38"/>
  <c r="AW276" i="38"/>
  <c r="AT277" i="38"/>
  <c r="AO808" i="38"/>
  <c r="AN808" i="38"/>
  <c r="AQ808" i="38"/>
  <c r="AR808" i="38"/>
  <c r="AV332" i="38"/>
  <c r="AW332" i="38"/>
  <c r="AV343" i="38"/>
  <c r="AW343" i="38"/>
  <c r="BH65" i="38"/>
  <c r="BG65" i="38"/>
  <c r="BE65" i="38"/>
  <c r="BD65" i="38"/>
  <c r="BE476" i="38"/>
  <c r="BG476" i="38"/>
  <c r="BD476" i="38"/>
  <c r="BH476" i="38"/>
  <c r="BD885" i="38"/>
  <c r="BG885" i="38"/>
  <c r="BH885" i="38"/>
  <c r="BE885" i="38"/>
  <c r="BC191" i="38"/>
  <c r="BD191" i="38" s="1"/>
  <c r="AN933" i="38"/>
  <c r="AO933" i="38"/>
  <c r="AQ933" i="38"/>
  <c r="AR933" i="38"/>
  <c r="AR847" i="38"/>
  <c r="AN847" i="38"/>
  <c r="AO847" i="38"/>
  <c r="AQ847" i="38"/>
  <c r="AV209" i="38"/>
  <c r="AW209" i="38"/>
  <c r="AW1039" i="38"/>
  <c r="AV1039" i="38"/>
  <c r="BE226" i="38"/>
  <c r="BD226" i="38"/>
  <c r="BG226" i="38"/>
  <c r="BH226" i="38"/>
  <c r="AQ230" i="38"/>
  <c r="AN230" i="38"/>
  <c r="AO230" i="38"/>
  <c r="AR230" i="38"/>
  <c r="AV707" i="38"/>
  <c r="AW707" i="38"/>
  <c r="BC242" i="38"/>
  <c r="BD242" i="38" s="1"/>
  <c r="AZ915" i="38"/>
  <c r="AV915" i="38"/>
  <c r="AY915" i="38"/>
  <c r="AW915" i="38"/>
  <c r="AW1081" i="38"/>
  <c r="AV1081" i="38"/>
  <c r="AM412" i="38"/>
  <c r="BF180" i="38"/>
  <c r="BG180" i="38" s="1"/>
  <c r="BD301" i="38"/>
  <c r="BE301" i="38"/>
  <c r="BD1080" i="38"/>
  <c r="BE1080" i="38"/>
  <c r="AZ157" i="38"/>
  <c r="AV157" i="38"/>
  <c r="AW157" i="38"/>
  <c r="AY157" i="38"/>
  <c r="AU245" i="38"/>
  <c r="AW713" i="38"/>
  <c r="AV713" i="38"/>
  <c r="AQ128" i="38"/>
  <c r="AR128" i="38"/>
  <c r="AN128" i="38"/>
  <c r="AL125" i="38"/>
  <c r="AN125" i="38" s="1"/>
  <c r="AO128" i="38"/>
  <c r="AO918" i="38"/>
  <c r="AR918" i="38"/>
  <c r="AN918" i="38"/>
  <c r="AQ918" i="38"/>
  <c r="AO581" i="38"/>
  <c r="AN581" i="38"/>
  <c r="BF150" i="38"/>
  <c r="BH150" i="38" s="1"/>
  <c r="BG143" i="38"/>
  <c r="BD143" i="38"/>
  <c r="BE143" i="38"/>
  <c r="BH143" i="38"/>
  <c r="AU347" i="38"/>
  <c r="AW716" i="38"/>
  <c r="AV716" i="38"/>
  <c r="BD924" i="38"/>
  <c r="BE924" i="38"/>
  <c r="BH924" i="38"/>
  <c r="BG924" i="38"/>
  <c r="AW22" i="38"/>
  <c r="AZ22" i="38"/>
  <c r="AT1459" i="38"/>
  <c r="AY22" i="38"/>
  <c r="AV22" i="38"/>
  <c r="BD638" i="38"/>
  <c r="BE638" i="38"/>
  <c r="AN106" i="38"/>
  <c r="AL80" i="38"/>
  <c r="AQ106" i="38"/>
  <c r="AO106" i="38"/>
  <c r="AR106" i="38"/>
  <c r="AV525" i="38"/>
  <c r="AW525" i="38"/>
  <c r="AN800" i="38"/>
  <c r="AQ800" i="38"/>
  <c r="AO800" i="38"/>
  <c r="AR800" i="38"/>
  <c r="AW629" i="38"/>
  <c r="AV629" i="38"/>
  <c r="AZ442" i="38"/>
  <c r="AW442" i="38"/>
  <c r="AY442" i="38"/>
  <c r="AT443" i="38"/>
  <c r="AV442" i="38"/>
  <c r="AZ230" i="38"/>
  <c r="AW230" i="38"/>
  <c r="AV230" i="38"/>
  <c r="AY230" i="38"/>
  <c r="BE484" i="38"/>
  <c r="BG484" i="38"/>
  <c r="BH484" i="38"/>
  <c r="BD484" i="38"/>
  <c r="AM181" i="38"/>
  <c r="AN181" i="38" s="1"/>
  <c r="BC127" i="38"/>
  <c r="BF195" i="38"/>
  <c r="BE767" i="38"/>
  <c r="BD767" i="38"/>
  <c r="BH767" i="38"/>
  <c r="BG767" i="38"/>
  <c r="AN978" i="38"/>
  <c r="AO978" i="38"/>
  <c r="AV807" i="38"/>
  <c r="AW807" i="38"/>
  <c r="AZ807" i="38"/>
  <c r="AY807" i="38"/>
  <c r="AU181" i="38"/>
  <c r="AY65" i="38"/>
  <c r="AV65" i="38"/>
  <c r="AZ65" i="38"/>
  <c r="AW65" i="38"/>
  <c r="BG808" i="38"/>
  <c r="BD808" i="38"/>
  <c r="BE808" i="38"/>
  <c r="BH808" i="38"/>
  <c r="AO774" i="38"/>
  <c r="AR774" i="38"/>
  <c r="AN774" i="38"/>
  <c r="AQ774" i="38"/>
  <c r="AM340" i="38"/>
  <c r="BE541" i="38"/>
  <c r="BH541" i="38"/>
  <c r="BG541" i="38"/>
  <c r="BD541" i="38"/>
  <c r="AU316" i="38"/>
  <c r="AV414" i="38"/>
  <c r="AY414" i="38"/>
  <c r="AZ414" i="38"/>
  <c r="AW414" i="38"/>
  <c r="AW769" i="38"/>
  <c r="AZ769" i="38"/>
  <c r="AV769" i="38"/>
  <c r="AY769" i="38"/>
  <c r="AN911" i="38"/>
  <c r="AQ911" i="38"/>
  <c r="AO911" i="38"/>
  <c r="AR911" i="38"/>
  <c r="AQ452" i="38"/>
  <c r="AR452" i="38"/>
  <c r="AO452" i="38"/>
  <c r="AN452" i="38"/>
  <c r="BD758" i="38"/>
  <c r="BE758" i="38"/>
  <c r="BG758" i="38"/>
  <c r="BH758" i="38"/>
  <c r="AZ51" i="38"/>
  <c r="AY51" i="38"/>
  <c r="AV51" i="38"/>
  <c r="AW51" i="38"/>
  <c r="BE651" i="38"/>
  <c r="BD651" i="38"/>
  <c r="AN936" i="38"/>
  <c r="AR936" i="38"/>
  <c r="AO936" i="38"/>
  <c r="AQ936" i="38"/>
  <c r="AV738" i="38"/>
  <c r="AW738" i="38"/>
  <c r="AO325" i="38"/>
  <c r="AN325" i="38"/>
  <c r="AL316" i="38"/>
  <c r="AR114" i="38"/>
  <c r="AO114" i="38"/>
  <c r="AQ114" i="38"/>
  <c r="AN114" i="38"/>
  <c r="AO580" i="38"/>
  <c r="AN580" i="38"/>
  <c r="BE641" i="38"/>
  <c r="BD641" i="38"/>
  <c r="AV517" i="38"/>
  <c r="AY517" i="38"/>
  <c r="AZ517" i="38"/>
  <c r="AW517" i="38"/>
  <c r="AV1097" i="38"/>
  <c r="AW1097" i="38"/>
  <c r="AM242" i="38"/>
  <c r="AN242" i="38" s="1"/>
  <c r="BE149" i="38"/>
  <c r="BH149" i="38"/>
  <c r="BD149" i="38"/>
  <c r="BG149" i="38"/>
  <c r="BH911" i="38"/>
  <c r="BG911" i="38"/>
  <c r="BD911" i="38"/>
  <c r="BE911" i="38"/>
  <c r="BC20" i="38"/>
  <c r="AR787" i="38"/>
  <c r="AN787" i="38"/>
  <c r="AO787" i="38"/>
  <c r="AQ787" i="38"/>
  <c r="AL435" i="38"/>
  <c r="AL196" i="38" s="1"/>
  <c r="AR434" i="38"/>
  <c r="AQ434" i="38"/>
  <c r="AN434" i="38"/>
  <c r="AO434" i="38"/>
  <c r="BD464" i="38"/>
  <c r="BG464" i="38"/>
  <c r="BE464" i="38"/>
  <c r="BH464" i="38"/>
  <c r="BC88" i="38"/>
  <c r="AQ922" i="38"/>
  <c r="AO922" i="38"/>
  <c r="AR922" i="38"/>
  <c r="AN922" i="38"/>
  <c r="AQ24" i="38"/>
  <c r="AN24" i="38"/>
  <c r="AL25" i="38"/>
  <c r="AO24" i="38"/>
  <c r="AR24" i="38"/>
  <c r="AU85" i="38"/>
  <c r="AV422" i="38"/>
  <c r="AY422" i="38"/>
  <c r="AZ422" i="38"/>
  <c r="AW422" i="38"/>
  <c r="BH198" i="38"/>
  <c r="BE198" i="38"/>
  <c r="BD198" i="38"/>
  <c r="BG198" i="38"/>
  <c r="AW362" i="38"/>
  <c r="AV362" i="38"/>
  <c r="AN291" i="38"/>
  <c r="AO291" i="38"/>
  <c r="AU536" i="38"/>
  <c r="AV536" i="38" s="1"/>
  <c r="AW151" i="38"/>
  <c r="AV151" i="38"/>
  <c r="AZ151" i="38"/>
  <c r="BD915" i="38"/>
  <c r="BE915" i="38"/>
  <c r="BG915" i="38"/>
  <c r="BH915" i="38"/>
  <c r="AT239" i="38"/>
  <c r="AZ238" i="38"/>
  <c r="AY238" i="38"/>
  <c r="AW238" i="38"/>
  <c r="AV238" i="38"/>
  <c r="AP375" i="38"/>
  <c r="AQ375" i="38" s="1"/>
  <c r="BH816" i="38"/>
  <c r="BD816" i="38"/>
  <c r="BE816" i="38"/>
  <c r="BG816" i="38"/>
  <c r="AN736" i="38"/>
  <c r="AO736" i="38"/>
  <c r="AN835" i="38"/>
  <c r="AO835" i="38"/>
  <c r="AR835" i="38"/>
  <c r="AQ835" i="38"/>
  <c r="AZ355" i="38"/>
  <c r="AY355" i="38"/>
  <c r="AW355" i="38"/>
  <c r="AT354" i="38"/>
  <c r="AZ354" i="38" s="1"/>
  <c r="AV355" i="38"/>
  <c r="BE174" i="38"/>
  <c r="BD174" i="38"/>
  <c r="BG174" i="38"/>
  <c r="BH174" i="38"/>
  <c r="BE268" i="38"/>
  <c r="BD268" i="38"/>
  <c r="BH268" i="38"/>
  <c r="BG268" i="38"/>
  <c r="AN708" i="38"/>
  <c r="AO708" i="38"/>
  <c r="AU249" i="38"/>
  <c r="AV249" i="38" s="1"/>
  <c r="AO993" i="38"/>
  <c r="AN993" i="38"/>
  <c r="BH893" i="38"/>
  <c r="BG893" i="38"/>
  <c r="BD893" i="38"/>
  <c r="BE893" i="38"/>
  <c r="BG109" i="38"/>
  <c r="BH109" i="38"/>
  <c r="AN906" i="38"/>
  <c r="AQ906" i="38"/>
  <c r="AO906" i="38"/>
  <c r="AR906" i="38"/>
  <c r="BD531" i="38"/>
  <c r="BE531" i="38"/>
  <c r="BD1032" i="38"/>
  <c r="BE1032" i="38"/>
  <c r="AN565" i="38"/>
  <c r="AO565" i="38"/>
  <c r="BG433" i="38"/>
  <c r="BE433" i="38"/>
  <c r="BD433" i="38"/>
  <c r="BH433" i="38"/>
  <c r="BD620" i="38"/>
  <c r="BE620" i="38"/>
  <c r="AW806" i="38"/>
  <c r="AZ806" i="38"/>
  <c r="AV806" i="38"/>
  <c r="AY806" i="38"/>
  <c r="AW588" i="38"/>
  <c r="AV588" i="38"/>
  <c r="BE343" i="38"/>
  <c r="BD343" i="38"/>
  <c r="BE596" i="38"/>
  <c r="BD596" i="38"/>
  <c r="AN834" i="38"/>
  <c r="AR834" i="38"/>
  <c r="AO834" i="38"/>
  <c r="AQ834" i="38"/>
  <c r="AL1465" i="38"/>
  <c r="AN379" i="38"/>
  <c r="AX1463" i="38"/>
  <c r="AX1464" i="38" s="1"/>
  <c r="AY374" i="38"/>
  <c r="AQ246" i="38"/>
  <c r="AO1459" i="38"/>
  <c r="BD320" i="38"/>
  <c r="AW543" i="38"/>
  <c r="AY140" i="38"/>
  <c r="AQ248" i="38"/>
  <c r="BD419" i="38"/>
  <c r="AN140" i="38"/>
  <c r="BG252" i="38"/>
  <c r="AN81" i="38"/>
  <c r="AQ81" i="38"/>
  <c r="AR81" i="38"/>
  <c r="AV36" i="38"/>
  <c r="BD284" i="38"/>
  <c r="BG243" i="38"/>
  <c r="BD243" i="38"/>
  <c r="AY18" i="38"/>
  <c r="AV18" i="38"/>
  <c r="BD315" i="38"/>
  <c r="AV245" i="38"/>
  <c r="AN536" i="38"/>
  <c r="AO536" i="38"/>
  <c r="BE87" i="38"/>
  <c r="BD87" i="38"/>
  <c r="AQ150" i="38"/>
  <c r="BD251" i="38"/>
  <c r="BH389" i="38"/>
  <c r="AV240" i="38"/>
  <c r="AW1459" i="38"/>
  <c r="AY1459" i="38"/>
  <c r="AV1459" i="38"/>
  <c r="AZ1459" i="38"/>
  <c r="BF151" i="38"/>
  <c r="BE1467" i="38"/>
  <c r="BD1467" i="38"/>
  <c r="AT196" i="38"/>
  <c r="AV435" i="38"/>
  <c r="AR84" i="38"/>
  <c r="AO84" i="38"/>
  <c r="AQ84" i="38"/>
  <c r="AN84" i="38"/>
  <c r="AU1458" i="38"/>
  <c r="AU1456" i="38" s="1"/>
  <c r="AU1457" i="38" s="1"/>
  <c r="BD126" i="38"/>
  <c r="BG126" i="38"/>
  <c r="AR150" i="38"/>
  <c r="BB90" i="38"/>
  <c r="BD431" i="38"/>
  <c r="BG240" i="38"/>
  <c r="BG84" i="38"/>
  <c r="AY389" i="38"/>
  <c r="AY419" i="38" s="1"/>
  <c r="BD367" i="38"/>
  <c r="AV180" i="38"/>
  <c r="AY180" i="38"/>
  <c r="BD1459" i="38"/>
  <c r="BD36" i="38"/>
  <c r="BG36" i="38"/>
  <c r="AX793" i="38"/>
  <c r="BD181" i="38"/>
  <c r="AQ1466" i="38"/>
  <c r="AO1466" i="38"/>
  <c r="AN1466" i="38"/>
  <c r="AT278" i="38"/>
  <c r="AV439" i="38"/>
  <c r="AY439" i="38"/>
  <c r="AZ389" i="38"/>
  <c r="BF419" i="38"/>
  <c r="AN1455" i="38"/>
  <c r="AR1455" i="38"/>
  <c r="AN319" i="38"/>
  <c r="BF82" i="38"/>
  <c r="BF86" i="38" s="1"/>
  <c r="BF89" i="38" s="1"/>
  <c r="BG18" i="38"/>
  <c r="AQ180" i="38"/>
  <c r="AN180" i="38"/>
  <c r="AT413" i="38"/>
  <c r="AX1458" i="38"/>
  <c r="AX1456" i="38" s="1"/>
  <c r="BB1463" i="38"/>
  <c r="BH358" i="38"/>
  <c r="BD358" i="38"/>
  <c r="BG358" i="38"/>
  <c r="AZ358" i="38"/>
  <c r="AY358" i="38"/>
  <c r="BD83" i="38"/>
  <c r="BE83" i="38"/>
  <c r="AT341" i="38"/>
  <c r="AV443" i="38"/>
  <c r="AN336" i="38"/>
  <c r="AV1465" i="38"/>
  <c r="AY1465" i="38"/>
  <c r="AZ1465" i="38"/>
  <c r="AQ389" i="38"/>
  <c r="AQ419" i="38" s="1"/>
  <c r="AN381" i="38"/>
  <c r="BH1460" i="38"/>
  <c r="AN252" i="38"/>
  <c r="AQ252" i="38"/>
  <c r="BD435" i="38"/>
  <c r="BB196" i="38"/>
  <c r="BG435" i="38"/>
  <c r="AV25" i="38"/>
  <c r="AY25" i="38"/>
  <c r="AN412" i="38"/>
  <c r="AR389" i="38"/>
  <c r="AN447" i="38"/>
  <c r="AN250" i="38"/>
  <c r="AQ250" i="38"/>
  <c r="AY79" i="38"/>
  <c r="AZ79" i="38"/>
  <c r="AV312" i="38"/>
  <c r="AN80" i="38"/>
  <c r="AN249" i="38"/>
  <c r="AX353" i="38"/>
  <c r="AQ177" i="38"/>
  <c r="AN177" i="38"/>
  <c r="AV241" i="38"/>
  <c r="AY241" i="38"/>
  <c r="BD380" i="38"/>
  <c r="BG380" i="38"/>
  <c r="AZ381" i="38"/>
  <c r="BD248" i="38"/>
  <c r="BG248" i="38"/>
  <c r="BG786" i="38"/>
  <c r="BF353" i="38"/>
  <c r="AQ253" i="38"/>
  <c r="BG374" i="38"/>
  <c r="BD20" i="38"/>
  <c r="AN239" i="38"/>
  <c r="AV367" i="38"/>
  <c r="AV181" i="38"/>
  <c r="AP419" i="38"/>
  <c r="AV1455" i="38"/>
  <c r="AW358" i="38"/>
  <c r="AL278" i="38"/>
  <c r="AQ278" i="38" s="1"/>
  <c r="AN439" i="38"/>
  <c r="AV543" i="38"/>
  <c r="AU82" i="38"/>
  <c r="BG389" i="38"/>
  <c r="BG419" i="38" s="1"/>
  <c r="BD375" i="38"/>
  <c r="AY126" i="38"/>
  <c r="BG367" i="38"/>
  <c r="AM1458" i="38"/>
  <c r="AM1456" i="38" s="1"/>
  <c r="AN241" i="38"/>
  <c r="AQ241" i="38"/>
  <c r="AQ240" i="38"/>
  <c r="BD180" i="38"/>
  <c r="AV85" i="38"/>
  <c r="AQ385" i="38"/>
  <c r="AL377" i="38"/>
  <c r="AZ80" i="38"/>
  <c r="AY80" i="38"/>
  <c r="BG177" i="38"/>
  <c r="AY239" i="38"/>
  <c r="AX419" i="38"/>
  <c r="AL341" i="38"/>
  <c r="AQ443" i="38"/>
  <c r="AN443" i="38"/>
  <c r="AV125" i="38"/>
  <c r="AY125" i="38"/>
  <c r="BG363" i="38"/>
  <c r="AN1465" i="38"/>
  <c r="BG379" i="38"/>
  <c r="AN126" i="38"/>
  <c r="AQ126" i="38"/>
  <c r="AR794" i="38"/>
  <c r="AL1458" i="38"/>
  <c r="AQ367" i="38"/>
  <c r="AO81" i="38"/>
  <c r="BD314" i="38"/>
  <c r="AR1460" i="38"/>
  <c r="AO1460" i="38"/>
  <c r="BD241" i="38"/>
  <c r="AY381" i="38"/>
  <c r="AT373" i="38"/>
  <c r="AN124" i="38"/>
  <c r="AQ124" i="38"/>
  <c r="BG524" i="38"/>
  <c r="BH524" i="38"/>
  <c r="BH269" i="38"/>
  <c r="BG269" i="38"/>
  <c r="AR524" i="38"/>
  <c r="AQ524" i="38"/>
  <c r="AR269" i="38"/>
  <c r="AQ269" i="38"/>
  <c r="AY524" i="38"/>
  <c r="AZ524" i="38"/>
  <c r="AY269" i="38"/>
  <c r="AZ269" i="38"/>
  <c r="AY947" i="38"/>
  <c r="AZ947" i="38"/>
  <c r="AQ947" i="38"/>
  <c r="AR947" i="38"/>
  <c r="BH947" i="38"/>
  <c r="BG947" i="38"/>
  <c r="A949" i="38"/>
  <c r="A526" i="38"/>
  <c r="A271" i="38"/>
  <c r="BF948" i="38"/>
  <c r="BF270" i="38"/>
  <c r="AX270" i="38"/>
  <c r="AX525" i="38"/>
  <c r="AP525" i="38"/>
  <c r="BF525" i="38"/>
  <c r="AX948" i="38"/>
  <c r="AP270" i="38"/>
  <c r="AP948" i="38"/>
  <c r="AN245" i="38" l="1"/>
  <c r="AN244" i="38"/>
  <c r="AV412" i="38"/>
  <c r="AN191" i="38"/>
  <c r="AN317" i="38"/>
  <c r="AV273" i="38"/>
  <c r="BD347" i="38"/>
  <c r="AR79" i="38"/>
  <c r="AY543" i="38"/>
  <c r="AW85" i="38"/>
  <c r="AV1460" i="38"/>
  <c r="BB413" i="38"/>
  <c r="BD413" i="38" s="1"/>
  <c r="AV79" i="38"/>
  <c r="AQ381" i="38"/>
  <c r="AV136" i="38"/>
  <c r="BH354" i="38"/>
  <c r="BG178" i="38"/>
  <c r="AN179" i="38"/>
  <c r="BC82" i="38"/>
  <c r="BC86" i="38" s="1"/>
  <c r="BC89" i="38" s="1"/>
  <c r="AY242" i="38"/>
  <c r="BG1467" i="38"/>
  <c r="BD1460" i="38"/>
  <c r="AQ378" i="38"/>
  <c r="AN1459" i="38"/>
  <c r="BG447" i="38"/>
  <c r="AN273" i="38"/>
  <c r="BG96" i="38"/>
  <c r="AV178" i="38"/>
  <c r="AM1463" i="38"/>
  <c r="AM1464" i="38" s="1"/>
  <c r="AN127" i="38"/>
  <c r="AN318" i="38"/>
  <c r="AO79" i="38"/>
  <c r="BH83" i="38"/>
  <c r="AZ1466" i="38"/>
  <c r="AQ191" i="38"/>
  <c r="AN316" i="38"/>
  <c r="BH1455" i="38"/>
  <c r="AV252" i="38"/>
  <c r="BE1455" i="38"/>
  <c r="AV358" i="38"/>
  <c r="AY385" i="38"/>
  <c r="AY83" i="38"/>
  <c r="AV88" i="38"/>
  <c r="AV140" i="38"/>
  <c r="AY202" i="38"/>
  <c r="AN312" i="38"/>
  <c r="BG1455" i="38"/>
  <c r="AZ385" i="38"/>
  <c r="AY84" i="38"/>
  <c r="AP82" i="38"/>
  <c r="BE81" i="38"/>
  <c r="BD313" i="38"/>
  <c r="AV177" i="38"/>
  <c r="BG195" i="38"/>
  <c r="AR1465" i="38"/>
  <c r="BD80" i="38"/>
  <c r="AR83" i="38"/>
  <c r="BD81" i="38"/>
  <c r="BD127" i="38"/>
  <c r="AV318" i="38"/>
  <c r="AV336" i="38"/>
  <c r="BF371" i="38"/>
  <c r="AO381" i="38"/>
  <c r="BE354" i="38"/>
  <c r="AZ85" i="38"/>
  <c r="BB1456" i="38"/>
  <c r="BB1461" i="38" s="1"/>
  <c r="AV124" i="38"/>
  <c r="AQ380" i="38"/>
  <c r="AL1463" i="38"/>
  <c r="AY240" i="38"/>
  <c r="AY1466" i="38"/>
  <c r="BG29" i="38"/>
  <c r="AQ125" i="38"/>
  <c r="BG81" i="38"/>
  <c r="AV277" i="38"/>
  <c r="AV243" i="38"/>
  <c r="AQ374" i="38"/>
  <c r="BH79" i="38"/>
  <c r="BG543" i="38"/>
  <c r="BD88" i="38"/>
  <c r="AQ249" i="38"/>
  <c r="AO80" i="38"/>
  <c r="BG20" i="38"/>
  <c r="BD140" i="38"/>
  <c r="AN380" i="38"/>
  <c r="AW1466" i="38"/>
  <c r="AQ786" i="38"/>
  <c r="BG536" i="38"/>
  <c r="BH536" i="38"/>
  <c r="AN36" i="38"/>
  <c r="AQ36" i="38"/>
  <c r="AL413" i="38"/>
  <c r="AQ447" i="38"/>
  <c r="BD536" i="38"/>
  <c r="AW87" i="38"/>
  <c r="AV87" i="38"/>
  <c r="AN358" i="38"/>
  <c r="AO358" i="38"/>
  <c r="AY354" i="38"/>
  <c r="AO1455" i="38"/>
  <c r="AQ435" i="38"/>
  <c r="AP754" i="38"/>
  <c r="AR754" i="38" s="1"/>
  <c r="BH755" i="38"/>
  <c r="BF754" i="38"/>
  <c r="AQ136" i="38"/>
  <c r="BH381" i="38"/>
  <c r="BB373" i="38"/>
  <c r="BD381" i="38"/>
  <c r="AQ18" i="38"/>
  <c r="AN18" i="38"/>
  <c r="AV376" i="38"/>
  <c r="BC1463" i="38"/>
  <c r="BC1464" i="38" s="1"/>
  <c r="BC1458" i="38"/>
  <c r="BG1458" i="38"/>
  <c r="AW354" i="38"/>
  <c r="BD363" i="38"/>
  <c r="BH1466" i="38"/>
  <c r="BH367" i="38"/>
  <c r="BF1461" i="38"/>
  <c r="BF1462" i="38" s="1"/>
  <c r="BF1468" i="38" s="1"/>
  <c r="BF1469" i="38" s="1"/>
  <c r="BD385" i="38"/>
  <c r="BE543" i="38"/>
  <c r="AR80" i="38"/>
  <c r="AP1458" i="38"/>
  <c r="AP1456" i="38" s="1"/>
  <c r="BG381" i="38"/>
  <c r="BG1460" i="38"/>
  <c r="AQ244" i="38"/>
  <c r="AQ245" i="38"/>
  <c r="AY447" i="38"/>
  <c r="BD249" i="38"/>
  <c r="BH88" i="38"/>
  <c r="BG150" i="38"/>
  <c r="AN435" i="38"/>
  <c r="AY755" i="38"/>
  <c r="AV320" i="38"/>
  <c r="AN79" i="38"/>
  <c r="AM86" i="38"/>
  <c r="AM89" i="38" s="1"/>
  <c r="AO85" i="38"/>
  <c r="AR85" i="38"/>
  <c r="AN85" i="38"/>
  <c r="AQ85" i="38"/>
  <c r="AV244" i="38"/>
  <c r="BE358" i="38"/>
  <c r="BG181" i="38"/>
  <c r="BG241" i="38"/>
  <c r="AZ1463" i="38"/>
  <c r="AQ80" i="38"/>
  <c r="AV1466" i="38"/>
  <c r="AV253" i="38"/>
  <c r="BE88" i="38"/>
  <c r="BG439" i="38"/>
  <c r="BB278" i="38"/>
  <c r="BD439" i="38"/>
  <c r="AQ29" i="38"/>
  <c r="BD318" i="38"/>
  <c r="AW83" i="38"/>
  <c r="AT82" i="38"/>
  <c r="AT86" i="38" s="1"/>
  <c r="AT89" i="38" s="1"/>
  <c r="AV313" i="38"/>
  <c r="BE381" i="38"/>
  <c r="AP371" i="38"/>
  <c r="AP372" i="38" s="1"/>
  <c r="AQ372" i="38" s="1"/>
  <c r="AZ87" i="38"/>
  <c r="AY87" i="38"/>
  <c r="AN315" i="38"/>
  <c r="AY250" i="38"/>
  <c r="AV250" i="38"/>
  <c r="BH385" i="38"/>
  <c r="BH543" i="38"/>
  <c r="AY178" i="38"/>
  <c r="AQ127" i="38"/>
  <c r="AQ96" i="38" s="1"/>
  <c r="AX754" i="38"/>
  <c r="BG385" i="38"/>
  <c r="BD543" i="38"/>
  <c r="AV127" i="38"/>
  <c r="AY431" i="38"/>
  <c r="AV179" i="38"/>
  <c r="BG239" i="38"/>
  <c r="BD79" i="38"/>
  <c r="BG431" i="38"/>
  <c r="AQ536" i="38"/>
  <c r="AP362" i="38"/>
  <c r="AQ362" i="38" s="1"/>
  <c r="BD124" i="38"/>
  <c r="BF1463" i="38"/>
  <c r="BF1464" i="38" s="1"/>
  <c r="BD354" i="38"/>
  <c r="AV316" i="38"/>
  <c r="AV202" i="38"/>
  <c r="AN202" i="38"/>
  <c r="AZ1460" i="38"/>
  <c r="AY1460" i="38"/>
  <c r="AW363" i="38"/>
  <c r="AZ363" i="38"/>
  <c r="AV363" i="38"/>
  <c r="AY363" i="38"/>
  <c r="BH1465" i="38"/>
  <c r="BG1465" i="38"/>
  <c r="BE1465" i="38"/>
  <c r="BD1465" i="38"/>
  <c r="AR151" i="38"/>
  <c r="AW88" i="38"/>
  <c r="BH87" i="38"/>
  <c r="AZ1467" i="38"/>
  <c r="AV1467" i="38"/>
  <c r="AW1467" i="38"/>
  <c r="AY1467" i="38"/>
  <c r="BH1459" i="38"/>
  <c r="BG1459" i="38"/>
  <c r="BG25" i="38"/>
  <c r="AR755" i="38"/>
  <c r="AP793" i="38"/>
  <c r="AN88" i="38"/>
  <c r="BB377" i="38"/>
  <c r="AY177" i="38"/>
  <c r="AR1467" i="38"/>
  <c r="AQ358" i="38"/>
  <c r="BD195" i="38"/>
  <c r="BG79" i="38"/>
  <c r="AQ363" i="38"/>
  <c r="AY124" i="38"/>
  <c r="AN378" i="38"/>
  <c r="AV347" i="38"/>
  <c r="AQ202" i="38"/>
  <c r="BD316" i="38"/>
  <c r="AZ1455" i="38"/>
  <c r="AY1455" i="38"/>
  <c r="AY191" i="38"/>
  <c r="AV191" i="38"/>
  <c r="AV84" i="38"/>
  <c r="AW84" i="38"/>
  <c r="AV381" i="38"/>
  <c r="AW381" i="38"/>
  <c r="AP1463" i="38"/>
  <c r="AP1464" i="38" s="1"/>
  <c r="AX82" i="38"/>
  <c r="AW80" i="38"/>
  <c r="AV385" i="38"/>
  <c r="AQ88" i="38"/>
  <c r="AN1467" i="38"/>
  <c r="AY443" i="38"/>
  <c r="AR358" i="38"/>
  <c r="AQ251" i="38"/>
  <c r="BE79" i="38"/>
  <c r="AN385" i="38"/>
  <c r="AV380" i="38"/>
  <c r="AY251" i="38"/>
  <c r="AV431" i="38"/>
  <c r="AV354" i="38"/>
  <c r="AN284" i="38"/>
  <c r="AN314" i="38"/>
  <c r="AN29" i="38"/>
  <c r="AQ543" i="38"/>
  <c r="BG88" i="38"/>
  <c r="BH1467" i="38"/>
  <c r="AU1463" i="38"/>
  <c r="AU1464" i="38" s="1"/>
  <c r="AW1465" i="38"/>
  <c r="BG125" i="38"/>
  <c r="BD125" i="38"/>
  <c r="AY150" i="38"/>
  <c r="AO385" i="38"/>
  <c r="BD179" i="38"/>
  <c r="BG179" i="38"/>
  <c r="AY246" i="38"/>
  <c r="AO83" i="38"/>
  <c r="AN83" i="38"/>
  <c r="AL82" i="38"/>
  <c r="AQ82" i="38" s="1"/>
  <c r="BD277" i="38"/>
  <c r="AW385" i="38"/>
  <c r="AY90" i="38"/>
  <c r="AQ1467" i="38"/>
  <c r="AY362" i="38"/>
  <c r="AN248" i="38"/>
  <c r="AV340" i="38"/>
  <c r="AY195" i="38"/>
  <c r="AV195" i="38"/>
  <c r="BG245" i="38"/>
  <c r="BD245" i="38"/>
  <c r="AZ367" i="38"/>
  <c r="AY367" i="38"/>
  <c r="AR354" i="38"/>
  <c r="AN354" i="38"/>
  <c r="AO354" i="38"/>
  <c r="AQ376" i="38"/>
  <c r="AN376" i="38"/>
  <c r="AZ150" i="38"/>
  <c r="AV372" i="38"/>
  <c r="BG136" i="38"/>
  <c r="BD136" i="38"/>
  <c r="BB341" i="38"/>
  <c r="BD443" i="38"/>
  <c r="BG443" i="38"/>
  <c r="AO1465" i="38"/>
  <c r="AO1467" i="38"/>
  <c r="AY825" i="38"/>
  <c r="AO88" i="38"/>
  <c r="AR363" i="38"/>
  <c r="BD376" i="38"/>
  <c r="AQ431" i="38"/>
  <c r="AL90" i="38"/>
  <c r="AN431" i="38"/>
  <c r="AY248" i="38"/>
  <c r="AV248" i="38"/>
  <c r="AY376" i="38"/>
  <c r="AO543" i="38"/>
  <c r="AN543" i="38"/>
  <c r="AR385" i="38"/>
  <c r="AL373" i="38"/>
  <c r="AQ373" i="38" s="1"/>
  <c r="BG140" i="38"/>
  <c r="AN363" i="38"/>
  <c r="AN340" i="38"/>
  <c r="AY379" i="38"/>
  <c r="BH80" i="38"/>
  <c r="BG80" i="38"/>
  <c r="AO367" i="38"/>
  <c r="AN367" i="38"/>
  <c r="AQ242" i="38"/>
  <c r="AT1458" i="38"/>
  <c r="AZ1458" i="38" s="1"/>
  <c r="BF793" i="38"/>
  <c r="AV83" i="38"/>
  <c r="AZ88" i="38"/>
  <c r="BE1459" i="38"/>
  <c r="AY85" i="38"/>
  <c r="AQ825" i="38"/>
  <c r="AQ439" i="38"/>
  <c r="AN243" i="38"/>
  <c r="AY435" i="38"/>
  <c r="BE536" i="38"/>
  <c r="BH362" i="38"/>
  <c r="AV375" i="38"/>
  <c r="AY375" i="38"/>
  <c r="AV81" i="38"/>
  <c r="AY81" i="38"/>
  <c r="AQ1459" i="38"/>
  <c r="AQ87" i="38"/>
  <c r="AN87" i="38"/>
  <c r="AR87" i="38"/>
  <c r="AO87" i="38"/>
  <c r="BG755" i="38"/>
  <c r="BH85" i="38"/>
  <c r="BE85" i="38"/>
  <c r="BD85" i="38"/>
  <c r="BG85" i="38"/>
  <c r="BD1466" i="38"/>
  <c r="AQ178" i="38"/>
  <c r="AY536" i="38"/>
  <c r="AW536" i="38"/>
  <c r="AR1458" i="38"/>
  <c r="AN1458" i="38"/>
  <c r="AQ1458" i="38"/>
  <c r="AL1456" i="38"/>
  <c r="AO1458" i="38"/>
  <c r="BD196" i="38"/>
  <c r="BG196" i="38"/>
  <c r="AY373" i="38"/>
  <c r="AV373" i="38"/>
  <c r="AV413" i="38"/>
  <c r="AY413" i="38"/>
  <c r="BB86" i="38"/>
  <c r="BD82" i="38"/>
  <c r="BE82" i="38"/>
  <c r="BH82" i="38"/>
  <c r="BG82" i="38"/>
  <c r="AV196" i="38"/>
  <c r="AY196" i="38"/>
  <c r="AV90" i="38"/>
  <c r="AX372" i="38"/>
  <c r="AY372" i="38" s="1"/>
  <c r="AY371" i="38"/>
  <c r="AZ371" i="38"/>
  <c r="AX405" i="38"/>
  <c r="AN278" i="38"/>
  <c r="AM1457" i="38"/>
  <c r="AM1461" i="38"/>
  <c r="AQ353" i="38"/>
  <c r="AR353" i="38"/>
  <c r="AP1457" i="38"/>
  <c r="AP1461" i="38"/>
  <c r="AR793" i="38"/>
  <c r="AQ793" i="38"/>
  <c r="AU1461" i="38"/>
  <c r="AQ377" i="38"/>
  <c r="AN377" i="38"/>
  <c r="AN373" i="38"/>
  <c r="AY1458" i="38"/>
  <c r="AX86" i="38"/>
  <c r="BD377" i="38"/>
  <c r="BG377" i="38"/>
  <c r="AU86" i="38"/>
  <c r="BB1464" i="38"/>
  <c r="BG1463" i="38"/>
  <c r="BG151" i="38"/>
  <c r="BH151" i="38"/>
  <c r="AQ196" i="38"/>
  <c r="AN196" i="38"/>
  <c r="AZ353" i="38"/>
  <c r="AY353" i="38"/>
  <c r="AX1461" i="38"/>
  <c r="AX1457" i="38"/>
  <c r="BG353" i="38"/>
  <c r="BH353" i="38"/>
  <c r="AL1464" i="38"/>
  <c r="AN1463" i="38"/>
  <c r="AO1463" i="38"/>
  <c r="AQ341" i="38"/>
  <c r="AN341" i="38"/>
  <c r="AV341" i="38"/>
  <c r="AY341" i="38"/>
  <c r="AY278" i="38"/>
  <c r="AV278" i="38"/>
  <c r="AY377" i="38"/>
  <c r="AV377" i="38"/>
  <c r="BG90" i="38"/>
  <c r="BD90" i="38"/>
  <c r="AP86" i="38"/>
  <c r="AP89" i="38" s="1"/>
  <c r="AT1464" i="38"/>
  <c r="AY1463" i="38"/>
  <c r="BF405" i="38"/>
  <c r="BH371" i="38"/>
  <c r="BG371" i="38"/>
  <c r="BF372" i="38"/>
  <c r="BG372" i="38" s="1"/>
  <c r="AY793" i="38"/>
  <c r="AZ793" i="38"/>
  <c r="BH1456" i="38"/>
  <c r="AQ270" i="38"/>
  <c r="AR270" i="38"/>
  <c r="AR948" i="38"/>
  <c r="AQ948" i="38"/>
  <c r="BH270" i="38"/>
  <c r="BG270" i="38"/>
  <c r="BH948" i="38"/>
  <c r="BG948" i="38"/>
  <c r="AY270" i="38"/>
  <c r="AZ270" i="38"/>
  <c r="AZ948" i="38"/>
  <c r="AY948" i="38"/>
  <c r="AQ525" i="38"/>
  <c r="AR525" i="38"/>
  <c r="AY525" i="38"/>
  <c r="AZ525" i="38"/>
  <c r="BH525" i="38"/>
  <c r="BG525" i="38"/>
  <c r="A527" i="38"/>
  <c r="A272" i="38"/>
  <c r="A950" i="38"/>
  <c r="AP526" i="38"/>
  <c r="AX526" i="38"/>
  <c r="BF949" i="38"/>
  <c r="AP271" i="38"/>
  <c r="AX271" i="38"/>
  <c r="AP949" i="38"/>
  <c r="AX949" i="38"/>
  <c r="BF271" i="38"/>
  <c r="BF526" i="38"/>
  <c r="AR362" i="38" l="1"/>
  <c r="AW1463" i="38"/>
  <c r="AW82" i="38"/>
  <c r="AQ754" i="38"/>
  <c r="BH1463" i="38"/>
  <c r="AV82" i="38"/>
  <c r="AV1463" i="38"/>
  <c r="BG413" i="38"/>
  <c r="BG1456" i="38"/>
  <c r="BB1457" i="38"/>
  <c r="BG1457" i="38" s="1"/>
  <c r="AR1463" i="38"/>
  <c r="AY82" i="38"/>
  <c r="AQ1463" i="38"/>
  <c r="AZ82" i="38"/>
  <c r="BF1470" i="38"/>
  <c r="BF1471" i="38" s="1"/>
  <c r="BG793" i="38"/>
  <c r="BH793" i="38"/>
  <c r="AR82" i="38"/>
  <c r="BE1463" i="38"/>
  <c r="AW1458" i="38"/>
  <c r="AT1456" i="38"/>
  <c r="AV1458" i="38"/>
  <c r="AZ754" i="38"/>
  <c r="AY754" i="38"/>
  <c r="BD341" i="38"/>
  <c r="BG341" i="38"/>
  <c r="BH754" i="38"/>
  <c r="BG754" i="38"/>
  <c r="BD1463" i="38"/>
  <c r="BG373" i="38"/>
  <c r="BD373" i="38"/>
  <c r="AO82" i="38"/>
  <c r="AN82" i="38"/>
  <c r="AL86" i="38"/>
  <c r="AQ90" i="38"/>
  <c r="AN90" i="38"/>
  <c r="BD278" i="38"/>
  <c r="BG278" i="38"/>
  <c r="AQ413" i="38"/>
  <c r="AN413" i="38"/>
  <c r="BC1456" i="38"/>
  <c r="BD1458" i="38"/>
  <c r="BE1458" i="38"/>
  <c r="AQ371" i="38"/>
  <c r="AP405" i="38"/>
  <c r="AR371" i="38"/>
  <c r="AQ86" i="38"/>
  <c r="BF411" i="38"/>
  <c r="BH405" i="38"/>
  <c r="BG405" i="38"/>
  <c r="BF406" i="38"/>
  <c r="BG406" i="38" s="1"/>
  <c r="BB89" i="38"/>
  <c r="BH86" i="38"/>
  <c r="BD86" i="38"/>
  <c r="BE86" i="38"/>
  <c r="BG86" i="38"/>
  <c r="AX406" i="38"/>
  <c r="AY406" i="38" s="1"/>
  <c r="AZ405" i="38"/>
  <c r="AX411" i="38"/>
  <c r="AY405" i="38"/>
  <c r="AQ1464" i="38"/>
  <c r="AN1464" i="38"/>
  <c r="AP1462" i="38"/>
  <c r="AP1468" i="38" s="1"/>
  <c r="AP1469" i="38" s="1"/>
  <c r="AP1470" i="38"/>
  <c r="AP1471" i="38" s="1"/>
  <c r="AV1464" i="38"/>
  <c r="AY1464" i="38"/>
  <c r="AX89" i="38"/>
  <c r="AZ86" i="38"/>
  <c r="AY86" i="38"/>
  <c r="AX1470" i="38"/>
  <c r="AX1471" i="38" s="1"/>
  <c r="AX1462" i="38"/>
  <c r="AX1468" i="38" s="1"/>
  <c r="AX1469" i="38" s="1"/>
  <c r="BG1464" i="38"/>
  <c r="BD1464" i="38"/>
  <c r="AQ1456" i="38"/>
  <c r="AN1456" i="38"/>
  <c r="AL1457" i="38"/>
  <c r="AR1456" i="38"/>
  <c r="AL1461" i="38"/>
  <c r="AO1456" i="38"/>
  <c r="AM1462" i="38"/>
  <c r="AM1468" i="38" s="1"/>
  <c r="AM1469" i="38" s="1"/>
  <c r="AM1470" i="38"/>
  <c r="AM1471" i="38" s="1"/>
  <c r="AU89" i="38"/>
  <c r="AW86" i="38"/>
  <c r="AV86" i="38"/>
  <c r="AU1462" i="38"/>
  <c r="AU1468" i="38" s="1"/>
  <c r="AU1469" i="38" s="1"/>
  <c r="AU1470" i="38"/>
  <c r="AU1471" i="38" s="1"/>
  <c r="BB1462" i="38"/>
  <c r="BG1461" i="38"/>
  <c r="BB1470" i="38"/>
  <c r="BH1461" i="38"/>
  <c r="AQ949" i="38"/>
  <c r="AR949" i="38"/>
  <c r="AR526" i="38"/>
  <c r="AQ526" i="38"/>
  <c r="BH526" i="38"/>
  <c r="BG526" i="38"/>
  <c r="AZ271" i="38"/>
  <c r="AY271" i="38"/>
  <c r="AY949" i="38"/>
  <c r="AZ949" i="38"/>
  <c r="AZ526" i="38"/>
  <c r="AY526" i="38"/>
  <c r="BG949" i="38"/>
  <c r="BH949" i="38"/>
  <c r="BH271" i="38"/>
  <c r="BG271" i="38"/>
  <c r="AR271" i="38"/>
  <c r="AQ271" i="38"/>
  <c r="A273" i="38"/>
  <c r="A274" i="38" s="1"/>
  <c r="A951" i="38"/>
  <c r="A528" i="38"/>
  <c r="AX272" i="38"/>
  <c r="BF950" i="38"/>
  <c r="AP950" i="38"/>
  <c r="BF272" i="38"/>
  <c r="BF527" i="38"/>
  <c r="AX527" i="38"/>
  <c r="AP272" i="38"/>
  <c r="AP527" i="38"/>
  <c r="AX950" i="38"/>
  <c r="AL89" i="38" l="1"/>
  <c r="AN86" i="38"/>
  <c r="AO86" i="38"/>
  <c r="AP411" i="38"/>
  <c r="AQ405" i="38"/>
  <c r="AR405" i="38"/>
  <c r="AP406" i="38"/>
  <c r="AQ406" i="38" s="1"/>
  <c r="BC1457" i="38"/>
  <c r="BD1457" i="38" s="1"/>
  <c r="BC1461" i="38"/>
  <c r="BD1456" i="38"/>
  <c r="BE1456" i="38"/>
  <c r="AW1456" i="38"/>
  <c r="AY1456" i="38"/>
  <c r="AT1461" i="38"/>
  <c r="AZ1456" i="38"/>
  <c r="AV1456" i="38"/>
  <c r="AT1457" i="38"/>
  <c r="AR86" i="38"/>
  <c r="AV89" i="38"/>
  <c r="AW89" i="38"/>
  <c r="BH411" i="38"/>
  <c r="BF412" i="38"/>
  <c r="BG412" i="38" s="1"/>
  <c r="BG411" i="38"/>
  <c r="AY411" i="38"/>
  <c r="AZ411" i="38"/>
  <c r="AX412" i="38"/>
  <c r="AY412" i="38" s="1"/>
  <c r="AR1461" i="38"/>
  <c r="AL1470" i="38"/>
  <c r="AL1462" i="38"/>
  <c r="AN1461" i="38"/>
  <c r="AO1461" i="38"/>
  <c r="AQ1461" i="38"/>
  <c r="AZ89" i="38"/>
  <c r="AY89" i="38"/>
  <c r="BH89" i="38"/>
  <c r="BE89" i="38"/>
  <c r="BD89" i="38"/>
  <c r="BG89" i="38"/>
  <c r="AN1457" i="38"/>
  <c r="AQ1457" i="38"/>
  <c r="BB1468" i="38"/>
  <c r="BG1462" i="38"/>
  <c r="BB1471" i="38"/>
  <c r="BH1470" i="38"/>
  <c r="BG1470" i="38"/>
  <c r="AP273" i="38"/>
  <c r="AQ273" i="38" s="1"/>
  <c r="AQ272" i="38"/>
  <c r="AR272" i="38"/>
  <c r="BF273" i="38"/>
  <c r="BG273" i="38" s="1"/>
  <c r="BH272" i="38"/>
  <c r="BG272" i="38"/>
  <c r="AZ950" i="38"/>
  <c r="AY950" i="38"/>
  <c r="BH527" i="38"/>
  <c r="BG527" i="38"/>
  <c r="AZ527" i="38"/>
  <c r="AY527" i="38"/>
  <c r="AX273" i="38"/>
  <c r="AY273" i="38" s="1"/>
  <c r="AZ272" i="38"/>
  <c r="AY272" i="38"/>
  <c r="AR527" i="38"/>
  <c r="AQ527" i="38"/>
  <c r="AR950" i="38"/>
  <c r="AQ950" i="38"/>
  <c r="BH950" i="38"/>
  <c r="BG950" i="38"/>
  <c r="A952" i="38"/>
  <c r="A529" i="38"/>
  <c r="A275" i="38"/>
  <c r="BF528" i="38"/>
  <c r="AX528" i="38"/>
  <c r="AX274" i="38"/>
  <c r="BF951" i="38"/>
  <c r="AX951" i="38"/>
  <c r="AP528" i="38"/>
  <c r="AP951" i="38"/>
  <c r="BF274" i="38"/>
  <c r="AP274" i="38"/>
  <c r="BC1462" i="38" l="1"/>
  <c r="BC1470" i="38"/>
  <c r="BE1461" i="38"/>
  <c r="BD1461" i="38"/>
  <c r="AV1457" i="38"/>
  <c r="AY1457" i="38"/>
  <c r="AP412" i="38"/>
  <c r="AQ412" i="38" s="1"/>
  <c r="AQ411" i="38"/>
  <c r="AR411" i="38"/>
  <c r="AT1470" i="38"/>
  <c r="AT1462" i="38"/>
  <c r="AV1461" i="38"/>
  <c r="AY1461" i="38"/>
  <c r="AW1461" i="38"/>
  <c r="AZ1461" i="38"/>
  <c r="AQ89" i="38"/>
  <c r="AN89" i="38"/>
  <c r="AR89" i="38"/>
  <c r="AO89" i="38"/>
  <c r="AQ1462" i="38"/>
  <c r="AL1468" i="38"/>
  <c r="AN1462" i="38"/>
  <c r="AN1470" i="38"/>
  <c r="AQ1470" i="38"/>
  <c r="AO1470" i="38"/>
  <c r="AR1470" i="38"/>
  <c r="AL1471" i="38"/>
  <c r="BG1471" i="38"/>
  <c r="BG1468" i="38"/>
  <c r="BB1469" i="38"/>
  <c r="BH1468" i="38"/>
  <c r="AY951" i="38"/>
  <c r="AZ951" i="38"/>
  <c r="BG528" i="38"/>
  <c r="BH528" i="38"/>
  <c r="BH274" i="38"/>
  <c r="BG274" i="38"/>
  <c r="AR528" i="38"/>
  <c r="AQ528" i="38"/>
  <c r="AZ528" i="38"/>
  <c r="AY528" i="38"/>
  <c r="AZ274" i="38"/>
  <c r="AY274" i="38"/>
  <c r="BH951" i="38"/>
  <c r="BG951" i="38"/>
  <c r="AR274" i="38"/>
  <c r="AQ274" i="38"/>
  <c r="AR951" i="38"/>
  <c r="AQ951" i="38"/>
  <c r="A276" i="38"/>
  <c r="A953" i="38"/>
  <c r="A530" i="38"/>
  <c r="BF529" i="38"/>
  <c r="AP952" i="38"/>
  <c r="BF275" i="38"/>
  <c r="AP275" i="38"/>
  <c r="AX275" i="38"/>
  <c r="AX529" i="38"/>
  <c r="BF952" i="38"/>
  <c r="AX952" i="38"/>
  <c r="AP529" i="38"/>
  <c r="BC1471" i="38" l="1"/>
  <c r="BD1471" i="38" s="1"/>
  <c r="BD1470" i="38"/>
  <c r="BE1470" i="38"/>
  <c r="BC1468" i="38"/>
  <c r="BD1462" i="38"/>
  <c r="AT1468" i="38"/>
  <c r="AV1462" i="38"/>
  <c r="AY1462" i="38"/>
  <c r="AT1471" i="38"/>
  <c r="AZ1470" i="38"/>
  <c r="AV1470" i="38"/>
  <c r="AW1470" i="38"/>
  <c r="AY1470" i="38"/>
  <c r="AN1471" i="38"/>
  <c r="AQ1471" i="38"/>
  <c r="AR1468" i="38"/>
  <c r="AQ1468" i="38"/>
  <c r="AL1469" i="38"/>
  <c r="AN1468" i="38"/>
  <c r="AO1468" i="38"/>
  <c r="BG1469" i="38"/>
  <c r="AZ952" i="38"/>
  <c r="AY952" i="38"/>
  <c r="AR275" i="38"/>
  <c r="AQ275" i="38"/>
  <c r="BG275" i="38"/>
  <c r="BH275" i="38"/>
  <c r="AR529" i="38"/>
  <c r="AQ529" i="38"/>
  <c r="AY275" i="38"/>
  <c r="AZ275" i="38"/>
  <c r="AZ529" i="38"/>
  <c r="AY529" i="38"/>
  <c r="BH529" i="38"/>
  <c r="BG529" i="38"/>
  <c r="AQ952" i="38"/>
  <c r="AR952" i="38"/>
  <c r="BG952" i="38"/>
  <c r="BH952" i="38"/>
  <c r="A954" i="38"/>
  <c r="A531" i="38"/>
  <c r="A277" i="38"/>
  <c r="A278" i="38" s="1"/>
  <c r="A279" i="38" s="1"/>
  <c r="BF276" i="38"/>
  <c r="AP953" i="38"/>
  <c r="BF953" i="38"/>
  <c r="AP530" i="38"/>
  <c r="BF530" i="38"/>
  <c r="AX276" i="38"/>
  <c r="AP276" i="38"/>
  <c r="AX953" i="38"/>
  <c r="AX530" i="38"/>
  <c r="AV1471" i="38" l="1"/>
  <c r="AY1471" i="38"/>
  <c r="AZ1468" i="38"/>
  <c r="AY1468" i="38"/>
  <c r="AT1469" i="38"/>
  <c r="AV1468" i="38"/>
  <c r="AW1468" i="38"/>
  <c r="BC1469" i="38"/>
  <c r="BD1469" i="38" s="1"/>
  <c r="BD1468" i="38"/>
  <c r="BE1468" i="38"/>
  <c r="AN1469" i="38"/>
  <c r="AQ1469" i="38"/>
  <c r="AZ530" i="38"/>
  <c r="AY530" i="38"/>
  <c r="AZ953" i="38"/>
  <c r="AY953" i="38"/>
  <c r="AQ953" i="38"/>
  <c r="AR953" i="38"/>
  <c r="AP277" i="38"/>
  <c r="AQ277" i="38" s="1"/>
  <c r="AR276" i="38"/>
  <c r="AQ276" i="38"/>
  <c r="BF277" i="38"/>
  <c r="BG277" i="38" s="1"/>
  <c r="BG276" i="38"/>
  <c r="BH276" i="38"/>
  <c r="BG953" i="38"/>
  <c r="BH953" i="38"/>
  <c r="AX277" i="38"/>
  <c r="AY277" i="38" s="1"/>
  <c r="AY276" i="38"/>
  <c r="AZ276" i="38"/>
  <c r="BH530" i="38"/>
  <c r="BG530" i="38"/>
  <c r="AR530" i="38"/>
  <c r="AQ530" i="38"/>
  <c r="A532" i="38"/>
  <c r="A280" i="38"/>
  <c r="A955" i="38"/>
  <c r="BF954" i="38"/>
  <c r="AX954" i="38"/>
  <c r="BF279" i="38"/>
  <c r="AP531" i="38"/>
  <c r="AP954" i="38"/>
  <c r="AX279" i="38"/>
  <c r="AX531" i="38"/>
  <c r="BF531" i="38"/>
  <c r="AP279" i="38"/>
  <c r="AV1469" i="38" l="1"/>
  <c r="AY1469" i="38"/>
  <c r="AR531" i="38"/>
  <c r="AQ531" i="38"/>
  <c r="AR279" i="38"/>
  <c r="AQ279" i="38"/>
  <c r="AY531" i="38"/>
  <c r="AZ531" i="38"/>
  <c r="AZ279" i="38"/>
  <c r="AY279" i="38"/>
  <c r="BH279" i="38"/>
  <c r="BG279" i="38"/>
  <c r="BG954" i="38"/>
  <c r="BH954" i="38"/>
  <c r="AY954" i="38"/>
  <c r="AZ954" i="38"/>
  <c r="AQ954" i="38"/>
  <c r="AR954" i="38"/>
  <c r="BH531" i="38"/>
  <c r="BG531" i="38"/>
  <c r="A956" i="38"/>
  <c r="A533" i="38"/>
  <c r="A281" i="38"/>
  <c r="AP280" i="38"/>
  <c r="AX532" i="38"/>
  <c r="AP955" i="38"/>
  <c r="BF532" i="38"/>
  <c r="BF955" i="38"/>
  <c r="AP532" i="38"/>
  <c r="BF280" i="38"/>
  <c r="AX955" i="38"/>
  <c r="AX280" i="38"/>
  <c r="AQ532" i="38" l="1"/>
  <c r="AR532" i="38"/>
  <c r="AZ532" i="38"/>
  <c r="AY532" i="38"/>
  <c r="BH280" i="38"/>
  <c r="BG280" i="38"/>
  <c r="AQ955" i="38"/>
  <c r="AR955" i="38"/>
  <c r="BH955" i="38"/>
  <c r="BG955" i="38"/>
  <c r="AZ280" i="38"/>
  <c r="AY280" i="38"/>
  <c r="AZ955" i="38"/>
  <c r="AY955" i="38"/>
  <c r="AR280" i="38"/>
  <c r="AQ280" i="38"/>
  <c r="BG532" i="38"/>
  <c r="BH532" i="38"/>
  <c r="A534" i="38"/>
  <c r="A551" i="38" s="1"/>
  <c r="A552" i="38" s="1"/>
  <c r="A282" i="38"/>
  <c r="A957" i="38"/>
  <c r="AX281" i="38"/>
  <c r="BF281" i="38"/>
  <c r="AX533" i="38"/>
  <c r="AP281" i="38"/>
  <c r="AP533" i="38"/>
  <c r="AP956" i="38"/>
  <c r="BF956" i="38"/>
  <c r="BF533" i="38"/>
  <c r="AX956" i="38"/>
  <c r="AZ281" i="38" l="1"/>
  <c r="AY281" i="38"/>
  <c r="AQ281" i="38"/>
  <c r="AR281" i="38"/>
  <c r="AR956" i="38"/>
  <c r="AQ956" i="38"/>
  <c r="BH533" i="38"/>
  <c r="BG533" i="38"/>
  <c r="AZ956" i="38"/>
  <c r="AY956" i="38"/>
  <c r="AY533" i="38"/>
  <c r="AZ533" i="38"/>
  <c r="AQ533" i="38"/>
  <c r="AR533" i="38"/>
  <c r="BH956" i="38"/>
  <c r="BG956" i="38"/>
  <c r="BG281" i="38"/>
  <c r="BH281" i="38"/>
  <c r="A283" i="38"/>
  <c r="A553" i="38"/>
  <c r="A958" i="38"/>
  <c r="AX282" i="38"/>
  <c r="AP957" i="38"/>
  <c r="AX552" i="38"/>
  <c r="AP552" i="38"/>
  <c r="BF552" i="38"/>
  <c r="AP282" i="38"/>
  <c r="BF282" i="38"/>
  <c r="BF957" i="38"/>
  <c r="AX957" i="38"/>
  <c r="AY552" i="38" l="1"/>
  <c r="AZ552" i="38"/>
  <c r="BH552" i="38"/>
  <c r="BG552" i="38"/>
  <c r="BG282" i="38"/>
  <c r="BH282" i="38"/>
  <c r="AQ282" i="38"/>
  <c r="AR282" i="38"/>
  <c r="AZ282" i="38"/>
  <c r="AY282" i="38"/>
  <c r="AR957" i="38"/>
  <c r="AQ957" i="38"/>
  <c r="BG957" i="38"/>
  <c r="BH957" i="38"/>
  <c r="AZ957" i="38"/>
  <c r="AY957" i="38"/>
  <c r="AR552" i="38"/>
  <c r="AQ552" i="38"/>
  <c r="A554" i="38"/>
  <c r="A959" i="38"/>
  <c r="A284" i="38"/>
  <c r="A285" i="38" s="1"/>
  <c r="AP553" i="38"/>
  <c r="BF958" i="38"/>
  <c r="AP283" i="38"/>
  <c r="AX283" i="38"/>
  <c r="AX553" i="38"/>
  <c r="AX958" i="38"/>
  <c r="AP958" i="38"/>
  <c r="BF283" i="38"/>
  <c r="BF553" i="38"/>
  <c r="BF284" i="38" l="1"/>
  <c r="BH283" i="38"/>
  <c r="BG283" i="38"/>
  <c r="BG284" i="38" s="1"/>
  <c r="BH958" i="38"/>
  <c r="BG958" i="38"/>
  <c r="AY958" i="38"/>
  <c r="AZ958" i="38"/>
  <c r="AX284" i="38"/>
  <c r="AY283" i="38"/>
  <c r="AY284" i="38" s="1"/>
  <c r="AZ283" i="38"/>
  <c r="AQ553" i="38"/>
  <c r="AR553" i="38"/>
  <c r="AP284" i="38"/>
  <c r="AQ283" i="38"/>
  <c r="AQ284" i="38" s="1"/>
  <c r="AR283" i="38"/>
  <c r="BH553" i="38"/>
  <c r="BG553" i="38"/>
  <c r="AY553" i="38"/>
  <c r="AZ553" i="38"/>
  <c r="AR958" i="38"/>
  <c r="AQ958" i="38"/>
  <c r="A960" i="38"/>
  <c r="A286" i="38"/>
  <c r="A555" i="38"/>
  <c r="AX959" i="38"/>
  <c r="BF554" i="38"/>
  <c r="AX554" i="38"/>
  <c r="AP285" i="38"/>
  <c r="BF285" i="38"/>
  <c r="AP554" i="38"/>
  <c r="AP959" i="38"/>
  <c r="BF959" i="38"/>
  <c r="AX285" i="38"/>
  <c r="BG959" i="38" l="1"/>
  <c r="BH959" i="38"/>
  <c r="AZ554" i="38"/>
  <c r="AY554" i="38"/>
  <c r="AZ959" i="38"/>
  <c r="AY959" i="38"/>
  <c r="AR554" i="38"/>
  <c r="AQ554" i="38"/>
  <c r="AQ285" i="38"/>
  <c r="AR285" i="38"/>
  <c r="AY285" i="38"/>
  <c r="AZ285" i="38"/>
  <c r="AR959" i="38"/>
  <c r="AQ959" i="38"/>
  <c r="BH554" i="38"/>
  <c r="BG554" i="38"/>
  <c r="BH285" i="38"/>
  <c r="BG285" i="38"/>
  <c r="A556" i="38"/>
  <c r="A961" i="38"/>
  <c r="A287" i="38"/>
  <c r="AX555" i="38"/>
  <c r="AP960" i="38"/>
  <c r="AP555" i="38"/>
  <c r="BF960" i="38"/>
  <c r="AX960" i="38"/>
  <c r="BF286" i="38"/>
  <c r="BF555" i="38"/>
  <c r="AP286" i="38"/>
  <c r="AX286" i="38"/>
  <c r="BH960" i="38" l="1"/>
  <c r="BG960" i="38"/>
  <c r="AR286" i="38"/>
  <c r="AQ286" i="38"/>
  <c r="AR555" i="38"/>
  <c r="AQ555" i="38"/>
  <c r="AY960" i="38"/>
  <c r="AZ960" i="38"/>
  <c r="AZ555" i="38"/>
  <c r="AY555" i="38"/>
  <c r="BH555" i="38"/>
  <c r="BG555" i="38"/>
  <c r="AY286" i="38"/>
  <c r="AZ286" i="38"/>
  <c r="BH286" i="38"/>
  <c r="BG286" i="38"/>
  <c r="AQ960" i="38"/>
  <c r="AR960" i="38"/>
  <c r="A962" i="38"/>
  <c r="A288" i="38"/>
  <c r="A289" i="38" s="1"/>
  <c r="A290" i="38" s="1"/>
  <c r="A557" i="38"/>
  <c r="AP287" i="38"/>
  <c r="AP556" i="38"/>
  <c r="AX287" i="38"/>
  <c r="AX556" i="38"/>
  <c r="AP961" i="38"/>
  <c r="BF556" i="38"/>
  <c r="BF961" i="38"/>
  <c r="BF287" i="38"/>
  <c r="AX961" i="38"/>
  <c r="BG287" i="38" l="1"/>
  <c r="BH287" i="38"/>
  <c r="AR961" i="38"/>
  <c r="AQ961" i="38"/>
  <c r="AZ961" i="38"/>
  <c r="AY961" i="38"/>
  <c r="BG556" i="38"/>
  <c r="BH556" i="38"/>
  <c r="AZ556" i="38"/>
  <c r="AY556" i="38"/>
  <c r="AZ287" i="38"/>
  <c r="AY287" i="38"/>
  <c r="AR556" i="38"/>
  <c r="AQ556" i="38"/>
  <c r="BH961" i="38"/>
  <c r="BG961" i="38"/>
  <c r="AQ287" i="38"/>
  <c r="AR287" i="38"/>
  <c r="A291" i="38"/>
  <c r="A963" i="38"/>
  <c r="A558" i="38"/>
  <c r="AP557" i="38"/>
  <c r="BF557" i="38"/>
  <c r="AX557" i="38"/>
  <c r="AP290" i="38"/>
  <c r="BF962" i="38"/>
  <c r="AX290" i="38"/>
  <c r="BF290" i="38"/>
  <c r="AX962" i="38"/>
  <c r="AP962" i="38"/>
  <c r="AQ290" i="38" l="1"/>
  <c r="AR290" i="38"/>
  <c r="AQ557" i="38"/>
  <c r="AR557" i="38"/>
  <c r="AZ962" i="38"/>
  <c r="AY962" i="38"/>
  <c r="BG290" i="38"/>
  <c r="BH290" i="38"/>
  <c r="AZ290" i="38"/>
  <c r="AY290" i="38"/>
  <c r="AZ557" i="38"/>
  <c r="AY557" i="38"/>
  <c r="AR962" i="38"/>
  <c r="AQ962" i="38"/>
  <c r="BG557" i="38"/>
  <c r="BH557" i="38"/>
  <c r="BG962" i="38"/>
  <c r="BH962" i="38"/>
  <c r="A964" i="38"/>
  <c r="A559" i="38"/>
  <c r="A292" i="38"/>
  <c r="AP558" i="38"/>
  <c r="AP963" i="38"/>
  <c r="BF291" i="38"/>
  <c r="AX963" i="38"/>
  <c r="BF558" i="38"/>
  <c r="BF963" i="38"/>
  <c r="AP291" i="38"/>
  <c r="AX291" i="38"/>
  <c r="AX558" i="38"/>
  <c r="AZ558" i="38" l="1"/>
  <c r="AY558" i="38"/>
  <c r="BG558" i="38"/>
  <c r="BH558" i="38"/>
  <c r="AQ291" i="38"/>
  <c r="AR291" i="38"/>
  <c r="AR963" i="38"/>
  <c r="AQ963" i="38"/>
  <c r="BH963" i="38"/>
  <c r="BG963" i="38"/>
  <c r="AZ291" i="38"/>
  <c r="AY291" i="38"/>
  <c r="AZ963" i="38"/>
  <c r="AY963" i="38"/>
  <c r="BH291" i="38"/>
  <c r="BG291" i="38"/>
  <c r="AQ558" i="38"/>
  <c r="AR558" i="38"/>
  <c r="A560" i="38"/>
  <c r="A293" i="38"/>
  <c r="A965" i="38"/>
  <c r="AX964" i="38"/>
  <c r="AX292" i="38"/>
  <c r="BF292" i="38"/>
  <c r="AP964" i="38"/>
  <c r="AP292" i="38"/>
  <c r="BF964" i="38"/>
  <c r="BF559" i="38"/>
  <c r="AX559" i="38"/>
  <c r="AP559" i="38"/>
  <c r="AZ292" i="38" l="1"/>
  <c r="AY292" i="38"/>
  <c r="BG292" i="38"/>
  <c r="BH292" i="38"/>
  <c r="AQ964" i="38"/>
  <c r="AR964" i="38"/>
  <c r="AQ559" i="38"/>
  <c r="AR559" i="38"/>
  <c r="AZ964" i="38"/>
  <c r="AY964" i="38"/>
  <c r="AZ559" i="38"/>
  <c r="AY559" i="38"/>
  <c r="BH964" i="38"/>
  <c r="BG964" i="38"/>
  <c r="BG559" i="38"/>
  <c r="BH559" i="38"/>
  <c r="AR292" i="38"/>
  <c r="AQ292" i="38"/>
  <c r="A294" i="38"/>
  <c r="A966" i="38"/>
  <c r="A561" i="38"/>
  <c r="BF965" i="38"/>
  <c r="AX560" i="38"/>
  <c r="AX293" i="38"/>
  <c r="BF293" i="38"/>
  <c r="AP965" i="38"/>
  <c r="AP560" i="38"/>
  <c r="AX965" i="38"/>
  <c r="BF560" i="38"/>
  <c r="AP293" i="38"/>
  <c r="AR560" i="38" l="1"/>
  <c r="AQ560" i="38"/>
  <c r="AZ965" i="38"/>
  <c r="AY965" i="38"/>
  <c r="AQ293" i="38"/>
  <c r="AR293" i="38"/>
  <c r="AY560" i="38"/>
  <c r="AZ560" i="38"/>
  <c r="BH965" i="38"/>
  <c r="BG965" i="38"/>
  <c r="BH560" i="38"/>
  <c r="BG560" i="38"/>
  <c r="BH293" i="38"/>
  <c r="BG293" i="38"/>
  <c r="AY293" i="38"/>
  <c r="AZ293" i="38"/>
  <c r="AR965" i="38"/>
  <c r="AQ965" i="38"/>
  <c r="A967" i="38"/>
  <c r="A562" i="38"/>
  <c r="A295" i="38"/>
  <c r="AP966" i="38"/>
  <c r="BF966" i="38"/>
  <c r="AX294" i="38"/>
  <c r="AX966" i="38"/>
  <c r="BF294" i="38"/>
  <c r="BF561" i="38"/>
  <c r="AP294" i="38"/>
  <c r="AX561" i="38"/>
  <c r="AP561" i="38"/>
  <c r="AZ561" i="38" l="1"/>
  <c r="AY561" i="38"/>
  <c r="BH561" i="38"/>
  <c r="BG561" i="38"/>
  <c r="AQ966" i="38"/>
  <c r="AR966" i="38"/>
  <c r="BH294" i="38"/>
  <c r="BG294" i="38"/>
  <c r="AZ294" i="38"/>
  <c r="AY294" i="38"/>
  <c r="AZ966" i="38"/>
  <c r="AY966" i="38"/>
  <c r="AR294" i="38"/>
  <c r="AQ294" i="38"/>
  <c r="BG966" i="38"/>
  <c r="BH966" i="38"/>
  <c r="AR561" i="38"/>
  <c r="AQ561" i="38"/>
  <c r="A563" i="38"/>
  <c r="A296" i="38"/>
  <c r="A968" i="38"/>
  <c r="A969" i="38" s="1"/>
  <c r="A970" i="38" s="1"/>
  <c r="AP562" i="38"/>
  <c r="BF562" i="38"/>
  <c r="AX295" i="38"/>
  <c r="AP295" i="38"/>
  <c r="AX562" i="38"/>
  <c r="AP967" i="38"/>
  <c r="BF967" i="38"/>
  <c r="BF295" i="38"/>
  <c r="AX967" i="38"/>
  <c r="AZ295" i="38" l="1"/>
  <c r="AY295" i="38"/>
  <c r="BH967" i="38"/>
  <c r="BG967" i="38"/>
  <c r="BH295" i="38"/>
  <c r="BG295" i="38"/>
  <c r="AQ562" i="38"/>
  <c r="AR562" i="38"/>
  <c r="AZ967" i="38"/>
  <c r="AY967" i="38"/>
  <c r="AQ967" i="38"/>
  <c r="AR967" i="38"/>
  <c r="BH562" i="38"/>
  <c r="BG562" i="38"/>
  <c r="AZ562" i="38"/>
  <c r="AY562" i="38"/>
  <c r="AR295" i="38"/>
  <c r="AQ295" i="38"/>
  <c r="A297" i="38"/>
  <c r="A971" i="38"/>
  <c r="A564" i="38"/>
  <c r="AX563" i="38"/>
  <c r="BF296" i="38"/>
  <c r="AX296" i="38"/>
  <c r="AP970" i="38"/>
  <c r="BF563" i="38"/>
  <c r="AP296" i="38"/>
  <c r="AX970" i="38"/>
  <c r="BF970" i="38"/>
  <c r="AP563" i="38"/>
  <c r="AY970" i="38" l="1"/>
  <c r="AZ970" i="38"/>
  <c r="BG296" i="38"/>
  <c r="BH296" i="38"/>
  <c r="BG970" i="38"/>
  <c r="BH970" i="38"/>
  <c r="AR296" i="38"/>
  <c r="AQ296" i="38"/>
  <c r="AZ563" i="38"/>
  <c r="AY563" i="38"/>
  <c r="AZ296" i="38"/>
  <c r="AY296" i="38"/>
  <c r="BG563" i="38"/>
  <c r="BH563" i="38"/>
  <c r="AR563" i="38"/>
  <c r="AQ563" i="38"/>
  <c r="AR970" i="38"/>
  <c r="AQ970" i="38"/>
  <c r="A972" i="38"/>
  <c r="A565" i="38"/>
  <c r="A298" i="38"/>
  <c r="AX564" i="38"/>
  <c r="AP564" i="38"/>
  <c r="AX297" i="38"/>
  <c r="AP971" i="38"/>
  <c r="BF971" i="38"/>
  <c r="BF297" i="38"/>
  <c r="AP297" i="38"/>
  <c r="BF564" i="38"/>
  <c r="AX971" i="38"/>
  <c r="AY564" i="38" l="1"/>
  <c r="AZ564" i="38"/>
  <c r="BH564" i="38"/>
  <c r="BG564" i="38"/>
  <c r="BH297" i="38"/>
  <c r="BG297" i="38"/>
  <c r="AR971" i="38"/>
  <c r="AQ971" i="38"/>
  <c r="AY297" i="38"/>
  <c r="AZ297" i="38"/>
  <c r="AZ971" i="38"/>
  <c r="AY971" i="38"/>
  <c r="AR297" i="38"/>
  <c r="AQ297" i="38"/>
  <c r="BH971" i="38"/>
  <c r="BG971" i="38"/>
  <c r="AR564" i="38"/>
  <c r="AQ564" i="38"/>
  <c r="A566" i="38"/>
  <c r="A299" i="38"/>
  <c r="A973" i="38"/>
  <c r="BF972" i="38"/>
  <c r="AP972" i="38"/>
  <c r="BF565" i="38"/>
  <c r="BF298" i="38"/>
  <c r="AX565" i="38"/>
  <c r="AX298" i="38"/>
  <c r="AP565" i="38"/>
  <c r="AX972" i="38"/>
  <c r="AP298" i="38"/>
  <c r="AZ298" i="38" l="1"/>
  <c r="AY298" i="38"/>
  <c r="AR972" i="38"/>
  <c r="AQ972" i="38"/>
  <c r="AQ565" i="38"/>
  <c r="AR565" i="38"/>
  <c r="AY972" i="38"/>
  <c r="AZ972" i="38"/>
  <c r="AY565" i="38"/>
  <c r="AZ565" i="38"/>
  <c r="BH972" i="38"/>
  <c r="BG972" i="38"/>
  <c r="AQ298" i="38"/>
  <c r="AR298" i="38"/>
  <c r="BH565" i="38"/>
  <c r="BG565" i="38"/>
  <c r="BG298" i="38"/>
  <c r="BH298" i="38"/>
  <c r="A300" i="38"/>
  <c r="A974" i="38"/>
  <c r="A567" i="38"/>
  <c r="BF973" i="38"/>
  <c r="AP973" i="38"/>
  <c r="AP299" i="38"/>
  <c r="AX973" i="38"/>
  <c r="AP566" i="38"/>
  <c r="BF566" i="38"/>
  <c r="AX566" i="38"/>
  <c r="BF299" i="38"/>
  <c r="AX299" i="38"/>
  <c r="AZ973" i="38" l="1"/>
  <c r="AY973" i="38"/>
  <c r="BH973" i="38"/>
  <c r="BG973" i="38"/>
  <c r="BG299" i="38"/>
  <c r="BH299" i="38"/>
  <c r="AR566" i="38"/>
  <c r="AQ566" i="38"/>
  <c r="AZ566" i="38"/>
  <c r="AY566" i="38"/>
  <c r="AZ299" i="38"/>
  <c r="AY299" i="38"/>
  <c r="BH566" i="38"/>
  <c r="BG566" i="38"/>
  <c r="AR299" i="38"/>
  <c r="AQ299" i="38"/>
  <c r="AQ973" i="38"/>
  <c r="AR973" i="38"/>
  <c r="A975" i="38"/>
  <c r="A568" i="38"/>
  <c r="A301" i="38"/>
  <c r="BF300" i="38"/>
  <c r="AP300" i="38"/>
  <c r="AX300" i="38"/>
  <c r="AX567" i="38"/>
  <c r="AX974" i="38"/>
  <c r="AP974" i="38"/>
  <c r="BF567" i="38"/>
  <c r="AP567" i="38"/>
  <c r="BF974" i="38"/>
  <c r="AY567" i="38" l="1"/>
  <c r="AZ567" i="38"/>
  <c r="BH567" i="38"/>
  <c r="BG567" i="38"/>
  <c r="BG974" i="38"/>
  <c r="BH974" i="38"/>
  <c r="AR300" i="38"/>
  <c r="AQ300" i="38"/>
  <c r="AR974" i="38"/>
  <c r="AQ974" i="38"/>
  <c r="BG300" i="38"/>
  <c r="BH300" i="38"/>
  <c r="AZ300" i="38"/>
  <c r="AY300" i="38"/>
  <c r="AZ974" i="38"/>
  <c r="AY974" i="38"/>
  <c r="AQ567" i="38"/>
  <c r="AR567" i="38"/>
  <c r="A569" i="38"/>
  <c r="A302" i="38"/>
  <c r="A976" i="38"/>
  <c r="AP975" i="38"/>
  <c r="AX975" i="38"/>
  <c r="AP301" i="38"/>
  <c r="AX301" i="38"/>
  <c r="BF301" i="38"/>
  <c r="BF568" i="38"/>
  <c r="BF975" i="38"/>
  <c r="AP568" i="38"/>
  <c r="AX568" i="38"/>
  <c r="BG301" i="38" l="1"/>
  <c r="BH301" i="38"/>
  <c r="AR301" i="38"/>
  <c r="AQ301" i="38"/>
  <c r="AR975" i="38"/>
  <c r="AQ975" i="38"/>
  <c r="BH568" i="38"/>
  <c r="BG568" i="38"/>
  <c r="AY301" i="38"/>
  <c r="AZ301" i="38"/>
  <c r="AR568" i="38"/>
  <c r="AQ568" i="38"/>
  <c r="AZ568" i="38"/>
  <c r="AY568" i="38"/>
  <c r="BH975" i="38"/>
  <c r="BG975" i="38"/>
  <c r="AZ975" i="38"/>
  <c r="AY975" i="38"/>
  <c r="A303" i="38"/>
  <c r="A977" i="38"/>
  <c r="A570" i="38"/>
  <c r="BF976" i="38"/>
  <c r="AP976" i="38"/>
  <c r="AX302" i="38"/>
  <c r="AP302" i="38"/>
  <c r="BF569" i="38"/>
  <c r="BF302" i="38"/>
  <c r="AX976" i="38"/>
  <c r="AX569" i="38"/>
  <c r="AP569" i="38"/>
  <c r="BH976" i="38" l="1"/>
  <c r="BG976" i="38"/>
  <c r="AZ976" i="38"/>
  <c r="AY976" i="38"/>
  <c r="AQ302" i="38"/>
  <c r="AR302" i="38"/>
  <c r="BH302" i="38"/>
  <c r="BG302" i="38"/>
  <c r="AY569" i="38"/>
  <c r="AZ569" i="38"/>
  <c r="AZ302" i="38"/>
  <c r="AY302" i="38"/>
  <c r="AQ569" i="38"/>
  <c r="AR569" i="38"/>
  <c r="BH569" i="38"/>
  <c r="BG569" i="38"/>
  <c r="AR976" i="38"/>
  <c r="AQ976" i="38"/>
  <c r="A978" i="38"/>
  <c r="A571" i="38"/>
  <c r="A304" i="38"/>
  <c r="BF303" i="38"/>
  <c r="BF977" i="38"/>
  <c r="AP303" i="38"/>
  <c r="AX303" i="38"/>
  <c r="AP977" i="38"/>
  <c r="AP570" i="38"/>
  <c r="AX977" i="38"/>
  <c r="BF570" i="38"/>
  <c r="AX570" i="38"/>
  <c r="BH303" i="38" l="1"/>
  <c r="BG303" i="38"/>
  <c r="AR570" i="38"/>
  <c r="AQ570" i="38"/>
  <c r="AY570" i="38"/>
  <c r="AZ570" i="38"/>
  <c r="BH977" i="38"/>
  <c r="BG977" i="38"/>
  <c r="AQ303" i="38"/>
  <c r="AR303" i="38"/>
  <c r="AR977" i="38"/>
  <c r="AQ977" i="38"/>
  <c r="AZ303" i="38"/>
  <c r="AY303" i="38"/>
  <c r="AY977" i="38"/>
  <c r="AZ977" i="38"/>
  <c r="BH570" i="38"/>
  <c r="BG570" i="38"/>
  <c r="A572" i="38"/>
  <c r="A305" i="38"/>
  <c r="A979" i="38"/>
  <c r="AX571" i="38"/>
  <c r="AP571" i="38"/>
  <c r="AX304" i="38"/>
  <c r="AX978" i="38"/>
  <c r="AP304" i="38"/>
  <c r="BF304" i="38"/>
  <c r="AP978" i="38"/>
  <c r="BF978" i="38"/>
  <c r="BF571" i="38"/>
  <c r="AZ304" i="38" l="1"/>
  <c r="AY304" i="38"/>
  <c r="BH304" i="38"/>
  <c r="BG304" i="38"/>
  <c r="BG978" i="38"/>
  <c r="BH978" i="38"/>
  <c r="AR978" i="38"/>
  <c r="AQ978" i="38"/>
  <c r="AQ571" i="38"/>
  <c r="AR571" i="38"/>
  <c r="AZ978" i="38"/>
  <c r="AY978" i="38"/>
  <c r="AZ571" i="38"/>
  <c r="AY571" i="38"/>
  <c r="BH571" i="38"/>
  <c r="BG571" i="38"/>
  <c r="AR304" i="38"/>
  <c r="AQ304" i="38"/>
  <c r="A306" i="38"/>
  <c r="A980" i="38"/>
  <c r="A573" i="38"/>
  <c r="BF979" i="38"/>
  <c r="AP979" i="38"/>
  <c r="AX305" i="38"/>
  <c r="BF572" i="38"/>
  <c r="AP572" i="38"/>
  <c r="AP305" i="38"/>
  <c r="AX572" i="38"/>
  <c r="AX979" i="38"/>
  <c r="BF305" i="38"/>
  <c r="AZ979" i="38" l="1"/>
  <c r="AY979" i="38"/>
  <c r="BG979" i="38"/>
  <c r="BH979" i="38"/>
  <c r="AR572" i="38"/>
  <c r="AQ572" i="38"/>
  <c r="BG305" i="38"/>
  <c r="BH305" i="38"/>
  <c r="AZ572" i="38"/>
  <c r="AY572" i="38"/>
  <c r="AQ305" i="38"/>
  <c r="AR305" i="38"/>
  <c r="BH572" i="38"/>
  <c r="BG572" i="38"/>
  <c r="AZ305" i="38"/>
  <c r="AY305" i="38"/>
  <c r="AR979" i="38"/>
  <c r="AQ979" i="38"/>
  <c r="A981" i="38"/>
  <c r="A574" i="38"/>
  <c r="A307" i="38"/>
  <c r="AX573" i="38"/>
  <c r="BF573" i="38"/>
  <c r="AX980" i="38"/>
  <c r="BF306" i="38"/>
  <c r="AP306" i="38"/>
  <c r="AP573" i="38"/>
  <c r="AX306" i="38"/>
  <c r="BF980" i="38"/>
  <c r="AP980" i="38"/>
  <c r="AY573" i="38" l="1"/>
  <c r="AZ573" i="38"/>
  <c r="BH306" i="38"/>
  <c r="BG306" i="38"/>
  <c r="AQ980" i="38"/>
  <c r="AR980" i="38"/>
  <c r="AR573" i="38"/>
  <c r="AQ573" i="38"/>
  <c r="BH980" i="38"/>
  <c r="BG980" i="38"/>
  <c r="AY980" i="38"/>
  <c r="AZ980" i="38"/>
  <c r="AR306" i="38"/>
  <c r="AQ306" i="38"/>
  <c r="AY306" i="38"/>
  <c r="AZ306" i="38"/>
  <c r="BH573" i="38"/>
  <c r="BG573" i="38"/>
  <c r="A575" i="38"/>
  <c r="A308" i="38"/>
  <c r="A982" i="38"/>
  <c r="AP307" i="38"/>
  <c r="AX981" i="38"/>
  <c r="BF981" i="38"/>
  <c r="AP574" i="38"/>
  <c r="BF574" i="38"/>
  <c r="AX307" i="38"/>
  <c r="AX574" i="38"/>
  <c r="BF307" i="38"/>
  <c r="AP981" i="38"/>
  <c r="BH981" i="38" l="1"/>
  <c r="BG981" i="38"/>
  <c r="AZ981" i="38"/>
  <c r="AY981" i="38"/>
  <c r="AZ307" i="38"/>
  <c r="AY307" i="38"/>
  <c r="AZ574" i="38"/>
  <c r="AY574" i="38"/>
  <c r="AQ307" i="38"/>
  <c r="AR307" i="38"/>
  <c r="BH307" i="38"/>
  <c r="BG307" i="38"/>
  <c r="AQ981" i="38"/>
  <c r="AR981" i="38"/>
  <c r="AR574" i="38"/>
  <c r="AQ574" i="38"/>
  <c r="BH574" i="38"/>
  <c r="BG574" i="38"/>
  <c r="A576" i="38"/>
  <c r="A983" i="38"/>
  <c r="A309" i="38"/>
  <c r="AX308" i="38"/>
  <c r="AP308" i="38"/>
  <c r="AX575" i="38"/>
  <c r="AP982" i="38"/>
  <c r="BF982" i="38"/>
  <c r="BF308" i="38"/>
  <c r="AX982" i="38"/>
  <c r="AP575" i="38"/>
  <c r="BF575" i="38"/>
  <c r="AY982" i="38" l="1"/>
  <c r="AZ982" i="38"/>
  <c r="AR308" i="38"/>
  <c r="AQ308" i="38"/>
  <c r="AR575" i="38"/>
  <c r="AQ575" i="38"/>
  <c r="BH982" i="38"/>
  <c r="BG982" i="38"/>
  <c r="BH575" i="38"/>
  <c r="BG575" i="38"/>
  <c r="AZ308" i="38"/>
  <c r="AY308" i="38"/>
  <c r="AZ575" i="38"/>
  <c r="AY575" i="38"/>
  <c r="BH308" i="38"/>
  <c r="BG308" i="38"/>
  <c r="AR982" i="38"/>
  <c r="AQ982" i="38"/>
  <c r="A984" i="38"/>
  <c r="A310" i="38"/>
  <c r="A577" i="38"/>
  <c r="BF309" i="38"/>
  <c r="AP309" i="38"/>
  <c r="AX309" i="38"/>
  <c r="AX576" i="38"/>
  <c r="AX983" i="38"/>
  <c r="AP576" i="38"/>
  <c r="AP983" i="38"/>
  <c r="BF983" i="38"/>
  <c r="BF576" i="38"/>
  <c r="AZ309" i="38" l="1"/>
  <c r="AY309" i="38"/>
  <c r="AR309" i="38"/>
  <c r="AQ309" i="38"/>
  <c r="AQ983" i="38"/>
  <c r="AR983" i="38"/>
  <c r="BG983" i="38"/>
  <c r="BH983" i="38"/>
  <c r="AY576" i="38"/>
  <c r="AZ576" i="38"/>
  <c r="AZ983" i="38"/>
  <c r="AY983" i="38"/>
  <c r="AR576" i="38"/>
  <c r="AQ576" i="38"/>
  <c r="BH576" i="38"/>
  <c r="BG576" i="38"/>
  <c r="BH309" i="38"/>
  <c r="BG309" i="38"/>
  <c r="A311" i="38"/>
  <c r="A312" i="38" s="1"/>
  <c r="A313" i="38" s="1"/>
  <c r="A314" i="38" s="1"/>
  <c r="A315" i="38" s="1"/>
  <c r="A316" i="38" s="1"/>
  <c r="A317" i="38" s="1"/>
  <c r="A318" i="38" s="1"/>
  <c r="A319" i="38" s="1"/>
  <c r="A320" i="38" s="1"/>
  <c r="A321" i="38" s="1"/>
  <c r="A578" i="38"/>
  <c r="A985" i="38"/>
  <c r="BF577" i="38"/>
  <c r="AX984" i="38"/>
  <c r="AP310" i="38"/>
  <c r="BF310" i="38"/>
  <c r="BF984" i="38"/>
  <c r="AX577" i="38"/>
  <c r="AX310" i="38"/>
  <c r="AP984" i="38"/>
  <c r="AP577" i="38"/>
  <c r="AY577" i="38" l="1"/>
  <c r="AZ577" i="38"/>
  <c r="BH577" i="38"/>
  <c r="BG577" i="38"/>
  <c r="BF311" i="38"/>
  <c r="BG311" i="38" s="1"/>
  <c r="BH310" i="38"/>
  <c r="BG310" i="38"/>
  <c r="BH984" i="38"/>
  <c r="BG984" i="38"/>
  <c r="AY984" i="38"/>
  <c r="AZ984" i="38"/>
  <c r="AX311" i="38"/>
  <c r="AY311" i="38" s="1"/>
  <c r="AZ310" i="38"/>
  <c r="AY310" i="38"/>
  <c r="AR984" i="38"/>
  <c r="AQ984" i="38"/>
  <c r="AP311" i="38"/>
  <c r="AQ311" i="38" s="1"/>
  <c r="AR310" i="38"/>
  <c r="AQ310" i="38"/>
  <c r="AQ577" i="38"/>
  <c r="AR577" i="38"/>
  <c r="A579" i="38"/>
  <c r="A322" i="38"/>
  <c r="A986" i="38"/>
  <c r="AP578" i="38"/>
  <c r="AP985" i="38"/>
  <c r="BF578" i="38"/>
  <c r="BF321" i="38"/>
  <c r="AX321" i="38"/>
  <c r="AX985" i="38"/>
  <c r="AP321" i="38"/>
  <c r="AX578" i="38"/>
  <c r="BF985" i="38"/>
  <c r="BH578" i="38" l="1"/>
  <c r="BG578" i="38"/>
  <c r="BG985" i="38"/>
  <c r="BH985" i="38"/>
  <c r="AR578" i="38"/>
  <c r="AQ578" i="38"/>
  <c r="AY578" i="38"/>
  <c r="AZ578" i="38"/>
  <c r="AQ985" i="38"/>
  <c r="AR985" i="38"/>
  <c r="AZ985" i="38"/>
  <c r="AY985" i="38"/>
  <c r="BF312" i="38"/>
  <c r="BG312" i="38" s="1"/>
  <c r="BH321" i="38"/>
  <c r="BG321" i="38"/>
  <c r="AP312" i="38"/>
  <c r="AQ312" i="38" s="1"/>
  <c r="AQ321" i="38"/>
  <c r="AR321" i="38"/>
  <c r="AX312" i="38"/>
  <c r="AY312" i="38" s="1"/>
  <c r="AZ321" i="38"/>
  <c r="AY321" i="38"/>
  <c r="A987" i="38"/>
  <c r="A580" i="38"/>
  <c r="A323" i="38"/>
  <c r="AX986" i="38"/>
  <c r="AX579" i="38"/>
  <c r="AX322" i="38"/>
  <c r="BF322" i="38"/>
  <c r="BF579" i="38"/>
  <c r="AP322" i="38"/>
  <c r="AP579" i="38"/>
  <c r="AP986" i="38"/>
  <c r="BF986" i="38"/>
  <c r="AX313" i="38" l="1"/>
  <c r="AY313" i="38" s="1"/>
  <c r="AZ322" i="38"/>
  <c r="AY322" i="38"/>
  <c r="BH986" i="38"/>
  <c r="BG986" i="38"/>
  <c r="AZ986" i="38"/>
  <c r="AY986" i="38"/>
  <c r="BF313" i="38"/>
  <c r="BG313" i="38" s="1"/>
  <c r="BG322" i="38"/>
  <c r="BH322" i="38"/>
  <c r="AP313" i="38"/>
  <c r="AQ313" i="38" s="1"/>
  <c r="AQ322" i="38"/>
  <c r="AR322" i="38"/>
  <c r="BH579" i="38"/>
  <c r="BG579" i="38"/>
  <c r="AR579" i="38"/>
  <c r="AQ579" i="38"/>
  <c r="AR986" i="38"/>
  <c r="AQ986" i="38"/>
  <c r="AZ579" i="38"/>
  <c r="AY579" i="38"/>
  <c r="A324" i="38"/>
  <c r="A988" i="38"/>
  <c r="A581" i="38"/>
  <c r="AP580" i="38"/>
  <c r="AP323" i="38"/>
  <c r="BF987" i="38"/>
  <c r="AP987" i="38"/>
  <c r="BF323" i="38"/>
  <c r="AX987" i="38"/>
  <c r="AX580" i="38"/>
  <c r="BF580" i="38"/>
  <c r="AX323" i="38"/>
  <c r="BF314" i="38" l="1"/>
  <c r="BG314" i="38" s="1"/>
  <c r="BH323" i="38"/>
  <c r="BG323" i="38"/>
  <c r="AP314" i="38"/>
  <c r="AQ314" i="38" s="1"/>
  <c r="AR323" i="38"/>
  <c r="AQ323" i="38"/>
  <c r="BH580" i="38"/>
  <c r="BG580" i="38"/>
  <c r="AX314" i="38"/>
  <c r="AY314" i="38" s="1"/>
  <c r="AZ323" i="38"/>
  <c r="AY323" i="38"/>
  <c r="AR580" i="38"/>
  <c r="AQ580" i="38"/>
  <c r="AQ987" i="38"/>
  <c r="AR987" i="38"/>
  <c r="BG987" i="38"/>
  <c r="BH987" i="38"/>
  <c r="AZ580" i="38"/>
  <c r="AY580" i="38"/>
  <c r="AZ987" i="38"/>
  <c r="AY987" i="38"/>
  <c r="A582" i="38"/>
  <c r="A325" i="38"/>
  <c r="A989" i="38"/>
  <c r="AP581" i="38"/>
  <c r="BF581" i="38"/>
  <c r="BF324" i="38"/>
  <c r="AP988" i="38"/>
  <c r="BF988" i="38"/>
  <c r="AX988" i="38"/>
  <c r="AP324" i="38"/>
  <c r="AX581" i="38"/>
  <c r="AX324" i="38"/>
  <c r="BH988" i="38" l="1"/>
  <c r="BG988" i="38"/>
  <c r="AR581" i="38"/>
  <c r="AQ581" i="38"/>
  <c r="BH581" i="38"/>
  <c r="BG581" i="38"/>
  <c r="AZ988" i="38"/>
  <c r="AY988" i="38"/>
  <c r="AP315" i="38"/>
  <c r="AQ315" i="38" s="1"/>
  <c r="AR324" i="38"/>
  <c r="AQ324" i="38"/>
  <c r="AZ581" i="38"/>
  <c r="AY581" i="38"/>
  <c r="BF315" i="38"/>
  <c r="BG315" i="38" s="1"/>
  <c r="BG324" i="38"/>
  <c r="BH324" i="38"/>
  <c r="AR988" i="38"/>
  <c r="AQ988" i="38"/>
  <c r="AX315" i="38"/>
  <c r="AY315" i="38" s="1"/>
  <c r="AY324" i="38"/>
  <c r="AZ324" i="38"/>
  <c r="A990" i="38"/>
  <c r="A583" i="38"/>
  <c r="A326" i="38"/>
  <c r="AX325" i="38"/>
  <c r="AP325" i="38"/>
  <c r="AP582" i="38"/>
  <c r="BF582" i="38"/>
  <c r="AP989" i="38"/>
  <c r="AX582" i="38"/>
  <c r="AX989" i="38"/>
  <c r="BF989" i="38"/>
  <c r="BF325" i="38"/>
  <c r="BF316" i="38" l="1"/>
  <c r="BG316" i="38" s="1"/>
  <c r="BH325" i="38"/>
  <c r="BG325" i="38"/>
  <c r="BH989" i="38"/>
  <c r="BG989" i="38"/>
  <c r="AX316" i="38"/>
  <c r="AY316" i="38" s="1"/>
  <c r="AZ325" i="38"/>
  <c r="AY325" i="38"/>
  <c r="AZ989" i="38"/>
  <c r="AY989" i="38"/>
  <c r="BH582" i="38"/>
  <c r="BG582" i="38"/>
  <c r="AR582" i="38"/>
  <c r="AQ582" i="38"/>
  <c r="AY582" i="38"/>
  <c r="AZ582" i="38"/>
  <c r="AP316" i="38"/>
  <c r="AQ316" i="38" s="1"/>
  <c r="AR325" i="38"/>
  <c r="AQ325" i="38"/>
  <c r="AQ989" i="38"/>
  <c r="AR989" i="38"/>
  <c r="A327" i="38"/>
  <c r="A991" i="38"/>
  <c r="A584" i="38"/>
  <c r="AP990" i="38"/>
  <c r="AX326" i="38"/>
  <c r="AP583" i="38"/>
  <c r="BF583" i="38"/>
  <c r="AX583" i="38"/>
  <c r="AP326" i="38"/>
  <c r="BF326" i="38"/>
  <c r="BF990" i="38"/>
  <c r="AX990" i="38"/>
  <c r="AR583" i="38" l="1"/>
  <c r="AQ583" i="38"/>
  <c r="AP317" i="38"/>
  <c r="AQ317" i="38" s="1"/>
  <c r="AR326" i="38"/>
  <c r="AQ326" i="38"/>
  <c r="BF317" i="38"/>
  <c r="BG317" i="38" s="1"/>
  <c r="BH326" i="38"/>
  <c r="BG326" i="38"/>
  <c r="AX317" i="38"/>
  <c r="AY317" i="38" s="1"/>
  <c r="AZ326" i="38"/>
  <c r="AY326" i="38"/>
  <c r="BH583" i="38"/>
  <c r="BG583" i="38"/>
  <c r="BH990" i="38"/>
  <c r="BG990" i="38"/>
  <c r="AQ990" i="38"/>
  <c r="AR990" i="38"/>
  <c r="AZ990" i="38"/>
  <c r="AY990" i="38"/>
  <c r="AZ583" i="38"/>
  <c r="AY583" i="38"/>
  <c r="A585" i="38"/>
  <c r="A328" i="38"/>
  <c r="A992" i="38"/>
  <c r="BF584" i="38"/>
  <c r="AP327" i="38"/>
  <c r="BF327" i="38"/>
  <c r="AX584" i="38"/>
  <c r="AP991" i="38"/>
  <c r="BF991" i="38"/>
  <c r="AX327" i="38"/>
  <c r="AX991" i="38"/>
  <c r="AP584" i="38"/>
  <c r="BF318" i="38" l="1"/>
  <c r="BG318" i="38" s="1"/>
  <c r="BH327" i="38"/>
  <c r="BG327" i="38"/>
  <c r="AX318" i="38"/>
  <c r="AY318" i="38" s="1"/>
  <c r="AY327" i="38"/>
  <c r="AZ327" i="38"/>
  <c r="AR584" i="38"/>
  <c r="AQ584" i="38"/>
  <c r="BH991" i="38"/>
  <c r="BG991" i="38"/>
  <c r="BH584" i="38"/>
  <c r="BG584" i="38"/>
  <c r="AP318" i="38"/>
  <c r="AQ318" i="38" s="1"/>
  <c r="AQ327" i="38"/>
  <c r="AR327" i="38"/>
  <c r="AQ991" i="38"/>
  <c r="AR991" i="38"/>
  <c r="AZ991" i="38"/>
  <c r="AY991" i="38"/>
  <c r="AY584" i="38"/>
  <c r="AZ584" i="38"/>
  <c r="A329" i="38"/>
  <c r="A993" i="38"/>
  <c r="A586" i="38"/>
  <c r="AP585" i="38"/>
  <c r="AX992" i="38"/>
  <c r="BF585" i="38"/>
  <c r="AX585" i="38"/>
  <c r="BF992" i="38"/>
  <c r="AP328" i="38"/>
  <c r="AX328" i="38"/>
  <c r="AP992" i="38"/>
  <c r="BF328" i="38"/>
  <c r="AR585" i="38" l="1"/>
  <c r="AQ585" i="38"/>
  <c r="BF319" i="38"/>
  <c r="BG319" i="38" s="1"/>
  <c r="BH328" i="38"/>
  <c r="BG328" i="38"/>
  <c r="AZ585" i="38"/>
  <c r="AY585" i="38"/>
  <c r="AP319" i="38"/>
  <c r="AQ319" i="38" s="1"/>
  <c r="AR328" i="38"/>
  <c r="AQ328" i="38"/>
  <c r="BG585" i="38"/>
  <c r="BH585" i="38"/>
  <c r="AR992" i="38"/>
  <c r="AQ992" i="38"/>
  <c r="BG992" i="38"/>
  <c r="BH992" i="38"/>
  <c r="AX319" i="38"/>
  <c r="AY319" i="38" s="1"/>
  <c r="AZ328" i="38"/>
  <c r="AY328" i="38"/>
  <c r="AY992" i="38"/>
  <c r="AZ992" i="38"/>
  <c r="A587" i="38"/>
  <c r="A330" i="38"/>
  <c r="A994" i="38"/>
  <c r="AP993" i="38"/>
  <c r="BF329" i="38"/>
  <c r="AP329" i="38"/>
  <c r="AX993" i="38"/>
  <c r="AX329" i="38"/>
  <c r="AX586" i="38"/>
  <c r="BF993" i="38"/>
  <c r="BF586" i="38"/>
  <c r="AP586" i="38"/>
  <c r="AP320" i="38" l="1"/>
  <c r="AQ320" i="38" s="1"/>
  <c r="AQ329" i="38"/>
  <c r="AR329" i="38"/>
  <c r="AR993" i="38"/>
  <c r="AQ993" i="38"/>
  <c r="BH993" i="38"/>
  <c r="BG993" i="38"/>
  <c r="BH586" i="38"/>
  <c r="BG586" i="38"/>
  <c r="BF320" i="38"/>
  <c r="BG320" i="38" s="1"/>
  <c r="BH329" i="38"/>
  <c r="BG329" i="38"/>
  <c r="AR586" i="38"/>
  <c r="AQ586" i="38"/>
  <c r="AZ993" i="38"/>
  <c r="AY993" i="38"/>
  <c r="AZ586" i="38"/>
  <c r="AY586" i="38"/>
  <c r="AX320" i="38"/>
  <c r="AY320" i="38" s="1"/>
  <c r="AZ329" i="38"/>
  <c r="AY329" i="38"/>
  <c r="A995" i="38"/>
  <c r="A588" i="38"/>
  <c r="A331" i="38"/>
  <c r="AP587" i="38"/>
  <c r="AX587" i="38"/>
  <c r="AP330" i="38"/>
  <c r="AX330" i="38"/>
  <c r="BF994" i="38"/>
  <c r="BF587" i="38"/>
  <c r="AX994" i="38"/>
  <c r="AP994" i="38"/>
  <c r="BF330" i="38"/>
  <c r="BH994" i="38" l="1"/>
  <c r="BG994" i="38"/>
  <c r="BH330" i="38"/>
  <c r="BG330" i="38"/>
  <c r="AQ994" i="38"/>
  <c r="AR994" i="38"/>
  <c r="AZ994" i="38"/>
  <c r="AY994" i="38"/>
  <c r="BH587" i="38"/>
  <c r="BG587" i="38"/>
  <c r="AQ330" i="38"/>
  <c r="AR330" i="38"/>
  <c r="AQ587" i="38"/>
  <c r="AR587" i="38"/>
  <c r="AZ330" i="38"/>
  <c r="AY330" i="38"/>
  <c r="AZ587" i="38"/>
  <c r="AY587" i="38"/>
  <c r="A332" i="38"/>
  <c r="A996" i="38"/>
  <c r="A589" i="38"/>
  <c r="AX588" i="38"/>
  <c r="BF995" i="38"/>
  <c r="BF331" i="38"/>
  <c r="AP588" i="38"/>
  <c r="AX995" i="38"/>
  <c r="AP995" i="38"/>
  <c r="BF588" i="38"/>
  <c r="AP331" i="38"/>
  <c r="AX331" i="38"/>
  <c r="AQ331" i="38" l="1"/>
  <c r="AR331" i="38"/>
  <c r="AZ331" i="38"/>
  <c r="AY331" i="38"/>
  <c r="AR995" i="38"/>
  <c r="AQ995" i="38"/>
  <c r="BH995" i="38"/>
  <c r="BG995" i="38"/>
  <c r="AZ995" i="38"/>
  <c r="AY995" i="38"/>
  <c r="AQ588" i="38"/>
  <c r="AR588" i="38"/>
  <c r="AZ588" i="38"/>
  <c r="AY588" i="38"/>
  <c r="BH588" i="38"/>
  <c r="BG588" i="38"/>
  <c r="BH331" i="38"/>
  <c r="BG331" i="38"/>
  <c r="A333" i="38"/>
  <c r="A590" i="38"/>
  <c r="A997" i="38"/>
  <c r="BF332" i="38"/>
  <c r="AX332" i="38"/>
  <c r="AX996" i="38"/>
  <c r="BF589" i="38"/>
  <c r="AX589" i="38"/>
  <c r="AP332" i="38"/>
  <c r="AP589" i="38"/>
  <c r="AP996" i="38"/>
  <c r="BF996" i="38"/>
  <c r="AZ589" i="38" l="1"/>
  <c r="AY589" i="38"/>
  <c r="AR996" i="38"/>
  <c r="AQ996" i="38"/>
  <c r="AQ332" i="38"/>
  <c r="AR332" i="38"/>
  <c r="BH996" i="38"/>
  <c r="BG996" i="38"/>
  <c r="BH332" i="38"/>
  <c r="BG332" i="38"/>
  <c r="AZ996" i="38"/>
  <c r="AY996" i="38"/>
  <c r="AZ332" i="38"/>
  <c r="AY332" i="38"/>
  <c r="AR589" i="38"/>
  <c r="AQ589" i="38"/>
  <c r="BH589" i="38"/>
  <c r="BG589" i="38"/>
  <c r="A591" i="38"/>
  <c r="A998" i="38"/>
  <c r="A999" i="38" s="1"/>
  <c r="A1000" i="38" s="1"/>
  <c r="A334" i="38"/>
  <c r="AP997" i="38"/>
  <c r="BF333" i="38"/>
  <c r="AX333" i="38"/>
  <c r="AP590" i="38"/>
  <c r="BF997" i="38"/>
  <c r="AP333" i="38"/>
  <c r="AX590" i="38"/>
  <c r="BF590" i="38"/>
  <c r="AX997" i="38"/>
  <c r="AZ997" i="38" l="1"/>
  <c r="AY997" i="38"/>
  <c r="AR590" i="38"/>
  <c r="AQ590" i="38"/>
  <c r="BH333" i="38"/>
  <c r="BG333" i="38"/>
  <c r="AZ333" i="38"/>
  <c r="AY333" i="38"/>
  <c r="AY590" i="38"/>
  <c r="AZ590" i="38"/>
  <c r="BH590" i="38"/>
  <c r="BG590" i="38"/>
  <c r="AQ333" i="38"/>
  <c r="AR333" i="38"/>
  <c r="AQ997" i="38"/>
  <c r="AR997" i="38"/>
  <c r="BH997" i="38"/>
  <c r="BG997" i="38"/>
  <c r="A1001" i="38"/>
  <c r="A335" i="38"/>
  <c r="A592" i="38"/>
  <c r="AX334" i="38"/>
  <c r="AP1000" i="38"/>
  <c r="AP334" i="38"/>
  <c r="AX591" i="38"/>
  <c r="AP591" i="38"/>
  <c r="BF334" i="38"/>
  <c r="BF591" i="38"/>
  <c r="AX1000" i="38"/>
  <c r="BF1000" i="38"/>
  <c r="AZ334" i="38" l="1"/>
  <c r="AY334" i="38"/>
  <c r="AR591" i="38"/>
  <c r="AQ591" i="38"/>
  <c r="AQ1000" i="38"/>
  <c r="AR1000" i="38"/>
  <c r="BH591" i="38"/>
  <c r="BG591" i="38"/>
  <c r="BG1000" i="38"/>
  <c r="BH1000" i="38"/>
  <c r="AZ591" i="38"/>
  <c r="AY591" i="38"/>
  <c r="AZ1000" i="38"/>
  <c r="AY1000" i="38"/>
  <c r="BH334" i="38"/>
  <c r="BG334" i="38"/>
  <c r="AQ334" i="38"/>
  <c r="AR334" i="38"/>
  <c r="A336" i="38"/>
  <c r="A337" i="38" s="1"/>
  <c r="A593" i="38"/>
  <c r="A1002" i="38"/>
  <c r="BF592" i="38"/>
  <c r="BF335" i="38"/>
  <c r="BF1001" i="38"/>
  <c r="AX335" i="38"/>
  <c r="AP1001" i="38"/>
  <c r="AX592" i="38"/>
  <c r="AP592" i="38"/>
  <c r="AX1001" i="38"/>
  <c r="AP335" i="38"/>
  <c r="AZ592" i="38" l="1"/>
  <c r="AY592" i="38"/>
  <c r="AQ1001" i="38"/>
  <c r="AR1001" i="38"/>
  <c r="BF336" i="38"/>
  <c r="BG336" i="38" s="1"/>
  <c r="BH335" i="38"/>
  <c r="BG335" i="38"/>
  <c r="BH1001" i="38"/>
  <c r="BG1001" i="38"/>
  <c r="AP336" i="38"/>
  <c r="AQ336" i="38" s="1"/>
  <c r="AR335" i="38"/>
  <c r="AQ335" i="38"/>
  <c r="AZ1001" i="38"/>
  <c r="AY1001" i="38"/>
  <c r="AX336" i="38"/>
  <c r="AY336" i="38" s="1"/>
  <c r="AY335" i="38"/>
  <c r="AZ335" i="38"/>
  <c r="BH592" i="38"/>
  <c r="BG592" i="38"/>
  <c r="AR592" i="38"/>
  <c r="AQ592" i="38"/>
  <c r="A594" i="38"/>
  <c r="A1003" i="38"/>
  <c r="A338" i="38"/>
  <c r="AX1002" i="38"/>
  <c r="AP1002" i="38"/>
  <c r="BF593" i="38"/>
  <c r="BF337" i="38"/>
  <c r="AX593" i="38"/>
  <c r="BF1002" i="38"/>
  <c r="AP593" i="38"/>
  <c r="AX337" i="38"/>
  <c r="AP337" i="38"/>
  <c r="BH337" i="38" l="1"/>
  <c r="BG337" i="38"/>
  <c r="BG593" i="38"/>
  <c r="BH593" i="38"/>
  <c r="AZ337" i="38"/>
  <c r="AY337" i="38"/>
  <c r="AZ593" i="38"/>
  <c r="AY593" i="38"/>
  <c r="AR1002" i="38"/>
  <c r="AQ1002" i="38"/>
  <c r="BH1002" i="38"/>
  <c r="BG1002" i="38"/>
  <c r="AZ1002" i="38"/>
  <c r="AY1002" i="38"/>
  <c r="AR337" i="38"/>
  <c r="AQ337" i="38"/>
  <c r="AR593" i="38"/>
  <c r="AQ593" i="38"/>
  <c r="A339" i="38"/>
  <c r="A595" i="38"/>
  <c r="A1004" i="38"/>
  <c r="AX594" i="38"/>
  <c r="AX1003" i="38"/>
  <c r="BF1003" i="38"/>
  <c r="AP1003" i="38"/>
  <c r="BF594" i="38"/>
  <c r="AX338" i="38"/>
  <c r="AP594" i="38"/>
  <c r="AP338" i="38"/>
  <c r="BF338" i="38"/>
  <c r="AZ594" i="38" l="1"/>
  <c r="AY594" i="38"/>
  <c r="AQ1003" i="38"/>
  <c r="AR1003" i="38"/>
  <c r="AR338" i="38"/>
  <c r="AQ338" i="38"/>
  <c r="BH1003" i="38"/>
  <c r="BG1003" i="38"/>
  <c r="BH338" i="38"/>
  <c r="BG338" i="38"/>
  <c r="AY1003" i="38"/>
  <c r="AZ1003" i="38"/>
  <c r="AZ338" i="38"/>
  <c r="AY338" i="38"/>
  <c r="AR594" i="38"/>
  <c r="AQ594" i="38"/>
  <c r="BH594" i="38"/>
  <c r="BG594" i="38"/>
  <c r="A596" i="38"/>
  <c r="A1005" i="38"/>
  <c r="A340" i="38"/>
  <c r="A341" i="38" s="1"/>
  <c r="A342" i="38" s="1"/>
  <c r="AX339" i="38"/>
  <c r="AX1004" i="38"/>
  <c r="BF1004" i="38"/>
  <c r="AX595" i="38"/>
  <c r="AP595" i="38"/>
  <c r="AP339" i="38"/>
  <c r="BF595" i="38"/>
  <c r="BF339" i="38"/>
  <c r="AP1004" i="38"/>
  <c r="AY1004" i="38" l="1"/>
  <c r="AZ1004" i="38"/>
  <c r="AP340" i="38"/>
  <c r="AQ340" i="38" s="1"/>
  <c r="AR339" i="38"/>
  <c r="AQ339" i="38"/>
  <c r="AR595" i="38"/>
  <c r="AQ595" i="38"/>
  <c r="BF340" i="38"/>
  <c r="BG340" i="38" s="1"/>
  <c r="BH339" i="38"/>
  <c r="BG339" i="38"/>
  <c r="BH595" i="38"/>
  <c r="BG595" i="38"/>
  <c r="AX340" i="38"/>
  <c r="AY340" i="38" s="1"/>
  <c r="AY339" i="38"/>
  <c r="AZ339" i="38"/>
  <c r="AZ595" i="38"/>
  <c r="AY595" i="38"/>
  <c r="AR1004" i="38"/>
  <c r="AQ1004" i="38"/>
  <c r="BH1004" i="38"/>
  <c r="BG1004" i="38"/>
  <c r="A1006" i="38"/>
  <c r="A343" i="38"/>
  <c r="A597" i="38"/>
  <c r="AX1005" i="38"/>
  <c r="BF1005" i="38"/>
  <c r="AX596" i="38"/>
  <c r="AX342" i="38"/>
  <c r="BF596" i="38"/>
  <c r="AP1005" i="38"/>
  <c r="BF342" i="38"/>
  <c r="AP596" i="38"/>
  <c r="AP342" i="38"/>
  <c r="BG596" i="38" l="1"/>
  <c r="BH596" i="38"/>
  <c r="BH1005" i="38"/>
  <c r="BG1005" i="38"/>
  <c r="AZ596" i="38"/>
  <c r="AY596" i="38"/>
  <c r="AZ1005" i="38"/>
  <c r="AY1005" i="38"/>
  <c r="BH342" i="38"/>
  <c r="BG342" i="38"/>
  <c r="AR342" i="38"/>
  <c r="AQ342" i="38"/>
  <c r="AY342" i="38"/>
  <c r="AZ342" i="38"/>
  <c r="AR596" i="38"/>
  <c r="AQ596" i="38"/>
  <c r="AR1005" i="38"/>
  <c r="AQ1005" i="38"/>
  <c r="A598" i="38"/>
  <c r="A1007" i="38"/>
  <c r="A344" i="38"/>
  <c r="AP343" i="38"/>
  <c r="AX597" i="38"/>
  <c r="AX1006" i="38"/>
  <c r="BF597" i="38"/>
  <c r="AP597" i="38"/>
  <c r="BF1006" i="38"/>
  <c r="AX343" i="38"/>
  <c r="BF343" i="38"/>
  <c r="AP1006" i="38"/>
  <c r="AY1006" i="38" l="1"/>
  <c r="AZ1006" i="38"/>
  <c r="AR343" i="38"/>
  <c r="AQ343" i="38"/>
  <c r="BG597" i="38"/>
  <c r="BH597" i="38"/>
  <c r="AR597" i="38"/>
  <c r="AQ597" i="38"/>
  <c r="AY343" i="38"/>
  <c r="AZ343" i="38"/>
  <c r="AZ597" i="38"/>
  <c r="AY597" i="38"/>
  <c r="BH343" i="38"/>
  <c r="BG343" i="38"/>
  <c r="AR1006" i="38"/>
  <c r="AQ1006" i="38"/>
  <c r="BG1006" i="38"/>
  <c r="BH1006" i="38"/>
  <c r="A1008" i="38"/>
  <c r="A345" i="38"/>
  <c r="A599" i="38"/>
  <c r="AP344" i="38"/>
  <c r="BF1007" i="38"/>
  <c r="AP598" i="38"/>
  <c r="AX598" i="38"/>
  <c r="AX344" i="38"/>
  <c r="BF344" i="38"/>
  <c r="AP1007" i="38"/>
  <c r="BF598" i="38"/>
  <c r="AX1007" i="38"/>
  <c r="AY344" i="38" l="1"/>
  <c r="AZ344" i="38"/>
  <c r="AR598" i="38"/>
  <c r="AQ598" i="38"/>
  <c r="BH598" i="38"/>
  <c r="BG598" i="38"/>
  <c r="AZ1007" i="38"/>
  <c r="AY1007" i="38"/>
  <c r="AR1007" i="38"/>
  <c r="AQ1007" i="38"/>
  <c r="AZ598" i="38"/>
  <c r="AY598" i="38"/>
  <c r="BH344" i="38"/>
  <c r="BG344" i="38"/>
  <c r="BH1007" i="38"/>
  <c r="BG1007" i="38"/>
  <c r="AR344" i="38"/>
  <c r="AQ344" i="38"/>
  <c r="A346" i="38"/>
  <c r="A600" i="38"/>
  <c r="A1009" i="38"/>
  <c r="AX1008" i="38"/>
  <c r="BF1008" i="38"/>
  <c r="BF345" i="38"/>
  <c r="BF599" i="38"/>
  <c r="AP345" i="38"/>
  <c r="AX345" i="38"/>
  <c r="AX599" i="38"/>
  <c r="AP1008" i="38"/>
  <c r="AP599" i="38"/>
  <c r="AR1008" i="38" l="1"/>
  <c r="AQ1008" i="38"/>
  <c r="BH345" i="38"/>
  <c r="BG345" i="38"/>
  <c r="AZ345" i="38"/>
  <c r="AY345" i="38"/>
  <c r="AZ599" i="38"/>
  <c r="AY599" i="38"/>
  <c r="AZ1008" i="38"/>
  <c r="AY1008" i="38"/>
  <c r="AQ345" i="38"/>
  <c r="AR345" i="38"/>
  <c r="AR599" i="38"/>
  <c r="AQ599" i="38"/>
  <c r="BH1008" i="38"/>
  <c r="BG1008" i="38"/>
  <c r="BH599" i="38"/>
  <c r="BG599" i="38"/>
  <c r="A1010" i="38"/>
  <c r="A347" i="38"/>
  <c r="A348" i="38" s="1"/>
  <c r="A601" i="38"/>
  <c r="AX1009" i="38"/>
  <c r="BF1009" i="38"/>
  <c r="AP600" i="38"/>
  <c r="AP346" i="38"/>
  <c r="AX346" i="38"/>
  <c r="AP1009" i="38"/>
  <c r="BF600" i="38"/>
  <c r="BF346" i="38"/>
  <c r="AX600" i="38"/>
  <c r="AX347" i="38" l="1"/>
  <c r="AZ346" i="38"/>
  <c r="AY346" i="38"/>
  <c r="AY347" i="38" s="1"/>
  <c r="AR600" i="38"/>
  <c r="AQ600" i="38"/>
  <c r="AR1009" i="38"/>
  <c r="AQ1009" i="38"/>
  <c r="BH600" i="38"/>
  <c r="BG600" i="38"/>
  <c r="BH1009" i="38"/>
  <c r="BG1009" i="38"/>
  <c r="AY600" i="38"/>
  <c r="AZ600" i="38"/>
  <c r="AY1009" i="38"/>
  <c r="AZ1009" i="38"/>
  <c r="AP347" i="38"/>
  <c r="AR346" i="38"/>
  <c r="AQ346" i="38"/>
  <c r="AQ347" i="38" s="1"/>
  <c r="BF347" i="38"/>
  <c r="BH346" i="38"/>
  <c r="BG346" i="38"/>
  <c r="BG347" i="38" s="1"/>
  <c r="A349" i="38"/>
  <c r="A602" i="38"/>
  <c r="A1011" i="38"/>
  <c r="BF1010" i="38"/>
  <c r="AP601" i="38"/>
  <c r="BF348" i="38"/>
  <c r="AX601" i="38"/>
  <c r="AP1010" i="38"/>
  <c r="AX348" i="38"/>
  <c r="AX1010" i="38"/>
  <c r="AP348" i="38"/>
  <c r="BF601" i="38"/>
  <c r="BH1010" i="38" l="1"/>
  <c r="BG1010" i="38"/>
  <c r="BH348" i="38"/>
  <c r="BG348" i="38"/>
  <c r="AZ1010" i="38"/>
  <c r="AY1010" i="38"/>
  <c r="AZ348" i="38"/>
  <c r="AY348" i="38"/>
  <c r="BG601" i="38"/>
  <c r="BH601" i="38"/>
  <c r="AR601" i="38"/>
  <c r="AQ601" i="38"/>
  <c r="AY601" i="38"/>
  <c r="AZ601" i="38"/>
  <c r="AR1010" i="38"/>
  <c r="AQ1010" i="38"/>
  <c r="AR348" i="38"/>
  <c r="AQ348" i="38"/>
  <c r="A1012" i="38"/>
  <c r="A350" i="38"/>
  <c r="A603" i="38"/>
  <c r="AX1011" i="38"/>
  <c r="AP1011" i="38"/>
  <c r="BF349" i="38"/>
  <c r="BF1011" i="38"/>
  <c r="AP602" i="38"/>
  <c r="AP349" i="38"/>
  <c r="BF602" i="38"/>
  <c r="AX602" i="38"/>
  <c r="AX349" i="38"/>
  <c r="AZ349" i="38" l="1"/>
  <c r="AY349" i="38"/>
  <c r="AR602" i="38"/>
  <c r="AQ602" i="38"/>
  <c r="AQ1011" i="38"/>
  <c r="AR1011" i="38"/>
  <c r="BH602" i="38"/>
  <c r="BG602" i="38"/>
  <c r="BG1011" i="38"/>
  <c r="BH1011" i="38"/>
  <c r="AY602" i="38"/>
  <c r="AZ602" i="38"/>
  <c r="AZ1011" i="38"/>
  <c r="AY1011" i="38"/>
  <c r="BG349" i="38"/>
  <c r="BH349" i="38"/>
  <c r="AR349" i="38"/>
  <c r="AQ349" i="38"/>
  <c r="A351" i="38"/>
  <c r="A352" i="38" s="1"/>
  <c r="A353" i="38" s="1"/>
  <c r="A604" i="38"/>
  <c r="A1013" i="38"/>
  <c r="AX603" i="38"/>
  <c r="BF603" i="38"/>
  <c r="BF1012" i="38"/>
  <c r="BF350" i="38"/>
  <c r="AX350" i="38"/>
  <c r="AP350" i="38"/>
  <c r="AP1012" i="38"/>
  <c r="AX1012" i="38"/>
  <c r="AP603" i="38"/>
  <c r="AY603" i="38" l="1"/>
  <c r="AZ603" i="38"/>
  <c r="AR1012" i="38"/>
  <c r="AQ1012" i="38"/>
  <c r="AZ1012" i="38"/>
  <c r="AY1012" i="38"/>
  <c r="AY350" i="38"/>
  <c r="AZ350" i="38"/>
  <c r="BH350" i="38"/>
  <c r="BG350" i="38"/>
  <c r="AQ350" i="38"/>
  <c r="AR350" i="38"/>
  <c r="AR603" i="38"/>
  <c r="AQ603" i="38"/>
  <c r="BH1012" i="38"/>
  <c r="BG1012" i="38"/>
  <c r="BG603" i="38"/>
  <c r="BH603" i="38"/>
  <c r="A605" i="38"/>
  <c r="A1014" i="38"/>
  <c r="BF1013" i="38"/>
  <c r="BF604" i="38"/>
  <c r="AX604" i="38"/>
  <c r="AP604" i="38"/>
  <c r="AX1013" i="38"/>
  <c r="AP1013" i="38"/>
  <c r="BG604" i="38" l="1"/>
  <c r="BH604" i="38"/>
  <c r="AZ1013" i="38"/>
  <c r="AY1013" i="38"/>
  <c r="AR1013" i="38"/>
  <c r="AQ1013" i="38"/>
  <c r="AR604" i="38"/>
  <c r="AQ604" i="38"/>
  <c r="AZ604" i="38"/>
  <c r="AY604" i="38"/>
  <c r="BH1013" i="38"/>
  <c r="BG1013" i="38"/>
  <c r="A606" i="38"/>
  <c r="A1015" i="38"/>
  <c r="AX1014" i="38"/>
  <c r="BF1014" i="38"/>
  <c r="BF605" i="38"/>
  <c r="AP605" i="38"/>
  <c r="AX605" i="38"/>
  <c r="AP1014" i="38"/>
  <c r="AY605" i="38" l="1"/>
  <c r="AZ605" i="38"/>
  <c r="BH1014" i="38"/>
  <c r="BG1014" i="38"/>
  <c r="BH605" i="38"/>
  <c r="BG605" i="38"/>
  <c r="AZ1014" i="38"/>
  <c r="AY1014" i="38"/>
  <c r="AR605" i="38"/>
  <c r="AQ605" i="38"/>
  <c r="AR1014" i="38"/>
  <c r="AQ1014" i="38"/>
  <c r="A607" i="38"/>
  <c r="A1016" i="38"/>
  <c r="AP1015" i="38"/>
  <c r="AX606" i="38"/>
  <c r="AP606" i="38"/>
  <c r="AX1015" i="38"/>
  <c r="BF1015" i="38"/>
  <c r="BF606" i="38"/>
  <c r="BH606" i="38" l="1"/>
  <c r="BG606" i="38"/>
  <c r="AZ606" i="38"/>
  <c r="AY606" i="38"/>
  <c r="AQ606" i="38"/>
  <c r="AR606" i="38"/>
  <c r="AR1015" i="38"/>
  <c r="AQ1015" i="38"/>
  <c r="BH1015" i="38"/>
  <c r="BG1015" i="38"/>
  <c r="AZ1015" i="38"/>
  <c r="AY1015" i="38"/>
  <c r="A608" i="38"/>
  <c r="A1017" i="38"/>
  <c r="AP1016" i="38"/>
  <c r="AX1016" i="38"/>
  <c r="BF607" i="38"/>
  <c r="AP607" i="38"/>
  <c r="AX607" i="38"/>
  <c r="BF1016" i="38"/>
  <c r="AQ607" i="38" l="1"/>
  <c r="AR607" i="38"/>
  <c r="AY607" i="38"/>
  <c r="AZ607" i="38"/>
  <c r="AR1016" i="38"/>
  <c r="AQ1016" i="38"/>
  <c r="AY1016" i="38"/>
  <c r="AZ1016" i="38"/>
  <c r="BH607" i="38"/>
  <c r="BG607" i="38"/>
  <c r="BH1016" i="38"/>
  <c r="BG1016" i="38"/>
  <c r="A609" i="38"/>
  <c r="A1018" i="38"/>
  <c r="AX608" i="38"/>
  <c r="BF608" i="38"/>
  <c r="AP1017" i="38"/>
  <c r="AP608" i="38"/>
  <c r="AX1017" i="38"/>
  <c r="BF1017" i="38"/>
  <c r="AR1017" i="38" l="1"/>
  <c r="AQ1017" i="38"/>
  <c r="AR608" i="38"/>
  <c r="AQ608" i="38"/>
  <c r="BH608" i="38"/>
  <c r="BG608" i="38"/>
  <c r="AZ1017" i="38"/>
  <c r="AY1017" i="38"/>
  <c r="AZ608" i="38"/>
  <c r="AY608" i="38"/>
  <c r="BH1017" i="38"/>
  <c r="BG1017" i="38"/>
  <c r="A610" i="38"/>
  <c r="A1019" i="38"/>
  <c r="BF1018" i="38"/>
  <c r="AX609" i="38"/>
  <c r="BF609" i="38"/>
  <c r="AP609" i="38"/>
  <c r="AX1018" i="38"/>
  <c r="AP1018" i="38"/>
  <c r="BG609" i="38" l="1"/>
  <c r="BH609" i="38"/>
  <c r="AR609" i="38"/>
  <c r="AQ609" i="38"/>
  <c r="AZ609" i="38"/>
  <c r="AY609" i="38"/>
  <c r="AR1018" i="38"/>
  <c r="AQ1018" i="38"/>
  <c r="AZ1018" i="38"/>
  <c r="AY1018" i="38"/>
  <c r="BG1018" i="38"/>
  <c r="BH1018" i="38"/>
  <c r="A611" i="38"/>
  <c r="A1020" i="38"/>
  <c r="AX1019" i="38"/>
  <c r="AX610" i="38"/>
  <c r="AP610" i="38"/>
  <c r="BF1019" i="38"/>
  <c r="BF610" i="38"/>
  <c r="AP1019" i="38"/>
  <c r="BG610" i="38" l="1"/>
  <c r="BH610" i="38"/>
  <c r="AQ610" i="38"/>
  <c r="AR610" i="38"/>
  <c r="AR1019" i="38"/>
  <c r="AQ1019" i="38"/>
  <c r="AZ1019" i="38"/>
  <c r="AY1019" i="38"/>
  <c r="AZ610" i="38"/>
  <c r="AY610" i="38"/>
  <c r="BG1019" i="38"/>
  <c r="BH1019" i="38"/>
  <c r="A612" i="38"/>
  <c r="A1021" i="38"/>
  <c r="BF1020" i="38"/>
  <c r="AP611" i="38"/>
  <c r="AX611" i="38"/>
  <c r="AP1020" i="38"/>
  <c r="BF611" i="38"/>
  <c r="AX1020" i="38"/>
  <c r="AY611" i="38" l="1"/>
  <c r="AZ611" i="38"/>
  <c r="BH611" i="38"/>
  <c r="BG611" i="38"/>
  <c r="AR1020" i="38"/>
  <c r="AQ1020" i="38"/>
  <c r="AY1020" i="38"/>
  <c r="AZ1020" i="38"/>
  <c r="AQ611" i="38"/>
  <c r="AR611" i="38"/>
  <c r="BH1020" i="38"/>
  <c r="BG1020" i="38"/>
  <c r="A613" i="38"/>
  <c r="A1022" i="38"/>
  <c r="AP1021" i="38"/>
  <c r="BF1021" i="38"/>
  <c r="AX612" i="38"/>
  <c r="AX1021" i="38"/>
  <c r="AP612" i="38"/>
  <c r="BF612" i="38"/>
  <c r="BH612" i="38" l="1"/>
  <c r="BG612" i="38"/>
  <c r="BH1021" i="38"/>
  <c r="BG1021" i="38"/>
  <c r="AZ612" i="38"/>
  <c r="AY612" i="38"/>
  <c r="AZ1021" i="38"/>
  <c r="AY1021" i="38"/>
  <c r="AQ612" i="38"/>
  <c r="AR612" i="38"/>
  <c r="AQ1021" i="38"/>
  <c r="AR1021" i="38"/>
  <c r="A614" i="38"/>
  <c r="A1023" i="38"/>
  <c r="BF1022" i="38"/>
  <c r="AP613" i="38"/>
  <c r="AP1022" i="38"/>
  <c r="AX613" i="38"/>
  <c r="AX1022" i="38"/>
  <c r="BF613" i="38"/>
  <c r="AZ613" i="38" l="1"/>
  <c r="AY613" i="38"/>
  <c r="BG613" i="38"/>
  <c r="BH613" i="38"/>
  <c r="AR1022" i="38"/>
  <c r="AQ1022" i="38"/>
  <c r="AY1022" i="38"/>
  <c r="AZ1022" i="38"/>
  <c r="AQ613" i="38"/>
  <c r="AR613" i="38"/>
  <c r="BH1022" i="38"/>
  <c r="BG1022" i="38"/>
  <c r="A615" i="38"/>
  <c r="A1024" i="38"/>
  <c r="BF614" i="38"/>
  <c r="AP1023" i="38"/>
  <c r="AX614" i="38"/>
  <c r="BF1023" i="38"/>
  <c r="AX1023" i="38"/>
  <c r="AP614" i="38"/>
  <c r="AZ614" i="38" l="1"/>
  <c r="AY614" i="38"/>
  <c r="BH614" i="38"/>
  <c r="BG614" i="38"/>
  <c r="BH1023" i="38"/>
  <c r="BG1023" i="38"/>
  <c r="AQ614" i="38"/>
  <c r="AR614" i="38"/>
  <c r="AZ1023" i="38"/>
  <c r="AY1023" i="38"/>
  <c r="AQ1023" i="38"/>
  <c r="AR1023" i="38"/>
  <c r="A616" i="38"/>
  <c r="A1025" i="38"/>
  <c r="BF615" i="38"/>
  <c r="AP1024" i="38"/>
  <c r="AX1024" i="38"/>
  <c r="BF1024" i="38"/>
  <c r="AX615" i="38"/>
  <c r="AP615" i="38"/>
  <c r="AR615" i="38" l="1"/>
  <c r="AQ615" i="38"/>
  <c r="AR1024" i="38"/>
  <c r="AQ1024" i="38"/>
  <c r="AZ615" i="38"/>
  <c r="AY615" i="38"/>
  <c r="BH1024" i="38"/>
  <c r="BG1024" i="38"/>
  <c r="BH615" i="38"/>
  <c r="BG615" i="38"/>
  <c r="AY1024" i="38"/>
  <c r="AZ1024" i="38"/>
  <c r="A617" i="38"/>
  <c r="A1026" i="38"/>
  <c r="AP616" i="38"/>
  <c r="AP1025" i="38"/>
  <c r="BF616" i="38"/>
  <c r="AX1025" i="38"/>
  <c r="AX616" i="38"/>
  <c r="BF1025" i="38"/>
  <c r="AQ616" i="38" l="1"/>
  <c r="AR616" i="38"/>
  <c r="AZ616" i="38"/>
  <c r="AY616" i="38"/>
  <c r="AQ1025" i="38"/>
  <c r="AR1025" i="38"/>
  <c r="AZ1025" i="38"/>
  <c r="AY1025" i="38"/>
  <c r="BH616" i="38"/>
  <c r="BG616" i="38"/>
  <c r="BH1025" i="38"/>
  <c r="BG1025" i="38"/>
  <c r="A618" i="38"/>
  <c r="A1027" i="38"/>
  <c r="BF1026" i="38"/>
  <c r="AP617" i="38"/>
  <c r="AX617" i="38"/>
  <c r="AX1026" i="38"/>
  <c r="AP1026" i="38"/>
  <c r="BF617" i="38"/>
  <c r="AR617" i="38" l="1"/>
  <c r="AQ617" i="38"/>
  <c r="AQ1026" i="38"/>
  <c r="AR1026" i="38"/>
  <c r="AZ617" i="38"/>
  <c r="AY617" i="38"/>
  <c r="BH1026" i="38"/>
  <c r="BG1026" i="38"/>
  <c r="BG617" i="38"/>
  <c r="BH617" i="38"/>
  <c r="AY1026" i="38"/>
  <c r="AZ1026" i="38"/>
  <c r="A619" i="38"/>
  <c r="A1028" i="38"/>
  <c r="A1029" i="38" s="1"/>
  <c r="A1030" i="38" s="1"/>
  <c r="AX618" i="38"/>
  <c r="BF618" i="38"/>
  <c r="AX1027" i="38"/>
  <c r="AP618" i="38"/>
  <c r="AP1027" i="38"/>
  <c r="BF1027" i="38"/>
  <c r="AY618" i="38" l="1"/>
  <c r="AZ618" i="38"/>
  <c r="AR618" i="38"/>
  <c r="AQ618" i="38"/>
  <c r="AR1027" i="38"/>
  <c r="AQ1027" i="38"/>
  <c r="BH618" i="38"/>
  <c r="BG618" i="38"/>
  <c r="BH1027" i="38"/>
  <c r="BG1027" i="38"/>
  <c r="AZ1027" i="38"/>
  <c r="AY1027" i="38"/>
  <c r="A620" i="38"/>
  <c r="A1031" i="38"/>
  <c r="AX1030" i="38"/>
  <c r="AX619" i="38"/>
  <c r="AP1030" i="38"/>
  <c r="BF619" i="38"/>
  <c r="AP619" i="38"/>
  <c r="BF1030" i="38"/>
  <c r="BG619" i="38" l="1"/>
  <c r="BH619" i="38"/>
  <c r="AQ619" i="38"/>
  <c r="AR619" i="38"/>
  <c r="BH1030" i="38"/>
  <c r="BG1030" i="38"/>
  <c r="AY619" i="38"/>
  <c r="AZ619" i="38"/>
  <c r="AZ1030" i="38"/>
  <c r="AY1030" i="38"/>
  <c r="AR1030" i="38"/>
  <c r="AQ1030" i="38"/>
  <c r="A621" i="38"/>
  <c r="A1032" i="38"/>
  <c r="BF1031" i="38"/>
  <c r="AX1031" i="38"/>
  <c r="AP620" i="38"/>
  <c r="AX620" i="38"/>
  <c r="AP1031" i="38"/>
  <c r="BF620" i="38"/>
  <c r="AZ620" i="38" l="1"/>
  <c r="AY620" i="38"/>
  <c r="BH620" i="38"/>
  <c r="BG620" i="38"/>
  <c r="AR1031" i="38"/>
  <c r="AQ1031" i="38"/>
  <c r="BH1031" i="38"/>
  <c r="BG1031" i="38"/>
  <c r="AQ620" i="38"/>
  <c r="AR620" i="38"/>
  <c r="AZ1031" i="38"/>
  <c r="AY1031" i="38"/>
  <c r="A622" i="38"/>
  <c r="A1033" i="38"/>
  <c r="AP1032" i="38"/>
  <c r="AP621" i="38"/>
  <c r="AX621" i="38"/>
  <c r="AX1032" i="38"/>
  <c r="BF621" i="38"/>
  <c r="BF1032" i="38"/>
  <c r="AZ621" i="38" l="1"/>
  <c r="AY621" i="38"/>
  <c r="AR1032" i="38"/>
  <c r="AQ1032" i="38"/>
  <c r="BG621" i="38"/>
  <c r="BH621" i="38"/>
  <c r="AQ621" i="38"/>
  <c r="AR621" i="38"/>
  <c r="AY1032" i="38"/>
  <c r="AZ1032" i="38"/>
  <c r="BH1032" i="38"/>
  <c r="BG1032" i="38"/>
  <c r="A623" i="38"/>
  <c r="A1034" i="38"/>
  <c r="AX622" i="38"/>
  <c r="AP1033" i="38"/>
  <c r="AX1033" i="38"/>
  <c r="BF1033" i="38"/>
  <c r="AP622" i="38"/>
  <c r="BF622" i="38"/>
  <c r="BH622" i="38" l="1"/>
  <c r="BG622" i="38"/>
  <c r="AR622" i="38"/>
  <c r="AQ622" i="38"/>
  <c r="AR1033" i="38"/>
  <c r="AQ1033" i="38"/>
  <c r="AY1033" i="38"/>
  <c r="AZ1033" i="38"/>
  <c r="AZ622" i="38"/>
  <c r="AY622" i="38"/>
  <c r="BH1033" i="38"/>
  <c r="BG1033" i="38"/>
  <c r="A624" i="38"/>
  <c r="A1035" i="38"/>
  <c r="AX623" i="38"/>
  <c r="BF1034" i="38"/>
  <c r="AP1034" i="38"/>
  <c r="AP623" i="38"/>
  <c r="AX1034" i="38"/>
  <c r="BF623" i="38"/>
  <c r="AZ623" i="38" l="1"/>
  <c r="AY623" i="38"/>
  <c r="AQ623" i="38"/>
  <c r="AR623" i="38"/>
  <c r="AQ1034" i="38"/>
  <c r="AR1034" i="38"/>
  <c r="AZ1034" i="38"/>
  <c r="AY1034" i="38"/>
  <c r="BH623" i="38"/>
  <c r="BG623" i="38"/>
  <c r="BH1034" i="38"/>
  <c r="BG1034" i="38"/>
  <c r="A625" i="38"/>
  <c r="A1036" i="38"/>
  <c r="AX624" i="38"/>
  <c r="AX1035" i="38"/>
  <c r="BF624" i="38"/>
  <c r="AP624" i="38"/>
  <c r="AP1035" i="38"/>
  <c r="BF1035" i="38"/>
  <c r="AR1035" i="38" l="1"/>
  <c r="AQ1035" i="38"/>
  <c r="AR624" i="38"/>
  <c r="AQ624" i="38"/>
  <c r="AZ624" i="38"/>
  <c r="AY624" i="38"/>
  <c r="BH1035" i="38"/>
  <c r="BG1035" i="38"/>
  <c r="BG624" i="38"/>
  <c r="BH624" i="38"/>
  <c r="AZ1035" i="38"/>
  <c r="AY1035" i="38"/>
  <c r="A626" i="38"/>
  <c r="A1037" i="38"/>
  <c r="AX1036" i="38"/>
  <c r="AX625" i="38"/>
  <c r="BF1036" i="38"/>
  <c r="AP625" i="38"/>
  <c r="BF625" i="38"/>
  <c r="AP1036" i="38"/>
  <c r="AR1036" i="38" l="1"/>
  <c r="AQ1036" i="38"/>
  <c r="BH625" i="38"/>
  <c r="BG625" i="38"/>
  <c r="AZ625" i="38"/>
  <c r="AY625" i="38"/>
  <c r="AZ1036" i="38"/>
  <c r="AY1036" i="38"/>
  <c r="AR625" i="38"/>
  <c r="AQ625" i="38"/>
  <c r="BH1036" i="38"/>
  <c r="BG1036" i="38"/>
  <c r="A627" i="38"/>
  <c r="A1038" i="38"/>
  <c r="AX1037" i="38"/>
  <c r="BF626" i="38"/>
  <c r="AP626" i="38"/>
  <c r="BF1037" i="38"/>
  <c r="AX626" i="38"/>
  <c r="AP1037" i="38"/>
  <c r="BH626" i="38" l="1"/>
  <c r="BG626" i="38"/>
  <c r="AR626" i="38"/>
  <c r="AQ626" i="38"/>
  <c r="BH1037" i="38"/>
  <c r="BG1037" i="38"/>
  <c r="AR1037" i="38"/>
  <c r="AQ1037" i="38"/>
  <c r="AY626" i="38"/>
  <c r="AZ626" i="38"/>
  <c r="AZ1037" i="38"/>
  <c r="AY1037" i="38"/>
  <c r="A628" i="38"/>
  <c r="A1039" i="38"/>
  <c r="BF1038" i="38"/>
  <c r="BF627" i="38"/>
  <c r="AP1038" i="38"/>
  <c r="AP627" i="38"/>
  <c r="AX1038" i="38"/>
  <c r="AX627" i="38"/>
  <c r="BH627" i="38" l="1"/>
  <c r="BG627" i="38"/>
  <c r="AR627" i="38"/>
  <c r="AQ627" i="38"/>
  <c r="AR1038" i="38"/>
  <c r="AQ1038" i="38"/>
  <c r="AZ1038" i="38"/>
  <c r="AY1038" i="38"/>
  <c r="AZ627" i="38"/>
  <c r="AY627" i="38"/>
  <c r="BH1038" i="38"/>
  <c r="BG1038" i="38"/>
  <c r="A629" i="38"/>
  <c r="A1040" i="38"/>
  <c r="BF1039" i="38"/>
  <c r="AP628" i="38"/>
  <c r="AX1039" i="38"/>
  <c r="AX628" i="38"/>
  <c r="AP1039" i="38"/>
  <c r="BF628" i="38"/>
  <c r="BG628" i="38" l="1"/>
  <c r="BH628" i="38"/>
  <c r="AZ628" i="38"/>
  <c r="AY628" i="38"/>
  <c r="AR1039" i="38"/>
  <c r="AQ1039" i="38"/>
  <c r="AZ1039" i="38"/>
  <c r="AY1039" i="38"/>
  <c r="AR628" i="38"/>
  <c r="AQ628" i="38"/>
  <c r="BH1039" i="38"/>
  <c r="BG1039" i="38"/>
  <c r="A630" i="38"/>
  <c r="A631" i="38" s="1"/>
  <c r="A632" i="38" s="1"/>
  <c r="A1041" i="38"/>
  <c r="AX629" i="38"/>
  <c r="BF629" i="38"/>
  <c r="AX1040" i="38"/>
  <c r="AP629" i="38"/>
  <c r="AP1040" i="38"/>
  <c r="BF1040" i="38"/>
  <c r="AY629" i="38" l="1"/>
  <c r="AZ629" i="38"/>
  <c r="BG629" i="38"/>
  <c r="BH629" i="38"/>
  <c r="AR1040" i="38"/>
  <c r="AQ1040" i="38"/>
  <c r="AR629" i="38"/>
  <c r="AQ629" i="38"/>
  <c r="AZ1040" i="38"/>
  <c r="AY1040" i="38"/>
  <c r="BH1040" i="38"/>
  <c r="BG1040" i="38"/>
  <c r="A633" i="38"/>
  <c r="A1042" i="38"/>
  <c r="AP1041" i="38"/>
  <c r="BF1041" i="38"/>
  <c r="AX632" i="38"/>
  <c r="AX1041" i="38"/>
  <c r="AP632" i="38"/>
  <c r="BF632" i="38"/>
  <c r="BH632" i="38" l="1"/>
  <c r="BG632" i="38"/>
  <c r="AR632" i="38"/>
  <c r="AQ632" i="38"/>
  <c r="AR1041" i="38"/>
  <c r="AQ1041" i="38"/>
  <c r="AY1041" i="38"/>
  <c r="AZ1041" i="38"/>
  <c r="AZ632" i="38"/>
  <c r="AY632" i="38"/>
  <c r="BG1041" i="38"/>
  <c r="BH1041" i="38"/>
  <c r="A634" i="38"/>
  <c r="A1043" i="38"/>
  <c r="BF1042" i="38"/>
  <c r="AP633" i="38"/>
  <c r="BF633" i="38"/>
  <c r="AP1042" i="38"/>
  <c r="AX633" i="38"/>
  <c r="AX1042" i="38"/>
  <c r="AZ633" i="38" l="1"/>
  <c r="AY633" i="38"/>
  <c r="AR1042" i="38"/>
  <c r="AQ1042" i="38"/>
  <c r="AR633" i="38"/>
  <c r="AQ633" i="38"/>
  <c r="AZ1042" i="38"/>
  <c r="AY1042" i="38"/>
  <c r="BG633" i="38"/>
  <c r="BH633" i="38"/>
  <c r="BH1042" i="38"/>
  <c r="BG1042" i="38"/>
  <c r="A635" i="38"/>
  <c r="A1044" i="38"/>
  <c r="AX634" i="38"/>
  <c r="BF1043" i="38"/>
  <c r="BF634" i="38"/>
  <c r="AX1043" i="38"/>
  <c r="AP634" i="38"/>
  <c r="AP1043" i="38"/>
  <c r="AR634" i="38" l="1"/>
  <c r="AQ634" i="38"/>
  <c r="AQ1043" i="38"/>
  <c r="AR1043" i="38"/>
  <c r="AY634" i="38"/>
  <c r="AZ634" i="38"/>
  <c r="AZ1043" i="38"/>
  <c r="AY1043" i="38"/>
  <c r="BH634" i="38"/>
  <c r="BG634" i="38"/>
  <c r="BH1043" i="38"/>
  <c r="BG1043" i="38"/>
  <c r="A636" i="38"/>
  <c r="A1045" i="38"/>
  <c r="AX1044" i="38"/>
  <c r="BF635" i="38"/>
  <c r="AP635" i="38"/>
  <c r="AP1044" i="38"/>
  <c r="AX635" i="38"/>
  <c r="BF1044" i="38"/>
  <c r="AQ635" i="38" l="1"/>
  <c r="AR635" i="38"/>
  <c r="AR1044" i="38"/>
  <c r="AQ1044" i="38"/>
  <c r="BH635" i="38"/>
  <c r="BG635" i="38"/>
  <c r="AZ635" i="38"/>
  <c r="AY635" i="38"/>
  <c r="BG1044" i="38"/>
  <c r="BH1044" i="38"/>
  <c r="AY1044" i="38"/>
  <c r="AZ1044" i="38"/>
  <c r="A637" i="38"/>
  <c r="A1046" i="38"/>
  <c r="AX1045" i="38"/>
  <c r="BF636" i="38"/>
  <c r="AX636" i="38"/>
  <c r="BF1045" i="38"/>
  <c r="AP1045" i="38"/>
  <c r="AP636" i="38"/>
  <c r="BH636" i="38" l="1"/>
  <c r="BG636" i="38"/>
  <c r="AR1045" i="38"/>
  <c r="AQ1045" i="38"/>
  <c r="AZ636" i="38"/>
  <c r="AY636" i="38"/>
  <c r="AY1045" i="38"/>
  <c r="AZ1045" i="38"/>
  <c r="AQ636" i="38"/>
  <c r="AR636" i="38"/>
  <c r="BH1045" i="38"/>
  <c r="BG1045" i="38"/>
  <c r="A638" i="38"/>
  <c r="A1047" i="38"/>
  <c r="AX637" i="38"/>
  <c r="AP1046" i="38"/>
  <c r="AX1046" i="38"/>
  <c r="BF637" i="38"/>
  <c r="AP637" i="38"/>
  <c r="BF1046" i="38"/>
  <c r="BG637" i="38" l="1"/>
  <c r="BH637" i="38"/>
  <c r="AY637" i="38"/>
  <c r="AZ637" i="38"/>
  <c r="BG1046" i="38"/>
  <c r="BH1046" i="38"/>
  <c r="AR637" i="38"/>
  <c r="AQ637" i="38"/>
  <c r="AQ1046" i="38"/>
  <c r="AR1046" i="38"/>
  <c r="AZ1046" i="38"/>
  <c r="AY1046" i="38"/>
  <c r="A639" i="38"/>
  <c r="A1048" i="38"/>
  <c r="AP1047" i="38"/>
  <c r="BF638" i="38"/>
  <c r="AX1047" i="38"/>
  <c r="BF1047" i="38"/>
  <c r="AX638" i="38"/>
  <c r="AP638" i="38"/>
  <c r="BH638" i="38" l="1"/>
  <c r="BG638" i="38"/>
  <c r="AR638" i="38"/>
  <c r="AQ638" i="38"/>
  <c r="AR1047" i="38"/>
  <c r="AQ1047" i="38"/>
  <c r="AZ1047" i="38"/>
  <c r="AY1047" i="38"/>
  <c r="AY638" i="38"/>
  <c r="AZ638" i="38"/>
  <c r="BG1047" i="38"/>
  <c r="BH1047" i="38"/>
  <c r="A640" i="38"/>
  <c r="A1049" i="38"/>
  <c r="BF1048" i="38"/>
  <c r="AP1048" i="38"/>
  <c r="AX639" i="38"/>
  <c r="AP639" i="38"/>
  <c r="AX1048" i="38"/>
  <c r="BF639" i="38"/>
  <c r="AR1048" i="38" l="1"/>
  <c r="AQ1048" i="38"/>
  <c r="AY639" i="38"/>
  <c r="AZ639" i="38"/>
  <c r="BH639" i="38"/>
  <c r="BG639" i="38"/>
  <c r="AZ1048" i="38"/>
  <c r="AY1048" i="38"/>
  <c r="AQ639" i="38"/>
  <c r="AR639" i="38"/>
  <c r="BG1048" i="38"/>
  <c r="BH1048" i="38"/>
  <c r="A641" i="38"/>
  <c r="A1050" i="38"/>
  <c r="AP1049" i="38"/>
  <c r="AX1049" i="38"/>
  <c r="BF640" i="38"/>
  <c r="AX640" i="38"/>
  <c r="AP640" i="38"/>
  <c r="BF1049" i="38"/>
  <c r="BG640" i="38" l="1"/>
  <c r="BH640" i="38"/>
  <c r="AQ1049" i="38"/>
  <c r="AR1049" i="38"/>
  <c r="AR640" i="38"/>
  <c r="AQ640" i="38"/>
  <c r="AZ1049" i="38"/>
  <c r="AY1049" i="38"/>
  <c r="AZ640" i="38"/>
  <c r="AY640" i="38"/>
  <c r="BH1049" i="38"/>
  <c r="BG1049" i="38"/>
  <c r="A642" i="38"/>
  <c r="A1051" i="38"/>
  <c r="BF641" i="38"/>
  <c r="AX1050" i="38"/>
  <c r="AP1050" i="38"/>
  <c r="AX641" i="38"/>
  <c r="BF1050" i="38"/>
  <c r="AP641" i="38"/>
  <c r="AQ1050" i="38" l="1"/>
  <c r="AR1050" i="38"/>
  <c r="AZ641" i="38"/>
  <c r="AY641" i="38"/>
  <c r="BG641" i="38"/>
  <c r="BH641" i="38"/>
  <c r="AY1050" i="38"/>
  <c r="AZ1050" i="38"/>
  <c r="AR641" i="38"/>
  <c r="AQ641" i="38"/>
  <c r="BH1050" i="38"/>
  <c r="BG1050" i="38"/>
  <c r="A643" i="38"/>
  <c r="A1052" i="38"/>
  <c r="BF642" i="38"/>
  <c r="AX1051" i="38"/>
  <c r="BF1051" i="38"/>
  <c r="AX642" i="38"/>
  <c r="AP642" i="38"/>
  <c r="AP1051" i="38"/>
  <c r="AR642" i="38" l="1"/>
  <c r="AQ642" i="38"/>
  <c r="BH642" i="38"/>
  <c r="BG642" i="38"/>
  <c r="AY642" i="38"/>
  <c r="AZ642" i="38"/>
  <c r="AR1051" i="38"/>
  <c r="AQ1051" i="38"/>
  <c r="BH1051" i="38"/>
  <c r="BG1051" i="38"/>
  <c r="AZ1051" i="38"/>
  <c r="AY1051" i="38"/>
  <c r="A644" i="38"/>
  <c r="A1053" i="38"/>
  <c r="AP1052" i="38"/>
  <c r="BF1052" i="38"/>
  <c r="AP643" i="38"/>
  <c r="AX1052" i="38"/>
  <c r="BF643" i="38"/>
  <c r="AX643" i="38"/>
  <c r="BH643" i="38" l="1"/>
  <c r="BG643" i="38"/>
  <c r="AQ643" i="38"/>
  <c r="AR643" i="38"/>
  <c r="BH1052" i="38"/>
  <c r="BG1052" i="38"/>
  <c r="AZ643" i="38"/>
  <c r="AY643" i="38"/>
  <c r="AR1052" i="38"/>
  <c r="AQ1052" i="38"/>
  <c r="AZ1052" i="38"/>
  <c r="AY1052" i="38"/>
  <c r="A645" i="38"/>
  <c r="A1054" i="38"/>
  <c r="AP1053" i="38"/>
  <c r="AX1053" i="38"/>
  <c r="BF1053" i="38"/>
  <c r="AP644" i="38"/>
  <c r="BF644" i="38"/>
  <c r="AX644" i="38"/>
  <c r="AZ644" i="38" l="1"/>
  <c r="AY644" i="38"/>
  <c r="BH644" i="38"/>
  <c r="BG644" i="38"/>
  <c r="AR644" i="38"/>
  <c r="AQ644" i="38"/>
  <c r="AR1053" i="38"/>
  <c r="AQ1053" i="38"/>
  <c r="AY1053" i="38"/>
  <c r="AZ1053" i="38"/>
  <c r="BH1053" i="38"/>
  <c r="BG1053" i="38"/>
  <c r="A646" i="38"/>
  <c r="A1055" i="38"/>
  <c r="BF645" i="38"/>
  <c r="AX645" i="38"/>
  <c r="AP645" i="38"/>
  <c r="AX1054" i="38"/>
  <c r="AP1054" i="38"/>
  <c r="BF1054" i="38"/>
  <c r="BG645" i="38" l="1"/>
  <c r="BH645" i="38"/>
  <c r="AR1054" i="38"/>
  <c r="AQ1054" i="38"/>
  <c r="BG1054" i="38"/>
  <c r="BH1054" i="38"/>
  <c r="AZ645" i="38"/>
  <c r="AY645" i="38"/>
  <c r="AR645" i="38"/>
  <c r="AQ645" i="38"/>
  <c r="AZ1054" i="38"/>
  <c r="AY1054" i="38"/>
  <c r="A647" i="38"/>
  <c r="A1056" i="38"/>
  <c r="BF1055" i="38"/>
  <c r="BF646" i="38"/>
  <c r="AP646" i="38"/>
  <c r="AX1055" i="38"/>
  <c r="AP1055" i="38"/>
  <c r="AX646" i="38"/>
  <c r="AR646" i="38" l="1"/>
  <c r="AQ646" i="38"/>
  <c r="BH646" i="38"/>
  <c r="BG646" i="38"/>
  <c r="AZ646" i="38"/>
  <c r="AY646" i="38"/>
  <c r="AZ1055" i="38"/>
  <c r="AY1055" i="38"/>
  <c r="AR1055" i="38"/>
  <c r="AQ1055" i="38"/>
  <c r="BH1055" i="38"/>
  <c r="BG1055" i="38"/>
  <c r="A648" i="38"/>
  <c r="A1057" i="38"/>
  <c r="AP647" i="38"/>
  <c r="AX647" i="38"/>
  <c r="BF1056" i="38"/>
  <c r="BF647" i="38"/>
  <c r="AX1056" i="38"/>
  <c r="AP1056" i="38"/>
  <c r="AQ647" i="38" l="1"/>
  <c r="AR647" i="38"/>
  <c r="AZ647" i="38"/>
  <c r="AY647" i="38"/>
  <c r="BH647" i="38"/>
  <c r="BG647" i="38"/>
  <c r="AQ1056" i="38"/>
  <c r="AR1056" i="38"/>
  <c r="BH1056" i="38"/>
  <c r="BG1056" i="38"/>
  <c r="AZ1056" i="38"/>
  <c r="AY1056" i="38"/>
  <c r="A649" i="38"/>
  <c r="A1058" i="38"/>
  <c r="A1059" i="38" s="1"/>
  <c r="A1060" i="38" s="1"/>
  <c r="A1061" i="38" s="1"/>
  <c r="A1062" i="38" s="1"/>
  <c r="AP648" i="38"/>
  <c r="AX1057" i="38"/>
  <c r="AP1057" i="38"/>
  <c r="BF1057" i="38"/>
  <c r="BF648" i="38"/>
  <c r="AX648" i="38"/>
  <c r="AZ648" i="38" l="1"/>
  <c r="AY648" i="38"/>
  <c r="AR648" i="38"/>
  <c r="AQ648" i="38"/>
  <c r="AR1057" i="38"/>
  <c r="AQ1057" i="38"/>
  <c r="BH1057" i="38"/>
  <c r="BG1057" i="38"/>
  <c r="BH648" i="38"/>
  <c r="BG648" i="38"/>
  <c r="AY1057" i="38"/>
  <c r="AZ1057" i="38"/>
  <c r="A650" i="38"/>
  <c r="A1063" i="38"/>
  <c r="BF1062" i="38"/>
  <c r="AP1062" i="38"/>
  <c r="BF649" i="38"/>
  <c r="AX649" i="38"/>
  <c r="AP649" i="38"/>
  <c r="AX1062" i="38"/>
  <c r="BH649" i="38" l="1"/>
  <c r="BG649" i="38"/>
  <c r="AR1062" i="38"/>
  <c r="AQ1062" i="38"/>
  <c r="AR649" i="38"/>
  <c r="AQ649" i="38"/>
  <c r="BH1062" i="38"/>
  <c r="BG1062" i="38"/>
  <c r="AZ649" i="38"/>
  <c r="AY649" i="38"/>
  <c r="AZ1062" i="38"/>
  <c r="AY1062" i="38"/>
  <c r="A651" i="38"/>
  <c r="A1064" i="38"/>
  <c r="AX650" i="38"/>
  <c r="BF1063" i="38"/>
  <c r="BF650" i="38"/>
  <c r="AP1063" i="38"/>
  <c r="AP650" i="38"/>
  <c r="AX1063" i="38"/>
  <c r="BH650" i="38" l="1"/>
  <c r="BG650" i="38"/>
  <c r="AR650" i="38"/>
  <c r="AQ650" i="38"/>
  <c r="BH1063" i="38"/>
  <c r="BG1063" i="38"/>
  <c r="AY1063" i="38"/>
  <c r="AZ1063" i="38"/>
  <c r="AY650" i="38"/>
  <c r="AZ650" i="38"/>
  <c r="AR1063" i="38"/>
  <c r="AQ1063" i="38"/>
  <c r="A652" i="38"/>
  <c r="A1065" i="38"/>
  <c r="AX651" i="38"/>
  <c r="AP1064" i="38"/>
  <c r="BF651" i="38"/>
  <c r="AX1064" i="38"/>
  <c r="BF1064" i="38"/>
  <c r="AP651" i="38"/>
  <c r="BG651" i="38" l="1"/>
  <c r="BH651" i="38"/>
  <c r="AQ651" i="38"/>
  <c r="AR651" i="38"/>
  <c r="AR1064" i="38"/>
  <c r="AQ1064" i="38"/>
  <c r="AZ651" i="38"/>
  <c r="AY651" i="38"/>
  <c r="BG1064" i="38"/>
  <c r="BH1064" i="38"/>
  <c r="AZ1064" i="38"/>
  <c r="AY1064" i="38"/>
  <c r="A653" i="38"/>
  <c r="A1066" i="38"/>
  <c r="BF652" i="38"/>
  <c r="BF1065" i="38"/>
  <c r="AX652" i="38"/>
  <c r="AP1065" i="38"/>
  <c r="AP652" i="38"/>
  <c r="AX1065" i="38"/>
  <c r="AR652" i="38" l="1"/>
  <c r="AQ652" i="38"/>
  <c r="AY652" i="38"/>
  <c r="AZ652" i="38"/>
  <c r="AR1065" i="38"/>
  <c r="AQ1065" i="38"/>
  <c r="AY1065" i="38"/>
  <c r="AZ1065" i="38"/>
  <c r="BH652" i="38"/>
  <c r="BG652" i="38"/>
  <c r="BH1065" i="38"/>
  <c r="BG1065" i="38"/>
  <c r="A654" i="38"/>
  <c r="A1067" i="38"/>
  <c r="AP1066" i="38"/>
  <c r="BF1066" i="38"/>
  <c r="BF653" i="38"/>
  <c r="AX653" i="38"/>
  <c r="AX1066" i="38"/>
  <c r="AP653" i="38"/>
  <c r="AY653" i="38" l="1"/>
  <c r="AZ653" i="38"/>
  <c r="BG653" i="38"/>
  <c r="BH653" i="38"/>
  <c r="AQ1066" i="38"/>
  <c r="AR1066" i="38"/>
  <c r="AR653" i="38"/>
  <c r="AQ653" i="38"/>
  <c r="AZ1066" i="38"/>
  <c r="AY1066" i="38"/>
  <c r="BG1066" i="38"/>
  <c r="BH1066" i="38"/>
  <c r="A655" i="38"/>
  <c r="A1068" i="38"/>
  <c r="AP1067" i="38"/>
  <c r="AP654" i="38"/>
  <c r="AX1067" i="38"/>
  <c r="BF654" i="38"/>
  <c r="AX654" i="38"/>
  <c r="BF1067" i="38"/>
  <c r="AR1067" i="38" l="1"/>
  <c r="AQ1067" i="38"/>
  <c r="BH654" i="38"/>
  <c r="BG654" i="38"/>
  <c r="BH1067" i="38"/>
  <c r="BG1067" i="38"/>
  <c r="AR654" i="38"/>
  <c r="AQ654" i="38"/>
  <c r="AZ1067" i="38"/>
  <c r="AY1067" i="38"/>
  <c r="AY654" i="38"/>
  <c r="AZ654" i="38"/>
  <c r="A656" i="38"/>
  <c r="A1069" i="38"/>
  <c r="AX655" i="38"/>
  <c r="BF655" i="38"/>
  <c r="AP655" i="38"/>
  <c r="BF1068" i="38"/>
  <c r="AP1068" i="38"/>
  <c r="AX1068" i="38"/>
  <c r="BG655" i="38" l="1"/>
  <c r="BH655" i="38"/>
  <c r="AR655" i="38"/>
  <c r="AQ655" i="38"/>
  <c r="AZ655" i="38"/>
  <c r="AY655" i="38"/>
  <c r="AR1068" i="38"/>
  <c r="AQ1068" i="38"/>
  <c r="AY1068" i="38"/>
  <c r="AZ1068" i="38"/>
  <c r="BG1068" i="38"/>
  <c r="BH1068" i="38"/>
  <c r="A657" i="38"/>
  <c r="A1070" i="38"/>
  <c r="BF656" i="38"/>
  <c r="BF1069" i="38"/>
  <c r="AX1069" i="38"/>
  <c r="AP1069" i="38"/>
  <c r="AX656" i="38"/>
  <c r="AP656" i="38"/>
  <c r="BH656" i="38" l="1"/>
  <c r="BG656" i="38"/>
  <c r="AR1069" i="38"/>
  <c r="AQ1069" i="38"/>
  <c r="BH1069" i="38"/>
  <c r="BG1069" i="38"/>
  <c r="AR656" i="38"/>
  <c r="AQ656" i="38"/>
  <c r="AZ656" i="38"/>
  <c r="AY656" i="38"/>
  <c r="AZ1069" i="38"/>
  <c r="AY1069" i="38"/>
  <c r="A658" i="38"/>
  <c r="A1071" i="38"/>
  <c r="BF1070" i="38"/>
  <c r="AP1070" i="38"/>
  <c r="AP657" i="38"/>
  <c r="BF657" i="38"/>
  <c r="AX1070" i="38"/>
  <c r="AX657" i="38"/>
  <c r="AR657" i="38" l="1"/>
  <c r="AQ657" i="38"/>
  <c r="BH657" i="38"/>
  <c r="BG657" i="38"/>
  <c r="BH1070" i="38"/>
  <c r="BG1070" i="38"/>
  <c r="AY657" i="38"/>
  <c r="AZ657" i="38"/>
  <c r="AY1070" i="38"/>
  <c r="AZ1070" i="38"/>
  <c r="AR1070" i="38"/>
  <c r="AQ1070" i="38"/>
  <c r="A659" i="38"/>
  <c r="A1072" i="38"/>
  <c r="AX658" i="38"/>
  <c r="AX1071" i="38"/>
  <c r="BF1071" i="38"/>
  <c r="AP658" i="38"/>
  <c r="BF658" i="38"/>
  <c r="AP1071" i="38"/>
  <c r="AY658" i="38" l="1"/>
  <c r="AZ658" i="38"/>
  <c r="BH658" i="38"/>
  <c r="BG658" i="38"/>
  <c r="AR1071" i="38"/>
  <c r="AQ1071" i="38"/>
  <c r="AR658" i="38"/>
  <c r="AQ658" i="38"/>
  <c r="BH1071" i="38"/>
  <c r="BG1071" i="38"/>
  <c r="AY1071" i="38"/>
  <c r="AZ1071" i="38"/>
  <c r="A660" i="38"/>
  <c r="A1073" i="38"/>
  <c r="AX659" i="38"/>
  <c r="AP1072" i="38"/>
  <c r="AP659" i="38"/>
  <c r="AX1072" i="38"/>
  <c r="BF1072" i="38"/>
  <c r="BF659" i="38"/>
  <c r="BH659" i="38" l="1"/>
  <c r="BG659" i="38"/>
  <c r="AR1072" i="38"/>
  <c r="AQ1072" i="38"/>
  <c r="AZ659" i="38"/>
  <c r="AY659" i="38"/>
  <c r="BH1072" i="38"/>
  <c r="BG1072" i="38"/>
  <c r="AQ659" i="38"/>
  <c r="AR659" i="38"/>
  <c r="AZ1072" i="38"/>
  <c r="AY1072" i="38"/>
  <c r="A661" i="38"/>
  <c r="A1074" i="38"/>
  <c r="AP660" i="38"/>
  <c r="AP1073" i="38"/>
  <c r="AX1073" i="38"/>
  <c r="BF660" i="38"/>
  <c r="BF1073" i="38"/>
  <c r="AX660" i="38"/>
  <c r="AQ660" i="38" l="1"/>
  <c r="AR660" i="38"/>
  <c r="BH660" i="38"/>
  <c r="BG660" i="38"/>
  <c r="AQ1073" i="38"/>
  <c r="AR1073" i="38"/>
  <c r="AZ660" i="38"/>
  <c r="AY660" i="38"/>
  <c r="AY1073" i="38"/>
  <c r="AZ1073" i="38"/>
  <c r="BG1073" i="38"/>
  <c r="BH1073" i="38"/>
  <c r="A662" i="38"/>
  <c r="A1075" i="38"/>
  <c r="AP661" i="38"/>
  <c r="BF661" i="38"/>
  <c r="BF1074" i="38"/>
  <c r="AX661" i="38"/>
  <c r="AX1074" i="38"/>
  <c r="AP1074" i="38"/>
  <c r="AZ661" i="38" l="1"/>
  <c r="AY661" i="38"/>
  <c r="BH661" i="38"/>
  <c r="BG661" i="38"/>
  <c r="AR1074" i="38"/>
  <c r="AQ1074" i="38"/>
  <c r="BH1074" i="38"/>
  <c r="BG1074" i="38"/>
  <c r="AR661" i="38"/>
  <c r="AQ661" i="38"/>
  <c r="AZ1074" i="38"/>
  <c r="AY1074" i="38"/>
  <c r="A663" i="38"/>
  <c r="A1076" i="38"/>
  <c r="BF1075" i="38"/>
  <c r="AP662" i="38"/>
  <c r="AX1075" i="38"/>
  <c r="BF662" i="38"/>
  <c r="AX662" i="38"/>
  <c r="AP1075" i="38"/>
  <c r="AZ662" i="38" l="1"/>
  <c r="AY662" i="38"/>
  <c r="AR662" i="38"/>
  <c r="AQ662" i="38"/>
  <c r="AR1075" i="38"/>
  <c r="AQ1075" i="38"/>
  <c r="AZ1075" i="38"/>
  <c r="AY1075" i="38"/>
  <c r="BH662" i="38"/>
  <c r="BG662" i="38"/>
  <c r="BG1075" i="38"/>
  <c r="BH1075" i="38"/>
  <c r="A664" i="38"/>
  <c r="A1077" i="38"/>
  <c r="AX663" i="38"/>
  <c r="AX1076" i="38"/>
  <c r="BF1076" i="38"/>
  <c r="AP1076" i="38"/>
  <c r="BF663" i="38"/>
  <c r="AP663" i="38"/>
  <c r="AZ663" i="38" l="1"/>
  <c r="AY663" i="38"/>
  <c r="BH663" i="38"/>
  <c r="BG663" i="38"/>
  <c r="AR1076" i="38"/>
  <c r="AQ1076" i="38"/>
  <c r="AR663" i="38"/>
  <c r="AQ663" i="38"/>
  <c r="AZ1076" i="38"/>
  <c r="AY1076" i="38"/>
  <c r="BH1076" i="38"/>
  <c r="BG1076" i="38"/>
  <c r="A665" i="38"/>
  <c r="A1078" i="38"/>
  <c r="AP664" i="38"/>
  <c r="AP1077" i="38"/>
  <c r="AX664" i="38"/>
  <c r="AX1077" i="38"/>
  <c r="BF1077" i="38"/>
  <c r="BF664" i="38"/>
  <c r="AY664" i="38" l="1"/>
  <c r="AZ664" i="38"/>
  <c r="AR664" i="38"/>
  <c r="AQ664" i="38"/>
  <c r="BH1077" i="38"/>
  <c r="BG1077" i="38"/>
  <c r="AZ1077" i="38"/>
  <c r="AY1077" i="38"/>
  <c r="BH664" i="38"/>
  <c r="BG664" i="38"/>
  <c r="AR1077" i="38"/>
  <c r="AQ1077" i="38"/>
  <c r="A666" i="38"/>
  <c r="A1079" i="38"/>
  <c r="BF1078" i="38"/>
  <c r="AX1078" i="38"/>
  <c r="AP665" i="38"/>
  <c r="BF665" i="38"/>
  <c r="AP1078" i="38"/>
  <c r="AX665" i="38"/>
  <c r="AR1078" i="38" l="1"/>
  <c r="AQ1078" i="38"/>
  <c r="AY665" i="38"/>
  <c r="AZ665" i="38"/>
  <c r="BH665" i="38"/>
  <c r="BG665" i="38"/>
  <c r="BH1078" i="38"/>
  <c r="BG1078" i="38"/>
  <c r="AQ665" i="38"/>
  <c r="AR665" i="38"/>
  <c r="AZ1078" i="38"/>
  <c r="AY1078" i="38"/>
  <c r="A667" i="38"/>
  <c r="A1080" i="38"/>
  <c r="BF666" i="38"/>
  <c r="AX666" i="38"/>
  <c r="AP1079" i="38"/>
  <c r="AX1079" i="38"/>
  <c r="BF1079" i="38"/>
  <c r="AP666" i="38"/>
  <c r="BH666" i="38" l="1"/>
  <c r="BG666" i="38"/>
  <c r="AZ666" i="38"/>
  <c r="AY666" i="38"/>
  <c r="BH1079" i="38"/>
  <c r="BG1079" i="38"/>
  <c r="AR666" i="38"/>
  <c r="AQ666" i="38"/>
  <c r="AR1079" i="38"/>
  <c r="AQ1079" i="38"/>
  <c r="AY1079" i="38"/>
  <c r="AZ1079" i="38"/>
  <c r="A668" i="38"/>
  <c r="A1081" i="38"/>
  <c r="AX667" i="38"/>
  <c r="AX1080" i="38"/>
  <c r="BF667" i="38"/>
  <c r="AP667" i="38"/>
  <c r="AP1080" i="38"/>
  <c r="BF1080" i="38"/>
  <c r="AR667" i="38" l="1"/>
  <c r="AQ667" i="38"/>
  <c r="AZ667" i="38"/>
  <c r="AY667" i="38"/>
  <c r="AR1080" i="38"/>
  <c r="AQ1080" i="38"/>
  <c r="AY1080" i="38"/>
  <c r="AZ1080" i="38"/>
  <c r="BH667" i="38"/>
  <c r="BG667" i="38"/>
  <c r="BH1080" i="38"/>
  <c r="BG1080" i="38"/>
  <c r="A669" i="38"/>
  <c r="A1082" i="38"/>
  <c r="A1083" i="38" s="1"/>
  <c r="A1084" i="38" s="1"/>
  <c r="AP668" i="38"/>
  <c r="AP1081" i="38"/>
  <c r="BF1081" i="38"/>
  <c r="AX668" i="38"/>
  <c r="AX1081" i="38"/>
  <c r="BF668" i="38"/>
  <c r="AZ668" i="38" l="1"/>
  <c r="AY668" i="38"/>
  <c r="AR1081" i="38"/>
  <c r="AQ1081" i="38"/>
  <c r="AR668" i="38"/>
  <c r="AQ668" i="38"/>
  <c r="BG1081" i="38"/>
  <c r="BH1081" i="38"/>
  <c r="BH668" i="38"/>
  <c r="BG668" i="38"/>
  <c r="AY1081" i="38"/>
  <c r="AZ1081" i="38"/>
  <c r="A670" i="38"/>
  <c r="A1085" i="38"/>
  <c r="BF669" i="38"/>
  <c r="AP1084" i="38"/>
  <c r="BF1084" i="38"/>
  <c r="AP669" i="38"/>
  <c r="AX669" i="38"/>
  <c r="AX1084" i="38"/>
  <c r="AR669" i="38" l="1"/>
  <c r="AQ669" i="38"/>
  <c r="AR1084" i="38"/>
  <c r="AQ1084" i="38"/>
  <c r="BG669" i="38"/>
  <c r="BH669" i="38"/>
  <c r="BG1084" i="38"/>
  <c r="BH1084" i="38"/>
  <c r="AZ669" i="38"/>
  <c r="AY669" i="38"/>
  <c r="AZ1084" i="38"/>
  <c r="AY1084" i="38"/>
  <c r="A671" i="38"/>
  <c r="A1086" i="38"/>
  <c r="AP670" i="38"/>
  <c r="AX1085" i="38"/>
  <c r="BF1085" i="38"/>
  <c r="AX670" i="38"/>
  <c r="BF670" i="38"/>
  <c r="AP1085" i="38"/>
  <c r="BH670" i="38" l="1"/>
  <c r="BG670" i="38"/>
  <c r="AZ670" i="38"/>
  <c r="AY670" i="38"/>
  <c r="AQ1085" i="38"/>
  <c r="AR1085" i="38"/>
  <c r="AR670" i="38"/>
  <c r="AQ670" i="38"/>
  <c r="BH1085" i="38"/>
  <c r="BG1085" i="38"/>
  <c r="AZ1085" i="38"/>
  <c r="AY1085" i="38"/>
  <c r="A672" i="38"/>
  <c r="A1087" i="38"/>
  <c r="BF671" i="38"/>
  <c r="AP671" i="38"/>
  <c r="BF1086" i="38"/>
  <c r="AX1086" i="38"/>
  <c r="AX671" i="38"/>
  <c r="AP1086" i="38"/>
  <c r="BG671" i="38" l="1"/>
  <c r="BH671" i="38"/>
  <c r="AZ671" i="38"/>
  <c r="AY671" i="38"/>
  <c r="AQ671" i="38"/>
  <c r="AR671" i="38"/>
  <c r="BH1086" i="38"/>
  <c r="BG1086" i="38"/>
  <c r="AR1086" i="38"/>
  <c r="AQ1086" i="38"/>
  <c r="AZ1086" i="38"/>
  <c r="AY1086" i="38"/>
  <c r="A673" i="38"/>
  <c r="A1088" i="38"/>
  <c r="AP1087" i="38"/>
  <c r="AP672" i="38"/>
  <c r="BF672" i="38"/>
  <c r="AX672" i="38"/>
  <c r="AX1087" i="38"/>
  <c r="BF1087" i="38"/>
  <c r="BH672" i="38" l="1"/>
  <c r="BG672" i="38"/>
  <c r="AR672" i="38"/>
  <c r="AQ672" i="38"/>
  <c r="AR1087" i="38"/>
  <c r="AQ1087" i="38"/>
  <c r="BH1087" i="38"/>
  <c r="BG1087" i="38"/>
  <c r="AZ672" i="38"/>
  <c r="AY672" i="38"/>
  <c r="AY1087" i="38"/>
  <c r="AZ1087" i="38"/>
  <c r="A674" i="38"/>
  <c r="A1089" i="38"/>
  <c r="AP1088" i="38"/>
  <c r="BF1088" i="38"/>
  <c r="AX673" i="38"/>
  <c r="AX1088" i="38"/>
  <c r="AP673" i="38"/>
  <c r="BF673" i="38"/>
  <c r="AQ673" i="38" l="1"/>
  <c r="AR673" i="38"/>
  <c r="BG673" i="38"/>
  <c r="BH673" i="38"/>
  <c r="AR1088" i="38"/>
  <c r="AQ1088" i="38"/>
  <c r="BG1088" i="38"/>
  <c r="BH1088" i="38"/>
  <c r="AZ673" i="38"/>
  <c r="AY673" i="38"/>
  <c r="AY1088" i="38"/>
  <c r="AZ1088" i="38"/>
  <c r="A675" i="38"/>
  <c r="A1090" i="38"/>
  <c r="AP674" i="38"/>
  <c r="AX1089" i="38"/>
  <c r="BF1089" i="38"/>
  <c r="AP1089" i="38"/>
  <c r="AX674" i="38"/>
  <c r="BF674" i="38"/>
  <c r="BG674" i="38" l="1"/>
  <c r="BH674" i="38"/>
  <c r="AR674" i="38"/>
  <c r="AQ674" i="38"/>
  <c r="AZ674" i="38"/>
  <c r="AY674" i="38"/>
  <c r="AR1089" i="38"/>
  <c r="AQ1089" i="38"/>
  <c r="BH1089" i="38"/>
  <c r="BG1089" i="38"/>
  <c r="AZ1089" i="38"/>
  <c r="AY1089" i="38"/>
  <c r="A676" i="38"/>
  <c r="A1091" i="38"/>
  <c r="AX675" i="38"/>
  <c r="AX1090" i="38"/>
  <c r="BF1090" i="38"/>
  <c r="AP1090" i="38"/>
  <c r="AP675" i="38"/>
  <c r="BF675" i="38"/>
  <c r="BG675" i="38" l="1"/>
  <c r="BH675" i="38"/>
  <c r="AZ675" i="38"/>
  <c r="AY675" i="38"/>
  <c r="AQ675" i="38"/>
  <c r="AR675" i="38"/>
  <c r="AR1090" i="38"/>
  <c r="AQ1090" i="38"/>
  <c r="BH1090" i="38"/>
  <c r="BG1090" i="38"/>
  <c r="AY1090" i="38"/>
  <c r="AZ1090" i="38"/>
  <c r="A677" i="38"/>
  <c r="A1092" i="38"/>
  <c r="AX1091" i="38"/>
  <c r="AX676" i="38"/>
  <c r="AP676" i="38"/>
  <c r="BF1091" i="38"/>
  <c r="BF676" i="38"/>
  <c r="AP1091" i="38"/>
  <c r="AR676" i="38" l="1"/>
  <c r="AQ676" i="38"/>
  <c r="BH676" i="38"/>
  <c r="BG676" i="38"/>
  <c r="AZ676" i="38"/>
  <c r="AY676" i="38"/>
  <c r="AR1091" i="38"/>
  <c r="AQ1091" i="38"/>
  <c r="BH1091" i="38"/>
  <c r="BG1091" i="38"/>
  <c r="AZ1091" i="38"/>
  <c r="AY1091" i="38"/>
  <c r="A678" i="38"/>
  <c r="A1093" i="38"/>
  <c r="AX677" i="38"/>
  <c r="AP677" i="38"/>
  <c r="BF1092" i="38"/>
  <c r="AP1092" i="38"/>
  <c r="BF677" i="38"/>
  <c r="AX1092" i="38"/>
  <c r="BH677" i="38" l="1"/>
  <c r="BG677" i="38"/>
  <c r="AY677" i="38"/>
  <c r="AZ677" i="38"/>
  <c r="AR1092" i="38"/>
  <c r="AQ1092" i="38"/>
  <c r="BH1092" i="38"/>
  <c r="BG1092" i="38"/>
  <c r="AR677" i="38"/>
  <c r="AQ677" i="38"/>
  <c r="AZ1092" i="38"/>
  <c r="AY1092" i="38"/>
  <c r="A1094" i="38"/>
  <c r="A1095" i="38" s="1"/>
  <c r="A1096" i="38" s="1"/>
  <c r="A1097" i="38" s="1"/>
  <c r="A679" i="38"/>
  <c r="AX1093" i="38"/>
  <c r="BF1093" i="38"/>
  <c r="BF678" i="38"/>
  <c r="AX678" i="38"/>
  <c r="AP1093" i="38"/>
  <c r="AP678" i="38"/>
  <c r="AQ1093" i="38" l="1"/>
  <c r="AR1093" i="38"/>
  <c r="AZ1093" i="38"/>
  <c r="AY1093" i="38"/>
  <c r="BH678" i="38"/>
  <c r="BG678" i="38"/>
  <c r="BH1093" i="38"/>
  <c r="BG1093" i="38"/>
  <c r="AQ678" i="38"/>
  <c r="AR678" i="38"/>
  <c r="AZ678" i="38"/>
  <c r="AY678" i="38"/>
  <c r="A1098" i="38"/>
  <c r="A680" i="38"/>
  <c r="BF1097" i="38"/>
  <c r="AP1097" i="38"/>
  <c r="AX1097" i="38"/>
  <c r="BF679" i="38"/>
  <c r="AX679" i="38"/>
  <c r="AP679" i="38"/>
  <c r="BH1097" i="38" l="1"/>
  <c r="BG1097" i="38"/>
  <c r="AZ1097" i="38"/>
  <c r="AY1097" i="38"/>
  <c r="BH679" i="38"/>
  <c r="BG679" i="38"/>
  <c r="AQ1097" i="38"/>
  <c r="AR1097" i="38"/>
  <c r="AZ679" i="38"/>
  <c r="AY679" i="38"/>
  <c r="AQ679" i="38"/>
  <c r="AR679" i="38"/>
  <c r="A1099" i="38"/>
  <c r="A681" i="38"/>
  <c r="BF680" i="38"/>
  <c r="AX1098" i="38"/>
  <c r="AP680" i="38"/>
  <c r="AX680" i="38"/>
  <c r="BF1098" i="38"/>
  <c r="AP1098" i="38"/>
  <c r="AY1098" i="38" l="1"/>
  <c r="AZ1098" i="38"/>
  <c r="AR1098" i="38"/>
  <c r="AQ1098" i="38"/>
  <c r="AR680" i="38"/>
  <c r="AQ680" i="38"/>
  <c r="BH680" i="38"/>
  <c r="BG680" i="38"/>
  <c r="AZ680" i="38"/>
  <c r="AY680" i="38"/>
  <c r="BH1098" i="38"/>
  <c r="BG1098" i="38"/>
  <c r="A1100" i="38"/>
  <c r="A682" i="38"/>
  <c r="BF681" i="38"/>
  <c r="AX1099" i="38"/>
  <c r="AX681" i="38"/>
  <c r="AP1099" i="38"/>
  <c r="AP681" i="38"/>
  <c r="BF1099" i="38"/>
  <c r="BG1099" i="38" l="1"/>
  <c r="BH1099" i="38"/>
  <c r="AQ1099" i="38"/>
  <c r="AR1099" i="38"/>
  <c r="AR681" i="38"/>
  <c r="AQ681" i="38"/>
  <c r="BG681" i="38"/>
  <c r="BH681" i="38"/>
  <c r="AY1099" i="38"/>
  <c r="AZ1099" i="38"/>
  <c r="AZ681" i="38"/>
  <c r="AY681" i="38"/>
  <c r="A1101" i="38"/>
  <c r="A1102" i="38" s="1"/>
  <c r="A1103" i="38" s="1"/>
  <c r="A683" i="38"/>
  <c r="BF1100" i="38"/>
  <c r="AX1100" i="38"/>
  <c r="BF682" i="38"/>
  <c r="AX682" i="38"/>
  <c r="AP1100" i="38"/>
  <c r="AP682" i="38"/>
  <c r="BH1100" i="38" l="1"/>
  <c r="BG1100" i="38"/>
  <c r="BH682" i="38"/>
  <c r="BG682" i="38"/>
  <c r="AR1100" i="38"/>
  <c r="AQ1100" i="38"/>
  <c r="AY1100" i="38"/>
  <c r="AZ1100" i="38"/>
  <c r="AQ682" i="38"/>
  <c r="AR682" i="38"/>
  <c r="AY682" i="38"/>
  <c r="AZ682" i="38"/>
  <c r="A1104" i="38"/>
  <c r="A1234" i="38" s="1"/>
  <c r="A1235" i="38" s="1"/>
  <c r="A1236" i="38" s="1"/>
  <c r="A1237" i="38" s="1"/>
  <c r="A1238" i="38" s="1"/>
  <c r="A1239" i="38" s="1"/>
  <c r="A1240" i="38" s="1"/>
  <c r="A1241" i="38" s="1"/>
  <c r="A1242" i="38" s="1"/>
  <c r="A1243" i="38" s="1"/>
  <c r="A1244" i="38" s="1"/>
  <c r="A1245" i="38" s="1"/>
  <c r="A1246" i="38" s="1"/>
  <c r="A1247" i="38" s="1"/>
  <c r="A1248" i="38" s="1"/>
  <c r="A1249" i="38" s="1"/>
  <c r="A1250" i="38" s="1"/>
  <c r="A1251" i="38" s="1"/>
  <c r="A1252" i="38" s="1"/>
  <c r="A1253" i="38" s="1"/>
  <c r="A1254" i="38" s="1"/>
  <c r="A1255" i="38" s="1"/>
  <c r="A1256" i="38" s="1"/>
  <c r="A1257" i="38" s="1"/>
  <c r="A1258" i="38" s="1"/>
  <c r="A1259" i="38" s="1"/>
  <c r="A1260" i="38" s="1"/>
  <c r="A1261" i="38" s="1"/>
  <c r="A1262" i="38" s="1"/>
  <c r="A1263" i="38" s="1"/>
  <c r="A1264" i="38" s="1"/>
  <c r="A1265" i="38" s="1"/>
  <c r="A1266" i="38" s="1"/>
  <c r="A1267" i="38" s="1"/>
  <c r="A1268" i="38" s="1"/>
  <c r="A1269" i="38" s="1"/>
  <c r="A1270" i="38" s="1"/>
  <c r="A1271" i="38" s="1"/>
  <c r="A1272" i="38" s="1"/>
  <c r="A1273" i="38" s="1"/>
  <c r="A1274" i="38" s="1"/>
  <c r="A684" i="38"/>
  <c r="AX683" i="38"/>
  <c r="BF1103" i="38"/>
  <c r="BF683" i="38"/>
  <c r="AX1103" i="38"/>
  <c r="AP1103" i="38"/>
  <c r="AP683" i="38"/>
  <c r="AR1103" i="38" l="1"/>
  <c r="AQ1103" i="38"/>
  <c r="BH683" i="38"/>
  <c r="BG683" i="38"/>
  <c r="AZ1103" i="38"/>
  <c r="AY1103" i="38"/>
  <c r="AR683" i="38"/>
  <c r="AQ683" i="38"/>
  <c r="BH1103" i="38"/>
  <c r="BG1103" i="38"/>
  <c r="AZ683" i="38"/>
  <c r="AY683" i="38"/>
  <c r="A685" i="38"/>
  <c r="BF684" i="38"/>
  <c r="AX684" i="38"/>
  <c r="AP684" i="38"/>
  <c r="BH684" i="38" l="1"/>
  <c r="BG684" i="38"/>
  <c r="AY684" i="38"/>
  <c r="AZ684" i="38"/>
  <c r="AR684" i="38"/>
  <c r="AQ684" i="38"/>
  <c r="A686" i="38"/>
  <c r="AX685" i="38"/>
  <c r="AP685" i="38"/>
  <c r="BF685" i="38"/>
  <c r="AZ685" i="38" l="1"/>
  <c r="AY685" i="38"/>
  <c r="AR685" i="38"/>
  <c r="AQ685" i="38"/>
  <c r="BG685" i="38"/>
  <c r="BH685" i="38"/>
  <c r="A687" i="38"/>
  <c r="AP686" i="38"/>
  <c r="BF686" i="38"/>
  <c r="AX686" i="38"/>
  <c r="AR686" i="38" l="1"/>
  <c r="AQ686" i="38"/>
  <c r="AZ686" i="38"/>
  <c r="AY686" i="38"/>
  <c r="BG686" i="38"/>
  <c r="BH686" i="38"/>
  <c r="A688" i="38"/>
  <c r="AX687" i="38"/>
  <c r="AP687" i="38"/>
  <c r="BF687" i="38"/>
  <c r="AZ687" i="38" l="1"/>
  <c r="AY687" i="38"/>
  <c r="BH687" i="38"/>
  <c r="BG687" i="38"/>
  <c r="AR687" i="38"/>
  <c r="AQ687" i="38"/>
  <c r="A689" i="38"/>
  <c r="BF688" i="38"/>
  <c r="AX688" i="38"/>
  <c r="AP688" i="38"/>
  <c r="AZ688" i="38" l="1"/>
  <c r="AY688" i="38"/>
  <c r="BH688" i="38"/>
  <c r="BG688" i="38"/>
  <c r="AR688" i="38"/>
  <c r="AQ688" i="38"/>
  <c r="A690" i="38"/>
  <c r="AX689" i="38"/>
  <c r="BF689" i="38"/>
  <c r="AP689" i="38"/>
  <c r="AZ689" i="38" l="1"/>
  <c r="AY689" i="38"/>
  <c r="BG689" i="38"/>
  <c r="BH689" i="38"/>
  <c r="AR689" i="38"/>
  <c r="AQ689" i="38"/>
  <c r="A691" i="38"/>
  <c r="AP690" i="38"/>
  <c r="AX690" i="38"/>
  <c r="BF690" i="38"/>
  <c r="AZ690" i="38" l="1"/>
  <c r="AY690" i="38"/>
  <c r="BH690" i="38"/>
  <c r="BG690" i="38"/>
  <c r="AR690" i="38"/>
  <c r="AQ690" i="38"/>
  <c r="A692" i="38"/>
  <c r="AX691" i="38"/>
  <c r="BF691" i="38"/>
  <c r="AP691" i="38"/>
  <c r="AZ691" i="38" l="1"/>
  <c r="AY691" i="38"/>
  <c r="BH691" i="38"/>
  <c r="BG691" i="38"/>
  <c r="AQ691" i="38"/>
  <c r="AR691" i="38"/>
  <c r="A693" i="38"/>
  <c r="AP692" i="38"/>
  <c r="AX692" i="38"/>
  <c r="BF692" i="38"/>
  <c r="BG692" i="38" l="1"/>
  <c r="BH692" i="38"/>
  <c r="AY692" i="38"/>
  <c r="AZ692" i="38"/>
  <c r="AQ692" i="38"/>
  <c r="AR692" i="38"/>
  <c r="A694" i="38"/>
  <c r="AX693" i="38"/>
  <c r="BF693" i="38"/>
  <c r="AP693" i="38"/>
  <c r="AQ693" i="38" l="1"/>
  <c r="AR693" i="38"/>
  <c r="BH693" i="38"/>
  <c r="BG693" i="38"/>
  <c r="AZ693" i="38"/>
  <c r="AY693" i="38"/>
  <c r="A695" i="38"/>
  <c r="AP694" i="38"/>
  <c r="AX694" i="38"/>
  <c r="BF694" i="38"/>
  <c r="AR694" i="38" l="1"/>
  <c r="AQ694" i="38"/>
  <c r="BH694" i="38"/>
  <c r="BG694" i="38"/>
  <c r="AZ694" i="38"/>
  <c r="AY694" i="38"/>
  <c r="A696" i="38"/>
  <c r="BF695" i="38"/>
  <c r="AP695" i="38"/>
  <c r="AX695" i="38"/>
  <c r="BG695" i="38" l="1"/>
  <c r="BH695" i="38"/>
  <c r="AR695" i="38"/>
  <c r="AQ695" i="38"/>
  <c r="AZ695" i="38"/>
  <c r="AY695" i="38"/>
  <c r="A697" i="38"/>
  <c r="AX696" i="38"/>
  <c r="AP696" i="38"/>
  <c r="BF696" i="38"/>
  <c r="AR696" i="38" l="1"/>
  <c r="AQ696" i="38"/>
  <c r="BH696" i="38"/>
  <c r="BG696" i="38"/>
  <c r="AZ696" i="38"/>
  <c r="AY696" i="38"/>
  <c r="A698" i="38"/>
  <c r="AP697" i="38"/>
  <c r="BF697" i="38"/>
  <c r="AX697" i="38"/>
  <c r="BH697" i="38" l="1"/>
  <c r="BG697" i="38"/>
  <c r="AR697" i="38"/>
  <c r="AQ697" i="38"/>
  <c r="AZ697" i="38"/>
  <c r="AY697" i="38"/>
  <c r="A699" i="38"/>
  <c r="AP698" i="38"/>
  <c r="BF698" i="38"/>
  <c r="AX698" i="38"/>
  <c r="BH698" i="38" l="1"/>
  <c r="BG698" i="38"/>
  <c r="AY698" i="38"/>
  <c r="AZ698" i="38"/>
  <c r="AR698" i="38"/>
  <c r="AQ698" i="38"/>
  <c r="A700" i="38"/>
  <c r="BF699" i="38"/>
  <c r="AP699" i="38"/>
  <c r="AX699" i="38"/>
  <c r="AQ699" i="38" l="1"/>
  <c r="AR699" i="38"/>
  <c r="AZ699" i="38"/>
  <c r="AY699" i="38"/>
  <c r="BG699" i="38"/>
  <c r="BH699" i="38"/>
  <c r="A701" i="38"/>
  <c r="AP700" i="38"/>
  <c r="AX700" i="38"/>
  <c r="BF700" i="38"/>
  <c r="AQ700" i="38" l="1"/>
  <c r="AR700" i="38"/>
  <c r="AZ700" i="38"/>
  <c r="AY700" i="38"/>
  <c r="BH700" i="38"/>
  <c r="BG700" i="38"/>
  <c r="A702" i="38"/>
  <c r="AP701" i="38"/>
  <c r="BF701" i="38"/>
  <c r="AX701" i="38"/>
  <c r="AQ701" i="38" l="1"/>
  <c r="AR701" i="38"/>
  <c r="AZ701" i="38"/>
  <c r="AY701" i="38"/>
  <c r="BH701" i="38"/>
  <c r="BG701" i="38"/>
  <c r="A703" i="38"/>
  <c r="BF702" i="38"/>
  <c r="AP702" i="38"/>
  <c r="AX702" i="38"/>
  <c r="AQ702" i="38" l="1"/>
  <c r="AR702" i="38"/>
  <c r="AZ702" i="38"/>
  <c r="AY702" i="38"/>
  <c r="BH702" i="38"/>
  <c r="BG702" i="38"/>
  <c r="A704" i="38"/>
  <c r="BF703" i="38"/>
  <c r="AP703" i="38"/>
  <c r="AX703" i="38"/>
  <c r="BH703" i="38" l="1"/>
  <c r="BG703" i="38"/>
  <c r="AR703" i="38"/>
  <c r="AQ703" i="38"/>
  <c r="AZ703" i="38"/>
  <c r="AY703" i="38"/>
  <c r="A705" i="38"/>
  <c r="AX704" i="38"/>
  <c r="AP704" i="38"/>
  <c r="BF704" i="38"/>
  <c r="BH704" i="38" l="1"/>
  <c r="BG704" i="38"/>
  <c r="AQ704" i="38"/>
  <c r="AR704" i="38"/>
  <c r="AZ704" i="38"/>
  <c r="AY704" i="38"/>
  <c r="A706" i="38"/>
  <c r="BF705" i="38"/>
  <c r="AX705" i="38"/>
  <c r="AP705" i="38"/>
  <c r="BH705" i="38" l="1"/>
  <c r="BG705" i="38"/>
  <c r="AZ705" i="38"/>
  <c r="AY705" i="38"/>
  <c r="AQ705" i="38"/>
  <c r="AR705" i="38"/>
  <c r="A707" i="38"/>
  <c r="BF706" i="38"/>
  <c r="AP706" i="38"/>
  <c r="AX706" i="38"/>
  <c r="BH706" i="38" l="1"/>
  <c r="BG706" i="38"/>
  <c r="AZ706" i="38"/>
  <c r="AY706" i="38"/>
  <c r="AR706" i="38"/>
  <c r="AQ706" i="38"/>
  <c r="A708" i="38"/>
  <c r="AX707" i="38"/>
  <c r="BF707" i="38"/>
  <c r="AP707" i="38"/>
  <c r="AQ707" i="38" l="1"/>
  <c r="AR707" i="38"/>
  <c r="AZ707" i="38"/>
  <c r="AY707" i="38"/>
  <c r="BG707" i="38"/>
  <c r="BH707" i="38"/>
  <c r="A709" i="38"/>
  <c r="BF708" i="38"/>
  <c r="AX708" i="38"/>
  <c r="AP708" i="38"/>
  <c r="AR708" i="38" l="1"/>
  <c r="AQ708" i="38"/>
  <c r="AZ708" i="38"/>
  <c r="AY708" i="38"/>
  <c r="BH708" i="38"/>
  <c r="BG708" i="38"/>
  <c r="A710" i="38"/>
  <c r="AP709" i="38"/>
  <c r="BF709" i="38"/>
  <c r="AX709" i="38"/>
  <c r="BH709" i="38" l="1"/>
  <c r="BG709" i="38"/>
  <c r="AY709" i="38"/>
  <c r="AZ709" i="38"/>
  <c r="AR709" i="38"/>
  <c r="AQ709" i="38"/>
  <c r="A711" i="38"/>
  <c r="AX710" i="38"/>
  <c r="BF710" i="38"/>
  <c r="AP710" i="38"/>
  <c r="AR710" i="38" l="1"/>
  <c r="AQ710" i="38"/>
  <c r="AY710" i="38"/>
  <c r="AZ710" i="38"/>
  <c r="BH710" i="38"/>
  <c r="BG710" i="38"/>
  <c r="A712" i="38"/>
  <c r="AX711" i="38"/>
  <c r="AP711" i="38"/>
  <c r="BF711" i="38"/>
  <c r="AQ711" i="38" l="1"/>
  <c r="AR711" i="38"/>
  <c r="AZ711" i="38"/>
  <c r="AY711" i="38"/>
  <c r="BH711" i="38"/>
  <c r="BG711" i="38"/>
  <c r="A713" i="38"/>
  <c r="BF712" i="38"/>
  <c r="AP712" i="38"/>
  <c r="AX712" i="38"/>
  <c r="BG712" i="38" l="1"/>
  <c r="BH712" i="38"/>
  <c r="AR712" i="38"/>
  <c r="AQ712" i="38"/>
  <c r="AZ712" i="38"/>
  <c r="AY712" i="38"/>
  <c r="A714" i="38"/>
  <c r="AX713" i="38"/>
  <c r="BF713" i="38"/>
  <c r="AP713" i="38"/>
  <c r="AR713" i="38" l="1"/>
  <c r="AQ713" i="38"/>
  <c r="AZ713" i="38"/>
  <c r="AY713" i="38"/>
  <c r="BH713" i="38"/>
  <c r="BG713" i="38"/>
  <c r="A715" i="38"/>
  <c r="AP714" i="38"/>
  <c r="AX714" i="38"/>
  <c r="BF714" i="38"/>
  <c r="AZ714" i="38" l="1"/>
  <c r="AY714" i="38"/>
  <c r="AQ714" i="38"/>
  <c r="AR714" i="38"/>
  <c r="BH714" i="38"/>
  <c r="BG714" i="38"/>
  <c r="A716" i="38"/>
  <c r="AX715" i="38"/>
  <c r="BF715" i="38"/>
  <c r="AP715" i="38"/>
  <c r="AR715" i="38" l="1"/>
  <c r="AQ715" i="38"/>
  <c r="BH715" i="38"/>
  <c r="BG715" i="38"/>
  <c r="AZ715" i="38"/>
  <c r="AY715" i="38"/>
  <c r="A717" i="38"/>
  <c r="BF716" i="38"/>
  <c r="AP716" i="38"/>
  <c r="AX716" i="38"/>
  <c r="BH716" i="38" l="1"/>
  <c r="BG716" i="38"/>
  <c r="AZ716" i="38"/>
  <c r="AY716" i="38"/>
  <c r="AQ716" i="38"/>
  <c r="AR716" i="38"/>
  <c r="A718" i="38"/>
  <c r="AX717" i="38"/>
  <c r="BF717" i="38"/>
  <c r="AP717" i="38"/>
  <c r="AR717" i="38" l="1"/>
  <c r="AQ717" i="38"/>
  <c r="AZ717" i="38"/>
  <c r="AY717" i="38"/>
  <c r="BG717" i="38"/>
  <c r="BH717" i="38"/>
  <c r="A719" i="38"/>
  <c r="AX718" i="38"/>
  <c r="BF718" i="38"/>
  <c r="AP718" i="38"/>
  <c r="AR718" i="38" l="1"/>
  <c r="AQ718" i="38"/>
  <c r="AZ718" i="38"/>
  <c r="AY718" i="38"/>
  <c r="BH718" i="38"/>
  <c r="BG718" i="38"/>
  <c r="A720" i="38"/>
  <c r="AX719" i="38"/>
  <c r="AP719" i="38"/>
  <c r="BF719" i="38"/>
  <c r="AR719" i="38" l="1"/>
  <c r="AQ719" i="38"/>
  <c r="BH719" i="38"/>
  <c r="BG719" i="38"/>
  <c r="AZ719" i="38"/>
  <c r="AY719" i="38"/>
  <c r="A721" i="38"/>
  <c r="BF720" i="38"/>
  <c r="AX720" i="38"/>
  <c r="AP720" i="38"/>
  <c r="BH720" i="38" l="1"/>
  <c r="BG720" i="38"/>
  <c r="AY720" i="38"/>
  <c r="AZ720" i="38"/>
  <c r="AR720" i="38"/>
  <c r="AQ720" i="38"/>
  <c r="A722" i="38"/>
  <c r="BF721" i="38"/>
  <c r="AX721" i="38"/>
  <c r="AP721" i="38"/>
  <c r="AR721" i="38" l="1"/>
  <c r="AQ721" i="38"/>
  <c r="AZ721" i="38"/>
  <c r="AY721" i="38"/>
  <c r="BH721" i="38"/>
  <c r="BG721" i="38"/>
  <c r="A723" i="38"/>
  <c r="AP722" i="38"/>
  <c r="BF722" i="38"/>
  <c r="AX722" i="38"/>
  <c r="BG722" i="38" l="1"/>
  <c r="BH722" i="38"/>
  <c r="AQ722" i="38"/>
  <c r="AR722" i="38"/>
  <c r="AZ722" i="38"/>
  <c r="AY722" i="38"/>
  <c r="A724" i="38"/>
  <c r="AX723" i="38"/>
  <c r="BF723" i="38"/>
  <c r="AP723" i="38"/>
  <c r="BH723" i="38" l="1"/>
  <c r="BG723" i="38"/>
  <c r="AZ723" i="38"/>
  <c r="AY723" i="38"/>
  <c r="AR723" i="38"/>
  <c r="AQ723" i="38"/>
  <c r="A725" i="38"/>
  <c r="AP724" i="38"/>
  <c r="BF724" i="38"/>
  <c r="AX724" i="38"/>
  <c r="AR724" i="38" l="1"/>
  <c r="AQ724" i="38"/>
  <c r="BH724" i="38"/>
  <c r="BG724" i="38"/>
  <c r="AZ724" i="38"/>
  <c r="AY724" i="38"/>
  <c r="A726" i="38"/>
  <c r="AP725" i="38"/>
  <c r="BF725" i="38"/>
  <c r="AX725" i="38"/>
  <c r="BH725" i="38" l="1"/>
  <c r="BG725" i="38"/>
  <c r="AZ725" i="38"/>
  <c r="AY725" i="38"/>
  <c r="AQ725" i="38"/>
  <c r="AR725" i="38"/>
  <c r="A727" i="38"/>
  <c r="AP726" i="38"/>
  <c r="BF726" i="38"/>
  <c r="AX726" i="38"/>
  <c r="BH726" i="38" l="1"/>
  <c r="BG726" i="38"/>
  <c r="AY726" i="38"/>
  <c r="AZ726" i="38"/>
  <c r="AR726" i="38"/>
  <c r="AQ726" i="38"/>
  <c r="A728" i="38"/>
  <c r="AX727" i="38"/>
  <c r="BF727" i="38"/>
  <c r="AP727" i="38"/>
  <c r="AQ727" i="38" l="1"/>
  <c r="AR727" i="38"/>
  <c r="AZ727" i="38"/>
  <c r="AY727" i="38"/>
  <c r="BH727" i="38"/>
  <c r="BG727" i="38"/>
  <c r="A729" i="38"/>
  <c r="AX728" i="38"/>
  <c r="AP728" i="38"/>
  <c r="BF728" i="38"/>
  <c r="BH728" i="38" l="1"/>
  <c r="BG728" i="38"/>
  <c r="AZ728" i="38"/>
  <c r="AY728" i="38"/>
  <c r="AR728" i="38"/>
  <c r="AQ728" i="38"/>
  <c r="A730" i="38"/>
  <c r="AP729" i="38"/>
  <c r="AX729" i="38"/>
  <c r="BF729" i="38"/>
  <c r="AQ729" i="38" l="1"/>
  <c r="AR729" i="38"/>
  <c r="AZ729" i="38"/>
  <c r="AY729" i="38"/>
  <c r="BH729" i="38"/>
  <c r="BG729" i="38"/>
  <c r="A731" i="38"/>
  <c r="AX730" i="38"/>
  <c r="BF730" i="38"/>
  <c r="AP730" i="38"/>
  <c r="BH730" i="38" l="1"/>
  <c r="BG730" i="38"/>
  <c r="AZ730" i="38"/>
  <c r="AY730" i="38"/>
  <c r="AQ730" i="38"/>
  <c r="AR730" i="38"/>
  <c r="A732" i="38"/>
  <c r="AX731" i="38"/>
  <c r="AP731" i="38"/>
  <c r="BF731" i="38"/>
  <c r="AR731" i="38" l="1"/>
  <c r="AQ731" i="38"/>
  <c r="AZ731" i="38"/>
  <c r="AY731" i="38"/>
  <c r="BH731" i="38"/>
  <c r="BG731" i="38"/>
  <c r="A733" i="38"/>
  <c r="BF732" i="38"/>
  <c r="AX732" i="38"/>
  <c r="AP732" i="38"/>
  <c r="BH732" i="38" l="1"/>
  <c r="BG732" i="38"/>
  <c r="AZ732" i="38"/>
  <c r="AY732" i="38"/>
  <c r="AQ732" i="38"/>
  <c r="AR732" i="38"/>
  <c r="A734" i="38"/>
  <c r="BF733" i="38"/>
  <c r="AX733" i="38"/>
  <c r="AP733" i="38"/>
  <c r="BG733" i="38" l="1"/>
  <c r="BH733" i="38"/>
  <c r="AZ733" i="38"/>
  <c r="AY733" i="38"/>
  <c r="AR733" i="38"/>
  <c r="AQ733" i="38"/>
  <c r="A735" i="38"/>
  <c r="BF734" i="38"/>
  <c r="AP734" i="38"/>
  <c r="AX734" i="38"/>
  <c r="AR734" i="38" l="1"/>
  <c r="AQ734" i="38"/>
  <c r="AY734" i="38"/>
  <c r="AZ734" i="38"/>
  <c r="BH734" i="38"/>
  <c r="BG734" i="38"/>
  <c r="A736" i="38"/>
  <c r="BF735" i="38"/>
  <c r="AP735" i="38"/>
  <c r="AX735" i="38"/>
  <c r="BH735" i="38" l="1"/>
  <c r="BG735" i="38"/>
  <c r="AZ735" i="38"/>
  <c r="AY735" i="38"/>
  <c r="AR735" i="38"/>
  <c r="AQ735" i="38"/>
  <c r="A737" i="38"/>
  <c r="BF736" i="38"/>
  <c r="AP736" i="38"/>
  <c r="AX736" i="38"/>
  <c r="AR736" i="38" l="1"/>
  <c r="AQ736" i="38"/>
  <c r="BH736" i="38"/>
  <c r="BG736" i="38"/>
  <c r="AZ736" i="38"/>
  <c r="AY736" i="38"/>
  <c r="A738" i="38"/>
  <c r="BF737" i="38"/>
  <c r="AP737" i="38"/>
  <c r="AX737" i="38"/>
  <c r="AR737" i="38" l="1"/>
  <c r="AQ737" i="38"/>
  <c r="BG737" i="38"/>
  <c r="BH737" i="38"/>
  <c r="AZ737" i="38"/>
  <c r="AY737" i="38"/>
  <c r="A739" i="38"/>
  <c r="AX738" i="38"/>
  <c r="BF738" i="38"/>
  <c r="AP738" i="38"/>
  <c r="AY738" i="38" l="1"/>
  <c r="AZ738" i="38"/>
  <c r="AR738" i="38"/>
  <c r="AQ738" i="38"/>
  <c r="BH738" i="38"/>
  <c r="BG738" i="38"/>
  <c r="A740" i="38"/>
  <c r="AP739" i="38"/>
  <c r="BF739" i="38"/>
  <c r="AX739" i="38"/>
  <c r="AZ739" i="38" l="1"/>
  <c r="AY739" i="38"/>
  <c r="AQ739" i="38"/>
  <c r="AR739" i="38"/>
  <c r="BH739" i="38"/>
  <c r="BG739" i="38"/>
  <c r="A741" i="38"/>
  <c r="BF740" i="38"/>
  <c r="AP740" i="38"/>
  <c r="AX740" i="38"/>
  <c r="BH740" i="38" l="1"/>
  <c r="BG740" i="38"/>
  <c r="AZ740" i="38"/>
  <c r="AY740" i="38"/>
  <c r="AR740" i="38"/>
  <c r="AQ740" i="38"/>
  <c r="A742" i="38"/>
  <c r="AP741" i="38"/>
  <c r="AX741" i="38"/>
  <c r="BF741" i="38"/>
  <c r="AR741" i="38" l="1"/>
  <c r="AQ741" i="38"/>
  <c r="BH741" i="38"/>
  <c r="BG741" i="38"/>
  <c r="AZ741" i="38"/>
  <c r="AY741" i="38"/>
  <c r="A743" i="38"/>
  <c r="BF742" i="38"/>
  <c r="AX742" i="38"/>
  <c r="AP742" i="38"/>
  <c r="AR742" i="38" l="1"/>
  <c r="AQ742" i="38"/>
  <c r="AZ742" i="38"/>
  <c r="AY742" i="38"/>
  <c r="BG742" i="38"/>
  <c r="BH742" i="38"/>
  <c r="A744" i="38"/>
  <c r="BF743" i="38"/>
  <c r="AP743" i="38"/>
  <c r="AX743" i="38"/>
  <c r="AR743" i="38" l="1"/>
  <c r="AQ743" i="38"/>
  <c r="AZ743" i="38"/>
  <c r="AY743" i="38"/>
  <c r="BH743" i="38"/>
  <c r="BG743" i="38"/>
  <c r="A745" i="38"/>
  <c r="AX744" i="38"/>
  <c r="BF744" i="38"/>
  <c r="AP744" i="38"/>
  <c r="BH744" i="38" l="1"/>
  <c r="BG744" i="38"/>
  <c r="AY744" i="38"/>
  <c r="AZ744" i="38"/>
  <c r="AR744" i="38"/>
  <c r="AQ744" i="38"/>
  <c r="A746" i="38"/>
  <c r="BF745" i="38"/>
  <c r="AP745" i="38"/>
  <c r="AX745" i="38"/>
  <c r="BG745" i="38" l="1"/>
  <c r="BH745" i="38"/>
  <c r="AY745" i="38"/>
  <c r="AZ745" i="38"/>
  <c r="AR745" i="38"/>
  <c r="AQ745" i="38"/>
  <c r="A747" i="38"/>
  <c r="AP746" i="38"/>
  <c r="BF746" i="38"/>
  <c r="AX746" i="38"/>
  <c r="BH746" i="38" l="1"/>
  <c r="BG746" i="38"/>
  <c r="AY746" i="38"/>
  <c r="AZ746" i="38"/>
  <c r="AR746" i="38"/>
  <c r="AQ746" i="38"/>
  <c r="A748" i="38"/>
  <c r="AX747" i="38"/>
  <c r="BF747" i="38"/>
  <c r="AP747" i="38"/>
  <c r="AR747" i="38" l="1"/>
  <c r="AQ747" i="38"/>
  <c r="BH747" i="38"/>
  <c r="BG747" i="38"/>
  <c r="AZ747" i="38"/>
  <c r="AY747" i="38"/>
  <c r="A749" i="38"/>
  <c r="BF748" i="38"/>
  <c r="AX748" i="38"/>
  <c r="AP748" i="38"/>
  <c r="BH748" i="38" l="1"/>
  <c r="BG748" i="38"/>
  <c r="AZ748" i="38"/>
  <c r="AY748" i="38"/>
  <c r="AR748" i="38"/>
  <c r="AQ748" i="38"/>
  <c r="A750" i="38"/>
  <c r="AP749" i="38"/>
  <c r="BF749" i="38"/>
  <c r="AX749" i="38"/>
  <c r="AR749" i="38" l="1"/>
  <c r="AQ749" i="38"/>
  <c r="AY749" i="38"/>
  <c r="AZ749" i="38"/>
  <c r="BH749" i="38"/>
  <c r="BG749" i="38"/>
  <c r="A751" i="38"/>
  <c r="BF750" i="38"/>
  <c r="AX750" i="38"/>
  <c r="AP750" i="38"/>
  <c r="BH750" i="38" l="1"/>
  <c r="BG750" i="38"/>
  <c r="AZ750" i="38"/>
  <c r="AY750" i="38"/>
  <c r="AR750" i="38"/>
  <c r="AQ750" i="38"/>
  <c r="A752" i="38"/>
  <c r="A753" i="38" s="1"/>
  <c r="A754" i="38" s="1"/>
  <c r="A755" i="38" s="1"/>
  <c r="AX751" i="38"/>
  <c r="AP751" i="38"/>
  <c r="BF751" i="38"/>
  <c r="BH751" i="38" l="1"/>
  <c r="BG751" i="38"/>
  <c r="AR751" i="38"/>
  <c r="AQ751" i="38"/>
  <c r="AY751" i="38"/>
  <c r="AZ751" i="38"/>
  <c r="AD168" i="34" l="1"/>
  <c r="AC168" i="34"/>
  <c r="AB168" i="34"/>
  <c r="AA168" i="34"/>
  <c r="Z168" i="34"/>
  <c r="Y168" i="34"/>
  <c r="X168" i="34"/>
  <c r="W168" i="34"/>
  <c r="V168" i="34"/>
  <c r="U168" i="34"/>
  <c r="T168" i="34"/>
  <c r="S168" i="34"/>
  <c r="AD116" i="34"/>
  <c r="AC116" i="34"/>
  <c r="AB116" i="34"/>
  <c r="AA116" i="34"/>
  <c r="Z116" i="34"/>
  <c r="Y116" i="34"/>
  <c r="X116" i="34"/>
  <c r="W116" i="34"/>
  <c r="V116" i="34"/>
  <c r="U116" i="34"/>
  <c r="T116" i="34"/>
  <c r="S116" i="34"/>
  <c r="S503" i="34" l="1"/>
  <c r="BG3" i="34" l="1"/>
  <c r="BD3" i="34"/>
  <c r="BC3" i="34"/>
  <c r="AY3" i="34"/>
  <c r="AV3" i="34"/>
  <c r="AU3" i="34"/>
  <c r="BG2" i="34"/>
  <c r="BD2" i="34"/>
  <c r="BC2" i="34"/>
  <c r="AY2" i="34"/>
  <c r="AV2" i="34"/>
  <c r="AU2" i="34"/>
  <c r="AQ2" i="34"/>
  <c r="AN2" i="34"/>
  <c r="AM2" i="34"/>
  <c r="R1613" i="34" l="1"/>
  <c r="R1612" i="34"/>
  <c r="R1611" i="34"/>
  <c r="R1610" i="34"/>
  <c r="R1609" i="34"/>
  <c r="R1608" i="34"/>
  <c r="R1607" i="34"/>
  <c r="R1606" i="34"/>
  <c r="R1605" i="34"/>
  <c r="R1604" i="34"/>
  <c r="R1603" i="34"/>
  <c r="R1602" i="34"/>
  <c r="R1601" i="34"/>
  <c r="R1600" i="34"/>
  <c r="R1599" i="34"/>
  <c r="R1598" i="34"/>
  <c r="R1597" i="34"/>
  <c r="R1596" i="34"/>
  <c r="R1595" i="34"/>
  <c r="R1594" i="34"/>
  <c r="R1593" i="34"/>
  <c r="R1592" i="34"/>
  <c r="R1591" i="34"/>
  <c r="R1590" i="34"/>
  <c r="R1589" i="34"/>
  <c r="R1588" i="34"/>
  <c r="R1587" i="34"/>
  <c r="R1586" i="34"/>
  <c r="R1585" i="34"/>
  <c r="R1584" i="34"/>
  <c r="R1583" i="34"/>
  <c r="R1582" i="34"/>
  <c r="R1581" i="34"/>
  <c r="R1580" i="34"/>
  <c r="R1579" i="34"/>
  <c r="R1578" i="34"/>
  <c r="R1577" i="34"/>
  <c r="R1576" i="34"/>
  <c r="R1575" i="34"/>
  <c r="R1574" i="34"/>
  <c r="R1573" i="34"/>
  <c r="R1572" i="34"/>
  <c r="R1571" i="34"/>
  <c r="R1570" i="34"/>
  <c r="R1569" i="34"/>
  <c r="R1568" i="34"/>
  <c r="R1567" i="34"/>
  <c r="R1566" i="34"/>
  <c r="R1565" i="34"/>
  <c r="R1564" i="34"/>
  <c r="R1563" i="34"/>
  <c r="R1562" i="34"/>
  <c r="R1561" i="34"/>
  <c r="R1560" i="34"/>
  <c r="R1559" i="34"/>
  <c r="R1558" i="34"/>
  <c r="R1557" i="34"/>
  <c r="R1556" i="34"/>
  <c r="R1555" i="34"/>
  <c r="R1554" i="34"/>
  <c r="R1553" i="34"/>
  <c r="R1552" i="34"/>
  <c r="R1551" i="34"/>
  <c r="R1550" i="34"/>
  <c r="R1549" i="34"/>
  <c r="R1548" i="34"/>
  <c r="R1547" i="34"/>
  <c r="R1546" i="34"/>
  <c r="R1545" i="34"/>
  <c r="R1544" i="34"/>
  <c r="R1543" i="34"/>
  <c r="R1542" i="34"/>
  <c r="R1541" i="34"/>
  <c r="R1540" i="34"/>
  <c r="R1539" i="34"/>
  <c r="R1538" i="34"/>
  <c r="R1537" i="34"/>
  <c r="R1536" i="34"/>
  <c r="R1535" i="34"/>
  <c r="R1534" i="34"/>
  <c r="R1533" i="34"/>
  <c r="R1532" i="34"/>
  <c r="R1531" i="34"/>
  <c r="R1530" i="34"/>
  <c r="R1529" i="34"/>
  <c r="R1528" i="34"/>
  <c r="R1527" i="34"/>
  <c r="R1526" i="34"/>
  <c r="R1525" i="34"/>
  <c r="R1524" i="34"/>
  <c r="R1523" i="34"/>
  <c r="R1522" i="34"/>
  <c r="R1521" i="34"/>
  <c r="R1520" i="34"/>
  <c r="R1519" i="34"/>
  <c r="R1518" i="34"/>
  <c r="R1517" i="34"/>
  <c r="R1516" i="34"/>
  <c r="R1515" i="34"/>
  <c r="R1514" i="34"/>
  <c r="R1513" i="34"/>
  <c r="R1512" i="34"/>
  <c r="R1511" i="34"/>
  <c r="R1510" i="34"/>
  <c r="R1509" i="34"/>
  <c r="R1508" i="34"/>
  <c r="R1507" i="34"/>
  <c r="R1506" i="34"/>
  <c r="R1505" i="34"/>
  <c r="R1504" i="34"/>
  <c r="R1503" i="34"/>
  <c r="R1502" i="34"/>
  <c r="R1501" i="34"/>
  <c r="R1500" i="34"/>
  <c r="R1499" i="34"/>
  <c r="R1498" i="34"/>
  <c r="R1497" i="34"/>
  <c r="R1496" i="34"/>
  <c r="R1495" i="34"/>
  <c r="R1494" i="34"/>
  <c r="R1493" i="34"/>
  <c r="R1492" i="34"/>
  <c r="R1491" i="34"/>
  <c r="R1490" i="34"/>
  <c r="R1489" i="34"/>
  <c r="R1488" i="34"/>
  <c r="R1487" i="34"/>
  <c r="R1486" i="34"/>
  <c r="R1485" i="34"/>
  <c r="R1484" i="34"/>
  <c r="R1483" i="34"/>
  <c r="R1482" i="34"/>
  <c r="R1481" i="34"/>
  <c r="R1480" i="34"/>
  <c r="R1479" i="34"/>
  <c r="R1478" i="34"/>
  <c r="R1477" i="34"/>
  <c r="R1476" i="34"/>
  <c r="R1475" i="34"/>
  <c r="R1474" i="34"/>
  <c r="R1473" i="34"/>
  <c r="R1472" i="34"/>
  <c r="R1471" i="34"/>
  <c r="R1470" i="34"/>
  <c r="R1469" i="34"/>
  <c r="R1468" i="34"/>
  <c r="R1467" i="34"/>
  <c r="R1466" i="34"/>
  <c r="R1465" i="34"/>
  <c r="R1464" i="34"/>
  <c r="R1463" i="34"/>
  <c r="R1462" i="34"/>
  <c r="R1461" i="34"/>
  <c r="R1460" i="34"/>
  <c r="R1459" i="34"/>
  <c r="R1458" i="34"/>
  <c r="R1457" i="34"/>
  <c r="R1456" i="34"/>
  <c r="R1455" i="34"/>
  <c r="R1454" i="34"/>
  <c r="R1453" i="34"/>
  <c r="R1452" i="34"/>
  <c r="R1451" i="34"/>
  <c r="R1450" i="34"/>
  <c r="R1449" i="34"/>
  <c r="R1448" i="34"/>
  <c r="R1447" i="34"/>
  <c r="R1446" i="34"/>
  <c r="R1445" i="34"/>
  <c r="R1444" i="34"/>
  <c r="R1443" i="34"/>
  <c r="R1442" i="34"/>
  <c r="R1441" i="34"/>
  <c r="R1440" i="34"/>
  <c r="R1439" i="34"/>
  <c r="R1438" i="34"/>
  <c r="R1437" i="34"/>
  <c r="R1436" i="34"/>
  <c r="R1435" i="34"/>
  <c r="R1434" i="34"/>
  <c r="R1433" i="34"/>
  <c r="R1432" i="34"/>
  <c r="R1431" i="34"/>
  <c r="R1430" i="34"/>
  <c r="R1429" i="34"/>
  <c r="R1428" i="34"/>
  <c r="R1427" i="34"/>
  <c r="R1426" i="34"/>
  <c r="R1425" i="34"/>
  <c r="R1424" i="34"/>
  <c r="R1423" i="34"/>
  <c r="R1422" i="34"/>
  <c r="R1421" i="34"/>
  <c r="R1420" i="34"/>
  <c r="R1419" i="34"/>
  <c r="R1418" i="34"/>
  <c r="R1417" i="34"/>
  <c r="R1416" i="34"/>
  <c r="R1415" i="34"/>
  <c r="R1414" i="34"/>
  <c r="R1413" i="34"/>
  <c r="R1412" i="34"/>
  <c r="R1411" i="34"/>
  <c r="R1410" i="34"/>
  <c r="R1409" i="34"/>
  <c r="R1408" i="34"/>
  <c r="R1407" i="34"/>
  <c r="R1406" i="34"/>
  <c r="R1405" i="34"/>
  <c r="R1404" i="34"/>
  <c r="R1403" i="34"/>
  <c r="R1402" i="34"/>
  <c r="R1401" i="34"/>
  <c r="R1400" i="34"/>
  <c r="R1399" i="34"/>
  <c r="R1398" i="34"/>
  <c r="R1397" i="34"/>
  <c r="R1396" i="34"/>
  <c r="R1395" i="34"/>
  <c r="R1394" i="34"/>
  <c r="R1393" i="34"/>
  <c r="R1392" i="34"/>
  <c r="R1391" i="34"/>
  <c r="R1390" i="34"/>
  <c r="R1389" i="34"/>
  <c r="R1388" i="34"/>
  <c r="R1387" i="34"/>
  <c r="R1386" i="34"/>
  <c r="R1385" i="34"/>
  <c r="R1384" i="34"/>
  <c r="R1383" i="34"/>
  <c r="R1382" i="34"/>
  <c r="R1381" i="34"/>
  <c r="R1380" i="34"/>
  <c r="R1379" i="34"/>
  <c r="R1378" i="34"/>
  <c r="R1377" i="34"/>
  <c r="R1376" i="34"/>
  <c r="R1375" i="34"/>
  <c r="R1374" i="34"/>
  <c r="R1373" i="34"/>
  <c r="R1372" i="34"/>
  <c r="R1371" i="34"/>
  <c r="R1370" i="34"/>
  <c r="R1369" i="34"/>
  <c r="R1368" i="34"/>
  <c r="R1367" i="34"/>
  <c r="R1366" i="34"/>
  <c r="R1365" i="34"/>
  <c r="R1364" i="34"/>
  <c r="R1363" i="34"/>
  <c r="R1362" i="34"/>
  <c r="R1361" i="34"/>
  <c r="R1360" i="34"/>
  <c r="R1359" i="34"/>
  <c r="R1358" i="34"/>
  <c r="R1357" i="34"/>
  <c r="R1356" i="34"/>
  <c r="R1355" i="34"/>
  <c r="R1354" i="34"/>
  <c r="R1353" i="34"/>
  <c r="R1352" i="34"/>
  <c r="R1351" i="34"/>
  <c r="R1350" i="34"/>
  <c r="R1349" i="34"/>
  <c r="R1348" i="34"/>
  <c r="R1347" i="34"/>
  <c r="R1346" i="34"/>
  <c r="R1345" i="34"/>
  <c r="R1344" i="34"/>
  <c r="R1343" i="34"/>
  <c r="R1342" i="34"/>
  <c r="R1341" i="34"/>
  <c r="R1340" i="34"/>
  <c r="R1339" i="34"/>
  <c r="R1338" i="34"/>
  <c r="R1337" i="34"/>
  <c r="R1336" i="34"/>
  <c r="R1335" i="34"/>
  <c r="R1334" i="34"/>
  <c r="R1333" i="34"/>
  <c r="R1332" i="34"/>
  <c r="R1331" i="34"/>
  <c r="R1330" i="34"/>
  <c r="R1329" i="34"/>
  <c r="R1328" i="34"/>
  <c r="R1327" i="34"/>
  <c r="R1326" i="34"/>
  <c r="R1325" i="34"/>
  <c r="R1324" i="34"/>
  <c r="R1323" i="34"/>
  <c r="R1322" i="34"/>
  <c r="R1321" i="34"/>
  <c r="R1320" i="34"/>
  <c r="R1319" i="34"/>
  <c r="R1318" i="34"/>
  <c r="R1317" i="34"/>
  <c r="R1316" i="34"/>
  <c r="R1315" i="34"/>
  <c r="R1314" i="34"/>
  <c r="R1313" i="34"/>
  <c r="R1312" i="34"/>
  <c r="R1311" i="34"/>
  <c r="R1310" i="34"/>
  <c r="R1309" i="34"/>
  <c r="R1308" i="34"/>
  <c r="R1307" i="34"/>
  <c r="R1306" i="34"/>
  <c r="R1305" i="34"/>
  <c r="R1304" i="34"/>
  <c r="R1303" i="34"/>
  <c r="R1302" i="34"/>
  <c r="R1301" i="34"/>
  <c r="R1300" i="34"/>
  <c r="R1299" i="34"/>
  <c r="R1298" i="34"/>
  <c r="R1297" i="34"/>
  <c r="R1296" i="34"/>
  <c r="R1295" i="34"/>
  <c r="R1294" i="34"/>
  <c r="R1293" i="34"/>
  <c r="R1292" i="34"/>
  <c r="R1291" i="34"/>
  <c r="R1290" i="34"/>
  <c r="R1289" i="34"/>
  <c r="R1288" i="34"/>
  <c r="R1287" i="34"/>
  <c r="R1286" i="34"/>
  <c r="R1285" i="34"/>
  <c r="R1284" i="34"/>
  <c r="R1283" i="34"/>
  <c r="R1282" i="34"/>
  <c r="R1281" i="34"/>
  <c r="R1280" i="34"/>
  <c r="R1279" i="34"/>
  <c r="R1278" i="34"/>
  <c r="R1277" i="34"/>
  <c r="R1276" i="34"/>
  <c r="R1275" i="34"/>
  <c r="R1274" i="34"/>
  <c r="R1273" i="34"/>
  <c r="R1272" i="34"/>
  <c r="R1271" i="34"/>
  <c r="R1270" i="34"/>
  <c r="R1269" i="34"/>
  <c r="R1268" i="34"/>
  <c r="R1267" i="34"/>
  <c r="R1266" i="34"/>
  <c r="R1265" i="34"/>
  <c r="R1264" i="34"/>
  <c r="R1263" i="34"/>
  <c r="R1262" i="34"/>
  <c r="R1261" i="34"/>
  <c r="R1260" i="34"/>
  <c r="R1259" i="34"/>
  <c r="R1258" i="34"/>
  <c r="R1257" i="34"/>
  <c r="R1256" i="34"/>
  <c r="R1255" i="34"/>
  <c r="R1254" i="34"/>
  <c r="R1253" i="34"/>
  <c r="R1252" i="34"/>
  <c r="R1251" i="34"/>
  <c r="R1250" i="34"/>
  <c r="R1249" i="34"/>
  <c r="R1248" i="34"/>
  <c r="R1247" i="34"/>
  <c r="R1246" i="34"/>
  <c r="R1245" i="34"/>
  <c r="R1244" i="34"/>
  <c r="R1243" i="34"/>
  <c r="R1242" i="34"/>
  <c r="R1241" i="34"/>
  <c r="R1240" i="34"/>
  <c r="R1239" i="34"/>
  <c r="R1238" i="34"/>
  <c r="R1237" i="34"/>
  <c r="R1236" i="34"/>
  <c r="R1235" i="34"/>
  <c r="R1234" i="34"/>
  <c r="R1233" i="34"/>
  <c r="R1232" i="34"/>
  <c r="R1231" i="34"/>
  <c r="R1230" i="34"/>
  <c r="R1229" i="34"/>
  <c r="R1228" i="34"/>
  <c r="R1227" i="34"/>
  <c r="R1226" i="34"/>
  <c r="R1225" i="34"/>
  <c r="R1224" i="34"/>
  <c r="R1223" i="34"/>
  <c r="R1222" i="34"/>
  <c r="R1221" i="34"/>
  <c r="R1220" i="34"/>
  <c r="R1219" i="34"/>
  <c r="R1218" i="34"/>
  <c r="R1217" i="34"/>
  <c r="R1216" i="34"/>
  <c r="R1215" i="34"/>
  <c r="R1214" i="34"/>
  <c r="R1213" i="34"/>
  <c r="R1212" i="34"/>
  <c r="R1211" i="34"/>
  <c r="R1210" i="34"/>
  <c r="R1209" i="34"/>
  <c r="R1208" i="34"/>
  <c r="R1207" i="34"/>
  <c r="R1206" i="34"/>
  <c r="R1205" i="34"/>
  <c r="R1204" i="34"/>
  <c r="R1203" i="34"/>
  <c r="R1202" i="34"/>
  <c r="R1201" i="34"/>
  <c r="R1200" i="34"/>
  <c r="R1199" i="34"/>
  <c r="R1198" i="34"/>
  <c r="R1197" i="34"/>
  <c r="R1196" i="34"/>
  <c r="R1195" i="34"/>
  <c r="R1194" i="34"/>
  <c r="R1193" i="34"/>
  <c r="R1192" i="34"/>
  <c r="R1191" i="34"/>
  <c r="R1190" i="34"/>
  <c r="R1189" i="34"/>
  <c r="R1188" i="34"/>
  <c r="R1187" i="34"/>
  <c r="R1186" i="34"/>
  <c r="R1185" i="34"/>
  <c r="R1184" i="34"/>
  <c r="R1183" i="34"/>
  <c r="R1182" i="34"/>
  <c r="R1181" i="34"/>
  <c r="R1180" i="34"/>
  <c r="R1179" i="34"/>
  <c r="R1178" i="34"/>
  <c r="R1177" i="34"/>
  <c r="R1176" i="34"/>
  <c r="R1175" i="34"/>
  <c r="R1174" i="34"/>
  <c r="R1173" i="34"/>
  <c r="R1172" i="34"/>
  <c r="R1171" i="34"/>
  <c r="R1170" i="34"/>
  <c r="R1169" i="34"/>
  <c r="R1168" i="34"/>
  <c r="R1167" i="34"/>
  <c r="R1166" i="34"/>
  <c r="R1165" i="34"/>
  <c r="R1164" i="34"/>
  <c r="R1163" i="34"/>
  <c r="R1162" i="34"/>
  <c r="R1161" i="34"/>
  <c r="R1160" i="34"/>
  <c r="R1159" i="34"/>
  <c r="R1158" i="34"/>
  <c r="R1157" i="34"/>
  <c r="R1156" i="34"/>
  <c r="R1155" i="34"/>
  <c r="R1154" i="34"/>
  <c r="R1153" i="34"/>
  <c r="R1152" i="34"/>
  <c r="R1151" i="34"/>
  <c r="R1150" i="34"/>
  <c r="R1149" i="34"/>
  <c r="R1148" i="34"/>
  <c r="R1147" i="34"/>
  <c r="R1146" i="34"/>
  <c r="R1145" i="34"/>
  <c r="R1144" i="34"/>
  <c r="R1143" i="34"/>
  <c r="R1142" i="34"/>
  <c r="R1141" i="34"/>
  <c r="R1140" i="34"/>
  <c r="R1139" i="34"/>
  <c r="R1138" i="34"/>
  <c r="R1137" i="34"/>
  <c r="R1136" i="34"/>
  <c r="R1135" i="34"/>
  <c r="R1134" i="34"/>
  <c r="R1133" i="34"/>
  <c r="R1132" i="34"/>
  <c r="R1131" i="34"/>
  <c r="R1130" i="34"/>
  <c r="R1129" i="34"/>
  <c r="R1128" i="34"/>
  <c r="R1127" i="34"/>
  <c r="R1126" i="34"/>
  <c r="R1125" i="34"/>
  <c r="R1124" i="34"/>
  <c r="R1123" i="34"/>
  <c r="R1122" i="34"/>
  <c r="R1121" i="34"/>
  <c r="R1120" i="34"/>
  <c r="R1119" i="34"/>
  <c r="R1118" i="34"/>
  <c r="R1117" i="34"/>
  <c r="R1116" i="34"/>
  <c r="R1115" i="34"/>
  <c r="R1114" i="34"/>
  <c r="R1113" i="34"/>
  <c r="R1112" i="34"/>
  <c r="R1111" i="34"/>
  <c r="R1110" i="34"/>
  <c r="R1109" i="34"/>
  <c r="R1108" i="34"/>
  <c r="R1107" i="34"/>
  <c r="R1106" i="34"/>
  <c r="R1105" i="34"/>
  <c r="R1104" i="34"/>
  <c r="R1103" i="34"/>
  <c r="R1102" i="34"/>
  <c r="R1101" i="34"/>
  <c r="R1100" i="34"/>
  <c r="R1099" i="34"/>
  <c r="R1098" i="34"/>
  <c r="R1097" i="34"/>
  <c r="R1096" i="34"/>
  <c r="R1095" i="34"/>
  <c r="R1094" i="34"/>
  <c r="R1093" i="34"/>
  <c r="R1092" i="34"/>
  <c r="R1091" i="34"/>
  <c r="R1090" i="34"/>
  <c r="R1089" i="34"/>
  <c r="R1088" i="34"/>
  <c r="R1087" i="34"/>
  <c r="R1086" i="34"/>
  <c r="R1085" i="34"/>
  <c r="R1084" i="34"/>
  <c r="R1083" i="34"/>
  <c r="R1082" i="34"/>
  <c r="R1081" i="34"/>
  <c r="R1080" i="34"/>
  <c r="R1079" i="34"/>
  <c r="R1078" i="34"/>
  <c r="R1077" i="34"/>
  <c r="R1076" i="34"/>
  <c r="R1075" i="34"/>
  <c r="R1074" i="34"/>
  <c r="R1073" i="34"/>
  <c r="R1072" i="34"/>
  <c r="R1071" i="34"/>
  <c r="R1070" i="34"/>
  <c r="R1069" i="34"/>
  <c r="R1068" i="34"/>
  <c r="R1067" i="34"/>
  <c r="R1066" i="34"/>
  <c r="R1065" i="34"/>
  <c r="R1064" i="34"/>
  <c r="R1063" i="34"/>
  <c r="R1062" i="34"/>
  <c r="R1061" i="34"/>
  <c r="R1060" i="34"/>
  <c r="R1059" i="34"/>
  <c r="R1058" i="34"/>
  <c r="R1057" i="34"/>
  <c r="R1056" i="34"/>
  <c r="R1055" i="34"/>
  <c r="R1054" i="34"/>
  <c r="R1053" i="34"/>
  <c r="R1052" i="34"/>
  <c r="R1051" i="34"/>
  <c r="R1050" i="34"/>
  <c r="R1049" i="34"/>
  <c r="R1048" i="34"/>
  <c r="R1047" i="34"/>
  <c r="R1046" i="34"/>
  <c r="R1045" i="34"/>
  <c r="R1044" i="34"/>
  <c r="R1043" i="34"/>
  <c r="R1042" i="34"/>
  <c r="R1041" i="34"/>
  <c r="R1040" i="34"/>
  <c r="R1039" i="34"/>
  <c r="R1038" i="34"/>
  <c r="R1037" i="34"/>
  <c r="R1036" i="34"/>
  <c r="R1035" i="34"/>
  <c r="R1034" i="34"/>
  <c r="R1033" i="34"/>
  <c r="R1032" i="34"/>
  <c r="R1031" i="34"/>
  <c r="R1030" i="34"/>
  <c r="R1029" i="34"/>
  <c r="R1028" i="34"/>
  <c r="R1027" i="34"/>
  <c r="R1026" i="34"/>
  <c r="R1025" i="34"/>
  <c r="R1024" i="34"/>
  <c r="R1023" i="34"/>
  <c r="R1022" i="34"/>
  <c r="R1021" i="34"/>
  <c r="R1020" i="34"/>
  <c r="R1019" i="34"/>
  <c r="R1018" i="34"/>
  <c r="R1017" i="34"/>
  <c r="R1016" i="34"/>
  <c r="R1015" i="34"/>
  <c r="R1014" i="34"/>
  <c r="R1013" i="34"/>
  <c r="R1012" i="34"/>
  <c r="R1011" i="34"/>
  <c r="R1010" i="34"/>
  <c r="R1009" i="34"/>
  <c r="R1008" i="34"/>
  <c r="R1007" i="34"/>
  <c r="R1006" i="34"/>
  <c r="R1005" i="34"/>
  <c r="R1004" i="34"/>
  <c r="R1003" i="34"/>
  <c r="R1002" i="34"/>
  <c r="R1001" i="34"/>
  <c r="R1000" i="34"/>
  <c r="R999" i="34"/>
  <c r="R998" i="34"/>
  <c r="R997" i="34"/>
  <c r="R996" i="34"/>
  <c r="R995" i="34"/>
  <c r="R994" i="34"/>
  <c r="R993" i="34"/>
  <c r="R992" i="34"/>
  <c r="R991" i="34"/>
  <c r="R990" i="34"/>
  <c r="R989" i="34"/>
  <c r="R988" i="34"/>
  <c r="R987" i="34"/>
  <c r="R986" i="34"/>
  <c r="R985" i="34"/>
  <c r="R984" i="34"/>
  <c r="R983" i="34"/>
  <c r="R982" i="34"/>
  <c r="R981" i="34"/>
  <c r="R980" i="34"/>
  <c r="R979" i="34"/>
  <c r="R978" i="34"/>
  <c r="R977" i="34"/>
  <c r="R976" i="34"/>
  <c r="R975" i="34"/>
  <c r="R974" i="34"/>
  <c r="R973" i="34"/>
  <c r="R972" i="34"/>
  <c r="R971" i="34"/>
  <c r="R970" i="34"/>
  <c r="R969" i="34"/>
  <c r="R968" i="34"/>
  <c r="R967" i="34"/>
  <c r="R966" i="34"/>
  <c r="R965" i="34"/>
  <c r="R964" i="34"/>
  <c r="R963" i="34"/>
  <c r="R962" i="34"/>
  <c r="R961" i="34"/>
  <c r="R960" i="34"/>
  <c r="R959" i="34"/>
  <c r="R958" i="34"/>
  <c r="R957" i="34"/>
  <c r="R956" i="34"/>
  <c r="R955" i="34"/>
  <c r="R954" i="34"/>
  <c r="R953" i="34"/>
  <c r="R952" i="34"/>
  <c r="R951" i="34"/>
  <c r="R950" i="34"/>
  <c r="R949" i="34"/>
  <c r="R948" i="34"/>
  <c r="R947" i="34"/>
  <c r="R946" i="34"/>
  <c r="R945" i="34"/>
  <c r="R944" i="34"/>
  <c r="R943" i="34"/>
  <c r="R942" i="34"/>
  <c r="R941" i="34"/>
  <c r="R940" i="34"/>
  <c r="R939" i="34"/>
  <c r="R938" i="34"/>
  <c r="R937" i="34"/>
  <c r="R936" i="34"/>
  <c r="R935" i="34"/>
  <c r="R934" i="34"/>
  <c r="R933" i="34"/>
  <c r="R932" i="34"/>
  <c r="R931" i="34"/>
  <c r="R930" i="34"/>
  <c r="R929" i="34"/>
  <c r="R928" i="34"/>
  <c r="R927" i="34"/>
  <c r="R926" i="34"/>
  <c r="R925" i="34"/>
  <c r="R924" i="34"/>
  <c r="R923" i="34"/>
  <c r="R922" i="34"/>
  <c r="R921" i="34"/>
  <c r="R920" i="34"/>
  <c r="R919" i="34"/>
  <c r="R918" i="34"/>
  <c r="R917" i="34"/>
  <c r="R916" i="34"/>
  <c r="R915" i="34"/>
  <c r="R914" i="34"/>
  <c r="R913" i="34"/>
  <c r="R912" i="34"/>
  <c r="R911" i="34"/>
  <c r="R910" i="34"/>
  <c r="R909" i="34"/>
  <c r="R908" i="34"/>
  <c r="R907" i="34"/>
  <c r="R906" i="34"/>
  <c r="R905" i="34"/>
  <c r="R904" i="34"/>
  <c r="R903" i="34"/>
  <c r="R902" i="34"/>
  <c r="R901" i="34"/>
  <c r="R900" i="34"/>
  <c r="R899" i="34"/>
  <c r="R898" i="34"/>
  <c r="R897" i="34"/>
  <c r="R896" i="34"/>
  <c r="R895" i="34"/>
  <c r="R894" i="34"/>
  <c r="R893" i="34"/>
  <c r="R892" i="34"/>
  <c r="R891" i="34"/>
  <c r="R890" i="34"/>
  <c r="R889" i="34"/>
  <c r="R888" i="34"/>
  <c r="R887" i="34"/>
  <c r="R886" i="34"/>
  <c r="R885" i="34"/>
  <c r="R884" i="34"/>
  <c r="R883" i="34"/>
  <c r="R882" i="34"/>
  <c r="R881" i="34"/>
  <c r="R880" i="34"/>
  <c r="R879" i="34"/>
  <c r="R878" i="34"/>
  <c r="R877" i="34"/>
  <c r="R876" i="34"/>
  <c r="R875" i="34"/>
  <c r="R874" i="34"/>
  <c r="R873" i="34"/>
  <c r="R872" i="34"/>
  <c r="R871" i="34"/>
  <c r="R870" i="34"/>
  <c r="R869" i="34"/>
  <c r="R868" i="34"/>
  <c r="R867" i="34"/>
  <c r="R866" i="34"/>
  <c r="R865" i="34"/>
  <c r="R864" i="34"/>
  <c r="R863" i="34"/>
  <c r="R862" i="34"/>
  <c r="R861" i="34"/>
  <c r="R860" i="34"/>
  <c r="R859" i="34"/>
  <c r="R858" i="34"/>
  <c r="R857" i="34"/>
  <c r="R856" i="34"/>
  <c r="R855" i="34"/>
  <c r="R854" i="34"/>
  <c r="R853" i="34"/>
  <c r="R852" i="34"/>
  <c r="R851" i="34"/>
  <c r="R850" i="34"/>
  <c r="R849" i="34"/>
  <c r="R848" i="34"/>
  <c r="R847" i="34"/>
  <c r="R846" i="34"/>
  <c r="R845" i="34"/>
  <c r="R844" i="34"/>
  <c r="R843" i="34"/>
  <c r="R842" i="34"/>
  <c r="R841" i="34"/>
  <c r="R840" i="34"/>
  <c r="R839" i="34"/>
  <c r="R838" i="34"/>
  <c r="R837" i="34"/>
  <c r="R836" i="34"/>
  <c r="R835" i="34"/>
  <c r="R834" i="34"/>
  <c r="R833" i="34"/>
  <c r="R832" i="34"/>
  <c r="R831" i="34"/>
  <c r="R830" i="34"/>
  <c r="R829" i="34"/>
  <c r="R828" i="34"/>
  <c r="R827" i="34"/>
  <c r="R826" i="34"/>
  <c r="R825" i="34"/>
  <c r="R824" i="34"/>
  <c r="R823" i="34"/>
  <c r="R822" i="34"/>
  <c r="R821" i="34"/>
  <c r="R820" i="34"/>
  <c r="R819" i="34"/>
  <c r="R818" i="34"/>
  <c r="R817" i="34"/>
  <c r="R816" i="34"/>
  <c r="R815" i="34"/>
  <c r="R814" i="34"/>
  <c r="R813" i="34"/>
  <c r="R812" i="34"/>
  <c r="R811" i="34"/>
  <c r="R810" i="34"/>
  <c r="R809" i="34"/>
  <c r="R808" i="34"/>
  <c r="R807" i="34"/>
  <c r="R806" i="34"/>
  <c r="R805" i="34"/>
  <c r="R804" i="34"/>
  <c r="R803" i="34"/>
  <c r="R802" i="34"/>
  <c r="R801" i="34"/>
  <c r="R800" i="34"/>
  <c r="R799" i="34"/>
  <c r="R798" i="34"/>
  <c r="R797" i="34"/>
  <c r="R796" i="34"/>
  <c r="R795" i="34"/>
  <c r="R794" i="34"/>
  <c r="R793" i="34"/>
  <c r="R792" i="34"/>
  <c r="R791" i="34"/>
  <c r="R790" i="34"/>
  <c r="R789" i="34"/>
  <c r="R788" i="34"/>
  <c r="R787" i="34"/>
  <c r="R786" i="34"/>
  <c r="R785" i="34"/>
  <c r="R784" i="34"/>
  <c r="R783" i="34"/>
  <c r="R782" i="34"/>
  <c r="R781" i="34"/>
  <c r="R780" i="34"/>
  <c r="R779" i="34"/>
  <c r="R778" i="34"/>
  <c r="R777" i="34"/>
  <c r="R776" i="34"/>
  <c r="R775" i="34"/>
  <c r="R774" i="34"/>
  <c r="R773" i="34"/>
  <c r="R772" i="34"/>
  <c r="R771" i="34"/>
  <c r="R770" i="34"/>
  <c r="R769" i="34"/>
  <c r="R768" i="34"/>
  <c r="R767" i="34"/>
  <c r="R766" i="34"/>
  <c r="R765" i="34"/>
  <c r="R764" i="34"/>
  <c r="R763" i="34"/>
  <c r="R762" i="34"/>
  <c r="R761" i="34"/>
  <c r="R760" i="34"/>
  <c r="R759" i="34"/>
  <c r="R758" i="34"/>
  <c r="R757" i="34"/>
  <c r="R756" i="34"/>
  <c r="R755" i="34"/>
  <c r="R754" i="34"/>
  <c r="R753" i="34"/>
  <c r="R752" i="34"/>
  <c r="R751" i="34"/>
  <c r="R750" i="34"/>
  <c r="R749" i="34"/>
  <c r="R748" i="34"/>
  <c r="R747" i="34"/>
  <c r="R746" i="34"/>
  <c r="R745" i="34"/>
  <c r="R744" i="34"/>
  <c r="R743" i="34"/>
  <c r="R742" i="34"/>
  <c r="R741" i="34"/>
  <c r="R740" i="34"/>
  <c r="R739" i="34"/>
  <c r="R738" i="34"/>
  <c r="R737" i="34"/>
  <c r="R736" i="34"/>
  <c r="R735" i="34"/>
  <c r="R734" i="34"/>
  <c r="R733" i="34"/>
  <c r="R732" i="34"/>
  <c r="R731" i="34"/>
  <c r="R730" i="34"/>
  <c r="R729" i="34"/>
  <c r="R728" i="34"/>
  <c r="R727" i="34"/>
  <c r="R726" i="34"/>
  <c r="R725" i="34"/>
  <c r="R724" i="34"/>
  <c r="R723" i="34"/>
  <c r="R722" i="34"/>
  <c r="R721" i="34"/>
  <c r="R720" i="34"/>
  <c r="R719" i="34"/>
  <c r="R718" i="34"/>
  <c r="R717" i="34"/>
  <c r="R716" i="34"/>
  <c r="R715" i="34"/>
  <c r="R714" i="34"/>
  <c r="R713" i="34"/>
  <c r="R712" i="34"/>
  <c r="R711" i="34"/>
  <c r="R710" i="34"/>
  <c r="R709" i="34"/>
  <c r="R708" i="34"/>
  <c r="R707" i="34"/>
  <c r="R706" i="34"/>
  <c r="R705" i="34"/>
  <c r="R704" i="34"/>
  <c r="R703" i="34"/>
  <c r="R702" i="34"/>
  <c r="R701" i="34"/>
  <c r="R700" i="34"/>
  <c r="R699" i="34"/>
  <c r="R698" i="34"/>
  <c r="R697" i="34"/>
  <c r="R696" i="34"/>
  <c r="R695" i="34"/>
  <c r="R694" i="34"/>
  <c r="R693" i="34"/>
  <c r="R692" i="34"/>
  <c r="R691" i="34"/>
  <c r="R690" i="34"/>
  <c r="R689" i="34"/>
  <c r="R688" i="34"/>
  <c r="R687" i="34"/>
  <c r="R686" i="34"/>
  <c r="R685" i="34"/>
  <c r="R684" i="34"/>
  <c r="R683" i="34"/>
  <c r="R682" i="34"/>
  <c r="R681" i="34"/>
  <c r="R680" i="34"/>
  <c r="R679" i="34"/>
  <c r="R678" i="34"/>
  <c r="R677" i="34"/>
  <c r="R676" i="34"/>
  <c r="R675" i="34"/>
  <c r="R674" i="34"/>
  <c r="R673" i="34"/>
  <c r="R672" i="34"/>
  <c r="R671" i="34"/>
  <c r="R670" i="34"/>
  <c r="R669" i="34"/>
  <c r="R668" i="34"/>
  <c r="R667" i="34"/>
  <c r="R666" i="34"/>
  <c r="R665" i="34"/>
  <c r="R664" i="34"/>
  <c r="R663" i="34"/>
  <c r="R662" i="34"/>
  <c r="R661" i="34"/>
  <c r="R660" i="34"/>
  <c r="R659" i="34"/>
  <c r="R658" i="34"/>
  <c r="R657" i="34"/>
  <c r="R656" i="34"/>
  <c r="R655" i="34"/>
  <c r="R654" i="34"/>
  <c r="R653" i="34"/>
  <c r="R652" i="34"/>
  <c r="R651" i="34"/>
  <c r="R650" i="34"/>
  <c r="R649" i="34"/>
  <c r="R648" i="34"/>
  <c r="R647" i="34"/>
  <c r="R646" i="34"/>
  <c r="R645" i="34"/>
  <c r="R644" i="34"/>
  <c r="R643" i="34"/>
  <c r="R642" i="34"/>
  <c r="R641" i="34"/>
  <c r="R640" i="34"/>
  <c r="R639" i="34"/>
  <c r="R638" i="34"/>
  <c r="R637" i="34"/>
  <c r="R636" i="34"/>
  <c r="R635" i="34"/>
  <c r="R634" i="34"/>
  <c r="R633" i="34"/>
  <c r="R632" i="34"/>
  <c r="R631" i="34"/>
  <c r="R630" i="34"/>
  <c r="R629" i="34"/>
  <c r="R628" i="34"/>
  <c r="R627" i="34"/>
  <c r="R626" i="34"/>
  <c r="R625" i="34"/>
  <c r="R624" i="34"/>
  <c r="R623" i="34"/>
  <c r="R622" i="34"/>
  <c r="R621" i="34"/>
  <c r="R620" i="34"/>
  <c r="R619" i="34"/>
  <c r="R618" i="34"/>
  <c r="R617" i="34"/>
  <c r="R616" i="34"/>
  <c r="R615" i="34"/>
  <c r="R614" i="34"/>
  <c r="R613" i="34"/>
  <c r="R612" i="34"/>
  <c r="R611" i="34"/>
  <c r="R610" i="34"/>
  <c r="R609" i="34"/>
  <c r="R608" i="34"/>
  <c r="R607" i="34"/>
  <c r="R606" i="34"/>
  <c r="R605" i="34"/>
  <c r="R604" i="34"/>
  <c r="R603" i="34"/>
  <c r="R602" i="34"/>
  <c r="R601" i="34"/>
  <c r="R600" i="34"/>
  <c r="R599" i="34"/>
  <c r="R598" i="34"/>
  <c r="R597" i="34"/>
  <c r="R596" i="34"/>
  <c r="R595" i="34"/>
  <c r="R594" i="34"/>
  <c r="R593" i="34"/>
  <c r="R592" i="34"/>
  <c r="R591" i="34"/>
  <c r="R590" i="34"/>
  <c r="R589" i="34"/>
  <c r="R588" i="34"/>
  <c r="R587" i="34"/>
  <c r="R586" i="34"/>
  <c r="R585" i="34"/>
  <c r="R584" i="34"/>
  <c r="R583" i="34"/>
  <c r="R582" i="34"/>
  <c r="R581" i="34"/>
  <c r="R580" i="34"/>
  <c r="R579" i="34"/>
  <c r="R578" i="34"/>
  <c r="R577" i="34"/>
  <c r="R576" i="34"/>
  <c r="R575" i="34"/>
  <c r="R574" i="34"/>
  <c r="R573" i="34"/>
  <c r="R572" i="34"/>
  <c r="R571" i="34"/>
  <c r="R570" i="34"/>
  <c r="R569" i="34"/>
  <c r="R568" i="34"/>
  <c r="R567" i="34"/>
  <c r="R566" i="34"/>
  <c r="R565" i="34"/>
  <c r="R564" i="34"/>
  <c r="R563" i="34"/>
  <c r="R562" i="34"/>
  <c r="R561" i="34"/>
  <c r="R560" i="34"/>
  <c r="R559" i="34"/>
  <c r="R558" i="34"/>
  <c r="R557" i="34"/>
  <c r="R556" i="34"/>
  <c r="R555" i="34"/>
  <c r="R554" i="34"/>
  <c r="R553" i="34"/>
  <c r="R552" i="34"/>
  <c r="R551" i="34"/>
  <c r="R550" i="34"/>
  <c r="R549" i="34"/>
  <c r="R548" i="34"/>
  <c r="R547" i="34"/>
  <c r="R546" i="34"/>
  <c r="R545" i="34"/>
  <c r="R544" i="34"/>
  <c r="R543" i="34"/>
  <c r="R542" i="34"/>
  <c r="R541" i="34"/>
  <c r="R540" i="34"/>
  <c r="R539" i="34"/>
  <c r="R538" i="34"/>
  <c r="R537" i="34"/>
  <c r="R536" i="34"/>
  <c r="R535" i="34"/>
  <c r="R534" i="34"/>
  <c r="R533" i="34"/>
  <c r="R532" i="34"/>
  <c r="R531" i="34"/>
  <c r="R530" i="34"/>
  <c r="R529" i="34"/>
  <c r="R528" i="34"/>
  <c r="R527" i="34"/>
  <c r="R526" i="34"/>
  <c r="R525" i="34"/>
  <c r="R524" i="34"/>
  <c r="R523" i="34"/>
  <c r="R522" i="34"/>
  <c r="R521" i="34"/>
  <c r="R520" i="34"/>
  <c r="R519" i="34"/>
  <c r="R518" i="34"/>
  <c r="R517" i="34"/>
  <c r="R516" i="34"/>
  <c r="R515" i="34"/>
  <c r="R514" i="34"/>
  <c r="R513" i="34"/>
  <c r="R512" i="34"/>
  <c r="R511" i="34"/>
  <c r="R510" i="34"/>
  <c r="R509" i="34"/>
  <c r="R508" i="34"/>
  <c r="R507" i="34"/>
  <c r="R506" i="34"/>
  <c r="R505" i="34"/>
  <c r="R504" i="34"/>
  <c r="R503" i="34"/>
  <c r="R502" i="34"/>
  <c r="R501" i="34"/>
  <c r="R500" i="34"/>
  <c r="R499" i="34"/>
  <c r="R498" i="34"/>
  <c r="R497" i="34"/>
  <c r="R496" i="34"/>
  <c r="R495" i="34"/>
  <c r="R494" i="34"/>
  <c r="R493" i="34"/>
  <c r="R492" i="34"/>
  <c r="R491" i="34"/>
  <c r="R490" i="34"/>
  <c r="R489" i="34"/>
  <c r="R488" i="34"/>
  <c r="R487" i="34"/>
  <c r="R486" i="34"/>
  <c r="R485" i="34"/>
  <c r="R484" i="34"/>
  <c r="R483" i="34"/>
  <c r="R482" i="34"/>
  <c r="R481" i="34"/>
  <c r="R480" i="34"/>
  <c r="R479" i="34"/>
  <c r="R478" i="34"/>
  <c r="R477" i="34"/>
  <c r="R476" i="34"/>
  <c r="R475" i="34"/>
  <c r="R474" i="34"/>
  <c r="R473" i="34"/>
  <c r="R472" i="34"/>
  <c r="R471" i="34"/>
  <c r="R470" i="34"/>
  <c r="R469" i="34"/>
  <c r="R468" i="34"/>
  <c r="R467" i="34"/>
  <c r="R466" i="34"/>
  <c r="R465" i="34"/>
  <c r="R464" i="34"/>
  <c r="R463" i="34"/>
  <c r="R462" i="34"/>
  <c r="R461" i="34"/>
  <c r="R460" i="34"/>
  <c r="R459" i="34"/>
  <c r="R458" i="34"/>
  <c r="R457" i="34"/>
  <c r="R456" i="34"/>
  <c r="R455" i="34"/>
  <c r="R454" i="34"/>
  <c r="R453" i="34"/>
  <c r="R452" i="34"/>
  <c r="R451" i="34"/>
  <c r="R450" i="34"/>
  <c r="R449" i="34"/>
  <c r="R448" i="34"/>
  <c r="R447" i="34"/>
  <c r="R446" i="34"/>
  <c r="R445" i="34"/>
  <c r="R444" i="34"/>
  <c r="R443" i="34"/>
  <c r="R442" i="34"/>
  <c r="R441" i="34"/>
  <c r="R440" i="34"/>
  <c r="R439" i="34"/>
  <c r="R438" i="34"/>
  <c r="R437" i="34"/>
  <c r="R436" i="34"/>
  <c r="R435" i="34"/>
  <c r="R434" i="34"/>
  <c r="R433" i="34"/>
  <c r="R432" i="34"/>
  <c r="R431" i="34"/>
  <c r="R430" i="34"/>
  <c r="R429" i="34"/>
  <c r="R428" i="34"/>
  <c r="R427" i="34"/>
  <c r="R426" i="34"/>
  <c r="R425" i="34"/>
  <c r="R424" i="34"/>
  <c r="R423" i="34"/>
  <c r="R422" i="34"/>
  <c r="R421" i="34"/>
  <c r="R420" i="34"/>
  <c r="R419" i="34"/>
  <c r="R418" i="34"/>
  <c r="R417" i="34"/>
  <c r="R416" i="34"/>
  <c r="R415" i="34"/>
  <c r="R414" i="34"/>
  <c r="R413" i="34"/>
  <c r="R412" i="34"/>
  <c r="R411" i="34"/>
  <c r="R410" i="34"/>
  <c r="R409" i="34"/>
  <c r="R408" i="34"/>
  <c r="R407" i="34"/>
  <c r="R406" i="34"/>
  <c r="R405" i="34"/>
  <c r="R404" i="34"/>
  <c r="R403" i="34"/>
  <c r="R402" i="34"/>
  <c r="R401" i="34"/>
  <c r="R400" i="34"/>
  <c r="R399" i="34"/>
  <c r="R398" i="34"/>
  <c r="R397" i="34"/>
  <c r="R396" i="34"/>
  <c r="R395" i="34"/>
  <c r="R394" i="34"/>
  <c r="R393" i="34"/>
  <c r="R392" i="34"/>
  <c r="R391" i="34"/>
  <c r="R390" i="34"/>
  <c r="R389" i="34"/>
  <c r="R388" i="34"/>
  <c r="R387" i="34"/>
  <c r="R386" i="34"/>
  <c r="R385" i="34"/>
  <c r="R384" i="34"/>
  <c r="R383" i="34"/>
  <c r="R382" i="34"/>
  <c r="R381" i="34"/>
  <c r="R380" i="34"/>
  <c r="R379" i="34"/>
  <c r="R378" i="34"/>
  <c r="R377" i="34"/>
  <c r="R376" i="34"/>
  <c r="R375" i="34"/>
  <c r="R374" i="34"/>
  <c r="R373" i="34"/>
  <c r="R372" i="34"/>
  <c r="R371" i="34"/>
  <c r="R370" i="34"/>
  <c r="R369" i="34"/>
  <c r="R368" i="34"/>
  <c r="R367" i="34"/>
  <c r="R366" i="34"/>
  <c r="R365" i="34"/>
  <c r="R364" i="34"/>
  <c r="R363" i="34"/>
  <c r="R362" i="34"/>
  <c r="R361" i="34"/>
  <c r="R360" i="34"/>
  <c r="R359" i="34"/>
  <c r="R358" i="34"/>
  <c r="R357" i="34"/>
  <c r="R356" i="34"/>
  <c r="R355" i="34"/>
  <c r="R354" i="34"/>
  <c r="R353" i="34"/>
  <c r="R352" i="34"/>
  <c r="R351" i="34"/>
  <c r="R350" i="34"/>
  <c r="R349" i="34"/>
  <c r="R348" i="34"/>
  <c r="R347" i="34"/>
  <c r="R346" i="34"/>
  <c r="R345" i="34"/>
  <c r="R344" i="34"/>
  <c r="R343" i="34"/>
  <c r="R342" i="34"/>
  <c r="R341" i="34"/>
  <c r="R340" i="34"/>
  <c r="R339" i="34"/>
  <c r="R338" i="34"/>
  <c r="R337" i="34"/>
  <c r="R336" i="34"/>
  <c r="R335" i="34"/>
  <c r="R334" i="34"/>
  <c r="R333" i="34"/>
  <c r="R332" i="34"/>
  <c r="R331" i="34"/>
  <c r="R330" i="34"/>
  <c r="R329" i="34"/>
  <c r="R328" i="34"/>
  <c r="R327" i="34"/>
  <c r="R326" i="34"/>
  <c r="R325" i="34"/>
  <c r="R324" i="34"/>
  <c r="R323" i="34"/>
  <c r="R322" i="34"/>
  <c r="R321" i="34"/>
  <c r="R320" i="34"/>
  <c r="R319" i="34"/>
  <c r="R318" i="34"/>
  <c r="R317" i="34"/>
  <c r="R316" i="34"/>
  <c r="R315" i="34"/>
  <c r="R314" i="34"/>
  <c r="R313" i="34"/>
  <c r="R312" i="34"/>
  <c r="R311" i="34"/>
  <c r="R310" i="34"/>
  <c r="R309" i="34"/>
  <c r="R308" i="34"/>
  <c r="R307" i="34"/>
  <c r="R306" i="34"/>
  <c r="R305" i="34"/>
  <c r="R304" i="34"/>
  <c r="R303" i="34"/>
  <c r="R302" i="34"/>
  <c r="R301" i="34"/>
  <c r="R300" i="34"/>
  <c r="R299" i="34"/>
  <c r="R298" i="34"/>
  <c r="R297" i="34"/>
  <c r="R296" i="34"/>
  <c r="R295" i="34"/>
  <c r="R294" i="34"/>
  <c r="R293" i="34"/>
  <c r="R292" i="34"/>
  <c r="R291" i="34"/>
  <c r="R290" i="34"/>
  <c r="R289" i="34"/>
  <c r="R288" i="34"/>
  <c r="R287" i="34"/>
  <c r="R286" i="34"/>
  <c r="R285" i="34"/>
  <c r="R284" i="34"/>
  <c r="R283" i="34"/>
  <c r="R282" i="34"/>
  <c r="R281" i="34"/>
  <c r="R280" i="34"/>
  <c r="R279" i="34"/>
  <c r="R278" i="34"/>
  <c r="R277" i="34"/>
  <c r="R276" i="34"/>
  <c r="R275" i="34"/>
  <c r="R274" i="34"/>
  <c r="R273" i="34"/>
  <c r="R272" i="34"/>
  <c r="R271" i="34"/>
  <c r="R270" i="34"/>
  <c r="R269" i="34"/>
  <c r="R268" i="34"/>
  <c r="R267" i="34"/>
  <c r="R266" i="34"/>
  <c r="R265" i="34"/>
  <c r="R264" i="34"/>
  <c r="R263" i="34"/>
  <c r="R262" i="34"/>
  <c r="R261" i="34"/>
  <c r="R260" i="34"/>
  <c r="R259" i="34"/>
  <c r="R258" i="34"/>
  <c r="R257" i="34"/>
  <c r="R256" i="34"/>
  <c r="R255" i="34"/>
  <c r="R254" i="34"/>
  <c r="R253" i="34"/>
  <c r="R252" i="34"/>
  <c r="R251" i="34"/>
  <c r="R250" i="34"/>
  <c r="R249" i="34"/>
  <c r="R248" i="34"/>
  <c r="R247" i="34"/>
  <c r="R246" i="34"/>
  <c r="R245" i="34"/>
  <c r="R244" i="34"/>
  <c r="R243" i="34"/>
  <c r="R242" i="34"/>
  <c r="R241" i="34"/>
  <c r="R240" i="34"/>
  <c r="R239" i="34"/>
  <c r="R238" i="34"/>
  <c r="R237" i="34"/>
  <c r="R236" i="34"/>
  <c r="R235" i="34"/>
  <c r="R234" i="34"/>
  <c r="R233" i="34"/>
  <c r="R232" i="34"/>
  <c r="R231" i="34"/>
  <c r="R230" i="34"/>
  <c r="R229" i="34"/>
  <c r="R228" i="34"/>
  <c r="R227" i="34"/>
  <c r="R226" i="34"/>
  <c r="R225" i="34"/>
  <c r="R224" i="34"/>
  <c r="R223" i="34"/>
  <c r="R222" i="34"/>
  <c r="R221" i="34"/>
  <c r="R220" i="34"/>
  <c r="R219" i="34"/>
  <c r="R218" i="34"/>
  <c r="R217" i="34"/>
  <c r="R216" i="34"/>
  <c r="R215" i="34"/>
  <c r="R214" i="34"/>
  <c r="R213" i="34"/>
  <c r="R212" i="34"/>
  <c r="R211" i="34"/>
  <c r="R210" i="34"/>
  <c r="R209" i="34"/>
  <c r="R208" i="34"/>
  <c r="R207" i="34"/>
  <c r="R206" i="34"/>
  <c r="R205" i="34"/>
  <c r="R204" i="34"/>
  <c r="R203" i="34"/>
  <c r="R202" i="34"/>
  <c r="R201" i="34"/>
  <c r="R200" i="34"/>
  <c r="R199" i="34"/>
  <c r="R198" i="34"/>
  <c r="R197" i="34"/>
  <c r="R196" i="34"/>
  <c r="R195" i="34"/>
  <c r="R194" i="34"/>
  <c r="R193" i="34"/>
  <c r="R192" i="34"/>
  <c r="R191" i="34"/>
  <c r="R190" i="34"/>
  <c r="R189" i="34"/>
  <c r="R188" i="34"/>
  <c r="R187" i="34"/>
  <c r="R186" i="34"/>
  <c r="R185" i="34"/>
  <c r="R184" i="34"/>
  <c r="R183" i="34"/>
  <c r="R182" i="34"/>
  <c r="R181" i="34"/>
  <c r="R180" i="34"/>
  <c r="R179" i="34"/>
  <c r="R178" i="34"/>
  <c r="R177" i="34"/>
  <c r="R176" i="34"/>
  <c r="R175" i="34"/>
  <c r="R174" i="34"/>
  <c r="R173" i="34"/>
  <c r="R172" i="34"/>
  <c r="R171" i="34"/>
  <c r="R170" i="34"/>
  <c r="R169" i="34"/>
  <c r="R168" i="34"/>
  <c r="R167" i="34"/>
  <c r="R166" i="34"/>
  <c r="R165" i="34"/>
  <c r="R164" i="34"/>
  <c r="R163" i="34"/>
  <c r="R162" i="34"/>
  <c r="R161" i="34"/>
  <c r="R160" i="34"/>
  <c r="R159" i="34"/>
  <c r="R158" i="34"/>
  <c r="R157" i="34"/>
  <c r="R156" i="34"/>
  <c r="R155" i="34"/>
  <c r="R154" i="34"/>
  <c r="R153" i="34"/>
  <c r="R152" i="34"/>
  <c r="R151" i="34"/>
  <c r="R150" i="34"/>
  <c r="R149" i="34"/>
  <c r="R148" i="34"/>
  <c r="R147" i="34"/>
  <c r="R146" i="34"/>
  <c r="R145" i="34"/>
  <c r="R144" i="34"/>
  <c r="R143" i="34"/>
  <c r="R142" i="34"/>
  <c r="R141" i="34"/>
  <c r="R140" i="34"/>
  <c r="R139" i="34"/>
  <c r="R138" i="34"/>
  <c r="R137" i="34"/>
  <c r="R136" i="34"/>
  <c r="R135" i="34"/>
  <c r="R134" i="34"/>
  <c r="R133" i="34"/>
  <c r="R132" i="34"/>
  <c r="R131" i="34"/>
  <c r="R130" i="34"/>
  <c r="R129" i="34"/>
  <c r="R128" i="34"/>
  <c r="R127" i="34"/>
  <c r="R126" i="34"/>
  <c r="R125" i="34"/>
  <c r="R124" i="34"/>
  <c r="R123" i="34"/>
  <c r="R122" i="34"/>
  <c r="R121" i="34"/>
  <c r="R120" i="34"/>
  <c r="R119" i="34"/>
  <c r="R118" i="34"/>
  <c r="R117" i="34"/>
  <c r="R116" i="34"/>
  <c r="R115" i="34"/>
  <c r="R114" i="34"/>
  <c r="R113" i="34"/>
  <c r="R112" i="34"/>
  <c r="R111" i="34"/>
  <c r="R110" i="34"/>
  <c r="R109" i="34"/>
  <c r="R108" i="34"/>
  <c r="R107" i="34"/>
  <c r="R106" i="34"/>
  <c r="R105" i="34"/>
  <c r="R104" i="34"/>
  <c r="R103" i="34"/>
  <c r="R102" i="34"/>
  <c r="R101" i="34"/>
  <c r="R100" i="34"/>
  <c r="R99" i="34"/>
  <c r="R98" i="34"/>
  <c r="R97" i="34"/>
  <c r="R96" i="34"/>
  <c r="R95" i="34"/>
  <c r="R94" i="34"/>
  <c r="R93" i="34"/>
  <c r="R92" i="34"/>
  <c r="R91" i="34"/>
  <c r="R90" i="34"/>
  <c r="R89" i="34"/>
  <c r="R88" i="34"/>
  <c r="R87" i="34"/>
  <c r="R86" i="34"/>
  <c r="R85" i="34"/>
  <c r="R84" i="34"/>
  <c r="R83" i="34"/>
  <c r="R82" i="34"/>
  <c r="R81" i="34"/>
  <c r="R80" i="34"/>
  <c r="R79" i="34"/>
  <c r="R78" i="34"/>
  <c r="R77" i="34"/>
  <c r="R76" i="34"/>
  <c r="R75" i="34"/>
  <c r="R74" i="34"/>
  <c r="R73" i="34"/>
  <c r="R72" i="34"/>
  <c r="R71" i="34"/>
  <c r="R70" i="34"/>
  <c r="R69" i="34"/>
  <c r="R68" i="34"/>
  <c r="R67" i="34"/>
  <c r="R66" i="34"/>
  <c r="R65" i="34"/>
  <c r="R64" i="34"/>
  <c r="R63" i="34"/>
  <c r="R62" i="34"/>
  <c r="R61" i="34"/>
  <c r="R60" i="34"/>
  <c r="R59" i="34"/>
  <c r="R58" i="34"/>
  <c r="R57" i="34"/>
  <c r="R56" i="34"/>
  <c r="R55" i="34"/>
  <c r="R54" i="34"/>
  <c r="R53" i="34"/>
  <c r="R52" i="34"/>
  <c r="R51" i="34"/>
  <c r="R50" i="34"/>
  <c r="R49" i="34"/>
  <c r="R48" i="34"/>
  <c r="R47" i="34"/>
  <c r="R46" i="34"/>
  <c r="R45" i="34"/>
  <c r="R44" i="34"/>
  <c r="R43" i="34"/>
  <c r="R42" i="34"/>
  <c r="R41" i="34"/>
  <c r="R40" i="34"/>
  <c r="R39" i="34"/>
  <c r="R38" i="34"/>
  <c r="R37" i="34"/>
  <c r="R36" i="34"/>
  <c r="R35" i="34"/>
  <c r="R34" i="34"/>
  <c r="R33" i="34"/>
  <c r="R32" i="34"/>
  <c r="R31" i="34"/>
  <c r="R30" i="34"/>
  <c r="R29" i="34"/>
  <c r="R28" i="34"/>
  <c r="R27" i="34"/>
  <c r="R26" i="34"/>
  <c r="R25" i="34"/>
  <c r="R24" i="34"/>
  <c r="R23" i="34"/>
  <c r="R22" i="34"/>
  <c r="R21" i="34"/>
  <c r="R20" i="34"/>
  <c r="R19" i="34"/>
  <c r="R18" i="34"/>
  <c r="R17" i="34"/>
  <c r="R16" i="34"/>
  <c r="R15" i="34"/>
  <c r="R14" i="34"/>
  <c r="R13" i="34"/>
  <c r="R12" i="34"/>
  <c r="R11" i="34"/>
  <c r="AD1307" i="34" l="1"/>
  <c r="AC1307" i="34"/>
  <c r="AB1307" i="34"/>
  <c r="AA1307" i="34"/>
  <c r="Z1307" i="34"/>
  <c r="Y1307" i="34"/>
  <c r="X1307" i="34"/>
  <c r="W1307" i="34"/>
  <c r="V1307" i="34"/>
  <c r="U1307" i="34"/>
  <c r="T1307" i="34"/>
  <c r="S1307" i="34"/>
  <c r="AD1306" i="34"/>
  <c r="AC1306" i="34"/>
  <c r="AB1306" i="34"/>
  <c r="AA1306" i="34"/>
  <c r="Z1306" i="34"/>
  <c r="Y1306" i="34"/>
  <c r="X1306" i="34"/>
  <c r="W1306" i="34"/>
  <c r="V1306" i="34"/>
  <c r="U1306" i="34"/>
  <c r="T1306" i="34"/>
  <c r="S1306" i="34"/>
  <c r="AD1305" i="34"/>
  <c r="AC1305" i="34"/>
  <c r="AB1305" i="34"/>
  <c r="AA1305" i="34"/>
  <c r="Z1305" i="34"/>
  <c r="Y1305" i="34"/>
  <c r="X1305" i="34"/>
  <c r="W1305" i="34"/>
  <c r="V1305" i="34"/>
  <c r="U1305" i="34"/>
  <c r="T1305" i="34"/>
  <c r="S1305" i="34"/>
  <c r="AD1304" i="34"/>
  <c r="AC1304" i="34"/>
  <c r="AB1304" i="34"/>
  <c r="AA1304" i="34"/>
  <c r="Z1304" i="34"/>
  <c r="Y1304" i="34"/>
  <c r="X1304" i="34"/>
  <c r="W1304" i="34"/>
  <c r="V1304" i="34"/>
  <c r="U1304" i="34"/>
  <c r="T1304" i="34"/>
  <c r="S1304" i="34"/>
  <c r="AD1303" i="34"/>
  <c r="AC1303" i="34"/>
  <c r="AB1303" i="34"/>
  <c r="AA1303" i="34"/>
  <c r="Z1303" i="34"/>
  <c r="Y1303" i="34"/>
  <c r="X1303" i="34"/>
  <c r="W1303" i="34"/>
  <c r="V1303" i="34"/>
  <c r="U1303" i="34"/>
  <c r="T1303" i="34"/>
  <c r="S1303" i="34"/>
  <c r="AD1301" i="34"/>
  <c r="AC1301" i="34"/>
  <c r="AB1301" i="34"/>
  <c r="AA1301" i="34"/>
  <c r="Z1301" i="34"/>
  <c r="Y1301" i="34"/>
  <c r="X1301" i="34"/>
  <c r="W1301" i="34"/>
  <c r="V1301" i="34"/>
  <c r="U1301" i="34"/>
  <c r="T1301" i="34"/>
  <c r="S1301" i="34"/>
  <c r="AD1300" i="34"/>
  <c r="AC1300" i="34"/>
  <c r="AB1300" i="34"/>
  <c r="AA1300" i="34"/>
  <c r="Z1300" i="34"/>
  <c r="Y1300" i="34"/>
  <c r="X1300" i="34"/>
  <c r="W1300" i="34"/>
  <c r="V1300" i="34"/>
  <c r="U1300" i="34"/>
  <c r="T1300" i="34"/>
  <c r="S1300" i="34"/>
  <c r="AD1299" i="34"/>
  <c r="AC1299" i="34"/>
  <c r="AB1299" i="34"/>
  <c r="AA1299" i="34"/>
  <c r="Z1299" i="34"/>
  <c r="Y1299" i="34"/>
  <c r="X1299" i="34"/>
  <c r="W1299" i="34"/>
  <c r="V1299" i="34"/>
  <c r="U1299" i="34"/>
  <c r="T1299" i="34"/>
  <c r="S1299" i="34"/>
  <c r="BI1471" i="34"/>
  <c r="BH1471" i="34"/>
  <c r="BG1471" i="34"/>
  <c r="BF1471" i="34"/>
  <c r="BE1471" i="34"/>
  <c r="BD1471" i="34"/>
  <c r="BC1471" i="34"/>
  <c r="BA1471" i="34"/>
  <c r="AZ1471" i="34"/>
  <c r="AY1471" i="34"/>
  <c r="AX1471" i="34"/>
  <c r="AW1471" i="34"/>
  <c r="AV1471" i="34"/>
  <c r="AU1471" i="34"/>
  <c r="AS1471" i="34"/>
  <c r="AR1471" i="34"/>
  <c r="AQ1471" i="34"/>
  <c r="AP1471" i="34"/>
  <c r="AO1471" i="34"/>
  <c r="AN1471" i="34"/>
  <c r="AM1471" i="34"/>
  <c r="BI1078" i="34"/>
  <c r="BH1078" i="34"/>
  <c r="BG1078" i="34"/>
  <c r="BF1078" i="34"/>
  <c r="BE1078" i="34"/>
  <c r="BD1078" i="34"/>
  <c r="BC1078" i="34"/>
  <c r="BA1078" i="34"/>
  <c r="AZ1078" i="34"/>
  <c r="AY1078" i="34"/>
  <c r="AX1078" i="34"/>
  <c r="AW1078" i="34"/>
  <c r="AV1078" i="34"/>
  <c r="AU1078" i="34"/>
  <c r="AS1078" i="34"/>
  <c r="AR1078" i="34"/>
  <c r="AQ1078" i="34"/>
  <c r="AP1078" i="34"/>
  <c r="AO1078" i="34"/>
  <c r="AN1078" i="34"/>
  <c r="AM1078" i="34"/>
  <c r="BI459" i="34"/>
  <c r="BH459" i="34"/>
  <c r="BG459" i="34"/>
  <c r="BF459" i="34"/>
  <c r="BE459" i="34"/>
  <c r="BD459" i="34"/>
  <c r="BC459" i="34"/>
  <c r="BA459" i="34"/>
  <c r="AZ459" i="34"/>
  <c r="AY459" i="34"/>
  <c r="AX459" i="34"/>
  <c r="AW459" i="34"/>
  <c r="AV459" i="34"/>
  <c r="AU459" i="34"/>
  <c r="AS459" i="34"/>
  <c r="AR459" i="34"/>
  <c r="AQ459" i="34"/>
  <c r="AP459" i="34"/>
  <c r="AO459" i="34"/>
  <c r="AN459" i="34"/>
  <c r="AM459" i="34"/>
  <c r="BI78" i="34"/>
  <c r="BH78" i="34"/>
  <c r="BG78" i="34"/>
  <c r="BF78" i="34"/>
  <c r="BE78" i="34"/>
  <c r="BD78" i="34"/>
  <c r="BC78" i="34"/>
  <c r="BA78" i="34"/>
  <c r="AZ78" i="34"/>
  <c r="AY78" i="34"/>
  <c r="AX78" i="34"/>
  <c r="AW78" i="34"/>
  <c r="AV78" i="34"/>
  <c r="AU78" i="34"/>
  <c r="AS78" i="34"/>
  <c r="AR78" i="34"/>
  <c r="AQ78" i="34"/>
  <c r="AP78" i="34"/>
  <c r="AO78" i="34"/>
  <c r="AN78" i="34"/>
  <c r="AM78" i="34"/>
  <c r="AQ3" i="34"/>
  <c r="AM3" i="34"/>
  <c r="BG1" i="34"/>
  <c r="BD1" i="34"/>
  <c r="AY1" i="34"/>
  <c r="AV1" i="34"/>
  <c r="Q33" i="8"/>
  <c r="P33" i="8"/>
  <c r="O33" i="8"/>
  <c r="N33" i="8"/>
  <c r="M33" i="8"/>
  <c r="L33" i="8"/>
  <c r="Q32" i="8"/>
  <c r="P32" i="8"/>
  <c r="O32" i="8"/>
  <c r="N32" i="8"/>
  <c r="M32" i="8"/>
  <c r="L32" i="8"/>
  <c r="Q31" i="8"/>
  <c r="P31" i="8"/>
  <c r="O31" i="8"/>
  <c r="N31" i="8"/>
  <c r="M31" i="8"/>
  <c r="L31" i="8"/>
  <c r="Q30" i="8"/>
  <c r="P30" i="8"/>
  <c r="O30" i="8"/>
  <c r="N30" i="8"/>
  <c r="M30" i="8"/>
  <c r="L30" i="8"/>
  <c r="Q29" i="8"/>
  <c r="P29" i="8"/>
  <c r="O29" i="8"/>
  <c r="N29" i="8"/>
  <c r="M29" i="8"/>
  <c r="L29" i="8"/>
  <c r="Q28" i="8"/>
  <c r="P28" i="8"/>
  <c r="O28" i="8"/>
  <c r="N28" i="8"/>
  <c r="M28" i="8"/>
  <c r="L28" i="8"/>
  <c r="Q27" i="8"/>
  <c r="P27" i="8"/>
  <c r="O27" i="8"/>
  <c r="N27" i="8"/>
  <c r="M27" i="8"/>
  <c r="L27" i="8"/>
  <c r="Q26" i="8"/>
  <c r="P26" i="8"/>
  <c r="O26" i="8"/>
  <c r="N26" i="8"/>
  <c r="M26" i="8"/>
  <c r="L26" i="8"/>
  <c r="Q25" i="8"/>
  <c r="P25" i="8"/>
  <c r="O25" i="8"/>
  <c r="N25" i="8"/>
  <c r="M25" i="8"/>
  <c r="L25" i="8"/>
  <c r="Q24" i="8"/>
  <c r="P24" i="8"/>
  <c r="O24" i="8"/>
  <c r="N24" i="8"/>
  <c r="M24" i="8"/>
  <c r="L24" i="8"/>
  <c r="Q23" i="8"/>
  <c r="P23" i="8"/>
  <c r="O23" i="8"/>
  <c r="N23" i="8"/>
  <c r="M23" i="8"/>
  <c r="L23" i="8"/>
  <c r="Q22" i="8"/>
  <c r="P22" i="8"/>
  <c r="O22" i="8"/>
  <c r="N22" i="8"/>
  <c r="M22" i="8"/>
  <c r="L22" i="8"/>
  <c r="L16" i="8"/>
  <c r="L17" i="8" s="1"/>
  <c r="N15" i="8"/>
  <c r="N16" i="8" s="1"/>
  <c r="N17" i="8" s="1"/>
  <c r="M15" i="8"/>
  <c r="M16" i="8" s="1"/>
  <c r="M17" i="8" s="1"/>
  <c r="L15" i="8"/>
  <c r="N13" i="8"/>
  <c r="N14" i="8" s="1"/>
  <c r="N12" i="8"/>
  <c r="M12" i="8"/>
  <c r="M13" i="8" s="1"/>
  <c r="M14" i="8" s="1"/>
  <c r="L12" i="8"/>
  <c r="L13" i="8" s="1"/>
  <c r="L14" i="8" s="1"/>
  <c r="M10" i="8"/>
  <c r="M11" i="8" s="1"/>
  <c r="N9" i="8"/>
  <c r="N10" i="8" s="1"/>
  <c r="N11" i="8" s="1"/>
  <c r="M9" i="8"/>
  <c r="L9" i="8"/>
  <c r="P7" i="8"/>
  <c r="P8" i="8" s="1"/>
  <c r="P9" i="8" s="1"/>
  <c r="P10" i="8" s="1"/>
  <c r="P11" i="8" s="1"/>
  <c r="P12" i="8" s="1"/>
  <c r="P13" i="8" s="1"/>
  <c r="P14" i="8" s="1"/>
  <c r="P15" i="8" s="1"/>
  <c r="P16" i="8" s="1"/>
  <c r="P17" i="8" s="1"/>
  <c r="L7" i="8"/>
  <c r="L8" i="8" s="1"/>
  <c r="Q6" i="8"/>
  <c r="Q7" i="8" s="1"/>
  <c r="Q8" i="8" s="1"/>
  <c r="Q9" i="8" s="1"/>
  <c r="Q10" i="8" s="1"/>
  <c r="Q11" i="8" s="1"/>
  <c r="Q12" i="8" s="1"/>
  <c r="Q13" i="8" s="1"/>
  <c r="Q14" i="8" s="1"/>
  <c r="Q15" i="8" s="1"/>
  <c r="Q16" i="8" s="1"/>
  <c r="Q17" i="8" s="1"/>
  <c r="P6" i="8"/>
  <c r="O6" i="8"/>
  <c r="O7" i="8" s="1"/>
  <c r="O8" i="8" s="1"/>
  <c r="O9" i="8" s="1"/>
  <c r="O10" i="8" s="1"/>
  <c r="O11" i="8" s="1"/>
  <c r="O12" i="8" s="1"/>
  <c r="O13" i="8" s="1"/>
  <c r="O14" i="8" s="1"/>
  <c r="O15" i="8" s="1"/>
  <c r="O16" i="8" s="1"/>
  <c r="O17" i="8" s="1"/>
  <c r="N6" i="8"/>
  <c r="N7" i="8" s="1"/>
  <c r="N8" i="8" s="1"/>
  <c r="M6" i="8"/>
  <c r="M7" i="8" s="1"/>
  <c r="M8" i="8" s="1"/>
  <c r="L6" i="8"/>
  <c r="D1097" i="34"/>
  <c r="D1098" i="34" s="1"/>
  <c r="D1038" i="34"/>
  <c r="D1039" i="34" s="1"/>
  <c r="D1040" i="34" s="1"/>
  <c r="D1041" i="34" s="1"/>
  <c r="D1042" i="34" s="1"/>
  <c r="D1043" i="34" s="1"/>
  <c r="D1044" i="34" s="1"/>
  <c r="D1045" i="34" s="1"/>
  <c r="D1046" i="34" s="1"/>
  <c r="D1047" i="34" s="1"/>
  <c r="D1048" i="34" s="1"/>
  <c r="D1049" i="34" s="1"/>
  <c r="D1050" i="34" s="1"/>
  <c r="D1051" i="34" s="1"/>
  <c r="D1052" i="34" s="1"/>
  <c r="D1053" i="34" s="1"/>
  <c r="D1054" i="34" s="1"/>
  <c r="D1055" i="34" s="1"/>
  <c r="D1056" i="34" s="1"/>
  <c r="D1057" i="34" s="1"/>
  <c r="D1058" i="34" s="1"/>
  <c r="D1059" i="34" s="1"/>
  <c r="D1060" i="34" s="1"/>
  <c r="D1061" i="34" s="1"/>
  <c r="D1062" i="34" s="1"/>
  <c r="D1063" i="34" s="1"/>
  <c r="D1064" i="34" s="1"/>
  <c r="D878" i="34"/>
  <c r="D879" i="34" s="1"/>
  <c r="D880" i="34" s="1"/>
  <c r="D881" i="34" s="1"/>
  <c r="D824" i="34"/>
  <c r="D825" i="34" s="1"/>
  <c r="D826" i="34" s="1"/>
  <c r="D827" i="34" s="1"/>
  <c r="D809" i="34"/>
  <c r="D810" i="34" s="1"/>
  <c r="D785" i="34"/>
  <c r="D786" i="34" s="1"/>
  <c r="D787" i="34" s="1"/>
  <c r="D788" i="34" s="1"/>
  <c r="D770" i="34"/>
  <c r="D771" i="34" s="1"/>
  <c r="D418" i="34"/>
  <c r="D419" i="34" s="1"/>
  <c r="D420" i="34" s="1"/>
  <c r="D395" i="34"/>
  <c r="D396" i="34" s="1"/>
  <c r="D391" i="34"/>
  <c r="D371" i="34"/>
  <c r="D361" i="34"/>
  <c r="C15" i="34"/>
  <c r="C16" i="34" s="1"/>
  <c r="C17" i="34" s="1"/>
  <c r="C18" i="34" s="1"/>
  <c r="C19" i="34" s="1"/>
  <c r="C20" i="34" s="1"/>
  <c r="C21" i="34" s="1"/>
  <c r="C22" i="34" s="1"/>
  <c r="C23" i="34" s="1"/>
  <c r="C24" i="34" s="1"/>
  <c r="C25" i="34" s="1"/>
  <c r="C26" i="34" s="1"/>
  <c r="C27" i="34" s="1"/>
  <c r="C28" i="34" s="1"/>
  <c r="C29" i="34" s="1"/>
  <c r="C30" i="34" s="1"/>
  <c r="C31" i="34" s="1"/>
  <c r="C32" i="34" s="1"/>
  <c r="C33" i="34" s="1"/>
  <c r="C34" i="34" s="1"/>
  <c r="C35" i="34" s="1"/>
  <c r="C36" i="34" s="1"/>
  <c r="C37" i="34" s="1"/>
  <c r="C38" i="34" s="1"/>
  <c r="C39" i="34" s="1"/>
  <c r="C40" i="34" s="1"/>
  <c r="C41" i="34" s="1"/>
  <c r="C42" i="34" s="1"/>
  <c r="C43" i="34" s="1"/>
  <c r="C44" i="34" s="1"/>
  <c r="C45" i="34" s="1"/>
  <c r="C46" i="34" s="1"/>
  <c r="C47" i="34" s="1"/>
  <c r="C48" i="34" s="1"/>
  <c r="C49" i="34" s="1"/>
  <c r="C50" i="34" s="1"/>
  <c r="C51" i="34" s="1"/>
  <c r="C52" i="34" s="1"/>
  <c r="C53" i="34" s="1"/>
  <c r="C54" i="34" s="1"/>
  <c r="C55" i="34" s="1"/>
  <c r="C56" i="34" s="1"/>
  <c r="C57" i="34" s="1"/>
  <c r="C58" i="34" s="1"/>
  <c r="C59" i="34" s="1"/>
  <c r="C60" i="34" s="1"/>
  <c r="C61" i="34" s="1"/>
  <c r="C62" i="34" s="1"/>
  <c r="C63" i="34" s="1"/>
  <c r="C64" i="34" s="1"/>
  <c r="C65" i="34" s="1"/>
  <c r="C66" i="34" s="1"/>
  <c r="C67" i="34" s="1"/>
  <c r="C68" i="34" s="1"/>
  <c r="C69" i="34" s="1"/>
  <c r="C70" i="34" s="1"/>
  <c r="C71" i="34" s="1"/>
  <c r="C72" i="34" s="1"/>
  <c r="C73" i="34" s="1"/>
  <c r="C74" i="34" s="1"/>
  <c r="C75" i="34" s="1"/>
  <c r="C76" i="34" s="1"/>
  <c r="C77" i="34" s="1"/>
  <c r="C78" i="34" s="1"/>
  <c r="C79" i="34" s="1"/>
  <c r="C80" i="34" s="1"/>
  <c r="C81" i="34" s="1"/>
  <c r="C82" i="34" s="1"/>
  <c r="C83" i="34" s="1"/>
  <c r="C84" i="34" s="1"/>
  <c r="C85" i="34" s="1"/>
  <c r="C86" i="34" s="1"/>
  <c r="C87" i="34" s="1"/>
  <c r="C88" i="34" s="1"/>
  <c r="C89" i="34" s="1"/>
  <c r="C90" i="34" s="1"/>
  <c r="C91" i="34" s="1"/>
  <c r="C92" i="34" s="1"/>
  <c r="C93" i="34" s="1"/>
  <c r="C94" i="34" s="1"/>
  <c r="C95" i="34" s="1"/>
  <c r="C96" i="34" s="1"/>
  <c r="C97" i="34" s="1"/>
  <c r="C98" i="34" s="1"/>
  <c r="C99" i="34" s="1"/>
  <c r="C100" i="34" s="1"/>
  <c r="C101" i="34" s="1"/>
  <c r="C102" i="34" s="1"/>
  <c r="C103" i="34" s="1"/>
  <c r="C104" i="34" s="1"/>
  <c r="C105" i="34" s="1"/>
  <c r="C106" i="34" s="1"/>
  <c r="C107" i="34" s="1"/>
  <c r="C108" i="34" s="1"/>
  <c r="C109" i="34" s="1"/>
  <c r="C110" i="34" s="1"/>
  <c r="C111" i="34" s="1"/>
  <c r="C112" i="34" s="1"/>
  <c r="C113" i="34" s="1"/>
  <c r="C114" i="34" s="1"/>
  <c r="C115" i="34" s="1"/>
  <c r="C116" i="34" s="1"/>
  <c r="C117" i="34" s="1"/>
  <c r="C118" i="34" s="1"/>
  <c r="C119" i="34" s="1"/>
  <c r="C120" i="34" s="1"/>
  <c r="C121" i="34" s="1"/>
  <c r="C122" i="34" s="1"/>
  <c r="C123" i="34" s="1"/>
  <c r="C124" i="34" s="1"/>
  <c r="C125" i="34" s="1"/>
  <c r="C126" i="34" s="1"/>
  <c r="C127" i="34" s="1"/>
  <c r="C128" i="34" s="1"/>
  <c r="C129" i="34" s="1"/>
  <c r="C130" i="34" s="1"/>
  <c r="C131" i="34" s="1"/>
  <c r="C132" i="34" s="1"/>
  <c r="C133" i="34" s="1"/>
  <c r="C134" i="34" s="1"/>
  <c r="C135" i="34" s="1"/>
  <c r="C136" i="34" s="1"/>
  <c r="C137" i="34" s="1"/>
  <c r="C138" i="34" s="1"/>
  <c r="C139" i="34" s="1"/>
  <c r="C140" i="34" s="1"/>
  <c r="C141" i="34" s="1"/>
  <c r="C142" i="34" s="1"/>
  <c r="C143" i="34" s="1"/>
  <c r="C144" i="34" s="1"/>
  <c r="C145" i="34" s="1"/>
  <c r="C146" i="34" s="1"/>
  <c r="C147" i="34" s="1"/>
  <c r="C148" i="34" s="1"/>
  <c r="C149" i="34" s="1"/>
  <c r="C150" i="34" s="1"/>
  <c r="C151" i="34" s="1"/>
  <c r="C152" i="34" s="1"/>
  <c r="C153" i="34" s="1"/>
  <c r="C154" i="34" s="1"/>
  <c r="C155" i="34" s="1"/>
  <c r="C156" i="34" s="1"/>
  <c r="C157" i="34" s="1"/>
  <c r="C158" i="34" s="1"/>
  <c r="C159" i="34" s="1"/>
  <c r="C160" i="34" s="1"/>
  <c r="C161" i="34" s="1"/>
  <c r="C162" i="34" s="1"/>
  <c r="C163" i="34" s="1"/>
  <c r="C164" i="34" s="1"/>
  <c r="C165" i="34" s="1"/>
  <c r="C166" i="34" s="1"/>
  <c r="C167" i="34" s="1"/>
  <c r="C168" i="34" s="1"/>
  <c r="C169" i="34" s="1"/>
  <c r="C170" i="34" s="1"/>
  <c r="C171" i="34" s="1"/>
  <c r="C172" i="34" s="1"/>
  <c r="C173" i="34" s="1"/>
  <c r="C174" i="34" s="1"/>
  <c r="C175" i="34" s="1"/>
  <c r="C176" i="34" s="1"/>
  <c r="C177" i="34" s="1"/>
  <c r="C178" i="34" s="1"/>
  <c r="C179" i="34" s="1"/>
  <c r="C180" i="34" s="1"/>
  <c r="C181" i="34" s="1"/>
  <c r="C182" i="34" s="1"/>
  <c r="C183" i="34" s="1"/>
  <c r="C184" i="34" s="1"/>
  <c r="C185" i="34" s="1"/>
  <c r="C186" i="34" s="1"/>
  <c r="C187" i="34" s="1"/>
  <c r="C188" i="34" s="1"/>
  <c r="C189" i="34" s="1"/>
  <c r="C190" i="34" s="1"/>
  <c r="C191" i="34" s="1"/>
  <c r="C192" i="34" s="1"/>
  <c r="C193" i="34" s="1"/>
  <c r="C194" i="34" s="1"/>
  <c r="C195" i="34" s="1"/>
  <c r="C196" i="34" s="1"/>
  <c r="C197" i="34" s="1"/>
  <c r="C198" i="34" s="1"/>
  <c r="C199" i="34" s="1"/>
  <c r="C200" i="34" s="1"/>
  <c r="C201" i="34" s="1"/>
  <c r="C202" i="34" s="1"/>
  <c r="C203" i="34" s="1"/>
  <c r="C204" i="34" s="1"/>
  <c r="C205" i="34" s="1"/>
  <c r="C206" i="34" s="1"/>
  <c r="C207" i="34" s="1"/>
  <c r="C208" i="34" s="1"/>
  <c r="C209" i="34" s="1"/>
  <c r="C210" i="34" s="1"/>
  <c r="C211" i="34" s="1"/>
  <c r="C212" i="34" s="1"/>
  <c r="C213" i="34" s="1"/>
  <c r="C214" i="34" s="1"/>
  <c r="C215" i="34" s="1"/>
  <c r="C216" i="34" s="1"/>
  <c r="C217" i="34" s="1"/>
  <c r="C218" i="34" s="1"/>
  <c r="C219" i="34" s="1"/>
  <c r="C220" i="34" s="1"/>
  <c r="C221" i="34" s="1"/>
  <c r="C222" i="34" s="1"/>
  <c r="C223" i="34" s="1"/>
  <c r="C224" i="34" s="1"/>
  <c r="C225" i="34" s="1"/>
  <c r="C226" i="34" s="1"/>
  <c r="C227" i="34" s="1"/>
  <c r="C228" i="34" s="1"/>
  <c r="C229" i="34" s="1"/>
  <c r="C230" i="34" s="1"/>
  <c r="C231" i="34" s="1"/>
  <c r="C232" i="34" s="1"/>
  <c r="C233" i="34" s="1"/>
  <c r="C234" i="34" s="1"/>
  <c r="C235" i="34" s="1"/>
  <c r="C236" i="34" s="1"/>
  <c r="C237" i="34" s="1"/>
  <c r="C238" i="34" s="1"/>
  <c r="C239" i="34" s="1"/>
  <c r="C240" i="34" s="1"/>
  <c r="C241" i="34" s="1"/>
  <c r="C242" i="34" s="1"/>
  <c r="C243" i="34" s="1"/>
  <c r="C244" i="34" s="1"/>
  <c r="C245" i="34" s="1"/>
  <c r="C246" i="34" s="1"/>
  <c r="C247" i="34" s="1"/>
  <c r="C248" i="34" s="1"/>
  <c r="C249" i="34" s="1"/>
  <c r="C250" i="34" s="1"/>
  <c r="C251" i="34" s="1"/>
  <c r="C252" i="34" s="1"/>
  <c r="C253" i="34" s="1"/>
  <c r="C254" i="34" s="1"/>
  <c r="C255" i="34" s="1"/>
  <c r="C256" i="34" s="1"/>
  <c r="C257" i="34" s="1"/>
  <c r="C258" i="34" s="1"/>
  <c r="C259" i="34" s="1"/>
  <c r="C260" i="34" s="1"/>
  <c r="C261" i="34" s="1"/>
  <c r="C262" i="34" s="1"/>
  <c r="C263" i="34" s="1"/>
  <c r="C264" i="34" s="1"/>
  <c r="C265" i="34" s="1"/>
  <c r="C266" i="34" s="1"/>
  <c r="C267" i="34" s="1"/>
  <c r="C268" i="34" s="1"/>
  <c r="C269" i="34" s="1"/>
  <c r="C270" i="34" s="1"/>
  <c r="C271" i="34" s="1"/>
  <c r="C272" i="34" s="1"/>
  <c r="C273" i="34" s="1"/>
  <c r="C274" i="34" s="1"/>
  <c r="C275" i="34" s="1"/>
  <c r="C276" i="34" s="1"/>
  <c r="C277" i="34" s="1"/>
  <c r="C278" i="34" s="1"/>
  <c r="C279" i="34" s="1"/>
  <c r="C280" i="34" s="1"/>
  <c r="C281" i="34" s="1"/>
  <c r="C282" i="34" s="1"/>
  <c r="C283" i="34" s="1"/>
  <c r="C284" i="34" s="1"/>
  <c r="C285" i="34" s="1"/>
  <c r="C286" i="34" s="1"/>
  <c r="C287" i="34" s="1"/>
  <c r="C288" i="34" s="1"/>
  <c r="C289" i="34" s="1"/>
  <c r="C290" i="34" s="1"/>
  <c r="C291" i="34" s="1"/>
  <c r="C292" i="34" s="1"/>
  <c r="C293" i="34" s="1"/>
  <c r="C294" i="34" s="1"/>
  <c r="C295" i="34" s="1"/>
  <c r="C296" i="34" s="1"/>
  <c r="C297" i="34" s="1"/>
  <c r="C298" i="34" s="1"/>
  <c r="C299" i="34" s="1"/>
  <c r="C300" i="34" s="1"/>
  <c r="C301" i="34" s="1"/>
  <c r="C302" i="34" s="1"/>
  <c r="C303" i="34" s="1"/>
  <c r="C304" i="34" s="1"/>
  <c r="C305" i="34" s="1"/>
  <c r="C306" i="34" s="1"/>
  <c r="C307" i="34" s="1"/>
  <c r="C308" i="34" s="1"/>
  <c r="C309" i="34" s="1"/>
  <c r="C310" i="34" s="1"/>
  <c r="C311" i="34" s="1"/>
  <c r="C312" i="34" s="1"/>
  <c r="C313" i="34" s="1"/>
  <c r="C314" i="34" s="1"/>
  <c r="C315" i="34" s="1"/>
  <c r="C316" i="34" s="1"/>
  <c r="C317" i="34" s="1"/>
  <c r="C318" i="34" s="1"/>
  <c r="C319" i="34" s="1"/>
  <c r="C320" i="34" s="1"/>
  <c r="C321" i="34" s="1"/>
  <c r="C322" i="34" s="1"/>
  <c r="C323" i="34" s="1"/>
  <c r="C324" i="34" s="1"/>
  <c r="C325" i="34" s="1"/>
  <c r="C326" i="34" s="1"/>
  <c r="C327" i="34" s="1"/>
  <c r="C328" i="34" s="1"/>
  <c r="C329" i="34" s="1"/>
  <c r="C330" i="34" s="1"/>
  <c r="C331" i="34" s="1"/>
  <c r="C332" i="34" s="1"/>
  <c r="C333" i="34" s="1"/>
  <c r="C334" i="34" s="1"/>
  <c r="C335" i="34" s="1"/>
  <c r="C336" i="34" s="1"/>
  <c r="C337" i="34" s="1"/>
  <c r="C338" i="34" s="1"/>
  <c r="C339" i="34" s="1"/>
  <c r="C340" i="34" s="1"/>
  <c r="C341" i="34" s="1"/>
  <c r="C342" i="34" s="1"/>
  <c r="C343" i="34" s="1"/>
  <c r="C344" i="34" s="1"/>
  <c r="C345" i="34" s="1"/>
  <c r="C346" i="34" s="1"/>
  <c r="C347" i="34" s="1"/>
  <c r="C348" i="34" s="1"/>
  <c r="C349" i="34" s="1"/>
  <c r="C350" i="34" s="1"/>
  <c r="C351" i="34" s="1"/>
  <c r="C352" i="34" s="1"/>
  <c r="C353" i="34" s="1"/>
  <c r="C354" i="34" s="1"/>
  <c r="C355" i="34" s="1"/>
  <c r="C356" i="34" s="1"/>
  <c r="C357" i="34" s="1"/>
  <c r="C358" i="34" s="1"/>
  <c r="C359" i="34" s="1"/>
  <c r="C360" i="34" s="1"/>
  <c r="C361" i="34" s="1"/>
  <c r="C362" i="34" s="1"/>
  <c r="C363" i="34" s="1"/>
  <c r="C364" i="34" s="1"/>
  <c r="C365" i="34" s="1"/>
  <c r="C366" i="34" s="1"/>
  <c r="C367" i="34" s="1"/>
  <c r="C368" i="34" s="1"/>
  <c r="C369" i="34" s="1"/>
  <c r="C370" i="34" s="1"/>
  <c r="C371" i="34" s="1"/>
  <c r="C372" i="34" s="1"/>
  <c r="C373" i="34" s="1"/>
  <c r="C374" i="34" s="1"/>
  <c r="C375" i="34" s="1"/>
  <c r="C376" i="34" s="1"/>
  <c r="C377" i="34" s="1"/>
  <c r="C378" i="34" s="1"/>
  <c r="C379" i="34" s="1"/>
  <c r="C380" i="34" s="1"/>
  <c r="C381" i="34" s="1"/>
  <c r="C382" i="34" s="1"/>
  <c r="C383" i="34" s="1"/>
  <c r="C384" i="34" s="1"/>
  <c r="C385" i="34" s="1"/>
  <c r="C386" i="34" s="1"/>
  <c r="C387" i="34" s="1"/>
  <c r="C388" i="34" s="1"/>
  <c r="C389" i="34" s="1"/>
  <c r="C390" i="34" s="1"/>
  <c r="C391" i="34" s="1"/>
  <c r="C392" i="34" s="1"/>
  <c r="C393" i="34" s="1"/>
  <c r="C394" i="34" s="1"/>
  <c r="C395" i="34" s="1"/>
  <c r="C396" i="34" s="1"/>
  <c r="C397" i="34" s="1"/>
  <c r="C398" i="34" s="1"/>
  <c r="C399" i="34" s="1"/>
  <c r="C400" i="34" s="1"/>
  <c r="C401" i="34" s="1"/>
  <c r="C402" i="34" s="1"/>
  <c r="C403" i="34" s="1"/>
  <c r="C404" i="34" s="1"/>
  <c r="C405" i="34" s="1"/>
  <c r="C406" i="34" s="1"/>
  <c r="C407" i="34" s="1"/>
  <c r="C408" i="34" s="1"/>
  <c r="C409" i="34" s="1"/>
  <c r="C410" i="34" s="1"/>
  <c r="C411" i="34" s="1"/>
  <c r="C412" i="34" s="1"/>
  <c r="C413" i="34" s="1"/>
  <c r="C414" i="34" s="1"/>
  <c r="C415" i="34" s="1"/>
  <c r="C416" i="34" s="1"/>
  <c r="C417" i="34" s="1"/>
  <c r="C418" i="34" s="1"/>
  <c r="C419" i="34" s="1"/>
  <c r="C420" i="34" s="1"/>
  <c r="C421" i="34" s="1"/>
  <c r="C422" i="34" s="1"/>
  <c r="C423" i="34" s="1"/>
  <c r="C424" i="34" s="1"/>
  <c r="C425" i="34" s="1"/>
  <c r="C426" i="34" s="1"/>
  <c r="C427" i="34" s="1"/>
  <c r="C428" i="34" s="1"/>
  <c r="C429" i="34" s="1"/>
  <c r="C430" i="34" s="1"/>
  <c r="C431" i="34" s="1"/>
  <c r="C432" i="34" s="1"/>
  <c r="C433" i="34" s="1"/>
  <c r="C434" i="34" s="1"/>
  <c r="C435" i="34" s="1"/>
  <c r="C436" i="34" s="1"/>
  <c r="C437" i="34" s="1"/>
  <c r="C438" i="34" s="1"/>
  <c r="C439" i="34" s="1"/>
  <c r="C440" i="34" s="1"/>
  <c r="C441" i="34" s="1"/>
  <c r="C442" i="34" s="1"/>
  <c r="C443" i="34" s="1"/>
  <c r="C444" i="34" s="1"/>
  <c r="C445" i="34" s="1"/>
  <c r="C446" i="34" s="1"/>
  <c r="C447" i="34" s="1"/>
  <c r="C448" i="34" s="1"/>
  <c r="C449" i="34" s="1"/>
  <c r="C450" i="34" s="1"/>
  <c r="C451" i="34" s="1"/>
  <c r="C452" i="34" s="1"/>
  <c r="C453" i="34" s="1"/>
  <c r="C454" i="34" s="1"/>
  <c r="C455" i="34" s="1"/>
  <c r="C456" i="34" s="1"/>
  <c r="C457" i="34" s="1"/>
  <c r="C458" i="34" s="1"/>
  <c r="C459" i="34" s="1"/>
  <c r="C460" i="34" s="1"/>
  <c r="C461" i="34" s="1"/>
  <c r="C462" i="34" s="1"/>
  <c r="C463" i="34" s="1"/>
  <c r="C464" i="34" s="1"/>
  <c r="C465" i="34" s="1"/>
  <c r="C466" i="34" s="1"/>
  <c r="C467" i="34" s="1"/>
  <c r="C468" i="34" s="1"/>
  <c r="C469" i="34" s="1"/>
  <c r="C470" i="34" s="1"/>
  <c r="C471" i="34" s="1"/>
  <c r="C472" i="34" s="1"/>
  <c r="C473" i="34" s="1"/>
  <c r="C474" i="34" s="1"/>
  <c r="C475" i="34" s="1"/>
  <c r="C476" i="34" s="1"/>
  <c r="C477" i="34" s="1"/>
  <c r="C478" i="34" s="1"/>
  <c r="C479" i="34" s="1"/>
  <c r="C480" i="34" s="1"/>
  <c r="C481" i="34" s="1"/>
  <c r="C482" i="34" s="1"/>
  <c r="C483" i="34" s="1"/>
  <c r="C484" i="34" s="1"/>
  <c r="C485" i="34" s="1"/>
  <c r="C486" i="34" s="1"/>
  <c r="C487" i="34" s="1"/>
  <c r="C488" i="34" s="1"/>
  <c r="C489" i="34" s="1"/>
  <c r="C490" i="34" s="1"/>
  <c r="C491" i="34" s="1"/>
  <c r="C492" i="34" s="1"/>
  <c r="C493" i="34" s="1"/>
  <c r="C494" i="34" s="1"/>
  <c r="C495" i="34" s="1"/>
  <c r="C496" i="34" s="1"/>
  <c r="C497" i="34" s="1"/>
  <c r="C498" i="34" s="1"/>
  <c r="C499" i="34" s="1"/>
  <c r="C500" i="34" s="1"/>
  <c r="C501" i="34" s="1"/>
  <c r="C502" i="34" s="1"/>
  <c r="C503" i="34" s="1"/>
  <c r="C504" i="34" s="1"/>
  <c r="C505" i="34" s="1"/>
  <c r="C506" i="34" s="1"/>
  <c r="C507" i="34" s="1"/>
  <c r="C508" i="34" s="1"/>
  <c r="C509" i="34" s="1"/>
  <c r="C510" i="34" s="1"/>
  <c r="C511" i="34" s="1"/>
  <c r="C512" i="34" s="1"/>
  <c r="C513" i="34" s="1"/>
  <c r="C514" i="34" s="1"/>
  <c r="C515" i="34" s="1"/>
  <c r="C516" i="34" s="1"/>
  <c r="C517" i="34" s="1"/>
  <c r="C518" i="34" s="1"/>
  <c r="C519" i="34" s="1"/>
  <c r="C520" i="34" s="1"/>
  <c r="C521" i="34" s="1"/>
  <c r="C522" i="34" s="1"/>
  <c r="C523" i="34" s="1"/>
  <c r="C524" i="34" s="1"/>
  <c r="C525" i="34" s="1"/>
  <c r="C526" i="34" s="1"/>
  <c r="C527" i="34" s="1"/>
  <c r="C528" i="34" s="1"/>
  <c r="C529" i="34" s="1"/>
  <c r="C530" i="34" s="1"/>
  <c r="C531" i="34" s="1"/>
  <c r="C532" i="34" s="1"/>
  <c r="C533" i="34" s="1"/>
  <c r="C534" i="34" s="1"/>
  <c r="C535" i="34" s="1"/>
  <c r="C536" i="34" s="1"/>
  <c r="C537" i="34" s="1"/>
  <c r="C538" i="34" s="1"/>
  <c r="C539" i="34" s="1"/>
  <c r="C540" i="34" s="1"/>
  <c r="C541" i="34" s="1"/>
  <c r="C542" i="34" s="1"/>
  <c r="C543" i="34" s="1"/>
  <c r="C544" i="34" s="1"/>
  <c r="C545" i="34" s="1"/>
  <c r="C546" i="34" s="1"/>
  <c r="C547" i="34" s="1"/>
  <c r="C548" i="34" s="1"/>
  <c r="C549" i="34" s="1"/>
  <c r="C550" i="34" s="1"/>
  <c r="C551" i="34" s="1"/>
  <c r="C552" i="34" s="1"/>
  <c r="C553" i="34" s="1"/>
  <c r="C554" i="34" s="1"/>
  <c r="C555" i="34" s="1"/>
  <c r="C556" i="34" s="1"/>
  <c r="C557" i="34" s="1"/>
  <c r="C558" i="34" s="1"/>
  <c r="C559" i="34" s="1"/>
  <c r="C560" i="34" s="1"/>
  <c r="C561" i="34" s="1"/>
  <c r="C562" i="34" s="1"/>
  <c r="C563" i="34" s="1"/>
  <c r="C564" i="34" s="1"/>
  <c r="C565" i="34" s="1"/>
  <c r="C566" i="34" s="1"/>
  <c r="C567" i="34" s="1"/>
  <c r="C568" i="34" s="1"/>
  <c r="C569" i="34" s="1"/>
  <c r="C570" i="34" s="1"/>
  <c r="C571" i="34" s="1"/>
  <c r="C572" i="34" s="1"/>
  <c r="C573" i="34" s="1"/>
  <c r="C574" i="34" s="1"/>
  <c r="C575" i="34" s="1"/>
  <c r="C576" i="34" s="1"/>
  <c r="C577" i="34" s="1"/>
  <c r="C578" i="34" s="1"/>
  <c r="C579" i="34" s="1"/>
  <c r="C580" i="34" s="1"/>
  <c r="C581" i="34" s="1"/>
  <c r="C582" i="34" s="1"/>
  <c r="C583" i="34" s="1"/>
  <c r="C584" i="34" s="1"/>
  <c r="C585" i="34" s="1"/>
  <c r="C586" i="34" s="1"/>
  <c r="C587" i="34" s="1"/>
  <c r="C588" i="34" s="1"/>
  <c r="C589" i="34" s="1"/>
  <c r="C590" i="34" s="1"/>
  <c r="C591" i="34" s="1"/>
  <c r="C592" i="34" s="1"/>
  <c r="C593" i="34" s="1"/>
  <c r="C594" i="34" s="1"/>
  <c r="C595" i="34" s="1"/>
  <c r="C596" i="34" s="1"/>
  <c r="C597" i="34" s="1"/>
  <c r="C598" i="34" s="1"/>
  <c r="C599" i="34" s="1"/>
  <c r="C600" i="34" s="1"/>
  <c r="C601" i="34" s="1"/>
  <c r="C602" i="34" s="1"/>
  <c r="C603" i="34" s="1"/>
  <c r="C604" i="34" s="1"/>
  <c r="C605" i="34" s="1"/>
  <c r="C606" i="34" s="1"/>
  <c r="C607" i="34" s="1"/>
  <c r="C608" i="34" s="1"/>
  <c r="C609" i="34" s="1"/>
  <c r="C610" i="34" s="1"/>
  <c r="C611" i="34" s="1"/>
  <c r="C612" i="34" s="1"/>
  <c r="C613" i="34" s="1"/>
  <c r="C614" i="34" s="1"/>
  <c r="C615" i="34" s="1"/>
  <c r="C616" i="34" s="1"/>
  <c r="C617" i="34" s="1"/>
  <c r="C618" i="34" s="1"/>
  <c r="C619" i="34" s="1"/>
  <c r="C620" i="34" s="1"/>
  <c r="C621" i="34" s="1"/>
  <c r="C622" i="34" s="1"/>
  <c r="C623" i="34" s="1"/>
  <c r="C624" i="34" s="1"/>
  <c r="C625" i="34" s="1"/>
  <c r="C626" i="34" s="1"/>
  <c r="C627" i="34" s="1"/>
  <c r="C628" i="34" s="1"/>
  <c r="C629" i="34" s="1"/>
  <c r="C630" i="34" s="1"/>
  <c r="C631" i="34" s="1"/>
  <c r="C632" i="34" s="1"/>
  <c r="C633" i="34" s="1"/>
  <c r="C634" i="34" s="1"/>
  <c r="C635" i="34" s="1"/>
  <c r="C636" i="34" s="1"/>
  <c r="C637" i="34" s="1"/>
  <c r="C638" i="34" s="1"/>
  <c r="C639" i="34" s="1"/>
  <c r="C640" i="34" s="1"/>
  <c r="C641" i="34" s="1"/>
  <c r="C642" i="34" s="1"/>
  <c r="C643" i="34" s="1"/>
  <c r="C644" i="34" s="1"/>
  <c r="C645" i="34" s="1"/>
  <c r="C646" i="34" s="1"/>
  <c r="C647" i="34" s="1"/>
  <c r="C648" i="34" s="1"/>
  <c r="C649" i="34" s="1"/>
  <c r="C650" i="34" s="1"/>
  <c r="C651" i="34" s="1"/>
  <c r="C652" i="34" s="1"/>
  <c r="C653" i="34" s="1"/>
  <c r="C654" i="34" s="1"/>
  <c r="C655" i="34" s="1"/>
  <c r="C656" i="34" s="1"/>
  <c r="C657" i="34" s="1"/>
  <c r="C658" i="34" s="1"/>
  <c r="C659" i="34" s="1"/>
  <c r="C660" i="34" s="1"/>
  <c r="C661" i="34" s="1"/>
  <c r="C662" i="34" s="1"/>
  <c r="C663" i="34" s="1"/>
  <c r="C664" i="34" s="1"/>
  <c r="C665" i="34" s="1"/>
  <c r="C666" i="34" s="1"/>
  <c r="C667" i="34" s="1"/>
  <c r="C668" i="34" s="1"/>
  <c r="C669" i="34" s="1"/>
  <c r="C670" i="34" s="1"/>
  <c r="C671" i="34" s="1"/>
  <c r="C672" i="34" s="1"/>
  <c r="C673" i="34" s="1"/>
  <c r="C674" i="34" s="1"/>
  <c r="C675" i="34" s="1"/>
  <c r="C676" i="34" s="1"/>
  <c r="C677" i="34" s="1"/>
  <c r="C678" i="34" s="1"/>
  <c r="C679" i="34" s="1"/>
  <c r="C680" i="34" s="1"/>
  <c r="C681" i="34" s="1"/>
  <c r="C682" i="34" s="1"/>
  <c r="C683" i="34" s="1"/>
  <c r="C684" i="34" s="1"/>
  <c r="C685" i="34" s="1"/>
  <c r="C686" i="34" s="1"/>
  <c r="C687" i="34" s="1"/>
  <c r="C688" i="34" s="1"/>
  <c r="C689" i="34" s="1"/>
  <c r="C690" i="34" s="1"/>
  <c r="C691" i="34" s="1"/>
  <c r="C692" i="34" s="1"/>
  <c r="C693" i="34" s="1"/>
  <c r="C694" i="34" s="1"/>
  <c r="C695" i="34" s="1"/>
  <c r="C696" i="34" s="1"/>
  <c r="C697" i="34" s="1"/>
  <c r="C698" i="34" s="1"/>
  <c r="C699" i="34" s="1"/>
  <c r="C700" i="34" s="1"/>
  <c r="C701" i="34" s="1"/>
  <c r="C702" i="34" s="1"/>
  <c r="C703" i="34" s="1"/>
  <c r="C704" i="34" s="1"/>
  <c r="C705" i="34" s="1"/>
  <c r="C706" i="34" s="1"/>
  <c r="C707" i="34" s="1"/>
  <c r="C708" i="34" s="1"/>
  <c r="C709" i="34" s="1"/>
  <c r="C710" i="34" s="1"/>
  <c r="C711" i="34" s="1"/>
  <c r="C712" i="34" s="1"/>
  <c r="C713" i="34" s="1"/>
  <c r="C714" i="34" s="1"/>
  <c r="C715" i="34" s="1"/>
  <c r="C716" i="34" s="1"/>
  <c r="C717" i="34" s="1"/>
  <c r="C718" i="34" s="1"/>
  <c r="C719" i="34" s="1"/>
  <c r="C720" i="34" s="1"/>
  <c r="C721" i="34" s="1"/>
  <c r="C722" i="34" s="1"/>
  <c r="C723" i="34" s="1"/>
  <c r="C724" i="34" s="1"/>
  <c r="C725" i="34" s="1"/>
  <c r="C726" i="34" s="1"/>
  <c r="C727" i="34" s="1"/>
  <c r="C728" i="34" s="1"/>
  <c r="C729" i="34" s="1"/>
  <c r="C730" i="34" s="1"/>
  <c r="C731" i="34" s="1"/>
  <c r="C732" i="34" s="1"/>
  <c r="C733" i="34" s="1"/>
  <c r="C734" i="34" s="1"/>
  <c r="C735" i="34" s="1"/>
  <c r="C736" i="34" s="1"/>
  <c r="C737" i="34" s="1"/>
  <c r="C738" i="34" s="1"/>
  <c r="C739" i="34" s="1"/>
  <c r="C740" i="34" s="1"/>
  <c r="C741" i="34" s="1"/>
  <c r="C742" i="34" s="1"/>
  <c r="C743" i="34" s="1"/>
  <c r="C744" i="34" s="1"/>
  <c r="C745" i="34" s="1"/>
  <c r="C746" i="34" s="1"/>
  <c r="C747" i="34" s="1"/>
  <c r="C748" i="34" s="1"/>
  <c r="C749" i="34" s="1"/>
  <c r="C750" i="34" s="1"/>
  <c r="C751" i="34" s="1"/>
  <c r="C752" i="34" s="1"/>
  <c r="C753" i="34" s="1"/>
  <c r="C754" i="34" s="1"/>
  <c r="C755" i="34" s="1"/>
  <c r="C756" i="34" s="1"/>
  <c r="C757" i="34" s="1"/>
  <c r="C758" i="34" s="1"/>
  <c r="C759" i="34" s="1"/>
  <c r="C760" i="34" s="1"/>
  <c r="C761" i="34" s="1"/>
  <c r="C762" i="34" s="1"/>
  <c r="C763" i="34" s="1"/>
  <c r="C764" i="34" s="1"/>
  <c r="C765" i="34" s="1"/>
  <c r="C766" i="34" s="1"/>
  <c r="C767" i="34" s="1"/>
  <c r="C768" i="34" s="1"/>
  <c r="C769" i="34" s="1"/>
  <c r="C770" i="34" s="1"/>
  <c r="C771" i="34" s="1"/>
  <c r="C772" i="34" s="1"/>
  <c r="C773" i="34" s="1"/>
  <c r="C774" i="34" s="1"/>
  <c r="C775" i="34" s="1"/>
  <c r="C776" i="34" s="1"/>
  <c r="C777" i="34" s="1"/>
  <c r="C778" i="34" s="1"/>
  <c r="C779" i="34" s="1"/>
  <c r="C780" i="34" s="1"/>
  <c r="C781" i="34" s="1"/>
  <c r="C782" i="34" s="1"/>
  <c r="C783" i="34" s="1"/>
  <c r="C784" i="34" s="1"/>
  <c r="C785" i="34" s="1"/>
  <c r="C786" i="34" s="1"/>
  <c r="C787" i="34" s="1"/>
  <c r="C788" i="34" s="1"/>
  <c r="C789" i="34" s="1"/>
  <c r="C790" i="34" s="1"/>
  <c r="C791" i="34" s="1"/>
  <c r="C792" i="34" s="1"/>
  <c r="C793" i="34" s="1"/>
  <c r="C794" i="34" s="1"/>
  <c r="C795" i="34" s="1"/>
  <c r="C796" i="34" s="1"/>
  <c r="C797" i="34" s="1"/>
  <c r="C798" i="34" s="1"/>
  <c r="C799" i="34" s="1"/>
  <c r="C800" i="34" s="1"/>
  <c r="C801" i="34" s="1"/>
  <c r="C802" i="34" s="1"/>
  <c r="C803" i="34" s="1"/>
  <c r="C804" i="34" s="1"/>
  <c r="C805" i="34" s="1"/>
  <c r="C806" i="34" s="1"/>
  <c r="C807" i="34" s="1"/>
  <c r="C808" i="34" s="1"/>
  <c r="C809" i="34" s="1"/>
  <c r="C810" i="34" s="1"/>
  <c r="C811" i="34" s="1"/>
  <c r="C812" i="34" s="1"/>
  <c r="C813" i="34" s="1"/>
  <c r="C814" i="34" s="1"/>
  <c r="C815" i="34" s="1"/>
  <c r="C816" i="34" s="1"/>
  <c r="C817" i="34" s="1"/>
  <c r="C818" i="34" s="1"/>
  <c r="C819" i="34" s="1"/>
  <c r="C820" i="34" s="1"/>
  <c r="C821" i="34" s="1"/>
  <c r="C822" i="34" s="1"/>
  <c r="C823" i="34" s="1"/>
  <c r="C824" i="34" s="1"/>
  <c r="C825" i="34" s="1"/>
  <c r="C826" i="34" s="1"/>
  <c r="C827" i="34" s="1"/>
  <c r="C828" i="34" s="1"/>
  <c r="C829" i="34" s="1"/>
  <c r="C830" i="34" s="1"/>
  <c r="C831" i="34" s="1"/>
  <c r="C832" i="34" s="1"/>
  <c r="C833" i="34" s="1"/>
  <c r="C834" i="34" s="1"/>
  <c r="C835" i="34" s="1"/>
  <c r="C836" i="34" s="1"/>
  <c r="C837" i="34" s="1"/>
  <c r="C838" i="34" s="1"/>
  <c r="C839" i="34" s="1"/>
  <c r="C840" i="34" s="1"/>
  <c r="C841" i="34" s="1"/>
  <c r="C842" i="34" s="1"/>
  <c r="C843" i="34" s="1"/>
  <c r="C844" i="34" s="1"/>
  <c r="C845" i="34" s="1"/>
  <c r="C846" i="34" s="1"/>
  <c r="C847" i="34" s="1"/>
  <c r="C848" i="34" s="1"/>
  <c r="C849" i="34" s="1"/>
  <c r="C850" i="34" s="1"/>
  <c r="C851" i="34" s="1"/>
  <c r="C852" i="34" s="1"/>
  <c r="C853" i="34" s="1"/>
  <c r="C854" i="34" s="1"/>
  <c r="C855" i="34" s="1"/>
  <c r="C856" i="34" s="1"/>
  <c r="C857" i="34" s="1"/>
  <c r="C858" i="34" s="1"/>
  <c r="C859" i="34" s="1"/>
  <c r="C860" i="34" s="1"/>
  <c r="C861" i="34" s="1"/>
  <c r="C862" i="34" s="1"/>
  <c r="C863" i="34" s="1"/>
  <c r="C864" i="34" s="1"/>
  <c r="C865" i="34" s="1"/>
  <c r="C866" i="34" s="1"/>
  <c r="C867" i="34" s="1"/>
  <c r="C868" i="34" s="1"/>
  <c r="C869" i="34" s="1"/>
  <c r="C870" i="34" s="1"/>
  <c r="C871" i="34" s="1"/>
  <c r="C872" i="34" s="1"/>
  <c r="C873" i="34" s="1"/>
  <c r="C874" i="34" s="1"/>
  <c r="C875" i="34" s="1"/>
  <c r="C876" i="34" s="1"/>
  <c r="C877" i="34" s="1"/>
  <c r="C878" i="34" s="1"/>
  <c r="C879" i="34" s="1"/>
  <c r="C880" i="34" s="1"/>
  <c r="C881" i="34" s="1"/>
  <c r="C882" i="34" s="1"/>
  <c r="C883" i="34" s="1"/>
  <c r="C884" i="34" s="1"/>
  <c r="C885" i="34" s="1"/>
  <c r="C886" i="34" s="1"/>
  <c r="C887" i="34" s="1"/>
  <c r="C888" i="34" s="1"/>
  <c r="C889" i="34" s="1"/>
  <c r="C890" i="34" s="1"/>
  <c r="C891" i="34" s="1"/>
  <c r="C892" i="34" s="1"/>
  <c r="C893" i="34" s="1"/>
  <c r="C894" i="34" s="1"/>
  <c r="C895" i="34" s="1"/>
  <c r="C896" i="34" s="1"/>
  <c r="C897" i="34" s="1"/>
  <c r="C898" i="34" s="1"/>
  <c r="C899" i="34" s="1"/>
  <c r="C900" i="34" s="1"/>
  <c r="C901" i="34" s="1"/>
  <c r="C902" i="34" s="1"/>
  <c r="C903" i="34" s="1"/>
  <c r="C904" i="34" s="1"/>
  <c r="C905" i="34" s="1"/>
  <c r="C906" i="34" s="1"/>
  <c r="C907" i="34" s="1"/>
  <c r="C908" i="34" s="1"/>
  <c r="C909" i="34" s="1"/>
  <c r="C910" i="34" s="1"/>
  <c r="C911" i="34" s="1"/>
  <c r="C912" i="34" s="1"/>
  <c r="C913" i="34" s="1"/>
  <c r="C914" i="34" s="1"/>
  <c r="C915" i="34" s="1"/>
  <c r="C916" i="34" s="1"/>
  <c r="C917" i="34" s="1"/>
  <c r="C918" i="34" s="1"/>
  <c r="C919" i="34" s="1"/>
  <c r="C920" i="34" s="1"/>
  <c r="C921" i="34" s="1"/>
  <c r="C922" i="34" s="1"/>
  <c r="C923" i="34" s="1"/>
  <c r="C924" i="34" s="1"/>
  <c r="C925" i="34" s="1"/>
  <c r="C926" i="34" s="1"/>
  <c r="C927" i="34" s="1"/>
  <c r="C928" i="34" s="1"/>
  <c r="C929" i="34" s="1"/>
  <c r="C930" i="34" s="1"/>
  <c r="C931" i="34" s="1"/>
  <c r="C932" i="34" s="1"/>
  <c r="C933" i="34" s="1"/>
  <c r="C934" i="34" s="1"/>
  <c r="C935" i="34" s="1"/>
  <c r="C936" i="34" s="1"/>
  <c r="C937" i="34" s="1"/>
  <c r="C938" i="34" s="1"/>
  <c r="C939" i="34" s="1"/>
  <c r="C940" i="34" s="1"/>
  <c r="C941" i="34" s="1"/>
  <c r="C942" i="34" s="1"/>
  <c r="C943" i="34" s="1"/>
  <c r="C944" i="34" s="1"/>
  <c r="C945" i="34" s="1"/>
  <c r="C946" i="34" s="1"/>
  <c r="C947" i="34" s="1"/>
  <c r="C948" i="34" s="1"/>
  <c r="C949" i="34" s="1"/>
  <c r="C950" i="34" s="1"/>
  <c r="C951" i="34" s="1"/>
  <c r="C952" i="34" s="1"/>
  <c r="C953" i="34" s="1"/>
  <c r="C954" i="34" s="1"/>
  <c r="C955" i="34" s="1"/>
  <c r="C956" i="34" s="1"/>
  <c r="C957" i="34" s="1"/>
  <c r="C958" i="34" s="1"/>
  <c r="C959" i="34" s="1"/>
  <c r="C960" i="34" s="1"/>
  <c r="C961" i="34" s="1"/>
  <c r="C962" i="34" s="1"/>
  <c r="C963" i="34" s="1"/>
  <c r="C964" i="34" s="1"/>
  <c r="C965" i="34" s="1"/>
  <c r="C966" i="34" s="1"/>
  <c r="C967" i="34" s="1"/>
  <c r="C968" i="34" s="1"/>
  <c r="C969" i="34" s="1"/>
  <c r="C970" i="34" s="1"/>
  <c r="C971" i="34" s="1"/>
  <c r="C972" i="34" s="1"/>
  <c r="C973" i="34" s="1"/>
  <c r="C974" i="34" s="1"/>
  <c r="C975" i="34" s="1"/>
  <c r="C976" i="34" s="1"/>
  <c r="C977" i="34" s="1"/>
  <c r="C978" i="34" s="1"/>
  <c r="C979" i="34" s="1"/>
  <c r="C980" i="34" s="1"/>
  <c r="C981" i="34" s="1"/>
  <c r="C982" i="34" s="1"/>
  <c r="C983" i="34" s="1"/>
  <c r="C984" i="34" s="1"/>
  <c r="C985" i="34" s="1"/>
  <c r="C986" i="34" s="1"/>
  <c r="C987" i="34" s="1"/>
  <c r="C988" i="34" s="1"/>
  <c r="C989" i="34" s="1"/>
  <c r="C990" i="34" s="1"/>
  <c r="C991" i="34" s="1"/>
  <c r="C992" i="34" s="1"/>
  <c r="C993" i="34" s="1"/>
  <c r="C994" i="34" s="1"/>
  <c r="C995" i="34" s="1"/>
  <c r="C996" i="34" s="1"/>
  <c r="C997" i="34" s="1"/>
  <c r="C998" i="34" s="1"/>
  <c r="C999" i="34" s="1"/>
  <c r="C1000" i="34" s="1"/>
  <c r="C1001" i="34" s="1"/>
  <c r="C1002" i="34" s="1"/>
  <c r="C1003" i="34" s="1"/>
  <c r="C1004" i="34" s="1"/>
  <c r="C1005" i="34" s="1"/>
  <c r="C1006" i="34" s="1"/>
  <c r="C1007" i="34" s="1"/>
  <c r="C1008" i="34" s="1"/>
  <c r="C1009" i="34" s="1"/>
  <c r="C1010" i="34" s="1"/>
  <c r="C1011" i="34" s="1"/>
  <c r="C1012" i="34" s="1"/>
  <c r="C1013" i="34" s="1"/>
  <c r="C1014" i="34" s="1"/>
  <c r="C1015" i="34" s="1"/>
  <c r="C1016" i="34" s="1"/>
  <c r="C1017" i="34" s="1"/>
  <c r="C1018" i="34" s="1"/>
  <c r="C1019" i="34" s="1"/>
  <c r="C1020" i="34" s="1"/>
  <c r="C1021" i="34" s="1"/>
  <c r="C1022" i="34" s="1"/>
  <c r="C1023" i="34" s="1"/>
  <c r="C1024" i="34" s="1"/>
  <c r="C1025" i="34" s="1"/>
  <c r="C1026" i="34" s="1"/>
  <c r="C1027" i="34" s="1"/>
  <c r="C1028" i="34" s="1"/>
  <c r="C1029" i="34" s="1"/>
  <c r="C1030" i="34" s="1"/>
  <c r="C1031" i="34" s="1"/>
  <c r="C1032" i="34" s="1"/>
  <c r="C1033" i="34" s="1"/>
  <c r="C1034" i="34" s="1"/>
  <c r="C1035" i="34" s="1"/>
  <c r="C1036" i="34" s="1"/>
  <c r="C1037" i="34" s="1"/>
  <c r="C1038" i="34" s="1"/>
  <c r="C1039" i="34" s="1"/>
  <c r="C1040" i="34" s="1"/>
  <c r="C1041" i="34" s="1"/>
  <c r="C1042" i="34" s="1"/>
  <c r="C1043" i="34" s="1"/>
  <c r="C1044" i="34" s="1"/>
  <c r="C1045" i="34" s="1"/>
  <c r="C1046" i="34" s="1"/>
  <c r="C1047" i="34" s="1"/>
  <c r="C1048" i="34" s="1"/>
  <c r="C1049" i="34" s="1"/>
  <c r="C1050" i="34" s="1"/>
  <c r="C1051" i="34" s="1"/>
  <c r="C1052" i="34" s="1"/>
  <c r="C1053" i="34" s="1"/>
  <c r="C1054" i="34" s="1"/>
  <c r="C1055" i="34" s="1"/>
  <c r="C1056" i="34" s="1"/>
  <c r="C1057" i="34" s="1"/>
  <c r="C1058" i="34" s="1"/>
  <c r="C1059" i="34" s="1"/>
  <c r="C1060" i="34" s="1"/>
  <c r="C1061" i="34" s="1"/>
  <c r="C1062" i="34" s="1"/>
  <c r="C1063" i="34" s="1"/>
  <c r="C1064" i="34" s="1"/>
  <c r="C1065" i="34" s="1"/>
  <c r="C1066" i="34" s="1"/>
  <c r="C1067" i="34" s="1"/>
  <c r="C1068" i="34" s="1"/>
  <c r="C1069" i="34" s="1"/>
  <c r="C1070" i="34" s="1"/>
  <c r="C1071" i="34" s="1"/>
  <c r="C1072" i="34" s="1"/>
  <c r="C1073" i="34" s="1"/>
  <c r="C1074" i="34" s="1"/>
  <c r="C1075" i="34" s="1"/>
  <c r="C1076" i="34" s="1"/>
  <c r="C1077" i="34" s="1"/>
  <c r="C1078" i="34" s="1"/>
  <c r="C1079" i="34" s="1"/>
  <c r="C1080" i="34" s="1"/>
  <c r="C1081" i="34" s="1"/>
  <c r="C1082" i="34" s="1"/>
  <c r="C1083" i="34" s="1"/>
  <c r="C1084" i="34" s="1"/>
  <c r="C1085" i="34" s="1"/>
  <c r="C1086" i="34" s="1"/>
  <c r="C1087" i="34" s="1"/>
  <c r="C1088" i="34" s="1"/>
  <c r="C1089" i="34" s="1"/>
  <c r="C1090" i="34" s="1"/>
  <c r="C1091" i="34" s="1"/>
  <c r="C1092" i="34" s="1"/>
  <c r="C1093" i="34" s="1"/>
  <c r="C1094" i="34" s="1"/>
  <c r="C1095" i="34" s="1"/>
  <c r="C1096" i="34" s="1"/>
  <c r="C1097" i="34" s="1"/>
  <c r="C1098" i="34" s="1"/>
  <c r="C1099" i="34" s="1"/>
  <c r="C1100" i="34" s="1"/>
  <c r="C1101" i="34" s="1"/>
  <c r="C1102" i="34" s="1"/>
  <c r="C1103" i="34" s="1"/>
  <c r="C1104" i="34" s="1"/>
  <c r="C1105" i="34" s="1"/>
  <c r="C1106" i="34" s="1"/>
  <c r="C1107" i="34" s="1"/>
  <c r="C1108" i="34" s="1"/>
  <c r="C1109" i="34" s="1"/>
  <c r="C1110" i="34" s="1"/>
  <c r="C1111" i="34" s="1"/>
  <c r="C1112" i="34" s="1"/>
  <c r="C1113" i="34" s="1"/>
  <c r="C1114" i="34" s="1"/>
  <c r="C1115" i="34" s="1"/>
  <c r="C1116" i="34" s="1"/>
  <c r="C1117" i="34" s="1"/>
  <c r="C1118" i="34" s="1"/>
  <c r="C1119" i="34" s="1"/>
  <c r="C1120" i="34" s="1"/>
  <c r="C1121" i="34" s="1"/>
  <c r="C1122" i="34" s="1"/>
  <c r="C1123" i="34" s="1"/>
  <c r="C1124" i="34" s="1"/>
  <c r="C1125" i="34" s="1"/>
  <c r="C1126" i="34" s="1"/>
  <c r="C1127" i="34" s="1"/>
  <c r="C1128" i="34" s="1"/>
  <c r="C1129" i="34" s="1"/>
  <c r="C1130" i="34" s="1"/>
  <c r="C1131" i="34" s="1"/>
  <c r="C1132" i="34" s="1"/>
  <c r="C1133" i="34" s="1"/>
  <c r="C1134" i="34" s="1"/>
  <c r="C1135" i="34" s="1"/>
  <c r="C1136" i="34" s="1"/>
  <c r="C1137" i="34" s="1"/>
  <c r="C1138" i="34" s="1"/>
  <c r="C1139" i="34" s="1"/>
  <c r="C1140" i="34" s="1"/>
  <c r="C1141" i="34" s="1"/>
  <c r="C1142" i="34" s="1"/>
  <c r="C1143" i="34" s="1"/>
  <c r="C1144" i="34" s="1"/>
  <c r="C1145" i="34" s="1"/>
  <c r="C1146" i="34" s="1"/>
  <c r="C1147" i="34" s="1"/>
  <c r="C1148" i="34" s="1"/>
  <c r="C1149" i="34" s="1"/>
  <c r="C1150" i="34" s="1"/>
  <c r="C1151" i="34" s="1"/>
  <c r="C1152" i="34" s="1"/>
  <c r="C1153" i="34" s="1"/>
  <c r="C1154" i="34" s="1"/>
  <c r="C1155" i="34" s="1"/>
  <c r="C1156" i="34" s="1"/>
  <c r="C1157" i="34" s="1"/>
  <c r="C1158" i="34" s="1"/>
  <c r="C1159" i="34" s="1"/>
  <c r="C1160" i="34" s="1"/>
  <c r="C1161" i="34" s="1"/>
  <c r="C1162" i="34" s="1"/>
  <c r="C1163" i="34" s="1"/>
  <c r="C1164" i="34" s="1"/>
  <c r="C1165" i="34" s="1"/>
  <c r="C1166" i="34" s="1"/>
  <c r="C1167" i="34" s="1"/>
  <c r="C1168" i="34" s="1"/>
  <c r="C1169" i="34" s="1"/>
  <c r="C1170" i="34" s="1"/>
  <c r="C1171" i="34" s="1"/>
  <c r="C1172" i="34" s="1"/>
  <c r="C1173" i="34" s="1"/>
  <c r="C1174" i="34" s="1"/>
  <c r="C1175" i="34" s="1"/>
  <c r="C1176" i="34" s="1"/>
  <c r="C1177" i="34" s="1"/>
  <c r="C1178" i="34" s="1"/>
  <c r="C1179" i="34" s="1"/>
  <c r="C1180" i="34" s="1"/>
  <c r="C1181" i="34" s="1"/>
  <c r="C1182" i="34" s="1"/>
  <c r="C1183" i="34" s="1"/>
  <c r="C1184" i="34" s="1"/>
  <c r="C1185" i="34" s="1"/>
  <c r="C1186" i="34" s="1"/>
  <c r="C1187" i="34" s="1"/>
  <c r="C1188" i="34" s="1"/>
  <c r="C1189" i="34" s="1"/>
  <c r="C1190" i="34" s="1"/>
  <c r="C1191" i="34" s="1"/>
  <c r="C1192" i="34" s="1"/>
  <c r="C1193" i="34" s="1"/>
  <c r="C1194" i="34" s="1"/>
  <c r="C1195" i="34" s="1"/>
  <c r="C1196" i="34" s="1"/>
  <c r="C1197" i="34" s="1"/>
  <c r="C1198" i="34" s="1"/>
  <c r="C1199" i="34" s="1"/>
  <c r="C1200" i="34" s="1"/>
  <c r="C1201" i="34" s="1"/>
  <c r="C1202" i="34" s="1"/>
  <c r="C1203" i="34" s="1"/>
  <c r="C1204" i="34" s="1"/>
  <c r="C1205" i="34" s="1"/>
  <c r="C1206" i="34" s="1"/>
  <c r="C1207" i="34" s="1"/>
  <c r="C1208" i="34" s="1"/>
  <c r="C1209" i="34" s="1"/>
  <c r="C1210" i="34" s="1"/>
  <c r="C1211" i="34" s="1"/>
  <c r="C1212" i="34" s="1"/>
  <c r="C1213" i="34" s="1"/>
  <c r="C1214" i="34" s="1"/>
  <c r="C1215" i="34" s="1"/>
  <c r="C1216" i="34" s="1"/>
  <c r="C1217" i="34" s="1"/>
  <c r="C1218" i="34" s="1"/>
  <c r="C1219" i="34" s="1"/>
  <c r="C1220" i="34" s="1"/>
  <c r="C1221" i="34" s="1"/>
  <c r="C1222" i="34" s="1"/>
  <c r="C1223" i="34" s="1"/>
  <c r="C1224" i="34" s="1"/>
  <c r="C1225" i="34" s="1"/>
  <c r="C1226" i="34" s="1"/>
  <c r="C1227" i="34" s="1"/>
  <c r="C1228" i="34" s="1"/>
  <c r="C1229" i="34" s="1"/>
  <c r="C1230" i="34" s="1"/>
  <c r="C1231" i="34" s="1"/>
  <c r="C1232" i="34" s="1"/>
  <c r="C1233" i="34" s="1"/>
  <c r="C1234" i="34" s="1"/>
  <c r="C1235" i="34" s="1"/>
  <c r="C1236" i="34" s="1"/>
  <c r="C1237" i="34" s="1"/>
  <c r="C1238" i="34" s="1"/>
  <c r="C1239" i="34" s="1"/>
  <c r="C1240" i="34" s="1"/>
  <c r="C1241" i="34" s="1"/>
  <c r="C1242" i="34" s="1"/>
  <c r="C1243" i="34" s="1"/>
  <c r="C1244" i="34" s="1"/>
  <c r="C1245" i="34" s="1"/>
  <c r="C1246" i="34" s="1"/>
  <c r="C1247" i="34" s="1"/>
  <c r="C1248" i="34" s="1"/>
  <c r="C1249" i="34" s="1"/>
  <c r="C1250" i="34" s="1"/>
  <c r="C1251" i="34" s="1"/>
  <c r="C1252" i="34" s="1"/>
  <c r="C1253" i="34" s="1"/>
  <c r="C1254" i="34" s="1"/>
  <c r="C1255" i="34" s="1"/>
  <c r="C1256" i="34" s="1"/>
  <c r="C1257" i="34" s="1"/>
  <c r="C1258" i="34" s="1"/>
  <c r="C1259" i="34" s="1"/>
  <c r="C1260" i="34" s="1"/>
  <c r="C1261" i="34" s="1"/>
  <c r="C1262" i="34" s="1"/>
  <c r="C1263" i="34" s="1"/>
  <c r="C1264" i="34" s="1"/>
  <c r="C1265" i="34" s="1"/>
  <c r="C1266" i="34" s="1"/>
  <c r="C1267" i="34" s="1"/>
  <c r="C1268" i="34" s="1"/>
  <c r="C1269" i="34" s="1"/>
  <c r="C1270" i="34" s="1"/>
  <c r="C1271" i="34" s="1"/>
  <c r="C1272" i="34" s="1"/>
  <c r="C1273" i="34" s="1"/>
  <c r="C1274" i="34" s="1"/>
  <c r="C1275" i="34" s="1"/>
  <c r="C1276" i="34" s="1"/>
  <c r="C1277" i="34" s="1"/>
  <c r="C1278" i="34" s="1"/>
  <c r="C1279" i="34" s="1"/>
  <c r="C1280" i="34" s="1"/>
  <c r="C1281" i="34" s="1"/>
  <c r="C1282" i="34" s="1"/>
  <c r="C1283" i="34" s="1"/>
  <c r="C1284" i="34" s="1"/>
  <c r="C1285" i="34" s="1"/>
  <c r="C1286" i="34" s="1"/>
  <c r="C1287" i="34" s="1"/>
  <c r="C1288" i="34" s="1"/>
  <c r="C1289" i="34" s="1"/>
  <c r="C1290" i="34" s="1"/>
  <c r="C1291" i="34" s="1"/>
  <c r="C1292" i="34" s="1"/>
  <c r="C1293" i="34" s="1"/>
  <c r="C1294" i="34" s="1"/>
  <c r="C1295" i="34" s="1"/>
  <c r="C1296" i="34" s="1"/>
  <c r="C1297" i="34" s="1"/>
  <c r="C1298" i="34" s="1"/>
  <c r="C1299" i="34" s="1"/>
  <c r="C1300" i="34" s="1"/>
  <c r="C1301" i="34" s="1"/>
  <c r="C1302" i="34" s="1"/>
  <c r="C1303" i="34" s="1"/>
  <c r="C1304" i="34" s="1"/>
  <c r="C1305" i="34" s="1"/>
  <c r="C1306" i="34" s="1"/>
  <c r="C1307" i="34" s="1"/>
  <c r="C1308" i="34" s="1"/>
  <c r="C1309" i="34" s="1"/>
  <c r="C1310" i="34" s="1"/>
  <c r="C1311" i="34" s="1"/>
  <c r="C1312" i="34" s="1"/>
  <c r="C1313" i="34" s="1"/>
  <c r="C1314" i="34" s="1"/>
  <c r="C1315" i="34" s="1"/>
  <c r="C1316" i="34" s="1"/>
  <c r="C1317" i="34" s="1"/>
  <c r="C1318" i="34" s="1"/>
  <c r="C1319" i="34" s="1"/>
  <c r="C1320" i="34" s="1"/>
  <c r="C1321" i="34" s="1"/>
  <c r="C1322" i="34" s="1"/>
  <c r="C1323" i="34" s="1"/>
  <c r="C1324" i="34" s="1"/>
  <c r="C1325" i="34" s="1"/>
  <c r="C1326" i="34" s="1"/>
  <c r="C1327" i="34" s="1"/>
  <c r="C1328" i="34" s="1"/>
  <c r="C1329" i="34" s="1"/>
  <c r="C1330" i="34" s="1"/>
  <c r="C1331" i="34" s="1"/>
  <c r="C1332" i="34" s="1"/>
  <c r="C1333" i="34" s="1"/>
  <c r="C1334" i="34" s="1"/>
  <c r="C1335" i="34" s="1"/>
  <c r="C1336" i="34" s="1"/>
  <c r="C1337" i="34" s="1"/>
  <c r="C1338" i="34" s="1"/>
  <c r="C1339" i="34" s="1"/>
  <c r="C1340" i="34" s="1"/>
  <c r="C1341" i="34" s="1"/>
  <c r="C1342" i="34" s="1"/>
  <c r="C1343" i="34" s="1"/>
  <c r="C1344" i="34" s="1"/>
  <c r="C1345" i="34" s="1"/>
  <c r="C1346" i="34" s="1"/>
  <c r="C1347" i="34" s="1"/>
  <c r="C1348" i="34" s="1"/>
  <c r="C1349" i="34" s="1"/>
  <c r="C1350" i="34" s="1"/>
  <c r="C1351" i="34" s="1"/>
  <c r="C1352" i="34" s="1"/>
  <c r="C1353" i="34" s="1"/>
  <c r="C1354" i="34" s="1"/>
  <c r="C1355" i="34" s="1"/>
  <c r="C1356" i="34" s="1"/>
  <c r="C1357" i="34" s="1"/>
  <c r="C1358" i="34" s="1"/>
  <c r="C1359" i="34" s="1"/>
  <c r="C1360" i="34" s="1"/>
  <c r="C1361" i="34" s="1"/>
  <c r="C1362" i="34" s="1"/>
  <c r="C1363" i="34" s="1"/>
  <c r="C1364" i="34" s="1"/>
  <c r="C1365" i="34" s="1"/>
  <c r="C1366" i="34" s="1"/>
  <c r="C1367" i="34" s="1"/>
  <c r="C1368" i="34" s="1"/>
  <c r="C1369" i="34" s="1"/>
  <c r="C1370" i="34" s="1"/>
  <c r="C1371" i="34" s="1"/>
  <c r="C1372" i="34" s="1"/>
  <c r="C1373" i="34" s="1"/>
  <c r="C1374" i="34" s="1"/>
  <c r="C1375" i="34" s="1"/>
  <c r="C1376" i="34" s="1"/>
  <c r="C1377" i="34" s="1"/>
  <c r="C1378" i="34" s="1"/>
  <c r="C1379" i="34" s="1"/>
  <c r="C1380" i="34" s="1"/>
  <c r="C1381" i="34" s="1"/>
  <c r="C1382" i="34" s="1"/>
  <c r="C1383" i="34" s="1"/>
  <c r="C1384" i="34" s="1"/>
  <c r="C1385" i="34" s="1"/>
  <c r="C1386" i="34" s="1"/>
  <c r="C1387" i="34" s="1"/>
  <c r="C1388" i="34" s="1"/>
  <c r="C1389" i="34" s="1"/>
  <c r="C1390" i="34" s="1"/>
  <c r="C1391" i="34" s="1"/>
  <c r="C1392" i="34" s="1"/>
  <c r="C1393" i="34" s="1"/>
  <c r="C1394" i="34" s="1"/>
  <c r="C1395" i="34" s="1"/>
  <c r="C1396" i="34" s="1"/>
  <c r="C1397" i="34" s="1"/>
  <c r="C1398" i="34" s="1"/>
  <c r="C1399" i="34" s="1"/>
  <c r="C1400" i="34" s="1"/>
  <c r="C1401" i="34" s="1"/>
  <c r="C1402" i="34" s="1"/>
  <c r="C1403" i="34" s="1"/>
  <c r="C1404" i="34" s="1"/>
  <c r="C1405" i="34" s="1"/>
  <c r="C1406" i="34" s="1"/>
  <c r="C1407" i="34" s="1"/>
  <c r="C1408" i="34" s="1"/>
  <c r="C1409" i="34" s="1"/>
  <c r="C1410" i="34" s="1"/>
  <c r="C1411" i="34" s="1"/>
  <c r="C1412" i="34" s="1"/>
  <c r="C1413" i="34" s="1"/>
  <c r="C1414" i="34" s="1"/>
  <c r="C1415" i="34" s="1"/>
  <c r="C1416" i="34" s="1"/>
  <c r="C1417" i="34" s="1"/>
  <c r="C1418" i="34" s="1"/>
  <c r="C1419" i="34" s="1"/>
  <c r="C1420" i="34" s="1"/>
  <c r="C1421" i="34" s="1"/>
  <c r="C1422" i="34" s="1"/>
  <c r="C1423" i="34" s="1"/>
  <c r="C1424" i="34" s="1"/>
  <c r="C1425" i="34" s="1"/>
  <c r="C1426" i="34" s="1"/>
  <c r="C1427" i="34" s="1"/>
  <c r="C1428" i="34" s="1"/>
  <c r="C1429" i="34" s="1"/>
  <c r="C1430" i="34" s="1"/>
  <c r="C1431" i="34" s="1"/>
  <c r="C1432" i="34" s="1"/>
  <c r="C1433" i="34" s="1"/>
  <c r="C1434" i="34" s="1"/>
  <c r="C1435" i="34" s="1"/>
  <c r="C1436" i="34" s="1"/>
  <c r="C1437" i="34" s="1"/>
  <c r="C1438" i="34" s="1"/>
  <c r="C1439" i="34" s="1"/>
  <c r="C1440" i="34" s="1"/>
  <c r="C1441" i="34" s="1"/>
  <c r="C1442" i="34" s="1"/>
  <c r="C1443" i="34" s="1"/>
  <c r="C1444" i="34" s="1"/>
  <c r="C1445" i="34" s="1"/>
  <c r="C1446" i="34" s="1"/>
  <c r="C1447" i="34" s="1"/>
  <c r="C1448" i="34" s="1"/>
  <c r="C1449" i="34" s="1"/>
  <c r="C1450" i="34" s="1"/>
  <c r="C1451" i="34" s="1"/>
  <c r="C1452" i="34" s="1"/>
  <c r="C1453" i="34" s="1"/>
  <c r="C1454" i="34" s="1"/>
  <c r="C1455" i="34" s="1"/>
  <c r="C1456" i="34" s="1"/>
  <c r="C1457" i="34" s="1"/>
  <c r="C1458" i="34" s="1"/>
  <c r="C1459" i="34" s="1"/>
  <c r="C1460" i="34" s="1"/>
  <c r="C1461" i="34" s="1"/>
  <c r="C1462" i="34" s="1"/>
  <c r="C1463" i="34" s="1"/>
  <c r="C1464" i="34" s="1"/>
  <c r="C1465" i="34" s="1"/>
  <c r="C1466" i="34" s="1"/>
  <c r="C1467" i="34" s="1"/>
  <c r="C1468" i="34" s="1"/>
  <c r="C1469" i="34" s="1"/>
  <c r="C1470" i="34" s="1"/>
  <c r="C1471" i="34" s="1"/>
  <c r="C1472" i="34" s="1"/>
  <c r="C1473" i="34" s="1"/>
  <c r="C1474" i="34" s="1"/>
  <c r="C1475" i="34" s="1"/>
  <c r="C1476" i="34" s="1"/>
  <c r="C1477" i="34" s="1"/>
  <c r="C1478" i="34" s="1"/>
  <c r="C1479" i="34" s="1"/>
  <c r="C1480" i="34" s="1"/>
  <c r="C1481" i="34" s="1"/>
  <c r="C1482" i="34" s="1"/>
  <c r="C1483" i="34" s="1"/>
  <c r="C1484" i="34" s="1"/>
  <c r="C1485" i="34" s="1"/>
  <c r="C1486" i="34" s="1"/>
  <c r="C1487" i="34" s="1"/>
  <c r="C1488" i="34" s="1"/>
  <c r="C1489" i="34" s="1"/>
  <c r="C1490" i="34" s="1"/>
  <c r="C1491" i="34" s="1"/>
  <c r="C1492" i="34" s="1"/>
  <c r="C1493" i="34" s="1"/>
  <c r="C1494" i="34" s="1"/>
  <c r="C1495" i="34" s="1"/>
  <c r="C1496" i="34" s="1"/>
  <c r="C1497" i="34" s="1"/>
  <c r="C1498" i="34" s="1"/>
  <c r="C1499" i="34" s="1"/>
  <c r="C1500" i="34" s="1"/>
  <c r="C1501" i="34" s="1"/>
  <c r="C1502" i="34" s="1"/>
  <c r="C1503" i="34" s="1"/>
  <c r="C1504" i="34" s="1"/>
  <c r="C1505" i="34" s="1"/>
  <c r="C1506" i="34" s="1"/>
  <c r="C1507" i="34" s="1"/>
  <c r="C1508" i="34" s="1"/>
  <c r="C1509" i="34" s="1"/>
  <c r="C1510" i="34" s="1"/>
  <c r="C1511" i="34" s="1"/>
  <c r="C1512" i="34" s="1"/>
  <c r="C1513" i="34" s="1"/>
  <c r="C1514" i="34" s="1"/>
  <c r="C1515" i="34" s="1"/>
  <c r="C1516" i="34" s="1"/>
  <c r="C1517" i="34" s="1"/>
  <c r="C1518" i="34" s="1"/>
  <c r="C1519" i="34" s="1"/>
  <c r="C1520" i="34" s="1"/>
  <c r="C1521" i="34" s="1"/>
  <c r="C1522" i="34" s="1"/>
  <c r="C1523" i="34" s="1"/>
  <c r="C1524" i="34" s="1"/>
  <c r="C1525" i="34" s="1"/>
  <c r="C1526" i="34" s="1"/>
  <c r="C1527" i="34" s="1"/>
  <c r="C1528" i="34" s="1"/>
  <c r="C1529" i="34" s="1"/>
  <c r="C1530" i="34" s="1"/>
  <c r="C1531" i="34" s="1"/>
  <c r="C1532" i="34" s="1"/>
  <c r="C1533" i="34" s="1"/>
  <c r="C1534" i="34" s="1"/>
  <c r="C1535" i="34" s="1"/>
  <c r="C1536" i="34" s="1"/>
  <c r="C1537" i="34" s="1"/>
  <c r="C1538" i="34" s="1"/>
  <c r="C1539" i="34" s="1"/>
  <c r="C1540" i="34" s="1"/>
  <c r="C1541" i="34" s="1"/>
  <c r="C1542" i="34" s="1"/>
  <c r="C1543" i="34" s="1"/>
  <c r="C1544" i="34" s="1"/>
  <c r="C1545" i="34" s="1"/>
  <c r="C1546" i="34" s="1"/>
  <c r="C1547" i="34" s="1"/>
  <c r="C1548" i="34" s="1"/>
  <c r="C1549" i="34" s="1"/>
  <c r="C1550" i="34" s="1"/>
  <c r="C1551" i="34" s="1"/>
  <c r="C1552" i="34" s="1"/>
  <c r="C1553" i="34" s="1"/>
  <c r="C1554" i="34" s="1"/>
  <c r="C1555" i="34" s="1"/>
  <c r="C1556" i="34" s="1"/>
  <c r="C1557" i="34" s="1"/>
  <c r="C1558" i="34" s="1"/>
  <c r="C1559" i="34" s="1"/>
  <c r="C1560" i="34" s="1"/>
  <c r="C1561" i="34" s="1"/>
  <c r="C1562" i="34" s="1"/>
  <c r="C1563" i="34" s="1"/>
  <c r="C1564" i="34" s="1"/>
  <c r="C1565" i="34" s="1"/>
  <c r="C1566" i="34" s="1"/>
  <c r="C1567" i="34" s="1"/>
  <c r="C1568" i="34" s="1"/>
  <c r="C1569" i="34" s="1"/>
  <c r="C1570" i="34" s="1"/>
  <c r="C1571" i="34" s="1"/>
  <c r="C1572" i="34" s="1"/>
  <c r="C1573" i="34" s="1"/>
  <c r="C1574" i="34" s="1"/>
  <c r="C1575" i="34" s="1"/>
  <c r="C1576" i="34" s="1"/>
  <c r="C1577" i="34" s="1"/>
  <c r="C1578" i="34" s="1"/>
  <c r="C1579" i="34" s="1"/>
  <c r="C1580" i="34" s="1"/>
  <c r="C1581" i="34" s="1"/>
  <c r="C1582" i="34" s="1"/>
  <c r="C1583" i="34" s="1"/>
  <c r="C1584" i="34" s="1"/>
  <c r="C1585" i="34" s="1"/>
  <c r="C1586" i="34" s="1"/>
  <c r="C1587" i="34" s="1"/>
  <c r="C1588" i="34" s="1"/>
  <c r="C1589" i="34" s="1"/>
  <c r="C1590" i="34" s="1"/>
  <c r="C1591" i="34" s="1"/>
  <c r="C1592" i="34" s="1"/>
  <c r="C1593" i="34" s="1"/>
  <c r="C1594" i="34" s="1"/>
  <c r="C1595" i="34" s="1"/>
  <c r="C1596" i="34" s="1"/>
  <c r="C1597" i="34" s="1"/>
  <c r="C1598" i="34" s="1"/>
  <c r="C1599" i="34" s="1"/>
  <c r="C1600" i="34" s="1"/>
  <c r="C1601" i="34" s="1"/>
  <c r="C1602" i="34" s="1"/>
  <c r="C1603" i="34" s="1"/>
  <c r="C1604" i="34" s="1"/>
  <c r="C1605" i="34" s="1"/>
  <c r="C1606" i="34" s="1"/>
  <c r="C1607" i="34" s="1"/>
  <c r="C1608" i="34" s="1"/>
  <c r="C1609" i="34" s="1"/>
  <c r="C1610" i="34" s="1"/>
  <c r="C1611" i="34" s="1"/>
  <c r="C1612" i="34" s="1"/>
  <c r="C1613" i="34" s="1"/>
  <c r="A15" i="34"/>
  <c r="A16" i="34" s="1"/>
  <c r="A17" i="34" s="1"/>
  <c r="A18" i="34" s="1"/>
  <c r="A19" i="34" s="1"/>
  <c r="A20" i="34" s="1"/>
  <c r="A21" i="34" s="1"/>
  <c r="A22" i="34" s="1"/>
  <c r="A23" i="34" s="1"/>
  <c r="A24" i="34" s="1"/>
  <c r="A25" i="34" s="1"/>
  <c r="A26" i="34" s="1"/>
  <c r="A27" i="34" s="1"/>
  <c r="A28" i="34" s="1"/>
  <c r="A29" i="34" s="1"/>
  <c r="A30" i="34" s="1"/>
  <c r="A31" i="34" s="1"/>
  <c r="A32" i="34" s="1"/>
  <c r="A33" i="34" s="1"/>
  <c r="A34" i="34" s="1"/>
  <c r="A35" i="34" s="1"/>
  <c r="A36" i="34" s="1"/>
  <c r="A37" i="34" s="1"/>
  <c r="A38" i="34" s="1"/>
  <c r="A39" i="34" s="1"/>
  <c r="A40" i="34" s="1"/>
  <c r="A41" i="34" s="1"/>
  <c r="A42" i="34" s="1"/>
  <c r="A43" i="34" s="1"/>
  <c r="A44" i="34" s="1"/>
  <c r="A45" i="34" s="1"/>
  <c r="A46" i="34" s="1"/>
  <c r="A47" i="34" s="1"/>
  <c r="A48" i="34" s="1"/>
  <c r="A49" i="34" s="1"/>
  <c r="A50" i="34" s="1"/>
  <c r="A51" i="34" s="1"/>
  <c r="A52" i="34" s="1"/>
  <c r="A53" i="34" s="1"/>
  <c r="A54" i="34" s="1"/>
  <c r="A55" i="34" s="1"/>
  <c r="A56" i="34" s="1"/>
  <c r="A57" i="34" s="1"/>
  <c r="A58" i="34" s="1"/>
  <c r="A59" i="34" s="1"/>
  <c r="A60" i="34" s="1"/>
  <c r="A61" i="34" s="1"/>
  <c r="A62" i="34" s="1"/>
  <c r="A63" i="34" s="1"/>
  <c r="A64" i="34" s="1"/>
  <c r="A65" i="34" s="1"/>
  <c r="A66" i="34" s="1"/>
  <c r="A67" i="34" s="1"/>
  <c r="A68" i="34" s="1"/>
  <c r="A69" i="34" s="1"/>
  <c r="A70" i="34" s="1"/>
  <c r="A71" i="34" s="1"/>
  <c r="A72" i="34" s="1"/>
  <c r="A73" i="34" s="1"/>
  <c r="A74" i="34" s="1"/>
  <c r="A75" i="34" s="1"/>
  <c r="A76" i="34" s="1"/>
  <c r="A77" i="34" s="1"/>
  <c r="A78" i="34" s="1"/>
  <c r="A79" i="34" s="1"/>
  <c r="A80" i="34" s="1"/>
  <c r="A81" i="34" s="1"/>
  <c r="A82" i="34" s="1"/>
  <c r="A83" i="34" s="1"/>
  <c r="A84" i="34" s="1"/>
  <c r="A85" i="34" s="1"/>
  <c r="A86" i="34" s="1"/>
  <c r="A87" i="34" s="1"/>
  <c r="A88" i="34" s="1"/>
  <c r="A89" i="34" s="1"/>
  <c r="A90" i="34" s="1"/>
  <c r="A91" i="34" s="1"/>
  <c r="A92" i="34" s="1"/>
  <c r="A93" i="34" s="1"/>
  <c r="A94" i="34" s="1"/>
  <c r="A95" i="34" s="1"/>
  <c r="A96" i="34" s="1"/>
  <c r="A97" i="34" s="1"/>
  <c r="A98" i="34" s="1"/>
  <c r="A99" i="34" s="1"/>
  <c r="A100" i="34" s="1"/>
  <c r="A101" i="34" s="1"/>
  <c r="A102" i="34" s="1"/>
  <c r="A103" i="34" s="1"/>
  <c r="A104" i="34" s="1"/>
  <c r="A105" i="34" s="1"/>
  <c r="A106" i="34" s="1"/>
  <c r="A107" i="34" s="1"/>
  <c r="A108" i="34" s="1"/>
  <c r="A109" i="34" s="1"/>
  <c r="A110" i="34" s="1"/>
  <c r="A111" i="34" s="1"/>
  <c r="A112" i="34" s="1"/>
  <c r="A113" i="34" s="1"/>
  <c r="A114" i="34" s="1"/>
  <c r="A115" i="34" s="1"/>
  <c r="A116" i="34" s="1"/>
  <c r="A117" i="34" s="1"/>
  <c r="A118" i="34" s="1"/>
  <c r="A119" i="34" s="1"/>
  <c r="A120" i="34" s="1"/>
  <c r="A121" i="34" s="1"/>
  <c r="A122" i="34" s="1"/>
  <c r="A123" i="34" s="1"/>
  <c r="A124" i="34" s="1"/>
  <c r="A125" i="34" s="1"/>
  <c r="A126" i="34" s="1"/>
  <c r="A127" i="34" s="1"/>
  <c r="A128" i="34" s="1"/>
  <c r="A129" i="34" s="1"/>
  <c r="A130" i="34" s="1"/>
  <c r="A131" i="34" s="1"/>
  <c r="A132" i="34" s="1"/>
  <c r="A133" i="34" s="1"/>
  <c r="A134" i="34" s="1"/>
  <c r="A135" i="34" s="1"/>
  <c r="A136" i="34" s="1"/>
  <c r="A137" i="34" s="1"/>
  <c r="A138" i="34" s="1"/>
  <c r="A139" i="34" s="1"/>
  <c r="A140" i="34" s="1"/>
  <c r="A141" i="34" s="1"/>
  <c r="A142" i="34" s="1"/>
  <c r="A143" i="34" s="1"/>
  <c r="A144" i="34" s="1"/>
  <c r="A145" i="34" s="1"/>
  <c r="A146" i="34" s="1"/>
  <c r="A147" i="34" s="1"/>
  <c r="A148" i="34" s="1"/>
  <c r="A149" i="34" s="1"/>
  <c r="A150" i="34" s="1"/>
  <c r="A151" i="34" s="1"/>
  <c r="A152" i="34" s="1"/>
  <c r="A153" i="34" s="1"/>
  <c r="A154" i="34" s="1"/>
  <c r="A155" i="34" s="1"/>
  <c r="A156" i="34" s="1"/>
  <c r="A157" i="34" s="1"/>
  <c r="A158" i="34" s="1"/>
  <c r="A159" i="34" s="1"/>
  <c r="A160" i="34" s="1"/>
  <c r="A161" i="34" s="1"/>
  <c r="A162" i="34" s="1"/>
  <c r="A163" i="34" s="1"/>
  <c r="A164" i="34" s="1"/>
  <c r="A165" i="34" s="1"/>
  <c r="A166" i="34" s="1"/>
  <c r="A167" i="34" s="1"/>
  <c r="A168" i="34" s="1"/>
  <c r="A169" i="34" s="1"/>
  <c r="A170" i="34" s="1"/>
  <c r="A171" i="34" s="1"/>
  <c r="A172" i="34" s="1"/>
  <c r="A173" i="34" s="1"/>
  <c r="A174" i="34" s="1"/>
  <c r="A175" i="34" s="1"/>
  <c r="A176" i="34" s="1"/>
  <c r="A177" i="34" s="1"/>
  <c r="A178" i="34" s="1"/>
  <c r="A179" i="34" s="1"/>
  <c r="A180" i="34" s="1"/>
  <c r="A181" i="34" s="1"/>
  <c r="A182" i="34" s="1"/>
  <c r="A183" i="34" s="1"/>
  <c r="A184" i="34" s="1"/>
  <c r="A185" i="34" s="1"/>
  <c r="A186" i="34" s="1"/>
  <c r="A187" i="34" s="1"/>
  <c r="A188" i="34" s="1"/>
  <c r="A189" i="34" s="1"/>
  <c r="A190" i="34" s="1"/>
  <c r="A191" i="34" s="1"/>
  <c r="A192" i="34" s="1"/>
  <c r="A193" i="34" s="1"/>
  <c r="A194" i="34" s="1"/>
  <c r="A195" i="34" s="1"/>
  <c r="A196" i="34" s="1"/>
  <c r="A197" i="34" s="1"/>
  <c r="A198" i="34" s="1"/>
  <c r="A199" i="34" s="1"/>
  <c r="A200" i="34" s="1"/>
  <c r="A201" i="34" s="1"/>
  <c r="A202" i="34" s="1"/>
  <c r="A203" i="34" s="1"/>
  <c r="A204" i="34" s="1"/>
  <c r="A205" i="34" s="1"/>
  <c r="A206" i="34" s="1"/>
  <c r="A207" i="34" s="1"/>
  <c r="A208" i="34" s="1"/>
  <c r="A209" i="34" s="1"/>
  <c r="A210" i="34" s="1"/>
  <c r="A211" i="34" s="1"/>
  <c r="A212" i="34" s="1"/>
  <c r="A213" i="34" s="1"/>
  <c r="A214" i="34" s="1"/>
  <c r="A215" i="34" s="1"/>
  <c r="A216" i="34" s="1"/>
  <c r="A217" i="34" s="1"/>
  <c r="A218" i="34" s="1"/>
  <c r="A219" i="34" s="1"/>
  <c r="A220" i="34" s="1"/>
  <c r="A221" i="34" s="1"/>
  <c r="A222" i="34" s="1"/>
  <c r="A223" i="34" s="1"/>
  <c r="A224" i="34" s="1"/>
  <c r="A225" i="34" s="1"/>
  <c r="A226" i="34" s="1"/>
  <c r="A227" i="34" s="1"/>
  <c r="A228" i="34" s="1"/>
  <c r="A229" i="34" s="1"/>
  <c r="A230" i="34" s="1"/>
  <c r="A231" i="34" s="1"/>
  <c r="A232" i="34" s="1"/>
  <c r="A233" i="34" s="1"/>
  <c r="A234" i="34" s="1"/>
  <c r="A235" i="34" s="1"/>
  <c r="A236" i="34" s="1"/>
  <c r="A237" i="34" s="1"/>
  <c r="A238" i="34" s="1"/>
  <c r="A239" i="34" s="1"/>
  <c r="A240" i="34" s="1"/>
  <c r="A241" i="34" s="1"/>
  <c r="A242" i="34" s="1"/>
  <c r="A243" i="34" s="1"/>
  <c r="A244" i="34" s="1"/>
  <c r="A245" i="34" s="1"/>
  <c r="A246" i="34" s="1"/>
  <c r="A247" i="34" s="1"/>
  <c r="A248" i="34" s="1"/>
  <c r="A249" i="34" s="1"/>
  <c r="A250" i="34" s="1"/>
  <c r="A251" i="34" s="1"/>
  <c r="A252" i="34" s="1"/>
  <c r="A253" i="34" s="1"/>
  <c r="A254" i="34" s="1"/>
  <c r="A255" i="34" s="1"/>
  <c r="A256" i="34" s="1"/>
  <c r="A257" i="34" s="1"/>
  <c r="A258" i="34" s="1"/>
  <c r="A259" i="34" s="1"/>
  <c r="A260" i="34" s="1"/>
  <c r="A261" i="34" s="1"/>
  <c r="A262" i="34" s="1"/>
  <c r="A263" i="34" s="1"/>
  <c r="A264" i="34" s="1"/>
  <c r="A265" i="34" s="1"/>
  <c r="A266" i="34" s="1"/>
  <c r="A267" i="34" s="1"/>
  <c r="A268" i="34" s="1"/>
  <c r="A269" i="34" s="1"/>
  <c r="A270" i="34" s="1"/>
  <c r="A271" i="34" s="1"/>
  <c r="A272" i="34" s="1"/>
  <c r="A273" i="34" s="1"/>
  <c r="A274" i="34" s="1"/>
  <c r="A275" i="34" s="1"/>
  <c r="A276" i="34" s="1"/>
  <c r="A277" i="34" s="1"/>
  <c r="A278" i="34" s="1"/>
  <c r="A279" i="34" s="1"/>
  <c r="A280" i="34" s="1"/>
  <c r="A281" i="34" s="1"/>
  <c r="A282" i="34" s="1"/>
  <c r="A283" i="34" s="1"/>
  <c r="A284" i="34" s="1"/>
  <c r="A285" i="34" s="1"/>
  <c r="A286" i="34" s="1"/>
  <c r="A287" i="34" s="1"/>
  <c r="A288" i="34" s="1"/>
  <c r="A289" i="34" s="1"/>
  <c r="A290" i="34" s="1"/>
  <c r="A291" i="34" s="1"/>
  <c r="A292" i="34" s="1"/>
  <c r="A293" i="34" s="1"/>
  <c r="A294" i="34" s="1"/>
  <c r="A295" i="34" s="1"/>
  <c r="A296" i="34" s="1"/>
  <c r="A297" i="34" s="1"/>
  <c r="A298" i="34" s="1"/>
  <c r="A299" i="34" s="1"/>
  <c r="A300" i="34" s="1"/>
  <c r="A301" i="34" s="1"/>
  <c r="A302" i="34" s="1"/>
  <c r="A303" i="34" s="1"/>
  <c r="A304" i="34" s="1"/>
  <c r="A305" i="34" s="1"/>
  <c r="A306" i="34" s="1"/>
  <c r="A307" i="34" s="1"/>
  <c r="A308" i="34" s="1"/>
  <c r="A309" i="34" s="1"/>
  <c r="A310" i="34" s="1"/>
  <c r="A311" i="34" s="1"/>
  <c r="A312" i="34" s="1"/>
  <c r="A313" i="34" s="1"/>
  <c r="A314" i="34" s="1"/>
  <c r="A315" i="34" s="1"/>
  <c r="A316" i="34" s="1"/>
  <c r="A317" i="34" s="1"/>
  <c r="A318" i="34" s="1"/>
  <c r="A319" i="34" s="1"/>
  <c r="A320" i="34" s="1"/>
  <c r="A321" i="34" s="1"/>
  <c r="A322" i="34" s="1"/>
  <c r="A323" i="34" s="1"/>
  <c r="A324" i="34" s="1"/>
  <c r="A325" i="34" s="1"/>
  <c r="A326" i="34" s="1"/>
  <c r="A327" i="34" s="1"/>
  <c r="A328" i="34" s="1"/>
  <c r="A329" i="34" s="1"/>
  <c r="A330" i="34" s="1"/>
  <c r="A331" i="34" s="1"/>
  <c r="A332" i="34" s="1"/>
  <c r="A333" i="34" s="1"/>
  <c r="A334" i="34" s="1"/>
  <c r="A335" i="34" s="1"/>
  <c r="A336" i="34" s="1"/>
  <c r="A337" i="34" s="1"/>
  <c r="A338" i="34" s="1"/>
  <c r="A339" i="34" s="1"/>
  <c r="A340" i="34" s="1"/>
  <c r="A341" i="34" s="1"/>
  <c r="A342" i="34" s="1"/>
  <c r="A343" i="34" s="1"/>
  <c r="A344" i="34" s="1"/>
  <c r="A345" i="34" s="1"/>
  <c r="A346" i="34" s="1"/>
  <c r="A347" i="34" s="1"/>
  <c r="A348" i="34" s="1"/>
  <c r="A349" i="34" s="1"/>
  <c r="A350" i="34" s="1"/>
  <c r="A351" i="34" s="1"/>
  <c r="A352" i="34" s="1"/>
  <c r="A353" i="34" s="1"/>
  <c r="A354" i="34" s="1"/>
  <c r="A355" i="34" s="1"/>
  <c r="AV46" i="34"/>
  <c r="AM66" i="34"/>
  <c r="BD68" i="34"/>
  <c r="AV99" i="34"/>
  <c r="AY14" i="34"/>
  <c r="AV139" i="34"/>
  <c r="AV221" i="34"/>
  <c r="AM93" i="34"/>
  <c r="AV54" i="34"/>
  <c r="AM133" i="34"/>
  <c r="BD260" i="34"/>
  <c r="AV19" i="34"/>
  <c r="BC31" i="34"/>
  <c r="AM54" i="34"/>
  <c r="AM46" i="34"/>
  <c r="AY1472" i="34" l="1"/>
  <c r="AN3" i="34"/>
  <c r="A356" i="34"/>
  <c r="A357" i="34"/>
  <c r="A358" i="34" s="1"/>
  <c r="A359" i="34" s="1"/>
  <c r="A360" i="34" s="1"/>
  <c r="A361" i="34" s="1"/>
  <c r="A362" i="34" s="1"/>
  <c r="A363" i="34" s="1"/>
  <c r="A364" i="34" s="1"/>
  <c r="A365" i="34" s="1"/>
  <c r="D1066" i="34"/>
  <c r="D1065" i="34"/>
  <c r="D1067" i="34" s="1"/>
  <c r="D1068" i="34" s="1"/>
  <c r="D1069" i="34" s="1"/>
  <c r="AY230" i="34"/>
  <c r="AV271" i="34"/>
  <c r="AQ183" i="34"/>
  <c r="AY198" i="34"/>
  <c r="AY47" i="34"/>
  <c r="AV281" i="34"/>
  <c r="BG171" i="34"/>
  <c r="AY57" i="34"/>
  <c r="AY30" i="34"/>
  <c r="AY110" i="34"/>
  <c r="A367" i="34" l="1"/>
  <c r="A366" i="34"/>
  <c r="D1071" i="34"/>
  <c r="D1070" i="34"/>
  <c r="D1072" i="34" s="1"/>
  <c r="D1073" i="34" s="1"/>
  <c r="D1074" i="34" s="1"/>
  <c r="A368" i="34" l="1"/>
  <c r="A369" i="34" l="1"/>
  <c r="A370" i="34" s="1"/>
  <c r="A371" i="34" l="1"/>
  <c r="A372" i="34" l="1"/>
  <c r="A373" i="34" l="1"/>
  <c r="A374" i="34" s="1"/>
  <c r="A375" i="34" s="1"/>
  <c r="A377" i="34" l="1"/>
  <c r="A376" i="34"/>
  <c r="A378" i="34" s="1"/>
  <c r="A379" i="34" s="1"/>
  <c r="A380" i="34" s="1"/>
  <c r="A381" i="34" s="1"/>
  <c r="A382" i="34" s="1"/>
  <c r="A383" i="34" s="1"/>
  <c r="A384" i="34" s="1"/>
  <c r="A385" i="34" s="1"/>
  <c r="A387" i="34" l="1"/>
  <c r="A386" i="34"/>
  <c r="A388" i="34" l="1"/>
  <c r="A389" i="34" l="1"/>
  <c r="A390" i="34" s="1"/>
  <c r="A391" i="34" l="1"/>
  <c r="A392" i="34" l="1"/>
  <c r="A393" i="34" l="1"/>
  <c r="A394" i="34" l="1"/>
  <c r="A395" i="34" l="1"/>
  <c r="A396" i="34" l="1"/>
  <c r="A397" i="34" l="1"/>
  <c r="A398" i="34" l="1"/>
  <c r="A399" i="34" s="1"/>
  <c r="A400" i="34" s="1"/>
  <c r="A401" i="34" s="1"/>
  <c r="A402" i="34" l="1"/>
  <c r="A403" i="34" l="1"/>
  <c r="A404" i="34"/>
  <c r="A405" i="34" s="1"/>
  <c r="A406" i="34" s="1"/>
  <c r="A407" i="34" s="1"/>
  <c r="A408" i="34" s="1"/>
  <c r="A413" i="34" l="1"/>
  <c r="A417" i="34" l="1"/>
  <c r="A418" i="34" l="1"/>
  <c r="A419" i="34" l="1"/>
  <c r="A420" i="34" s="1"/>
  <c r="A421" i="34" s="1"/>
  <c r="A422" i="34" s="1"/>
  <c r="A423" i="34" l="1"/>
  <c r="A424" i="34" l="1"/>
  <c r="A425" i="34" l="1"/>
  <c r="A426" i="34" l="1"/>
  <c r="A427" i="34" l="1"/>
  <c r="A428" i="34" s="1"/>
  <c r="A429" i="34" l="1"/>
  <c r="A430" i="34" l="1"/>
  <c r="A431" i="34" l="1"/>
  <c r="A432" i="34" s="1"/>
  <c r="A433" i="34" s="1"/>
  <c r="A434" i="34" l="1"/>
  <c r="A435" i="34" l="1"/>
  <c r="A436" i="34" l="1"/>
  <c r="A437" i="34" l="1"/>
  <c r="A438" i="34" l="1"/>
  <c r="A439" i="34" l="1"/>
  <c r="A440" i="34" s="1"/>
  <c r="A441" i="34" l="1"/>
  <c r="A442" i="34" l="1"/>
  <c r="A443" i="34" l="1"/>
  <c r="A444" i="34" s="1"/>
  <c r="A445" i="34" l="1"/>
  <c r="A446" i="34" l="1"/>
  <c r="A447" i="34" l="1"/>
  <c r="A448" i="34" s="1"/>
  <c r="A449" i="34" l="1"/>
  <c r="A450" i="34" l="1"/>
  <c r="A451" i="34" l="1"/>
  <c r="A452" i="34" s="1"/>
  <c r="A453" i="34" l="1"/>
  <c r="A454" i="34" l="1"/>
  <c r="A455" i="34" l="1"/>
  <c r="A456" i="34" s="1"/>
  <c r="A457" i="34" s="1"/>
  <c r="A458" i="34" s="1"/>
  <c r="A459" i="34" s="1"/>
  <c r="A460" i="34" s="1"/>
  <c r="A461" i="34" l="1"/>
  <c r="A462" i="34" l="1"/>
  <c r="A463" i="34" l="1"/>
  <c r="A464" i="34" l="1"/>
  <c r="A465" i="34" l="1"/>
  <c r="A466" i="34" l="1"/>
  <c r="A467" i="34" l="1"/>
  <c r="A468" i="34" l="1"/>
  <c r="A469" i="34" l="1"/>
  <c r="A470" i="34" l="1"/>
  <c r="A471" i="34" l="1"/>
  <c r="A472" i="34" l="1"/>
  <c r="A473" i="34" l="1"/>
  <c r="A474" i="34" l="1"/>
  <c r="A475" i="34" l="1"/>
  <c r="A476" i="34" l="1"/>
  <c r="A477" i="34" l="1"/>
  <c r="A478" i="34" l="1"/>
  <c r="A479" i="34" l="1"/>
  <c r="A480" i="34" l="1"/>
  <c r="A481" i="34" l="1"/>
  <c r="A482" i="34" l="1"/>
  <c r="A483" i="34" l="1"/>
  <c r="A484" i="34" l="1"/>
  <c r="A485" i="34" l="1"/>
  <c r="A486" i="34" l="1"/>
  <c r="A487" i="34" l="1"/>
  <c r="A488" i="34" l="1"/>
  <c r="A489" i="34" l="1"/>
  <c r="A490" i="34" l="1"/>
  <c r="A491" i="34" l="1"/>
  <c r="A492" i="34" l="1"/>
  <c r="BC830" i="34"/>
  <c r="AV795" i="34"/>
  <c r="AU758" i="34"/>
  <c r="AM799" i="34"/>
  <c r="AQ446" i="34"/>
  <c r="BD201" i="34"/>
  <c r="AY387" i="34"/>
  <c r="BC281" i="34"/>
  <c r="BD104" i="34"/>
  <c r="AM1002" i="34"/>
  <c r="AU712" i="34"/>
  <c r="BC692" i="34"/>
  <c r="BD200" i="34"/>
  <c r="AM424" i="34"/>
  <c r="AM991" i="34"/>
  <c r="AN874" i="34"/>
  <c r="AU404" i="34"/>
  <c r="AM396" i="34"/>
  <c r="AV770" i="34"/>
  <c r="BG434" i="34"/>
  <c r="AN1062" i="34"/>
  <c r="AV730" i="34"/>
  <c r="BC715" i="34"/>
  <c r="AQ489" i="34"/>
  <c r="BC746" i="34"/>
  <c r="BC646" i="34"/>
  <c r="AN833" i="34"/>
  <c r="AV147" i="34"/>
  <c r="BD1013" i="34"/>
  <c r="AN608" i="34"/>
  <c r="AM810" i="34"/>
  <c r="BD158" i="34"/>
  <c r="AQ238" i="34"/>
  <c r="AY424" i="34"/>
  <c r="AQ92" i="34"/>
  <c r="AN163" i="34"/>
  <c r="AM481" i="34"/>
  <c r="AN925" i="34"/>
  <c r="AM816" i="34"/>
  <c r="BD414" i="34"/>
  <c r="BD683" i="34"/>
  <c r="AY68" i="34"/>
  <c r="AV629" i="34"/>
  <c r="AV735" i="34"/>
  <c r="AY430" i="34"/>
  <c r="AU564" i="34"/>
  <c r="BC966" i="34"/>
  <c r="BC1017" i="34"/>
  <c r="AV203" i="34"/>
  <c r="AN740" i="34"/>
  <c r="BD496" i="34"/>
  <c r="AU1024" i="34"/>
  <c r="AV1116" i="34"/>
  <c r="BD275" i="34"/>
  <c r="BD430" i="34"/>
  <c r="AY357" i="34"/>
  <c r="BC975" i="34"/>
  <c r="AQ391" i="34"/>
  <c r="AY190" i="34"/>
  <c r="AQ437" i="34"/>
  <c r="BD975" i="34"/>
  <c r="AN1018" i="34"/>
  <c r="AM621" i="34"/>
  <c r="AU998" i="34"/>
  <c r="BD94" i="34"/>
  <c r="AQ32" i="34"/>
  <c r="BG296" i="34"/>
  <c r="AV500" i="34"/>
  <c r="BD888" i="34"/>
  <c r="AQ358" i="34"/>
  <c r="AN804" i="34"/>
  <c r="AN227" i="34"/>
  <c r="BD110" i="34"/>
  <c r="BD22" i="34"/>
  <c r="AU1003" i="34"/>
  <c r="AN464" i="34"/>
  <c r="BC967" i="34"/>
  <c r="AV768" i="34"/>
  <c r="AM875" i="34"/>
  <c r="BD857" i="34"/>
  <c r="AY362" i="34"/>
  <c r="AN590" i="34"/>
  <c r="BC557" i="34"/>
  <c r="AU1013" i="34"/>
  <c r="AU790" i="34"/>
  <c r="BG45" i="34"/>
  <c r="AU720" i="34"/>
  <c r="AV552" i="34"/>
  <c r="AV338" i="34"/>
  <c r="AV606" i="34"/>
  <c r="AM1000" i="34"/>
  <c r="AN852" i="34"/>
  <c r="AV923" i="34"/>
  <c r="AN271" i="34"/>
  <c r="AV91" i="34"/>
  <c r="AV900" i="34"/>
  <c r="AV496" i="34"/>
  <c r="AU710" i="34"/>
  <c r="AN851" i="34"/>
  <c r="AN446" i="34"/>
  <c r="AV931" i="34"/>
  <c r="BD400" i="34"/>
  <c r="AU1120" i="34"/>
  <c r="BD24" i="34"/>
  <c r="BC933" i="34"/>
  <c r="AN971" i="34"/>
  <c r="AN965" i="34"/>
  <c r="AN893" i="34"/>
  <c r="AV874" i="34"/>
  <c r="AV662" i="34"/>
  <c r="AN862" i="34"/>
  <c r="AU517" i="34"/>
  <c r="BD569" i="34"/>
  <c r="AN809" i="34"/>
  <c r="AV339" i="34"/>
  <c r="BD482" i="34"/>
  <c r="BC1013" i="34"/>
  <c r="AN1031" i="34"/>
  <c r="BD664" i="34"/>
  <c r="BC778" i="34"/>
  <c r="BD1001" i="34"/>
  <c r="BD772" i="34"/>
  <c r="BD663" i="34"/>
  <c r="BD510" i="34"/>
  <c r="BC722" i="34"/>
  <c r="AN686" i="34"/>
  <c r="BD63" i="34"/>
  <c r="AV238" i="34"/>
  <c r="AU49" i="34"/>
  <c r="AN714" i="34"/>
  <c r="AN113" i="34"/>
  <c r="AN30" i="34"/>
  <c r="AM989" i="34"/>
  <c r="AV706" i="34"/>
  <c r="AV257" i="34"/>
  <c r="AN790" i="34"/>
  <c r="BD677" i="34"/>
  <c r="AN710" i="34"/>
  <c r="AN688" i="34"/>
  <c r="AY256" i="34"/>
  <c r="BC633" i="34"/>
  <c r="BD734" i="34"/>
  <c r="AV788" i="34"/>
  <c r="AV902" i="34"/>
  <c r="AN1093" i="34"/>
  <c r="BD285" i="34"/>
  <c r="AV1041" i="34"/>
  <c r="AQ266" i="34"/>
  <c r="AV143" i="34"/>
  <c r="AV1098" i="34"/>
  <c r="BD859" i="34"/>
  <c r="BD824" i="34"/>
  <c r="BC742" i="34"/>
  <c r="BC109" i="34"/>
  <c r="BC793" i="34"/>
  <c r="BD326" i="34"/>
  <c r="BD506" i="34"/>
  <c r="BG266" i="34"/>
  <c r="AU588" i="34"/>
  <c r="BD151" i="34"/>
  <c r="AU772" i="34"/>
  <c r="AN305" i="34"/>
  <c r="AN413" i="34"/>
  <c r="AQ67" i="34"/>
  <c r="AV474" i="34"/>
  <c r="BG283" i="34"/>
  <c r="AQ33" i="34"/>
  <c r="BC776" i="34"/>
  <c r="BD668" i="34"/>
  <c r="BD40" i="34"/>
  <c r="AV632" i="34"/>
  <c r="AV975" i="34"/>
  <c r="AV200" i="34"/>
  <c r="AN642" i="34"/>
  <c r="AM964" i="34"/>
  <c r="AU704" i="34"/>
  <c r="AY138" i="34"/>
  <c r="BC1019" i="34"/>
  <c r="AQ69" i="34"/>
  <c r="BD173" i="34"/>
  <c r="AU503" i="34"/>
  <c r="AV34" i="34"/>
  <c r="AN595" i="34"/>
  <c r="BG323" i="34"/>
  <c r="BD433" i="34"/>
  <c r="AU653" i="34"/>
  <c r="BC1000" i="34"/>
  <c r="BD395" i="34"/>
  <c r="AV733" i="34"/>
  <c r="AN477" i="34"/>
  <c r="AM334" i="34"/>
  <c r="AQ442" i="34"/>
  <c r="BD258" i="34"/>
  <c r="AN474" i="34"/>
  <c r="AU1042" i="34"/>
  <c r="BC1065" i="34"/>
  <c r="AV907" i="34"/>
  <c r="BC481" i="34"/>
  <c r="AN192" i="34"/>
  <c r="AM167" i="34"/>
  <c r="AN224" i="34"/>
  <c r="BC873" i="34"/>
  <c r="BC770" i="34"/>
  <c r="BD184" i="34"/>
  <c r="BC324" i="34"/>
  <c r="AN973" i="34"/>
  <c r="BG334" i="34"/>
  <c r="BD499" i="34"/>
  <c r="BC791" i="34"/>
  <c r="AN853" i="34"/>
  <c r="AN926" i="34"/>
  <c r="AN122" i="34"/>
  <c r="AU696" i="34"/>
  <c r="AM230" i="34"/>
  <c r="AV704" i="34"/>
  <c r="AY237" i="34"/>
  <c r="BG342" i="34"/>
  <c r="BD921" i="34"/>
  <c r="AN1001" i="34"/>
  <c r="AU759" i="34"/>
  <c r="BD766" i="34"/>
  <c r="AM47" i="34"/>
  <c r="AU230" i="34"/>
  <c r="BD283" i="34"/>
  <c r="AV370" i="34"/>
  <c r="AN775" i="34"/>
  <c r="AV482" i="34"/>
  <c r="AN267" i="34"/>
  <c r="AV385" i="34"/>
  <c r="AV1045" i="34"/>
  <c r="AQ276" i="34"/>
  <c r="AV925" i="34"/>
  <c r="BD1030" i="34"/>
  <c r="AV685" i="34"/>
  <c r="AN44" i="34"/>
  <c r="BC1056" i="34"/>
  <c r="AN258" i="34"/>
  <c r="AV228" i="34"/>
  <c r="AY272" i="34"/>
  <c r="BC115" i="34"/>
  <c r="BD903" i="34"/>
  <c r="AV762" i="34"/>
  <c r="AN1087" i="34"/>
  <c r="AN773" i="34"/>
  <c r="AV428" i="34"/>
  <c r="AQ395" i="34"/>
  <c r="BD1065" i="34"/>
  <c r="AN815" i="34"/>
  <c r="AM861" i="34"/>
  <c r="BC767" i="34"/>
  <c r="AY128" i="34"/>
  <c r="AV1065" i="34"/>
  <c r="AU527" i="34"/>
  <c r="AQ290" i="34"/>
  <c r="BC297" i="34"/>
  <c r="BC602" i="34"/>
  <c r="AM517" i="34"/>
  <c r="AN189" i="34"/>
  <c r="AN819" i="34"/>
  <c r="AN497" i="34"/>
  <c r="AN132" i="34"/>
  <c r="AV703" i="34"/>
  <c r="AN731" i="34"/>
  <c r="AM926" i="34"/>
  <c r="AM667" i="34"/>
  <c r="BD54" i="34"/>
  <c r="AV213" i="34"/>
  <c r="AQ189" i="34"/>
  <c r="AM237" i="34"/>
  <c r="AM822" i="34"/>
  <c r="AQ58" i="34"/>
  <c r="AN951" i="34"/>
  <c r="AM951" i="34"/>
  <c r="BD861" i="34"/>
  <c r="AV16" i="34"/>
  <c r="BC718" i="34"/>
  <c r="BG254" i="34"/>
  <c r="AN826" i="34"/>
  <c r="AN91" i="34"/>
  <c r="BC721" i="34"/>
  <c r="BD266" i="34"/>
  <c r="BD603" i="34"/>
  <c r="AV48" i="34"/>
  <c r="BD418" i="34"/>
  <c r="BD847" i="34"/>
  <c r="AY107" i="34"/>
  <c r="AN110" i="34"/>
  <c r="AU1032" i="34"/>
  <c r="AN601" i="34"/>
  <c r="BG365" i="34"/>
  <c r="AN566" i="34"/>
  <c r="AU417" i="34"/>
  <c r="BC470" i="34"/>
  <c r="AY307" i="34"/>
  <c r="AV360" i="34"/>
  <c r="AQ448" i="34"/>
  <c r="AN763" i="34"/>
  <c r="AN414" i="34"/>
  <c r="AN1052" i="34"/>
  <c r="AM879" i="34"/>
  <c r="AN931" i="34"/>
  <c r="AV1061" i="34"/>
  <c r="BG15" i="34"/>
  <c r="AY200" i="34"/>
  <c r="AN301" i="34"/>
  <c r="BD609" i="34"/>
  <c r="BD1107" i="34"/>
  <c r="AN707" i="34"/>
  <c r="AV652" i="34"/>
  <c r="AN693" i="34"/>
  <c r="BC959" i="34"/>
  <c r="BD370" i="34"/>
  <c r="BD866" i="34"/>
  <c r="BD830" i="34"/>
  <c r="AN430" i="34"/>
  <c r="AV507" i="34"/>
  <c r="AN943" i="34"/>
  <c r="AV746" i="34"/>
  <c r="AV798" i="34"/>
  <c r="BD982" i="34"/>
  <c r="BG462" i="34"/>
  <c r="AV398" i="34"/>
  <c r="AN771" i="34"/>
  <c r="AY148" i="34"/>
  <c r="AY296" i="34"/>
  <c r="BD864" i="34"/>
  <c r="BC811" i="34"/>
  <c r="AN646" i="34"/>
  <c r="AY21" i="34"/>
  <c r="AV547" i="34"/>
  <c r="BD1117" i="34"/>
  <c r="BG224" i="34"/>
  <c r="AY365" i="34"/>
  <c r="AV1060" i="34"/>
  <c r="AU514" i="34"/>
  <c r="AN870" i="34"/>
  <c r="AM307" i="34"/>
  <c r="AV764" i="34"/>
  <c r="BG194" i="34"/>
  <c r="AN722" i="34"/>
  <c r="BG460" i="34"/>
  <c r="BD276" i="34"/>
  <c r="BC1045" i="34"/>
  <c r="AV21" i="34"/>
  <c r="AN145" i="34"/>
  <c r="BD731" i="34"/>
  <c r="AU785" i="34"/>
  <c r="BC809" i="34"/>
  <c r="BD891" i="34"/>
  <c r="AQ208" i="34"/>
  <c r="BD385" i="34"/>
  <c r="AV327" i="34"/>
  <c r="AN1102" i="34"/>
  <c r="AM370" i="34"/>
  <c r="AU541" i="34"/>
  <c r="AV410" i="34"/>
  <c r="BD989" i="34"/>
  <c r="BD599" i="34"/>
  <c r="AN496" i="34"/>
  <c r="AV864" i="34"/>
  <c r="AU306" i="34"/>
  <c r="BD324" i="34"/>
  <c r="AU1053" i="34"/>
  <c r="AQ324" i="34"/>
  <c r="AU149" i="34"/>
  <c r="BD805" i="34"/>
  <c r="BG395" i="34"/>
  <c r="AY360" i="34"/>
  <c r="BC720" i="34"/>
  <c r="BD493" i="34"/>
  <c r="AU631" i="34"/>
  <c r="BC734" i="34"/>
  <c r="BD1085" i="34"/>
  <c r="BC611" i="34"/>
  <c r="BG238" i="34"/>
  <c r="AY51" i="34"/>
  <c r="BC1042" i="34"/>
  <c r="AN528" i="34"/>
  <c r="BD182" i="34"/>
  <c r="AY17" i="34"/>
  <c r="AN738" i="34"/>
  <c r="AY265" i="34"/>
  <c r="BG297" i="34"/>
  <c r="AN576" i="34"/>
  <c r="AM404" i="34"/>
  <c r="AN742" i="34"/>
  <c r="AU323" i="34"/>
  <c r="AN506" i="34"/>
  <c r="BD757" i="34"/>
  <c r="AU528" i="34"/>
  <c r="BD843" i="34"/>
  <c r="BG174" i="34"/>
  <c r="AN427" i="34"/>
  <c r="AQ268" i="34"/>
  <c r="BC807" i="34"/>
  <c r="BD592" i="34"/>
  <c r="BC275" i="34"/>
  <c r="BD372" i="34"/>
  <c r="AU881" i="34"/>
  <c r="AN569" i="34"/>
  <c r="BD530" i="34"/>
  <c r="AV892" i="34"/>
  <c r="AV797" i="34"/>
  <c r="BD517" i="34"/>
  <c r="AV406" i="34"/>
  <c r="AM372" i="34"/>
  <c r="AV896" i="34"/>
  <c r="AV684" i="34"/>
  <c r="BC486" i="34"/>
  <c r="AV609" i="34"/>
  <c r="AN1009" i="34"/>
  <c r="AN408" i="34"/>
  <c r="BG473" i="34"/>
  <c r="BC981" i="34"/>
  <c r="BG488" i="34"/>
  <c r="AQ361" i="34"/>
  <c r="BD956" i="34"/>
  <c r="BD939" i="34"/>
  <c r="BD483" i="34"/>
  <c r="BD1012" i="34"/>
  <c r="AV107" i="34"/>
  <c r="AN873" i="34"/>
  <c r="BC943" i="34"/>
  <c r="AU626" i="34"/>
  <c r="AU1103" i="34"/>
  <c r="AU327" i="34"/>
  <c r="AU1011" i="34"/>
  <c r="BG182" i="34"/>
  <c r="BG442" i="34"/>
  <c r="BC1090" i="34"/>
  <c r="AQ41" i="34"/>
  <c r="AV997" i="34"/>
  <c r="AQ164" i="34"/>
  <c r="AN21" i="34"/>
  <c r="BD274" i="34"/>
  <c r="BC754" i="34"/>
  <c r="AY99" i="34"/>
  <c r="AQ231" i="34"/>
  <c r="AN625" i="34"/>
  <c r="BD814" i="34"/>
  <c r="BG326" i="34"/>
  <c r="AM997" i="34"/>
  <c r="BC712" i="34"/>
  <c r="BD554" i="34"/>
  <c r="AV503" i="34"/>
  <c r="AU613" i="34"/>
  <c r="AV262" i="34"/>
  <c r="AM1117" i="34"/>
  <c r="BD646" i="34"/>
  <c r="AM830" i="34"/>
  <c r="BD949" i="34"/>
  <c r="BD1080" i="34"/>
  <c r="AV536" i="34"/>
  <c r="AN552" i="34"/>
  <c r="AQ147" i="34"/>
  <c r="AV450" i="34"/>
  <c r="AQ291" i="34"/>
  <c r="BC985" i="34"/>
  <c r="BD722" i="34"/>
  <c r="BD15" i="34"/>
  <c r="AU398" i="34"/>
  <c r="BC1043" i="34"/>
  <c r="AY225" i="34"/>
  <c r="AN169" i="34"/>
  <c r="AV416" i="34"/>
  <c r="AM819" i="34"/>
  <c r="AU1065" i="34"/>
  <c r="AN343" i="34"/>
  <c r="AM925" i="34"/>
  <c r="BG282" i="34"/>
  <c r="BG300" i="34"/>
  <c r="BC702" i="34"/>
  <c r="AU309" i="34"/>
  <c r="AV1107" i="34"/>
  <c r="AQ262" i="34"/>
  <c r="AQ450" i="34"/>
  <c r="AY486" i="34"/>
  <c r="BG146" i="34"/>
  <c r="AN190" i="34"/>
  <c r="AM626" i="34"/>
  <c r="AV658" i="34"/>
  <c r="AM741" i="34"/>
  <c r="AQ281" i="34"/>
  <c r="AU227" i="34"/>
  <c r="AN1033" i="34"/>
  <c r="AV501" i="34"/>
  <c r="BD1014" i="34"/>
  <c r="AY167" i="34"/>
  <c r="BC1002" i="34"/>
  <c r="AN217" i="34"/>
  <c r="AQ201" i="34"/>
  <c r="AN531" i="34"/>
  <c r="BD1058" i="34"/>
  <c r="AY213" i="34"/>
  <c r="AY137" i="34"/>
  <c r="AV661" i="34"/>
  <c r="AN799" i="34"/>
  <c r="AV586" i="34"/>
  <c r="AV899" i="34"/>
  <c r="AM308" i="34"/>
  <c r="AN476" i="34"/>
  <c r="AN1098" i="34"/>
  <c r="BC1023" i="34"/>
  <c r="AM587" i="34"/>
  <c r="BC825" i="34"/>
  <c r="AU1005" i="34"/>
  <c r="BD933" i="34"/>
  <c r="BC516" i="34"/>
  <c r="AU42" i="34"/>
  <c r="AM752" i="34"/>
  <c r="BG30" i="34"/>
  <c r="AU748" i="34"/>
  <c r="AN119" i="34"/>
  <c r="AY226" i="34"/>
  <c r="AN850" i="34"/>
  <c r="BD675" i="34"/>
  <c r="BD392" i="34"/>
  <c r="AN580" i="34"/>
  <c r="AV979" i="34"/>
  <c r="AU989" i="34"/>
  <c r="AQ287" i="34"/>
  <c r="BC661" i="34"/>
  <c r="AN401" i="34"/>
  <c r="AN847" i="34"/>
  <c r="AN418" i="34"/>
  <c r="AN766" i="34"/>
  <c r="BD161" i="34"/>
  <c r="BD738" i="34"/>
  <c r="BD322" i="34"/>
  <c r="BD1026" i="34"/>
  <c r="AV690" i="34"/>
  <c r="BD751" i="34"/>
  <c r="AN969" i="34"/>
  <c r="AV145" i="34"/>
  <c r="BC645" i="34"/>
  <c r="AY122" i="34"/>
  <c r="AN162" i="34"/>
  <c r="AN895" i="34"/>
  <c r="AN789" i="34"/>
  <c r="AV93" i="34"/>
  <c r="AV371" i="34"/>
  <c r="BD708" i="34"/>
  <c r="BD454" i="34"/>
  <c r="BG298" i="34"/>
  <c r="AM504" i="34"/>
  <c r="BC144" i="34"/>
  <c r="AU138" i="34"/>
  <c r="AY205" i="34"/>
  <c r="AU1062" i="34"/>
  <c r="AQ212" i="34"/>
  <c r="AV790" i="34"/>
  <c r="AQ157" i="34"/>
  <c r="AN696" i="34"/>
  <c r="AN872" i="34"/>
  <c r="AQ296" i="34"/>
  <c r="AN53" i="34"/>
  <c r="AN914" i="34"/>
  <c r="AU530" i="34"/>
  <c r="BC303" i="34"/>
  <c r="AN783" i="34"/>
  <c r="BC1049" i="34"/>
  <c r="AM684" i="34"/>
  <c r="AM732" i="34"/>
  <c r="AN199" i="34"/>
  <c r="BD46" i="34"/>
  <c r="BD696" i="34"/>
  <c r="BC986" i="34"/>
  <c r="AV45" i="34"/>
  <c r="AU41" i="34"/>
  <c r="AY130" i="34"/>
  <c r="BG93" i="34"/>
  <c r="AN303" i="34"/>
  <c r="AV294" i="34"/>
  <c r="BG428" i="34"/>
  <c r="BC589" i="34"/>
  <c r="AV574" i="34"/>
  <c r="AV264" i="34"/>
  <c r="BD578" i="34"/>
  <c r="AV933" i="34"/>
  <c r="AU635" i="34"/>
  <c r="BD756" i="34"/>
  <c r="BD817" i="34"/>
  <c r="BD856" i="34"/>
  <c r="AQ66" i="34"/>
  <c r="BD919" i="34"/>
  <c r="AV368" i="34"/>
  <c r="BD64" i="34"/>
  <c r="BD176" i="34"/>
  <c r="BG268" i="34"/>
  <c r="AQ425" i="34"/>
  <c r="AN597" i="34"/>
  <c r="BD296" i="34"/>
  <c r="AQ230" i="34"/>
  <c r="BD150" i="34"/>
  <c r="BC999" i="34"/>
  <c r="BC564" i="34"/>
  <c r="BG169" i="34"/>
  <c r="AN791" i="34"/>
  <c r="BC1034" i="34"/>
  <c r="BG452" i="34"/>
  <c r="BC974" i="34"/>
  <c r="AV1104" i="34"/>
  <c r="AQ40" i="34"/>
  <c r="AU1063" i="34"/>
  <c r="AU31" i="34"/>
  <c r="BD770" i="34"/>
  <c r="AY144" i="34"/>
  <c r="AN553" i="34"/>
  <c r="AY287" i="34"/>
  <c r="AU670" i="34"/>
  <c r="BC617" i="34"/>
  <c r="BC821" i="34"/>
  <c r="BG327" i="34"/>
  <c r="AM826" i="34"/>
  <c r="AQ434" i="34"/>
  <c r="AQ330" i="34"/>
  <c r="AU830" i="34"/>
  <c r="AM645" i="34"/>
  <c r="BD557" i="34"/>
  <c r="AV23" i="34"/>
  <c r="AN419" i="34"/>
  <c r="AN768" i="34"/>
  <c r="BG433" i="34"/>
  <c r="AN944" i="34"/>
  <c r="AN733" i="34"/>
  <c r="AN393" i="34"/>
  <c r="AY193" i="34"/>
  <c r="AU702" i="34"/>
  <c r="BC237" i="34"/>
  <c r="AV675" i="34"/>
  <c r="AV538" i="34"/>
  <c r="AV113" i="34"/>
  <c r="AQ211" i="34"/>
  <c r="BD59" i="34"/>
  <c r="AN31" i="34"/>
  <c r="AY339" i="34"/>
  <c r="AV944" i="34"/>
  <c r="AN49" i="34"/>
  <c r="BG129" i="34"/>
  <c r="AU329" i="34"/>
  <c r="BC644" i="34"/>
  <c r="BD684" i="34"/>
  <c r="AU1059" i="34"/>
  <c r="AV483" i="34"/>
  <c r="AN1103" i="34"/>
  <c r="AU1064" i="34"/>
  <c r="BG286" i="34"/>
  <c r="AV490" i="34"/>
  <c r="BG306" i="34"/>
  <c r="BD304" i="34"/>
  <c r="AV397" i="34"/>
  <c r="AN924" i="34"/>
  <c r="BC327" i="34"/>
  <c r="BC480" i="34"/>
  <c r="BD1002" i="34"/>
  <c r="AN1079" i="34"/>
  <c r="AN934" i="34"/>
  <c r="AM394" i="34"/>
  <c r="AM959" i="34"/>
  <c r="AV112" i="34"/>
  <c r="AU665" i="34"/>
  <c r="AY118" i="34"/>
  <c r="BD773" i="34"/>
  <c r="BD98" i="34"/>
  <c r="AN134" i="34"/>
  <c r="BD736" i="34"/>
  <c r="AN541" i="34"/>
  <c r="AY295" i="34"/>
  <c r="BG481" i="34"/>
  <c r="AN238" i="34"/>
  <c r="AV803" i="34"/>
  <c r="AV644" i="34"/>
  <c r="AY19" i="34"/>
  <c r="AV1087" i="34"/>
  <c r="AV936" i="34"/>
  <c r="AV555" i="34"/>
  <c r="BD872" i="34"/>
  <c r="BD657" i="34"/>
  <c r="AQ162" i="34"/>
  <c r="BD689" i="34"/>
  <c r="AN348" i="34"/>
  <c r="BC323" i="34"/>
  <c r="AN750" i="34"/>
  <c r="AU504" i="34"/>
  <c r="AU679" i="34"/>
  <c r="BD185" i="34"/>
  <c r="AY189" i="34"/>
  <c r="AV709" i="34"/>
  <c r="AQ272" i="34"/>
  <c r="AV323" i="34"/>
  <c r="AU137" i="34"/>
  <c r="AQ167" i="34"/>
  <c r="AQ168" i="34"/>
  <c r="BC402" i="34"/>
  <c r="BC677" i="34"/>
  <c r="BG91" i="34"/>
  <c r="AY483" i="34"/>
  <c r="AU1043" i="34"/>
  <c r="BD448" i="34"/>
  <c r="BC368" i="34"/>
  <c r="BD720" i="34"/>
  <c r="BD679" i="34"/>
  <c r="AM650" i="34"/>
  <c r="AN657" i="34"/>
  <c r="BG137" i="34"/>
  <c r="AV656" i="34"/>
  <c r="BD480" i="34"/>
  <c r="BD338" i="34"/>
  <c r="AV1053" i="34"/>
  <c r="AY394" i="34"/>
  <c r="BD680" i="34"/>
  <c r="BC814" i="34"/>
  <c r="AN108" i="34"/>
  <c r="BD895" i="34"/>
  <c r="AV1033" i="34"/>
  <c r="BD19" i="34"/>
  <c r="BD112" i="34"/>
  <c r="AV133" i="34"/>
  <c r="BD938" i="34"/>
  <c r="AV201" i="34"/>
  <c r="AY479" i="34"/>
  <c r="BD339" i="34"/>
  <c r="BD995" i="34"/>
  <c r="BG476" i="34"/>
  <c r="BD568" i="34"/>
  <c r="BD943" i="34"/>
  <c r="AY70" i="34"/>
  <c r="BD640" i="34"/>
  <c r="BG276" i="34"/>
  <c r="BC167" i="34"/>
  <c r="AQ71" i="34"/>
  <c r="AN193" i="34"/>
  <c r="AU718" i="34"/>
  <c r="AY194" i="34"/>
  <c r="AQ254" i="34"/>
  <c r="AV937" i="34"/>
  <c r="BC293" i="34"/>
  <c r="AV569" i="34"/>
  <c r="AU937" i="34"/>
  <c r="AN373" i="34"/>
  <c r="AM744" i="34"/>
  <c r="AN827" i="34"/>
  <c r="BG265" i="34"/>
  <c r="AV430" i="34"/>
  <c r="BG105" i="34"/>
  <c r="BD676" i="34"/>
  <c r="BC1024" i="34"/>
  <c r="AV922" i="34"/>
  <c r="AV185" i="34"/>
  <c r="BG388" i="34"/>
  <c r="AU928" i="34"/>
  <c r="AV166" i="34"/>
  <c r="AM604" i="34"/>
  <c r="AU395" i="34"/>
  <c r="AV194" i="34"/>
  <c r="AN396" i="34"/>
  <c r="BD647" i="34"/>
  <c r="AV914" i="34"/>
  <c r="AU617" i="34"/>
  <c r="AU1004" i="34"/>
  <c r="AU643" i="34"/>
  <c r="AM229" i="34"/>
  <c r="BC604" i="34"/>
  <c r="BD70" i="34"/>
  <c r="AN200" i="34"/>
  <c r="AQ94" i="34"/>
  <c r="BC782" i="34"/>
  <c r="BG372" i="34"/>
  <c r="BC535" i="34"/>
  <c r="BG192" i="34"/>
  <c r="AU827" i="34"/>
  <c r="AV492" i="34"/>
  <c r="AM1042" i="34"/>
  <c r="AN269" i="34"/>
  <c r="AN405" i="34"/>
  <c r="AM652" i="34"/>
  <c r="AV986" i="34"/>
  <c r="AN198" i="34"/>
  <c r="BG68" i="34"/>
  <c r="AN247" i="34"/>
  <c r="AY63" i="34"/>
  <c r="AY203" i="34"/>
  <c r="BC1058" i="34"/>
  <c r="AN453" i="34"/>
  <c r="AM998" i="34"/>
  <c r="AN508" i="34"/>
  <c r="BD1088" i="34"/>
  <c r="BD643" i="34"/>
  <c r="AN1012" i="34"/>
  <c r="BG423" i="34"/>
  <c r="AN487" i="34"/>
  <c r="AN452" i="34"/>
  <c r="AM859" i="34"/>
  <c r="BD144" i="34"/>
  <c r="BC939" i="34"/>
  <c r="AM338" i="34"/>
  <c r="AN26" i="34"/>
  <c r="AN185" i="34"/>
  <c r="AV913" i="34"/>
  <c r="AU668" i="34"/>
  <c r="BD401" i="34"/>
  <c r="AN472" i="34"/>
  <c r="AN15" i="34"/>
  <c r="BD791" i="34"/>
  <c r="AQ430" i="34"/>
  <c r="AV619" i="34"/>
  <c r="AV793" i="34"/>
  <c r="AY345" i="34"/>
  <c r="AU43" i="34"/>
  <c r="BC147" i="34"/>
  <c r="AM464" i="34"/>
  <c r="AM791" i="34"/>
  <c r="AU490" i="34"/>
  <c r="BC816" i="34"/>
  <c r="AU1098" i="34"/>
  <c r="BC234" i="34"/>
  <c r="AN274" i="34"/>
  <c r="AQ182" i="34"/>
  <c r="AV691" i="34"/>
  <c r="AV755" i="34"/>
  <c r="BC697" i="34"/>
  <c r="AV948" i="34"/>
  <c r="AQ102" i="34"/>
  <c r="BG108" i="34"/>
  <c r="AM1021" i="34"/>
  <c r="AN120" i="34"/>
  <c r="BD759" i="34"/>
  <c r="BD294" i="34"/>
  <c r="AN64" i="34"/>
  <c r="AY157" i="34"/>
  <c r="AN350" i="34"/>
  <c r="AQ217" i="34"/>
  <c r="AV205" i="34"/>
  <c r="AN564" i="34"/>
  <c r="AV98" i="34"/>
  <c r="AQ133" i="34"/>
  <c r="AV689" i="34"/>
  <c r="AV1079" i="34"/>
  <c r="AV411" i="34"/>
  <c r="AU622" i="34"/>
  <c r="AV1020" i="34"/>
  <c r="AM636" i="34"/>
  <c r="BD654" i="34"/>
  <c r="AM957" i="34"/>
  <c r="BC670" i="34"/>
  <c r="BG408" i="34"/>
  <c r="AN519" i="34"/>
  <c r="BD1009" i="34"/>
  <c r="BC682" i="34"/>
  <c r="AN878" i="34"/>
  <c r="BG138" i="34"/>
  <c r="AU189" i="34"/>
  <c r="BC534" i="34"/>
  <c r="BG397" i="34"/>
  <c r="BG293" i="34"/>
  <c r="AN694" i="34"/>
  <c r="BC398" i="34"/>
  <c r="BG209" i="34"/>
  <c r="AY59" i="34"/>
  <c r="AV265" i="34"/>
  <c r="AM807" i="34"/>
  <c r="BD1010" i="34"/>
  <c r="AU148" i="34"/>
  <c r="AN45" i="34"/>
  <c r="BD782" i="34"/>
  <c r="BD1048" i="34"/>
  <c r="AM1090" i="34"/>
  <c r="AV67" i="34"/>
  <c r="AV337" i="34"/>
  <c r="AU952" i="34"/>
  <c r="AN618" i="34"/>
  <c r="BG198" i="34"/>
  <c r="BD478" i="34"/>
  <c r="AN736" i="34"/>
  <c r="AU489" i="34"/>
  <c r="BC333" i="34"/>
  <c r="AV847" i="34"/>
  <c r="AU820" i="34"/>
  <c r="AN974" i="34"/>
  <c r="BD662" i="34"/>
  <c r="AQ159" i="34"/>
  <c r="AQ261" i="34"/>
  <c r="BD948" i="34"/>
  <c r="BD105" i="34"/>
  <c r="AN517" i="34"/>
  <c r="AQ357" i="34"/>
  <c r="BG69" i="34"/>
  <c r="BD727" i="34"/>
  <c r="AM535" i="34"/>
  <c r="AV218" i="34"/>
  <c r="BD446" i="34"/>
  <c r="AV554" i="34"/>
  <c r="AQ47" i="34"/>
  <c r="AY159" i="34"/>
  <c r="AQ138" i="34"/>
  <c r="AU372" i="34"/>
  <c r="AM612" i="34"/>
  <c r="AY117" i="34"/>
  <c r="AN388" i="34"/>
  <c r="AY114" i="34"/>
  <c r="BC922" i="34"/>
  <c r="AY133" i="34"/>
  <c r="AN290" i="34"/>
  <c r="AV307" i="34"/>
  <c r="AM767" i="34"/>
  <c r="BG184" i="34"/>
  <c r="AN641" i="34"/>
  <c r="AN450" i="34"/>
  <c r="AM473" i="34"/>
  <c r="AV342" i="34"/>
  <c r="AN329" i="34"/>
  <c r="AU271" i="34"/>
  <c r="BG482" i="34"/>
  <c r="AY343" i="34"/>
  <c r="AV519" i="34"/>
  <c r="AV804" i="34"/>
  <c r="AN1104" i="34"/>
  <c r="AN816" i="34"/>
  <c r="AM563" i="34"/>
  <c r="AV789" i="34"/>
  <c r="AN231" i="34"/>
  <c r="BD867" i="34"/>
  <c r="AN988" i="34"/>
  <c r="AV1085" i="34"/>
  <c r="AN144" i="34"/>
  <c r="BG346" i="34"/>
  <c r="AN817" i="34"/>
  <c r="BC648" i="34"/>
  <c r="AY302" i="34"/>
  <c r="AV698" i="34"/>
  <c r="AV466" i="34"/>
  <c r="AV1049" i="34"/>
  <c r="BC168" i="34"/>
  <c r="AV438" i="34"/>
  <c r="BC944" i="34"/>
  <c r="AM709" i="34"/>
  <c r="AN1096" i="34"/>
  <c r="AU1087" i="34"/>
  <c r="AQ117" i="34"/>
  <c r="AM781" i="34"/>
  <c r="BD718" i="34"/>
  <c r="AV867" i="34"/>
  <c r="AN505" i="34"/>
  <c r="BD119" i="34"/>
  <c r="BD955" i="34"/>
  <c r="BC625" i="34"/>
  <c r="BC765" i="34"/>
  <c r="AU280" i="34"/>
  <c r="AY484" i="34"/>
  <c r="AM1022" i="34"/>
  <c r="AN744" i="34"/>
  <c r="AN920" i="34"/>
  <c r="BD1011" i="34"/>
  <c r="BG208" i="34"/>
  <c r="AV665" i="34"/>
  <c r="BD1101" i="34"/>
  <c r="AN1045" i="34"/>
  <c r="BC536" i="34"/>
  <c r="AY160" i="34"/>
  <c r="AM269" i="34"/>
  <c r="AN1107" i="34"/>
  <c r="BD870" i="34"/>
  <c r="AQ224" i="34"/>
  <c r="AY132" i="34"/>
  <c r="BD765" i="34"/>
  <c r="AV184" i="34"/>
  <c r="AV117" i="34"/>
  <c r="AN796" i="34"/>
  <c r="AU806" i="34"/>
  <c r="BD247" i="34"/>
  <c r="AN992" i="34"/>
  <c r="BC527" i="34"/>
  <c r="BG52" i="34"/>
  <c r="BD1092" i="34"/>
  <c r="BD225" i="34"/>
  <c r="BC133" i="34"/>
  <c r="BG333" i="34"/>
  <c r="AV532" i="34"/>
  <c r="BD769" i="34"/>
  <c r="AV1040" i="34"/>
  <c r="BD538" i="34"/>
  <c r="BD645" i="34"/>
  <c r="AU594" i="34"/>
  <c r="BD116" i="34"/>
  <c r="BG172" i="34"/>
  <c r="BD350" i="34"/>
  <c r="AV1096" i="34"/>
  <c r="AN821" i="34"/>
  <c r="BD818" i="34"/>
  <c r="BD121" i="34"/>
  <c r="BD417" i="34"/>
  <c r="AM782" i="34"/>
  <c r="AN322" i="34"/>
  <c r="AQ175" i="34"/>
  <c r="AQ190" i="34"/>
  <c r="AV982" i="34"/>
  <c r="AN584" i="34"/>
  <c r="AU685" i="34"/>
  <c r="AU394" i="34"/>
  <c r="AU623" i="34"/>
  <c r="AV1026" i="34"/>
  <c r="AN667" i="34"/>
  <c r="BD1034" i="34"/>
  <c r="AV837" i="34"/>
  <c r="AM1023" i="34"/>
  <c r="BD671" i="34"/>
  <c r="AV525" i="34"/>
  <c r="BC1003" i="34"/>
  <c r="AY344" i="34"/>
  <c r="BD295" i="34"/>
  <c r="AV324" i="34"/>
  <c r="AU476" i="34"/>
  <c r="AU658" i="34"/>
  <c r="AQ474" i="34"/>
  <c r="AV693" i="34"/>
  <c r="AN540" i="34"/>
  <c r="AV237" i="34"/>
  <c r="BD93" i="34"/>
  <c r="AN32" i="34"/>
  <c r="AN484" i="34"/>
  <c r="AN112" i="34"/>
  <c r="AU834" i="34"/>
  <c r="BG112" i="34"/>
  <c r="AV105" i="34"/>
  <c r="AU187" i="34"/>
  <c r="AY26" i="34"/>
  <c r="BD238" i="34"/>
  <c r="AV664" i="34"/>
  <c r="AN63" i="34"/>
  <c r="AU507" i="34"/>
  <c r="AU332" i="34"/>
  <c r="AV509" i="34"/>
  <c r="AV905" i="34"/>
  <c r="AN881" i="34"/>
  <c r="AU654" i="34"/>
  <c r="AQ350" i="34"/>
  <c r="AN892" i="34"/>
  <c r="BD92" i="34"/>
  <c r="AN483" i="34"/>
  <c r="AN902" i="34"/>
  <c r="AU506" i="34"/>
  <c r="BD764" i="34"/>
  <c r="AN921" i="34"/>
  <c r="AN518" i="34"/>
  <c r="AV138" i="34"/>
  <c r="BG258" i="34"/>
  <c r="AN495" i="34"/>
  <c r="AU921" i="34"/>
  <c r="AM702" i="34"/>
  <c r="BD879" i="34"/>
  <c r="BD698" i="34"/>
  <c r="AN527" i="34"/>
  <c r="AU322" i="34"/>
  <c r="BD985" i="34"/>
  <c r="AV1109" i="34"/>
  <c r="BC138" i="34"/>
  <c r="AN338" i="34"/>
  <c r="AN820" i="34"/>
  <c r="BC1120" i="34"/>
  <c r="AQ227" i="34"/>
  <c r="AV1057" i="34"/>
  <c r="BD1062" i="34"/>
  <c r="AV276" i="34"/>
  <c r="AV171" i="34"/>
  <c r="AN370" i="34"/>
  <c r="BD617" i="34"/>
  <c r="AU819" i="34"/>
  <c r="AN159" i="34"/>
  <c r="AN1051" i="34"/>
  <c r="BD634" i="34"/>
  <c r="AQ426" i="34"/>
  <c r="AN532" i="34"/>
  <c r="BD189" i="34"/>
  <c r="AY422" i="34"/>
  <c r="BD691" i="34"/>
  <c r="BD653" i="34"/>
  <c r="AY219" i="34"/>
  <c r="BG394" i="34"/>
  <c r="AN654" i="34"/>
  <c r="BC750" i="34"/>
  <c r="AM270" i="34"/>
  <c r="AM1065" i="34"/>
  <c r="AN353" i="34"/>
  <c r="AY303" i="34"/>
  <c r="AN233" i="34"/>
  <c r="AU945" i="34"/>
  <c r="AV392" i="34"/>
  <c r="BD188" i="34"/>
  <c r="AM735" i="34"/>
  <c r="BD371" i="34"/>
  <c r="BD1043" i="34"/>
  <c r="BD490" i="34"/>
  <c r="AN441" i="34"/>
  <c r="BC137" i="34"/>
  <c r="BD396" i="34"/>
  <c r="AM280" i="34"/>
  <c r="BC337" i="34"/>
  <c r="BD387" i="34"/>
  <c r="BG329" i="34"/>
  <c r="AN1015" i="34"/>
  <c r="BD744" i="34"/>
  <c r="BC931" i="34"/>
  <c r="AV263" i="34"/>
  <c r="AN805" i="34"/>
  <c r="AV345" i="34"/>
  <c r="AN855" i="34"/>
  <c r="AY199" i="34"/>
  <c r="BC741" i="34"/>
  <c r="AU815" i="34"/>
  <c r="BD703" i="34"/>
  <c r="AQ476" i="34"/>
  <c r="BD901" i="34"/>
  <c r="BC781" i="34"/>
  <c r="AQ121" i="34"/>
  <c r="BC938" i="34"/>
  <c r="AN468" i="34"/>
  <c r="AV160" i="34"/>
  <c r="AM1045" i="34"/>
  <c r="AU1092" i="34"/>
  <c r="AM838" i="34"/>
  <c r="AV156" i="34"/>
  <c r="AQ194" i="34"/>
  <c r="AV918" i="34"/>
  <c r="AV1004" i="34"/>
  <c r="AN794" i="34"/>
  <c r="AY27" i="34"/>
  <c r="AV423" i="34"/>
  <c r="AN166" i="34"/>
  <c r="BD115" i="34"/>
  <c r="AN324" i="34"/>
  <c r="AQ286" i="34"/>
  <c r="BG170" i="34"/>
  <c r="AY480" i="34"/>
  <c r="AY64" i="34"/>
  <c r="BC94" i="34"/>
  <c r="AM988" i="34"/>
  <c r="BC676" i="34"/>
  <c r="AN215" i="34"/>
  <c r="AQ188" i="34"/>
  <c r="BG479" i="34"/>
  <c r="AQ282" i="34"/>
  <c r="AU973" i="34"/>
  <c r="BC107" i="34"/>
  <c r="AU1035" i="34"/>
  <c r="AN449" i="34"/>
  <c r="BC492" i="34"/>
  <c r="AV452" i="34"/>
  <c r="AM736" i="34"/>
  <c r="AM148" i="34"/>
  <c r="AN1106" i="34"/>
  <c r="AN529" i="34"/>
  <c r="AN894" i="34"/>
  <c r="AV557" i="34"/>
  <c r="AV713" i="34"/>
  <c r="BD695" i="34"/>
  <c r="BD186" i="34"/>
  <c r="AN509" i="34"/>
  <c r="BD598" i="34"/>
  <c r="AV622" i="34"/>
  <c r="AN467" i="34"/>
  <c r="AV436" i="34"/>
  <c r="AY229" i="34"/>
  <c r="BC994" i="34"/>
  <c r="AU163" i="34"/>
  <c r="AM296" i="34"/>
  <c r="AN734" i="34"/>
  <c r="AV275" i="34"/>
  <c r="AN307" i="34"/>
  <c r="AY281" i="34"/>
  <c r="AQ45" i="34"/>
  <c r="AY119" i="34"/>
  <c r="BG259" i="34"/>
  <c r="BD615" i="34"/>
  <c r="BD363" i="34"/>
  <c r="AU809" i="34"/>
  <c r="BD735" i="34"/>
  <c r="BD156" i="34"/>
  <c r="AV97" i="34"/>
  <c r="BD600" i="34"/>
  <c r="BD794" i="34"/>
  <c r="AN115" i="34"/>
  <c r="AU1045" i="34"/>
  <c r="AM1104" i="34"/>
  <c r="AN255" i="34"/>
  <c r="AM1087" i="34"/>
  <c r="BD876" i="34"/>
  <c r="AV801" i="34"/>
  <c r="AU1040" i="34"/>
  <c r="AY183" i="34"/>
  <c r="AN779" i="34"/>
  <c r="AU34" i="34"/>
  <c r="AV852" i="34"/>
  <c r="AM163" i="34"/>
  <c r="AV274" i="34"/>
  <c r="AV417" i="34"/>
  <c r="AU959" i="34"/>
  <c r="AM775" i="34"/>
  <c r="BC964" i="34"/>
  <c r="AV453" i="34"/>
  <c r="AN327" i="34"/>
  <c r="BD472" i="34"/>
  <c r="AM323" i="34"/>
  <c r="AQ368" i="34"/>
  <c r="AU132" i="34"/>
  <c r="AY297" i="34"/>
  <c r="AV344" i="34"/>
  <c r="AN626" i="34"/>
  <c r="AV199" i="34"/>
  <c r="AN848" i="34"/>
  <c r="AN940" i="34"/>
  <c r="BD519" i="34"/>
  <c r="BC553" i="34"/>
  <c r="BD641" i="34"/>
  <c r="AN323" i="34"/>
  <c r="BC521" i="34"/>
  <c r="BC810" i="34"/>
  <c r="AV657" i="34"/>
  <c r="AN670" i="34"/>
  <c r="AM189" i="34"/>
  <c r="AN903" i="34"/>
  <c r="AN139" i="34"/>
  <c r="AM586" i="34"/>
  <c r="AY129" i="34"/>
  <c r="BG287" i="34"/>
  <c r="AN633" i="34"/>
  <c r="BG302" i="34"/>
  <c r="AN470" i="34"/>
  <c r="AV434" i="34"/>
  <c r="AU512" i="34"/>
  <c r="AV236" i="34"/>
  <c r="BD270" i="34"/>
  <c r="AV756" i="34"/>
  <c r="BD287" i="34"/>
  <c r="BD740" i="34"/>
  <c r="AM588" i="34"/>
  <c r="AM651" i="34"/>
  <c r="AU667" i="34"/>
  <c r="BD31" i="34"/>
  <c r="AQ237" i="34"/>
  <c r="AM52" i="34"/>
  <c r="AM633" i="34"/>
  <c r="AV744" i="34"/>
  <c r="BC820" i="34"/>
  <c r="AN989" i="34"/>
  <c r="BG470" i="34"/>
  <c r="AU944" i="34"/>
  <c r="AU470" i="34"/>
  <c r="AY478" i="34"/>
  <c r="AV329" i="34"/>
  <c r="AV750" i="34"/>
  <c r="AQ154" i="34"/>
  <c r="AQ107" i="34"/>
  <c r="AN71" i="34"/>
  <c r="BC698" i="34"/>
  <c r="BC332" i="34"/>
  <c r="AN962" i="34"/>
  <c r="BD99" i="34"/>
  <c r="AU786" i="34"/>
  <c r="BD934" i="34"/>
  <c r="AU787" i="34"/>
  <c r="AQ64" i="34"/>
  <c r="AY48" i="34"/>
  <c r="BD586" i="34"/>
  <c r="AU466" i="34"/>
  <c r="AN746" i="34"/>
  <c r="AN502" i="34"/>
  <c r="BG41" i="34"/>
  <c r="AU793" i="34"/>
  <c r="AV565" i="34"/>
  <c r="AU771" i="34"/>
  <c r="BD988" i="34"/>
  <c r="AN1105" i="34"/>
  <c r="AV724" i="34"/>
  <c r="AV993" i="34"/>
  <c r="AN684" i="34"/>
  <c r="AU799" i="34"/>
  <c r="AV95" i="34"/>
  <c r="BD1050" i="34"/>
  <c r="BD497" i="34"/>
  <c r="BD815" i="34"/>
  <c r="BD1023" i="34"/>
  <c r="BD167" i="34"/>
  <c r="AV363" i="34"/>
  <c r="AV969" i="34"/>
  <c r="BG205" i="34"/>
  <c r="BD993" i="34"/>
  <c r="BD1105" i="34"/>
  <c r="BC972" i="34"/>
  <c r="BC726" i="34"/>
  <c r="AN504" i="34"/>
  <c r="AM1094" i="34"/>
  <c r="BC515" i="34"/>
  <c r="AY346" i="34"/>
  <c r="AQ115" i="34"/>
  <c r="AY304" i="34"/>
  <c r="BC826" i="34"/>
  <c r="AY448" i="34"/>
  <c r="AV779" i="34"/>
  <c r="AN35" i="34"/>
  <c r="BG321" i="34"/>
  <c r="BD577" i="34"/>
  <c r="AV893" i="34"/>
  <c r="AN143" i="34"/>
  <c r="AV109" i="34"/>
  <c r="AN522" i="34"/>
  <c r="AN151" i="34"/>
  <c r="BD582" i="34"/>
  <c r="BD583" i="34"/>
  <c r="AU961" i="34"/>
  <c r="BD412" i="34"/>
  <c r="AV782" i="34"/>
  <c r="AV549" i="34"/>
  <c r="AU753" i="34"/>
  <c r="AN204" i="34"/>
  <c r="BD1055" i="34"/>
  <c r="AV334" i="34"/>
  <c r="AN831" i="34"/>
  <c r="AV497" i="34"/>
  <c r="BD129" i="34"/>
  <c r="AV158" i="34"/>
  <c r="AN345" i="34"/>
  <c r="BD204" i="34"/>
  <c r="AV605" i="34"/>
  <c r="AN619" i="34"/>
  <c r="BC1041" i="34"/>
  <c r="BD945" i="34"/>
  <c r="BD788" i="34"/>
  <c r="BG35" i="34"/>
  <c r="BC748" i="34"/>
  <c r="BD1102" i="34"/>
  <c r="AM788" i="34"/>
  <c r="AN260" i="34"/>
  <c r="AY172" i="34"/>
  <c r="AM836" i="34"/>
  <c r="AY105" i="34"/>
  <c r="BD606" i="34"/>
  <c r="AN234" i="34"/>
  <c r="BD135" i="34"/>
  <c r="AY300" i="34"/>
  <c r="AN890" i="34"/>
  <c r="AU939" i="34"/>
  <c r="AY355" i="34"/>
  <c r="AQ53" i="34"/>
  <c r="AN546" i="34"/>
  <c r="AM1084" i="34"/>
  <c r="AV832" i="34"/>
  <c r="AM728" i="34"/>
  <c r="AV387" i="34"/>
  <c r="AM547" i="34"/>
  <c r="AU964" i="34"/>
  <c r="AU464" i="34"/>
  <c r="AV949" i="34"/>
  <c r="BD281" i="34"/>
  <c r="AM63" i="34"/>
  <c r="AM994" i="34"/>
  <c r="BC635" i="34"/>
  <c r="AQ219" i="34"/>
  <c r="BD226" i="34"/>
  <c r="BG217" i="34"/>
  <c r="AM874" i="34"/>
  <c r="AU982" i="34"/>
  <c r="BG445" i="34"/>
  <c r="AU768" i="34"/>
  <c r="AM306" i="34"/>
  <c r="AQ482" i="34"/>
  <c r="AV1055" i="34"/>
  <c r="AY35" i="34"/>
  <c r="AN344" i="34"/>
  <c r="AN149" i="34"/>
  <c r="BD573" i="34"/>
  <c r="BC636" i="34"/>
  <c r="AM536" i="34"/>
  <c r="BD422" i="34"/>
  <c r="AQ285" i="34"/>
  <c r="AN131" i="34"/>
  <c r="AN1027" i="34"/>
  <c r="BG332" i="34"/>
  <c r="AN59" i="34"/>
  <c r="AN960" i="34"/>
  <c r="AM425" i="34"/>
  <c r="AY450" i="34"/>
  <c r="AU788" i="34"/>
  <c r="AV279" i="34"/>
  <c r="AV214" i="34"/>
  <c r="BC831" i="34"/>
  <c r="AQ483" i="34"/>
  <c r="BG154" i="34"/>
  <c r="AN330" i="34"/>
  <c r="AV132" i="34"/>
  <c r="AY236" i="34"/>
  <c r="AU133" i="34"/>
  <c r="AQ283" i="34"/>
  <c r="BD491" i="34"/>
  <c r="AQ293" i="34"/>
  <c r="BG305" i="34"/>
  <c r="BD147" i="34"/>
  <c r="AU600" i="34"/>
  <c r="AN621" i="34"/>
  <c r="AV912" i="34"/>
  <c r="AY173" i="34"/>
  <c r="AN579" i="34"/>
  <c r="AV116" i="34"/>
  <c r="BD719" i="34"/>
  <c r="AY254" i="34"/>
  <c r="BC937" i="34"/>
  <c r="BD399" i="34"/>
  <c r="BD505" i="34"/>
  <c r="BG221" i="34"/>
  <c r="BC1060" i="34"/>
  <c r="BD1016" i="34"/>
  <c r="AV475" i="34"/>
  <c r="BC568" i="34"/>
  <c r="BC1052" i="34"/>
  <c r="AM549" i="34"/>
  <c r="AM368" i="34"/>
  <c r="AN979" i="34"/>
  <c r="BG116" i="34"/>
  <c r="AN998" i="34"/>
  <c r="AV825" i="34"/>
  <c r="BC497" i="34"/>
  <c r="AM706" i="34"/>
  <c r="AN859" i="34"/>
  <c r="AN523" i="34"/>
  <c r="AQ149" i="34"/>
  <c r="BC1094" i="34"/>
  <c r="AM1098" i="34"/>
  <c r="BD474" i="34"/>
  <c r="AN1054" i="34"/>
  <c r="AY475" i="34"/>
  <c r="BC1015" i="34"/>
  <c r="AM669" i="34"/>
  <c r="AN591" i="34"/>
  <c r="AM944" i="34"/>
  <c r="BD470" i="34"/>
  <c r="AU950" i="34"/>
  <c r="BG23" i="34"/>
  <c r="BD481" i="34"/>
  <c r="AN1038" i="34"/>
  <c r="AN411" i="34"/>
  <c r="AY134" i="34"/>
  <c r="AM486" i="34"/>
  <c r="BD41" i="34"/>
  <c r="AQ435" i="34"/>
  <c r="BG210" i="34"/>
  <c r="AN107" i="34"/>
  <c r="BD685" i="34"/>
  <c r="AV821" i="34"/>
  <c r="AN346" i="34"/>
  <c r="AU399" i="34"/>
  <c r="BC573" i="34"/>
  <c r="AV292" i="34"/>
  <c r="AN854" i="34"/>
  <c r="AV226" i="34"/>
  <c r="AQ396" i="34"/>
  <c r="AN956" i="34"/>
  <c r="AM1047" i="34"/>
  <c r="BC839" i="34"/>
  <c r="AY147" i="34"/>
  <c r="AY467" i="34"/>
  <c r="AQ408" i="34"/>
  <c r="AN824" i="34"/>
  <c r="AY358" i="34"/>
  <c r="AM553" i="34"/>
  <c r="AV935" i="34"/>
  <c r="AY322" i="34"/>
  <c r="AQ24" i="34"/>
  <c r="AV984" i="34"/>
  <c r="AN668" i="34"/>
  <c r="AN473" i="34"/>
  <c r="AM1019" i="34"/>
  <c r="AV50" i="34"/>
  <c r="AN158" i="34"/>
  <c r="AU933" i="34"/>
  <c r="AN990" i="34"/>
  <c r="BD149" i="34"/>
  <c r="AV1117" i="34"/>
  <c r="AY328" i="34"/>
  <c r="BG367" i="34"/>
  <c r="AN362" i="34"/>
  <c r="AM64" i="34"/>
  <c r="AM371" i="34"/>
  <c r="AN699" i="34"/>
  <c r="AM227" i="34"/>
  <c r="AV186" i="34"/>
  <c r="AU281" i="34"/>
  <c r="AM734" i="34"/>
  <c r="AN727" i="34"/>
  <c r="BG16" i="34"/>
  <c r="BC198" i="34"/>
  <c r="BG461" i="34"/>
  <c r="AN919" i="34"/>
  <c r="AV309" i="34"/>
  <c r="AU691" i="34"/>
  <c r="BC859" i="34"/>
  <c r="BD1051" i="34"/>
  <c r="AN43" i="34"/>
  <c r="AU1046" i="34"/>
  <c r="AN187" i="34"/>
  <c r="AQ48" i="34"/>
  <c r="BC370" i="34"/>
  <c r="AU298" i="34"/>
  <c r="AV1048" i="34"/>
  <c r="BG110" i="34"/>
  <c r="AV413" i="34"/>
  <c r="AY449" i="34"/>
  <c r="AN194" i="34"/>
  <c r="AU773" i="34"/>
  <c r="BG371" i="34"/>
  <c r="BD528" i="34"/>
  <c r="AV823" i="34"/>
  <c r="BG216" i="34"/>
  <c r="BD164" i="34"/>
  <c r="AY22" i="34"/>
  <c r="AN155" i="34"/>
  <c r="AY228" i="34"/>
  <c r="AM32" i="34"/>
  <c r="AY155" i="34"/>
  <c r="AM659" i="34"/>
  <c r="AV539" i="34"/>
  <c r="AN116" i="34"/>
  <c r="BD571" i="34"/>
  <c r="AV358" i="34"/>
  <c r="AN47" i="34"/>
  <c r="AY393" i="34"/>
  <c r="AM595" i="34"/>
  <c r="AN712" i="34"/>
  <c r="AN673" i="34"/>
  <c r="AQ19" i="34"/>
  <c r="BC394" i="34"/>
  <c r="BD806" i="34"/>
  <c r="AV827" i="34"/>
  <c r="AV920" i="34"/>
  <c r="AQ68" i="34"/>
  <c r="AU307" i="34"/>
  <c r="BC603" i="34"/>
  <c r="AU661" i="34"/>
  <c r="AV769" i="34"/>
  <c r="BG478" i="34"/>
  <c r="AQ70" i="34"/>
  <c r="AN865" i="34"/>
  <c r="BC881" i="34"/>
  <c r="BG387" i="34"/>
  <c r="BG173" i="34"/>
  <c r="AN24" i="34"/>
  <c r="AU943" i="34"/>
  <c r="AN1095" i="34"/>
  <c r="AV467" i="34"/>
  <c r="AQ488" i="34"/>
  <c r="BC783" i="34"/>
  <c r="AV192" i="34"/>
  <c r="AN524" i="34"/>
  <c r="AM516" i="34"/>
  <c r="AU66" i="34"/>
  <c r="BG392" i="34"/>
  <c r="AY435" i="34"/>
  <c r="BD610" i="34"/>
  <c r="AN1082" i="34"/>
  <c r="BD438" i="34"/>
  <c r="AV1028" i="34"/>
  <c r="BC269" i="34"/>
  <c r="BG114" i="34"/>
  <c r="BG47" i="34"/>
  <c r="AV740" i="34"/>
  <c r="AN332" i="34"/>
  <c r="AV134" i="34"/>
  <c r="BC989" i="34"/>
  <c r="AN706" i="34"/>
  <c r="AN501" i="34"/>
  <c r="AQ233" i="34"/>
  <c r="AN616" i="34"/>
  <c r="AU51" i="34"/>
  <c r="AV717" i="34"/>
  <c r="AU402" i="34"/>
  <c r="AN280" i="34"/>
  <c r="BC629" i="34"/>
  <c r="AN660" i="34"/>
  <c r="AY464" i="34"/>
  <c r="AV297" i="34"/>
  <c r="AN793" i="34"/>
  <c r="BC719" i="34"/>
  <c r="AQ310" i="34"/>
  <c r="AV260" i="34"/>
  <c r="AY423" i="34"/>
  <c r="BD442" i="34"/>
  <c r="AU274" i="34"/>
  <c r="BC465" i="34"/>
  <c r="AQ203" i="34"/>
  <c r="BD133" i="34"/>
  <c r="BC590" i="34"/>
  <c r="AN899" i="34"/>
  <c r="BC667" i="34"/>
  <c r="BD535" i="34"/>
  <c r="BC665" i="34"/>
  <c r="AN624" i="34"/>
  <c r="AM298" i="34"/>
  <c r="BD1018" i="34"/>
  <c r="AV498" i="34"/>
  <c r="BC669" i="34"/>
  <c r="AV270" i="34"/>
  <c r="AV763" i="34"/>
  <c r="AV1081" i="34"/>
  <c r="BC622" i="34"/>
  <c r="AU534" i="34"/>
  <c r="BG131" i="34"/>
  <c r="BD1031" i="34"/>
  <c r="BD309" i="34"/>
  <c r="AU980" i="34"/>
  <c r="AN724" i="34"/>
  <c r="AN586" i="34"/>
  <c r="AV1082" i="34"/>
  <c r="BD484" i="34"/>
  <c r="BD625" i="34"/>
  <c r="BD172" i="34"/>
  <c r="BD820" i="34"/>
  <c r="BD425" i="34"/>
  <c r="AU726" i="34"/>
  <c r="AY112" i="34"/>
  <c r="AV64" i="34"/>
  <c r="BC812" i="34"/>
  <c r="BG489" i="34"/>
  <c r="AU958" i="34"/>
  <c r="BC235" i="34"/>
  <c r="AN331" i="34"/>
  <c r="AV869" i="34"/>
  <c r="AY104" i="34"/>
  <c r="BC423" i="34"/>
  <c r="AU64" i="34"/>
  <c r="AU1023" i="34"/>
  <c r="AV510" i="34"/>
  <c r="AU589" i="34"/>
  <c r="BC952" i="34"/>
  <c r="AN437" i="34"/>
  <c r="BD779" i="34"/>
  <c r="BD648" i="34"/>
  <c r="AV930" i="34"/>
  <c r="BC489" i="34"/>
  <c r="BC953" i="34"/>
  <c r="AM825" i="34"/>
  <c r="AN774" i="34"/>
  <c r="BG28" i="34"/>
  <c r="AM754" i="34"/>
  <c r="BC539" i="34"/>
  <c r="BD199" i="34"/>
  <c r="AY442" i="34"/>
  <c r="BC1103" i="34"/>
  <c r="BD907" i="34"/>
  <c r="BC723" i="34"/>
  <c r="AU838" i="34"/>
  <c r="AN1046" i="34"/>
  <c r="BC425" i="34"/>
  <c r="AU370" i="34"/>
  <c r="AN594" i="34"/>
  <c r="BD473" i="34"/>
  <c r="AU522" i="34"/>
  <c r="AN776" i="34"/>
  <c r="BC756" i="34"/>
  <c r="AV628" i="34"/>
  <c r="AV520" i="34"/>
  <c r="AM539" i="34"/>
  <c r="AN394" i="34"/>
  <c r="BD743" i="34"/>
  <c r="BG160" i="34"/>
  <c r="AN737" i="34"/>
  <c r="BD416" i="34"/>
  <c r="AY334" i="34"/>
  <c r="AM937" i="34"/>
  <c r="AN1029" i="34"/>
  <c r="AN174" i="34"/>
  <c r="BD838" i="34"/>
  <c r="BD803" i="34"/>
  <c r="AN406" i="34"/>
  <c r="AU424" i="34"/>
  <c r="AV751" i="34"/>
  <c r="AM929" i="34"/>
  <c r="BC1088" i="34"/>
  <c r="AU523" i="34"/>
  <c r="AN634" i="34"/>
  <c r="BD373" i="34"/>
  <c r="BD235" i="34"/>
  <c r="BC805" i="34"/>
  <c r="AN57" i="34"/>
  <c r="AQ295" i="34"/>
  <c r="AQ418" i="34"/>
  <c r="AV350" i="34"/>
  <c r="AY94" i="34"/>
  <c r="AV198" i="34"/>
  <c r="AM820" i="34"/>
  <c r="BC1092" i="34"/>
  <c r="BD494" i="34"/>
  <c r="AV1101" i="34"/>
  <c r="AV404" i="34"/>
  <c r="BD714" i="34"/>
  <c r="AQ473" i="34"/>
  <c r="BD986" i="34"/>
  <c r="AM786" i="34"/>
  <c r="AY309" i="34"/>
  <c r="BD536" i="34"/>
  <c r="AM974" i="34"/>
  <c r="AU999" i="34"/>
  <c r="AQ337" i="34"/>
  <c r="AN211" i="34"/>
  <c r="AN72" i="34"/>
  <c r="AV572" i="34"/>
  <c r="AN784" i="34"/>
  <c r="AQ93" i="34"/>
  <c r="AV1003" i="34"/>
  <c r="AM1026" i="34"/>
  <c r="AQ452" i="34"/>
  <c r="BD1090" i="34"/>
  <c r="AV51" i="34"/>
  <c r="AM747" i="34"/>
  <c r="AV306" i="34"/>
  <c r="AN183" i="34"/>
  <c r="BG449" i="34"/>
  <c r="AM1058" i="34"/>
  <c r="AM1057" i="34"/>
  <c r="AM530" i="34"/>
  <c r="BC1028" i="34"/>
  <c r="AY263" i="34"/>
  <c r="AN828" i="34"/>
  <c r="AQ279" i="34"/>
  <c r="AN306" i="34"/>
  <c r="BD169" i="34"/>
  <c r="AU584" i="34"/>
  <c r="BD272" i="34"/>
  <c r="AQ387" i="34"/>
  <c r="BC345" i="34"/>
  <c r="AY264" i="34"/>
  <c r="BD267" i="34"/>
  <c r="AV989" i="34"/>
  <c r="AY454" i="34"/>
  <c r="AU1057" i="34"/>
  <c r="BD966" i="34"/>
  <c r="AQ226" i="34"/>
  <c r="BC710" i="34"/>
  <c r="AN335" i="34"/>
  <c r="BC961" i="34"/>
  <c r="AM876" i="34"/>
  <c r="BD286" i="34"/>
  <c r="BC63" i="34"/>
  <c r="AU988" i="34"/>
  <c r="BD562" i="34"/>
  <c r="BC614" i="34"/>
  <c r="AV594" i="34"/>
  <c r="AU738" i="34"/>
  <c r="BC1091" i="34"/>
  <c r="AM1043" i="34"/>
  <c r="AV469" i="34"/>
  <c r="AM873" i="34"/>
  <c r="BD325" i="34"/>
  <c r="BD302" i="34"/>
  <c r="AM497" i="34"/>
  <c r="BD709" i="34"/>
  <c r="AN237" i="34"/>
  <c r="AN525" i="34"/>
  <c r="BD487" i="34"/>
  <c r="AV1043" i="34"/>
  <c r="AU365" i="34"/>
  <c r="BG430" i="34"/>
  <c r="AV673" i="34"/>
  <c r="AM489" i="34"/>
  <c r="AQ116" i="34"/>
  <c r="AQ51" i="34"/>
  <c r="AU706" i="34"/>
  <c r="BD752" i="34"/>
  <c r="BC1016" i="34"/>
  <c r="AV981" i="34"/>
  <c r="BD964" i="34"/>
  <c r="BC66" i="34"/>
  <c r="AN838" i="34"/>
  <c r="AN675" i="34"/>
  <c r="BD139" i="34"/>
  <c r="AN537" i="34"/>
  <c r="AQ156" i="34"/>
  <c r="BD749" i="34"/>
  <c r="AM225" i="34"/>
  <c r="BD175" i="34"/>
  <c r="BD522" i="34"/>
  <c r="AU343" i="34"/>
  <c r="AM750" i="34"/>
  <c r="BD134" i="34"/>
  <c r="BD1046" i="34"/>
  <c r="AY401" i="34"/>
  <c r="AM726" i="34"/>
  <c r="AN880" i="34"/>
  <c r="AN792" i="34"/>
  <c r="BG236" i="34"/>
  <c r="AQ263" i="34"/>
  <c r="BD813" i="34"/>
  <c r="AM653" i="34"/>
  <c r="BD717" i="34"/>
  <c r="AN681" i="34"/>
  <c r="BC652" i="34"/>
  <c r="AY52" i="34"/>
  <c r="AY299" i="34"/>
  <c r="BD21" i="34"/>
  <c r="BC540" i="34"/>
  <c r="BD406" i="34"/>
  <c r="AN565" i="34"/>
  <c r="BG21" i="34"/>
  <c r="BD909" i="34"/>
  <c r="AQ397" i="34"/>
  <c r="AU655" i="34"/>
  <c r="AM703" i="34"/>
  <c r="BD768" i="34"/>
  <c r="AQ355" i="34"/>
  <c r="AV708" i="34"/>
  <c r="BD346" i="34"/>
  <c r="AQ218" i="34"/>
  <c r="AV739" i="34"/>
  <c r="BC637" i="34"/>
  <c r="BC556" i="34"/>
  <c r="BC679" i="34"/>
  <c r="AM768" i="34"/>
  <c r="BD14" i="34"/>
  <c r="AU651" i="34"/>
  <c r="AN572" i="34"/>
  <c r="BD293" i="34"/>
  <c r="BD750" i="34"/>
  <c r="BD925" i="34"/>
  <c r="AY426" i="34"/>
  <c r="AV861" i="34"/>
  <c r="BG72" i="34"/>
  <c r="AY170" i="34"/>
  <c r="AU50" i="34"/>
  <c r="AN1065" i="34"/>
  <c r="AV1011" i="34"/>
  <c r="BC838" i="34"/>
  <c r="AV694" i="34"/>
  <c r="AN223" i="34"/>
  <c r="AV910" i="34"/>
  <c r="BC508" i="34"/>
  <c r="AU795" i="34"/>
  <c r="BC296" i="34"/>
  <c r="AN945" i="34"/>
  <c r="AY385" i="34"/>
  <c r="AN547" i="34"/>
  <c r="BD230" i="34"/>
  <c r="BC424" i="34"/>
  <c r="AU521" i="34"/>
  <c r="BD1064" i="34"/>
  <c r="BD1060" i="34"/>
  <c r="AM1016" i="34"/>
  <c r="BD546" i="34"/>
  <c r="BC1011" i="34"/>
  <c r="AN261" i="34"/>
  <c r="AU659" i="34"/>
  <c r="AU345" i="34"/>
  <c r="AN876" i="34"/>
  <c r="BD844" i="34"/>
  <c r="BG454" i="34"/>
  <c r="AN210" i="34"/>
  <c r="AN759" i="34"/>
  <c r="BC792" i="34"/>
  <c r="AV41" i="34"/>
  <c r="AN275" i="34"/>
  <c r="AY42" i="34"/>
  <c r="AV521" i="34"/>
  <c r="AM546" i="34"/>
  <c r="BC498" i="34"/>
  <c r="AV687" i="34"/>
  <c r="AN653" i="34"/>
  <c r="AV968" i="34"/>
  <c r="AM611" i="34"/>
  <c r="BC1095" i="34"/>
  <c r="AV333" i="34"/>
  <c r="AU168" i="34"/>
  <c r="BG345" i="34"/>
  <c r="AM476" i="34"/>
  <c r="AV531" i="34"/>
  <c r="AM233" i="34"/>
  <c r="AM574" i="34"/>
  <c r="AY473" i="34"/>
  <c r="AV759" i="34"/>
  <c r="AV991" i="34"/>
  <c r="BD137" i="34"/>
  <c r="BD556" i="34"/>
  <c r="AM832" i="34"/>
  <c r="AY93" i="34"/>
  <c r="AV462" i="34"/>
  <c r="AM920" i="34"/>
  <c r="BD1025" i="34"/>
  <c r="BC225" i="34"/>
  <c r="AU791" i="34"/>
  <c r="AN877" i="34"/>
  <c r="BC706" i="34"/>
  <c r="AV617" i="34"/>
  <c r="AM658" i="34"/>
  <c r="BC772" i="34"/>
  <c r="BD155" i="34"/>
  <c r="AN1010" i="34"/>
  <c r="BG42" i="34"/>
  <c r="AV1042" i="34"/>
  <c r="AM527" i="34"/>
  <c r="AQ467" i="34"/>
  <c r="BD192" i="34"/>
  <c r="AY283" i="34"/>
  <c r="BC598" i="34"/>
  <c r="AM773" i="34"/>
  <c r="AV679" i="34"/>
  <c r="AN933" i="34"/>
  <c r="AQ111" i="34"/>
  <c r="BD767" i="34"/>
  <c r="AY158" i="34"/>
  <c r="AV641" i="34"/>
  <c r="BD894" i="34"/>
  <c r="AV17" i="34"/>
  <c r="AV630" i="34"/>
  <c r="AU956" i="34"/>
  <c r="AV27" i="34"/>
  <c r="AY446" i="34"/>
  <c r="BD944" i="34"/>
  <c r="AN296" i="34"/>
  <c r="BC546" i="34"/>
  <c r="BD1103" i="34"/>
  <c r="BD913" i="34"/>
  <c r="BC270" i="34"/>
  <c r="BD1081" i="34"/>
  <c r="AN615" i="34"/>
  <c r="AN404" i="34"/>
  <c r="AY257" i="34"/>
  <c r="BD834" i="34"/>
  <c r="BG43" i="34"/>
  <c r="BC43" i="34"/>
  <c r="AN355" i="34"/>
  <c r="AQ185" i="34"/>
  <c r="AY342" i="34"/>
  <c r="AN996" i="34"/>
  <c r="AV1103" i="34"/>
  <c r="AN1002" i="34"/>
  <c r="AM367" i="34"/>
  <c r="AM815" i="34"/>
  <c r="BC861" i="34"/>
  <c r="AN682" i="34"/>
  <c r="BD829" i="34"/>
  <c r="AN92" i="34"/>
  <c r="AV154" i="34"/>
  <c r="AU144" i="34"/>
  <c r="AV585" i="34"/>
  <c r="AN397" i="34"/>
  <c r="AN1022" i="34"/>
  <c r="AN489" i="34"/>
  <c r="AU1090" i="34"/>
  <c r="AN993" i="34"/>
  <c r="AV669" i="34"/>
  <c r="AV796" i="34"/>
  <c r="AV328" i="34"/>
  <c r="AV173" i="34"/>
  <c r="AN545" i="34"/>
  <c r="BC950" i="34"/>
  <c r="AM1017" i="34"/>
  <c r="BD850" i="34"/>
  <c r="AQ199" i="34"/>
  <c r="AN949" i="34"/>
  <c r="AN829" i="34"/>
  <c r="BD865" i="34"/>
  <c r="AV435" i="34"/>
  <c r="AN825" i="34"/>
  <c r="AV157" i="34"/>
  <c r="BD781" i="34"/>
  <c r="BG307" i="34"/>
  <c r="AM765" i="34"/>
  <c r="BC819" i="34"/>
  <c r="AN857" i="34"/>
  <c r="AV1114" i="34"/>
  <c r="AN555" i="34"/>
  <c r="AN957" i="34"/>
  <c r="AM1013" i="34"/>
  <c r="BG123" i="34"/>
  <c r="AU499" i="34"/>
  <c r="BD1116" i="34"/>
  <c r="BD310" i="34"/>
  <c r="AN807" i="34"/>
  <c r="BD800" i="34"/>
  <c r="AN678" i="34"/>
  <c r="AV806" i="34"/>
  <c r="AV120" i="34"/>
  <c r="BD849" i="34"/>
  <c r="BD774" i="34"/>
  <c r="AV781" i="34"/>
  <c r="AV362" i="34"/>
  <c r="AM417" i="34"/>
  <c r="AV1012" i="34"/>
  <c r="AN485" i="34"/>
  <c r="AV715" i="34"/>
  <c r="AN493" i="34"/>
  <c r="BD822" i="34"/>
  <c r="AQ372" i="34"/>
  <c r="AV442" i="34"/>
  <c r="AV988" i="34"/>
  <c r="AV718" i="34"/>
  <c r="AQ132" i="34"/>
  <c r="BC775" i="34"/>
  <c r="AQ335" i="34"/>
  <c r="AN571" i="34"/>
  <c r="AU338" i="34"/>
  <c r="BD797" i="34"/>
  <c r="BD203" i="34"/>
  <c r="AN256" i="34"/>
  <c r="AV1010" i="34"/>
  <c r="AU797" i="34"/>
  <c r="BC538" i="34"/>
  <c r="AQ329" i="34"/>
  <c r="AU192" i="34"/>
  <c r="BD209" i="34"/>
  <c r="BG262" i="34"/>
  <c r="AV122" i="34"/>
  <c r="AQ139" i="34"/>
  <c r="BD349" i="34"/>
  <c r="AN795" i="34"/>
  <c r="AV828" i="34"/>
  <c r="BD102" i="34"/>
  <c r="BD461" i="34"/>
  <c r="AQ105" i="34"/>
  <c r="BD469" i="34"/>
  <c r="BD892" i="34"/>
  <c r="AY390" i="34"/>
  <c r="AY274" i="34"/>
  <c r="AM922" i="34"/>
  <c r="AN1030" i="34"/>
  <c r="AQ441" i="34"/>
  <c r="BD475" i="34"/>
  <c r="AN664" i="34"/>
  <c r="BD652" i="34"/>
  <c r="AU742" i="34"/>
  <c r="BG485" i="34"/>
  <c r="AV655" i="34"/>
  <c r="AN236" i="34"/>
  <c r="BC490" i="34"/>
  <c r="BG294" i="34"/>
  <c r="BC134" i="34"/>
  <c r="AV699" i="34"/>
  <c r="AU736" i="34"/>
  <c r="AU1056" i="34"/>
  <c r="AM746" i="34"/>
  <c r="BD500" i="34"/>
  <c r="BG67" i="34"/>
  <c r="BC963" i="34"/>
  <c r="BD489" i="34"/>
  <c r="AU572" i="34"/>
  <c r="AN978" i="34"/>
  <c r="BD261" i="34"/>
  <c r="BD726" i="34"/>
  <c r="AN228" i="34"/>
  <c r="AV187" i="34"/>
  <c r="AV135" i="34"/>
  <c r="AN58" i="34"/>
  <c r="BC703" i="34"/>
  <c r="AU1029" i="34"/>
  <c r="BD1086" i="34"/>
  <c r="AV894" i="34"/>
  <c r="AQ216" i="34"/>
  <c r="BC1010" i="34"/>
  <c r="BG222" i="34"/>
  <c r="AQ477" i="34"/>
  <c r="BD1003" i="34"/>
  <c r="BC834" i="34"/>
  <c r="AV72" i="34"/>
  <c r="AN687" i="34"/>
  <c r="BC926" i="34"/>
  <c r="AV954" i="34"/>
  <c r="AY433" i="34"/>
  <c r="BG26" i="34"/>
  <c r="AV1030" i="34"/>
  <c r="BD701" i="34"/>
  <c r="BG362" i="34"/>
  <c r="BG200" i="34"/>
  <c r="BD58" i="34"/>
  <c r="BD358" i="34"/>
  <c r="AM814" i="34"/>
  <c r="AM662" i="34"/>
  <c r="AN367" i="34"/>
  <c r="AU302" i="34"/>
  <c r="AU735" i="34"/>
  <c r="BD415" i="34"/>
  <c r="AN600" i="34"/>
  <c r="BG474" i="34"/>
  <c r="AV1115" i="34"/>
  <c r="BD502" i="34"/>
  <c r="AV898" i="34"/>
  <c r="AY231" i="34"/>
  <c r="AU1010" i="34"/>
  <c r="AV590" i="34"/>
  <c r="BD990" i="34"/>
  <c r="AN720" i="34"/>
  <c r="AV414" i="34"/>
  <c r="BD306" i="34"/>
  <c r="BC921" i="34"/>
  <c r="AV702" i="34"/>
  <c r="AV527" i="34"/>
  <c r="AN1120" i="34"/>
  <c r="BD53" i="34"/>
  <c r="AM92" i="34"/>
  <c r="AU796" i="34"/>
  <c r="BG134" i="34"/>
  <c r="BC132" i="34"/>
  <c r="BD589" i="34"/>
  <c r="BC691" i="34"/>
  <c r="BG73" i="34"/>
  <c r="BD507" i="34"/>
  <c r="AN752" i="34"/>
  <c r="AM923" i="34"/>
  <c r="AV176" i="34"/>
  <c r="BD942" i="34"/>
  <c r="BD796" i="34"/>
  <c r="AM827" i="34"/>
  <c r="BC271" i="34"/>
  <c r="AV402" i="34"/>
  <c r="AN589" i="34"/>
  <c r="AV576" i="34"/>
  <c r="AV418" i="34"/>
  <c r="AM950" i="34"/>
  <c r="BC528" i="34"/>
  <c r="AQ170" i="34"/>
  <c r="AV999" i="34"/>
  <c r="AQ490" i="34"/>
  <c r="AY187" i="34"/>
  <c r="AM742" i="34"/>
  <c r="BG24" i="34"/>
  <c r="BD333" i="34"/>
  <c r="BG331" i="34"/>
  <c r="BD629" i="34"/>
  <c r="AN448" i="34"/>
  <c r="AN17" i="34"/>
  <c r="AU199" i="34"/>
  <c r="AN849" i="34"/>
  <c r="AV326" i="34"/>
  <c r="AM878" i="34"/>
  <c r="AU987" i="34"/>
  <c r="BC662" i="34"/>
  <c r="AN201" i="34"/>
  <c r="AV834" i="34"/>
  <c r="BC504" i="34"/>
  <c r="AN429" i="34"/>
  <c r="BD692" i="34"/>
  <c r="AN417" i="34"/>
  <c r="AU555" i="34"/>
  <c r="AM598" i="34"/>
  <c r="AM1010" i="34"/>
  <c r="BD810" i="34"/>
  <c r="AV405" i="34"/>
  <c r="AV934" i="34"/>
  <c r="AN606" i="34"/>
  <c r="BD157" i="34"/>
  <c r="AM806" i="34"/>
  <c r="BG227" i="34"/>
  <c r="BD590" i="34"/>
  <c r="AN264" i="34"/>
  <c r="AV776" i="34"/>
  <c r="AV193" i="34"/>
  <c r="AM554" i="34"/>
  <c r="AQ247" i="34"/>
  <c r="BC708" i="34"/>
  <c r="AN321" i="34"/>
  <c r="AM193" i="34"/>
  <c r="AV654" i="34"/>
  <c r="AQ255" i="34"/>
  <c r="AV161" i="34"/>
  <c r="AN721" i="34"/>
  <c r="AM51" i="34"/>
  <c r="AN561" i="34"/>
  <c r="BG176" i="34"/>
  <c r="AY471" i="34"/>
  <c r="AU968" i="34"/>
  <c r="AU32" i="34"/>
  <c r="AV170" i="34"/>
  <c r="AY293" i="34"/>
  <c r="AU1104" i="34"/>
  <c r="BG183" i="34"/>
  <c r="AM996" i="34"/>
  <c r="AM1056" i="34"/>
  <c r="BG166" i="34"/>
  <c r="BD213" i="34"/>
  <c r="AV633" i="34"/>
  <c r="AY108" i="34"/>
  <c r="AQ143" i="34"/>
  <c r="BC732" i="34"/>
  <c r="AM670" i="34"/>
  <c r="BD329" i="34"/>
  <c r="AN780" i="34"/>
  <c r="AN1003" i="34"/>
  <c r="AY149" i="34"/>
  <c r="AQ463" i="34"/>
  <c r="AY487" i="34"/>
  <c r="BD758" i="34"/>
  <c r="BC531" i="34"/>
  <c r="BD633" i="34"/>
  <c r="BC1114" i="34"/>
  <c r="BC666" i="34"/>
  <c r="BC608" i="34"/>
  <c r="BG19" i="34"/>
  <c r="AV754" i="34"/>
  <c r="AQ343" i="34"/>
  <c r="AV26" i="34"/>
  <c r="AM748" i="34"/>
  <c r="BD223" i="34"/>
  <c r="BG120" i="34"/>
  <c r="BD452" i="34"/>
  <c r="AQ365" i="34"/>
  <c r="AN715" i="34"/>
  <c r="AM975" i="34"/>
  <c r="AN637" i="34"/>
  <c r="AN268" i="34"/>
  <c r="AY204" i="34"/>
  <c r="AN723" i="34"/>
  <c r="AY40" i="34"/>
  <c r="AN157" i="34"/>
  <c r="AN292" i="34"/>
  <c r="AV765" i="34"/>
  <c r="BD928" i="34"/>
  <c r="AV941" i="34"/>
  <c r="AN729" i="34"/>
  <c r="AV247" i="34"/>
  <c r="AU694" i="34"/>
  <c r="AM1088" i="34"/>
  <c r="AU344" i="34"/>
  <c r="AN160" i="34"/>
  <c r="AV103" i="34"/>
  <c r="AV331" i="34"/>
  <c r="AN363" i="34"/>
  <c r="BG271" i="34"/>
  <c r="AV155" i="34"/>
  <c r="BC108" i="34"/>
  <c r="AV121" i="34"/>
  <c r="AN291" i="34"/>
  <c r="BD655" i="34"/>
  <c r="AY65" i="34"/>
  <c r="AM710" i="34"/>
  <c r="BD1035" i="34"/>
  <c r="AM776" i="34"/>
  <c r="AU821" i="34"/>
  <c r="AV880" i="34"/>
  <c r="AU875" i="34"/>
  <c r="AM654" i="34"/>
  <c r="BG285" i="34"/>
  <c r="AM200" i="34"/>
  <c r="BD211" i="34"/>
  <c r="BD215" i="34"/>
  <c r="AM985" i="34"/>
  <c r="BG22" i="34"/>
  <c r="AV964" i="34"/>
  <c r="AV267" i="34"/>
  <c r="AV299" i="34"/>
  <c r="AV348" i="34"/>
  <c r="AU587" i="34"/>
  <c r="BD889" i="34"/>
  <c r="BD331" i="34"/>
  <c r="BC517" i="34"/>
  <c r="AV1064" i="34"/>
  <c r="AV757" i="34"/>
  <c r="AN906" i="34"/>
  <c r="AU498" i="34"/>
  <c r="AN137" i="34"/>
  <c r="BD748" i="34"/>
  <c r="BG464" i="34"/>
  <c r="BG368" i="34"/>
  <c r="AQ300" i="34"/>
  <c r="BC1062" i="34"/>
  <c r="AY329" i="34"/>
  <c r="BG235" i="34"/>
  <c r="BD280" i="34"/>
  <c r="AN648" i="34"/>
  <c r="AV1062" i="34"/>
  <c r="AV495" i="34"/>
  <c r="AY271" i="34"/>
  <c r="AN121" i="34"/>
  <c r="AN640" i="34"/>
  <c r="BC1098" i="34"/>
  <c r="AV857" i="34"/>
  <c r="BC464" i="34"/>
  <c r="BC549" i="34"/>
  <c r="BG256" i="34"/>
  <c r="AV575" i="34"/>
  <c r="BC365" i="34"/>
  <c r="AN846" i="34"/>
  <c r="AV32" i="34"/>
  <c r="AQ113" i="34"/>
  <c r="AV671" i="34"/>
  <c r="AM953" i="34"/>
  <c r="BD746" i="34"/>
  <c r="BD163" i="34"/>
  <c r="AV58" i="34"/>
  <c r="AN1041" i="34"/>
  <c r="BC233" i="34"/>
  <c r="AV875" i="34"/>
  <c r="BD357" i="34"/>
  <c r="BD581" i="34"/>
  <c r="BG426" i="34"/>
  <c r="BD584" i="34"/>
  <c r="BC790" i="34"/>
  <c r="AV820" i="34"/>
  <c r="AN772" i="34"/>
  <c r="AU703" i="34"/>
  <c r="BG343" i="34"/>
  <c r="AU925" i="34"/>
  <c r="AY460" i="34"/>
  <c r="AV215" i="34"/>
  <c r="BC685" i="34"/>
  <c r="AY408" i="34"/>
  <c r="AU757" i="34"/>
  <c r="AV591" i="34"/>
  <c r="AV128" i="34"/>
  <c r="AN435" i="34"/>
  <c r="BD49" i="34"/>
  <c r="AV817" i="34"/>
  <c r="BD526" i="34"/>
  <c r="BD337" i="34"/>
  <c r="BD754" i="34"/>
  <c r="AV592" i="34"/>
  <c r="AN674" i="34"/>
  <c r="BC998" i="34"/>
  <c r="AQ371" i="34"/>
  <c r="BG303" i="34"/>
  <c r="AU832" i="34"/>
  <c r="BG70" i="34"/>
  <c r="BD391" i="34"/>
  <c r="AV647" i="34"/>
  <c r="BD477" i="34"/>
  <c r="AU532" i="34"/>
  <c r="AN725" i="34"/>
  <c r="AU368" i="34"/>
  <c r="AV1108" i="34"/>
  <c r="AU607" i="34"/>
  <c r="BD860" i="34"/>
  <c r="AV1059" i="34"/>
  <c r="BG139" i="34"/>
  <c r="BD449" i="34"/>
  <c r="AN168" i="34"/>
  <c r="AQ91" i="34"/>
  <c r="BD984" i="34"/>
  <c r="AM138" i="34"/>
  <c r="BD1087" i="34"/>
  <c r="AU599" i="34"/>
  <c r="BG401" i="34"/>
  <c r="AV707" i="34"/>
  <c r="AV736" i="34"/>
  <c r="AQ65" i="34"/>
  <c r="AN175" i="34"/>
  <c r="AN460" i="34"/>
  <c r="AN665" i="34"/>
  <c r="AV726" i="34"/>
  <c r="AV517" i="34"/>
  <c r="AV598" i="34"/>
  <c r="AV346" i="34"/>
  <c r="AU72" i="34"/>
  <c r="BD816" i="34"/>
  <c r="AV965" i="34"/>
  <c r="AN581" i="34"/>
  <c r="BD957" i="34"/>
  <c r="BD627" i="34"/>
  <c r="AY268" i="34"/>
  <c r="AN732" i="34"/>
  <c r="BC923" i="34"/>
  <c r="BD404" i="34"/>
  <c r="AM936" i="34"/>
  <c r="AV784" i="34"/>
  <c r="AQ187" i="34"/>
  <c r="AV908" i="34"/>
  <c r="BC860" i="34"/>
  <c r="BD171" i="34"/>
  <c r="AN117" i="34"/>
  <c r="AN1060" i="34"/>
  <c r="BD1059" i="34"/>
  <c r="AY156" i="34"/>
  <c r="BD776" i="34"/>
  <c r="BG147" i="34"/>
  <c r="AU927" i="34"/>
  <c r="AN1017" i="34"/>
  <c r="BD799" i="34"/>
  <c r="BG344" i="34"/>
  <c r="BD923" i="34"/>
  <c r="AV623" i="34"/>
  <c r="AV710" i="34"/>
  <c r="AV94" i="34"/>
  <c r="AU536" i="34"/>
  <c r="BG228" i="34"/>
  <c r="AQ307" i="34"/>
  <c r="AU675" i="34"/>
  <c r="AM797" i="34"/>
  <c r="BD361" i="34"/>
  <c r="AM512" i="34"/>
  <c r="BD621" i="34"/>
  <c r="AN808" i="34"/>
  <c r="BC925" i="34"/>
  <c r="AN908" i="34"/>
  <c r="AV235" i="34"/>
  <c r="AY208" i="34"/>
  <c r="BC595" i="34"/>
  <c r="AM482" i="34"/>
  <c r="AM423" i="34"/>
  <c r="AQ52" i="34"/>
  <c r="AN952" i="34"/>
  <c r="AU942" i="34"/>
  <c r="AM625" i="34"/>
  <c r="BD908" i="34"/>
  <c r="BC1051" i="34"/>
  <c r="BD911" i="34"/>
  <c r="AN285" i="34"/>
  <c r="AY116" i="34"/>
  <c r="BD282" i="34"/>
  <c r="BD107" i="34"/>
  <c r="BC1021" i="34"/>
  <c r="AM966" i="34"/>
  <c r="AN622" i="34"/>
  <c r="BD1032" i="34"/>
  <c r="AN480" i="34"/>
  <c r="AN923" i="34"/>
  <c r="AU161" i="34"/>
  <c r="BG157" i="34"/>
  <c r="AV846" i="34"/>
  <c r="AU293" i="34"/>
  <c r="BG44" i="34"/>
  <c r="AM666" i="34"/>
  <c r="AN54" i="34"/>
  <c r="BG390" i="34"/>
  <c r="BD902" i="34"/>
  <c r="AV604" i="34"/>
  <c r="AN556" i="34"/>
  <c r="AV1092" i="34"/>
  <c r="AV1027" i="34"/>
  <c r="BG361" i="34"/>
  <c r="BD897" i="34"/>
  <c r="AQ222" i="34"/>
  <c r="BD532" i="34"/>
  <c r="AN466" i="34"/>
  <c r="BD741" i="34"/>
  <c r="AV826" i="34"/>
  <c r="BC308" i="34"/>
  <c r="AM1041" i="34"/>
  <c r="BC72" i="34"/>
  <c r="BG231" i="34"/>
  <c r="BG213" i="34"/>
  <c r="AV643" i="34"/>
  <c r="AV844" i="34"/>
  <c r="BD842" i="34"/>
  <c r="AV222" i="34"/>
  <c r="AV304" i="34"/>
  <c r="BD460" i="34"/>
  <c r="AQ322" i="34"/>
  <c r="BD228" i="34"/>
  <c r="AN845" i="34"/>
  <c r="AM1059" i="34"/>
  <c r="AN866" i="34"/>
  <c r="AV775" i="34"/>
  <c r="BD601" i="34"/>
  <c r="BD821" i="34"/>
  <c r="AM160" i="34"/>
  <c r="AV850" i="34"/>
  <c r="BD605" i="34"/>
  <c r="BG255" i="34"/>
  <c r="AV597" i="34"/>
  <c r="AV928" i="34"/>
  <c r="AU723" i="34"/>
  <c r="BD205" i="34"/>
  <c r="AQ54" i="34"/>
  <c r="BG220" i="34"/>
  <c r="AN310" i="34"/>
  <c r="AN630" i="34"/>
  <c r="AV831" i="34"/>
  <c r="AV940" i="34"/>
  <c r="BC228" i="34"/>
  <c r="AV541" i="34"/>
  <c r="AV995" i="34"/>
  <c r="AU700" i="34"/>
  <c r="BD1061" i="34"/>
  <c r="AY34" i="34"/>
  <c r="BD263" i="34"/>
  <c r="BG62" i="34"/>
  <c r="AN461" i="34"/>
  <c r="AM824" i="34"/>
  <c r="AU486" i="34"/>
  <c r="AU974" i="34"/>
  <c r="AN702" i="34"/>
  <c r="AM697" i="34"/>
  <c r="BD257" i="34"/>
  <c r="BC230" i="34"/>
  <c r="AN991" i="34"/>
  <c r="BC920" i="34"/>
  <c r="BD429" i="34"/>
  <c r="BD561" i="34"/>
  <c r="AV372" i="34"/>
  <c r="AV282" i="34"/>
  <c r="BC1084" i="34"/>
  <c r="AM226" i="34"/>
  <c r="AV217" i="34"/>
  <c r="BC512" i="34"/>
  <c r="AN46" i="34"/>
  <c r="AU747" i="34"/>
  <c r="AU52" i="34"/>
  <c r="AQ173" i="34"/>
  <c r="AV468" i="34"/>
  <c r="BD649" i="34"/>
  <c r="BG94" i="34"/>
  <c r="AV849" i="34"/>
  <c r="AQ367" i="34"/>
  <c r="AV425" i="34"/>
  <c r="AU63" i="34"/>
  <c r="BG185" i="34"/>
  <c r="BC822" i="34"/>
  <c r="AQ171" i="34"/>
  <c r="AV839" i="34"/>
  <c r="BD963" i="34"/>
  <c r="BG132" i="34"/>
  <c r="BD604" i="34"/>
  <c r="AN717" i="34"/>
  <c r="BD233" i="34"/>
  <c r="AU625" i="34"/>
  <c r="BC92" i="34"/>
  <c r="AV721" i="34"/>
  <c r="AM299" i="34"/>
  <c r="AN521" i="34"/>
  <c r="BG187" i="34"/>
  <c r="AV514" i="34"/>
  <c r="BC675" i="34"/>
  <c r="AQ328" i="34"/>
  <c r="AV686" i="34"/>
  <c r="AU1108" i="34"/>
  <c r="BD367" i="34"/>
  <c r="AY24" i="34"/>
  <c r="AV412" i="34"/>
  <c r="AV564" i="34"/>
  <c r="AV865" i="34"/>
  <c r="AV1015" i="34"/>
  <c r="AU805" i="34"/>
  <c r="AV272" i="34"/>
  <c r="AY462" i="34"/>
  <c r="AM961" i="34"/>
  <c r="BD904" i="34"/>
  <c r="BD183" i="34"/>
  <c r="AN560" i="34"/>
  <c r="AN777" i="34"/>
  <c r="AU606" i="34"/>
  <c r="AV727" i="34"/>
  <c r="BG122" i="34"/>
  <c r="AV787" i="34"/>
  <c r="BC567" i="34"/>
  <c r="AY220" i="34"/>
  <c r="AQ413" i="34"/>
  <c r="BD905" i="34"/>
  <c r="AN745" i="34"/>
  <c r="BD999" i="34"/>
  <c r="BC46" i="34"/>
  <c r="AV1106" i="34"/>
  <c r="BD839" i="34"/>
  <c r="BD737" i="34"/>
  <c r="AY171" i="34"/>
  <c r="AN650" i="34"/>
  <c r="BD826" i="34"/>
  <c r="AN1020" i="34"/>
  <c r="AU1060" i="34"/>
  <c r="AV980" i="34"/>
  <c r="AV1014" i="34"/>
  <c r="AN69" i="34"/>
  <c r="BC929" i="34"/>
  <c r="AN510" i="34"/>
  <c r="AU324" i="34"/>
  <c r="BC795" i="34"/>
  <c r="BG484" i="34"/>
  <c r="AM333" i="34"/>
  <c r="AM602" i="34"/>
  <c r="AU299" i="34"/>
  <c r="BG158" i="34"/>
  <c r="AM503" i="34"/>
  <c r="BG280" i="34"/>
  <c r="AU573" i="34"/>
  <c r="AM629" i="34"/>
  <c r="AY330" i="34"/>
  <c r="AN666" i="34"/>
  <c r="AQ148" i="34"/>
  <c r="BC827" i="34"/>
  <c r="BD580" i="34"/>
  <c r="AM327" i="34"/>
  <c r="AV446" i="34"/>
  <c r="AN1040" i="34"/>
  <c r="AN33" i="34"/>
  <c r="AN392" i="34"/>
  <c r="AU297" i="34"/>
  <c r="AN900" i="34"/>
  <c r="AQ422" i="34"/>
  <c r="BC1032" i="34"/>
  <c r="AV1058" i="34"/>
  <c r="AV230" i="34"/>
  <c r="AV645" i="34"/>
  <c r="BD1106" i="34"/>
  <c r="AQ360" i="34"/>
  <c r="AU1051" i="34"/>
  <c r="BD218" i="34"/>
  <c r="BD1049" i="34"/>
  <c r="AU45" i="34"/>
  <c r="AY106" i="34"/>
  <c r="AU859" i="34"/>
  <c r="AY216" i="34"/>
  <c r="BC162" i="34"/>
  <c r="AN652" i="34"/>
  <c r="AY49" i="34"/>
  <c r="AN1044" i="34"/>
  <c r="AV310" i="34"/>
  <c r="AN281" i="34"/>
  <c r="AV562" i="34"/>
  <c r="AN603" i="34"/>
  <c r="BG98" i="34"/>
  <c r="BG486" i="34"/>
  <c r="AQ339" i="34"/>
  <c r="BD793" i="34"/>
  <c r="AM522" i="34"/>
  <c r="BD667" i="34"/>
  <c r="AY485" i="34"/>
  <c r="AU957" i="34"/>
  <c r="BC149" i="34"/>
  <c r="BD43" i="34"/>
  <c r="AV608" i="34"/>
  <c r="AN219" i="34"/>
  <c r="BC880" i="34"/>
  <c r="BC654" i="34"/>
  <c r="AN391" i="34"/>
  <c r="AY161" i="34"/>
  <c r="AM550" i="34"/>
  <c r="AN212" i="34"/>
  <c r="AM796" i="34"/>
  <c r="BD597" i="34"/>
  <c r="AY182" i="34"/>
  <c r="AQ43" i="34"/>
  <c r="AM149" i="34"/>
  <c r="AY54" i="34"/>
  <c r="BD704" i="34"/>
  <c r="AV927" i="34"/>
  <c r="AN822" i="34"/>
  <c r="AN692" i="34"/>
  <c r="AU923" i="34"/>
  <c r="BD576" i="34"/>
  <c r="AN232" i="34"/>
  <c r="BD1004" i="34"/>
  <c r="BD912" i="34"/>
  <c r="BD511" i="34"/>
  <c r="AN953" i="34"/>
  <c r="AV783" i="34"/>
  <c r="BG370" i="34"/>
  <c r="AQ112" i="34"/>
  <c r="BD131" i="34"/>
  <c r="AN1055" i="34"/>
  <c r="AM860" i="34"/>
  <c r="AU574" i="34"/>
  <c r="AU770" i="34"/>
  <c r="BG304" i="34"/>
  <c r="BC371" i="34"/>
  <c r="AY95" i="34"/>
  <c r="AQ480" i="34"/>
  <c r="AV725" i="34"/>
  <c r="AN511" i="34"/>
  <c r="BD1020" i="34"/>
  <c r="AV748" i="34"/>
  <c r="AN661" i="34"/>
  <c r="BC1063" i="34"/>
  <c r="BD608" i="34"/>
  <c r="AU546" i="34"/>
  <c r="BC588" i="34"/>
  <c r="AM1011" i="34"/>
  <c r="AU750" i="34"/>
  <c r="BD303" i="34"/>
  <c r="AV545" i="34"/>
  <c r="AM690" i="34"/>
  <c r="AN942" i="34"/>
  <c r="BD771" i="34"/>
  <c r="AQ256" i="34"/>
  <c r="AV835" i="34"/>
  <c r="AM738" i="34"/>
  <c r="AV888" i="34"/>
  <c r="AN500" i="34"/>
  <c r="BC582" i="34"/>
  <c r="AV845" i="34"/>
  <c r="AV990" i="34"/>
  <c r="AN568" i="34"/>
  <c r="AQ323" i="34"/>
  <c r="AV225" i="34"/>
  <c r="BD863" i="34"/>
  <c r="AN730" i="34"/>
  <c r="AQ342" i="34"/>
  <c r="AN265" i="34"/>
  <c r="AY32" i="34"/>
  <c r="AU709" i="34"/>
  <c r="AU275" i="34"/>
  <c r="AN563" i="34"/>
  <c r="AQ478" i="34"/>
  <c r="AV108" i="34"/>
  <c r="BG46" i="34"/>
  <c r="AN259" i="34"/>
  <c r="AQ210" i="34"/>
  <c r="AU644" i="34"/>
  <c r="BC583" i="34"/>
  <c r="AM1064" i="34"/>
  <c r="AV640" i="34"/>
  <c r="AY209" i="34"/>
  <c r="AN835" i="34"/>
  <c r="AN385" i="34"/>
  <c r="AU1021" i="34"/>
  <c r="AQ28" i="34"/>
  <c r="AN655" i="34"/>
  <c r="AN1058" i="34"/>
  <c r="AN614" i="34"/>
  <c r="AV805" i="34"/>
  <c r="AN360" i="34"/>
  <c r="AY324" i="34"/>
  <c r="BG92" i="34"/>
  <c r="BD269" i="34"/>
  <c r="AU686" i="34"/>
  <c r="AV583" i="34"/>
  <c r="AU1117" i="34"/>
  <c r="BC796" i="34"/>
  <c r="AY395" i="34"/>
  <c r="BG324" i="34"/>
  <c r="AV747" i="34"/>
  <c r="AN912" i="34"/>
  <c r="BG121" i="34"/>
  <c r="BD1024" i="34"/>
  <c r="BD509" i="34"/>
  <c r="AU292" i="34"/>
  <c r="AN887" i="34"/>
  <c r="AN164" i="34"/>
  <c r="AM498" i="34"/>
  <c r="BD428" i="34"/>
  <c r="AU920" i="34"/>
  <c r="BD574" i="34"/>
  <c r="AV280" i="34"/>
  <c r="AV957" i="34"/>
  <c r="AN300" i="34"/>
  <c r="AM42" i="34"/>
  <c r="AV513" i="34"/>
  <c r="AV1054" i="34"/>
  <c r="AN226" i="34"/>
  <c r="AM161" i="34"/>
  <c r="AM970" i="34"/>
  <c r="BC876" i="34"/>
  <c r="AV448" i="34"/>
  <c r="AV872" i="34"/>
  <c r="AY444" i="34"/>
  <c r="AU418" i="34"/>
  <c r="AV233" i="34"/>
  <c r="AV720" i="34"/>
  <c r="BC491" i="34"/>
  <c r="BC530" i="34"/>
  <c r="AV822" i="34"/>
  <c r="AV229" i="34"/>
  <c r="AN298" i="34"/>
  <c r="AV860" i="34"/>
  <c r="AM798" i="34"/>
  <c r="AU929" i="34"/>
  <c r="AV22" i="34"/>
  <c r="AU858" i="34"/>
  <c r="AU47" i="34"/>
  <c r="AU538" i="34"/>
  <c r="AV1090" i="34"/>
  <c r="BD753" i="34"/>
  <c r="AN963" i="34"/>
  <c r="AV967" i="34"/>
  <c r="AN922" i="34"/>
  <c r="BD1021" i="34"/>
  <c r="AQ120" i="34"/>
  <c r="BG435" i="34"/>
  <c r="AV1008" i="34"/>
  <c r="AN104" i="34"/>
  <c r="AM770" i="34"/>
  <c r="AV951" i="34"/>
  <c r="AM1091" i="34"/>
  <c r="AN27" i="34"/>
  <c r="AV563" i="34"/>
  <c r="AM631" i="34"/>
  <c r="BD873" i="34"/>
  <c r="AV1025" i="34"/>
  <c r="BD256" i="34"/>
  <c r="AN148" i="34"/>
  <c r="BD622" i="34"/>
  <c r="AN503" i="34"/>
  <c r="BC550" i="34"/>
  <c r="BG309" i="34"/>
  <c r="AU400" i="34"/>
  <c r="BD1044" i="34"/>
  <c r="AY146" i="34"/>
  <c r="AN426" i="34"/>
  <c r="BC510" i="34"/>
  <c r="BC282" i="34"/>
  <c r="AU969" i="34"/>
  <c r="AN1048" i="34"/>
  <c r="AV838" i="34"/>
  <c r="BC307" i="34"/>
  <c r="AV504" i="34"/>
  <c r="AV49" i="34"/>
  <c r="AU396" i="34"/>
  <c r="AY121" i="34"/>
  <c r="BD570" i="34"/>
  <c r="BD166" i="34"/>
  <c r="BC64" i="34"/>
  <c r="BD851" i="34"/>
  <c r="AN520" i="34"/>
  <c r="AN1059" i="34"/>
  <c r="AU981" i="34"/>
  <c r="AU825" i="34"/>
  <c r="BC1026" i="34"/>
  <c r="BD669" i="34"/>
  <c r="AU608" i="34"/>
  <c r="AV819" i="34"/>
  <c r="AV546" i="34"/>
  <c r="AM952" i="34"/>
  <c r="BG106" i="34"/>
  <c r="AM676" i="34"/>
  <c r="BD537" i="34"/>
  <c r="BG48" i="34"/>
  <c r="BG437" i="34"/>
  <c r="AM521" i="34"/>
  <c r="AN208" i="34"/>
  <c r="AM793" i="34"/>
  <c r="BC1005" i="34"/>
  <c r="AV92" i="34"/>
  <c r="AY262" i="34"/>
  <c r="AN643" i="34"/>
  <c r="AV650" i="34"/>
  <c r="AU550" i="34"/>
  <c r="AM510" i="34"/>
  <c r="BC704" i="34"/>
  <c r="BC651" i="34"/>
  <c r="AN28" i="34"/>
  <c r="BD854" i="34"/>
  <c r="AV489" i="34"/>
  <c r="AY31" i="34"/>
  <c r="AQ265" i="34"/>
  <c r="BD495" i="34"/>
  <c r="AV722" i="34"/>
  <c r="AV301" i="34"/>
  <c r="AV807" i="34"/>
  <c r="BC618" i="34"/>
  <c r="AV395" i="34"/>
  <c r="AU746" i="34"/>
  <c r="AV31" i="34"/>
  <c r="AV752" i="34"/>
  <c r="AY71" i="34"/>
  <c r="BD666" i="34"/>
  <c r="AV1016" i="34"/>
  <c r="BC817" i="34"/>
  <c r="AQ401" i="34"/>
  <c r="BG31" i="34"/>
  <c r="BD390" i="34"/>
  <c r="AM713" i="34"/>
  <c r="AV1021" i="34"/>
  <c r="AN758" i="34"/>
  <c r="BD560" i="34"/>
  <c r="BG310" i="34"/>
  <c r="AY286" i="34"/>
  <c r="AY113" i="34"/>
  <c r="BD974" i="34"/>
  <c r="AY392" i="34"/>
  <c r="AV616" i="34"/>
  <c r="AU662" i="34"/>
  <c r="AN644" i="34"/>
  <c r="BC674" i="34"/>
  <c r="AV943" i="34"/>
  <c r="AU563" i="34"/>
  <c r="AN755" i="34"/>
  <c r="AV566" i="34"/>
  <c r="AM817" i="34"/>
  <c r="AQ95" i="34"/>
  <c r="AU610" i="34"/>
  <c r="BD780" i="34"/>
  <c r="AU568" i="34"/>
  <c r="BC623" i="34"/>
  <c r="BD674" i="34"/>
  <c r="BD217" i="34"/>
  <c r="AY325" i="34"/>
  <c r="BD784" i="34"/>
  <c r="AY175" i="34"/>
  <c r="BC188" i="34"/>
  <c r="AV921" i="34"/>
  <c r="BC487" i="34"/>
  <c r="AN218" i="34"/>
  <c r="BC875" i="34"/>
  <c r="AU678" i="34"/>
  <c r="BC832" i="34"/>
  <c r="BD45" i="34"/>
  <c r="AV833" i="34"/>
  <c r="AV164" i="34"/>
  <c r="AM1034" i="34"/>
  <c r="BC417" i="34"/>
  <c r="BD332" i="34"/>
  <c r="AN294" i="34"/>
  <c r="AU975" i="34"/>
  <c r="AN994" i="34"/>
  <c r="BG113" i="34"/>
  <c r="AY41" i="34"/>
  <c r="AN592" i="34"/>
  <c r="AV231" i="34"/>
  <c r="BD636" i="34"/>
  <c r="AV1019" i="34"/>
  <c r="AU792" i="34"/>
  <c r="BD924" i="34"/>
  <c r="AN357" i="34"/>
  <c r="BD65" i="34"/>
  <c r="AQ158" i="34"/>
  <c r="AV33" i="34"/>
  <c r="AY396" i="34"/>
  <c r="BG237" i="34"/>
  <c r="AQ225" i="34"/>
  <c r="AY371" i="34"/>
  <c r="BG219" i="34"/>
  <c r="AM1048" i="34"/>
  <c r="BD174" i="34"/>
  <c r="BD1115" i="34"/>
  <c r="AM1054" i="34"/>
  <c r="AM571" i="34"/>
  <c r="AM648" i="34"/>
  <c r="AV440" i="34"/>
  <c r="AN1080" i="34"/>
  <c r="AN995" i="34"/>
  <c r="AY292" i="34"/>
  <c r="AQ174" i="34"/>
  <c r="AU938" i="34"/>
  <c r="AV183" i="34"/>
  <c r="AU692" i="34"/>
  <c r="AN412" i="34"/>
  <c r="BD113" i="34"/>
  <c r="AV670" i="34"/>
  <c r="AV429" i="34"/>
  <c r="AY282" i="34"/>
  <c r="BG159" i="34"/>
  <c r="AM972" i="34"/>
  <c r="BC229" i="34"/>
  <c r="AQ23" i="34"/>
  <c r="AN1061" i="34"/>
  <c r="AM600" i="34"/>
  <c r="AN930" i="34"/>
  <c r="AN1083" i="34"/>
  <c r="AU226" i="34"/>
  <c r="BD635" i="34"/>
  <c r="BD1097" i="34"/>
  <c r="AY33" i="34"/>
  <c r="AU1015" i="34"/>
  <c r="AV814" i="34"/>
  <c r="AN950" i="34"/>
  <c r="BD785" i="34"/>
  <c r="AQ298" i="34"/>
  <c r="BD413" i="34"/>
  <c r="AN1115" i="34"/>
  <c r="AY338" i="34"/>
  <c r="BD656" i="34"/>
  <c r="BC1053" i="34"/>
  <c r="BG487" i="34"/>
  <c r="AN818" i="34"/>
  <c r="AV767" i="34"/>
  <c r="AU603" i="34"/>
  <c r="AU621" i="34"/>
  <c r="AV649" i="34"/>
  <c r="BC1057" i="34"/>
  <c r="BD1110" i="34"/>
  <c r="AV159" i="34"/>
  <c r="BC955" i="34"/>
  <c r="AY372" i="34"/>
  <c r="AN647" i="34"/>
  <c r="BG145" i="34"/>
  <c r="AM540" i="34"/>
  <c r="BC1108" i="34"/>
  <c r="BD165" i="34"/>
  <c r="BG295" i="34"/>
  <c r="AV234" i="34"/>
  <c r="BC962" i="34"/>
  <c r="AQ15" i="34"/>
  <c r="BC1054" i="34"/>
  <c r="AV293" i="34"/>
  <c r="AY279" i="34"/>
  <c r="AN422" i="34"/>
  <c r="AN1032" i="34"/>
  <c r="AV433" i="34"/>
  <c r="AN868" i="34"/>
  <c r="AU94" i="34"/>
  <c r="AV648" i="34"/>
  <c r="BC945" i="34"/>
  <c r="AN959" i="34"/>
  <c r="AM65" i="34"/>
  <c r="AV714" i="34"/>
  <c r="AN834" i="34"/>
  <c r="AV950" i="34"/>
  <c r="BC928" i="34"/>
  <c r="BC309" i="34"/>
  <c r="BG355" i="34"/>
  <c r="AQ475" i="34"/>
  <c r="BC824" i="34"/>
  <c r="AN801" i="34"/>
  <c r="BC785" i="34"/>
  <c r="AV295" i="34"/>
  <c r="BG63" i="34"/>
  <c r="AV391" i="34"/>
  <c r="AV938" i="34"/>
  <c r="BG322" i="34"/>
  <c r="AV223" i="34"/>
  <c r="AV866" i="34"/>
  <c r="BD321" i="34"/>
  <c r="AN788" i="34"/>
  <c r="AV1039" i="34"/>
  <c r="AV493" i="34"/>
  <c r="BD811" i="34"/>
  <c r="AN475" i="34"/>
  <c r="AV556" i="34"/>
  <c r="AV901" i="34"/>
  <c r="AQ186" i="34"/>
  <c r="AM835" i="34"/>
  <c r="AN607" i="34"/>
  <c r="AQ99" i="34"/>
  <c r="BD66" i="34"/>
  <c r="BD693" i="34"/>
  <c r="AN445" i="34"/>
  <c r="BC958" i="34"/>
  <c r="AN462" i="34"/>
  <c r="AU776" i="34"/>
  <c r="AV534" i="34"/>
  <c r="AU1052" i="34"/>
  <c r="BD234" i="34"/>
  <c r="BD628" i="34"/>
  <c r="BD998" i="34"/>
  <c r="AQ236" i="34"/>
  <c r="AM740" i="34"/>
  <c r="AU93" i="34"/>
  <c r="AU663" i="34"/>
  <c r="AN1056" i="34"/>
  <c r="AU754" i="34"/>
  <c r="AN875" i="34"/>
  <c r="AV711" i="34"/>
  <c r="AV102" i="34"/>
  <c r="AN283" i="34"/>
  <c r="AN358" i="34"/>
  <c r="BC996" i="34"/>
  <c r="AN62" i="34"/>
  <c r="AN214" i="34"/>
  <c r="AV394" i="34"/>
  <c r="AN262" i="34"/>
  <c r="AV488" i="34"/>
  <c r="BC499" i="34"/>
  <c r="BC554" i="34"/>
  <c r="AM1051" i="34"/>
  <c r="AQ130" i="34"/>
  <c r="BD804" i="34"/>
  <c r="BD922" i="34"/>
  <c r="AY186" i="34"/>
  <c r="AN1110" i="34"/>
  <c r="BD775" i="34"/>
  <c r="AN515" i="34"/>
  <c r="BD492" i="34"/>
  <c r="AU985" i="34"/>
  <c r="AN911" i="34"/>
  <c r="AV512" i="34"/>
  <c r="AU1002" i="34"/>
  <c r="AN980" i="34"/>
  <c r="AU636" i="34"/>
  <c r="BC736" i="34"/>
  <c r="AM607" i="34"/>
  <c r="BC471" i="34"/>
  <c r="AN690" i="34"/>
  <c r="BC607" i="34"/>
  <c r="BD996" i="34"/>
  <c r="AV478" i="34"/>
  <c r="BD343" i="34"/>
  <c r="AN442" i="34"/>
  <c r="BD62" i="34"/>
  <c r="AV162" i="34"/>
  <c r="AN573" i="34"/>
  <c r="AV1044" i="34"/>
  <c r="BD424" i="34"/>
  <c r="BD877" i="34"/>
  <c r="AV484" i="34"/>
  <c r="BC236" i="34"/>
  <c r="AM282" i="34"/>
  <c r="BD440" i="34"/>
  <c r="AV610" i="34"/>
  <c r="AN689" i="34"/>
  <c r="AU492" i="34"/>
  <c r="AM934" i="34"/>
  <c r="AQ417" i="34"/>
  <c r="AY321" i="34"/>
  <c r="BD723" i="34"/>
  <c r="BG425" i="34"/>
  <c r="AN936" i="34"/>
  <c r="AM694" i="34"/>
  <c r="AM692" i="34"/>
  <c r="AY348" i="34"/>
  <c r="AV461" i="34"/>
  <c r="AM623" i="34"/>
  <c r="BG167" i="34"/>
  <c r="BD342" i="34"/>
  <c r="AM686" i="34"/>
  <c r="AU515" i="34"/>
  <c r="BD967" i="34"/>
  <c r="BC678" i="34"/>
  <c r="AU953" i="34"/>
  <c r="AQ161" i="34"/>
  <c r="BC584" i="34"/>
  <c r="BC280" i="34"/>
  <c r="BC163" i="34"/>
  <c r="AN700" i="34"/>
  <c r="BD730" i="34"/>
  <c r="AU732" i="34"/>
  <c r="AN308" i="34"/>
  <c r="BC752" i="34"/>
  <c r="BD28" i="34"/>
  <c r="BG281" i="34"/>
  <c r="BC942" i="34"/>
  <c r="AU767" i="34"/>
  <c r="AQ145" i="34"/>
  <c r="AU715" i="34"/>
  <c r="AV52" i="34"/>
  <c r="BD148" i="34"/>
  <c r="AV1097" i="34"/>
  <c r="BG189" i="34"/>
  <c r="AM647" i="34"/>
  <c r="BD644" i="34"/>
  <c r="AU996" i="34"/>
  <c r="BC338" i="34"/>
  <c r="AN937" i="34"/>
  <c r="AV332" i="34"/>
  <c r="AV123" i="34"/>
  <c r="AV210" i="34"/>
  <c r="AM499" i="34"/>
  <c r="AN254" i="34"/>
  <c r="BD778" i="34"/>
  <c r="AM474" i="34"/>
  <c r="AN754" i="34"/>
  <c r="AN928" i="34"/>
  <c r="BD73" i="34"/>
  <c r="AM712" i="34"/>
  <c r="AV636" i="34"/>
  <c r="AV1017" i="34"/>
  <c r="BC71" i="34"/>
  <c r="AV810" i="34"/>
  <c r="AU337" i="34"/>
  <c r="AN635" i="34"/>
  <c r="AV1063" i="34"/>
  <c r="AV261" i="34"/>
  <c r="AV579" i="34"/>
  <c r="AM228" i="34"/>
  <c r="BG328" i="34"/>
  <c r="AN961" i="34"/>
  <c r="BD587" i="34"/>
  <c r="AV502" i="34"/>
  <c r="AQ445" i="34"/>
  <c r="AQ485" i="34"/>
  <c r="AM115" i="34"/>
  <c r="AU116" i="34"/>
  <c r="AV349" i="34"/>
  <c r="BG66" i="34"/>
  <c r="AQ271" i="34"/>
  <c r="AU931" i="34"/>
  <c r="BD593" i="34"/>
  <c r="AV996" i="34"/>
  <c r="AN235" i="34"/>
  <c r="AQ205" i="34"/>
  <c r="AV526" i="34"/>
  <c r="BD513" i="34"/>
  <c r="AU955" i="34"/>
  <c r="BD932" i="34"/>
  <c r="AV758" i="34"/>
  <c r="AN387" i="34"/>
  <c r="BD1109" i="34"/>
  <c r="BD132" i="34"/>
  <c r="AU115" i="34"/>
  <c r="AU837" i="34"/>
  <c r="AQ14" i="34"/>
  <c r="BG274" i="34"/>
  <c r="AY488" i="34"/>
  <c r="BD1041" i="34"/>
  <c r="AQ264" i="34"/>
  <c r="AM983" i="34"/>
  <c r="AN891" i="34"/>
  <c r="AV53" i="34"/>
  <c r="BG453" i="34"/>
  <c r="AV966" i="34"/>
  <c r="AV891" i="34"/>
  <c r="BC836" i="34"/>
  <c r="BD665" i="34"/>
  <c r="BC532" i="34"/>
  <c r="AQ72" i="34"/>
  <c r="AV712" i="34"/>
  <c r="BD1098" i="34"/>
  <c r="AM668" i="34"/>
  <c r="AN51" i="34"/>
  <c r="BG59" i="34"/>
  <c r="BG299" i="34"/>
  <c r="BG204" i="34"/>
  <c r="AQ454" i="34"/>
  <c r="AY468" i="34"/>
  <c r="AN1016" i="34"/>
  <c r="BD108" i="34"/>
  <c r="AN1085" i="34"/>
  <c r="AN1097" i="34"/>
  <c r="BC599" i="34"/>
  <c r="AV400" i="34"/>
  <c r="BD579" i="34"/>
  <c r="BC328" i="34"/>
  <c r="AM294" i="34"/>
  <c r="BC610" i="34"/>
  <c r="AN390" i="34"/>
  <c r="BC686" i="34"/>
  <c r="AM590" i="34"/>
  <c r="BD236" i="34"/>
  <c r="AN718" i="34"/>
  <c r="AU698" i="34"/>
  <c r="AV785" i="34"/>
  <c r="BD450" i="34"/>
  <c r="AN778" i="34"/>
  <c r="BG109" i="34"/>
  <c r="BD690" i="34"/>
  <c r="AN156" i="34"/>
  <c r="AN423" i="34"/>
  <c r="AN73" i="34"/>
  <c r="AN368" i="34"/>
  <c r="AN342" i="34"/>
  <c r="AV843" i="34"/>
  <c r="AN770" i="34"/>
  <c r="AN713" i="34"/>
  <c r="AM753" i="34"/>
  <c r="AM963" i="34"/>
  <c r="BC874" i="34"/>
  <c r="AV63" i="34"/>
  <c r="AV300" i="34"/>
  <c r="AN102" i="34"/>
  <c r="AV681" i="34"/>
  <c r="BD187" i="34"/>
  <c r="AM858" i="34"/>
  <c r="BC343" i="34"/>
  <c r="AV830" i="34"/>
  <c r="BD906" i="34"/>
  <c r="AQ26" i="34"/>
  <c r="AV59" i="34"/>
  <c r="AN50" i="34"/>
  <c r="AM579" i="34"/>
  <c r="AN832" i="34"/>
  <c r="AV956" i="34"/>
  <c r="BC395" i="34"/>
  <c r="BD531" i="34"/>
  <c r="AM1004" i="34"/>
  <c r="AU65" i="34"/>
  <c r="BD445" i="34"/>
  <c r="AQ110" i="34"/>
  <c r="AN444" i="34"/>
  <c r="AN146" i="34"/>
  <c r="AQ259" i="34"/>
  <c r="BD1094" i="34"/>
  <c r="BD983" i="34"/>
  <c r="AU1016" i="34"/>
  <c r="AU465" i="34"/>
  <c r="AU482" i="34"/>
  <c r="AV182" i="34"/>
  <c r="AY476" i="34"/>
  <c r="AN703" i="34"/>
  <c r="BC777" i="34"/>
  <c r="BD1095" i="34"/>
  <c r="AV211" i="34"/>
  <c r="BG193" i="34"/>
  <c r="AV625" i="34"/>
  <c r="AM188" i="34"/>
  <c r="AM492" i="34"/>
  <c r="AV667" i="34"/>
  <c r="AV30" i="34"/>
  <c r="AN1042" i="34"/>
  <c r="AQ137" i="34"/>
  <c r="BG436" i="34"/>
  <c r="AN904" i="34"/>
  <c r="AN1011" i="34"/>
  <c r="BG199" i="34"/>
  <c r="AU780" i="34"/>
  <c r="AM723" i="34"/>
  <c r="AU1109" i="34"/>
  <c r="BD48" i="34"/>
  <c r="AU994" i="34"/>
  <c r="AN533" i="34"/>
  <c r="AN105" i="34"/>
  <c r="AN743" i="34"/>
  <c r="BC932" i="34"/>
  <c r="AV40" i="34"/>
  <c r="AY139" i="34"/>
  <c r="BD869" i="34"/>
  <c r="BC1029" i="34"/>
  <c r="AM573" i="34"/>
  <c r="BD700" i="34"/>
  <c r="AY280" i="34"/>
  <c r="AU228" i="34"/>
  <c r="AM956" i="34"/>
  <c r="AV268" i="34"/>
  <c r="BD300" i="34"/>
  <c r="AU991" i="34"/>
  <c r="BD328" i="34"/>
  <c r="AY72" i="34"/>
  <c r="BG53" i="34"/>
  <c r="AQ223" i="34"/>
  <c r="AN669" i="34"/>
  <c r="BC1097" i="34"/>
  <c r="AN99" i="34"/>
  <c r="AY337" i="34"/>
  <c r="AV692" i="34"/>
  <c r="AN1092" i="34"/>
  <c r="AY163" i="34"/>
  <c r="AM584" i="34"/>
  <c r="AV992" i="34"/>
  <c r="BG471" i="34"/>
  <c r="AV322" i="34"/>
  <c r="BC940" i="34"/>
  <c r="AU200" i="34"/>
  <c r="AV481" i="34"/>
  <c r="BC980" i="34"/>
  <c r="AU540" i="34"/>
  <c r="BC541" i="34"/>
  <c r="AQ134" i="34"/>
  <c r="AN68" i="34"/>
  <c r="AY115" i="34"/>
  <c r="AM567" i="34"/>
  <c r="BD1096" i="34"/>
  <c r="AM608" i="34"/>
  <c r="BC694" i="34"/>
  <c r="AY176" i="34"/>
  <c r="BD118" i="34"/>
  <c r="AV343" i="34"/>
  <c r="AN106" i="34"/>
  <c r="AN481" i="34"/>
  <c r="AQ345" i="34"/>
  <c r="AN1047" i="34"/>
  <c r="AV1035" i="34"/>
  <c r="AN535" i="34"/>
  <c r="AU510" i="34"/>
  <c r="BC193" i="34"/>
  <c r="BC730" i="34"/>
  <c r="AV963" i="34"/>
  <c r="BD553" i="34"/>
  <c r="AU814" i="34"/>
  <c r="BG95" i="34"/>
  <c r="AN802" i="34"/>
  <c r="AV472" i="34"/>
  <c r="AU970" i="34"/>
  <c r="AY291" i="34"/>
  <c r="BC879" i="34"/>
  <c r="AN171" i="34"/>
  <c r="AN570" i="34"/>
  <c r="AQ49" i="34"/>
  <c r="AV903" i="34"/>
  <c r="AY259" i="34"/>
  <c r="AU296" i="34"/>
  <c r="BC226" i="34"/>
  <c r="AN858" i="34"/>
  <c r="AM1092" i="34"/>
  <c r="BD552" i="34"/>
  <c r="AM107" i="34"/>
  <c r="AV516" i="34"/>
  <c r="AN19" i="34"/>
  <c r="AY214" i="34"/>
  <c r="BD259" i="34"/>
  <c r="BD30" i="34"/>
  <c r="AM326" i="34"/>
  <c r="AN711" i="34"/>
  <c r="AN498" i="34"/>
  <c r="BD362" i="34"/>
  <c r="BD1045" i="34"/>
  <c r="AU922" i="34"/>
  <c r="AU92" i="34"/>
  <c r="AV487" i="34"/>
  <c r="BD44" i="34"/>
  <c r="AN984" i="34"/>
  <c r="BD52" i="34"/>
  <c r="AN550" i="34"/>
  <c r="AU708" i="34"/>
  <c r="BC799" i="34"/>
  <c r="BD529" i="34"/>
  <c r="BD670" i="34"/>
  <c r="AQ325" i="34"/>
  <c r="BG102" i="34"/>
  <c r="BD697" i="34"/>
  <c r="AN856" i="34"/>
  <c r="BD498" i="34"/>
  <c r="AV906" i="34"/>
  <c r="BD881" i="34"/>
  <c r="AM805" i="34"/>
  <c r="AM943" i="34"/>
  <c r="BD27" i="34"/>
  <c r="BD619" i="34"/>
  <c r="AY361" i="34"/>
  <c r="AV511" i="34"/>
  <c r="AU824" i="34"/>
  <c r="BC655" i="34"/>
  <c r="BD1019" i="34"/>
  <c r="AU236" i="34"/>
  <c r="BC709" i="34"/>
  <c r="BC334" i="34"/>
  <c r="BC800" i="34"/>
  <c r="AV856" i="34"/>
  <c r="AU697" i="34"/>
  <c r="AM399" i="34"/>
  <c r="BC563" i="34"/>
  <c r="AV705" i="34"/>
  <c r="AN986" i="34"/>
  <c r="AM780" i="34"/>
  <c r="AM555" i="34"/>
  <c r="AQ370" i="34"/>
  <c r="AN588" i="34"/>
  <c r="AU816" i="34"/>
  <c r="AV1009" i="34"/>
  <c r="AM1027" i="34"/>
  <c r="BD706" i="34"/>
  <c r="BD539" i="34"/>
  <c r="AV1094" i="34"/>
  <c r="BD910" i="34"/>
  <c r="AV426" i="34"/>
  <c r="AM730" i="34"/>
  <c r="AV745" i="34"/>
  <c r="BC294" i="34"/>
  <c r="AV535" i="34"/>
  <c r="AY298" i="34"/>
  <c r="AV70" i="34"/>
  <c r="AV660" i="34"/>
  <c r="AM1085" i="34"/>
  <c r="BC1059" i="34"/>
  <c r="AN203" i="34"/>
  <c r="AN739" i="34"/>
  <c r="AM945" i="34"/>
  <c r="AY69" i="34"/>
  <c r="AQ429" i="34"/>
  <c r="BC927" i="34"/>
  <c r="BC1030" i="34"/>
  <c r="AV716" i="34"/>
  <c r="AV859" i="34"/>
  <c r="BC773" i="34"/>
  <c r="BC1035" i="34"/>
  <c r="AV43" i="34"/>
  <c r="BD488" i="34"/>
  <c r="BG438" i="34"/>
  <c r="AV771" i="34"/>
  <c r="BD659" i="34"/>
  <c r="BG103" i="34"/>
  <c r="AM809" i="34"/>
  <c r="AM986" i="34"/>
  <c r="BC758" i="34"/>
  <c r="AV529" i="34"/>
  <c r="AM982" i="34"/>
  <c r="AV479" i="34"/>
  <c r="AQ209" i="34"/>
  <c r="AN1063" i="34"/>
  <c r="AU235" i="34"/>
  <c r="BD143" i="34"/>
  <c r="AN935" i="34"/>
  <c r="AM491" i="34"/>
  <c r="AM714" i="34"/>
  <c r="AV924" i="34"/>
  <c r="AY332" i="34"/>
  <c r="AU722" i="34"/>
  <c r="BG290" i="34"/>
  <c r="BC1040" i="34"/>
  <c r="AV998" i="34"/>
  <c r="AU548" i="34"/>
  <c r="BC835" i="34"/>
  <c r="BD307" i="34"/>
  <c r="AV422" i="34"/>
  <c r="BD618" i="34"/>
  <c r="BC650" i="34"/>
  <c r="AV631" i="34"/>
  <c r="AY327" i="34"/>
  <c r="AN425" i="34"/>
  <c r="AN454" i="34"/>
  <c r="BG144" i="34"/>
  <c r="AU688" i="34"/>
  <c r="AV499" i="34"/>
  <c r="AN1108" i="34"/>
  <c r="AN557" i="34"/>
  <c r="AV818" i="34"/>
  <c r="AN913" i="34"/>
  <c r="AV224" i="34"/>
  <c r="AQ334" i="34"/>
  <c r="AV580" i="34"/>
  <c r="AN395" i="34"/>
  <c r="AV635" i="34"/>
  <c r="BD623" i="34"/>
  <c r="BG490" i="34"/>
  <c r="AM534" i="34"/>
  <c r="AV110" i="34"/>
  <c r="AN599" i="34"/>
  <c r="BD503" i="34"/>
  <c r="BG104" i="34"/>
  <c r="BD221" i="34"/>
  <c r="AV285" i="34"/>
  <c r="AU71" i="34"/>
  <c r="BD594" i="34"/>
  <c r="BD833" i="34"/>
  <c r="BC555" i="34"/>
  <c r="AU765" i="34"/>
  <c r="BC1004" i="34"/>
  <c r="BC634" i="34"/>
  <c r="AQ297" i="34"/>
  <c r="AM778" i="34"/>
  <c r="BD987" i="34"/>
  <c r="AN111" i="34"/>
  <c r="AN16" i="34"/>
  <c r="BC600" i="34"/>
  <c r="BC69" i="34"/>
  <c r="AN1081" i="34"/>
  <c r="AU46" i="34"/>
  <c r="BC42" i="34"/>
  <c r="AM1015" i="34"/>
  <c r="BG17" i="34"/>
  <c r="AV259" i="34"/>
  <c r="AM696" i="34"/>
  <c r="AM506" i="34"/>
  <c r="AV283" i="34"/>
  <c r="AU932" i="34"/>
  <c r="BD565" i="34"/>
  <c r="AM933" i="34"/>
  <c r="AM235" i="34"/>
  <c r="AM236" i="34"/>
  <c r="AN130" i="34"/>
  <c r="AN1064" i="34"/>
  <c r="BD219" i="34"/>
  <c r="AN1023" i="34"/>
  <c r="AY58" i="34"/>
  <c r="BG424" i="34"/>
  <c r="BC292" i="34"/>
  <c r="BD997" i="34"/>
  <c r="AN415" i="34"/>
  <c r="AU539" i="34"/>
  <c r="AV204" i="34"/>
  <c r="AV854" i="34"/>
  <c r="BC50" i="34"/>
  <c r="AV879" i="34"/>
  <c r="AN499" i="34"/>
  <c r="AM199" i="34"/>
  <c r="AU294" i="34"/>
  <c r="BG99" i="34"/>
  <c r="BD1027" i="34"/>
  <c r="BD611" i="34"/>
  <c r="AU645" i="34"/>
  <c r="BD216" i="34"/>
  <c r="BC738" i="34"/>
  <c r="BC70" i="34"/>
  <c r="AV584" i="34"/>
  <c r="AV1013" i="34"/>
  <c r="AV824" i="34"/>
  <c r="AV588" i="34"/>
  <c r="AQ468" i="34"/>
  <c r="AU752" i="34"/>
  <c r="BD114" i="34"/>
  <c r="BG49" i="34"/>
  <c r="AM94" i="34"/>
  <c r="AQ305" i="34"/>
  <c r="AM487" i="34"/>
  <c r="AV932" i="34"/>
  <c r="BD1052" i="34"/>
  <c r="BC700" i="34"/>
  <c r="AU1030" i="34"/>
  <c r="AM578" i="34"/>
  <c r="AM622" i="34"/>
  <c r="AQ270" i="34"/>
  <c r="AM787" i="34"/>
  <c r="BD825" i="34"/>
  <c r="AU926" i="34"/>
  <c r="AQ321" i="34"/>
  <c r="AN398" i="34"/>
  <c r="AN209" i="34"/>
  <c r="AV321" i="34"/>
  <c r="AM557" i="34"/>
  <c r="AV742" i="34"/>
  <c r="BC1104" i="34"/>
  <c r="BC47" i="34"/>
  <c r="AM932" i="34"/>
  <c r="BC548" i="34"/>
  <c r="BG54" i="34"/>
  <c r="AQ123" i="34"/>
  <c r="AN409" i="34"/>
  <c r="AY145" i="34"/>
  <c r="BG450" i="34"/>
  <c r="AQ135" i="34"/>
  <c r="BD630" i="34"/>
  <c r="AV365" i="34"/>
  <c r="BG466" i="34"/>
  <c r="BG197" i="34"/>
  <c r="AV881" i="34"/>
  <c r="AV269" i="34"/>
  <c r="BD1114" i="34"/>
  <c r="AV889" i="34"/>
  <c r="BD254" i="34"/>
  <c r="AV829" i="34"/>
  <c r="AU425" i="34"/>
  <c r="AN471" i="34"/>
  <c r="BD712" i="34"/>
  <c r="BD222" i="34"/>
  <c r="BD348" i="34"/>
  <c r="BC53" i="34"/>
  <c r="AV227" i="34"/>
  <c r="AU1033" i="34"/>
  <c r="AV974" i="34"/>
  <c r="AQ304" i="34"/>
  <c r="BC982" i="34"/>
  <c r="AU637" i="34"/>
  <c r="AN705" i="34"/>
  <c r="BD673" i="34"/>
  <c r="AM49" i="34"/>
  <c r="AU1048" i="34"/>
  <c r="AV15" i="34"/>
  <c r="AY184" i="34"/>
  <c r="AV887" i="34"/>
  <c r="AV777" i="34"/>
  <c r="AM1095" i="34"/>
  <c r="BD1017" i="34"/>
  <c r="AM137" i="34"/>
  <c r="AN297" i="34"/>
  <c r="BD1005" i="34"/>
  <c r="BD713" i="34"/>
  <c r="AN611" i="34"/>
  <c r="AM599" i="34"/>
  <c r="AU713" i="34"/>
  <c r="AY53" i="34"/>
  <c r="AV66" i="34"/>
  <c r="AN898" i="34"/>
  <c r="AV150" i="34"/>
  <c r="BD831" i="34"/>
  <c r="BC735" i="34"/>
  <c r="AQ62" i="34"/>
  <c r="AM942" i="34"/>
  <c r="BC766" i="34"/>
  <c r="BG149" i="34"/>
  <c r="AQ333" i="34"/>
  <c r="AN574" i="34"/>
  <c r="BG148" i="34"/>
  <c r="AN548" i="34"/>
  <c r="AV970" i="34"/>
  <c r="AV701" i="34"/>
  <c r="AV486" i="34"/>
  <c r="AN577" i="34"/>
  <c r="BD71" i="34"/>
  <c r="AN205" i="34"/>
  <c r="AM41" i="34"/>
  <c r="BC659" i="34"/>
  <c r="AQ176" i="34"/>
  <c r="AY201" i="34"/>
  <c r="AQ338" i="34"/>
  <c r="AQ460" i="34"/>
  <c r="BD323" i="34"/>
  <c r="AN1021" i="34"/>
  <c r="AN436" i="34"/>
  <c r="AU810" i="34"/>
  <c r="AU633" i="34"/>
  <c r="AM829" i="34"/>
  <c r="BG64" i="34"/>
  <c r="AM921" i="34"/>
  <c r="AV836" i="34"/>
  <c r="AM418" i="34"/>
  <c r="BC1012" i="34"/>
  <c r="BC587" i="34"/>
  <c r="BD1039" i="34"/>
  <c r="AN1117" i="34"/>
  <c r="AY477" i="34"/>
  <c r="AN361" i="34"/>
  <c r="AV1000" i="34"/>
  <c r="BC627" i="34"/>
  <c r="BC934" i="34"/>
  <c r="AU986" i="34"/>
  <c r="AQ394" i="34"/>
  <c r="BD23" i="34"/>
  <c r="BG14" i="34"/>
  <c r="AN270" i="34"/>
  <c r="AV570" i="34"/>
  <c r="AY472" i="34"/>
  <c r="AN530" i="34"/>
  <c r="BD237" i="34"/>
  <c r="AN188" i="34"/>
  <c r="BD34" i="34"/>
  <c r="AV1046" i="34"/>
  <c r="BC1022" i="34"/>
  <c r="AV792" i="34"/>
  <c r="AU777" i="34"/>
  <c r="BD852" i="34"/>
  <c r="AN741" i="34"/>
  <c r="AN40" i="34"/>
  <c r="AN803" i="34"/>
  <c r="AY233" i="34"/>
  <c r="AN434" i="34"/>
  <c r="AN658" i="34"/>
  <c r="AN538" i="34"/>
  <c r="BD702" i="34"/>
  <c r="AV596" i="34"/>
  <c r="AY367" i="34"/>
  <c r="BD1008" i="34"/>
  <c r="AV578" i="34"/>
  <c r="BD471" i="34"/>
  <c r="BD973" i="34"/>
  <c r="AU237" i="34"/>
  <c r="AM548" i="34"/>
  <c r="AU1019" i="34"/>
  <c r="AM594" i="34"/>
  <c r="BD518" i="34"/>
  <c r="BG444" i="34"/>
  <c r="BD231" i="34"/>
  <c r="BG325" i="34"/>
  <c r="AV130" i="34"/>
  <c r="AV515" i="34"/>
  <c r="BD35" i="34"/>
  <c r="AM582" i="34"/>
  <c r="AY418" i="34"/>
  <c r="AM644" i="34"/>
  <c r="AQ104" i="34"/>
  <c r="AV524" i="34"/>
  <c r="AQ471" i="34"/>
  <c r="BC1033" i="34"/>
  <c r="BC200" i="34"/>
  <c r="AM721" i="34"/>
  <c r="AV737" i="34"/>
  <c r="AQ470" i="34"/>
  <c r="BD1033" i="34"/>
  <c r="AU611" i="34"/>
  <c r="AM144" i="34"/>
  <c r="AN562" i="34"/>
  <c r="AU798" i="34"/>
  <c r="AU1116" i="34"/>
  <c r="AV1038" i="34"/>
  <c r="AM610" i="34"/>
  <c r="BG203" i="34"/>
  <c r="AM777" i="34"/>
  <c r="AQ309" i="34"/>
  <c r="BG133" i="34"/>
  <c r="AY135" i="34"/>
  <c r="AN645" i="34"/>
  <c r="AV985" i="34"/>
  <c r="AM967" i="34"/>
  <c r="AN613" i="34"/>
  <c r="AU1012" i="34"/>
  <c r="AM715" i="34"/>
  <c r="AV870" i="34"/>
  <c r="AV728" i="34"/>
  <c r="AU303" i="34"/>
  <c r="AM704" i="34"/>
  <c r="AM677" i="34"/>
  <c r="AV1102" i="34"/>
  <c r="AN1024" i="34"/>
  <c r="AN109" i="34"/>
  <c r="AV553" i="34"/>
  <c r="AY326" i="34"/>
  <c r="BD117" i="34"/>
  <c r="AV290" i="34"/>
  <c r="BD462" i="34"/>
  <c r="BC815" i="34"/>
  <c r="BG111" i="34"/>
  <c r="BC474" i="34"/>
  <c r="BD1028" i="34"/>
  <c r="AM480" i="34"/>
  <c r="BC660" i="34"/>
  <c r="AM617" i="34"/>
  <c r="BD853" i="34"/>
  <c r="BD564" i="34"/>
  <c r="AN1091" i="34"/>
  <c r="BD745" i="34"/>
  <c r="BD1000" i="34"/>
  <c r="AV600" i="34"/>
  <c r="AM343" i="34"/>
  <c r="AV197" i="34"/>
  <c r="AV303" i="34"/>
  <c r="AV674" i="34"/>
  <c r="AQ21" i="34"/>
  <c r="AN941" i="34"/>
  <c r="BD1053" i="34"/>
  <c r="BD661" i="34"/>
  <c r="AY333" i="34"/>
  <c r="AV548" i="34"/>
  <c r="AY217" i="34"/>
  <c r="AM589" i="34"/>
  <c r="AN896" i="34"/>
  <c r="AN604" i="34"/>
  <c r="BG257" i="34"/>
  <c r="BD739" i="34"/>
  <c r="AV773" i="34"/>
  <c r="BC688" i="34"/>
  <c r="AN167" i="34"/>
  <c r="AQ229" i="34"/>
  <c r="AY397" i="34"/>
  <c r="AN844" i="34"/>
  <c r="AY470" i="34"/>
  <c r="AU618" i="34"/>
  <c r="AV523" i="34"/>
  <c r="AY260" i="34"/>
  <c r="AQ221" i="34"/>
  <c r="BD534" i="34"/>
  <c r="BD146" i="34"/>
  <c r="AV1001" i="34"/>
  <c r="AU684" i="34"/>
  <c r="AU836" i="34"/>
  <c r="BC322" i="34"/>
  <c r="AY222" i="34"/>
  <c r="BD721" i="34"/>
  <c r="AY131" i="34"/>
  <c r="AV696" i="34"/>
  <c r="BG348" i="34"/>
  <c r="AY46" i="34"/>
  <c r="BG226" i="34"/>
  <c r="AN897" i="34"/>
  <c r="AV144" i="34"/>
  <c r="AM365" i="34"/>
  <c r="AQ31" i="34"/>
  <c r="BD120" i="34"/>
  <c r="AN728" i="34"/>
  <c r="AQ129" i="34"/>
  <c r="BC418" i="34"/>
  <c r="AN304" i="34"/>
  <c r="AU963" i="34"/>
  <c r="BD848" i="34"/>
  <c r="BC466" i="34"/>
  <c r="AQ108" i="34"/>
  <c r="BC987" i="34"/>
  <c r="AQ433" i="34"/>
  <c r="AN150" i="34"/>
  <c r="AY425" i="34"/>
  <c r="BC503" i="34"/>
  <c r="AV603" i="34"/>
  <c r="AN266" i="34"/>
  <c r="AM50" i="34"/>
  <c r="BD26" i="34"/>
  <c r="AN939" i="34"/>
  <c r="AV1080" i="34"/>
  <c r="BD97" i="34"/>
  <c r="AN1057" i="34"/>
  <c r="AU575" i="34"/>
  <c r="AU807" i="34"/>
  <c r="BD168" i="34"/>
  <c r="AN334" i="34"/>
  <c r="AV683" i="34"/>
  <c r="AQ444" i="34"/>
  <c r="AU304" i="34"/>
  <c r="AM1005" i="34"/>
  <c r="BG337" i="34"/>
  <c r="AQ306" i="34"/>
  <c r="BD705" i="34"/>
  <c r="AQ73" i="34"/>
  <c r="AV973" i="34"/>
  <c r="AV522" i="34"/>
  <c r="AV842" i="34"/>
  <c r="AU682" i="34"/>
  <c r="BD463" i="34"/>
  <c r="BD729" i="34"/>
  <c r="AV772" i="34"/>
  <c r="AN753" i="34"/>
  <c r="AQ30" i="34"/>
  <c r="AY331" i="34"/>
  <c r="BG97" i="34"/>
  <c r="AV1005" i="34"/>
  <c r="BD467" i="34"/>
  <c r="AQ392" i="34"/>
  <c r="AU660" i="34"/>
  <c r="BG163" i="34"/>
  <c r="AM719" i="34"/>
  <c r="AV291" i="34"/>
  <c r="AQ35" i="34"/>
  <c r="AY285" i="34"/>
  <c r="AQ423" i="34"/>
  <c r="AN997" i="34"/>
  <c r="AN299" i="34"/>
  <c r="AM132" i="34"/>
  <c r="AM1049" i="34"/>
  <c r="AU839" i="34"/>
  <c r="BD732" i="34"/>
  <c r="AN176" i="34"/>
  <c r="AM729" i="34"/>
  <c r="AY221" i="34"/>
  <c r="AU602" i="34"/>
  <c r="AN757" i="34"/>
  <c r="AN932" i="34"/>
  <c r="AU729" i="34"/>
  <c r="AM973" i="34"/>
  <c r="AV373" i="34"/>
  <c r="BD887" i="34"/>
  <c r="AM234" i="34"/>
  <c r="BC983" i="34"/>
  <c r="AN282" i="34"/>
  <c r="BC806" i="34"/>
  <c r="AV961" i="34"/>
  <c r="AV1031" i="34"/>
  <c r="AU147" i="34"/>
  <c r="AQ472" i="34"/>
  <c r="AN863" i="34"/>
  <c r="AV962" i="34"/>
  <c r="AM627" i="34"/>
  <c r="AM812" i="34"/>
  <c r="BC759" i="34"/>
  <c r="BD271" i="34"/>
  <c r="AV1056" i="34"/>
  <c r="AV254" i="34"/>
  <c r="AQ22" i="34"/>
  <c r="AN769" i="34"/>
  <c r="AN372" i="34"/>
  <c r="BG270" i="34"/>
  <c r="AV357" i="34"/>
  <c r="BD607" i="34"/>
  <c r="BD330" i="34"/>
  <c r="AQ166" i="34"/>
  <c r="AN1000" i="34"/>
  <c r="BD790" i="34"/>
  <c r="BC507" i="34"/>
  <c r="AN170" i="34"/>
  <c r="AN798" i="34"/>
  <c r="AN1034" i="34"/>
  <c r="AV220" i="34"/>
  <c r="AN186" i="34"/>
  <c r="AN279" i="34"/>
  <c r="BD616" i="34"/>
  <c r="AU676" i="34"/>
  <c r="BD1057" i="34"/>
  <c r="AQ484" i="34"/>
  <c r="AM980" i="34"/>
  <c r="AQ16" i="34"/>
  <c r="AV780" i="34"/>
  <c r="AV149" i="34"/>
  <c r="AU634" i="34"/>
  <c r="BD846" i="34"/>
  <c r="BG218" i="34"/>
  <c r="BC696" i="34"/>
  <c r="AU1026" i="34"/>
  <c r="BD968" i="34"/>
  <c r="AM700" i="34"/>
  <c r="AM795" i="34"/>
  <c r="AN701" i="34"/>
  <c r="AM43" i="34"/>
  <c r="AV424" i="34"/>
  <c r="AN843" i="34"/>
  <c r="BC148" i="34"/>
  <c r="AM490" i="34"/>
  <c r="BG263" i="34"/>
  <c r="BD1091" i="34"/>
  <c r="AY481" i="34"/>
  <c r="AV774" i="34"/>
  <c r="BC473" i="34"/>
  <c r="AM772" i="34"/>
  <c r="AN371" i="34"/>
  <c r="AN184" i="34"/>
  <c r="AN438" i="34"/>
  <c r="BD486" i="34"/>
  <c r="AV624" i="34"/>
  <c r="AM927" i="34"/>
  <c r="BG225" i="34"/>
  <c r="AQ215" i="34"/>
  <c r="AV942" i="34"/>
  <c r="AN593" i="34"/>
  <c r="BD1042" i="34"/>
  <c r="AU108" i="34"/>
  <c r="BG165" i="34"/>
  <c r="AV1022" i="34"/>
  <c r="AU70" i="34"/>
  <c r="AQ479" i="34"/>
  <c r="BG143" i="34"/>
  <c r="BG440" i="34"/>
  <c r="AU1018" i="34"/>
  <c r="AV568" i="34"/>
  <c r="BG32" i="34"/>
  <c r="AU497" i="34"/>
  <c r="AU873" i="34"/>
  <c r="AN787" i="34"/>
  <c r="AN968" i="34"/>
  <c r="AV470" i="34"/>
  <c r="AN860" i="34"/>
  <c r="AM1033" i="34"/>
  <c r="AM1028" i="34"/>
  <c r="AN662" i="34"/>
  <c r="AY23" i="34"/>
  <c r="BG107" i="34"/>
  <c r="AN628" i="34"/>
  <c r="BD961" i="34"/>
  <c r="AU1085" i="34"/>
  <c r="AV697" i="34"/>
  <c r="BD47" i="34"/>
  <c r="AQ269" i="34"/>
  <c r="AU481" i="34"/>
  <c r="BD1054" i="34"/>
  <c r="BD508" i="34"/>
  <c r="AN118" i="34"/>
  <c r="AM757" i="34"/>
  <c r="AV471" i="34"/>
  <c r="AN225" i="34"/>
  <c r="BG188" i="34"/>
  <c r="BC302" i="34"/>
  <c r="AY452" i="34"/>
  <c r="AV35" i="34"/>
  <c r="AN680" i="34"/>
  <c r="AU721" i="34"/>
  <c r="AY370" i="34"/>
  <c r="AV897" i="34"/>
  <c r="AU583" i="34"/>
  <c r="AV216" i="34"/>
  <c r="AQ220" i="34"/>
  <c r="BD1056" i="34"/>
  <c r="AN1028" i="34"/>
  <c r="BD710" i="34"/>
  <c r="AV255" i="34"/>
  <c r="AV399" i="34"/>
  <c r="BD862" i="34"/>
  <c r="AV528" i="34"/>
  <c r="AN782" i="34"/>
  <c r="AN810" i="34"/>
  <c r="AN910" i="34"/>
  <c r="AU652" i="34"/>
  <c r="BC1109" i="34"/>
  <c r="AM675" i="34"/>
  <c r="AQ198" i="34"/>
  <c r="AN967" i="34"/>
  <c r="AV47" i="34"/>
  <c r="BD262" i="34"/>
  <c r="BG463" i="34"/>
  <c r="AN1026" i="34"/>
  <c r="AU714" i="34"/>
  <c r="BC326" i="34"/>
  <c r="BD555" i="34"/>
  <c r="AM575" i="34"/>
  <c r="AQ303" i="34"/>
  <c r="AN708" i="34"/>
  <c r="AV666" i="34"/>
  <c r="AY164" i="34"/>
  <c r="AV858" i="34"/>
  <c r="BD423" i="34"/>
  <c r="AU744" i="34"/>
  <c r="AU940" i="34"/>
  <c r="BC514" i="34"/>
  <c r="BC992" i="34"/>
  <c r="BD651" i="34"/>
  <c r="AU557" i="34"/>
  <c r="AM940" i="34"/>
  <c r="AM345" i="34"/>
  <c r="AV688" i="34"/>
  <c r="BC684" i="34"/>
  <c r="BD50" i="34"/>
  <c r="AN488" i="34"/>
  <c r="AN295" i="34"/>
  <c r="BC52" i="34"/>
  <c r="AU962" i="34"/>
  <c r="AN221" i="34"/>
  <c r="AY269" i="34"/>
  <c r="AV445" i="34"/>
  <c r="AQ487" i="34"/>
  <c r="BD69" i="34"/>
  <c r="AM839" i="34"/>
  <c r="BC988" i="34"/>
  <c r="AN982" i="34"/>
  <c r="BD145" i="34"/>
  <c r="BG162" i="34"/>
  <c r="AM232" i="34"/>
  <c r="AV396" i="34"/>
  <c r="AV62" i="34"/>
  <c r="AV682" i="34"/>
  <c r="AN402" i="34"/>
  <c r="BD549" i="34"/>
  <c r="AQ98" i="34"/>
  <c r="AV437" i="34"/>
  <c r="BG215" i="34"/>
  <c r="BC951" i="34"/>
  <c r="AU367" i="34"/>
  <c r="AM147" i="34"/>
  <c r="AU198" i="34"/>
  <c r="AM955" i="34"/>
  <c r="AM337" i="34"/>
  <c r="AY440" i="34"/>
  <c r="AQ332" i="34"/>
  <c r="BD835" i="34"/>
  <c r="AU972" i="34"/>
  <c r="AM708" i="34"/>
  <c r="AM45" i="34"/>
  <c r="AQ464" i="34"/>
  <c r="BD1022" i="34"/>
  <c r="BG446" i="34"/>
  <c r="BD798" i="34"/>
  <c r="AV909" i="34"/>
  <c r="AY67" i="34"/>
  <c r="AQ103" i="34"/>
  <c r="AY388" i="34"/>
  <c r="AV1105" i="34"/>
  <c r="BC523" i="34"/>
  <c r="BD801" i="34"/>
  <c r="AQ462" i="34"/>
  <c r="BD642" i="34"/>
  <c r="AN929" i="34"/>
  <c r="BD1038" i="34"/>
  <c r="AY255" i="34"/>
  <c r="AN656" i="34"/>
  <c r="AQ109" i="34"/>
  <c r="BD792" i="34"/>
  <c r="AV465" i="34"/>
  <c r="AV506" i="34"/>
  <c r="AU54" i="34"/>
  <c r="BD808" i="34"/>
  <c r="AN907" i="34"/>
  <c r="AM646" i="34"/>
  <c r="AQ436" i="34"/>
  <c r="AM792" i="34"/>
  <c r="BD521" i="34"/>
  <c r="BC690" i="34"/>
  <c r="BC797" i="34"/>
  <c r="AM1012" i="34"/>
  <c r="AV1050" i="34"/>
  <c r="AY305" i="34"/>
  <c r="AN697" i="34"/>
  <c r="AV518" i="34"/>
  <c r="AU308" i="34"/>
  <c r="AV614" i="34"/>
  <c r="BD828" i="34"/>
  <c r="AU1114" i="34"/>
  <c r="AM1035" i="34"/>
  <c r="BD540" i="34"/>
  <c r="AU822" i="34"/>
  <c r="BG223" i="34"/>
  <c r="AY368" i="34"/>
  <c r="AY335" i="34"/>
  <c r="AU1097" i="34"/>
  <c r="BC647" i="34"/>
  <c r="BD981" i="34"/>
  <c r="AN609" i="34"/>
  <c r="BG279" i="34"/>
  <c r="AV676" i="34"/>
  <c r="AU480" i="34"/>
  <c r="AN14" i="34"/>
  <c r="AV971" i="34"/>
  <c r="AV1110" i="34"/>
  <c r="AU812" i="34"/>
  <c r="AM1116" i="34"/>
  <c r="AU934" i="34"/>
  <c r="AY290" i="34"/>
  <c r="AM465" i="34"/>
  <c r="BG128" i="34"/>
  <c r="AQ42" i="34"/>
  <c r="AM958" i="34"/>
  <c r="AN98" i="34"/>
  <c r="AN1101" i="34"/>
  <c r="BD335" i="34"/>
  <c r="BD893" i="34"/>
  <c r="AU334" i="34"/>
  <c r="AV863" i="34"/>
  <c r="AN433" i="34"/>
  <c r="AV1095" i="34"/>
  <c r="BD926" i="34"/>
  <c r="AU728" i="34"/>
  <c r="AQ234" i="34"/>
  <c r="BC878" i="34"/>
  <c r="AQ346" i="34"/>
  <c r="BD566" i="34"/>
  <c r="AV959" i="34"/>
  <c r="AU878" i="34"/>
  <c r="AN632" i="34"/>
  <c r="AN683" i="34"/>
  <c r="AM618" i="34"/>
  <c r="BC344" i="34"/>
  <c r="AN494" i="34"/>
  <c r="AN1043" i="34"/>
  <c r="AN958" i="34"/>
  <c r="BC572" i="34"/>
  <c r="AQ349" i="34"/>
  <c r="AU690" i="34"/>
  <c r="BC511" i="34"/>
  <c r="BD402" i="34"/>
  <c r="BG267" i="34"/>
  <c r="AY461" i="34"/>
  <c r="AY162" i="34"/>
  <c r="AV659" i="34"/>
  <c r="AV873" i="34"/>
  <c r="BG269" i="34"/>
  <c r="AY165" i="34"/>
  <c r="AQ97" i="34"/>
  <c r="AV1084" i="34"/>
  <c r="BC482" i="34"/>
  <c r="BC993" i="34"/>
  <c r="AY238" i="34"/>
  <c r="AV678" i="34"/>
  <c r="AU612" i="34"/>
  <c r="AN927" i="34"/>
  <c r="BC232" i="34"/>
  <c r="AV813" i="34"/>
  <c r="AV111" i="34"/>
  <c r="BC32" i="34"/>
  <c r="AV876" i="34"/>
  <c r="AN938" i="34"/>
  <c r="BC780" i="34"/>
  <c r="AN823" i="34"/>
  <c r="AN65" i="34"/>
  <c r="AV114" i="34"/>
  <c r="AV1052" i="34"/>
  <c r="BD612" i="34"/>
  <c r="AQ385" i="34"/>
  <c r="BD464" i="34"/>
  <c r="AV137" i="34"/>
  <c r="AN1094" i="34"/>
  <c r="BG358" i="34"/>
  <c r="AN842" i="34"/>
  <c r="BD344" i="34"/>
  <c r="AN602" i="34"/>
  <c r="AY154" i="34"/>
  <c r="AQ155" i="34"/>
  <c r="AV68" i="34"/>
  <c r="BD123" i="34"/>
  <c r="AN1008" i="34"/>
  <c r="BG57" i="34"/>
  <c r="AU1088" i="34"/>
  <c r="AV298" i="34"/>
  <c r="AU590" i="34"/>
  <c r="AN220" i="34"/>
  <c r="AV700" i="34"/>
  <c r="AQ50" i="34"/>
  <c r="BD724" i="34"/>
  <c r="AV480" i="34"/>
  <c r="BD229" i="34"/>
  <c r="AM293" i="34"/>
  <c r="BD952" i="34"/>
  <c r="AV815" i="34"/>
  <c r="AN52" i="34"/>
  <c r="BC49" i="34"/>
  <c r="BG291" i="34"/>
  <c r="BC643" i="34"/>
  <c r="AM168" i="34"/>
  <c r="AM1032" i="34"/>
  <c r="BD411" i="34"/>
  <c r="AV808" i="34"/>
  <c r="AN889" i="34"/>
  <c r="AM821" i="34"/>
  <c r="BD95" i="34"/>
  <c r="BC1116" i="34"/>
  <c r="BD265" i="34"/>
  <c r="AV305" i="34"/>
  <c r="AY261" i="34"/>
  <c r="AV589" i="34"/>
  <c r="AV550" i="34"/>
  <c r="AV972" i="34"/>
  <c r="AQ17" i="34"/>
  <c r="AN161" i="34"/>
  <c r="BC753" i="34"/>
  <c r="AV308" i="34"/>
  <c r="BD572" i="34"/>
  <c r="AN659" i="34"/>
  <c r="BC991" i="34"/>
  <c r="AU1084" i="34"/>
  <c r="AV1047" i="34"/>
  <c r="AQ465" i="34"/>
  <c r="BD103" i="34"/>
  <c r="BD32" i="34"/>
  <c r="AQ453" i="34"/>
  <c r="AN749" i="34"/>
  <c r="AM402" i="34"/>
  <c r="BC744" i="34"/>
  <c r="AV607" i="34"/>
  <c r="BG33" i="34"/>
  <c r="BG483" i="34"/>
  <c r="AU188" i="34"/>
  <c r="BD514" i="34"/>
  <c r="AQ57" i="34"/>
  <c r="AQ46" i="34"/>
  <c r="BD468" i="34"/>
  <c r="AU53" i="34"/>
  <c r="AV753" i="34"/>
  <c r="AN325" i="34"/>
  <c r="BD1104" i="34"/>
  <c r="AM603" i="34"/>
  <c r="BG475" i="34"/>
  <c r="AN617" i="34"/>
  <c r="BC160" i="34"/>
  <c r="BC547" i="34"/>
  <c r="AN1005" i="34"/>
  <c r="AV393" i="34"/>
  <c r="AM475" i="34"/>
  <c r="AY465" i="34"/>
  <c r="AV601" i="34"/>
  <c r="AN748" i="34"/>
  <c r="BG260" i="34"/>
  <c r="BC116" i="34"/>
  <c r="AY62" i="34"/>
  <c r="AU1022" i="34"/>
  <c r="BD479" i="34"/>
  <c r="BG232" i="34"/>
  <c r="AV871" i="34"/>
  <c r="BD409" i="34"/>
  <c r="AM309" i="34"/>
  <c r="AN623" i="34"/>
  <c r="BG338" i="34"/>
  <c r="AU269" i="34"/>
  <c r="AM665" i="34"/>
  <c r="AQ213" i="34"/>
  <c r="BD965" i="34"/>
  <c r="AV581" i="34"/>
  <c r="AN972" i="34"/>
  <c r="AU756" i="34"/>
  <c r="BC506" i="34"/>
  <c r="BD434" i="34"/>
  <c r="AN172" i="34"/>
  <c r="AM783" i="34"/>
  <c r="BD111" i="34"/>
  <c r="AV403" i="34"/>
  <c r="AV190" i="34"/>
  <c r="AN1084" i="34"/>
  <c r="AU1000" i="34"/>
  <c r="AM514" i="34"/>
  <c r="BD436" i="34"/>
  <c r="AN229" i="34"/>
  <c r="AV287" i="34"/>
  <c r="AN554" i="34"/>
  <c r="AQ344" i="34"/>
  <c r="AU193" i="34"/>
  <c r="AU225" i="34"/>
  <c r="AY66" i="34"/>
  <c r="AN797" i="34"/>
  <c r="AU997" i="34"/>
  <c r="AU531" i="34"/>
  <c r="AV668" i="34"/>
  <c r="AU234" i="34"/>
  <c r="AV419" i="34"/>
  <c r="AN22" i="34"/>
  <c r="BG190" i="34"/>
  <c r="BD823" i="34"/>
  <c r="AV731" i="34"/>
  <c r="BC1048" i="34"/>
  <c r="AN905" i="34"/>
  <c r="AV355" i="34"/>
  <c r="AU232" i="34"/>
  <c r="BG51" i="34"/>
  <c r="AM569" i="34"/>
  <c r="AV165" i="34"/>
  <c r="BD426" i="34"/>
  <c r="AY223" i="34"/>
  <c r="BD585" i="34"/>
  <c r="AV401" i="34"/>
  <c r="AN861" i="34"/>
  <c r="BD878" i="34"/>
  <c r="AN636" i="34"/>
  <c r="AV1091" i="34"/>
  <c r="AV460" i="34"/>
  <c r="AV390" i="34"/>
  <c r="BD154" i="34"/>
  <c r="AY308" i="34"/>
  <c r="AN1109" i="34"/>
  <c r="AM811" i="34"/>
  <c r="AV302" i="34"/>
  <c r="BD940" i="34"/>
  <c r="BC713" i="34"/>
  <c r="AM1040" i="34"/>
  <c r="AV734" i="34"/>
  <c r="AN465" i="34"/>
  <c r="AM759" i="34"/>
  <c r="AY174" i="34"/>
  <c r="BC1018" i="34"/>
  <c r="BD1047" i="34"/>
  <c r="AY97" i="34"/>
  <c r="AQ193" i="34"/>
  <c r="AV618" i="34"/>
  <c r="BD1040" i="34"/>
  <c r="AV330" i="34"/>
  <c r="AV189" i="34"/>
  <c r="AN216" i="34"/>
  <c r="BD681" i="34"/>
  <c r="AQ299" i="34"/>
  <c r="BD397" i="34"/>
  <c r="AM328" i="34"/>
  <c r="AV167" i="34"/>
  <c r="BD972" i="34"/>
  <c r="BG50" i="34"/>
  <c r="BG468" i="34"/>
  <c r="BG155" i="34"/>
  <c r="AY436" i="34"/>
  <c r="BD672" i="34"/>
  <c r="AQ44" i="34"/>
  <c r="BD978" i="34"/>
  <c r="BC728" i="34"/>
  <c r="AM187" i="34"/>
  <c r="BD190" i="34"/>
  <c r="BG27" i="34"/>
  <c r="BC51" i="34"/>
  <c r="AV449" i="34"/>
  <c r="AU614" i="34"/>
  <c r="AN399" i="34"/>
  <c r="AV620" i="34"/>
  <c r="AN709" i="34"/>
  <c r="AV172" i="34"/>
  <c r="AQ260" i="34"/>
  <c r="AV129" i="34"/>
  <c r="AV646" i="34"/>
  <c r="BG156" i="34"/>
  <c r="AN966" i="34"/>
  <c r="BC630" i="34"/>
  <c r="BD1084" i="34"/>
  <c r="BD959" i="34"/>
  <c r="AM1024" i="34"/>
  <c r="AQ200" i="34"/>
  <c r="BD733" i="34"/>
  <c r="AM643" i="34"/>
  <c r="AV595" i="34"/>
  <c r="AN326" i="34"/>
  <c r="BD533" i="34"/>
  <c r="AV723" i="34"/>
  <c r="AM400" i="34"/>
  <c r="BD403" i="34"/>
  <c r="BD17" i="34"/>
  <c r="AU669" i="34"/>
  <c r="BC668" i="34"/>
  <c r="AQ122" i="34"/>
  <c r="AM1003" i="34"/>
  <c r="AU423" i="34"/>
  <c r="BC729" i="34"/>
  <c r="AV477" i="34"/>
  <c r="BG360" i="34"/>
  <c r="AN1014" i="34"/>
  <c r="BD962" i="34"/>
  <c r="AY437" i="34"/>
  <c r="AN879" i="34"/>
  <c r="AN867" i="34"/>
  <c r="AN349" i="34"/>
  <c r="AV367" i="34"/>
  <c r="AU740" i="34"/>
  <c r="BD992" i="34"/>
  <c r="BD393" i="34"/>
  <c r="AN66" i="34"/>
  <c r="AY192" i="34"/>
  <c r="AM1060" i="34"/>
  <c r="AU1054" i="34"/>
  <c r="AU829" i="34"/>
  <c r="BD678" i="34"/>
  <c r="AM1108" i="34"/>
  <c r="AQ228" i="34"/>
  <c r="AQ440" i="34"/>
  <c r="AV57" i="34"/>
  <c r="BD875" i="34"/>
  <c r="BG264" i="34"/>
  <c r="AV612" i="34"/>
  <c r="AQ294" i="34"/>
  <c r="AY28" i="34"/>
  <c r="AV1018" i="34"/>
  <c r="AQ214" i="34"/>
  <c r="AM614" i="34"/>
  <c r="AM968" i="34"/>
  <c r="AQ274" i="34"/>
  <c r="BD193" i="34"/>
  <c r="AV325" i="34"/>
  <c r="BD918" i="34"/>
  <c r="BG130" i="34"/>
  <c r="AN814" i="34"/>
  <c r="AU766" i="34"/>
  <c r="AM1018" i="34"/>
  <c r="AN839" i="34"/>
  <c r="AQ258" i="34"/>
  <c r="AN138" i="34"/>
  <c r="AU595" i="34"/>
  <c r="AM939" i="34"/>
  <c r="AU282" i="34"/>
  <c r="BD763" i="34"/>
  <c r="BD927" i="34"/>
  <c r="BD327" i="34"/>
  <c r="AN1090" i="34"/>
  <c r="BD626" i="34"/>
  <c r="BD832" i="34"/>
  <c r="AV663" i="34"/>
  <c r="AQ308" i="34"/>
  <c r="AU1058" i="34"/>
  <c r="AN1039" i="34"/>
  <c r="AN888" i="34"/>
  <c r="AU811" i="34"/>
  <c r="BG233" i="34"/>
  <c r="AY44" i="34"/>
  <c r="BG118" i="34"/>
  <c r="BD991" i="34"/>
  <c r="BG339" i="34"/>
  <c r="AV929" i="34"/>
  <c r="BD453" i="34"/>
  <c r="AQ160" i="34"/>
  <c r="BC161" i="34"/>
  <c r="BD980" i="34"/>
  <c r="AM1063" i="34"/>
  <c r="AU474" i="34"/>
  <c r="AY103" i="34"/>
  <c r="BD896" i="34"/>
  <c r="BD890" i="34"/>
  <c r="AN629" i="34"/>
  <c r="BD130" i="34"/>
  <c r="AV266" i="34"/>
  <c r="AV494" i="34"/>
  <c r="BC606" i="34"/>
  <c r="BC768" i="34"/>
  <c r="AU69" i="34"/>
  <c r="AU648" i="34"/>
  <c r="AU571" i="34"/>
  <c r="BG117" i="34"/>
  <c r="AN909" i="34"/>
  <c r="AN549" i="34"/>
  <c r="BD588" i="34"/>
  <c r="AV491" i="34"/>
  <c r="BD929" i="34"/>
  <c r="AM281" i="34"/>
  <c r="AV802" i="34"/>
  <c r="AQ348" i="34"/>
  <c r="AM682" i="34"/>
  <c r="AV1083" i="34"/>
  <c r="BD1029" i="34"/>
  <c r="AN1049" i="34"/>
  <c r="AN837" i="34"/>
  <c r="BD762" i="34"/>
  <c r="BC404" i="34"/>
  <c r="BC858" i="34"/>
  <c r="AM329" i="34"/>
  <c r="BG441" i="34"/>
  <c r="AU876" i="34"/>
  <c r="AM1120" i="34"/>
  <c r="AY275" i="34"/>
  <c r="AU647" i="34"/>
  <c r="BG330" i="34"/>
  <c r="AN469" i="34"/>
  <c r="AM395" i="34"/>
  <c r="AN1114" i="34"/>
  <c r="AU535" i="34"/>
  <c r="AY438" i="34"/>
  <c r="AY429" i="34"/>
  <c r="BD958" i="34"/>
  <c r="AV1024" i="34"/>
  <c r="BD527" i="34"/>
  <c r="AN491" i="34"/>
  <c r="AQ481" i="34"/>
  <c r="AN103" i="34"/>
  <c r="AM987" i="34"/>
  <c r="AU1094" i="34"/>
  <c r="AM72" i="34"/>
  <c r="BD845" i="34"/>
  <c r="BD16" i="34"/>
  <c r="AV540" i="34"/>
  <c r="AV408" i="34"/>
  <c r="AM804" i="34"/>
  <c r="AU328" i="34"/>
  <c r="AN478" i="34"/>
  <c r="BC787" i="34"/>
  <c r="AN135" i="34"/>
  <c r="AM837" i="34"/>
  <c r="AU936" i="34"/>
  <c r="BD658" i="34"/>
  <c r="AV853" i="34"/>
  <c r="AM1029" i="34"/>
  <c r="BC65" i="34"/>
  <c r="AN272" i="34"/>
  <c r="BD707" i="34"/>
  <c r="AN129" i="34"/>
  <c r="AM938" i="34"/>
  <c r="AY323" i="34"/>
  <c r="AQ59" i="34"/>
  <c r="AU734" i="34"/>
  <c r="AN764" i="34"/>
  <c r="AM292" i="34"/>
  <c r="BD308" i="34"/>
  <c r="AQ388" i="34"/>
  <c r="AN403" i="34"/>
  <c r="AN1019" i="34"/>
  <c r="AQ197" i="34"/>
  <c r="AN536" i="34"/>
  <c r="AM685" i="34"/>
  <c r="BD232" i="34"/>
  <c r="BD715" i="34"/>
  <c r="BC788" i="34"/>
  <c r="AQ331" i="34"/>
  <c r="BD954" i="34"/>
  <c r="AN34" i="34"/>
  <c r="AY474" i="34"/>
  <c r="BD162" i="34"/>
  <c r="AN716" i="34"/>
  <c r="AM880" i="34"/>
  <c r="AV463" i="34"/>
  <c r="BG422" i="34"/>
  <c r="AM834" i="34"/>
  <c r="AN23" i="34"/>
  <c r="AN1116" i="34"/>
  <c r="AM297" i="34"/>
  <c r="AN985" i="34"/>
  <c r="AV148" i="34"/>
  <c r="AM993" i="34"/>
  <c r="AV741" i="34"/>
  <c r="BD444" i="34"/>
  <c r="BG34" i="34"/>
  <c r="BD138" i="34"/>
  <c r="BD880" i="34"/>
  <c r="AV258" i="34"/>
  <c r="BD520" i="34"/>
  <c r="AV729" i="34"/>
  <c r="AY413" i="34"/>
  <c r="BD920" i="34"/>
  <c r="AN182" i="34"/>
  <c r="AU666" i="34"/>
  <c r="AM564" i="34"/>
  <c r="AM134" i="34"/>
  <c r="AN482" i="34"/>
  <c r="BD170" i="34"/>
  <c r="BD394" i="34"/>
  <c r="AN812" i="34"/>
  <c r="AQ119" i="34"/>
  <c r="BC396" i="34"/>
  <c r="AV361" i="34"/>
  <c r="AU630" i="34"/>
  <c r="BC663" i="34"/>
  <c r="AY417" i="34"/>
  <c r="AU629" i="34"/>
  <c r="BC367" i="34"/>
  <c r="AQ301" i="34"/>
  <c r="AV926" i="34"/>
  <c r="BD970" i="34"/>
  <c r="BG214" i="34"/>
  <c r="AU951" i="34"/>
  <c r="AM1097" i="34"/>
  <c r="AV28" i="34"/>
  <c r="AN333" i="34"/>
  <c r="AN513" i="34"/>
  <c r="BD631" i="34"/>
  <c r="BG40" i="34"/>
  <c r="AU487" i="34"/>
  <c r="BG168" i="34"/>
  <c r="BD809" i="34"/>
  <c r="AV794" i="34"/>
  <c r="BD687" i="34"/>
  <c r="AV415" i="34"/>
  <c r="BG396" i="34"/>
  <c r="AU627" i="34"/>
  <c r="AN869" i="34"/>
  <c r="AV1093" i="34"/>
  <c r="AY258" i="34"/>
  <c r="AQ275" i="34"/>
  <c r="AU569" i="34"/>
  <c r="AV587" i="34"/>
  <c r="AU326" i="34"/>
  <c r="BG275" i="34"/>
  <c r="BD516" i="34"/>
  <c r="AN679" i="34"/>
  <c r="BG477" i="34"/>
  <c r="AV994" i="34"/>
  <c r="BG417" i="34"/>
  <c r="AV582" i="34"/>
  <c r="AY92" i="34"/>
  <c r="AN339" i="34"/>
  <c r="AN800" i="34"/>
  <c r="BC968" i="34"/>
  <c r="AY50" i="34"/>
  <c r="BC571" i="34"/>
  <c r="AY212" i="34"/>
  <c r="AY489" i="34"/>
  <c r="AN631" i="34"/>
  <c r="AQ486" i="34"/>
  <c r="AM655" i="34"/>
  <c r="AU1095" i="34"/>
  <c r="BG175" i="34"/>
  <c r="AV444" i="34"/>
  <c r="AV621" i="34"/>
  <c r="BD194" i="34"/>
  <c r="BC714" i="34"/>
  <c r="AV732" i="34"/>
  <c r="BD795" i="34"/>
  <c r="AN1053" i="34"/>
  <c r="AN901" i="34"/>
  <c r="AU775" i="34"/>
  <c r="BD466" i="34"/>
  <c r="AM637" i="34"/>
  <c r="AQ428" i="34"/>
  <c r="BD979" i="34"/>
  <c r="BD699" i="34"/>
  <c r="AN1013" i="34"/>
  <c r="AM992" i="34"/>
  <c r="BC969" i="34"/>
  <c r="AV505" i="34"/>
  <c r="AU1034" i="34"/>
  <c r="AM70" i="34"/>
  <c r="BD548" i="34"/>
  <c r="AV409" i="34"/>
  <c r="BD465" i="34"/>
  <c r="BD725" i="34"/>
  <c r="AV719" i="34"/>
  <c r="AU233" i="34"/>
  <c r="BG58" i="34"/>
  <c r="AU475" i="34"/>
  <c r="BD291" i="34"/>
  <c r="BG71" i="34"/>
  <c r="AU604" i="34"/>
  <c r="AN578" i="34"/>
  <c r="AV895" i="34"/>
  <c r="AU874" i="34"/>
  <c r="BC45" i="34"/>
  <c r="AY294" i="34"/>
  <c r="AU783" i="34"/>
  <c r="AQ326" i="34"/>
  <c r="AN514" i="34"/>
  <c r="AU471" i="34"/>
  <c r="BD819" i="34"/>
  <c r="AV65" i="34"/>
  <c r="BC771" i="34"/>
  <c r="AV485" i="34"/>
  <c r="AV537" i="34"/>
  <c r="AM532" i="34"/>
  <c r="BC227" i="34"/>
  <c r="BG234" i="34"/>
  <c r="AY434" i="34"/>
  <c r="BD297" i="34"/>
  <c r="AN677" i="34"/>
  <c r="BC956" i="34"/>
  <c r="AQ184" i="34"/>
  <c r="AU508" i="34"/>
  <c r="AM661" i="34"/>
  <c r="AU598" i="34"/>
  <c r="AV653" i="34"/>
  <c r="AY210" i="34"/>
  <c r="AN309" i="34"/>
  <c r="AV637" i="34"/>
  <c r="AY453" i="34"/>
  <c r="BD836" i="34"/>
  <c r="AM1103" i="34"/>
  <c r="AN587" i="34"/>
  <c r="AQ144" i="34"/>
  <c r="AN479" i="34"/>
  <c r="AY466" i="34"/>
  <c r="AN983" i="34"/>
  <c r="AY197" i="34"/>
  <c r="AM116" i="34"/>
  <c r="AU983" i="34"/>
  <c r="AV1089" i="34"/>
  <c r="AV296" i="34"/>
  <c r="AU549" i="34"/>
  <c r="BC970" i="34"/>
  <c r="AQ163" i="34"/>
  <c r="AN230" i="34"/>
  <c r="BD159" i="34"/>
  <c r="AU817" i="34"/>
  <c r="BD305" i="34"/>
  <c r="AV530" i="34"/>
  <c r="AV118" i="34"/>
  <c r="AV800" i="34"/>
  <c r="AV851" i="34"/>
  <c r="AV571" i="34"/>
  <c r="BC829" i="34"/>
  <c r="AU967" i="34"/>
  <c r="BD812" i="34"/>
  <c r="AQ257" i="34"/>
  <c r="AM302" i="34"/>
  <c r="AU778" i="34"/>
  <c r="AY215" i="34"/>
  <c r="AV168" i="34"/>
  <c r="BD575" i="34"/>
  <c r="AV1120" i="34"/>
  <c r="AU579" i="34"/>
  <c r="AV868" i="34"/>
  <c r="AV473" i="34"/>
  <c r="AV811" i="34"/>
  <c r="AV212" i="34"/>
  <c r="AQ63" i="34"/>
  <c r="AY306" i="34"/>
  <c r="BC306" i="34"/>
  <c r="BC298" i="34"/>
  <c r="AV677" i="34"/>
  <c r="AY490" i="34"/>
  <c r="AN918" i="34"/>
  <c r="AM108" i="34"/>
  <c r="AY43" i="34"/>
  <c r="AY15" i="34"/>
  <c r="AV987" i="34"/>
  <c r="BD210" i="34"/>
  <c r="AV561" i="34"/>
  <c r="AV786" i="34"/>
  <c r="AQ27" i="34"/>
  <c r="BG161" i="34"/>
  <c r="AU650" i="34"/>
  <c r="AQ192" i="34"/>
  <c r="BD512" i="34"/>
  <c r="AN698" i="34"/>
  <c r="AU1049" i="34"/>
  <c r="BC804" i="34"/>
  <c r="BD613" i="34"/>
  <c r="BD268" i="34"/>
  <c r="BD504" i="34"/>
  <c r="AN871" i="34"/>
  <c r="BC631" i="34"/>
  <c r="BD109" i="34"/>
  <c r="AU860" i="34"/>
  <c r="BD595" i="34"/>
  <c r="AM568" i="34"/>
  <c r="AY391" i="34"/>
  <c r="BG469" i="34"/>
  <c r="AV613" i="34"/>
  <c r="AM790" i="34"/>
  <c r="AN735" i="34"/>
  <c r="BG472" i="34"/>
  <c r="AQ118" i="34"/>
  <c r="AY276" i="34"/>
  <c r="AN276" i="34"/>
  <c r="BD711" i="34"/>
  <c r="AV71" i="34"/>
  <c r="AV1029" i="34"/>
  <c r="BD398" i="34"/>
  <c r="BD525" i="34"/>
  <c r="BD1108" i="34"/>
  <c r="AN365" i="34"/>
  <c r="AN410" i="34"/>
  <c r="AQ204" i="34"/>
  <c r="AM470" i="34"/>
  <c r="BD682" i="34"/>
  <c r="AM800" i="34"/>
  <c r="AV256" i="34"/>
  <c r="AV69" i="34"/>
  <c r="AM322" i="34"/>
  <c r="AM606" i="34"/>
  <c r="BD388" i="34"/>
  <c r="AY109" i="34"/>
  <c r="AV533" i="34"/>
  <c r="AN287" i="34"/>
  <c r="AV1034" i="34"/>
  <c r="BC1087" i="34"/>
  <c r="AV743" i="34"/>
  <c r="AV778" i="34"/>
  <c r="AU1028" i="34"/>
  <c r="AN440" i="34"/>
  <c r="AU826" i="34"/>
  <c r="AV1051" i="34"/>
  <c r="AM1114" i="34"/>
  <c r="AY482" i="34"/>
  <c r="BD900" i="34"/>
  <c r="AU674" i="34"/>
  <c r="BD72" i="34"/>
  <c r="BG261" i="34"/>
  <c r="AN490" i="34"/>
  <c r="AV42" i="34"/>
  <c r="AV175" i="34"/>
  <c r="BG135" i="34"/>
  <c r="AV634" i="34"/>
  <c r="AV862" i="34"/>
  <c r="BD930" i="34"/>
  <c r="AY428" i="34"/>
  <c r="AY91" i="34"/>
  <c r="BC747" i="34"/>
  <c r="BD591" i="34"/>
  <c r="BD408" i="34"/>
  <c r="AN114" i="34"/>
  <c r="AU781" i="34"/>
  <c r="AM538" i="34"/>
  <c r="BD368" i="34"/>
  <c r="AM507" i="34"/>
  <c r="AY111" i="34"/>
  <c r="BD660" i="34"/>
  <c r="BD837" i="34"/>
  <c r="AU134" i="34"/>
  <c r="AV672" i="34"/>
  <c r="AV441" i="34"/>
  <c r="BD227" i="34"/>
  <c r="AN620" i="34"/>
  <c r="AV615" i="34"/>
  <c r="AN512" i="34"/>
  <c r="BD550" i="34"/>
  <c r="AQ172" i="34"/>
  <c r="AN583" i="34"/>
  <c r="AQ466" i="34"/>
  <c r="AM162" i="34"/>
  <c r="AV388" i="34"/>
  <c r="BD42" i="34"/>
  <c r="BG65" i="34"/>
  <c r="AV1088" i="34"/>
  <c r="BG335" i="34"/>
  <c r="BD868" i="34"/>
  <c r="AY234" i="34"/>
  <c r="BC54" i="34"/>
  <c r="AU554" i="34"/>
  <c r="BG350" i="34"/>
  <c r="AU800" i="34"/>
  <c r="BD106" i="34"/>
  <c r="AY227" i="34"/>
  <c r="AU473" i="34"/>
  <c r="BD632" i="34"/>
  <c r="AN830" i="34"/>
  <c r="AV812" i="34"/>
  <c r="AV476" i="34"/>
  <c r="BD807" i="34"/>
  <c r="BG211" i="34"/>
  <c r="AN516" i="34"/>
  <c r="BD545" i="34"/>
  <c r="AV611" i="34"/>
  <c r="AM198" i="34"/>
  <c r="BC798" i="34"/>
  <c r="BC93" i="34"/>
  <c r="AV890" i="34"/>
  <c r="BG385" i="34"/>
  <c r="AV508" i="34"/>
  <c r="AV626" i="34"/>
  <c r="AM572" i="34"/>
  <c r="AV651" i="34"/>
  <c r="AU1017" i="34"/>
  <c r="AV939" i="34"/>
  <c r="BC757" i="34"/>
  <c r="AY270" i="34"/>
  <c r="AV919" i="34"/>
  <c r="AM304" i="34"/>
  <c r="AN813" i="34"/>
  <c r="AN1086" i="34"/>
  <c r="AY211" i="34"/>
  <c r="BC41" i="34"/>
  <c r="AM515" i="34"/>
  <c r="AN751" i="34"/>
  <c r="BD931" i="34"/>
  <c r="AN811" i="34"/>
  <c r="BG413" i="34"/>
  <c r="AV106" i="34"/>
  <c r="AU993" i="34"/>
  <c r="AM274" i="34"/>
  <c r="BD994" i="34"/>
  <c r="AQ114" i="34"/>
  <c r="AN286" i="34"/>
  <c r="AV577" i="34"/>
  <c r="AN756" i="34"/>
  <c r="AV115" i="34"/>
  <c r="AN999" i="34"/>
  <c r="BG480" i="34"/>
  <c r="AV151" i="34"/>
  <c r="BD602" i="34"/>
  <c r="BD789" i="34"/>
  <c r="AM1053" i="34"/>
  <c r="AQ390" i="34"/>
  <c r="AM635" i="34"/>
  <c r="BD476" i="34"/>
  <c r="AQ461" i="34"/>
  <c r="AM931" i="34"/>
  <c r="AN1025" i="34"/>
  <c r="AY266" i="34"/>
  <c r="AV627" i="34"/>
  <c r="AV816" i="34"/>
  <c r="AV809" i="34"/>
  <c r="AM1046" i="34"/>
  <c r="AV353" i="34"/>
  <c r="AM881" i="34"/>
  <c r="AY247" i="34"/>
  <c r="AQ292" i="34"/>
  <c r="BC621" i="34"/>
  <c r="BC936" i="34"/>
  <c r="AV219" i="34"/>
  <c r="BG201" i="34"/>
  <c r="BC626" i="34"/>
  <c r="BG418" i="34"/>
  <c r="AU880" i="34"/>
  <c r="AM109" i="34"/>
  <c r="BD501" i="34"/>
  <c r="BD198" i="34"/>
  <c r="AU835" i="34"/>
  <c r="AY102" i="34"/>
  <c r="BD827" i="34"/>
  <c r="AV24" i="34"/>
  <c r="AU1091" i="34"/>
  <c r="AN676" i="34"/>
  <c r="AN704" i="34"/>
  <c r="BD541" i="34"/>
  <c r="AN173" i="34"/>
  <c r="AU371" i="34"/>
  <c r="BG164" i="34"/>
  <c r="AU677" i="34"/>
  <c r="AV232" i="34"/>
  <c r="AN428" i="34"/>
  <c r="AN197" i="34"/>
  <c r="AY469" i="34"/>
  <c r="AQ424" i="34"/>
  <c r="AV799" i="34"/>
  <c r="BD858" i="34"/>
  <c r="BD410" i="34"/>
  <c r="AM31" i="34"/>
  <c r="AM583" i="34"/>
  <c r="AM398" i="34"/>
  <c r="BD279" i="34"/>
  <c r="AU879" i="34"/>
  <c r="AV335" i="34"/>
  <c r="BD787" i="34"/>
  <c r="BG357" i="34"/>
  <c r="BC574" i="34"/>
  <c r="BD941" i="34"/>
  <c r="BD485" i="34"/>
  <c r="BG393" i="34"/>
  <c r="AV952" i="34"/>
  <c r="AN507" i="34"/>
  <c r="BD871" i="34"/>
  <c r="AM831" i="34"/>
  <c r="BC187" i="34"/>
  <c r="BD624" i="34"/>
  <c r="BD255" i="34"/>
  <c r="AN948" i="34"/>
  <c r="AY188" i="34"/>
  <c r="AV960" i="34"/>
  <c r="BD437" i="34"/>
  <c r="BD208" i="34"/>
  <c r="AN222" i="34"/>
  <c r="AM303" i="34"/>
  <c r="AV855" i="34"/>
  <c r="AU578" i="34"/>
  <c r="AM688" i="34"/>
  <c r="AU992" i="34"/>
  <c r="BD596" i="34"/>
  <c r="AV286" i="34"/>
  <c r="AN1089" i="34"/>
  <c r="AY463" i="34"/>
  <c r="AM69" i="34"/>
  <c r="BD755" i="34"/>
  <c r="BD224" i="34"/>
  <c r="BD441" i="34"/>
  <c r="AN154" i="34"/>
  <c r="BD1082" i="34"/>
  <c r="AQ128" i="34"/>
  <c r="AN970" i="34"/>
  <c r="BC304" i="34"/>
  <c r="AU1041" i="34"/>
  <c r="AM756" i="34"/>
  <c r="BD299" i="34"/>
  <c r="AN596" i="34"/>
  <c r="BD122" i="34"/>
  <c r="AU1027" i="34"/>
  <c r="AU547" i="34"/>
  <c r="AN67" i="34"/>
  <c r="BD405" i="34"/>
  <c r="BG272" i="34"/>
  <c r="AN567" i="34"/>
  <c r="AN981" i="34"/>
  <c r="AV567" i="34"/>
  <c r="BG115" i="34"/>
  <c r="BC1117" i="34"/>
  <c r="AY310" i="34"/>
  <c r="AY491" i="34"/>
  <c r="AN1050" i="34"/>
  <c r="AN400" i="34"/>
  <c r="BG429" i="34"/>
  <c r="BG212" i="34"/>
  <c r="AQ362" i="34"/>
  <c r="BC586" i="34"/>
  <c r="AM344" i="34"/>
  <c r="AV749" i="34"/>
  <c r="BD524" i="34"/>
  <c r="AM531" i="34"/>
  <c r="AN123" i="34"/>
  <c r="AM466" i="34"/>
  <c r="BC1064" i="34"/>
  <c r="AM981" i="34"/>
  <c r="AN987" i="34"/>
  <c r="AY235" i="34"/>
  <c r="AM999" i="34"/>
  <c r="AV188" i="34"/>
  <c r="AV958" i="34"/>
  <c r="AM698" i="34"/>
  <c r="AV146" i="34"/>
  <c r="AU491" i="34"/>
  <c r="AV1086" i="34"/>
  <c r="AM271" i="34"/>
  <c r="AN781" i="34"/>
  <c r="AN610" i="34"/>
  <c r="BC957" i="34"/>
  <c r="AY143" i="34"/>
  <c r="AU804" i="34"/>
  <c r="AQ165" i="34"/>
  <c r="AV1002" i="34"/>
  <c r="BD160" i="34"/>
  <c r="AV878" i="34"/>
  <c r="AV163" i="34"/>
  <c r="AN671" i="34"/>
  <c r="AM691" i="34"/>
  <c r="BD951" i="34"/>
  <c r="AY267" i="34"/>
  <c r="AV560" i="34"/>
  <c r="AU162" i="34"/>
  <c r="BD899" i="34"/>
  <c r="BD694" i="34"/>
  <c r="AU553" i="34"/>
  <c r="AM766" i="34"/>
  <c r="AN424" i="34"/>
  <c r="AN257" i="34"/>
  <c r="AV642" i="34"/>
  <c r="AN582" i="34"/>
  <c r="BD898" i="34"/>
  <c r="BD620" i="34"/>
  <c r="AN1004" i="34"/>
  <c r="AQ106" i="34"/>
  <c r="AV44" i="34"/>
  <c r="AN263" i="34"/>
  <c r="BC973" i="34"/>
  <c r="BD855" i="34"/>
  <c r="AQ280" i="34"/>
  <c r="AV454" i="34"/>
  <c r="AV131" i="34"/>
  <c r="AV953" i="34"/>
  <c r="AN41" i="34"/>
  <c r="BC475" i="34"/>
  <c r="BC399" i="34"/>
  <c r="AV169" i="34"/>
  <c r="AN416" i="34"/>
  <c r="AM511" i="34"/>
  <c r="AV904" i="34"/>
  <c r="BD686" i="34"/>
  <c r="BC653" i="34"/>
  <c r="AM674" i="34"/>
  <c r="AM722" i="34"/>
  <c r="AQ302" i="34"/>
  <c r="AV209" i="34"/>
  <c r="AY123" i="34"/>
  <c r="BD298" i="34"/>
  <c r="AN672" i="34"/>
  <c r="AY45" i="34"/>
  <c r="AU270" i="34"/>
  <c r="AM1052" i="34"/>
  <c r="AQ438" i="34"/>
  <c r="BC786" i="34"/>
  <c r="BC837" i="34"/>
  <c r="AM1030" i="34"/>
  <c r="BD57" i="34"/>
  <c r="BD953" i="34"/>
  <c r="BC476" i="34"/>
  <c r="BG465" i="34"/>
  <c r="AY301" i="34"/>
  <c r="BG229" i="34"/>
  <c r="AY441" i="34"/>
  <c r="BD220" i="34"/>
  <c r="BG292" i="34"/>
  <c r="AN328" i="34"/>
  <c r="BC372" i="34"/>
  <c r="AM771" i="34"/>
  <c r="BD650" i="34"/>
  <c r="AU333" i="34"/>
  <c r="BC274" i="34"/>
  <c r="AM471" i="34"/>
  <c r="AM53" i="34"/>
  <c r="AV599" i="34"/>
  <c r="AN575" i="34"/>
  <c r="BC579" i="34"/>
  <c r="BD777" i="34"/>
  <c r="AM541" i="34"/>
  <c r="AV848" i="34"/>
  <c r="AU646" i="34"/>
  <c r="BD1089" i="34"/>
  <c r="BD969" i="34"/>
  <c r="AU556" i="34"/>
  <c r="AV119" i="34"/>
  <c r="AM332" i="34"/>
  <c r="AY169" i="34"/>
  <c r="AN213" i="34"/>
  <c r="AU109" i="34"/>
  <c r="AV593" i="34"/>
  <c r="AM34" i="34"/>
  <c r="AU861" i="34"/>
  <c r="AN695" i="34"/>
  <c r="AQ232" i="34"/>
  <c r="BC594" i="34"/>
  <c r="BD936" i="34"/>
  <c r="AN463" i="34"/>
  <c r="BD51" i="34"/>
  <c r="AM192" i="34"/>
  <c r="BC1046" i="34"/>
  <c r="BD91" i="34"/>
  <c r="BD914" i="34"/>
  <c r="AV680" i="34"/>
  <c r="AN94" i="34"/>
  <c r="AU966" i="34"/>
  <c r="AN864" i="34"/>
  <c r="AV602" i="34"/>
  <c r="AU567" i="34"/>
  <c r="BD523" i="34"/>
  <c r="BD515" i="34"/>
  <c r="AN806" i="34"/>
  <c r="AM663" i="34"/>
  <c r="BD292" i="34"/>
  <c r="BD264" i="34"/>
  <c r="AU730" i="34"/>
  <c r="AQ34" i="34"/>
  <c r="BD1079" i="34"/>
  <c r="AN767" i="34"/>
  <c r="BD1120" i="34"/>
  <c r="AQ131" i="34"/>
  <c r="AN293" i="34"/>
  <c r="AV464" i="34"/>
  <c r="AU229" i="34"/>
  <c r="AU582" i="34"/>
  <c r="AU516" i="34"/>
  <c r="AY224" i="34"/>
  <c r="AV955" i="34"/>
  <c r="BD212" i="34"/>
  <c r="BD747" i="34"/>
  <c r="AV766" i="34"/>
  <c r="BD353" i="34"/>
  <c r="AV695" i="34"/>
  <c r="AU741" i="34"/>
  <c r="AV978" i="34"/>
  <c r="AU1047" i="34"/>
  <c r="BC400" i="34"/>
  <c r="BG308" i="34"/>
  <c r="AN585" i="34"/>
  <c r="AY350" i="34"/>
  <c r="AN133" i="34"/>
  <c r="BD1093" i="34"/>
  <c r="AV791" i="34"/>
  <c r="BD971" i="34"/>
  <c r="AN955" i="34"/>
  <c r="BC740" i="34"/>
  <c r="AM758" i="34"/>
  <c r="BG119" i="34"/>
  <c r="AN612" i="34"/>
  <c r="AM613" i="34"/>
  <c r="BC575" i="34"/>
  <c r="AY166" i="34"/>
  <c r="AV573" i="34"/>
  <c r="BC569" i="34"/>
  <c r="AY445" i="34"/>
  <c r="BC192" i="34"/>
  <c r="AN836" i="34"/>
  <c r="BD365" i="34"/>
  <c r="AY232" i="34"/>
  <c r="AY73" i="34"/>
  <c r="AN726" i="34"/>
  <c r="AN93" i="34"/>
  <c r="BC299" i="34"/>
  <c r="AQ235" i="34"/>
  <c r="AN147" i="34"/>
  <c r="AN651" i="34"/>
  <c r="AN719" i="34"/>
  <c r="BD345" i="34"/>
  <c r="AN165" i="34"/>
  <c r="AM324" i="34"/>
  <c r="AV983" i="34"/>
  <c r="BG301" i="34"/>
  <c r="AQ469" i="34"/>
  <c r="BC1085" i="34"/>
  <c r="AY16" i="34"/>
  <c r="BD128" i="34"/>
  <c r="AU160" i="34"/>
  <c r="AM275" i="34"/>
  <c r="BG391" i="34"/>
  <c r="AN786" i="34"/>
  <c r="BC189" i="34"/>
  <c r="BD874" i="34"/>
  <c r="AN128" i="34"/>
  <c r="BC612" i="34"/>
  <c r="AN663" i="34"/>
  <c r="AN302" i="34"/>
  <c r="BD355" i="34"/>
  <c r="AM718" i="34"/>
  <c r="AN954" i="34"/>
  <c r="AU782" i="34"/>
  <c r="BC578" i="34"/>
  <c r="BC199" i="34"/>
  <c r="BD786" i="34"/>
  <c r="BG247" i="34"/>
  <c r="AY218" i="34"/>
  <c r="AN534" i="34"/>
  <c r="AM634" i="34"/>
  <c r="AY98" i="34"/>
  <c r="BC329" i="34"/>
  <c r="AN1035" i="34"/>
  <c r="AM1109" i="34"/>
  <c r="AV14" i="34"/>
  <c r="AY120" i="34"/>
  <c r="AM660" i="34"/>
  <c r="AV1032" i="34"/>
  <c r="AY185" i="34"/>
  <c r="AM556" i="34"/>
  <c r="BD935" i="34"/>
  <c r="BD33" i="34"/>
  <c r="AN785" i="34"/>
  <c r="BD360" i="34"/>
  <c r="AN649" i="34"/>
  <c r="BD301" i="34"/>
  <c r="AM962" i="34"/>
  <c r="AN747" i="34"/>
  <c r="AN95" i="34"/>
  <c r="AU719" i="34"/>
  <c r="BD290" i="34"/>
  <c r="AV911" i="34"/>
  <c r="AV174" i="34"/>
  <c r="BD563" i="34"/>
  <c r="BD1015" i="34"/>
  <c r="BG349" i="34"/>
  <c r="BG230" i="34"/>
  <c r="BG448" i="34"/>
  <c r="AU586" i="34"/>
  <c r="AV945" i="34"/>
  <c r="AN492" i="34"/>
  <c r="AN1088" i="34"/>
  <c r="AQ169" i="34"/>
  <c r="BD197" i="34"/>
  <c r="BD567" i="34"/>
  <c r="BD688" i="34"/>
  <c r="BD334" i="34"/>
  <c r="AM71" i="34"/>
  <c r="BC522" i="34"/>
  <c r="BD728" i="34"/>
  <c r="AM969" i="34"/>
  <c r="BD960" i="34"/>
  <c r="AQ449" i="34"/>
  <c r="AV104" i="34"/>
  <c r="AY349" i="34"/>
  <c r="BD214" i="34"/>
  <c r="BD419" i="34"/>
  <c r="BD716" i="34"/>
  <c r="BC658" i="34"/>
  <c r="BC1047" i="34"/>
  <c r="AN42" i="34"/>
  <c r="AQ327" i="34"/>
  <c r="AM928" i="34"/>
  <c r="AV877" i="34"/>
  <c r="BG186" i="34"/>
  <c r="AV73" i="34"/>
  <c r="AN526" i="34"/>
  <c r="AN70" i="34"/>
  <c r="BC1027" i="34"/>
  <c r="AN964" i="34"/>
  <c r="BD950" i="34"/>
  <c r="AM508" i="34"/>
  <c r="AU107" i="34"/>
  <c r="AN762" i="34"/>
  <c r="AQ146" i="34"/>
  <c r="AM679" i="34"/>
  <c r="BD1083" i="34"/>
  <c r="AV738" i="34"/>
  <c r="AM720" i="34"/>
  <c r="AN691" i="34"/>
  <c r="BD435" i="34"/>
  <c r="AN48" i="34"/>
  <c r="AN765" i="34"/>
  <c r="AM523" i="34"/>
  <c r="AM1062" i="34"/>
  <c r="BD937" i="34"/>
  <c r="AY168" i="34"/>
  <c r="AM528" i="34"/>
  <c r="AU511" i="34"/>
  <c r="AN975" i="34"/>
  <c r="AN598" i="34"/>
  <c r="AN486" i="34"/>
  <c r="AM785" i="34"/>
  <c r="AU167" i="34"/>
  <c r="AM630" i="34"/>
  <c r="AV208" i="34"/>
  <c r="BD742" i="34"/>
  <c r="AN685" i="34"/>
  <c r="BG467" i="34"/>
  <c r="BD783" i="34"/>
  <c r="AN97" i="34"/>
  <c r="AN605" i="34"/>
  <c r="BD67" i="34"/>
  <c r="BC613" i="34"/>
  <c r="AN337" i="34"/>
  <c r="AN539" i="34"/>
  <c r="BC997" i="34"/>
  <c r="AV1023" i="34"/>
  <c r="AN627" i="34"/>
  <c r="BD802" i="34"/>
  <c r="AQ267" i="34"/>
  <c r="BD1063" i="34"/>
  <c r="AU831" i="34"/>
  <c r="AM678" i="34"/>
  <c r="BD614" i="34"/>
  <c r="BD547" i="34"/>
  <c r="BD637" i="34"/>
  <c r="AQ491" i="34"/>
  <c r="BG491" i="34"/>
  <c r="BG492" i="34"/>
  <c r="AO678" i="34" l="1"/>
  <c r="AP678" i="34"/>
  <c r="AW831" i="34"/>
  <c r="AX831" i="34"/>
  <c r="AQ253" i="34"/>
  <c r="BF997" i="34"/>
  <c r="BE997" i="34"/>
  <c r="BE613" i="34"/>
  <c r="BF613" i="34"/>
  <c r="AP630" i="34"/>
  <c r="AO630" i="34"/>
  <c r="BA167" i="34"/>
  <c r="AZ167" i="34"/>
  <c r="AW167" i="34"/>
  <c r="AX167" i="34"/>
  <c r="AP785" i="34"/>
  <c r="AO785" i="34"/>
  <c r="AX511" i="34"/>
  <c r="AW511" i="34"/>
  <c r="AO528" i="34"/>
  <c r="AP528" i="34"/>
  <c r="AP1062" i="34"/>
  <c r="AO1062" i="34"/>
  <c r="AP523" i="34"/>
  <c r="AO523" i="34"/>
  <c r="AP720" i="34"/>
  <c r="AO720" i="34"/>
  <c r="AP679" i="34"/>
  <c r="AO679" i="34"/>
  <c r="AZ107" i="34"/>
  <c r="AW107" i="34"/>
  <c r="BA107" i="34"/>
  <c r="AX107" i="34"/>
  <c r="AP508" i="34"/>
  <c r="AO508" i="34"/>
  <c r="BF1027" i="34"/>
  <c r="BE1027" i="34"/>
  <c r="AO928" i="34"/>
  <c r="AP928" i="34"/>
  <c r="AQ318" i="34"/>
  <c r="BF1047" i="34"/>
  <c r="BE1047" i="34"/>
  <c r="BE658" i="34"/>
  <c r="BF658" i="34"/>
  <c r="BD420" i="34"/>
  <c r="AP969" i="34"/>
  <c r="AO969" i="34"/>
  <c r="BF522" i="34"/>
  <c r="BE522" i="34"/>
  <c r="AP71" i="34"/>
  <c r="AR71" i="34"/>
  <c r="AO71" i="34"/>
  <c r="AS71" i="34"/>
  <c r="AW586" i="34"/>
  <c r="AX586" i="34"/>
  <c r="AX719" i="34"/>
  <c r="AW719" i="34"/>
  <c r="AN96" i="34"/>
  <c r="AP962" i="34"/>
  <c r="AO962" i="34"/>
  <c r="BD359" i="34"/>
  <c r="AO556" i="34"/>
  <c r="AP556" i="34"/>
  <c r="AY181" i="34"/>
  <c r="AP660" i="34"/>
  <c r="AO660" i="34"/>
  <c r="AV1472" i="34"/>
  <c r="AV20" i="34"/>
  <c r="AO1109" i="34"/>
  <c r="AP1109" i="34"/>
  <c r="BH329" i="34"/>
  <c r="BE329" i="34"/>
  <c r="BI329" i="34"/>
  <c r="BF329" i="34"/>
  <c r="BC320" i="34"/>
  <c r="AP634" i="34"/>
  <c r="AO634" i="34"/>
  <c r="BI199" i="34"/>
  <c r="BE199" i="34"/>
  <c r="BF199" i="34"/>
  <c r="BH199" i="34"/>
  <c r="BE578" i="34"/>
  <c r="BF578" i="34"/>
  <c r="AW782" i="34"/>
  <c r="AX782" i="34"/>
  <c r="AO718" i="34"/>
  <c r="AP718" i="34"/>
  <c r="BF612" i="34"/>
  <c r="BE612" i="34"/>
  <c r="AN125" i="34"/>
  <c r="BF189" i="34"/>
  <c r="BE189" i="34"/>
  <c r="BI189" i="34"/>
  <c r="BH189" i="34"/>
  <c r="BG382" i="34"/>
  <c r="AS275" i="34"/>
  <c r="AO275" i="34"/>
  <c r="AP275" i="34"/>
  <c r="AR275" i="34"/>
  <c r="AW160" i="34"/>
  <c r="AX160" i="34"/>
  <c r="BA160" i="34"/>
  <c r="AZ160" i="34"/>
  <c r="BD125" i="34"/>
  <c r="BF1085" i="34"/>
  <c r="BE1085" i="34"/>
  <c r="AR324" i="34"/>
  <c r="AO324" i="34"/>
  <c r="AP324" i="34"/>
  <c r="AS324" i="34"/>
  <c r="AM315" i="34"/>
  <c r="BE299" i="34"/>
  <c r="BI299" i="34"/>
  <c r="BH299" i="34"/>
  <c r="BF299" i="34"/>
  <c r="AP93" i="34"/>
  <c r="AO93" i="34"/>
  <c r="BE192" i="34"/>
  <c r="BH192" i="34"/>
  <c r="BF192" i="34"/>
  <c r="BI192" i="34"/>
  <c r="BF569" i="34"/>
  <c r="BE569" i="34"/>
  <c r="BF575" i="34"/>
  <c r="BE575" i="34"/>
  <c r="AO613" i="34"/>
  <c r="AP613" i="34"/>
  <c r="AP758" i="34"/>
  <c r="AO758" i="34"/>
  <c r="BE740" i="34"/>
  <c r="BF740" i="34"/>
  <c r="AN84" i="34"/>
  <c r="AN82" i="34" s="1"/>
  <c r="AN86" i="34" s="1"/>
  <c r="AN89" i="34" s="1"/>
  <c r="AP133" i="34"/>
  <c r="AO133" i="34"/>
  <c r="BE400" i="34"/>
  <c r="BF400" i="34"/>
  <c r="AW1047" i="34"/>
  <c r="AX1047" i="34"/>
  <c r="AX741" i="34"/>
  <c r="AW741" i="34"/>
  <c r="AX516" i="34"/>
  <c r="AW516" i="34"/>
  <c r="AW582" i="34"/>
  <c r="AX582" i="34"/>
  <c r="BA229" i="34"/>
  <c r="AZ229" i="34"/>
  <c r="AX229" i="34"/>
  <c r="AW229" i="34"/>
  <c r="AW730" i="34"/>
  <c r="AX730" i="34"/>
  <c r="BD250" i="34"/>
  <c r="AO663" i="34"/>
  <c r="AP663" i="34"/>
  <c r="AX567" i="34"/>
  <c r="AW567" i="34"/>
  <c r="AX966" i="34"/>
  <c r="AW966" i="34"/>
  <c r="BE1046" i="34"/>
  <c r="BF1046" i="34"/>
  <c r="AR192" i="34"/>
  <c r="AO192" i="34"/>
  <c r="AP192" i="34"/>
  <c r="AS192" i="34"/>
  <c r="BE594" i="34"/>
  <c r="BF594" i="34"/>
  <c r="AW861" i="34"/>
  <c r="AX861" i="34"/>
  <c r="AO34" i="34"/>
  <c r="AR34" i="34"/>
  <c r="AP34" i="34"/>
  <c r="AS34" i="34"/>
  <c r="AX109" i="34"/>
  <c r="AZ109" i="34"/>
  <c r="BA109" i="34"/>
  <c r="AW109" i="34"/>
  <c r="AS332" i="34"/>
  <c r="AR332" i="34"/>
  <c r="AP332" i="34"/>
  <c r="AO332" i="34"/>
  <c r="AX556" i="34"/>
  <c r="AW556" i="34"/>
  <c r="AW646" i="34"/>
  <c r="AX646" i="34"/>
  <c r="AO541" i="34"/>
  <c r="AP541" i="34"/>
  <c r="BF579" i="34"/>
  <c r="BE579" i="34"/>
  <c r="AR53" i="34"/>
  <c r="AO53" i="34"/>
  <c r="AP53" i="34"/>
  <c r="AS53" i="34"/>
  <c r="AS471" i="34"/>
  <c r="AO471" i="34"/>
  <c r="AR471" i="34"/>
  <c r="AP471" i="34"/>
  <c r="BH274" i="34"/>
  <c r="BF274" i="34"/>
  <c r="BI274" i="34"/>
  <c r="BE274" i="34"/>
  <c r="AW333" i="34"/>
  <c r="BA333" i="34"/>
  <c r="AX333" i="34"/>
  <c r="AZ333" i="34"/>
  <c r="AP771" i="34"/>
  <c r="AO771" i="34"/>
  <c r="BI372" i="34"/>
  <c r="BH372" i="34"/>
  <c r="BE372" i="34"/>
  <c r="BF372" i="34"/>
  <c r="AN319" i="34"/>
  <c r="BH476" i="34"/>
  <c r="BE476" i="34"/>
  <c r="BF476" i="34"/>
  <c r="BI476" i="34"/>
  <c r="AP1030" i="34"/>
  <c r="AO1030" i="34"/>
  <c r="BE837" i="34"/>
  <c r="BF837" i="34"/>
  <c r="BF786" i="34"/>
  <c r="BE786" i="34"/>
  <c r="AQ439" i="34"/>
  <c r="AQ90" i="34" s="1"/>
  <c r="AP1052" i="34"/>
  <c r="AO1052" i="34"/>
  <c r="AZ270" i="34"/>
  <c r="BA270" i="34"/>
  <c r="AX270" i="34"/>
  <c r="AW270" i="34"/>
  <c r="AY124" i="34"/>
  <c r="AY81" i="34"/>
  <c r="AP722" i="34"/>
  <c r="AO722" i="34"/>
  <c r="AO674" i="34"/>
  <c r="AP674" i="34"/>
  <c r="BE653" i="34"/>
  <c r="BF653" i="34"/>
  <c r="AP511" i="34"/>
  <c r="AO511" i="34"/>
  <c r="BE399" i="34"/>
  <c r="BF399" i="34"/>
  <c r="BE475" i="34"/>
  <c r="BI475" i="34"/>
  <c r="BF475" i="34"/>
  <c r="BH475" i="34"/>
  <c r="AV455" i="34"/>
  <c r="AV421" i="34" s="1"/>
  <c r="BE973" i="34"/>
  <c r="BF973" i="34"/>
  <c r="AN249" i="34"/>
  <c r="AQ80" i="34"/>
  <c r="AN243" i="34"/>
  <c r="AO766" i="34"/>
  <c r="AP766" i="34"/>
  <c r="AW553" i="34"/>
  <c r="AX553" i="34"/>
  <c r="BA162" i="34"/>
  <c r="AZ162" i="34"/>
  <c r="AW162" i="34"/>
  <c r="AX162" i="34"/>
  <c r="AY253" i="34"/>
  <c r="AP691" i="34"/>
  <c r="AO691" i="34"/>
  <c r="AW804" i="34"/>
  <c r="AX804" i="34"/>
  <c r="BE957" i="34"/>
  <c r="BF957" i="34"/>
  <c r="AO271" i="34"/>
  <c r="AS271" i="34"/>
  <c r="AP271" i="34"/>
  <c r="AR271" i="34"/>
  <c r="AW491" i="34"/>
  <c r="AX491" i="34"/>
  <c r="AZ491" i="34"/>
  <c r="BA491" i="34"/>
  <c r="AO698" i="34"/>
  <c r="AP698" i="34"/>
  <c r="AO999" i="34"/>
  <c r="AP999" i="34"/>
  <c r="AO981" i="34"/>
  <c r="AP981" i="34"/>
  <c r="BF1064" i="34"/>
  <c r="BE1064" i="34"/>
  <c r="AP466" i="34"/>
  <c r="AR466" i="34"/>
  <c r="AO466" i="34"/>
  <c r="AS466" i="34"/>
  <c r="AN124" i="34"/>
  <c r="AN81" i="34"/>
  <c r="AP531" i="34"/>
  <c r="AO531" i="34"/>
  <c r="AP344" i="34"/>
  <c r="AR344" i="34"/>
  <c r="AO344" i="34"/>
  <c r="AS344" i="34"/>
  <c r="BE586" i="34"/>
  <c r="BF586" i="34"/>
  <c r="AY311" i="34"/>
  <c r="BF1117" i="34"/>
  <c r="BE1117" i="34"/>
  <c r="BG273" i="34"/>
  <c r="AW547" i="34"/>
  <c r="AX547" i="34"/>
  <c r="AX1027" i="34"/>
  <c r="AW1027" i="34"/>
  <c r="AO756" i="34"/>
  <c r="AP756" i="34"/>
  <c r="AX1041" i="34"/>
  <c r="AW1041" i="34"/>
  <c r="BE304" i="34"/>
  <c r="BI304" i="34"/>
  <c r="BH304" i="34"/>
  <c r="BF304" i="34"/>
  <c r="AQ125" i="34"/>
  <c r="AP69" i="34"/>
  <c r="AS69" i="34"/>
  <c r="AR69" i="34"/>
  <c r="AO69" i="34"/>
  <c r="AX992" i="34"/>
  <c r="AW992" i="34"/>
  <c r="AO688" i="34"/>
  <c r="AP688" i="34"/>
  <c r="AW578" i="34"/>
  <c r="AX578" i="34"/>
  <c r="AR303" i="34"/>
  <c r="AP303" i="34"/>
  <c r="AO303" i="34"/>
  <c r="AS303" i="34"/>
  <c r="BD241" i="34"/>
  <c r="BE187" i="34"/>
  <c r="BF187" i="34"/>
  <c r="BI187" i="34"/>
  <c r="BH187" i="34"/>
  <c r="AP831" i="34"/>
  <c r="AO831" i="34"/>
  <c r="BE574" i="34"/>
  <c r="BF574" i="34"/>
  <c r="BG356" i="34"/>
  <c r="BG354" i="34" s="1"/>
  <c r="AV336" i="34"/>
  <c r="AW879" i="34"/>
  <c r="AX879" i="34"/>
  <c r="AO398" i="34"/>
  <c r="AP398" i="34"/>
  <c r="AO583" i="34"/>
  <c r="AP583" i="34"/>
  <c r="AS31" i="34"/>
  <c r="AP31" i="34"/>
  <c r="AO31" i="34"/>
  <c r="AR31" i="34"/>
  <c r="AX677" i="34"/>
  <c r="AW677" i="34"/>
  <c r="BA371" i="34"/>
  <c r="AW371" i="34"/>
  <c r="AZ371" i="34"/>
  <c r="AX371" i="34"/>
  <c r="AW1091" i="34"/>
  <c r="AX1091" i="34"/>
  <c r="AV25" i="34"/>
  <c r="AY79" i="34"/>
  <c r="AX835" i="34"/>
  <c r="AW835" i="34"/>
  <c r="AR109" i="34"/>
  <c r="AO109" i="34"/>
  <c r="AP109" i="34"/>
  <c r="AS109" i="34"/>
  <c r="AX880" i="34"/>
  <c r="AW880" i="34"/>
  <c r="BF626" i="34"/>
  <c r="BE626" i="34"/>
  <c r="BG202" i="34"/>
  <c r="BE936" i="34"/>
  <c r="BF936" i="34"/>
  <c r="BE621" i="34"/>
  <c r="BF621" i="34"/>
  <c r="AO881" i="34"/>
  <c r="AP881" i="34"/>
  <c r="AP1046" i="34"/>
  <c r="AO1046" i="34"/>
  <c r="AY252" i="34"/>
  <c r="AO931" i="34"/>
  <c r="AP931" i="34"/>
  <c r="AP635" i="34"/>
  <c r="AO635" i="34"/>
  <c r="AQ389" i="34"/>
  <c r="AQ381" i="34"/>
  <c r="AP1053" i="34"/>
  <c r="AO1053" i="34"/>
  <c r="AP274" i="34"/>
  <c r="AR274" i="34"/>
  <c r="AS274" i="34"/>
  <c r="AO274" i="34"/>
  <c r="AX993" i="34"/>
  <c r="AW993" i="34"/>
  <c r="AV80" i="34"/>
  <c r="AO515" i="34"/>
  <c r="AP515" i="34"/>
  <c r="BH41" i="34"/>
  <c r="BI41" i="34"/>
  <c r="BE41" i="34"/>
  <c r="BF41" i="34"/>
  <c r="AO304" i="34"/>
  <c r="AR304" i="34"/>
  <c r="AS304" i="34"/>
  <c r="AP304" i="34"/>
  <c r="BE757" i="34"/>
  <c r="BF757" i="34"/>
  <c r="AW1017" i="34"/>
  <c r="AX1017" i="34"/>
  <c r="AO572" i="34"/>
  <c r="AP572" i="34"/>
  <c r="BG376" i="34"/>
  <c r="BH93" i="34"/>
  <c r="BI93" i="34"/>
  <c r="BF93" i="34"/>
  <c r="BE93" i="34"/>
  <c r="BE798" i="34"/>
  <c r="BF798" i="34"/>
  <c r="AS198" i="34"/>
  <c r="AO198" i="34"/>
  <c r="AP198" i="34"/>
  <c r="AR198" i="34"/>
  <c r="BD544" i="34"/>
  <c r="AZ473" i="34"/>
  <c r="AW473" i="34"/>
  <c r="BA473" i="34"/>
  <c r="AX473" i="34"/>
  <c r="BD80" i="34"/>
  <c r="AX800" i="34"/>
  <c r="AW800" i="34"/>
  <c r="AX554" i="34"/>
  <c r="AW554" i="34"/>
  <c r="BH54" i="34"/>
  <c r="BF54" i="34"/>
  <c r="BE54" i="34"/>
  <c r="BI54" i="34"/>
  <c r="BG336" i="34"/>
  <c r="AV379" i="34"/>
  <c r="AO162" i="34"/>
  <c r="AP162" i="34"/>
  <c r="AR162" i="34"/>
  <c r="AS162" i="34"/>
  <c r="BA134" i="34"/>
  <c r="AU85" i="34"/>
  <c r="AW134" i="34"/>
  <c r="AX134" i="34"/>
  <c r="AZ134" i="34"/>
  <c r="AP507" i="34"/>
  <c r="AO507" i="34"/>
  <c r="AP538" i="34"/>
  <c r="AO538" i="34"/>
  <c r="AX781" i="34"/>
  <c r="AW781" i="34"/>
  <c r="BE747" i="34"/>
  <c r="BF747" i="34"/>
  <c r="BG136" i="34"/>
  <c r="AX674" i="34"/>
  <c r="AW674" i="34"/>
  <c r="AO1114" i="34"/>
  <c r="AP1114" i="34"/>
  <c r="AX826" i="34"/>
  <c r="AW826" i="34"/>
  <c r="AX1028" i="34"/>
  <c r="AW1028" i="34"/>
  <c r="BE1087" i="34"/>
  <c r="BF1087" i="34"/>
  <c r="BD379" i="34"/>
  <c r="AO606" i="34"/>
  <c r="AP606" i="34"/>
  <c r="AM313" i="34"/>
  <c r="AO322" i="34"/>
  <c r="AR322" i="34"/>
  <c r="AP322" i="34"/>
  <c r="AS322" i="34"/>
  <c r="AV242" i="34"/>
  <c r="AO800" i="34"/>
  <c r="AP800" i="34"/>
  <c r="AO470" i="34"/>
  <c r="AR470" i="34"/>
  <c r="AP470" i="34"/>
  <c r="AS470" i="34"/>
  <c r="AN277" i="34"/>
  <c r="AY277" i="34"/>
  <c r="AO790" i="34"/>
  <c r="AP790" i="34"/>
  <c r="AY382" i="34"/>
  <c r="AP568" i="34"/>
  <c r="AO568" i="34"/>
  <c r="AW860" i="34"/>
  <c r="AX860" i="34"/>
  <c r="BF631" i="34"/>
  <c r="BE631" i="34"/>
  <c r="BF804" i="34"/>
  <c r="BE804" i="34"/>
  <c r="AX1049" i="34"/>
  <c r="AW1049" i="34"/>
  <c r="AX650" i="34"/>
  <c r="AW650" i="34"/>
  <c r="AR108" i="34"/>
  <c r="AO108" i="34"/>
  <c r="AS108" i="34"/>
  <c r="AP108" i="34"/>
  <c r="BH298" i="34"/>
  <c r="BE298" i="34"/>
  <c r="BF298" i="34"/>
  <c r="BI298" i="34"/>
  <c r="BF306" i="34"/>
  <c r="BE306" i="34"/>
  <c r="BH306" i="34"/>
  <c r="BI306" i="34"/>
  <c r="AW579" i="34"/>
  <c r="AX579" i="34"/>
  <c r="AX778" i="34"/>
  <c r="AW778" i="34"/>
  <c r="AO302" i="34"/>
  <c r="AR302" i="34"/>
  <c r="AP302" i="34"/>
  <c r="AS302" i="34"/>
  <c r="AQ243" i="34"/>
  <c r="AX967" i="34"/>
  <c r="AW967" i="34"/>
  <c r="BF829" i="34"/>
  <c r="BE829" i="34"/>
  <c r="AX817" i="34"/>
  <c r="AW817" i="34"/>
  <c r="BE970" i="34"/>
  <c r="BF970" i="34"/>
  <c r="AW549" i="34"/>
  <c r="AX549" i="34"/>
  <c r="AW983" i="34"/>
  <c r="AX983" i="34"/>
  <c r="AS116" i="34"/>
  <c r="AP116" i="34"/>
  <c r="AR116" i="34"/>
  <c r="AO116" i="34"/>
  <c r="AP1103" i="34"/>
  <c r="AO1103" i="34"/>
  <c r="AW598" i="34"/>
  <c r="AX598" i="34"/>
  <c r="AP661" i="34"/>
  <c r="AO661" i="34"/>
  <c r="AW508" i="34"/>
  <c r="AX508" i="34"/>
  <c r="AQ180" i="34"/>
  <c r="BE956" i="34"/>
  <c r="BF956" i="34"/>
  <c r="BE227" i="34"/>
  <c r="BF227" i="34"/>
  <c r="BI227" i="34"/>
  <c r="BH227" i="34"/>
  <c r="AO532" i="34"/>
  <c r="AP532" i="34"/>
  <c r="BE771" i="34"/>
  <c r="BF771" i="34"/>
  <c r="AW471" i="34"/>
  <c r="BA471" i="34"/>
  <c r="AZ471" i="34"/>
  <c r="AX471" i="34"/>
  <c r="AQ317" i="34"/>
  <c r="AW783" i="34"/>
  <c r="AX783" i="34"/>
  <c r="BE45" i="34"/>
  <c r="BH45" i="34"/>
  <c r="BI45" i="34"/>
  <c r="BF45" i="34"/>
  <c r="AX874" i="34"/>
  <c r="AW874" i="34"/>
  <c r="AX604" i="34"/>
  <c r="AW604" i="34"/>
  <c r="AZ475" i="34"/>
  <c r="BA475" i="34"/>
  <c r="AX475" i="34"/>
  <c r="AW475" i="34"/>
  <c r="AW233" i="34"/>
  <c r="BA233" i="34"/>
  <c r="AZ233" i="34"/>
  <c r="AX233" i="34"/>
  <c r="AS70" i="34"/>
  <c r="AP70" i="34"/>
  <c r="AO70" i="34"/>
  <c r="AR70" i="34"/>
  <c r="AX1034" i="34"/>
  <c r="AW1034" i="34"/>
  <c r="BE969" i="34"/>
  <c r="BF969" i="34"/>
  <c r="AP992" i="34"/>
  <c r="AO992" i="34"/>
  <c r="AO637" i="34"/>
  <c r="AP637" i="34"/>
  <c r="AX775" i="34"/>
  <c r="AW775" i="34"/>
  <c r="BF714" i="34"/>
  <c r="BE714" i="34"/>
  <c r="BD195" i="34"/>
  <c r="AX1095" i="34"/>
  <c r="AW1095" i="34"/>
  <c r="AP655" i="34"/>
  <c r="AO655" i="34"/>
  <c r="BE571" i="34"/>
  <c r="BF571" i="34"/>
  <c r="BE968" i="34"/>
  <c r="BF968" i="34"/>
  <c r="AN340" i="34"/>
  <c r="AX326" i="34"/>
  <c r="AW326" i="34"/>
  <c r="BA326" i="34"/>
  <c r="AU317" i="34"/>
  <c r="AZ326" i="34"/>
  <c r="AX569" i="34"/>
  <c r="AW569" i="34"/>
  <c r="AY244" i="34"/>
  <c r="AX627" i="34"/>
  <c r="AW627" i="34"/>
  <c r="AW487" i="34"/>
  <c r="AZ487" i="34"/>
  <c r="AX487" i="34"/>
  <c r="BA487" i="34"/>
  <c r="AV29" i="34"/>
  <c r="AP1097" i="34"/>
  <c r="AO1097" i="34"/>
  <c r="AX951" i="34"/>
  <c r="AW951" i="34"/>
  <c r="BF367" i="34"/>
  <c r="BI367" i="34"/>
  <c r="BC366" i="34"/>
  <c r="BH367" i="34"/>
  <c r="BE367" i="34"/>
  <c r="AX629" i="34"/>
  <c r="AW629" i="34"/>
  <c r="BE663" i="34"/>
  <c r="BF663" i="34"/>
  <c r="AX630" i="34"/>
  <c r="AW630" i="34"/>
  <c r="BF396" i="34"/>
  <c r="BH396" i="34"/>
  <c r="BE396" i="34"/>
  <c r="BI396" i="34"/>
  <c r="AM85" i="34"/>
  <c r="AP134" i="34"/>
  <c r="AR134" i="34"/>
  <c r="AO134" i="34"/>
  <c r="AS134" i="34"/>
  <c r="AO564" i="34"/>
  <c r="AP564" i="34"/>
  <c r="AX666" i="34"/>
  <c r="AW666" i="34"/>
  <c r="AN178" i="34"/>
  <c r="AV244" i="34"/>
  <c r="BD88" i="34"/>
  <c r="AO993" i="34"/>
  <c r="AP993" i="34"/>
  <c r="AR297" i="34"/>
  <c r="AP297" i="34"/>
  <c r="AO297" i="34"/>
  <c r="AS297" i="34"/>
  <c r="AN1484" i="34"/>
  <c r="AP834" i="34"/>
  <c r="AO834" i="34"/>
  <c r="AP880" i="34"/>
  <c r="AO880" i="34"/>
  <c r="BE788" i="34"/>
  <c r="BF788" i="34"/>
  <c r="AO685" i="34"/>
  <c r="AP685" i="34"/>
  <c r="AQ379" i="34"/>
  <c r="AP292" i="34"/>
  <c r="AO292" i="34"/>
  <c r="AR292" i="34"/>
  <c r="AS292" i="34"/>
  <c r="AW734" i="34"/>
  <c r="AX734" i="34"/>
  <c r="AY314" i="34"/>
  <c r="AP938" i="34"/>
  <c r="AO938" i="34"/>
  <c r="AN126" i="34"/>
  <c r="AN273" i="34"/>
  <c r="BE65" i="34"/>
  <c r="BI65" i="34"/>
  <c r="BF65" i="34"/>
  <c r="BH65" i="34"/>
  <c r="AP1029" i="34"/>
  <c r="AO1029" i="34"/>
  <c r="AX936" i="34"/>
  <c r="AW936" i="34"/>
  <c r="AO837" i="34"/>
  <c r="AP837" i="34"/>
  <c r="AN136" i="34"/>
  <c r="BF787" i="34"/>
  <c r="BE787" i="34"/>
  <c r="AX328" i="34"/>
  <c r="BA328" i="34"/>
  <c r="AZ328" i="34"/>
  <c r="AU319" i="34"/>
  <c r="AW328" i="34"/>
  <c r="AP804" i="34"/>
  <c r="AO804" i="34"/>
  <c r="AP72" i="34"/>
  <c r="AO72" i="34"/>
  <c r="AS72" i="34"/>
  <c r="AR72" i="34"/>
  <c r="AX1094" i="34"/>
  <c r="AW1094" i="34"/>
  <c r="AP987" i="34"/>
  <c r="AO987" i="34"/>
  <c r="AY439" i="34"/>
  <c r="AY90" i="34" s="1"/>
  <c r="AX535" i="34"/>
  <c r="AW535" i="34"/>
  <c r="AS395" i="34"/>
  <c r="AO395" i="34"/>
  <c r="AR395" i="34"/>
  <c r="AP395" i="34"/>
  <c r="AX647" i="34"/>
  <c r="AW647" i="34"/>
  <c r="AP1120" i="34"/>
  <c r="AO1120" i="34"/>
  <c r="AX876" i="34"/>
  <c r="AW876" i="34"/>
  <c r="AR329" i="34"/>
  <c r="AS329" i="34"/>
  <c r="AO329" i="34"/>
  <c r="AM320" i="34"/>
  <c r="AP329" i="34"/>
  <c r="BF858" i="34"/>
  <c r="BE858" i="34"/>
  <c r="BF404" i="34"/>
  <c r="BE404" i="34"/>
  <c r="AP682" i="34"/>
  <c r="AO682" i="34"/>
  <c r="AS281" i="34"/>
  <c r="AP281" i="34"/>
  <c r="AR281" i="34"/>
  <c r="AO281" i="34"/>
  <c r="AX571" i="34"/>
  <c r="AW571" i="34"/>
  <c r="AW648" i="34"/>
  <c r="AX648" i="34"/>
  <c r="AW69" i="34"/>
  <c r="AZ69" i="34"/>
  <c r="AX69" i="34"/>
  <c r="BA69" i="34"/>
  <c r="BF768" i="34"/>
  <c r="BE768" i="34"/>
  <c r="BF606" i="34"/>
  <c r="BE606" i="34"/>
  <c r="AV252" i="34"/>
  <c r="BD127" i="34"/>
  <c r="AX474" i="34"/>
  <c r="AZ474" i="34"/>
  <c r="BA474" i="34"/>
  <c r="AW474" i="34"/>
  <c r="AO1063" i="34"/>
  <c r="AP1063" i="34"/>
  <c r="BI161" i="34"/>
  <c r="BF161" i="34"/>
  <c r="BH161" i="34"/>
  <c r="BE161" i="34"/>
  <c r="BG340" i="34"/>
  <c r="AW811" i="34"/>
  <c r="AX811" i="34"/>
  <c r="AX1058" i="34"/>
  <c r="AW1058" i="34"/>
  <c r="BD318" i="34"/>
  <c r="BA282" i="34"/>
  <c r="AZ282" i="34"/>
  <c r="AX282" i="34"/>
  <c r="AW282" i="34"/>
  <c r="AP939" i="34"/>
  <c r="AO939" i="34"/>
  <c r="AX595" i="34"/>
  <c r="AW595" i="34"/>
  <c r="AN88" i="34"/>
  <c r="AP88" i="34" s="1"/>
  <c r="AQ244" i="34"/>
  <c r="AO1018" i="34"/>
  <c r="AP1018" i="34"/>
  <c r="AW766" i="34"/>
  <c r="AX766" i="34"/>
  <c r="BG127" i="34"/>
  <c r="AV316" i="34"/>
  <c r="AP968" i="34"/>
  <c r="AO968" i="34"/>
  <c r="AP614" i="34"/>
  <c r="AO614" i="34"/>
  <c r="AY29" i="34"/>
  <c r="BG250" i="34"/>
  <c r="AO1108" i="34"/>
  <c r="AP1108" i="34"/>
  <c r="AW829" i="34"/>
  <c r="AX829" i="34"/>
  <c r="AW1054" i="34"/>
  <c r="AX1054" i="34"/>
  <c r="AP1060" i="34"/>
  <c r="AO1060" i="34"/>
  <c r="AP66" i="34"/>
  <c r="AO66" i="34"/>
  <c r="AX740" i="34"/>
  <c r="AW740" i="34"/>
  <c r="AV366" i="34"/>
  <c r="AV364" i="34" s="1"/>
  <c r="BG359" i="34"/>
  <c r="BF729" i="34"/>
  <c r="BE729" i="34"/>
  <c r="BA423" i="34"/>
  <c r="AZ423" i="34"/>
  <c r="AX423" i="34"/>
  <c r="AW423" i="34"/>
  <c r="AP1003" i="34"/>
  <c r="AO1003" i="34"/>
  <c r="BF668" i="34"/>
  <c r="BE668" i="34"/>
  <c r="AW669" i="34"/>
  <c r="AX669" i="34"/>
  <c r="BD18" i="34"/>
  <c r="AP400" i="34"/>
  <c r="AO400" i="34"/>
  <c r="AN317" i="34"/>
  <c r="AO643" i="34"/>
  <c r="AP643" i="34"/>
  <c r="AO1024" i="34"/>
  <c r="AP1024" i="34"/>
  <c r="BF630" i="34"/>
  <c r="BE630" i="34"/>
  <c r="AV126" i="34"/>
  <c r="AQ246" i="34"/>
  <c r="AW614" i="34"/>
  <c r="AX614" i="34"/>
  <c r="BI51" i="34"/>
  <c r="BE51" i="34"/>
  <c r="BH51" i="34"/>
  <c r="BF51" i="34"/>
  <c r="BD191" i="34"/>
  <c r="AP187" i="34"/>
  <c r="AR187" i="34"/>
  <c r="AS187" i="34"/>
  <c r="AO187" i="34"/>
  <c r="BE728" i="34"/>
  <c r="BF728" i="34"/>
  <c r="AM319" i="34"/>
  <c r="AP328" i="34"/>
  <c r="AS328" i="34"/>
  <c r="AO328" i="34"/>
  <c r="AR328" i="34"/>
  <c r="BF1018" i="34"/>
  <c r="BE1018" i="34"/>
  <c r="AP759" i="34"/>
  <c r="AO759" i="34"/>
  <c r="AO1040" i="34"/>
  <c r="AP1040" i="34"/>
  <c r="BE713" i="34"/>
  <c r="BF713" i="34"/>
  <c r="AO811" i="34"/>
  <c r="AP811" i="34"/>
  <c r="AV381" i="34"/>
  <c r="AV389" i="34"/>
  <c r="BD427" i="34"/>
  <c r="AP569" i="34"/>
  <c r="AO569" i="34"/>
  <c r="AX232" i="34"/>
  <c r="BA232" i="34"/>
  <c r="AZ232" i="34"/>
  <c r="AW232" i="34"/>
  <c r="BE1048" i="34"/>
  <c r="BF1048" i="34"/>
  <c r="BG191" i="34"/>
  <c r="AN1476" i="34"/>
  <c r="AV420" i="34"/>
  <c r="AX234" i="34"/>
  <c r="AZ234" i="34"/>
  <c r="AW234" i="34"/>
  <c r="BA234" i="34"/>
  <c r="AX531" i="34"/>
  <c r="AW531" i="34"/>
  <c r="AX997" i="34"/>
  <c r="AW997" i="34"/>
  <c r="AW225" i="34"/>
  <c r="BA225" i="34"/>
  <c r="AZ225" i="34"/>
  <c r="AX225" i="34"/>
  <c r="AW193" i="34"/>
  <c r="AX193" i="34"/>
  <c r="AZ193" i="34"/>
  <c r="BA193" i="34"/>
  <c r="AO514" i="34"/>
  <c r="AP514" i="34"/>
  <c r="AW1000" i="34"/>
  <c r="AX1000" i="34"/>
  <c r="AV191" i="34"/>
  <c r="AO783" i="34"/>
  <c r="AP783" i="34"/>
  <c r="BF506" i="34"/>
  <c r="BE506" i="34"/>
  <c r="AW756" i="34"/>
  <c r="AX756" i="34"/>
  <c r="AO665" i="34"/>
  <c r="AP665" i="34"/>
  <c r="AX269" i="34"/>
  <c r="BA269" i="34"/>
  <c r="AZ269" i="34"/>
  <c r="AW269" i="34"/>
  <c r="AP309" i="34"/>
  <c r="AR309" i="34"/>
  <c r="AO309" i="34"/>
  <c r="AS309" i="34"/>
  <c r="AX1022" i="34"/>
  <c r="AW1022" i="34"/>
  <c r="BH116" i="34"/>
  <c r="BI116" i="34"/>
  <c r="BF116" i="34"/>
  <c r="BE116" i="34"/>
  <c r="BG246" i="34"/>
  <c r="AR475" i="34"/>
  <c r="AP475" i="34"/>
  <c r="AS475" i="34"/>
  <c r="AO475" i="34"/>
  <c r="BE547" i="34"/>
  <c r="BF547" i="34"/>
  <c r="BI160" i="34"/>
  <c r="BH160" i="34"/>
  <c r="BE160" i="34"/>
  <c r="BF160" i="34"/>
  <c r="AO603" i="34"/>
  <c r="AP603" i="34"/>
  <c r="AN316" i="34"/>
  <c r="AX53" i="34"/>
  <c r="AW53" i="34"/>
  <c r="BA53" i="34"/>
  <c r="AZ53" i="34"/>
  <c r="AS46" i="34"/>
  <c r="AQ1483" i="34"/>
  <c r="AR46" i="34"/>
  <c r="AZ188" i="34"/>
  <c r="AW188" i="34"/>
  <c r="AX188" i="34"/>
  <c r="BA188" i="34"/>
  <c r="BF744" i="34"/>
  <c r="BE744" i="34"/>
  <c r="AP402" i="34"/>
  <c r="AO402" i="34"/>
  <c r="AX1084" i="34"/>
  <c r="AW1084" i="34"/>
  <c r="BE991" i="34"/>
  <c r="BF991" i="34"/>
  <c r="BF753" i="34"/>
  <c r="BE753" i="34"/>
  <c r="AQ18" i="34"/>
  <c r="BD251" i="34"/>
  <c r="BE1116" i="34"/>
  <c r="BF1116" i="34"/>
  <c r="BD96" i="34"/>
  <c r="AO821" i="34"/>
  <c r="AP821" i="34"/>
  <c r="AP1032" i="34"/>
  <c r="AO1032" i="34"/>
  <c r="AP168" i="34"/>
  <c r="AR168" i="34"/>
  <c r="AO168" i="34"/>
  <c r="AS168" i="34"/>
  <c r="BE643" i="34"/>
  <c r="BF643" i="34"/>
  <c r="BE49" i="34"/>
  <c r="BH49" i="34"/>
  <c r="BI49" i="34"/>
  <c r="BF49" i="34"/>
  <c r="AP293" i="34"/>
  <c r="AO293" i="34"/>
  <c r="AR293" i="34"/>
  <c r="AS293" i="34"/>
  <c r="AX590" i="34"/>
  <c r="AW590" i="34"/>
  <c r="AW1088" i="34"/>
  <c r="AX1088" i="34"/>
  <c r="BD81" i="34"/>
  <c r="BD124" i="34"/>
  <c r="AN1482" i="34"/>
  <c r="AV87" i="34"/>
  <c r="AQ376" i="34"/>
  <c r="BE780" i="34"/>
  <c r="BF780" i="34"/>
  <c r="BI32" i="34"/>
  <c r="BH32" i="34"/>
  <c r="BE32" i="34"/>
  <c r="BF32" i="34"/>
  <c r="BE232" i="34"/>
  <c r="BI232" i="34"/>
  <c r="BF232" i="34"/>
  <c r="BH232" i="34"/>
  <c r="AX612" i="34"/>
  <c r="AW612" i="34"/>
  <c r="AY239" i="34"/>
  <c r="BF993" i="34"/>
  <c r="BE993" i="34"/>
  <c r="BF482" i="34"/>
  <c r="BI482" i="34"/>
  <c r="BH482" i="34"/>
  <c r="BE482" i="34"/>
  <c r="BG253" i="34"/>
  <c r="BE511" i="34"/>
  <c r="BF511" i="34"/>
  <c r="AX690" i="34"/>
  <c r="AW690" i="34"/>
  <c r="BE572" i="34"/>
  <c r="BF572" i="34"/>
  <c r="BE344" i="34"/>
  <c r="BI344" i="34"/>
  <c r="BH344" i="34"/>
  <c r="BF344" i="34"/>
  <c r="AP618" i="34"/>
  <c r="AO618" i="34"/>
  <c r="AX878" i="34"/>
  <c r="AW878" i="34"/>
  <c r="AQ347" i="34"/>
  <c r="BE878" i="34"/>
  <c r="BF878" i="34"/>
  <c r="AX728" i="34"/>
  <c r="AW728" i="34"/>
  <c r="AZ334" i="34"/>
  <c r="AX334" i="34"/>
  <c r="AW334" i="34"/>
  <c r="BA334" i="34"/>
  <c r="BD336" i="34"/>
  <c r="AO958" i="34"/>
  <c r="AP958" i="34"/>
  <c r="BG125" i="34"/>
  <c r="AP465" i="34"/>
  <c r="AR465" i="34"/>
  <c r="AS465" i="34"/>
  <c r="AO465" i="34"/>
  <c r="AX934" i="34"/>
  <c r="AW934" i="34"/>
  <c r="AO1116" i="34"/>
  <c r="AP1116" i="34"/>
  <c r="AW812" i="34"/>
  <c r="AX812" i="34"/>
  <c r="AN1472" i="34"/>
  <c r="BA480" i="34"/>
  <c r="AZ480" i="34"/>
  <c r="AX480" i="34"/>
  <c r="AW480" i="34"/>
  <c r="BF647" i="34"/>
  <c r="BE647" i="34"/>
  <c r="AX1097" i="34"/>
  <c r="AW1097" i="34"/>
  <c r="AY336" i="34"/>
  <c r="AX822" i="34"/>
  <c r="AW822" i="34"/>
  <c r="AO1035" i="34"/>
  <c r="AP1035" i="34"/>
  <c r="AX1114" i="34"/>
  <c r="AW1114" i="34"/>
  <c r="AX308" i="34"/>
  <c r="AW308" i="34"/>
  <c r="BA308" i="34"/>
  <c r="AZ308" i="34"/>
  <c r="AO1012" i="34"/>
  <c r="AP1012" i="34"/>
  <c r="BF797" i="34"/>
  <c r="BE797" i="34"/>
  <c r="BF690" i="34"/>
  <c r="BE690" i="34"/>
  <c r="AP792" i="34"/>
  <c r="AO792" i="34"/>
  <c r="AO646" i="34"/>
  <c r="AP646" i="34"/>
  <c r="AX54" i="34"/>
  <c r="AZ54" i="34"/>
  <c r="AW54" i="34"/>
  <c r="BA54" i="34"/>
  <c r="AY241" i="34"/>
  <c r="BF523" i="34"/>
  <c r="BE523" i="34"/>
  <c r="AY379" i="34"/>
  <c r="BG447" i="34"/>
  <c r="BG278" i="34" s="1"/>
  <c r="AO45" i="34"/>
  <c r="AP45" i="34"/>
  <c r="AS45" i="34"/>
  <c r="AR45" i="34"/>
  <c r="AO708" i="34"/>
  <c r="AP708" i="34"/>
  <c r="AW972" i="34"/>
  <c r="AX972" i="34"/>
  <c r="AP337" i="34"/>
  <c r="AR337" i="34"/>
  <c r="AS337" i="34"/>
  <c r="AO337" i="34"/>
  <c r="AO955" i="34"/>
  <c r="AP955" i="34"/>
  <c r="BA198" i="34"/>
  <c r="AW198" i="34"/>
  <c r="AZ198" i="34"/>
  <c r="AX198" i="34"/>
  <c r="AR147" i="34"/>
  <c r="AS147" i="34"/>
  <c r="AP147" i="34"/>
  <c r="AO147" i="34"/>
  <c r="AX367" i="34"/>
  <c r="AZ367" i="34"/>
  <c r="BA367" i="34"/>
  <c r="AW367" i="34"/>
  <c r="AU366" i="34"/>
  <c r="BE951" i="34"/>
  <c r="BF951" i="34"/>
  <c r="AR232" i="34"/>
  <c r="AS232" i="34"/>
  <c r="AO232" i="34"/>
  <c r="AP232" i="34"/>
  <c r="BE988" i="34"/>
  <c r="BF988" i="34"/>
  <c r="AP839" i="34"/>
  <c r="AO839" i="34"/>
  <c r="AX962" i="34"/>
  <c r="AW962" i="34"/>
  <c r="BI52" i="34"/>
  <c r="BF52" i="34"/>
  <c r="BH52" i="34"/>
  <c r="BE52" i="34"/>
  <c r="BE684" i="34"/>
  <c r="BF684" i="34"/>
  <c r="AP345" i="34"/>
  <c r="AS345" i="34"/>
  <c r="AR345" i="34"/>
  <c r="AO345" i="34"/>
  <c r="AO940" i="34"/>
  <c r="AP940" i="34"/>
  <c r="AX557" i="34"/>
  <c r="AW557" i="34"/>
  <c r="BE992" i="34"/>
  <c r="BF992" i="34"/>
  <c r="BE514" i="34"/>
  <c r="BF514" i="34"/>
  <c r="AW940" i="34"/>
  <c r="AX940" i="34"/>
  <c r="AX744" i="34"/>
  <c r="AW744" i="34"/>
  <c r="AP575" i="34"/>
  <c r="AO575" i="34"/>
  <c r="BI326" i="34"/>
  <c r="BF326" i="34"/>
  <c r="BE326" i="34"/>
  <c r="BH326" i="34"/>
  <c r="BC317" i="34"/>
  <c r="AW714" i="34"/>
  <c r="AX714" i="34"/>
  <c r="BD248" i="34"/>
  <c r="AV1483" i="34"/>
  <c r="AP675" i="34"/>
  <c r="AO675" i="34"/>
  <c r="BE1109" i="34"/>
  <c r="BF1109" i="34"/>
  <c r="AW652" i="34"/>
  <c r="AX652" i="34"/>
  <c r="AV241" i="34"/>
  <c r="AW583" i="34"/>
  <c r="AX583" i="34"/>
  <c r="AY369" i="34"/>
  <c r="AX721" i="34"/>
  <c r="AW721" i="34"/>
  <c r="AV36" i="34"/>
  <c r="BE302" i="34"/>
  <c r="BH302" i="34"/>
  <c r="BF302" i="34"/>
  <c r="BI302" i="34"/>
  <c r="AP757" i="34"/>
  <c r="AO757" i="34"/>
  <c r="AZ481" i="34"/>
  <c r="BA481" i="34"/>
  <c r="AX481" i="34"/>
  <c r="AW481" i="34"/>
  <c r="AW1085" i="34"/>
  <c r="AX1085" i="34"/>
  <c r="AY1484" i="34"/>
  <c r="AO1028" i="34"/>
  <c r="AP1028" i="34"/>
  <c r="AP1033" i="34"/>
  <c r="AO1033" i="34"/>
  <c r="AW873" i="34"/>
  <c r="AX873" i="34"/>
  <c r="AW497" i="34"/>
  <c r="AX497" i="34"/>
  <c r="AW1018" i="34"/>
  <c r="AX1018" i="34"/>
  <c r="BA70" i="34"/>
  <c r="AW70" i="34"/>
  <c r="AX70" i="34"/>
  <c r="AZ70" i="34"/>
  <c r="AZ108" i="34"/>
  <c r="AW108" i="34"/>
  <c r="AX108" i="34"/>
  <c r="BA108" i="34"/>
  <c r="AO927" i="34"/>
  <c r="AP927" i="34"/>
  <c r="AN439" i="34"/>
  <c r="AN90" i="34" s="1"/>
  <c r="AN180" i="34"/>
  <c r="AO772" i="34"/>
  <c r="AP772" i="34"/>
  <c r="BH473" i="34"/>
  <c r="BE473" i="34"/>
  <c r="BF473" i="34"/>
  <c r="BI473" i="34"/>
  <c r="BG249" i="34"/>
  <c r="AO490" i="34"/>
  <c r="AP490" i="34"/>
  <c r="AR490" i="34"/>
  <c r="AS490" i="34"/>
  <c r="BE148" i="34"/>
  <c r="BF148" i="34"/>
  <c r="BH148" i="34"/>
  <c r="BI148" i="34"/>
  <c r="AS43" i="34"/>
  <c r="AR43" i="34"/>
  <c r="AP43" i="34"/>
  <c r="AO43" i="34"/>
  <c r="AO795" i="34"/>
  <c r="AP795" i="34"/>
  <c r="AO700" i="34"/>
  <c r="AP700" i="34"/>
  <c r="AW1026" i="34"/>
  <c r="AX1026" i="34"/>
  <c r="BE696" i="34"/>
  <c r="BF696" i="34"/>
  <c r="AW634" i="34"/>
  <c r="AX634" i="34"/>
  <c r="AP980" i="34"/>
  <c r="AO980" i="34"/>
  <c r="AX676" i="34"/>
  <c r="AW676" i="34"/>
  <c r="BE507" i="34"/>
  <c r="BF507" i="34"/>
  <c r="AV356" i="34"/>
  <c r="AV354" i="34" s="1"/>
  <c r="AQ1476" i="34"/>
  <c r="AV240" i="34"/>
  <c r="BF759" i="34"/>
  <c r="BE759" i="34"/>
  <c r="AP812" i="34"/>
  <c r="AO812" i="34"/>
  <c r="AO627" i="34"/>
  <c r="AP627" i="34"/>
  <c r="BA147" i="34"/>
  <c r="AZ147" i="34"/>
  <c r="AX147" i="34"/>
  <c r="AW147" i="34"/>
  <c r="BE806" i="34"/>
  <c r="BF806" i="34"/>
  <c r="BE983" i="34"/>
  <c r="BF983" i="34"/>
  <c r="AP234" i="34"/>
  <c r="AO234" i="34"/>
  <c r="AR234" i="34"/>
  <c r="AS234" i="34"/>
  <c r="AV374" i="34"/>
  <c r="AO973" i="34"/>
  <c r="AP973" i="34"/>
  <c r="AX729" i="34"/>
  <c r="AW729" i="34"/>
  <c r="AW602" i="34"/>
  <c r="AX602" i="34"/>
  <c r="AO729" i="34"/>
  <c r="AP729" i="34"/>
  <c r="AN177" i="34"/>
  <c r="AX839" i="34"/>
  <c r="AW839" i="34"/>
  <c r="AP1049" i="34"/>
  <c r="AO1049" i="34"/>
  <c r="AO132" i="34"/>
  <c r="AM83" i="34"/>
  <c r="AR132" i="34"/>
  <c r="AP132" i="34"/>
  <c r="AS132" i="34"/>
  <c r="AQ36" i="34"/>
  <c r="AP719" i="34"/>
  <c r="AO719" i="34"/>
  <c r="AX660" i="34"/>
  <c r="AW660" i="34"/>
  <c r="AQ383" i="34"/>
  <c r="AW682" i="34"/>
  <c r="AX682" i="34"/>
  <c r="AV1482" i="34"/>
  <c r="AP1005" i="34"/>
  <c r="AO1005" i="34"/>
  <c r="AZ304" i="34"/>
  <c r="AW304" i="34"/>
  <c r="BA304" i="34"/>
  <c r="AX304" i="34"/>
  <c r="AX807" i="34"/>
  <c r="AW807" i="34"/>
  <c r="AX575" i="34"/>
  <c r="AW575" i="34"/>
  <c r="AO50" i="34"/>
  <c r="AP50" i="34"/>
  <c r="AS50" i="34"/>
  <c r="AR50" i="34"/>
  <c r="AN252" i="34"/>
  <c r="BF503" i="34"/>
  <c r="BE503" i="34"/>
  <c r="BE987" i="34"/>
  <c r="BF987" i="34"/>
  <c r="BI466" i="34"/>
  <c r="BH466" i="34"/>
  <c r="BE466" i="34"/>
  <c r="BF466" i="34"/>
  <c r="AX963" i="34"/>
  <c r="AW963" i="34"/>
  <c r="BI418" i="34"/>
  <c r="BF418" i="34"/>
  <c r="BE418" i="34"/>
  <c r="BH418" i="34"/>
  <c r="AQ126" i="34"/>
  <c r="AP365" i="34"/>
  <c r="AS365" i="34"/>
  <c r="AO365" i="34"/>
  <c r="AR365" i="34"/>
  <c r="AY1483" i="34"/>
  <c r="BE322" i="34"/>
  <c r="BI322" i="34"/>
  <c r="BF322" i="34"/>
  <c r="BH322" i="34"/>
  <c r="BC313" i="34"/>
  <c r="AX836" i="34"/>
  <c r="AW836" i="34"/>
  <c r="AX684" i="34"/>
  <c r="AW684" i="34"/>
  <c r="AY246" i="34"/>
  <c r="AX618" i="34"/>
  <c r="AW618" i="34"/>
  <c r="BF688" i="34"/>
  <c r="BE688" i="34"/>
  <c r="BG243" i="34"/>
  <c r="AP589" i="34"/>
  <c r="AO589" i="34"/>
  <c r="AQ1477" i="34"/>
  <c r="AS343" i="34"/>
  <c r="AO343" i="34"/>
  <c r="AP343" i="34"/>
  <c r="AR343" i="34"/>
  <c r="AP617" i="34"/>
  <c r="AO617" i="34"/>
  <c r="BE660" i="34"/>
  <c r="BF660" i="34"/>
  <c r="AR480" i="34"/>
  <c r="AS480" i="34"/>
  <c r="AO480" i="34"/>
  <c r="AP480" i="34"/>
  <c r="BF474" i="34"/>
  <c r="BH474" i="34"/>
  <c r="BI474" i="34"/>
  <c r="BE474" i="34"/>
  <c r="BE815" i="34"/>
  <c r="BF815" i="34"/>
  <c r="AY317" i="34"/>
  <c r="AP677" i="34"/>
  <c r="AO677" i="34"/>
  <c r="AO704" i="34"/>
  <c r="AP704" i="34"/>
  <c r="AX303" i="34"/>
  <c r="AW303" i="34"/>
  <c r="BA303" i="34"/>
  <c r="AZ303" i="34"/>
  <c r="AO715" i="34"/>
  <c r="AP715" i="34"/>
  <c r="AX1012" i="34"/>
  <c r="AW1012" i="34"/>
  <c r="AO967" i="34"/>
  <c r="AP967" i="34"/>
  <c r="AY136" i="34"/>
  <c r="BG84" i="34"/>
  <c r="AO777" i="34"/>
  <c r="AP777" i="34"/>
  <c r="AO610" i="34"/>
  <c r="AP610" i="34"/>
  <c r="AX1116" i="34"/>
  <c r="AW1116" i="34"/>
  <c r="AX798" i="34"/>
  <c r="AW798" i="34"/>
  <c r="AP144" i="34"/>
  <c r="AS144" i="34"/>
  <c r="AO144" i="34"/>
  <c r="AR144" i="34"/>
  <c r="AW611" i="34"/>
  <c r="AX611" i="34"/>
  <c r="AO721" i="34"/>
  <c r="AP721" i="34"/>
  <c r="BH200" i="34"/>
  <c r="BE200" i="34"/>
  <c r="BI200" i="34"/>
  <c r="BF200" i="34"/>
  <c r="BE1033" i="34"/>
  <c r="BF1033" i="34"/>
  <c r="AP644" i="34"/>
  <c r="AO644" i="34"/>
  <c r="AO582" i="34"/>
  <c r="AP582" i="34"/>
  <c r="BD36" i="34"/>
  <c r="AV127" i="34"/>
  <c r="BG316" i="34"/>
  <c r="AO594" i="34"/>
  <c r="AP594" i="34"/>
  <c r="AX1019" i="34"/>
  <c r="AW1019" i="34"/>
  <c r="AP548" i="34"/>
  <c r="AO548" i="34"/>
  <c r="AX237" i="34"/>
  <c r="AZ237" i="34"/>
  <c r="BA237" i="34"/>
  <c r="AW237" i="34"/>
  <c r="AY366" i="34"/>
  <c r="AY364" i="34" s="1"/>
  <c r="AW777" i="34"/>
  <c r="AX777" i="34"/>
  <c r="BE1022" i="34"/>
  <c r="BF1022" i="34"/>
  <c r="BG1472" i="34"/>
  <c r="BD1484" i="34"/>
  <c r="AQ393" i="34"/>
  <c r="AQ427" i="34" s="1"/>
  <c r="AX986" i="34"/>
  <c r="AW986" i="34"/>
  <c r="BF934" i="34"/>
  <c r="BE934" i="34"/>
  <c r="BF627" i="34"/>
  <c r="BE627" i="34"/>
  <c r="BF587" i="34"/>
  <c r="BE587" i="34"/>
  <c r="BF1012" i="34"/>
  <c r="BE1012" i="34"/>
  <c r="AP418" i="34"/>
  <c r="AR418" i="34"/>
  <c r="AO418" i="34"/>
  <c r="AS418" i="34"/>
  <c r="AP921" i="34"/>
  <c r="AO921" i="34"/>
  <c r="AO829" i="34"/>
  <c r="AP829" i="34"/>
  <c r="AW633" i="34"/>
  <c r="AX633" i="34"/>
  <c r="AX810" i="34"/>
  <c r="AW810" i="34"/>
  <c r="BD314" i="34"/>
  <c r="AY202" i="34"/>
  <c r="AQ177" i="34"/>
  <c r="BF659" i="34"/>
  <c r="BE659" i="34"/>
  <c r="AO41" i="34"/>
  <c r="AS41" i="34"/>
  <c r="AR41" i="34"/>
  <c r="AP41" i="34"/>
  <c r="BE766" i="34"/>
  <c r="BF766" i="34"/>
  <c r="AP942" i="34"/>
  <c r="AO942" i="34"/>
  <c r="BF735" i="34"/>
  <c r="BE735" i="34"/>
  <c r="AW713" i="34"/>
  <c r="AX713" i="34"/>
  <c r="AP599" i="34"/>
  <c r="AO599" i="34"/>
  <c r="AO137" i="34"/>
  <c r="AM87" i="34"/>
  <c r="AO87" i="34" s="1"/>
  <c r="AP137" i="34"/>
  <c r="AS137" i="34"/>
  <c r="AR137" i="34"/>
  <c r="AO1095" i="34"/>
  <c r="AP1095" i="34"/>
  <c r="AY180" i="34"/>
  <c r="AW1048" i="34"/>
  <c r="AX1048" i="34"/>
  <c r="AO49" i="34"/>
  <c r="AS49" i="34"/>
  <c r="AP49" i="34"/>
  <c r="AR49" i="34"/>
  <c r="AX637" i="34"/>
  <c r="AW637" i="34"/>
  <c r="BE982" i="34"/>
  <c r="BF982" i="34"/>
  <c r="AX1033" i="34"/>
  <c r="AW1033" i="34"/>
  <c r="BF53" i="34"/>
  <c r="BH53" i="34"/>
  <c r="BI53" i="34"/>
  <c r="BE53" i="34"/>
  <c r="AW425" i="34"/>
  <c r="AX425" i="34"/>
  <c r="BA425" i="34"/>
  <c r="AZ425" i="34"/>
  <c r="BD240" i="34"/>
  <c r="AQ136" i="34"/>
  <c r="BG451" i="34"/>
  <c r="BG341" i="34" s="1"/>
  <c r="AY150" i="34"/>
  <c r="AY151" i="34" s="1"/>
  <c r="AQ81" i="34"/>
  <c r="AQ124" i="34"/>
  <c r="BE548" i="34"/>
  <c r="BF548" i="34"/>
  <c r="AP932" i="34"/>
  <c r="AO932" i="34"/>
  <c r="BH47" i="34"/>
  <c r="BI47" i="34"/>
  <c r="BF47" i="34"/>
  <c r="BE47" i="34"/>
  <c r="BF1104" i="34"/>
  <c r="BE1104" i="34"/>
  <c r="AP557" i="34"/>
  <c r="AO557" i="34"/>
  <c r="AV312" i="34"/>
  <c r="AQ312" i="34"/>
  <c r="AW926" i="34"/>
  <c r="AX926" i="34"/>
  <c r="AP787" i="34"/>
  <c r="AO787" i="34"/>
  <c r="AO622" i="34"/>
  <c r="AP622" i="34"/>
  <c r="AP578" i="34"/>
  <c r="AO578" i="34"/>
  <c r="AW1030" i="34"/>
  <c r="AX1030" i="34"/>
  <c r="BF700" i="34"/>
  <c r="BE700" i="34"/>
  <c r="AS487" i="34"/>
  <c r="AP487" i="34"/>
  <c r="AO487" i="34"/>
  <c r="AR487" i="34"/>
  <c r="AO94" i="34"/>
  <c r="AP94" i="34"/>
  <c r="AS94" i="34"/>
  <c r="AR94" i="34"/>
  <c r="AW752" i="34"/>
  <c r="AX752" i="34"/>
  <c r="BF70" i="34"/>
  <c r="BI70" i="34"/>
  <c r="BH70" i="34"/>
  <c r="BE70" i="34"/>
  <c r="BF738" i="34"/>
  <c r="BE738" i="34"/>
  <c r="AW645" i="34"/>
  <c r="AX645" i="34"/>
  <c r="AW294" i="34"/>
  <c r="BA294" i="34"/>
  <c r="AZ294" i="34"/>
  <c r="AX294" i="34"/>
  <c r="AS199" i="34"/>
  <c r="AR199" i="34"/>
  <c r="AP199" i="34"/>
  <c r="AO199" i="34"/>
  <c r="BI50" i="34"/>
  <c r="BE50" i="34"/>
  <c r="BF50" i="34"/>
  <c r="BH50" i="34"/>
  <c r="AX539" i="34"/>
  <c r="AW539" i="34"/>
  <c r="BH292" i="34"/>
  <c r="BI292" i="34"/>
  <c r="BE292" i="34"/>
  <c r="BF292" i="34"/>
  <c r="AN127" i="34"/>
  <c r="AS236" i="34"/>
  <c r="AR236" i="34"/>
  <c r="AP236" i="34"/>
  <c r="AO236" i="34"/>
  <c r="AP235" i="34"/>
  <c r="AR235" i="34"/>
  <c r="AS235" i="34"/>
  <c r="AO235" i="34"/>
  <c r="AO933" i="34"/>
  <c r="AP933" i="34"/>
  <c r="AW932" i="34"/>
  <c r="AX932" i="34"/>
  <c r="AV284" i="34"/>
  <c r="AP506" i="34"/>
  <c r="AO506" i="34"/>
  <c r="AO696" i="34"/>
  <c r="AP696" i="34"/>
  <c r="AV245" i="34"/>
  <c r="BG18" i="34"/>
  <c r="AP1015" i="34"/>
  <c r="AO1015" i="34"/>
  <c r="BE42" i="34"/>
  <c r="BH42" i="34"/>
  <c r="BI42" i="34"/>
  <c r="BF42" i="34"/>
  <c r="AU1483" i="34"/>
  <c r="AX46" i="34"/>
  <c r="AW46" i="34"/>
  <c r="BA46" i="34"/>
  <c r="AZ46" i="34"/>
  <c r="BI69" i="34"/>
  <c r="BE69" i="34"/>
  <c r="BH69" i="34"/>
  <c r="BF69" i="34"/>
  <c r="BE600" i="34"/>
  <c r="BF600" i="34"/>
  <c r="AP778" i="34"/>
  <c r="AO778" i="34"/>
  <c r="BE634" i="34"/>
  <c r="BF634" i="34"/>
  <c r="BF1004" i="34"/>
  <c r="BE1004" i="34"/>
  <c r="AW765" i="34"/>
  <c r="AX765" i="34"/>
  <c r="BF555" i="34"/>
  <c r="BE555" i="34"/>
  <c r="AX71" i="34"/>
  <c r="BA71" i="34"/>
  <c r="AW71" i="34"/>
  <c r="AZ71" i="34"/>
  <c r="AP534" i="34"/>
  <c r="AO534" i="34"/>
  <c r="AX688" i="34"/>
  <c r="AW688" i="34"/>
  <c r="AN455" i="34"/>
  <c r="AN421" i="34" s="1"/>
  <c r="AY318" i="34"/>
  <c r="BF650" i="34"/>
  <c r="BE650" i="34"/>
  <c r="BF835" i="34"/>
  <c r="BE835" i="34"/>
  <c r="AX548" i="34"/>
  <c r="AW548" i="34"/>
  <c r="BF1040" i="34"/>
  <c r="BE1040" i="34"/>
  <c r="AX722" i="34"/>
  <c r="AW722" i="34"/>
  <c r="AP714" i="34"/>
  <c r="AO714" i="34"/>
  <c r="AO491" i="34"/>
  <c r="AP491" i="34"/>
  <c r="AX235" i="34"/>
  <c r="BA235" i="34"/>
  <c r="AZ235" i="34"/>
  <c r="AW235" i="34"/>
  <c r="AP982" i="34"/>
  <c r="AO982" i="34"/>
  <c r="BF758" i="34"/>
  <c r="BE758" i="34"/>
  <c r="AP986" i="34"/>
  <c r="AO986" i="34"/>
  <c r="AP809" i="34"/>
  <c r="AO809" i="34"/>
  <c r="BG439" i="34"/>
  <c r="BG90" i="34" s="1"/>
  <c r="BF1035" i="34"/>
  <c r="BE1035" i="34"/>
  <c r="BF773" i="34"/>
  <c r="BE773" i="34"/>
  <c r="BF1030" i="34"/>
  <c r="BE1030" i="34"/>
  <c r="BE927" i="34"/>
  <c r="BF927" i="34"/>
  <c r="AP945" i="34"/>
  <c r="AO945" i="34"/>
  <c r="BE1059" i="34"/>
  <c r="BF1059" i="34"/>
  <c r="AP1085" i="34"/>
  <c r="AO1085" i="34"/>
  <c r="BE294" i="34"/>
  <c r="BF294" i="34"/>
  <c r="BH294" i="34"/>
  <c r="BI294" i="34"/>
  <c r="AP730" i="34"/>
  <c r="AO730" i="34"/>
  <c r="AV427" i="34"/>
  <c r="AP1027" i="34"/>
  <c r="AO1027" i="34"/>
  <c r="AW816" i="34"/>
  <c r="AX816" i="34"/>
  <c r="AQ369" i="34"/>
  <c r="AO555" i="34"/>
  <c r="AP555" i="34"/>
  <c r="AP780" i="34"/>
  <c r="AO780" i="34"/>
  <c r="BE563" i="34"/>
  <c r="BF563" i="34"/>
  <c r="AP399" i="34"/>
  <c r="AO399" i="34"/>
  <c r="AW697" i="34"/>
  <c r="AX697" i="34"/>
  <c r="BF800" i="34"/>
  <c r="BE800" i="34"/>
  <c r="BF334" i="34"/>
  <c r="BI334" i="34"/>
  <c r="BH334" i="34"/>
  <c r="BE334" i="34"/>
  <c r="BF709" i="34"/>
  <c r="BE709" i="34"/>
  <c r="BA236" i="34"/>
  <c r="AW236" i="34"/>
  <c r="AZ236" i="34"/>
  <c r="AX236" i="34"/>
  <c r="BE655" i="34"/>
  <c r="BF655" i="34"/>
  <c r="AX824" i="34"/>
  <c r="AW824" i="34"/>
  <c r="AP943" i="34"/>
  <c r="AO943" i="34"/>
  <c r="AO805" i="34"/>
  <c r="AP805" i="34"/>
  <c r="BG79" i="34"/>
  <c r="AQ316" i="34"/>
  <c r="BF799" i="34"/>
  <c r="BE799" i="34"/>
  <c r="AX708" i="34"/>
  <c r="AW708" i="34"/>
  <c r="AW92" i="34"/>
  <c r="AZ92" i="34"/>
  <c r="BA92" i="34"/>
  <c r="AX92" i="34"/>
  <c r="AX922" i="34"/>
  <c r="AW922" i="34"/>
  <c r="AM317" i="34"/>
  <c r="AO317" i="34" s="1"/>
  <c r="AP326" i="34"/>
  <c r="AS326" i="34"/>
  <c r="AO326" i="34"/>
  <c r="AR326" i="34"/>
  <c r="BD245" i="34"/>
  <c r="AN20" i="34"/>
  <c r="AS107" i="34"/>
  <c r="AO107" i="34"/>
  <c r="AR107" i="34"/>
  <c r="AP107" i="34"/>
  <c r="BD551" i="34"/>
  <c r="AO1092" i="34"/>
  <c r="AP1092" i="34"/>
  <c r="BF226" i="34"/>
  <c r="BI226" i="34"/>
  <c r="BE226" i="34"/>
  <c r="BH226" i="34"/>
  <c r="AZ296" i="34"/>
  <c r="AX296" i="34"/>
  <c r="AW296" i="34"/>
  <c r="BA296" i="34"/>
  <c r="AY245" i="34"/>
  <c r="BF879" i="34"/>
  <c r="BE879" i="34"/>
  <c r="AW970" i="34"/>
  <c r="AX970" i="34"/>
  <c r="BG96" i="34"/>
  <c r="AX814" i="34"/>
  <c r="AW814" i="34"/>
  <c r="BE730" i="34"/>
  <c r="BF730" i="34"/>
  <c r="BI193" i="34"/>
  <c r="BE193" i="34"/>
  <c r="BF193" i="34"/>
  <c r="BH193" i="34"/>
  <c r="AW510" i="34"/>
  <c r="AX510" i="34"/>
  <c r="AN80" i="34"/>
  <c r="AY177" i="34"/>
  <c r="BF694" i="34"/>
  <c r="BE694" i="34"/>
  <c r="AP608" i="34"/>
  <c r="AO608" i="34"/>
  <c r="AO567" i="34"/>
  <c r="AP567" i="34"/>
  <c r="AQ85" i="34"/>
  <c r="BF541" i="34"/>
  <c r="BE541" i="34"/>
  <c r="AW540" i="34"/>
  <c r="AX540" i="34"/>
  <c r="BF980" i="34"/>
  <c r="BE980" i="34"/>
  <c r="AW200" i="34"/>
  <c r="AZ200" i="34"/>
  <c r="AX200" i="34"/>
  <c r="BA200" i="34"/>
  <c r="BF940" i="34"/>
  <c r="BE940" i="34"/>
  <c r="AV313" i="34"/>
  <c r="AO584" i="34"/>
  <c r="AP584" i="34"/>
  <c r="BE1097" i="34"/>
  <c r="BF1097" i="34"/>
  <c r="BD319" i="34"/>
  <c r="AX991" i="34"/>
  <c r="AW991" i="34"/>
  <c r="AO956" i="34"/>
  <c r="AP956" i="34"/>
  <c r="AZ228" i="34"/>
  <c r="AX228" i="34"/>
  <c r="BA228" i="34"/>
  <c r="AW228" i="34"/>
  <c r="AO573" i="34"/>
  <c r="AP573" i="34"/>
  <c r="BE1029" i="34"/>
  <c r="BF1029" i="34"/>
  <c r="AY140" i="34"/>
  <c r="BF932" i="34"/>
  <c r="BE932" i="34"/>
  <c r="AX994" i="34"/>
  <c r="AW994" i="34"/>
  <c r="AW1109" i="34"/>
  <c r="AX1109" i="34"/>
  <c r="AP723" i="34"/>
  <c r="AO723" i="34"/>
  <c r="AW780" i="34"/>
  <c r="AX780" i="34"/>
  <c r="AQ87" i="34"/>
  <c r="AP492" i="34"/>
  <c r="AO492" i="34"/>
  <c r="AP188" i="34"/>
  <c r="AO188" i="34"/>
  <c r="AR188" i="34"/>
  <c r="AS188" i="34"/>
  <c r="BE777" i="34"/>
  <c r="BF777" i="34"/>
  <c r="AV178" i="34"/>
  <c r="AX482" i="34"/>
  <c r="BA482" i="34"/>
  <c r="AW482" i="34"/>
  <c r="AZ482" i="34"/>
  <c r="AW465" i="34"/>
  <c r="BA465" i="34"/>
  <c r="AX465" i="34"/>
  <c r="AZ465" i="34"/>
  <c r="AW1016" i="34"/>
  <c r="AX1016" i="34"/>
  <c r="AQ245" i="34"/>
  <c r="BA65" i="34"/>
  <c r="AW65" i="34"/>
  <c r="AZ65" i="34"/>
  <c r="AX65" i="34"/>
  <c r="AO1004" i="34"/>
  <c r="AP1004" i="34"/>
  <c r="BF395" i="34"/>
  <c r="BE395" i="34"/>
  <c r="BI395" i="34"/>
  <c r="BH395" i="34"/>
  <c r="AO579" i="34"/>
  <c r="AP579" i="34"/>
  <c r="BF343" i="34"/>
  <c r="BH343" i="34"/>
  <c r="BI343" i="34"/>
  <c r="BE343" i="34"/>
  <c r="AP858" i="34"/>
  <c r="AO858" i="34"/>
  <c r="AN79" i="34"/>
  <c r="BF874" i="34"/>
  <c r="BE874" i="34"/>
  <c r="AP963" i="34"/>
  <c r="AO963" i="34"/>
  <c r="AP753" i="34"/>
  <c r="AO753" i="34"/>
  <c r="BD451" i="34"/>
  <c r="BD341" i="34" s="1"/>
  <c r="AX698" i="34"/>
  <c r="AW698" i="34"/>
  <c r="AP590" i="34"/>
  <c r="AO590" i="34"/>
  <c r="BE686" i="34"/>
  <c r="BF686" i="34"/>
  <c r="AN381" i="34"/>
  <c r="AN389" i="34"/>
  <c r="BF610" i="34"/>
  <c r="BE610" i="34"/>
  <c r="AR294" i="34"/>
  <c r="AO294" i="34"/>
  <c r="AS294" i="34"/>
  <c r="AP294" i="34"/>
  <c r="BF328" i="34"/>
  <c r="BC319" i="34"/>
  <c r="BI328" i="34"/>
  <c r="BH328" i="34"/>
  <c r="BE328" i="34"/>
  <c r="BE599" i="34"/>
  <c r="BF599" i="34"/>
  <c r="AQ455" i="34"/>
  <c r="AQ421" i="34" s="1"/>
  <c r="AP668" i="34"/>
  <c r="AO668" i="34"/>
  <c r="BE532" i="34"/>
  <c r="BF532" i="34"/>
  <c r="BF836" i="34"/>
  <c r="BE836" i="34"/>
  <c r="AP983" i="34"/>
  <c r="AO983" i="34"/>
  <c r="AQ250" i="34"/>
  <c r="AQ1472" i="34"/>
  <c r="AW837" i="34"/>
  <c r="AX837" i="34"/>
  <c r="AX115" i="34"/>
  <c r="AZ115" i="34"/>
  <c r="AW115" i="34"/>
  <c r="BA115" i="34"/>
  <c r="BD83" i="34"/>
  <c r="AN386" i="34"/>
  <c r="AN378" i="34"/>
  <c r="AX955" i="34"/>
  <c r="AW955" i="34"/>
  <c r="AW931" i="34"/>
  <c r="AX931" i="34"/>
  <c r="AZ116" i="34"/>
  <c r="AX116" i="34"/>
  <c r="BA116" i="34"/>
  <c r="AW116" i="34"/>
  <c r="AR115" i="34"/>
  <c r="AP115" i="34"/>
  <c r="AS115" i="34"/>
  <c r="AO115" i="34"/>
  <c r="BG319" i="34"/>
  <c r="AR228" i="34"/>
  <c r="AS228" i="34"/>
  <c r="AP228" i="34"/>
  <c r="AO228" i="34"/>
  <c r="AZ337" i="34"/>
  <c r="AX337" i="34"/>
  <c r="BA337" i="34"/>
  <c r="AW337" i="34"/>
  <c r="BF71" i="34"/>
  <c r="BH71" i="34"/>
  <c r="BE71" i="34"/>
  <c r="BI71" i="34"/>
  <c r="AP712" i="34"/>
  <c r="AO712" i="34"/>
  <c r="AS474" i="34"/>
  <c r="AR474" i="34"/>
  <c r="AP474" i="34"/>
  <c r="AO474" i="34"/>
  <c r="AN240" i="34"/>
  <c r="AP499" i="34"/>
  <c r="AO499" i="34"/>
  <c r="AV81" i="34"/>
  <c r="AV124" i="34"/>
  <c r="BH338" i="34"/>
  <c r="BF338" i="34"/>
  <c r="BI338" i="34"/>
  <c r="BE338" i="34"/>
  <c r="AX996" i="34"/>
  <c r="AW996" i="34"/>
  <c r="AO647" i="34"/>
  <c r="AP647" i="34"/>
  <c r="AX715" i="34"/>
  <c r="AW715" i="34"/>
  <c r="AQ150" i="34"/>
  <c r="AQ151" i="34" s="1"/>
  <c r="AW767" i="34"/>
  <c r="AX767" i="34"/>
  <c r="BF942" i="34"/>
  <c r="BE942" i="34"/>
  <c r="BD29" i="34"/>
  <c r="BF752" i="34"/>
  <c r="BE752" i="34"/>
  <c r="AW732" i="34"/>
  <c r="AX732" i="34"/>
  <c r="BF163" i="34"/>
  <c r="BH163" i="34"/>
  <c r="BE163" i="34"/>
  <c r="BI163" i="34"/>
  <c r="BI280" i="34"/>
  <c r="BF280" i="34"/>
  <c r="BE280" i="34"/>
  <c r="BH280" i="34"/>
  <c r="BF584" i="34"/>
  <c r="BE584" i="34"/>
  <c r="AX953" i="34"/>
  <c r="AW953" i="34"/>
  <c r="BF678" i="34"/>
  <c r="BE678" i="34"/>
  <c r="AW515" i="34"/>
  <c r="AX515" i="34"/>
  <c r="AP686" i="34"/>
  <c r="AO686" i="34"/>
  <c r="AO623" i="34"/>
  <c r="AP623" i="34"/>
  <c r="AO692" i="34"/>
  <c r="AP692" i="34"/>
  <c r="AP694" i="34"/>
  <c r="AO694" i="34"/>
  <c r="AY312" i="34"/>
  <c r="AO934" i="34"/>
  <c r="AP934" i="34"/>
  <c r="AW492" i="34"/>
  <c r="AX492" i="34"/>
  <c r="AR282" i="34"/>
  <c r="AS282" i="34"/>
  <c r="AO282" i="34"/>
  <c r="AP282" i="34"/>
  <c r="BF236" i="34"/>
  <c r="BH236" i="34"/>
  <c r="BI236" i="34"/>
  <c r="BE236" i="34"/>
  <c r="AN443" i="34"/>
  <c r="AN196" i="34" s="1"/>
  <c r="BF607" i="34"/>
  <c r="BE607" i="34"/>
  <c r="BH471" i="34"/>
  <c r="BI471" i="34"/>
  <c r="BF471" i="34"/>
  <c r="BE471" i="34"/>
  <c r="AP607" i="34"/>
  <c r="AO607" i="34"/>
  <c r="BF736" i="34"/>
  <c r="BE736" i="34"/>
  <c r="AX636" i="34"/>
  <c r="AW636" i="34"/>
  <c r="AW1002" i="34"/>
  <c r="AX1002" i="34"/>
  <c r="AX985" i="34"/>
  <c r="AW985" i="34"/>
  <c r="AQ127" i="34"/>
  <c r="AP1051" i="34"/>
  <c r="AO1051" i="34"/>
  <c r="BE554" i="34"/>
  <c r="BF554" i="34"/>
  <c r="BE499" i="34"/>
  <c r="BF499" i="34"/>
  <c r="AN248" i="34"/>
  <c r="BF996" i="34"/>
  <c r="BE996" i="34"/>
  <c r="AN284" i="34"/>
  <c r="AV79" i="34"/>
  <c r="AV140" i="34"/>
  <c r="AX754" i="34"/>
  <c r="AW754" i="34"/>
  <c r="AX663" i="34"/>
  <c r="AW663" i="34"/>
  <c r="AX93" i="34"/>
  <c r="BA93" i="34"/>
  <c r="AW93" i="34"/>
  <c r="AZ93" i="34"/>
  <c r="AP740" i="34"/>
  <c r="AO740" i="34"/>
  <c r="AW1052" i="34"/>
  <c r="AX1052" i="34"/>
  <c r="AX776" i="34"/>
  <c r="AW776" i="34"/>
  <c r="BF958" i="34"/>
  <c r="BE958" i="34"/>
  <c r="AP835" i="34"/>
  <c r="AO835" i="34"/>
  <c r="BD312" i="34"/>
  <c r="BG313" i="34"/>
  <c r="BH313" i="34" s="1"/>
  <c r="AV382" i="34"/>
  <c r="BE785" i="34"/>
  <c r="BF785" i="34"/>
  <c r="BE824" i="34"/>
  <c r="BF824" i="34"/>
  <c r="BH309" i="34"/>
  <c r="BE309" i="34"/>
  <c r="BI309" i="34"/>
  <c r="BF309" i="34"/>
  <c r="BF928" i="34"/>
  <c r="BE928" i="34"/>
  <c r="AS65" i="34"/>
  <c r="AO65" i="34"/>
  <c r="AP65" i="34"/>
  <c r="AR65" i="34"/>
  <c r="BF945" i="34"/>
  <c r="BE945" i="34"/>
  <c r="AX94" i="34"/>
  <c r="BA94" i="34"/>
  <c r="AW94" i="34"/>
  <c r="AZ94" i="34"/>
  <c r="BF1054" i="34"/>
  <c r="BE1054" i="34"/>
  <c r="BF962" i="34"/>
  <c r="BE962" i="34"/>
  <c r="BE1108" i="34"/>
  <c r="BF1108" i="34"/>
  <c r="AO540" i="34"/>
  <c r="AP540" i="34"/>
  <c r="BG150" i="34"/>
  <c r="BG151" i="34" s="1"/>
  <c r="BF955" i="34"/>
  <c r="BE955" i="34"/>
  <c r="BF1057" i="34"/>
  <c r="BE1057" i="34"/>
  <c r="AW621" i="34"/>
  <c r="AX621" i="34"/>
  <c r="AX603" i="34"/>
  <c r="AW603" i="34"/>
  <c r="BF1053" i="34"/>
  <c r="BE1053" i="34"/>
  <c r="AX1015" i="34"/>
  <c r="AW1015" i="34"/>
  <c r="AZ226" i="34"/>
  <c r="AW226" i="34"/>
  <c r="AX226" i="34"/>
  <c r="BA226" i="34"/>
  <c r="AO600" i="34"/>
  <c r="AP600" i="34"/>
  <c r="AQ1484" i="34"/>
  <c r="BF229" i="34"/>
  <c r="BE229" i="34"/>
  <c r="BI229" i="34"/>
  <c r="BH229" i="34"/>
  <c r="AO972" i="34"/>
  <c r="AP972" i="34"/>
  <c r="AW692" i="34"/>
  <c r="AX692" i="34"/>
  <c r="AV179" i="34"/>
  <c r="AX938" i="34"/>
  <c r="AW938" i="34"/>
  <c r="AP648" i="34"/>
  <c r="AO648" i="34"/>
  <c r="AP571" i="34"/>
  <c r="AO571" i="34"/>
  <c r="AP1054" i="34"/>
  <c r="AO1054" i="34"/>
  <c r="AO1048" i="34"/>
  <c r="AP1048" i="34"/>
  <c r="AN356" i="34"/>
  <c r="AN354" i="34" s="1"/>
  <c r="AX792" i="34"/>
  <c r="AW792" i="34"/>
  <c r="AX975" i="34"/>
  <c r="AW975" i="34"/>
  <c r="BH417" i="34"/>
  <c r="BE417" i="34"/>
  <c r="BF417" i="34"/>
  <c r="BI417" i="34"/>
  <c r="AO1034" i="34"/>
  <c r="AP1034" i="34"/>
  <c r="BE832" i="34"/>
  <c r="BF832" i="34"/>
  <c r="AX678" i="34"/>
  <c r="AW678" i="34"/>
  <c r="BF875" i="34"/>
  <c r="BE875" i="34"/>
  <c r="BF487" i="34"/>
  <c r="BE487" i="34"/>
  <c r="BI487" i="34"/>
  <c r="BH487" i="34"/>
  <c r="BI188" i="34"/>
  <c r="BE188" i="34"/>
  <c r="BH188" i="34"/>
  <c r="BF188" i="34"/>
  <c r="AY316" i="34"/>
  <c r="BF623" i="34"/>
  <c r="BE623" i="34"/>
  <c r="AX568" i="34"/>
  <c r="AW568" i="34"/>
  <c r="AX610" i="34"/>
  <c r="AW610" i="34"/>
  <c r="AQ96" i="34"/>
  <c r="AP817" i="34"/>
  <c r="AO817" i="34"/>
  <c r="AW563" i="34"/>
  <c r="AX563" i="34"/>
  <c r="BF674" i="34"/>
  <c r="BE674" i="34"/>
  <c r="AW662" i="34"/>
  <c r="AX662" i="34"/>
  <c r="AY383" i="34"/>
  <c r="BG311" i="34"/>
  <c r="AO713" i="34"/>
  <c r="AP713" i="34"/>
  <c r="BD381" i="34"/>
  <c r="BD389" i="34"/>
  <c r="BD380" i="34" s="1"/>
  <c r="BH31" i="34"/>
  <c r="BI31" i="34"/>
  <c r="BE817" i="34"/>
  <c r="BF817" i="34"/>
  <c r="AW746" i="34"/>
  <c r="AX746" i="34"/>
  <c r="BE618" i="34"/>
  <c r="BF618" i="34"/>
  <c r="AQ251" i="34"/>
  <c r="AN29" i="34"/>
  <c r="BE651" i="34"/>
  <c r="BF651" i="34"/>
  <c r="BF704" i="34"/>
  <c r="BE704" i="34"/>
  <c r="AP510" i="34"/>
  <c r="AO510" i="34"/>
  <c r="AX550" i="34"/>
  <c r="AW550" i="34"/>
  <c r="AY248" i="34"/>
  <c r="BF1005" i="34"/>
  <c r="BE1005" i="34"/>
  <c r="AO793" i="34"/>
  <c r="AP793" i="34"/>
  <c r="AP521" i="34"/>
  <c r="AO521" i="34"/>
  <c r="AP676" i="34"/>
  <c r="AO676" i="34"/>
  <c r="BG80" i="34"/>
  <c r="AP952" i="34"/>
  <c r="AO952" i="34"/>
  <c r="AX608" i="34"/>
  <c r="AW608" i="34"/>
  <c r="BF1026" i="34"/>
  <c r="BE1026" i="34"/>
  <c r="AX825" i="34"/>
  <c r="AW825" i="34"/>
  <c r="AX981" i="34"/>
  <c r="AW981" i="34"/>
  <c r="BI64" i="34"/>
  <c r="BF64" i="34"/>
  <c r="BH64" i="34"/>
  <c r="BE64" i="34"/>
  <c r="BA396" i="34"/>
  <c r="AW396" i="34"/>
  <c r="AX396" i="34"/>
  <c r="AZ396" i="34"/>
  <c r="BH307" i="34"/>
  <c r="BE307" i="34"/>
  <c r="BI307" i="34"/>
  <c r="BF307" i="34"/>
  <c r="AW969" i="34"/>
  <c r="AX969" i="34"/>
  <c r="BE282" i="34"/>
  <c r="BI282" i="34"/>
  <c r="BH282" i="34"/>
  <c r="BF282" i="34"/>
  <c r="BF510" i="34"/>
  <c r="BE510" i="34"/>
  <c r="AW400" i="34"/>
  <c r="AX400" i="34"/>
  <c r="BE550" i="34"/>
  <c r="BF550" i="34"/>
  <c r="BD242" i="34"/>
  <c r="AO631" i="34"/>
  <c r="AP631" i="34"/>
  <c r="AO1091" i="34"/>
  <c r="AP1091" i="34"/>
  <c r="AP770" i="34"/>
  <c r="AO770" i="34"/>
  <c r="AX538" i="34"/>
  <c r="AW538" i="34"/>
  <c r="AZ47" i="34"/>
  <c r="AX47" i="34"/>
  <c r="AW47" i="34"/>
  <c r="BA47" i="34"/>
  <c r="AW858" i="34"/>
  <c r="AX858" i="34"/>
  <c r="AV1476" i="34"/>
  <c r="AX929" i="34"/>
  <c r="AW929" i="34"/>
  <c r="AO798" i="34"/>
  <c r="AP798" i="34"/>
  <c r="BF530" i="34"/>
  <c r="BE530" i="34"/>
  <c r="BF491" i="34"/>
  <c r="BE491" i="34"/>
  <c r="AZ418" i="34"/>
  <c r="AX418" i="34"/>
  <c r="BA418" i="34"/>
  <c r="AW418" i="34"/>
  <c r="BF876" i="34"/>
  <c r="BE876" i="34"/>
  <c r="AP970" i="34"/>
  <c r="AO970" i="34"/>
  <c r="AS161" i="34"/>
  <c r="AO161" i="34"/>
  <c r="AR161" i="34"/>
  <c r="AP161" i="34"/>
  <c r="AO42" i="34"/>
  <c r="AP42" i="34"/>
  <c r="AR42" i="34"/>
  <c r="AS42" i="34"/>
  <c r="AX920" i="34"/>
  <c r="AW920" i="34"/>
  <c r="AP498" i="34"/>
  <c r="AO498" i="34"/>
  <c r="AZ292" i="34"/>
  <c r="AW292" i="34"/>
  <c r="BA292" i="34"/>
  <c r="AX292" i="34"/>
  <c r="BG315" i="34"/>
  <c r="BF796" i="34"/>
  <c r="BE796" i="34"/>
  <c r="AX1117" i="34"/>
  <c r="AW1117" i="34"/>
  <c r="AW686" i="34"/>
  <c r="AX686" i="34"/>
  <c r="AY315" i="34"/>
  <c r="AN359" i="34"/>
  <c r="AN380" i="34" s="1"/>
  <c r="AQ29" i="34"/>
  <c r="AX1021" i="34"/>
  <c r="AW1021" i="34"/>
  <c r="AN376" i="34"/>
  <c r="AP1064" i="34"/>
  <c r="AO1064" i="34"/>
  <c r="BE583" i="34"/>
  <c r="BF583" i="34"/>
  <c r="AW644" i="34"/>
  <c r="AX644" i="34"/>
  <c r="AN245" i="34"/>
  <c r="BG1483" i="34"/>
  <c r="AX275" i="34"/>
  <c r="AW275" i="34"/>
  <c r="AZ275" i="34"/>
  <c r="BA275" i="34"/>
  <c r="AW709" i="34"/>
  <c r="AX709" i="34"/>
  <c r="AN251" i="34"/>
  <c r="AQ314" i="34"/>
  <c r="BE582" i="34"/>
  <c r="BF582" i="34"/>
  <c r="AO738" i="34"/>
  <c r="AP738" i="34"/>
  <c r="AQ242" i="34"/>
  <c r="AO690" i="34"/>
  <c r="AP690" i="34"/>
  <c r="AV544" i="34"/>
  <c r="AW750" i="34"/>
  <c r="AX750" i="34"/>
  <c r="AO1011" i="34"/>
  <c r="AP1011" i="34"/>
  <c r="BF588" i="34"/>
  <c r="BE588" i="34"/>
  <c r="AX546" i="34"/>
  <c r="AW546" i="34"/>
  <c r="BE1063" i="34"/>
  <c r="BF1063" i="34"/>
  <c r="AY96" i="34"/>
  <c r="BI371" i="34"/>
  <c r="BH371" i="34"/>
  <c r="BE371" i="34"/>
  <c r="BF371" i="34"/>
  <c r="AW770" i="34"/>
  <c r="AX770" i="34"/>
  <c r="AX574" i="34"/>
  <c r="AW574" i="34"/>
  <c r="AP860" i="34"/>
  <c r="AO860" i="34"/>
  <c r="BG369" i="34"/>
  <c r="AX923" i="34"/>
  <c r="AW923" i="34"/>
  <c r="AR149" i="34"/>
  <c r="AS149" i="34"/>
  <c r="AP149" i="34"/>
  <c r="AO149" i="34"/>
  <c r="AY178" i="34"/>
  <c r="AP796" i="34"/>
  <c r="AO796" i="34"/>
  <c r="AO550" i="34"/>
  <c r="AP550" i="34"/>
  <c r="AN382" i="34"/>
  <c r="BF654" i="34"/>
  <c r="BE654" i="34"/>
  <c r="BF880" i="34"/>
  <c r="BE880" i="34"/>
  <c r="BF149" i="34"/>
  <c r="BH149" i="34"/>
  <c r="BE149" i="34"/>
  <c r="BI149" i="34"/>
  <c r="AW957" i="34"/>
  <c r="AX957" i="34"/>
  <c r="AP522" i="34"/>
  <c r="AO522" i="34"/>
  <c r="AQ340" i="34"/>
  <c r="AV311" i="34"/>
  <c r="BH162" i="34"/>
  <c r="BI162" i="34"/>
  <c r="BE162" i="34"/>
  <c r="BF162" i="34"/>
  <c r="AX859" i="34"/>
  <c r="AW859" i="34"/>
  <c r="AY80" i="34"/>
  <c r="AZ45" i="34"/>
  <c r="AW45" i="34"/>
  <c r="BA45" i="34"/>
  <c r="AX45" i="34"/>
  <c r="AW1051" i="34"/>
  <c r="AX1051" i="34"/>
  <c r="AQ359" i="34"/>
  <c r="AQ380" i="34" s="1"/>
  <c r="BF1032" i="34"/>
  <c r="BE1032" i="34"/>
  <c r="AW297" i="34"/>
  <c r="BA297" i="34"/>
  <c r="AZ297" i="34"/>
  <c r="AX297" i="34"/>
  <c r="AN383" i="34"/>
  <c r="AV447" i="34"/>
  <c r="AV278" i="34" s="1"/>
  <c r="AR327" i="34"/>
  <c r="AS327" i="34"/>
  <c r="AP327" i="34"/>
  <c r="AO327" i="34"/>
  <c r="AM318" i="34"/>
  <c r="AR318" i="34" s="1"/>
  <c r="BE827" i="34"/>
  <c r="BF827" i="34"/>
  <c r="AO629" i="34"/>
  <c r="AP629" i="34"/>
  <c r="AX573" i="34"/>
  <c r="AW573" i="34"/>
  <c r="AP503" i="34"/>
  <c r="AO503" i="34"/>
  <c r="AX299" i="34"/>
  <c r="AZ299" i="34"/>
  <c r="AW299" i="34"/>
  <c r="BA299" i="34"/>
  <c r="AP602" i="34"/>
  <c r="AO602" i="34"/>
  <c r="AS333" i="34"/>
  <c r="AP333" i="34"/>
  <c r="AR333" i="34"/>
  <c r="AO333" i="34"/>
  <c r="BE795" i="34"/>
  <c r="BF795" i="34"/>
  <c r="BA324" i="34"/>
  <c r="AX324" i="34"/>
  <c r="AU315" i="34"/>
  <c r="AZ324" i="34"/>
  <c r="AW324" i="34"/>
  <c r="BE929" i="34"/>
  <c r="BF929" i="34"/>
  <c r="AW1060" i="34"/>
  <c r="AX1060" i="34"/>
  <c r="BC1483" i="34"/>
  <c r="BI46" i="34"/>
  <c r="BE46" i="34"/>
  <c r="BF46" i="34"/>
  <c r="BH46" i="34"/>
  <c r="BE567" i="34"/>
  <c r="BF567" i="34"/>
  <c r="AW606" i="34"/>
  <c r="AX606" i="34"/>
  <c r="BD179" i="34"/>
  <c r="AO961" i="34"/>
  <c r="AP961" i="34"/>
  <c r="AV273" i="34"/>
  <c r="AW805" i="34"/>
  <c r="AX805" i="34"/>
  <c r="AY25" i="34"/>
  <c r="BD366" i="34"/>
  <c r="BD364" i="34" s="1"/>
  <c r="AX1108" i="34"/>
  <c r="AW1108" i="34"/>
  <c r="AQ319" i="34"/>
  <c r="BF675" i="34"/>
  <c r="BE675" i="34"/>
  <c r="AP299" i="34"/>
  <c r="AR299" i="34"/>
  <c r="AO299" i="34"/>
  <c r="AS299" i="34"/>
  <c r="BI92" i="34"/>
  <c r="BE92" i="34"/>
  <c r="BF92" i="34"/>
  <c r="BH92" i="34"/>
  <c r="AX625" i="34"/>
  <c r="AW625" i="34"/>
  <c r="BG83" i="34"/>
  <c r="BG82" i="34" s="1"/>
  <c r="BG86" i="34" s="1"/>
  <c r="BG89" i="34" s="1"/>
  <c r="BE822" i="34"/>
  <c r="BF822" i="34"/>
  <c r="BG181" i="34"/>
  <c r="AZ63" i="34"/>
  <c r="BA63" i="34"/>
  <c r="AX63" i="34"/>
  <c r="AW63" i="34"/>
  <c r="AQ366" i="34"/>
  <c r="AQ364" i="34" s="1"/>
  <c r="AQ363" i="34" s="1"/>
  <c r="AZ52" i="34"/>
  <c r="AX52" i="34"/>
  <c r="BA52" i="34"/>
  <c r="AW52" i="34"/>
  <c r="AX747" i="34"/>
  <c r="AW747" i="34"/>
  <c r="AO46" i="34"/>
  <c r="AP46" i="34"/>
  <c r="AN1483" i="34"/>
  <c r="BE512" i="34"/>
  <c r="BF512" i="34"/>
  <c r="AO226" i="34"/>
  <c r="AR226" i="34"/>
  <c r="AS226" i="34"/>
  <c r="AP226" i="34"/>
  <c r="BE1084" i="34"/>
  <c r="BF1084" i="34"/>
  <c r="BE920" i="34"/>
  <c r="BF920" i="34"/>
  <c r="BE230" i="34"/>
  <c r="BH230" i="34"/>
  <c r="BI230" i="34"/>
  <c r="BF230" i="34"/>
  <c r="BD243" i="34"/>
  <c r="AO697" i="34"/>
  <c r="AP697" i="34"/>
  <c r="AX974" i="34"/>
  <c r="AW974" i="34"/>
  <c r="AZ486" i="34"/>
  <c r="BA486" i="34"/>
  <c r="AX486" i="34"/>
  <c r="AW486" i="34"/>
  <c r="AO824" i="34"/>
  <c r="AP824" i="34"/>
  <c r="BD249" i="34"/>
  <c r="AW700" i="34"/>
  <c r="AX700" i="34"/>
  <c r="BE228" i="34"/>
  <c r="BF228" i="34"/>
  <c r="BH228" i="34"/>
  <c r="BI228" i="34"/>
  <c r="AN311" i="34"/>
  <c r="AR54" i="34"/>
  <c r="AS54" i="34"/>
  <c r="AW723" i="34"/>
  <c r="AX723" i="34"/>
  <c r="BG241" i="34"/>
  <c r="AO160" i="34"/>
  <c r="AS160" i="34"/>
  <c r="AR160" i="34"/>
  <c r="AP160" i="34"/>
  <c r="AP1059" i="34"/>
  <c r="AO1059" i="34"/>
  <c r="AQ313" i="34"/>
  <c r="BD1482" i="34"/>
  <c r="BE72" i="34"/>
  <c r="BF72" i="34"/>
  <c r="BI72" i="34"/>
  <c r="BH72" i="34"/>
  <c r="AO1041" i="34"/>
  <c r="AP1041" i="34"/>
  <c r="BH308" i="34"/>
  <c r="BI308" i="34"/>
  <c r="BF308" i="34"/>
  <c r="BE308" i="34"/>
  <c r="BG389" i="34"/>
  <c r="BG380" i="34" s="1"/>
  <c r="BG381" i="34"/>
  <c r="AP54" i="34"/>
  <c r="AO54" i="34"/>
  <c r="AO666" i="34"/>
  <c r="AP666" i="34"/>
  <c r="AW293" i="34"/>
  <c r="AX293" i="34"/>
  <c r="AZ293" i="34"/>
  <c r="BA293" i="34"/>
  <c r="AX161" i="34"/>
  <c r="AZ161" i="34"/>
  <c r="AW161" i="34"/>
  <c r="BA161" i="34"/>
  <c r="AO966" i="34"/>
  <c r="AP966" i="34"/>
  <c r="BE1021" i="34"/>
  <c r="BF1021" i="34"/>
  <c r="BF1051" i="34"/>
  <c r="BE1051" i="34"/>
  <c r="AO625" i="34"/>
  <c r="AP625" i="34"/>
  <c r="AX942" i="34"/>
  <c r="AW942" i="34"/>
  <c r="AS423" i="34"/>
  <c r="AR423" i="34"/>
  <c r="AO423" i="34"/>
  <c r="AP423" i="34"/>
  <c r="AO482" i="34"/>
  <c r="AS482" i="34"/>
  <c r="AP482" i="34"/>
  <c r="AR482" i="34"/>
  <c r="BF595" i="34"/>
  <c r="BE595" i="34"/>
  <c r="BF925" i="34"/>
  <c r="BE925" i="34"/>
  <c r="AP512" i="34"/>
  <c r="AO512" i="34"/>
  <c r="AP797" i="34"/>
  <c r="AO797" i="34"/>
  <c r="AW675" i="34"/>
  <c r="AX675" i="34"/>
  <c r="AX536" i="34"/>
  <c r="AW536" i="34"/>
  <c r="AW927" i="34"/>
  <c r="AX927" i="34"/>
  <c r="BE860" i="34"/>
  <c r="BF860" i="34"/>
  <c r="AP936" i="34"/>
  <c r="AO936" i="34"/>
  <c r="BF923" i="34"/>
  <c r="BE923" i="34"/>
  <c r="AX72" i="34"/>
  <c r="BA72" i="34"/>
  <c r="AW72" i="34"/>
  <c r="AZ72" i="34"/>
  <c r="AV347" i="34"/>
  <c r="AW599" i="34"/>
  <c r="AX599" i="34"/>
  <c r="AR138" i="34"/>
  <c r="AS138" i="34"/>
  <c r="AM88" i="34"/>
  <c r="AP138" i="34"/>
  <c r="AO138" i="34"/>
  <c r="BG140" i="34"/>
  <c r="AW607" i="34"/>
  <c r="AX607" i="34"/>
  <c r="AX368" i="34"/>
  <c r="AW368" i="34"/>
  <c r="AZ368" i="34"/>
  <c r="BA368" i="34"/>
  <c r="AW532" i="34"/>
  <c r="AX532" i="34"/>
  <c r="BD382" i="34"/>
  <c r="AX832" i="34"/>
  <c r="AW832" i="34"/>
  <c r="BE998" i="34"/>
  <c r="BF998" i="34"/>
  <c r="AV125" i="34"/>
  <c r="AW757" i="34"/>
  <c r="AX757" i="34"/>
  <c r="BF685" i="34"/>
  <c r="BE685" i="34"/>
  <c r="AW925" i="34"/>
  <c r="AX925" i="34"/>
  <c r="AX703" i="34"/>
  <c r="AW703" i="34"/>
  <c r="BE790" i="34"/>
  <c r="BF790" i="34"/>
  <c r="BG427" i="34"/>
  <c r="BD356" i="34"/>
  <c r="BD354" i="34" s="1"/>
  <c r="BH233" i="34"/>
  <c r="BF233" i="34"/>
  <c r="BE233" i="34"/>
  <c r="BI233" i="34"/>
  <c r="AP953" i="34"/>
  <c r="AO953" i="34"/>
  <c r="BI365" i="34"/>
  <c r="BH365" i="34"/>
  <c r="BF365" i="34"/>
  <c r="BE365" i="34"/>
  <c r="BG242" i="34"/>
  <c r="BE549" i="34"/>
  <c r="BF549" i="34"/>
  <c r="BE464" i="34"/>
  <c r="BH464" i="34"/>
  <c r="BI464" i="34"/>
  <c r="BF464" i="34"/>
  <c r="BF1098" i="34"/>
  <c r="BE1098" i="34"/>
  <c r="AY320" i="34"/>
  <c r="BF1062" i="34"/>
  <c r="BE1062" i="34"/>
  <c r="AN87" i="34"/>
  <c r="AX498" i="34"/>
  <c r="AW498" i="34"/>
  <c r="BE517" i="34"/>
  <c r="BF517" i="34"/>
  <c r="AW587" i="34"/>
  <c r="AX587" i="34"/>
  <c r="AV253" i="34"/>
  <c r="BG1476" i="34"/>
  <c r="AP985" i="34"/>
  <c r="AO985" i="34"/>
  <c r="BD246" i="34"/>
  <c r="AP200" i="34"/>
  <c r="AR200" i="34"/>
  <c r="AO200" i="34"/>
  <c r="AS200" i="34"/>
  <c r="AO654" i="34"/>
  <c r="AP654" i="34"/>
  <c r="AX875" i="34"/>
  <c r="AW875" i="34"/>
  <c r="AX821" i="34"/>
  <c r="AW821" i="34"/>
  <c r="AP776" i="34"/>
  <c r="AO776" i="34"/>
  <c r="AP710" i="34"/>
  <c r="AO710" i="34"/>
  <c r="BE108" i="34"/>
  <c r="BF108" i="34"/>
  <c r="BH108" i="34"/>
  <c r="BI108" i="34"/>
  <c r="BA344" i="34"/>
  <c r="AX344" i="34"/>
  <c r="AW344" i="34"/>
  <c r="AZ344" i="34"/>
  <c r="AP1088" i="34"/>
  <c r="AO1088" i="34"/>
  <c r="AX694" i="34"/>
  <c r="AW694" i="34"/>
  <c r="AP975" i="34"/>
  <c r="AO975" i="34"/>
  <c r="AP748" i="34"/>
  <c r="AO748" i="34"/>
  <c r="BG20" i="34"/>
  <c r="BE608" i="34"/>
  <c r="BF608" i="34"/>
  <c r="BE666" i="34"/>
  <c r="BF666" i="34"/>
  <c r="BF1114" i="34"/>
  <c r="BE1114" i="34"/>
  <c r="BE531" i="34"/>
  <c r="BF531" i="34"/>
  <c r="BD320" i="34"/>
  <c r="AO670" i="34"/>
  <c r="AP670" i="34"/>
  <c r="BF732" i="34"/>
  <c r="BE732" i="34"/>
  <c r="AP1056" i="34"/>
  <c r="AO1056" i="34"/>
  <c r="AO996" i="34"/>
  <c r="AP996" i="34"/>
  <c r="BG179" i="34"/>
  <c r="AW1104" i="34"/>
  <c r="AX1104" i="34"/>
  <c r="AX32" i="34"/>
  <c r="BA32" i="34"/>
  <c r="AZ32" i="34"/>
  <c r="AW32" i="34"/>
  <c r="AX968" i="34"/>
  <c r="AW968" i="34"/>
  <c r="BG177" i="34"/>
  <c r="AS51" i="34"/>
  <c r="AR51" i="34"/>
  <c r="AO51" i="34"/>
  <c r="AP51" i="34"/>
  <c r="AQ241" i="34"/>
  <c r="AO193" i="34"/>
  <c r="AP193" i="34"/>
  <c r="AR193" i="34"/>
  <c r="AS193" i="34"/>
  <c r="AN312" i="34"/>
  <c r="BE708" i="34"/>
  <c r="BF708" i="34"/>
  <c r="AO554" i="34"/>
  <c r="AP554" i="34"/>
  <c r="AN250" i="34"/>
  <c r="AP806" i="34"/>
  <c r="AO806" i="34"/>
  <c r="AO1010" i="34"/>
  <c r="AP1010" i="34"/>
  <c r="AP598" i="34"/>
  <c r="AO598" i="34"/>
  <c r="AW555" i="34"/>
  <c r="AX555" i="34"/>
  <c r="BE504" i="34"/>
  <c r="BF504" i="34"/>
  <c r="AN202" i="34"/>
  <c r="BF662" i="34"/>
  <c r="BE662" i="34"/>
  <c r="AX987" i="34"/>
  <c r="AW987" i="34"/>
  <c r="AP878" i="34"/>
  <c r="AO878" i="34"/>
  <c r="AV317" i="34"/>
  <c r="AW317" i="34" s="1"/>
  <c r="BA199" i="34"/>
  <c r="AZ199" i="34"/>
  <c r="AW199" i="34"/>
  <c r="AX199" i="34"/>
  <c r="AN18" i="34"/>
  <c r="BG25" i="34"/>
  <c r="AO742" i="34"/>
  <c r="AP742" i="34"/>
  <c r="BE528" i="34"/>
  <c r="BF528" i="34"/>
  <c r="AO950" i="34"/>
  <c r="AP950" i="34"/>
  <c r="BF271" i="34"/>
  <c r="BI271" i="34"/>
  <c r="BE271" i="34"/>
  <c r="BH271" i="34"/>
  <c r="AP827" i="34"/>
  <c r="AO827" i="34"/>
  <c r="AV177" i="34"/>
  <c r="AO923" i="34"/>
  <c r="AP923" i="34"/>
  <c r="BF691" i="34"/>
  <c r="BE691" i="34"/>
  <c r="BC83" i="34"/>
  <c r="BI132" i="34"/>
  <c r="BE132" i="34"/>
  <c r="BH132" i="34"/>
  <c r="BF132" i="34"/>
  <c r="BG85" i="34"/>
  <c r="AX796" i="34"/>
  <c r="AW796" i="34"/>
  <c r="AO92" i="34"/>
  <c r="AS92" i="34"/>
  <c r="AP92" i="34"/>
  <c r="AR92" i="34"/>
  <c r="BF921" i="34"/>
  <c r="BE921" i="34"/>
  <c r="AX1010" i="34"/>
  <c r="AW1010" i="34"/>
  <c r="AX735" i="34"/>
  <c r="AW735" i="34"/>
  <c r="AX302" i="34"/>
  <c r="AW302" i="34"/>
  <c r="AZ302" i="34"/>
  <c r="BA302" i="34"/>
  <c r="AN366" i="34"/>
  <c r="AN364" i="34" s="1"/>
  <c r="AP662" i="34"/>
  <c r="AO662" i="34"/>
  <c r="AO814" i="34"/>
  <c r="AP814" i="34"/>
  <c r="BF926" i="34"/>
  <c r="BE926" i="34"/>
  <c r="BE834" i="34"/>
  <c r="BF834" i="34"/>
  <c r="BF1010" i="34"/>
  <c r="BE1010" i="34"/>
  <c r="AX1029" i="34"/>
  <c r="AW1029" i="34"/>
  <c r="BE703" i="34"/>
  <c r="BF703" i="34"/>
  <c r="AV136" i="34"/>
  <c r="AW572" i="34"/>
  <c r="AX572" i="34"/>
  <c r="BF963" i="34"/>
  <c r="BE963" i="34"/>
  <c r="AP746" i="34"/>
  <c r="AO746" i="34"/>
  <c r="AW1056" i="34"/>
  <c r="AX1056" i="34"/>
  <c r="AW736" i="34"/>
  <c r="AX736" i="34"/>
  <c r="BC85" i="34"/>
  <c r="BF134" i="34"/>
  <c r="BE134" i="34"/>
  <c r="BI134" i="34"/>
  <c r="BH134" i="34"/>
  <c r="BE490" i="34"/>
  <c r="BH490" i="34"/>
  <c r="BF490" i="34"/>
  <c r="BI490" i="34"/>
  <c r="AX742" i="34"/>
  <c r="AW742" i="34"/>
  <c r="AO922" i="34"/>
  <c r="AP922" i="34"/>
  <c r="AY381" i="34"/>
  <c r="AY389" i="34"/>
  <c r="BD79" i="34"/>
  <c r="AQ140" i="34"/>
  <c r="BG248" i="34"/>
  <c r="BA192" i="34"/>
  <c r="AZ192" i="34"/>
  <c r="AW192" i="34"/>
  <c r="AX192" i="34"/>
  <c r="AQ320" i="34"/>
  <c r="AR320" i="34" s="1"/>
  <c r="BE538" i="34"/>
  <c r="BF538" i="34"/>
  <c r="AW797" i="34"/>
  <c r="AX797" i="34"/>
  <c r="AN242" i="34"/>
  <c r="AW338" i="34"/>
  <c r="AZ338" i="34"/>
  <c r="AX338" i="34"/>
  <c r="BA338" i="34"/>
  <c r="AQ336" i="34"/>
  <c r="BE775" i="34"/>
  <c r="BF775" i="34"/>
  <c r="AQ83" i="34"/>
  <c r="AQ82" i="34" s="1"/>
  <c r="AQ86" i="34" s="1"/>
  <c r="AQ89" i="34" s="1"/>
  <c r="AV443" i="34"/>
  <c r="AV196" i="34" s="1"/>
  <c r="AR417" i="34"/>
  <c r="AP417" i="34"/>
  <c r="AS417" i="34"/>
  <c r="AO417" i="34"/>
  <c r="BD311" i="34"/>
  <c r="AW499" i="34"/>
  <c r="AX499" i="34"/>
  <c r="BG81" i="34"/>
  <c r="BG124" i="34"/>
  <c r="AO1013" i="34"/>
  <c r="AP1013" i="34"/>
  <c r="BF819" i="34"/>
  <c r="BE819" i="34"/>
  <c r="AO765" i="34"/>
  <c r="AP765" i="34"/>
  <c r="AP1017" i="34"/>
  <c r="AO1017" i="34"/>
  <c r="BE950" i="34"/>
  <c r="BF950" i="34"/>
  <c r="AN544" i="34"/>
  <c r="AV319" i="34"/>
  <c r="AW1090" i="34"/>
  <c r="AX1090" i="34"/>
  <c r="AX144" i="34"/>
  <c r="AW144" i="34"/>
  <c r="AZ144" i="34"/>
  <c r="BA144" i="34"/>
  <c r="BF861" i="34"/>
  <c r="BE861" i="34"/>
  <c r="AP815" i="34"/>
  <c r="AO815" i="34"/>
  <c r="AM366" i="34"/>
  <c r="AR367" i="34"/>
  <c r="AS367" i="34"/>
  <c r="AO367" i="34"/>
  <c r="AP367" i="34"/>
  <c r="AQ181" i="34"/>
  <c r="BH43" i="34"/>
  <c r="BI43" i="34"/>
  <c r="BE43" i="34"/>
  <c r="BF43" i="34"/>
  <c r="AY243" i="34"/>
  <c r="BI270" i="34"/>
  <c r="BF270" i="34"/>
  <c r="BE270" i="34"/>
  <c r="BH270" i="34"/>
  <c r="BF546" i="34"/>
  <c r="BE546" i="34"/>
  <c r="AY447" i="34"/>
  <c r="AY278" i="34" s="1"/>
  <c r="AW956" i="34"/>
  <c r="AX956" i="34"/>
  <c r="AV18" i="34"/>
  <c r="AP773" i="34"/>
  <c r="AO773" i="34"/>
  <c r="BF598" i="34"/>
  <c r="BE598" i="34"/>
  <c r="AY284" i="34"/>
  <c r="AO527" i="34"/>
  <c r="AP527" i="34"/>
  <c r="BE772" i="34"/>
  <c r="BF772" i="34"/>
  <c r="AO658" i="34"/>
  <c r="AP658" i="34"/>
  <c r="BE706" i="34"/>
  <c r="BF706" i="34"/>
  <c r="AX791" i="34"/>
  <c r="AW791" i="34"/>
  <c r="BF225" i="34"/>
  <c r="BH225" i="34"/>
  <c r="BI225" i="34"/>
  <c r="BE225" i="34"/>
  <c r="AP920" i="34"/>
  <c r="AO920" i="34"/>
  <c r="AP832" i="34"/>
  <c r="AO832" i="34"/>
  <c r="BD87" i="34"/>
  <c r="AO574" i="34"/>
  <c r="AP574" i="34"/>
  <c r="AP233" i="34"/>
  <c r="AO233" i="34"/>
  <c r="AS233" i="34"/>
  <c r="AR233" i="34"/>
  <c r="AS476" i="34"/>
  <c r="AO476" i="34"/>
  <c r="AR476" i="34"/>
  <c r="AP476" i="34"/>
  <c r="AW168" i="34"/>
  <c r="AZ168" i="34"/>
  <c r="BA168" i="34"/>
  <c r="AX168" i="34"/>
  <c r="BF1095" i="34"/>
  <c r="BE1095" i="34"/>
  <c r="AP611" i="34"/>
  <c r="AO611" i="34"/>
  <c r="BF498" i="34"/>
  <c r="BE498" i="34"/>
  <c r="AP546" i="34"/>
  <c r="AO546" i="34"/>
  <c r="BF792" i="34"/>
  <c r="BE792" i="34"/>
  <c r="BG455" i="34"/>
  <c r="BG421" i="34" s="1"/>
  <c r="AW345" i="34"/>
  <c r="AZ345" i="34"/>
  <c r="BA345" i="34"/>
  <c r="AX345" i="34"/>
  <c r="AW659" i="34"/>
  <c r="AX659" i="34"/>
  <c r="BF1011" i="34"/>
  <c r="BE1011" i="34"/>
  <c r="AP1016" i="34"/>
  <c r="AO1016" i="34"/>
  <c r="AW521" i="34"/>
  <c r="AX521" i="34"/>
  <c r="BI424" i="34"/>
  <c r="BH424" i="34"/>
  <c r="BF424" i="34"/>
  <c r="BE424" i="34"/>
  <c r="AY376" i="34"/>
  <c r="BE296" i="34"/>
  <c r="BF296" i="34"/>
  <c r="BH296" i="34"/>
  <c r="BI296" i="34"/>
  <c r="AX795" i="34"/>
  <c r="AW795" i="34"/>
  <c r="BF508" i="34"/>
  <c r="BE508" i="34"/>
  <c r="BF838" i="34"/>
  <c r="BE838" i="34"/>
  <c r="AW50" i="34"/>
  <c r="BA50" i="34"/>
  <c r="AX50" i="34"/>
  <c r="AZ50" i="34"/>
  <c r="AY427" i="34"/>
  <c r="AW651" i="34"/>
  <c r="AX651" i="34"/>
  <c r="BD1472" i="34"/>
  <c r="AO768" i="34"/>
  <c r="AP768" i="34"/>
  <c r="BE679" i="34"/>
  <c r="BF679" i="34"/>
  <c r="BF556" i="34"/>
  <c r="BE556" i="34"/>
  <c r="BF637" i="34"/>
  <c r="BE637" i="34"/>
  <c r="BD347" i="34"/>
  <c r="AO703" i="34"/>
  <c r="AP703" i="34"/>
  <c r="AW655" i="34"/>
  <c r="AX655" i="34"/>
  <c r="BG1477" i="34"/>
  <c r="BD407" i="34"/>
  <c r="BE540" i="34"/>
  <c r="BF540" i="34"/>
  <c r="BD1477" i="34"/>
  <c r="BE652" i="34"/>
  <c r="BF652" i="34"/>
  <c r="AP653" i="34"/>
  <c r="AO653" i="34"/>
  <c r="AQ249" i="34"/>
  <c r="AO726" i="34"/>
  <c r="AP726" i="34"/>
  <c r="BD85" i="34"/>
  <c r="AP750" i="34"/>
  <c r="AO750" i="34"/>
  <c r="AW343" i="34"/>
  <c r="BA343" i="34"/>
  <c r="AZ343" i="34"/>
  <c r="AX343" i="34"/>
  <c r="AO225" i="34"/>
  <c r="AR225" i="34"/>
  <c r="AS225" i="34"/>
  <c r="AP225" i="34"/>
  <c r="AQ179" i="34"/>
  <c r="BD140" i="34"/>
  <c r="BE66" i="34"/>
  <c r="BH66" i="34"/>
  <c r="BF66" i="34"/>
  <c r="BI66" i="34"/>
  <c r="BF1016" i="34"/>
  <c r="BE1016" i="34"/>
  <c r="AX706" i="34"/>
  <c r="AW706" i="34"/>
  <c r="AO489" i="34"/>
  <c r="AP489" i="34"/>
  <c r="AR489" i="34"/>
  <c r="AS489" i="34"/>
  <c r="AX365" i="34"/>
  <c r="BA365" i="34"/>
  <c r="AZ365" i="34"/>
  <c r="AW365" i="34"/>
  <c r="AO497" i="34"/>
  <c r="AP497" i="34"/>
  <c r="BD316" i="34"/>
  <c r="AP873" i="34"/>
  <c r="AO873" i="34"/>
  <c r="AP1043" i="34"/>
  <c r="AO1043" i="34"/>
  <c r="BE1091" i="34"/>
  <c r="BF1091" i="34"/>
  <c r="AW738" i="34"/>
  <c r="AX738" i="34"/>
  <c r="BF614" i="34"/>
  <c r="BE614" i="34"/>
  <c r="AW988" i="34"/>
  <c r="AX988" i="34"/>
  <c r="BE63" i="34"/>
  <c r="BF63" i="34"/>
  <c r="BI63" i="34"/>
  <c r="BH63" i="34"/>
  <c r="AP876" i="34"/>
  <c r="AO876" i="34"/>
  <c r="BF961" i="34"/>
  <c r="BE961" i="34"/>
  <c r="AN336" i="34"/>
  <c r="BE710" i="34"/>
  <c r="BF710" i="34"/>
  <c r="AW1057" i="34"/>
  <c r="AX1057" i="34"/>
  <c r="AY455" i="34"/>
  <c r="AY421" i="34" s="1"/>
  <c r="BD253" i="34"/>
  <c r="AY250" i="34"/>
  <c r="BH345" i="34"/>
  <c r="BI345" i="34"/>
  <c r="BE345" i="34"/>
  <c r="BF345" i="34"/>
  <c r="AQ386" i="34"/>
  <c r="AQ378" i="34"/>
  <c r="BD273" i="34"/>
  <c r="AX584" i="34"/>
  <c r="AW584" i="34"/>
  <c r="AY249" i="34"/>
  <c r="BE1028" i="34"/>
  <c r="BF1028" i="34"/>
  <c r="AO530" i="34"/>
  <c r="AP530" i="34"/>
  <c r="AO1057" i="34"/>
  <c r="AP1057" i="34"/>
  <c r="AO1058" i="34"/>
  <c r="AP1058" i="34"/>
  <c r="AN179" i="34"/>
  <c r="AP747" i="34"/>
  <c r="AO747" i="34"/>
  <c r="AO1026" i="34"/>
  <c r="AP1026" i="34"/>
  <c r="AR93" i="34"/>
  <c r="AS93" i="34"/>
  <c r="AX999" i="34"/>
  <c r="AW999" i="34"/>
  <c r="AO974" i="34"/>
  <c r="AP974" i="34"/>
  <c r="AP786" i="34"/>
  <c r="AO786" i="34"/>
  <c r="BF1092" i="34"/>
  <c r="BE1092" i="34"/>
  <c r="AP820" i="34"/>
  <c r="AO820" i="34"/>
  <c r="BE805" i="34"/>
  <c r="BF805" i="34"/>
  <c r="BD374" i="34"/>
  <c r="AX523" i="34"/>
  <c r="AW523" i="34"/>
  <c r="BF1088" i="34"/>
  <c r="BE1088" i="34"/>
  <c r="AP929" i="34"/>
  <c r="AO929" i="34"/>
  <c r="AZ424" i="34"/>
  <c r="AW424" i="34"/>
  <c r="BA424" i="34"/>
  <c r="AX424" i="34"/>
  <c r="AN407" i="34"/>
  <c r="AP937" i="34"/>
  <c r="AO937" i="34"/>
  <c r="AP539" i="34"/>
  <c r="AO539" i="34"/>
  <c r="BF756" i="34"/>
  <c r="BE756" i="34"/>
  <c r="AX522" i="34"/>
  <c r="AW522" i="34"/>
  <c r="AZ370" i="34"/>
  <c r="BA370" i="34"/>
  <c r="AU369" i="34"/>
  <c r="AX370" i="34"/>
  <c r="AW370" i="34"/>
  <c r="BH425" i="34"/>
  <c r="BI425" i="34"/>
  <c r="BF425" i="34"/>
  <c r="BE425" i="34"/>
  <c r="AW838" i="34"/>
  <c r="AX838" i="34"/>
  <c r="BE723" i="34"/>
  <c r="BF723" i="34"/>
  <c r="BE1103" i="34"/>
  <c r="BF1103" i="34"/>
  <c r="AY443" i="34"/>
  <c r="AY196" i="34" s="1"/>
  <c r="BE539" i="34"/>
  <c r="BF539" i="34"/>
  <c r="AO754" i="34"/>
  <c r="AP754" i="34"/>
  <c r="BG29" i="34"/>
  <c r="AO825" i="34"/>
  <c r="AP825" i="34"/>
  <c r="BE953" i="34"/>
  <c r="BF953" i="34"/>
  <c r="BE489" i="34"/>
  <c r="BI489" i="34"/>
  <c r="BH489" i="34"/>
  <c r="BF489" i="34"/>
  <c r="BE952" i="34"/>
  <c r="BF952" i="34"/>
  <c r="AX589" i="34"/>
  <c r="AW589" i="34"/>
  <c r="AW1023" i="34"/>
  <c r="AX1023" i="34"/>
  <c r="AZ64" i="34"/>
  <c r="AX64" i="34"/>
  <c r="AW64" i="34"/>
  <c r="BA64" i="34"/>
  <c r="BI423" i="34"/>
  <c r="BF423" i="34"/>
  <c r="BE423" i="34"/>
  <c r="BH423" i="34"/>
  <c r="BH235" i="34"/>
  <c r="BI235" i="34"/>
  <c r="BF235" i="34"/>
  <c r="BE235" i="34"/>
  <c r="AX958" i="34"/>
  <c r="AW958" i="34"/>
  <c r="BE812" i="34"/>
  <c r="BF812" i="34"/>
  <c r="AW726" i="34"/>
  <c r="AX726" i="34"/>
  <c r="AW980" i="34"/>
  <c r="AX980" i="34"/>
  <c r="AW534" i="34"/>
  <c r="AX534" i="34"/>
  <c r="BE622" i="34"/>
  <c r="BF622" i="34"/>
  <c r="BE669" i="34"/>
  <c r="BF669" i="34"/>
  <c r="AP298" i="34"/>
  <c r="AO298" i="34"/>
  <c r="AR298" i="34"/>
  <c r="AS298" i="34"/>
  <c r="BF665" i="34"/>
  <c r="BE665" i="34"/>
  <c r="BE667" i="34"/>
  <c r="BF667" i="34"/>
  <c r="BE590" i="34"/>
  <c r="BF590" i="34"/>
  <c r="BD84" i="34"/>
  <c r="BH465" i="34"/>
  <c r="BI465" i="34"/>
  <c r="BF465" i="34"/>
  <c r="BE465" i="34"/>
  <c r="BA274" i="34"/>
  <c r="AX274" i="34"/>
  <c r="AZ274" i="34"/>
  <c r="AW274" i="34"/>
  <c r="BD443" i="34"/>
  <c r="BD196" i="34" s="1"/>
  <c r="AV246" i="34"/>
  <c r="AQ311" i="34"/>
  <c r="BE719" i="34"/>
  <c r="BF719" i="34"/>
  <c r="BE629" i="34"/>
  <c r="BF629" i="34"/>
  <c r="AW402" i="34"/>
  <c r="AX402" i="34"/>
  <c r="AZ51" i="34"/>
  <c r="AX51" i="34"/>
  <c r="AW51" i="34"/>
  <c r="BA51" i="34"/>
  <c r="BF989" i="34"/>
  <c r="BE989" i="34"/>
  <c r="AV85" i="34"/>
  <c r="AX85" i="34" s="1"/>
  <c r="BI269" i="34"/>
  <c r="BH269" i="34"/>
  <c r="BE269" i="34"/>
  <c r="BF269" i="34"/>
  <c r="BD439" i="34"/>
  <c r="BD90" i="34" s="1"/>
  <c r="BG383" i="34"/>
  <c r="BA66" i="34"/>
  <c r="AZ66" i="34"/>
  <c r="AX66" i="34"/>
  <c r="AW66" i="34"/>
  <c r="AO516" i="34"/>
  <c r="AP516" i="34"/>
  <c r="BF783" i="34"/>
  <c r="BE783" i="34"/>
  <c r="AW943" i="34"/>
  <c r="AX943" i="34"/>
  <c r="AN25" i="34"/>
  <c r="BG386" i="34"/>
  <c r="BG378" i="34"/>
  <c r="BE881" i="34"/>
  <c r="BF881" i="34"/>
  <c r="AW661" i="34"/>
  <c r="AX661" i="34"/>
  <c r="BF603" i="34"/>
  <c r="BE603" i="34"/>
  <c r="AX307" i="34"/>
  <c r="BA307" i="34"/>
  <c r="AZ307" i="34"/>
  <c r="AW307" i="34"/>
  <c r="BI394" i="34"/>
  <c r="BE394" i="34"/>
  <c r="BF394" i="34"/>
  <c r="BH394" i="34"/>
  <c r="AQ20" i="34"/>
  <c r="AP595" i="34"/>
  <c r="AO595" i="34"/>
  <c r="AO659" i="34"/>
  <c r="AP659" i="34"/>
  <c r="AP32" i="34"/>
  <c r="AS32" i="34"/>
  <c r="AO32" i="34"/>
  <c r="AR32" i="34"/>
  <c r="AY1476" i="34"/>
  <c r="AX773" i="34"/>
  <c r="AW773" i="34"/>
  <c r="AN195" i="34"/>
  <c r="AZ298" i="34"/>
  <c r="AW298" i="34"/>
  <c r="AX298" i="34"/>
  <c r="BA298" i="34"/>
  <c r="BI370" i="34"/>
  <c r="BC369" i="34"/>
  <c r="BI369" i="34" s="1"/>
  <c r="BF370" i="34"/>
  <c r="BE370" i="34"/>
  <c r="BH370" i="34"/>
  <c r="AW1046" i="34"/>
  <c r="AX1046" i="34"/>
  <c r="BE859" i="34"/>
  <c r="BF859" i="34"/>
  <c r="AW691" i="34"/>
  <c r="AX691" i="34"/>
  <c r="BI198" i="34"/>
  <c r="BE198" i="34"/>
  <c r="BF198" i="34"/>
  <c r="BH198" i="34"/>
  <c r="AP734" i="34"/>
  <c r="AO734" i="34"/>
  <c r="AZ281" i="34"/>
  <c r="AW281" i="34"/>
  <c r="BA281" i="34"/>
  <c r="AX281" i="34"/>
  <c r="AS227" i="34"/>
  <c r="AP227" i="34"/>
  <c r="AR227" i="34"/>
  <c r="AO227" i="34"/>
  <c r="AS371" i="34"/>
  <c r="AR371" i="34"/>
  <c r="AP371" i="34"/>
  <c r="AO371" i="34"/>
  <c r="AR64" i="34"/>
  <c r="AP64" i="34"/>
  <c r="AS64" i="34"/>
  <c r="AO64" i="34"/>
  <c r="BG366" i="34"/>
  <c r="BG364" i="34" s="1"/>
  <c r="AY319" i="34"/>
  <c r="AX933" i="34"/>
  <c r="AW933" i="34"/>
  <c r="AO1019" i="34"/>
  <c r="AP1019" i="34"/>
  <c r="AQ25" i="34"/>
  <c r="AY313" i="34"/>
  <c r="AZ313" i="34" s="1"/>
  <c r="AP553" i="34"/>
  <c r="AO553" i="34"/>
  <c r="BE839" i="34"/>
  <c r="BF839" i="34"/>
  <c r="AO1047" i="34"/>
  <c r="AP1047" i="34"/>
  <c r="BE573" i="34"/>
  <c r="BF573" i="34"/>
  <c r="AW399" i="34"/>
  <c r="AX399" i="34"/>
  <c r="AN347" i="34"/>
  <c r="AO486" i="34"/>
  <c r="AS486" i="34"/>
  <c r="AR486" i="34"/>
  <c r="AP486" i="34"/>
  <c r="AY85" i="34"/>
  <c r="AZ85" i="34" s="1"/>
  <c r="BG1484" i="34"/>
  <c r="AW950" i="34"/>
  <c r="AX950" i="34"/>
  <c r="AP944" i="34"/>
  <c r="AO944" i="34"/>
  <c r="AO669" i="34"/>
  <c r="AP669" i="34"/>
  <c r="BE1015" i="34"/>
  <c r="BF1015" i="34"/>
  <c r="AO1098" i="34"/>
  <c r="AP1098" i="34"/>
  <c r="BE1094" i="34"/>
  <c r="BF1094" i="34"/>
  <c r="AP706" i="34"/>
  <c r="AO706" i="34"/>
  <c r="BE497" i="34"/>
  <c r="BF497" i="34"/>
  <c r="AP368" i="34"/>
  <c r="AO368" i="34"/>
  <c r="AR368" i="34"/>
  <c r="AS368" i="34"/>
  <c r="AO549" i="34"/>
  <c r="AP549" i="34"/>
  <c r="BF1052" i="34"/>
  <c r="BE1052" i="34"/>
  <c r="BF568" i="34"/>
  <c r="BE568" i="34"/>
  <c r="BF1060" i="34"/>
  <c r="BE1060" i="34"/>
  <c r="BE937" i="34"/>
  <c r="BF937" i="34"/>
  <c r="AY240" i="34"/>
  <c r="AX600" i="34"/>
  <c r="AW600" i="34"/>
  <c r="AQ284" i="34"/>
  <c r="AX133" i="34"/>
  <c r="AW133" i="34"/>
  <c r="AZ133" i="34"/>
  <c r="BA133" i="34"/>
  <c r="AU84" i="34"/>
  <c r="AV83" i="34"/>
  <c r="BF831" i="34"/>
  <c r="BE831" i="34"/>
  <c r="AX788" i="34"/>
  <c r="AW788" i="34"/>
  <c r="AY451" i="34"/>
  <c r="AY341" i="34" s="1"/>
  <c r="AP425" i="34"/>
  <c r="AO425" i="34"/>
  <c r="AR425" i="34"/>
  <c r="AS425" i="34"/>
  <c r="AO536" i="34"/>
  <c r="AP536" i="34"/>
  <c r="BE636" i="34"/>
  <c r="BF636" i="34"/>
  <c r="AY36" i="34"/>
  <c r="AS306" i="34"/>
  <c r="AP306" i="34"/>
  <c r="AO306" i="34"/>
  <c r="AR306" i="34"/>
  <c r="AX768" i="34"/>
  <c r="AW768" i="34"/>
  <c r="AX982" i="34"/>
  <c r="AW982" i="34"/>
  <c r="AP874" i="34"/>
  <c r="AO874" i="34"/>
  <c r="BE635" i="34"/>
  <c r="BF635" i="34"/>
  <c r="AP994" i="34"/>
  <c r="AO994" i="34"/>
  <c r="AP63" i="34"/>
  <c r="AO63" i="34"/>
  <c r="AR63" i="34"/>
  <c r="AS63" i="34"/>
  <c r="AX464" i="34"/>
  <c r="AW464" i="34"/>
  <c r="AZ464" i="34"/>
  <c r="BA464" i="34"/>
  <c r="AW964" i="34"/>
  <c r="AX964" i="34"/>
  <c r="AP547" i="34"/>
  <c r="AO547" i="34"/>
  <c r="AV386" i="34"/>
  <c r="AV378" i="34"/>
  <c r="AP728" i="34"/>
  <c r="AO728" i="34"/>
  <c r="AP1084" i="34"/>
  <c r="AO1084" i="34"/>
  <c r="AW939" i="34"/>
  <c r="AX939" i="34"/>
  <c r="BD136" i="34"/>
  <c r="AO836" i="34"/>
  <c r="AP836" i="34"/>
  <c r="AN246" i="34"/>
  <c r="AP788" i="34"/>
  <c r="AO788" i="34"/>
  <c r="BF748" i="34"/>
  <c r="BE748" i="34"/>
  <c r="BG36" i="34"/>
  <c r="BE1041" i="34"/>
  <c r="BF1041" i="34"/>
  <c r="BD126" i="34"/>
  <c r="AX753" i="34"/>
  <c r="AW753" i="34"/>
  <c r="AW961" i="34"/>
  <c r="AX961" i="34"/>
  <c r="BG312" i="34"/>
  <c r="AN36" i="34"/>
  <c r="BE826" i="34"/>
  <c r="BF826" i="34"/>
  <c r="AY347" i="34"/>
  <c r="BE515" i="34"/>
  <c r="BF515" i="34"/>
  <c r="AO1094" i="34"/>
  <c r="AP1094" i="34"/>
  <c r="BE726" i="34"/>
  <c r="BF726" i="34"/>
  <c r="BF972" i="34"/>
  <c r="BE972" i="34"/>
  <c r="AV96" i="34"/>
  <c r="AW799" i="34"/>
  <c r="AX799" i="34"/>
  <c r="AX771" i="34"/>
  <c r="AW771" i="34"/>
  <c r="AW793" i="34"/>
  <c r="AX793" i="34"/>
  <c r="AZ466" i="34"/>
  <c r="AX466" i="34"/>
  <c r="AW466" i="34"/>
  <c r="BA466" i="34"/>
  <c r="AX787" i="34"/>
  <c r="AW787" i="34"/>
  <c r="AX786" i="34"/>
  <c r="AW786" i="34"/>
  <c r="BH332" i="34"/>
  <c r="BE332" i="34"/>
  <c r="BI332" i="34"/>
  <c r="BF332" i="34"/>
  <c r="BF698" i="34"/>
  <c r="BE698" i="34"/>
  <c r="AV320" i="34"/>
  <c r="BA470" i="34"/>
  <c r="AW470" i="34"/>
  <c r="AX470" i="34"/>
  <c r="AZ470" i="34"/>
  <c r="AX944" i="34"/>
  <c r="AW944" i="34"/>
  <c r="BF820" i="34"/>
  <c r="BE820" i="34"/>
  <c r="AO633" i="34"/>
  <c r="AP633" i="34"/>
  <c r="AR52" i="34"/>
  <c r="AP52" i="34"/>
  <c r="AO52" i="34"/>
  <c r="AS52" i="34"/>
  <c r="BE31" i="34"/>
  <c r="BF31" i="34"/>
  <c r="AW667" i="34"/>
  <c r="AX667" i="34"/>
  <c r="AP651" i="34"/>
  <c r="AO651" i="34"/>
  <c r="AP588" i="34"/>
  <c r="AO588" i="34"/>
  <c r="AX512" i="34"/>
  <c r="AW512" i="34"/>
  <c r="AY126" i="34"/>
  <c r="AP586" i="34"/>
  <c r="AO586" i="34"/>
  <c r="AN140" i="34"/>
  <c r="AR189" i="34"/>
  <c r="AS189" i="34"/>
  <c r="AP189" i="34"/>
  <c r="AO189" i="34"/>
  <c r="BF810" i="34"/>
  <c r="BE810" i="34"/>
  <c r="BE521" i="34"/>
  <c r="BF521" i="34"/>
  <c r="AN314" i="34"/>
  <c r="BE553" i="34"/>
  <c r="BF553" i="34"/>
  <c r="AU83" i="34"/>
  <c r="BA132" i="34"/>
  <c r="AZ132" i="34"/>
  <c r="AW132" i="34"/>
  <c r="AX132" i="34"/>
  <c r="AR323" i="34"/>
  <c r="AS323" i="34"/>
  <c r="AO323" i="34"/>
  <c r="AM314" i="34"/>
  <c r="AP323" i="34"/>
  <c r="AN318" i="34"/>
  <c r="BF964" i="34"/>
  <c r="BE964" i="34"/>
  <c r="AO775" i="34"/>
  <c r="AP775" i="34"/>
  <c r="AX959" i="34"/>
  <c r="AW959" i="34"/>
  <c r="AP163" i="34"/>
  <c r="AO163" i="34"/>
  <c r="AR163" i="34"/>
  <c r="AS163" i="34"/>
  <c r="AX34" i="34"/>
  <c r="AW34" i="34"/>
  <c r="BA34" i="34"/>
  <c r="AZ34" i="34"/>
  <c r="AY179" i="34"/>
  <c r="AW1040" i="34"/>
  <c r="AX1040" i="34"/>
  <c r="AP1087" i="34"/>
  <c r="AO1087" i="34"/>
  <c r="AN241" i="34"/>
  <c r="AO1104" i="34"/>
  <c r="AP1104" i="34"/>
  <c r="AW1045" i="34"/>
  <c r="AX1045" i="34"/>
  <c r="AX809" i="34"/>
  <c r="AW809" i="34"/>
  <c r="BG245" i="34"/>
  <c r="AR296" i="34"/>
  <c r="AP296" i="34"/>
  <c r="AS296" i="34"/>
  <c r="AO296" i="34"/>
  <c r="AX163" i="34"/>
  <c r="BA163" i="34"/>
  <c r="AW163" i="34"/>
  <c r="AZ163" i="34"/>
  <c r="BE994" i="34"/>
  <c r="BF994" i="34"/>
  <c r="AP148" i="34"/>
  <c r="AR148" i="34"/>
  <c r="AO148" i="34"/>
  <c r="AS148" i="34"/>
  <c r="AM84" i="34"/>
  <c r="AP736" i="34"/>
  <c r="AO736" i="34"/>
  <c r="BE492" i="34"/>
  <c r="BF492" i="34"/>
  <c r="AX1035" i="34"/>
  <c r="AW1035" i="34"/>
  <c r="BE107" i="34"/>
  <c r="BI107" i="34"/>
  <c r="BF107" i="34"/>
  <c r="BH107" i="34"/>
  <c r="AW973" i="34"/>
  <c r="AX973" i="34"/>
  <c r="BF676" i="34"/>
  <c r="BE676" i="34"/>
  <c r="AO988" i="34"/>
  <c r="AP988" i="34"/>
  <c r="BE94" i="34"/>
  <c r="BH94" i="34"/>
  <c r="BF94" i="34"/>
  <c r="BI94" i="34"/>
  <c r="AN315" i="34"/>
  <c r="AO315" i="34" s="1"/>
  <c r="AQ195" i="34"/>
  <c r="AP838" i="34"/>
  <c r="AO838" i="34"/>
  <c r="AW1092" i="34"/>
  <c r="AX1092" i="34"/>
  <c r="AP1045" i="34"/>
  <c r="AO1045" i="34"/>
  <c r="BE938" i="34"/>
  <c r="BF938" i="34"/>
  <c r="BF781" i="34"/>
  <c r="BE781" i="34"/>
  <c r="AX815" i="34"/>
  <c r="AW815" i="34"/>
  <c r="BF741" i="34"/>
  <c r="BE741" i="34"/>
  <c r="AV249" i="34"/>
  <c r="BE931" i="34"/>
  <c r="BF931" i="34"/>
  <c r="BG320" i="34"/>
  <c r="BD378" i="34"/>
  <c r="BD386" i="34"/>
  <c r="BI337" i="34"/>
  <c r="BF337" i="34"/>
  <c r="BH337" i="34"/>
  <c r="BE337" i="34"/>
  <c r="AS280" i="34"/>
  <c r="AR280" i="34"/>
  <c r="AP280" i="34"/>
  <c r="AO280" i="34"/>
  <c r="BF137" i="34"/>
  <c r="BE137" i="34"/>
  <c r="BH137" i="34"/>
  <c r="BI137" i="34"/>
  <c r="BC87" i="34"/>
  <c r="BF87" i="34" s="1"/>
  <c r="AO735" i="34"/>
  <c r="AP735" i="34"/>
  <c r="AV383" i="34"/>
  <c r="AX945" i="34"/>
  <c r="AW945" i="34"/>
  <c r="AO1065" i="34"/>
  <c r="AP1065" i="34"/>
  <c r="AR270" i="34"/>
  <c r="AO270" i="34"/>
  <c r="AS270" i="34"/>
  <c r="AP270" i="34"/>
  <c r="BE750" i="34"/>
  <c r="BF750" i="34"/>
  <c r="AX819" i="34"/>
  <c r="AW819" i="34"/>
  <c r="AN369" i="34"/>
  <c r="AV277" i="34"/>
  <c r="BF1120" i="34"/>
  <c r="BE1120" i="34"/>
  <c r="BI138" i="34"/>
  <c r="BE138" i="34"/>
  <c r="BF138" i="34"/>
  <c r="BC88" i="34"/>
  <c r="BH138" i="34"/>
  <c r="BA322" i="34"/>
  <c r="AX322" i="34"/>
  <c r="AZ322" i="34"/>
  <c r="AW322" i="34"/>
  <c r="AU313" i="34"/>
  <c r="AW313" i="34" s="1"/>
  <c r="AO702" i="34"/>
  <c r="AP702" i="34"/>
  <c r="AW921" i="34"/>
  <c r="AX921" i="34"/>
  <c r="BG244" i="34"/>
  <c r="AV88" i="34"/>
  <c r="AW88" i="34" s="1"/>
  <c r="AW506" i="34"/>
  <c r="AX506" i="34"/>
  <c r="AX654" i="34"/>
  <c r="AW654" i="34"/>
  <c r="BA332" i="34"/>
  <c r="AW332" i="34"/>
  <c r="AZ332" i="34"/>
  <c r="AX332" i="34"/>
  <c r="AX507" i="34"/>
  <c r="AW507" i="34"/>
  <c r="BD239" i="34"/>
  <c r="BA187" i="34"/>
  <c r="AZ187" i="34"/>
  <c r="AW187" i="34"/>
  <c r="AX187" i="34"/>
  <c r="AW834" i="34"/>
  <c r="AX834" i="34"/>
  <c r="AX658" i="34"/>
  <c r="AW658" i="34"/>
  <c r="AW476" i="34"/>
  <c r="BA476" i="34"/>
  <c r="AX476" i="34"/>
  <c r="AZ476" i="34"/>
  <c r="AV315" i="34"/>
  <c r="BF1003" i="34"/>
  <c r="BE1003" i="34"/>
  <c r="AO1023" i="34"/>
  <c r="AP1023" i="34"/>
  <c r="AX623" i="34"/>
  <c r="AW623" i="34"/>
  <c r="AZ394" i="34"/>
  <c r="AX394" i="34"/>
  <c r="AW394" i="34"/>
  <c r="BA394" i="34"/>
  <c r="AW685" i="34"/>
  <c r="AX685" i="34"/>
  <c r="AQ191" i="34"/>
  <c r="AN313" i="34"/>
  <c r="AP782" i="34"/>
  <c r="AO782" i="34"/>
  <c r="AW594" i="34"/>
  <c r="AX594" i="34"/>
  <c r="BF133" i="34"/>
  <c r="BE133" i="34"/>
  <c r="BC84" i="34"/>
  <c r="BI133" i="34"/>
  <c r="BH133" i="34"/>
  <c r="BF527" i="34"/>
  <c r="BE527" i="34"/>
  <c r="AX806" i="34"/>
  <c r="AW806" i="34"/>
  <c r="AV180" i="34"/>
  <c r="AY83" i="34"/>
  <c r="AP269" i="34"/>
  <c r="AR269" i="34"/>
  <c r="AO269" i="34"/>
  <c r="AS269" i="34"/>
  <c r="BF536" i="34"/>
  <c r="BE536" i="34"/>
  <c r="AP1022" i="34"/>
  <c r="AO1022" i="34"/>
  <c r="BA280" i="34"/>
  <c r="AW280" i="34"/>
  <c r="AX280" i="34"/>
  <c r="AZ280" i="34"/>
  <c r="BF765" i="34"/>
  <c r="BE765" i="34"/>
  <c r="BE625" i="34"/>
  <c r="BF625" i="34"/>
  <c r="AO781" i="34"/>
  <c r="AP781" i="34"/>
  <c r="AX1087" i="34"/>
  <c r="AW1087" i="34"/>
  <c r="AO709" i="34"/>
  <c r="AP709" i="34"/>
  <c r="BF944" i="34"/>
  <c r="BE944" i="34"/>
  <c r="AV439" i="34"/>
  <c r="AV90" i="34" s="1"/>
  <c r="BE168" i="34"/>
  <c r="BH168" i="34"/>
  <c r="BI168" i="34"/>
  <c r="BF168" i="34"/>
  <c r="BF648" i="34"/>
  <c r="BE648" i="34"/>
  <c r="BG347" i="34"/>
  <c r="AO563" i="34"/>
  <c r="AP563" i="34"/>
  <c r="AX271" i="34"/>
  <c r="AZ271" i="34"/>
  <c r="AW271" i="34"/>
  <c r="BA271" i="34"/>
  <c r="AN320" i="34"/>
  <c r="AR473" i="34"/>
  <c r="AP473" i="34"/>
  <c r="AS473" i="34"/>
  <c r="AO473" i="34"/>
  <c r="AN451" i="34"/>
  <c r="AN341" i="34" s="1"/>
  <c r="BG180" i="34"/>
  <c r="AO767" i="34"/>
  <c r="AP767" i="34"/>
  <c r="AY84" i="34"/>
  <c r="AZ84" i="34" s="1"/>
  <c r="BF922" i="34"/>
  <c r="BE922" i="34"/>
  <c r="AN379" i="34"/>
  <c r="AO612" i="34"/>
  <c r="AP612" i="34"/>
  <c r="AW372" i="34"/>
  <c r="AX372" i="34"/>
  <c r="AZ372" i="34"/>
  <c r="BA372" i="34"/>
  <c r="AQ88" i="34"/>
  <c r="AS88" i="34" s="1"/>
  <c r="BD447" i="34"/>
  <c r="BD278" i="34" s="1"/>
  <c r="AO535" i="34"/>
  <c r="AP535" i="34"/>
  <c r="AQ356" i="34"/>
  <c r="AQ354" i="34" s="1"/>
  <c r="AW820" i="34"/>
  <c r="AX820" i="34"/>
  <c r="BI333" i="34"/>
  <c r="BF333" i="34"/>
  <c r="BE333" i="34"/>
  <c r="BH333" i="34"/>
  <c r="AX489" i="34"/>
  <c r="BA489" i="34"/>
  <c r="AZ489" i="34"/>
  <c r="AW489" i="34"/>
  <c r="AX952" i="34"/>
  <c r="AW952" i="34"/>
  <c r="AO1090" i="34"/>
  <c r="AP1090" i="34"/>
  <c r="AX148" i="34"/>
  <c r="BA148" i="34"/>
  <c r="AZ148" i="34"/>
  <c r="AW148" i="34"/>
  <c r="AP807" i="34"/>
  <c r="AO807" i="34"/>
  <c r="AV251" i="34"/>
  <c r="BF398" i="34"/>
  <c r="BE398" i="34"/>
  <c r="BF534" i="34"/>
  <c r="BE534" i="34"/>
  <c r="BA189" i="34"/>
  <c r="AZ189" i="34"/>
  <c r="AX189" i="34"/>
  <c r="AW189" i="34"/>
  <c r="BG88" i="34"/>
  <c r="BF682" i="34"/>
  <c r="BE682" i="34"/>
  <c r="BE670" i="34"/>
  <c r="BF670" i="34"/>
  <c r="AP957" i="34"/>
  <c r="AO957" i="34"/>
  <c r="AP636" i="34"/>
  <c r="AO636" i="34"/>
  <c r="AX622" i="34"/>
  <c r="AW622" i="34"/>
  <c r="AS133" i="34"/>
  <c r="AR133" i="34"/>
  <c r="AQ84" i="34"/>
  <c r="AO1021" i="34"/>
  <c r="AP1021" i="34"/>
  <c r="AQ79" i="34"/>
  <c r="BE697" i="34"/>
  <c r="BF697" i="34"/>
  <c r="AQ178" i="34"/>
  <c r="BH234" i="34"/>
  <c r="BI234" i="34"/>
  <c r="BE234" i="34"/>
  <c r="BF234" i="34"/>
  <c r="AW1098" i="34"/>
  <c r="AX1098" i="34"/>
  <c r="BE816" i="34"/>
  <c r="BF816" i="34"/>
  <c r="AZ490" i="34"/>
  <c r="AW490" i="34"/>
  <c r="BA490" i="34"/>
  <c r="AX490" i="34"/>
  <c r="AO791" i="34"/>
  <c r="AP791" i="34"/>
  <c r="AP464" i="34"/>
  <c r="AR464" i="34"/>
  <c r="AO464" i="34"/>
  <c r="AS464" i="34"/>
  <c r="BI147" i="34"/>
  <c r="BE147" i="34"/>
  <c r="BH147" i="34"/>
  <c r="BF147" i="34"/>
  <c r="AW43" i="34"/>
  <c r="BA43" i="34"/>
  <c r="AZ43" i="34"/>
  <c r="AX43" i="34"/>
  <c r="AW668" i="34"/>
  <c r="AX668" i="34"/>
  <c r="AN181" i="34"/>
  <c r="AO338" i="34"/>
  <c r="AS338" i="34"/>
  <c r="AR338" i="34"/>
  <c r="AP338" i="34"/>
  <c r="BE939" i="34"/>
  <c r="BF939" i="34"/>
  <c r="AP859" i="34"/>
  <c r="AO859" i="34"/>
  <c r="AP998" i="34"/>
  <c r="AO998" i="34"/>
  <c r="BF1058" i="34"/>
  <c r="BE1058" i="34"/>
  <c r="AP652" i="34"/>
  <c r="AO652" i="34"/>
  <c r="AP1042" i="34"/>
  <c r="AO1042" i="34"/>
  <c r="AX827" i="34"/>
  <c r="AW827" i="34"/>
  <c r="BF535" i="34"/>
  <c r="BE535" i="34"/>
  <c r="BE782" i="34"/>
  <c r="BF782" i="34"/>
  <c r="BE604" i="34"/>
  <c r="BF604" i="34"/>
  <c r="AO229" i="34"/>
  <c r="AR229" i="34"/>
  <c r="AS229" i="34"/>
  <c r="AP229" i="34"/>
  <c r="AX643" i="34"/>
  <c r="AW643" i="34"/>
  <c r="AW1004" i="34"/>
  <c r="AX1004" i="34"/>
  <c r="AW617" i="34"/>
  <c r="AX617" i="34"/>
  <c r="AV195" i="34"/>
  <c r="BA395" i="34"/>
  <c r="AW395" i="34"/>
  <c r="AZ395" i="34"/>
  <c r="AX395" i="34"/>
  <c r="AP604" i="34"/>
  <c r="AO604" i="34"/>
  <c r="AX928" i="34"/>
  <c r="AW928" i="34"/>
  <c r="BG379" i="34"/>
  <c r="AV181" i="34"/>
  <c r="BF1024" i="34"/>
  <c r="BE1024" i="34"/>
  <c r="BG251" i="34"/>
  <c r="AP744" i="34"/>
  <c r="AO744" i="34"/>
  <c r="AN374" i="34"/>
  <c r="AW937" i="34"/>
  <c r="AX937" i="34"/>
  <c r="BI293" i="34"/>
  <c r="BH293" i="34"/>
  <c r="BF293" i="34"/>
  <c r="BE293" i="34"/>
  <c r="AQ240" i="34"/>
  <c r="AY195" i="34"/>
  <c r="AW718" i="34"/>
  <c r="AX718" i="34"/>
  <c r="BF167" i="34"/>
  <c r="BE167" i="34"/>
  <c r="BH167" i="34"/>
  <c r="BI167" i="34"/>
  <c r="BG277" i="34"/>
  <c r="BD340" i="34"/>
  <c r="AV202" i="34"/>
  <c r="AV84" i="34"/>
  <c r="BD20" i="34"/>
  <c r="BF814" i="34"/>
  <c r="BE814" i="34"/>
  <c r="BG87" i="34"/>
  <c r="AP650" i="34"/>
  <c r="AO650" i="34"/>
  <c r="BE368" i="34"/>
  <c r="BH368" i="34"/>
  <c r="BI368" i="34"/>
  <c r="BF368" i="34"/>
  <c r="AW1043" i="34"/>
  <c r="AX1043" i="34"/>
  <c r="BF677" i="34"/>
  <c r="BE677" i="34"/>
  <c r="BE402" i="34"/>
  <c r="BF402" i="34"/>
  <c r="AZ137" i="34"/>
  <c r="AW137" i="34"/>
  <c r="AX137" i="34"/>
  <c r="BA137" i="34"/>
  <c r="AU87" i="34"/>
  <c r="AW87" i="34" s="1"/>
  <c r="AV314" i="34"/>
  <c r="AQ273" i="34"/>
  <c r="BD181" i="34"/>
  <c r="AW679" i="34"/>
  <c r="AX679" i="34"/>
  <c r="AX504" i="34"/>
  <c r="AW504" i="34"/>
  <c r="BF323" i="34"/>
  <c r="BH323" i="34"/>
  <c r="BI323" i="34"/>
  <c r="BE323" i="34"/>
  <c r="BC314" i="34"/>
  <c r="AY20" i="34"/>
  <c r="AN239" i="34"/>
  <c r="AN85" i="34"/>
  <c r="AO85" i="34" s="1"/>
  <c r="AX665" i="34"/>
  <c r="AW665" i="34"/>
  <c r="AO959" i="34"/>
  <c r="AP959" i="34"/>
  <c r="AS394" i="34"/>
  <c r="AO394" i="34"/>
  <c r="AR394" i="34"/>
  <c r="AP394" i="34"/>
  <c r="BI480" i="34"/>
  <c r="BH480" i="34"/>
  <c r="BE480" i="34"/>
  <c r="BF480" i="34"/>
  <c r="BC318" i="34"/>
  <c r="BE318" i="34" s="1"/>
  <c r="BF327" i="34"/>
  <c r="BE327" i="34"/>
  <c r="BI327" i="34"/>
  <c r="BH327" i="34"/>
  <c r="AW1064" i="34"/>
  <c r="AX1064" i="34"/>
  <c r="AW1059" i="34"/>
  <c r="AX1059" i="34"/>
  <c r="BE644" i="34"/>
  <c r="BF644" i="34"/>
  <c r="AU320" i="34"/>
  <c r="AX329" i="34"/>
  <c r="BA329" i="34"/>
  <c r="AW329" i="34"/>
  <c r="AZ329" i="34"/>
  <c r="BG126" i="34"/>
  <c r="AY340" i="34"/>
  <c r="BI237" i="34"/>
  <c r="BF237" i="34"/>
  <c r="BE237" i="34"/>
  <c r="BH237" i="34"/>
  <c r="AX702" i="34"/>
  <c r="AW702" i="34"/>
  <c r="AN420" i="34"/>
  <c r="AV1484" i="34"/>
  <c r="AO645" i="34"/>
  <c r="AP645" i="34"/>
  <c r="AW830" i="34"/>
  <c r="AX830" i="34"/>
  <c r="AP826" i="34"/>
  <c r="AO826" i="34"/>
  <c r="BG318" i="34"/>
  <c r="BE821" i="34"/>
  <c r="BF821" i="34"/>
  <c r="BF617" i="34"/>
  <c r="BE617" i="34"/>
  <c r="AW670" i="34"/>
  <c r="AX670" i="34"/>
  <c r="AW31" i="34"/>
  <c r="AZ31" i="34"/>
  <c r="AX31" i="34"/>
  <c r="BA31" i="34"/>
  <c r="AX1063" i="34"/>
  <c r="AW1063" i="34"/>
  <c r="BE974" i="34"/>
  <c r="BF974" i="34"/>
  <c r="BE1034" i="34"/>
  <c r="BF1034" i="34"/>
  <c r="BE564" i="34"/>
  <c r="BF564" i="34"/>
  <c r="BF999" i="34"/>
  <c r="BE999" i="34"/>
  <c r="BD177" i="34"/>
  <c r="AR66" i="34"/>
  <c r="AS66" i="34"/>
  <c r="AW635" i="34"/>
  <c r="AX635" i="34"/>
  <c r="AV250" i="34"/>
  <c r="BE589" i="34"/>
  <c r="BF589" i="34"/>
  <c r="AY127" i="34"/>
  <c r="AZ41" i="34"/>
  <c r="BA41" i="34"/>
  <c r="AX41" i="34"/>
  <c r="AW41" i="34"/>
  <c r="BE986" i="34"/>
  <c r="BF986" i="34"/>
  <c r="BD1483" i="34"/>
  <c r="AO732" i="34"/>
  <c r="AP732" i="34"/>
  <c r="AO684" i="34"/>
  <c r="AP684" i="34"/>
  <c r="BE1049" i="34"/>
  <c r="BF1049" i="34"/>
  <c r="BH303" i="34"/>
  <c r="BI303" i="34"/>
  <c r="BF303" i="34"/>
  <c r="BE303" i="34"/>
  <c r="AW530" i="34"/>
  <c r="AX530" i="34"/>
  <c r="AW1062" i="34"/>
  <c r="AX1062" i="34"/>
  <c r="AX138" i="34"/>
  <c r="BA138" i="34"/>
  <c r="AW138" i="34"/>
  <c r="AZ138" i="34"/>
  <c r="AU88" i="34"/>
  <c r="BE144" i="34"/>
  <c r="BI144" i="34"/>
  <c r="BH144" i="34"/>
  <c r="BF144" i="34"/>
  <c r="AP504" i="34"/>
  <c r="AO504" i="34"/>
  <c r="BD455" i="34"/>
  <c r="BD421" i="34" s="1"/>
  <c r="BE645" i="34"/>
  <c r="BF645" i="34"/>
  <c r="BD313" i="34"/>
  <c r="BF661" i="34"/>
  <c r="BE661" i="34"/>
  <c r="AW989" i="34"/>
  <c r="AX989" i="34"/>
  <c r="BD383" i="34"/>
  <c r="AX748" i="34"/>
  <c r="AW748" i="34"/>
  <c r="AP752" i="34"/>
  <c r="AO752" i="34"/>
  <c r="AX42" i="34"/>
  <c r="BA42" i="34"/>
  <c r="AZ42" i="34"/>
  <c r="AW42" i="34"/>
  <c r="BE516" i="34"/>
  <c r="BF516" i="34"/>
  <c r="AX1005" i="34"/>
  <c r="AW1005" i="34"/>
  <c r="BF825" i="34"/>
  <c r="BE825" i="34"/>
  <c r="AP587" i="34"/>
  <c r="AO587" i="34"/>
  <c r="BF1023" i="34"/>
  <c r="BE1023" i="34"/>
  <c r="AR308" i="34"/>
  <c r="AS308" i="34"/>
  <c r="AP308" i="34"/>
  <c r="AO308" i="34"/>
  <c r="AY87" i="34"/>
  <c r="AQ202" i="34"/>
  <c r="BE1002" i="34"/>
  <c r="BF1002" i="34"/>
  <c r="AW227" i="34"/>
  <c r="AX227" i="34"/>
  <c r="AZ227" i="34"/>
  <c r="BA227" i="34"/>
  <c r="AP741" i="34"/>
  <c r="AO741" i="34"/>
  <c r="AO626" i="34"/>
  <c r="AP626" i="34"/>
  <c r="AN191" i="34"/>
  <c r="AQ451" i="34"/>
  <c r="AQ341" i="34" s="1"/>
  <c r="AQ248" i="34"/>
  <c r="AW309" i="34"/>
  <c r="AZ309" i="34"/>
  <c r="AX309" i="34"/>
  <c r="BA309" i="34"/>
  <c r="BE702" i="34"/>
  <c r="BF702" i="34"/>
  <c r="AO925" i="34"/>
  <c r="AP925" i="34"/>
  <c r="AW1065" i="34"/>
  <c r="AX1065" i="34"/>
  <c r="AP819" i="34"/>
  <c r="AO819" i="34"/>
  <c r="BF1043" i="34"/>
  <c r="BE1043" i="34"/>
  <c r="AW398" i="34"/>
  <c r="AX398" i="34"/>
  <c r="BE985" i="34"/>
  <c r="BF985" i="34"/>
  <c r="AV451" i="34"/>
  <c r="AV341" i="34" s="1"/>
  <c r="AN551" i="34"/>
  <c r="AO830" i="34"/>
  <c r="AP830" i="34"/>
  <c r="AO1117" i="34"/>
  <c r="AP1117" i="34"/>
  <c r="AV248" i="34"/>
  <c r="AW613" i="34"/>
  <c r="AX613" i="34"/>
  <c r="BF712" i="34"/>
  <c r="BE712" i="34"/>
  <c r="AP997" i="34"/>
  <c r="AO997" i="34"/>
  <c r="BG317" i="34"/>
  <c r="BF754" i="34"/>
  <c r="BE754" i="34"/>
  <c r="AN1477" i="34"/>
  <c r="BE1090" i="34"/>
  <c r="BF1090" i="34"/>
  <c r="BG443" i="34"/>
  <c r="BG196" i="34" s="1"/>
  <c r="BG178" i="34"/>
  <c r="AW1011" i="34"/>
  <c r="AX1011" i="34"/>
  <c r="AW327" i="34"/>
  <c r="AZ327" i="34"/>
  <c r="BA327" i="34"/>
  <c r="AX327" i="34"/>
  <c r="AU318" i="34"/>
  <c r="AZ318" i="34" s="1"/>
  <c r="AX1103" i="34"/>
  <c r="AW1103" i="34"/>
  <c r="AX626" i="34"/>
  <c r="AW626" i="34"/>
  <c r="BE943" i="34"/>
  <c r="BF943" i="34"/>
  <c r="BF981" i="34"/>
  <c r="BE981" i="34"/>
  <c r="BE486" i="34"/>
  <c r="BI486" i="34"/>
  <c r="BH486" i="34"/>
  <c r="BF486" i="34"/>
  <c r="AS372" i="34"/>
  <c r="AO372" i="34"/>
  <c r="AP372" i="34"/>
  <c r="AR372" i="34"/>
  <c r="AV407" i="34"/>
  <c r="AX881" i="34"/>
  <c r="AW881" i="34"/>
  <c r="BF275" i="34"/>
  <c r="BI275" i="34"/>
  <c r="BH275" i="34"/>
  <c r="BE275" i="34"/>
  <c r="BF807" i="34"/>
  <c r="BE807" i="34"/>
  <c r="AX528" i="34"/>
  <c r="AW528" i="34"/>
  <c r="AW323" i="34"/>
  <c r="AU314" i="34"/>
  <c r="AW314" i="34" s="1"/>
  <c r="BA323" i="34"/>
  <c r="AX323" i="34"/>
  <c r="AZ323" i="34"/>
  <c r="AP404" i="34"/>
  <c r="AO404" i="34"/>
  <c r="AY251" i="34"/>
  <c r="AY18" i="34"/>
  <c r="BD178" i="34"/>
  <c r="BF1042" i="34"/>
  <c r="BE1042" i="34"/>
  <c r="BG239" i="34"/>
  <c r="BF611" i="34"/>
  <c r="BE611" i="34"/>
  <c r="BF734" i="34"/>
  <c r="BE734" i="34"/>
  <c r="AX631" i="34"/>
  <c r="AW631" i="34"/>
  <c r="BE720" i="34"/>
  <c r="BF720" i="34"/>
  <c r="AY359" i="34"/>
  <c r="AZ149" i="34"/>
  <c r="AW149" i="34"/>
  <c r="AX149" i="34"/>
  <c r="BA149" i="34"/>
  <c r="AQ315" i="34"/>
  <c r="AW1053" i="34"/>
  <c r="AX1053" i="34"/>
  <c r="BD315" i="34"/>
  <c r="BA306" i="34"/>
  <c r="AX306" i="34"/>
  <c r="AW306" i="34"/>
  <c r="AZ306" i="34"/>
  <c r="AX541" i="34"/>
  <c r="AW541" i="34"/>
  <c r="AO370" i="34"/>
  <c r="AS370" i="34"/>
  <c r="AR370" i="34"/>
  <c r="AP370" i="34"/>
  <c r="AM369" i="34"/>
  <c r="AV318" i="34"/>
  <c r="AW318" i="34" s="1"/>
  <c r="BD376" i="34"/>
  <c r="BF809" i="34"/>
  <c r="BE809" i="34"/>
  <c r="AX785" i="34"/>
  <c r="AW785" i="34"/>
  <c r="AV1477" i="34"/>
  <c r="BF1045" i="34"/>
  <c r="BE1045" i="34"/>
  <c r="BD277" i="34"/>
  <c r="BG195" i="34"/>
  <c r="AS307" i="34"/>
  <c r="AP307" i="34"/>
  <c r="AR307" i="34"/>
  <c r="AO307" i="34"/>
  <c r="AX514" i="34"/>
  <c r="AW514" i="34"/>
  <c r="AY1477" i="34"/>
  <c r="BF811" i="34"/>
  <c r="BE811" i="34"/>
  <c r="BD369" i="34"/>
  <c r="BF959" i="34"/>
  <c r="BE959" i="34"/>
  <c r="AP879" i="34"/>
  <c r="AO879" i="34"/>
  <c r="AV359" i="34"/>
  <c r="BH470" i="34"/>
  <c r="BE470" i="34"/>
  <c r="BF470" i="34"/>
  <c r="BI470" i="34"/>
  <c r="BA417" i="34"/>
  <c r="AW417" i="34"/>
  <c r="AX417" i="34"/>
  <c r="AZ417" i="34"/>
  <c r="AX1032" i="34"/>
  <c r="AW1032" i="34"/>
  <c r="BD252" i="34"/>
  <c r="BF721" i="34"/>
  <c r="BE721" i="34"/>
  <c r="BG240" i="34"/>
  <c r="BF718" i="34"/>
  <c r="BE718" i="34"/>
  <c r="AP951" i="34"/>
  <c r="AO951" i="34"/>
  <c r="AO822" i="34"/>
  <c r="AP822" i="34"/>
  <c r="AS237" i="34"/>
  <c r="AO237" i="34"/>
  <c r="AR237" i="34"/>
  <c r="AP237" i="34"/>
  <c r="AP667" i="34"/>
  <c r="AO667" i="34"/>
  <c r="AO926" i="34"/>
  <c r="AP926" i="34"/>
  <c r="AN83" i="34"/>
  <c r="AP517" i="34"/>
  <c r="AO517" i="34"/>
  <c r="BE602" i="34"/>
  <c r="BF602" i="34"/>
  <c r="BI297" i="34"/>
  <c r="BF297" i="34"/>
  <c r="BH297" i="34"/>
  <c r="BE297" i="34"/>
  <c r="AW527" i="34"/>
  <c r="AX527" i="34"/>
  <c r="AY125" i="34"/>
  <c r="BF767" i="34"/>
  <c r="BE767" i="34"/>
  <c r="AO861" i="34"/>
  <c r="AP861" i="34"/>
  <c r="BH115" i="34"/>
  <c r="BF115" i="34"/>
  <c r="BI115" i="34"/>
  <c r="BE115" i="34"/>
  <c r="AY273" i="34"/>
  <c r="AN244" i="34"/>
  <c r="BE1056" i="34"/>
  <c r="BF1056" i="34"/>
  <c r="AQ277" i="34"/>
  <c r="AV376" i="34"/>
  <c r="AN253" i="34"/>
  <c r="AV369" i="34"/>
  <c r="BD284" i="34"/>
  <c r="AZ230" i="34"/>
  <c r="AX230" i="34"/>
  <c r="BA230" i="34"/>
  <c r="AW230" i="34"/>
  <c r="AP47" i="34"/>
  <c r="AS47" i="34"/>
  <c r="AM1483" i="34"/>
  <c r="AR47" i="34"/>
  <c r="AO47" i="34"/>
  <c r="AW759" i="34"/>
  <c r="AX759" i="34"/>
  <c r="AP230" i="34"/>
  <c r="AS230" i="34"/>
  <c r="AR230" i="34"/>
  <c r="AO230" i="34"/>
  <c r="AW696" i="34"/>
  <c r="AX696" i="34"/>
  <c r="BF791" i="34"/>
  <c r="BE791" i="34"/>
  <c r="BC315" i="34"/>
  <c r="BH315" i="34" s="1"/>
  <c r="BE324" i="34"/>
  <c r="BF324" i="34"/>
  <c r="BH324" i="34"/>
  <c r="BI324" i="34"/>
  <c r="BD180" i="34"/>
  <c r="BE770" i="34"/>
  <c r="BF770" i="34"/>
  <c r="BF873" i="34"/>
  <c r="BE873" i="34"/>
  <c r="AP167" i="34"/>
  <c r="AO167" i="34"/>
  <c r="AR167" i="34"/>
  <c r="AS167" i="34"/>
  <c r="BF481" i="34"/>
  <c r="BH481" i="34"/>
  <c r="BE481" i="34"/>
  <c r="BI481" i="34"/>
  <c r="BF1065" i="34"/>
  <c r="BE1065" i="34"/>
  <c r="AW1042" i="34"/>
  <c r="AX1042" i="34"/>
  <c r="BD244" i="34"/>
  <c r="AQ443" i="34"/>
  <c r="AQ196" i="34" s="1"/>
  <c r="AO334" i="34"/>
  <c r="AS334" i="34"/>
  <c r="AR334" i="34"/>
  <c r="AP334" i="34"/>
  <c r="BF1000" i="34"/>
  <c r="BE1000" i="34"/>
  <c r="AX653" i="34"/>
  <c r="AW653" i="34"/>
  <c r="BG314" i="34"/>
  <c r="AX503" i="34"/>
  <c r="AW503" i="34"/>
  <c r="BE1019" i="34"/>
  <c r="BF1019" i="34"/>
  <c r="AY88" i="34"/>
  <c r="AW704" i="34"/>
  <c r="AX704" i="34"/>
  <c r="AO964" i="34"/>
  <c r="AP964" i="34"/>
  <c r="BE776" i="34"/>
  <c r="BF776" i="34"/>
  <c r="BG284" i="34"/>
  <c r="AX772" i="34"/>
  <c r="AW772" i="34"/>
  <c r="AX588" i="34"/>
  <c r="AW588" i="34"/>
  <c r="BG252" i="34"/>
  <c r="BD317" i="34"/>
  <c r="BE793" i="34"/>
  <c r="BF793" i="34"/>
  <c r="BE109" i="34"/>
  <c r="BF109" i="34"/>
  <c r="BI109" i="34"/>
  <c r="BH109" i="34"/>
  <c r="BF742" i="34"/>
  <c r="BE742" i="34"/>
  <c r="AQ252" i="34"/>
  <c r="BE633" i="34"/>
  <c r="BF633" i="34"/>
  <c r="AY242" i="34"/>
  <c r="AV243" i="34"/>
  <c r="AO989" i="34"/>
  <c r="AP989" i="34"/>
  <c r="AZ49" i="34"/>
  <c r="BA49" i="34"/>
  <c r="AW49" i="34"/>
  <c r="AX49" i="34"/>
  <c r="AV239" i="34"/>
  <c r="BE722" i="34"/>
  <c r="BF722" i="34"/>
  <c r="BF778" i="34"/>
  <c r="BE778" i="34"/>
  <c r="BE1013" i="34"/>
  <c r="BF1013" i="34"/>
  <c r="AV340" i="34"/>
  <c r="AW517" i="34"/>
  <c r="AX517" i="34"/>
  <c r="BE933" i="34"/>
  <c r="BF933" i="34"/>
  <c r="BD25" i="34"/>
  <c r="AW1120" i="34"/>
  <c r="AX1120" i="34"/>
  <c r="AN447" i="34"/>
  <c r="AN278" i="34" s="1"/>
  <c r="AX710" i="34"/>
  <c r="AW710" i="34"/>
  <c r="AO1000" i="34"/>
  <c r="AP1000" i="34"/>
  <c r="AV551" i="34"/>
  <c r="AW720" i="34"/>
  <c r="AX720" i="34"/>
  <c r="AX790" i="34"/>
  <c r="AW790" i="34"/>
  <c r="AX1013" i="34"/>
  <c r="AW1013" i="34"/>
  <c r="BF557" i="34"/>
  <c r="BE557" i="34"/>
  <c r="AP875" i="34"/>
  <c r="AO875" i="34"/>
  <c r="BF967" i="34"/>
  <c r="BE967" i="34"/>
  <c r="AX1003" i="34"/>
  <c r="AW1003" i="34"/>
  <c r="BD1476" i="34"/>
  <c r="AX998" i="34"/>
  <c r="AW998" i="34"/>
  <c r="AP621" i="34"/>
  <c r="AO621" i="34"/>
  <c r="AY191" i="34"/>
  <c r="AQ382" i="34"/>
  <c r="BF975" i="34"/>
  <c r="BE975" i="34"/>
  <c r="AY356" i="34"/>
  <c r="AY354" i="34" s="1"/>
  <c r="AY353" i="34" s="1"/>
  <c r="AX1024" i="34"/>
  <c r="AW1024" i="34"/>
  <c r="BE1017" i="34"/>
  <c r="BF1017" i="34"/>
  <c r="BF966" i="34"/>
  <c r="BE966" i="34"/>
  <c r="AX564" i="34"/>
  <c r="AW564" i="34"/>
  <c r="AO816" i="34"/>
  <c r="AP816" i="34"/>
  <c r="AO481" i="34"/>
  <c r="AR481" i="34"/>
  <c r="AP481" i="34"/>
  <c r="AS481" i="34"/>
  <c r="AQ239" i="34"/>
  <c r="AP810" i="34"/>
  <c r="AO810" i="34"/>
  <c r="BE646" i="34"/>
  <c r="BF646" i="34"/>
  <c r="BF746" i="34"/>
  <c r="BE746" i="34"/>
  <c r="BE715" i="34"/>
  <c r="BF715" i="34"/>
  <c r="AS396" i="34"/>
  <c r="AO396" i="34"/>
  <c r="AP396" i="34"/>
  <c r="AR396" i="34"/>
  <c r="AW404" i="34"/>
  <c r="AX404" i="34"/>
  <c r="AP991" i="34"/>
  <c r="AO991" i="34"/>
  <c r="AS424" i="34"/>
  <c r="AP424" i="34"/>
  <c r="AO424" i="34"/>
  <c r="AR424" i="34"/>
  <c r="BE692" i="34"/>
  <c r="BF692" i="34"/>
  <c r="AW712" i="34"/>
  <c r="AX712" i="34"/>
  <c r="AP1002" i="34"/>
  <c r="AO1002" i="34"/>
  <c r="BF281" i="34"/>
  <c r="BH281" i="34"/>
  <c r="BE281" i="34"/>
  <c r="BI281" i="34"/>
  <c r="AY378" i="34"/>
  <c r="AY386" i="34"/>
  <c r="AY384" i="34" s="1"/>
  <c r="AY373" i="34" s="1"/>
  <c r="AY406" i="34" s="1"/>
  <c r="AY419" i="34" s="1"/>
  <c r="AY420" i="34" s="1"/>
  <c r="BD202" i="34"/>
  <c r="AQ447" i="34"/>
  <c r="AQ278" i="34" s="1"/>
  <c r="AP799" i="34"/>
  <c r="AO799" i="34"/>
  <c r="AW758" i="34"/>
  <c r="AX758" i="34"/>
  <c r="BE830" i="34"/>
  <c r="BF830" i="34"/>
  <c r="AW85" i="34"/>
  <c r="AQ353" i="34"/>
  <c r="BF1483" i="34"/>
  <c r="BF85" i="34"/>
  <c r="BE87" i="34"/>
  <c r="BA87" i="34"/>
  <c r="AX369" i="34"/>
  <c r="AW369" i="34"/>
  <c r="BI87" i="34"/>
  <c r="AR317" i="34"/>
  <c r="BH85" i="34"/>
  <c r="AR491" i="34"/>
  <c r="AS491" i="34"/>
  <c r="BI491" i="34"/>
  <c r="BH491" i="34"/>
  <c r="BH492" i="34"/>
  <c r="BI492" i="34"/>
  <c r="A493" i="34"/>
  <c r="AQ493" i="34"/>
  <c r="AQ492" i="34"/>
  <c r="AY492" i="34"/>
  <c r="AO366" i="34" l="1"/>
  <c r="AV82" i="34"/>
  <c r="AV86" i="34" s="1"/>
  <c r="BD82" i="34"/>
  <c r="BD86" i="34" s="1"/>
  <c r="BD89" i="34" s="1"/>
  <c r="AP87" i="34"/>
  <c r="AS87" i="34"/>
  <c r="BE319" i="34"/>
  <c r="AP83" i="34"/>
  <c r="AW84" i="34"/>
  <c r="AZ369" i="34"/>
  <c r="AY363" i="34"/>
  <c r="AY375" i="34"/>
  <c r="BH318" i="34"/>
  <c r="AR87" i="34"/>
  <c r="BE85" i="34"/>
  <c r="BF84" i="34"/>
  <c r="AO88" i="34"/>
  <c r="AZ317" i="34"/>
  <c r="AX87" i="34"/>
  <c r="AO313" i="34"/>
  <c r="AU82" i="34"/>
  <c r="AZ82" i="34" s="1"/>
  <c r="AP366" i="34"/>
  <c r="BA82" i="34"/>
  <c r="AO369" i="34"/>
  <c r="AS369" i="34"/>
  <c r="AR369" i="34"/>
  <c r="BE88" i="34"/>
  <c r="BF88" i="34"/>
  <c r="BH88" i="34"/>
  <c r="BD384" i="34"/>
  <c r="BD375" i="34" s="1"/>
  <c r="BD377" i="34"/>
  <c r="AX84" i="34"/>
  <c r="BG353" i="34"/>
  <c r="AV384" i="34"/>
  <c r="AV375" i="34" s="1"/>
  <c r="AV377" i="34"/>
  <c r="AQ384" i="34"/>
  <c r="AQ373" i="34" s="1"/>
  <c r="AQ377" i="34"/>
  <c r="AP369" i="34"/>
  <c r="AZ320" i="34"/>
  <c r="AO314" i="34"/>
  <c r="AR314" i="34"/>
  <c r="AW320" i="34"/>
  <c r="AO318" i="34"/>
  <c r="AV1475" i="34"/>
  <c r="AV1480" i="34"/>
  <c r="AM82" i="34"/>
  <c r="AO82" i="34" s="1"/>
  <c r="AP85" i="34"/>
  <c r="AS85" i="34"/>
  <c r="AR85" i="34"/>
  <c r="AR313" i="34"/>
  <c r="AZ87" i="34"/>
  <c r="AO83" i="34"/>
  <c r="BG384" i="34"/>
  <c r="BG377" i="34"/>
  <c r="AM364" i="34"/>
  <c r="AO364" i="34" s="1"/>
  <c r="AS366" i="34"/>
  <c r="AR366" i="34"/>
  <c r="AZ315" i="34"/>
  <c r="AW315" i="34"/>
  <c r="AN384" i="34"/>
  <c r="AN375" i="34" s="1"/>
  <c r="AN377" i="34"/>
  <c r="BH319" i="34"/>
  <c r="AZ1483" i="34"/>
  <c r="BA1483" i="34"/>
  <c r="AW1483" i="34"/>
  <c r="AX1483" i="34"/>
  <c r="AO320" i="34"/>
  <c r="BC364" i="34"/>
  <c r="BH366" i="34"/>
  <c r="BE366" i="34"/>
  <c r="BI366" i="34"/>
  <c r="BF366" i="34"/>
  <c r="BA369" i="34"/>
  <c r="AZ83" i="34"/>
  <c r="BE84" i="34"/>
  <c r="BI84" i="34"/>
  <c r="AY407" i="34"/>
  <c r="BA84" i="34"/>
  <c r="AN1475" i="34"/>
  <c r="AN1473" i="34" s="1"/>
  <c r="AN1480" i="34"/>
  <c r="AV380" i="34"/>
  <c r="AZ314" i="34"/>
  <c r="BA85" i="34"/>
  <c r="AV1473" i="34"/>
  <c r="BE314" i="34"/>
  <c r="BH314" i="34"/>
  <c r="AV89" i="34"/>
  <c r="BF369" i="34"/>
  <c r="BE369" i="34"/>
  <c r="BH369" i="34"/>
  <c r="AS1483" i="34"/>
  <c r="AO1483" i="34"/>
  <c r="AR1483" i="34"/>
  <c r="AP1483" i="34"/>
  <c r="AS84" i="34"/>
  <c r="AR84" i="34"/>
  <c r="AO84" i="34"/>
  <c r="AP84" i="34"/>
  <c r="BI85" i="34"/>
  <c r="BE317" i="34"/>
  <c r="BH317" i="34"/>
  <c r="AY82" i="34"/>
  <c r="AY86" i="34" s="1"/>
  <c r="AY89" i="34" s="1"/>
  <c r="BG363" i="34"/>
  <c r="AZ319" i="34"/>
  <c r="AW319" i="34"/>
  <c r="AY374" i="34"/>
  <c r="AY377" i="34"/>
  <c r="BE1483" i="34"/>
  <c r="BH1483" i="34"/>
  <c r="BI1483" i="34"/>
  <c r="AR319" i="34"/>
  <c r="AO319" i="34"/>
  <c r="AS83" i="34"/>
  <c r="AY380" i="34"/>
  <c r="AR88" i="34"/>
  <c r="BD1475" i="34"/>
  <c r="BD1473" i="34" s="1"/>
  <c r="BD1480" i="34"/>
  <c r="BD1481" i="34" s="1"/>
  <c r="AR315" i="34"/>
  <c r="BH320" i="34"/>
  <c r="BE320" i="34"/>
  <c r="AR83" i="34"/>
  <c r="AX88" i="34"/>
  <c r="AZ88" i="34"/>
  <c r="BA88" i="34"/>
  <c r="AX83" i="34"/>
  <c r="BA83" i="34"/>
  <c r="AW83" i="34"/>
  <c r="BH84" i="34"/>
  <c r="BE313" i="34"/>
  <c r="BE315" i="34"/>
  <c r="BI88" i="34"/>
  <c r="BH87" i="34"/>
  <c r="BE83" i="34"/>
  <c r="BF83" i="34"/>
  <c r="BC82" i="34"/>
  <c r="BH83" i="34"/>
  <c r="BI83" i="34"/>
  <c r="AU364" i="34"/>
  <c r="BA366" i="34"/>
  <c r="AX366" i="34"/>
  <c r="AW366" i="34"/>
  <c r="AZ366" i="34"/>
  <c r="BD1474" i="34"/>
  <c r="BD1478" i="34"/>
  <c r="BI82" i="34"/>
  <c r="AW82" i="34"/>
  <c r="AR492" i="34"/>
  <c r="AS492" i="34"/>
  <c r="BA492" i="34"/>
  <c r="AZ492" i="34"/>
  <c r="A494" i="34"/>
  <c r="BG494" i="34"/>
  <c r="BG493" i="34"/>
  <c r="AY493" i="34"/>
  <c r="AX82" i="34" l="1"/>
  <c r="AQ375" i="34"/>
  <c r="BG373" i="34"/>
  <c r="BG375" i="34"/>
  <c r="BF82" i="34"/>
  <c r="BH82" i="34"/>
  <c r="BE82" i="34"/>
  <c r="AV1478" i="34"/>
  <c r="AV1474" i="34"/>
  <c r="AP82" i="34"/>
  <c r="AS82" i="34"/>
  <c r="AR82" i="34"/>
  <c r="AN1481" i="34"/>
  <c r="BF364" i="34"/>
  <c r="BI364" i="34"/>
  <c r="BH364" i="34"/>
  <c r="BE364" i="34"/>
  <c r="AQ406" i="34"/>
  <c r="AQ374" i="34"/>
  <c r="AV1481" i="34"/>
  <c r="BA364" i="34"/>
  <c r="AX364" i="34"/>
  <c r="AW364" i="34"/>
  <c r="AZ364" i="34"/>
  <c r="AN1478" i="34"/>
  <c r="AN1474" i="34"/>
  <c r="AS364" i="34"/>
  <c r="AR364" i="34"/>
  <c r="AP364" i="34"/>
  <c r="BD1479" i="34"/>
  <c r="BD1485" i="34" s="1"/>
  <c r="BD1486" i="34" s="1"/>
  <c r="BD1487" i="34"/>
  <c r="BD1488" i="34" s="1"/>
  <c r="A495" i="34"/>
  <c r="AY494" i="34"/>
  <c r="AQ494" i="34"/>
  <c r="AY495" i="34"/>
  <c r="AV1479" i="34" l="1"/>
  <c r="AV1485" i="34" s="1"/>
  <c r="AV1486" i="34" s="1"/>
  <c r="AV1487" i="34"/>
  <c r="AV1488" i="34" s="1"/>
  <c r="AQ419" i="34"/>
  <c r="AQ420" i="34" s="1"/>
  <c r="AQ407" i="34"/>
  <c r="AN1479" i="34"/>
  <c r="AN1485" i="34" s="1"/>
  <c r="AN1486" i="34" s="1"/>
  <c r="AN1487" i="34"/>
  <c r="AN1488" i="34" s="1"/>
  <c r="BG406" i="34"/>
  <c r="BG374" i="34"/>
  <c r="A496" i="34"/>
  <c r="AQ495" i="34"/>
  <c r="BG495" i="34"/>
  <c r="AY496" i="34"/>
  <c r="BG419" i="34" l="1"/>
  <c r="BG420" i="34" s="1"/>
  <c r="BG407" i="34"/>
  <c r="A497" i="34"/>
  <c r="BG497" i="34"/>
  <c r="BG496" i="34"/>
  <c r="AQ496" i="34"/>
  <c r="BH497" i="34" l="1"/>
  <c r="BI497" i="34"/>
  <c r="A498" i="34"/>
  <c r="AQ497" i="34"/>
  <c r="AY498" i="34"/>
  <c r="AY497" i="34"/>
  <c r="AZ497" i="34" l="1"/>
  <c r="BA497" i="34"/>
  <c r="AS497" i="34"/>
  <c r="AR497" i="34"/>
  <c r="BA498" i="34"/>
  <c r="AZ498" i="34"/>
  <c r="A499" i="34"/>
  <c r="AQ498" i="34"/>
  <c r="BG498" i="34"/>
  <c r="AQ499" i="34"/>
  <c r="AR498" i="34" l="1"/>
  <c r="AS498" i="34"/>
  <c r="BI498" i="34"/>
  <c r="BH498" i="34"/>
  <c r="AR499" i="34"/>
  <c r="AS499" i="34"/>
  <c r="A500" i="34"/>
  <c r="AY499" i="34"/>
  <c r="BG499" i="34"/>
  <c r="AQ500" i="34"/>
  <c r="AZ499" i="34" l="1"/>
  <c r="BA499" i="34"/>
  <c r="BI499" i="34"/>
  <c r="BH499" i="34"/>
  <c r="A501" i="34"/>
  <c r="AY501" i="34"/>
  <c r="AY500" i="34"/>
  <c r="BG500" i="34"/>
  <c r="A502" i="34" l="1"/>
  <c r="BG502" i="34"/>
  <c r="BG501" i="34"/>
  <c r="AQ501" i="34"/>
  <c r="A503" i="34" l="1"/>
  <c r="AY503" i="34"/>
  <c r="AY502" i="34"/>
  <c r="AQ502" i="34"/>
  <c r="AZ503" i="34" l="1"/>
  <c r="BA503" i="34"/>
  <c r="A504" i="34"/>
  <c r="BG504" i="34"/>
  <c r="AQ503" i="34"/>
  <c r="BG503" i="34"/>
  <c r="AR503" i="34" l="1"/>
  <c r="AS503" i="34"/>
  <c r="BH503" i="34"/>
  <c r="BI503" i="34"/>
  <c r="BI504" i="34"/>
  <c r="BH504" i="34"/>
  <c r="A505" i="34"/>
  <c r="AQ504" i="34"/>
  <c r="AY504" i="34"/>
  <c r="BG505" i="34"/>
  <c r="AR504" i="34" l="1"/>
  <c r="AS504" i="34"/>
  <c r="AZ504" i="34"/>
  <c r="BA504" i="34"/>
  <c r="A506" i="34"/>
  <c r="AY505" i="34"/>
  <c r="AY506" i="34"/>
  <c r="AQ505" i="34"/>
  <c r="AZ506" i="34" l="1"/>
  <c r="BA506" i="34"/>
  <c r="A507" i="34"/>
  <c r="AQ506" i="34"/>
  <c r="BG506" i="34"/>
  <c r="AY507" i="34"/>
  <c r="BH506" i="34" l="1"/>
  <c r="BI506" i="34"/>
  <c r="AS506" i="34"/>
  <c r="AR506" i="34"/>
  <c r="AZ507" i="34"/>
  <c r="BA507" i="34"/>
  <c r="A508" i="34"/>
  <c r="BG507" i="34"/>
  <c r="AQ508" i="34"/>
  <c r="AQ507" i="34"/>
  <c r="AR507" i="34" l="1"/>
  <c r="AS507" i="34"/>
  <c r="BH507" i="34"/>
  <c r="BI507" i="34"/>
  <c r="AS508" i="34"/>
  <c r="AR508" i="34"/>
  <c r="A509" i="34"/>
  <c r="BG509" i="34"/>
  <c r="AY508" i="34"/>
  <c r="BG508" i="34"/>
  <c r="BA508" i="34" l="1"/>
  <c r="AZ508" i="34"/>
  <c r="BI508" i="34"/>
  <c r="BH508" i="34"/>
  <c r="A510" i="34"/>
  <c r="AY510" i="34"/>
  <c r="AQ509" i="34"/>
  <c r="AY509" i="34"/>
  <c r="BA510" i="34" l="1"/>
  <c r="AZ510" i="34"/>
  <c r="A511" i="34"/>
  <c r="AQ511" i="34"/>
  <c r="BG510" i="34"/>
  <c r="AQ510" i="34"/>
  <c r="AS510" i="34" l="1"/>
  <c r="AR510" i="34"/>
  <c r="BI510" i="34"/>
  <c r="BH510" i="34"/>
  <c r="AS511" i="34"/>
  <c r="AR511" i="34"/>
  <c r="A512" i="34"/>
  <c r="BG511" i="34"/>
  <c r="AY511" i="34"/>
  <c r="BG512" i="34"/>
  <c r="AZ511" i="34" l="1"/>
  <c r="BA511" i="34"/>
  <c r="BI511" i="34"/>
  <c r="BH511" i="34"/>
  <c r="BI512" i="34"/>
  <c r="BH512" i="34"/>
  <c r="A513" i="34"/>
  <c r="AQ512" i="34"/>
  <c r="AY512" i="34"/>
  <c r="AY513" i="34"/>
  <c r="AS512" i="34" l="1"/>
  <c r="AR512" i="34"/>
  <c r="BA512" i="34"/>
  <c r="AZ512" i="34"/>
  <c r="A514" i="34"/>
  <c r="AY514" i="34"/>
  <c r="BG513" i="34"/>
  <c r="AQ513" i="34"/>
  <c r="BA514" i="34" l="1"/>
  <c r="AZ514" i="34"/>
  <c r="A515" i="34"/>
  <c r="AY515" i="34"/>
  <c r="AQ514" i="34"/>
  <c r="BG514" i="34"/>
  <c r="AR514" i="34" l="1"/>
  <c r="AS514" i="34"/>
  <c r="BH514" i="34"/>
  <c r="BI514" i="34"/>
  <c r="AZ515" i="34"/>
  <c r="BA515" i="34"/>
  <c r="A516" i="34"/>
  <c r="BG515" i="34"/>
  <c r="AQ515" i="34"/>
  <c r="BG516" i="34"/>
  <c r="BH515" i="34" l="1"/>
  <c r="BI515" i="34"/>
  <c r="AR515" i="34"/>
  <c r="AS515" i="34"/>
  <c r="BH516" i="34"/>
  <c r="BI516" i="34"/>
  <c r="A517" i="34"/>
  <c r="AY516" i="34"/>
  <c r="AQ517" i="34"/>
  <c r="AQ516" i="34"/>
  <c r="AS516" i="34" l="1"/>
  <c r="AR516" i="34"/>
  <c r="BA516" i="34"/>
  <c r="AZ516" i="34"/>
  <c r="AR517" i="34"/>
  <c r="AS517" i="34"/>
  <c r="A518" i="34"/>
  <c r="AY517" i="34"/>
  <c r="BG517" i="34"/>
  <c r="BG518" i="34"/>
  <c r="BA517" i="34" l="1"/>
  <c r="AZ517" i="34"/>
  <c r="BH517" i="34"/>
  <c r="BI517" i="34"/>
  <c r="A519" i="34"/>
  <c r="AY518" i="34"/>
  <c r="AQ518" i="34"/>
  <c r="BG519" i="34"/>
  <c r="A520" i="34" l="1"/>
  <c r="AY520" i="34"/>
  <c r="AY519" i="34"/>
  <c r="AQ519" i="34"/>
  <c r="A521" i="34" l="1"/>
  <c r="AQ520" i="34"/>
  <c r="AQ521" i="34"/>
  <c r="BG520" i="34"/>
  <c r="AR521" i="34" l="1"/>
  <c r="AS521" i="34"/>
  <c r="A522" i="34"/>
  <c r="AY521" i="34"/>
  <c r="BG521" i="34"/>
  <c r="AQ522" i="34"/>
  <c r="BA521" i="34" l="1"/>
  <c r="AZ521" i="34"/>
  <c r="BI521" i="34"/>
  <c r="BH521" i="34"/>
  <c r="AR522" i="34"/>
  <c r="AS522" i="34"/>
  <c r="A523" i="34"/>
  <c r="BG522" i="34"/>
  <c r="AY522" i="34"/>
  <c r="BG523" i="34"/>
  <c r="BH522" i="34" l="1"/>
  <c r="BI522" i="34"/>
  <c r="AZ522" i="34"/>
  <c r="BA522" i="34"/>
  <c r="BH523" i="34"/>
  <c r="BI523" i="34"/>
  <c r="A524" i="34"/>
  <c r="AQ523" i="34"/>
  <c r="AY523" i="34"/>
  <c r="AY524" i="34"/>
  <c r="AS523" i="34" l="1"/>
  <c r="AR523" i="34"/>
  <c r="BA523" i="34"/>
  <c r="AZ523" i="34"/>
  <c r="A525" i="34"/>
  <c r="BG524" i="34"/>
  <c r="AQ524" i="34"/>
  <c r="AQ525" i="34"/>
  <c r="A526" i="34" l="1"/>
  <c r="AY525" i="34"/>
  <c r="BG525" i="34"/>
  <c r="BG526" i="34"/>
  <c r="A527" i="34" l="1"/>
  <c r="AQ526" i="34"/>
  <c r="AY527" i="34"/>
  <c r="AY526" i="34"/>
  <c r="AZ527" i="34" l="1"/>
  <c r="BA527" i="34"/>
  <c r="A528" i="34"/>
  <c r="AQ527" i="34"/>
  <c r="BG528" i="34"/>
  <c r="BG527" i="34"/>
  <c r="BI527" i="34" l="1"/>
  <c r="BH527" i="34"/>
  <c r="AR527" i="34"/>
  <c r="AS527" i="34"/>
  <c r="BI528" i="34"/>
  <c r="BH528" i="34"/>
  <c r="A529" i="34"/>
  <c r="AY528" i="34"/>
  <c r="AQ528" i="34"/>
  <c r="AQ529" i="34"/>
  <c r="AS528" i="34" l="1"/>
  <c r="AR528" i="34"/>
  <c r="BA528" i="34"/>
  <c r="AZ528" i="34"/>
  <c r="A530" i="34"/>
  <c r="BG529" i="34"/>
  <c r="AY530" i="34"/>
  <c r="AY529" i="34"/>
  <c r="BA530" i="34" l="1"/>
  <c r="AZ530" i="34"/>
  <c r="A531" i="34"/>
  <c r="AQ530" i="34"/>
  <c r="BG530" i="34"/>
  <c r="AQ531" i="34"/>
  <c r="BI530" i="34" l="1"/>
  <c r="BH530" i="34"/>
  <c r="AR530" i="34"/>
  <c r="AS530" i="34"/>
  <c r="AR531" i="34"/>
  <c r="AS531" i="34"/>
  <c r="A532" i="34"/>
  <c r="AY531" i="34"/>
  <c r="BG531" i="34"/>
  <c r="AY532" i="34"/>
  <c r="BA531" i="34" l="1"/>
  <c r="AZ531" i="34"/>
  <c r="BI531" i="34"/>
  <c r="BH531" i="34"/>
  <c r="BA532" i="34"/>
  <c r="AZ532" i="34"/>
  <c r="A533" i="34"/>
  <c r="BG532" i="34"/>
  <c r="AQ532" i="34"/>
  <c r="AY533" i="34"/>
  <c r="AS532" i="34" l="1"/>
  <c r="AR532" i="34"/>
  <c r="BH532" i="34"/>
  <c r="BI532" i="34"/>
  <c r="A534" i="34"/>
  <c r="BG534" i="34"/>
  <c r="AQ533" i="34"/>
  <c r="BG533" i="34"/>
  <c r="BI534" i="34" l="1"/>
  <c r="BH534" i="34"/>
  <c r="A535" i="34"/>
  <c r="BG535" i="34"/>
  <c r="AY534" i="34"/>
  <c r="AQ534" i="34"/>
  <c r="BA534" i="34" l="1"/>
  <c r="AZ534" i="34"/>
  <c r="AS534" i="34"/>
  <c r="AR534" i="34"/>
  <c r="BH535" i="34"/>
  <c r="BI535" i="34"/>
  <c r="A536" i="34"/>
  <c r="AY535" i="34"/>
  <c r="AQ535" i="34"/>
  <c r="AQ536" i="34"/>
  <c r="AS535" i="34" l="1"/>
  <c r="AR535" i="34"/>
  <c r="AZ535" i="34"/>
  <c r="BA535" i="34"/>
  <c r="AR536" i="34"/>
  <c r="AS536" i="34"/>
  <c r="A537" i="34"/>
  <c r="BG536" i="34"/>
  <c r="AY536" i="34"/>
  <c r="BG537" i="34"/>
  <c r="AZ536" i="34" l="1"/>
  <c r="BA536" i="34"/>
  <c r="BI536" i="34"/>
  <c r="BH536" i="34"/>
  <c r="A538" i="34"/>
  <c r="AQ537" i="34"/>
  <c r="BG538" i="34"/>
  <c r="AY537" i="34"/>
  <c r="BH538" i="34" l="1"/>
  <c r="BI538" i="34"/>
  <c r="A539" i="34"/>
  <c r="AQ538" i="34"/>
  <c r="AY539" i="34"/>
  <c r="AY538" i="34"/>
  <c r="AZ538" i="34" l="1"/>
  <c r="BA538" i="34"/>
  <c r="AR538" i="34"/>
  <c r="AS538" i="34"/>
  <c r="AZ539" i="34"/>
  <c r="BA539" i="34"/>
  <c r="A540" i="34"/>
  <c r="AQ539" i="34"/>
  <c r="BG539" i="34"/>
  <c r="BG540" i="34"/>
  <c r="BI539" i="34" l="1"/>
  <c r="BH539" i="34"/>
  <c r="AR539" i="34"/>
  <c r="AS539" i="34"/>
  <c r="BH540" i="34"/>
  <c r="BI540" i="34"/>
  <c r="A541" i="34"/>
  <c r="AQ540" i="34"/>
  <c r="AY540" i="34"/>
  <c r="BG541" i="34"/>
  <c r="AZ540" i="34" l="1"/>
  <c r="BA540" i="34"/>
  <c r="AS540" i="34"/>
  <c r="AR540" i="34"/>
  <c r="BH541" i="34"/>
  <c r="BI541" i="34"/>
  <c r="A542" i="34"/>
  <c r="A543" i="34" s="1"/>
  <c r="A544" i="34" s="1"/>
  <c r="A545" i="34" s="1"/>
  <c r="BG545" i="34"/>
  <c r="AY541" i="34"/>
  <c r="AQ541" i="34"/>
  <c r="AS541" i="34" l="1"/>
  <c r="AR541" i="34"/>
  <c r="BA541" i="34"/>
  <c r="AZ541" i="34"/>
  <c r="A546" i="34"/>
  <c r="AQ546" i="34"/>
  <c r="AQ545" i="34"/>
  <c r="AY545" i="34"/>
  <c r="AR546" i="34" l="1"/>
  <c r="AS546" i="34"/>
  <c r="A547" i="34"/>
  <c r="AY546" i="34"/>
  <c r="BG546" i="34"/>
  <c r="BG547" i="34"/>
  <c r="BI546" i="34" l="1"/>
  <c r="BH546" i="34"/>
  <c r="AZ546" i="34"/>
  <c r="BA546" i="34"/>
  <c r="BI547" i="34"/>
  <c r="BH547" i="34"/>
  <c r="A548" i="34"/>
  <c r="AY547" i="34"/>
  <c r="AQ547" i="34"/>
  <c r="BG548" i="34"/>
  <c r="AR547" i="34" l="1"/>
  <c r="AS547" i="34"/>
  <c r="BA547" i="34"/>
  <c r="AZ547" i="34"/>
  <c r="BI548" i="34"/>
  <c r="BH548" i="34"/>
  <c r="A549" i="34"/>
  <c r="AQ548" i="34"/>
  <c r="AQ549" i="34"/>
  <c r="AY548" i="34"/>
  <c r="AR548" i="34" l="1"/>
  <c r="AS548" i="34"/>
  <c r="BA548" i="34"/>
  <c r="AZ548" i="34"/>
  <c r="AR549" i="34"/>
  <c r="AS549" i="34"/>
  <c r="A550" i="34"/>
  <c r="AY549" i="34"/>
  <c r="BG549" i="34"/>
  <c r="AQ550" i="34"/>
  <c r="BH549" i="34" l="1"/>
  <c r="BI549" i="34"/>
  <c r="BA549" i="34"/>
  <c r="AZ549" i="34"/>
  <c r="AS550" i="34"/>
  <c r="AR550" i="34"/>
  <c r="AQ544" i="34"/>
  <c r="A551" i="34"/>
  <c r="A552" i="34" s="1"/>
  <c r="AQ552" i="34"/>
  <c r="AY550" i="34"/>
  <c r="BG550" i="34"/>
  <c r="BH550" i="34" l="1"/>
  <c r="BI550" i="34"/>
  <c r="BG544" i="34"/>
  <c r="AZ550" i="34"/>
  <c r="AY544" i="34"/>
  <c r="BA550" i="34"/>
  <c r="A553" i="34"/>
  <c r="AY552" i="34"/>
  <c r="BG552" i="34"/>
  <c r="AQ553" i="34"/>
  <c r="AR553" i="34" l="1"/>
  <c r="AS553" i="34"/>
  <c r="A554" i="34"/>
  <c r="AY553" i="34"/>
  <c r="AY554" i="34"/>
  <c r="BG553" i="34"/>
  <c r="BA553" i="34" l="1"/>
  <c r="AZ553" i="34"/>
  <c r="BI553" i="34"/>
  <c r="BH553" i="34"/>
  <c r="AZ554" i="34"/>
  <c r="BA554" i="34"/>
  <c r="A555" i="34"/>
  <c r="BG554" i="34"/>
  <c r="AQ554" i="34"/>
  <c r="AQ555" i="34"/>
  <c r="AR554" i="34" l="1"/>
  <c r="AS554" i="34"/>
  <c r="BH554" i="34"/>
  <c r="BI554" i="34"/>
  <c r="AR555" i="34"/>
  <c r="AS555" i="34"/>
  <c r="A556" i="34"/>
  <c r="BG555" i="34"/>
  <c r="AY555" i="34"/>
  <c r="AQ556" i="34"/>
  <c r="BI555" i="34" l="1"/>
  <c r="BH555" i="34"/>
  <c r="BA555" i="34"/>
  <c r="AZ555" i="34"/>
  <c r="AS556" i="34"/>
  <c r="AR556" i="34"/>
  <c r="A557" i="34"/>
  <c r="BG556" i="34"/>
  <c r="AY557" i="34"/>
  <c r="AY556" i="34"/>
  <c r="BH556" i="34" l="1"/>
  <c r="BI556" i="34"/>
  <c r="AZ556" i="34"/>
  <c r="BA556" i="34"/>
  <c r="BA557" i="34"/>
  <c r="AZ557" i="34"/>
  <c r="AY551" i="34"/>
  <c r="A558" i="34"/>
  <c r="A559" i="34" s="1"/>
  <c r="A560" i="34" s="1"/>
  <c r="AQ557" i="34"/>
  <c r="BG557" i="34"/>
  <c r="BG560" i="34"/>
  <c r="AS557" i="34" l="1"/>
  <c r="AR557" i="34"/>
  <c r="AQ551" i="34"/>
  <c r="BI557" i="34"/>
  <c r="BH557" i="34"/>
  <c r="BG551" i="34"/>
  <c r="A561" i="34"/>
  <c r="AQ560" i="34"/>
  <c r="AY560" i="34"/>
  <c r="AY561" i="34"/>
  <c r="A562" i="34" l="1"/>
  <c r="AQ561" i="34"/>
  <c r="AY562" i="34"/>
  <c r="BG561" i="34"/>
  <c r="A563" i="34" l="1"/>
  <c r="AY563" i="34"/>
  <c r="AQ562" i="34"/>
  <c r="BG562" i="34"/>
  <c r="AZ563" i="34" l="1"/>
  <c r="BA563" i="34"/>
  <c r="A564" i="34"/>
  <c r="AY564" i="34"/>
  <c r="BG563" i="34"/>
  <c r="AQ563" i="34"/>
  <c r="AR563" i="34" l="1"/>
  <c r="AS563" i="34"/>
  <c r="BH563" i="34"/>
  <c r="BI563" i="34"/>
  <c r="AZ564" i="34"/>
  <c r="BA564" i="34"/>
  <c r="A565" i="34"/>
  <c r="BG564" i="34"/>
  <c r="AQ565" i="34"/>
  <c r="AQ564" i="34"/>
  <c r="BI564" i="34" l="1"/>
  <c r="BH564" i="34"/>
  <c r="AR564" i="34"/>
  <c r="AS564" i="34"/>
  <c r="A566" i="34"/>
  <c r="BG565" i="34"/>
  <c r="AY565" i="34"/>
  <c r="AY566" i="34"/>
  <c r="A567" i="34" l="1"/>
  <c r="AQ566" i="34"/>
  <c r="AQ567" i="34"/>
  <c r="BG566" i="34"/>
  <c r="AR567" i="34" l="1"/>
  <c r="AS567" i="34"/>
  <c r="A568" i="34"/>
  <c r="BG567" i="34"/>
  <c r="BG568" i="34"/>
  <c r="AY567" i="34"/>
  <c r="BI567" i="34" l="1"/>
  <c r="BH567" i="34"/>
  <c r="AZ567" i="34"/>
  <c r="BA567" i="34"/>
  <c r="BI568" i="34"/>
  <c r="BH568" i="34"/>
  <c r="A569" i="34"/>
  <c r="AY568" i="34"/>
  <c r="AQ568" i="34"/>
  <c r="AQ569" i="34"/>
  <c r="AR568" i="34" l="1"/>
  <c r="AS568" i="34"/>
  <c r="BA568" i="34"/>
  <c r="AZ568" i="34"/>
  <c r="AR569" i="34"/>
  <c r="AS569" i="34"/>
  <c r="A570" i="34"/>
  <c r="BG569" i="34"/>
  <c r="AY569" i="34"/>
  <c r="BG570" i="34"/>
  <c r="BH569" i="34" l="1"/>
  <c r="BI569" i="34"/>
  <c r="BA569" i="34"/>
  <c r="AZ569" i="34"/>
  <c r="A571" i="34"/>
  <c r="BG571" i="34"/>
  <c r="AQ570" i="34"/>
  <c r="AY570" i="34"/>
  <c r="BH571" i="34" l="1"/>
  <c r="BI571" i="34"/>
  <c r="A572" i="34"/>
  <c r="AY571" i="34"/>
  <c r="AQ571" i="34"/>
  <c r="AQ572" i="34"/>
  <c r="BA571" i="34" l="1"/>
  <c r="AZ571" i="34"/>
  <c r="AS571" i="34"/>
  <c r="AR571" i="34"/>
  <c r="AS572" i="34"/>
  <c r="AR572" i="34"/>
  <c r="A573" i="34"/>
  <c r="BG572" i="34"/>
  <c r="AQ573" i="34"/>
  <c r="AY572" i="34"/>
  <c r="BH572" i="34" l="1"/>
  <c r="BI572" i="34"/>
  <c r="AZ572" i="34"/>
  <c r="BA572" i="34"/>
  <c r="AS573" i="34"/>
  <c r="AR573" i="34"/>
  <c r="A574" i="34"/>
  <c r="BG573" i="34"/>
  <c r="AY573" i="34"/>
  <c r="AY574" i="34"/>
  <c r="AZ573" i="34" l="1"/>
  <c r="BA573" i="34"/>
  <c r="BH573" i="34"/>
  <c r="BI573" i="34"/>
  <c r="BA574" i="34"/>
  <c r="AZ574" i="34"/>
  <c r="A575" i="34"/>
  <c r="BG574" i="34"/>
  <c r="AQ574" i="34"/>
  <c r="BG575" i="34"/>
  <c r="BH574" i="34" l="1"/>
  <c r="BI574" i="34"/>
  <c r="AR574" i="34"/>
  <c r="AS574" i="34"/>
  <c r="BH575" i="34"/>
  <c r="BI575" i="34"/>
  <c r="A576" i="34"/>
  <c r="AQ575" i="34"/>
  <c r="AQ576" i="34"/>
  <c r="AY575" i="34"/>
  <c r="AS575" i="34" l="1"/>
  <c r="AR575" i="34"/>
  <c r="AZ575" i="34"/>
  <c r="BA575" i="34"/>
  <c r="A577" i="34"/>
  <c r="AY576" i="34"/>
  <c r="AY577" i="34"/>
  <c r="BG576" i="34"/>
  <c r="A578" i="34" l="1"/>
  <c r="BG577" i="34"/>
  <c r="BG578" i="34"/>
  <c r="AQ577" i="34"/>
  <c r="BI578" i="34" l="1"/>
  <c r="BH578" i="34"/>
  <c r="A579" i="34"/>
  <c r="AQ578" i="34"/>
  <c r="AY578" i="34"/>
  <c r="AQ579" i="34"/>
  <c r="BA578" i="34" l="1"/>
  <c r="AZ578" i="34"/>
  <c r="AS578" i="34"/>
  <c r="AR578" i="34"/>
  <c r="AR579" i="34"/>
  <c r="AS579" i="34"/>
  <c r="A580" i="34"/>
  <c r="AY579" i="34"/>
  <c r="BG579" i="34"/>
  <c r="BG580" i="34"/>
  <c r="AZ579" i="34" l="1"/>
  <c r="BA579" i="34"/>
  <c r="BI579" i="34"/>
  <c r="BH579" i="34"/>
  <c r="A581" i="34"/>
  <c r="AQ580" i="34"/>
  <c r="AY581" i="34"/>
  <c r="AY580" i="34"/>
  <c r="A582" i="34" l="1"/>
  <c r="AQ581" i="34"/>
  <c r="BG581" i="34"/>
  <c r="AQ582" i="34"/>
  <c r="AR582" i="34" l="1"/>
  <c r="AS582" i="34"/>
  <c r="A583" i="34"/>
  <c r="BG582" i="34"/>
  <c r="AY582" i="34"/>
  <c r="AY583" i="34"/>
  <c r="BA582" i="34" l="1"/>
  <c r="AZ582" i="34"/>
  <c r="BI582" i="34"/>
  <c r="BH582" i="34"/>
  <c r="AZ583" i="34"/>
  <c r="BA583" i="34"/>
  <c r="A584" i="34"/>
  <c r="BG583" i="34"/>
  <c r="AQ583" i="34"/>
  <c r="AY584" i="34"/>
  <c r="AS583" i="34" l="1"/>
  <c r="AR583" i="34"/>
  <c r="BI583" i="34"/>
  <c r="BH583" i="34"/>
  <c r="BA584" i="34"/>
  <c r="AZ584" i="34"/>
  <c r="A585" i="34"/>
  <c r="AQ584" i="34"/>
  <c r="BG584" i="34"/>
  <c r="AY585" i="34"/>
  <c r="AR584" i="34" l="1"/>
  <c r="AS584" i="34"/>
  <c r="BH584" i="34"/>
  <c r="BI584" i="34"/>
  <c r="A586" i="34"/>
  <c r="BG585" i="34"/>
  <c r="AQ585" i="34"/>
  <c r="BG586" i="34"/>
  <c r="BH586" i="34" l="1"/>
  <c r="BI586" i="34"/>
  <c r="A587" i="34"/>
  <c r="AY586" i="34"/>
  <c r="AQ586" i="34"/>
  <c r="BG587" i="34"/>
  <c r="AZ586" i="34" l="1"/>
  <c r="BA586" i="34"/>
  <c r="AR586" i="34"/>
  <c r="AS586" i="34"/>
  <c r="BH587" i="34"/>
  <c r="BI587" i="34"/>
  <c r="A588" i="34"/>
  <c r="AY587" i="34"/>
  <c r="AQ587" i="34"/>
  <c r="AQ588" i="34"/>
  <c r="AS587" i="34" l="1"/>
  <c r="AR587" i="34"/>
  <c r="BA587" i="34"/>
  <c r="AZ587" i="34"/>
  <c r="AS588" i="34"/>
  <c r="AR588" i="34"/>
  <c r="A589" i="34"/>
  <c r="BG588" i="34"/>
  <c r="AY588" i="34"/>
  <c r="AQ589" i="34"/>
  <c r="AZ588" i="34" l="1"/>
  <c r="BA588" i="34"/>
  <c r="BI588" i="34"/>
  <c r="BH588" i="34"/>
  <c r="AR589" i="34"/>
  <c r="AS589" i="34"/>
  <c r="A590" i="34"/>
  <c r="BG589" i="34"/>
  <c r="AY589" i="34"/>
  <c r="AY590" i="34"/>
  <c r="BA589" i="34" l="1"/>
  <c r="AZ589" i="34"/>
  <c r="BI589" i="34"/>
  <c r="BH589" i="34"/>
  <c r="BA590" i="34"/>
  <c r="AZ590" i="34"/>
  <c r="A591" i="34"/>
  <c r="BG590" i="34"/>
  <c r="AQ590" i="34"/>
  <c r="BG591" i="34"/>
  <c r="BI590" i="34" l="1"/>
  <c r="BH590" i="34"/>
  <c r="AR590" i="34"/>
  <c r="AS590" i="34"/>
  <c r="A592" i="34"/>
  <c r="AY591" i="34"/>
  <c r="AY592" i="34"/>
  <c r="AQ591" i="34"/>
  <c r="A593" i="34" l="1"/>
  <c r="AQ592" i="34"/>
  <c r="AY593" i="34"/>
  <c r="BG592" i="34"/>
  <c r="A594" i="34" l="1"/>
  <c r="AQ594" i="34"/>
  <c r="BG593" i="34"/>
  <c r="AQ593" i="34"/>
  <c r="AS594" i="34" l="1"/>
  <c r="AR594" i="34"/>
  <c r="A595" i="34"/>
  <c r="BG594" i="34"/>
  <c r="AY594" i="34"/>
  <c r="BG595" i="34"/>
  <c r="BH594" i="34" l="1"/>
  <c r="BI594" i="34"/>
  <c r="AZ594" i="34"/>
  <c r="BA594" i="34"/>
  <c r="BH595" i="34"/>
  <c r="BI595" i="34"/>
  <c r="A596" i="34"/>
  <c r="AY595" i="34"/>
  <c r="AQ595" i="34"/>
  <c r="AQ596" i="34"/>
  <c r="AZ595" i="34" l="1"/>
  <c r="BA595" i="34"/>
  <c r="AS595" i="34"/>
  <c r="AR595" i="34"/>
  <c r="A597" i="34"/>
  <c r="AY596" i="34"/>
  <c r="AY597" i="34"/>
  <c r="BG596" i="34"/>
  <c r="A598" i="34" l="1"/>
  <c r="BG597" i="34"/>
  <c r="AQ598" i="34"/>
  <c r="AQ597" i="34"/>
  <c r="AR598" i="34" l="1"/>
  <c r="AS598" i="34"/>
  <c r="A599" i="34"/>
  <c r="AY598" i="34"/>
  <c r="AY599" i="34"/>
  <c r="BG598" i="34"/>
  <c r="AZ598" i="34" l="1"/>
  <c r="BA598" i="34"/>
  <c r="BI598" i="34"/>
  <c r="BH598" i="34"/>
  <c r="BA599" i="34"/>
  <c r="AZ599" i="34"/>
  <c r="A600" i="34"/>
  <c r="BG599" i="34"/>
  <c r="AQ599" i="34"/>
  <c r="AY600" i="34"/>
  <c r="AS599" i="34" l="1"/>
  <c r="AR599" i="34"/>
  <c r="BH599" i="34"/>
  <c r="BI599" i="34"/>
  <c r="AZ600" i="34"/>
  <c r="BA600" i="34"/>
  <c r="A601" i="34"/>
  <c r="AQ600" i="34"/>
  <c r="BG600" i="34"/>
  <c r="BG601" i="34"/>
  <c r="BH600" i="34" l="1"/>
  <c r="BI600" i="34"/>
  <c r="AR600" i="34"/>
  <c r="AS600" i="34"/>
  <c r="A602" i="34"/>
  <c r="AQ602" i="34"/>
  <c r="AY601" i="34"/>
  <c r="AQ601" i="34"/>
  <c r="AS602" i="34" l="1"/>
  <c r="AR602" i="34"/>
  <c r="A603" i="34"/>
  <c r="AQ603" i="34"/>
  <c r="BG602" i="34"/>
  <c r="AY602" i="34"/>
  <c r="BI602" i="34" l="1"/>
  <c r="BH602" i="34"/>
  <c r="AZ602" i="34"/>
  <c r="BA602" i="34"/>
  <c r="AS603" i="34"/>
  <c r="AR603" i="34"/>
  <c r="A604" i="34"/>
  <c r="BG603" i="34"/>
  <c r="AY603" i="34"/>
  <c r="BG604" i="34"/>
  <c r="BI603" i="34" l="1"/>
  <c r="BH603" i="34"/>
  <c r="AZ603" i="34"/>
  <c r="BA603" i="34"/>
  <c r="BI604" i="34"/>
  <c r="BH604" i="34"/>
  <c r="A605" i="34"/>
  <c r="AQ604" i="34"/>
  <c r="AY605" i="34"/>
  <c r="AY604" i="34"/>
  <c r="AS604" i="34" l="1"/>
  <c r="AR604" i="34"/>
  <c r="AZ604" i="34"/>
  <c r="BA604" i="34"/>
  <c r="A606" i="34"/>
  <c r="AQ606" i="34"/>
  <c r="BG605" i="34"/>
  <c r="AQ605" i="34"/>
  <c r="AS606" i="34" l="1"/>
  <c r="AR606" i="34"/>
  <c r="A607" i="34"/>
  <c r="BG607" i="34"/>
  <c r="BG606" i="34"/>
  <c r="AY606" i="34"/>
  <c r="BH606" i="34" l="1"/>
  <c r="BI606" i="34"/>
  <c r="AZ606" i="34"/>
  <c r="BA606" i="34"/>
  <c r="BH607" i="34"/>
  <c r="BI607" i="34"/>
  <c r="A608" i="34"/>
  <c r="AY607" i="34"/>
  <c r="AQ607" i="34"/>
  <c r="AY608" i="34"/>
  <c r="AR607" i="34" l="1"/>
  <c r="AS607" i="34"/>
  <c r="AZ607" i="34"/>
  <c r="BA607" i="34"/>
  <c r="AZ608" i="34"/>
  <c r="BA608" i="34"/>
  <c r="A609" i="34"/>
  <c r="AQ608" i="34"/>
  <c r="BG608" i="34"/>
  <c r="AY609" i="34"/>
  <c r="AS608" i="34" l="1"/>
  <c r="AR608" i="34"/>
  <c r="BH608" i="34"/>
  <c r="BI608" i="34"/>
  <c r="A610" i="34"/>
  <c r="BG609" i="34"/>
  <c r="AQ609" i="34"/>
  <c r="AQ610" i="34"/>
  <c r="AR610" i="34" l="1"/>
  <c r="AS610" i="34"/>
  <c r="A611" i="34"/>
  <c r="BG610" i="34"/>
  <c r="AY610" i="34"/>
  <c r="AQ611" i="34"/>
  <c r="BI610" i="34" l="1"/>
  <c r="BH610" i="34"/>
  <c r="AZ610" i="34"/>
  <c r="BA610" i="34"/>
  <c r="AR611" i="34"/>
  <c r="AS611" i="34"/>
  <c r="A612" i="34"/>
  <c r="AQ612" i="34"/>
  <c r="AY611" i="34"/>
  <c r="BG611" i="34"/>
  <c r="BA611" i="34" l="1"/>
  <c r="AZ611" i="34"/>
  <c r="BI611" i="34"/>
  <c r="BH611" i="34"/>
  <c r="AR612" i="34"/>
  <c r="AS612" i="34"/>
  <c r="A613" i="34"/>
  <c r="AY612" i="34"/>
  <c r="AQ613" i="34"/>
  <c r="BG612" i="34"/>
  <c r="BA612" i="34" l="1"/>
  <c r="AZ612" i="34"/>
  <c r="BI612" i="34"/>
  <c r="BH612" i="34"/>
  <c r="AS613" i="34"/>
  <c r="AR613" i="34"/>
  <c r="A614" i="34"/>
  <c r="BG613" i="34"/>
  <c r="AY613" i="34"/>
  <c r="BG614" i="34"/>
  <c r="BA613" i="34" l="1"/>
  <c r="AZ613" i="34"/>
  <c r="BH613" i="34"/>
  <c r="BI613" i="34"/>
  <c r="BI614" i="34"/>
  <c r="BH614" i="34"/>
  <c r="A615" i="34"/>
  <c r="AQ614" i="34"/>
  <c r="AY614" i="34"/>
  <c r="BG615" i="34"/>
  <c r="AR614" i="34" l="1"/>
  <c r="AS614" i="34"/>
  <c r="BA614" i="34"/>
  <c r="AZ614" i="34"/>
  <c r="A616" i="34"/>
  <c r="AY615" i="34"/>
  <c r="AQ616" i="34"/>
  <c r="AQ615" i="34"/>
  <c r="A617" i="34" l="1"/>
  <c r="BG616" i="34"/>
  <c r="AY617" i="34"/>
  <c r="AY616" i="34"/>
  <c r="AZ617" i="34" l="1"/>
  <c r="BA617" i="34"/>
  <c r="A618" i="34"/>
  <c r="AQ617" i="34"/>
  <c r="BG617" i="34"/>
  <c r="AY618" i="34"/>
  <c r="AR617" i="34" l="1"/>
  <c r="AS617" i="34"/>
  <c r="BH617" i="34"/>
  <c r="BI617" i="34"/>
  <c r="BA618" i="34"/>
  <c r="AZ618" i="34"/>
  <c r="A619" i="34"/>
  <c r="AQ618" i="34"/>
  <c r="BG618" i="34"/>
  <c r="AY619" i="34"/>
  <c r="BH618" i="34" l="1"/>
  <c r="BI618" i="34"/>
  <c r="AS618" i="34"/>
  <c r="AR618" i="34"/>
  <c r="A620" i="34"/>
  <c r="AQ619" i="34"/>
  <c r="BG619" i="34"/>
  <c r="BG620" i="34"/>
  <c r="A621" i="34" l="1"/>
  <c r="AY620" i="34"/>
  <c r="AQ620" i="34"/>
  <c r="AY621" i="34"/>
  <c r="AZ621" i="34" l="1"/>
  <c r="BA621" i="34"/>
  <c r="A622" i="34"/>
  <c r="AQ621" i="34"/>
  <c r="BG622" i="34"/>
  <c r="BG621" i="34"/>
  <c r="AS621" i="34" l="1"/>
  <c r="AR621" i="34"/>
  <c r="BI621" i="34"/>
  <c r="BH621" i="34"/>
  <c r="BI622" i="34"/>
  <c r="BH622" i="34"/>
  <c r="A623" i="34"/>
  <c r="AQ622" i="34"/>
  <c r="AY622" i="34"/>
  <c r="BG623" i="34"/>
  <c r="BA622" i="34" l="1"/>
  <c r="AZ622" i="34"/>
  <c r="AR622" i="34"/>
  <c r="AS622" i="34"/>
  <c r="BI623" i="34"/>
  <c r="BH623" i="34"/>
  <c r="A624" i="34"/>
  <c r="AY623" i="34"/>
  <c r="AQ623" i="34"/>
  <c r="AY624" i="34"/>
  <c r="AZ623" i="34" l="1"/>
  <c r="BA623" i="34"/>
  <c r="AS623" i="34"/>
  <c r="AR623" i="34"/>
  <c r="A625" i="34"/>
  <c r="BG625" i="34"/>
  <c r="BG624" i="34"/>
  <c r="AQ624" i="34"/>
  <c r="BH625" i="34" l="1"/>
  <c r="BI625" i="34"/>
  <c r="A626" i="34"/>
  <c r="AY625" i="34"/>
  <c r="AY626" i="34"/>
  <c r="AQ625" i="34"/>
  <c r="AR625" i="34" l="1"/>
  <c r="AS625" i="34"/>
  <c r="BA625" i="34"/>
  <c r="AZ625" i="34"/>
  <c r="BA626" i="34"/>
  <c r="AZ626" i="34"/>
  <c r="A627" i="34"/>
  <c r="BG626" i="34"/>
  <c r="AQ626" i="34"/>
  <c r="AY627" i="34"/>
  <c r="BI626" i="34" l="1"/>
  <c r="BH626" i="34"/>
  <c r="AR626" i="34"/>
  <c r="AS626" i="34"/>
  <c r="BA627" i="34"/>
  <c r="AZ627" i="34"/>
  <c r="A628" i="34"/>
  <c r="BG627" i="34"/>
  <c r="AQ627" i="34"/>
  <c r="AY628" i="34"/>
  <c r="AR627" i="34" l="1"/>
  <c r="AS627" i="34"/>
  <c r="BH627" i="34"/>
  <c r="BI627" i="34"/>
  <c r="A629" i="34"/>
  <c r="AQ628" i="34"/>
  <c r="BG628" i="34"/>
  <c r="AQ629" i="34"/>
  <c r="AS629" i="34" l="1"/>
  <c r="AR629" i="34"/>
  <c r="A630" i="34"/>
  <c r="AY630" i="34"/>
  <c r="AY629" i="34"/>
  <c r="BG629" i="34"/>
  <c r="AZ629" i="34" l="1"/>
  <c r="BA629" i="34"/>
  <c r="BH629" i="34"/>
  <c r="BI629" i="34"/>
  <c r="AZ630" i="34"/>
  <c r="BA630" i="34"/>
  <c r="A631" i="34"/>
  <c r="BG630" i="34"/>
  <c r="AQ630" i="34"/>
  <c r="AY631" i="34"/>
  <c r="AR630" i="34" l="1"/>
  <c r="AS630" i="34"/>
  <c r="BI630" i="34"/>
  <c r="BH630" i="34"/>
  <c r="BA631" i="34"/>
  <c r="AZ631" i="34"/>
  <c r="A632" i="34"/>
  <c r="BG631" i="34"/>
  <c r="AQ631" i="34"/>
  <c r="AQ632" i="34"/>
  <c r="BH631" i="34" l="1"/>
  <c r="BI631" i="34"/>
  <c r="AR631" i="34"/>
  <c r="AS631" i="34"/>
  <c r="A633" i="34"/>
  <c r="BG632" i="34"/>
  <c r="BG633" i="34"/>
  <c r="AY632" i="34"/>
  <c r="BH633" i="34" l="1"/>
  <c r="BI633" i="34"/>
  <c r="A634" i="34"/>
  <c r="AY633" i="34"/>
  <c r="AQ633" i="34"/>
  <c r="AY634" i="34"/>
  <c r="AS633" i="34" l="1"/>
  <c r="AR633" i="34"/>
  <c r="BA633" i="34"/>
  <c r="AZ633" i="34"/>
  <c r="AZ634" i="34"/>
  <c r="BA634" i="34"/>
  <c r="A635" i="34"/>
  <c r="AQ634" i="34"/>
  <c r="BG634" i="34"/>
  <c r="AQ635" i="34"/>
  <c r="AS634" i="34" l="1"/>
  <c r="AR634" i="34"/>
  <c r="BI634" i="34"/>
  <c r="BH634" i="34"/>
  <c r="AS635" i="34"/>
  <c r="AR635" i="34"/>
  <c r="A636" i="34"/>
  <c r="AY635" i="34"/>
  <c r="AQ636" i="34"/>
  <c r="BG635" i="34"/>
  <c r="BI635" i="34" l="1"/>
  <c r="BH635" i="34"/>
  <c r="AZ635" i="34"/>
  <c r="BA635" i="34"/>
  <c r="AS636" i="34"/>
  <c r="AR636" i="34"/>
  <c r="A637" i="34"/>
  <c r="BG636" i="34"/>
  <c r="AQ637" i="34"/>
  <c r="AY636" i="34"/>
  <c r="AZ636" i="34" l="1"/>
  <c r="BA636" i="34"/>
  <c r="BH636" i="34"/>
  <c r="BI636" i="34"/>
  <c r="AR637" i="34"/>
  <c r="AS637" i="34"/>
  <c r="A638" i="34"/>
  <c r="A639" i="34" s="1"/>
  <c r="A640" i="34" s="1"/>
  <c r="BG637" i="34"/>
  <c r="AY637" i="34"/>
  <c r="BG640" i="34"/>
  <c r="BA637" i="34" l="1"/>
  <c r="AZ637" i="34"/>
  <c r="BH637" i="34"/>
  <c r="BI637" i="34"/>
  <c r="A641" i="34"/>
  <c r="AQ640" i="34"/>
  <c r="BG641" i="34"/>
  <c r="AY640" i="34"/>
  <c r="A642" i="34" l="1"/>
  <c r="AQ641" i="34"/>
  <c r="AQ642" i="34"/>
  <c r="AY641" i="34"/>
  <c r="A643" i="34" l="1"/>
  <c r="AY643" i="34"/>
  <c r="BG642" i="34"/>
  <c r="AY642" i="34"/>
  <c r="BA643" i="34" l="1"/>
  <c r="AZ643" i="34"/>
  <c r="A644" i="34"/>
  <c r="BG643" i="34"/>
  <c r="AY644" i="34"/>
  <c r="AQ643" i="34"/>
  <c r="BI643" i="34" l="1"/>
  <c r="BH643" i="34"/>
  <c r="AS643" i="34"/>
  <c r="AR643" i="34"/>
  <c r="AZ644" i="34"/>
  <c r="BA644" i="34"/>
  <c r="A645" i="34"/>
  <c r="BG644" i="34"/>
  <c r="AQ644" i="34"/>
  <c r="AY645" i="34"/>
  <c r="AR644" i="34" l="1"/>
  <c r="AS644" i="34"/>
  <c r="BH644" i="34"/>
  <c r="BI644" i="34"/>
  <c r="AZ645" i="34"/>
  <c r="BA645" i="34"/>
  <c r="A646" i="34"/>
  <c r="BG645" i="34"/>
  <c r="BG646" i="34"/>
  <c r="AQ645" i="34"/>
  <c r="BH645" i="34" l="1"/>
  <c r="BI645" i="34"/>
  <c r="AR645" i="34"/>
  <c r="AS645" i="34"/>
  <c r="BI646" i="34"/>
  <c r="BH646" i="34"/>
  <c r="A647" i="34"/>
  <c r="AQ646" i="34"/>
  <c r="AY646" i="34"/>
  <c r="AY647" i="34"/>
  <c r="AS646" i="34" l="1"/>
  <c r="AR646" i="34"/>
  <c r="AZ646" i="34"/>
  <c r="BA646" i="34"/>
  <c r="AZ647" i="34"/>
  <c r="BA647" i="34"/>
  <c r="A648" i="34"/>
  <c r="BG647" i="34"/>
  <c r="AQ647" i="34"/>
  <c r="AQ648" i="34"/>
  <c r="AR647" i="34" l="1"/>
  <c r="AS647" i="34"/>
  <c r="BI647" i="34"/>
  <c r="BH647" i="34"/>
  <c r="AS648" i="34"/>
  <c r="AR648" i="34"/>
  <c r="A649" i="34"/>
  <c r="AY648" i="34"/>
  <c r="BG648" i="34"/>
  <c r="AQ649" i="34"/>
  <c r="AZ648" i="34" l="1"/>
  <c r="BA648" i="34"/>
  <c r="BH648" i="34"/>
  <c r="BI648" i="34"/>
  <c r="A650" i="34"/>
  <c r="BG649" i="34"/>
  <c r="AQ650" i="34"/>
  <c r="AY649" i="34"/>
  <c r="AS650" i="34" l="1"/>
  <c r="AR650" i="34"/>
  <c r="A651" i="34"/>
  <c r="BG650" i="34"/>
  <c r="AY650" i="34"/>
  <c r="BG651" i="34"/>
  <c r="BA650" i="34" l="1"/>
  <c r="AZ650" i="34"/>
  <c r="BI650" i="34"/>
  <c r="BH650" i="34"/>
  <c r="BI651" i="34"/>
  <c r="BH651" i="34"/>
  <c r="A652" i="34"/>
  <c r="AQ651" i="34"/>
  <c r="AY651" i="34"/>
  <c r="AY652" i="34"/>
  <c r="AR651" i="34" l="1"/>
  <c r="AS651" i="34"/>
  <c r="BA651" i="34"/>
  <c r="AZ651" i="34"/>
  <c r="BA652" i="34"/>
  <c r="AZ652" i="34"/>
  <c r="A653" i="34"/>
  <c r="BG652" i="34"/>
  <c r="AQ652" i="34"/>
  <c r="BG653" i="34"/>
  <c r="BI652" i="34" l="1"/>
  <c r="BH652" i="34"/>
  <c r="AS652" i="34"/>
  <c r="AR652" i="34"/>
  <c r="BI653" i="34"/>
  <c r="BH653" i="34"/>
  <c r="A654" i="34"/>
  <c r="AY653" i="34"/>
  <c r="AQ653" i="34"/>
  <c r="AQ654" i="34"/>
  <c r="AR653" i="34" l="1"/>
  <c r="AS653" i="34"/>
  <c r="BA653" i="34"/>
  <c r="AZ653" i="34"/>
  <c r="AS654" i="34"/>
  <c r="AR654" i="34"/>
  <c r="A655" i="34"/>
  <c r="AY654" i="34"/>
  <c r="BG654" i="34"/>
  <c r="AY655" i="34"/>
  <c r="AZ654" i="34" l="1"/>
  <c r="BA654" i="34"/>
  <c r="BI654" i="34"/>
  <c r="BH654" i="34"/>
  <c r="AZ655" i="34"/>
  <c r="BA655" i="34"/>
  <c r="A656" i="34"/>
  <c r="BG655" i="34"/>
  <c r="AQ655" i="34"/>
  <c r="AQ656" i="34"/>
  <c r="BI655" i="34" l="1"/>
  <c r="BH655" i="34"/>
  <c r="AR655" i="34"/>
  <c r="AS655" i="34"/>
  <c r="A657" i="34"/>
  <c r="AY656" i="34"/>
  <c r="BG656" i="34"/>
  <c r="AQ657" i="34"/>
  <c r="A658" i="34" l="1"/>
  <c r="AQ658" i="34"/>
  <c r="AY657" i="34"/>
  <c r="BG657" i="34"/>
  <c r="AS658" i="34" l="1"/>
  <c r="AR658" i="34"/>
  <c r="A659" i="34"/>
  <c r="BG658" i="34"/>
  <c r="AY659" i="34"/>
  <c r="AY658" i="34"/>
  <c r="BA658" i="34" l="1"/>
  <c r="AZ658" i="34"/>
  <c r="BI658" i="34"/>
  <c r="BH658" i="34"/>
  <c r="BA659" i="34"/>
  <c r="AZ659" i="34"/>
  <c r="A660" i="34"/>
  <c r="AQ659" i="34"/>
  <c r="BG659" i="34"/>
  <c r="AQ660" i="34"/>
  <c r="BI659" i="34" l="1"/>
  <c r="BH659" i="34"/>
  <c r="AR659" i="34"/>
  <c r="AS659" i="34"/>
  <c r="AS660" i="34"/>
  <c r="AR660" i="34"/>
  <c r="A661" i="34"/>
  <c r="AY660" i="34"/>
  <c r="AY661" i="34"/>
  <c r="BG660" i="34"/>
  <c r="BI660" i="34" l="1"/>
  <c r="BH660" i="34"/>
  <c r="AZ660" i="34"/>
  <c r="BA660" i="34"/>
  <c r="BA661" i="34"/>
  <c r="AZ661" i="34"/>
  <c r="A662" i="34"/>
  <c r="BG661" i="34"/>
  <c r="AQ661" i="34"/>
  <c r="BG662" i="34"/>
  <c r="BH661" i="34" l="1"/>
  <c r="BI661" i="34"/>
  <c r="AR661" i="34"/>
  <c r="AS661" i="34"/>
  <c r="BH662" i="34"/>
  <c r="BI662" i="34"/>
  <c r="A663" i="34"/>
  <c r="AY662" i="34"/>
  <c r="AQ662" i="34"/>
  <c r="AQ663" i="34"/>
  <c r="AR662" i="34" l="1"/>
  <c r="AS662" i="34"/>
  <c r="AZ662" i="34"/>
  <c r="BA662" i="34"/>
  <c r="AR663" i="34"/>
  <c r="AS663" i="34"/>
  <c r="A664" i="34"/>
  <c r="BG663" i="34"/>
  <c r="AY663" i="34"/>
  <c r="AQ664" i="34"/>
  <c r="BI663" i="34" l="1"/>
  <c r="BH663" i="34"/>
  <c r="BA663" i="34"/>
  <c r="AZ663" i="34"/>
  <c r="A665" i="34"/>
  <c r="AY664" i="34"/>
  <c r="BG664" i="34"/>
  <c r="AY665" i="34"/>
  <c r="AZ665" i="34" l="1"/>
  <c r="BA665" i="34"/>
  <c r="A666" i="34"/>
  <c r="AQ665" i="34"/>
  <c r="BG665" i="34"/>
  <c r="AQ666" i="34"/>
  <c r="AR665" i="34" l="1"/>
  <c r="AS665" i="34"/>
  <c r="BH665" i="34"/>
  <c r="BI665" i="34"/>
  <c r="AS666" i="34"/>
  <c r="AR666" i="34"/>
  <c r="A667" i="34"/>
  <c r="BG666" i="34"/>
  <c r="AY667" i="34"/>
  <c r="AY666" i="34"/>
  <c r="AZ666" i="34" l="1"/>
  <c r="BA666" i="34"/>
  <c r="BH666" i="34"/>
  <c r="BI666" i="34"/>
  <c r="BA667" i="34"/>
  <c r="AZ667" i="34"/>
  <c r="A668" i="34"/>
  <c r="AQ667" i="34"/>
  <c r="BG667" i="34"/>
  <c r="BG668" i="34"/>
  <c r="AS667" i="34" l="1"/>
  <c r="AR667" i="34"/>
  <c r="BI667" i="34"/>
  <c r="BH667" i="34"/>
  <c r="BI668" i="34"/>
  <c r="BH668" i="34"/>
  <c r="A669" i="34"/>
  <c r="AQ668" i="34"/>
  <c r="AY668" i="34"/>
  <c r="AY669" i="34"/>
  <c r="AS668" i="34" l="1"/>
  <c r="AR668" i="34"/>
  <c r="AZ668" i="34"/>
  <c r="BA668" i="34"/>
  <c r="AZ669" i="34"/>
  <c r="BA669" i="34"/>
  <c r="A670" i="34"/>
  <c r="AQ669" i="34"/>
  <c r="BG669" i="34"/>
  <c r="BG670" i="34"/>
  <c r="BH669" i="34" l="1"/>
  <c r="BI669" i="34"/>
  <c r="AS669" i="34"/>
  <c r="AR669" i="34"/>
  <c r="BH670" i="34"/>
  <c r="BI670" i="34"/>
  <c r="A671" i="34"/>
  <c r="AQ670" i="34"/>
  <c r="AY670" i="34"/>
  <c r="AQ671" i="34"/>
  <c r="AS670" i="34" l="1"/>
  <c r="AR670" i="34"/>
  <c r="AZ670" i="34"/>
  <c r="BA670" i="34"/>
  <c r="A672" i="34"/>
  <c r="AY671" i="34"/>
  <c r="BG671" i="34"/>
  <c r="AQ672" i="34"/>
  <c r="A673" i="34" l="1"/>
  <c r="AY672" i="34"/>
  <c r="AY673" i="34"/>
  <c r="BG672" i="34"/>
  <c r="A674" i="34" l="1"/>
  <c r="AQ673" i="34"/>
  <c r="BG673" i="34"/>
  <c r="AY674" i="34"/>
  <c r="BA674" i="34" l="1"/>
  <c r="AZ674" i="34"/>
  <c r="A675" i="34"/>
  <c r="BG674" i="34"/>
  <c r="AQ675" i="34"/>
  <c r="AQ674" i="34"/>
  <c r="BH674" i="34" l="1"/>
  <c r="BI674" i="34"/>
  <c r="AR674" i="34"/>
  <c r="AS674" i="34"/>
  <c r="AR675" i="34"/>
  <c r="AS675" i="34"/>
  <c r="A676" i="34"/>
  <c r="BG675" i="34"/>
  <c r="AY675" i="34"/>
  <c r="BG676" i="34"/>
  <c r="BA675" i="34" l="1"/>
  <c r="AZ675" i="34"/>
  <c r="BH675" i="34"/>
  <c r="BI675" i="34"/>
  <c r="BI676" i="34"/>
  <c r="BH676" i="34"/>
  <c r="A677" i="34"/>
  <c r="AQ676" i="34"/>
  <c r="AY676" i="34"/>
  <c r="AQ677" i="34"/>
  <c r="AS676" i="34" l="1"/>
  <c r="AR676" i="34"/>
  <c r="AZ676" i="34"/>
  <c r="BA676" i="34"/>
  <c r="AR677" i="34"/>
  <c r="AS677" i="34"/>
  <c r="A678" i="34"/>
  <c r="AY677" i="34"/>
  <c r="BG677" i="34"/>
  <c r="AY678" i="34"/>
  <c r="BI677" i="34" l="1"/>
  <c r="BH677" i="34"/>
  <c r="BA677" i="34"/>
  <c r="AZ677" i="34"/>
  <c r="AZ678" i="34"/>
  <c r="BA678" i="34"/>
  <c r="A679" i="34"/>
  <c r="AQ678" i="34"/>
  <c r="AQ679" i="34"/>
  <c r="BG678" i="34"/>
  <c r="AR678" i="34" l="1"/>
  <c r="AS678" i="34"/>
  <c r="BH678" i="34"/>
  <c r="BI678" i="34"/>
  <c r="AS679" i="34"/>
  <c r="AR679" i="34"/>
  <c r="A680" i="34"/>
  <c r="BG679" i="34"/>
  <c r="AY679" i="34"/>
  <c r="AQ680" i="34"/>
  <c r="BA679" i="34" l="1"/>
  <c r="AZ679" i="34"/>
  <c r="BI679" i="34"/>
  <c r="BH679" i="34"/>
  <c r="A681" i="34"/>
  <c r="BG680" i="34"/>
  <c r="AQ681" i="34"/>
  <c r="AY680" i="34"/>
  <c r="A682" i="34" l="1"/>
  <c r="AY681" i="34"/>
  <c r="BG681" i="34"/>
  <c r="AQ682" i="34"/>
  <c r="AR682" i="34" l="1"/>
  <c r="AS682" i="34"/>
  <c r="A683" i="34"/>
  <c r="BG682" i="34"/>
  <c r="BG683" i="34"/>
  <c r="AY682" i="34"/>
  <c r="BH682" i="34" l="1"/>
  <c r="BI682" i="34"/>
  <c r="AZ682" i="34"/>
  <c r="BA682" i="34"/>
  <c r="A684" i="34"/>
  <c r="AY683" i="34"/>
  <c r="AQ683" i="34"/>
  <c r="AY684" i="34"/>
  <c r="BA684" i="34" l="1"/>
  <c r="AZ684" i="34"/>
  <c r="A685" i="34"/>
  <c r="AQ684" i="34"/>
  <c r="AY685" i="34"/>
  <c r="BG684" i="34"/>
  <c r="BI684" i="34" l="1"/>
  <c r="BH684" i="34"/>
  <c r="AR684" i="34"/>
  <c r="AS684" i="34"/>
  <c r="BA685" i="34"/>
  <c r="AZ685" i="34"/>
  <c r="A686" i="34"/>
  <c r="BG685" i="34"/>
  <c r="AQ685" i="34"/>
  <c r="AQ686" i="34"/>
  <c r="BI685" i="34" l="1"/>
  <c r="BH685" i="34"/>
  <c r="AS685" i="34"/>
  <c r="AR685" i="34"/>
  <c r="AS686" i="34"/>
  <c r="AR686" i="34"/>
  <c r="A687" i="34"/>
  <c r="AQ687" i="34"/>
  <c r="AY686" i="34"/>
  <c r="BG686" i="34"/>
  <c r="BA686" i="34" l="1"/>
  <c r="AZ686" i="34"/>
  <c r="BI686" i="34"/>
  <c r="BH686" i="34"/>
  <c r="A688" i="34"/>
  <c r="BG687" i="34"/>
  <c r="AQ688" i="34"/>
  <c r="AY687" i="34"/>
  <c r="AR688" i="34" l="1"/>
  <c r="AS688" i="34"/>
  <c r="A689" i="34"/>
  <c r="AY688" i="34"/>
  <c r="BG688" i="34"/>
  <c r="AY689" i="34"/>
  <c r="BH688" i="34" l="1"/>
  <c r="BI688" i="34"/>
  <c r="BA688" i="34"/>
  <c r="AZ688" i="34"/>
  <c r="A690" i="34"/>
  <c r="AQ689" i="34"/>
  <c r="BG689" i="34"/>
  <c r="BG690" i="34"/>
  <c r="BI690" i="34" l="1"/>
  <c r="BH690" i="34"/>
  <c r="A691" i="34"/>
  <c r="AQ690" i="34"/>
  <c r="AY690" i="34"/>
  <c r="AY691" i="34"/>
  <c r="AR690" i="34" l="1"/>
  <c r="AS690" i="34"/>
  <c r="BA690" i="34"/>
  <c r="AZ690" i="34"/>
  <c r="BA691" i="34"/>
  <c r="AZ691" i="34"/>
  <c r="A692" i="34"/>
  <c r="BG691" i="34"/>
  <c r="AQ691" i="34"/>
  <c r="BG692" i="34"/>
  <c r="BH691" i="34" l="1"/>
  <c r="BI691" i="34"/>
  <c r="AS691" i="34"/>
  <c r="AR691" i="34"/>
  <c r="BI692" i="34"/>
  <c r="BH692" i="34"/>
  <c r="A693" i="34"/>
  <c r="AQ692" i="34"/>
  <c r="BG693" i="34"/>
  <c r="AY692" i="34"/>
  <c r="AR692" i="34" l="1"/>
  <c r="AS692" i="34"/>
  <c r="BA692" i="34"/>
  <c r="AZ692" i="34"/>
  <c r="A694" i="34"/>
  <c r="AY693" i="34"/>
  <c r="AQ694" i="34"/>
  <c r="AQ693" i="34"/>
  <c r="AS694" i="34" l="1"/>
  <c r="AR694" i="34"/>
  <c r="A695" i="34"/>
  <c r="BG694" i="34"/>
  <c r="AY694" i="34"/>
  <c r="AY695" i="34"/>
  <c r="BH694" i="34" l="1"/>
  <c r="BI694" i="34"/>
  <c r="AZ694" i="34"/>
  <c r="BA694" i="34"/>
  <c r="A696" i="34"/>
  <c r="BG695" i="34"/>
  <c r="AQ696" i="34"/>
  <c r="AQ695" i="34"/>
  <c r="AR696" i="34" l="1"/>
  <c r="AS696" i="34"/>
  <c r="A697" i="34"/>
  <c r="AQ697" i="34"/>
  <c r="BG696" i="34"/>
  <c r="AY696" i="34"/>
  <c r="AZ696" i="34" l="1"/>
  <c r="BA696" i="34"/>
  <c r="BI696" i="34"/>
  <c r="BH696" i="34"/>
  <c r="AS697" i="34"/>
  <c r="AR697" i="34"/>
  <c r="A698" i="34"/>
  <c r="BG697" i="34"/>
  <c r="AY697" i="34"/>
  <c r="BG698" i="34"/>
  <c r="AZ697" i="34" l="1"/>
  <c r="BA697" i="34"/>
  <c r="BH697" i="34"/>
  <c r="BI697" i="34"/>
  <c r="BI698" i="34"/>
  <c r="BH698" i="34"/>
  <c r="A699" i="34"/>
  <c r="AY699" i="34"/>
  <c r="AQ698" i="34"/>
  <c r="AY698" i="34"/>
  <c r="BA698" i="34" l="1"/>
  <c r="AZ698" i="34"/>
  <c r="AR698" i="34"/>
  <c r="AS698" i="34"/>
  <c r="A700" i="34"/>
  <c r="AQ699" i="34"/>
  <c r="AY700" i="34"/>
  <c r="BG699" i="34"/>
  <c r="BA700" i="34" l="1"/>
  <c r="AZ700" i="34"/>
  <c r="A701" i="34"/>
  <c r="AQ700" i="34"/>
  <c r="BG700" i="34"/>
  <c r="BG701" i="34"/>
  <c r="AR700" i="34" l="1"/>
  <c r="AS700" i="34"/>
  <c r="BH700" i="34"/>
  <c r="BI700" i="34"/>
  <c r="A702" i="34"/>
  <c r="AY701" i="34"/>
  <c r="AQ701" i="34"/>
  <c r="BG702" i="34"/>
  <c r="BI702" i="34" l="1"/>
  <c r="BH702" i="34"/>
  <c r="A703" i="34"/>
  <c r="AQ703" i="34"/>
  <c r="AY702" i="34"/>
  <c r="AQ702" i="34"/>
  <c r="BA702" i="34" l="1"/>
  <c r="AZ702" i="34"/>
  <c r="AR702" i="34"/>
  <c r="AS702" i="34"/>
  <c r="AR703" i="34"/>
  <c r="AS703" i="34"/>
  <c r="A704" i="34"/>
  <c r="AY703" i="34"/>
  <c r="BG703" i="34"/>
  <c r="BG704" i="34"/>
  <c r="AZ703" i="34" l="1"/>
  <c r="BA703" i="34"/>
  <c r="BH703" i="34"/>
  <c r="BI703" i="34"/>
  <c r="BH704" i="34"/>
  <c r="BI704" i="34"/>
  <c r="A705" i="34"/>
  <c r="AY705" i="34"/>
  <c r="AQ704" i="34"/>
  <c r="AY704" i="34"/>
  <c r="AZ704" i="34" l="1"/>
  <c r="BA704" i="34"/>
  <c r="AS704" i="34"/>
  <c r="AR704" i="34"/>
  <c r="A706" i="34"/>
  <c r="BG705" i="34"/>
  <c r="BG706" i="34"/>
  <c r="AQ705" i="34"/>
  <c r="BH706" i="34" l="1"/>
  <c r="BI706" i="34"/>
  <c r="A707" i="34"/>
  <c r="AY706" i="34"/>
  <c r="AQ706" i="34"/>
  <c r="AY707" i="34"/>
  <c r="AR706" i="34" l="1"/>
  <c r="AS706" i="34"/>
  <c r="BA706" i="34"/>
  <c r="AZ706" i="34"/>
  <c r="A708" i="34"/>
  <c r="AQ708" i="34"/>
  <c r="AQ707" i="34"/>
  <c r="BG707" i="34"/>
  <c r="AS708" i="34" l="1"/>
  <c r="AR708" i="34"/>
  <c r="A709" i="34"/>
  <c r="AY709" i="34"/>
  <c r="BG709" i="34"/>
  <c r="BG708" i="34"/>
  <c r="AY708" i="34"/>
  <c r="BI708" i="34" l="1"/>
  <c r="BH708" i="34"/>
  <c r="BA708" i="34"/>
  <c r="AZ708" i="34"/>
  <c r="BI709" i="34"/>
  <c r="BH709" i="34"/>
  <c r="AZ709" i="34"/>
  <c r="BA709" i="34"/>
  <c r="A710" i="34"/>
  <c r="AQ709" i="34"/>
  <c r="AQ710" i="34"/>
  <c r="AS709" i="34" l="1"/>
  <c r="AR709" i="34"/>
  <c r="AS710" i="34"/>
  <c r="AR710" i="34"/>
  <c r="A711" i="34"/>
  <c r="BG710" i="34"/>
  <c r="AY710" i="34"/>
  <c r="AQ711" i="34"/>
  <c r="BH710" i="34" l="1"/>
  <c r="BI710" i="34"/>
  <c r="BA710" i="34"/>
  <c r="AZ710" i="34"/>
  <c r="A712" i="34"/>
  <c r="AQ712" i="34"/>
  <c r="AY711" i="34"/>
  <c r="BG711" i="34"/>
  <c r="AS712" i="34" l="1"/>
  <c r="AR712" i="34"/>
  <c r="A713" i="34"/>
  <c r="BG712" i="34"/>
  <c r="AY713" i="34"/>
  <c r="AY712" i="34"/>
  <c r="BA712" i="34" l="1"/>
  <c r="AZ712" i="34"/>
  <c r="BI712" i="34"/>
  <c r="BH712" i="34"/>
  <c r="BA713" i="34"/>
  <c r="AZ713" i="34"/>
  <c r="A714" i="34"/>
  <c r="BG713" i="34"/>
  <c r="AQ713" i="34"/>
  <c r="BG714" i="34"/>
  <c r="AS713" i="34" l="1"/>
  <c r="AR713" i="34"/>
  <c r="BH713" i="34"/>
  <c r="BI713" i="34"/>
  <c r="BI714" i="34"/>
  <c r="BH714" i="34"/>
  <c r="A715" i="34"/>
  <c r="AQ714" i="34"/>
  <c r="AY714" i="34"/>
  <c r="AY715" i="34"/>
  <c r="AR714" i="34" l="1"/>
  <c r="AS714" i="34"/>
  <c r="BA714" i="34"/>
  <c r="AZ714" i="34"/>
  <c r="BA715" i="34"/>
  <c r="AZ715" i="34"/>
  <c r="A716" i="34"/>
  <c r="BG715" i="34"/>
  <c r="AQ715" i="34"/>
  <c r="AQ716" i="34"/>
  <c r="AR715" i="34" l="1"/>
  <c r="AS715" i="34"/>
  <c r="BI715" i="34"/>
  <c r="BH715" i="34"/>
  <c r="A717" i="34"/>
  <c r="AY716" i="34"/>
  <c r="BG716" i="34"/>
  <c r="AY717" i="34"/>
  <c r="A718" i="34" l="1"/>
  <c r="AQ717" i="34"/>
  <c r="AQ718" i="34"/>
  <c r="BG717" i="34"/>
  <c r="AS718" i="34" l="1"/>
  <c r="AR718" i="34"/>
  <c r="A719" i="34"/>
  <c r="BG719" i="34"/>
  <c r="AY718" i="34"/>
  <c r="BG718" i="34"/>
  <c r="AZ718" i="34" l="1"/>
  <c r="BA718" i="34"/>
  <c r="BI718" i="34"/>
  <c r="BH718" i="34"/>
  <c r="BH719" i="34"/>
  <c r="BI719" i="34"/>
  <c r="A720" i="34"/>
  <c r="AY719" i="34"/>
  <c r="AQ719" i="34"/>
  <c r="AQ720" i="34"/>
  <c r="AZ719" i="34" l="1"/>
  <c r="BA719" i="34"/>
  <c r="AR719" i="34"/>
  <c r="AS719" i="34"/>
  <c r="AR720" i="34"/>
  <c r="AS720" i="34"/>
  <c r="A721" i="34"/>
  <c r="BG720" i="34"/>
  <c r="AY720" i="34"/>
  <c r="AY721" i="34"/>
  <c r="BH720" i="34" l="1"/>
  <c r="BI720" i="34"/>
  <c r="BA720" i="34"/>
  <c r="AZ720" i="34"/>
  <c r="BA721" i="34"/>
  <c r="AZ721" i="34"/>
  <c r="A722" i="34"/>
  <c r="AQ721" i="34"/>
  <c r="BG721" i="34"/>
  <c r="AY722" i="34"/>
  <c r="AS721" i="34" l="1"/>
  <c r="AR721" i="34"/>
  <c r="BI721" i="34"/>
  <c r="BH721" i="34"/>
  <c r="BA722" i="34"/>
  <c r="AZ722" i="34"/>
  <c r="A723" i="34"/>
  <c r="AQ722" i="34"/>
  <c r="BG722" i="34"/>
  <c r="BG723" i="34"/>
  <c r="AR722" i="34" l="1"/>
  <c r="AS722" i="34"/>
  <c r="BI722" i="34"/>
  <c r="BH722" i="34"/>
  <c r="BH723" i="34"/>
  <c r="BI723" i="34"/>
  <c r="A724" i="34"/>
  <c r="AQ723" i="34"/>
  <c r="AY723" i="34"/>
  <c r="AY724" i="34"/>
  <c r="BA723" i="34" l="1"/>
  <c r="AZ723" i="34"/>
  <c r="AS723" i="34"/>
  <c r="AR723" i="34"/>
  <c r="A725" i="34"/>
  <c r="BG724" i="34"/>
  <c r="AY725" i="34"/>
  <c r="AQ724" i="34"/>
  <c r="A726" i="34" l="1"/>
  <c r="AQ725" i="34"/>
  <c r="BG725" i="34"/>
  <c r="AQ726" i="34"/>
  <c r="AS726" i="34" l="1"/>
  <c r="AR726" i="34"/>
  <c r="A727" i="34"/>
  <c r="AY726" i="34"/>
  <c r="BG726" i="34"/>
  <c r="BG727" i="34"/>
  <c r="BH726" i="34" l="1"/>
  <c r="BI726" i="34"/>
  <c r="AZ726" i="34"/>
  <c r="BA726" i="34"/>
  <c r="A728" i="34"/>
  <c r="AY727" i="34"/>
  <c r="AQ727" i="34"/>
  <c r="BG728" i="34"/>
  <c r="BI728" i="34" l="1"/>
  <c r="BH728" i="34"/>
  <c r="A729" i="34"/>
  <c r="AY729" i="34"/>
  <c r="AQ728" i="34"/>
  <c r="AY728" i="34"/>
  <c r="AZ728" i="34" l="1"/>
  <c r="BA728" i="34"/>
  <c r="AR728" i="34"/>
  <c r="AS728" i="34"/>
  <c r="BA729" i="34"/>
  <c r="AZ729" i="34"/>
  <c r="A730" i="34"/>
  <c r="AQ729" i="34"/>
  <c r="BG729" i="34"/>
  <c r="BG730" i="34"/>
  <c r="BI729" i="34" l="1"/>
  <c r="BH729" i="34"/>
  <c r="AS729" i="34"/>
  <c r="AR729" i="34"/>
  <c r="BH730" i="34"/>
  <c r="BI730" i="34"/>
  <c r="A731" i="34"/>
  <c r="AY730" i="34"/>
  <c r="BG731" i="34"/>
  <c r="AQ730" i="34"/>
  <c r="AR730" i="34" l="1"/>
  <c r="AS730" i="34"/>
  <c r="BA730" i="34"/>
  <c r="AZ730" i="34"/>
  <c r="A732" i="34"/>
  <c r="BG732" i="34"/>
  <c r="AQ731" i="34"/>
  <c r="AY731" i="34"/>
  <c r="BI732" i="34" l="1"/>
  <c r="BH732" i="34"/>
  <c r="A733" i="34"/>
  <c r="AY732" i="34"/>
  <c r="BG733" i="34"/>
  <c r="AQ732" i="34"/>
  <c r="AR732" i="34" l="1"/>
  <c r="AS732" i="34"/>
  <c r="AZ732" i="34"/>
  <c r="BA732" i="34"/>
  <c r="A734" i="34"/>
  <c r="AQ733" i="34"/>
  <c r="AY733" i="34"/>
  <c r="AY734" i="34"/>
  <c r="AZ734" i="34" l="1"/>
  <c r="BA734" i="34"/>
  <c r="A735" i="34"/>
  <c r="BG734" i="34"/>
  <c r="AQ734" i="34"/>
  <c r="BG735" i="34"/>
  <c r="BI734" i="34" l="1"/>
  <c r="BH734" i="34"/>
  <c r="AR734" i="34"/>
  <c r="AS734" i="34"/>
  <c r="BH735" i="34"/>
  <c r="BI735" i="34"/>
  <c r="A736" i="34"/>
  <c r="AY735" i="34"/>
  <c r="BG736" i="34"/>
  <c r="AQ735" i="34"/>
  <c r="BA735" i="34" l="1"/>
  <c r="AZ735" i="34"/>
  <c r="AR735" i="34"/>
  <c r="AS735" i="34"/>
  <c r="BI736" i="34"/>
  <c r="BH736" i="34"/>
  <c r="A737" i="34"/>
  <c r="AY736" i="34"/>
  <c r="AQ736" i="34"/>
  <c r="AY737" i="34"/>
  <c r="AZ736" i="34" l="1"/>
  <c r="BA736" i="34"/>
  <c r="AS736" i="34"/>
  <c r="AR736" i="34"/>
  <c r="A738" i="34"/>
  <c r="BG738" i="34"/>
  <c r="AQ737" i="34"/>
  <c r="BG737" i="34"/>
  <c r="BH738" i="34" l="1"/>
  <c r="BI738" i="34"/>
  <c r="A739" i="34"/>
  <c r="AQ738" i="34"/>
  <c r="AY738" i="34"/>
  <c r="AY739" i="34"/>
  <c r="AR738" i="34" l="1"/>
  <c r="AS738" i="34"/>
  <c r="BA738" i="34"/>
  <c r="AZ738" i="34"/>
  <c r="A740" i="34"/>
  <c r="BG740" i="34"/>
  <c r="AQ739" i="34"/>
  <c r="BG739" i="34"/>
  <c r="BH740" i="34" l="1"/>
  <c r="BI740" i="34"/>
  <c r="A741" i="34"/>
  <c r="AY740" i="34"/>
  <c r="AQ740" i="34"/>
  <c r="AQ741" i="34"/>
  <c r="BA740" i="34" l="1"/>
  <c r="AZ740" i="34"/>
  <c r="AS740" i="34"/>
  <c r="AR740" i="34"/>
  <c r="AR741" i="34"/>
  <c r="AS741" i="34"/>
  <c r="A742" i="34"/>
  <c r="AY741" i="34"/>
  <c r="AY742" i="34"/>
  <c r="BG741" i="34"/>
  <c r="AZ741" i="34" l="1"/>
  <c r="BA741" i="34"/>
  <c r="BH741" i="34"/>
  <c r="BI741" i="34"/>
  <c r="AZ742" i="34"/>
  <c r="BA742" i="34"/>
  <c r="A743" i="34"/>
  <c r="AQ742" i="34"/>
  <c r="BG742" i="34"/>
  <c r="BG743" i="34"/>
  <c r="BI742" i="34" l="1"/>
  <c r="BH742" i="34"/>
  <c r="AS742" i="34"/>
  <c r="AR742" i="34"/>
  <c r="A744" i="34"/>
  <c r="AY743" i="34"/>
  <c r="AQ743" i="34"/>
  <c r="AY744" i="34"/>
  <c r="BA744" i="34" l="1"/>
  <c r="AZ744" i="34"/>
  <c r="A745" i="34"/>
  <c r="BG744" i="34"/>
  <c r="AQ744" i="34"/>
  <c r="AQ745" i="34"/>
  <c r="AR744" i="34" l="1"/>
  <c r="AS744" i="34"/>
  <c r="BI744" i="34"/>
  <c r="BH744" i="34"/>
  <c r="A746" i="34"/>
  <c r="BG745" i="34"/>
  <c r="AY746" i="34"/>
  <c r="AY745" i="34"/>
  <c r="BA746" i="34" l="1"/>
  <c r="AZ746" i="34"/>
  <c r="A747" i="34"/>
  <c r="AQ746" i="34"/>
  <c r="BG746" i="34"/>
  <c r="AY747" i="34"/>
  <c r="AR746" i="34" l="1"/>
  <c r="AS746" i="34"/>
  <c r="BH746" i="34"/>
  <c r="BI746" i="34"/>
  <c r="AZ747" i="34"/>
  <c r="BA747" i="34"/>
  <c r="A748" i="34"/>
  <c r="BG747" i="34"/>
  <c r="AQ747" i="34"/>
  <c r="AQ748" i="34"/>
  <c r="AS747" i="34" l="1"/>
  <c r="AR747" i="34"/>
  <c r="BH747" i="34"/>
  <c r="BI747" i="34"/>
  <c r="AS748" i="34"/>
  <c r="AR748" i="34"/>
  <c r="A749" i="34"/>
  <c r="BG748" i="34"/>
  <c r="AY748" i="34"/>
  <c r="AQ749" i="34"/>
  <c r="BI748" i="34" l="1"/>
  <c r="BH748" i="34"/>
  <c r="AZ748" i="34"/>
  <c r="BA748" i="34"/>
  <c r="A750" i="34"/>
  <c r="AY750" i="34"/>
  <c r="BG749" i="34"/>
  <c r="AY749" i="34"/>
  <c r="AZ750" i="34" l="1"/>
  <c r="BA750" i="34"/>
  <c r="A751" i="34"/>
  <c r="AQ750" i="34"/>
  <c r="AQ751" i="34"/>
  <c r="BG750" i="34"/>
  <c r="AR750" i="34" l="1"/>
  <c r="AS750" i="34"/>
  <c r="BI750" i="34"/>
  <c r="BH750" i="34"/>
  <c r="A752" i="34"/>
  <c r="AY751" i="34"/>
  <c r="BG751" i="34"/>
  <c r="BG752" i="34"/>
  <c r="BI752" i="34" l="1"/>
  <c r="BH752" i="34"/>
  <c r="A753" i="34"/>
  <c r="AQ752" i="34"/>
  <c r="AQ753" i="34"/>
  <c r="AY752" i="34"/>
  <c r="AS752" i="34" l="1"/>
  <c r="AR752" i="34"/>
  <c r="AZ752" i="34"/>
  <c r="BA752" i="34"/>
  <c r="AS753" i="34"/>
  <c r="AR753" i="34"/>
  <c r="A754" i="34"/>
  <c r="AY754" i="34"/>
  <c r="AY753" i="34"/>
  <c r="BG753" i="34"/>
  <c r="BH753" i="34" l="1"/>
  <c r="BI753" i="34"/>
  <c r="AZ753" i="34"/>
  <c r="BA753" i="34"/>
  <c r="BA754" i="34"/>
  <c r="AZ754" i="34"/>
  <c r="A755" i="34"/>
  <c r="BG754" i="34"/>
  <c r="AQ755" i="34"/>
  <c r="AQ754" i="34"/>
  <c r="AS754" i="34" l="1"/>
  <c r="AR754" i="34"/>
  <c r="BI754" i="34"/>
  <c r="BH754" i="34"/>
  <c r="A756" i="34"/>
  <c r="AY756" i="34"/>
  <c r="BG755" i="34"/>
  <c r="AY755" i="34"/>
  <c r="BA756" i="34" l="1"/>
  <c r="AZ756" i="34"/>
  <c r="A757" i="34"/>
  <c r="AQ756" i="34"/>
  <c r="AQ757" i="34"/>
  <c r="BG756" i="34"/>
  <c r="AS756" i="34" l="1"/>
  <c r="AR756" i="34"/>
  <c r="BH756" i="34"/>
  <c r="BI756" i="34"/>
  <c r="AR757" i="34"/>
  <c r="AS757" i="34"/>
  <c r="A758" i="34"/>
  <c r="BG757" i="34"/>
  <c r="AY757" i="34"/>
  <c r="BG758" i="34"/>
  <c r="AZ757" i="34" l="1"/>
  <c r="BA757" i="34"/>
  <c r="BI757" i="34"/>
  <c r="BH757" i="34"/>
  <c r="BH758" i="34"/>
  <c r="BI758" i="34"/>
  <c r="A759" i="34"/>
  <c r="AQ758" i="34"/>
  <c r="AY758" i="34"/>
  <c r="AQ759" i="34"/>
  <c r="AZ758" i="34" l="1"/>
  <c r="BA758" i="34"/>
  <c r="AR758" i="34"/>
  <c r="AS758" i="34"/>
  <c r="AR759" i="34"/>
  <c r="AS759" i="34"/>
  <c r="A760" i="34"/>
  <c r="A761" i="34" s="1"/>
  <c r="A762" i="34" s="1"/>
  <c r="A763" i="34" s="1"/>
  <c r="A764" i="34" s="1"/>
  <c r="AY759" i="34"/>
  <c r="BG759" i="34"/>
  <c r="AY764" i="34"/>
  <c r="BI759" i="34" l="1"/>
  <c r="BH759" i="34"/>
  <c r="BA759" i="34"/>
  <c r="AZ759" i="34"/>
  <c r="A765" i="34"/>
  <c r="AY765" i="34"/>
  <c r="BG764" i="34"/>
  <c r="AQ764" i="34"/>
  <c r="AZ765" i="34" l="1"/>
  <c r="BA765" i="34"/>
  <c r="A766" i="34"/>
  <c r="BG765" i="34"/>
  <c r="AQ765" i="34"/>
  <c r="AY766" i="34"/>
  <c r="AR765" i="34" l="1"/>
  <c r="AS765" i="34"/>
  <c r="BH765" i="34"/>
  <c r="BI765" i="34"/>
  <c r="BA766" i="34"/>
  <c r="AZ766" i="34"/>
  <c r="A767" i="34"/>
  <c r="BG766" i="34"/>
  <c r="AY767" i="34"/>
  <c r="AQ766" i="34"/>
  <c r="AS766" i="34" l="1"/>
  <c r="AR766" i="34"/>
  <c r="BI766" i="34"/>
  <c r="BH766" i="34"/>
  <c r="AZ767" i="34"/>
  <c r="BA767" i="34"/>
  <c r="A768" i="34"/>
  <c r="AQ767" i="34"/>
  <c r="BG767" i="34"/>
  <c r="AQ768" i="34"/>
  <c r="AS767" i="34" l="1"/>
  <c r="AR767" i="34"/>
  <c r="BI767" i="34"/>
  <c r="BH767" i="34"/>
  <c r="AS768" i="34"/>
  <c r="AR768" i="34"/>
  <c r="A769" i="34"/>
  <c r="AQ769" i="34"/>
  <c r="BG768" i="34"/>
  <c r="AY768" i="34"/>
  <c r="AZ768" i="34" l="1"/>
  <c r="BA768" i="34"/>
  <c r="BH768" i="34"/>
  <c r="BI768" i="34"/>
  <c r="A770" i="34"/>
  <c r="BG769" i="34"/>
  <c r="BG770" i="34"/>
  <c r="AY769" i="34"/>
  <c r="BI770" i="34" l="1"/>
  <c r="BH770" i="34"/>
  <c r="A771" i="34"/>
  <c r="AY770" i="34"/>
  <c r="BG771" i="34"/>
  <c r="AQ770" i="34"/>
  <c r="AS770" i="34" l="1"/>
  <c r="AR770" i="34"/>
  <c r="AZ770" i="34"/>
  <c r="BA770" i="34"/>
  <c r="BI771" i="34"/>
  <c r="BH771" i="34"/>
  <c r="A772" i="34"/>
  <c r="AQ771" i="34"/>
  <c r="AY771" i="34"/>
  <c r="AQ772" i="34"/>
  <c r="AZ771" i="34" l="1"/>
  <c r="BA771" i="34"/>
  <c r="AR771" i="34"/>
  <c r="AS771" i="34"/>
  <c r="AR772" i="34"/>
  <c r="AS772" i="34"/>
  <c r="A773" i="34"/>
  <c r="BG772" i="34"/>
  <c r="AY772" i="34"/>
  <c r="BG773" i="34"/>
  <c r="AZ772" i="34" l="1"/>
  <c r="BA772" i="34"/>
  <c r="BH772" i="34"/>
  <c r="BI772" i="34"/>
  <c r="BH773" i="34"/>
  <c r="BI773" i="34"/>
  <c r="A774" i="34"/>
  <c r="AY773" i="34"/>
  <c r="AQ774" i="34"/>
  <c r="AQ773" i="34"/>
  <c r="AR773" i="34" l="1"/>
  <c r="AS773" i="34"/>
  <c r="BA773" i="34"/>
  <c r="AZ773" i="34"/>
  <c r="A775" i="34"/>
  <c r="AY774" i="34"/>
  <c r="BG774" i="34"/>
  <c r="AQ775" i="34"/>
  <c r="AR775" i="34" l="1"/>
  <c r="AS775" i="34"/>
  <c r="A776" i="34"/>
  <c r="BG775" i="34"/>
  <c r="AY775" i="34"/>
  <c r="AY776" i="34"/>
  <c r="AZ775" i="34" l="1"/>
  <c r="BA775" i="34"/>
  <c r="BH775" i="34"/>
  <c r="BI775" i="34"/>
  <c r="AZ776" i="34"/>
  <c r="BA776" i="34"/>
  <c r="A777" i="34"/>
  <c r="AQ776" i="34"/>
  <c r="BG776" i="34"/>
  <c r="BG777" i="34"/>
  <c r="AR776" i="34" l="1"/>
  <c r="AS776" i="34"/>
  <c r="BI776" i="34"/>
  <c r="BH776" i="34"/>
  <c r="BI777" i="34"/>
  <c r="BH777" i="34"/>
  <c r="A778" i="34"/>
  <c r="AQ777" i="34"/>
  <c r="AY777" i="34"/>
  <c r="AQ778" i="34"/>
  <c r="BA777" i="34" l="1"/>
  <c r="AZ777" i="34"/>
  <c r="AS777" i="34"/>
  <c r="AR777" i="34"/>
  <c r="AS778" i="34"/>
  <c r="AR778" i="34"/>
  <c r="A779" i="34"/>
  <c r="BG778" i="34"/>
  <c r="AY778" i="34"/>
  <c r="AQ779" i="34"/>
  <c r="AZ778" i="34" l="1"/>
  <c r="BA778" i="34"/>
  <c r="BH778" i="34"/>
  <c r="BI778" i="34"/>
  <c r="A780" i="34"/>
  <c r="BG779" i="34"/>
  <c r="AY779" i="34"/>
  <c r="BG780" i="34"/>
  <c r="BI780" i="34" l="1"/>
  <c r="BH780" i="34"/>
  <c r="A781" i="34"/>
  <c r="AY780" i="34"/>
  <c r="BG781" i="34"/>
  <c r="AQ780" i="34"/>
  <c r="AZ780" i="34" l="1"/>
  <c r="BA780" i="34"/>
  <c r="AS780" i="34"/>
  <c r="AR780" i="34"/>
  <c r="BH781" i="34"/>
  <c r="BI781" i="34"/>
  <c r="A782" i="34"/>
  <c r="AQ781" i="34"/>
  <c r="AY781" i="34"/>
  <c r="AQ782" i="34"/>
  <c r="BA781" i="34" l="1"/>
  <c r="AZ781" i="34"/>
  <c r="AS781" i="34"/>
  <c r="AR781" i="34"/>
  <c r="AS782" i="34"/>
  <c r="AR782" i="34"/>
  <c r="A783" i="34"/>
  <c r="BG782" i="34"/>
  <c r="AY782" i="34"/>
  <c r="AQ783" i="34"/>
  <c r="BI782" i="34" l="1"/>
  <c r="BH782" i="34"/>
  <c r="AZ782" i="34"/>
  <c r="BA782" i="34"/>
  <c r="AR783" i="34"/>
  <c r="AS783" i="34"/>
  <c r="A784" i="34"/>
  <c r="BG783" i="34"/>
  <c r="AY783" i="34"/>
  <c r="AQ784" i="34"/>
  <c r="AZ783" i="34" l="1"/>
  <c r="BA783" i="34"/>
  <c r="BI783" i="34"/>
  <c r="BH783" i="34"/>
  <c r="A785" i="34"/>
  <c r="BG784" i="34"/>
  <c r="AY785" i="34"/>
  <c r="AY784" i="34"/>
  <c r="BA785" i="34" l="1"/>
  <c r="AZ785" i="34"/>
  <c r="A786" i="34"/>
  <c r="BG785" i="34"/>
  <c r="AQ785" i="34"/>
  <c r="BG786" i="34"/>
  <c r="BH785" i="34" l="1"/>
  <c r="BI785" i="34"/>
  <c r="AR785" i="34"/>
  <c r="AS785" i="34"/>
  <c r="BI786" i="34"/>
  <c r="BH786" i="34"/>
  <c r="A787" i="34"/>
  <c r="AY786" i="34"/>
  <c r="AQ786" i="34"/>
  <c r="AY787" i="34"/>
  <c r="BA786" i="34" l="1"/>
  <c r="AZ786" i="34"/>
  <c r="AS786" i="34"/>
  <c r="AR786" i="34"/>
  <c r="BA787" i="34"/>
  <c r="AZ787" i="34"/>
  <c r="A788" i="34"/>
  <c r="BG787" i="34"/>
  <c r="AQ787" i="34"/>
  <c r="AY788" i="34"/>
  <c r="BI787" i="34" l="1"/>
  <c r="BH787" i="34"/>
  <c r="AS787" i="34"/>
  <c r="AR787" i="34"/>
  <c r="BA788" i="34"/>
  <c r="AZ788" i="34"/>
  <c r="A789" i="34"/>
  <c r="BG788" i="34"/>
  <c r="AQ788" i="34"/>
  <c r="AQ789" i="34"/>
  <c r="AR788" i="34" l="1"/>
  <c r="AS788" i="34"/>
  <c r="BH788" i="34"/>
  <c r="BI788" i="34"/>
  <c r="AQ763" i="34"/>
  <c r="A790" i="34"/>
  <c r="AY789" i="34"/>
  <c r="BG789" i="34"/>
  <c r="AQ790" i="34"/>
  <c r="BG763" i="34" l="1"/>
  <c r="AY763" i="34"/>
  <c r="AR790" i="34"/>
  <c r="AS790" i="34"/>
  <c r="A791" i="34"/>
  <c r="AY790" i="34"/>
  <c r="BG791" i="34"/>
  <c r="BG790" i="34"/>
  <c r="BH790" i="34" l="1"/>
  <c r="BI790" i="34"/>
  <c r="AZ790" i="34"/>
  <c r="BA790" i="34"/>
  <c r="BI791" i="34"/>
  <c r="BH791" i="34"/>
  <c r="A792" i="34"/>
  <c r="AQ791" i="34"/>
  <c r="AY791" i="34"/>
  <c r="BG792" i="34"/>
  <c r="BA791" i="34" l="1"/>
  <c r="AZ791" i="34"/>
  <c r="AR791" i="34"/>
  <c r="AS791" i="34"/>
  <c r="BH792" i="34"/>
  <c r="BI792" i="34"/>
  <c r="A793" i="34"/>
  <c r="AQ792" i="34"/>
  <c r="AY792" i="34"/>
  <c r="AY793" i="34"/>
  <c r="AR792" i="34" l="1"/>
  <c r="AS792" i="34"/>
  <c r="BA792" i="34"/>
  <c r="AZ792" i="34"/>
  <c r="BA793" i="34"/>
  <c r="AZ793" i="34"/>
  <c r="A794" i="34"/>
  <c r="A795" i="34" s="1"/>
  <c r="BG795" i="34"/>
  <c r="AQ793" i="34"/>
  <c r="BG793" i="34"/>
  <c r="AS793" i="34" l="1"/>
  <c r="AR793" i="34"/>
  <c r="BI793" i="34"/>
  <c r="BH793" i="34"/>
  <c r="BI795" i="34"/>
  <c r="BH795" i="34"/>
  <c r="A796" i="34"/>
  <c r="AQ795" i="34"/>
  <c r="AY795" i="34"/>
  <c r="AY796" i="34"/>
  <c r="AS795" i="34" l="1"/>
  <c r="AR795" i="34"/>
  <c r="AZ795" i="34"/>
  <c r="BA795" i="34"/>
  <c r="BA796" i="34"/>
  <c r="AZ796" i="34"/>
  <c r="A797" i="34"/>
  <c r="BG796" i="34"/>
  <c r="AQ796" i="34"/>
  <c r="AQ797" i="34"/>
  <c r="BH796" i="34" l="1"/>
  <c r="BI796" i="34"/>
  <c r="AR796" i="34"/>
  <c r="AS796" i="34"/>
  <c r="AR797" i="34"/>
  <c r="AS797" i="34"/>
  <c r="A798" i="34"/>
  <c r="AQ798" i="34"/>
  <c r="AY797" i="34"/>
  <c r="BG797" i="34"/>
  <c r="BI797" i="34" l="1"/>
  <c r="BH797" i="34"/>
  <c r="AZ797" i="34"/>
  <c r="BA797" i="34"/>
  <c r="AS798" i="34"/>
  <c r="AR798" i="34"/>
  <c r="A799" i="34"/>
  <c r="BG798" i="34"/>
  <c r="AY798" i="34"/>
  <c r="BG799" i="34"/>
  <c r="BI798" i="34" l="1"/>
  <c r="BH798" i="34"/>
  <c r="BA798" i="34"/>
  <c r="AZ798" i="34"/>
  <c r="BI799" i="34"/>
  <c r="BH799" i="34"/>
  <c r="A800" i="34"/>
  <c r="AQ799" i="34"/>
  <c r="AY799" i="34"/>
  <c r="AY800" i="34"/>
  <c r="AZ799" i="34" l="1"/>
  <c r="BA799" i="34"/>
  <c r="AR799" i="34"/>
  <c r="AS799" i="34"/>
  <c r="AZ800" i="34"/>
  <c r="BA800" i="34"/>
  <c r="AY794" i="34"/>
  <c r="AY762" i="34" s="1"/>
  <c r="A801" i="34"/>
  <c r="A802" i="34" s="1"/>
  <c r="A803" i="34" s="1"/>
  <c r="AQ800" i="34"/>
  <c r="BG800" i="34"/>
  <c r="AY803" i="34"/>
  <c r="AQ794" i="34" l="1"/>
  <c r="AQ762" i="34" s="1"/>
  <c r="AS800" i="34"/>
  <c r="AR800" i="34"/>
  <c r="BI800" i="34"/>
  <c r="BH800" i="34"/>
  <c r="BG794" i="34"/>
  <c r="BG762" i="34" s="1"/>
  <c r="A804" i="34"/>
  <c r="AQ803" i="34"/>
  <c r="BG803" i="34"/>
  <c r="BG804" i="34"/>
  <c r="BI804" i="34" l="1"/>
  <c r="BH804" i="34"/>
  <c r="A805" i="34"/>
  <c r="AQ804" i="34"/>
  <c r="AY804" i="34"/>
  <c r="BG805" i="34"/>
  <c r="AR804" i="34" l="1"/>
  <c r="AS804" i="34"/>
  <c r="BA804" i="34"/>
  <c r="AZ804" i="34"/>
  <c r="BH805" i="34"/>
  <c r="BI805" i="34"/>
  <c r="A806" i="34"/>
  <c r="AY805" i="34"/>
  <c r="AQ805" i="34"/>
  <c r="AY806" i="34"/>
  <c r="AZ805" i="34" l="1"/>
  <c r="BA805" i="34"/>
  <c r="AS805" i="34"/>
  <c r="AR805" i="34"/>
  <c r="AZ806" i="34"/>
  <c r="BA806" i="34"/>
  <c r="A807" i="34"/>
  <c r="AQ806" i="34"/>
  <c r="BG806" i="34"/>
  <c r="BG807" i="34"/>
  <c r="BH806" i="34" l="1"/>
  <c r="BI806" i="34"/>
  <c r="AR806" i="34"/>
  <c r="AS806" i="34"/>
  <c r="BI807" i="34"/>
  <c r="BH807" i="34"/>
  <c r="A808" i="34"/>
  <c r="AY807" i="34"/>
  <c r="AQ807" i="34"/>
  <c r="BG808" i="34"/>
  <c r="AZ807" i="34" l="1"/>
  <c r="BA807" i="34"/>
  <c r="AS807" i="34"/>
  <c r="AR807" i="34"/>
  <c r="A809" i="34"/>
  <c r="AQ808" i="34"/>
  <c r="AY808" i="34"/>
  <c r="AQ809" i="34"/>
  <c r="AS809" i="34" l="1"/>
  <c r="AR809" i="34"/>
  <c r="A810" i="34"/>
  <c r="BG809" i="34"/>
  <c r="BG810" i="34"/>
  <c r="AY809" i="34"/>
  <c r="BA809" i="34" l="1"/>
  <c r="AZ809" i="34"/>
  <c r="BI809" i="34"/>
  <c r="BH809" i="34"/>
  <c r="BI810" i="34"/>
  <c r="BH810" i="34"/>
  <c r="A811" i="34"/>
  <c r="AY810" i="34"/>
  <c r="AQ811" i="34"/>
  <c r="AQ810" i="34"/>
  <c r="AS810" i="34" l="1"/>
  <c r="AR810" i="34"/>
  <c r="BA810" i="34"/>
  <c r="AZ810" i="34"/>
  <c r="AS811" i="34"/>
  <c r="AR811" i="34"/>
  <c r="A812" i="34"/>
  <c r="BG811" i="34"/>
  <c r="BG812" i="34"/>
  <c r="AY811" i="34"/>
  <c r="BI811" i="34" l="1"/>
  <c r="BH811" i="34"/>
  <c r="AZ811" i="34"/>
  <c r="BA811" i="34"/>
  <c r="BH812" i="34"/>
  <c r="BI812" i="34"/>
  <c r="A813" i="34"/>
  <c r="AY813" i="34"/>
  <c r="AY812" i="34"/>
  <c r="AQ812" i="34"/>
  <c r="AZ812" i="34" l="1"/>
  <c r="BA812" i="34"/>
  <c r="AS812" i="34"/>
  <c r="AR812" i="34"/>
  <c r="A814" i="34"/>
  <c r="AQ813" i="34"/>
  <c r="BG813" i="34"/>
  <c r="AQ814" i="34"/>
  <c r="AS814" i="34" l="1"/>
  <c r="AR814" i="34"/>
  <c r="A815" i="34"/>
  <c r="AY814" i="34"/>
  <c r="BG814" i="34"/>
  <c r="BG815" i="34"/>
  <c r="AZ814" i="34" l="1"/>
  <c r="BA814" i="34"/>
  <c r="BI814" i="34"/>
  <c r="BH814" i="34"/>
  <c r="BI815" i="34"/>
  <c r="BH815" i="34"/>
  <c r="A816" i="34"/>
  <c r="AY815" i="34"/>
  <c r="AQ815" i="34"/>
  <c r="AY816" i="34"/>
  <c r="BA815" i="34" l="1"/>
  <c r="AZ815" i="34"/>
  <c r="AR815" i="34"/>
  <c r="AS815" i="34"/>
  <c r="AZ816" i="34"/>
  <c r="BA816" i="34"/>
  <c r="A817" i="34"/>
  <c r="AQ816" i="34"/>
  <c r="BG816" i="34"/>
  <c r="AY817" i="34"/>
  <c r="AS816" i="34" l="1"/>
  <c r="AR816" i="34"/>
  <c r="BH816" i="34"/>
  <c r="BI816" i="34"/>
  <c r="AZ817" i="34"/>
  <c r="BA817" i="34"/>
  <c r="A818" i="34"/>
  <c r="BG817" i="34"/>
  <c r="AQ817" i="34"/>
  <c r="AY818" i="34"/>
  <c r="AS817" i="34" l="1"/>
  <c r="AR817" i="34"/>
  <c r="BH817" i="34"/>
  <c r="BI817" i="34"/>
  <c r="A819" i="34"/>
  <c r="AQ818" i="34"/>
  <c r="BG819" i="34"/>
  <c r="BG818" i="34"/>
  <c r="BI819" i="34" l="1"/>
  <c r="BH819" i="34"/>
  <c r="A820" i="34"/>
  <c r="AY820" i="34"/>
  <c r="AQ819" i="34"/>
  <c r="AY819" i="34"/>
  <c r="AZ819" i="34" l="1"/>
  <c r="BA819" i="34"/>
  <c r="AS819" i="34"/>
  <c r="AR819" i="34"/>
  <c r="BA820" i="34"/>
  <c r="AZ820" i="34"/>
  <c r="A821" i="34"/>
  <c r="AQ820" i="34"/>
  <c r="BG820" i="34"/>
  <c r="BG821" i="34"/>
  <c r="AR820" i="34" l="1"/>
  <c r="AS820" i="34"/>
  <c r="BH820" i="34"/>
  <c r="BI820" i="34"/>
  <c r="BH821" i="34"/>
  <c r="BI821" i="34"/>
  <c r="A822" i="34"/>
  <c r="AQ821" i="34"/>
  <c r="AY821" i="34"/>
  <c r="AQ822" i="34"/>
  <c r="AZ821" i="34" l="1"/>
  <c r="BA821" i="34"/>
  <c r="AS821" i="34"/>
  <c r="AR821" i="34"/>
  <c r="AR822" i="34"/>
  <c r="AS822" i="34"/>
  <c r="A823" i="34"/>
  <c r="AY823" i="34"/>
  <c r="AY822" i="34"/>
  <c r="BG822" i="34"/>
  <c r="BH822" i="34" l="1"/>
  <c r="BI822" i="34"/>
  <c r="AZ822" i="34"/>
  <c r="BA822" i="34"/>
  <c r="A824" i="34"/>
  <c r="BG823" i="34"/>
  <c r="BG824" i="34"/>
  <c r="AQ823" i="34"/>
  <c r="BI824" i="34" l="1"/>
  <c r="BH824" i="34"/>
  <c r="A825" i="34"/>
  <c r="AY824" i="34"/>
  <c r="AY825" i="34"/>
  <c r="AQ824" i="34"/>
  <c r="AZ824" i="34" l="1"/>
  <c r="BA824" i="34"/>
  <c r="AS824" i="34"/>
  <c r="AR824" i="34"/>
  <c r="BA825" i="34"/>
  <c r="AZ825" i="34"/>
  <c r="A826" i="34"/>
  <c r="AQ825" i="34"/>
  <c r="BG825" i="34"/>
  <c r="AY826" i="34"/>
  <c r="AS825" i="34" l="1"/>
  <c r="AR825" i="34"/>
  <c r="BI825" i="34"/>
  <c r="BH825" i="34"/>
  <c r="BA826" i="34"/>
  <c r="AZ826" i="34"/>
  <c r="A827" i="34"/>
  <c r="BG826" i="34"/>
  <c r="AQ826" i="34"/>
  <c r="AQ827" i="34"/>
  <c r="BI826" i="34" l="1"/>
  <c r="BH826" i="34"/>
  <c r="AS826" i="34"/>
  <c r="AR826" i="34"/>
  <c r="AS827" i="34"/>
  <c r="AR827" i="34"/>
  <c r="A828" i="34"/>
  <c r="AQ828" i="34"/>
  <c r="AY827" i="34"/>
  <c r="BG827" i="34"/>
  <c r="BI827" i="34" l="1"/>
  <c r="BH827" i="34"/>
  <c r="BA827" i="34"/>
  <c r="AZ827" i="34"/>
  <c r="AQ802" i="34"/>
  <c r="A829" i="34"/>
  <c r="BG828" i="34"/>
  <c r="AY828" i="34"/>
  <c r="BG829" i="34"/>
  <c r="AY802" i="34" l="1"/>
  <c r="BG802" i="34"/>
  <c r="BH829" i="34"/>
  <c r="BI829" i="34"/>
  <c r="A830" i="34"/>
  <c r="AY829" i="34"/>
  <c r="AY830" i="34"/>
  <c r="AQ829" i="34"/>
  <c r="AR829" i="34" l="1"/>
  <c r="AS829" i="34"/>
  <c r="BA829" i="34"/>
  <c r="AZ829" i="34"/>
  <c r="BA830" i="34"/>
  <c r="AZ830" i="34"/>
  <c r="A831" i="34"/>
  <c r="BG830" i="34"/>
  <c r="AQ830" i="34"/>
  <c r="BG831" i="34"/>
  <c r="AR830" i="34" l="1"/>
  <c r="AS830" i="34"/>
  <c r="BH830" i="34"/>
  <c r="BI830" i="34"/>
  <c r="BI831" i="34"/>
  <c r="BH831" i="34"/>
  <c r="A832" i="34"/>
  <c r="AY831" i="34"/>
  <c r="AQ831" i="34"/>
  <c r="AQ832" i="34"/>
  <c r="AZ831" i="34" l="1"/>
  <c r="BA831" i="34"/>
  <c r="AS831" i="34"/>
  <c r="AR831" i="34"/>
  <c r="AS832" i="34"/>
  <c r="AR832" i="34"/>
  <c r="A833" i="34"/>
  <c r="A834" i="34" s="1"/>
  <c r="BG832" i="34"/>
  <c r="AY832" i="34"/>
  <c r="AY834" i="34"/>
  <c r="BH832" i="34" l="1"/>
  <c r="BI832" i="34"/>
  <c r="BA832" i="34"/>
  <c r="AZ832" i="34"/>
  <c r="BA834" i="34"/>
  <c r="AZ834" i="34"/>
  <c r="A835" i="34"/>
  <c r="AQ834" i="34"/>
  <c r="BG834" i="34"/>
  <c r="AY835" i="34"/>
  <c r="BI834" i="34" l="1"/>
  <c r="BH834" i="34"/>
  <c r="AS834" i="34"/>
  <c r="AR834" i="34"/>
  <c r="BA835" i="34"/>
  <c r="AZ835" i="34"/>
  <c r="A836" i="34"/>
  <c r="BG835" i="34"/>
  <c r="AQ835" i="34"/>
  <c r="BG836" i="34"/>
  <c r="BH835" i="34" l="1"/>
  <c r="BI835" i="34"/>
  <c r="AS835" i="34"/>
  <c r="AR835" i="34"/>
  <c r="BI836" i="34"/>
  <c r="BH836" i="34"/>
  <c r="A837" i="34"/>
  <c r="AY836" i="34"/>
  <c r="AY837" i="34"/>
  <c r="AQ836" i="34"/>
  <c r="AZ836" i="34" l="1"/>
  <c r="BA836" i="34"/>
  <c r="AR836" i="34"/>
  <c r="AS836" i="34"/>
  <c r="BA837" i="34"/>
  <c r="AZ837" i="34"/>
  <c r="A838" i="34"/>
  <c r="AQ837" i="34"/>
  <c r="BG837" i="34"/>
  <c r="BG838" i="34"/>
  <c r="BI837" i="34" l="1"/>
  <c r="BH837" i="34"/>
  <c r="AR837" i="34"/>
  <c r="AS837" i="34"/>
  <c r="BI838" i="34"/>
  <c r="BH838" i="34"/>
  <c r="A839" i="34"/>
  <c r="AQ838" i="34"/>
  <c r="AY838" i="34"/>
  <c r="BG839" i="34"/>
  <c r="AZ838" i="34" l="1"/>
  <c r="BA838" i="34"/>
  <c r="AR838" i="34"/>
  <c r="AS838" i="34"/>
  <c r="BI839" i="34"/>
  <c r="BH839" i="34"/>
  <c r="BG833" i="34"/>
  <c r="BG801" i="34" s="1"/>
  <c r="A840" i="34"/>
  <c r="A841" i="34" s="1"/>
  <c r="A842" i="34" s="1"/>
  <c r="AQ839" i="34"/>
  <c r="AQ842" i="34"/>
  <c r="AY839" i="34"/>
  <c r="AQ833" i="34" l="1"/>
  <c r="AQ801" i="34" s="1"/>
  <c r="AS839" i="34"/>
  <c r="AR839" i="34"/>
  <c r="BA839" i="34"/>
  <c r="AZ839" i="34"/>
  <c r="AY833" i="34"/>
  <c r="AY801" i="34" s="1"/>
  <c r="AQ1482" i="34"/>
  <c r="A843" i="34"/>
  <c r="AY842" i="34"/>
  <c r="BG842" i="34"/>
  <c r="AQ843" i="34"/>
  <c r="AY1482" i="34" l="1"/>
  <c r="AY1475" i="34" s="1"/>
  <c r="AY1473" i="34" s="1"/>
  <c r="BG1482" i="34"/>
  <c r="BG1475" i="34" s="1"/>
  <c r="BG1473" i="34" s="1"/>
  <c r="A844" i="34"/>
  <c r="AQ1475" i="34"/>
  <c r="AQ1473" i="34" s="1"/>
  <c r="AQ1480" i="34"/>
  <c r="AY843" i="34"/>
  <c r="BG843" i="34"/>
  <c r="BG844" i="34"/>
  <c r="AY1480" i="34" l="1"/>
  <c r="AY1481" i="34" s="1"/>
  <c r="BG1480" i="34"/>
  <c r="BG1481" i="34" s="1"/>
  <c r="AQ1481" i="34"/>
  <c r="AQ1474" i="34"/>
  <c r="AQ1478" i="34"/>
  <c r="A845" i="34"/>
  <c r="BG1474" i="34"/>
  <c r="BG1478" i="34"/>
  <c r="BG1479" i="34" s="1"/>
  <c r="AY1474" i="34"/>
  <c r="AY1478" i="34"/>
  <c r="AY1479" i="34" s="1"/>
  <c r="AQ844" i="34"/>
  <c r="AY844" i="34"/>
  <c r="AY845" i="34"/>
  <c r="AY1485" i="34" l="1"/>
  <c r="AY1486" i="34" s="1"/>
  <c r="BG1485" i="34"/>
  <c r="BG1486" i="34" s="1"/>
  <c r="BG1487" i="34"/>
  <c r="BG1488" i="34" s="1"/>
  <c r="A846" i="34"/>
  <c r="AQ1479" i="34"/>
  <c r="AQ1485" i="34" s="1"/>
  <c r="AQ1486" i="34" s="1"/>
  <c r="AQ1487" i="34"/>
  <c r="AQ1488" i="34" s="1"/>
  <c r="AY1487" i="34"/>
  <c r="AY1488" i="34" s="1"/>
  <c r="BG846" i="34"/>
  <c r="BG845" i="34"/>
  <c r="AQ845" i="34"/>
  <c r="A847" i="34" l="1"/>
  <c r="AQ847" i="34"/>
  <c r="AQ846" i="34"/>
  <c r="AY846" i="34"/>
  <c r="A848" i="34" l="1"/>
  <c r="AQ848" i="34"/>
  <c r="BG847" i="34"/>
  <c r="AY847" i="34"/>
  <c r="A849" i="34" l="1"/>
  <c r="AY848" i="34"/>
  <c r="BG848" i="34"/>
  <c r="BG849" i="34"/>
  <c r="A850" i="34" l="1"/>
  <c r="AQ849" i="34"/>
  <c r="AQ850" i="34"/>
  <c r="AY849" i="34"/>
  <c r="A851" i="34" l="1"/>
  <c r="AQ851" i="34"/>
  <c r="BG850" i="34"/>
  <c r="AY850" i="34"/>
  <c r="A852" i="34" l="1"/>
  <c r="AY852" i="34"/>
  <c r="AY851" i="34"/>
  <c r="BG851" i="34"/>
  <c r="A853" i="34" l="1"/>
  <c r="BG852" i="34"/>
  <c r="AQ852" i="34"/>
  <c r="AQ853" i="34"/>
  <c r="A854" i="34" l="1"/>
  <c r="AY854" i="34"/>
  <c r="BG853" i="34"/>
  <c r="AY853" i="34"/>
  <c r="A855" i="34" l="1"/>
  <c r="AQ854" i="34"/>
  <c r="BG855" i="34"/>
  <c r="BG854" i="34"/>
  <c r="A856" i="34" l="1"/>
  <c r="AY855" i="34"/>
  <c r="BG856" i="34"/>
  <c r="AQ855" i="34"/>
  <c r="A857" i="34" l="1"/>
  <c r="AY856" i="34"/>
  <c r="AQ856" i="34"/>
  <c r="BG857" i="34"/>
  <c r="A858" i="34" l="1"/>
  <c r="AQ858" i="34"/>
  <c r="AQ857" i="34"/>
  <c r="AY857" i="34"/>
  <c r="AS858" i="34" l="1"/>
  <c r="AR858" i="34"/>
  <c r="A859" i="34"/>
  <c r="AY859" i="34"/>
  <c r="BG858" i="34"/>
  <c r="AY858" i="34"/>
  <c r="AZ858" i="34" l="1"/>
  <c r="BA858" i="34"/>
  <c r="BI858" i="34"/>
  <c r="BH858" i="34"/>
  <c r="AZ859" i="34"/>
  <c r="BA859" i="34"/>
  <c r="A860" i="34"/>
  <c r="BG859" i="34"/>
  <c r="AQ859" i="34"/>
  <c r="AY860" i="34"/>
  <c r="BI859" i="34" l="1"/>
  <c r="BH859" i="34"/>
  <c r="AR859" i="34"/>
  <c r="AS859" i="34"/>
  <c r="BA860" i="34"/>
  <c r="AZ860" i="34"/>
  <c r="A861" i="34"/>
  <c r="AQ860" i="34"/>
  <c r="BG860" i="34"/>
  <c r="AY861" i="34"/>
  <c r="BI860" i="34" l="1"/>
  <c r="BH860" i="34"/>
  <c r="AS860" i="34"/>
  <c r="AR860" i="34"/>
  <c r="AZ861" i="34"/>
  <c r="BA861" i="34"/>
  <c r="A862" i="34"/>
  <c r="AQ861" i="34"/>
  <c r="BG861" i="34"/>
  <c r="BG862" i="34"/>
  <c r="BH861" i="34" l="1"/>
  <c r="BI861" i="34"/>
  <c r="AS861" i="34"/>
  <c r="AR861" i="34"/>
  <c r="A863" i="34"/>
  <c r="AQ863" i="34"/>
  <c r="AY862" i="34"/>
  <c r="AQ862" i="34"/>
  <c r="A864" i="34" l="1"/>
  <c r="BG863" i="34"/>
  <c r="AY863" i="34"/>
  <c r="AQ864" i="34"/>
  <c r="A865" i="34" l="1"/>
  <c r="AY865" i="34"/>
  <c r="BG864" i="34"/>
  <c r="AY864" i="34"/>
  <c r="A866" i="34" l="1"/>
  <c r="AQ865" i="34"/>
  <c r="BG865" i="34"/>
  <c r="BG866" i="34"/>
  <c r="A867" i="34" l="1"/>
  <c r="AQ867" i="34"/>
  <c r="AY866" i="34"/>
  <c r="AQ866" i="34"/>
  <c r="A868" i="34" l="1"/>
  <c r="AY867" i="34"/>
  <c r="BG867" i="34"/>
  <c r="AY868" i="34"/>
  <c r="A869" i="34" l="1"/>
  <c r="BG868" i="34"/>
  <c r="AY869" i="34"/>
  <c r="AQ868" i="34"/>
  <c r="A870" i="34" l="1"/>
  <c r="AQ869" i="34"/>
  <c r="BG869" i="34"/>
  <c r="AY870" i="34"/>
  <c r="A871" i="34" l="1"/>
  <c r="BG870" i="34"/>
  <c r="AQ870" i="34"/>
  <c r="AQ871" i="34"/>
  <c r="A872" i="34" l="1"/>
  <c r="AQ872" i="34"/>
  <c r="AY871" i="34"/>
  <c r="BG871" i="34"/>
  <c r="A873" i="34" l="1"/>
  <c r="AY872" i="34"/>
  <c r="BG872" i="34"/>
  <c r="AQ873" i="34"/>
  <c r="AR873" i="34" l="1"/>
  <c r="AS873" i="34"/>
  <c r="A874" i="34"/>
  <c r="BG874" i="34"/>
  <c r="AY873" i="34"/>
  <c r="BG873" i="34"/>
  <c r="BI873" i="34" l="1"/>
  <c r="BH873" i="34"/>
  <c r="AZ873" i="34"/>
  <c r="BA873" i="34"/>
  <c r="BI874" i="34"/>
  <c r="BH874" i="34"/>
  <c r="A875" i="34"/>
  <c r="AQ874" i="34"/>
  <c r="AY874" i="34"/>
  <c r="AQ875" i="34"/>
  <c r="BA874" i="34" l="1"/>
  <c r="AZ874" i="34"/>
  <c r="AR874" i="34"/>
  <c r="AS874" i="34"/>
  <c r="AR875" i="34"/>
  <c r="AS875" i="34"/>
  <c r="A876" i="34"/>
  <c r="AY875" i="34"/>
  <c r="BG875" i="34"/>
  <c r="BG876" i="34"/>
  <c r="BA875" i="34" l="1"/>
  <c r="AZ875" i="34"/>
  <c r="BI875" i="34"/>
  <c r="BH875" i="34"/>
  <c r="BI876" i="34"/>
  <c r="BH876" i="34"/>
  <c r="A877" i="34"/>
  <c r="AQ876" i="34"/>
  <c r="AY877" i="34"/>
  <c r="AY876" i="34"/>
  <c r="AR876" i="34" l="1"/>
  <c r="AS876" i="34"/>
  <c r="BA876" i="34"/>
  <c r="AZ876" i="34"/>
  <c r="A878" i="34"/>
  <c r="BG877" i="34"/>
  <c r="AQ878" i="34"/>
  <c r="AQ877" i="34"/>
  <c r="AR878" i="34" l="1"/>
  <c r="AS878" i="34"/>
  <c r="A879" i="34"/>
  <c r="AY879" i="34"/>
  <c r="AY878" i="34"/>
  <c r="BG878" i="34"/>
  <c r="BH878" i="34" l="1"/>
  <c r="BI878" i="34"/>
  <c r="AZ878" i="34"/>
  <c r="BA878" i="34"/>
  <c r="AZ879" i="34"/>
  <c r="BA879" i="34"/>
  <c r="A880" i="34"/>
  <c r="AQ879" i="34"/>
  <c r="BG879" i="34"/>
  <c r="BG880" i="34"/>
  <c r="AS879" i="34" l="1"/>
  <c r="AR879" i="34"/>
  <c r="BI879" i="34"/>
  <c r="BH879" i="34"/>
  <c r="BI880" i="34"/>
  <c r="BH880" i="34"/>
  <c r="A881" i="34"/>
  <c r="AQ880" i="34"/>
  <c r="AY880" i="34"/>
  <c r="AY881" i="34"/>
  <c r="AR880" i="34" l="1"/>
  <c r="AS880" i="34"/>
  <c r="AZ880" i="34"/>
  <c r="BA880" i="34"/>
  <c r="AZ881" i="34"/>
  <c r="BA881" i="34"/>
  <c r="A882" i="34"/>
  <c r="A883" i="34" s="1"/>
  <c r="A884" i="34" s="1"/>
  <c r="A885" i="34" s="1"/>
  <c r="A886" i="34" s="1"/>
  <c r="A887" i="34" s="1"/>
  <c r="BG881" i="34"/>
  <c r="AQ887" i="34"/>
  <c r="AQ881" i="34"/>
  <c r="AS881" i="34" l="1"/>
  <c r="AR881" i="34"/>
  <c r="BI881" i="34"/>
  <c r="BH881" i="34"/>
  <c r="A888" i="34"/>
  <c r="AY887" i="34"/>
  <c r="AY888" i="34"/>
  <c r="BG887" i="34"/>
  <c r="A889" i="34" l="1"/>
  <c r="AQ888" i="34"/>
  <c r="BG888" i="34"/>
  <c r="AY889" i="34"/>
  <c r="A890" i="34" l="1"/>
  <c r="AQ889" i="34"/>
  <c r="BG889" i="34"/>
  <c r="BG890" i="34"/>
  <c r="A891" i="34" l="1"/>
  <c r="AQ891" i="34"/>
  <c r="AY890" i="34"/>
  <c r="AQ890" i="34"/>
  <c r="A892" i="34" l="1"/>
  <c r="BG891" i="34"/>
  <c r="AY892" i="34"/>
  <c r="AY891" i="34"/>
  <c r="A893" i="34" l="1"/>
  <c r="AQ892" i="34"/>
  <c r="BG892" i="34"/>
  <c r="AY893" i="34"/>
  <c r="A894" i="34" l="1"/>
  <c r="BG893" i="34"/>
  <c r="AQ893" i="34"/>
  <c r="AQ894" i="34"/>
  <c r="A895" i="34" l="1"/>
  <c r="BG894" i="34"/>
  <c r="AY894" i="34"/>
  <c r="AY895" i="34"/>
  <c r="A896" i="34" l="1"/>
  <c r="AQ896" i="34"/>
  <c r="AQ895" i="34"/>
  <c r="BG895" i="34"/>
  <c r="A897" i="34" l="1"/>
  <c r="AY897" i="34"/>
  <c r="AY896" i="34"/>
  <c r="BG896" i="34"/>
  <c r="A898" i="34" l="1"/>
  <c r="AQ897" i="34"/>
  <c r="BG898" i="34"/>
  <c r="BG897" i="34"/>
  <c r="A899" i="34" l="1"/>
  <c r="AQ898" i="34"/>
  <c r="AQ899" i="34"/>
  <c r="AY898" i="34"/>
  <c r="A900" i="34" l="1"/>
  <c r="BG899" i="34"/>
  <c r="BG900" i="34"/>
  <c r="AY899" i="34"/>
  <c r="A901" i="34" l="1"/>
  <c r="AQ900" i="34"/>
  <c r="AY901" i="34"/>
  <c r="AY900" i="34"/>
  <c r="A902" i="34" l="1"/>
  <c r="BG901" i="34"/>
  <c r="AQ901" i="34"/>
  <c r="AY902" i="34"/>
  <c r="A903" i="34" l="1"/>
  <c r="AY903" i="34"/>
  <c r="BG902" i="34"/>
  <c r="AQ902" i="34"/>
  <c r="A904" i="34" l="1"/>
  <c r="BG903" i="34"/>
  <c r="BG904" i="34"/>
  <c r="AQ903" i="34"/>
  <c r="A905" i="34" l="1"/>
  <c r="AQ905" i="34"/>
  <c r="AQ904" i="34"/>
  <c r="AY904" i="34"/>
  <c r="A906" i="34" l="1"/>
  <c r="AY905" i="34"/>
  <c r="BG905" i="34"/>
  <c r="AY906" i="34"/>
  <c r="A907" i="34" l="1"/>
  <c r="BG906" i="34"/>
  <c r="AQ906" i="34"/>
  <c r="BG907" i="34"/>
  <c r="A908" i="34" l="1"/>
  <c r="AY907" i="34"/>
  <c r="AQ907" i="34"/>
  <c r="BG908" i="34"/>
  <c r="A909" i="34" l="1"/>
  <c r="AY909" i="34"/>
  <c r="AQ908" i="34"/>
  <c r="AY908" i="34"/>
  <c r="A910" i="34" l="1"/>
  <c r="BG909" i="34"/>
  <c r="AQ909" i="34"/>
  <c r="BG910" i="34"/>
  <c r="A911" i="34" l="1"/>
  <c r="AQ910" i="34"/>
  <c r="BG911" i="34"/>
  <c r="AY910" i="34"/>
  <c r="A912" i="34" l="1"/>
  <c r="AQ911" i="34"/>
  <c r="BG912" i="34"/>
  <c r="AY911" i="34"/>
  <c r="A913" i="34" l="1"/>
  <c r="BG913" i="34"/>
  <c r="AQ912" i="34"/>
  <c r="AY912" i="34"/>
  <c r="A914" i="34" l="1"/>
  <c r="AY913" i="34"/>
  <c r="AQ913" i="34"/>
  <c r="BG914" i="34"/>
  <c r="A915" i="34" l="1"/>
  <c r="A916" i="34" s="1"/>
  <c r="A917" i="34" s="1"/>
  <c r="A918" i="34" s="1"/>
  <c r="AY918" i="34"/>
  <c r="AY914" i="34"/>
  <c r="AQ914" i="34"/>
  <c r="A919" i="34" l="1"/>
  <c r="BG918" i="34"/>
  <c r="AQ919" i="34"/>
  <c r="AQ918" i="34"/>
  <c r="A920" i="34" l="1"/>
  <c r="AY919" i="34"/>
  <c r="BG919" i="34"/>
  <c r="AY920" i="34"/>
  <c r="BA920" i="34" l="1"/>
  <c r="AZ920" i="34"/>
  <c r="A921" i="34"/>
  <c r="BG921" i="34"/>
  <c r="BG920" i="34"/>
  <c r="AY921" i="34"/>
  <c r="AQ920" i="34"/>
  <c r="AS920" i="34" l="1"/>
  <c r="AR920" i="34"/>
  <c r="BH920" i="34"/>
  <c r="BI920" i="34"/>
  <c r="BA921" i="34"/>
  <c r="AZ921" i="34"/>
  <c r="BI921" i="34"/>
  <c r="BH921" i="34"/>
  <c r="A922" i="34"/>
  <c r="AY922" i="34"/>
  <c r="AQ921" i="34"/>
  <c r="AR921" i="34" l="1"/>
  <c r="AS921" i="34"/>
  <c r="BA922" i="34"/>
  <c r="AZ922" i="34"/>
  <c r="A923" i="34"/>
  <c r="BG923" i="34"/>
  <c r="BG922" i="34"/>
  <c r="AQ922" i="34"/>
  <c r="AS922" i="34" l="1"/>
  <c r="AR922" i="34"/>
  <c r="BI922" i="34"/>
  <c r="BH922" i="34"/>
  <c r="BH923" i="34"/>
  <c r="BI923" i="34"/>
  <c r="A924" i="34"/>
  <c r="AY923" i="34"/>
  <c r="AQ923" i="34"/>
  <c r="BG924" i="34"/>
  <c r="AS923" i="34" l="1"/>
  <c r="AR923" i="34"/>
  <c r="BA923" i="34"/>
  <c r="AZ923" i="34"/>
  <c r="A925" i="34"/>
  <c r="AY924" i="34"/>
  <c r="BG925" i="34"/>
  <c r="AQ924" i="34"/>
  <c r="BH925" i="34" l="1"/>
  <c r="BI925" i="34"/>
  <c r="A926" i="34"/>
  <c r="AQ925" i="34"/>
  <c r="BG926" i="34"/>
  <c r="AY925" i="34"/>
  <c r="AZ925" i="34" l="1"/>
  <c r="BA925" i="34"/>
  <c r="AR925" i="34"/>
  <c r="AS925" i="34"/>
  <c r="BH926" i="34"/>
  <c r="BI926" i="34"/>
  <c r="A927" i="34"/>
  <c r="AQ926" i="34"/>
  <c r="AY926" i="34"/>
  <c r="BG927" i="34"/>
  <c r="AR926" i="34" l="1"/>
  <c r="AS926" i="34"/>
  <c r="AZ926" i="34"/>
  <c r="BA926" i="34"/>
  <c r="BI927" i="34"/>
  <c r="BH927" i="34"/>
  <c r="A928" i="34"/>
  <c r="AY927" i="34"/>
  <c r="AY928" i="34"/>
  <c r="AQ927" i="34"/>
  <c r="AR927" i="34" l="1"/>
  <c r="AS927" i="34"/>
  <c r="AZ927" i="34"/>
  <c r="BA927" i="34"/>
  <c r="BA928" i="34"/>
  <c r="AZ928" i="34"/>
  <c r="A929" i="34"/>
  <c r="AQ928" i="34"/>
  <c r="BG928" i="34"/>
  <c r="BG929" i="34"/>
  <c r="AR928" i="34" l="1"/>
  <c r="AS928" i="34"/>
  <c r="BH928" i="34"/>
  <c r="BI928" i="34"/>
  <c r="BH929" i="34"/>
  <c r="BI929" i="34"/>
  <c r="A930" i="34"/>
  <c r="AQ929" i="34"/>
  <c r="AY929" i="34"/>
  <c r="AQ930" i="34"/>
  <c r="AS929" i="34" l="1"/>
  <c r="AR929" i="34"/>
  <c r="BA929" i="34"/>
  <c r="AZ929" i="34"/>
  <c r="A931" i="34"/>
  <c r="AY930" i="34"/>
  <c r="BG930" i="34"/>
  <c r="BG931" i="34"/>
  <c r="BI931" i="34" l="1"/>
  <c r="BH931" i="34"/>
  <c r="A932" i="34"/>
  <c r="AQ931" i="34"/>
  <c r="BG932" i="34"/>
  <c r="AY931" i="34"/>
  <c r="AR931" i="34" l="1"/>
  <c r="AS931" i="34"/>
  <c r="BA931" i="34"/>
  <c r="AZ931" i="34"/>
  <c r="BH932" i="34"/>
  <c r="BI932" i="34"/>
  <c r="A933" i="34"/>
  <c r="AQ932" i="34"/>
  <c r="BG933" i="34"/>
  <c r="AY932" i="34"/>
  <c r="BA932" i="34" l="1"/>
  <c r="AZ932" i="34"/>
  <c r="AS932" i="34"/>
  <c r="AR932" i="34"/>
  <c r="BH933" i="34"/>
  <c r="BI933" i="34"/>
  <c r="A934" i="34"/>
  <c r="AY933" i="34"/>
  <c r="BG934" i="34"/>
  <c r="AQ933" i="34"/>
  <c r="AZ933" i="34" l="1"/>
  <c r="BA933" i="34"/>
  <c r="AR933" i="34"/>
  <c r="AS933" i="34"/>
  <c r="BH934" i="34"/>
  <c r="BI934" i="34"/>
  <c r="A935" i="34"/>
  <c r="AQ934" i="34"/>
  <c r="BG935" i="34"/>
  <c r="AY934" i="34"/>
  <c r="AS934" i="34" l="1"/>
  <c r="AR934" i="34"/>
  <c r="AZ934" i="34"/>
  <c r="BA934" i="34"/>
  <c r="A936" i="34"/>
  <c r="AQ936" i="34"/>
  <c r="AQ935" i="34"/>
  <c r="AY935" i="34"/>
  <c r="AR936" i="34" l="1"/>
  <c r="AS936" i="34"/>
  <c r="A937" i="34"/>
  <c r="AY936" i="34"/>
  <c r="AY937" i="34"/>
  <c r="BG936" i="34"/>
  <c r="BI936" i="34" l="1"/>
  <c r="BH936" i="34"/>
  <c r="BA936" i="34"/>
  <c r="AZ936" i="34"/>
  <c r="BA937" i="34"/>
  <c r="AZ937" i="34"/>
  <c r="A938" i="34"/>
  <c r="AQ937" i="34"/>
  <c r="BG937" i="34"/>
  <c r="BG938" i="34"/>
  <c r="BI937" i="34" l="1"/>
  <c r="BH937" i="34"/>
  <c r="AR937" i="34"/>
  <c r="AS937" i="34"/>
  <c r="BI938" i="34"/>
  <c r="BH938" i="34"/>
  <c r="A939" i="34"/>
  <c r="AY939" i="34"/>
  <c r="AY938" i="34"/>
  <c r="AQ938" i="34"/>
  <c r="AS938" i="34" l="1"/>
  <c r="AR938" i="34"/>
  <c r="AZ938" i="34"/>
  <c r="BA938" i="34"/>
  <c r="BA939" i="34"/>
  <c r="AZ939" i="34"/>
  <c r="A940" i="34"/>
  <c r="AQ939" i="34"/>
  <c r="BG939" i="34"/>
  <c r="AY940" i="34"/>
  <c r="AR939" i="34" l="1"/>
  <c r="AS939" i="34"/>
  <c r="BH939" i="34"/>
  <c r="BI939" i="34"/>
  <c r="BA940" i="34"/>
  <c r="AZ940" i="34"/>
  <c r="A941" i="34"/>
  <c r="BG940" i="34"/>
  <c r="AY941" i="34"/>
  <c r="AQ940" i="34"/>
  <c r="BI940" i="34" l="1"/>
  <c r="BH940" i="34"/>
  <c r="AS940" i="34"/>
  <c r="AR940" i="34"/>
  <c r="A942" i="34"/>
  <c r="AY942" i="34"/>
  <c r="AQ941" i="34"/>
  <c r="BG941" i="34"/>
  <c r="BA942" i="34" l="1"/>
  <c r="AZ942" i="34"/>
  <c r="A943" i="34"/>
  <c r="BG943" i="34"/>
  <c r="AQ942" i="34"/>
  <c r="BG942" i="34"/>
  <c r="AR942" i="34" l="1"/>
  <c r="AS942" i="34"/>
  <c r="BH942" i="34"/>
  <c r="BI942" i="34"/>
  <c r="BI943" i="34"/>
  <c r="BH943" i="34"/>
  <c r="A944" i="34"/>
  <c r="AQ943" i="34"/>
  <c r="AY943" i="34"/>
  <c r="BG944" i="34"/>
  <c r="AR943" i="34" l="1"/>
  <c r="AS943" i="34"/>
  <c r="BA943" i="34"/>
  <c r="AZ943" i="34"/>
  <c r="BH944" i="34"/>
  <c r="BI944" i="34"/>
  <c r="A945" i="34"/>
  <c r="AY944" i="34"/>
  <c r="AQ944" i="34"/>
  <c r="AQ945" i="34"/>
  <c r="AS944" i="34" l="1"/>
  <c r="AR944" i="34"/>
  <c r="BA944" i="34"/>
  <c r="AZ944" i="34"/>
  <c r="AR945" i="34"/>
  <c r="AS945" i="34"/>
  <c r="A946" i="34"/>
  <c r="A947" i="34" s="1"/>
  <c r="A948" i="34" s="1"/>
  <c r="AY945" i="34"/>
  <c r="BG948" i="34"/>
  <c r="BG945" i="34"/>
  <c r="BH945" i="34" l="1"/>
  <c r="BI945" i="34"/>
  <c r="AZ945" i="34"/>
  <c r="BA945" i="34"/>
  <c r="A949" i="34"/>
  <c r="AQ948" i="34"/>
  <c r="AY948" i="34"/>
  <c r="AY949" i="34"/>
  <c r="A950" i="34" l="1"/>
  <c r="BG949" i="34"/>
  <c r="BG950" i="34"/>
  <c r="AQ949" i="34"/>
  <c r="BH950" i="34" l="1"/>
  <c r="BI950" i="34"/>
  <c r="A951" i="34"/>
  <c r="AQ950" i="34"/>
  <c r="AY950" i="34"/>
  <c r="AQ951" i="34"/>
  <c r="AS950" i="34" l="1"/>
  <c r="AR950" i="34"/>
  <c r="BA950" i="34"/>
  <c r="AZ950" i="34"/>
  <c r="AR951" i="34"/>
  <c r="AS951" i="34"/>
  <c r="A952" i="34"/>
  <c r="AY951" i="34"/>
  <c r="BG951" i="34"/>
  <c r="BG952" i="34"/>
  <c r="BH951" i="34" l="1"/>
  <c r="BI951" i="34"/>
  <c r="AZ951" i="34"/>
  <c r="BA951" i="34"/>
  <c r="BH952" i="34"/>
  <c r="BI952" i="34"/>
  <c r="A953" i="34"/>
  <c r="AY952" i="34"/>
  <c r="AQ952" i="34"/>
  <c r="AY953" i="34"/>
  <c r="BA952" i="34" l="1"/>
  <c r="AZ952" i="34"/>
  <c r="AS952" i="34"/>
  <c r="AR952" i="34"/>
  <c r="BA953" i="34"/>
  <c r="AZ953" i="34"/>
  <c r="A954" i="34"/>
  <c r="AQ953" i="34"/>
  <c r="BG953" i="34"/>
  <c r="AQ954" i="34"/>
  <c r="BH953" i="34" l="1"/>
  <c r="BI953" i="34"/>
  <c r="AR953" i="34"/>
  <c r="AS953" i="34"/>
  <c r="A955" i="34"/>
  <c r="AY954" i="34"/>
  <c r="BG955" i="34"/>
  <c r="BG954" i="34"/>
  <c r="BI955" i="34" l="1"/>
  <c r="BH955" i="34"/>
  <c r="A956" i="34"/>
  <c r="AY955" i="34"/>
  <c r="AQ955" i="34"/>
  <c r="BG956" i="34"/>
  <c r="AS955" i="34" l="1"/>
  <c r="AR955" i="34"/>
  <c r="BA955" i="34"/>
  <c r="AZ955" i="34"/>
  <c r="BI956" i="34"/>
  <c r="BH956" i="34"/>
  <c r="A957" i="34"/>
  <c r="AY956" i="34"/>
  <c r="AQ956" i="34"/>
  <c r="BG957" i="34"/>
  <c r="AZ956" i="34" l="1"/>
  <c r="BA956" i="34"/>
  <c r="AS956" i="34"/>
  <c r="AR956" i="34"/>
  <c r="BH957" i="34"/>
  <c r="BI957" i="34"/>
  <c r="A958" i="34"/>
  <c r="AQ957" i="34"/>
  <c r="AY957" i="34"/>
  <c r="BG958" i="34"/>
  <c r="AS957" i="34" l="1"/>
  <c r="AR957" i="34"/>
  <c r="BA957" i="34"/>
  <c r="AZ957" i="34"/>
  <c r="BH958" i="34"/>
  <c r="BI958" i="34"/>
  <c r="A959" i="34"/>
  <c r="AQ958" i="34"/>
  <c r="AY958" i="34"/>
  <c r="AQ959" i="34"/>
  <c r="AZ958" i="34" l="1"/>
  <c r="BA958" i="34"/>
  <c r="AR958" i="34"/>
  <c r="AS958" i="34"/>
  <c r="AS959" i="34"/>
  <c r="AR959" i="34"/>
  <c r="A960" i="34"/>
  <c r="AY959" i="34"/>
  <c r="BG959" i="34"/>
  <c r="AQ960" i="34"/>
  <c r="AZ959" i="34" l="1"/>
  <c r="BA959" i="34"/>
  <c r="BH959" i="34"/>
  <c r="BI959" i="34"/>
  <c r="A961" i="34"/>
  <c r="AY960" i="34"/>
  <c r="BG960" i="34"/>
  <c r="AY961" i="34"/>
  <c r="BA961" i="34" l="1"/>
  <c r="AZ961" i="34"/>
  <c r="A962" i="34"/>
  <c r="BG961" i="34"/>
  <c r="AQ961" i="34"/>
  <c r="AQ962" i="34"/>
  <c r="AS961" i="34" l="1"/>
  <c r="AR961" i="34"/>
  <c r="BH961" i="34"/>
  <c r="BI961" i="34"/>
  <c r="AR962" i="34"/>
  <c r="AS962" i="34"/>
  <c r="A963" i="34"/>
  <c r="BG962" i="34"/>
  <c r="AY962" i="34"/>
  <c r="AQ963" i="34"/>
  <c r="BH962" i="34" l="1"/>
  <c r="BI962" i="34"/>
  <c r="BA962" i="34"/>
  <c r="AZ962" i="34"/>
  <c r="AS963" i="34"/>
  <c r="AR963" i="34"/>
  <c r="A964" i="34"/>
  <c r="BG963" i="34"/>
  <c r="BG964" i="34"/>
  <c r="AY963" i="34"/>
  <c r="BA963" i="34" l="1"/>
  <c r="AZ963" i="34"/>
  <c r="BI963" i="34"/>
  <c r="BH963" i="34"/>
  <c r="BI964" i="34"/>
  <c r="BH964" i="34"/>
  <c r="A965" i="34"/>
  <c r="AY965" i="34"/>
  <c r="AQ964" i="34"/>
  <c r="AY964" i="34"/>
  <c r="BA964" i="34" l="1"/>
  <c r="AZ964" i="34"/>
  <c r="AS964" i="34"/>
  <c r="AR964" i="34"/>
  <c r="A966" i="34"/>
  <c r="BG965" i="34"/>
  <c r="BG966" i="34"/>
  <c r="AQ965" i="34"/>
  <c r="BI966" i="34" l="1"/>
  <c r="BH966" i="34"/>
  <c r="A967" i="34"/>
  <c r="BG967" i="34"/>
  <c r="AY966" i="34"/>
  <c r="AQ966" i="34"/>
  <c r="AS966" i="34" l="1"/>
  <c r="AR966" i="34"/>
  <c r="AZ966" i="34"/>
  <c r="BA966" i="34"/>
  <c r="BH967" i="34"/>
  <c r="BI967" i="34"/>
  <c r="A968" i="34"/>
  <c r="AQ967" i="34"/>
  <c r="AY967" i="34"/>
  <c r="AY968" i="34"/>
  <c r="AR967" i="34" l="1"/>
  <c r="AS967" i="34"/>
  <c r="BA967" i="34"/>
  <c r="AZ967" i="34"/>
  <c r="BA968" i="34"/>
  <c r="AZ968" i="34"/>
  <c r="A969" i="34"/>
  <c r="AQ968" i="34"/>
  <c r="BG968" i="34"/>
  <c r="AY969" i="34"/>
  <c r="AR968" i="34" l="1"/>
  <c r="AS968" i="34"/>
  <c r="BH968" i="34"/>
  <c r="BI968" i="34"/>
  <c r="BA969" i="34"/>
  <c r="AZ969" i="34"/>
  <c r="A970" i="34"/>
  <c r="BG969" i="34"/>
  <c r="AQ969" i="34"/>
  <c r="AY970" i="34"/>
  <c r="AS969" i="34" l="1"/>
  <c r="AR969" i="34"/>
  <c r="BH969" i="34"/>
  <c r="BI969" i="34"/>
  <c r="AZ970" i="34"/>
  <c r="BA970" i="34"/>
  <c r="A971" i="34"/>
  <c r="AQ970" i="34"/>
  <c r="BG970" i="34"/>
  <c r="AQ971" i="34"/>
  <c r="AR970" i="34" l="1"/>
  <c r="AS970" i="34"/>
  <c r="BH970" i="34"/>
  <c r="BI970" i="34"/>
  <c r="A972" i="34"/>
  <c r="BG971" i="34"/>
  <c r="AY972" i="34"/>
  <c r="AY971" i="34"/>
  <c r="BA972" i="34" l="1"/>
  <c r="AZ972" i="34"/>
  <c r="A973" i="34"/>
  <c r="BG973" i="34"/>
  <c r="BG972" i="34"/>
  <c r="AQ972" i="34"/>
  <c r="AS972" i="34" l="1"/>
  <c r="AR972" i="34"/>
  <c r="BI972" i="34"/>
  <c r="BH972" i="34"/>
  <c r="BH973" i="34"/>
  <c r="BI973" i="34"/>
  <c r="A974" i="34"/>
  <c r="AQ973" i="34"/>
  <c r="AY973" i="34"/>
  <c r="AQ974" i="34"/>
  <c r="BA973" i="34" l="1"/>
  <c r="AZ973" i="34"/>
  <c r="AS973" i="34"/>
  <c r="AR973" i="34"/>
  <c r="AS974" i="34"/>
  <c r="AR974" i="34"/>
  <c r="A975" i="34"/>
  <c r="AY974" i="34"/>
  <c r="BG974" i="34"/>
  <c r="AY975" i="34"/>
  <c r="BA974" i="34" l="1"/>
  <c r="AZ974" i="34"/>
  <c r="BH974" i="34"/>
  <c r="BI974" i="34"/>
  <c r="BA975" i="34"/>
  <c r="AZ975" i="34"/>
  <c r="A976" i="34"/>
  <c r="A977" i="34" s="1"/>
  <c r="A978" i="34" s="1"/>
  <c r="AQ975" i="34"/>
  <c r="BG975" i="34"/>
  <c r="AQ978" i="34"/>
  <c r="BH975" i="34" l="1"/>
  <c r="BI975" i="34"/>
  <c r="AS975" i="34"/>
  <c r="AR975" i="34"/>
  <c r="A979" i="34"/>
  <c r="AY978" i="34"/>
  <c r="BG978" i="34"/>
  <c r="BG979" i="34"/>
  <c r="A980" i="34" l="1"/>
  <c r="AY979" i="34"/>
  <c r="BG980" i="34"/>
  <c r="AQ979" i="34"/>
  <c r="BH980" i="34" l="1"/>
  <c r="BI980" i="34"/>
  <c r="A981" i="34"/>
  <c r="AY981" i="34"/>
  <c r="AY980" i="34"/>
  <c r="AQ980" i="34"/>
  <c r="BA980" i="34" l="1"/>
  <c r="AZ980" i="34"/>
  <c r="AS980" i="34"/>
  <c r="AR980" i="34"/>
  <c r="BA981" i="34"/>
  <c r="AZ981" i="34"/>
  <c r="A982" i="34"/>
  <c r="BG981" i="34"/>
  <c r="AQ981" i="34"/>
  <c r="BG982" i="34"/>
  <c r="BH981" i="34" l="1"/>
  <c r="BI981" i="34"/>
  <c r="AR981" i="34"/>
  <c r="AS981" i="34"/>
  <c r="BH982" i="34"/>
  <c r="BI982" i="34"/>
  <c r="A983" i="34"/>
  <c r="AQ982" i="34"/>
  <c r="AQ983" i="34"/>
  <c r="AY982" i="34"/>
  <c r="AZ982" i="34" l="1"/>
  <c r="BA982" i="34"/>
  <c r="AR982" i="34"/>
  <c r="AS982" i="34"/>
  <c r="AS983" i="34"/>
  <c r="AR983" i="34"/>
  <c r="A984" i="34"/>
  <c r="BG983" i="34"/>
  <c r="AY983" i="34"/>
  <c r="AY984" i="34"/>
  <c r="BA983" i="34" l="1"/>
  <c r="AZ983" i="34"/>
  <c r="BI983" i="34"/>
  <c r="BH983" i="34"/>
  <c r="A985" i="34"/>
  <c r="AQ984" i="34"/>
  <c r="BG984" i="34"/>
  <c r="AQ985" i="34"/>
  <c r="AS985" i="34" l="1"/>
  <c r="AR985" i="34"/>
  <c r="A986" i="34"/>
  <c r="BG985" i="34"/>
  <c r="AY986" i="34"/>
  <c r="AY985" i="34"/>
  <c r="BH985" i="34" l="1"/>
  <c r="BI985" i="34"/>
  <c r="BA985" i="34"/>
  <c r="AZ985" i="34"/>
  <c r="BA986" i="34"/>
  <c r="AZ986" i="34"/>
  <c r="A987" i="34"/>
  <c r="AQ986" i="34"/>
  <c r="BG986" i="34"/>
  <c r="BG987" i="34"/>
  <c r="AS986" i="34" l="1"/>
  <c r="AR986" i="34"/>
  <c r="BI986" i="34"/>
  <c r="BH986" i="34"/>
  <c r="BH987" i="34"/>
  <c r="BI987" i="34"/>
  <c r="A988" i="34"/>
  <c r="AQ987" i="34"/>
  <c r="AY987" i="34"/>
  <c r="BG988" i="34"/>
  <c r="AZ987" i="34" l="1"/>
  <c r="BA987" i="34"/>
  <c r="AR987" i="34"/>
  <c r="AS987" i="34"/>
  <c r="BH988" i="34"/>
  <c r="BI988" i="34"/>
  <c r="A989" i="34"/>
  <c r="AQ988" i="34"/>
  <c r="AY988" i="34"/>
  <c r="AQ989" i="34"/>
  <c r="AZ988" i="34" l="1"/>
  <c r="BA988" i="34"/>
  <c r="AS988" i="34"/>
  <c r="AR988" i="34"/>
  <c r="AS989" i="34"/>
  <c r="AR989" i="34"/>
  <c r="A990" i="34"/>
  <c r="BG989" i="34"/>
  <c r="AY989" i="34"/>
  <c r="AQ990" i="34"/>
  <c r="AZ989" i="34" l="1"/>
  <c r="BA989" i="34"/>
  <c r="BI989" i="34"/>
  <c r="BH989" i="34"/>
  <c r="A991" i="34"/>
  <c r="AY990" i="34"/>
  <c r="BG991" i="34"/>
  <c r="BG990" i="34"/>
  <c r="BH991" i="34" l="1"/>
  <c r="BI991" i="34"/>
  <c r="A992" i="34"/>
  <c r="AY991" i="34"/>
  <c r="AQ992" i="34"/>
  <c r="AQ991" i="34"/>
  <c r="AS991" i="34" l="1"/>
  <c r="AR991" i="34"/>
  <c r="BA991" i="34"/>
  <c r="AZ991" i="34"/>
  <c r="AR992" i="34"/>
  <c r="AS992" i="34"/>
  <c r="A993" i="34"/>
  <c r="AY993" i="34"/>
  <c r="BG992" i="34"/>
  <c r="AY992" i="34"/>
  <c r="AZ992" i="34" l="1"/>
  <c r="BA992" i="34"/>
  <c r="BH992" i="34"/>
  <c r="BI992" i="34"/>
  <c r="AZ993" i="34"/>
  <c r="BA993" i="34"/>
  <c r="A994" i="34"/>
  <c r="BG993" i="34"/>
  <c r="AQ993" i="34"/>
  <c r="BG994" i="34"/>
  <c r="BH993" i="34" l="1"/>
  <c r="BI993" i="34"/>
  <c r="AR993" i="34"/>
  <c r="AS993" i="34"/>
  <c r="BI994" i="34"/>
  <c r="BH994" i="34"/>
  <c r="A995" i="34"/>
  <c r="AQ994" i="34"/>
  <c r="AY994" i="34"/>
  <c r="BG995" i="34"/>
  <c r="BA994" i="34" l="1"/>
  <c r="AZ994" i="34"/>
  <c r="AS994" i="34"/>
  <c r="AR994" i="34"/>
  <c r="A996" i="34"/>
  <c r="AQ995" i="34"/>
  <c r="AY995" i="34"/>
  <c r="AQ996" i="34"/>
  <c r="AR996" i="34" l="1"/>
  <c r="AS996" i="34"/>
  <c r="A997" i="34"/>
  <c r="BG996" i="34"/>
  <c r="AY996" i="34"/>
  <c r="AY997" i="34"/>
  <c r="BI996" i="34" l="1"/>
  <c r="BH996" i="34"/>
  <c r="AZ996" i="34"/>
  <c r="BA996" i="34"/>
  <c r="BA997" i="34"/>
  <c r="AZ997" i="34"/>
  <c r="A998" i="34"/>
  <c r="BG997" i="34"/>
  <c r="AQ997" i="34"/>
  <c r="BG998" i="34"/>
  <c r="BH997" i="34" l="1"/>
  <c r="BI997" i="34"/>
  <c r="AS997" i="34"/>
  <c r="AR997" i="34"/>
  <c r="BH998" i="34"/>
  <c r="BI998" i="34"/>
  <c r="A999" i="34"/>
  <c r="AY998" i="34"/>
  <c r="AQ998" i="34"/>
  <c r="AQ999" i="34"/>
  <c r="BA998" i="34" l="1"/>
  <c r="AZ998" i="34"/>
  <c r="AR998" i="34"/>
  <c r="AS998" i="34"/>
  <c r="AR999" i="34"/>
  <c r="AS999" i="34"/>
  <c r="A1000" i="34"/>
  <c r="AY999" i="34"/>
  <c r="BG999" i="34"/>
  <c r="BG1000" i="34"/>
  <c r="BH999" i="34" l="1"/>
  <c r="BI999" i="34"/>
  <c r="AZ999" i="34"/>
  <c r="BA999" i="34"/>
  <c r="BI1000" i="34"/>
  <c r="BH1000" i="34"/>
  <c r="A1001" i="34"/>
  <c r="AQ1000" i="34"/>
  <c r="AY1000" i="34"/>
  <c r="AY1001" i="34"/>
  <c r="AS1000" i="34" l="1"/>
  <c r="AR1000" i="34"/>
  <c r="AZ1000" i="34"/>
  <c r="BA1000" i="34"/>
  <c r="A1002" i="34"/>
  <c r="BG1001" i="34"/>
  <c r="AY1002" i="34"/>
  <c r="AQ1001" i="34"/>
  <c r="BA1002" i="34" l="1"/>
  <c r="AZ1002" i="34"/>
  <c r="A1003" i="34"/>
  <c r="AY1003" i="34"/>
  <c r="BG1002" i="34"/>
  <c r="BG1003" i="34"/>
  <c r="AQ1002" i="34"/>
  <c r="BI1002" i="34" l="1"/>
  <c r="BH1002" i="34"/>
  <c r="AS1002" i="34"/>
  <c r="AR1002" i="34"/>
  <c r="BH1003" i="34"/>
  <c r="BI1003" i="34"/>
  <c r="BA1003" i="34"/>
  <c r="AZ1003" i="34"/>
  <c r="A1004" i="34"/>
  <c r="AQ1003" i="34"/>
  <c r="AY1004" i="34"/>
  <c r="AR1003" i="34" l="1"/>
  <c r="AS1003" i="34"/>
  <c r="AZ1004" i="34"/>
  <c r="BA1004" i="34"/>
  <c r="A1005" i="34"/>
  <c r="AQ1005" i="34"/>
  <c r="BG1004" i="34"/>
  <c r="AQ1004" i="34"/>
  <c r="BI1004" i="34" l="1"/>
  <c r="BH1004" i="34"/>
  <c r="AR1004" i="34"/>
  <c r="AS1004" i="34"/>
  <c r="AR1005" i="34"/>
  <c r="AS1005" i="34"/>
  <c r="A1006" i="34"/>
  <c r="A1007" i="34" s="1"/>
  <c r="A1008" i="34" s="1"/>
  <c r="AY1008" i="34"/>
  <c r="AY1005" i="34"/>
  <c r="BG1005" i="34"/>
  <c r="BA1005" i="34" l="1"/>
  <c r="AZ1005" i="34"/>
  <c r="BH1005" i="34"/>
  <c r="BI1005" i="34"/>
  <c r="A1009" i="34"/>
  <c r="BG1008" i="34"/>
  <c r="AQ1008" i="34"/>
  <c r="BG1009" i="34"/>
  <c r="A1010" i="34" l="1"/>
  <c r="AY1009" i="34"/>
  <c r="AQ1010" i="34"/>
  <c r="AQ1009" i="34"/>
  <c r="AS1010" i="34" l="1"/>
  <c r="AR1010" i="34"/>
  <c r="A1011" i="34"/>
  <c r="AY1011" i="34"/>
  <c r="BG1010" i="34"/>
  <c r="AY1010" i="34"/>
  <c r="BH1010" i="34" l="1"/>
  <c r="BI1010" i="34"/>
  <c r="BA1010" i="34"/>
  <c r="AZ1010" i="34"/>
  <c r="AZ1011" i="34"/>
  <c r="BA1011" i="34"/>
  <c r="A1012" i="34"/>
  <c r="AQ1011" i="34"/>
  <c r="BG1012" i="34"/>
  <c r="BG1011" i="34"/>
  <c r="BH1011" i="34" l="1"/>
  <c r="BI1011" i="34"/>
  <c r="AS1011" i="34"/>
  <c r="AR1011" i="34"/>
  <c r="BI1012" i="34"/>
  <c r="BH1012" i="34"/>
  <c r="A1013" i="34"/>
  <c r="AY1012" i="34"/>
  <c r="AQ1012" i="34"/>
  <c r="AY1013" i="34"/>
  <c r="AZ1012" i="34" l="1"/>
  <c r="BA1012" i="34"/>
  <c r="AR1012" i="34"/>
  <c r="AS1012" i="34"/>
  <c r="BA1013" i="34"/>
  <c r="AZ1013" i="34"/>
  <c r="A1014" i="34"/>
  <c r="AQ1013" i="34"/>
  <c r="BG1013" i="34"/>
  <c r="AY1014" i="34"/>
  <c r="BI1013" i="34" l="1"/>
  <c r="BH1013" i="34"/>
  <c r="AR1013" i="34"/>
  <c r="AS1013" i="34"/>
  <c r="A1015" i="34"/>
  <c r="BG1014" i="34"/>
  <c r="AQ1014" i="34"/>
  <c r="AY1015" i="34"/>
  <c r="BA1015" i="34" l="1"/>
  <c r="AZ1015" i="34"/>
  <c r="A1016" i="34"/>
  <c r="AQ1015" i="34"/>
  <c r="BG1015" i="34"/>
  <c r="BG1016" i="34"/>
  <c r="AR1015" i="34" l="1"/>
  <c r="AS1015" i="34"/>
  <c r="BH1015" i="34"/>
  <c r="BI1015" i="34"/>
  <c r="BI1016" i="34"/>
  <c r="BH1016" i="34"/>
  <c r="A1017" i="34"/>
  <c r="AQ1016" i="34"/>
  <c r="AY1016" i="34"/>
  <c r="AQ1017" i="34"/>
  <c r="AS1016" i="34" l="1"/>
  <c r="AR1016" i="34"/>
  <c r="AZ1016" i="34"/>
  <c r="BA1016" i="34"/>
  <c r="AR1017" i="34"/>
  <c r="AS1017" i="34"/>
  <c r="A1018" i="34"/>
  <c r="BG1017" i="34"/>
  <c r="AY1017" i="34"/>
  <c r="BG1018" i="34"/>
  <c r="BI1017" i="34" l="1"/>
  <c r="BH1017" i="34"/>
  <c r="AZ1017" i="34"/>
  <c r="BA1017" i="34"/>
  <c r="BI1018" i="34"/>
  <c r="BH1018" i="34"/>
  <c r="A1019" i="34"/>
  <c r="AY1018" i="34"/>
  <c r="AQ1018" i="34"/>
  <c r="AQ1019" i="34"/>
  <c r="AR1018" i="34" l="1"/>
  <c r="AS1018" i="34"/>
  <c r="AZ1018" i="34"/>
  <c r="BA1018" i="34"/>
  <c r="AS1019" i="34"/>
  <c r="AR1019" i="34"/>
  <c r="A1020" i="34"/>
  <c r="BG1019" i="34"/>
  <c r="AY1019" i="34"/>
  <c r="AY1020" i="34"/>
  <c r="BA1019" i="34" l="1"/>
  <c r="AZ1019" i="34"/>
  <c r="BH1019" i="34"/>
  <c r="BI1019" i="34"/>
  <c r="A1021" i="34"/>
  <c r="AQ1020" i="34"/>
  <c r="BG1020" i="34"/>
  <c r="BG1021" i="34"/>
  <c r="BH1021" i="34" l="1"/>
  <c r="BI1021" i="34"/>
  <c r="A1022" i="34"/>
  <c r="AY1021" i="34"/>
  <c r="AY1022" i="34"/>
  <c r="AQ1021" i="34"/>
  <c r="AR1021" i="34" l="1"/>
  <c r="AS1021" i="34"/>
  <c r="BA1021" i="34"/>
  <c r="AZ1021" i="34"/>
  <c r="BA1022" i="34"/>
  <c r="AZ1022" i="34"/>
  <c r="A1023" i="34"/>
  <c r="BG1022" i="34"/>
  <c r="AQ1022" i="34"/>
  <c r="BG1023" i="34"/>
  <c r="BH1022" i="34" l="1"/>
  <c r="BI1022" i="34"/>
  <c r="AR1022" i="34"/>
  <c r="AS1022" i="34"/>
  <c r="BI1023" i="34"/>
  <c r="BH1023" i="34"/>
  <c r="A1024" i="34"/>
  <c r="AY1023" i="34"/>
  <c r="AQ1023" i="34"/>
  <c r="AY1024" i="34"/>
  <c r="AR1023" i="34" l="1"/>
  <c r="AS1023" i="34"/>
  <c r="BA1023" i="34"/>
  <c r="AZ1023" i="34"/>
  <c r="AZ1024" i="34"/>
  <c r="BA1024" i="34"/>
  <c r="A1025" i="34"/>
  <c r="AQ1024" i="34"/>
  <c r="BG1024" i="34"/>
  <c r="AQ1025" i="34"/>
  <c r="BI1024" i="34" l="1"/>
  <c r="BH1024" i="34"/>
  <c r="AR1024" i="34"/>
  <c r="AS1024" i="34"/>
  <c r="A1026" i="34"/>
  <c r="BG1025" i="34"/>
  <c r="AY1025" i="34"/>
  <c r="AQ1026" i="34"/>
  <c r="AR1026" i="34" l="1"/>
  <c r="AS1026" i="34"/>
  <c r="A1027" i="34"/>
  <c r="BG1026" i="34"/>
  <c r="AY1026" i="34"/>
  <c r="BG1027" i="34"/>
  <c r="AQ1027" i="34"/>
  <c r="BH1026" i="34" l="1"/>
  <c r="BI1026" i="34"/>
  <c r="BA1026" i="34"/>
  <c r="AZ1026" i="34"/>
  <c r="AS1027" i="34"/>
  <c r="AR1027" i="34"/>
  <c r="BH1027" i="34"/>
  <c r="BI1027" i="34"/>
  <c r="A1028" i="34"/>
  <c r="BG1028" i="34"/>
  <c r="AY1027" i="34"/>
  <c r="BA1027" i="34" l="1"/>
  <c r="AZ1027" i="34"/>
  <c r="BH1028" i="34"/>
  <c r="BI1028" i="34"/>
  <c r="A1029" i="34"/>
  <c r="AY1028" i="34"/>
  <c r="AY1029" i="34"/>
  <c r="AQ1028" i="34"/>
  <c r="BA1028" i="34" l="1"/>
  <c r="AZ1028" i="34"/>
  <c r="AR1028" i="34"/>
  <c r="AS1028" i="34"/>
  <c r="BA1029" i="34"/>
  <c r="AZ1029" i="34"/>
  <c r="A1030" i="34"/>
  <c r="BG1029" i="34"/>
  <c r="AQ1029" i="34"/>
  <c r="AQ1030" i="34"/>
  <c r="AR1029" i="34" l="1"/>
  <c r="AS1029" i="34"/>
  <c r="BH1029" i="34"/>
  <c r="BI1029" i="34"/>
  <c r="AS1030" i="34"/>
  <c r="AR1030" i="34"/>
  <c r="A1031" i="34"/>
  <c r="BG1030" i="34"/>
  <c r="AY1031" i="34"/>
  <c r="AY1030" i="34"/>
  <c r="BH1030" i="34" l="1"/>
  <c r="BI1030" i="34"/>
  <c r="AZ1030" i="34"/>
  <c r="BA1030" i="34"/>
  <c r="A1032" i="34"/>
  <c r="BG1031" i="34"/>
  <c r="AQ1031" i="34"/>
  <c r="AY1032" i="34"/>
  <c r="BA1032" i="34" l="1"/>
  <c r="AZ1032" i="34"/>
  <c r="A1033" i="34"/>
  <c r="BG1032" i="34"/>
  <c r="AQ1033" i="34"/>
  <c r="AQ1032" i="34"/>
  <c r="AR1032" i="34" l="1"/>
  <c r="AS1032" i="34"/>
  <c r="BI1032" i="34"/>
  <c r="BH1032" i="34"/>
  <c r="AR1033" i="34"/>
  <c r="AS1033" i="34"/>
  <c r="A1034" i="34"/>
  <c r="BG1033" i="34"/>
  <c r="AY1033" i="34"/>
  <c r="BG1034" i="34"/>
  <c r="BH1033" i="34" l="1"/>
  <c r="BI1033" i="34"/>
  <c r="BA1033" i="34"/>
  <c r="AZ1033" i="34"/>
  <c r="BI1034" i="34"/>
  <c r="BH1034" i="34"/>
  <c r="A1035" i="34"/>
  <c r="AY1034" i="34"/>
  <c r="AQ1034" i="34"/>
  <c r="BG1035" i="34"/>
  <c r="AS1034" i="34" l="1"/>
  <c r="AR1034" i="34"/>
  <c r="BA1034" i="34"/>
  <c r="AZ1034" i="34"/>
  <c r="BH1035" i="34"/>
  <c r="BI1035" i="34"/>
  <c r="A1036" i="34"/>
  <c r="A1037" i="34" s="1"/>
  <c r="A1038" i="34" s="1"/>
  <c r="AY1035" i="34"/>
  <c r="AQ1035" i="34"/>
  <c r="AY1038" i="34"/>
  <c r="AZ1035" i="34" l="1"/>
  <c r="BA1035" i="34"/>
  <c r="AR1035" i="34"/>
  <c r="AS1035" i="34"/>
  <c r="A1039" i="34"/>
  <c r="BG1039" i="34"/>
  <c r="BG1038" i="34"/>
  <c r="AQ1038" i="34"/>
  <c r="A1040" i="34" l="1"/>
  <c r="AQ1039" i="34"/>
  <c r="AY1039" i="34"/>
  <c r="AQ1040" i="34"/>
  <c r="AR1040" i="34" l="1"/>
  <c r="AS1040" i="34"/>
  <c r="A1041" i="34"/>
  <c r="AY1040" i="34"/>
  <c r="BG1040" i="34"/>
  <c r="AQ1041" i="34"/>
  <c r="BH1040" i="34" l="1"/>
  <c r="BI1040" i="34"/>
  <c r="AZ1040" i="34"/>
  <c r="BA1040" i="34"/>
  <c r="AS1041" i="34"/>
  <c r="AR1041" i="34"/>
  <c r="A1042" i="34"/>
  <c r="AY1041" i="34"/>
  <c r="BG1041" i="34"/>
  <c r="AY1042" i="34"/>
  <c r="BI1041" i="34" l="1"/>
  <c r="BH1041" i="34"/>
  <c r="AZ1041" i="34"/>
  <c r="BA1041" i="34"/>
  <c r="BA1042" i="34"/>
  <c r="AZ1042" i="34"/>
  <c r="A1043" i="34"/>
  <c r="AQ1042" i="34"/>
  <c r="BG1042" i="34"/>
  <c r="AY1043" i="34"/>
  <c r="AS1042" i="34" l="1"/>
  <c r="AR1042" i="34"/>
  <c r="BH1042" i="34"/>
  <c r="BI1042" i="34"/>
  <c r="AZ1043" i="34"/>
  <c r="BA1043" i="34"/>
  <c r="A1044" i="34"/>
  <c r="AQ1043" i="34"/>
  <c r="BG1043" i="34"/>
  <c r="AQ1044" i="34"/>
  <c r="BI1043" i="34" l="1"/>
  <c r="BH1043" i="34"/>
  <c r="AR1043" i="34"/>
  <c r="AS1043" i="34"/>
  <c r="A1045" i="34"/>
  <c r="BG1044" i="34"/>
  <c r="AY1044" i="34"/>
  <c r="BG1045" i="34"/>
  <c r="BI1045" i="34" l="1"/>
  <c r="BH1045" i="34"/>
  <c r="A1046" i="34"/>
  <c r="AQ1045" i="34"/>
  <c r="AY1046" i="34"/>
  <c r="AY1045" i="34"/>
  <c r="AZ1045" i="34" l="1"/>
  <c r="BA1045" i="34"/>
  <c r="AS1045" i="34"/>
  <c r="AR1045" i="34"/>
  <c r="BA1046" i="34"/>
  <c r="AZ1046" i="34"/>
  <c r="A1047" i="34"/>
  <c r="AQ1046" i="34"/>
  <c r="AY1047" i="34"/>
  <c r="BG1046" i="34"/>
  <c r="BH1046" i="34" l="1"/>
  <c r="BI1046" i="34"/>
  <c r="AS1046" i="34"/>
  <c r="AR1046" i="34"/>
  <c r="AZ1047" i="34"/>
  <c r="BA1047" i="34"/>
  <c r="A1048" i="34"/>
  <c r="BG1047" i="34"/>
  <c r="AQ1047" i="34"/>
  <c r="AQ1048" i="34"/>
  <c r="BH1047" i="34" l="1"/>
  <c r="BI1047" i="34"/>
  <c r="AR1047" i="34"/>
  <c r="AS1047" i="34"/>
  <c r="AR1048" i="34"/>
  <c r="AS1048" i="34"/>
  <c r="A1049" i="34"/>
  <c r="BG1048" i="34"/>
  <c r="AY1048" i="34"/>
  <c r="AY1049" i="34"/>
  <c r="BI1048" i="34" l="1"/>
  <c r="BH1048" i="34"/>
  <c r="BA1048" i="34"/>
  <c r="AZ1048" i="34"/>
  <c r="AZ1049" i="34"/>
  <c r="BA1049" i="34"/>
  <c r="A1050" i="34"/>
  <c r="BG1049" i="34"/>
  <c r="AQ1049" i="34"/>
  <c r="BG1050" i="34"/>
  <c r="BH1049" i="34" l="1"/>
  <c r="BI1049" i="34"/>
  <c r="AR1049" i="34"/>
  <c r="AS1049" i="34"/>
  <c r="A1051" i="34"/>
  <c r="AQ1050" i="34"/>
  <c r="AY1050" i="34"/>
  <c r="AQ1051" i="34"/>
  <c r="AR1051" i="34" l="1"/>
  <c r="AS1051" i="34"/>
  <c r="A1052" i="34"/>
  <c r="AY1051" i="34"/>
  <c r="BG1051" i="34"/>
  <c r="BG1052" i="34"/>
  <c r="BI1051" i="34" l="1"/>
  <c r="BH1051" i="34"/>
  <c r="BA1051" i="34"/>
  <c r="AZ1051" i="34"/>
  <c r="BH1052" i="34"/>
  <c r="BI1052" i="34"/>
  <c r="A1053" i="34"/>
  <c r="AY1052" i="34"/>
  <c r="AQ1052" i="34"/>
  <c r="BG1053" i="34"/>
  <c r="AS1052" i="34" l="1"/>
  <c r="AR1052" i="34"/>
  <c r="BA1052" i="34"/>
  <c r="AZ1052" i="34"/>
  <c r="BI1053" i="34"/>
  <c r="BH1053" i="34"/>
  <c r="A1054" i="34"/>
  <c r="AQ1053" i="34"/>
  <c r="AY1053" i="34"/>
  <c r="AY1054" i="34"/>
  <c r="AZ1053" i="34" l="1"/>
  <c r="BA1053" i="34"/>
  <c r="AS1053" i="34"/>
  <c r="AR1053" i="34"/>
  <c r="AZ1054" i="34"/>
  <c r="BA1054" i="34"/>
  <c r="A1055" i="34"/>
  <c r="AQ1054" i="34"/>
  <c r="AQ1055" i="34"/>
  <c r="BG1054" i="34"/>
  <c r="BH1054" i="34" l="1"/>
  <c r="BI1054" i="34"/>
  <c r="AS1054" i="34"/>
  <c r="AR1054" i="34"/>
  <c r="A1056" i="34"/>
  <c r="BG1055" i="34"/>
  <c r="AY1056" i="34"/>
  <c r="AY1055" i="34"/>
  <c r="BA1056" i="34" l="1"/>
  <c r="AZ1056" i="34"/>
  <c r="A1057" i="34"/>
  <c r="AY1057" i="34"/>
  <c r="BG1056" i="34"/>
  <c r="AQ1056" i="34"/>
  <c r="BI1056" i="34" l="1"/>
  <c r="BH1056" i="34"/>
  <c r="AS1056" i="34"/>
  <c r="AR1056" i="34"/>
  <c r="AZ1057" i="34"/>
  <c r="BA1057" i="34"/>
  <c r="A1058" i="34"/>
  <c r="BG1057" i="34"/>
  <c r="AQ1057" i="34"/>
  <c r="AY1058" i="34"/>
  <c r="AS1057" i="34" l="1"/>
  <c r="AR1057" i="34"/>
  <c r="BH1057" i="34"/>
  <c r="BI1057" i="34"/>
  <c r="BA1058" i="34"/>
  <c r="AZ1058" i="34"/>
  <c r="A1059" i="34"/>
  <c r="AQ1058" i="34"/>
  <c r="AQ1059" i="34"/>
  <c r="BG1058" i="34"/>
  <c r="BI1058" i="34" l="1"/>
  <c r="BH1058" i="34"/>
  <c r="AS1058" i="34"/>
  <c r="AR1058" i="34"/>
  <c r="AS1059" i="34"/>
  <c r="AR1059" i="34"/>
  <c r="A1060" i="34"/>
  <c r="BG1059" i="34"/>
  <c r="AY1060" i="34"/>
  <c r="AY1059" i="34"/>
  <c r="BA1059" i="34" l="1"/>
  <c r="AZ1059" i="34"/>
  <c r="BI1059" i="34"/>
  <c r="BH1059" i="34"/>
  <c r="BA1060" i="34"/>
  <c r="AZ1060" i="34"/>
  <c r="A1061" i="34"/>
  <c r="AY1061" i="34"/>
  <c r="BG1060" i="34"/>
  <c r="AQ1060" i="34"/>
  <c r="AR1060" i="34" l="1"/>
  <c r="AS1060" i="34"/>
  <c r="BI1060" i="34"/>
  <c r="BH1060" i="34"/>
  <c r="A1062" i="34"/>
  <c r="AQ1061" i="34"/>
  <c r="BG1061" i="34"/>
  <c r="BG1062" i="34"/>
  <c r="BH1062" i="34" l="1"/>
  <c r="BI1062" i="34"/>
  <c r="A1063" i="34"/>
  <c r="AY1063" i="34"/>
  <c r="BG1063" i="34"/>
  <c r="AQ1062" i="34"/>
  <c r="AY1062" i="34"/>
  <c r="BA1062" i="34" l="1"/>
  <c r="AZ1062" i="34"/>
  <c r="AS1062" i="34"/>
  <c r="AR1062" i="34"/>
  <c r="BH1063" i="34"/>
  <c r="BI1063" i="34"/>
  <c r="BA1063" i="34"/>
  <c r="AZ1063" i="34"/>
  <c r="A1064" i="34"/>
  <c r="AQ1063" i="34"/>
  <c r="BG1064" i="34"/>
  <c r="AR1063" i="34" l="1"/>
  <c r="AS1063" i="34"/>
  <c r="BH1064" i="34"/>
  <c r="BI1064" i="34"/>
  <c r="A1065" i="34"/>
  <c r="A1066" i="34"/>
  <c r="AY1064" i="34"/>
  <c r="AQ1064" i="34"/>
  <c r="AQ1065" i="34"/>
  <c r="BA1064" i="34" l="1"/>
  <c r="AZ1064" i="34"/>
  <c r="AS1064" i="34"/>
  <c r="AR1064" i="34"/>
  <c r="AR1065" i="34"/>
  <c r="AS1065" i="34"/>
  <c r="A1075" i="34"/>
  <c r="A1076" i="34" s="1"/>
  <c r="A1077" i="34" s="1"/>
  <c r="A1078" i="34" s="1"/>
  <c r="A1079" i="34" s="1"/>
  <c r="A1067" i="34"/>
  <c r="A1068" i="34" s="1"/>
  <c r="A1069" i="34" s="1"/>
  <c r="AY1065" i="34"/>
  <c r="BG1065" i="34"/>
  <c r="AY1079" i="34"/>
  <c r="BA1065" i="34" l="1"/>
  <c r="AZ1065" i="34"/>
  <c r="BH1065" i="34"/>
  <c r="BI1065" i="34"/>
  <c r="A1071" i="34"/>
  <c r="A1070" i="34"/>
  <c r="A1072" i="34" s="1"/>
  <c r="A1073" i="34" s="1"/>
  <c r="A1074" i="34" s="1"/>
  <c r="A1080" i="34"/>
  <c r="AQ1079" i="34"/>
  <c r="BG1079" i="34"/>
  <c r="AY1080" i="34"/>
  <c r="A1081" i="34" l="1"/>
  <c r="AQ1080" i="34"/>
  <c r="BG1080" i="34"/>
  <c r="BG1081" i="34"/>
  <c r="A1082" i="34" l="1"/>
  <c r="AY1081" i="34"/>
  <c r="AQ1081" i="34"/>
  <c r="AQ1082" i="34"/>
  <c r="A1083" i="34" l="1"/>
  <c r="AQ1083" i="34"/>
  <c r="BG1082" i="34"/>
  <c r="AY1082" i="34"/>
  <c r="A1084" i="34" l="1"/>
  <c r="BG1083" i="34"/>
  <c r="AY1083" i="34"/>
  <c r="AY1084" i="34"/>
  <c r="AZ1084" i="34" l="1"/>
  <c r="BA1084" i="34"/>
  <c r="A1085" i="34"/>
  <c r="AY1085" i="34"/>
  <c r="AQ1084" i="34"/>
  <c r="BG1084" i="34"/>
  <c r="AS1084" i="34" l="1"/>
  <c r="AR1084" i="34"/>
  <c r="BI1084" i="34"/>
  <c r="BH1084" i="34"/>
  <c r="BA1085" i="34"/>
  <c r="AZ1085" i="34"/>
  <c r="A1086" i="34"/>
  <c r="AQ1085" i="34"/>
  <c r="BG1085" i="34"/>
  <c r="BG1086" i="34"/>
  <c r="BH1085" i="34" l="1"/>
  <c r="BI1085" i="34"/>
  <c r="AS1085" i="34"/>
  <c r="AR1085" i="34"/>
  <c r="A1087" i="34"/>
  <c r="AQ1086" i="34"/>
  <c r="AY1086" i="34"/>
  <c r="AQ1087" i="34"/>
  <c r="AS1087" i="34" l="1"/>
  <c r="AR1087" i="34"/>
  <c r="A1088" i="34"/>
  <c r="AY1087" i="34"/>
  <c r="BG1087" i="34"/>
  <c r="BG1088" i="34"/>
  <c r="BI1087" i="34" l="1"/>
  <c r="BH1087" i="34"/>
  <c r="BA1087" i="34"/>
  <c r="AZ1087" i="34"/>
  <c r="BH1088" i="34"/>
  <c r="BI1088" i="34"/>
  <c r="A1089" i="34"/>
  <c r="AY1088" i="34"/>
  <c r="BG1089" i="34"/>
  <c r="AQ1088" i="34"/>
  <c r="AZ1088" i="34" l="1"/>
  <c r="BA1088" i="34"/>
  <c r="AR1088" i="34"/>
  <c r="AS1088" i="34"/>
  <c r="A1090" i="34"/>
  <c r="AQ1089" i="34"/>
  <c r="AY1089" i="34"/>
  <c r="AY1090" i="34"/>
  <c r="BA1090" i="34" l="1"/>
  <c r="AZ1090" i="34"/>
  <c r="A1091" i="34"/>
  <c r="AQ1091" i="34"/>
  <c r="AQ1090" i="34"/>
  <c r="BG1090" i="34"/>
  <c r="BI1090" i="34" l="1"/>
  <c r="BH1090" i="34"/>
  <c r="AS1090" i="34"/>
  <c r="AR1090" i="34"/>
  <c r="AS1091" i="34"/>
  <c r="AR1091" i="34"/>
  <c r="A1092" i="34"/>
  <c r="AY1091" i="34"/>
  <c r="BG1091" i="34"/>
  <c r="AY1092" i="34"/>
  <c r="AZ1091" i="34" l="1"/>
  <c r="BA1091" i="34"/>
  <c r="BH1091" i="34"/>
  <c r="BI1091" i="34"/>
  <c r="AZ1092" i="34"/>
  <c r="BA1092" i="34"/>
  <c r="A1093" i="34"/>
  <c r="AQ1092" i="34"/>
  <c r="BG1093" i="34"/>
  <c r="BG1092" i="34"/>
  <c r="BH1092" i="34" l="1"/>
  <c r="BI1092" i="34"/>
  <c r="AR1092" i="34"/>
  <c r="AS1092" i="34"/>
  <c r="A1094" i="34"/>
  <c r="AY1093" i="34"/>
  <c r="AQ1094" i="34"/>
  <c r="AQ1093" i="34"/>
  <c r="AR1094" i="34" l="1"/>
  <c r="AS1094" i="34"/>
  <c r="A1095" i="34"/>
  <c r="BG1094" i="34"/>
  <c r="AY1094" i="34"/>
  <c r="BG1095" i="34"/>
  <c r="AZ1094" i="34" l="1"/>
  <c r="BA1094" i="34"/>
  <c r="BH1094" i="34"/>
  <c r="BI1094" i="34"/>
  <c r="BI1095" i="34"/>
  <c r="BH1095" i="34"/>
  <c r="A1096" i="34"/>
  <c r="AQ1095" i="34"/>
  <c r="AY1095" i="34"/>
  <c r="BG1096" i="34"/>
  <c r="BA1095" i="34" l="1"/>
  <c r="AZ1095" i="34"/>
  <c r="AR1095" i="34"/>
  <c r="AS1095" i="34"/>
  <c r="A1097" i="34"/>
  <c r="AQ1096" i="34"/>
  <c r="AY1096" i="34"/>
  <c r="AY1097" i="34"/>
  <c r="AZ1097" i="34" l="1"/>
  <c r="BA1097" i="34"/>
  <c r="A1098" i="34"/>
  <c r="AQ1097" i="34"/>
  <c r="AQ1098" i="34"/>
  <c r="BG1097" i="34"/>
  <c r="BI1097" i="34" l="1"/>
  <c r="BH1097" i="34"/>
  <c r="AR1097" i="34"/>
  <c r="AS1097" i="34"/>
  <c r="AS1098" i="34"/>
  <c r="AR1098" i="34"/>
  <c r="A1099" i="34"/>
  <c r="A1100" i="34" s="1"/>
  <c r="A1101" i="34" s="1"/>
  <c r="AY1098" i="34"/>
  <c r="BG1098" i="34"/>
  <c r="BG1101" i="34"/>
  <c r="BH1098" i="34" l="1"/>
  <c r="BI1098" i="34"/>
  <c r="AZ1098" i="34"/>
  <c r="BA1098" i="34"/>
  <c r="A1102" i="34"/>
  <c r="AY1101" i="34"/>
  <c r="AQ1101" i="34"/>
  <c r="AY1102" i="34"/>
  <c r="A1103" i="34" l="1"/>
  <c r="AQ1102" i="34"/>
  <c r="BG1102" i="34"/>
  <c r="AY1103" i="34"/>
  <c r="AZ1103" i="34" l="1"/>
  <c r="BA1103" i="34"/>
  <c r="A1104" i="34"/>
  <c r="AQ1103" i="34"/>
  <c r="AY1104" i="34"/>
  <c r="BG1103" i="34"/>
  <c r="BI1103" i="34" l="1"/>
  <c r="BH1103" i="34"/>
  <c r="AS1103" i="34"/>
  <c r="AR1103" i="34"/>
  <c r="AZ1104" i="34"/>
  <c r="BA1104" i="34"/>
  <c r="A1105" i="34"/>
  <c r="AQ1104" i="34"/>
  <c r="AY1105" i="34"/>
  <c r="BG1104" i="34"/>
  <c r="AS1104" i="34" l="1"/>
  <c r="AR1104" i="34"/>
  <c r="BH1104" i="34"/>
  <c r="BI1104" i="34"/>
  <c r="A1106" i="34"/>
  <c r="BG1105" i="34"/>
  <c r="AQ1105" i="34"/>
  <c r="BG1106" i="34"/>
  <c r="A1107" i="34" l="1"/>
  <c r="AQ1106" i="34"/>
  <c r="AY1106" i="34"/>
  <c r="AQ1107" i="34"/>
  <c r="A1108" i="34" l="1"/>
  <c r="AY1107" i="34"/>
  <c r="AY1108" i="34"/>
  <c r="BG1107" i="34"/>
  <c r="AZ1108" i="34" l="1"/>
  <c r="BA1108" i="34"/>
  <c r="A1109" i="34"/>
  <c r="AQ1108" i="34"/>
  <c r="BG1108" i="34"/>
  <c r="BG1109" i="34"/>
  <c r="AS1108" i="34" l="1"/>
  <c r="AR1108" i="34"/>
  <c r="BI1108" i="34"/>
  <c r="BH1108" i="34"/>
  <c r="BI1109" i="34"/>
  <c r="BH1109" i="34"/>
  <c r="A1110" i="34"/>
  <c r="AY1109" i="34"/>
  <c r="AQ1109" i="34"/>
  <c r="AQ1110" i="34"/>
  <c r="AR1109" i="34" l="1"/>
  <c r="AS1109" i="34"/>
  <c r="AZ1109" i="34"/>
  <c r="BA1109" i="34"/>
  <c r="A1111" i="34"/>
  <c r="A1112" i="34" s="1"/>
  <c r="A1113" i="34" s="1"/>
  <c r="A1114" i="34" s="1"/>
  <c r="AY1114" i="34"/>
  <c r="BG1110" i="34"/>
  <c r="AY1110" i="34"/>
  <c r="AZ1114" i="34" l="1"/>
  <c r="BA1114" i="34"/>
  <c r="A1115" i="34"/>
  <c r="BG1114" i="34"/>
  <c r="AQ1115" i="34"/>
  <c r="AQ1114" i="34"/>
  <c r="AS1114" i="34" l="1"/>
  <c r="AR1114" i="34"/>
  <c r="BH1114" i="34"/>
  <c r="BI1114" i="34"/>
  <c r="A1116" i="34"/>
  <c r="AY1115" i="34"/>
  <c r="BG1116" i="34"/>
  <c r="BG1115" i="34"/>
  <c r="BH1116" i="34" l="1"/>
  <c r="BI1116" i="34"/>
  <c r="A1117" i="34"/>
  <c r="BG1117" i="34"/>
  <c r="AQ1116" i="34"/>
  <c r="AY1116" i="34"/>
  <c r="AR1116" i="34" l="1"/>
  <c r="AS1116" i="34"/>
  <c r="AZ1116" i="34"/>
  <c r="BA1116" i="34"/>
  <c r="BI1117" i="34"/>
  <c r="BH1117" i="34"/>
  <c r="A1118" i="34"/>
  <c r="A1119" i="34" s="1"/>
  <c r="A1120" i="34" s="1"/>
  <c r="AQ1117" i="34"/>
  <c r="AY1117" i="34"/>
  <c r="BG1120" i="34"/>
  <c r="AZ1117" i="34" l="1"/>
  <c r="BA1117" i="34"/>
  <c r="AR1117" i="34"/>
  <c r="AS1117" i="34"/>
  <c r="BH1120" i="34"/>
  <c r="BI1120" i="34"/>
  <c r="A1121" i="34"/>
  <c r="A1122" i="34" s="1"/>
  <c r="A1123" i="34" s="1"/>
  <c r="A1124" i="34" s="1"/>
  <c r="A1125" i="34" s="1"/>
  <c r="A1126" i="34" s="1"/>
  <c r="A1127" i="34" s="1"/>
  <c r="A1128" i="34" s="1"/>
  <c r="A1129" i="34" s="1"/>
  <c r="A1130" i="34" s="1"/>
  <c r="A1131" i="34" s="1"/>
  <c r="A1132" i="34" s="1"/>
  <c r="A1133" i="34" s="1"/>
  <c r="A1134" i="34" s="1"/>
  <c r="A1135" i="34" s="1"/>
  <c r="A1136" i="34" s="1"/>
  <c r="A1137" i="34" s="1"/>
  <c r="A1138" i="34" s="1"/>
  <c r="A1139" i="34" s="1"/>
  <c r="A1140" i="34" s="1"/>
  <c r="A1141" i="34" s="1"/>
  <c r="A1142" i="34" s="1"/>
  <c r="A1143" i="34" s="1"/>
  <c r="A1144" i="34" s="1"/>
  <c r="A1145" i="34" s="1"/>
  <c r="A1146" i="34" s="1"/>
  <c r="A1147" i="34" s="1"/>
  <c r="A1148" i="34" s="1"/>
  <c r="A1149" i="34" s="1"/>
  <c r="A1150" i="34" s="1"/>
  <c r="A1151" i="34" s="1"/>
  <c r="A1152" i="34" s="1"/>
  <c r="A1153" i="34" s="1"/>
  <c r="A1154" i="34" s="1"/>
  <c r="A1155" i="34" s="1"/>
  <c r="A1156" i="34" s="1"/>
  <c r="A1157" i="34" s="1"/>
  <c r="A1158" i="34" s="1"/>
  <c r="A1159" i="34" s="1"/>
  <c r="A1160" i="34" s="1"/>
  <c r="A1161" i="34" s="1"/>
  <c r="A1162" i="34" s="1"/>
  <c r="A1163" i="34" s="1"/>
  <c r="A1164" i="34" s="1"/>
  <c r="A1165" i="34" s="1"/>
  <c r="A1166" i="34" s="1"/>
  <c r="A1167" i="34" s="1"/>
  <c r="A1168" i="34" s="1"/>
  <c r="A1169" i="34" s="1"/>
  <c r="A1170" i="34" s="1"/>
  <c r="A1171" i="34" s="1"/>
  <c r="A1172" i="34" s="1"/>
  <c r="A1173" i="34" s="1"/>
  <c r="A1174" i="34" s="1"/>
  <c r="A1175" i="34" s="1"/>
  <c r="A1176" i="34" s="1"/>
  <c r="A1177" i="34" s="1"/>
  <c r="A1178" i="34" s="1"/>
  <c r="A1179" i="34" s="1"/>
  <c r="A1180" i="34" s="1"/>
  <c r="A1181" i="34" s="1"/>
  <c r="A1182" i="34" s="1"/>
  <c r="A1183" i="34" s="1"/>
  <c r="A1184" i="34" s="1"/>
  <c r="A1185" i="34" s="1"/>
  <c r="A1186" i="34" s="1"/>
  <c r="A1187" i="34" s="1"/>
  <c r="A1188" i="34" s="1"/>
  <c r="A1189" i="34" s="1"/>
  <c r="A1190" i="34" s="1"/>
  <c r="A1191" i="34" s="1"/>
  <c r="A1192" i="34" s="1"/>
  <c r="A1193" i="34" s="1"/>
  <c r="A1194" i="34" s="1"/>
  <c r="A1195" i="34" s="1"/>
  <c r="A1196" i="34" s="1"/>
  <c r="A1197" i="34" s="1"/>
  <c r="A1198" i="34" s="1"/>
  <c r="A1199" i="34" s="1"/>
  <c r="A1200" i="34" s="1"/>
  <c r="A1201" i="34" s="1"/>
  <c r="A1202" i="34" s="1"/>
  <c r="A1203" i="34" s="1"/>
  <c r="A1204" i="34" s="1"/>
  <c r="A1205" i="34" s="1"/>
  <c r="A1206" i="34" s="1"/>
  <c r="A1207" i="34" s="1"/>
  <c r="A1208" i="34" s="1"/>
  <c r="A1209" i="34" s="1"/>
  <c r="A1210" i="34" s="1"/>
  <c r="A1211" i="34" s="1"/>
  <c r="A1212" i="34" s="1"/>
  <c r="A1213" i="34" s="1"/>
  <c r="A1214" i="34" s="1"/>
  <c r="A1215" i="34" s="1"/>
  <c r="A1216" i="34" s="1"/>
  <c r="A1217" i="34" s="1"/>
  <c r="A1218" i="34" s="1"/>
  <c r="A1219" i="34" s="1"/>
  <c r="A1220" i="34" s="1"/>
  <c r="A1221" i="34" s="1"/>
  <c r="A1222" i="34" s="1"/>
  <c r="A1223" i="34" s="1"/>
  <c r="A1224" i="34" s="1"/>
  <c r="A1225" i="34" s="1"/>
  <c r="A1226" i="34" s="1"/>
  <c r="A1227" i="34" s="1"/>
  <c r="A1228" i="34" s="1"/>
  <c r="A1229" i="34" s="1"/>
  <c r="A1230" i="34" s="1"/>
  <c r="A1231" i="34" s="1"/>
  <c r="A1232" i="34" s="1"/>
  <c r="A1233" i="34" s="1"/>
  <c r="A1234" i="34" s="1"/>
  <c r="A1235" i="34" s="1"/>
  <c r="A1236" i="34" s="1"/>
  <c r="A1237" i="34" s="1"/>
  <c r="A1238" i="34" s="1"/>
  <c r="A1239" i="34" s="1"/>
  <c r="A1240" i="34" s="1"/>
  <c r="A1241" i="34" s="1"/>
  <c r="A1242" i="34" s="1"/>
  <c r="A1243" i="34" s="1"/>
  <c r="A1244" i="34" s="1"/>
  <c r="A1245" i="34" s="1"/>
  <c r="A1246" i="34" s="1"/>
  <c r="A1247" i="34" s="1"/>
  <c r="A1248" i="34" s="1"/>
  <c r="A1249" i="34" s="1"/>
  <c r="A1250" i="34" s="1"/>
  <c r="A1251" i="34" s="1"/>
  <c r="A1252" i="34" s="1"/>
  <c r="A1253" i="34" s="1"/>
  <c r="A1254" i="34" s="1"/>
  <c r="A1255" i="34" s="1"/>
  <c r="A1256" i="34" s="1"/>
  <c r="A1257" i="34" s="1"/>
  <c r="A1258" i="34" s="1"/>
  <c r="A1259" i="34" s="1"/>
  <c r="A1260" i="34" s="1"/>
  <c r="A1261" i="34" s="1"/>
  <c r="A1262" i="34" s="1"/>
  <c r="A1263" i="34" s="1"/>
  <c r="A1264" i="34" s="1"/>
  <c r="A1265" i="34" s="1"/>
  <c r="A1266" i="34" s="1"/>
  <c r="A1267" i="34" s="1"/>
  <c r="A1268" i="34" s="1"/>
  <c r="A1269" i="34" s="1"/>
  <c r="A1270" i="34" s="1"/>
  <c r="A1271" i="34" s="1"/>
  <c r="A1272" i="34" s="1"/>
  <c r="A1273" i="34" s="1"/>
  <c r="A1274" i="34" s="1"/>
  <c r="A1275" i="34" s="1"/>
  <c r="A1276" i="34" s="1"/>
  <c r="A1277" i="34" s="1"/>
  <c r="A1278" i="34" s="1"/>
  <c r="A1279" i="34" s="1"/>
  <c r="A1280" i="34" s="1"/>
  <c r="A1281" i="34" s="1"/>
  <c r="A1282" i="34" s="1"/>
  <c r="A1283" i="34" s="1"/>
  <c r="A1284" i="34" s="1"/>
  <c r="A1285" i="34" s="1"/>
  <c r="A1286" i="34" s="1"/>
  <c r="A1287" i="34" s="1"/>
  <c r="A1288" i="34" s="1"/>
  <c r="A1289" i="34" s="1"/>
  <c r="A1290" i="34" s="1"/>
  <c r="A1291" i="34" s="1"/>
  <c r="A1292" i="34" s="1"/>
  <c r="A1293" i="34" s="1"/>
  <c r="A1294" i="34" s="1"/>
  <c r="A1295" i="34" s="1"/>
  <c r="A1296" i="34" s="1"/>
  <c r="A1297" i="34" s="1"/>
  <c r="A1298" i="34" s="1"/>
  <c r="A1299" i="34" s="1"/>
  <c r="A1300" i="34" s="1"/>
  <c r="A1301" i="34" s="1"/>
  <c r="A1302" i="34" s="1"/>
  <c r="A1303" i="34" s="1"/>
  <c r="A1304" i="34" s="1"/>
  <c r="A1305" i="34" s="1"/>
  <c r="A1306" i="34" s="1"/>
  <c r="A1307" i="34" s="1"/>
  <c r="A1308" i="34" s="1"/>
  <c r="A1309" i="34" s="1"/>
  <c r="A1310" i="34" s="1"/>
  <c r="A1311" i="34" s="1"/>
  <c r="A1312" i="34" s="1"/>
  <c r="A1313" i="34" s="1"/>
  <c r="A1314" i="34" s="1"/>
  <c r="A1315" i="34" s="1"/>
  <c r="A1316" i="34" s="1"/>
  <c r="A1317" i="34" s="1"/>
  <c r="A1318" i="34" s="1"/>
  <c r="A1319" i="34" s="1"/>
  <c r="A1320" i="34" s="1"/>
  <c r="A1321" i="34" s="1"/>
  <c r="A1322" i="34" s="1"/>
  <c r="A1323" i="34" s="1"/>
  <c r="A1324" i="34" s="1"/>
  <c r="A1325" i="34" s="1"/>
  <c r="A1326" i="34" s="1"/>
  <c r="A1327" i="34" s="1"/>
  <c r="A1328" i="34" s="1"/>
  <c r="A1329" i="34" s="1"/>
  <c r="A1330" i="34" s="1"/>
  <c r="A1331" i="34" s="1"/>
  <c r="A1332" i="34" s="1"/>
  <c r="A1333" i="34" s="1"/>
  <c r="A1334" i="34" s="1"/>
  <c r="A1335" i="34" s="1"/>
  <c r="A1336" i="34" s="1"/>
  <c r="A1337" i="34" s="1"/>
  <c r="A1338" i="34" s="1"/>
  <c r="A1339" i="34" s="1"/>
  <c r="A1340" i="34" s="1"/>
  <c r="A1341" i="34" s="1"/>
  <c r="A1342" i="34" s="1"/>
  <c r="A1343" i="34" s="1"/>
  <c r="A1344" i="34" s="1"/>
  <c r="A1345" i="34" s="1"/>
  <c r="A1346" i="34" s="1"/>
  <c r="A1347" i="34" s="1"/>
  <c r="A1348" i="34" s="1"/>
  <c r="A1349" i="34" s="1"/>
  <c r="A1350" i="34" s="1"/>
  <c r="A1351" i="34" s="1"/>
  <c r="A1352" i="34" s="1"/>
  <c r="A1353" i="34" s="1"/>
  <c r="A1354" i="34" s="1"/>
  <c r="A1355" i="34" s="1"/>
  <c r="A1356" i="34" s="1"/>
  <c r="A1357" i="34" s="1"/>
  <c r="A1358" i="34" s="1"/>
  <c r="A1359" i="34" s="1"/>
  <c r="A1360" i="34" s="1"/>
  <c r="A1361" i="34" s="1"/>
  <c r="A1362" i="34" s="1"/>
  <c r="A1363" i="34" s="1"/>
  <c r="A1364" i="34" s="1"/>
  <c r="A1365" i="34" s="1"/>
  <c r="A1366" i="34" s="1"/>
  <c r="A1367" i="34" s="1"/>
  <c r="A1368" i="34" s="1"/>
  <c r="A1369" i="34" s="1"/>
  <c r="A1370" i="34" s="1"/>
  <c r="A1371" i="34" s="1"/>
  <c r="A1372" i="34" s="1"/>
  <c r="A1373" i="34" s="1"/>
  <c r="A1374" i="34" s="1"/>
  <c r="A1375" i="34" s="1"/>
  <c r="A1376" i="34" s="1"/>
  <c r="A1377" i="34" s="1"/>
  <c r="A1378" i="34" s="1"/>
  <c r="A1379" i="34" s="1"/>
  <c r="A1380" i="34" s="1"/>
  <c r="A1381" i="34" s="1"/>
  <c r="A1382" i="34" s="1"/>
  <c r="A1383" i="34" s="1"/>
  <c r="A1384" i="34" s="1"/>
  <c r="A1385" i="34" s="1"/>
  <c r="A1386" i="34" s="1"/>
  <c r="A1387" i="34" s="1"/>
  <c r="A1388" i="34" s="1"/>
  <c r="A1389" i="34" s="1"/>
  <c r="A1390" i="34" s="1"/>
  <c r="A1391" i="34" s="1"/>
  <c r="A1392" i="34" s="1"/>
  <c r="A1393" i="34" s="1"/>
  <c r="A1394" i="34" s="1"/>
  <c r="A1395" i="34" s="1"/>
  <c r="A1396" i="34" s="1"/>
  <c r="A1397" i="34" s="1"/>
  <c r="A1398" i="34" s="1"/>
  <c r="A1399" i="34" s="1"/>
  <c r="A1400" i="34" s="1"/>
  <c r="A1401" i="34" s="1"/>
  <c r="A1402" i="34" s="1"/>
  <c r="A1403" i="34" s="1"/>
  <c r="A1404" i="34" s="1"/>
  <c r="A1405" i="34" s="1"/>
  <c r="A1406" i="34" s="1"/>
  <c r="A1407" i="34" s="1"/>
  <c r="A1408" i="34" s="1"/>
  <c r="A1409" i="34" s="1"/>
  <c r="A1410" i="34" s="1"/>
  <c r="A1411" i="34" s="1"/>
  <c r="A1412" i="34" s="1"/>
  <c r="A1413" i="34" s="1"/>
  <c r="A1414" i="34" s="1"/>
  <c r="A1415" i="34" s="1"/>
  <c r="A1416" i="34" s="1"/>
  <c r="A1417" i="34" s="1"/>
  <c r="A1418" i="34" s="1"/>
  <c r="A1419" i="34" s="1"/>
  <c r="A1420" i="34" s="1"/>
  <c r="A1421" i="34" s="1"/>
  <c r="A1422" i="34" s="1"/>
  <c r="A1423" i="34" s="1"/>
  <c r="A1424" i="34" s="1"/>
  <c r="A1425" i="34" s="1"/>
  <c r="A1426" i="34" s="1"/>
  <c r="A1427" i="34" s="1"/>
  <c r="A1428" i="34" s="1"/>
  <c r="A1429" i="34" s="1"/>
  <c r="A1430" i="34" s="1"/>
  <c r="A1431" i="34" s="1"/>
  <c r="A1432" i="34" s="1"/>
  <c r="A1433" i="34" s="1"/>
  <c r="A1434" i="34" s="1"/>
  <c r="A1435" i="34" s="1"/>
  <c r="A1436" i="34" s="1"/>
  <c r="A1437" i="34" s="1"/>
  <c r="A1438" i="34" s="1"/>
  <c r="A1439" i="34" s="1"/>
  <c r="A1440" i="34" s="1"/>
  <c r="A1441" i="34" s="1"/>
  <c r="A1442" i="34" s="1"/>
  <c r="A1443" i="34" s="1"/>
  <c r="A1444" i="34" s="1"/>
  <c r="A1445" i="34" s="1"/>
  <c r="A1446" i="34" s="1"/>
  <c r="A1447" i="34" s="1"/>
  <c r="A1448" i="34" s="1"/>
  <c r="A1449" i="34" s="1"/>
  <c r="A1450" i="34" s="1"/>
  <c r="A1451" i="34" s="1"/>
  <c r="A1452" i="34" s="1"/>
  <c r="A1453" i="34" s="1"/>
  <c r="A1454" i="34" s="1"/>
  <c r="A1455" i="34" s="1"/>
  <c r="A1456" i="34" s="1"/>
  <c r="A1457" i="34" s="1"/>
  <c r="A1458" i="34" s="1"/>
  <c r="A1459" i="34" s="1"/>
  <c r="A1460" i="34" s="1"/>
  <c r="A1461" i="34" s="1"/>
  <c r="A1462" i="34" s="1"/>
  <c r="A1463" i="34" s="1"/>
  <c r="A1464" i="34" s="1"/>
  <c r="A1465" i="34" s="1"/>
  <c r="A1466" i="34" s="1"/>
  <c r="A1467" i="34" s="1"/>
  <c r="A1468" i="34" s="1"/>
  <c r="A1469" i="34" s="1"/>
  <c r="A1470" i="34" s="1"/>
  <c r="A1471" i="34" s="1"/>
  <c r="A1472" i="34" s="1"/>
  <c r="A1473" i="34" s="1"/>
  <c r="A1474" i="34" s="1"/>
  <c r="A1475" i="34" s="1"/>
  <c r="A1476" i="34" s="1"/>
  <c r="A1477" i="34" s="1"/>
  <c r="A1478" i="34" s="1"/>
  <c r="A1479" i="34" s="1"/>
  <c r="A1480" i="34" s="1"/>
  <c r="A1481" i="34" s="1"/>
  <c r="A1482" i="34" s="1"/>
  <c r="A1483" i="34" s="1"/>
  <c r="A1484" i="34" s="1"/>
  <c r="A1485" i="34" s="1"/>
  <c r="A1486" i="34" s="1"/>
  <c r="A1487" i="34" s="1"/>
  <c r="A1488" i="34" s="1"/>
  <c r="A1489" i="34" s="1"/>
  <c r="A1490" i="34" s="1"/>
  <c r="A1491" i="34" s="1"/>
  <c r="A1492" i="34" s="1"/>
  <c r="A1493" i="34" s="1"/>
  <c r="A1494" i="34" s="1"/>
  <c r="A1495" i="34" s="1"/>
  <c r="A1496" i="34" s="1"/>
  <c r="A1497" i="34" s="1"/>
  <c r="A1498" i="34" s="1"/>
  <c r="A1499" i="34" s="1"/>
  <c r="A1500" i="34" s="1"/>
  <c r="A1501" i="34" s="1"/>
  <c r="A1502" i="34" s="1"/>
  <c r="A1503" i="34" s="1"/>
  <c r="A1504" i="34" s="1"/>
  <c r="A1505" i="34" s="1"/>
  <c r="A1506" i="34" s="1"/>
  <c r="A1507" i="34" s="1"/>
  <c r="A1508" i="34" s="1"/>
  <c r="A1509" i="34" s="1"/>
  <c r="A1510" i="34" s="1"/>
  <c r="A1511" i="34" s="1"/>
  <c r="A1512" i="34" s="1"/>
  <c r="A1513" i="34" s="1"/>
  <c r="A1514" i="34" s="1"/>
  <c r="A1515" i="34" s="1"/>
  <c r="A1516" i="34" s="1"/>
  <c r="A1517" i="34" s="1"/>
  <c r="A1518" i="34" s="1"/>
  <c r="A1519" i="34" s="1"/>
  <c r="A1520" i="34" s="1"/>
  <c r="A1521" i="34" s="1"/>
  <c r="A1522" i="34" s="1"/>
  <c r="A1523" i="34" s="1"/>
  <c r="A1524" i="34" s="1"/>
  <c r="A1525" i="34" s="1"/>
  <c r="A1526" i="34" s="1"/>
  <c r="A1527" i="34" s="1"/>
  <c r="A1528" i="34" s="1"/>
  <c r="A1529" i="34" s="1"/>
  <c r="A1530" i="34" s="1"/>
  <c r="A1531" i="34" s="1"/>
  <c r="A1532" i="34" s="1"/>
  <c r="A1533" i="34" s="1"/>
  <c r="A1534" i="34" s="1"/>
  <c r="A1535" i="34" s="1"/>
  <c r="A1536" i="34" s="1"/>
  <c r="A1537" i="34" s="1"/>
  <c r="A1538" i="34" s="1"/>
  <c r="A1539" i="34" s="1"/>
  <c r="A1540" i="34" s="1"/>
  <c r="A1541" i="34" s="1"/>
  <c r="A1542" i="34" s="1"/>
  <c r="A1543" i="34" s="1"/>
  <c r="A1544" i="34" s="1"/>
  <c r="A1545" i="34" s="1"/>
  <c r="A1546" i="34" s="1"/>
  <c r="A1547" i="34" s="1"/>
  <c r="A1548" i="34" s="1"/>
  <c r="A1549" i="34" s="1"/>
  <c r="A1550" i="34" s="1"/>
  <c r="A1551" i="34" s="1"/>
  <c r="A1552" i="34" s="1"/>
  <c r="A1553" i="34" s="1"/>
  <c r="A1554" i="34" s="1"/>
  <c r="A1555" i="34" s="1"/>
  <c r="A1556" i="34" s="1"/>
  <c r="A1557" i="34" s="1"/>
  <c r="A1558" i="34" s="1"/>
  <c r="A1559" i="34" s="1"/>
  <c r="A1560" i="34" s="1"/>
  <c r="A1561" i="34" s="1"/>
  <c r="A1562" i="34" s="1"/>
  <c r="A1563" i="34" s="1"/>
  <c r="A1564" i="34" s="1"/>
  <c r="A1565" i="34" s="1"/>
  <c r="A1566" i="34" s="1"/>
  <c r="A1567" i="34" s="1"/>
  <c r="A1568" i="34" s="1"/>
  <c r="A1569" i="34" s="1"/>
  <c r="A1570" i="34" s="1"/>
  <c r="A1571" i="34" s="1"/>
  <c r="A1572" i="34" s="1"/>
  <c r="A1573" i="34" s="1"/>
  <c r="A1574" i="34" s="1"/>
  <c r="A1575" i="34" s="1"/>
  <c r="A1576" i="34" s="1"/>
  <c r="A1577" i="34" s="1"/>
  <c r="A1578" i="34" s="1"/>
  <c r="A1579" i="34" s="1"/>
  <c r="A1580" i="34" s="1"/>
  <c r="A1581" i="34" s="1"/>
  <c r="A1582" i="34" s="1"/>
  <c r="A1583" i="34" s="1"/>
  <c r="A1584" i="34" s="1"/>
  <c r="A1585" i="34" s="1"/>
  <c r="A1586" i="34" s="1"/>
  <c r="A1587" i="34" s="1"/>
  <c r="A1588" i="34" s="1"/>
  <c r="A1589" i="34" s="1"/>
  <c r="A1590" i="34" s="1"/>
  <c r="A1591" i="34" s="1"/>
  <c r="A1592" i="34" s="1"/>
  <c r="A1593" i="34" s="1"/>
  <c r="A1594" i="34" s="1"/>
  <c r="A1595" i="34" s="1"/>
  <c r="A1596" i="34" s="1"/>
  <c r="A1597" i="34" s="1"/>
  <c r="A1598" i="34" s="1"/>
  <c r="A1599" i="34" s="1"/>
  <c r="A1600" i="34" s="1"/>
  <c r="A1601" i="34" s="1"/>
  <c r="A1602" i="34" s="1"/>
  <c r="A1603" i="34" s="1"/>
  <c r="A1604" i="34" s="1"/>
  <c r="A1605" i="34" s="1"/>
  <c r="A1606" i="34" s="1"/>
  <c r="A1607" i="34" s="1"/>
  <c r="A1608" i="34" s="1"/>
  <c r="A1609" i="34" s="1"/>
  <c r="A1610" i="34" s="1"/>
  <c r="A1611" i="34" s="1"/>
  <c r="A1612" i="34" s="1"/>
  <c r="A1613" i="34" s="1"/>
  <c r="AQ1120" i="34"/>
  <c r="AY1120" i="34"/>
  <c r="BA1120" i="34" l="1"/>
  <c r="AZ1120" i="34"/>
  <c r="AR1120" i="34"/>
  <c r="AS1120" i="34"/>
  <c r="S7" i="34"/>
  <c r="S6" i="34"/>
  <c r="AD1610" i="34"/>
  <c r="AC1610" i="34"/>
  <c r="AB1610" i="34"/>
  <c r="AA1610" i="34"/>
  <c r="Z1610" i="34"/>
  <c r="Y1610" i="34"/>
  <c r="X1610" i="34"/>
  <c r="W1610" i="34"/>
  <c r="V1610" i="34"/>
  <c r="U1610" i="34"/>
  <c r="T1610" i="34"/>
  <c r="S1610" i="34"/>
  <c r="AD1593" i="34"/>
  <c r="AC1593" i="34"/>
  <c r="AB1593" i="34"/>
  <c r="AA1593" i="34"/>
  <c r="Z1593" i="34"/>
  <c r="Y1593" i="34"/>
  <c r="X1593" i="34"/>
  <c r="W1593" i="34"/>
  <c r="V1593" i="34"/>
  <c r="U1593" i="34"/>
  <c r="T1593" i="34"/>
  <c r="S1593" i="34"/>
  <c r="AD1573" i="34"/>
  <c r="AC1573" i="34"/>
  <c r="AB1573" i="34"/>
  <c r="AA1573" i="34"/>
  <c r="Z1573" i="34"/>
  <c r="Y1573" i="34"/>
  <c r="X1573" i="34"/>
  <c r="W1573" i="34"/>
  <c r="V1573" i="34"/>
  <c r="U1573" i="34"/>
  <c r="T1573" i="34"/>
  <c r="S1573" i="34"/>
  <c r="AD1499" i="34"/>
  <c r="AC1499" i="34"/>
  <c r="AB1499" i="34"/>
  <c r="AA1499" i="34"/>
  <c r="Z1499" i="34"/>
  <c r="Y1499" i="34"/>
  <c r="X1499" i="34"/>
  <c r="W1499" i="34"/>
  <c r="V1499" i="34"/>
  <c r="U1499" i="34"/>
  <c r="T1499" i="34"/>
  <c r="S1499" i="34"/>
  <c r="AD1483" i="34"/>
  <c r="AC1483" i="34"/>
  <c r="AB1483" i="34"/>
  <c r="AA1483" i="34"/>
  <c r="Z1483" i="34"/>
  <c r="Y1483" i="34"/>
  <c r="X1483" i="34"/>
  <c r="W1483" i="34"/>
  <c r="V1483" i="34"/>
  <c r="U1483" i="34"/>
  <c r="T1483" i="34"/>
  <c r="S1483" i="34"/>
  <c r="AD1464" i="34"/>
  <c r="AC1464" i="34"/>
  <c r="AB1464" i="34"/>
  <c r="AA1464" i="34"/>
  <c r="Z1464" i="34"/>
  <c r="Y1464" i="34"/>
  <c r="X1464" i="34"/>
  <c r="W1464" i="34"/>
  <c r="V1464" i="34"/>
  <c r="U1464" i="34"/>
  <c r="T1464" i="34"/>
  <c r="S1464" i="34"/>
  <c r="AD1461" i="34"/>
  <c r="AC1461" i="34"/>
  <c r="AB1461" i="34"/>
  <c r="AA1461" i="34"/>
  <c r="Z1461" i="34"/>
  <c r="Y1461" i="34"/>
  <c r="X1461" i="34"/>
  <c r="W1461" i="34"/>
  <c r="V1461" i="34"/>
  <c r="U1461" i="34"/>
  <c r="T1461" i="34"/>
  <c r="S1461" i="34"/>
  <c r="AD1460" i="34"/>
  <c r="AC1460" i="34"/>
  <c r="AB1460" i="34"/>
  <c r="AA1460" i="34"/>
  <c r="Z1460" i="34"/>
  <c r="Y1460" i="34"/>
  <c r="X1460" i="34"/>
  <c r="W1460" i="34"/>
  <c r="V1460" i="34"/>
  <c r="U1460" i="34"/>
  <c r="T1460" i="34"/>
  <c r="S1460" i="34"/>
  <c r="AD1459" i="34"/>
  <c r="AC1459" i="34"/>
  <c r="AC1458" i="34" s="1"/>
  <c r="AB1459" i="34"/>
  <c r="AA1459" i="34"/>
  <c r="Z1459" i="34"/>
  <c r="Y1459" i="34"/>
  <c r="X1459" i="34"/>
  <c r="X1458" i="34" s="1"/>
  <c r="W1459" i="34"/>
  <c r="W1458" i="34" s="1"/>
  <c r="V1459" i="34"/>
  <c r="V1458" i="34" s="1"/>
  <c r="U1459" i="34"/>
  <c r="T1459" i="34"/>
  <c r="S1459" i="34"/>
  <c r="AD1458" i="34"/>
  <c r="AB1458" i="34"/>
  <c r="AA1458" i="34"/>
  <c r="Z1458" i="34"/>
  <c r="U1458" i="34"/>
  <c r="T1458" i="34"/>
  <c r="S1458" i="34"/>
  <c r="AD1457" i="34"/>
  <c r="AC1457" i="34"/>
  <c r="AB1457" i="34"/>
  <c r="AA1457" i="34"/>
  <c r="Z1457" i="34"/>
  <c r="Y1457" i="34"/>
  <c r="X1457" i="34"/>
  <c r="W1457" i="34"/>
  <c r="V1457" i="34"/>
  <c r="U1457" i="34"/>
  <c r="T1457" i="34"/>
  <c r="S1457" i="34"/>
  <c r="AD1456" i="34"/>
  <c r="AC1456" i="34"/>
  <c r="AB1456" i="34"/>
  <c r="AA1456" i="34"/>
  <c r="Z1456" i="34"/>
  <c r="Y1456" i="34"/>
  <c r="X1456" i="34"/>
  <c r="W1456" i="34"/>
  <c r="V1456" i="34"/>
  <c r="U1456" i="34"/>
  <c r="T1456" i="34"/>
  <c r="S1456" i="34"/>
  <c r="AD1455" i="34"/>
  <c r="AC1455" i="34"/>
  <c r="AB1455" i="34"/>
  <c r="AA1455" i="34"/>
  <c r="Z1455" i="34"/>
  <c r="Y1455" i="34"/>
  <c r="X1455" i="34"/>
  <c r="W1455" i="34"/>
  <c r="V1455" i="34"/>
  <c r="U1455" i="34"/>
  <c r="T1455" i="34"/>
  <c r="S1455" i="34"/>
  <c r="AD1454" i="34"/>
  <c r="AC1454" i="34"/>
  <c r="AB1454" i="34"/>
  <c r="AA1454" i="34"/>
  <c r="Z1454" i="34"/>
  <c r="Y1454" i="34"/>
  <c r="X1454" i="34"/>
  <c r="W1454" i="34"/>
  <c r="V1454" i="34"/>
  <c r="U1454" i="34"/>
  <c r="T1454" i="34"/>
  <c r="S1454" i="34"/>
  <c r="AD1453" i="34"/>
  <c r="AC1453" i="34"/>
  <c r="AB1453" i="34"/>
  <c r="AA1453" i="34"/>
  <c r="Z1453" i="34"/>
  <c r="Z1443" i="34" s="1"/>
  <c r="Y1453" i="34"/>
  <c r="X1453" i="34"/>
  <c r="W1453" i="34"/>
  <c r="V1453" i="34"/>
  <c r="U1453" i="34"/>
  <c r="U1443" i="34" s="1"/>
  <c r="T1453" i="34"/>
  <c r="S1453" i="34"/>
  <c r="AD1452" i="34"/>
  <c r="AC1452" i="34"/>
  <c r="AB1452" i="34"/>
  <c r="AA1452" i="34"/>
  <c r="Z1452" i="34"/>
  <c r="Y1452" i="34"/>
  <c r="X1452" i="34"/>
  <c r="X1451" i="34" s="1"/>
  <c r="W1452" i="34"/>
  <c r="V1452" i="34"/>
  <c r="U1452" i="34"/>
  <c r="T1452" i="34"/>
  <c r="T1451" i="34" s="1"/>
  <c r="S1452" i="34"/>
  <c r="AD1451" i="34"/>
  <c r="AB1451" i="34"/>
  <c r="AA1451" i="34"/>
  <c r="Z1451" i="34"/>
  <c r="Y1451" i="34"/>
  <c r="S1451" i="34"/>
  <c r="AD1450" i="34"/>
  <c r="AC1450" i="34"/>
  <c r="AB1450" i="34"/>
  <c r="AA1450" i="34"/>
  <c r="Z1450" i="34"/>
  <c r="Y1450" i="34"/>
  <c r="X1450" i="34"/>
  <c r="X1444" i="34" s="1"/>
  <c r="W1450" i="34"/>
  <c r="V1450" i="34"/>
  <c r="U1450" i="34"/>
  <c r="U1444" i="34" s="1"/>
  <c r="T1450" i="34"/>
  <c r="T1444" i="34" s="1"/>
  <c r="S1450" i="34"/>
  <c r="AD1449" i="34"/>
  <c r="AC1449" i="34"/>
  <c r="AB1449" i="34"/>
  <c r="AB1442" i="34" s="1"/>
  <c r="AA1449" i="34"/>
  <c r="Z1449" i="34"/>
  <c r="Y1449" i="34"/>
  <c r="X1449" i="34"/>
  <c r="W1449" i="34"/>
  <c r="W1448" i="34" s="1"/>
  <c r="V1449" i="34"/>
  <c r="U1449" i="34"/>
  <c r="T1449" i="34"/>
  <c r="S1449" i="34"/>
  <c r="AD1448" i="34"/>
  <c r="AC1448" i="34"/>
  <c r="AA1448" i="34"/>
  <c r="Z1448" i="34"/>
  <c r="Y1448" i="34"/>
  <c r="X1448" i="34"/>
  <c r="V1448" i="34"/>
  <c r="S1448" i="34"/>
  <c r="AD1447" i="34"/>
  <c r="AD1444" i="34" s="1"/>
  <c r="AC1447" i="34"/>
  <c r="AB1447" i="34"/>
  <c r="AA1447" i="34"/>
  <c r="AA1444" i="34" s="1"/>
  <c r="Z1447" i="34"/>
  <c r="Z1444" i="34" s="1"/>
  <c r="Y1447" i="34"/>
  <c r="X1447" i="34"/>
  <c r="W1447" i="34"/>
  <c r="V1447" i="34"/>
  <c r="U1447" i="34"/>
  <c r="T1447" i="34"/>
  <c r="S1447" i="34"/>
  <c r="AD1446" i="34"/>
  <c r="AC1446" i="34"/>
  <c r="AB1446" i="34"/>
  <c r="AA1446" i="34"/>
  <c r="Z1446" i="34"/>
  <c r="Y1446" i="34"/>
  <c r="Y1445" i="34" s="1"/>
  <c r="X1446" i="34"/>
  <c r="W1446" i="34"/>
  <c r="V1446" i="34"/>
  <c r="V1442" i="34" s="1"/>
  <c r="U1446" i="34"/>
  <c r="T1446" i="34"/>
  <c r="T1445" i="34" s="1"/>
  <c r="S1446" i="34"/>
  <c r="AD1445" i="34"/>
  <c r="AC1445" i="34"/>
  <c r="AB1445" i="34"/>
  <c r="AA1445" i="34"/>
  <c r="Z1445" i="34"/>
  <c r="X1445" i="34"/>
  <c r="U1445" i="34"/>
  <c r="AC1444" i="34"/>
  <c r="AB1444" i="34"/>
  <c r="W1444" i="34"/>
  <c r="V1444" i="34"/>
  <c r="AD1443" i="34"/>
  <c r="AC1443" i="34"/>
  <c r="AB1443" i="34"/>
  <c r="AA1443" i="34"/>
  <c r="Y1443" i="34"/>
  <c r="X1443" i="34"/>
  <c r="W1443" i="34"/>
  <c r="V1443" i="34"/>
  <c r="T1443" i="34"/>
  <c r="S1443" i="34"/>
  <c r="AD1442" i="34"/>
  <c r="AC1442" i="34"/>
  <c r="AA1442" i="34"/>
  <c r="Z1442" i="34"/>
  <c r="X1442" i="34"/>
  <c r="U1442" i="34"/>
  <c r="AD1431" i="34"/>
  <c r="AC1431" i="34"/>
  <c r="AB1431" i="34"/>
  <c r="AA1431" i="34"/>
  <c r="Z1431" i="34"/>
  <c r="Y1431" i="34"/>
  <c r="X1431" i="34"/>
  <c r="W1431" i="34"/>
  <c r="V1431" i="34"/>
  <c r="U1431" i="34"/>
  <c r="T1431" i="34"/>
  <c r="S1431" i="34"/>
  <c r="AD1422" i="34"/>
  <c r="AC1422" i="34"/>
  <c r="AB1422" i="34"/>
  <c r="AA1422" i="34"/>
  <c r="Z1422" i="34"/>
  <c r="Y1422" i="34"/>
  <c r="X1422" i="34"/>
  <c r="W1422" i="34"/>
  <c r="V1422" i="34"/>
  <c r="U1422" i="34"/>
  <c r="T1422" i="34"/>
  <c r="S1422" i="34"/>
  <c r="AD1399" i="34"/>
  <c r="AC1399" i="34"/>
  <c r="AB1399" i="34"/>
  <c r="AA1399" i="34"/>
  <c r="Z1399" i="34"/>
  <c r="Y1399" i="34"/>
  <c r="X1399" i="34"/>
  <c r="W1399" i="34"/>
  <c r="V1399" i="34"/>
  <c r="U1399" i="34"/>
  <c r="T1399" i="34"/>
  <c r="S1399" i="34"/>
  <c r="AD1392" i="34"/>
  <c r="AC1392" i="34"/>
  <c r="AB1392" i="34"/>
  <c r="AA1392" i="34"/>
  <c r="Z1392" i="34"/>
  <c r="Y1392" i="34"/>
  <c r="X1392" i="34"/>
  <c r="W1392" i="34"/>
  <c r="V1392" i="34"/>
  <c r="U1392" i="34"/>
  <c r="T1392" i="34"/>
  <c r="S1392" i="34"/>
  <c r="AD1390" i="34"/>
  <c r="AC1390" i="34"/>
  <c r="AB1390" i="34"/>
  <c r="AA1390" i="34"/>
  <c r="Z1390" i="34"/>
  <c r="Y1390" i="34"/>
  <c r="X1390" i="34"/>
  <c r="W1390" i="34"/>
  <c r="V1390" i="34"/>
  <c r="U1390" i="34"/>
  <c r="T1390" i="34"/>
  <c r="S1390" i="34"/>
  <c r="AD1387" i="34"/>
  <c r="AC1387" i="34"/>
  <c r="AB1387" i="34"/>
  <c r="AA1387" i="34"/>
  <c r="Z1387" i="34"/>
  <c r="Y1387" i="34"/>
  <c r="X1387" i="34"/>
  <c r="W1387" i="34"/>
  <c r="V1387" i="34"/>
  <c r="U1387" i="34"/>
  <c r="T1387" i="34"/>
  <c r="S1387" i="34"/>
  <c r="AD1386" i="34"/>
  <c r="AC1386" i="34"/>
  <c r="AB1386" i="34"/>
  <c r="AA1386" i="34"/>
  <c r="Z1386" i="34"/>
  <c r="Y1386" i="34"/>
  <c r="X1386" i="34"/>
  <c r="W1386" i="34"/>
  <c r="V1386" i="34"/>
  <c r="U1386" i="34"/>
  <c r="T1386" i="34"/>
  <c r="S1386" i="34"/>
  <c r="AD1385" i="34"/>
  <c r="AC1385" i="34"/>
  <c r="AB1385" i="34"/>
  <c r="AA1385" i="34"/>
  <c r="Z1385" i="34"/>
  <c r="Y1385" i="34"/>
  <c r="X1385" i="34"/>
  <c r="W1385" i="34"/>
  <c r="V1385" i="34"/>
  <c r="U1385" i="34"/>
  <c r="T1385" i="34"/>
  <c r="S1385" i="34"/>
  <c r="AD1384" i="34"/>
  <c r="AD1383" i="34" s="1"/>
  <c r="AC1384" i="34"/>
  <c r="AB1384" i="34"/>
  <c r="AB1383" i="34" s="1"/>
  <c r="AA1384" i="34"/>
  <c r="AA1383" i="34" s="1"/>
  <c r="Z1384" i="34"/>
  <c r="Y1384" i="34"/>
  <c r="Y1383" i="34" s="1"/>
  <c r="Y1403" i="34" s="1"/>
  <c r="X1384" i="34"/>
  <c r="X1383" i="34" s="1"/>
  <c r="W1384" i="34"/>
  <c r="W1383" i="34" s="1"/>
  <c r="V1384" i="34"/>
  <c r="V1383" i="34" s="1"/>
  <c r="U1384" i="34"/>
  <c r="U1383" i="34" s="1"/>
  <c r="U1403" i="34" s="1"/>
  <c r="T1384" i="34"/>
  <c r="T1383" i="34" s="1"/>
  <c r="S1384" i="34"/>
  <c r="S1383" i="34" s="1"/>
  <c r="AC1383" i="34"/>
  <c r="AC1403" i="34" s="1"/>
  <c r="Z1383" i="34"/>
  <c r="Z1403" i="34" s="1"/>
  <c r="AD1377" i="34"/>
  <c r="AC1377" i="34"/>
  <c r="AB1377" i="34"/>
  <c r="AA1377" i="34"/>
  <c r="Z1377" i="34"/>
  <c r="Y1377" i="34"/>
  <c r="X1377" i="34"/>
  <c r="W1377" i="34"/>
  <c r="V1377" i="34"/>
  <c r="U1377" i="34"/>
  <c r="T1377" i="34"/>
  <c r="S1377" i="34"/>
  <c r="AD1375" i="34"/>
  <c r="AC1375" i="34"/>
  <c r="AB1375" i="34"/>
  <c r="AA1375" i="34"/>
  <c r="Z1375" i="34"/>
  <c r="Y1375" i="34"/>
  <c r="X1375" i="34"/>
  <c r="W1375" i="34"/>
  <c r="V1375" i="34"/>
  <c r="U1375" i="34"/>
  <c r="T1375" i="34"/>
  <c r="S1375" i="34"/>
  <c r="AD1372" i="34"/>
  <c r="AC1372" i="34"/>
  <c r="AB1372" i="34"/>
  <c r="AA1372" i="34"/>
  <c r="Z1372" i="34"/>
  <c r="Y1372" i="34"/>
  <c r="X1372" i="34"/>
  <c r="W1372" i="34"/>
  <c r="V1372" i="34"/>
  <c r="U1372" i="34"/>
  <c r="T1372" i="34"/>
  <c r="S1372" i="34"/>
  <c r="AD1371" i="34"/>
  <c r="AC1371" i="34"/>
  <c r="AB1371" i="34"/>
  <c r="AA1371" i="34"/>
  <c r="Z1371" i="34"/>
  <c r="Y1371" i="34"/>
  <c r="X1371" i="34"/>
  <c r="W1371" i="34"/>
  <c r="V1371" i="34"/>
  <c r="U1371" i="34"/>
  <c r="T1371" i="34"/>
  <c r="S1371" i="34"/>
  <c r="AD1370" i="34"/>
  <c r="AC1370" i="34"/>
  <c r="AB1370" i="34"/>
  <c r="AA1370" i="34"/>
  <c r="Z1370" i="34"/>
  <c r="Y1370" i="34"/>
  <c r="X1370" i="34"/>
  <c r="W1370" i="34"/>
  <c r="V1370" i="34"/>
  <c r="U1370" i="34"/>
  <c r="T1370" i="34"/>
  <c r="S1370" i="34"/>
  <c r="AD1369" i="34"/>
  <c r="AD1368" i="34" s="1"/>
  <c r="AC1369" i="34"/>
  <c r="AB1369" i="34"/>
  <c r="AB1368" i="34" s="1"/>
  <c r="AA1369" i="34"/>
  <c r="AA1368" i="34" s="1"/>
  <c r="Z1369" i="34"/>
  <c r="Z1368" i="34" s="1"/>
  <c r="Y1369" i="34"/>
  <c r="Y1368" i="34" s="1"/>
  <c r="X1369" i="34"/>
  <c r="X1368" i="34" s="1"/>
  <c r="W1369" i="34"/>
  <c r="W1368" i="34" s="1"/>
  <c r="V1369" i="34"/>
  <c r="U1369" i="34"/>
  <c r="U1368" i="34" s="1"/>
  <c r="T1369" i="34"/>
  <c r="T1368" i="34" s="1"/>
  <c r="S1369" i="34"/>
  <c r="S1368" i="34" s="1"/>
  <c r="AC1368" i="34"/>
  <c r="V1368" i="34"/>
  <c r="AD1362" i="34"/>
  <c r="AC1362" i="34"/>
  <c r="AB1362" i="34"/>
  <c r="AA1362" i="34"/>
  <c r="Z1362" i="34"/>
  <c r="Y1362" i="34"/>
  <c r="X1362" i="34"/>
  <c r="W1362" i="34"/>
  <c r="V1362" i="34"/>
  <c r="U1362" i="34"/>
  <c r="T1362" i="34"/>
  <c r="S1362" i="34"/>
  <c r="AD1360" i="34"/>
  <c r="AC1360" i="34"/>
  <c r="AB1360" i="34"/>
  <c r="AA1360" i="34"/>
  <c r="Z1360" i="34"/>
  <c r="Y1360" i="34"/>
  <c r="X1360" i="34"/>
  <c r="W1360" i="34"/>
  <c r="V1360" i="34"/>
  <c r="U1360" i="34"/>
  <c r="T1360" i="34"/>
  <c r="S1360" i="34"/>
  <c r="AD1357" i="34"/>
  <c r="AC1357" i="34"/>
  <c r="AB1357" i="34"/>
  <c r="AA1357" i="34"/>
  <c r="Z1357" i="34"/>
  <c r="Y1357" i="34"/>
  <c r="X1357" i="34"/>
  <c r="W1357" i="34"/>
  <c r="W1356" i="34" s="1"/>
  <c r="W1355" i="34" s="1"/>
  <c r="W1354" i="34" s="1"/>
  <c r="W1353" i="34" s="1"/>
  <c r="V1357" i="34"/>
  <c r="V1356" i="34" s="1"/>
  <c r="V1355" i="34" s="1"/>
  <c r="V1354" i="34" s="1"/>
  <c r="V1353" i="34" s="1"/>
  <c r="U1357" i="34"/>
  <c r="U1356" i="34" s="1"/>
  <c r="U1355" i="34" s="1"/>
  <c r="U1354" i="34" s="1"/>
  <c r="U1353" i="34" s="1"/>
  <c r="T1357" i="34"/>
  <c r="T1356" i="34" s="1"/>
  <c r="T1355" i="34" s="1"/>
  <c r="T1354" i="34" s="1"/>
  <c r="T1353" i="34" s="1"/>
  <c r="S1357" i="34"/>
  <c r="S1356" i="34" s="1"/>
  <c r="AD1356" i="34"/>
  <c r="AD1355" i="34" s="1"/>
  <c r="AD1354" i="34" s="1"/>
  <c r="AD1353" i="34" s="1"/>
  <c r="AC1356" i="34"/>
  <c r="AC1355" i="34" s="1"/>
  <c r="AC1354" i="34" s="1"/>
  <c r="AC1353" i="34" s="1"/>
  <c r="AB1356" i="34"/>
  <c r="AB1355" i="34" s="1"/>
  <c r="AB1354" i="34" s="1"/>
  <c r="AB1353" i="34" s="1"/>
  <c r="AA1356" i="34"/>
  <c r="AA1355" i="34" s="1"/>
  <c r="AA1354" i="34" s="1"/>
  <c r="AA1353" i="34" s="1"/>
  <c r="Z1356" i="34"/>
  <c r="Z1355" i="34" s="1"/>
  <c r="Z1354" i="34" s="1"/>
  <c r="Z1353" i="34" s="1"/>
  <c r="Y1356" i="34"/>
  <c r="X1356" i="34"/>
  <c r="X1355" i="34" s="1"/>
  <c r="X1354" i="34" s="1"/>
  <c r="X1353" i="34" s="1"/>
  <c r="Y1355" i="34"/>
  <c r="Y1354" i="34" s="1"/>
  <c r="Y1353" i="34" s="1"/>
  <c r="AD1341" i="34"/>
  <c r="AD1345" i="34" s="1"/>
  <c r="AC1341" i="34"/>
  <c r="AC1345" i="34" s="1"/>
  <c r="AB1341" i="34"/>
  <c r="AB1345" i="34" s="1"/>
  <c r="AA1341" i="34"/>
  <c r="AA1345" i="34" s="1"/>
  <c r="AA1346" i="34" s="1"/>
  <c r="Z1341" i="34"/>
  <c r="Z1345" i="34" s="1"/>
  <c r="Y1341" i="34"/>
  <c r="Y1345" i="34" s="1"/>
  <c r="X1341" i="34"/>
  <c r="X1345" i="34" s="1"/>
  <c r="W1341" i="34"/>
  <c r="W1345" i="34" s="1"/>
  <c r="W1346" i="34" s="1"/>
  <c r="V1341" i="34"/>
  <c r="V1345" i="34" s="1"/>
  <c r="U1341" i="34"/>
  <c r="U1345" i="34" s="1"/>
  <c r="T1341" i="34"/>
  <c r="T1345" i="34" s="1"/>
  <c r="S1341" i="34"/>
  <c r="S1345" i="34" s="1"/>
  <c r="S1349" i="34" s="1"/>
  <c r="S1350" i="34" s="1"/>
  <c r="AD1340" i="34"/>
  <c r="AC1340" i="34"/>
  <c r="AB1340" i="34"/>
  <c r="AA1340" i="34"/>
  <c r="Z1340" i="34"/>
  <c r="Y1340" i="34"/>
  <c r="X1340" i="34"/>
  <c r="W1340" i="34"/>
  <c r="V1340" i="34"/>
  <c r="U1340" i="34"/>
  <c r="T1340" i="34"/>
  <c r="S1340" i="34"/>
  <c r="AB1331" i="34"/>
  <c r="Z1331" i="34"/>
  <c r="Y1331" i="34"/>
  <c r="X1331" i="34"/>
  <c r="W1331" i="34"/>
  <c r="V1331" i="34"/>
  <c r="U1331" i="34"/>
  <c r="T1331" i="34"/>
  <c r="AD1329" i="34"/>
  <c r="AC1329" i="34"/>
  <c r="AB1329" i="34"/>
  <c r="AA1329" i="34"/>
  <c r="Z1329" i="34"/>
  <c r="Y1329" i="34"/>
  <c r="X1329" i="34"/>
  <c r="W1329" i="34"/>
  <c r="V1329" i="34"/>
  <c r="U1329" i="34"/>
  <c r="T1329" i="34"/>
  <c r="S1329" i="34"/>
  <c r="AD1328" i="34"/>
  <c r="AC1328" i="34"/>
  <c r="AC1327" i="34" s="1"/>
  <c r="AB1328" i="34"/>
  <c r="AB1327" i="34" s="1"/>
  <c r="AA1328" i="34"/>
  <c r="Z1328" i="34"/>
  <c r="Y1328" i="34"/>
  <c r="X1328" i="34"/>
  <c r="W1328" i="34"/>
  <c r="V1328" i="34"/>
  <c r="U1328" i="34"/>
  <c r="T1328" i="34"/>
  <c r="S1328" i="34"/>
  <c r="AA1327" i="34"/>
  <c r="Z1327" i="34"/>
  <c r="Y1327" i="34"/>
  <c r="W1327" i="34"/>
  <c r="T1327" i="34"/>
  <c r="AD1302" i="34"/>
  <c r="AC1302" i="34"/>
  <c r="AB1302" i="34"/>
  <c r="AA1302" i="34"/>
  <c r="Z1302" i="34"/>
  <c r="Y1302" i="34"/>
  <c r="X1302" i="34"/>
  <c r="W1302" i="34"/>
  <c r="V1302" i="34"/>
  <c r="U1302" i="34"/>
  <c r="T1302" i="34"/>
  <c r="S1302" i="34"/>
  <c r="AD1298" i="34"/>
  <c r="AC1298" i="34"/>
  <c r="AB1298" i="34"/>
  <c r="AA1298" i="34"/>
  <c r="Z1298" i="34"/>
  <c r="Y1298" i="34"/>
  <c r="X1298" i="34"/>
  <c r="W1298" i="34"/>
  <c r="V1298" i="34"/>
  <c r="U1298" i="34"/>
  <c r="T1298" i="34"/>
  <c r="S1298" i="34"/>
  <c r="AD1297" i="34"/>
  <c r="AC1297" i="34"/>
  <c r="AB1297" i="34"/>
  <c r="AA1297" i="34"/>
  <c r="Z1297" i="34"/>
  <c r="Y1297" i="34"/>
  <c r="X1297" i="34"/>
  <c r="W1297" i="34"/>
  <c r="V1297" i="34"/>
  <c r="U1297" i="34"/>
  <c r="T1297" i="34"/>
  <c r="S1297" i="34"/>
  <c r="AD1296" i="34"/>
  <c r="AC1296" i="34"/>
  <c r="AB1296" i="34"/>
  <c r="AA1296" i="34"/>
  <c r="Z1296" i="34"/>
  <c r="Y1296" i="34"/>
  <c r="X1296" i="34"/>
  <c r="W1296" i="34"/>
  <c r="V1296" i="34"/>
  <c r="U1296" i="34"/>
  <c r="T1296" i="34"/>
  <c r="S1296" i="34"/>
  <c r="AD1295" i="34"/>
  <c r="AC1295" i="34"/>
  <c r="AB1295" i="34"/>
  <c r="AA1295" i="34"/>
  <c r="Z1295" i="34"/>
  <c r="Y1295" i="34"/>
  <c r="X1295" i="34"/>
  <c r="W1295" i="34"/>
  <c r="V1295" i="34"/>
  <c r="U1295" i="34"/>
  <c r="T1295" i="34"/>
  <c r="S1295" i="34"/>
  <c r="AD1294" i="34"/>
  <c r="AC1294" i="34"/>
  <c r="AB1294" i="34"/>
  <c r="AA1294" i="34"/>
  <c r="Z1294" i="34"/>
  <c r="Y1294" i="34"/>
  <c r="X1294" i="34"/>
  <c r="W1294" i="34"/>
  <c r="V1294" i="34"/>
  <c r="U1294" i="34"/>
  <c r="T1294" i="34"/>
  <c r="S1294" i="34"/>
  <c r="AD1293" i="34"/>
  <c r="AC1293" i="34"/>
  <c r="AB1293" i="34"/>
  <c r="AA1293" i="34"/>
  <c r="Z1293" i="34"/>
  <c r="Y1293" i="34"/>
  <c r="X1293" i="34"/>
  <c r="W1293" i="34"/>
  <c r="V1293" i="34"/>
  <c r="U1293" i="34"/>
  <c r="T1293" i="34"/>
  <c r="S1293" i="34"/>
  <c r="AD1263" i="34"/>
  <c r="AC1263" i="34"/>
  <c r="AB1263" i="34"/>
  <c r="AA1263" i="34"/>
  <c r="Z1263" i="34"/>
  <c r="Y1263" i="34"/>
  <c r="X1263" i="34"/>
  <c r="W1263" i="34"/>
  <c r="V1263" i="34"/>
  <c r="U1263" i="34"/>
  <c r="T1263" i="34"/>
  <c r="S1263" i="34"/>
  <c r="AD1258" i="34"/>
  <c r="AC1258" i="34"/>
  <c r="AB1258" i="34"/>
  <c r="AA1258" i="34"/>
  <c r="Z1258" i="34"/>
  <c r="Y1258" i="34"/>
  <c r="X1258" i="34"/>
  <c r="W1258" i="34"/>
  <c r="V1258" i="34"/>
  <c r="U1258" i="34"/>
  <c r="T1258" i="34"/>
  <c r="S1258" i="34"/>
  <c r="AD1249" i="34"/>
  <c r="AC1249" i="34"/>
  <c r="AB1249" i="34"/>
  <c r="AA1249" i="34"/>
  <c r="Z1249" i="34"/>
  <c r="Y1249" i="34"/>
  <c r="X1249" i="34"/>
  <c r="W1249" i="34"/>
  <c r="V1249" i="34"/>
  <c r="U1249" i="34"/>
  <c r="T1249" i="34"/>
  <c r="S1249" i="34"/>
  <c r="AD1244" i="34"/>
  <c r="AC1244" i="34"/>
  <c r="AB1244" i="34"/>
  <c r="AA1244" i="34"/>
  <c r="Z1244" i="34"/>
  <c r="Y1244" i="34"/>
  <c r="X1244" i="34"/>
  <c r="W1244" i="34"/>
  <c r="V1244" i="34"/>
  <c r="U1244" i="34"/>
  <c r="T1244" i="34"/>
  <c r="S1244" i="34"/>
  <c r="AD1243" i="34"/>
  <c r="AC1243" i="34"/>
  <c r="AB1243" i="34"/>
  <c r="AA1243" i="34"/>
  <c r="Z1243" i="34"/>
  <c r="Y1243" i="34"/>
  <c r="X1243" i="34"/>
  <c r="W1243" i="34"/>
  <c r="V1243" i="34"/>
  <c r="U1243" i="34"/>
  <c r="T1243" i="34"/>
  <c r="S1243" i="34"/>
  <c r="AD1242" i="34"/>
  <c r="AC1242" i="34"/>
  <c r="AB1242" i="34"/>
  <c r="AA1242" i="34"/>
  <c r="Z1242" i="34"/>
  <c r="Y1242" i="34"/>
  <c r="X1242" i="34"/>
  <c r="W1242" i="34"/>
  <c r="V1242" i="34"/>
  <c r="U1242" i="34"/>
  <c r="T1242" i="34"/>
  <c r="S1242" i="34"/>
  <c r="AD1241" i="34"/>
  <c r="AD1245" i="34" s="1"/>
  <c r="AC1241" i="34"/>
  <c r="AC1245" i="34" s="1"/>
  <c r="AB1241" i="34"/>
  <c r="AB1245" i="34" s="1"/>
  <c r="AA1241" i="34"/>
  <c r="AA1245" i="34" s="1"/>
  <c r="Z1241" i="34"/>
  <c r="Z1245" i="34" s="1"/>
  <c r="Y1241" i="34"/>
  <c r="Y1245" i="34" s="1"/>
  <c r="X1241" i="34"/>
  <c r="X1245" i="34" s="1"/>
  <c r="W1241" i="34"/>
  <c r="W1245" i="34" s="1"/>
  <c r="V1241" i="34"/>
  <c r="V1245" i="34" s="1"/>
  <c r="U1241" i="34"/>
  <c r="U1245" i="34" s="1"/>
  <c r="T1241" i="34"/>
  <c r="T1245" i="34" s="1"/>
  <c r="S1241" i="34"/>
  <c r="S1245" i="34" s="1"/>
  <c r="AD1239" i="34"/>
  <c r="AC1239" i="34"/>
  <c r="AB1239" i="34"/>
  <c r="AA1239" i="34"/>
  <c r="Z1239" i="34"/>
  <c r="Y1239" i="34"/>
  <c r="X1239" i="34"/>
  <c r="W1239" i="34"/>
  <c r="V1239" i="34"/>
  <c r="U1239" i="34"/>
  <c r="T1239" i="34"/>
  <c r="S1239" i="34"/>
  <c r="AD1238" i="34"/>
  <c r="AC1238" i="34"/>
  <c r="AB1238" i="34"/>
  <c r="AA1238" i="34"/>
  <c r="Z1238" i="34"/>
  <c r="Y1238" i="34"/>
  <c r="X1238" i="34"/>
  <c r="W1238" i="34"/>
  <c r="V1238" i="34"/>
  <c r="U1238" i="34"/>
  <c r="T1238" i="34"/>
  <c r="S1238" i="34"/>
  <c r="AD1237" i="34"/>
  <c r="AC1237" i="34"/>
  <c r="AB1237" i="34"/>
  <c r="AA1237" i="34"/>
  <c r="Z1237" i="34"/>
  <c r="Y1237" i="34"/>
  <c r="X1237" i="34"/>
  <c r="W1237" i="34"/>
  <c r="V1237" i="34"/>
  <c r="U1237" i="34"/>
  <c r="T1237" i="34"/>
  <c r="S1237" i="34"/>
  <c r="AD1236" i="34"/>
  <c r="AD1240" i="34" s="1"/>
  <c r="AC1236" i="34"/>
  <c r="AC1240" i="34" s="1"/>
  <c r="AB1236" i="34"/>
  <c r="AB1240" i="34" s="1"/>
  <c r="AA1236" i="34"/>
  <c r="AA1240" i="34" s="1"/>
  <c r="Z1236" i="34"/>
  <c r="Z1240" i="34" s="1"/>
  <c r="Y1236" i="34"/>
  <c r="Y1240" i="34" s="1"/>
  <c r="X1236" i="34"/>
  <c r="X1240" i="34" s="1"/>
  <c r="W1236" i="34"/>
  <c r="W1240" i="34" s="1"/>
  <c r="V1236" i="34"/>
  <c r="V1240" i="34" s="1"/>
  <c r="U1236" i="34"/>
  <c r="U1240" i="34" s="1"/>
  <c r="T1236" i="34"/>
  <c r="T1240" i="34" s="1"/>
  <c r="S1236" i="34"/>
  <c r="S1240" i="34" s="1"/>
  <c r="AD1235" i="34"/>
  <c r="AC1235" i="34"/>
  <c r="AB1235" i="34"/>
  <c r="AA1235" i="34"/>
  <c r="Z1235" i="34"/>
  <c r="Y1235" i="34"/>
  <c r="X1235" i="34"/>
  <c r="W1235" i="34"/>
  <c r="V1235" i="34"/>
  <c r="U1235" i="34"/>
  <c r="T1235" i="34"/>
  <c r="S1235" i="34"/>
  <c r="AD1234" i="34"/>
  <c r="AC1234" i="34"/>
  <c r="AB1234" i="34"/>
  <c r="AA1234" i="34"/>
  <c r="Z1234" i="34"/>
  <c r="Y1234" i="34"/>
  <c r="X1234" i="34"/>
  <c r="W1234" i="34"/>
  <c r="V1234" i="34"/>
  <c r="U1234" i="34"/>
  <c r="T1234" i="34"/>
  <c r="S1234" i="34"/>
  <c r="AD1229" i="34"/>
  <c r="AC1229" i="34"/>
  <c r="AB1229" i="34"/>
  <c r="AA1229" i="34"/>
  <c r="Z1229" i="34"/>
  <c r="Y1229" i="34"/>
  <c r="X1229" i="34"/>
  <c r="W1229" i="34"/>
  <c r="V1229" i="34"/>
  <c r="U1229" i="34"/>
  <c r="T1229" i="34"/>
  <c r="S1229" i="34"/>
  <c r="AD1223" i="34"/>
  <c r="AC1223" i="34"/>
  <c r="AB1223" i="34"/>
  <c r="AA1223" i="34"/>
  <c r="Z1223" i="34"/>
  <c r="Y1223" i="34"/>
  <c r="X1223" i="34"/>
  <c r="W1223" i="34"/>
  <c r="V1223" i="34"/>
  <c r="U1223" i="34"/>
  <c r="T1223" i="34"/>
  <c r="S1223" i="34"/>
  <c r="AD1218" i="34"/>
  <c r="AC1218" i="34"/>
  <c r="AB1218" i="34"/>
  <c r="AA1218" i="34"/>
  <c r="Z1218" i="34"/>
  <c r="Y1218" i="34"/>
  <c r="X1218" i="34"/>
  <c r="W1218" i="34"/>
  <c r="V1218" i="34"/>
  <c r="U1218" i="34"/>
  <c r="T1218" i="34"/>
  <c r="S1218" i="34"/>
  <c r="AD1205" i="34"/>
  <c r="AC1205" i="34"/>
  <c r="AB1205" i="34"/>
  <c r="AA1205" i="34"/>
  <c r="Z1205" i="34"/>
  <c r="Y1205" i="34"/>
  <c r="X1205" i="34"/>
  <c r="W1205" i="34"/>
  <c r="V1205" i="34"/>
  <c r="U1205" i="34"/>
  <c r="T1205" i="34"/>
  <c r="S1205" i="34"/>
  <c r="AD1193" i="34"/>
  <c r="AD1206" i="34" s="1"/>
  <c r="AC1193" i="34"/>
  <c r="AC1206" i="34" s="1"/>
  <c r="AB1193" i="34"/>
  <c r="AB1206" i="34" s="1"/>
  <c r="AA1193" i="34"/>
  <c r="AA1206" i="34" s="1"/>
  <c r="Z1193" i="34"/>
  <c r="Z1206" i="34" s="1"/>
  <c r="Y1193" i="34"/>
  <c r="Y1206" i="34" s="1"/>
  <c r="X1193" i="34"/>
  <c r="X1206" i="34" s="1"/>
  <c r="W1193" i="34"/>
  <c r="W1206" i="34" s="1"/>
  <c r="V1193" i="34"/>
  <c r="V1206" i="34" s="1"/>
  <c r="U1193" i="34"/>
  <c r="U1206" i="34" s="1"/>
  <c r="T1193" i="34"/>
  <c r="T1206" i="34" s="1"/>
  <c r="S1193" i="34"/>
  <c r="S1206" i="34" s="1"/>
  <c r="AD1188" i="34"/>
  <c r="AC1188" i="34"/>
  <c r="AB1188" i="34"/>
  <c r="AA1188" i="34"/>
  <c r="Z1188" i="34"/>
  <c r="Y1188" i="34"/>
  <c r="X1188" i="34"/>
  <c r="W1188" i="34"/>
  <c r="V1188" i="34"/>
  <c r="U1188" i="34"/>
  <c r="T1188" i="34"/>
  <c r="S1188" i="34"/>
  <c r="AD1186" i="34"/>
  <c r="AC1186" i="34"/>
  <c r="AB1186" i="34"/>
  <c r="AB1185" i="34" s="1"/>
  <c r="AA1186" i="34"/>
  <c r="Z1186" i="34"/>
  <c r="Y1186" i="34"/>
  <c r="X1186" i="34"/>
  <c r="W1186" i="34"/>
  <c r="V1186" i="34"/>
  <c r="U1186" i="34"/>
  <c r="T1186" i="34"/>
  <c r="S1186" i="34"/>
  <c r="AD1185" i="34"/>
  <c r="AC1185" i="34"/>
  <c r="AA1185" i="34"/>
  <c r="Z1185" i="34"/>
  <c r="Y1185" i="34"/>
  <c r="X1185" i="34"/>
  <c r="W1185" i="34"/>
  <c r="V1185" i="34"/>
  <c r="U1185" i="34"/>
  <c r="T1185" i="34"/>
  <c r="S1185" i="34"/>
  <c r="AD1183" i="34"/>
  <c r="AC1183" i="34"/>
  <c r="AB1183" i="34"/>
  <c r="AA1183" i="34"/>
  <c r="Z1183" i="34"/>
  <c r="Y1183" i="34"/>
  <c r="X1183" i="34"/>
  <c r="W1183" i="34"/>
  <c r="V1183" i="34"/>
  <c r="U1183" i="34"/>
  <c r="T1183" i="34"/>
  <c r="S1183" i="34"/>
  <c r="AD1182" i="34"/>
  <c r="AC1182" i="34"/>
  <c r="AB1182" i="34"/>
  <c r="AA1182" i="34"/>
  <c r="Z1182" i="34"/>
  <c r="Y1182" i="34"/>
  <c r="X1182" i="34"/>
  <c r="W1182" i="34"/>
  <c r="V1182" i="34"/>
  <c r="U1182" i="34"/>
  <c r="T1182" i="34"/>
  <c r="S1182" i="34"/>
  <c r="AD1180" i="34"/>
  <c r="AD1179" i="34" s="1"/>
  <c r="AC1180" i="34"/>
  <c r="AC1179" i="34" s="1"/>
  <c r="AB1180" i="34"/>
  <c r="AB1179" i="34" s="1"/>
  <c r="AA1180" i="34"/>
  <c r="AA1179" i="34" s="1"/>
  <c r="Z1180" i="34"/>
  <c r="Z1179" i="34" s="1"/>
  <c r="Y1180" i="34"/>
  <c r="Y1179" i="34" s="1"/>
  <c r="X1180" i="34"/>
  <c r="W1180" i="34"/>
  <c r="W1179" i="34" s="1"/>
  <c r="V1180" i="34"/>
  <c r="V1179" i="34" s="1"/>
  <c r="U1180" i="34"/>
  <c r="U1179" i="34" s="1"/>
  <c r="T1180" i="34"/>
  <c r="T1179" i="34" s="1"/>
  <c r="S1180" i="34"/>
  <c r="X1179" i="34"/>
  <c r="S1179" i="34"/>
  <c r="AD1175" i="34"/>
  <c r="AC1175" i="34"/>
  <c r="AB1175" i="34"/>
  <c r="S1175" i="34"/>
  <c r="AD1174" i="34"/>
  <c r="AC1174" i="34"/>
  <c r="AB1174" i="34"/>
  <c r="AA1174" i="34"/>
  <c r="Z1174" i="34"/>
  <c r="Y1174" i="34"/>
  <c r="X1174" i="34"/>
  <c r="W1174" i="34"/>
  <c r="V1174" i="34"/>
  <c r="U1174" i="34"/>
  <c r="T1174" i="34"/>
  <c r="S1174" i="34"/>
  <c r="S1169" i="34"/>
  <c r="AD1146" i="34"/>
  <c r="AC1146" i="34"/>
  <c r="AB1146" i="34"/>
  <c r="AA1146" i="34"/>
  <c r="Z1146" i="34"/>
  <c r="Y1146" i="34"/>
  <c r="X1146" i="34"/>
  <c r="W1146" i="34"/>
  <c r="V1146" i="34"/>
  <c r="U1146" i="34"/>
  <c r="T1146" i="34"/>
  <c r="S1146" i="34"/>
  <c r="AD1142" i="34"/>
  <c r="AC1142" i="34"/>
  <c r="AB1142" i="34"/>
  <c r="AA1142" i="34"/>
  <c r="Z1142" i="34"/>
  <c r="Y1142" i="34"/>
  <c r="X1142" i="34"/>
  <c r="W1142" i="34"/>
  <c r="V1142" i="34"/>
  <c r="U1142" i="34"/>
  <c r="T1142" i="34"/>
  <c r="S1142" i="34"/>
  <c r="AD1138" i="34"/>
  <c r="AC1138" i="34"/>
  <c r="AB1138" i="34"/>
  <c r="AB1137" i="34" s="1"/>
  <c r="AA1138" i="34"/>
  <c r="AA1137" i="34" s="1"/>
  <c r="Z1138" i="34"/>
  <c r="Y1138" i="34"/>
  <c r="X1138" i="34"/>
  <c r="W1138" i="34"/>
  <c r="V1137" i="34"/>
  <c r="U1138" i="34"/>
  <c r="U1137" i="34" s="1"/>
  <c r="T1138" i="34"/>
  <c r="T1137" i="34" s="1"/>
  <c r="S1138" i="34"/>
  <c r="S1137" i="34" s="1"/>
  <c r="AD1133" i="34"/>
  <c r="AD1128" i="34" s="1"/>
  <c r="AC1133" i="34"/>
  <c r="AB1133" i="34"/>
  <c r="Z1133" i="34"/>
  <c r="Y1133" i="34"/>
  <c r="X1133" i="34"/>
  <c r="W1133" i="34"/>
  <c r="V1133" i="34"/>
  <c r="U1133" i="34"/>
  <c r="T1133" i="34"/>
  <c r="S1133" i="34"/>
  <c r="AD1129" i="34"/>
  <c r="AC1129" i="34"/>
  <c r="AB1129" i="34"/>
  <c r="AA1129" i="34"/>
  <c r="AA1128" i="34" s="1"/>
  <c r="Z1129" i="34"/>
  <c r="Y1129" i="34"/>
  <c r="X1129" i="34"/>
  <c r="W1129" i="34"/>
  <c r="V1128" i="34"/>
  <c r="V1127" i="34" s="1"/>
  <c r="U1129" i="34"/>
  <c r="U1128" i="34" s="1"/>
  <c r="T1129" i="34"/>
  <c r="S1129" i="34"/>
  <c r="Y1128" i="34"/>
  <c r="AD1115" i="34"/>
  <c r="AC1115" i="34"/>
  <c r="AB1115" i="34"/>
  <c r="AA1115" i="34"/>
  <c r="Z1115" i="34"/>
  <c r="Y1115" i="34"/>
  <c r="X1115" i="34"/>
  <c r="W1115" i="34"/>
  <c r="V1115" i="34"/>
  <c r="U1115" i="34"/>
  <c r="T1115" i="34"/>
  <c r="S1115" i="34"/>
  <c r="AD1107" i="34"/>
  <c r="AC1107" i="34"/>
  <c r="AC1110" i="34" s="1"/>
  <c r="AB1107" i="34"/>
  <c r="AB1110" i="34" s="1"/>
  <c r="AA1107" i="34"/>
  <c r="AA1110" i="34" s="1"/>
  <c r="Z1107" i="34"/>
  <c r="Z1110" i="34" s="1"/>
  <c r="Y1107" i="34"/>
  <c r="Y1110" i="34" s="1"/>
  <c r="X1107" i="34"/>
  <c r="X1110" i="34" s="1"/>
  <c r="W1107" i="34"/>
  <c r="W1110" i="34" s="1"/>
  <c r="V1107" i="34"/>
  <c r="V1110" i="34" s="1"/>
  <c r="U1107" i="34"/>
  <c r="U1110" i="34" s="1"/>
  <c r="T1107" i="34"/>
  <c r="T1110" i="34" s="1"/>
  <c r="S1107" i="34"/>
  <c r="S1110" i="34" s="1"/>
  <c r="AD1105" i="34"/>
  <c r="AC1105" i="34"/>
  <c r="AB1105" i="34"/>
  <c r="AA1105" i="34"/>
  <c r="Z1105" i="34"/>
  <c r="Y1105" i="34"/>
  <c r="X1105" i="34"/>
  <c r="W1105" i="34"/>
  <c r="V1105" i="34"/>
  <c r="U1105" i="34"/>
  <c r="T1105" i="34"/>
  <c r="S1105" i="34"/>
  <c r="AD1102" i="34"/>
  <c r="AD1101" i="34" s="1"/>
  <c r="AC1102" i="34"/>
  <c r="AC1106" i="34" s="1"/>
  <c r="AB1102" i="34"/>
  <c r="AB1106" i="34" s="1"/>
  <c r="AA1102" i="34"/>
  <c r="AA1106" i="34" s="1"/>
  <c r="Z1102" i="34"/>
  <c r="Y1102" i="34"/>
  <c r="Y1101" i="34" s="1"/>
  <c r="X1102" i="34"/>
  <c r="W1102" i="34"/>
  <c r="V1102" i="34"/>
  <c r="U1102" i="34"/>
  <c r="U1106" i="34" s="1"/>
  <c r="T1102" i="34"/>
  <c r="T1106" i="34" s="1"/>
  <c r="S1102" i="34"/>
  <c r="AB1101" i="34"/>
  <c r="X1101" i="34"/>
  <c r="W1101" i="34"/>
  <c r="AD1096" i="34"/>
  <c r="AC1096" i="34"/>
  <c r="AB1096" i="34"/>
  <c r="AA1096" i="34"/>
  <c r="Z1096" i="34"/>
  <c r="Y1096" i="34"/>
  <c r="X1096" i="34"/>
  <c r="W1096" i="34"/>
  <c r="V1096" i="34"/>
  <c r="U1096" i="34"/>
  <c r="T1096" i="34"/>
  <c r="S1096" i="34"/>
  <c r="AD1093" i="34"/>
  <c r="AC1093" i="34"/>
  <c r="AB1093" i="34"/>
  <c r="AA1093" i="34"/>
  <c r="Z1093" i="34"/>
  <c r="Y1093" i="34"/>
  <c r="X1093" i="34"/>
  <c r="W1093" i="34"/>
  <c r="V1093" i="34"/>
  <c r="U1093" i="34"/>
  <c r="T1093" i="34"/>
  <c r="S1093" i="34"/>
  <c r="AD1089" i="34"/>
  <c r="AC1089" i="34"/>
  <c r="AC1204" i="34" s="1"/>
  <c r="AB1089" i="34"/>
  <c r="AB1204" i="34" s="1"/>
  <c r="AA1089" i="34"/>
  <c r="AA1204" i="34" s="1"/>
  <c r="Z1089" i="34"/>
  <c r="Z1204" i="34" s="1"/>
  <c r="Y1089" i="34"/>
  <c r="Y1204" i="34" s="1"/>
  <c r="X1089" i="34"/>
  <c r="X1204" i="34" s="1"/>
  <c r="W1089" i="34"/>
  <c r="W1204" i="34" s="1"/>
  <c r="V1089" i="34"/>
  <c r="V1204" i="34" s="1"/>
  <c r="U1089" i="34"/>
  <c r="U1204" i="34" s="1"/>
  <c r="T1089" i="34"/>
  <c r="T1204" i="34" s="1"/>
  <c r="S1089" i="34"/>
  <c r="S1204" i="34" s="1"/>
  <c r="AD1086" i="34"/>
  <c r="AC1086" i="34"/>
  <c r="AC1203" i="34" s="1"/>
  <c r="AB1086" i="34"/>
  <c r="AB1203" i="34" s="1"/>
  <c r="AA1086" i="34"/>
  <c r="AA1203" i="34" s="1"/>
  <c r="Z1086" i="34"/>
  <c r="Z1203" i="34" s="1"/>
  <c r="Y1086" i="34"/>
  <c r="Y1203" i="34" s="1"/>
  <c r="X1086" i="34"/>
  <c r="X1203" i="34" s="1"/>
  <c r="W1086" i="34"/>
  <c r="W1203" i="34" s="1"/>
  <c r="V1086" i="34"/>
  <c r="V1203" i="34" s="1"/>
  <c r="U1086" i="34"/>
  <c r="U1203" i="34" s="1"/>
  <c r="T1086" i="34"/>
  <c r="T1203" i="34" s="1"/>
  <c r="S1086" i="34"/>
  <c r="S1203" i="34" s="1"/>
  <c r="AD1083" i="34"/>
  <c r="AC1083" i="34"/>
  <c r="AC1202" i="34" s="1"/>
  <c r="AB1083" i="34"/>
  <c r="AB1202" i="34" s="1"/>
  <c r="AA1083" i="34"/>
  <c r="AA1202" i="34" s="1"/>
  <c r="Z1083" i="34"/>
  <c r="Z1202" i="34" s="1"/>
  <c r="Y1083" i="34"/>
  <c r="Y1202" i="34" s="1"/>
  <c r="X1083" i="34"/>
  <c r="X1202" i="34" s="1"/>
  <c r="W1083" i="34"/>
  <c r="W1202" i="34" s="1"/>
  <c r="V1083" i="34"/>
  <c r="V1202" i="34" s="1"/>
  <c r="U1083" i="34"/>
  <c r="U1202" i="34" s="1"/>
  <c r="T1083" i="34"/>
  <c r="T1202" i="34" s="1"/>
  <c r="S1083" i="34"/>
  <c r="S1202" i="34" s="1"/>
  <c r="AD1082" i="34"/>
  <c r="AC1082" i="34"/>
  <c r="AC1199" i="34" s="1"/>
  <c r="AD1171" i="34" s="1"/>
  <c r="AB1082" i="34"/>
  <c r="AB1199" i="34" s="1"/>
  <c r="AC1171" i="34" s="1"/>
  <c r="AA1082" i="34"/>
  <c r="AA1199" i="34" s="1"/>
  <c r="AB1171" i="34" s="1"/>
  <c r="Z1082" i="34"/>
  <c r="Z1199" i="34" s="1"/>
  <c r="AA1171" i="34" s="1"/>
  <c r="Y1082" i="34"/>
  <c r="Y1199" i="34" s="1"/>
  <c r="X1082" i="34"/>
  <c r="X1199" i="34" s="1"/>
  <c r="Y1171" i="34" s="1"/>
  <c r="W1082" i="34"/>
  <c r="W1199" i="34" s="1"/>
  <c r="X1171" i="34" s="1"/>
  <c r="V1082" i="34"/>
  <c r="V1199" i="34" s="1"/>
  <c r="W1171" i="34" s="1"/>
  <c r="U1082" i="34"/>
  <c r="U1199" i="34" s="1"/>
  <c r="V1171" i="34" s="1"/>
  <c r="T1082" i="34"/>
  <c r="T1199" i="34" s="1"/>
  <c r="U1171" i="34" s="1"/>
  <c r="S1082" i="34"/>
  <c r="S1199" i="34" s="1"/>
  <c r="T1171" i="34" s="1"/>
  <c r="AD1081" i="34"/>
  <c r="AC1081" i="34"/>
  <c r="AB1081" i="34"/>
  <c r="AA1081" i="34"/>
  <c r="Z1081" i="34"/>
  <c r="Y1081" i="34"/>
  <c r="X1081" i="34"/>
  <c r="W1081" i="34"/>
  <c r="V1081" i="34"/>
  <c r="U1081" i="34"/>
  <c r="T1081" i="34"/>
  <c r="S1081" i="34"/>
  <c r="AD1080" i="34"/>
  <c r="AC1080" i="34"/>
  <c r="AB1080" i="34"/>
  <c r="AA1080" i="34"/>
  <c r="Z1080" i="34"/>
  <c r="Y1080" i="34"/>
  <c r="X1080" i="34"/>
  <c r="W1080" i="34"/>
  <c r="V1080" i="34"/>
  <c r="U1080" i="34"/>
  <c r="T1080" i="34"/>
  <c r="S1080" i="34"/>
  <c r="U1079" i="34"/>
  <c r="AD1067" i="34"/>
  <c r="AC1067" i="34"/>
  <c r="AB1067" i="34"/>
  <c r="AA1067" i="34"/>
  <c r="Z1067" i="34"/>
  <c r="Y1067" i="34"/>
  <c r="X1067" i="34"/>
  <c r="W1067" i="34"/>
  <c r="V1067" i="34"/>
  <c r="U1067" i="34"/>
  <c r="T1067" i="34"/>
  <c r="S1067" i="34"/>
  <c r="AD1061" i="34"/>
  <c r="AC1061" i="34"/>
  <c r="AB1061" i="34"/>
  <c r="AA1061" i="34"/>
  <c r="Z1061" i="34"/>
  <c r="Y1061" i="34"/>
  <c r="X1061" i="34"/>
  <c r="W1061" i="34"/>
  <c r="V1061" i="34"/>
  <c r="U1061" i="34"/>
  <c r="T1061" i="34"/>
  <c r="S1061" i="34"/>
  <c r="AD1055" i="34"/>
  <c r="AC1055" i="34"/>
  <c r="AB1055" i="34"/>
  <c r="AA1055" i="34"/>
  <c r="Z1055" i="34"/>
  <c r="Y1055" i="34"/>
  <c r="X1055" i="34"/>
  <c r="W1055" i="34"/>
  <c r="V1055" i="34"/>
  <c r="U1055" i="34"/>
  <c r="T1055" i="34"/>
  <c r="S1055" i="34"/>
  <c r="AD1050" i="34"/>
  <c r="AC1050" i="34"/>
  <c r="AB1050" i="34"/>
  <c r="AA1050" i="34"/>
  <c r="Z1050" i="34"/>
  <c r="Y1050" i="34"/>
  <c r="X1050" i="34"/>
  <c r="W1050" i="34"/>
  <c r="V1050" i="34"/>
  <c r="U1050" i="34"/>
  <c r="T1050" i="34"/>
  <c r="S1050" i="34"/>
  <c r="AD1044" i="34"/>
  <c r="AC1044" i="34"/>
  <c r="AB1044" i="34"/>
  <c r="AA1044" i="34"/>
  <c r="Z1044" i="34"/>
  <c r="Y1044" i="34"/>
  <c r="X1044" i="34"/>
  <c r="W1044" i="34"/>
  <c r="V1044" i="34"/>
  <c r="U1044" i="34"/>
  <c r="T1044" i="34"/>
  <c r="S1044" i="34"/>
  <c r="AD1039" i="34"/>
  <c r="AD1038" i="34" s="1"/>
  <c r="AC1039" i="34"/>
  <c r="AC1038" i="34" s="1"/>
  <c r="AB1039" i="34"/>
  <c r="AA1039" i="34"/>
  <c r="AA1038" i="34" s="1"/>
  <c r="Z1039" i="34"/>
  <c r="Z1038" i="34" s="1"/>
  <c r="Y1039" i="34"/>
  <c r="Y1038" i="34" s="1"/>
  <c r="X1039" i="34"/>
  <c r="W1039" i="34"/>
  <c r="W1038" i="34" s="1"/>
  <c r="V1039" i="34"/>
  <c r="V1038" i="34" s="1"/>
  <c r="U1039" i="34"/>
  <c r="U1038" i="34" s="1"/>
  <c r="T1039" i="34"/>
  <c r="T1038" i="34" s="1"/>
  <c r="S1039" i="34"/>
  <c r="S1038" i="34" s="1"/>
  <c r="AB1038" i="34"/>
  <c r="X1038" i="34"/>
  <c r="AD1031" i="34"/>
  <c r="AC1031" i="34"/>
  <c r="AB1031" i="34"/>
  <c r="AA1031" i="34"/>
  <c r="Z1031" i="34"/>
  <c r="Y1031" i="34"/>
  <c r="X1031" i="34"/>
  <c r="W1031" i="34"/>
  <c r="V1031" i="34"/>
  <c r="U1031" i="34"/>
  <c r="T1031" i="34"/>
  <c r="S1031" i="34"/>
  <c r="AD1025" i="34"/>
  <c r="AC1025" i="34"/>
  <c r="AB1025" i="34"/>
  <c r="AA1025" i="34"/>
  <c r="Z1025" i="34"/>
  <c r="Y1025" i="34"/>
  <c r="X1025" i="34"/>
  <c r="W1025" i="34"/>
  <c r="V1025" i="34"/>
  <c r="U1025" i="34"/>
  <c r="T1025" i="34"/>
  <c r="S1025" i="34"/>
  <c r="AD1020" i="34"/>
  <c r="AC1020" i="34"/>
  <c r="AB1020" i="34"/>
  <c r="AA1020" i="34"/>
  <c r="Z1020" i="34"/>
  <c r="Y1020" i="34"/>
  <c r="X1020" i="34"/>
  <c r="W1020" i="34"/>
  <c r="V1020" i="34"/>
  <c r="U1020" i="34"/>
  <c r="T1020" i="34"/>
  <c r="S1020" i="34"/>
  <c r="AD1014" i="34"/>
  <c r="AC1014" i="34"/>
  <c r="AB1014" i="34"/>
  <c r="AA1014" i="34"/>
  <c r="Z1014" i="34"/>
  <c r="Y1014" i="34"/>
  <c r="X1014" i="34"/>
  <c r="W1014" i="34"/>
  <c r="V1014" i="34"/>
  <c r="U1014" i="34"/>
  <c r="T1014" i="34"/>
  <c r="S1014" i="34"/>
  <c r="AD1009" i="34"/>
  <c r="AC1009" i="34"/>
  <c r="AB1009" i="34"/>
  <c r="AA1009" i="34"/>
  <c r="Z1009" i="34"/>
  <c r="Y1009" i="34"/>
  <c r="X1009" i="34"/>
  <c r="W1009" i="34"/>
  <c r="V1009" i="34"/>
  <c r="U1009" i="34"/>
  <c r="T1009" i="34"/>
  <c r="S1009" i="34"/>
  <c r="AD1008" i="34"/>
  <c r="AC1008" i="34"/>
  <c r="AB1008" i="34"/>
  <c r="AA1008" i="34"/>
  <c r="Z1008" i="34"/>
  <c r="Y1008" i="34"/>
  <c r="X1008" i="34"/>
  <c r="W1008" i="34"/>
  <c r="V1008" i="34"/>
  <c r="U1008" i="34"/>
  <c r="T1008" i="34"/>
  <c r="S1008" i="34"/>
  <c r="AD1001" i="34"/>
  <c r="AC1001" i="34"/>
  <c r="AA1001" i="34"/>
  <c r="Z1001" i="34"/>
  <c r="Y1001" i="34"/>
  <c r="X1001" i="34"/>
  <c r="W1001" i="34"/>
  <c r="V1001" i="34"/>
  <c r="U1001" i="34"/>
  <c r="S1001" i="34"/>
  <c r="AD995" i="34"/>
  <c r="AC995" i="34"/>
  <c r="AA995" i="34"/>
  <c r="Z995" i="34"/>
  <c r="Y995" i="34"/>
  <c r="X995" i="34"/>
  <c r="W995" i="34"/>
  <c r="V995" i="34"/>
  <c r="U995" i="34"/>
  <c r="S995" i="34"/>
  <c r="AD990" i="34"/>
  <c r="AC990" i="34"/>
  <c r="AA990" i="34"/>
  <c r="Z990" i="34"/>
  <c r="X990" i="34"/>
  <c r="W990" i="34"/>
  <c r="V990" i="34"/>
  <c r="U990" i="34"/>
  <c r="S990" i="34"/>
  <c r="AD984" i="34"/>
  <c r="AC984" i="34"/>
  <c r="AA984" i="34"/>
  <c r="Z984" i="34"/>
  <c r="X984" i="34"/>
  <c r="W984" i="34"/>
  <c r="V984" i="34"/>
  <c r="U984" i="34"/>
  <c r="S984" i="34"/>
  <c r="AD979" i="34"/>
  <c r="AC979" i="34"/>
  <c r="AB979" i="34"/>
  <c r="AA979" i="34"/>
  <c r="Z979" i="34"/>
  <c r="Y979" i="34"/>
  <c r="Y978" i="34" s="1"/>
  <c r="X979" i="34"/>
  <c r="W979" i="34"/>
  <c r="V979" i="34"/>
  <c r="U979" i="34"/>
  <c r="T978" i="34"/>
  <c r="S979" i="34"/>
  <c r="AB978" i="34"/>
  <c r="AD971" i="34"/>
  <c r="AC971" i="34"/>
  <c r="AA971" i="34"/>
  <c r="Z971" i="34"/>
  <c r="X971" i="34"/>
  <c r="W971" i="34"/>
  <c r="V971" i="34"/>
  <c r="U971" i="34"/>
  <c r="T971" i="34"/>
  <c r="S971" i="34"/>
  <c r="AD965" i="34"/>
  <c r="AC965" i="34"/>
  <c r="AA965" i="34"/>
  <c r="Z965" i="34"/>
  <c r="X965" i="34"/>
  <c r="W965" i="34"/>
  <c r="V965" i="34"/>
  <c r="U965" i="34"/>
  <c r="T965" i="34"/>
  <c r="S965" i="34"/>
  <c r="AD960" i="34"/>
  <c r="AC960" i="34"/>
  <c r="AA960" i="34"/>
  <c r="Z960" i="34"/>
  <c r="X960" i="34"/>
  <c r="W960" i="34"/>
  <c r="V960" i="34"/>
  <c r="U960" i="34"/>
  <c r="T960" i="34"/>
  <c r="S960" i="34"/>
  <c r="AD954" i="34"/>
  <c r="AC954" i="34"/>
  <c r="AB954" i="34"/>
  <c r="AA954" i="34"/>
  <c r="Z954" i="34"/>
  <c r="X954" i="34"/>
  <c r="W954" i="34"/>
  <c r="V954" i="34"/>
  <c r="U954" i="34"/>
  <c r="T954" i="34"/>
  <c r="S954" i="34"/>
  <c r="AD949" i="34"/>
  <c r="AC949" i="34"/>
  <c r="AB949" i="34"/>
  <c r="AA949" i="34"/>
  <c r="Z949" i="34"/>
  <c r="Y949" i="34"/>
  <c r="X949" i="34"/>
  <c r="W949" i="34"/>
  <c r="V949" i="34"/>
  <c r="U949" i="34"/>
  <c r="T949" i="34"/>
  <c r="S949" i="34"/>
  <c r="Y948" i="34"/>
  <c r="W948" i="34"/>
  <c r="V948" i="34"/>
  <c r="AD941" i="34"/>
  <c r="AC941" i="34"/>
  <c r="AB941" i="34"/>
  <c r="AA941" i="34"/>
  <c r="Z941" i="34"/>
  <c r="Y941" i="34"/>
  <c r="X941" i="34"/>
  <c r="W941" i="34"/>
  <c r="V941" i="34"/>
  <c r="U941" i="34"/>
  <c r="T941" i="34"/>
  <c r="S941" i="34"/>
  <c r="AD935" i="34"/>
  <c r="AC935" i="34"/>
  <c r="AB935" i="34"/>
  <c r="AA935" i="34"/>
  <c r="Z935" i="34"/>
  <c r="Y935" i="34"/>
  <c r="X935" i="34"/>
  <c r="W935" i="34"/>
  <c r="V935" i="34"/>
  <c r="U935" i="34"/>
  <c r="T935" i="34"/>
  <c r="S935" i="34"/>
  <c r="AD930" i="34"/>
  <c r="AC930" i="34"/>
  <c r="AB930" i="34"/>
  <c r="AA930" i="34"/>
  <c r="Z930" i="34"/>
  <c r="Y930" i="34"/>
  <c r="X930" i="34"/>
  <c r="W930" i="34"/>
  <c r="V930" i="34"/>
  <c r="U930" i="34"/>
  <c r="T930" i="34"/>
  <c r="S930" i="34"/>
  <c r="AD924" i="34"/>
  <c r="AC924" i="34"/>
  <c r="AB924" i="34"/>
  <c r="AA924" i="34"/>
  <c r="Z924" i="34"/>
  <c r="Y924" i="34"/>
  <c r="X924" i="34"/>
  <c r="W924" i="34"/>
  <c r="V924" i="34"/>
  <c r="U924" i="34"/>
  <c r="T924" i="34"/>
  <c r="S924" i="34"/>
  <c r="AD919" i="34"/>
  <c r="AC919" i="34"/>
  <c r="AC918" i="34" s="1"/>
  <c r="AB919" i="34"/>
  <c r="AA919" i="34"/>
  <c r="Z919" i="34"/>
  <c r="Y919" i="34"/>
  <c r="X919" i="34"/>
  <c r="W919" i="34"/>
  <c r="V919" i="34"/>
  <c r="U919" i="34"/>
  <c r="T919" i="34"/>
  <c r="S919" i="34"/>
  <c r="X918" i="34"/>
  <c r="W918" i="34"/>
  <c r="AD914" i="34"/>
  <c r="AC914" i="34"/>
  <c r="AC1419" i="34" s="1"/>
  <c r="AB914" i="34"/>
  <c r="AB1419" i="34" s="1"/>
  <c r="AA914" i="34"/>
  <c r="AA1419" i="34" s="1"/>
  <c r="Z914" i="34"/>
  <c r="Z1419" i="34" s="1"/>
  <c r="Y914" i="34"/>
  <c r="Y1419" i="34" s="1"/>
  <c r="X914" i="34"/>
  <c r="X1419" i="34" s="1"/>
  <c r="W914" i="34"/>
  <c r="W1419" i="34" s="1"/>
  <c r="V914" i="34"/>
  <c r="V1419" i="34" s="1"/>
  <c r="U914" i="34"/>
  <c r="U1419" i="34" s="1"/>
  <c r="T914" i="34"/>
  <c r="T1419" i="34" s="1"/>
  <c r="S914" i="34"/>
  <c r="S1419" i="34" s="1"/>
  <c r="AD913" i="34"/>
  <c r="AC913" i="34"/>
  <c r="AB913" i="34"/>
  <c r="AA913" i="34"/>
  <c r="Z913" i="34"/>
  <c r="Y913" i="34"/>
  <c r="X913" i="34"/>
  <c r="W913" i="34"/>
  <c r="V913" i="34"/>
  <c r="U913" i="34"/>
  <c r="T913" i="34"/>
  <c r="S913" i="34"/>
  <c r="AD912" i="34"/>
  <c r="AC912" i="34"/>
  <c r="AB912" i="34"/>
  <c r="AA912" i="34"/>
  <c r="Z912" i="34"/>
  <c r="Z910" i="34" s="1"/>
  <c r="Z1418" i="34" s="1"/>
  <c r="Y912" i="34"/>
  <c r="X912" i="34"/>
  <c r="W912" i="34"/>
  <c r="W910" i="34" s="1"/>
  <c r="W1418" i="34" s="1"/>
  <c r="V912" i="34"/>
  <c r="U912" i="34"/>
  <c r="T912" i="34"/>
  <c r="S912" i="34"/>
  <c r="AD911" i="34"/>
  <c r="AD910" i="34" s="1"/>
  <c r="AC911" i="34"/>
  <c r="AB911" i="34"/>
  <c r="AA911" i="34"/>
  <c r="Z911" i="34"/>
  <c r="Y911" i="34"/>
  <c r="X911" i="34"/>
  <c r="W911" i="34"/>
  <c r="V911" i="34"/>
  <c r="V910" i="34" s="1"/>
  <c r="V1418" i="34" s="1"/>
  <c r="U911" i="34"/>
  <c r="T911" i="34"/>
  <c r="T910" i="34" s="1"/>
  <c r="T1418" i="34" s="1"/>
  <c r="S911" i="34"/>
  <c r="AC910" i="34"/>
  <c r="AC1418" i="34" s="1"/>
  <c r="AB910" i="34"/>
  <c r="AB1418" i="34" s="1"/>
  <c r="AA910" i="34"/>
  <c r="AA1418" i="34" s="1"/>
  <c r="Y910" i="34"/>
  <c r="Y1418" i="34" s="1"/>
  <c r="X910" i="34"/>
  <c r="X1418" i="34" s="1"/>
  <c r="U910" i="34"/>
  <c r="U1418" i="34" s="1"/>
  <c r="S910" i="34"/>
  <c r="S1418" i="34" s="1"/>
  <c r="AD909" i="34"/>
  <c r="AC909" i="34"/>
  <c r="AB909" i="34"/>
  <c r="AA909" i="34"/>
  <c r="Z909" i="34"/>
  <c r="Y909" i="34"/>
  <c r="X909" i="34"/>
  <c r="W909" i="34"/>
  <c r="V909" i="34"/>
  <c r="U909" i="34"/>
  <c r="U904" i="34" s="1"/>
  <c r="U1417" i="34" s="1"/>
  <c r="T909" i="34"/>
  <c r="T904" i="34" s="1"/>
  <c r="T1417" i="34" s="1"/>
  <c r="S909" i="34"/>
  <c r="AD908" i="34"/>
  <c r="AC908" i="34"/>
  <c r="AB908" i="34"/>
  <c r="AA908" i="34"/>
  <c r="Z908" i="34"/>
  <c r="Y908" i="34"/>
  <c r="X908" i="34"/>
  <c r="W908" i="34"/>
  <c r="V908" i="34"/>
  <c r="U908" i="34"/>
  <c r="T908" i="34"/>
  <c r="S908" i="34"/>
  <c r="AD907" i="34"/>
  <c r="AC907" i="34"/>
  <c r="AB907" i="34"/>
  <c r="AA907" i="34"/>
  <c r="Z907" i="34"/>
  <c r="Y907" i="34"/>
  <c r="X907" i="34"/>
  <c r="W907" i="34"/>
  <c r="V907" i="34"/>
  <c r="U907" i="34"/>
  <c r="T907" i="34"/>
  <c r="S907" i="34"/>
  <c r="AD906" i="34"/>
  <c r="AC906" i="34"/>
  <c r="AB906" i="34"/>
  <c r="AA906" i="34"/>
  <c r="Z906" i="34"/>
  <c r="Y906" i="34"/>
  <c r="X906" i="34"/>
  <c r="W906" i="34"/>
  <c r="V906" i="34"/>
  <c r="U906" i="34"/>
  <c r="T906" i="34"/>
  <c r="S906" i="34"/>
  <c r="AD905" i="34"/>
  <c r="AD904" i="34" s="1"/>
  <c r="AC905" i="34"/>
  <c r="AC904" i="34" s="1"/>
  <c r="AC1417" i="34" s="1"/>
  <c r="AB905" i="34"/>
  <c r="AB904" i="34" s="1"/>
  <c r="AB1417" i="34" s="1"/>
  <c r="AA905" i="34"/>
  <c r="Z905" i="34"/>
  <c r="Y905" i="34"/>
  <c r="X905" i="34"/>
  <c r="X904" i="34" s="1"/>
  <c r="W905" i="34"/>
  <c r="V905" i="34"/>
  <c r="U905" i="34"/>
  <c r="T905" i="34"/>
  <c r="S905" i="34"/>
  <c r="AA904" i="34"/>
  <c r="AA1417" i="34" s="1"/>
  <c r="Z904" i="34"/>
  <c r="Z1417" i="34" s="1"/>
  <c r="Y904" i="34"/>
  <c r="Y1417" i="34" s="1"/>
  <c r="W904" i="34"/>
  <c r="W1417" i="34" s="1"/>
  <c r="AD903" i="34"/>
  <c r="AC903" i="34"/>
  <c r="AB903" i="34"/>
  <c r="AA903" i="34"/>
  <c r="Z903" i="34"/>
  <c r="Y903" i="34"/>
  <c r="X903" i="34"/>
  <c r="W903" i="34"/>
  <c r="V903" i="34"/>
  <c r="U903" i="34"/>
  <c r="T903" i="34"/>
  <c r="S903" i="34"/>
  <c r="AD902" i="34"/>
  <c r="AC902" i="34"/>
  <c r="AB902" i="34"/>
  <c r="AA902" i="34"/>
  <c r="Z902" i="34"/>
  <c r="Y902" i="34"/>
  <c r="X902" i="34"/>
  <c r="W902" i="34"/>
  <c r="V902" i="34"/>
  <c r="U902" i="34"/>
  <c r="T902" i="34"/>
  <c r="S902" i="34"/>
  <c r="AD901" i="34"/>
  <c r="AC901" i="34"/>
  <c r="AB901" i="34"/>
  <c r="AA901" i="34"/>
  <c r="Z901" i="34"/>
  <c r="Y901" i="34"/>
  <c r="X901" i="34"/>
  <c r="W901" i="34"/>
  <c r="V901" i="34"/>
  <c r="U901" i="34"/>
  <c r="T901" i="34"/>
  <c r="S901" i="34"/>
  <c r="AD900" i="34"/>
  <c r="AC900" i="34"/>
  <c r="AB900" i="34"/>
  <c r="AB899" i="34" s="1"/>
  <c r="AB1416" i="34" s="1"/>
  <c r="AA900" i="34"/>
  <c r="AA899" i="34" s="1"/>
  <c r="AA1416" i="34" s="1"/>
  <c r="Z900" i="34"/>
  <c r="Y900" i="34"/>
  <c r="Y899" i="34" s="1"/>
  <c r="Y1416" i="34" s="1"/>
  <c r="X900" i="34"/>
  <c r="W900" i="34"/>
  <c r="V900" i="34"/>
  <c r="U900" i="34"/>
  <c r="U899" i="34" s="1"/>
  <c r="U1416" i="34" s="1"/>
  <c r="T900" i="34"/>
  <c r="T899" i="34" s="1"/>
  <c r="T1416" i="34" s="1"/>
  <c r="S900" i="34"/>
  <c r="S899" i="34" s="1"/>
  <c r="S1416" i="34" s="1"/>
  <c r="X899" i="34"/>
  <c r="X1416" i="34" s="1"/>
  <c r="W899" i="34"/>
  <c r="W1416" i="34" s="1"/>
  <c r="AD898" i="34"/>
  <c r="AC898" i="34"/>
  <c r="AB898" i="34"/>
  <c r="AA898" i="34"/>
  <c r="Z898" i="34"/>
  <c r="Y898" i="34"/>
  <c r="X898" i="34"/>
  <c r="W898" i="34"/>
  <c r="V898" i="34"/>
  <c r="U898" i="34"/>
  <c r="T898" i="34"/>
  <c r="S898" i="34"/>
  <c r="AD897" i="34"/>
  <c r="AC897" i="34"/>
  <c r="AB897" i="34"/>
  <c r="AA897" i="34"/>
  <c r="Z897" i="34"/>
  <c r="Y897" i="34"/>
  <c r="X897" i="34"/>
  <c r="W897" i="34"/>
  <c r="V897" i="34"/>
  <c r="U897" i="34"/>
  <c r="T897" i="34"/>
  <c r="S897" i="34"/>
  <c r="AD896" i="34"/>
  <c r="AC896" i="34"/>
  <c r="AB896" i="34"/>
  <c r="AA896" i="34"/>
  <c r="Z896" i="34"/>
  <c r="Y896" i="34"/>
  <c r="X896" i="34"/>
  <c r="W896" i="34"/>
  <c r="V896" i="34"/>
  <c r="U896" i="34"/>
  <c r="T896" i="34"/>
  <c r="S896" i="34"/>
  <c r="AD895" i="34"/>
  <c r="AC895" i="34"/>
  <c r="AB895" i="34"/>
  <c r="AA895" i="34"/>
  <c r="Z895" i="34"/>
  <c r="Y895" i="34"/>
  <c r="X895" i="34"/>
  <c r="W895" i="34"/>
  <c r="V895" i="34"/>
  <c r="U895" i="34"/>
  <c r="T895" i="34"/>
  <c r="S895" i="34"/>
  <c r="AD894" i="34"/>
  <c r="AD893" i="34" s="1"/>
  <c r="AC894" i="34"/>
  <c r="AC893" i="34" s="1"/>
  <c r="AC1415" i="34" s="1"/>
  <c r="AB894" i="34"/>
  <c r="AA894" i="34"/>
  <c r="AA893" i="34" s="1"/>
  <c r="AA1415" i="34" s="1"/>
  <c r="Z894" i="34"/>
  <c r="Z893" i="34" s="1"/>
  <c r="Z1415" i="34" s="1"/>
  <c r="Y894" i="34"/>
  <c r="Y893" i="34" s="1"/>
  <c r="Y1415" i="34" s="1"/>
  <c r="X894" i="34"/>
  <c r="W894" i="34"/>
  <c r="V894" i="34"/>
  <c r="U894" i="34"/>
  <c r="U893" i="34" s="1"/>
  <c r="U1415" i="34" s="1"/>
  <c r="T894" i="34"/>
  <c r="S894" i="34"/>
  <c r="S893" i="34" s="1"/>
  <c r="S1415" i="34" s="1"/>
  <c r="AB893" i="34"/>
  <c r="AB1415" i="34" s="1"/>
  <c r="X893" i="34"/>
  <c r="X1415" i="34" s="1"/>
  <c r="W893" i="34"/>
  <c r="W1415" i="34" s="1"/>
  <c r="T893" i="34"/>
  <c r="T1415" i="34" s="1"/>
  <c r="AD892" i="34"/>
  <c r="AC892" i="34"/>
  <c r="AB892" i="34"/>
  <c r="AA892" i="34"/>
  <c r="Z892" i="34"/>
  <c r="Y892" i="34"/>
  <c r="X892" i="34"/>
  <c r="W892" i="34"/>
  <c r="V892" i="34"/>
  <c r="U892" i="34"/>
  <c r="T892" i="34"/>
  <c r="S892" i="34"/>
  <c r="AD891" i="34"/>
  <c r="AC891" i="34"/>
  <c r="AB891" i="34"/>
  <c r="AA891" i="34"/>
  <c r="Z891" i="34"/>
  <c r="Y891" i="34"/>
  <c r="X891" i="34"/>
  <c r="W891" i="34"/>
  <c r="V891" i="34"/>
  <c r="U891" i="34"/>
  <c r="T891" i="34"/>
  <c r="S891" i="34"/>
  <c r="AD890" i="34"/>
  <c r="AC890" i="34"/>
  <c r="AB890" i="34"/>
  <c r="AA890" i="34"/>
  <c r="Z890" i="34"/>
  <c r="Y890" i="34"/>
  <c r="X890" i="34"/>
  <c r="X888" i="34" s="1"/>
  <c r="X1414" i="34" s="1"/>
  <c r="W890" i="34"/>
  <c r="V890" i="34"/>
  <c r="U890" i="34"/>
  <c r="T890" i="34"/>
  <c r="S890" i="34"/>
  <c r="AD889" i="34"/>
  <c r="AC889" i="34"/>
  <c r="AB889" i="34"/>
  <c r="AA889" i="34"/>
  <c r="Z889" i="34"/>
  <c r="Z888" i="34" s="1"/>
  <c r="Z1414" i="34" s="1"/>
  <c r="Y889" i="34"/>
  <c r="X889" i="34"/>
  <c r="W889" i="34"/>
  <c r="W888" i="34" s="1"/>
  <c r="W1414" i="34" s="1"/>
  <c r="V889" i="34"/>
  <c r="V888" i="34" s="1"/>
  <c r="U889" i="34"/>
  <c r="U888" i="34" s="1"/>
  <c r="U1414" i="34" s="1"/>
  <c r="T889" i="34"/>
  <c r="S889" i="34"/>
  <c r="S888" i="34" s="1"/>
  <c r="S1414" i="34" s="1"/>
  <c r="AD888" i="34"/>
  <c r="AB888" i="34"/>
  <c r="AB1414" i="34" s="1"/>
  <c r="AA888" i="34"/>
  <c r="AA1414" i="34" s="1"/>
  <c r="T888" i="34"/>
  <c r="T1414" i="34" s="1"/>
  <c r="AD877" i="34"/>
  <c r="AC877" i="34"/>
  <c r="AB877" i="34"/>
  <c r="AA877" i="34"/>
  <c r="Z877" i="34"/>
  <c r="Y877" i="34"/>
  <c r="X877" i="34"/>
  <c r="W877" i="34"/>
  <c r="V877" i="34"/>
  <c r="U877" i="34"/>
  <c r="T877" i="34"/>
  <c r="S877" i="34"/>
  <c r="AD872" i="34"/>
  <c r="AC872" i="34"/>
  <c r="AB872" i="34"/>
  <c r="AA872" i="34"/>
  <c r="AA330" i="34" s="1"/>
  <c r="AA325" i="34" s="1"/>
  <c r="Z872" i="34"/>
  <c r="Z330" i="34" s="1"/>
  <c r="Z325" i="34" s="1"/>
  <c r="Y872" i="34"/>
  <c r="X872" i="34"/>
  <c r="X330" i="34" s="1"/>
  <c r="X325" i="34" s="1"/>
  <c r="W872" i="34"/>
  <c r="V872" i="34"/>
  <c r="V330" i="34" s="1"/>
  <c r="V325" i="34" s="1"/>
  <c r="U872" i="34"/>
  <c r="T872" i="34"/>
  <c r="T330" i="34" s="1"/>
  <c r="T325" i="34" s="1"/>
  <c r="S872" i="34"/>
  <c r="AD871" i="34"/>
  <c r="AC871" i="34"/>
  <c r="AB871" i="34"/>
  <c r="AA871" i="34"/>
  <c r="Z871" i="34"/>
  <c r="Y871" i="34"/>
  <c r="X871" i="34"/>
  <c r="W871" i="34"/>
  <c r="V871" i="34"/>
  <c r="U871" i="34"/>
  <c r="T871" i="34"/>
  <c r="S871" i="34"/>
  <c r="AD870" i="34"/>
  <c r="AC870" i="34"/>
  <c r="AB870" i="34"/>
  <c r="AA870" i="34"/>
  <c r="Z870" i="34"/>
  <c r="Y870" i="34"/>
  <c r="X870" i="34"/>
  <c r="W870" i="34"/>
  <c r="V870" i="34"/>
  <c r="U870" i="34"/>
  <c r="T870" i="34"/>
  <c r="S870" i="34"/>
  <c r="AD869" i="34"/>
  <c r="AC869" i="34"/>
  <c r="AC867" i="34" s="1"/>
  <c r="AC1609" i="34" s="1"/>
  <c r="AC1608" i="34" s="1"/>
  <c r="AB869" i="34"/>
  <c r="AA869" i="34"/>
  <c r="Z869" i="34"/>
  <c r="Y869" i="34"/>
  <c r="X869" i="34"/>
  <c r="W869" i="34"/>
  <c r="V869" i="34"/>
  <c r="U869" i="34"/>
  <c r="T869" i="34"/>
  <c r="S869" i="34"/>
  <c r="AD868" i="34"/>
  <c r="AC868" i="34"/>
  <c r="AB868" i="34"/>
  <c r="AA868" i="34"/>
  <c r="AA867" i="34" s="1"/>
  <c r="AA1609" i="34" s="1"/>
  <c r="AA1608" i="34" s="1"/>
  <c r="Z868" i="34"/>
  <c r="Y868" i="34"/>
  <c r="X868" i="34"/>
  <c r="X843" i="34" s="1"/>
  <c r="X58" i="34" s="1"/>
  <c r="W868" i="34"/>
  <c r="V868" i="34"/>
  <c r="U868" i="34"/>
  <c r="T868" i="34"/>
  <c r="S868" i="34"/>
  <c r="S867" i="34" s="1"/>
  <c r="AD866" i="34"/>
  <c r="AC866" i="34"/>
  <c r="AB866" i="34"/>
  <c r="AA866" i="34"/>
  <c r="Z866" i="34"/>
  <c r="Y866" i="34"/>
  <c r="X866" i="34"/>
  <c r="W866" i="34"/>
  <c r="V866" i="34"/>
  <c r="U866" i="34"/>
  <c r="T866" i="34"/>
  <c r="S866" i="34"/>
  <c r="AD865" i="34"/>
  <c r="AC865" i="34"/>
  <c r="AB865" i="34"/>
  <c r="AA865" i="34"/>
  <c r="Z865" i="34"/>
  <c r="Y865" i="34"/>
  <c r="X865" i="34"/>
  <c r="W865" i="34"/>
  <c r="V865" i="34"/>
  <c r="U865" i="34"/>
  <c r="T865" i="34"/>
  <c r="S865" i="34"/>
  <c r="AD864" i="34"/>
  <c r="AC864" i="34"/>
  <c r="AB864" i="34"/>
  <c r="AA864" i="34"/>
  <c r="AA844" i="34" s="1"/>
  <c r="Z864" i="34"/>
  <c r="Y864" i="34"/>
  <c r="X864" i="34"/>
  <c r="W864" i="34"/>
  <c r="V864" i="34"/>
  <c r="U864" i="34"/>
  <c r="T864" i="34"/>
  <c r="S864" i="34"/>
  <c r="AD863" i="34"/>
  <c r="AD862" i="34" s="1"/>
  <c r="AC863" i="34"/>
  <c r="AB863" i="34"/>
  <c r="AA863" i="34"/>
  <c r="Z863" i="34"/>
  <c r="Y863" i="34"/>
  <c r="X863" i="34"/>
  <c r="W863" i="34"/>
  <c r="V863" i="34"/>
  <c r="U863" i="34"/>
  <c r="T863" i="34"/>
  <c r="S863" i="34"/>
  <c r="U862" i="34"/>
  <c r="U1572" i="34" s="1"/>
  <c r="AD857" i="34"/>
  <c r="AC857" i="34"/>
  <c r="AB857" i="34"/>
  <c r="AA857" i="34"/>
  <c r="Z857" i="34"/>
  <c r="Y857" i="34"/>
  <c r="X857" i="34"/>
  <c r="W857" i="34"/>
  <c r="V857" i="34"/>
  <c r="U857" i="34"/>
  <c r="T857" i="34"/>
  <c r="S857" i="34"/>
  <c r="AD856" i="34"/>
  <c r="AC856" i="34"/>
  <c r="AB856" i="34"/>
  <c r="AA856" i="34"/>
  <c r="Z856" i="34"/>
  <c r="Y856" i="34"/>
  <c r="X856" i="34"/>
  <c r="W856" i="34"/>
  <c r="V856" i="34"/>
  <c r="U856" i="34"/>
  <c r="T856" i="34"/>
  <c r="S856" i="34"/>
  <c r="AD855" i="34"/>
  <c r="AC855" i="34"/>
  <c r="AB855" i="34"/>
  <c r="AA855" i="34"/>
  <c r="Z855" i="34"/>
  <c r="Z850" i="34" s="1"/>
  <c r="Z845" i="34" s="1"/>
  <c r="Y855" i="34"/>
  <c r="X855" i="34"/>
  <c r="W855" i="34"/>
  <c r="V855" i="34"/>
  <c r="U855" i="34"/>
  <c r="T855" i="34"/>
  <c r="S855" i="34"/>
  <c r="AD854" i="34"/>
  <c r="AC854" i="34"/>
  <c r="AB854" i="34"/>
  <c r="AB849" i="34" s="1"/>
  <c r="AA854" i="34"/>
  <c r="Z854" i="34"/>
  <c r="Y854" i="34"/>
  <c r="X854" i="34"/>
  <c r="X849" i="34" s="1"/>
  <c r="X844" i="34" s="1"/>
  <c r="W854" i="34"/>
  <c r="V854" i="34"/>
  <c r="U854" i="34"/>
  <c r="T854" i="34"/>
  <c r="S854" i="34"/>
  <c r="AD853" i="34"/>
  <c r="AC853" i="34"/>
  <c r="AB853" i="34"/>
  <c r="AB852" i="34" s="1"/>
  <c r="AA853" i="34"/>
  <c r="AA852" i="34" s="1"/>
  <c r="Z853" i="34"/>
  <c r="Z852" i="34" s="1"/>
  <c r="Y853" i="34"/>
  <c r="X853" i="34"/>
  <c r="W853" i="34"/>
  <c r="V853" i="34"/>
  <c r="U853" i="34"/>
  <c r="T853" i="34"/>
  <c r="T852" i="34" s="1"/>
  <c r="S853" i="34"/>
  <c r="S852" i="34" s="1"/>
  <c r="AD851" i="34"/>
  <c r="AC851" i="34"/>
  <c r="AB851" i="34"/>
  <c r="AA851" i="34"/>
  <c r="Z851" i="34"/>
  <c r="Y851" i="34"/>
  <c r="X851" i="34"/>
  <c r="W851" i="34"/>
  <c r="V851" i="34"/>
  <c r="U851" i="34"/>
  <c r="T851" i="34"/>
  <c r="S851" i="34"/>
  <c r="AD850" i="34"/>
  <c r="AC850" i="34"/>
  <c r="AC845" i="34" s="1"/>
  <c r="AB850" i="34"/>
  <c r="AA850" i="34"/>
  <c r="Y850" i="34"/>
  <c r="Y845" i="34" s="1"/>
  <c r="X850" i="34"/>
  <c r="X845" i="34" s="1"/>
  <c r="W850" i="34"/>
  <c r="V850" i="34"/>
  <c r="U850" i="34"/>
  <c r="T850" i="34"/>
  <c r="T845" i="34" s="1"/>
  <c r="S850" i="34"/>
  <c r="S845" i="34" s="1"/>
  <c r="AD849" i="34"/>
  <c r="AC849" i="34"/>
  <c r="AA849" i="34"/>
  <c r="Z849" i="34"/>
  <c r="Z844" i="34" s="1"/>
  <c r="Y849" i="34"/>
  <c r="W849" i="34"/>
  <c r="V849" i="34"/>
  <c r="V844" i="34" s="1"/>
  <c r="U849" i="34"/>
  <c r="T849" i="34"/>
  <c r="S849" i="34"/>
  <c r="AD848" i="34"/>
  <c r="AC848" i="34"/>
  <c r="AC843" i="34" s="1"/>
  <c r="AB848" i="34"/>
  <c r="AB843" i="34" s="1"/>
  <c r="AA848" i="34"/>
  <c r="Y848" i="34"/>
  <c r="X848" i="34"/>
  <c r="W848" i="34"/>
  <c r="V848" i="34"/>
  <c r="U848" i="34"/>
  <c r="U843" i="34" s="1"/>
  <c r="U58" i="34" s="1"/>
  <c r="T848" i="34"/>
  <c r="T843" i="34" s="1"/>
  <c r="S848" i="34"/>
  <c r="S847" i="34" s="1"/>
  <c r="AD846" i="34"/>
  <c r="AC846" i="34"/>
  <c r="AC1254" i="34" s="1"/>
  <c r="AC1255" i="34" s="1"/>
  <c r="AB846" i="34"/>
  <c r="AA846" i="34"/>
  <c r="AA1254" i="34" s="1"/>
  <c r="AA1255" i="34" s="1"/>
  <c r="Z846" i="34"/>
  <c r="Z1254" i="34" s="1"/>
  <c r="Z1255" i="34" s="1"/>
  <c r="Y846" i="34"/>
  <c r="Y1254" i="34" s="1"/>
  <c r="Y1255" i="34" s="1"/>
  <c r="X846" i="34"/>
  <c r="X1254" i="34" s="1"/>
  <c r="X1255" i="34" s="1"/>
  <c r="W846" i="34"/>
  <c r="W1254" i="34" s="1"/>
  <c r="W1255" i="34" s="1"/>
  <c r="V846" i="34"/>
  <c r="V1254" i="34" s="1"/>
  <c r="V1255" i="34" s="1"/>
  <c r="U846" i="34"/>
  <c r="U1254" i="34" s="1"/>
  <c r="U1255" i="34" s="1"/>
  <c r="T846" i="34"/>
  <c r="T1254" i="34" s="1"/>
  <c r="T1255" i="34" s="1"/>
  <c r="S846" i="34"/>
  <c r="AB845" i="34"/>
  <c r="AA845" i="34"/>
  <c r="W845" i="34"/>
  <c r="U845" i="34"/>
  <c r="AD844" i="34"/>
  <c r="Y844" i="34"/>
  <c r="W844" i="34"/>
  <c r="U844" i="34"/>
  <c r="T844" i="34"/>
  <c r="S844" i="34"/>
  <c r="Y843" i="34"/>
  <c r="W843" i="34"/>
  <c r="S843" i="34"/>
  <c r="AD833" i="34"/>
  <c r="AC833" i="34"/>
  <c r="AB833" i="34"/>
  <c r="AA833" i="34"/>
  <c r="Z833" i="34"/>
  <c r="Y833" i="34"/>
  <c r="X833" i="34"/>
  <c r="W833" i="34"/>
  <c r="V833" i="34"/>
  <c r="U833" i="34"/>
  <c r="T833" i="34"/>
  <c r="S833" i="34"/>
  <c r="AD828" i="34"/>
  <c r="AC828" i="34"/>
  <c r="AB828" i="34"/>
  <c r="AA828" i="34"/>
  <c r="AA392" i="34" s="1"/>
  <c r="AA416" i="34" s="1"/>
  <c r="Z828" i="34"/>
  <c r="Y828" i="34"/>
  <c r="X828" i="34"/>
  <c r="X392" i="34" s="1"/>
  <c r="X416" i="34" s="1"/>
  <c r="W828" i="34"/>
  <c r="W392" i="34" s="1"/>
  <c r="W416" i="34" s="1"/>
  <c r="V828" i="34"/>
  <c r="U828" i="34"/>
  <c r="U392" i="34" s="1"/>
  <c r="U416" i="34" s="1"/>
  <c r="T828" i="34"/>
  <c r="S828" i="34"/>
  <c r="AD823" i="34"/>
  <c r="AC823" i="34"/>
  <c r="AB823" i="34"/>
  <c r="AA823" i="34"/>
  <c r="AA391" i="34" s="1"/>
  <c r="AA415" i="34" s="1"/>
  <c r="Z823" i="34"/>
  <c r="Y823" i="34"/>
  <c r="X823" i="34"/>
  <c r="X391" i="34" s="1"/>
  <c r="X415" i="34" s="1"/>
  <c r="W823" i="34"/>
  <c r="W391" i="34" s="1"/>
  <c r="W415" i="34" s="1"/>
  <c r="V823" i="34"/>
  <c r="U823" i="34"/>
  <c r="T823" i="34"/>
  <c r="T391" i="34" s="1"/>
  <c r="T415" i="34" s="1"/>
  <c r="S823" i="34"/>
  <c r="AD818" i="34"/>
  <c r="AC818" i="34"/>
  <c r="AB818" i="34"/>
  <c r="AA818" i="34"/>
  <c r="AA388" i="34" s="1"/>
  <c r="Z818" i="34"/>
  <c r="Y818" i="34"/>
  <c r="X818" i="34"/>
  <c r="W818" i="34"/>
  <c r="W388" i="34" s="1"/>
  <c r="V818" i="34"/>
  <c r="U818" i="34"/>
  <c r="U388" i="34" s="1"/>
  <c r="T818" i="34"/>
  <c r="T388" i="34" s="1"/>
  <c r="S818" i="34"/>
  <c r="AD813" i="34"/>
  <c r="AC813" i="34"/>
  <c r="AB813" i="34"/>
  <c r="AA813" i="34"/>
  <c r="AA387" i="34" s="1"/>
  <c r="Z813" i="34"/>
  <c r="Y813" i="34"/>
  <c r="Y387" i="34" s="1"/>
  <c r="X813" i="34"/>
  <c r="X387" i="34" s="1"/>
  <c r="W813" i="34"/>
  <c r="W387" i="34" s="1"/>
  <c r="V813" i="34"/>
  <c r="U813" i="34"/>
  <c r="T813" i="34"/>
  <c r="T387" i="34" s="1"/>
  <c r="S813" i="34"/>
  <c r="AD808" i="34"/>
  <c r="AC808" i="34"/>
  <c r="AC390" i="34" s="1"/>
  <c r="AB808" i="34"/>
  <c r="AA808" i="34"/>
  <c r="AA390" i="34" s="1"/>
  <c r="AA414" i="34" s="1"/>
  <c r="Z808" i="34"/>
  <c r="Y808" i="34"/>
  <c r="X808" i="34"/>
  <c r="X390" i="34" s="1"/>
  <c r="W808" i="34"/>
  <c r="W390" i="34" s="1"/>
  <c r="W414" i="34" s="1"/>
  <c r="V808" i="34"/>
  <c r="U808" i="34"/>
  <c r="T808" i="34"/>
  <c r="T390" i="34" s="1"/>
  <c r="T414" i="34" s="1"/>
  <c r="S808" i="34"/>
  <c r="AD803" i="34"/>
  <c r="AC803" i="34"/>
  <c r="AC385" i="34" s="1"/>
  <c r="AB803" i="34"/>
  <c r="AB802" i="34" s="1"/>
  <c r="AB801" i="34" s="1"/>
  <c r="AA803" i="34"/>
  <c r="AA385" i="34" s="1"/>
  <c r="Z803" i="34"/>
  <c r="Y803" i="34"/>
  <c r="X803" i="34"/>
  <c r="X385" i="34" s="1"/>
  <c r="W803" i="34"/>
  <c r="W385" i="34" s="1"/>
  <c r="V803" i="34"/>
  <c r="U803" i="34"/>
  <c r="T803" i="34"/>
  <c r="T385" i="34" s="1"/>
  <c r="T409" i="34" s="1"/>
  <c r="S803" i="34"/>
  <c r="X802" i="34"/>
  <c r="X801" i="34" s="1"/>
  <c r="W802" i="34"/>
  <c r="W801" i="34" s="1"/>
  <c r="V802" i="34"/>
  <c r="V801" i="34" s="1"/>
  <c r="U802" i="34"/>
  <c r="U801" i="34" s="1"/>
  <c r="S802" i="34"/>
  <c r="S801" i="34" s="1"/>
  <c r="AD794" i="34"/>
  <c r="AC794" i="34"/>
  <c r="AB794" i="34"/>
  <c r="AA794" i="34"/>
  <c r="Z794" i="34"/>
  <c r="Y794" i="34"/>
  <c r="X794" i="34"/>
  <c r="W794" i="34"/>
  <c r="V794" i="34"/>
  <c r="U794" i="34"/>
  <c r="T794" i="34"/>
  <c r="S794" i="34"/>
  <c r="AD789" i="34"/>
  <c r="AC789" i="34"/>
  <c r="AC362" i="34" s="1"/>
  <c r="AB789" i="34"/>
  <c r="AA789" i="34"/>
  <c r="AA362" i="34" s="1"/>
  <c r="AA383" i="34" s="1"/>
  <c r="Z789" i="34"/>
  <c r="Z362" i="34" s="1"/>
  <c r="Y789" i="34"/>
  <c r="X789" i="34"/>
  <c r="X362" i="34" s="1"/>
  <c r="W789" i="34"/>
  <c r="W362" i="34" s="1"/>
  <c r="W383" i="34" s="1"/>
  <c r="V789" i="34"/>
  <c r="V362" i="34" s="1"/>
  <c r="U789" i="34"/>
  <c r="U362" i="34" s="1"/>
  <c r="T789" i="34"/>
  <c r="T362" i="34" s="1"/>
  <c r="S789" i="34"/>
  <c r="AD784" i="34"/>
  <c r="AC784" i="34"/>
  <c r="AB784" i="34"/>
  <c r="AA784" i="34"/>
  <c r="Z784" i="34"/>
  <c r="Z361" i="34" s="1"/>
  <c r="Y784" i="34"/>
  <c r="X784" i="34"/>
  <c r="X361" i="34" s="1"/>
  <c r="W784" i="34"/>
  <c r="W361" i="34" s="1"/>
  <c r="W382" i="34" s="1"/>
  <c r="V784" i="34"/>
  <c r="V361" i="34" s="1"/>
  <c r="U784" i="34"/>
  <c r="T784" i="34"/>
  <c r="T361" i="34" s="1"/>
  <c r="S784" i="34"/>
  <c r="AD779" i="34"/>
  <c r="AC779" i="34"/>
  <c r="AB779" i="34"/>
  <c r="AA779" i="34"/>
  <c r="AA358" i="34" s="1"/>
  <c r="AA379" i="34" s="1"/>
  <c r="Z779" i="34"/>
  <c r="Z358" i="34" s="1"/>
  <c r="Y779" i="34"/>
  <c r="X779" i="34"/>
  <c r="X358" i="34" s="1"/>
  <c r="W779" i="34"/>
  <c r="W358" i="34" s="1"/>
  <c r="W379" i="34" s="1"/>
  <c r="V779" i="34"/>
  <c r="V358" i="34" s="1"/>
  <c r="U779" i="34"/>
  <c r="T779" i="34"/>
  <c r="T358" i="34" s="1"/>
  <c r="S779" i="34"/>
  <c r="AD774" i="34"/>
  <c r="AC774" i="34"/>
  <c r="AB774" i="34"/>
  <c r="AA774" i="34"/>
  <c r="AA763" i="34" s="1"/>
  <c r="AA762" i="34" s="1"/>
  <c r="Z774" i="34"/>
  <c r="Z357" i="34" s="1"/>
  <c r="Y774" i="34"/>
  <c r="Y357" i="34" s="1"/>
  <c r="X774" i="34"/>
  <c r="X357" i="34" s="1"/>
  <c r="W774" i="34"/>
  <c r="W357" i="34" s="1"/>
  <c r="W378" i="34" s="1"/>
  <c r="V774" i="34"/>
  <c r="V357" i="34" s="1"/>
  <c r="U774" i="34"/>
  <c r="T774" i="34"/>
  <c r="T357" i="34" s="1"/>
  <c r="S774" i="34"/>
  <c r="AD769" i="34"/>
  <c r="AC769" i="34"/>
  <c r="AB769" i="34"/>
  <c r="AA769" i="34"/>
  <c r="AA360" i="34" s="1"/>
  <c r="Z769" i="34"/>
  <c r="Z360" i="34" s="1"/>
  <c r="Y769" i="34"/>
  <c r="X769" i="34"/>
  <c r="X360" i="34" s="1"/>
  <c r="W769" i="34"/>
  <c r="V769" i="34"/>
  <c r="V360" i="34" s="1"/>
  <c r="U769" i="34"/>
  <c r="T769" i="34"/>
  <c r="T360" i="34" s="1"/>
  <c r="S769" i="34"/>
  <c r="AD764" i="34"/>
  <c r="AC764" i="34"/>
  <c r="AB764" i="34"/>
  <c r="AA764" i="34"/>
  <c r="AA355" i="34" s="1"/>
  <c r="Z764" i="34"/>
  <c r="Z355" i="34" s="1"/>
  <c r="Y764" i="34"/>
  <c r="X764" i="34"/>
  <c r="W764" i="34"/>
  <c r="W355" i="34" s="1"/>
  <c r="V764" i="34"/>
  <c r="V355" i="34" s="1"/>
  <c r="U764" i="34"/>
  <c r="T764" i="34"/>
  <c r="T355" i="34" s="1"/>
  <c r="S764" i="34"/>
  <c r="Z763" i="34"/>
  <c r="Z762" i="34" s="1"/>
  <c r="Y763" i="34"/>
  <c r="Y762" i="34" s="1"/>
  <c r="X763" i="34"/>
  <c r="X762" i="34" s="1"/>
  <c r="U763" i="34"/>
  <c r="U762" i="34" s="1"/>
  <c r="S763" i="34"/>
  <c r="AD755" i="34"/>
  <c r="AC755" i="34"/>
  <c r="AB755" i="34"/>
  <c r="AA755" i="34"/>
  <c r="Z755" i="34"/>
  <c r="Y755" i="34"/>
  <c r="X755" i="34"/>
  <c r="W755" i="34"/>
  <c r="V755" i="34"/>
  <c r="U755" i="34"/>
  <c r="T755" i="34"/>
  <c r="S755" i="34"/>
  <c r="AD751" i="34"/>
  <c r="AC751" i="34"/>
  <c r="AB751" i="34"/>
  <c r="AA751" i="34"/>
  <c r="Z751" i="34"/>
  <c r="Y751" i="34"/>
  <c r="X751" i="34"/>
  <c r="W751" i="34"/>
  <c r="V751" i="34"/>
  <c r="U751" i="34"/>
  <c r="T751" i="34"/>
  <c r="S751" i="34"/>
  <c r="AD749" i="34"/>
  <c r="AC749" i="34"/>
  <c r="AB749" i="34"/>
  <c r="AA749" i="34"/>
  <c r="Z749" i="34"/>
  <c r="Y749" i="34"/>
  <c r="X749" i="34"/>
  <c r="W749" i="34"/>
  <c r="V749" i="34"/>
  <c r="U749" i="34"/>
  <c r="T749" i="34"/>
  <c r="S749" i="34"/>
  <c r="AD745" i="34"/>
  <c r="AC745" i="34"/>
  <c r="AB745" i="34"/>
  <c r="AA745" i="34"/>
  <c r="Z745" i="34"/>
  <c r="Y745" i="34"/>
  <c r="X745" i="34"/>
  <c r="W745" i="34"/>
  <c r="V745" i="34"/>
  <c r="U745" i="34"/>
  <c r="T745" i="34"/>
  <c r="S745" i="34"/>
  <c r="AD743" i="34"/>
  <c r="AC743" i="34"/>
  <c r="AB743" i="34"/>
  <c r="AA743" i="34"/>
  <c r="Z743" i="34"/>
  <c r="Y743" i="34"/>
  <c r="X743" i="34"/>
  <c r="W743" i="34"/>
  <c r="V743" i="34"/>
  <c r="U743" i="34"/>
  <c r="T743" i="34"/>
  <c r="S743" i="34"/>
  <c r="AD739" i="34"/>
  <c r="AC739" i="34"/>
  <c r="AB739" i="34"/>
  <c r="AA739" i="34"/>
  <c r="Z739" i="34"/>
  <c r="Y739" i="34"/>
  <c r="X739" i="34"/>
  <c r="W739" i="34"/>
  <c r="V739" i="34"/>
  <c r="U739" i="34"/>
  <c r="T739" i="34"/>
  <c r="S739" i="34"/>
  <c r="AD737" i="34"/>
  <c r="AC737" i="34"/>
  <c r="AB737" i="34"/>
  <c r="AA737" i="34"/>
  <c r="Z737" i="34"/>
  <c r="Y737" i="34"/>
  <c r="X737" i="34"/>
  <c r="W737" i="34"/>
  <c r="V737" i="34"/>
  <c r="U737" i="34"/>
  <c r="T737" i="34"/>
  <c r="S737" i="34"/>
  <c r="AD733" i="34"/>
  <c r="AC733" i="34"/>
  <c r="AB733" i="34"/>
  <c r="AA733" i="34"/>
  <c r="Z733" i="34"/>
  <c r="Y733" i="34"/>
  <c r="X733" i="34"/>
  <c r="W733" i="34"/>
  <c r="V733" i="34"/>
  <c r="U733" i="34"/>
  <c r="T733" i="34"/>
  <c r="S733" i="34"/>
  <c r="AD731" i="34"/>
  <c r="AC731" i="34"/>
  <c r="AB731" i="34"/>
  <c r="AA731" i="34"/>
  <c r="Z731" i="34"/>
  <c r="Y731" i="34"/>
  <c r="X731" i="34"/>
  <c r="W731" i="34"/>
  <c r="V731" i="34"/>
  <c r="U731" i="34"/>
  <c r="T731" i="34"/>
  <c r="S731" i="34"/>
  <c r="AD727" i="34"/>
  <c r="AC727" i="34"/>
  <c r="AB727" i="34"/>
  <c r="AA727" i="34"/>
  <c r="Z727" i="34"/>
  <c r="Y727" i="34"/>
  <c r="X727" i="34"/>
  <c r="W727" i="34"/>
  <c r="V727" i="34"/>
  <c r="U727" i="34"/>
  <c r="T727" i="34"/>
  <c r="S727" i="34"/>
  <c r="AD725" i="34"/>
  <c r="AC725" i="34"/>
  <c r="AB725" i="34"/>
  <c r="AA725" i="34"/>
  <c r="Z725" i="34"/>
  <c r="Y725" i="34"/>
  <c r="X725" i="34"/>
  <c r="W725" i="34"/>
  <c r="V725" i="34"/>
  <c r="U725" i="34"/>
  <c r="T725" i="34"/>
  <c r="S725" i="34"/>
  <c r="AD724" i="34"/>
  <c r="AC724" i="34"/>
  <c r="AB724" i="34"/>
  <c r="AA724" i="34"/>
  <c r="Z724" i="34"/>
  <c r="Y724" i="34"/>
  <c r="X724" i="34"/>
  <c r="W724" i="34"/>
  <c r="V724" i="34"/>
  <c r="U724" i="34"/>
  <c r="T724" i="34"/>
  <c r="S724" i="34"/>
  <c r="AD717" i="34"/>
  <c r="AC717" i="34"/>
  <c r="AB717" i="34"/>
  <c r="AA717" i="34"/>
  <c r="Z717" i="34"/>
  <c r="Y717" i="34"/>
  <c r="X717" i="34"/>
  <c r="W717" i="34"/>
  <c r="V717" i="34"/>
  <c r="U717" i="34"/>
  <c r="T717" i="34"/>
  <c r="S717" i="34"/>
  <c r="AD716" i="34"/>
  <c r="AC716" i="34"/>
  <c r="AB716" i="34"/>
  <c r="AA716" i="34"/>
  <c r="Z716" i="34"/>
  <c r="Y716" i="34"/>
  <c r="X716" i="34"/>
  <c r="W716" i="34"/>
  <c r="V716" i="34"/>
  <c r="U716" i="34"/>
  <c r="T716" i="34"/>
  <c r="S716" i="34"/>
  <c r="AD711" i="34"/>
  <c r="AC711" i="34"/>
  <c r="AB711" i="34"/>
  <c r="AA711" i="34"/>
  <c r="Z711" i="34"/>
  <c r="Z267" i="34" s="1"/>
  <c r="Y711" i="34"/>
  <c r="X711" i="34"/>
  <c r="X267" i="34" s="1"/>
  <c r="W711" i="34"/>
  <c r="V711" i="34"/>
  <c r="V267" i="34" s="1"/>
  <c r="U711" i="34"/>
  <c r="T711" i="34"/>
  <c r="S711" i="34"/>
  <c r="AD707" i="34"/>
  <c r="AC707" i="34"/>
  <c r="AB707" i="34"/>
  <c r="AA707" i="34"/>
  <c r="Z707" i="34"/>
  <c r="Y707" i="34"/>
  <c r="X707" i="34"/>
  <c r="W707" i="34"/>
  <c r="V707" i="34"/>
  <c r="U707" i="34"/>
  <c r="T707" i="34"/>
  <c r="S707" i="34"/>
  <c r="AD705" i="34"/>
  <c r="AC705" i="34"/>
  <c r="AC266" i="34" s="1"/>
  <c r="AB705" i="34"/>
  <c r="AA705" i="34"/>
  <c r="Z705" i="34"/>
  <c r="Z266" i="34" s="1"/>
  <c r="Y705" i="34"/>
  <c r="X705" i="34"/>
  <c r="X266" i="34" s="1"/>
  <c r="W705" i="34"/>
  <c r="V705" i="34"/>
  <c r="V266" i="34" s="1"/>
  <c r="U705" i="34"/>
  <c r="T705" i="34"/>
  <c r="T266" i="34" s="1"/>
  <c r="S705" i="34"/>
  <c r="AD701" i="34"/>
  <c r="AC701" i="34"/>
  <c r="AB701" i="34"/>
  <c r="AA701" i="34"/>
  <c r="Z701" i="34"/>
  <c r="Y701" i="34"/>
  <c r="X701" i="34"/>
  <c r="W701" i="34"/>
  <c r="V701" i="34"/>
  <c r="U701" i="34"/>
  <c r="T701" i="34"/>
  <c r="S701" i="34"/>
  <c r="AD699" i="34"/>
  <c r="AC699" i="34"/>
  <c r="AB699" i="34"/>
  <c r="AA699" i="34"/>
  <c r="Z699" i="34"/>
  <c r="Z265" i="34" s="1"/>
  <c r="Y699" i="34"/>
  <c r="Y265" i="34" s="1"/>
  <c r="X699" i="34"/>
  <c r="W699" i="34"/>
  <c r="V699" i="34"/>
  <c r="V265" i="34" s="1"/>
  <c r="U699" i="34"/>
  <c r="T699" i="34"/>
  <c r="T265" i="34" s="1"/>
  <c r="S699" i="34"/>
  <c r="AD695" i="34"/>
  <c r="AD693" i="34" s="1"/>
  <c r="AC695" i="34"/>
  <c r="AB695" i="34"/>
  <c r="AB693" i="34" s="1"/>
  <c r="AA695" i="34"/>
  <c r="AA693" i="34" s="1"/>
  <c r="AA264" i="34" s="1"/>
  <c r="Z695" i="34"/>
  <c r="Z693" i="34" s="1"/>
  <c r="Z264" i="34" s="1"/>
  <c r="Y695" i="34"/>
  <c r="Y693" i="34" s="1"/>
  <c r="Y264" i="34" s="1"/>
  <c r="X695" i="34"/>
  <c r="X693" i="34" s="1"/>
  <c r="X264" i="34" s="1"/>
  <c r="W695" i="34"/>
  <c r="W693" i="34" s="1"/>
  <c r="V695" i="34"/>
  <c r="V693" i="34" s="1"/>
  <c r="V264" i="34" s="1"/>
  <c r="U695" i="34"/>
  <c r="U693" i="34" s="1"/>
  <c r="U264" i="34" s="1"/>
  <c r="T695" i="34"/>
  <c r="T693" i="34" s="1"/>
  <c r="T264" i="34" s="1"/>
  <c r="S695" i="34"/>
  <c r="S693" i="34" s="1"/>
  <c r="S264" i="34" s="1"/>
  <c r="AC693" i="34"/>
  <c r="AC264" i="34" s="1"/>
  <c r="AD689" i="34"/>
  <c r="AD687" i="34" s="1"/>
  <c r="AC689" i="34"/>
  <c r="AC687" i="34" s="1"/>
  <c r="AC263" i="34" s="1"/>
  <c r="AB689" i="34"/>
  <c r="AB687" i="34" s="1"/>
  <c r="AA689" i="34"/>
  <c r="AA687" i="34" s="1"/>
  <c r="AA263" i="34" s="1"/>
  <c r="Z689" i="34"/>
  <c r="Z687" i="34" s="1"/>
  <c r="Z263" i="34" s="1"/>
  <c r="Y689" i="34"/>
  <c r="Y687" i="34" s="1"/>
  <c r="Y263" i="34" s="1"/>
  <c r="X689" i="34"/>
  <c r="X687" i="34" s="1"/>
  <c r="X263" i="34" s="1"/>
  <c r="W689" i="34"/>
  <c r="W687" i="34" s="1"/>
  <c r="W263" i="34" s="1"/>
  <c r="V689" i="34"/>
  <c r="V687" i="34" s="1"/>
  <c r="V263" i="34" s="1"/>
  <c r="U689" i="34"/>
  <c r="U687" i="34" s="1"/>
  <c r="U263" i="34" s="1"/>
  <c r="T689" i="34"/>
  <c r="T687" i="34" s="1"/>
  <c r="T263" i="34" s="1"/>
  <c r="S689" i="34"/>
  <c r="S687" i="34" s="1"/>
  <c r="S263" i="34" s="1"/>
  <c r="AD683" i="34"/>
  <c r="AD681" i="34" s="1"/>
  <c r="AC683" i="34"/>
  <c r="AC681" i="34" s="1"/>
  <c r="AB683" i="34"/>
  <c r="AB681" i="34" s="1"/>
  <c r="AA683" i="34"/>
  <c r="AA681" i="34" s="1"/>
  <c r="Z683" i="34"/>
  <c r="Z681" i="34" s="1"/>
  <c r="Z262" i="34" s="1"/>
  <c r="Y683" i="34"/>
  <c r="Y681" i="34" s="1"/>
  <c r="Y262" i="34" s="1"/>
  <c r="X683" i="34"/>
  <c r="X681" i="34" s="1"/>
  <c r="W683" i="34"/>
  <c r="W681" i="34" s="1"/>
  <c r="W262" i="34" s="1"/>
  <c r="V683" i="34"/>
  <c r="U683" i="34"/>
  <c r="U681" i="34" s="1"/>
  <c r="T683" i="34"/>
  <c r="T681" i="34" s="1"/>
  <c r="S683" i="34"/>
  <c r="S681" i="34" s="1"/>
  <c r="V681" i="34"/>
  <c r="V262" i="34" s="1"/>
  <c r="AD673" i="34"/>
  <c r="AC673" i="34"/>
  <c r="AB673" i="34"/>
  <c r="AA673" i="34"/>
  <c r="Z673" i="34"/>
  <c r="Y673" i="34"/>
  <c r="X673" i="34"/>
  <c r="W673" i="34"/>
  <c r="V673" i="34"/>
  <c r="U673" i="34"/>
  <c r="T673" i="34"/>
  <c r="S673" i="34"/>
  <c r="AD664" i="34"/>
  <c r="AC664" i="34"/>
  <c r="AB664" i="34"/>
  <c r="AA664" i="34"/>
  <c r="Z664" i="34"/>
  <c r="Y664" i="34"/>
  <c r="X664" i="34"/>
  <c r="W664" i="34"/>
  <c r="V664" i="34"/>
  <c r="U664" i="34"/>
  <c r="T664" i="34"/>
  <c r="S664" i="34"/>
  <c r="AD657" i="34"/>
  <c r="AC657" i="34"/>
  <c r="AB657" i="34"/>
  <c r="AA657" i="34"/>
  <c r="Z657" i="34"/>
  <c r="Y657" i="34"/>
  <c r="X657" i="34"/>
  <c r="W657" i="34"/>
  <c r="V657" i="34"/>
  <c r="U657" i="34"/>
  <c r="T657" i="34"/>
  <c r="S657" i="34"/>
  <c r="S656" i="34" s="1"/>
  <c r="AC656" i="34"/>
  <c r="AB656" i="34"/>
  <c r="AA656" i="34"/>
  <c r="Z656" i="34"/>
  <c r="Y656" i="34"/>
  <c r="X656" i="34"/>
  <c r="W656" i="34"/>
  <c r="V656" i="34"/>
  <c r="U656" i="34"/>
  <c r="T656" i="34"/>
  <c r="AD649" i="34"/>
  <c r="AC649" i="34"/>
  <c r="AB649" i="34"/>
  <c r="AA649" i="34"/>
  <c r="Z649" i="34"/>
  <c r="Y649" i="34"/>
  <c r="X649" i="34"/>
  <c r="W649" i="34"/>
  <c r="V649" i="34"/>
  <c r="U649" i="34"/>
  <c r="T649" i="34"/>
  <c r="S649" i="34"/>
  <c r="AD642" i="34"/>
  <c r="AC642" i="34"/>
  <c r="AB642" i="34"/>
  <c r="AA642" i="34"/>
  <c r="Z642" i="34"/>
  <c r="Y642" i="34"/>
  <c r="X642" i="34"/>
  <c r="W642" i="34"/>
  <c r="V642" i="34"/>
  <c r="U642" i="34"/>
  <c r="T642" i="34"/>
  <c r="S642" i="34"/>
  <c r="Y641" i="34"/>
  <c r="V641" i="34"/>
  <c r="V640" i="34" s="1"/>
  <c r="T641" i="34"/>
  <c r="T640" i="34" s="1"/>
  <c r="Y640" i="34"/>
  <c r="AD632" i="34"/>
  <c r="AC632" i="34"/>
  <c r="AB632" i="34"/>
  <c r="AA632" i="34"/>
  <c r="Z632" i="34"/>
  <c r="Y632" i="34"/>
  <c r="X632" i="34"/>
  <c r="W632" i="34"/>
  <c r="V632" i="34"/>
  <c r="U632" i="34"/>
  <c r="T632" i="34"/>
  <c r="S632" i="34"/>
  <c r="AD628" i="34"/>
  <c r="AC628" i="34"/>
  <c r="AB628" i="34"/>
  <c r="AA628" i="34"/>
  <c r="Z628" i="34"/>
  <c r="Y628" i="34"/>
  <c r="X628" i="34"/>
  <c r="W628" i="34"/>
  <c r="V628" i="34"/>
  <c r="U628" i="34"/>
  <c r="T628" i="34"/>
  <c r="S628" i="34"/>
  <c r="AD624" i="34"/>
  <c r="AC624" i="34"/>
  <c r="AB624" i="34"/>
  <c r="AA624" i="34"/>
  <c r="Z624" i="34"/>
  <c r="Y624" i="34"/>
  <c r="X624" i="34"/>
  <c r="W624" i="34"/>
  <c r="V624" i="34"/>
  <c r="U624" i="34"/>
  <c r="T624" i="34"/>
  <c r="S624" i="34"/>
  <c r="AD620" i="34"/>
  <c r="AD619" i="34" s="1"/>
  <c r="AC620" i="34"/>
  <c r="AC619" i="34" s="1"/>
  <c r="AB620" i="34"/>
  <c r="AB619" i="34" s="1"/>
  <c r="AA620" i="34"/>
  <c r="AA619" i="34" s="1"/>
  <c r="Z620" i="34"/>
  <c r="Z619" i="34" s="1"/>
  <c r="Y620" i="34"/>
  <c r="Y619" i="34" s="1"/>
  <c r="X620" i="34"/>
  <c r="X619" i="34" s="1"/>
  <c r="W620" i="34"/>
  <c r="W619" i="34" s="1"/>
  <c r="W615" i="34" s="1"/>
  <c r="V620" i="34"/>
  <c r="U620" i="34"/>
  <c r="U619" i="34" s="1"/>
  <c r="T620" i="34"/>
  <c r="T619" i="34" s="1"/>
  <c r="S620" i="34"/>
  <c r="V619" i="34"/>
  <c r="V615" i="34" s="1"/>
  <c r="S619" i="34"/>
  <c r="AD616" i="34"/>
  <c r="AC616" i="34"/>
  <c r="AB616" i="34"/>
  <c r="AA616" i="34"/>
  <c r="Z616" i="34"/>
  <c r="Y616" i="34"/>
  <c r="X616" i="34"/>
  <c r="W616" i="34"/>
  <c r="V616" i="34"/>
  <c r="U616" i="34"/>
  <c r="T616" i="34"/>
  <c r="S616" i="34"/>
  <c r="S615" i="34"/>
  <c r="AD609" i="34"/>
  <c r="AC609" i="34"/>
  <c r="AB609" i="34"/>
  <c r="AB184" i="34" s="1"/>
  <c r="AA609" i="34"/>
  <c r="AA184" i="34" s="1"/>
  <c r="Z609" i="34"/>
  <c r="Z184" i="34" s="1"/>
  <c r="Y609" i="34"/>
  <c r="X609" i="34"/>
  <c r="W609" i="34"/>
  <c r="W184" i="34" s="1"/>
  <c r="V609" i="34"/>
  <c r="V184" i="34" s="1"/>
  <c r="U609" i="34"/>
  <c r="T609" i="34"/>
  <c r="S609" i="34"/>
  <c r="AD605" i="34"/>
  <c r="AC605" i="34"/>
  <c r="AB605" i="34"/>
  <c r="AA605" i="34"/>
  <c r="Z605" i="34"/>
  <c r="Z171" i="34" s="1"/>
  <c r="Y605" i="34"/>
  <c r="X605" i="34"/>
  <c r="W605" i="34"/>
  <c r="W171" i="34" s="1"/>
  <c r="V605" i="34"/>
  <c r="V171" i="34" s="1"/>
  <c r="U605" i="34"/>
  <c r="T605" i="34"/>
  <c r="S605" i="34"/>
  <c r="AD601" i="34"/>
  <c r="AC601" i="34"/>
  <c r="AB601" i="34"/>
  <c r="AA601" i="34"/>
  <c r="Z601" i="34"/>
  <c r="Z170" i="34" s="1"/>
  <c r="Y601" i="34"/>
  <c r="X601" i="34"/>
  <c r="W601" i="34"/>
  <c r="W170" i="34" s="1"/>
  <c r="V601" i="34"/>
  <c r="V170" i="34" s="1"/>
  <c r="U601" i="34"/>
  <c r="T601" i="34"/>
  <c r="S601" i="34"/>
  <c r="AD597" i="34"/>
  <c r="AC597" i="34"/>
  <c r="AB597" i="34"/>
  <c r="AA597" i="34"/>
  <c r="Z597" i="34"/>
  <c r="Y597" i="34"/>
  <c r="X597" i="34"/>
  <c r="X596" i="34" s="1"/>
  <c r="W597" i="34"/>
  <c r="V597" i="34"/>
  <c r="U597" i="34"/>
  <c r="U596" i="34" s="1"/>
  <c r="T597" i="34"/>
  <c r="T596" i="34" s="1"/>
  <c r="S597" i="34"/>
  <c r="S596" i="34" s="1"/>
  <c r="AD593" i="34"/>
  <c r="AC593" i="34"/>
  <c r="AB593" i="34"/>
  <c r="AA593" i="34"/>
  <c r="Z593" i="34"/>
  <c r="Z182" i="34" s="1"/>
  <c r="Y593" i="34"/>
  <c r="X593" i="34"/>
  <c r="W593" i="34"/>
  <c r="V593" i="34"/>
  <c r="V182" i="34" s="1"/>
  <c r="U593" i="34"/>
  <c r="T593" i="34"/>
  <c r="S593" i="34"/>
  <c r="AD585" i="34"/>
  <c r="AC585" i="34"/>
  <c r="AB585" i="34"/>
  <c r="AA585" i="34"/>
  <c r="Z585" i="34"/>
  <c r="Y585" i="34"/>
  <c r="X585" i="34"/>
  <c r="W585" i="34"/>
  <c r="V585" i="34"/>
  <c r="U585" i="34"/>
  <c r="T585" i="34"/>
  <c r="S585" i="34"/>
  <c r="AD581" i="34"/>
  <c r="AD580" i="34" s="1"/>
  <c r="AC581" i="34"/>
  <c r="AB581" i="34"/>
  <c r="AB580" i="34" s="1"/>
  <c r="AA581" i="34"/>
  <c r="AA580" i="34" s="1"/>
  <c r="Z581" i="34"/>
  <c r="Z580" i="34" s="1"/>
  <c r="Y581" i="34"/>
  <c r="Y580" i="34" s="1"/>
  <c r="X581" i="34"/>
  <c r="X580" i="34" s="1"/>
  <c r="W581" i="34"/>
  <c r="W580" i="34" s="1"/>
  <c r="V581" i="34"/>
  <c r="U581" i="34"/>
  <c r="U580" i="34" s="1"/>
  <c r="T581" i="34"/>
  <c r="T580" i="34" s="1"/>
  <c r="S581" i="34"/>
  <c r="AC580" i="34"/>
  <c r="V580" i="34"/>
  <c r="AD577" i="34"/>
  <c r="AC577" i="34"/>
  <c r="AB577" i="34"/>
  <c r="AB155" i="34" s="1"/>
  <c r="AA577" i="34"/>
  <c r="Z577" i="34"/>
  <c r="Y577" i="34"/>
  <c r="X577" i="34"/>
  <c r="W577" i="34"/>
  <c r="V577" i="34"/>
  <c r="U577" i="34"/>
  <c r="T577" i="34"/>
  <c r="S577" i="34"/>
  <c r="AD570" i="34"/>
  <c r="AC570" i="34"/>
  <c r="AB570" i="34"/>
  <c r="AA570" i="34"/>
  <c r="Z570" i="34"/>
  <c r="Y570" i="34"/>
  <c r="X570" i="34"/>
  <c r="W570" i="34"/>
  <c r="V570" i="34"/>
  <c r="U570" i="34"/>
  <c r="T570" i="34"/>
  <c r="S570" i="34"/>
  <c r="AD566" i="34"/>
  <c r="AD565" i="34" s="1"/>
  <c r="AC566" i="34"/>
  <c r="AC565" i="34" s="1"/>
  <c r="AB566" i="34"/>
  <c r="AB565" i="34" s="1"/>
  <c r="AA566" i="34"/>
  <c r="AA565" i="34" s="1"/>
  <c r="Z566" i="34"/>
  <c r="Y566" i="34"/>
  <c r="Y565" i="34" s="1"/>
  <c r="X566" i="34"/>
  <c r="X565" i="34" s="1"/>
  <c r="X156" i="34" s="1"/>
  <c r="W566" i="34"/>
  <c r="V566" i="34"/>
  <c r="V565" i="34" s="1"/>
  <c r="U566" i="34"/>
  <c r="U565" i="34" s="1"/>
  <c r="T566" i="34"/>
  <c r="S566" i="34"/>
  <c r="S565" i="34" s="1"/>
  <c r="Z565" i="34"/>
  <c r="W565" i="34"/>
  <c r="T565" i="34"/>
  <c r="AD562" i="34"/>
  <c r="AC562" i="34"/>
  <c r="AB562" i="34"/>
  <c r="AA562" i="34"/>
  <c r="Z562" i="34"/>
  <c r="Y562" i="34"/>
  <c r="X562" i="34"/>
  <c r="W562" i="34"/>
  <c r="V562" i="34"/>
  <c r="U562" i="34"/>
  <c r="T562" i="34"/>
  <c r="S562" i="34"/>
  <c r="AD552" i="34"/>
  <c r="AD551" i="34" s="1"/>
  <c r="AD145" i="34" s="1"/>
  <c r="AC552" i="34"/>
  <c r="AC551" i="34" s="1"/>
  <c r="AC145" i="34" s="1"/>
  <c r="AB552" i="34"/>
  <c r="AB551" i="34" s="1"/>
  <c r="AB145" i="34" s="1"/>
  <c r="AA552" i="34"/>
  <c r="AA551" i="34" s="1"/>
  <c r="AA145" i="34" s="1"/>
  <c r="Z552" i="34"/>
  <c r="Z551" i="34" s="1"/>
  <c r="Z145" i="34" s="1"/>
  <c r="Y552" i="34"/>
  <c r="Y551" i="34" s="1"/>
  <c r="Y145" i="34" s="1"/>
  <c r="X552" i="34"/>
  <c r="X551" i="34" s="1"/>
  <c r="X145" i="34" s="1"/>
  <c r="W552" i="34"/>
  <c r="W551" i="34" s="1"/>
  <c r="W145" i="34" s="1"/>
  <c r="W150" i="34" s="1"/>
  <c r="W151" i="34" s="1"/>
  <c r="V552" i="34"/>
  <c r="V551" i="34" s="1"/>
  <c r="V145" i="34" s="1"/>
  <c r="U552" i="34"/>
  <c r="U551" i="34" s="1"/>
  <c r="U145" i="34" s="1"/>
  <c r="T552" i="34"/>
  <c r="T551" i="34" s="1"/>
  <c r="T145" i="34" s="1"/>
  <c r="S552" i="34"/>
  <c r="S551" i="34" s="1"/>
  <c r="S145" i="34" s="1"/>
  <c r="AD545" i="34"/>
  <c r="AD544" i="34" s="1"/>
  <c r="AD143" i="34" s="1"/>
  <c r="AC545" i="34"/>
  <c r="AC544" i="34" s="1"/>
  <c r="AC143" i="34" s="1"/>
  <c r="AB545" i="34"/>
  <c r="AB544" i="34" s="1"/>
  <c r="AB143" i="34" s="1"/>
  <c r="AA545" i="34"/>
  <c r="Z545" i="34"/>
  <c r="Z544" i="34" s="1"/>
  <c r="Y545" i="34"/>
  <c r="Y544" i="34" s="1"/>
  <c r="Y143" i="34" s="1"/>
  <c r="X545" i="34"/>
  <c r="X544" i="34" s="1"/>
  <c r="X143" i="34" s="1"/>
  <c r="W545" i="34"/>
  <c r="V545" i="34"/>
  <c r="V544" i="34" s="1"/>
  <c r="V143" i="34" s="1"/>
  <c r="U545" i="34"/>
  <c r="U544" i="34" s="1"/>
  <c r="U143" i="34" s="1"/>
  <c r="T545" i="34"/>
  <c r="T544" i="34" s="1"/>
  <c r="T143" i="34" s="1"/>
  <c r="S545" i="34"/>
  <c r="S544" i="34" s="1"/>
  <c r="S143" i="34" s="1"/>
  <c r="AA544" i="34"/>
  <c r="AA143" i="34" s="1"/>
  <c r="W544" i="34"/>
  <c r="W143" i="34" s="1"/>
  <c r="AD537" i="34"/>
  <c r="AC537" i="34"/>
  <c r="AB537" i="34"/>
  <c r="AA537" i="34"/>
  <c r="Z537" i="34"/>
  <c r="Y537" i="34"/>
  <c r="X537" i="34"/>
  <c r="W537" i="34"/>
  <c r="V537" i="34"/>
  <c r="U537" i="34"/>
  <c r="T537" i="34"/>
  <c r="S537" i="34"/>
  <c r="AD533" i="34"/>
  <c r="AC533" i="34"/>
  <c r="AB533" i="34"/>
  <c r="AA533" i="34"/>
  <c r="Z533" i="34"/>
  <c r="Y533" i="34"/>
  <c r="X533" i="34"/>
  <c r="W533" i="34"/>
  <c r="V533" i="34"/>
  <c r="U533" i="34"/>
  <c r="T533" i="34"/>
  <c r="S533" i="34"/>
  <c r="AD529" i="34"/>
  <c r="AC529" i="34"/>
  <c r="AB529" i="34"/>
  <c r="AA529" i="34"/>
  <c r="Z529" i="34"/>
  <c r="Y529" i="34"/>
  <c r="X529" i="34"/>
  <c r="W529" i="34"/>
  <c r="V529" i="34"/>
  <c r="U529" i="34"/>
  <c r="T529" i="34"/>
  <c r="S529" i="34"/>
  <c r="AD526" i="34"/>
  <c r="AD525" i="34" s="1"/>
  <c r="AD524" i="34" s="1"/>
  <c r="AC526" i="34"/>
  <c r="AC525" i="34" s="1"/>
  <c r="AC524" i="34" s="1"/>
  <c r="AB526" i="34"/>
  <c r="AB525" i="34" s="1"/>
  <c r="AA526" i="34"/>
  <c r="AA525" i="34" s="1"/>
  <c r="AA524" i="34" s="1"/>
  <c r="Z526" i="34"/>
  <c r="Z525" i="34" s="1"/>
  <c r="Z524" i="34" s="1"/>
  <c r="Y526" i="34"/>
  <c r="Y525" i="34" s="1"/>
  <c r="Y524" i="34" s="1"/>
  <c r="X526" i="34"/>
  <c r="X525" i="34" s="1"/>
  <c r="X524" i="34" s="1"/>
  <c r="W526" i="34"/>
  <c r="V526" i="34"/>
  <c r="V525" i="34" s="1"/>
  <c r="V524" i="34" s="1"/>
  <c r="U526" i="34"/>
  <c r="U525" i="34" s="1"/>
  <c r="U524" i="34" s="1"/>
  <c r="T526" i="34"/>
  <c r="S526" i="34"/>
  <c r="W525" i="34"/>
  <c r="W524" i="34" s="1"/>
  <c r="AD520" i="34"/>
  <c r="AD519" i="34" s="1"/>
  <c r="AC520" i="34"/>
  <c r="AC519" i="34" s="1"/>
  <c r="AB520" i="34"/>
  <c r="AB519" i="34" s="1"/>
  <c r="AA520" i="34"/>
  <c r="AA519" i="34" s="1"/>
  <c r="Z520" i="34"/>
  <c r="Y520" i="34"/>
  <c r="X520" i="34"/>
  <c r="X519" i="34" s="1"/>
  <c r="W520" i="34"/>
  <c r="V520" i="34"/>
  <c r="U520" i="34"/>
  <c r="T520" i="34"/>
  <c r="T519" i="34" s="1"/>
  <c r="S520" i="34"/>
  <c r="Z519" i="34"/>
  <c r="Y519" i="34"/>
  <c r="W519" i="34"/>
  <c r="V519" i="34"/>
  <c r="U519" i="34"/>
  <c r="S519" i="34"/>
  <c r="AD513" i="34"/>
  <c r="AC513" i="34"/>
  <c r="AB513" i="34"/>
  <c r="AA513" i="34"/>
  <c r="Z513" i="34"/>
  <c r="Y513" i="34"/>
  <c r="Y119" i="34" s="1"/>
  <c r="X513" i="34"/>
  <c r="W513" i="34"/>
  <c r="V513" i="34"/>
  <c r="U513" i="34"/>
  <c r="U119" i="34" s="1"/>
  <c r="T513" i="34"/>
  <c r="T119" i="34" s="1"/>
  <c r="S513" i="34"/>
  <c r="AD509" i="34"/>
  <c r="AC509" i="34"/>
  <c r="AB509" i="34"/>
  <c r="AA509" i="34"/>
  <c r="Z509" i="34"/>
  <c r="Y509" i="34"/>
  <c r="X509" i="34"/>
  <c r="W509" i="34"/>
  <c r="V509" i="34"/>
  <c r="U509" i="34"/>
  <c r="T509" i="34"/>
  <c r="S509" i="34"/>
  <c r="AD505" i="34"/>
  <c r="AC505" i="34"/>
  <c r="AB505" i="34"/>
  <c r="AA505" i="34"/>
  <c r="Z505" i="34"/>
  <c r="Y505" i="34"/>
  <c r="X505" i="34"/>
  <c r="W505" i="34"/>
  <c r="V505" i="34"/>
  <c r="U505" i="34"/>
  <c r="T505" i="34"/>
  <c r="S505" i="34"/>
  <c r="AD502" i="34"/>
  <c r="AD501" i="34" s="1"/>
  <c r="AD500" i="34" s="1"/>
  <c r="AC502" i="34"/>
  <c r="AC501" i="34" s="1"/>
  <c r="AC500" i="34" s="1"/>
  <c r="AB502" i="34"/>
  <c r="AB501" i="34" s="1"/>
  <c r="AA502" i="34"/>
  <c r="AA501" i="34" s="1"/>
  <c r="Z502" i="34"/>
  <c r="Y502" i="34"/>
  <c r="Y501" i="34" s="1"/>
  <c r="X502" i="34"/>
  <c r="X501" i="34" s="1"/>
  <c r="W502" i="34"/>
  <c r="W501" i="34" s="1"/>
  <c r="W500" i="34" s="1"/>
  <c r="V502" i="34"/>
  <c r="V501" i="34" s="1"/>
  <c r="U502" i="34"/>
  <c r="U501" i="34" s="1"/>
  <c r="T502" i="34"/>
  <c r="T501" i="34" s="1"/>
  <c r="S502" i="34"/>
  <c r="AD496" i="34"/>
  <c r="AD495" i="34" s="1"/>
  <c r="AC496" i="34"/>
  <c r="AC495" i="34" s="1"/>
  <c r="AB496" i="34"/>
  <c r="AB495" i="34" s="1"/>
  <c r="AA496" i="34"/>
  <c r="AA495" i="34" s="1"/>
  <c r="Z496" i="34"/>
  <c r="Z495" i="34" s="1"/>
  <c r="Y496" i="34"/>
  <c r="Y495" i="34" s="1"/>
  <c r="X496" i="34"/>
  <c r="X495" i="34" s="1"/>
  <c r="W496" i="34"/>
  <c r="W495" i="34" s="1"/>
  <c r="W128" i="34" s="1"/>
  <c r="V496" i="34"/>
  <c r="V495" i="34" s="1"/>
  <c r="U496" i="34"/>
  <c r="U495" i="34" s="1"/>
  <c r="U128" i="34" s="1"/>
  <c r="T496" i="34"/>
  <c r="T495" i="34" s="1"/>
  <c r="S496" i="34"/>
  <c r="S495" i="34" s="1"/>
  <c r="S128" i="34" s="1"/>
  <c r="AD488" i="34"/>
  <c r="AC488" i="34"/>
  <c r="AB488" i="34"/>
  <c r="AA488" i="34"/>
  <c r="Z488" i="34"/>
  <c r="Y488" i="34"/>
  <c r="X488" i="34"/>
  <c r="W488" i="34"/>
  <c r="V488" i="34"/>
  <c r="U488" i="34"/>
  <c r="T488" i="34"/>
  <c r="S488" i="34"/>
  <c r="AD485" i="34"/>
  <c r="AD484" i="34" s="1"/>
  <c r="AD483" i="34" s="1"/>
  <c r="AC485" i="34"/>
  <c r="AC484" i="34" s="1"/>
  <c r="AC483" i="34" s="1"/>
  <c r="AB485" i="34"/>
  <c r="AB484" i="34" s="1"/>
  <c r="AB483" i="34" s="1"/>
  <c r="AA485" i="34"/>
  <c r="AA484" i="34" s="1"/>
  <c r="AA483" i="34" s="1"/>
  <c r="AA1497" i="34" s="1"/>
  <c r="Z485" i="34"/>
  <c r="Y485" i="34"/>
  <c r="Y484" i="34" s="1"/>
  <c r="Y483" i="34" s="1"/>
  <c r="Y1497" i="34" s="1"/>
  <c r="X485" i="34"/>
  <c r="X484" i="34" s="1"/>
  <c r="X483" i="34" s="1"/>
  <c r="X1497" i="34" s="1"/>
  <c r="W485" i="34"/>
  <c r="W484" i="34" s="1"/>
  <c r="W483" i="34" s="1"/>
  <c r="V485" i="34"/>
  <c r="U485" i="34"/>
  <c r="T485" i="34"/>
  <c r="S485" i="34"/>
  <c r="Z484" i="34"/>
  <c r="V484" i="34"/>
  <c r="V483" i="34" s="1"/>
  <c r="U484" i="34"/>
  <c r="S484" i="34"/>
  <c r="S483" i="34" s="1"/>
  <c r="Z483" i="34"/>
  <c r="Z1497" i="34" s="1"/>
  <c r="U483" i="34"/>
  <c r="U1497" i="34" s="1"/>
  <c r="AD479" i="34"/>
  <c r="AC479" i="34"/>
  <c r="AC478" i="34" s="1"/>
  <c r="AB479" i="34"/>
  <c r="AB478" i="34" s="1"/>
  <c r="AA479" i="34"/>
  <c r="Z479" i="34"/>
  <c r="Y479" i="34"/>
  <c r="Y478" i="34" s="1"/>
  <c r="X479" i="34"/>
  <c r="X478" i="34" s="1"/>
  <c r="W479" i="34"/>
  <c r="W478" i="34" s="1"/>
  <c r="V479" i="34"/>
  <c r="U479" i="34"/>
  <c r="U478" i="34" s="1"/>
  <c r="T479" i="34"/>
  <c r="T478" i="34" s="1"/>
  <c r="S479" i="34"/>
  <c r="S478" i="34" s="1"/>
  <c r="AD478" i="34"/>
  <c r="AA478" i="34"/>
  <c r="Z478" i="34"/>
  <c r="V478" i="34"/>
  <c r="AD472" i="34"/>
  <c r="AC472" i="34"/>
  <c r="AB472" i="34"/>
  <c r="AA472" i="34"/>
  <c r="Z472" i="34"/>
  <c r="Y472" i="34"/>
  <c r="X472" i="34"/>
  <c r="W472" i="34"/>
  <c r="V472" i="34"/>
  <c r="U472" i="34"/>
  <c r="T472" i="34"/>
  <c r="S472" i="34"/>
  <c r="AD469" i="34"/>
  <c r="AC469" i="34"/>
  <c r="AB469" i="34"/>
  <c r="AA469" i="34"/>
  <c r="Z469" i="34"/>
  <c r="Y469" i="34"/>
  <c r="Y468" i="34" s="1"/>
  <c r="Y467" i="34" s="1"/>
  <c r="X469" i="34"/>
  <c r="W469" i="34"/>
  <c r="V469" i="34"/>
  <c r="U469" i="34"/>
  <c r="T469" i="34"/>
  <c r="S469" i="34"/>
  <c r="S468" i="34" s="1"/>
  <c r="S467" i="34" s="1"/>
  <c r="AB468" i="34"/>
  <c r="AB467" i="34" s="1"/>
  <c r="Z468" i="34"/>
  <c r="Z467" i="34" s="1"/>
  <c r="Z1496" i="34" s="1"/>
  <c r="W468" i="34"/>
  <c r="W467" i="34"/>
  <c r="W1496" i="34" s="1"/>
  <c r="AD463" i="34"/>
  <c r="AD462" i="34" s="1"/>
  <c r="AC463" i="34"/>
  <c r="AC462" i="34" s="1"/>
  <c r="AB463" i="34"/>
  <c r="AB462" i="34" s="1"/>
  <c r="AA463" i="34"/>
  <c r="AA462" i="34" s="1"/>
  <c r="Z463" i="34"/>
  <c r="Z462" i="34" s="1"/>
  <c r="Z103" i="34" s="1"/>
  <c r="Y463" i="34"/>
  <c r="Y462" i="34" s="1"/>
  <c r="X463" i="34"/>
  <c r="X112" i="34" s="1"/>
  <c r="W463" i="34"/>
  <c r="W462" i="34" s="1"/>
  <c r="V463" i="34"/>
  <c r="U463" i="34"/>
  <c r="U462" i="34" s="1"/>
  <c r="T463" i="34"/>
  <c r="T462" i="34" s="1"/>
  <c r="S463" i="34"/>
  <c r="V462" i="34"/>
  <c r="V103" i="34" s="1"/>
  <c r="S462" i="34"/>
  <c r="AD430" i="34"/>
  <c r="AC430" i="34"/>
  <c r="AB430" i="34"/>
  <c r="AA430" i="34"/>
  <c r="Z430" i="34"/>
  <c r="Y430" i="34"/>
  <c r="X430" i="34"/>
  <c r="W430" i="34"/>
  <c r="W426" i="34" s="1"/>
  <c r="W454" i="34" s="1"/>
  <c r="V430" i="34"/>
  <c r="U430" i="34"/>
  <c r="U426" i="34" s="1"/>
  <c r="U454" i="34" s="1"/>
  <c r="T430" i="34"/>
  <c r="T426" i="34" s="1"/>
  <c r="T454" i="34" s="1"/>
  <c r="S430" i="34"/>
  <c r="AD429" i="34"/>
  <c r="AC429" i="34"/>
  <c r="AB429" i="34"/>
  <c r="AA429" i="34"/>
  <c r="Z429" i="34"/>
  <c r="Y429" i="34"/>
  <c r="X429" i="34"/>
  <c r="W429" i="34"/>
  <c r="V429" i="34"/>
  <c r="U429" i="34"/>
  <c r="T429" i="34"/>
  <c r="S429" i="34"/>
  <c r="AD428" i="34"/>
  <c r="AC428" i="34"/>
  <c r="AC426" i="34" s="1"/>
  <c r="AC454" i="34" s="1"/>
  <c r="AB428" i="34"/>
  <c r="AA428" i="34"/>
  <c r="Z428" i="34"/>
  <c r="Y428" i="34"/>
  <c r="Y426" i="34" s="1"/>
  <c r="Y454" i="34" s="1"/>
  <c r="X428" i="34"/>
  <c r="W428" i="34"/>
  <c r="V428" i="34"/>
  <c r="U428" i="34"/>
  <c r="T428" i="34"/>
  <c r="S428" i="34"/>
  <c r="S426" i="34" s="1"/>
  <c r="AD426" i="34"/>
  <c r="AB426" i="34"/>
  <c r="AA426" i="34"/>
  <c r="AA454" i="34" s="1"/>
  <c r="Z426" i="34"/>
  <c r="X426" i="34"/>
  <c r="X454" i="34" s="1"/>
  <c r="V426" i="34"/>
  <c r="V454" i="34" s="1"/>
  <c r="AD422" i="34"/>
  <c r="AC422" i="34"/>
  <c r="AC453" i="34" s="1"/>
  <c r="AB422" i="34"/>
  <c r="AA422" i="34"/>
  <c r="AA453" i="34" s="1"/>
  <c r="Z422" i="34"/>
  <c r="Z453" i="34" s="1"/>
  <c r="Y422" i="34"/>
  <c r="Y453" i="34" s="1"/>
  <c r="X422" i="34"/>
  <c r="X453" i="34" s="1"/>
  <c r="X452" i="34" s="1"/>
  <c r="W422" i="34"/>
  <c r="W453" i="34" s="1"/>
  <c r="V422" i="34"/>
  <c r="V453" i="34" s="1"/>
  <c r="U422" i="34"/>
  <c r="U453" i="34" s="1"/>
  <c r="T422" i="34"/>
  <c r="T453" i="34" s="1"/>
  <c r="S422" i="34"/>
  <c r="AD397" i="34"/>
  <c r="AC397" i="34"/>
  <c r="AB397" i="34"/>
  <c r="AA397" i="34"/>
  <c r="Z397" i="34"/>
  <c r="Y397" i="34"/>
  <c r="X397" i="34"/>
  <c r="W397" i="34"/>
  <c r="V397" i="34"/>
  <c r="U397" i="34"/>
  <c r="T397" i="34"/>
  <c r="S397" i="34"/>
  <c r="AD393" i="34"/>
  <c r="AC393" i="34"/>
  <c r="AC401" i="34" s="1"/>
  <c r="AC405" i="34" s="1"/>
  <c r="AC403" i="34" s="1"/>
  <c r="AB393" i="34"/>
  <c r="AA393" i="34"/>
  <c r="AA401" i="34" s="1"/>
  <c r="AA405" i="34" s="1"/>
  <c r="AA403" i="34" s="1"/>
  <c r="Z393" i="34"/>
  <c r="Z401" i="34" s="1"/>
  <c r="Z405" i="34" s="1"/>
  <c r="Z403" i="34" s="1"/>
  <c r="Y393" i="34"/>
  <c r="Y401" i="34" s="1"/>
  <c r="Y405" i="34" s="1"/>
  <c r="Y403" i="34" s="1"/>
  <c r="X393" i="34"/>
  <c r="X401" i="34" s="1"/>
  <c r="X405" i="34" s="1"/>
  <c r="X403" i="34" s="1"/>
  <c r="W393" i="34"/>
  <c r="W401" i="34" s="1"/>
  <c r="W405" i="34" s="1"/>
  <c r="W403" i="34" s="1"/>
  <c r="V393" i="34"/>
  <c r="V401" i="34" s="1"/>
  <c r="V405" i="34" s="1"/>
  <c r="V403" i="34" s="1"/>
  <c r="U393" i="34"/>
  <c r="U401" i="34" s="1"/>
  <c r="U405" i="34" s="1"/>
  <c r="U403" i="34" s="1"/>
  <c r="T393" i="34"/>
  <c r="T401" i="34" s="1"/>
  <c r="T405" i="34" s="1"/>
  <c r="T403" i="34" s="1"/>
  <c r="S393" i="34"/>
  <c r="AD392" i="34"/>
  <c r="AC392" i="34"/>
  <c r="AC416" i="34" s="1"/>
  <c r="Z392" i="34"/>
  <c r="Z416" i="34" s="1"/>
  <c r="Y392" i="34"/>
  <c r="Y416" i="34" s="1"/>
  <c r="V392" i="34"/>
  <c r="V416" i="34" s="1"/>
  <c r="T392" i="34"/>
  <c r="T416" i="34" s="1"/>
  <c r="AD391" i="34"/>
  <c r="AC391" i="34"/>
  <c r="AC415" i="34" s="1"/>
  <c r="Z391" i="34"/>
  <c r="Z415" i="34" s="1"/>
  <c r="Y391" i="34"/>
  <c r="V391" i="34"/>
  <c r="V415" i="34" s="1"/>
  <c r="U391" i="34"/>
  <c r="U415" i="34" s="1"/>
  <c r="AD390" i="34"/>
  <c r="Z390" i="34"/>
  <c r="Y390" i="34"/>
  <c r="Y414" i="34" s="1"/>
  <c r="V390" i="34"/>
  <c r="U390" i="34"/>
  <c r="AA389" i="34"/>
  <c r="AD388" i="34"/>
  <c r="AC388" i="34"/>
  <c r="Z388" i="34"/>
  <c r="Y388" i="34"/>
  <c r="X388" i="34"/>
  <c r="V388" i="34"/>
  <c r="AD387" i="34"/>
  <c r="AC387" i="34"/>
  <c r="AC411" i="34" s="1"/>
  <c r="Z387" i="34"/>
  <c r="Z411" i="34" s="1"/>
  <c r="V387" i="34"/>
  <c r="V411" i="34" s="1"/>
  <c r="U387" i="34"/>
  <c r="U411" i="34" s="1"/>
  <c r="AD385" i="34"/>
  <c r="Z385" i="34"/>
  <c r="Z409" i="34" s="1"/>
  <c r="Y385" i="34"/>
  <c r="Y409" i="34" s="1"/>
  <c r="V385" i="34"/>
  <c r="V409" i="34" s="1"/>
  <c r="U385" i="34"/>
  <c r="AD369" i="34"/>
  <c r="AC369" i="34"/>
  <c r="AB369" i="34"/>
  <c r="AA369" i="34"/>
  <c r="Z369" i="34"/>
  <c r="Y369" i="34"/>
  <c r="X369" i="34"/>
  <c r="W369" i="34"/>
  <c r="V369" i="34"/>
  <c r="U369" i="34"/>
  <c r="T369" i="34"/>
  <c r="S369" i="34"/>
  <c r="AD366" i="34"/>
  <c r="AC366" i="34"/>
  <c r="AB366" i="34"/>
  <c r="AB364" i="34" s="1"/>
  <c r="AB363" i="34" s="1"/>
  <c r="AA366" i="34"/>
  <c r="AA364" i="34" s="1"/>
  <c r="Z366" i="34"/>
  <c r="Y366" i="34"/>
  <c r="Y364" i="34" s="1"/>
  <c r="Y363" i="34" s="1"/>
  <c r="X366" i="34"/>
  <c r="W366" i="34"/>
  <c r="V366" i="34"/>
  <c r="U366" i="34"/>
  <c r="T366" i="34"/>
  <c r="S366" i="34"/>
  <c r="AD364" i="34"/>
  <c r="AD363" i="34" s="1"/>
  <c r="AC364" i="34"/>
  <c r="AC363" i="34" s="1"/>
  <c r="Z364" i="34"/>
  <c r="Z363" i="34" s="1"/>
  <c r="X364" i="34"/>
  <c r="W364" i="34"/>
  <c r="V364" i="34"/>
  <c r="U364" i="34"/>
  <c r="U363" i="34" s="1"/>
  <c r="T364" i="34"/>
  <c r="S364" i="34"/>
  <c r="S363" i="34" s="1"/>
  <c r="X363" i="34"/>
  <c r="W363" i="34"/>
  <c r="V363" i="34"/>
  <c r="T363" i="34"/>
  <c r="AB362" i="34"/>
  <c r="Y362" i="34"/>
  <c r="AC361" i="34"/>
  <c r="AA361" i="34"/>
  <c r="AA382" i="34" s="1"/>
  <c r="Y361" i="34"/>
  <c r="U361" i="34"/>
  <c r="AC360" i="34"/>
  <c r="Y360" i="34"/>
  <c r="W360" i="34"/>
  <c r="U360" i="34"/>
  <c r="U359" i="34" s="1"/>
  <c r="AC358" i="34"/>
  <c r="Y358" i="34"/>
  <c r="U358" i="34"/>
  <c r="AC357" i="34"/>
  <c r="AB357" i="34"/>
  <c r="AA357" i="34"/>
  <c r="U357" i="34"/>
  <c r="AC355" i="34"/>
  <c r="Y355" i="34"/>
  <c r="X355" i="34"/>
  <c r="U355" i="34"/>
  <c r="S355" i="34"/>
  <c r="AD350" i="34"/>
  <c r="AC350" i="34"/>
  <c r="AB350" i="34"/>
  <c r="AA350" i="34"/>
  <c r="Z350" i="34"/>
  <c r="X350" i="34"/>
  <c r="W350" i="34"/>
  <c r="V350" i="34"/>
  <c r="U350" i="34"/>
  <c r="T350" i="34"/>
  <c r="S350" i="34"/>
  <c r="AD349" i="34"/>
  <c r="AC349" i="34"/>
  <c r="AB349" i="34"/>
  <c r="AA349" i="34"/>
  <c r="Z349" i="34"/>
  <c r="Y349" i="34"/>
  <c r="X349" i="34"/>
  <c r="W349" i="34"/>
  <c r="V349" i="34"/>
  <c r="U349" i="34"/>
  <c r="T349" i="34"/>
  <c r="S349" i="34"/>
  <c r="AD348" i="34"/>
  <c r="AC348" i="34"/>
  <c r="AC346" i="34" s="1"/>
  <c r="AC450" i="34" s="1"/>
  <c r="AB348" i="34"/>
  <c r="AA348" i="34"/>
  <c r="AA346" i="34" s="1"/>
  <c r="Z348" i="34"/>
  <c r="Z346" i="34" s="1"/>
  <c r="Y348" i="34"/>
  <c r="Y346" i="34" s="1"/>
  <c r="Y450" i="34" s="1"/>
  <c r="X348" i="34"/>
  <c r="X346" i="34" s="1"/>
  <c r="X450" i="34" s="1"/>
  <c r="W348" i="34"/>
  <c r="W346" i="34" s="1"/>
  <c r="V348" i="34"/>
  <c r="V346" i="34" s="1"/>
  <c r="U348" i="34"/>
  <c r="U346" i="34" s="1"/>
  <c r="U450" i="34" s="1"/>
  <c r="T348" i="34"/>
  <c r="T346" i="34" s="1"/>
  <c r="T450" i="34" s="1"/>
  <c r="S348" i="34"/>
  <c r="AD342" i="34"/>
  <c r="AC342" i="34"/>
  <c r="AC449" i="34" s="1"/>
  <c r="AB342" i="34"/>
  <c r="AA342" i="34"/>
  <c r="AA449" i="34" s="1"/>
  <c r="Z342" i="34"/>
  <c r="Z449" i="34" s="1"/>
  <c r="Y342" i="34"/>
  <c r="Y449" i="34" s="1"/>
  <c r="X342" i="34"/>
  <c r="X449" i="34" s="1"/>
  <c r="W342" i="34"/>
  <c r="W449" i="34" s="1"/>
  <c r="V342" i="34"/>
  <c r="V449" i="34" s="1"/>
  <c r="U342" i="34"/>
  <c r="U449" i="34" s="1"/>
  <c r="T342" i="34"/>
  <c r="T449" i="34" s="1"/>
  <c r="S342" i="34"/>
  <c r="AD331" i="34"/>
  <c r="AC331" i="34"/>
  <c r="AB331" i="34"/>
  <c r="AA331" i="34"/>
  <c r="Z331" i="34"/>
  <c r="Y331" i="34"/>
  <c r="X331" i="34"/>
  <c r="W331" i="34"/>
  <c r="V331" i="34"/>
  <c r="U331" i="34"/>
  <c r="T331" i="34"/>
  <c r="S331" i="34"/>
  <c r="AC330" i="34"/>
  <c r="AC325" i="34" s="1"/>
  <c r="Y330" i="34"/>
  <c r="Y325" i="34" s="1"/>
  <c r="W330" i="34"/>
  <c r="W325" i="34" s="1"/>
  <c r="U330" i="34"/>
  <c r="U325" i="34" s="1"/>
  <c r="S330" i="34"/>
  <c r="AD321" i="34"/>
  <c r="AC321" i="34"/>
  <c r="AB321" i="34"/>
  <c r="AA321" i="34"/>
  <c r="Z321" i="34"/>
  <c r="Y321" i="34"/>
  <c r="X321" i="34"/>
  <c r="W321" i="34"/>
  <c r="V321" i="34"/>
  <c r="U321" i="34"/>
  <c r="T321" i="34"/>
  <c r="S321" i="34"/>
  <c r="AD320" i="34"/>
  <c r="AC320" i="34"/>
  <c r="AB320" i="34"/>
  <c r="AA320" i="34"/>
  <c r="Z320" i="34"/>
  <c r="Y320" i="34"/>
  <c r="X320" i="34"/>
  <c r="W320" i="34"/>
  <c r="V320" i="34"/>
  <c r="U320" i="34"/>
  <c r="T320" i="34"/>
  <c r="S320" i="34"/>
  <c r="AD319" i="34"/>
  <c r="AC319" i="34"/>
  <c r="AB319" i="34"/>
  <c r="AA319" i="34"/>
  <c r="Z319" i="34"/>
  <c r="Y319" i="34"/>
  <c r="X319" i="34"/>
  <c r="W319" i="34"/>
  <c r="V319" i="34"/>
  <c r="U319" i="34"/>
  <c r="T319" i="34"/>
  <c r="S319" i="34"/>
  <c r="AD318" i="34"/>
  <c r="AC318" i="34"/>
  <c r="AB318" i="34"/>
  <c r="AA318" i="34"/>
  <c r="Z318" i="34"/>
  <c r="Y318" i="34"/>
  <c r="X318" i="34"/>
  <c r="W318" i="34"/>
  <c r="V318" i="34"/>
  <c r="U318" i="34"/>
  <c r="T318" i="34"/>
  <c r="S318" i="34"/>
  <c r="AD317" i="34"/>
  <c r="AC317" i="34"/>
  <c r="AB317" i="34"/>
  <c r="AA317" i="34"/>
  <c r="Z317" i="34"/>
  <c r="Y317" i="34"/>
  <c r="X317" i="34"/>
  <c r="W317" i="34"/>
  <c r="V317" i="34"/>
  <c r="U317" i="34"/>
  <c r="T317" i="34"/>
  <c r="S317" i="34"/>
  <c r="AD315" i="34"/>
  <c r="AC315" i="34"/>
  <c r="AB315" i="34"/>
  <c r="AA315" i="34"/>
  <c r="Z315" i="34"/>
  <c r="Y315" i="34"/>
  <c r="X315" i="34"/>
  <c r="W315" i="34"/>
  <c r="V315" i="34"/>
  <c r="U315" i="34"/>
  <c r="T315" i="34"/>
  <c r="S315" i="34"/>
  <c r="AD314" i="34"/>
  <c r="AC314" i="34"/>
  <c r="AB314" i="34"/>
  <c r="AA314" i="34"/>
  <c r="Z314" i="34"/>
  <c r="Y314" i="34"/>
  <c r="X314" i="34"/>
  <c r="W314" i="34"/>
  <c r="V314" i="34"/>
  <c r="U314" i="34"/>
  <c r="T314" i="34"/>
  <c r="S314" i="34"/>
  <c r="AD313" i="34"/>
  <c r="AC313" i="34"/>
  <c r="AB313" i="34"/>
  <c r="AA313" i="34"/>
  <c r="Z313" i="34"/>
  <c r="Y313" i="34"/>
  <c r="X313" i="34"/>
  <c r="W313" i="34"/>
  <c r="V313" i="34"/>
  <c r="U313" i="34"/>
  <c r="T313" i="34"/>
  <c r="S313" i="34"/>
  <c r="AD305" i="34"/>
  <c r="AC305" i="34"/>
  <c r="AB305" i="34"/>
  <c r="AA305" i="34"/>
  <c r="Z305" i="34"/>
  <c r="Y305" i="34"/>
  <c r="X305" i="34"/>
  <c r="W305" i="34"/>
  <c r="V305" i="34"/>
  <c r="U305" i="34"/>
  <c r="T305" i="34"/>
  <c r="S305" i="34"/>
  <c r="AD301" i="34"/>
  <c r="AC301" i="34"/>
  <c r="AB301" i="34"/>
  <c r="AA301" i="34"/>
  <c r="Z301" i="34"/>
  <c r="Y301" i="34"/>
  <c r="X301" i="34"/>
  <c r="W301" i="34"/>
  <c r="V301" i="34"/>
  <c r="U301" i="34"/>
  <c r="T301" i="34"/>
  <c r="S301" i="34"/>
  <c r="AD300" i="34"/>
  <c r="AC300" i="34"/>
  <c r="AB300" i="34"/>
  <c r="AA300" i="34"/>
  <c r="Z300" i="34"/>
  <c r="Y300" i="34"/>
  <c r="X300" i="34"/>
  <c r="W300" i="34"/>
  <c r="V300" i="34"/>
  <c r="U300" i="34"/>
  <c r="T300" i="34"/>
  <c r="S300" i="34"/>
  <c r="AD295" i="34"/>
  <c r="AC295" i="34"/>
  <c r="AB295" i="34"/>
  <c r="AA295" i="34"/>
  <c r="Z295" i="34"/>
  <c r="Y295" i="34"/>
  <c r="X295" i="34"/>
  <c r="W295" i="34"/>
  <c r="V295" i="34"/>
  <c r="U295" i="34"/>
  <c r="T295" i="34"/>
  <c r="S295" i="34"/>
  <c r="AD291" i="34"/>
  <c r="AC291" i="34"/>
  <c r="AB291" i="34"/>
  <c r="AA291" i="34"/>
  <c r="Z291" i="34"/>
  <c r="Y291" i="34"/>
  <c r="X291" i="34"/>
  <c r="W291" i="34"/>
  <c r="V291" i="34"/>
  <c r="U291" i="34"/>
  <c r="T291" i="34"/>
  <c r="S291" i="34"/>
  <c r="AD290" i="34"/>
  <c r="AC290" i="34"/>
  <c r="AB290" i="34"/>
  <c r="AA290" i="34"/>
  <c r="Z290" i="34"/>
  <c r="Y290" i="34"/>
  <c r="X290" i="34"/>
  <c r="W290" i="34"/>
  <c r="V290" i="34"/>
  <c r="U290" i="34"/>
  <c r="T290" i="34"/>
  <c r="S290" i="34"/>
  <c r="AD287" i="34"/>
  <c r="AC287" i="34"/>
  <c r="AB287" i="34"/>
  <c r="AA287" i="34"/>
  <c r="Z287" i="34"/>
  <c r="Y287" i="34"/>
  <c r="X287" i="34"/>
  <c r="W287" i="34"/>
  <c r="V287" i="34"/>
  <c r="U287" i="34"/>
  <c r="T287" i="34"/>
  <c r="S287" i="34"/>
  <c r="AD286" i="34"/>
  <c r="AC286" i="34"/>
  <c r="AB286" i="34"/>
  <c r="AA286" i="34"/>
  <c r="Z286" i="34"/>
  <c r="Y286" i="34"/>
  <c r="X286" i="34"/>
  <c r="W286" i="34"/>
  <c r="V286" i="34"/>
  <c r="U286" i="34"/>
  <c r="T286" i="34"/>
  <c r="S286" i="34"/>
  <c r="AD285" i="34"/>
  <c r="AC285" i="34"/>
  <c r="AB285" i="34"/>
  <c r="AB283" i="34" s="1"/>
  <c r="AA285" i="34"/>
  <c r="AA283" i="34" s="1"/>
  <c r="AA446" i="34" s="1"/>
  <c r="Z285" i="34"/>
  <c r="Y285" i="34"/>
  <c r="X285" i="34"/>
  <c r="X283" i="34" s="1"/>
  <c r="X446" i="34" s="1"/>
  <c r="W285" i="34"/>
  <c r="W283" i="34" s="1"/>
  <c r="W446" i="34" s="1"/>
  <c r="V285" i="34"/>
  <c r="U285" i="34"/>
  <c r="T285" i="34"/>
  <c r="T283" i="34" s="1"/>
  <c r="T446" i="34" s="1"/>
  <c r="S285" i="34"/>
  <c r="AD283" i="34"/>
  <c r="Z283" i="34"/>
  <c r="Y283" i="34"/>
  <c r="Y446" i="34" s="1"/>
  <c r="V283" i="34"/>
  <c r="V446" i="34" s="1"/>
  <c r="U283" i="34"/>
  <c r="U446" i="34" s="1"/>
  <c r="S283" i="34"/>
  <c r="AD279" i="34"/>
  <c r="AC279" i="34"/>
  <c r="AC445" i="34" s="1"/>
  <c r="AB279" i="34"/>
  <c r="AA279" i="34"/>
  <c r="AA445" i="34" s="1"/>
  <c r="Z279" i="34"/>
  <c r="Z445" i="34" s="1"/>
  <c r="Y279" i="34"/>
  <c r="Y445" i="34" s="1"/>
  <c r="X279" i="34"/>
  <c r="X445" i="34" s="1"/>
  <c r="W279" i="34"/>
  <c r="W445" i="34" s="1"/>
  <c r="V279" i="34"/>
  <c r="V445" i="34" s="1"/>
  <c r="U279" i="34"/>
  <c r="U445" i="34" s="1"/>
  <c r="T279" i="34"/>
  <c r="T445" i="34" s="1"/>
  <c r="S279" i="34"/>
  <c r="AD268" i="34"/>
  <c r="AC268" i="34"/>
  <c r="AB268" i="34"/>
  <c r="AA268" i="34"/>
  <c r="Z268" i="34"/>
  <c r="Y268" i="34"/>
  <c r="X268" i="34"/>
  <c r="W268" i="34"/>
  <c r="V268" i="34"/>
  <c r="U268" i="34"/>
  <c r="T268" i="34"/>
  <c r="S268" i="34"/>
  <c r="AC267" i="34"/>
  <c r="AA267" i="34"/>
  <c r="Y267" i="34"/>
  <c r="W267" i="34"/>
  <c r="U267" i="34"/>
  <c r="T267" i="34"/>
  <c r="S267" i="34"/>
  <c r="AB266" i="34"/>
  <c r="AA266" i="34"/>
  <c r="Y266" i="34"/>
  <c r="W266" i="34"/>
  <c r="U266" i="34"/>
  <c r="S266" i="34"/>
  <c r="AC265" i="34"/>
  <c r="AB265" i="34"/>
  <c r="AA265" i="34"/>
  <c r="X265" i="34"/>
  <c r="W265" i="34"/>
  <c r="U265" i="34"/>
  <c r="S265" i="34"/>
  <c r="U262" i="34"/>
  <c r="AD260" i="34"/>
  <c r="AC260" i="34"/>
  <c r="AB260" i="34"/>
  <c r="AA260" i="34"/>
  <c r="Z260" i="34"/>
  <c r="Y260" i="34"/>
  <c r="X260" i="34"/>
  <c r="W260" i="34"/>
  <c r="V260" i="34"/>
  <c r="U260" i="34"/>
  <c r="T260" i="34"/>
  <c r="S260" i="34"/>
  <c r="AD259" i="34"/>
  <c r="AC259" i="34"/>
  <c r="AB259" i="34"/>
  <c r="AA259" i="34"/>
  <c r="Z259" i="34"/>
  <c r="Y259" i="34"/>
  <c r="X259" i="34"/>
  <c r="W259" i="34"/>
  <c r="V259" i="34"/>
  <c r="U259" i="34"/>
  <c r="T259" i="34"/>
  <c r="S259" i="34"/>
  <c r="AD258" i="34"/>
  <c r="AC258" i="34"/>
  <c r="AB258" i="34"/>
  <c r="AA258" i="34"/>
  <c r="Z258" i="34"/>
  <c r="Y258" i="34"/>
  <c r="X258" i="34"/>
  <c r="W258" i="34"/>
  <c r="V258" i="34"/>
  <c r="U258" i="34"/>
  <c r="T258" i="34"/>
  <c r="S258" i="34"/>
  <c r="AD257" i="34"/>
  <c r="AC257" i="34"/>
  <c r="AB257" i="34"/>
  <c r="AA257" i="34"/>
  <c r="AA254" i="34" s="1"/>
  <c r="Z257" i="34"/>
  <c r="Y257" i="34"/>
  <c r="Y254" i="34" s="1"/>
  <c r="X257" i="34"/>
  <c r="W257" i="34"/>
  <c r="V257" i="34"/>
  <c r="U257" i="34"/>
  <c r="T257" i="34"/>
  <c r="S257" i="34"/>
  <c r="AD256" i="34"/>
  <c r="AC256" i="34"/>
  <c r="AB256" i="34"/>
  <c r="AA256" i="34"/>
  <c r="Z256" i="34"/>
  <c r="Y256" i="34"/>
  <c r="X256" i="34"/>
  <c r="W256" i="34"/>
  <c r="V256" i="34"/>
  <c r="U256" i="34"/>
  <c r="T256" i="34"/>
  <c r="S256" i="34"/>
  <c r="AD255" i="34"/>
  <c r="AD254" i="34" s="1"/>
  <c r="AC255" i="34"/>
  <c r="AB255" i="34"/>
  <c r="AA255" i="34"/>
  <c r="Z255" i="34"/>
  <c r="Y255" i="34"/>
  <c r="X255" i="34"/>
  <c r="W255" i="34"/>
  <c r="V255" i="34"/>
  <c r="U255" i="34"/>
  <c r="T255" i="34"/>
  <c r="S255" i="34"/>
  <c r="AC254" i="34"/>
  <c r="AB254" i="34"/>
  <c r="W254" i="34"/>
  <c r="V254" i="34"/>
  <c r="T254" i="34"/>
  <c r="S254" i="34"/>
  <c r="AD231" i="34"/>
  <c r="AC231" i="34"/>
  <c r="AB231" i="34"/>
  <c r="AA231" i="34"/>
  <c r="Z231" i="34"/>
  <c r="Y231" i="34"/>
  <c r="X231" i="34"/>
  <c r="W231" i="34"/>
  <c r="V231" i="34"/>
  <c r="U231" i="34"/>
  <c r="T231" i="34"/>
  <c r="S231" i="34"/>
  <c r="AD224" i="34"/>
  <c r="AC224" i="34"/>
  <c r="AB224" i="34"/>
  <c r="AA224" i="34"/>
  <c r="Z224" i="34"/>
  <c r="Z223" i="34" s="1"/>
  <c r="Y224" i="34"/>
  <c r="X224" i="34"/>
  <c r="W224" i="34"/>
  <c r="V224" i="34"/>
  <c r="U224" i="34"/>
  <c r="T224" i="34"/>
  <c r="T223" i="34" s="1"/>
  <c r="S224" i="34"/>
  <c r="AD222" i="34"/>
  <c r="AC222" i="34"/>
  <c r="AB222" i="34"/>
  <c r="AA222" i="34"/>
  <c r="Z222" i="34"/>
  <c r="Y222" i="34"/>
  <c r="X222" i="34"/>
  <c r="W222" i="34"/>
  <c r="W253" i="34" s="1"/>
  <c r="V222" i="34"/>
  <c r="U222" i="34"/>
  <c r="T222" i="34"/>
  <c r="S222" i="34"/>
  <c r="AD221" i="34"/>
  <c r="AC221" i="34"/>
  <c r="AB221" i="34"/>
  <c r="AA221" i="34"/>
  <c r="Z221" i="34"/>
  <c r="Y221" i="34"/>
  <c r="X221" i="34"/>
  <c r="W221" i="34"/>
  <c r="V221" i="34"/>
  <c r="U221" i="34"/>
  <c r="T221" i="34"/>
  <c r="S221" i="34"/>
  <c r="AD220" i="34"/>
  <c r="AC220" i="34"/>
  <c r="AB220" i="34"/>
  <c r="AA220" i="34"/>
  <c r="Z220" i="34"/>
  <c r="Y220" i="34"/>
  <c r="X220" i="34"/>
  <c r="W220" i="34"/>
  <c r="V220" i="34"/>
  <c r="U220" i="34"/>
  <c r="T220" i="34"/>
  <c r="S220" i="34"/>
  <c r="AD219" i="34"/>
  <c r="AC219" i="34"/>
  <c r="AB219" i="34"/>
  <c r="AA219" i="34"/>
  <c r="Z219" i="34"/>
  <c r="Y219" i="34"/>
  <c r="X219" i="34"/>
  <c r="W219" i="34"/>
  <c r="V219" i="34"/>
  <c r="U219" i="34"/>
  <c r="T219" i="34"/>
  <c r="S219" i="34"/>
  <c r="AD218" i="34"/>
  <c r="AC218" i="34"/>
  <c r="AB218" i="34"/>
  <c r="AA218" i="34"/>
  <c r="Z218" i="34"/>
  <c r="Y218" i="34"/>
  <c r="X218" i="34"/>
  <c r="W218" i="34"/>
  <c r="V218" i="34"/>
  <c r="U218" i="34"/>
  <c r="T218" i="34"/>
  <c r="S218" i="34"/>
  <c r="AD217" i="34"/>
  <c r="AC217" i="34"/>
  <c r="AB217" i="34"/>
  <c r="AA217" i="34"/>
  <c r="AA216" i="34" s="1"/>
  <c r="Z217" i="34"/>
  <c r="Y217" i="34"/>
  <c r="X217" i="34"/>
  <c r="W217" i="34"/>
  <c r="V217" i="34"/>
  <c r="U217" i="34"/>
  <c r="T217" i="34"/>
  <c r="S217" i="34"/>
  <c r="AD216" i="34"/>
  <c r="Z216" i="34"/>
  <c r="X216" i="34"/>
  <c r="V216" i="34"/>
  <c r="U216" i="34"/>
  <c r="AD215" i="34"/>
  <c r="AC215" i="34"/>
  <c r="AB215" i="34"/>
  <c r="AA215" i="34"/>
  <c r="Z215" i="34"/>
  <c r="Y215" i="34"/>
  <c r="X215" i="34"/>
  <c r="W215" i="34"/>
  <c r="V215" i="34"/>
  <c r="U215" i="34"/>
  <c r="T215" i="34"/>
  <c r="S215" i="34"/>
  <c r="AD214" i="34"/>
  <c r="AC214" i="34"/>
  <c r="AB214" i="34"/>
  <c r="AA214" i="34"/>
  <c r="Z214" i="34"/>
  <c r="Y214" i="34"/>
  <c r="X214" i="34"/>
  <c r="W214" i="34"/>
  <c r="V214" i="34"/>
  <c r="U214" i="34"/>
  <c r="T214" i="34"/>
  <c r="S214" i="34"/>
  <c r="AD213" i="34"/>
  <c r="AC213" i="34"/>
  <c r="AB213" i="34"/>
  <c r="AA213" i="34"/>
  <c r="Z213" i="34"/>
  <c r="Y213" i="34"/>
  <c r="X213" i="34"/>
  <c r="W213" i="34"/>
  <c r="V213" i="34"/>
  <c r="U213" i="34"/>
  <c r="T213" i="34"/>
  <c r="S213" i="34"/>
  <c r="AD212" i="34"/>
  <c r="AC212" i="34"/>
  <c r="AB212" i="34"/>
  <c r="AA212" i="34"/>
  <c r="Z212" i="34"/>
  <c r="Y212" i="34"/>
  <c r="X212" i="34"/>
  <c r="W212" i="34"/>
  <c r="V212" i="34"/>
  <c r="U212" i="34"/>
  <c r="T212" i="34"/>
  <c r="S212" i="34"/>
  <c r="AD211" i="34"/>
  <c r="AC211" i="34"/>
  <c r="AB211" i="34"/>
  <c r="AB209" i="34" s="1"/>
  <c r="AA211" i="34"/>
  <c r="Y211" i="34"/>
  <c r="X211" i="34"/>
  <c r="W211" i="34"/>
  <c r="V211" i="34"/>
  <c r="U211" i="34"/>
  <c r="T211" i="34"/>
  <c r="S211" i="34"/>
  <c r="AD210" i="34"/>
  <c r="AC210" i="34"/>
  <c r="AB210" i="34"/>
  <c r="AA210" i="34"/>
  <c r="Z210" i="34"/>
  <c r="Y210" i="34"/>
  <c r="X210" i="34"/>
  <c r="W210" i="34"/>
  <c r="V210" i="34"/>
  <c r="U210" i="34"/>
  <c r="T210" i="34"/>
  <c r="S210" i="34"/>
  <c r="AD209" i="34"/>
  <c r="AC209" i="34"/>
  <c r="AA209" i="34"/>
  <c r="Z209" i="34"/>
  <c r="Y209" i="34"/>
  <c r="W209" i="34"/>
  <c r="V209" i="34"/>
  <c r="U209" i="34"/>
  <c r="T209" i="34"/>
  <c r="AD205" i="34"/>
  <c r="AC205" i="34"/>
  <c r="AB205" i="34"/>
  <c r="AA205" i="34"/>
  <c r="Z205" i="34"/>
  <c r="Y205" i="34"/>
  <c r="X205" i="34"/>
  <c r="W205" i="34"/>
  <c r="V205" i="34"/>
  <c r="U205" i="34"/>
  <c r="T205" i="34"/>
  <c r="S205" i="34"/>
  <c r="AD204" i="34"/>
  <c r="AC204" i="34"/>
  <c r="AB204" i="34"/>
  <c r="AA204" i="34"/>
  <c r="Z204" i="34"/>
  <c r="Y204" i="34"/>
  <c r="X204" i="34"/>
  <c r="W204" i="34"/>
  <c r="V204" i="34"/>
  <c r="U204" i="34"/>
  <c r="T204" i="34"/>
  <c r="S204" i="34"/>
  <c r="AD203" i="34"/>
  <c r="AC203" i="34"/>
  <c r="AC201" i="34" s="1"/>
  <c r="AC442" i="34" s="1"/>
  <c r="AB203" i="34"/>
  <c r="AA203" i="34"/>
  <c r="Z203" i="34"/>
  <c r="Y203" i="34"/>
  <c r="Y201" i="34" s="1"/>
  <c r="Y442" i="34" s="1"/>
  <c r="X203" i="34"/>
  <c r="X201" i="34" s="1"/>
  <c r="X442" i="34" s="1"/>
  <c r="W203" i="34"/>
  <c r="W201" i="34" s="1"/>
  <c r="V203" i="34"/>
  <c r="V201" i="34" s="1"/>
  <c r="U203" i="34"/>
  <c r="T203" i="34"/>
  <c r="S203" i="34"/>
  <c r="AD197" i="34"/>
  <c r="AC197" i="34"/>
  <c r="AC441" i="34" s="1"/>
  <c r="AB197" i="34"/>
  <c r="AA197" i="34"/>
  <c r="AA441" i="34" s="1"/>
  <c r="Z197" i="34"/>
  <c r="Z441" i="34" s="1"/>
  <c r="Y197" i="34"/>
  <c r="Y441" i="34" s="1"/>
  <c r="X197" i="34"/>
  <c r="X441" i="34" s="1"/>
  <c r="W197" i="34"/>
  <c r="W441" i="34" s="1"/>
  <c r="V197" i="34"/>
  <c r="V441" i="34" s="1"/>
  <c r="U197" i="34"/>
  <c r="U441" i="34" s="1"/>
  <c r="T197" i="34"/>
  <c r="T441" i="34" s="1"/>
  <c r="S197" i="34"/>
  <c r="AD186" i="34"/>
  <c r="AC186" i="34"/>
  <c r="AB186" i="34"/>
  <c r="AA186" i="34"/>
  <c r="Z186" i="34"/>
  <c r="Y186" i="34"/>
  <c r="X186" i="34"/>
  <c r="W186" i="34"/>
  <c r="V186" i="34"/>
  <c r="U186" i="34"/>
  <c r="T186" i="34"/>
  <c r="S186" i="34"/>
  <c r="AD185" i="34"/>
  <c r="AC185" i="34"/>
  <c r="AB185" i="34"/>
  <c r="AA185" i="34"/>
  <c r="Z185" i="34"/>
  <c r="Y185" i="34"/>
  <c r="X185" i="34"/>
  <c r="W185" i="34"/>
  <c r="V185" i="34"/>
  <c r="U185" i="34"/>
  <c r="T185" i="34"/>
  <c r="S185" i="34"/>
  <c r="AC184" i="34"/>
  <c r="Y184" i="34"/>
  <c r="X184" i="34"/>
  <c r="U184" i="34"/>
  <c r="T184" i="34"/>
  <c r="S184" i="34"/>
  <c r="AC182" i="34"/>
  <c r="AB182" i="34"/>
  <c r="AA182" i="34"/>
  <c r="Y182" i="34"/>
  <c r="W182" i="34"/>
  <c r="U182" i="34"/>
  <c r="T182" i="34"/>
  <c r="AD172" i="34"/>
  <c r="AC172" i="34"/>
  <c r="AB172" i="34"/>
  <c r="AA172" i="34"/>
  <c r="Z172" i="34"/>
  <c r="Y172" i="34"/>
  <c r="X172" i="34"/>
  <c r="W172" i="34"/>
  <c r="V172" i="34"/>
  <c r="U172" i="34"/>
  <c r="T172" i="34"/>
  <c r="S172" i="34"/>
  <c r="AC171" i="34"/>
  <c r="AB171" i="34"/>
  <c r="AA171" i="34"/>
  <c r="Y171" i="34"/>
  <c r="X171" i="34"/>
  <c r="U171" i="34"/>
  <c r="T171" i="34"/>
  <c r="AC170" i="34"/>
  <c r="AB170" i="34"/>
  <c r="AA170" i="34"/>
  <c r="Y170" i="34"/>
  <c r="X170" i="34"/>
  <c r="U170" i="34"/>
  <c r="T170" i="34"/>
  <c r="AD169" i="34"/>
  <c r="AC169" i="34"/>
  <c r="AB169" i="34"/>
  <c r="AA169" i="34"/>
  <c r="Z169" i="34"/>
  <c r="Y169" i="34"/>
  <c r="X169" i="34"/>
  <c r="W169" i="34"/>
  <c r="V169" i="34"/>
  <c r="U169" i="34"/>
  <c r="T169" i="34"/>
  <c r="S169" i="34"/>
  <c r="AD159" i="34"/>
  <c r="AC159" i="34"/>
  <c r="AB159" i="34"/>
  <c r="AA159" i="34"/>
  <c r="Z159" i="34"/>
  <c r="Y159" i="34"/>
  <c r="X159" i="34"/>
  <c r="W159" i="34"/>
  <c r="V159" i="34"/>
  <c r="U159" i="34"/>
  <c r="T159" i="34"/>
  <c r="S159" i="34"/>
  <c r="AD158" i="34"/>
  <c r="AC158" i="34"/>
  <c r="AB158" i="34"/>
  <c r="AA158" i="34"/>
  <c r="AA1543" i="34" s="1"/>
  <c r="Z158" i="34"/>
  <c r="Y158" i="34"/>
  <c r="X158" i="34"/>
  <c r="W158" i="34"/>
  <c r="W1543" i="34" s="1"/>
  <c r="V158" i="34"/>
  <c r="V1543" i="34" s="1"/>
  <c r="U158" i="34"/>
  <c r="T158" i="34"/>
  <c r="S158" i="34"/>
  <c r="AC157" i="34"/>
  <c r="AB157" i="34"/>
  <c r="Y157" i="34"/>
  <c r="X157" i="34"/>
  <c r="W157" i="34"/>
  <c r="W1542" i="34" s="1"/>
  <c r="U157" i="34"/>
  <c r="T157" i="34"/>
  <c r="S157" i="34"/>
  <c r="T156" i="34"/>
  <c r="AC155" i="34"/>
  <c r="AA155" i="34"/>
  <c r="Y155" i="34"/>
  <c r="X155" i="34"/>
  <c r="W155" i="34"/>
  <c r="U155" i="34"/>
  <c r="T155" i="34"/>
  <c r="S155" i="34"/>
  <c r="AD146" i="34"/>
  <c r="AC146" i="34"/>
  <c r="AB146" i="34"/>
  <c r="AA146" i="34"/>
  <c r="Z146" i="34"/>
  <c r="Y146" i="34"/>
  <c r="X146" i="34"/>
  <c r="W146" i="34"/>
  <c r="V146" i="34"/>
  <c r="U146" i="34"/>
  <c r="T146" i="34"/>
  <c r="S146" i="34"/>
  <c r="AD131" i="34"/>
  <c r="AC131" i="34"/>
  <c r="AB131" i="34"/>
  <c r="AA131" i="34"/>
  <c r="Z131" i="34"/>
  <c r="Y131" i="34"/>
  <c r="X131" i="34"/>
  <c r="V131" i="34"/>
  <c r="U131" i="34"/>
  <c r="T131" i="34"/>
  <c r="S131" i="34"/>
  <c r="AD130" i="34"/>
  <c r="AC130" i="34"/>
  <c r="AB130" i="34"/>
  <c r="AA130" i="34"/>
  <c r="Z130" i="34"/>
  <c r="Y130" i="34"/>
  <c r="X130" i="34"/>
  <c r="W130" i="34"/>
  <c r="V130" i="34"/>
  <c r="U130" i="34"/>
  <c r="T130" i="34"/>
  <c r="S130" i="34"/>
  <c r="AD122" i="34"/>
  <c r="AC122" i="34"/>
  <c r="AB122" i="34"/>
  <c r="AA122" i="34"/>
  <c r="Z122" i="34"/>
  <c r="Y122" i="34"/>
  <c r="X122" i="34"/>
  <c r="W122" i="34"/>
  <c r="V122" i="34"/>
  <c r="U122" i="34"/>
  <c r="T122" i="34"/>
  <c r="S122" i="34"/>
  <c r="AD120" i="34"/>
  <c r="AC120" i="34"/>
  <c r="AB120" i="34"/>
  <c r="AA120" i="34"/>
  <c r="Z120" i="34"/>
  <c r="Y120" i="34"/>
  <c r="X120" i="34"/>
  <c r="W120" i="34"/>
  <c r="V120" i="34"/>
  <c r="U120" i="34"/>
  <c r="T120" i="34"/>
  <c r="S120" i="34"/>
  <c r="AC119" i="34"/>
  <c r="AB119" i="34"/>
  <c r="X119" i="34"/>
  <c r="W119" i="34"/>
  <c r="S119" i="34"/>
  <c r="AC118" i="34"/>
  <c r="AB118" i="34"/>
  <c r="Y118" i="34"/>
  <c r="X118" i="34"/>
  <c r="U118" i="34"/>
  <c r="T118" i="34"/>
  <c r="S118" i="34"/>
  <c r="AD117" i="34"/>
  <c r="AC117" i="34"/>
  <c r="AB117" i="34"/>
  <c r="AA117" i="34"/>
  <c r="Z117" i="34"/>
  <c r="Y117" i="34"/>
  <c r="X117" i="34"/>
  <c r="W117" i="34"/>
  <c r="V117" i="34"/>
  <c r="U117" i="34"/>
  <c r="T117" i="34"/>
  <c r="S117" i="34"/>
  <c r="AD113" i="34"/>
  <c r="AC113" i="34"/>
  <c r="AB113" i="34"/>
  <c r="AA113" i="34"/>
  <c r="Z113" i="34"/>
  <c r="Y113" i="34"/>
  <c r="X113" i="34"/>
  <c r="W113" i="34"/>
  <c r="V113" i="34"/>
  <c r="U113" i="34"/>
  <c r="T113" i="34"/>
  <c r="S113" i="34"/>
  <c r="AA112" i="34"/>
  <c r="W112" i="34"/>
  <c r="U112" i="34"/>
  <c r="T112" i="34"/>
  <c r="S112" i="34"/>
  <c r="AD106" i="34"/>
  <c r="AC106" i="34"/>
  <c r="AC80" i="34" s="1"/>
  <c r="AB106" i="34"/>
  <c r="AA106" i="34"/>
  <c r="AA80" i="34" s="1"/>
  <c r="Z106" i="34"/>
  <c r="Z80" i="34" s="1"/>
  <c r="Y106" i="34"/>
  <c r="Y80" i="34" s="1"/>
  <c r="X106" i="34"/>
  <c r="X80" i="34" s="1"/>
  <c r="W106" i="34"/>
  <c r="W80" i="34" s="1"/>
  <c r="V106" i="34"/>
  <c r="V80" i="34" s="1"/>
  <c r="U106" i="34"/>
  <c r="U80" i="34" s="1"/>
  <c r="T106" i="34"/>
  <c r="T80" i="34" s="1"/>
  <c r="T15" i="34" s="1"/>
  <c r="S106" i="34"/>
  <c r="AD105" i="34"/>
  <c r="AB105" i="34"/>
  <c r="AA105" i="34"/>
  <c r="Z105" i="34"/>
  <c r="Y105" i="34"/>
  <c r="X105" i="34"/>
  <c r="W105" i="34"/>
  <c r="V105" i="34"/>
  <c r="U105" i="34"/>
  <c r="T105" i="34"/>
  <c r="S105" i="34"/>
  <c r="AD91" i="34"/>
  <c r="AC91" i="34"/>
  <c r="AC437" i="34" s="1"/>
  <c r="AB91" i="34"/>
  <c r="AA91" i="34"/>
  <c r="AA437" i="34" s="1"/>
  <c r="Z91" i="34"/>
  <c r="Z437" i="34" s="1"/>
  <c r="Y91" i="34"/>
  <c r="Y437" i="34" s="1"/>
  <c r="X91" i="34"/>
  <c r="X437" i="34" s="1"/>
  <c r="W91" i="34"/>
  <c r="W437" i="34" s="1"/>
  <c r="V91" i="34"/>
  <c r="V437" i="34" s="1"/>
  <c r="U91" i="34"/>
  <c r="U437" i="34" s="1"/>
  <c r="T91" i="34"/>
  <c r="T437" i="34" s="1"/>
  <c r="S91" i="34"/>
  <c r="AD88" i="34"/>
  <c r="AD27" i="34" s="1"/>
  <c r="AC88" i="34"/>
  <c r="AC27" i="34" s="1"/>
  <c r="AC1324" i="34" s="1"/>
  <c r="AB88" i="34"/>
  <c r="AB27" i="34" s="1"/>
  <c r="AA88" i="34"/>
  <c r="AA27" i="34" s="1"/>
  <c r="AA1324" i="34" s="1"/>
  <c r="Z88" i="34"/>
  <c r="Z27" i="34" s="1"/>
  <c r="Z1324" i="34" s="1"/>
  <c r="Y88" i="34"/>
  <c r="Y27" i="34" s="1"/>
  <c r="Y1324" i="34" s="1"/>
  <c r="X88" i="34"/>
  <c r="X27" i="34" s="1"/>
  <c r="X1324" i="34" s="1"/>
  <c r="W88" i="34"/>
  <c r="W27" i="34" s="1"/>
  <c r="W1324" i="34" s="1"/>
  <c r="V88" i="34"/>
  <c r="V27" i="34" s="1"/>
  <c r="V1324" i="34" s="1"/>
  <c r="U88" i="34"/>
  <c r="U27" i="34" s="1"/>
  <c r="U1324" i="34" s="1"/>
  <c r="T88" i="34"/>
  <c r="T27" i="34" s="1"/>
  <c r="T1324" i="34" s="1"/>
  <c r="S88" i="34"/>
  <c r="S27" i="34" s="1"/>
  <c r="AD87" i="34"/>
  <c r="AD26" i="34" s="1"/>
  <c r="AC87" i="34"/>
  <c r="AC26" i="34" s="1"/>
  <c r="AB87" i="34"/>
  <c r="AB26" i="34" s="1"/>
  <c r="AA87" i="34"/>
  <c r="AA26" i="34" s="1"/>
  <c r="AA1323" i="34" s="1"/>
  <c r="Z87" i="34"/>
  <c r="Z26" i="34" s="1"/>
  <c r="Z1323" i="34" s="1"/>
  <c r="Y87" i="34"/>
  <c r="X87" i="34"/>
  <c r="X26" i="34" s="1"/>
  <c r="X1323" i="34" s="1"/>
  <c r="W87" i="34"/>
  <c r="W26" i="34" s="1"/>
  <c r="W1323" i="34" s="1"/>
  <c r="V87" i="34"/>
  <c r="V26" i="34" s="1"/>
  <c r="V1323" i="34" s="1"/>
  <c r="U87" i="34"/>
  <c r="U26" i="34" s="1"/>
  <c r="U1323" i="34" s="1"/>
  <c r="T87" i="34"/>
  <c r="T26" i="34" s="1"/>
  <c r="T1323" i="34" s="1"/>
  <c r="S87" i="34"/>
  <c r="S26" i="34" s="1"/>
  <c r="AD85" i="34"/>
  <c r="AC85" i="34"/>
  <c r="AC99" i="34" s="1"/>
  <c r="AB99" i="34"/>
  <c r="AA99" i="34"/>
  <c r="Z85" i="34"/>
  <c r="Y85" i="34"/>
  <c r="Y99" i="34" s="1"/>
  <c r="X85" i="34"/>
  <c r="X99" i="34" s="1"/>
  <c r="W85" i="34"/>
  <c r="W99" i="34" s="1"/>
  <c r="V85" i="34"/>
  <c r="U85" i="34"/>
  <c r="U99" i="34" s="1"/>
  <c r="T85" i="34"/>
  <c r="S85" i="34"/>
  <c r="S99" i="34" s="1"/>
  <c r="AD84" i="34"/>
  <c r="AC84" i="34"/>
  <c r="AC1529" i="34" s="1"/>
  <c r="AB1529" i="34"/>
  <c r="AA1529" i="34"/>
  <c r="Z84" i="34"/>
  <c r="Y84" i="34"/>
  <c r="Y1529" i="34" s="1"/>
  <c r="X84" i="34"/>
  <c r="X1529" i="34" s="1"/>
  <c r="W84" i="34"/>
  <c r="W1529" i="34" s="1"/>
  <c r="V84" i="34"/>
  <c r="V82" i="34" s="1"/>
  <c r="U84" i="34"/>
  <c r="U1529" i="34" s="1"/>
  <c r="T84" i="34"/>
  <c r="S84" i="34"/>
  <c r="S1529" i="34" s="1"/>
  <c r="AD83" i="34"/>
  <c r="AD82" i="34" s="1"/>
  <c r="AC83" i="34"/>
  <c r="AC97" i="34" s="1"/>
  <c r="AB97" i="34"/>
  <c r="AA97" i="34"/>
  <c r="Z83" i="34"/>
  <c r="Y83" i="34"/>
  <c r="Y97" i="34" s="1"/>
  <c r="X83" i="34"/>
  <c r="X97" i="34" s="1"/>
  <c r="W83" i="34"/>
  <c r="W97" i="34" s="1"/>
  <c r="V83" i="34"/>
  <c r="U83" i="34"/>
  <c r="U97" i="34" s="1"/>
  <c r="T83" i="34"/>
  <c r="S83" i="34"/>
  <c r="S97" i="34" s="1"/>
  <c r="AC82" i="34"/>
  <c r="AB82" i="34"/>
  <c r="AA82" i="34"/>
  <c r="Z82" i="34"/>
  <c r="Y82" i="34"/>
  <c r="X82" i="34"/>
  <c r="W82" i="34"/>
  <c r="Y58" i="34"/>
  <c r="W58" i="34"/>
  <c r="S58" i="34"/>
  <c r="AD48" i="34"/>
  <c r="AC48" i="34"/>
  <c r="AB48" i="34"/>
  <c r="AA48" i="34"/>
  <c r="Z48" i="34"/>
  <c r="Y48" i="34"/>
  <c r="X48" i="34"/>
  <c r="W48" i="34"/>
  <c r="U48" i="34"/>
  <c r="T48" i="34"/>
  <c r="S48" i="34"/>
  <c r="AD44" i="34"/>
  <c r="AC44" i="34"/>
  <c r="AC59" i="34" s="1"/>
  <c r="AB44" i="34"/>
  <c r="AA44" i="34"/>
  <c r="AA59" i="34" s="1"/>
  <c r="Z44" i="34"/>
  <c r="Z59" i="34" s="1"/>
  <c r="Y44" i="34"/>
  <c r="Y59" i="34" s="1"/>
  <c r="X44" i="34"/>
  <c r="X59" i="34" s="1"/>
  <c r="W44" i="34"/>
  <c r="W59" i="34" s="1"/>
  <c r="V59" i="34"/>
  <c r="U44" i="34"/>
  <c r="U59" i="34" s="1"/>
  <c r="T44" i="34"/>
  <c r="T59" i="34" s="1"/>
  <c r="S44" i="34"/>
  <c r="AD40" i="34"/>
  <c r="AC40" i="34"/>
  <c r="AC1477" i="34" s="1"/>
  <c r="AB40" i="34"/>
  <c r="AA40" i="34"/>
  <c r="AA1477" i="34" s="1"/>
  <c r="Z40" i="34"/>
  <c r="Z1477" i="34" s="1"/>
  <c r="Y40" i="34"/>
  <c r="Y1477" i="34" s="1"/>
  <c r="X40" i="34"/>
  <c r="X1477" i="34" s="1"/>
  <c r="W40" i="34"/>
  <c r="W1477" i="34" s="1"/>
  <c r="V40" i="34"/>
  <c r="V1477" i="34" s="1"/>
  <c r="U40" i="34"/>
  <c r="U1477" i="34" s="1"/>
  <c r="T40" i="34"/>
  <c r="T1477" i="34" s="1"/>
  <c r="S40" i="34"/>
  <c r="AD30" i="34"/>
  <c r="AC30" i="34"/>
  <c r="AB30" i="34"/>
  <c r="AA30" i="34"/>
  <c r="Z30" i="34"/>
  <c r="Y30" i="34"/>
  <c r="X30" i="34"/>
  <c r="W30" i="34"/>
  <c r="V30" i="34"/>
  <c r="U30" i="34"/>
  <c r="T30" i="34"/>
  <c r="S30" i="34"/>
  <c r="AC1323" i="34"/>
  <c r="Y26" i="34"/>
  <c r="Y1323" i="34" s="1"/>
  <c r="S13" i="34"/>
  <c r="S78" i="34" s="1"/>
  <c r="S11" i="34"/>
  <c r="AM769" i="34"/>
  <c r="AM1101" i="34"/>
  <c r="AU285" i="34"/>
  <c r="BC865" i="34"/>
  <c r="AM1107" i="34"/>
  <c r="AU724" i="34"/>
  <c r="BC565" i="34"/>
  <c r="AU906" i="34"/>
  <c r="AU842" i="34"/>
  <c r="BC954" i="34"/>
  <c r="AM422" i="34"/>
  <c r="BC616" i="34"/>
  <c r="BC204" i="34"/>
  <c r="AU847" i="34"/>
  <c r="AU615" i="34"/>
  <c r="BC990" i="34"/>
  <c r="AU1083" i="34"/>
  <c r="AM680" i="34"/>
  <c r="AU845" i="34"/>
  <c r="AM907" i="34"/>
  <c r="AM385" i="34"/>
  <c r="BC211" i="34"/>
  <c r="BC505" i="34"/>
  <c r="BC681" i="34"/>
  <c r="BC848" i="34"/>
  <c r="AU979" i="34"/>
  <c r="BC131" i="34"/>
  <c r="AM502" i="34"/>
  <c r="AM855" i="34"/>
  <c r="AM222" i="34"/>
  <c r="AU801" i="34"/>
  <c r="AU855" i="34"/>
  <c r="AU949" i="34"/>
  <c r="BC348" i="34"/>
  <c r="AM501" i="34"/>
  <c r="BC426" i="34"/>
  <c r="AM496" i="34"/>
  <c r="BC254" i="34"/>
  <c r="BC935" i="34"/>
  <c r="AU565" i="34"/>
  <c r="AM143" i="34"/>
  <c r="AM210" i="34"/>
  <c r="AU1086" i="34"/>
  <c r="AM106" i="34"/>
  <c r="AM641" i="34"/>
  <c r="BC469" i="34"/>
  <c r="AM1079" i="34"/>
  <c r="AM844" i="34"/>
  <c r="AM903" i="34"/>
  <c r="AU331" i="34"/>
  <c r="BC305" i="34"/>
  <c r="AM214" i="34"/>
  <c r="AU854" i="34"/>
  <c r="AU570" i="34"/>
  <c r="AM1031" i="34"/>
  <c r="AM871" i="34"/>
  <c r="BC867" i="34"/>
  <c r="AU609" i="34"/>
  <c r="BC850" i="34"/>
  <c r="BC509" i="34"/>
  <c r="BC784" i="34"/>
  <c r="AM849" i="34"/>
  <c r="AM867" i="34"/>
  <c r="AU1061" i="34"/>
  <c r="BC739" i="34"/>
  <c r="AM1020" i="34"/>
  <c r="BC30" i="34"/>
  <c r="BC1102" i="34"/>
  <c r="BC888" i="34"/>
  <c r="AM158" i="34"/>
  <c r="BC896" i="34"/>
  <c r="AU628" i="34"/>
  <c r="BC749" i="34"/>
  <c r="BC1089" i="34"/>
  <c r="AM624" i="34"/>
  <c r="BC27" i="34"/>
  <c r="BC219" i="34"/>
  <c r="AM217" i="34"/>
  <c r="AU1001" i="34"/>
  <c r="BC122" i="34"/>
  <c r="AM1025" i="34"/>
  <c r="AU143" i="34"/>
  <c r="BC529" i="34"/>
  <c r="AU868" i="34"/>
  <c r="BC695" i="34"/>
  <c r="BC285" i="34"/>
  <c r="BC801" i="34"/>
  <c r="AU122" i="34"/>
  <c r="BC913" i="34"/>
  <c r="AM1061" i="34"/>
  <c r="AM954" i="34"/>
  <c r="AU231" i="34"/>
  <c r="AU478" i="34"/>
  <c r="AM529" i="34"/>
  <c r="BC231" i="34"/>
  <c r="BC259" i="34"/>
  <c r="AM895" i="34"/>
  <c r="AM828" i="34"/>
  <c r="BC1038" i="34"/>
  <c r="BC624" i="34"/>
  <c r="AM40" i="34"/>
  <c r="AM605" i="34"/>
  <c r="BC44" i="34"/>
  <c r="AU1055" i="34"/>
  <c r="BC363" i="34"/>
  <c r="AM257" i="34"/>
  <c r="AU591" i="34"/>
  <c r="BC699" i="34"/>
  <c r="BC900" i="34"/>
  <c r="AU40" i="34"/>
  <c r="AU871" i="34"/>
  <c r="AU889" i="34"/>
  <c r="AM592" i="34"/>
  <c r="AU1008" i="34"/>
  <c r="AM460" i="34"/>
  <c r="AM216" i="34"/>
  <c r="AM743" i="34"/>
  <c r="AM58" i="34"/>
  <c r="AU833" i="34"/>
  <c r="BC533" i="34"/>
  <c r="AM219" i="34"/>
  <c r="AM145" i="34"/>
  <c r="AU348" i="34"/>
  <c r="AU930" i="34"/>
  <c r="AU30" i="34"/>
  <c r="AU430" i="34"/>
  <c r="BC844" i="34"/>
  <c r="AM392" i="34"/>
  <c r="AM48" i="34"/>
  <c r="AM204" i="34"/>
  <c r="AM716" i="34"/>
  <c r="BC268" i="34"/>
  <c r="AU893" i="34"/>
  <c r="AU222" i="34"/>
  <c r="AU784" i="34"/>
  <c r="AM580" i="34"/>
  <c r="AU342" i="34"/>
  <c r="BC279" i="34"/>
  <c r="BC485" i="34"/>
  <c r="AM640" i="34"/>
  <c r="AU290" i="34"/>
  <c r="AU393" i="34"/>
  <c r="BC851" i="34"/>
  <c r="AU529" i="34"/>
  <c r="BC965" i="34"/>
  <c r="AM524" i="34"/>
  <c r="BC479" i="34"/>
  <c r="AM215" i="34"/>
  <c r="AM601" i="34"/>
  <c r="BC185" i="34"/>
  <c r="AU496" i="34"/>
  <c r="BC290" i="34"/>
  <c r="BC120" i="34"/>
  <c r="AM488" i="34"/>
  <c r="AU561" i="34"/>
  <c r="AU509" i="34"/>
  <c r="AM593" i="34"/>
  <c r="AM862" i="34"/>
  <c r="AU794" i="34"/>
  <c r="AM948" i="34"/>
  <c r="AU739" i="34"/>
  <c r="AU467" i="34"/>
  <c r="BC1080" i="34"/>
  <c r="BC897" i="34"/>
  <c r="BC849" i="34"/>
  <c r="BC755" i="34"/>
  <c r="AU616" i="34"/>
  <c r="BC642" i="34"/>
  <c r="AM896" i="34"/>
  <c r="AM391" i="34"/>
  <c r="AM774" i="34"/>
  <c r="AM577" i="34"/>
  <c r="AU891" i="34"/>
  <c r="BC197" i="34"/>
  <c r="AU601" i="34"/>
  <c r="AM789" i="34"/>
  <c r="BC1096" i="34"/>
  <c r="BC853" i="34"/>
  <c r="BC717" i="34"/>
  <c r="AU862" i="34"/>
  <c r="AM213" i="34"/>
  <c r="AU501" i="34"/>
  <c r="AU255" i="34"/>
  <c r="AM430" i="34"/>
  <c r="AU91" i="34"/>
  <c r="AM818" i="34"/>
  <c r="BC397" i="34"/>
  <c r="BC914" i="34"/>
  <c r="AU422" i="34"/>
  <c r="AU260" i="34"/>
  <c r="AM616" i="34"/>
  <c r="BC895" i="34"/>
  <c r="BC847" i="34"/>
  <c r="AU863" i="34"/>
  <c r="BC1079" i="34"/>
  <c r="AM1008" i="34"/>
  <c r="AM472" i="34"/>
  <c r="AM705" i="34"/>
  <c r="AM870" i="34"/>
  <c r="AU1039" i="34"/>
  <c r="AU577" i="34"/>
  <c r="AU673" i="34"/>
  <c r="AM898" i="34"/>
  <c r="BC673" i="34"/>
  <c r="AM255" i="34"/>
  <c r="AM1081" i="34"/>
  <c r="BC941" i="34"/>
  <c r="BC286" i="34"/>
  <c r="BC769" i="34"/>
  <c r="AU462" i="34"/>
  <c r="AU914" i="34"/>
  <c r="AU681" i="34"/>
  <c r="AU185" i="34"/>
  <c r="AU642" i="34"/>
  <c r="AM1080" i="34"/>
  <c r="AU844" i="34"/>
  <c r="BC258" i="34"/>
  <c r="AM901" i="34"/>
  <c r="AU211" i="34"/>
  <c r="BC1061" i="34"/>
  <c r="AM733" i="34"/>
  <c r="AU581" i="34"/>
  <c r="AM913" i="34"/>
  <c r="AM847" i="34"/>
  <c r="AM1044" i="34"/>
  <c r="BC117" i="34"/>
  <c r="AM900" i="34"/>
  <c r="AU733" i="34"/>
  <c r="AU349" i="34"/>
  <c r="AM763" i="34"/>
  <c r="AM429" i="34"/>
  <c r="AM930" i="34"/>
  <c r="AM260" i="34"/>
  <c r="BC472" i="34"/>
  <c r="BC948" i="34"/>
  <c r="AU846" i="34"/>
  <c r="AU705" i="34"/>
  <c r="AM117" i="34"/>
  <c r="AM485" i="34"/>
  <c r="AM909" i="34"/>
  <c r="AM724" i="34"/>
  <c r="BC907" i="34"/>
  <c r="BC1025" i="34"/>
  <c r="AU215" i="34"/>
  <c r="BC172" i="34"/>
  <c r="AU984" i="34"/>
  <c r="AU597" i="34"/>
  <c r="BC789" i="34"/>
  <c r="AM468" i="34"/>
  <c r="BC295" i="34"/>
  <c r="AU664" i="34"/>
  <c r="AU219" i="34"/>
  <c r="AM979" i="34"/>
  <c r="AU197" i="34"/>
  <c r="AM287" i="34"/>
  <c r="AU484" i="34"/>
  <c r="AM965" i="34"/>
  <c r="AU203" i="34"/>
  <c r="AM701" i="34"/>
  <c r="AU258" i="34"/>
  <c r="AU552" i="34"/>
  <c r="BC169" i="34"/>
  <c r="BC763" i="34"/>
  <c r="BC711" i="34"/>
  <c r="AM803" i="34"/>
  <c r="AU485" i="34"/>
  <c r="BC217" i="34"/>
  <c r="AU727" i="34"/>
  <c r="AM628" i="34"/>
  <c r="AU217" i="34"/>
  <c r="AU716" i="34"/>
  <c r="AU218" i="34"/>
  <c r="BC911" i="34"/>
  <c r="AM725" i="34"/>
  <c r="AU350" i="34"/>
  <c r="AM673" i="34"/>
  <c r="AU1089" i="34"/>
  <c r="BC255" i="34"/>
  <c r="BC705" i="34"/>
  <c r="AU463" i="34"/>
  <c r="AU808" i="34"/>
  <c r="AM868" i="34"/>
  <c r="AM220" i="34"/>
  <c r="BC912" i="34"/>
  <c r="AU257" i="34"/>
  <c r="AU903" i="34"/>
  <c r="BC808" i="34"/>
  <c r="AU867" i="34"/>
  <c r="AU472" i="34"/>
  <c r="BC300" i="34"/>
  <c r="BC869" i="34"/>
  <c r="AM693" i="34"/>
  <c r="AU769" i="34"/>
  <c r="AU428" i="34"/>
  <c r="AU919" i="34"/>
  <c r="AM286" i="34"/>
  <c r="BC868" i="34"/>
  <c r="BC870" i="34"/>
  <c r="AU44" i="34"/>
  <c r="BC1086" i="34"/>
  <c r="AU707" i="34"/>
  <c r="BC581" i="34"/>
  <c r="AM739" i="34"/>
  <c r="BC1001" i="34"/>
  <c r="AU857" i="34"/>
  <c r="BC146" i="34"/>
  <c r="BC743" i="34"/>
  <c r="AU526" i="34"/>
  <c r="AU520" i="34"/>
  <c r="AM509" i="34"/>
  <c r="AU1105" i="34"/>
  <c r="BC1044" i="34"/>
  <c r="BC1008" i="34"/>
  <c r="AU223" i="34"/>
  <c r="BC203" i="34"/>
  <c r="AU737" i="34"/>
  <c r="BC852" i="34"/>
  <c r="BC428" i="34"/>
  <c r="BC855" i="34"/>
  <c r="AM426" i="34"/>
  <c r="AM845" i="34"/>
  <c r="BC687" i="34"/>
  <c r="AU774" i="34"/>
  <c r="AM131" i="34"/>
  <c r="AM935" i="34"/>
  <c r="AM689" i="34"/>
  <c r="BC779" i="34"/>
  <c r="AU1014" i="34"/>
  <c r="AM291" i="34"/>
  <c r="BC214" i="34"/>
  <c r="AU1025" i="34"/>
  <c r="AU1102" i="34"/>
  <c r="AU593" i="34"/>
  <c r="BC871" i="34"/>
  <c r="AU888" i="34"/>
  <c r="AU789" i="34"/>
  <c r="AU596" i="34"/>
  <c r="BC342" i="34"/>
  <c r="AU605" i="34"/>
  <c r="BC291" i="34"/>
  <c r="BC287" i="34"/>
  <c r="BC48" i="34"/>
  <c r="AU172" i="34"/>
  <c r="AM122" i="34"/>
  <c r="AM1105" i="34"/>
  <c r="BC664" i="34"/>
  <c r="AM990" i="34"/>
  <c r="AU898" i="34"/>
  <c r="AU301" i="34"/>
  <c r="BC186" i="34"/>
  <c r="AM545" i="34"/>
  <c r="BC113" i="34"/>
  <c r="BC224" i="34"/>
  <c r="BC854" i="34"/>
  <c r="AM363" i="34"/>
  <c r="AM894" i="34"/>
  <c r="AU580" i="34"/>
  <c r="BC105" i="34"/>
  <c r="BC495" i="34"/>
  <c r="BC856" i="34"/>
  <c r="AU145" i="34"/>
  <c r="AM169" i="34"/>
  <c r="AM285" i="34"/>
  <c r="AU483" i="34"/>
  <c r="AU683" i="34"/>
  <c r="AU131" i="34"/>
  <c r="AM461" i="34"/>
  <c r="AU221" i="34"/>
  <c r="AU990" i="34"/>
  <c r="BC866" i="34"/>
  <c r="BC843" i="34"/>
  <c r="AM833" i="34"/>
  <c r="AM865" i="34"/>
  <c r="BC502" i="34"/>
  <c r="AU1081" i="34"/>
  <c r="BC823" i="34"/>
  <c r="BC903" i="34"/>
  <c r="BC570" i="34"/>
  <c r="AU26" i="34"/>
  <c r="BC1101" i="34"/>
  <c r="BC478" i="34"/>
  <c r="AM533" i="34"/>
  <c r="AM30" i="34"/>
  <c r="BC857" i="34"/>
  <c r="AM223" i="34"/>
  <c r="AM902" i="34"/>
  <c r="AU1080" i="34"/>
  <c r="AU268" i="34"/>
  <c r="BC1083" i="34"/>
  <c r="AU468" i="34"/>
  <c r="BC716" i="34"/>
  <c r="BC872" i="34"/>
  <c r="AM484" i="34"/>
  <c r="AM469" i="34"/>
  <c r="BC562" i="34"/>
  <c r="AU908" i="34"/>
  <c r="BC701" i="34"/>
  <c r="AU130" i="34"/>
  <c r="AM130" i="34"/>
  <c r="AM632" i="34"/>
  <c r="AM463" i="34"/>
  <c r="BC1105" i="34"/>
  <c r="BC978" i="34"/>
  <c r="AM462" i="34"/>
  <c r="AM615" i="34"/>
  <c r="AU755" i="34"/>
  <c r="AM519" i="34"/>
  <c r="BC731" i="34"/>
  <c r="AU818" i="34"/>
  <c r="BC222" i="34"/>
  <c r="AM1050" i="34"/>
  <c r="BC619" i="34"/>
  <c r="AU960" i="34"/>
  <c r="AU117" i="34"/>
  <c r="AM537" i="34"/>
  <c r="AU213" i="34"/>
  <c r="AU305" i="34"/>
  <c r="BC905" i="34"/>
  <c r="BC257" i="34"/>
  <c r="AM749" i="34"/>
  <c r="AU632" i="34"/>
  <c r="BC215" i="34"/>
  <c r="AM390" i="34"/>
  <c r="BC159" i="34"/>
  <c r="BC40" i="34"/>
  <c r="AM899" i="34"/>
  <c r="BC864" i="34"/>
  <c r="AU978" i="34"/>
  <c r="AM231" i="34"/>
  <c r="AM889" i="34"/>
  <c r="AU870" i="34"/>
  <c r="AM823" i="34"/>
  <c r="AU941" i="34"/>
  <c r="AM224" i="34"/>
  <c r="AU461" i="34"/>
  <c r="AU864" i="34"/>
  <c r="AM656" i="34"/>
  <c r="AU1009" i="34"/>
  <c r="BC321" i="34"/>
  <c r="BC751" i="34"/>
  <c r="AM848" i="34"/>
  <c r="AU848" i="34"/>
  <c r="AU649" i="34"/>
  <c r="AM1083" i="34"/>
  <c r="AU856" i="34"/>
  <c r="BC545" i="34"/>
  <c r="AM505" i="34"/>
  <c r="AM91" i="34"/>
  <c r="BC930" i="34"/>
  <c r="AM331" i="34"/>
  <c r="AM1082" i="34"/>
  <c r="AU902" i="34"/>
  <c r="AM387" i="34"/>
  <c r="BC585" i="34"/>
  <c r="AU321" i="34"/>
  <c r="AM596" i="34"/>
  <c r="BC818" i="34"/>
  <c r="AU585" i="34"/>
  <c r="AU204" i="34"/>
  <c r="BC130" i="34"/>
  <c r="BC210" i="34"/>
  <c r="AU566" i="34"/>
  <c r="BC901" i="34"/>
  <c r="AM949" i="34"/>
  <c r="AM1038" i="34"/>
  <c r="BC350" i="34"/>
  <c r="AU877" i="34"/>
  <c r="AU779" i="34"/>
  <c r="AU1038" i="34"/>
  <c r="AU286" i="34"/>
  <c r="AM27" i="34"/>
  <c r="BC526" i="34"/>
  <c r="AU1079" i="34"/>
  <c r="AU619" i="34"/>
  <c r="BC158" i="34"/>
  <c r="AM186" i="34"/>
  <c r="BC892" i="34"/>
  <c r="AU890" i="34"/>
  <c r="AU899" i="34"/>
  <c r="AM113" i="34"/>
  <c r="BC902" i="34"/>
  <c r="AM259" i="34"/>
  <c r="AU105" i="34"/>
  <c r="AM851" i="34"/>
  <c r="BC846" i="34"/>
  <c r="AM711" i="34"/>
  <c r="AU519" i="34"/>
  <c r="AM853" i="34"/>
  <c r="AM290" i="34"/>
  <c r="AM1089" i="34"/>
  <c r="AM562" i="34"/>
  <c r="AM525" i="34"/>
  <c r="AU695" i="34"/>
  <c r="AM984" i="34"/>
  <c r="AM552" i="34"/>
  <c r="BC1009" i="34"/>
  <c r="AM561" i="34"/>
  <c r="BC733" i="34"/>
  <c r="AM872" i="34"/>
  <c r="AU397" i="34"/>
  <c r="BC513" i="34"/>
  <c r="AM695" i="34"/>
  <c r="AM687" i="34"/>
  <c r="AM428" i="34"/>
  <c r="AM912" i="34"/>
  <c r="AU711" i="34"/>
  <c r="AM911" i="34"/>
  <c r="BC484" i="34"/>
  <c r="AM581" i="34"/>
  <c r="AM784" i="34"/>
  <c r="BC260" i="34"/>
  <c r="AM620" i="34"/>
  <c r="AM707" i="34"/>
  <c r="BC693" i="34"/>
  <c r="BC725" i="34"/>
  <c r="AU291" i="34"/>
  <c r="BC891" i="34"/>
  <c r="AU971" i="34"/>
  <c r="BC906" i="34"/>
  <c r="AU216" i="34"/>
  <c r="AM731" i="34"/>
  <c r="BC1055" i="34"/>
  <c r="AU300" i="34"/>
  <c r="AM801" i="34"/>
  <c r="AU1107" i="34"/>
  <c r="AU896" i="34"/>
  <c r="AM26" i="34"/>
  <c r="AM751" i="34"/>
  <c r="BC683" i="34"/>
  <c r="AU205" i="34"/>
  <c r="AM619" i="34"/>
  <c r="AM591" i="34"/>
  <c r="AM300" i="34"/>
  <c r="AM254" i="34"/>
  <c r="AM864" i="34"/>
  <c r="AU911" i="34"/>
  <c r="AU905" i="34"/>
  <c r="BC995" i="34"/>
  <c r="AM483" i="34"/>
  <c r="AM910" i="34"/>
  <c r="BC468" i="34"/>
  <c r="BC283" i="34"/>
  <c r="BC890" i="34"/>
  <c r="BC656" i="34"/>
  <c r="BC620" i="34"/>
  <c r="AU363" i="34"/>
  <c r="AM349" i="34"/>
  <c r="AM283" i="34"/>
  <c r="AU1115" i="34"/>
  <c r="AM105" i="34"/>
  <c r="AU1044" i="34"/>
  <c r="BC577" i="34"/>
  <c r="BC218" i="34"/>
  <c r="AM565" i="34"/>
  <c r="AU48" i="34"/>
  <c r="BC301" i="34"/>
  <c r="AM971" i="34"/>
  <c r="BC552" i="34"/>
  <c r="AM764" i="34"/>
  <c r="AU803" i="34"/>
  <c r="AM1009" i="34"/>
  <c r="BC331" i="34"/>
  <c r="AU866" i="34"/>
  <c r="AM211" i="34"/>
  <c r="BC519" i="34"/>
  <c r="AU843" i="34"/>
  <c r="BC833" i="34"/>
  <c r="AU828" i="34"/>
  <c r="AM941" i="34"/>
  <c r="BC393" i="34"/>
  <c r="AU849" i="34"/>
  <c r="BC1081" i="34"/>
  <c r="AM209" i="34"/>
  <c r="AM500" i="34"/>
  <c r="AM683" i="34"/>
  <c r="AM256" i="34"/>
  <c r="AU502" i="34"/>
  <c r="AU657" i="34"/>
  <c r="AM609" i="34"/>
  <c r="AM513" i="34"/>
  <c r="AU545" i="34"/>
  <c r="AU640" i="34"/>
  <c r="AU120" i="34"/>
  <c r="AM681" i="34"/>
  <c r="AU865" i="34"/>
  <c r="AU895" i="34"/>
  <c r="AM120" i="34"/>
  <c r="AU852" i="34"/>
  <c r="BC143" i="34"/>
  <c r="AM597" i="34"/>
  <c r="BC597" i="34"/>
  <c r="AM657" i="34"/>
  <c r="AU1093" i="34"/>
  <c r="AU210" i="34"/>
  <c r="BC1014" i="34"/>
  <c r="AM843" i="34"/>
  <c r="AM1086" i="34"/>
  <c r="AU717" i="34"/>
  <c r="AU287" i="34"/>
  <c r="AU689" i="34"/>
  <c r="AM520" i="34"/>
  <c r="BC1093" i="34"/>
  <c r="BC106" i="34"/>
  <c r="BC971" i="34"/>
  <c r="AU469" i="34"/>
  <c r="AU429" i="34"/>
  <c r="AM495" i="34"/>
  <c r="BC615" i="34"/>
  <c r="AM808" i="34"/>
  <c r="AU912" i="34"/>
  <c r="AM348" i="34"/>
  <c r="AM479" i="34"/>
  <c r="AM203" i="34"/>
  <c r="BC596" i="34"/>
  <c r="BC774" i="34"/>
  <c r="AM1096" i="34"/>
  <c r="BC429" i="34"/>
  <c r="AU479" i="34"/>
  <c r="AU749" i="34"/>
  <c r="BC794" i="34"/>
  <c r="BC520" i="34"/>
  <c r="AM159" i="34"/>
  <c r="AU624" i="34"/>
  <c r="AM205" i="34"/>
  <c r="BC593" i="34"/>
  <c r="AU295" i="34"/>
  <c r="AM642" i="34"/>
  <c r="AM717" i="34"/>
  <c r="AU743" i="34"/>
  <c r="AM856" i="34"/>
  <c r="AM350" i="34"/>
  <c r="AM745" i="34"/>
  <c r="AM893" i="34"/>
  <c r="AU802" i="34"/>
  <c r="BC430" i="34"/>
  <c r="BC628" i="34"/>
  <c r="AU965" i="34"/>
  <c r="BC724" i="34"/>
  <c r="BC707" i="34"/>
  <c r="AM978" i="34"/>
  <c r="AU745" i="34"/>
  <c r="BC632" i="34"/>
  <c r="BC221" i="34"/>
  <c r="AU701" i="34"/>
  <c r="BC212" i="34"/>
  <c r="AM1001" i="34"/>
  <c r="AU892" i="34"/>
  <c r="BC894" i="34"/>
  <c r="AM755" i="34"/>
  <c r="BC349" i="34"/>
  <c r="BC145" i="34"/>
  <c r="BC889" i="34"/>
  <c r="BC496" i="34"/>
  <c r="AM44" i="34"/>
  <c r="BC899" i="34"/>
  <c r="BC1031" i="34"/>
  <c r="AM892" i="34"/>
  <c r="AU1082" i="34"/>
  <c r="BC908" i="34"/>
  <c r="AU897" i="34"/>
  <c r="AU901" i="34"/>
  <c r="AM301" i="34"/>
  <c r="AM585" i="34"/>
  <c r="BC601" i="34"/>
  <c r="BC919" i="34"/>
  <c r="AU680" i="34"/>
  <c r="AM914" i="34"/>
  <c r="AM146" i="34"/>
  <c r="AM218" i="34"/>
  <c r="BC205" i="34"/>
  <c r="BC483" i="34"/>
  <c r="AU525" i="34"/>
  <c r="AU426" i="34"/>
  <c r="AU725" i="34"/>
  <c r="AU113" i="34"/>
  <c r="AM857" i="34"/>
  <c r="AM477" i="34"/>
  <c r="BC566" i="34"/>
  <c r="AU699" i="34"/>
  <c r="BC657" i="34"/>
  <c r="AU764" i="34"/>
  <c r="BC910" i="34"/>
  <c r="AM268" i="34"/>
  <c r="AM393" i="34"/>
  <c r="AU495" i="34"/>
  <c r="AU687" i="34"/>
  <c r="AM1055" i="34"/>
  <c r="AU533" i="34"/>
  <c r="AM866" i="34"/>
  <c r="BC689" i="34"/>
  <c r="AU751" i="34"/>
  <c r="BC422" i="34"/>
  <c r="AM388" i="34"/>
  <c r="AU477" i="34"/>
  <c r="BC1115" i="34"/>
  <c r="BC91" i="34"/>
  <c r="AU731" i="34"/>
  <c r="AM737" i="34"/>
  <c r="AM960" i="34"/>
  <c r="AM842" i="34"/>
  <c r="AU907" i="34"/>
  <c r="AU224" i="34"/>
  <c r="AU823" i="34"/>
  <c r="AM779" i="34"/>
  <c r="AM342" i="34"/>
  <c r="AU909" i="34"/>
  <c r="BC960" i="34"/>
  <c r="AM467" i="34"/>
  <c r="AM727" i="34"/>
  <c r="BC220" i="34"/>
  <c r="AU948" i="34"/>
  <c r="AM172" i="34"/>
  <c r="AM802" i="34"/>
  <c r="AM908" i="34"/>
  <c r="AM995" i="34"/>
  <c r="AM279" i="34"/>
  <c r="AU513" i="34"/>
  <c r="AM897" i="34"/>
  <c r="AM478" i="34"/>
  <c r="BC649" i="34"/>
  <c r="BC745" i="34"/>
  <c r="AM221" i="34"/>
  <c r="AU900" i="34"/>
  <c r="AU1101" i="34"/>
  <c r="AM891" i="34"/>
  <c r="AM566" i="34"/>
  <c r="AU214" i="34"/>
  <c r="AM1093" i="34"/>
  <c r="AU924" i="34"/>
  <c r="AU537" i="34"/>
  <c r="BC256" i="34"/>
  <c r="AU851" i="34"/>
  <c r="AU169" i="34"/>
  <c r="AU283" i="34"/>
  <c r="BC984" i="34"/>
  <c r="AU853" i="34"/>
  <c r="AM212" i="34"/>
  <c r="AU1031" i="34"/>
  <c r="AM1102" i="34"/>
  <c r="AM526" i="34"/>
  <c r="AM570" i="34"/>
  <c r="AM850" i="34"/>
  <c r="AU693" i="34"/>
  <c r="AM906" i="34"/>
  <c r="AU27" i="34"/>
  <c r="BC898" i="34"/>
  <c r="AU910" i="34"/>
  <c r="AM919" i="34"/>
  <c r="AM1115" i="34"/>
  <c r="AM869" i="34"/>
  <c r="AM905" i="34"/>
  <c r="AM397" i="34"/>
  <c r="AM877" i="34"/>
  <c r="AM846" i="34"/>
  <c r="AM854" i="34"/>
  <c r="AM863" i="34"/>
  <c r="AU460" i="34"/>
  <c r="BC463" i="34"/>
  <c r="AU106" i="34"/>
  <c r="AU220" i="34"/>
  <c r="BC1039" i="34"/>
  <c r="AU209" i="34"/>
  <c r="AU813" i="34"/>
  <c r="BC605" i="34"/>
  <c r="AU620" i="34"/>
  <c r="BC924" i="34"/>
  <c r="BC877" i="34"/>
  <c r="BC803" i="34"/>
  <c r="BC1082" i="34"/>
  <c r="AM258" i="34"/>
  <c r="AM813" i="34"/>
  <c r="AU913" i="34"/>
  <c r="BC802" i="34"/>
  <c r="AU505" i="34"/>
  <c r="AU869" i="34"/>
  <c r="AU935" i="34"/>
  <c r="BC909" i="34"/>
  <c r="BC949" i="34"/>
  <c r="AU159" i="34"/>
  <c r="AU254" i="34"/>
  <c r="BC1020" i="34"/>
  <c r="BC828" i="34"/>
  <c r="AM888" i="34"/>
  <c r="AM924" i="34"/>
  <c r="AU212" i="34"/>
  <c r="AU146" i="34"/>
  <c r="AU995" i="34"/>
  <c r="AU259" i="34"/>
  <c r="AU279" i="34"/>
  <c r="BC462" i="34"/>
  <c r="AM305" i="34"/>
  <c r="BC863" i="34"/>
  <c r="AU158" i="34"/>
  <c r="AU894" i="34"/>
  <c r="BC537" i="34"/>
  <c r="BC893" i="34"/>
  <c r="BC488" i="34"/>
  <c r="AM185" i="34"/>
  <c r="AU872" i="34"/>
  <c r="AU1020" i="34"/>
  <c r="AM321" i="34"/>
  <c r="AM295" i="34"/>
  <c r="AM649" i="34"/>
  <c r="BC1107" i="34"/>
  <c r="AU656" i="34"/>
  <c r="BC26" i="34"/>
  <c r="AM1039" i="34"/>
  <c r="AU1050" i="34"/>
  <c r="BC737" i="34"/>
  <c r="AM852" i="34"/>
  <c r="BC467" i="34"/>
  <c r="AU256" i="34"/>
  <c r="AU954" i="34"/>
  <c r="AM890" i="34"/>
  <c r="AM197" i="34"/>
  <c r="AU763" i="34"/>
  <c r="BC213" i="34"/>
  <c r="BC764" i="34"/>
  <c r="AU592" i="34"/>
  <c r="BC813" i="34"/>
  <c r="BC1050" i="34"/>
  <c r="AM664" i="34"/>
  <c r="AM794" i="34"/>
  <c r="AU488" i="34"/>
  <c r="AU850" i="34"/>
  <c r="BC845" i="34"/>
  <c r="BC609" i="34"/>
  <c r="AM699" i="34"/>
  <c r="AU641" i="34"/>
  <c r="AU1096" i="34"/>
  <c r="BC727" i="34"/>
  <c r="BC979" i="34"/>
  <c r="AU562" i="34"/>
  <c r="AU186" i="34"/>
  <c r="AM1014" i="34"/>
  <c r="AD802" i="34" l="1"/>
  <c r="AD801" i="34" s="1"/>
  <c r="AD1079" i="34"/>
  <c r="AD1441" i="34"/>
  <c r="AD1327" i="34"/>
  <c r="AD223" i="34"/>
  <c r="AD680" i="34"/>
  <c r="AD867" i="34"/>
  <c r="AD615" i="34"/>
  <c r="AD845" i="34"/>
  <c r="AD843" i="34"/>
  <c r="AD58" i="34" s="1"/>
  <c r="AD596" i="34"/>
  <c r="AD592" i="34" s="1"/>
  <c r="AD852" i="34"/>
  <c r="AD847" i="34"/>
  <c r="AD641" i="34"/>
  <c r="AD640" i="34" s="1"/>
  <c r="AD561" i="34"/>
  <c r="AD477" i="34"/>
  <c r="AD468" i="34"/>
  <c r="AD467" i="34" s="1"/>
  <c r="AD461" i="34" s="1"/>
  <c r="AD899" i="34"/>
  <c r="AD887" i="34" s="1"/>
  <c r="AD978" i="34"/>
  <c r="AD948" i="34"/>
  <c r="AD918" i="34"/>
  <c r="AD1403" i="34"/>
  <c r="AC1137" i="34"/>
  <c r="AC1128" i="34"/>
  <c r="AC1451" i="34"/>
  <c r="AC1198" i="34"/>
  <c r="AC1101" i="34"/>
  <c r="AC1079" i="34"/>
  <c r="AC1441" i="34"/>
  <c r="AC888" i="34"/>
  <c r="AC1414" i="34" s="1"/>
  <c r="AC899" i="34"/>
  <c r="AC1416" i="34" s="1"/>
  <c r="AC1413" i="34" s="1"/>
  <c r="AC978" i="34"/>
  <c r="AC948" i="34"/>
  <c r="AC887" i="34"/>
  <c r="AC283" i="34"/>
  <c r="AC446" i="34" s="1"/>
  <c r="AC444" i="34" s="1"/>
  <c r="AC452" i="34"/>
  <c r="AC223" i="34"/>
  <c r="AC802" i="34"/>
  <c r="AC801" i="34" s="1"/>
  <c r="AC763" i="34"/>
  <c r="AC762" i="34" s="1"/>
  <c r="AC844" i="34"/>
  <c r="AC262" i="34"/>
  <c r="AC680" i="34"/>
  <c r="AC641" i="34"/>
  <c r="AC640" i="34" s="1"/>
  <c r="AC216" i="34"/>
  <c r="AC208" i="34" s="1"/>
  <c r="AC615" i="34"/>
  <c r="AC862" i="34"/>
  <c r="AC1572" i="34" s="1"/>
  <c r="AC1571" i="34" s="1"/>
  <c r="AC596" i="34"/>
  <c r="AC183" i="34" s="1"/>
  <c r="AC156" i="34"/>
  <c r="AC561" i="34"/>
  <c r="AC852" i="34"/>
  <c r="AC58" i="34"/>
  <c r="AC842" i="34"/>
  <c r="AC1482" i="34" s="1"/>
  <c r="AC847" i="34"/>
  <c r="AC1528" i="34" s="1"/>
  <c r="AC468" i="34"/>
  <c r="AC467" i="34" s="1"/>
  <c r="AC1496" i="34" s="1"/>
  <c r="AC1497" i="34"/>
  <c r="AC103" i="34"/>
  <c r="AC477" i="34"/>
  <c r="V904" i="34"/>
  <c r="V1417" i="34" s="1"/>
  <c r="U918" i="34"/>
  <c r="S904" i="34"/>
  <c r="S918" i="34"/>
  <c r="AB223" i="34"/>
  <c r="AB1198" i="34"/>
  <c r="AB1079" i="34"/>
  <c r="AB1448" i="34"/>
  <c r="AB1441" i="34"/>
  <c r="AB1128" i="34"/>
  <c r="AB948" i="34"/>
  <c r="AB1413" i="34"/>
  <c r="AB918" i="34"/>
  <c r="AB887" i="34"/>
  <c r="AB763" i="34"/>
  <c r="AB867" i="34"/>
  <c r="AB680" i="34"/>
  <c r="AB262" i="34"/>
  <c r="AB641" i="34"/>
  <c r="AB640" i="34" s="1"/>
  <c r="AB216" i="34"/>
  <c r="AB208" i="34" s="1"/>
  <c r="AB615" i="34"/>
  <c r="AB862" i="34"/>
  <c r="AB596" i="34"/>
  <c r="AB592" i="34" s="1"/>
  <c r="AB156" i="34"/>
  <c r="AB561" i="34"/>
  <c r="AB844" i="34"/>
  <c r="AB842" i="34" s="1"/>
  <c r="AB847" i="34"/>
  <c r="AB477" i="34"/>
  <c r="AB103" i="34"/>
  <c r="AB461" i="34"/>
  <c r="Z802" i="34"/>
  <c r="Z801" i="34" s="1"/>
  <c r="AA363" i="34"/>
  <c r="AA444" i="34"/>
  <c r="AA201" i="34"/>
  <c r="AA1198" i="34"/>
  <c r="AA1197" i="34" s="1"/>
  <c r="AA1101" i="34"/>
  <c r="AA1079" i="34"/>
  <c r="AA1441" i="34"/>
  <c r="AA978" i="34"/>
  <c r="AA948" i="34"/>
  <c r="AA918" i="34"/>
  <c r="AA1413" i="34"/>
  <c r="AA887" i="34"/>
  <c r="AA1403" i="34"/>
  <c r="AA452" i="34"/>
  <c r="AA22" i="34"/>
  <c r="AA1319" i="34" s="1"/>
  <c r="AA223" i="34"/>
  <c r="AA802" i="34"/>
  <c r="AA801" i="34" s="1"/>
  <c r="AA680" i="34"/>
  <c r="AA672" i="34" s="1"/>
  <c r="AA671" i="34" s="1"/>
  <c r="AA262" i="34"/>
  <c r="AA261" i="34" s="1"/>
  <c r="AA615" i="34"/>
  <c r="AA862" i="34"/>
  <c r="AA1572" i="34" s="1"/>
  <c r="AA1571" i="34" s="1"/>
  <c r="AA596" i="34"/>
  <c r="AA183" i="34" s="1"/>
  <c r="AA128" i="34"/>
  <c r="AA847" i="34"/>
  <c r="AA1528" i="34" s="1"/>
  <c r="AA500" i="34"/>
  <c r="AA843" i="34"/>
  <c r="AA641" i="34"/>
  <c r="AA640" i="34" s="1"/>
  <c r="AA208" i="34"/>
  <c r="AA561" i="34"/>
  <c r="AA477" i="34"/>
  <c r="AA468" i="34"/>
  <c r="AA467" i="34" s="1"/>
  <c r="AA1496" i="34" s="1"/>
  <c r="AA103" i="34"/>
  <c r="Z1106" i="34"/>
  <c r="Z1198" i="34"/>
  <c r="Z1101" i="34"/>
  <c r="Z1079" i="34"/>
  <c r="Z1441" i="34"/>
  <c r="Z1137" i="34"/>
  <c r="Z1128" i="34"/>
  <c r="Z1127" i="34" s="1"/>
  <c r="Z899" i="34"/>
  <c r="Z1416" i="34" s="1"/>
  <c r="Z1413" i="34" s="1"/>
  <c r="Z948" i="34"/>
  <c r="Z918" i="34"/>
  <c r="Z201" i="34"/>
  <c r="Z254" i="34"/>
  <c r="Z240" i="34" s="1"/>
  <c r="Z261" i="34"/>
  <c r="Z867" i="34"/>
  <c r="Z1609" i="34" s="1"/>
  <c r="Z680" i="34"/>
  <c r="Z615" i="34"/>
  <c r="Z862" i="34"/>
  <c r="Z1572" i="34" s="1"/>
  <c r="Z596" i="34"/>
  <c r="Z183" i="34" s="1"/>
  <c r="Z166" i="34" s="1"/>
  <c r="Z848" i="34"/>
  <c r="Z641" i="34"/>
  <c r="Z640" i="34" s="1"/>
  <c r="Z477" i="34"/>
  <c r="Z461" i="34"/>
  <c r="Y1458" i="34"/>
  <c r="Y1444" i="34"/>
  <c r="Y1442" i="34"/>
  <c r="Y1198" i="34"/>
  <c r="Z1170" i="34" s="1"/>
  <c r="Y1106" i="34"/>
  <c r="Y1079" i="34"/>
  <c r="Y1137" i="34"/>
  <c r="Y888" i="34"/>
  <c r="Y1414" i="34" s="1"/>
  <c r="Y1413" i="34" s="1"/>
  <c r="Y918" i="34"/>
  <c r="Y887" i="34"/>
  <c r="Y452" i="34"/>
  <c r="Y412" i="34"/>
  <c r="Y444" i="34"/>
  <c r="Y223" i="34"/>
  <c r="Y802" i="34"/>
  <c r="Y801" i="34" s="1"/>
  <c r="Y867" i="34"/>
  <c r="Y1609" i="34" s="1"/>
  <c r="Y1608" i="34" s="1"/>
  <c r="Y680" i="34"/>
  <c r="Y672" i="34" s="1"/>
  <c r="Y671" i="34" s="1"/>
  <c r="Y216" i="34"/>
  <c r="Y208" i="34" s="1"/>
  <c r="Y615" i="34"/>
  <c r="Y862" i="34"/>
  <c r="Y1572" i="34" s="1"/>
  <c r="Y1571" i="34" s="1"/>
  <c r="Y596" i="34"/>
  <c r="Y183" i="34" s="1"/>
  <c r="Y561" i="34"/>
  <c r="Y128" i="34"/>
  <c r="Y500" i="34"/>
  <c r="Y842" i="34"/>
  <c r="Y1482" i="34" s="1"/>
  <c r="Y847" i="34"/>
  <c r="Y1528" i="34" s="1"/>
  <c r="Y852" i="34"/>
  <c r="Y477" i="34"/>
  <c r="Y1496" i="34"/>
  <c r="Y104" i="34"/>
  <c r="Y461" i="34"/>
  <c r="Y103" i="34"/>
  <c r="X1128" i="34"/>
  <c r="X1137" i="34"/>
  <c r="X1198" i="34"/>
  <c r="X1106" i="34"/>
  <c r="X1441" i="34"/>
  <c r="X1079" i="34"/>
  <c r="X1327" i="34"/>
  <c r="X223" i="34"/>
  <c r="X183" i="34"/>
  <c r="X592" i="34"/>
  <c r="X591" i="34" s="1"/>
  <c r="X978" i="34"/>
  <c r="X1417" i="34"/>
  <c r="X1413" i="34" s="1"/>
  <c r="X887" i="34"/>
  <c r="X948" i="34"/>
  <c r="X412" i="34"/>
  <c r="X444" i="34"/>
  <c r="X561" i="34"/>
  <c r="X254" i="34"/>
  <c r="X867" i="34"/>
  <c r="X1609" i="34" s="1"/>
  <c r="X262" i="34"/>
  <c r="X680" i="34"/>
  <c r="X672" i="34" s="1"/>
  <c r="X671" i="34" s="1"/>
  <c r="X209" i="34"/>
  <c r="X208" i="34" s="1"/>
  <c r="X641" i="34"/>
  <c r="X640" i="34" s="1"/>
  <c r="X615" i="34"/>
  <c r="X182" i="34"/>
  <c r="X862" i="34"/>
  <c r="X1572" i="34" s="1"/>
  <c r="X128" i="34"/>
  <c r="X500" i="34"/>
  <c r="X852" i="34"/>
  <c r="X847" i="34"/>
  <c r="X1528" i="34" s="1"/>
  <c r="X842" i="34"/>
  <c r="X1482" i="34" s="1"/>
  <c r="X477" i="34"/>
  <c r="X468" i="34"/>
  <c r="X467" i="34" s="1"/>
  <c r="X1496" i="34" s="1"/>
  <c r="X462" i="34"/>
  <c r="X1493" i="34" s="1"/>
  <c r="W1451" i="34"/>
  <c r="W1198" i="34"/>
  <c r="W1106" i="34"/>
  <c r="W1442" i="34"/>
  <c r="W1441" i="34" s="1"/>
  <c r="W1445" i="34"/>
  <c r="W1079" i="34"/>
  <c r="W1137" i="34"/>
  <c r="W1128" i="34"/>
  <c r="W452" i="34"/>
  <c r="W223" i="34"/>
  <c r="W852" i="34"/>
  <c r="W847" i="34"/>
  <c r="W1528" i="34" s="1"/>
  <c r="W867" i="34"/>
  <c r="W1609" i="34" s="1"/>
  <c r="W1608" i="34" s="1"/>
  <c r="W680" i="34"/>
  <c r="W672" i="34" s="1"/>
  <c r="W671" i="34" s="1"/>
  <c r="W264" i="34"/>
  <c r="W596" i="34"/>
  <c r="W183" i="34" s="1"/>
  <c r="W842" i="34"/>
  <c r="W1482" i="34" s="1"/>
  <c r="W862" i="34"/>
  <c r="W1572" i="34" s="1"/>
  <c r="W1571" i="34" s="1"/>
  <c r="W763" i="34"/>
  <c r="W762" i="34" s="1"/>
  <c r="W641" i="34"/>
  <c r="W640" i="34" s="1"/>
  <c r="W216" i="34"/>
  <c r="W208" i="34" s="1"/>
  <c r="W561" i="34"/>
  <c r="W1497" i="34"/>
  <c r="W104" i="34"/>
  <c r="W477" i="34"/>
  <c r="W461" i="34"/>
  <c r="W103" i="34"/>
  <c r="W125" i="34" s="1"/>
  <c r="W444" i="34"/>
  <c r="W978" i="34"/>
  <c r="W1413" i="34"/>
  <c r="W887" i="34"/>
  <c r="V978" i="34"/>
  <c r="V899" i="34"/>
  <c r="V1416" i="34" s="1"/>
  <c r="V893" i="34"/>
  <c r="V1415" i="34" s="1"/>
  <c r="V918" i="34"/>
  <c r="V1414" i="34"/>
  <c r="V1327" i="34"/>
  <c r="V1198" i="34"/>
  <c r="V1106" i="34"/>
  <c r="V1451" i="34"/>
  <c r="V1101" i="34"/>
  <c r="V1441" i="34"/>
  <c r="V1445" i="34"/>
  <c r="V1079" i="34"/>
  <c r="V500" i="34"/>
  <c r="V129" i="34" s="1"/>
  <c r="V845" i="34"/>
  <c r="V847" i="34"/>
  <c r="V1528" i="34" s="1"/>
  <c r="V852" i="34"/>
  <c r="V1403" i="34"/>
  <c r="V452" i="34"/>
  <c r="V763" i="34"/>
  <c r="V762" i="34" s="1"/>
  <c r="V223" i="34"/>
  <c r="V867" i="34"/>
  <c r="V1609" i="34" s="1"/>
  <c r="V862" i="34"/>
  <c r="V1572" i="34" s="1"/>
  <c r="V843" i="34"/>
  <c r="V596" i="34"/>
  <c r="V183" i="34" s="1"/>
  <c r="V561" i="34"/>
  <c r="V1497" i="34"/>
  <c r="V477" i="34"/>
  <c r="V468" i="34"/>
  <c r="V467" i="34" s="1"/>
  <c r="V1496" i="34" s="1"/>
  <c r="U1571" i="34"/>
  <c r="U1198" i="34"/>
  <c r="U1451" i="34"/>
  <c r="U1101" i="34"/>
  <c r="U1448" i="34"/>
  <c r="U1441" i="34"/>
  <c r="U201" i="34"/>
  <c r="U442" i="34" s="1"/>
  <c r="U1327" i="34"/>
  <c r="AE1327" i="34" s="1"/>
  <c r="U978" i="34"/>
  <c r="U1413" i="34"/>
  <c r="U948" i="34"/>
  <c r="U887" i="34"/>
  <c r="U254" i="34"/>
  <c r="U452" i="34"/>
  <c r="U444" i="34"/>
  <c r="U223" i="34"/>
  <c r="U82" i="34"/>
  <c r="U867" i="34"/>
  <c r="U1609" i="34" s="1"/>
  <c r="U1608" i="34" s="1"/>
  <c r="U680" i="34"/>
  <c r="U641" i="34"/>
  <c r="U640" i="34" s="1"/>
  <c r="U183" i="34"/>
  <c r="U176" i="34" s="1"/>
  <c r="U190" i="34" s="1"/>
  <c r="U194" i="34" s="1"/>
  <c r="U500" i="34"/>
  <c r="U847" i="34"/>
  <c r="U1528" i="34" s="1"/>
  <c r="U842" i="34"/>
  <c r="U1482" i="34" s="1"/>
  <c r="U852" i="34"/>
  <c r="U615" i="34"/>
  <c r="U592" i="34"/>
  <c r="U561" i="34"/>
  <c r="U477" i="34"/>
  <c r="U468" i="34"/>
  <c r="U467" i="34" s="1"/>
  <c r="U1496" i="34" s="1"/>
  <c r="U104" i="34"/>
  <c r="U103" i="34"/>
  <c r="T1198" i="34"/>
  <c r="T802" i="34"/>
  <c r="T801" i="34" s="1"/>
  <c r="T1101" i="34"/>
  <c r="T1448" i="34"/>
  <c r="T1079" i="34"/>
  <c r="T1442" i="34"/>
  <c r="T1441" i="34" s="1"/>
  <c r="T1128" i="34"/>
  <c r="T201" i="34"/>
  <c r="T442" i="34" s="1"/>
  <c r="T1312" i="34"/>
  <c r="T452" i="34"/>
  <c r="T444" i="34"/>
  <c r="T82" i="34"/>
  <c r="T763" i="34"/>
  <c r="T762" i="34" s="1"/>
  <c r="T948" i="34"/>
  <c r="T1413" i="34"/>
  <c r="T918" i="34"/>
  <c r="T887" i="34"/>
  <c r="T216" i="34"/>
  <c r="T867" i="34"/>
  <c r="T1609" i="34" s="1"/>
  <c r="T183" i="34"/>
  <c r="T615" i="34"/>
  <c r="T862" i="34"/>
  <c r="T1572" i="34" s="1"/>
  <c r="T592" i="34"/>
  <c r="T561" i="34"/>
  <c r="T525" i="34"/>
  <c r="T524" i="34" s="1"/>
  <c r="T128" i="34"/>
  <c r="T500" i="34"/>
  <c r="T58" i="34"/>
  <c r="T842" i="34"/>
  <c r="T1482" i="34" s="1"/>
  <c r="T847" i="34"/>
  <c r="T1528" i="34" s="1"/>
  <c r="T484" i="34"/>
  <c r="T483" i="34" s="1"/>
  <c r="T1497" i="34" s="1"/>
  <c r="T477" i="34"/>
  <c r="T468" i="34"/>
  <c r="T467" i="34" s="1"/>
  <c r="T1496" i="34" s="1"/>
  <c r="T103" i="34"/>
  <c r="T125" i="34" s="1"/>
  <c r="S592" i="34"/>
  <c r="S1442" i="34"/>
  <c r="S1198" i="34"/>
  <c r="S1106" i="34"/>
  <c r="S1101" i="34"/>
  <c r="S1079" i="34"/>
  <c r="S1444" i="34"/>
  <c r="S1445" i="34"/>
  <c r="S1128" i="34"/>
  <c r="S978" i="34"/>
  <c r="S948" i="34"/>
  <c r="S887" i="34"/>
  <c r="S82" i="34"/>
  <c r="S1327" i="34"/>
  <c r="S262" i="34"/>
  <c r="S680" i="34"/>
  <c r="S672" i="34" s="1"/>
  <c r="S671" i="34" s="1"/>
  <c r="S862" i="34"/>
  <c r="S842" i="34"/>
  <c r="S641" i="34"/>
  <c r="S209" i="34"/>
  <c r="S103" i="34"/>
  <c r="S477" i="34"/>
  <c r="S461" i="34"/>
  <c r="S104" i="34"/>
  <c r="U576" i="34"/>
  <c r="AC576" i="34"/>
  <c r="V127" i="34"/>
  <c r="Z127" i="34"/>
  <c r="AA250" i="34"/>
  <c r="AC382" i="34"/>
  <c r="AA413" i="34"/>
  <c r="T376" i="34"/>
  <c r="X381" i="34"/>
  <c r="X382" i="34"/>
  <c r="S1127" i="34"/>
  <c r="V208" i="34"/>
  <c r="Z208" i="34"/>
  <c r="AD208" i="34"/>
  <c r="T208" i="34"/>
  <c r="AA1127" i="34"/>
  <c r="U208" i="34"/>
  <c r="Y440" i="34"/>
  <c r="Y376" i="34"/>
  <c r="T154" i="34"/>
  <c r="T127" i="34"/>
  <c r="X127" i="34"/>
  <c r="Y310" i="34"/>
  <c r="W249" i="34"/>
  <c r="W57" i="34"/>
  <c r="AD576" i="34"/>
  <c r="Z386" i="34"/>
  <c r="S216" i="34"/>
  <c r="Y379" i="34"/>
  <c r="W518" i="34"/>
  <c r="U383" i="34"/>
  <c r="Y57" i="34"/>
  <c r="AB23" i="34"/>
  <c r="Y21" i="34"/>
  <c r="Y1318" i="34" s="1"/>
  <c r="AC23" i="34"/>
  <c r="AC1484" i="34" s="1"/>
  <c r="Z15" i="34"/>
  <c r="Z1312" i="34" s="1"/>
  <c r="W111" i="34"/>
  <c r="Y22" i="34"/>
  <c r="Y1319" i="34" s="1"/>
  <c r="AA111" i="34"/>
  <c r="V240" i="34"/>
  <c r="V241" i="34"/>
  <c r="Z241" i="34"/>
  <c r="V242" i="34"/>
  <c r="Z242" i="34"/>
  <c r="V243" i="34"/>
  <c r="Z243" i="34"/>
  <c r="V244" i="34"/>
  <c r="Z244" i="34"/>
  <c r="V245" i="34"/>
  <c r="Z245" i="34"/>
  <c r="V246" i="34"/>
  <c r="Z246" i="34"/>
  <c r="AC356" i="34"/>
  <c r="AC494" i="34"/>
  <c r="Y129" i="34"/>
  <c r="Y123" i="34" s="1"/>
  <c r="Y518" i="34"/>
  <c r="AR524" i="34"/>
  <c r="AS524" i="34"/>
  <c r="AP524" i="34"/>
  <c r="AO524" i="34"/>
  <c r="AS26" i="34"/>
  <c r="AR26" i="34"/>
  <c r="AO26" i="34"/>
  <c r="AP26" i="34"/>
  <c r="AS27" i="34"/>
  <c r="AR27" i="34"/>
  <c r="AP27" i="34"/>
  <c r="AO27" i="34"/>
  <c r="AR91" i="34"/>
  <c r="AS91" i="34"/>
  <c r="AO91" i="34"/>
  <c r="AP91" i="34"/>
  <c r="AS105" i="34"/>
  <c r="AR105" i="34"/>
  <c r="AO105" i="34"/>
  <c r="AP105" i="34"/>
  <c r="AS106" i="34"/>
  <c r="AR106" i="34"/>
  <c r="AM80" i="34"/>
  <c r="AO106" i="34"/>
  <c r="AP106" i="34"/>
  <c r="AS120" i="34"/>
  <c r="AR120" i="34"/>
  <c r="AO120" i="34"/>
  <c r="AP120" i="34"/>
  <c r="AS122" i="34"/>
  <c r="AR122" i="34"/>
  <c r="AO122" i="34"/>
  <c r="AP122" i="34"/>
  <c r="AR130" i="34"/>
  <c r="AS130" i="34"/>
  <c r="AM127" i="34"/>
  <c r="AP130" i="34"/>
  <c r="AO130" i="34"/>
  <c r="AR131" i="34"/>
  <c r="AS131" i="34"/>
  <c r="AO131" i="34"/>
  <c r="AP131" i="34"/>
  <c r="AR146" i="34"/>
  <c r="AS146" i="34"/>
  <c r="AO146" i="34"/>
  <c r="AP146" i="34"/>
  <c r="BH158" i="34"/>
  <c r="BF158" i="34"/>
  <c r="BI158" i="34"/>
  <c r="BE158" i="34"/>
  <c r="BI159" i="34"/>
  <c r="BE159" i="34"/>
  <c r="BH159" i="34"/>
  <c r="BF159" i="34"/>
  <c r="BF169" i="34"/>
  <c r="BE169" i="34"/>
  <c r="BH169" i="34"/>
  <c r="BI169" i="34"/>
  <c r="AZ172" i="34"/>
  <c r="AX172" i="34"/>
  <c r="AW172" i="34"/>
  <c r="BA172" i="34"/>
  <c r="AR185" i="34"/>
  <c r="AS185" i="34"/>
  <c r="AM181" i="34"/>
  <c r="AO185" i="34"/>
  <c r="AP185" i="34"/>
  <c r="AS186" i="34"/>
  <c r="AR186" i="34"/>
  <c r="AP186" i="34"/>
  <c r="AO186" i="34"/>
  <c r="AS197" i="34"/>
  <c r="AR197" i="34"/>
  <c r="AP197" i="34"/>
  <c r="AO197" i="34"/>
  <c r="AS203" i="34"/>
  <c r="AR203" i="34"/>
  <c r="AP203" i="34"/>
  <c r="AO203" i="34"/>
  <c r="AS204" i="34"/>
  <c r="AR204" i="34"/>
  <c r="AP204" i="34"/>
  <c r="AO204" i="34"/>
  <c r="AR205" i="34"/>
  <c r="AS205" i="34"/>
  <c r="AP205" i="34"/>
  <c r="AO205" i="34"/>
  <c r="AR209" i="34"/>
  <c r="AS209" i="34"/>
  <c r="AO209" i="34"/>
  <c r="AP209" i="34"/>
  <c r="AS210" i="34"/>
  <c r="AR210" i="34"/>
  <c r="AO210" i="34"/>
  <c r="AP210" i="34"/>
  <c r="AS211" i="34"/>
  <c r="AR211" i="34"/>
  <c r="AO211" i="34"/>
  <c r="AP211" i="34"/>
  <c r="AS212" i="34"/>
  <c r="AR212" i="34"/>
  <c r="AO212" i="34"/>
  <c r="AP212" i="34"/>
  <c r="AS213" i="34"/>
  <c r="AR213" i="34"/>
  <c r="AO213" i="34"/>
  <c r="AP213" i="34"/>
  <c r="AR214" i="34"/>
  <c r="AS214" i="34"/>
  <c r="AO214" i="34"/>
  <c r="AP214" i="34"/>
  <c r="AR215" i="34"/>
  <c r="AS215" i="34"/>
  <c r="AO215" i="34"/>
  <c r="AP215" i="34"/>
  <c r="AS216" i="34"/>
  <c r="AR216" i="34"/>
  <c r="AO216" i="34"/>
  <c r="AP216" i="34"/>
  <c r="AS217" i="34"/>
  <c r="AR217" i="34"/>
  <c r="AO217" i="34"/>
  <c r="AP217" i="34"/>
  <c r="AS218" i="34"/>
  <c r="AR218" i="34"/>
  <c r="AO218" i="34"/>
  <c r="AP218" i="34"/>
  <c r="AR219" i="34"/>
  <c r="AS219" i="34"/>
  <c r="AO219" i="34"/>
  <c r="AP219" i="34"/>
  <c r="AS220" i="34"/>
  <c r="AR220" i="34"/>
  <c r="AO220" i="34"/>
  <c r="AP220" i="34"/>
  <c r="AS221" i="34"/>
  <c r="AR221" i="34"/>
  <c r="AO221" i="34"/>
  <c r="AP221" i="34"/>
  <c r="AS222" i="34"/>
  <c r="AR222" i="34"/>
  <c r="AO222" i="34"/>
  <c r="AP222" i="34"/>
  <c r="BA268" i="34"/>
  <c r="AW268" i="34"/>
  <c r="AZ268" i="34"/>
  <c r="AX268" i="34"/>
  <c r="AW279" i="34"/>
  <c r="AZ279" i="34"/>
  <c r="AX279" i="34"/>
  <c r="BA279" i="34"/>
  <c r="BA283" i="34"/>
  <c r="AW283" i="34"/>
  <c r="AU284" i="34"/>
  <c r="AW284" i="34" s="1"/>
  <c r="AZ283" i="34"/>
  <c r="AX283" i="34"/>
  <c r="BA285" i="34"/>
  <c r="AW285" i="34"/>
  <c r="AZ285" i="34"/>
  <c r="AX285" i="34"/>
  <c r="BA286" i="34"/>
  <c r="AZ286" i="34"/>
  <c r="AW286" i="34"/>
  <c r="AX286" i="34"/>
  <c r="AX287" i="34"/>
  <c r="AZ287" i="34"/>
  <c r="AW287" i="34"/>
  <c r="BA287" i="34"/>
  <c r="AX290" i="34"/>
  <c r="BA290" i="34"/>
  <c r="AW290" i="34"/>
  <c r="AZ290" i="34"/>
  <c r="BA291" i="34"/>
  <c r="AW291" i="34"/>
  <c r="AZ291" i="34"/>
  <c r="AX291" i="34"/>
  <c r="AZ295" i="34"/>
  <c r="AX295" i="34"/>
  <c r="BA295" i="34"/>
  <c r="AW295" i="34"/>
  <c r="AW300" i="34"/>
  <c r="AZ300" i="34"/>
  <c r="AX300" i="34"/>
  <c r="BA300" i="34"/>
  <c r="AX301" i="34"/>
  <c r="BA301" i="34"/>
  <c r="AW301" i="34"/>
  <c r="AZ301" i="34"/>
  <c r="BA305" i="34"/>
  <c r="AZ305" i="34"/>
  <c r="AX305" i="34"/>
  <c r="AW305" i="34"/>
  <c r="AU312" i="34"/>
  <c r="BA321" i="34"/>
  <c r="AZ321" i="34"/>
  <c r="AW321" i="34"/>
  <c r="AX321" i="34"/>
  <c r="AS331" i="34"/>
  <c r="AR331" i="34"/>
  <c r="AP331" i="34"/>
  <c r="AO331" i="34"/>
  <c r="AR342" i="34"/>
  <c r="AS342" i="34"/>
  <c r="AP342" i="34"/>
  <c r="AO342" i="34"/>
  <c r="AS348" i="34"/>
  <c r="AR348" i="34"/>
  <c r="AP348" i="34"/>
  <c r="AO348" i="34"/>
  <c r="AS349" i="34"/>
  <c r="AR349" i="34"/>
  <c r="AO349" i="34"/>
  <c r="AP349" i="34"/>
  <c r="AS350" i="34"/>
  <c r="AR350" i="34"/>
  <c r="AP350" i="34"/>
  <c r="AO350" i="34"/>
  <c r="AO363" i="34"/>
  <c r="AP363" i="34"/>
  <c r="AS363" i="34"/>
  <c r="AR363" i="34"/>
  <c r="AS387" i="34"/>
  <c r="AR387" i="34"/>
  <c r="AM386" i="34"/>
  <c r="AM384" i="34" s="1"/>
  <c r="AP387" i="34"/>
  <c r="AO387" i="34"/>
  <c r="AS390" i="34"/>
  <c r="AR390" i="34"/>
  <c r="AM389" i="34"/>
  <c r="AO390" i="34"/>
  <c r="AP390" i="34"/>
  <c r="AS392" i="34"/>
  <c r="AR392" i="34"/>
  <c r="AP392" i="34"/>
  <c r="AO392" i="34"/>
  <c r="AR393" i="34"/>
  <c r="AP393" i="34"/>
  <c r="AO393" i="34"/>
  <c r="AS393" i="34"/>
  <c r="AR397" i="34"/>
  <c r="AS397" i="34"/>
  <c r="AO397" i="34"/>
  <c r="AP397" i="34"/>
  <c r="AR422" i="34"/>
  <c r="AS422" i="34"/>
  <c r="AO422" i="34"/>
  <c r="AP422" i="34"/>
  <c r="AR426" i="34"/>
  <c r="AS426" i="34"/>
  <c r="AP426" i="34"/>
  <c r="AO426" i="34"/>
  <c r="AS428" i="34"/>
  <c r="AR428" i="34"/>
  <c r="AP428" i="34"/>
  <c r="AO428" i="34"/>
  <c r="AS429" i="34"/>
  <c r="AR429" i="34"/>
  <c r="AP429" i="34"/>
  <c r="AO429" i="34"/>
  <c r="AR430" i="34"/>
  <c r="AS430" i="34"/>
  <c r="AO430" i="34"/>
  <c r="AP430" i="34"/>
  <c r="AZ460" i="34"/>
  <c r="AX460" i="34"/>
  <c r="BA460" i="34"/>
  <c r="AW460" i="34"/>
  <c r="AZ461" i="34"/>
  <c r="BA461" i="34"/>
  <c r="AX461" i="34"/>
  <c r="AW461" i="34"/>
  <c r="AZ462" i="34"/>
  <c r="BA462" i="34"/>
  <c r="AX462" i="34"/>
  <c r="AW462" i="34"/>
  <c r="AZ463" i="34"/>
  <c r="AX463" i="34"/>
  <c r="BA463" i="34"/>
  <c r="AW463" i="34"/>
  <c r="AW467" i="34"/>
  <c r="AZ467" i="34"/>
  <c r="AX467" i="34"/>
  <c r="BA467" i="34"/>
  <c r="AX468" i="34"/>
  <c r="AW468" i="34"/>
  <c r="BA468" i="34"/>
  <c r="AZ468" i="34"/>
  <c r="AZ469" i="34"/>
  <c r="AX469" i="34"/>
  <c r="BA469" i="34"/>
  <c r="AW469" i="34"/>
  <c r="AZ472" i="34"/>
  <c r="BA472" i="34"/>
  <c r="AX472" i="34"/>
  <c r="AW472" i="34"/>
  <c r="AZ477" i="34"/>
  <c r="BA477" i="34"/>
  <c r="AW477" i="34"/>
  <c r="AX477" i="34"/>
  <c r="BA478" i="34"/>
  <c r="AW478" i="34"/>
  <c r="AZ478" i="34"/>
  <c r="AX478" i="34"/>
  <c r="AW479" i="34"/>
  <c r="AZ479" i="34"/>
  <c r="AX479" i="34"/>
  <c r="BA479" i="34"/>
  <c r="AW483" i="34"/>
  <c r="AZ483" i="34"/>
  <c r="AX483" i="34"/>
  <c r="BA483" i="34"/>
  <c r="AW484" i="34"/>
  <c r="BA484" i="34"/>
  <c r="AZ484" i="34"/>
  <c r="AX484" i="34"/>
  <c r="AW485" i="34"/>
  <c r="AZ485" i="34"/>
  <c r="AX485" i="34"/>
  <c r="BA485" i="34"/>
  <c r="AW488" i="34"/>
  <c r="AZ488" i="34"/>
  <c r="AX488" i="34"/>
  <c r="BA488" i="34"/>
  <c r="AZ495" i="34"/>
  <c r="AX495" i="34"/>
  <c r="BA495" i="34"/>
  <c r="AW495" i="34"/>
  <c r="AW496" i="34"/>
  <c r="AX496" i="34"/>
  <c r="AZ496" i="34"/>
  <c r="BA496" i="34"/>
  <c r="BI502" i="34"/>
  <c r="BE502" i="34"/>
  <c r="BH502" i="34"/>
  <c r="BF502" i="34"/>
  <c r="BE505" i="34"/>
  <c r="BH505" i="34"/>
  <c r="BF505" i="34"/>
  <c r="BI505" i="34"/>
  <c r="BH509" i="34"/>
  <c r="BF509" i="34"/>
  <c r="BI509" i="34"/>
  <c r="BE509" i="34"/>
  <c r="BH513" i="34"/>
  <c r="BF513" i="34"/>
  <c r="BI513" i="34"/>
  <c r="BE513" i="34"/>
  <c r="BH519" i="34"/>
  <c r="BI519" i="34"/>
  <c r="BF519" i="34"/>
  <c r="BE519" i="34"/>
  <c r="BH520" i="34"/>
  <c r="BF520" i="34"/>
  <c r="BI520" i="34"/>
  <c r="BE520" i="34"/>
  <c r="BF562" i="34"/>
  <c r="BI562" i="34"/>
  <c r="BE562" i="34"/>
  <c r="BH562" i="34"/>
  <c r="BH565" i="34"/>
  <c r="BF565" i="34"/>
  <c r="BI565" i="34"/>
  <c r="BE565" i="34"/>
  <c r="BI566" i="34"/>
  <c r="BE566" i="34"/>
  <c r="BH566" i="34"/>
  <c r="BF566" i="34"/>
  <c r="BF570" i="34"/>
  <c r="BI570" i="34"/>
  <c r="BE570" i="34"/>
  <c r="BH570" i="34"/>
  <c r="AX577" i="34"/>
  <c r="BA577" i="34"/>
  <c r="AW577" i="34"/>
  <c r="AZ577" i="34"/>
  <c r="BH581" i="34"/>
  <c r="BF581" i="34"/>
  <c r="BI581" i="34"/>
  <c r="BE581" i="34"/>
  <c r="BI585" i="34"/>
  <c r="BE585" i="34"/>
  <c r="BH585" i="34"/>
  <c r="BF585" i="34"/>
  <c r="BE593" i="34"/>
  <c r="BH593" i="34"/>
  <c r="BF593" i="34"/>
  <c r="BI593" i="34"/>
  <c r="BH596" i="34"/>
  <c r="BF596" i="34"/>
  <c r="BI596" i="34"/>
  <c r="BE596" i="34"/>
  <c r="BH597" i="34"/>
  <c r="BF597" i="34"/>
  <c r="BI597" i="34"/>
  <c r="BE597" i="34"/>
  <c r="BE601" i="34"/>
  <c r="BH601" i="34"/>
  <c r="BF601" i="34"/>
  <c r="BI601" i="34"/>
  <c r="BH605" i="34"/>
  <c r="BI605" i="34"/>
  <c r="BE605" i="34"/>
  <c r="BF605" i="34"/>
  <c r="BE609" i="34"/>
  <c r="BH609" i="34"/>
  <c r="BF609" i="34"/>
  <c r="BI609" i="34"/>
  <c r="BI615" i="34"/>
  <c r="BE615" i="34"/>
  <c r="BH615" i="34"/>
  <c r="BF615" i="34"/>
  <c r="BE616" i="34"/>
  <c r="BH616" i="34"/>
  <c r="BF616" i="34"/>
  <c r="BI616" i="34"/>
  <c r="BE619" i="34"/>
  <c r="BH619" i="34"/>
  <c r="BF619" i="34"/>
  <c r="BI619" i="34"/>
  <c r="BI620" i="34"/>
  <c r="BE620" i="34"/>
  <c r="BH620" i="34"/>
  <c r="BF620" i="34"/>
  <c r="BE624" i="34"/>
  <c r="BH624" i="34"/>
  <c r="BF624" i="34"/>
  <c r="BI624" i="34"/>
  <c r="BF628" i="34"/>
  <c r="BI628" i="34"/>
  <c r="BE628" i="34"/>
  <c r="BH628" i="34"/>
  <c r="BI632" i="34"/>
  <c r="BH632" i="34"/>
  <c r="BE632" i="34"/>
  <c r="BF632" i="34"/>
  <c r="BE642" i="34"/>
  <c r="BH642" i="34"/>
  <c r="BF642" i="34"/>
  <c r="BI642" i="34"/>
  <c r="BE649" i="34"/>
  <c r="BH649" i="34"/>
  <c r="BF649" i="34"/>
  <c r="BI649" i="34"/>
  <c r="BH656" i="34"/>
  <c r="BF656" i="34"/>
  <c r="BI656" i="34"/>
  <c r="BE656" i="34"/>
  <c r="BF657" i="34"/>
  <c r="BI657" i="34"/>
  <c r="BE657" i="34"/>
  <c r="BH657" i="34"/>
  <c r="BI664" i="34"/>
  <c r="BE664" i="34"/>
  <c r="BH664" i="34"/>
  <c r="BF664" i="34"/>
  <c r="BA673" i="34"/>
  <c r="AW673" i="34"/>
  <c r="AZ673" i="34"/>
  <c r="AX673" i="34"/>
  <c r="BE681" i="34"/>
  <c r="BH681" i="34"/>
  <c r="BF681" i="34"/>
  <c r="BI681" i="34"/>
  <c r="BI683" i="34"/>
  <c r="BE683" i="34"/>
  <c r="BF683" i="34"/>
  <c r="BH683" i="34"/>
  <c r="BE687" i="34"/>
  <c r="BH687" i="34"/>
  <c r="BF687" i="34"/>
  <c r="BI687" i="34"/>
  <c r="BF689" i="34"/>
  <c r="BI689" i="34"/>
  <c r="BE689" i="34"/>
  <c r="BH689" i="34"/>
  <c r="BI693" i="34"/>
  <c r="BE693" i="34"/>
  <c r="BH693" i="34"/>
  <c r="BF693" i="34"/>
  <c r="BE695" i="34"/>
  <c r="BH695" i="34"/>
  <c r="BF695" i="34"/>
  <c r="BI695" i="34"/>
  <c r="BH699" i="34"/>
  <c r="BI699" i="34"/>
  <c r="BF699" i="34"/>
  <c r="BE699" i="34"/>
  <c r="BI701" i="34"/>
  <c r="BE701" i="34"/>
  <c r="BH701" i="34"/>
  <c r="BF701" i="34"/>
  <c r="BI705" i="34"/>
  <c r="BE705" i="34"/>
  <c r="BH705" i="34"/>
  <c r="BF705" i="34"/>
  <c r="BH707" i="34"/>
  <c r="BF707" i="34"/>
  <c r="BI707" i="34"/>
  <c r="BE707" i="34"/>
  <c r="BE711" i="34"/>
  <c r="BH711" i="34"/>
  <c r="BI711" i="34"/>
  <c r="BF711" i="34"/>
  <c r="BF716" i="34"/>
  <c r="BI716" i="34"/>
  <c r="BE716" i="34"/>
  <c r="BH716" i="34"/>
  <c r="BI717" i="34"/>
  <c r="BE717" i="34"/>
  <c r="BF717" i="34"/>
  <c r="BH717" i="34"/>
  <c r="BF724" i="34"/>
  <c r="BI724" i="34"/>
  <c r="BE724" i="34"/>
  <c r="BH724" i="34"/>
  <c r="BI725" i="34"/>
  <c r="BE725" i="34"/>
  <c r="BH725" i="34"/>
  <c r="BF725" i="34"/>
  <c r="BE727" i="34"/>
  <c r="BH727" i="34"/>
  <c r="BF727" i="34"/>
  <c r="BI727" i="34"/>
  <c r="BH731" i="34"/>
  <c r="BI731" i="34"/>
  <c r="BE731" i="34"/>
  <c r="BF731" i="34"/>
  <c r="BI733" i="34"/>
  <c r="BE733" i="34"/>
  <c r="BH733" i="34"/>
  <c r="BF733" i="34"/>
  <c r="BI737" i="34"/>
  <c r="BE737" i="34"/>
  <c r="BF737" i="34"/>
  <c r="BH737" i="34"/>
  <c r="BE739" i="34"/>
  <c r="BH739" i="34"/>
  <c r="BI739" i="34"/>
  <c r="BF739" i="34"/>
  <c r="BI743" i="34"/>
  <c r="BE743" i="34"/>
  <c r="BH743" i="34"/>
  <c r="BF743" i="34"/>
  <c r="BF745" i="34"/>
  <c r="BI745" i="34"/>
  <c r="BE745" i="34"/>
  <c r="BH745" i="34"/>
  <c r="BI749" i="34"/>
  <c r="BE749" i="34"/>
  <c r="BH749" i="34"/>
  <c r="BF749" i="34"/>
  <c r="BH751" i="34"/>
  <c r="BF751" i="34"/>
  <c r="BI751" i="34"/>
  <c r="BE751" i="34"/>
  <c r="BE755" i="34"/>
  <c r="BH755" i="34"/>
  <c r="BF755" i="34"/>
  <c r="BI755" i="34"/>
  <c r="AX763" i="34"/>
  <c r="BA763" i="34"/>
  <c r="AW763" i="34"/>
  <c r="AZ763" i="34"/>
  <c r="AX764" i="34"/>
  <c r="BA764" i="34"/>
  <c r="AW764" i="34"/>
  <c r="AZ764" i="34"/>
  <c r="AX769" i="34"/>
  <c r="BA769" i="34"/>
  <c r="AW769" i="34"/>
  <c r="AZ769" i="34"/>
  <c r="AW774" i="34"/>
  <c r="AX774" i="34"/>
  <c r="BA774" i="34"/>
  <c r="AZ774" i="34"/>
  <c r="AW779" i="34"/>
  <c r="AZ779" i="34"/>
  <c r="AX779" i="34"/>
  <c r="BA779" i="34"/>
  <c r="AZ784" i="34"/>
  <c r="BA784" i="34"/>
  <c r="AW784" i="34"/>
  <c r="AX784" i="34"/>
  <c r="AW789" i="34"/>
  <c r="BA789" i="34"/>
  <c r="AZ789" i="34"/>
  <c r="AX789" i="34"/>
  <c r="AX794" i="34"/>
  <c r="BA794" i="34"/>
  <c r="AW794" i="34"/>
  <c r="AZ794" i="34"/>
  <c r="AX978" i="34"/>
  <c r="BA978" i="34"/>
  <c r="AW978" i="34"/>
  <c r="AZ978" i="34"/>
  <c r="AS978" i="34"/>
  <c r="AR978" i="34"/>
  <c r="AP978" i="34"/>
  <c r="AO978" i="34"/>
  <c r="BE978" i="34"/>
  <c r="BI978" i="34"/>
  <c r="BH978" i="34"/>
  <c r="BF978" i="34"/>
  <c r="AX979" i="34"/>
  <c r="BA979" i="34"/>
  <c r="AW979" i="34"/>
  <c r="AZ979" i="34"/>
  <c r="AS979" i="34"/>
  <c r="AR979" i="34"/>
  <c r="AO979" i="34"/>
  <c r="AP979" i="34"/>
  <c r="BE979" i="34"/>
  <c r="BH979" i="34"/>
  <c r="BF979" i="34"/>
  <c r="BI979" i="34"/>
  <c r="AR984" i="34"/>
  <c r="AS984" i="34"/>
  <c r="AO984" i="34"/>
  <c r="AP984" i="34"/>
  <c r="BA984" i="34"/>
  <c r="AW984" i="34"/>
  <c r="AZ984" i="34"/>
  <c r="AX984" i="34"/>
  <c r="BE984" i="34"/>
  <c r="BH984" i="34"/>
  <c r="BF984" i="34"/>
  <c r="BI984" i="34"/>
  <c r="BA990" i="34"/>
  <c r="AW990" i="34"/>
  <c r="AZ990" i="34"/>
  <c r="AX990" i="34"/>
  <c r="AS990" i="34"/>
  <c r="AR990" i="34"/>
  <c r="AP990" i="34"/>
  <c r="AO990" i="34"/>
  <c r="BE990" i="34"/>
  <c r="BF990" i="34"/>
  <c r="BH990" i="34"/>
  <c r="BI990" i="34"/>
  <c r="AS995" i="34"/>
  <c r="AR995" i="34"/>
  <c r="AP995" i="34"/>
  <c r="AO995" i="34"/>
  <c r="BA995" i="34"/>
  <c r="AZ995" i="34"/>
  <c r="AW995" i="34"/>
  <c r="AX995" i="34"/>
  <c r="BE995" i="34"/>
  <c r="BH995" i="34"/>
  <c r="BF995" i="34"/>
  <c r="BI995" i="34"/>
  <c r="AX1001" i="34"/>
  <c r="BA1001" i="34"/>
  <c r="AW1001" i="34"/>
  <c r="AZ1001" i="34"/>
  <c r="AS1001" i="34"/>
  <c r="AR1001" i="34"/>
  <c r="AO1001" i="34"/>
  <c r="AP1001" i="34"/>
  <c r="BH1001" i="34"/>
  <c r="BF1001" i="34"/>
  <c r="BI1001" i="34"/>
  <c r="BE1001" i="34"/>
  <c r="AR1008" i="34"/>
  <c r="AS1008" i="34"/>
  <c r="AO1008" i="34"/>
  <c r="AP1008" i="34"/>
  <c r="BA1008" i="34"/>
  <c r="AW1008" i="34"/>
  <c r="AZ1008" i="34"/>
  <c r="AX1008" i="34"/>
  <c r="BE1008" i="34"/>
  <c r="BF1008" i="34"/>
  <c r="BH1008" i="34"/>
  <c r="BI1008" i="34"/>
  <c r="AW1009" i="34"/>
  <c r="AX1009" i="34"/>
  <c r="BA1009" i="34"/>
  <c r="AZ1009" i="34"/>
  <c r="AS1009" i="34"/>
  <c r="AR1009" i="34"/>
  <c r="AP1009" i="34"/>
  <c r="AO1009" i="34"/>
  <c r="BH1009" i="34"/>
  <c r="BI1009" i="34"/>
  <c r="BE1009" i="34"/>
  <c r="BF1009" i="34"/>
  <c r="BA1014" i="34"/>
  <c r="AW1014" i="34"/>
  <c r="AZ1014" i="34"/>
  <c r="AX1014" i="34"/>
  <c r="AR1014" i="34"/>
  <c r="AS1014" i="34"/>
  <c r="AO1014" i="34"/>
  <c r="AP1014" i="34"/>
  <c r="BE1014" i="34"/>
  <c r="BH1014" i="34"/>
  <c r="BF1014" i="34"/>
  <c r="BI1014" i="34"/>
  <c r="AS1020" i="34"/>
  <c r="AR1020" i="34"/>
  <c r="AO1020" i="34"/>
  <c r="AP1020" i="34"/>
  <c r="BA1020" i="34"/>
  <c r="AW1020" i="34"/>
  <c r="AZ1020" i="34"/>
  <c r="AX1020" i="34"/>
  <c r="BF1020" i="34"/>
  <c r="BI1020" i="34"/>
  <c r="BE1020" i="34"/>
  <c r="BH1020" i="34"/>
  <c r="AR1025" i="34"/>
  <c r="AS1025" i="34"/>
  <c r="AP1025" i="34"/>
  <c r="AO1025" i="34"/>
  <c r="AX1025" i="34"/>
  <c r="BA1025" i="34"/>
  <c r="AZ1025" i="34"/>
  <c r="AW1025" i="34"/>
  <c r="BH1025" i="34"/>
  <c r="BE1025" i="34"/>
  <c r="BF1025" i="34"/>
  <c r="BI1025" i="34"/>
  <c r="AZ1031" i="34"/>
  <c r="AW1031" i="34"/>
  <c r="BA1031" i="34"/>
  <c r="AX1031" i="34"/>
  <c r="AS1031" i="34"/>
  <c r="AR1031" i="34"/>
  <c r="AP1031" i="34"/>
  <c r="AO1031" i="34"/>
  <c r="BE1031" i="34"/>
  <c r="BI1031" i="34"/>
  <c r="BH1031" i="34"/>
  <c r="BF1031" i="34"/>
  <c r="AX1038" i="34"/>
  <c r="AW1038" i="34"/>
  <c r="BA1038" i="34"/>
  <c r="AZ1038" i="34"/>
  <c r="AS1038" i="34"/>
  <c r="AR1038" i="34"/>
  <c r="AP1038" i="34"/>
  <c r="AO1038" i="34"/>
  <c r="BI1038" i="34"/>
  <c r="BH1038" i="34"/>
  <c r="BF1038" i="34"/>
  <c r="BE1038" i="34"/>
  <c r="AS1039" i="34"/>
  <c r="AR1039" i="34"/>
  <c r="AO1039" i="34"/>
  <c r="AP1039" i="34"/>
  <c r="AZ1039" i="34"/>
  <c r="BA1039" i="34"/>
  <c r="AW1039" i="34"/>
  <c r="AX1039" i="34"/>
  <c r="BF1039" i="34"/>
  <c r="BI1039" i="34"/>
  <c r="BH1039" i="34"/>
  <c r="BE1039" i="34"/>
  <c r="AS1044" i="34"/>
  <c r="AR1044" i="34"/>
  <c r="AO1044" i="34"/>
  <c r="AP1044" i="34"/>
  <c r="AW1044" i="34"/>
  <c r="AZ1044" i="34"/>
  <c r="AX1044" i="34"/>
  <c r="BA1044" i="34"/>
  <c r="BH1044" i="34"/>
  <c r="BE1044" i="34"/>
  <c r="BF1044" i="34"/>
  <c r="BI1044" i="34"/>
  <c r="AX1050" i="34"/>
  <c r="AW1050" i="34"/>
  <c r="AZ1050" i="34"/>
  <c r="BA1050" i="34"/>
  <c r="AR1050" i="34"/>
  <c r="AS1050" i="34"/>
  <c r="AO1050" i="34"/>
  <c r="AP1050" i="34"/>
  <c r="BH1050" i="34"/>
  <c r="BF1050" i="34"/>
  <c r="BI1050" i="34"/>
  <c r="BE1050" i="34"/>
  <c r="AS1055" i="34"/>
  <c r="AR1055" i="34"/>
  <c r="AP1055" i="34"/>
  <c r="AO1055" i="34"/>
  <c r="AX1055" i="34"/>
  <c r="BA1055" i="34"/>
  <c r="AW1055" i="34"/>
  <c r="AZ1055" i="34"/>
  <c r="BE1055" i="34"/>
  <c r="BF1055" i="34"/>
  <c r="BI1055" i="34"/>
  <c r="BH1055" i="34"/>
  <c r="AR1061" i="34"/>
  <c r="AS1061" i="34"/>
  <c r="AO1061" i="34"/>
  <c r="AP1061" i="34"/>
  <c r="AW1061" i="34"/>
  <c r="AZ1061" i="34"/>
  <c r="AX1061" i="34"/>
  <c r="BA1061" i="34"/>
  <c r="BF1061" i="34"/>
  <c r="BI1061" i="34"/>
  <c r="BE1061" i="34"/>
  <c r="BH1061" i="34"/>
  <c r="BA1079" i="34"/>
  <c r="AZ1079" i="34"/>
  <c r="AX1079" i="34"/>
  <c r="AW1079" i="34"/>
  <c r="BF1079" i="34"/>
  <c r="BE1079" i="34"/>
  <c r="BI1079" i="34"/>
  <c r="BH1079" i="34"/>
  <c r="AS1079" i="34"/>
  <c r="AR1079" i="34"/>
  <c r="AO1079" i="34"/>
  <c r="AP1079" i="34"/>
  <c r="AX1080" i="34"/>
  <c r="BA1080" i="34"/>
  <c r="AW1080" i="34"/>
  <c r="AZ1080" i="34"/>
  <c r="AS1080" i="34"/>
  <c r="AR1080" i="34"/>
  <c r="AP1080" i="34"/>
  <c r="AO1080" i="34"/>
  <c r="BE1080" i="34"/>
  <c r="BH1080" i="34"/>
  <c r="BF1080" i="34"/>
  <c r="BI1080" i="34"/>
  <c r="AS1081" i="34"/>
  <c r="AR1081" i="34"/>
  <c r="AP1081" i="34"/>
  <c r="AO1081" i="34"/>
  <c r="BA1081" i="34"/>
  <c r="AZ1081" i="34"/>
  <c r="AX1081" i="34"/>
  <c r="AW1081" i="34"/>
  <c r="BF1081" i="34"/>
  <c r="BH1081" i="34"/>
  <c r="BI1081" i="34"/>
  <c r="BE1081" i="34"/>
  <c r="AS1082" i="34"/>
  <c r="AR1082" i="34"/>
  <c r="AP1082" i="34"/>
  <c r="AO1082" i="34"/>
  <c r="AW1082" i="34"/>
  <c r="AZ1082" i="34"/>
  <c r="AX1082" i="34"/>
  <c r="BA1082" i="34"/>
  <c r="BH1082" i="34"/>
  <c r="BF1082" i="34"/>
  <c r="BE1082" i="34"/>
  <c r="BI1082" i="34"/>
  <c r="AR1083" i="34"/>
  <c r="AS1083" i="34"/>
  <c r="AP1083" i="34"/>
  <c r="AO1083" i="34"/>
  <c r="AX1083" i="34"/>
  <c r="AZ1083" i="34"/>
  <c r="AW1083" i="34"/>
  <c r="BA1083" i="34"/>
  <c r="BE1083" i="34"/>
  <c r="BI1083" i="34"/>
  <c r="BH1083" i="34"/>
  <c r="BF1083" i="34"/>
  <c r="AZ1086" i="34"/>
  <c r="AX1086" i="34"/>
  <c r="AW1086" i="34"/>
  <c r="BA1086" i="34"/>
  <c r="AS1086" i="34"/>
  <c r="AR1086" i="34"/>
  <c r="AP1086" i="34"/>
  <c r="AO1086" i="34"/>
  <c r="BH1086" i="34"/>
  <c r="BF1086" i="34"/>
  <c r="BE1086" i="34"/>
  <c r="BI1086" i="34"/>
  <c r="BA1089" i="34"/>
  <c r="AZ1089" i="34"/>
  <c r="AW1089" i="34"/>
  <c r="AX1089" i="34"/>
  <c r="AS1089" i="34"/>
  <c r="AR1089" i="34"/>
  <c r="AP1089" i="34"/>
  <c r="AO1089" i="34"/>
  <c r="BE1089" i="34"/>
  <c r="BH1089" i="34"/>
  <c r="BF1089" i="34"/>
  <c r="BI1089" i="34"/>
  <c r="AW1093" i="34"/>
  <c r="AZ1093" i="34"/>
  <c r="AX1093" i="34"/>
  <c r="BA1093" i="34"/>
  <c r="AS1093" i="34"/>
  <c r="AR1093" i="34"/>
  <c r="AO1093" i="34"/>
  <c r="AP1093" i="34"/>
  <c r="BF1093" i="34"/>
  <c r="BH1093" i="34"/>
  <c r="BI1093" i="34"/>
  <c r="BE1093" i="34"/>
  <c r="AW1096" i="34"/>
  <c r="AX1096" i="34"/>
  <c r="BA1096" i="34"/>
  <c r="AZ1096" i="34"/>
  <c r="AR1096" i="34"/>
  <c r="AS1096" i="34"/>
  <c r="AP1096" i="34"/>
  <c r="AO1096" i="34"/>
  <c r="BI1096" i="34"/>
  <c r="BH1096" i="34"/>
  <c r="BF1096" i="34"/>
  <c r="BE1096" i="34"/>
  <c r="AR1101" i="34"/>
  <c r="AS1101" i="34"/>
  <c r="AP1101" i="34"/>
  <c r="AO1101" i="34"/>
  <c r="BA1101" i="34"/>
  <c r="AZ1101" i="34"/>
  <c r="AW1101" i="34"/>
  <c r="AX1101" i="34"/>
  <c r="BF1101" i="34"/>
  <c r="BE1101" i="34"/>
  <c r="BI1101" i="34"/>
  <c r="BH1101" i="34"/>
  <c r="AW1102" i="34"/>
  <c r="AX1102" i="34"/>
  <c r="BA1102" i="34"/>
  <c r="AZ1102" i="34"/>
  <c r="AR1102" i="34"/>
  <c r="AS1102" i="34"/>
  <c r="AP1102" i="34"/>
  <c r="AO1102" i="34"/>
  <c r="BF1102" i="34"/>
  <c r="BH1102" i="34"/>
  <c r="BE1102" i="34"/>
  <c r="BI1102" i="34"/>
  <c r="AX1105" i="34"/>
  <c r="BA1105" i="34"/>
  <c r="AZ1105" i="34"/>
  <c r="AW1105" i="34"/>
  <c r="AS1105" i="34"/>
  <c r="AR1105" i="34"/>
  <c r="AP1105" i="34"/>
  <c r="AO1105" i="34"/>
  <c r="BH1105" i="34"/>
  <c r="BI1105" i="34"/>
  <c r="BF1105" i="34"/>
  <c r="BE1105" i="34"/>
  <c r="AR1107" i="34"/>
  <c r="AS1107" i="34"/>
  <c r="AO1107" i="34"/>
  <c r="AP1107" i="34"/>
  <c r="AZ1107" i="34"/>
  <c r="BA1107" i="34"/>
  <c r="AW1107" i="34"/>
  <c r="AX1107" i="34"/>
  <c r="BI1107" i="34"/>
  <c r="BE1107" i="34"/>
  <c r="BH1107" i="34"/>
  <c r="BF1107" i="34"/>
  <c r="AR1115" i="34"/>
  <c r="AS1115" i="34"/>
  <c r="AP1115" i="34"/>
  <c r="AO1115" i="34"/>
  <c r="AS30" i="34"/>
  <c r="AR30" i="34"/>
  <c r="AP30" i="34"/>
  <c r="AO30" i="34"/>
  <c r="AS40" i="34"/>
  <c r="AR40" i="34"/>
  <c r="AP40" i="34"/>
  <c r="AO40" i="34"/>
  <c r="AR44" i="34"/>
  <c r="AS44" i="34"/>
  <c r="AP44" i="34"/>
  <c r="AO44" i="34"/>
  <c r="AR48" i="34"/>
  <c r="AS48" i="34"/>
  <c r="AO48" i="34"/>
  <c r="AP48" i="34"/>
  <c r="BF26" i="34"/>
  <c r="BE26" i="34"/>
  <c r="BI26" i="34"/>
  <c r="BH26" i="34"/>
  <c r="BI27" i="34"/>
  <c r="BF27" i="34"/>
  <c r="BE27" i="34"/>
  <c r="BH27" i="34"/>
  <c r="BE91" i="34"/>
  <c r="BH91" i="34"/>
  <c r="BF91" i="34"/>
  <c r="BI91" i="34"/>
  <c r="BH105" i="34"/>
  <c r="BF105" i="34"/>
  <c r="BE105" i="34"/>
  <c r="BI105" i="34"/>
  <c r="BF106" i="34"/>
  <c r="BI106" i="34"/>
  <c r="BE106" i="34"/>
  <c r="BC80" i="34"/>
  <c r="BH106" i="34"/>
  <c r="AR113" i="34"/>
  <c r="AS113" i="34"/>
  <c r="AP113" i="34"/>
  <c r="AO113" i="34"/>
  <c r="AR117" i="34"/>
  <c r="AS117" i="34"/>
  <c r="AO117" i="34"/>
  <c r="AP117" i="34"/>
  <c r="BH120" i="34"/>
  <c r="BF120" i="34"/>
  <c r="BI120" i="34"/>
  <c r="BE120" i="34"/>
  <c r="BE122" i="34"/>
  <c r="BF122" i="34"/>
  <c r="BH122" i="34"/>
  <c r="BI122" i="34"/>
  <c r="BE130" i="34"/>
  <c r="BC127" i="34"/>
  <c r="BF130" i="34"/>
  <c r="BI130" i="34"/>
  <c r="BH130" i="34"/>
  <c r="BI131" i="34"/>
  <c r="BE131" i="34"/>
  <c r="BH131" i="34"/>
  <c r="BF131" i="34"/>
  <c r="BH143" i="34"/>
  <c r="BF143" i="34"/>
  <c r="BE143" i="34"/>
  <c r="BI143" i="34"/>
  <c r="BH146" i="34"/>
  <c r="BF146" i="34"/>
  <c r="BI146" i="34"/>
  <c r="BE146" i="34"/>
  <c r="AX158" i="34"/>
  <c r="BA158" i="34"/>
  <c r="AW158" i="34"/>
  <c r="AZ158" i="34"/>
  <c r="AX159" i="34"/>
  <c r="BA159" i="34"/>
  <c r="AW159" i="34"/>
  <c r="AZ159" i="34"/>
  <c r="AZ169" i="34"/>
  <c r="BA169" i="34"/>
  <c r="AX169" i="34"/>
  <c r="AW169" i="34"/>
  <c r="BI185" i="34"/>
  <c r="BE185" i="34"/>
  <c r="BC181" i="34"/>
  <c r="BF185" i="34"/>
  <c r="BH185" i="34"/>
  <c r="BE186" i="34"/>
  <c r="BH186" i="34"/>
  <c r="BI186" i="34"/>
  <c r="BF186" i="34"/>
  <c r="BI197" i="34"/>
  <c r="BE197" i="34"/>
  <c r="BH197" i="34"/>
  <c r="BF197" i="34"/>
  <c r="BI203" i="34"/>
  <c r="BH203" i="34"/>
  <c r="BF203" i="34"/>
  <c r="BE203" i="34"/>
  <c r="BI204" i="34"/>
  <c r="BH204" i="34"/>
  <c r="BF204" i="34"/>
  <c r="BE204" i="34"/>
  <c r="BF205" i="34"/>
  <c r="BI205" i="34"/>
  <c r="BE205" i="34"/>
  <c r="BH205" i="34"/>
  <c r="BE210" i="34"/>
  <c r="BF210" i="34"/>
  <c r="BH210" i="34"/>
  <c r="BI210" i="34"/>
  <c r="BI211" i="34"/>
  <c r="BE211" i="34"/>
  <c r="BH211" i="34"/>
  <c r="BF211" i="34"/>
  <c r="BF212" i="34"/>
  <c r="BI212" i="34"/>
  <c r="BE212" i="34"/>
  <c r="BH212" i="34"/>
  <c r="BI213" i="34"/>
  <c r="BE213" i="34"/>
  <c r="BH213" i="34"/>
  <c r="BF213" i="34"/>
  <c r="BI214" i="34"/>
  <c r="BH214" i="34"/>
  <c r="BF214" i="34"/>
  <c r="BE214" i="34"/>
  <c r="BF215" i="34"/>
  <c r="BI215" i="34"/>
  <c r="BE215" i="34"/>
  <c r="BH215" i="34"/>
  <c r="BE217" i="34"/>
  <c r="BH217" i="34"/>
  <c r="BF217" i="34"/>
  <c r="BI217" i="34"/>
  <c r="BH218" i="34"/>
  <c r="BF218" i="34"/>
  <c r="BI218" i="34"/>
  <c r="BE218" i="34"/>
  <c r="BF219" i="34"/>
  <c r="BI219" i="34"/>
  <c r="BH219" i="34"/>
  <c r="BE219" i="34"/>
  <c r="BH220" i="34"/>
  <c r="BI220" i="34"/>
  <c r="BE220" i="34"/>
  <c r="BF220" i="34"/>
  <c r="BH221" i="34"/>
  <c r="BF221" i="34"/>
  <c r="BI221" i="34"/>
  <c r="BE221" i="34"/>
  <c r="BE222" i="34"/>
  <c r="BH222" i="34"/>
  <c r="BI222" i="34"/>
  <c r="BF222" i="34"/>
  <c r="AS223" i="34"/>
  <c r="AR223" i="34"/>
  <c r="AO223" i="34"/>
  <c r="AP223" i="34"/>
  <c r="AS224" i="34"/>
  <c r="AR224" i="34"/>
  <c r="AO224" i="34"/>
  <c r="AP224" i="34"/>
  <c r="AR231" i="34"/>
  <c r="AS231" i="34"/>
  <c r="AO231" i="34"/>
  <c r="AP231" i="34"/>
  <c r="AR254" i="34"/>
  <c r="AS254" i="34"/>
  <c r="AM240" i="34"/>
  <c r="AO254" i="34"/>
  <c r="AP254" i="34"/>
  <c r="AR255" i="34"/>
  <c r="AS255" i="34"/>
  <c r="AM241" i="34"/>
  <c r="AP255" i="34"/>
  <c r="AO255" i="34"/>
  <c r="AS256" i="34"/>
  <c r="AM242" i="34"/>
  <c r="AR256" i="34"/>
  <c r="AP256" i="34"/>
  <c r="AO256" i="34"/>
  <c r="AM243" i="34"/>
  <c r="AS257" i="34"/>
  <c r="AR257" i="34"/>
  <c r="AO257" i="34"/>
  <c r="AP257" i="34"/>
  <c r="AS258" i="34"/>
  <c r="AM244" i="34"/>
  <c r="AR258" i="34"/>
  <c r="AP258" i="34"/>
  <c r="AO258" i="34"/>
  <c r="AS259" i="34"/>
  <c r="AM245" i="34"/>
  <c r="AR259" i="34"/>
  <c r="AP259" i="34"/>
  <c r="AO259" i="34"/>
  <c r="AM246" i="34"/>
  <c r="AS260" i="34"/>
  <c r="AR260" i="34"/>
  <c r="AO260" i="34"/>
  <c r="AP260" i="34"/>
  <c r="BF331" i="34"/>
  <c r="BI331" i="34"/>
  <c r="BE331" i="34"/>
  <c r="BH331" i="34"/>
  <c r="BF342" i="34"/>
  <c r="BI342" i="34"/>
  <c r="BE342" i="34"/>
  <c r="BH342" i="34"/>
  <c r="BE348" i="34"/>
  <c r="BH348" i="34"/>
  <c r="BI348" i="34"/>
  <c r="BF348" i="34"/>
  <c r="BI349" i="34"/>
  <c r="BE349" i="34"/>
  <c r="BH349" i="34"/>
  <c r="BF349" i="34"/>
  <c r="BI350" i="34"/>
  <c r="BE350" i="34"/>
  <c r="BH350" i="34"/>
  <c r="BF350" i="34"/>
  <c r="BE363" i="34"/>
  <c r="BF363" i="34"/>
  <c r="BH363" i="34"/>
  <c r="BI363" i="34"/>
  <c r="AS385" i="34"/>
  <c r="AR385" i="34"/>
  <c r="AP385" i="34"/>
  <c r="AO385" i="34"/>
  <c r="BF393" i="34"/>
  <c r="BI393" i="34"/>
  <c r="BE393" i="34"/>
  <c r="BH393" i="34"/>
  <c r="BH397" i="34"/>
  <c r="BF397" i="34"/>
  <c r="BI397" i="34"/>
  <c r="BE397" i="34"/>
  <c r="BH422" i="34"/>
  <c r="BI422" i="34"/>
  <c r="BE422" i="34"/>
  <c r="BF422" i="34"/>
  <c r="BE426" i="34"/>
  <c r="BC427" i="34"/>
  <c r="BF426" i="34"/>
  <c r="BH426" i="34"/>
  <c r="BI426" i="34"/>
  <c r="BF428" i="34"/>
  <c r="BI428" i="34"/>
  <c r="BE428" i="34"/>
  <c r="BH428" i="34"/>
  <c r="BH429" i="34"/>
  <c r="BF429" i="34"/>
  <c r="BI429" i="34"/>
  <c r="BE429" i="34"/>
  <c r="BH430" i="34"/>
  <c r="BF430" i="34"/>
  <c r="BE430" i="34"/>
  <c r="BI430" i="34"/>
  <c r="AS500" i="34"/>
  <c r="AR500" i="34"/>
  <c r="AP500" i="34"/>
  <c r="AO500" i="34"/>
  <c r="AX501" i="34"/>
  <c r="AW501" i="34"/>
  <c r="AZ501" i="34"/>
  <c r="BA501" i="34"/>
  <c r="BA502" i="34"/>
  <c r="AW502" i="34"/>
  <c r="AZ502" i="34"/>
  <c r="AX502" i="34"/>
  <c r="BA505" i="34"/>
  <c r="AW505" i="34"/>
  <c r="AZ505" i="34"/>
  <c r="AX505" i="34"/>
  <c r="AZ509" i="34"/>
  <c r="BA509" i="34"/>
  <c r="AW509" i="34"/>
  <c r="AX509" i="34"/>
  <c r="AW513" i="34"/>
  <c r="AZ513" i="34"/>
  <c r="AX513" i="34"/>
  <c r="BA513" i="34"/>
  <c r="AZ519" i="34"/>
  <c r="BA519" i="34"/>
  <c r="AW519" i="34"/>
  <c r="AX519" i="34"/>
  <c r="AZ520" i="34"/>
  <c r="AX520" i="34"/>
  <c r="BA520" i="34"/>
  <c r="AW520" i="34"/>
  <c r="AS525" i="34"/>
  <c r="AR525" i="34"/>
  <c r="AO525" i="34"/>
  <c r="AP525" i="34"/>
  <c r="AR526" i="34"/>
  <c r="AS526" i="34"/>
  <c r="AO526" i="34"/>
  <c r="AP526" i="34"/>
  <c r="AR529" i="34"/>
  <c r="AS529" i="34"/>
  <c r="AP529" i="34"/>
  <c r="AO529" i="34"/>
  <c r="AS533" i="34"/>
  <c r="AR533" i="34"/>
  <c r="AP533" i="34"/>
  <c r="AO533" i="34"/>
  <c r="AR537" i="34"/>
  <c r="AS537" i="34"/>
  <c r="AO537" i="34"/>
  <c r="AP537" i="34"/>
  <c r="AS143" i="34"/>
  <c r="AR143" i="34"/>
  <c r="AP143" i="34"/>
  <c r="AO143" i="34"/>
  <c r="AS545" i="34"/>
  <c r="AM544" i="34"/>
  <c r="AR545" i="34"/>
  <c r="AP545" i="34"/>
  <c r="AO545" i="34"/>
  <c r="AR145" i="34"/>
  <c r="AS145" i="34"/>
  <c r="AP145" i="34"/>
  <c r="AO145" i="34"/>
  <c r="AR552" i="34"/>
  <c r="AM551" i="34"/>
  <c r="AS552" i="34"/>
  <c r="AO552" i="34"/>
  <c r="AP552" i="34"/>
  <c r="BA561" i="34"/>
  <c r="AW561" i="34"/>
  <c r="AZ561" i="34"/>
  <c r="AX561" i="34"/>
  <c r="AX562" i="34"/>
  <c r="BA562" i="34"/>
  <c r="AW562" i="34"/>
  <c r="AZ562" i="34"/>
  <c r="AW565" i="34"/>
  <c r="AZ565" i="34"/>
  <c r="AX565" i="34"/>
  <c r="BA565" i="34"/>
  <c r="AW566" i="34"/>
  <c r="AZ566" i="34"/>
  <c r="AX566" i="34"/>
  <c r="BA566" i="34"/>
  <c r="AZ570" i="34"/>
  <c r="AX570" i="34"/>
  <c r="BA570" i="34"/>
  <c r="AW570" i="34"/>
  <c r="AW580" i="34"/>
  <c r="AZ580" i="34"/>
  <c r="AX580" i="34"/>
  <c r="BA580" i="34"/>
  <c r="BA581" i="34"/>
  <c r="AW581" i="34"/>
  <c r="AZ581" i="34"/>
  <c r="AX581" i="34"/>
  <c r="AX585" i="34"/>
  <c r="AW585" i="34"/>
  <c r="BA585" i="34"/>
  <c r="AZ585" i="34"/>
  <c r="AW591" i="34"/>
  <c r="AZ591" i="34"/>
  <c r="AX591" i="34"/>
  <c r="BA591" i="34"/>
  <c r="AZ592" i="34"/>
  <c r="BA592" i="34"/>
  <c r="AX592" i="34"/>
  <c r="AW592" i="34"/>
  <c r="BA593" i="34"/>
  <c r="AW593" i="34"/>
  <c r="AZ593" i="34"/>
  <c r="AX593" i="34"/>
  <c r="AZ596" i="34"/>
  <c r="AX596" i="34"/>
  <c r="BA596" i="34"/>
  <c r="AW596" i="34"/>
  <c r="AZ597" i="34"/>
  <c r="BA597" i="34"/>
  <c r="AX597" i="34"/>
  <c r="AW597" i="34"/>
  <c r="AX601" i="34"/>
  <c r="AW601" i="34"/>
  <c r="BA601" i="34"/>
  <c r="AZ601" i="34"/>
  <c r="AZ605" i="34"/>
  <c r="AX605" i="34"/>
  <c r="BA605" i="34"/>
  <c r="AW605" i="34"/>
  <c r="AX609" i="34"/>
  <c r="BA609" i="34"/>
  <c r="AW609" i="34"/>
  <c r="AZ609" i="34"/>
  <c r="AX615" i="34"/>
  <c r="BA615" i="34"/>
  <c r="AW615" i="34"/>
  <c r="AZ615" i="34"/>
  <c r="AX616" i="34"/>
  <c r="BA616" i="34"/>
  <c r="AW616" i="34"/>
  <c r="AZ616" i="34"/>
  <c r="BA619" i="34"/>
  <c r="AW619" i="34"/>
  <c r="AZ619" i="34"/>
  <c r="AX619" i="34"/>
  <c r="AW620" i="34"/>
  <c r="AZ620" i="34"/>
  <c r="AX620" i="34"/>
  <c r="BA620" i="34"/>
  <c r="AZ624" i="34"/>
  <c r="BA624" i="34"/>
  <c r="AX624" i="34"/>
  <c r="AW624" i="34"/>
  <c r="AZ628" i="34"/>
  <c r="AX628" i="34"/>
  <c r="BA628" i="34"/>
  <c r="AW628" i="34"/>
  <c r="AX632" i="34"/>
  <c r="BA632" i="34"/>
  <c r="AW632" i="34"/>
  <c r="AZ632" i="34"/>
  <c r="AX640" i="34"/>
  <c r="BA640" i="34"/>
  <c r="AW640" i="34"/>
  <c r="AZ640" i="34"/>
  <c r="AW641" i="34"/>
  <c r="AX641" i="34"/>
  <c r="BA641" i="34"/>
  <c r="AZ641" i="34"/>
  <c r="BA642" i="34"/>
  <c r="AW642" i="34"/>
  <c r="AZ642" i="34"/>
  <c r="AX642" i="34"/>
  <c r="AZ649" i="34"/>
  <c r="AX649" i="34"/>
  <c r="BA649" i="34"/>
  <c r="AW649" i="34"/>
  <c r="AX656" i="34"/>
  <c r="BA656" i="34"/>
  <c r="AW656" i="34"/>
  <c r="AZ656" i="34"/>
  <c r="AX657" i="34"/>
  <c r="BA657" i="34"/>
  <c r="AW657" i="34"/>
  <c r="AZ657" i="34"/>
  <c r="AZ664" i="34"/>
  <c r="AX664" i="34"/>
  <c r="BA664" i="34"/>
  <c r="AW664" i="34"/>
  <c r="AW680" i="34"/>
  <c r="AZ680" i="34"/>
  <c r="AX680" i="34"/>
  <c r="BA680" i="34"/>
  <c r="AZ681" i="34"/>
  <c r="BA681" i="34"/>
  <c r="AX681" i="34"/>
  <c r="AW681" i="34"/>
  <c r="AW683" i="34"/>
  <c r="BA683" i="34"/>
  <c r="AZ683" i="34"/>
  <c r="AX683" i="34"/>
  <c r="BA687" i="34"/>
  <c r="AW687" i="34"/>
  <c r="AZ687" i="34"/>
  <c r="AX687" i="34"/>
  <c r="AW689" i="34"/>
  <c r="AZ689" i="34"/>
  <c r="AX689" i="34"/>
  <c r="BA689" i="34"/>
  <c r="BA693" i="34"/>
  <c r="AW693" i="34"/>
  <c r="AZ693" i="34"/>
  <c r="AX693" i="34"/>
  <c r="AZ695" i="34"/>
  <c r="AX695" i="34"/>
  <c r="BA695" i="34"/>
  <c r="AW695" i="34"/>
  <c r="AX699" i="34"/>
  <c r="AW699" i="34"/>
  <c r="BA699" i="34"/>
  <c r="AZ699" i="34"/>
  <c r="AX701" i="34"/>
  <c r="AW701" i="34"/>
  <c r="BA701" i="34"/>
  <c r="AZ701" i="34"/>
  <c r="AW705" i="34"/>
  <c r="AX705" i="34"/>
  <c r="BA705" i="34"/>
  <c r="AZ705" i="34"/>
  <c r="BA707" i="34"/>
  <c r="AZ707" i="34"/>
  <c r="AX707" i="34"/>
  <c r="AW707" i="34"/>
  <c r="AZ711" i="34"/>
  <c r="AX711" i="34"/>
  <c r="BA711" i="34"/>
  <c r="AW711" i="34"/>
  <c r="AW716" i="34"/>
  <c r="AX716" i="34"/>
  <c r="BA716" i="34"/>
  <c r="AZ716" i="34"/>
  <c r="BA717" i="34"/>
  <c r="AW717" i="34"/>
  <c r="AZ717" i="34"/>
  <c r="AX717" i="34"/>
  <c r="BA724" i="34"/>
  <c r="AW724" i="34"/>
  <c r="AZ724" i="34"/>
  <c r="AX724" i="34"/>
  <c r="AW725" i="34"/>
  <c r="AX725" i="34"/>
  <c r="AZ725" i="34"/>
  <c r="BA725" i="34"/>
  <c r="AZ727" i="34"/>
  <c r="AX727" i="34"/>
  <c r="BA727" i="34"/>
  <c r="AW727" i="34"/>
  <c r="AX731" i="34"/>
  <c r="AW731" i="34"/>
  <c r="BA731" i="34"/>
  <c r="AZ731" i="34"/>
  <c r="AW733" i="34"/>
  <c r="AX733" i="34"/>
  <c r="BA733" i="34"/>
  <c r="AZ733" i="34"/>
  <c r="AX737" i="34"/>
  <c r="AZ737" i="34"/>
  <c r="BA737" i="34"/>
  <c r="AW737" i="34"/>
  <c r="BA739" i="34"/>
  <c r="AW739" i="34"/>
  <c r="AZ739" i="34"/>
  <c r="AX739" i="34"/>
  <c r="BA743" i="34"/>
  <c r="AZ743" i="34"/>
  <c r="AX743" i="34"/>
  <c r="AW743" i="34"/>
  <c r="AW745" i="34"/>
  <c r="AX745" i="34"/>
  <c r="BA745" i="34"/>
  <c r="AZ745" i="34"/>
  <c r="AW749" i="34"/>
  <c r="AZ749" i="34"/>
  <c r="AX749" i="34"/>
  <c r="BA749" i="34"/>
  <c r="BA751" i="34"/>
  <c r="AW751" i="34"/>
  <c r="AZ751" i="34"/>
  <c r="AX751" i="34"/>
  <c r="AZ755" i="34"/>
  <c r="AX755" i="34"/>
  <c r="AW755" i="34"/>
  <c r="BA755" i="34"/>
  <c r="AO801" i="34"/>
  <c r="AP801" i="34"/>
  <c r="AS801" i="34"/>
  <c r="AR801" i="34"/>
  <c r="AO802" i="34"/>
  <c r="AS802" i="34"/>
  <c r="AP802" i="34"/>
  <c r="AR802" i="34"/>
  <c r="AR803" i="34"/>
  <c r="AS803" i="34"/>
  <c r="AP803" i="34"/>
  <c r="AO803" i="34"/>
  <c r="AS808" i="34"/>
  <c r="AR808" i="34"/>
  <c r="AO808" i="34"/>
  <c r="AP808" i="34"/>
  <c r="AR813" i="34"/>
  <c r="AS813" i="34"/>
  <c r="AP813" i="34"/>
  <c r="AO813" i="34"/>
  <c r="AR818" i="34"/>
  <c r="AS818" i="34"/>
  <c r="AP818" i="34"/>
  <c r="AO818" i="34"/>
  <c r="AR823" i="34"/>
  <c r="AS823" i="34"/>
  <c r="AO823" i="34"/>
  <c r="AP823" i="34"/>
  <c r="AR828" i="34"/>
  <c r="AS828" i="34"/>
  <c r="AO828" i="34"/>
  <c r="AP828" i="34"/>
  <c r="AS833" i="34"/>
  <c r="AR833" i="34"/>
  <c r="AO833" i="34"/>
  <c r="AP833" i="34"/>
  <c r="AM1482" i="34"/>
  <c r="AR842" i="34"/>
  <c r="AS842" i="34"/>
  <c r="AP842" i="34"/>
  <c r="AO842" i="34"/>
  <c r="AR843" i="34"/>
  <c r="AS843" i="34"/>
  <c r="AP843" i="34"/>
  <c r="AO843" i="34"/>
  <c r="AR844" i="34"/>
  <c r="AS844" i="34"/>
  <c r="AO844" i="34"/>
  <c r="AP844" i="34"/>
  <c r="AS845" i="34"/>
  <c r="AR845" i="34"/>
  <c r="AO845" i="34"/>
  <c r="AP845" i="34"/>
  <c r="AR846" i="34"/>
  <c r="AS846" i="34"/>
  <c r="AO846" i="34"/>
  <c r="AP846" i="34"/>
  <c r="AR847" i="34"/>
  <c r="AS847" i="34"/>
  <c r="AP847" i="34"/>
  <c r="AO847" i="34"/>
  <c r="AR848" i="34"/>
  <c r="AS848" i="34"/>
  <c r="AP848" i="34"/>
  <c r="AO848" i="34"/>
  <c r="AS849" i="34"/>
  <c r="AR849" i="34"/>
  <c r="AO849" i="34"/>
  <c r="AP849" i="34"/>
  <c r="AS850" i="34"/>
  <c r="AR850" i="34"/>
  <c r="AP850" i="34"/>
  <c r="AO850" i="34"/>
  <c r="AR851" i="34"/>
  <c r="AS851" i="34"/>
  <c r="AO851" i="34"/>
  <c r="AP851" i="34"/>
  <c r="AR852" i="34"/>
  <c r="AS852" i="34"/>
  <c r="AP852" i="34"/>
  <c r="AO852" i="34"/>
  <c r="AS853" i="34"/>
  <c r="AR853" i="34"/>
  <c r="AP853" i="34"/>
  <c r="AO853" i="34"/>
  <c r="AR854" i="34"/>
  <c r="AS854" i="34"/>
  <c r="AO854" i="34"/>
  <c r="AP854" i="34"/>
  <c r="AR855" i="34"/>
  <c r="AS855" i="34"/>
  <c r="AO855" i="34"/>
  <c r="AP855" i="34"/>
  <c r="AR856" i="34"/>
  <c r="AS856" i="34"/>
  <c r="AP856" i="34"/>
  <c r="AO856" i="34"/>
  <c r="AR857" i="34"/>
  <c r="AS857" i="34"/>
  <c r="AP857" i="34"/>
  <c r="AO857" i="34"/>
  <c r="AR862" i="34"/>
  <c r="AS862" i="34"/>
  <c r="AO862" i="34"/>
  <c r="AP862" i="34"/>
  <c r="AS863" i="34"/>
  <c r="AR863" i="34"/>
  <c r="AP863" i="34"/>
  <c r="AO863" i="34"/>
  <c r="AR864" i="34"/>
  <c r="AS864" i="34"/>
  <c r="AO864" i="34"/>
  <c r="AP864" i="34"/>
  <c r="AR865" i="34"/>
  <c r="AS865" i="34"/>
  <c r="AO865" i="34"/>
  <c r="AP865" i="34"/>
  <c r="AR866" i="34"/>
  <c r="AS866" i="34"/>
  <c r="AP866" i="34"/>
  <c r="AO866" i="34"/>
  <c r="AS867" i="34"/>
  <c r="AR867" i="34"/>
  <c r="AO867" i="34"/>
  <c r="AP867" i="34"/>
  <c r="AS868" i="34"/>
  <c r="AR868" i="34"/>
  <c r="AO868" i="34"/>
  <c r="AP868" i="34"/>
  <c r="AS869" i="34"/>
  <c r="AR869" i="34"/>
  <c r="AO869" i="34"/>
  <c r="AP869" i="34"/>
  <c r="AS870" i="34"/>
  <c r="AR870" i="34"/>
  <c r="AO870" i="34"/>
  <c r="AP870" i="34"/>
  <c r="AR871" i="34"/>
  <c r="AS871" i="34"/>
  <c r="AP871" i="34"/>
  <c r="AO871" i="34"/>
  <c r="AR872" i="34"/>
  <c r="AS872" i="34"/>
  <c r="AP872" i="34"/>
  <c r="AO872" i="34"/>
  <c r="AS877" i="34"/>
  <c r="AR877" i="34"/>
  <c r="AP877" i="34"/>
  <c r="AO877" i="34"/>
  <c r="AS888" i="34"/>
  <c r="AR888" i="34"/>
  <c r="AP888" i="34"/>
  <c r="AO888" i="34"/>
  <c r="AX888" i="34"/>
  <c r="BA888" i="34"/>
  <c r="AW888" i="34"/>
  <c r="AZ888" i="34"/>
  <c r="BE888" i="34"/>
  <c r="BH888" i="34"/>
  <c r="BF888" i="34"/>
  <c r="BI888" i="34"/>
  <c r="AW889" i="34"/>
  <c r="AZ889" i="34"/>
  <c r="AX889" i="34"/>
  <c r="BA889" i="34"/>
  <c r="BE889" i="34"/>
  <c r="BH889" i="34"/>
  <c r="BF889" i="34"/>
  <c r="BI889" i="34"/>
  <c r="AR889" i="34"/>
  <c r="AS889" i="34"/>
  <c r="AO889" i="34"/>
  <c r="AP889" i="34"/>
  <c r="AR890" i="34"/>
  <c r="AS890" i="34"/>
  <c r="AO890" i="34"/>
  <c r="AP890" i="34"/>
  <c r="BA890" i="34"/>
  <c r="AZ890" i="34"/>
  <c r="AX890" i="34"/>
  <c r="AW890" i="34"/>
  <c r="BH890" i="34"/>
  <c r="BF890" i="34"/>
  <c r="BI890" i="34"/>
  <c r="BE890" i="34"/>
  <c r="AR891" i="34"/>
  <c r="AS891" i="34"/>
  <c r="AO891" i="34"/>
  <c r="AP891" i="34"/>
  <c r="AX891" i="34"/>
  <c r="BA891" i="34"/>
  <c r="AW891" i="34"/>
  <c r="AZ891" i="34"/>
  <c r="BI891" i="34"/>
  <c r="BE891" i="34"/>
  <c r="BH891" i="34"/>
  <c r="BF891" i="34"/>
  <c r="AX892" i="34"/>
  <c r="BA892" i="34"/>
  <c r="AW892" i="34"/>
  <c r="AZ892" i="34"/>
  <c r="BE892" i="34"/>
  <c r="BH892" i="34"/>
  <c r="BF892" i="34"/>
  <c r="BI892" i="34"/>
  <c r="AS892" i="34"/>
  <c r="AR892" i="34"/>
  <c r="AP892" i="34"/>
  <c r="AO892" i="34"/>
  <c r="AZ893" i="34"/>
  <c r="BA893" i="34"/>
  <c r="AW893" i="34"/>
  <c r="AX893" i="34"/>
  <c r="AR893" i="34"/>
  <c r="AS893" i="34"/>
  <c r="AP893" i="34"/>
  <c r="AO893" i="34"/>
  <c r="BE893" i="34"/>
  <c r="BH893" i="34"/>
  <c r="BF893" i="34"/>
  <c r="BI893" i="34"/>
  <c r="AS894" i="34"/>
  <c r="AR894" i="34"/>
  <c r="AO894" i="34"/>
  <c r="AP894" i="34"/>
  <c r="AX894" i="34"/>
  <c r="BA894" i="34"/>
  <c r="AW894" i="34"/>
  <c r="AZ894" i="34"/>
  <c r="BH894" i="34"/>
  <c r="BF894" i="34"/>
  <c r="BI894" i="34"/>
  <c r="BE894" i="34"/>
  <c r="AS895" i="34"/>
  <c r="AR895" i="34"/>
  <c r="AO895" i="34"/>
  <c r="AP895" i="34"/>
  <c r="AW895" i="34"/>
  <c r="AX895" i="34"/>
  <c r="AZ895" i="34"/>
  <c r="BA895" i="34"/>
  <c r="BH895" i="34"/>
  <c r="BF895" i="34"/>
  <c r="BI895" i="34"/>
  <c r="BE895" i="34"/>
  <c r="BA896" i="34"/>
  <c r="AW896" i="34"/>
  <c r="AZ896" i="34"/>
  <c r="AX896" i="34"/>
  <c r="AS896" i="34"/>
  <c r="AR896" i="34"/>
  <c r="AP896" i="34"/>
  <c r="AO896" i="34"/>
  <c r="BE896" i="34"/>
  <c r="BH896" i="34"/>
  <c r="BF896" i="34"/>
  <c r="BI896" i="34"/>
  <c r="AW897" i="34"/>
  <c r="AZ897" i="34"/>
  <c r="AX897" i="34"/>
  <c r="BA897" i="34"/>
  <c r="AS897" i="34"/>
  <c r="AR897" i="34"/>
  <c r="AO897" i="34"/>
  <c r="AP897" i="34"/>
  <c r="BE897" i="34"/>
  <c r="BH897" i="34"/>
  <c r="BF897" i="34"/>
  <c r="BI897" i="34"/>
  <c r="AZ898" i="34"/>
  <c r="AX898" i="34"/>
  <c r="AW898" i="34"/>
  <c r="BA898" i="34"/>
  <c r="AS898" i="34"/>
  <c r="AR898" i="34"/>
  <c r="AO898" i="34"/>
  <c r="AP898" i="34"/>
  <c r="BH898" i="34"/>
  <c r="BF898" i="34"/>
  <c r="BI898" i="34"/>
  <c r="BE898" i="34"/>
  <c r="AR899" i="34"/>
  <c r="AS899" i="34"/>
  <c r="AP899" i="34"/>
  <c r="AO899" i="34"/>
  <c r="BA899" i="34"/>
  <c r="AW899" i="34"/>
  <c r="AZ899" i="34"/>
  <c r="AX899" i="34"/>
  <c r="BI899" i="34"/>
  <c r="BE899" i="34"/>
  <c r="BF899" i="34"/>
  <c r="BH899" i="34"/>
  <c r="AX900" i="34"/>
  <c r="BA900" i="34"/>
  <c r="AW900" i="34"/>
  <c r="AZ900" i="34"/>
  <c r="AS900" i="34"/>
  <c r="AR900" i="34"/>
  <c r="AP900" i="34"/>
  <c r="AO900" i="34"/>
  <c r="BF900" i="34"/>
  <c r="BI900" i="34"/>
  <c r="BE900" i="34"/>
  <c r="BH900" i="34"/>
  <c r="BA901" i="34"/>
  <c r="AW901" i="34"/>
  <c r="AZ901" i="34"/>
  <c r="AX901" i="34"/>
  <c r="AR901" i="34"/>
  <c r="AS901" i="34"/>
  <c r="AO901" i="34"/>
  <c r="AP901" i="34"/>
  <c r="BE901" i="34"/>
  <c r="BH901" i="34"/>
  <c r="BF901" i="34"/>
  <c r="BI901" i="34"/>
  <c r="AS902" i="34"/>
  <c r="AR902" i="34"/>
  <c r="AO902" i="34"/>
  <c r="AP902" i="34"/>
  <c r="AX902" i="34"/>
  <c r="AW902" i="34"/>
  <c r="AZ902" i="34"/>
  <c r="BA902" i="34"/>
  <c r="BI902" i="34"/>
  <c r="BE902" i="34"/>
  <c r="BH902" i="34"/>
  <c r="BF902" i="34"/>
  <c r="AX903" i="34"/>
  <c r="BA903" i="34"/>
  <c r="AW903" i="34"/>
  <c r="AZ903" i="34"/>
  <c r="AS903" i="34"/>
  <c r="AR903" i="34"/>
  <c r="AP903" i="34"/>
  <c r="AO903" i="34"/>
  <c r="BE903" i="34"/>
  <c r="BI903" i="34"/>
  <c r="BH903" i="34"/>
  <c r="BF903" i="34"/>
  <c r="BA905" i="34"/>
  <c r="AW905" i="34"/>
  <c r="AZ905" i="34"/>
  <c r="AX905" i="34"/>
  <c r="BE905" i="34"/>
  <c r="BH905" i="34"/>
  <c r="BF905" i="34"/>
  <c r="BI905" i="34"/>
  <c r="AR905" i="34"/>
  <c r="AS905" i="34"/>
  <c r="AP905" i="34"/>
  <c r="AO905" i="34"/>
  <c r="AS906" i="34"/>
  <c r="AR906" i="34"/>
  <c r="AO906" i="34"/>
  <c r="AP906" i="34"/>
  <c r="BA906" i="34"/>
  <c r="AZ906" i="34"/>
  <c r="AX906" i="34"/>
  <c r="AW906" i="34"/>
  <c r="BH906" i="34"/>
  <c r="BF906" i="34"/>
  <c r="BI906" i="34"/>
  <c r="BE906" i="34"/>
  <c r="AS907" i="34"/>
  <c r="AR907" i="34"/>
  <c r="AO907" i="34"/>
  <c r="AP907" i="34"/>
  <c r="AX907" i="34"/>
  <c r="BA907" i="34"/>
  <c r="AW907" i="34"/>
  <c r="AZ907" i="34"/>
  <c r="BI907" i="34"/>
  <c r="BE907" i="34"/>
  <c r="BH907" i="34"/>
  <c r="BF907" i="34"/>
  <c r="BA908" i="34"/>
  <c r="AZ908" i="34"/>
  <c r="AW908" i="34"/>
  <c r="AX908" i="34"/>
  <c r="AS908" i="34"/>
  <c r="AR908" i="34"/>
  <c r="AP908" i="34"/>
  <c r="AO908" i="34"/>
  <c r="BE908" i="34"/>
  <c r="BH908" i="34"/>
  <c r="BF908" i="34"/>
  <c r="BI908" i="34"/>
  <c r="AW909" i="34"/>
  <c r="AZ909" i="34"/>
  <c r="AX909" i="34"/>
  <c r="BA909" i="34"/>
  <c r="AR909" i="34"/>
  <c r="AS909" i="34"/>
  <c r="AO909" i="34"/>
  <c r="AP909" i="34"/>
  <c r="BF909" i="34"/>
  <c r="BH909" i="34"/>
  <c r="BI909" i="34"/>
  <c r="BE909" i="34"/>
  <c r="AZ910" i="34"/>
  <c r="BA910" i="34"/>
  <c r="AX910" i="34"/>
  <c r="AW910" i="34"/>
  <c r="AR910" i="34"/>
  <c r="AS910" i="34"/>
  <c r="AO910" i="34"/>
  <c r="AP910" i="34"/>
  <c r="BI910" i="34"/>
  <c r="BE910" i="34"/>
  <c r="BF910" i="34"/>
  <c r="BH910" i="34"/>
  <c r="BA911" i="34"/>
  <c r="AZ911" i="34"/>
  <c r="AX911" i="34"/>
  <c r="AW911" i="34"/>
  <c r="BH911" i="34"/>
  <c r="BF911" i="34"/>
  <c r="BI911" i="34"/>
  <c r="BE911" i="34"/>
  <c r="AS911" i="34"/>
  <c r="AR911" i="34"/>
  <c r="AP911" i="34"/>
  <c r="AO911" i="34"/>
  <c r="BA912" i="34"/>
  <c r="AW912" i="34"/>
  <c r="AX912" i="34"/>
  <c r="AZ912" i="34"/>
  <c r="AR912" i="34"/>
  <c r="AS912" i="34"/>
  <c r="AO912" i="34"/>
  <c r="AP912" i="34"/>
  <c r="BE912" i="34"/>
  <c r="BI912" i="34"/>
  <c r="BH912" i="34"/>
  <c r="BF912" i="34"/>
  <c r="AR913" i="34"/>
  <c r="AS913" i="34"/>
  <c r="AP913" i="34"/>
  <c r="AO913" i="34"/>
  <c r="BA913" i="34"/>
  <c r="AX913" i="34"/>
  <c r="AZ913" i="34"/>
  <c r="AW913" i="34"/>
  <c r="BH913" i="34"/>
  <c r="BF913" i="34"/>
  <c r="BI913" i="34"/>
  <c r="BE913" i="34"/>
  <c r="AS914" i="34"/>
  <c r="AR914" i="34"/>
  <c r="AP914" i="34"/>
  <c r="AO914" i="34"/>
  <c r="AW914" i="34"/>
  <c r="AZ914" i="34"/>
  <c r="AX914" i="34"/>
  <c r="BA914" i="34"/>
  <c r="BF914" i="34"/>
  <c r="BI914" i="34"/>
  <c r="BH914" i="34"/>
  <c r="BE914" i="34"/>
  <c r="AR919" i="34"/>
  <c r="AS919" i="34"/>
  <c r="AO919" i="34"/>
  <c r="AP919" i="34"/>
  <c r="BA919" i="34"/>
  <c r="AW919" i="34"/>
  <c r="AZ919" i="34"/>
  <c r="AX919" i="34"/>
  <c r="BI919" i="34"/>
  <c r="BE919" i="34"/>
  <c r="BH919" i="34"/>
  <c r="BF919" i="34"/>
  <c r="BA924" i="34"/>
  <c r="AW924" i="34"/>
  <c r="AZ924" i="34"/>
  <c r="AX924" i="34"/>
  <c r="AS924" i="34"/>
  <c r="AR924" i="34"/>
  <c r="AP924" i="34"/>
  <c r="AO924" i="34"/>
  <c r="BF924" i="34"/>
  <c r="BI924" i="34"/>
  <c r="BE924" i="34"/>
  <c r="BH924" i="34"/>
  <c r="AX930" i="34"/>
  <c r="BA930" i="34"/>
  <c r="AW930" i="34"/>
  <c r="AZ930" i="34"/>
  <c r="BH930" i="34"/>
  <c r="BF930" i="34"/>
  <c r="BI930" i="34"/>
  <c r="BE930" i="34"/>
  <c r="AS930" i="34"/>
  <c r="AR930" i="34"/>
  <c r="AO930" i="34"/>
  <c r="AP930" i="34"/>
  <c r="AX935" i="34"/>
  <c r="BA935" i="34"/>
  <c r="AW935" i="34"/>
  <c r="AZ935" i="34"/>
  <c r="BI935" i="34"/>
  <c r="BE935" i="34"/>
  <c r="BH935" i="34"/>
  <c r="BF935" i="34"/>
  <c r="AS935" i="34"/>
  <c r="AR935" i="34"/>
  <c r="AO935" i="34"/>
  <c r="AP935" i="34"/>
  <c r="AS941" i="34"/>
  <c r="AR941" i="34"/>
  <c r="AO941" i="34"/>
  <c r="AP941" i="34"/>
  <c r="BA941" i="34"/>
  <c r="AW941" i="34"/>
  <c r="AZ941" i="34"/>
  <c r="AX941" i="34"/>
  <c r="BF941" i="34"/>
  <c r="BI941" i="34"/>
  <c r="BE941" i="34"/>
  <c r="BH941" i="34"/>
  <c r="AX948" i="34"/>
  <c r="BA948" i="34"/>
  <c r="AW948" i="34"/>
  <c r="AZ948" i="34"/>
  <c r="AS948" i="34"/>
  <c r="AR948" i="34"/>
  <c r="AO948" i="34"/>
  <c r="AP948" i="34"/>
  <c r="BH948" i="34"/>
  <c r="BF948" i="34"/>
  <c r="BI948" i="34"/>
  <c r="BE948" i="34"/>
  <c r="AX949" i="34"/>
  <c r="BA949" i="34"/>
  <c r="AW949" i="34"/>
  <c r="AZ949" i="34"/>
  <c r="AS949" i="34"/>
  <c r="AR949" i="34"/>
  <c r="AO949" i="34"/>
  <c r="AP949" i="34"/>
  <c r="BI949" i="34"/>
  <c r="BE949" i="34"/>
  <c r="BH949" i="34"/>
  <c r="BF949" i="34"/>
  <c r="AS954" i="34"/>
  <c r="AR954" i="34"/>
  <c r="AO954" i="34"/>
  <c r="AP954" i="34"/>
  <c r="AX954" i="34"/>
  <c r="BA954" i="34"/>
  <c r="AW954" i="34"/>
  <c r="AZ954" i="34"/>
  <c r="BE954" i="34"/>
  <c r="BH954" i="34"/>
  <c r="BF954" i="34"/>
  <c r="BI954" i="34"/>
  <c r="AR960" i="34"/>
  <c r="AS960" i="34"/>
  <c r="AO960" i="34"/>
  <c r="AP960" i="34"/>
  <c r="AZ960" i="34"/>
  <c r="BA960" i="34"/>
  <c r="AW960" i="34"/>
  <c r="AX960" i="34"/>
  <c r="BF960" i="34"/>
  <c r="BH960" i="34"/>
  <c r="BE960" i="34"/>
  <c r="BI960" i="34"/>
  <c r="AX965" i="34"/>
  <c r="AW965" i="34"/>
  <c r="BA965" i="34"/>
  <c r="AZ965" i="34"/>
  <c r="AS965" i="34"/>
  <c r="AR965" i="34"/>
  <c r="AO965" i="34"/>
  <c r="AP965" i="34"/>
  <c r="BH965" i="34"/>
  <c r="BF965" i="34"/>
  <c r="BI965" i="34"/>
  <c r="BE965" i="34"/>
  <c r="AZ971" i="34"/>
  <c r="AX971" i="34"/>
  <c r="AW971" i="34"/>
  <c r="BA971" i="34"/>
  <c r="AR971" i="34"/>
  <c r="AS971" i="34"/>
  <c r="AO971" i="34"/>
  <c r="AP971" i="34"/>
  <c r="BI971" i="34"/>
  <c r="BE971" i="34"/>
  <c r="BH971" i="34"/>
  <c r="BF971" i="34"/>
  <c r="BE1115" i="34"/>
  <c r="BF1115" i="34"/>
  <c r="BH1115" i="34"/>
  <c r="BI1115" i="34"/>
  <c r="BI30" i="34"/>
  <c r="BH30" i="34"/>
  <c r="BF30" i="34"/>
  <c r="BE30" i="34"/>
  <c r="BH40" i="34"/>
  <c r="BI40" i="34"/>
  <c r="BE40" i="34"/>
  <c r="BF40" i="34"/>
  <c r="BH44" i="34"/>
  <c r="BF44" i="34"/>
  <c r="BI44" i="34"/>
  <c r="BE44" i="34"/>
  <c r="BF48" i="34"/>
  <c r="BE48" i="34"/>
  <c r="BI48" i="34"/>
  <c r="BH48" i="34"/>
  <c r="AS58" i="34"/>
  <c r="AR58" i="34"/>
  <c r="AP58" i="34"/>
  <c r="AO58" i="34"/>
  <c r="AZ26" i="34"/>
  <c r="BA26" i="34"/>
  <c r="AW26" i="34"/>
  <c r="AX26" i="34"/>
  <c r="AX27" i="34"/>
  <c r="AW27" i="34"/>
  <c r="AZ27" i="34"/>
  <c r="BA27" i="34"/>
  <c r="BA91" i="34"/>
  <c r="AW91" i="34"/>
  <c r="AZ91" i="34"/>
  <c r="AX91" i="34"/>
  <c r="AW105" i="34"/>
  <c r="AX105" i="34"/>
  <c r="AZ105" i="34"/>
  <c r="BA105" i="34"/>
  <c r="AX106" i="34"/>
  <c r="AU80" i="34"/>
  <c r="BA106" i="34"/>
  <c r="AW106" i="34"/>
  <c r="AZ106" i="34"/>
  <c r="BI113" i="34"/>
  <c r="BH113" i="34"/>
  <c r="BF113" i="34"/>
  <c r="BE113" i="34"/>
  <c r="BE117" i="34"/>
  <c r="BH117" i="34"/>
  <c r="BF117" i="34"/>
  <c r="BI117" i="34"/>
  <c r="AZ120" i="34"/>
  <c r="BA120" i="34"/>
  <c r="AX120" i="34"/>
  <c r="AW120" i="34"/>
  <c r="AX122" i="34"/>
  <c r="AW122" i="34"/>
  <c r="BA122" i="34"/>
  <c r="AZ122" i="34"/>
  <c r="AZ130" i="34"/>
  <c r="BA130" i="34"/>
  <c r="AW130" i="34"/>
  <c r="AU127" i="34"/>
  <c r="AX130" i="34"/>
  <c r="AW131" i="34"/>
  <c r="AX131" i="34"/>
  <c r="AZ131" i="34"/>
  <c r="BA131" i="34"/>
  <c r="BA146" i="34"/>
  <c r="AZ146" i="34"/>
  <c r="AX146" i="34"/>
  <c r="AW146" i="34"/>
  <c r="AS172" i="34"/>
  <c r="AR172" i="34"/>
  <c r="AP172" i="34"/>
  <c r="AO172" i="34"/>
  <c r="AZ185" i="34"/>
  <c r="AU181" i="34"/>
  <c r="BA185" i="34"/>
  <c r="AX185" i="34"/>
  <c r="AW185" i="34"/>
  <c r="AW186" i="34"/>
  <c r="AZ186" i="34"/>
  <c r="AX186" i="34"/>
  <c r="BA186" i="34"/>
  <c r="AW197" i="34"/>
  <c r="AZ197" i="34"/>
  <c r="AX197" i="34"/>
  <c r="BA197" i="34"/>
  <c r="BA203" i="34"/>
  <c r="AW203" i="34"/>
  <c r="AZ203" i="34"/>
  <c r="AX203" i="34"/>
  <c r="BA204" i="34"/>
  <c r="AW204" i="34"/>
  <c r="AZ204" i="34"/>
  <c r="AX204" i="34"/>
  <c r="AX205" i="34"/>
  <c r="BA205" i="34"/>
  <c r="AW205" i="34"/>
  <c r="AZ205" i="34"/>
  <c r="AZ209" i="34"/>
  <c r="AX209" i="34"/>
  <c r="BA209" i="34"/>
  <c r="AW209" i="34"/>
  <c r="AX210" i="34"/>
  <c r="BA210" i="34"/>
  <c r="AW210" i="34"/>
  <c r="AZ210" i="34"/>
  <c r="AW211" i="34"/>
  <c r="AZ211" i="34"/>
  <c r="AX211" i="34"/>
  <c r="BA211" i="34"/>
  <c r="AW212" i="34"/>
  <c r="AZ212" i="34"/>
  <c r="AX212" i="34"/>
  <c r="BA212" i="34"/>
  <c r="AW213" i="34"/>
  <c r="AZ213" i="34"/>
  <c r="AX213" i="34"/>
  <c r="BA213" i="34"/>
  <c r="AZ214" i="34"/>
  <c r="AX214" i="34"/>
  <c r="BA214" i="34"/>
  <c r="AW214" i="34"/>
  <c r="AW215" i="34"/>
  <c r="AX215" i="34"/>
  <c r="BA215" i="34"/>
  <c r="AZ215" i="34"/>
  <c r="AZ216" i="34"/>
  <c r="BA216" i="34"/>
  <c r="AX216" i="34"/>
  <c r="AW216" i="34"/>
  <c r="AX217" i="34"/>
  <c r="AW217" i="34"/>
  <c r="BA217" i="34"/>
  <c r="AZ217" i="34"/>
  <c r="AW218" i="34"/>
  <c r="AZ218" i="34"/>
  <c r="AX218" i="34"/>
  <c r="BA218" i="34"/>
  <c r="AZ219" i="34"/>
  <c r="BA219" i="34"/>
  <c r="AX219" i="34"/>
  <c r="AW219" i="34"/>
  <c r="AW220" i="34"/>
  <c r="BA220" i="34"/>
  <c r="AZ220" i="34"/>
  <c r="AX220" i="34"/>
  <c r="BA221" i="34"/>
  <c r="AW221" i="34"/>
  <c r="AZ221" i="34"/>
  <c r="AX221" i="34"/>
  <c r="AX222" i="34"/>
  <c r="BA222" i="34"/>
  <c r="AW222" i="34"/>
  <c r="AZ222" i="34"/>
  <c r="BE224" i="34"/>
  <c r="BH224" i="34"/>
  <c r="BI224" i="34"/>
  <c r="BF224" i="34"/>
  <c r="BE231" i="34"/>
  <c r="BF231" i="34"/>
  <c r="BI231" i="34"/>
  <c r="BH231" i="34"/>
  <c r="BE254" i="34"/>
  <c r="BI254" i="34"/>
  <c r="BH254" i="34"/>
  <c r="BF254" i="34"/>
  <c r="BC241" i="34"/>
  <c r="BI255" i="34"/>
  <c r="BE255" i="34"/>
  <c r="BH255" i="34"/>
  <c r="BF255" i="34"/>
  <c r="BE256" i="34"/>
  <c r="BF256" i="34"/>
  <c r="BH256" i="34"/>
  <c r="BI256" i="34"/>
  <c r="BC242" i="34"/>
  <c r="BC243" i="34"/>
  <c r="BF257" i="34"/>
  <c r="BE257" i="34"/>
  <c r="BI257" i="34"/>
  <c r="BH257" i="34"/>
  <c r="BC244" i="34"/>
  <c r="BH258" i="34"/>
  <c r="BI258" i="34"/>
  <c r="BF258" i="34"/>
  <c r="BE258" i="34"/>
  <c r="BF259" i="34"/>
  <c r="BE259" i="34"/>
  <c r="BH259" i="34"/>
  <c r="BI259" i="34"/>
  <c r="BC245" i="34"/>
  <c r="BI260" i="34"/>
  <c r="BC246" i="34"/>
  <c r="BF260" i="34"/>
  <c r="BE260" i="34"/>
  <c r="BH260" i="34"/>
  <c r="AR268" i="34"/>
  <c r="AS268" i="34"/>
  <c r="AP268" i="34"/>
  <c r="AO268" i="34"/>
  <c r="AR279" i="34"/>
  <c r="AS279" i="34"/>
  <c r="AP279" i="34"/>
  <c r="AO279" i="34"/>
  <c r="AS283" i="34"/>
  <c r="AM284" i="34"/>
  <c r="AO284" i="34" s="1"/>
  <c r="AR283" i="34"/>
  <c r="AO283" i="34"/>
  <c r="AP283" i="34"/>
  <c r="AR285" i="34"/>
  <c r="AS285" i="34"/>
  <c r="AP285" i="34"/>
  <c r="AO285" i="34"/>
  <c r="AR286" i="34"/>
  <c r="AS286" i="34"/>
  <c r="AP286" i="34"/>
  <c r="AO286" i="34"/>
  <c r="AR287" i="34"/>
  <c r="AS287" i="34"/>
  <c r="AP287" i="34"/>
  <c r="AO287" i="34"/>
  <c r="AR290" i="34"/>
  <c r="AS290" i="34"/>
  <c r="AO290" i="34"/>
  <c r="AP290" i="34"/>
  <c r="AR291" i="34"/>
  <c r="AS291" i="34"/>
  <c r="AO291" i="34"/>
  <c r="AP291" i="34"/>
  <c r="AR295" i="34"/>
  <c r="AS295" i="34"/>
  <c r="AO295" i="34"/>
  <c r="AP295" i="34"/>
  <c r="AS300" i="34"/>
  <c r="AR300" i="34"/>
  <c r="AO300" i="34"/>
  <c r="AP300" i="34"/>
  <c r="AS301" i="34"/>
  <c r="AR301" i="34"/>
  <c r="AP301" i="34"/>
  <c r="AO301" i="34"/>
  <c r="AS305" i="34"/>
  <c r="AR305" i="34"/>
  <c r="AP305" i="34"/>
  <c r="AO305" i="34"/>
  <c r="AS321" i="34"/>
  <c r="AM312" i="34"/>
  <c r="AR321" i="34"/>
  <c r="AP321" i="34"/>
  <c r="AO321" i="34"/>
  <c r="BA331" i="34"/>
  <c r="AW331" i="34"/>
  <c r="AZ331" i="34"/>
  <c r="AX331" i="34"/>
  <c r="AZ342" i="34"/>
  <c r="BA342" i="34"/>
  <c r="AX342" i="34"/>
  <c r="AW342" i="34"/>
  <c r="AW348" i="34"/>
  <c r="AX348" i="34"/>
  <c r="AZ348" i="34"/>
  <c r="BA348" i="34"/>
  <c r="AX349" i="34"/>
  <c r="BA349" i="34"/>
  <c r="AZ349" i="34"/>
  <c r="AW349" i="34"/>
  <c r="BA350" i="34"/>
  <c r="AW350" i="34"/>
  <c r="AZ350" i="34"/>
  <c r="AX350" i="34"/>
  <c r="AX363" i="34"/>
  <c r="AW363" i="34"/>
  <c r="BA363" i="34"/>
  <c r="AZ363" i="34"/>
  <c r="AS388" i="34"/>
  <c r="AR388" i="34"/>
  <c r="AO388" i="34"/>
  <c r="AP388" i="34"/>
  <c r="AS391" i="34"/>
  <c r="AR391" i="34"/>
  <c r="AP391" i="34"/>
  <c r="AO391" i="34"/>
  <c r="AZ393" i="34"/>
  <c r="BA393" i="34"/>
  <c r="AX393" i="34"/>
  <c r="AW393" i="34"/>
  <c r="AX397" i="34"/>
  <c r="AW397" i="34"/>
  <c r="BA397" i="34"/>
  <c r="AZ397" i="34"/>
  <c r="BA422" i="34"/>
  <c r="AW422" i="34"/>
  <c r="AZ422" i="34"/>
  <c r="AX422" i="34"/>
  <c r="AU427" i="34"/>
  <c r="BA426" i="34"/>
  <c r="AX426" i="34"/>
  <c r="AW426" i="34"/>
  <c r="AZ426" i="34"/>
  <c r="AZ428" i="34"/>
  <c r="AX428" i="34"/>
  <c r="BA428" i="34"/>
  <c r="AW428" i="34"/>
  <c r="AZ429" i="34"/>
  <c r="AX429" i="34"/>
  <c r="BA429" i="34"/>
  <c r="AW429" i="34"/>
  <c r="AX430" i="34"/>
  <c r="AW430" i="34"/>
  <c r="BA430" i="34"/>
  <c r="AZ430" i="34"/>
  <c r="AR460" i="34"/>
  <c r="AS460" i="34"/>
  <c r="AP460" i="34"/>
  <c r="AO460" i="34"/>
  <c r="AS461" i="34"/>
  <c r="AR461" i="34"/>
  <c r="AO461" i="34"/>
  <c r="AP461" i="34"/>
  <c r="AR462" i="34"/>
  <c r="AS462" i="34"/>
  <c r="AO462" i="34"/>
  <c r="AP462" i="34"/>
  <c r="AR463" i="34"/>
  <c r="AS463" i="34"/>
  <c r="AP463" i="34"/>
  <c r="AO463" i="34"/>
  <c r="AR467" i="34"/>
  <c r="AS467" i="34"/>
  <c r="AO467" i="34"/>
  <c r="AP467" i="34"/>
  <c r="AS468" i="34"/>
  <c r="AR468" i="34"/>
  <c r="AP468" i="34"/>
  <c r="AO468" i="34"/>
  <c r="AS469" i="34"/>
  <c r="AR469" i="34"/>
  <c r="AO469" i="34"/>
  <c r="AP469" i="34"/>
  <c r="AR472" i="34"/>
  <c r="AS472" i="34"/>
  <c r="AO472" i="34"/>
  <c r="AP472" i="34"/>
  <c r="AS477" i="34"/>
  <c r="AR477" i="34"/>
  <c r="AO477" i="34"/>
  <c r="AP477" i="34"/>
  <c r="AS478" i="34"/>
  <c r="AR478" i="34"/>
  <c r="AP478" i="34"/>
  <c r="AO478" i="34"/>
  <c r="AS479" i="34"/>
  <c r="AR479" i="34"/>
  <c r="AO479" i="34"/>
  <c r="AP479" i="34"/>
  <c r="AR483" i="34"/>
  <c r="AS483" i="34"/>
  <c r="AO483" i="34"/>
  <c r="AP483" i="34"/>
  <c r="AS484" i="34"/>
  <c r="AR484" i="34"/>
  <c r="AO484" i="34"/>
  <c r="AP484" i="34"/>
  <c r="AR485" i="34"/>
  <c r="AS485" i="34"/>
  <c r="AP485" i="34"/>
  <c r="AO485" i="34"/>
  <c r="AS488" i="34"/>
  <c r="AR488" i="34"/>
  <c r="AP488" i="34"/>
  <c r="AO488" i="34"/>
  <c r="AR495" i="34"/>
  <c r="AS495" i="34"/>
  <c r="AO495" i="34"/>
  <c r="AP495" i="34"/>
  <c r="AS496" i="34"/>
  <c r="AR496" i="34"/>
  <c r="AO496" i="34"/>
  <c r="AP496" i="34"/>
  <c r="BI526" i="34"/>
  <c r="BE526" i="34"/>
  <c r="BH526" i="34"/>
  <c r="BF526" i="34"/>
  <c r="BH529" i="34"/>
  <c r="BF529" i="34"/>
  <c r="BI529" i="34"/>
  <c r="BE529" i="34"/>
  <c r="BH533" i="34"/>
  <c r="BF533" i="34"/>
  <c r="BI533" i="34"/>
  <c r="BE533" i="34"/>
  <c r="BE537" i="34"/>
  <c r="BH537" i="34"/>
  <c r="BF537" i="34"/>
  <c r="BI537" i="34"/>
  <c r="BF545" i="34"/>
  <c r="BC544" i="34"/>
  <c r="BI545" i="34"/>
  <c r="BE545" i="34"/>
  <c r="BH545" i="34"/>
  <c r="BE145" i="34"/>
  <c r="BH145" i="34"/>
  <c r="BF145" i="34"/>
  <c r="BI145" i="34"/>
  <c r="BH552" i="34"/>
  <c r="BE552" i="34"/>
  <c r="BF552" i="34"/>
  <c r="BC551" i="34"/>
  <c r="BI552" i="34"/>
  <c r="AR577" i="34"/>
  <c r="AS577" i="34"/>
  <c r="AO577" i="34"/>
  <c r="AP577" i="34"/>
  <c r="AR673" i="34"/>
  <c r="AS673" i="34"/>
  <c r="AP673" i="34"/>
  <c r="AO673" i="34"/>
  <c r="AR763" i="34"/>
  <c r="AS763" i="34"/>
  <c r="AO763" i="34"/>
  <c r="AP763" i="34"/>
  <c r="AR764" i="34"/>
  <c r="AS764" i="34"/>
  <c r="AO764" i="34"/>
  <c r="AP764" i="34"/>
  <c r="AS769" i="34"/>
  <c r="AR769" i="34"/>
  <c r="AP769" i="34"/>
  <c r="AO769" i="34"/>
  <c r="AS774" i="34"/>
  <c r="AR774" i="34"/>
  <c r="AP774" i="34"/>
  <c r="AO774" i="34"/>
  <c r="AR779" i="34"/>
  <c r="AS779" i="34"/>
  <c r="AO779" i="34"/>
  <c r="AP779" i="34"/>
  <c r="AR784" i="34"/>
  <c r="AS784" i="34"/>
  <c r="AP784" i="34"/>
  <c r="AO784" i="34"/>
  <c r="AS789" i="34"/>
  <c r="AR789" i="34"/>
  <c r="AO789" i="34"/>
  <c r="AP789" i="34"/>
  <c r="AR794" i="34"/>
  <c r="AS794" i="34"/>
  <c r="AO794" i="34"/>
  <c r="AP794" i="34"/>
  <c r="BF802" i="34"/>
  <c r="BI802" i="34"/>
  <c r="BE802" i="34"/>
  <c r="BH802" i="34"/>
  <c r="BF803" i="34"/>
  <c r="BI803" i="34"/>
  <c r="BE803" i="34"/>
  <c r="BH803" i="34"/>
  <c r="BI808" i="34"/>
  <c r="BE808" i="34"/>
  <c r="BH808" i="34"/>
  <c r="BF808" i="34"/>
  <c r="BE813" i="34"/>
  <c r="BH813" i="34"/>
  <c r="BF813" i="34"/>
  <c r="BI813" i="34"/>
  <c r="BF818" i="34"/>
  <c r="BI818" i="34"/>
  <c r="BE818" i="34"/>
  <c r="BH818" i="34"/>
  <c r="BI823" i="34"/>
  <c r="BE823" i="34"/>
  <c r="BH823" i="34"/>
  <c r="BF823" i="34"/>
  <c r="BI828" i="34"/>
  <c r="BE828" i="34"/>
  <c r="BH828" i="34"/>
  <c r="BF828" i="34"/>
  <c r="BI833" i="34"/>
  <c r="BE833" i="34"/>
  <c r="BH833" i="34"/>
  <c r="BF833" i="34"/>
  <c r="BI843" i="34"/>
  <c r="BE843" i="34"/>
  <c r="BF843" i="34"/>
  <c r="BH843" i="34"/>
  <c r="BF844" i="34"/>
  <c r="BE844" i="34"/>
  <c r="BI844" i="34"/>
  <c r="BH844" i="34"/>
  <c r="BF845" i="34"/>
  <c r="BE845" i="34"/>
  <c r="BI845" i="34"/>
  <c r="BH845" i="34"/>
  <c r="BI846" i="34"/>
  <c r="BH846" i="34"/>
  <c r="BF846" i="34"/>
  <c r="BE846" i="34"/>
  <c r="BE847" i="34"/>
  <c r="BF847" i="34"/>
  <c r="BH847" i="34"/>
  <c r="BI847" i="34"/>
  <c r="BF848" i="34"/>
  <c r="BE848" i="34"/>
  <c r="BI848" i="34"/>
  <c r="BH848" i="34"/>
  <c r="BH849" i="34"/>
  <c r="BF849" i="34"/>
  <c r="BE849" i="34"/>
  <c r="BI849" i="34"/>
  <c r="BH850" i="34"/>
  <c r="BE850" i="34"/>
  <c r="BI850" i="34"/>
  <c r="BF850" i="34"/>
  <c r="BI851" i="34"/>
  <c r="BE851" i="34"/>
  <c r="BH851" i="34"/>
  <c r="BF851" i="34"/>
  <c r="BI852" i="34"/>
  <c r="BF852" i="34"/>
  <c r="BE852" i="34"/>
  <c r="BH852" i="34"/>
  <c r="BH853" i="34"/>
  <c r="BF853" i="34"/>
  <c r="BE853" i="34"/>
  <c r="BI853" i="34"/>
  <c r="BI854" i="34"/>
  <c r="BH854" i="34"/>
  <c r="BE854" i="34"/>
  <c r="BF854" i="34"/>
  <c r="BE855" i="34"/>
  <c r="BH855" i="34"/>
  <c r="BF855" i="34"/>
  <c r="BI855" i="34"/>
  <c r="BH856" i="34"/>
  <c r="BE856" i="34"/>
  <c r="BI856" i="34"/>
  <c r="BF856" i="34"/>
  <c r="BI857" i="34"/>
  <c r="BE857" i="34"/>
  <c r="BH857" i="34"/>
  <c r="BF857" i="34"/>
  <c r="BF863" i="34"/>
  <c r="BI863" i="34"/>
  <c r="BE863" i="34"/>
  <c r="BH863" i="34"/>
  <c r="BI864" i="34"/>
  <c r="BE864" i="34"/>
  <c r="BH864" i="34"/>
  <c r="BF864" i="34"/>
  <c r="BE865" i="34"/>
  <c r="BH865" i="34"/>
  <c r="BF865" i="34"/>
  <c r="BI865" i="34"/>
  <c r="BF866" i="34"/>
  <c r="BE866" i="34"/>
  <c r="BI866" i="34"/>
  <c r="BH866" i="34"/>
  <c r="BI867" i="34"/>
  <c r="BE867" i="34"/>
  <c r="BH867" i="34"/>
  <c r="BF867" i="34"/>
  <c r="BF868" i="34"/>
  <c r="BI868" i="34"/>
  <c r="BE868" i="34"/>
  <c r="BH868" i="34"/>
  <c r="BE869" i="34"/>
  <c r="BH869" i="34"/>
  <c r="BF869" i="34"/>
  <c r="BI869" i="34"/>
  <c r="BF870" i="34"/>
  <c r="BI870" i="34"/>
  <c r="BE870" i="34"/>
  <c r="BH870" i="34"/>
  <c r="BF871" i="34"/>
  <c r="BI871" i="34"/>
  <c r="BE871" i="34"/>
  <c r="BH871" i="34"/>
  <c r="BF872" i="34"/>
  <c r="BI872" i="34"/>
  <c r="BE872" i="34"/>
  <c r="BH872" i="34"/>
  <c r="BI877" i="34"/>
  <c r="BE877" i="34"/>
  <c r="BF877" i="34"/>
  <c r="BH877" i="34"/>
  <c r="AZ1115" i="34"/>
  <c r="BA1115" i="34"/>
  <c r="AX1115" i="34"/>
  <c r="AW1115" i="34"/>
  <c r="AX30" i="34"/>
  <c r="BA30" i="34"/>
  <c r="AW30" i="34"/>
  <c r="AZ30" i="34"/>
  <c r="BA40" i="34"/>
  <c r="AW40" i="34"/>
  <c r="AZ40" i="34"/>
  <c r="AX40" i="34"/>
  <c r="AX44" i="34"/>
  <c r="BA44" i="34"/>
  <c r="AW44" i="34"/>
  <c r="AZ44" i="34"/>
  <c r="BA48" i="34"/>
  <c r="AZ48" i="34"/>
  <c r="AW48" i="34"/>
  <c r="AX48" i="34"/>
  <c r="BA113" i="34"/>
  <c r="AW113" i="34"/>
  <c r="AZ113" i="34"/>
  <c r="AX113" i="34"/>
  <c r="AZ117" i="34"/>
  <c r="AX117" i="34"/>
  <c r="BA117" i="34"/>
  <c r="AW117" i="34"/>
  <c r="AW143" i="34"/>
  <c r="AX143" i="34"/>
  <c r="AZ143" i="34"/>
  <c r="BA143" i="34"/>
  <c r="AZ145" i="34"/>
  <c r="AX145" i="34"/>
  <c r="BA145" i="34"/>
  <c r="AW145" i="34"/>
  <c r="AS158" i="34"/>
  <c r="AR158" i="34"/>
  <c r="AP158" i="34"/>
  <c r="AO158" i="34"/>
  <c r="AR159" i="34"/>
  <c r="AS159" i="34"/>
  <c r="AO159" i="34"/>
  <c r="AP159" i="34"/>
  <c r="AS169" i="34"/>
  <c r="AR169" i="34"/>
  <c r="AO169" i="34"/>
  <c r="AP169" i="34"/>
  <c r="BI172" i="34"/>
  <c r="BE172" i="34"/>
  <c r="BH172" i="34"/>
  <c r="BF172" i="34"/>
  <c r="AX223" i="34"/>
  <c r="BA223" i="34"/>
  <c r="AW223" i="34"/>
  <c r="AZ223" i="34"/>
  <c r="BA224" i="34"/>
  <c r="AW224" i="34"/>
  <c r="AZ224" i="34"/>
  <c r="AX224" i="34"/>
  <c r="AW231" i="34"/>
  <c r="AX231" i="34"/>
  <c r="BA231" i="34"/>
  <c r="AZ231" i="34"/>
  <c r="AU240" i="34"/>
  <c r="AX254" i="34"/>
  <c r="AW254" i="34"/>
  <c r="AZ254" i="34"/>
  <c r="BA254" i="34"/>
  <c r="AW255" i="34"/>
  <c r="AU241" i="34"/>
  <c r="AX255" i="34"/>
  <c r="AZ255" i="34"/>
  <c r="BA255" i="34"/>
  <c r="AX256" i="34"/>
  <c r="AU242" i="34"/>
  <c r="AW256" i="34"/>
  <c r="AZ256" i="34"/>
  <c r="BA256" i="34"/>
  <c r="AZ257" i="34"/>
  <c r="BA257" i="34"/>
  <c r="AX257" i="34"/>
  <c r="AW257" i="34"/>
  <c r="AU243" i="34"/>
  <c r="BA258" i="34"/>
  <c r="AZ258" i="34"/>
  <c r="AW258" i="34"/>
  <c r="AU244" i="34"/>
  <c r="AX258" i="34"/>
  <c r="AX259" i="34"/>
  <c r="AZ259" i="34"/>
  <c r="AW259" i="34"/>
  <c r="BA259" i="34"/>
  <c r="AU245" i="34"/>
  <c r="AZ260" i="34"/>
  <c r="AX260" i="34"/>
  <c r="AU246" i="34"/>
  <c r="BA260" i="34"/>
  <c r="AW260" i="34"/>
  <c r="BE268" i="34"/>
  <c r="BH268" i="34"/>
  <c r="BF268" i="34"/>
  <c r="BI268" i="34"/>
  <c r="BE279" i="34"/>
  <c r="BH279" i="34"/>
  <c r="BF279" i="34"/>
  <c r="BI279" i="34"/>
  <c r="BH283" i="34"/>
  <c r="BF283" i="34"/>
  <c r="BC284" i="34"/>
  <c r="BE284" i="34" s="1"/>
  <c r="BE283" i="34"/>
  <c r="BI283" i="34"/>
  <c r="BF285" i="34"/>
  <c r="BE285" i="34"/>
  <c r="BI285" i="34"/>
  <c r="BH285" i="34"/>
  <c r="BE286" i="34"/>
  <c r="BH286" i="34"/>
  <c r="BF286" i="34"/>
  <c r="BI286" i="34"/>
  <c r="BI287" i="34"/>
  <c r="BH287" i="34"/>
  <c r="BF287" i="34"/>
  <c r="BE287" i="34"/>
  <c r="BE290" i="34"/>
  <c r="BF290" i="34"/>
  <c r="BH290" i="34"/>
  <c r="BI290" i="34"/>
  <c r="BF291" i="34"/>
  <c r="BI291" i="34"/>
  <c r="BE291" i="34"/>
  <c r="BH291" i="34"/>
  <c r="BF295" i="34"/>
  <c r="BI295" i="34"/>
  <c r="BE295" i="34"/>
  <c r="BH295" i="34"/>
  <c r="BF300" i="34"/>
  <c r="BI300" i="34"/>
  <c r="BE300" i="34"/>
  <c r="BH300" i="34"/>
  <c r="BE301" i="34"/>
  <c r="BF301" i="34"/>
  <c r="BI301" i="34"/>
  <c r="BH301" i="34"/>
  <c r="BE305" i="34"/>
  <c r="BH305" i="34"/>
  <c r="BF305" i="34"/>
  <c r="BI305" i="34"/>
  <c r="BC312" i="34"/>
  <c r="BI321" i="34"/>
  <c r="BF321" i="34"/>
  <c r="BE321" i="34"/>
  <c r="BH321" i="34"/>
  <c r="BI462" i="34"/>
  <c r="BE462" i="34"/>
  <c r="BH462" i="34"/>
  <c r="BF462" i="34"/>
  <c r="BE463" i="34"/>
  <c r="BF463" i="34"/>
  <c r="BH463" i="34"/>
  <c r="BI463" i="34"/>
  <c r="BI467" i="34"/>
  <c r="BH467" i="34"/>
  <c r="BE467" i="34"/>
  <c r="BF467" i="34"/>
  <c r="BF468" i="34"/>
  <c r="BE468" i="34"/>
  <c r="BH468" i="34"/>
  <c r="BI468" i="34"/>
  <c r="BH469" i="34"/>
  <c r="BF469" i="34"/>
  <c r="BI469" i="34"/>
  <c r="BE469" i="34"/>
  <c r="BF472" i="34"/>
  <c r="BE472" i="34"/>
  <c r="BI472" i="34"/>
  <c r="BH472" i="34"/>
  <c r="BF478" i="34"/>
  <c r="BI478" i="34"/>
  <c r="BE478" i="34"/>
  <c r="BH478" i="34"/>
  <c r="BH479" i="34"/>
  <c r="BI479" i="34"/>
  <c r="BF479" i="34"/>
  <c r="BE479" i="34"/>
  <c r="BI483" i="34"/>
  <c r="BH483" i="34"/>
  <c r="BF483" i="34"/>
  <c r="BE483" i="34"/>
  <c r="BH484" i="34"/>
  <c r="BF484" i="34"/>
  <c r="BI484" i="34"/>
  <c r="BE484" i="34"/>
  <c r="BE485" i="34"/>
  <c r="BH485" i="34"/>
  <c r="BI485" i="34"/>
  <c r="BF485" i="34"/>
  <c r="BH488" i="34"/>
  <c r="BF488" i="34"/>
  <c r="BI488" i="34"/>
  <c r="BE488" i="34"/>
  <c r="BF495" i="34"/>
  <c r="BI495" i="34"/>
  <c r="BE495" i="34"/>
  <c r="BH495" i="34"/>
  <c r="BF496" i="34"/>
  <c r="BI496" i="34"/>
  <c r="BE496" i="34"/>
  <c r="BH496" i="34"/>
  <c r="AR501" i="34"/>
  <c r="AS501" i="34"/>
  <c r="AO501" i="34"/>
  <c r="AP501" i="34"/>
  <c r="AR502" i="34"/>
  <c r="AS502" i="34"/>
  <c r="AP502" i="34"/>
  <c r="AO502" i="34"/>
  <c r="AR505" i="34"/>
  <c r="AS505" i="34"/>
  <c r="AP505" i="34"/>
  <c r="AO505" i="34"/>
  <c r="AS509" i="34"/>
  <c r="AR509" i="34"/>
  <c r="AP509" i="34"/>
  <c r="AO509" i="34"/>
  <c r="AS513" i="34"/>
  <c r="AR513" i="34"/>
  <c r="AO513" i="34"/>
  <c r="AP513" i="34"/>
  <c r="AS519" i="34"/>
  <c r="AR519" i="34"/>
  <c r="AO519" i="34"/>
  <c r="AP519" i="34"/>
  <c r="AS520" i="34"/>
  <c r="AR520" i="34"/>
  <c r="AP520" i="34"/>
  <c r="AO520" i="34"/>
  <c r="AZ525" i="34"/>
  <c r="BA525" i="34"/>
  <c r="AX525" i="34"/>
  <c r="AW525" i="34"/>
  <c r="AZ526" i="34"/>
  <c r="BA526" i="34"/>
  <c r="AX526" i="34"/>
  <c r="AW526" i="34"/>
  <c r="BA529" i="34"/>
  <c r="AW529" i="34"/>
  <c r="AZ529" i="34"/>
  <c r="AX529" i="34"/>
  <c r="AZ533" i="34"/>
  <c r="AX533" i="34"/>
  <c r="BA533" i="34"/>
  <c r="AW533" i="34"/>
  <c r="AZ537" i="34"/>
  <c r="BA537" i="34"/>
  <c r="AW537" i="34"/>
  <c r="AX537" i="34"/>
  <c r="AW545" i="34"/>
  <c r="AU544" i="34"/>
  <c r="BA545" i="34"/>
  <c r="AZ545" i="34"/>
  <c r="AX545" i="34"/>
  <c r="AU551" i="34"/>
  <c r="BA552" i="34"/>
  <c r="AW552" i="34"/>
  <c r="AX552" i="34"/>
  <c r="AZ552" i="34"/>
  <c r="AR561" i="34"/>
  <c r="AS561" i="34"/>
  <c r="AO561" i="34"/>
  <c r="AP561" i="34"/>
  <c r="AS562" i="34"/>
  <c r="AR562" i="34"/>
  <c r="AP562" i="34"/>
  <c r="AO562" i="34"/>
  <c r="AR565" i="34"/>
  <c r="AS565" i="34"/>
  <c r="AO565" i="34"/>
  <c r="AP565" i="34"/>
  <c r="AS566" i="34"/>
  <c r="AR566" i="34"/>
  <c r="AP566" i="34"/>
  <c r="AO566" i="34"/>
  <c r="AR570" i="34"/>
  <c r="AS570" i="34"/>
  <c r="AP570" i="34"/>
  <c r="AO570" i="34"/>
  <c r="BE577" i="34"/>
  <c r="BH577" i="34"/>
  <c r="BF577" i="34"/>
  <c r="BI577" i="34"/>
  <c r="AR580" i="34"/>
  <c r="AS580" i="34"/>
  <c r="AP580" i="34"/>
  <c r="AO580" i="34"/>
  <c r="AR581" i="34"/>
  <c r="AS581" i="34"/>
  <c r="AO581" i="34"/>
  <c r="AP581" i="34"/>
  <c r="AS585" i="34"/>
  <c r="AR585" i="34"/>
  <c r="AO585" i="34"/>
  <c r="AP585" i="34"/>
  <c r="AS591" i="34"/>
  <c r="AR591" i="34"/>
  <c r="AP591" i="34"/>
  <c r="AO591" i="34"/>
  <c r="AR592" i="34"/>
  <c r="AS592" i="34"/>
  <c r="AO592" i="34"/>
  <c r="AP592" i="34"/>
  <c r="AR593" i="34"/>
  <c r="AS593" i="34"/>
  <c r="AP593" i="34"/>
  <c r="AO593" i="34"/>
  <c r="AS596" i="34"/>
  <c r="AR596" i="34"/>
  <c r="AP596" i="34"/>
  <c r="AO596" i="34"/>
  <c r="AS597" i="34"/>
  <c r="AR597" i="34"/>
  <c r="AO597" i="34"/>
  <c r="AP597" i="34"/>
  <c r="AR601" i="34"/>
  <c r="AS601" i="34"/>
  <c r="AO601" i="34"/>
  <c r="AP601" i="34"/>
  <c r="AS605" i="34"/>
  <c r="AR605" i="34"/>
  <c r="AO605" i="34"/>
  <c r="AP605" i="34"/>
  <c r="AR609" i="34"/>
  <c r="AS609" i="34"/>
  <c r="AO609" i="34"/>
  <c r="AP609" i="34"/>
  <c r="AS615" i="34"/>
  <c r="AR615" i="34"/>
  <c r="AP615" i="34"/>
  <c r="AO615" i="34"/>
  <c r="AS616" i="34"/>
  <c r="AR616" i="34"/>
  <c r="AO616" i="34"/>
  <c r="AP616" i="34"/>
  <c r="AR619" i="34"/>
  <c r="AS619" i="34"/>
  <c r="AP619" i="34"/>
  <c r="AO619" i="34"/>
  <c r="AS620" i="34"/>
  <c r="AR620" i="34"/>
  <c r="AO620" i="34"/>
  <c r="AP620" i="34"/>
  <c r="AR624" i="34"/>
  <c r="AS624" i="34"/>
  <c r="AO624" i="34"/>
  <c r="AP624" i="34"/>
  <c r="AS628" i="34"/>
  <c r="AR628" i="34"/>
  <c r="AO628" i="34"/>
  <c r="AP628" i="34"/>
  <c r="AS632" i="34"/>
  <c r="AR632" i="34"/>
  <c r="AO632" i="34"/>
  <c r="AP632" i="34"/>
  <c r="AS640" i="34"/>
  <c r="AR640" i="34"/>
  <c r="AO640" i="34"/>
  <c r="AP640" i="34"/>
  <c r="AR641" i="34"/>
  <c r="AS641" i="34"/>
  <c r="AP641" i="34"/>
  <c r="AO641" i="34"/>
  <c r="AR642" i="34"/>
  <c r="AS642" i="34"/>
  <c r="AO642" i="34"/>
  <c r="AP642" i="34"/>
  <c r="AR649" i="34"/>
  <c r="AS649" i="34"/>
  <c r="AO649" i="34"/>
  <c r="AP649" i="34"/>
  <c r="AS656" i="34"/>
  <c r="AR656" i="34"/>
  <c r="AO656" i="34"/>
  <c r="AP656" i="34"/>
  <c r="AS657" i="34"/>
  <c r="AR657" i="34"/>
  <c r="AP657" i="34"/>
  <c r="AO657" i="34"/>
  <c r="AS664" i="34"/>
  <c r="AR664" i="34"/>
  <c r="AO664" i="34"/>
  <c r="AP664" i="34"/>
  <c r="BI673" i="34"/>
  <c r="BE673" i="34"/>
  <c r="BH673" i="34"/>
  <c r="BF673" i="34"/>
  <c r="AR680" i="34"/>
  <c r="AS680" i="34"/>
  <c r="AO680" i="34"/>
  <c r="AP680" i="34"/>
  <c r="AS681" i="34"/>
  <c r="AR681" i="34"/>
  <c r="AP681" i="34"/>
  <c r="AO681" i="34"/>
  <c r="AS683" i="34"/>
  <c r="AR683" i="34"/>
  <c r="AO683" i="34"/>
  <c r="AP683" i="34"/>
  <c r="AR687" i="34"/>
  <c r="AS687" i="34"/>
  <c r="AO687" i="34"/>
  <c r="AP687" i="34"/>
  <c r="AS689" i="34"/>
  <c r="AR689" i="34"/>
  <c r="AP689" i="34"/>
  <c r="AO689" i="34"/>
  <c r="AR693" i="34"/>
  <c r="AS693" i="34"/>
  <c r="AP693" i="34"/>
  <c r="AO693" i="34"/>
  <c r="AR695" i="34"/>
  <c r="AS695" i="34"/>
  <c r="AP695" i="34"/>
  <c r="AO695" i="34"/>
  <c r="AR699" i="34"/>
  <c r="AS699" i="34"/>
  <c r="AO699" i="34"/>
  <c r="AP699" i="34"/>
  <c r="AS701" i="34"/>
  <c r="AR701" i="34"/>
  <c r="AP701" i="34"/>
  <c r="AO701" i="34"/>
  <c r="AR705" i="34"/>
  <c r="AS705" i="34"/>
  <c r="AO705" i="34"/>
  <c r="AP705" i="34"/>
  <c r="AS707" i="34"/>
  <c r="AR707" i="34"/>
  <c r="AO707" i="34"/>
  <c r="AP707" i="34"/>
  <c r="AS711" i="34"/>
  <c r="AR711" i="34"/>
  <c r="AO711" i="34"/>
  <c r="AP711" i="34"/>
  <c r="AS716" i="34"/>
  <c r="AR716" i="34"/>
  <c r="AP716" i="34"/>
  <c r="AO716" i="34"/>
  <c r="AR717" i="34"/>
  <c r="AS717" i="34"/>
  <c r="AO717" i="34"/>
  <c r="AP717" i="34"/>
  <c r="AS724" i="34"/>
  <c r="AR724" i="34"/>
  <c r="AP724" i="34"/>
  <c r="AO724" i="34"/>
  <c r="AR725" i="34"/>
  <c r="AS725" i="34"/>
  <c r="AP725" i="34"/>
  <c r="AO725" i="34"/>
  <c r="AR727" i="34"/>
  <c r="AS727" i="34"/>
  <c r="AP727" i="34"/>
  <c r="AO727" i="34"/>
  <c r="AR731" i="34"/>
  <c r="AS731" i="34"/>
  <c r="AO731" i="34"/>
  <c r="AP731" i="34"/>
  <c r="AS733" i="34"/>
  <c r="AR733" i="34"/>
  <c r="AO733" i="34"/>
  <c r="AP733" i="34"/>
  <c r="AR737" i="34"/>
  <c r="AS737" i="34"/>
  <c r="AP737" i="34"/>
  <c r="AO737" i="34"/>
  <c r="AR739" i="34"/>
  <c r="AS739" i="34"/>
  <c r="AO739" i="34"/>
  <c r="AP739" i="34"/>
  <c r="AS743" i="34"/>
  <c r="AR743" i="34"/>
  <c r="AO743" i="34"/>
  <c r="AP743" i="34"/>
  <c r="AS745" i="34"/>
  <c r="AR745" i="34"/>
  <c r="AO745" i="34"/>
  <c r="AP745" i="34"/>
  <c r="AR749" i="34"/>
  <c r="AS749" i="34"/>
  <c r="AO749" i="34"/>
  <c r="AP749" i="34"/>
  <c r="AS751" i="34"/>
  <c r="AR751" i="34"/>
  <c r="AP751" i="34"/>
  <c r="AO751" i="34"/>
  <c r="AS755" i="34"/>
  <c r="AR755" i="34"/>
  <c r="AO755" i="34"/>
  <c r="AP755" i="34"/>
  <c r="BF763" i="34"/>
  <c r="BI763" i="34"/>
  <c r="BE763" i="34"/>
  <c r="BH763" i="34"/>
  <c r="BI764" i="34"/>
  <c r="BE764" i="34"/>
  <c r="BH764" i="34"/>
  <c r="BF764" i="34"/>
  <c r="BH769" i="34"/>
  <c r="BF769" i="34"/>
  <c r="BI769" i="34"/>
  <c r="BE769" i="34"/>
  <c r="BH774" i="34"/>
  <c r="BF774" i="34"/>
  <c r="BI774" i="34"/>
  <c r="BE774" i="34"/>
  <c r="BF779" i="34"/>
  <c r="BI779" i="34"/>
  <c r="BE779" i="34"/>
  <c r="BH779" i="34"/>
  <c r="BI784" i="34"/>
  <c r="BE784" i="34"/>
  <c r="BF784" i="34"/>
  <c r="BH784" i="34"/>
  <c r="BE789" i="34"/>
  <c r="BH789" i="34"/>
  <c r="BF789" i="34"/>
  <c r="BI789" i="34"/>
  <c r="BF794" i="34"/>
  <c r="BE794" i="34"/>
  <c r="BI794" i="34"/>
  <c r="BH794" i="34"/>
  <c r="BE801" i="34"/>
  <c r="BF801" i="34"/>
  <c r="BI801" i="34"/>
  <c r="BH801" i="34"/>
  <c r="AW801" i="34"/>
  <c r="AX801" i="34"/>
  <c r="BA801" i="34"/>
  <c r="AZ801" i="34"/>
  <c r="AX802" i="34"/>
  <c r="AW802" i="34"/>
  <c r="AZ802" i="34"/>
  <c r="BA802" i="34"/>
  <c r="AW803" i="34"/>
  <c r="AZ803" i="34"/>
  <c r="AX803" i="34"/>
  <c r="BA803" i="34"/>
  <c r="AZ808" i="34"/>
  <c r="AX808" i="34"/>
  <c r="BA808" i="34"/>
  <c r="AW808" i="34"/>
  <c r="AZ813" i="34"/>
  <c r="AX813" i="34"/>
  <c r="BA813" i="34"/>
  <c r="AW813" i="34"/>
  <c r="AZ818" i="34"/>
  <c r="BA818" i="34"/>
  <c r="AW818" i="34"/>
  <c r="AX818" i="34"/>
  <c r="AW823" i="34"/>
  <c r="AZ823" i="34"/>
  <c r="AX823" i="34"/>
  <c r="BA823" i="34"/>
  <c r="AX828" i="34"/>
  <c r="BA828" i="34"/>
  <c r="AW828" i="34"/>
  <c r="AZ828" i="34"/>
  <c r="AW833" i="34"/>
  <c r="AZ833" i="34"/>
  <c r="AX833" i="34"/>
  <c r="BA833" i="34"/>
  <c r="AU1482" i="34"/>
  <c r="AZ842" i="34"/>
  <c r="AW842" i="34"/>
  <c r="BA842" i="34"/>
  <c r="AX842" i="34"/>
  <c r="AW843" i="34"/>
  <c r="AZ843" i="34"/>
  <c r="AX843" i="34"/>
  <c r="BA843" i="34"/>
  <c r="AZ844" i="34"/>
  <c r="AX844" i="34"/>
  <c r="AW844" i="34"/>
  <c r="BA844" i="34"/>
  <c r="AW845" i="34"/>
  <c r="AX845" i="34"/>
  <c r="AZ845" i="34"/>
  <c r="BA845" i="34"/>
  <c r="BA846" i="34"/>
  <c r="AW846" i="34"/>
  <c r="AZ846" i="34"/>
  <c r="AX846" i="34"/>
  <c r="AW847" i="34"/>
  <c r="AZ847" i="34"/>
  <c r="BA847" i="34"/>
  <c r="AX847" i="34"/>
  <c r="BA848" i="34"/>
  <c r="AZ848" i="34"/>
  <c r="AX848" i="34"/>
  <c r="AW848" i="34"/>
  <c r="AW849" i="34"/>
  <c r="AX849" i="34"/>
  <c r="BA849" i="34"/>
  <c r="AZ849" i="34"/>
  <c r="AZ850" i="34"/>
  <c r="BA850" i="34"/>
  <c r="AW850" i="34"/>
  <c r="AX850" i="34"/>
  <c r="AZ851" i="34"/>
  <c r="AW851" i="34"/>
  <c r="BA851" i="34"/>
  <c r="AX851" i="34"/>
  <c r="AW852" i="34"/>
  <c r="BA852" i="34"/>
  <c r="AZ852" i="34"/>
  <c r="AX852" i="34"/>
  <c r="BA853" i="34"/>
  <c r="AZ853" i="34"/>
  <c r="AX853" i="34"/>
  <c r="AW853" i="34"/>
  <c r="AX854" i="34"/>
  <c r="BA854" i="34"/>
  <c r="AW854" i="34"/>
  <c r="AZ854" i="34"/>
  <c r="AZ855" i="34"/>
  <c r="AX855" i="34"/>
  <c r="AW855" i="34"/>
  <c r="BA855" i="34"/>
  <c r="BA856" i="34"/>
  <c r="AX856" i="34"/>
  <c r="AZ856" i="34"/>
  <c r="AW856" i="34"/>
  <c r="AZ857" i="34"/>
  <c r="AX857" i="34"/>
  <c r="BA857" i="34"/>
  <c r="AW857" i="34"/>
  <c r="AX862" i="34"/>
  <c r="BA862" i="34"/>
  <c r="AW862" i="34"/>
  <c r="AZ862" i="34"/>
  <c r="BA863" i="34"/>
  <c r="AW863" i="34"/>
  <c r="AZ863" i="34"/>
  <c r="AX863" i="34"/>
  <c r="AX864" i="34"/>
  <c r="BA864" i="34"/>
  <c r="AW864" i="34"/>
  <c r="AZ864" i="34"/>
  <c r="AZ865" i="34"/>
  <c r="AX865" i="34"/>
  <c r="BA865" i="34"/>
  <c r="AW865" i="34"/>
  <c r="AW866" i="34"/>
  <c r="AX866" i="34"/>
  <c r="BA866" i="34"/>
  <c r="AZ866" i="34"/>
  <c r="AX867" i="34"/>
  <c r="BA867" i="34"/>
  <c r="AW867" i="34"/>
  <c r="AZ867" i="34"/>
  <c r="AX868" i="34"/>
  <c r="AW868" i="34"/>
  <c r="BA868" i="34"/>
  <c r="AZ868" i="34"/>
  <c r="AW869" i="34"/>
  <c r="AZ869" i="34"/>
  <c r="AX869" i="34"/>
  <c r="BA869" i="34"/>
  <c r="AX870" i="34"/>
  <c r="BA870" i="34"/>
  <c r="AW870" i="34"/>
  <c r="AZ870" i="34"/>
  <c r="AZ871" i="34"/>
  <c r="AX871" i="34"/>
  <c r="BA871" i="34"/>
  <c r="AW871" i="34"/>
  <c r="AZ872" i="34"/>
  <c r="BA872" i="34"/>
  <c r="AW872" i="34"/>
  <c r="AX872" i="34"/>
  <c r="AW877" i="34"/>
  <c r="AZ877" i="34"/>
  <c r="AX877" i="34"/>
  <c r="BA877" i="34"/>
  <c r="AD1323" i="34"/>
  <c r="AD1324" i="34"/>
  <c r="AD437" i="34"/>
  <c r="AD127" i="34"/>
  <c r="AD80" i="34"/>
  <c r="AD15" i="34" s="1"/>
  <c r="S1542" i="34"/>
  <c r="S1543" i="34"/>
  <c r="AD441" i="34"/>
  <c r="AD201" i="34"/>
  <c r="AD240" i="34"/>
  <c r="AD241" i="34"/>
  <c r="AD242" i="34"/>
  <c r="AD243" i="34"/>
  <c r="AD244" i="34"/>
  <c r="AD245" i="34"/>
  <c r="AD246" i="34"/>
  <c r="AB445" i="34"/>
  <c r="AB446" i="34"/>
  <c r="S325" i="34"/>
  <c r="AD449" i="34"/>
  <c r="AD346" i="34"/>
  <c r="AD347" i="34" s="1"/>
  <c r="AD414" i="34"/>
  <c r="AD416" i="34"/>
  <c r="AD401" i="34"/>
  <c r="AD453" i="34"/>
  <c r="X111" i="34"/>
  <c r="AB112" i="34"/>
  <c r="AB1496" i="34"/>
  <c r="AB1497" i="34"/>
  <c r="AB128" i="34"/>
  <c r="AB125" i="34" s="1"/>
  <c r="S501" i="34"/>
  <c r="S561" i="34"/>
  <c r="AA576" i="34"/>
  <c r="AA560" i="34" s="1"/>
  <c r="S580" i="34"/>
  <c r="S1550" i="34" s="1"/>
  <c r="W576" i="34"/>
  <c r="W560" i="34" s="1"/>
  <c r="S182" i="34"/>
  <c r="S183" i="34"/>
  <c r="S170" i="34"/>
  <c r="S171" i="34"/>
  <c r="AB672" i="34"/>
  <c r="AB762" i="34"/>
  <c r="AB355" i="34"/>
  <c r="AB360" i="34"/>
  <c r="X379" i="34"/>
  <c r="AB358" i="34"/>
  <c r="AB361" i="34"/>
  <c r="AD1198" i="34"/>
  <c r="AD1199" i="34"/>
  <c r="AD1202" i="34"/>
  <c r="AD1203" i="34"/>
  <c r="AD1204" i="34"/>
  <c r="AD1106" i="34"/>
  <c r="AD1110" i="34"/>
  <c r="U1127" i="34"/>
  <c r="U1126" i="34" s="1"/>
  <c r="U1173" i="34" s="1"/>
  <c r="U1172" i="34" s="1"/>
  <c r="Y1127" i="34"/>
  <c r="Y1157" i="34" s="1"/>
  <c r="Y1165" i="34" s="1"/>
  <c r="AC1127" i="34"/>
  <c r="S1355" i="34"/>
  <c r="S1354" i="34" s="1"/>
  <c r="S1353" i="34" s="1"/>
  <c r="S1398" i="34" s="1"/>
  <c r="AD1477" i="34"/>
  <c r="AD59" i="34"/>
  <c r="S1323" i="34"/>
  <c r="S1324" i="34"/>
  <c r="S437" i="34"/>
  <c r="S125" i="34"/>
  <c r="S80" i="34"/>
  <c r="S441" i="34"/>
  <c r="S201" i="34"/>
  <c r="S442" i="34" s="1"/>
  <c r="S248" i="34"/>
  <c r="S252" i="34"/>
  <c r="S449" i="34"/>
  <c r="S346" i="34"/>
  <c r="S450" i="34" s="1"/>
  <c r="S401" i="34"/>
  <c r="S453" i="34"/>
  <c r="S454" i="34"/>
  <c r="AD494" i="34"/>
  <c r="AB500" i="34"/>
  <c r="AB494" i="34" s="1"/>
  <c r="X518" i="34"/>
  <c r="Z518" i="34"/>
  <c r="AB576" i="34"/>
  <c r="AB560" i="34" s="1"/>
  <c r="T576" i="34"/>
  <c r="T560" i="34" s="1"/>
  <c r="X576" i="34"/>
  <c r="X560" i="34" s="1"/>
  <c r="AB263" i="34"/>
  <c r="AB249" i="34" s="1"/>
  <c r="AB264" i="34"/>
  <c r="AB267" i="34"/>
  <c r="AD1254" i="34"/>
  <c r="AD1255" i="34" s="1"/>
  <c r="AD1528" i="34"/>
  <c r="AD1572" i="34"/>
  <c r="AD1609" i="34"/>
  <c r="AD330" i="34"/>
  <c r="AD1414" i="34"/>
  <c r="AD1415" i="34"/>
  <c r="AD1416" i="34"/>
  <c r="AD1417" i="34"/>
  <c r="AD1418" i="34"/>
  <c r="AD1419" i="34"/>
  <c r="S1477" i="34"/>
  <c r="S59" i="34"/>
  <c r="AB1323" i="34"/>
  <c r="AB1324" i="34"/>
  <c r="AB437" i="34"/>
  <c r="AB127" i="34"/>
  <c r="AB80" i="34"/>
  <c r="AB15" i="34" s="1"/>
  <c r="S111" i="34"/>
  <c r="AB154" i="34"/>
  <c r="AB441" i="34"/>
  <c r="AB201" i="34"/>
  <c r="S223" i="34"/>
  <c r="AD445" i="34"/>
  <c r="AD446" i="34"/>
  <c r="AB449" i="34"/>
  <c r="AB346" i="34"/>
  <c r="AD415" i="34"/>
  <c r="AB401" i="34"/>
  <c r="AB453" i="34"/>
  <c r="AB434" i="34" s="1"/>
  <c r="AB454" i="34"/>
  <c r="AD103" i="34"/>
  <c r="AD1496" i="34"/>
  <c r="AD1497" i="34"/>
  <c r="AD1506" i="34" s="1"/>
  <c r="AD1515" i="34" s="1"/>
  <c r="AD1524" i="34" s="1"/>
  <c r="U518" i="34"/>
  <c r="Y112" i="34"/>
  <c r="Y111" i="34" s="1"/>
  <c r="AC112" i="34"/>
  <c r="AC111" i="34" s="1"/>
  <c r="AA518" i="34"/>
  <c r="S525" i="34"/>
  <c r="W118" i="34"/>
  <c r="AA118" i="34"/>
  <c r="AA119" i="34"/>
  <c r="AD560" i="34"/>
  <c r="U156" i="34"/>
  <c r="U154" i="34" s="1"/>
  <c r="Y156" i="34"/>
  <c r="Y154" i="34" s="1"/>
  <c r="AC672" i="34"/>
  <c r="AC671" i="34" s="1"/>
  <c r="AD355" i="34"/>
  <c r="AD376" i="34" s="1"/>
  <c r="AD360" i="34"/>
  <c r="AD381" i="34" s="1"/>
  <c r="AD357" i="34"/>
  <c r="AD358" i="34"/>
  <c r="AD379" i="34" s="1"/>
  <c r="AD361" i="34"/>
  <c r="AD362" i="34"/>
  <c r="AD383" i="34" s="1"/>
  <c r="S385" i="34"/>
  <c r="S409" i="34" s="1"/>
  <c r="S390" i="34"/>
  <c r="S387" i="34"/>
  <c r="S411" i="34" s="1"/>
  <c r="S388" i="34"/>
  <c r="S391" i="34"/>
  <c r="S392" i="34"/>
  <c r="S1482" i="34"/>
  <c r="S1254" i="34"/>
  <c r="S1255" i="34" s="1"/>
  <c r="S1528" i="34"/>
  <c r="S1572" i="34"/>
  <c r="S1571" i="34" s="1"/>
  <c r="S1609" i="34"/>
  <c r="S1608" i="34" s="1"/>
  <c r="AB1477" i="34"/>
  <c r="AB59" i="34"/>
  <c r="AB150" i="34"/>
  <c r="S445" i="34"/>
  <c r="S446" i="34"/>
  <c r="S460" i="34"/>
  <c r="S1496" i="34"/>
  <c r="S1497" i="34"/>
  <c r="AB524" i="34"/>
  <c r="T518" i="34"/>
  <c r="AD182" i="34"/>
  <c r="AD183" i="34"/>
  <c r="AD170" i="34"/>
  <c r="AD171" i="34"/>
  <c r="AD184" i="34"/>
  <c r="AH184" i="34" s="1"/>
  <c r="AD262" i="34"/>
  <c r="AD248" i="34" s="1"/>
  <c r="AD263" i="34"/>
  <c r="AD249" i="34" s="1"/>
  <c r="AD264" i="34"/>
  <c r="AD265" i="34"/>
  <c r="AD266" i="34"/>
  <c r="AD267" i="34"/>
  <c r="S762" i="34"/>
  <c r="S360" i="34"/>
  <c r="S357" i="34"/>
  <c r="S358" i="34"/>
  <c r="S361" i="34"/>
  <c r="S362" i="34"/>
  <c r="AB385" i="34"/>
  <c r="AB409" i="34" s="1"/>
  <c r="AB390" i="34"/>
  <c r="AB414" i="34" s="1"/>
  <c r="AB387" i="34"/>
  <c r="AB378" i="34" s="1"/>
  <c r="T412" i="34"/>
  <c r="AB388" i="34"/>
  <c r="AB391" i="34"/>
  <c r="AB392" i="34"/>
  <c r="AB383" i="34" s="1"/>
  <c r="AB1482" i="34"/>
  <c r="AB58" i="34"/>
  <c r="AB1254" i="34"/>
  <c r="AB1255" i="34" s="1"/>
  <c r="AB1528" i="34"/>
  <c r="AB1572" i="34"/>
  <c r="AB1571" i="34" s="1"/>
  <c r="AB1609" i="34"/>
  <c r="AB330" i="34"/>
  <c r="X378" i="34"/>
  <c r="X356" i="34"/>
  <c r="X354" i="34" s="1"/>
  <c r="U494" i="34"/>
  <c r="U129" i="34"/>
  <c r="U123" i="34" s="1"/>
  <c r="T411" i="34"/>
  <c r="T386" i="34"/>
  <c r="T410" i="34" s="1"/>
  <c r="U386" i="34"/>
  <c r="U410" i="34" s="1"/>
  <c r="T378" i="34"/>
  <c r="T379" i="34"/>
  <c r="T57" i="34"/>
  <c r="X57" i="34"/>
  <c r="Y15" i="34"/>
  <c r="Y1312" i="34" s="1"/>
  <c r="AC129" i="34"/>
  <c r="S240" i="34"/>
  <c r="W240" i="34"/>
  <c r="AA240" i="34"/>
  <c r="S241" i="34"/>
  <c r="W241" i="34"/>
  <c r="AA241" i="34"/>
  <c r="S242" i="34"/>
  <c r="W242" i="34"/>
  <c r="AA242" i="34"/>
  <c r="S243" i="34"/>
  <c r="W243" i="34"/>
  <c r="W261" i="34"/>
  <c r="W247" i="34" s="1"/>
  <c r="U409" i="34"/>
  <c r="AD411" i="34"/>
  <c r="AD386" i="34"/>
  <c r="AD384" i="34" s="1"/>
  <c r="AC518" i="34"/>
  <c r="S150" i="34"/>
  <c r="Y576" i="34"/>
  <c r="Y560" i="34" s="1"/>
  <c r="T262" i="34"/>
  <c r="T261" i="34" s="1"/>
  <c r="T238" i="34" s="1"/>
  <c r="T680" i="34"/>
  <c r="Y378" i="34"/>
  <c r="AC383" i="34"/>
  <c r="AC409" i="34"/>
  <c r="AC414" i="34"/>
  <c r="AC389" i="34"/>
  <c r="AC413" i="34" s="1"/>
  <c r="U412" i="34"/>
  <c r="X154" i="34"/>
  <c r="V414" i="34"/>
  <c r="V389" i="34"/>
  <c r="V413" i="34" s="1"/>
  <c r="X383" i="34"/>
  <c r="X409" i="34"/>
  <c r="X414" i="34"/>
  <c r="X389" i="34"/>
  <c r="X413" i="34" s="1"/>
  <c r="X411" i="34"/>
  <c r="X386" i="34"/>
  <c r="X410" i="34" s="1"/>
  <c r="X129" i="34"/>
  <c r="X123" i="34" s="1"/>
  <c r="X81" i="34" s="1"/>
  <c r="X86" i="34" s="1"/>
  <c r="X89" i="34" s="1"/>
  <c r="Y494" i="34"/>
  <c r="Y493" i="34" s="1"/>
  <c r="AC381" i="34"/>
  <c r="AC359" i="34"/>
  <c r="AC380" i="34" s="1"/>
  <c r="AA165" i="34"/>
  <c r="Y411" i="34"/>
  <c r="Y386" i="34"/>
  <c r="U21" i="34"/>
  <c r="U1318" i="34" s="1"/>
  <c r="AC22" i="34"/>
  <c r="AC1476" i="34" s="1"/>
  <c r="W102" i="34"/>
  <c r="W79" i="34" s="1"/>
  <c r="AB104" i="34"/>
  <c r="AB102" i="34" s="1"/>
  <c r="U127" i="34"/>
  <c r="Y127" i="34"/>
  <c r="U15" i="34"/>
  <c r="U1312" i="34" s="1"/>
  <c r="AC15" i="34"/>
  <c r="AC1312" i="34" s="1"/>
  <c r="T111" i="34"/>
  <c r="AA150" i="34"/>
  <c r="AA151" i="34" s="1"/>
  <c r="S261" i="34"/>
  <c r="X359" i="34"/>
  <c r="AC412" i="34"/>
  <c r="T494" i="34"/>
  <c r="T493" i="34" s="1"/>
  <c r="X494" i="34"/>
  <c r="W494" i="34"/>
  <c r="W493" i="34" s="1"/>
  <c r="AD518" i="34"/>
  <c r="AC560" i="34"/>
  <c r="AA243" i="34"/>
  <c r="S244" i="34"/>
  <c r="W244" i="34"/>
  <c r="AA244" i="34"/>
  <c r="S245" i="34"/>
  <c r="W245" i="34"/>
  <c r="AA245" i="34"/>
  <c r="S246" i="34"/>
  <c r="W246" i="34"/>
  <c r="AA246" i="34"/>
  <c r="AA248" i="34"/>
  <c r="S249" i="34"/>
  <c r="S250" i="34"/>
  <c r="W250" i="34"/>
  <c r="W251" i="34"/>
  <c r="AA251" i="34"/>
  <c r="AA252" i="34"/>
  <c r="S253" i="34"/>
  <c r="U310" i="34"/>
  <c r="U335" i="34" s="1"/>
  <c r="U336" i="34" s="1"/>
  <c r="Y335" i="34"/>
  <c r="Y339" i="34" s="1"/>
  <c r="Y340" i="34" s="1"/>
  <c r="AC310" i="34"/>
  <c r="AC335" i="34" s="1"/>
  <c r="AC386" i="34"/>
  <c r="AC410" i="34" s="1"/>
  <c r="V118" i="34"/>
  <c r="Z118" i="34"/>
  <c r="AD118" i="34"/>
  <c r="AH118" i="34" s="1"/>
  <c r="U672" i="34"/>
  <c r="U671" i="34" s="1"/>
  <c r="Z672" i="34"/>
  <c r="Z671" i="34" s="1"/>
  <c r="AD672" i="34"/>
  <c r="U379" i="34"/>
  <c r="AC379" i="34"/>
  <c r="U382" i="34"/>
  <c r="V412" i="34"/>
  <c r="Z128" i="34"/>
  <c r="AD128" i="34"/>
  <c r="AA494" i="34"/>
  <c r="V518" i="34"/>
  <c r="AA157" i="34"/>
  <c r="AA1542" i="34" s="1"/>
  <c r="W412" i="34"/>
  <c r="AA412" i="34"/>
  <c r="T1529" i="34"/>
  <c r="T1527" i="34" s="1"/>
  <c r="T22" i="34"/>
  <c r="T1319" i="34" s="1"/>
  <c r="X21" i="34"/>
  <c r="X1318" i="34" s="1"/>
  <c r="AB22" i="34"/>
  <c r="AB1319" i="34" s="1"/>
  <c r="AC154" i="34"/>
  <c r="V181" i="34"/>
  <c r="U378" i="34"/>
  <c r="U356" i="34"/>
  <c r="Y383" i="34"/>
  <c r="Y359" i="34"/>
  <c r="W376" i="34"/>
  <c r="AA376" i="34"/>
  <c r="AA381" i="34"/>
  <c r="AA359" i="34"/>
  <c r="AA380" i="34" s="1"/>
  <c r="W409" i="34"/>
  <c r="AA409" i="34"/>
  <c r="W411" i="34"/>
  <c r="W386" i="34"/>
  <c r="W410" i="34" s="1"/>
  <c r="AA411" i="34"/>
  <c r="AA386" i="34"/>
  <c r="AA410" i="34" s="1"/>
  <c r="S102" i="34"/>
  <c r="U150" i="34"/>
  <c r="W381" i="34"/>
  <c r="W359" i="34"/>
  <c r="T383" i="34"/>
  <c r="T359" i="34"/>
  <c r="U414" i="34"/>
  <c r="U389" i="34"/>
  <c r="U413" i="34" s="1"/>
  <c r="Z414" i="34"/>
  <c r="Z389" i="34"/>
  <c r="Z413" i="34" s="1"/>
  <c r="Y415" i="34"/>
  <c r="Y389" i="34"/>
  <c r="T99" i="34"/>
  <c r="T23" i="34"/>
  <c r="T1484" i="34" s="1"/>
  <c r="T1480" i="34" s="1"/>
  <c r="U261" i="34"/>
  <c r="U238" i="34" s="1"/>
  <c r="AC376" i="34"/>
  <c r="AC354" i="34"/>
  <c r="V386" i="34"/>
  <c r="V384" i="34" s="1"/>
  <c r="V408" i="34" s="1"/>
  <c r="T97" i="34"/>
  <c r="T21" i="34"/>
  <c r="U111" i="34"/>
  <c r="W174" i="34"/>
  <c r="W1551" i="34" s="1"/>
  <c r="W1560" i="34" s="1"/>
  <c r="W1569" i="34" s="1"/>
  <c r="X376" i="34"/>
  <c r="W356" i="34"/>
  <c r="AA378" i="34"/>
  <c r="AA356" i="34"/>
  <c r="Z384" i="34"/>
  <c r="U102" i="34"/>
  <c r="U79" i="34" s="1"/>
  <c r="AA125" i="34"/>
  <c r="S127" i="34"/>
  <c r="W127" i="34"/>
  <c r="AA127" i="34"/>
  <c r="AA129" i="34"/>
  <c r="AA123" i="34" s="1"/>
  <c r="X150" i="34"/>
  <c r="X151" i="34" s="1"/>
  <c r="AC150" i="34"/>
  <c r="AC151" i="34" s="1"/>
  <c r="W165" i="34"/>
  <c r="AA156" i="34"/>
  <c r="X176" i="34"/>
  <c r="X190" i="34" s="1"/>
  <c r="X194" i="34" s="1"/>
  <c r="AC176" i="34"/>
  <c r="AC190" i="34" s="1"/>
  <c r="AC194" i="34" s="1"/>
  <c r="AB248" i="34"/>
  <c r="T249" i="34"/>
  <c r="T250" i="34"/>
  <c r="X250" i="34"/>
  <c r="X251" i="34"/>
  <c r="AB251" i="34"/>
  <c r="AB252" i="34"/>
  <c r="T253" i="34"/>
  <c r="Y261" i="34"/>
  <c r="Y247" i="34" s="1"/>
  <c r="Z312" i="34"/>
  <c r="S310" i="34"/>
  <c r="S335" i="34" s="1"/>
  <c r="U376" i="34"/>
  <c r="T356" i="34"/>
  <c r="Y356" i="34"/>
  <c r="AC378" i="34"/>
  <c r="T381" i="34"/>
  <c r="Y381" i="34"/>
  <c r="T389" i="34"/>
  <c r="U560" i="34"/>
  <c r="V576" i="34"/>
  <c r="V560" i="34" s="1"/>
  <c r="AC1157" i="34"/>
  <c r="AC1165" i="34" s="1"/>
  <c r="AC1125" i="34"/>
  <c r="Y114" i="34"/>
  <c r="Y121" i="34" s="1"/>
  <c r="AC128" i="34"/>
  <c r="W129" i="34"/>
  <c r="W126" i="34" s="1"/>
  <c r="AC127" i="34"/>
  <c r="T150" i="34"/>
  <c r="T151" i="34" s="1"/>
  <c r="Y150" i="34"/>
  <c r="Y151" i="34" s="1"/>
  <c r="S178" i="34"/>
  <c r="W156" i="34"/>
  <c r="T176" i="34"/>
  <c r="T190" i="34" s="1"/>
  <c r="T191" i="34" s="1"/>
  <c r="Y176" i="34"/>
  <c r="Y190" i="34" s="1"/>
  <c r="Y194" i="34" s="1"/>
  <c r="T310" i="34"/>
  <c r="T311" i="34" s="1"/>
  <c r="W316" i="34"/>
  <c r="U381" i="34"/>
  <c r="T382" i="34"/>
  <c r="Y382" i="34"/>
  <c r="Z238" i="34"/>
  <c r="Z272" i="34" s="1"/>
  <c r="S1157" i="34"/>
  <c r="S1165" i="34" s="1"/>
  <c r="S1125" i="34"/>
  <c r="S1126" i="34"/>
  <c r="S1173" i="34" s="1"/>
  <c r="S1172" i="34" s="1"/>
  <c r="S1168" i="34" s="1"/>
  <c r="W1127" i="34"/>
  <c r="AA1157" i="34"/>
  <c r="AA1165" i="34" s="1"/>
  <c r="AA1125" i="34"/>
  <c r="AA1126" i="34"/>
  <c r="AA1173" i="34" s="1"/>
  <c r="AA1172" i="34" s="1"/>
  <c r="AC1126" i="34"/>
  <c r="AC1173" i="34" s="1"/>
  <c r="T1127" i="34"/>
  <c r="X1127" i="34"/>
  <c r="AB1127" i="34"/>
  <c r="W248" i="34"/>
  <c r="AA249" i="34"/>
  <c r="S251" i="34"/>
  <c r="W252" i="34"/>
  <c r="AA253" i="34"/>
  <c r="X261" i="34"/>
  <c r="X238" i="34" s="1"/>
  <c r="AC261" i="34"/>
  <c r="AC238" i="34" s="1"/>
  <c r="U312" i="34"/>
  <c r="Y312" i="34"/>
  <c r="AC312" i="34"/>
  <c r="U316" i="34"/>
  <c r="Y316" i="34"/>
  <c r="AC316" i="34"/>
  <c r="S389" i="34"/>
  <c r="S413" i="34" s="1"/>
  <c r="W389" i="34"/>
  <c r="W413" i="34" s="1"/>
  <c r="V128" i="34"/>
  <c r="V125" i="34" s="1"/>
  <c r="V494" i="34"/>
  <c r="V1157" i="34"/>
  <c r="V1125" i="34"/>
  <c r="V1126" i="34"/>
  <c r="V1173" i="34" s="1"/>
  <c r="V1172" i="34" s="1"/>
  <c r="V155" i="34"/>
  <c r="Z155" i="34"/>
  <c r="Z178" i="34" s="1"/>
  <c r="AD155" i="34"/>
  <c r="V156" i="34"/>
  <c r="Z561" i="34"/>
  <c r="AD156" i="34"/>
  <c r="V157" i="34"/>
  <c r="V1542" i="34" s="1"/>
  <c r="Z157" i="34"/>
  <c r="Z180" i="34" s="1"/>
  <c r="AD157" i="34"/>
  <c r="Z501" i="34"/>
  <c r="Z500" i="34" s="1"/>
  <c r="Z129" i="34" s="1"/>
  <c r="Z123" i="34" s="1"/>
  <c r="V119" i="34"/>
  <c r="Z119" i="34"/>
  <c r="AD119" i="34"/>
  <c r="AH119" i="34" s="1"/>
  <c r="Z978" i="34"/>
  <c r="AD1137" i="34"/>
  <c r="AD1127" i="34" s="1"/>
  <c r="AD1126" i="34" s="1"/>
  <c r="AD1173" i="34" s="1"/>
  <c r="AD1172" i="34" s="1"/>
  <c r="V112" i="34"/>
  <c r="Z112" i="34"/>
  <c r="Z111" i="34" s="1"/>
  <c r="AD112" i="34"/>
  <c r="AD129" i="34"/>
  <c r="AD123" i="34" s="1"/>
  <c r="V150" i="34"/>
  <c r="V151" i="34" s="1"/>
  <c r="Z150" i="34"/>
  <c r="Z151" i="34" s="1"/>
  <c r="AD150" i="34"/>
  <c r="Z576" i="34"/>
  <c r="V379" i="34"/>
  <c r="V382" i="34"/>
  <c r="Z382" i="34"/>
  <c r="AD382" i="34"/>
  <c r="V383" i="34"/>
  <c r="Z383" i="34"/>
  <c r="V1571" i="34"/>
  <c r="Z1571" i="34"/>
  <c r="AD1571" i="34"/>
  <c r="V1608" i="34"/>
  <c r="Z1608" i="34"/>
  <c r="AD1608" i="34"/>
  <c r="AA1178" i="34"/>
  <c r="S1207" i="34"/>
  <c r="W1207" i="34"/>
  <c r="AA1207" i="34"/>
  <c r="Z125" i="34"/>
  <c r="Z176" i="34"/>
  <c r="Z190" i="34" s="1"/>
  <c r="V376" i="34"/>
  <c r="Z376" i="34"/>
  <c r="V381" i="34"/>
  <c r="V359" i="34"/>
  <c r="V380" i="34" s="1"/>
  <c r="Z381" i="34"/>
  <c r="Z359" i="34"/>
  <c r="V378" i="34"/>
  <c r="V356" i="34"/>
  <c r="V377" i="34" s="1"/>
  <c r="Z378" i="34"/>
  <c r="Z356" i="34"/>
  <c r="Z377" i="34" s="1"/>
  <c r="Z379" i="34"/>
  <c r="V680" i="34"/>
  <c r="V672" i="34" s="1"/>
  <c r="V671" i="34" s="1"/>
  <c r="U125" i="34"/>
  <c r="AA175" i="34"/>
  <c r="AA1552" i="34" s="1"/>
  <c r="AA1561" i="34" s="1"/>
  <c r="AA1570" i="34" s="1"/>
  <c r="T240" i="34"/>
  <c r="X240" i="34"/>
  <c r="AB240" i="34"/>
  <c r="T241" i="34"/>
  <c r="X241" i="34"/>
  <c r="AB241" i="34"/>
  <c r="T242" i="34"/>
  <c r="X242" i="34"/>
  <c r="AB242" i="34"/>
  <c r="T243" i="34"/>
  <c r="X243" i="34"/>
  <c r="AB243" i="34"/>
  <c r="T244" i="34"/>
  <c r="X244" i="34"/>
  <c r="AB244" i="34"/>
  <c r="T245" i="34"/>
  <c r="X245" i="34"/>
  <c r="AB245" i="34"/>
  <c r="T246" i="34"/>
  <c r="X246" i="34"/>
  <c r="AB246" i="34"/>
  <c r="X248" i="34"/>
  <c r="X249" i="34"/>
  <c r="AB250" i="34"/>
  <c r="T251" i="34"/>
  <c r="T252" i="34"/>
  <c r="X252" i="34"/>
  <c r="X253" i="34"/>
  <c r="AB253" i="34"/>
  <c r="X310" i="34"/>
  <c r="X335" i="34" s="1"/>
  <c r="X336" i="34" s="1"/>
  <c r="AD409" i="34"/>
  <c r="Z410" i="34"/>
  <c r="V261" i="34"/>
  <c r="V238" i="34" s="1"/>
  <c r="V272" i="34" s="1"/>
  <c r="V273" i="34" s="1"/>
  <c r="AA21" i="34"/>
  <c r="W22" i="34"/>
  <c r="W1476" i="34" s="1"/>
  <c r="W23" i="34"/>
  <c r="W1484" i="34" s="1"/>
  <c r="W1480" i="34" s="1"/>
  <c r="W21" i="34"/>
  <c r="AB21" i="34"/>
  <c r="X22" i="34"/>
  <c r="X1476" i="34" s="1"/>
  <c r="X23" i="34"/>
  <c r="X1484" i="34" s="1"/>
  <c r="V104" i="34"/>
  <c r="Z104" i="34"/>
  <c r="AD104" i="34"/>
  <c r="Z156" i="34"/>
  <c r="Z173" i="34" s="1"/>
  <c r="U240" i="34"/>
  <c r="Y240" i="34"/>
  <c r="AC240" i="34"/>
  <c r="U241" i="34"/>
  <c r="T312" i="34"/>
  <c r="X312" i="34"/>
  <c r="AB312" i="34"/>
  <c r="T316" i="34"/>
  <c r="X316" i="34"/>
  <c r="AA310" i="34"/>
  <c r="AA311" i="34" s="1"/>
  <c r="AD389" i="34"/>
  <c r="S21" i="34"/>
  <c r="S1476" i="34"/>
  <c r="S23" i="34"/>
  <c r="S1484" i="34" s="1"/>
  <c r="AA23" i="34"/>
  <c r="AA1484" i="34" s="1"/>
  <c r="T440" i="34"/>
  <c r="X440" i="34"/>
  <c r="Y241" i="34"/>
  <c r="AC241" i="34"/>
  <c r="U242" i="34"/>
  <c r="Y242" i="34"/>
  <c r="AC242" i="34"/>
  <c r="U243" i="34"/>
  <c r="Y243" i="34"/>
  <c r="AC243" i="34"/>
  <c r="U244" i="34"/>
  <c r="Y244" i="34"/>
  <c r="AC244" i="34"/>
  <c r="U245" i="34"/>
  <c r="Y245" i="34"/>
  <c r="AC245" i="34"/>
  <c r="U246" i="34"/>
  <c r="Y246" i="34"/>
  <c r="AC246" i="34"/>
  <c r="U248" i="34"/>
  <c r="Y248" i="34"/>
  <c r="AC248" i="34"/>
  <c r="U249" i="34"/>
  <c r="Y249" i="34"/>
  <c r="AC249" i="34"/>
  <c r="U250" i="34"/>
  <c r="Y250" i="34"/>
  <c r="AC250" i="34"/>
  <c r="U251" i="34"/>
  <c r="Y251" i="34"/>
  <c r="AC251" i="34"/>
  <c r="U252" i="34"/>
  <c r="Y252" i="34"/>
  <c r="AC252" i="34"/>
  <c r="U253" i="34"/>
  <c r="Y253" i="34"/>
  <c r="AC253" i="34"/>
  <c r="X15" i="34"/>
  <c r="X1312" i="34" s="1"/>
  <c r="T1571" i="34"/>
  <c r="X1571" i="34"/>
  <c r="T1608" i="34"/>
  <c r="X1608" i="34"/>
  <c r="AB1608" i="34"/>
  <c r="T1207" i="34"/>
  <c r="X1207" i="34"/>
  <c r="AB1207" i="34"/>
  <c r="Z247" i="34"/>
  <c r="V248" i="34"/>
  <c r="Z248" i="34"/>
  <c r="V249" i="34"/>
  <c r="Z249" i="34"/>
  <c r="V250" i="34"/>
  <c r="Z250" i="34"/>
  <c r="AD250" i="34"/>
  <c r="V251" i="34"/>
  <c r="Z251" i="34"/>
  <c r="AD251" i="34"/>
  <c r="V252" i="34"/>
  <c r="Z252" i="34"/>
  <c r="AD252" i="34"/>
  <c r="V253" i="34"/>
  <c r="Z253" i="34"/>
  <c r="AD253" i="34"/>
  <c r="AA312" i="34"/>
  <c r="Z310" i="34"/>
  <c r="Z335" i="34" s="1"/>
  <c r="U57" i="34"/>
  <c r="AC57" i="34"/>
  <c r="Z284" i="34"/>
  <c r="Z446" i="34"/>
  <c r="Z444" i="34" s="1"/>
  <c r="U22" i="34"/>
  <c r="U1319" i="34" s="1"/>
  <c r="Y23" i="34"/>
  <c r="V97" i="34"/>
  <c r="V21" i="34"/>
  <c r="Z97" i="34"/>
  <c r="Z21" i="34"/>
  <c r="AD97" i="34"/>
  <c r="AD21" i="34"/>
  <c r="V1529" i="34"/>
  <c r="V1527" i="34" s="1"/>
  <c r="V22" i="34"/>
  <c r="V1319" i="34" s="1"/>
  <c r="Z1529" i="34"/>
  <c r="Z22" i="34"/>
  <c r="Z1319" i="34" s="1"/>
  <c r="AD1529" i="34"/>
  <c r="AD22" i="34"/>
  <c r="V99" i="34"/>
  <c r="V23" i="34"/>
  <c r="V1320" i="34" s="1"/>
  <c r="Z99" i="34"/>
  <c r="Z23" i="34"/>
  <c r="Z1320" i="34" s="1"/>
  <c r="AD99" i="34"/>
  <c r="AD23" i="34"/>
  <c r="AD1320" i="34" s="1"/>
  <c r="V434" i="34"/>
  <c r="AC21" i="34"/>
  <c r="AC1318" i="34" s="1"/>
  <c r="U23" i="34"/>
  <c r="U1320" i="34" s="1"/>
  <c r="Y68" i="34"/>
  <c r="Y73" i="34" s="1"/>
  <c r="V15" i="34"/>
  <c r="V1312" i="34" s="1"/>
  <c r="AC98" i="34"/>
  <c r="AC95" i="34" s="1"/>
  <c r="AC438" i="34" s="1"/>
  <c r="AC436" i="34" s="1"/>
  <c r="Z1543" i="34"/>
  <c r="Z175" i="34"/>
  <c r="Z1552" i="34" s="1"/>
  <c r="AD1543" i="34"/>
  <c r="AD181" i="34"/>
  <c r="V312" i="34"/>
  <c r="AD312" i="34"/>
  <c r="V316" i="34"/>
  <c r="Z316" i="34"/>
  <c r="AD1170" i="34"/>
  <c r="AD1169" i="34" s="1"/>
  <c r="AC1197" i="34"/>
  <c r="AC1178" i="34" s="1"/>
  <c r="W312" i="34"/>
  <c r="S316" i="34"/>
  <c r="AA316" i="34"/>
  <c r="S180" i="34"/>
  <c r="U440" i="34"/>
  <c r="AC440" i="34"/>
  <c r="W15" i="34"/>
  <c r="W1312" i="34" s="1"/>
  <c r="S175" i="34"/>
  <c r="Z181" i="34"/>
  <c r="T448" i="34"/>
  <c r="X448" i="34"/>
  <c r="Z427" i="34"/>
  <c r="AD427" i="34"/>
  <c r="W1398" i="34"/>
  <c r="AA1404" i="34"/>
  <c r="AA1398" i="34"/>
  <c r="S165" i="34"/>
  <c r="AA178" i="34"/>
  <c r="W181" i="34"/>
  <c r="S15" i="34"/>
  <c r="AA15" i="34"/>
  <c r="AA1312" i="34" s="1"/>
  <c r="Y125" i="34"/>
  <c r="W178" i="34"/>
  <c r="W180" i="34"/>
  <c r="S181" i="34"/>
  <c r="AA181" i="34"/>
  <c r="S312" i="34"/>
  <c r="U448" i="34"/>
  <c r="Y448" i="34"/>
  <c r="AC448" i="34"/>
  <c r="AC1172" i="34"/>
  <c r="T1403" i="34"/>
  <c r="T1407" i="34" s="1"/>
  <c r="T1408" i="34" s="1"/>
  <c r="X1403" i="34"/>
  <c r="X1404" i="34" s="1"/>
  <c r="AB1403" i="34"/>
  <c r="AB1407" i="34" s="1"/>
  <c r="AB1408" i="34" s="1"/>
  <c r="S1403" i="34"/>
  <c r="AA1407" i="34"/>
  <c r="AA1408" i="34" s="1"/>
  <c r="Z434" i="34"/>
  <c r="AA450" i="34"/>
  <c r="AA448" i="34" s="1"/>
  <c r="AA347" i="34"/>
  <c r="U62" i="34"/>
  <c r="U67" i="34" s="1"/>
  <c r="AC68" i="34"/>
  <c r="AC73" i="34" s="1"/>
  <c r="V442" i="34"/>
  <c r="V440" i="34" s="1"/>
  <c r="V202" i="34"/>
  <c r="Z202" i="34"/>
  <c r="Z442" i="34"/>
  <c r="Z440" i="34" s="1"/>
  <c r="AD202" i="34"/>
  <c r="AD442" i="34"/>
  <c r="Y1476" i="34"/>
  <c r="Y62" i="34"/>
  <c r="Y67" i="34" s="1"/>
  <c r="U98" i="34"/>
  <c r="U95" i="34" s="1"/>
  <c r="W442" i="34"/>
  <c r="W440" i="34" s="1"/>
  <c r="W202" i="34"/>
  <c r="AA442" i="34"/>
  <c r="AA440" i="34" s="1"/>
  <c r="AA202" i="34"/>
  <c r="V444" i="34"/>
  <c r="AC1319" i="34"/>
  <c r="AC1320" i="34"/>
  <c r="S347" i="34"/>
  <c r="W450" i="34"/>
  <c r="W448" i="34" s="1"/>
  <c r="W347" i="34"/>
  <c r="AC62" i="34"/>
  <c r="AC67" i="34" s="1"/>
  <c r="U68" i="34"/>
  <c r="U73" i="34" s="1"/>
  <c r="U434" i="34"/>
  <c r="Y434" i="34"/>
  <c r="AC434" i="34"/>
  <c r="Y98" i="34"/>
  <c r="Y95" i="34" s="1"/>
  <c r="U1508" i="34"/>
  <c r="U1517" i="34" s="1"/>
  <c r="U1526" i="34" s="1"/>
  <c r="Y1508" i="34"/>
  <c r="Y1517" i="34" s="1"/>
  <c r="Y1526" i="34" s="1"/>
  <c r="AC1508" i="34"/>
  <c r="AC1517" i="34" s="1"/>
  <c r="AC1526" i="34" s="1"/>
  <c r="V450" i="34"/>
  <c r="V448" i="34" s="1"/>
  <c r="V347" i="34"/>
  <c r="Z347" i="34"/>
  <c r="Z450" i="34"/>
  <c r="AD450" i="34"/>
  <c r="Z412" i="34"/>
  <c r="Y1507" i="34"/>
  <c r="Y1498" i="34"/>
  <c r="U178" i="34"/>
  <c r="U165" i="34"/>
  <c r="AC178" i="34"/>
  <c r="AC165" i="34"/>
  <c r="Y179" i="34"/>
  <c r="U1542" i="34"/>
  <c r="U180" i="34"/>
  <c r="U174" i="34"/>
  <c r="U1551" i="34" s="1"/>
  <c r="AC1542" i="34"/>
  <c r="AC180" i="34"/>
  <c r="AC174" i="34"/>
  <c r="AC1551" i="34" s="1"/>
  <c r="AC1543" i="34"/>
  <c r="AC181" i="34"/>
  <c r="AC175" i="34"/>
  <c r="AC1552" i="34" s="1"/>
  <c r="S284" i="34"/>
  <c r="U339" i="34"/>
  <c r="U340" i="34" s="1"/>
  <c r="AC339" i="34"/>
  <c r="AC340" i="34" s="1"/>
  <c r="AC336" i="34"/>
  <c r="Z454" i="34"/>
  <c r="Z452" i="34" s="1"/>
  <c r="S1197" i="34"/>
  <c r="S1178" i="34" s="1"/>
  <c r="T1170" i="34"/>
  <c r="T1169" i="34" s="1"/>
  <c r="W1197" i="34"/>
  <c r="W1178" i="34" s="1"/>
  <c r="X1170" i="34"/>
  <c r="X1169" i="34" s="1"/>
  <c r="V1349" i="34"/>
  <c r="V1350" i="34" s="1"/>
  <c r="V1346" i="34"/>
  <c r="Z1349" i="34"/>
  <c r="Z1350" i="34" s="1"/>
  <c r="Z1346" i="34"/>
  <c r="AD1349" i="34"/>
  <c r="AD1350" i="34" s="1"/>
  <c r="AD1346" i="34"/>
  <c r="V62" i="34"/>
  <c r="V67" i="34" s="1"/>
  <c r="Z62" i="34"/>
  <c r="Z67" i="34" s="1"/>
  <c r="AD62" i="34"/>
  <c r="V68" i="34"/>
  <c r="V73" i="34" s="1"/>
  <c r="Z68" i="34"/>
  <c r="Z73" i="34" s="1"/>
  <c r="AD68" i="34"/>
  <c r="V98" i="34"/>
  <c r="Z98" i="34"/>
  <c r="AD98" i="34"/>
  <c r="V1508" i="34"/>
  <c r="V1517" i="34" s="1"/>
  <c r="V1526" i="34" s="1"/>
  <c r="Z1508" i="34"/>
  <c r="Z1517" i="34" s="1"/>
  <c r="Z1526" i="34" s="1"/>
  <c r="AD1508" i="34"/>
  <c r="AD1517" i="34" s="1"/>
  <c r="AD1526" i="34" s="1"/>
  <c r="V1507" i="34"/>
  <c r="V1498" i="34"/>
  <c r="Z1507" i="34"/>
  <c r="Z1498" i="34"/>
  <c r="AD1507" i="34"/>
  <c r="AD1498" i="34"/>
  <c r="V175" i="34"/>
  <c r="V1552" i="34" s="1"/>
  <c r="V1561" i="34" s="1"/>
  <c r="V1570" i="34" s="1"/>
  <c r="AD175" i="34"/>
  <c r="V284" i="34"/>
  <c r="AD284" i="34"/>
  <c r="V310" i="34"/>
  <c r="V427" i="34"/>
  <c r="AD454" i="34"/>
  <c r="U1207" i="34"/>
  <c r="S62" i="34"/>
  <c r="W62" i="34"/>
  <c r="W67" i="34" s="1"/>
  <c r="AA62" i="34"/>
  <c r="AA67" i="34" s="1"/>
  <c r="S68" i="34"/>
  <c r="W68" i="34"/>
  <c r="W73" i="34" s="1"/>
  <c r="AA68" i="34"/>
  <c r="AA73" i="34" s="1"/>
  <c r="W434" i="34"/>
  <c r="AA434" i="34"/>
  <c r="S98" i="34"/>
  <c r="W98" i="34"/>
  <c r="W95" i="34" s="1"/>
  <c r="AA98" i="34"/>
  <c r="AA95" i="34" s="1"/>
  <c r="S1508" i="34"/>
  <c r="S1517" i="34" s="1"/>
  <c r="S1526" i="34" s="1"/>
  <c r="W1508" i="34"/>
  <c r="W1517" i="34" s="1"/>
  <c r="W1526" i="34" s="1"/>
  <c r="AA1508" i="34"/>
  <c r="AA1517" i="34" s="1"/>
  <c r="AA1526" i="34" s="1"/>
  <c r="S1507" i="34"/>
  <c r="S1498" i="34"/>
  <c r="W1507" i="34"/>
  <c r="W1498" i="34"/>
  <c r="AA1507" i="34"/>
  <c r="AA1498" i="34"/>
  <c r="S174" i="34"/>
  <c r="W175" i="34"/>
  <c r="W1552" i="34" s="1"/>
  <c r="W1561" i="34" s="1"/>
  <c r="W1570" i="34" s="1"/>
  <c r="W176" i="34"/>
  <c r="W284" i="34"/>
  <c r="W310" i="34"/>
  <c r="AD405" i="34"/>
  <c r="V1170" i="34"/>
  <c r="V1169" i="34" s="1"/>
  <c r="U1197" i="34"/>
  <c r="U1178" i="34" s="1"/>
  <c r="Z1171" i="34"/>
  <c r="Z1169" i="34" s="1"/>
  <c r="Y1197" i="34"/>
  <c r="Y1178" i="34" s="1"/>
  <c r="Y1207" i="34"/>
  <c r="V1407" i="34"/>
  <c r="V1408" i="34" s="1"/>
  <c r="V1404" i="34"/>
  <c r="Z1407" i="34"/>
  <c r="Z1408" i="34" s="1"/>
  <c r="Z1404" i="34"/>
  <c r="AD1407" i="34"/>
  <c r="AD1408" i="34" s="1"/>
  <c r="AD1404" i="34"/>
  <c r="U1498" i="34"/>
  <c r="U1507" i="34"/>
  <c r="AC1507" i="34"/>
  <c r="AC1498" i="34"/>
  <c r="Y178" i="34"/>
  <c r="Y165" i="34"/>
  <c r="U179" i="34"/>
  <c r="U166" i="34"/>
  <c r="U173" i="34" s="1"/>
  <c r="AC179" i="34"/>
  <c r="AC166" i="34"/>
  <c r="AC173" i="34" s="1"/>
  <c r="Y1542" i="34"/>
  <c r="Y180" i="34"/>
  <c r="Y174" i="34"/>
  <c r="Y1551" i="34" s="1"/>
  <c r="U1543" i="34"/>
  <c r="U181" i="34"/>
  <c r="U175" i="34"/>
  <c r="U1552" i="34" s="1"/>
  <c r="Y1543" i="34"/>
  <c r="Y181" i="34"/>
  <c r="Y175" i="34"/>
  <c r="Y1552" i="34" s="1"/>
  <c r="AA284" i="34"/>
  <c r="S1471" i="34"/>
  <c r="S1310" i="34"/>
  <c r="S1268" i="34"/>
  <c r="S1212" i="34"/>
  <c r="S1440" i="34"/>
  <c r="S1412" i="34"/>
  <c r="S1078" i="34"/>
  <c r="S459" i="34"/>
  <c r="T13" i="34"/>
  <c r="AB1484" i="34"/>
  <c r="AB1320" i="34"/>
  <c r="T62" i="34"/>
  <c r="T67" i="34" s="1"/>
  <c r="X62" i="34"/>
  <c r="X67" i="34" s="1"/>
  <c r="AB62" i="34"/>
  <c r="T68" i="34"/>
  <c r="T73" i="34" s="1"/>
  <c r="X68" i="34"/>
  <c r="X73" i="34" s="1"/>
  <c r="AB68" i="34"/>
  <c r="T434" i="34"/>
  <c r="X434" i="34"/>
  <c r="T98" i="34"/>
  <c r="X98" i="34"/>
  <c r="X95" i="34" s="1"/>
  <c r="AB98" i="34"/>
  <c r="T1508" i="34"/>
  <c r="T1517" i="34" s="1"/>
  <c r="T1526" i="34" s="1"/>
  <c r="X1508" i="34"/>
  <c r="X1517" i="34" s="1"/>
  <c r="X1526" i="34" s="1"/>
  <c r="AB1508" i="34"/>
  <c r="AB1517" i="34" s="1"/>
  <c r="AB1526" i="34" s="1"/>
  <c r="T1507" i="34"/>
  <c r="T1498" i="34"/>
  <c r="X1507" i="34"/>
  <c r="X1498" i="34"/>
  <c r="AB1507" i="34"/>
  <c r="AB1498" i="34"/>
  <c r="T178" i="34"/>
  <c r="T165" i="34"/>
  <c r="X178" i="34"/>
  <c r="X165" i="34"/>
  <c r="AB178" i="34"/>
  <c r="AB165" i="34"/>
  <c r="T179" i="34"/>
  <c r="T166" i="34"/>
  <c r="T173" i="34" s="1"/>
  <c r="X179" i="34"/>
  <c r="X166" i="34"/>
  <c r="X173" i="34" s="1"/>
  <c r="T1542" i="34"/>
  <c r="T180" i="34"/>
  <c r="T174" i="34"/>
  <c r="T1551" i="34" s="1"/>
  <c r="X1542" i="34"/>
  <c r="X180" i="34"/>
  <c r="X174" i="34"/>
  <c r="X1551" i="34" s="1"/>
  <c r="AB1542" i="34"/>
  <c r="AB180" i="34"/>
  <c r="AB174" i="34"/>
  <c r="T1543" i="34"/>
  <c r="T181" i="34"/>
  <c r="T175" i="34"/>
  <c r="T1552" i="34" s="1"/>
  <c r="X1543" i="34"/>
  <c r="X181" i="34"/>
  <c r="X175" i="34"/>
  <c r="X1552" i="34" s="1"/>
  <c r="AB1543" i="34"/>
  <c r="AB181" i="34"/>
  <c r="AB175" i="34"/>
  <c r="V1502" i="34"/>
  <c r="V1493" i="34"/>
  <c r="Z1502" i="34"/>
  <c r="Z1493" i="34"/>
  <c r="AD1502" i="34"/>
  <c r="AD1493" i="34"/>
  <c r="V1505" i="34"/>
  <c r="V1495" i="34"/>
  <c r="Z1495" i="34"/>
  <c r="V1503" i="34"/>
  <c r="V1494" i="34"/>
  <c r="Z1503" i="34"/>
  <c r="Z1494" i="34"/>
  <c r="AD1503" i="34"/>
  <c r="AD1494" i="34"/>
  <c r="V1506" i="34"/>
  <c r="V1515" i="34" s="1"/>
  <c r="V1524" i="34" s="1"/>
  <c r="Z1506" i="34"/>
  <c r="Z1515" i="34" s="1"/>
  <c r="Z1524" i="34" s="1"/>
  <c r="V1546" i="34"/>
  <c r="V1537" i="34"/>
  <c r="Z1546" i="34"/>
  <c r="Z1537" i="34"/>
  <c r="AD1546" i="34"/>
  <c r="AD1537" i="34"/>
  <c r="V1549" i="34"/>
  <c r="V1540" i="34"/>
  <c r="Z1549" i="34"/>
  <c r="Z1540" i="34"/>
  <c r="AD1549" i="34"/>
  <c r="AD1540" i="34"/>
  <c r="V1547" i="34"/>
  <c r="V1538" i="34"/>
  <c r="Z1547" i="34"/>
  <c r="Z1538" i="34"/>
  <c r="AD1547" i="34"/>
  <c r="AD1538" i="34"/>
  <c r="V1550" i="34"/>
  <c r="V1541" i="34"/>
  <c r="Z1550" i="34"/>
  <c r="Z1541" i="34"/>
  <c r="AD1550" i="34"/>
  <c r="AD1541" i="34"/>
  <c r="V1588" i="34"/>
  <c r="V1581" i="34"/>
  <c r="Z1588" i="34"/>
  <c r="Z1581" i="34"/>
  <c r="AD1588" i="34"/>
  <c r="AD1581" i="34"/>
  <c r="V1584" i="34"/>
  <c r="AB1170" i="34"/>
  <c r="AB1169" i="34" s="1"/>
  <c r="AC1207" i="34"/>
  <c r="AA1476" i="34"/>
  <c r="S427" i="34"/>
  <c r="W427" i="34"/>
  <c r="AA427" i="34"/>
  <c r="S1502" i="34"/>
  <c r="S1493" i="34"/>
  <c r="W1502" i="34"/>
  <c r="W1493" i="34"/>
  <c r="AA1502" i="34"/>
  <c r="AA1493" i="34"/>
  <c r="S1495" i="34"/>
  <c r="W1505" i="34"/>
  <c r="W1495" i="34"/>
  <c r="S1503" i="34"/>
  <c r="S1494" i="34"/>
  <c r="W1503" i="34"/>
  <c r="W1494" i="34"/>
  <c r="AA1503" i="34"/>
  <c r="AA1494" i="34"/>
  <c r="W1506" i="34"/>
  <c r="W1515" i="34" s="1"/>
  <c r="W1524" i="34" s="1"/>
  <c r="AA1506" i="34"/>
  <c r="AA1515" i="34" s="1"/>
  <c r="AA1524" i="34" s="1"/>
  <c r="S1546" i="34"/>
  <c r="S1537" i="34"/>
  <c r="W1546" i="34"/>
  <c r="W1537" i="34"/>
  <c r="AA1546" i="34"/>
  <c r="AA1537" i="34"/>
  <c r="S1549" i="34"/>
  <c r="S1540" i="34"/>
  <c r="W1540" i="34"/>
  <c r="AA1549" i="34"/>
  <c r="AA1540" i="34"/>
  <c r="S1547" i="34"/>
  <c r="S1538" i="34"/>
  <c r="W1547" i="34"/>
  <c r="W1538" i="34"/>
  <c r="AA1547" i="34"/>
  <c r="AA1538" i="34"/>
  <c r="S1541" i="34"/>
  <c r="W1550" i="34"/>
  <c r="W1541" i="34"/>
  <c r="AA1550" i="34"/>
  <c r="AA1541" i="34"/>
  <c r="S1581" i="34"/>
  <c r="S1588" i="34"/>
  <c r="W1581" i="34"/>
  <c r="W1588" i="34"/>
  <c r="AA1581" i="34"/>
  <c r="AA1588" i="34"/>
  <c r="S1591" i="34"/>
  <c r="S1584" i="34"/>
  <c r="W1591" i="34"/>
  <c r="W1584" i="34"/>
  <c r="AA1591" i="34"/>
  <c r="AA1584" i="34"/>
  <c r="S1589" i="34"/>
  <c r="S1582" i="34"/>
  <c r="W1582" i="34"/>
  <c r="W1589" i="34"/>
  <c r="AA1582" i="34"/>
  <c r="AA1589" i="34"/>
  <c r="S1585" i="34"/>
  <c r="S1592" i="34"/>
  <c r="W1592" i="34"/>
  <c r="W1585" i="34"/>
  <c r="AA1592" i="34"/>
  <c r="AA1585" i="34"/>
  <c r="S1527" i="34"/>
  <c r="W1527" i="34"/>
  <c r="AA1527" i="34"/>
  <c r="T1197" i="34"/>
  <c r="T1178" i="34" s="1"/>
  <c r="U1170" i="34"/>
  <c r="U1169" i="34" s="1"/>
  <c r="X1197" i="34"/>
  <c r="X1178" i="34" s="1"/>
  <c r="Y1170" i="34"/>
  <c r="Y1169" i="34" s="1"/>
  <c r="AB1197" i="34"/>
  <c r="AB1178" i="34" s="1"/>
  <c r="AC1170" i="34"/>
  <c r="AC1169" i="34" s="1"/>
  <c r="AC1168" i="34" s="1"/>
  <c r="Y1527" i="34"/>
  <c r="T202" i="34"/>
  <c r="X202" i="34"/>
  <c r="AB202" i="34"/>
  <c r="T284" i="34"/>
  <c r="X284" i="34"/>
  <c r="AB284" i="34"/>
  <c r="T347" i="34"/>
  <c r="X347" i="34"/>
  <c r="AB347" i="34"/>
  <c r="T427" i="34"/>
  <c r="X427" i="34"/>
  <c r="AB427" i="34"/>
  <c r="T1502" i="34"/>
  <c r="T1493" i="34"/>
  <c r="X1502" i="34"/>
  <c r="AB1502" i="34"/>
  <c r="AB1493" i="34"/>
  <c r="AB1505" i="34"/>
  <c r="AB1495" i="34"/>
  <c r="T1503" i="34"/>
  <c r="T1494" i="34"/>
  <c r="X1503" i="34"/>
  <c r="X1494" i="34"/>
  <c r="AB1503" i="34"/>
  <c r="AB1494" i="34"/>
  <c r="T1506" i="34"/>
  <c r="T1515" i="34" s="1"/>
  <c r="T1524" i="34" s="1"/>
  <c r="X1506" i="34"/>
  <c r="X1515" i="34" s="1"/>
  <c r="X1524" i="34" s="1"/>
  <c r="AB1506" i="34"/>
  <c r="AB1515" i="34" s="1"/>
  <c r="AB1524" i="34" s="1"/>
  <c r="T1546" i="34"/>
  <c r="T1537" i="34"/>
  <c r="X1537" i="34"/>
  <c r="X1546" i="34"/>
  <c r="AB1537" i="34"/>
  <c r="AB1546" i="34"/>
  <c r="T1540" i="34"/>
  <c r="T1549" i="34"/>
  <c r="X1549" i="34"/>
  <c r="X1540" i="34"/>
  <c r="AB1540" i="34"/>
  <c r="AB1549" i="34"/>
  <c r="T1538" i="34"/>
  <c r="T1547" i="34"/>
  <c r="X1547" i="34"/>
  <c r="X1538" i="34"/>
  <c r="AB1538" i="34"/>
  <c r="AB1547" i="34"/>
  <c r="T1550" i="34"/>
  <c r="T1541" i="34"/>
  <c r="X1541" i="34"/>
  <c r="X1550" i="34"/>
  <c r="AB1550" i="34"/>
  <c r="AB1541" i="34"/>
  <c r="T1588" i="34"/>
  <c r="T1581" i="34"/>
  <c r="X1588" i="34"/>
  <c r="X1581" i="34"/>
  <c r="AB1588" i="34"/>
  <c r="AB1581" i="34"/>
  <c r="S1346" i="34"/>
  <c r="U202" i="34"/>
  <c r="Y202" i="34"/>
  <c r="AC202" i="34"/>
  <c r="U284" i="34"/>
  <c r="Y284" i="34"/>
  <c r="AC284" i="34"/>
  <c r="U311" i="34"/>
  <c r="Y311" i="34"/>
  <c r="AC311" i="34"/>
  <c r="U347" i="34"/>
  <c r="Y347" i="34"/>
  <c r="AC347" i="34"/>
  <c r="U427" i="34"/>
  <c r="Y427" i="34"/>
  <c r="AC427" i="34"/>
  <c r="U1502" i="34"/>
  <c r="U1493" i="34"/>
  <c r="Y1502" i="34"/>
  <c r="Y1493" i="34"/>
  <c r="AC1502" i="34"/>
  <c r="AC1493" i="34"/>
  <c r="Y1505" i="34"/>
  <c r="Y1514" i="34" s="1"/>
  <c r="Y1523" i="34" s="1"/>
  <c r="AC1495" i="34"/>
  <c r="AC1505" i="34"/>
  <c r="AC1514" i="34" s="1"/>
  <c r="AC1523" i="34" s="1"/>
  <c r="U1494" i="34"/>
  <c r="U1503" i="34"/>
  <c r="Y1503" i="34"/>
  <c r="Y1494" i="34"/>
  <c r="AC1503" i="34"/>
  <c r="AC1494" i="34"/>
  <c r="U1506" i="34"/>
  <c r="U1515" i="34" s="1"/>
  <c r="U1524" i="34" s="1"/>
  <c r="Y1506" i="34"/>
  <c r="Y1515" i="34" s="1"/>
  <c r="Y1524" i="34" s="1"/>
  <c r="AC1506" i="34"/>
  <c r="AC1515" i="34" s="1"/>
  <c r="AC1524" i="34" s="1"/>
  <c r="U1546" i="34"/>
  <c r="U1537" i="34"/>
  <c r="Y1546" i="34"/>
  <c r="Y1537" i="34"/>
  <c r="AC1546" i="34"/>
  <c r="AC1537" i="34"/>
  <c r="U1549" i="34"/>
  <c r="U1540" i="34"/>
  <c r="Y1549" i="34"/>
  <c r="Y1540" i="34"/>
  <c r="AC1549" i="34"/>
  <c r="AC1540" i="34"/>
  <c r="U1547" i="34"/>
  <c r="U1538" i="34"/>
  <c r="Y1547" i="34"/>
  <c r="Y1538" i="34"/>
  <c r="AC1547" i="34"/>
  <c r="AC1538" i="34"/>
  <c r="U1550" i="34"/>
  <c r="U1541" i="34"/>
  <c r="Y1550" i="34"/>
  <c r="Y1541" i="34"/>
  <c r="AC1550" i="34"/>
  <c r="AC1541" i="34"/>
  <c r="U1588" i="34"/>
  <c r="U1581" i="34"/>
  <c r="Y1588" i="34"/>
  <c r="Y1581" i="34"/>
  <c r="AC1588" i="34"/>
  <c r="AC1581" i="34"/>
  <c r="U1591" i="34"/>
  <c r="U1584" i="34"/>
  <c r="U1527" i="34"/>
  <c r="W1170" i="34"/>
  <c r="W1169" i="34" s="1"/>
  <c r="V1197" i="34"/>
  <c r="V1178" i="34" s="1"/>
  <c r="AA1170" i="34"/>
  <c r="AA1169" i="34" s="1"/>
  <c r="Z1197" i="34"/>
  <c r="Z1178" i="34" s="1"/>
  <c r="V1207" i="34"/>
  <c r="Z1207" i="34"/>
  <c r="AD1207" i="34"/>
  <c r="W1349" i="34"/>
  <c r="W1350" i="34" s="1"/>
  <c r="Y1495" i="34"/>
  <c r="T1591" i="34"/>
  <c r="T1584" i="34"/>
  <c r="X1591" i="34"/>
  <c r="X1584" i="34"/>
  <c r="AB1591" i="34"/>
  <c r="AB1584" i="34"/>
  <c r="T1589" i="34"/>
  <c r="T1582" i="34"/>
  <c r="X1589" i="34"/>
  <c r="X1582" i="34"/>
  <c r="AB1589" i="34"/>
  <c r="AB1582" i="34"/>
  <c r="T1592" i="34"/>
  <c r="T1585" i="34"/>
  <c r="X1592" i="34"/>
  <c r="X1585" i="34"/>
  <c r="AB1592" i="34"/>
  <c r="AB1585" i="34"/>
  <c r="X1527" i="34"/>
  <c r="AB1527" i="34"/>
  <c r="AA1349" i="34"/>
  <c r="AA1350" i="34" s="1"/>
  <c r="W1403" i="34"/>
  <c r="Y1591" i="34"/>
  <c r="Y1584" i="34"/>
  <c r="AC1591" i="34"/>
  <c r="AC1584" i="34"/>
  <c r="U1589" i="34"/>
  <c r="U1582" i="34"/>
  <c r="Y1589" i="34"/>
  <c r="Y1582" i="34"/>
  <c r="AC1589" i="34"/>
  <c r="AC1582" i="34"/>
  <c r="U1592" i="34"/>
  <c r="U1585" i="34"/>
  <c r="Y1592" i="34"/>
  <c r="Y1585" i="34"/>
  <c r="AC1592" i="34"/>
  <c r="AC1585" i="34"/>
  <c r="AC1527" i="34"/>
  <c r="T1349" i="34"/>
  <c r="T1350" i="34" s="1"/>
  <c r="T1346" i="34"/>
  <c r="X1349" i="34"/>
  <c r="X1350" i="34" s="1"/>
  <c r="X1346" i="34"/>
  <c r="AB1349" i="34"/>
  <c r="AB1350" i="34" s="1"/>
  <c r="Z1591" i="34"/>
  <c r="Z1584" i="34"/>
  <c r="AD1591" i="34"/>
  <c r="AD1584" i="34"/>
  <c r="V1589" i="34"/>
  <c r="V1582" i="34"/>
  <c r="Z1589" i="34"/>
  <c r="Z1582" i="34"/>
  <c r="AD1589" i="34"/>
  <c r="AD1582" i="34"/>
  <c r="V1592" i="34"/>
  <c r="V1585" i="34"/>
  <c r="Z1592" i="34"/>
  <c r="Z1585" i="34"/>
  <c r="AD1592" i="34"/>
  <c r="AD1585" i="34"/>
  <c r="U1349" i="34"/>
  <c r="U1350" i="34" s="1"/>
  <c r="U1346" i="34"/>
  <c r="Y1349" i="34"/>
  <c r="Y1350" i="34" s="1"/>
  <c r="Y1346" i="34"/>
  <c r="AC1349" i="34"/>
  <c r="AC1350" i="34" s="1"/>
  <c r="AC1346" i="34"/>
  <c r="U1407" i="34"/>
  <c r="U1408" i="34" s="1"/>
  <c r="U1404" i="34"/>
  <c r="Y1407" i="34"/>
  <c r="Y1408" i="34" s="1"/>
  <c r="Y1404" i="34"/>
  <c r="AC1407" i="34"/>
  <c r="AC1408" i="34" s="1"/>
  <c r="AC1404" i="34"/>
  <c r="T1398" i="34"/>
  <c r="X1398" i="34"/>
  <c r="AB1398" i="34"/>
  <c r="U1398" i="34"/>
  <c r="Y1398" i="34"/>
  <c r="AC1398" i="34"/>
  <c r="V1398" i="34"/>
  <c r="Z1398" i="34"/>
  <c r="AD1398" i="34"/>
  <c r="AH1610" i="34"/>
  <c r="AG1593" i="34"/>
  <c r="AH1593" i="34"/>
  <c r="AF1593" i="34"/>
  <c r="AE1593" i="34"/>
  <c r="AH1573" i="34"/>
  <c r="AG1573" i="34"/>
  <c r="AF1573" i="34"/>
  <c r="AE1573" i="34"/>
  <c r="AH1499" i="34"/>
  <c r="AK1471" i="34"/>
  <c r="AJ1471" i="34"/>
  <c r="AI1471" i="34"/>
  <c r="AH1471" i="34"/>
  <c r="AG1471" i="34"/>
  <c r="AF1471" i="34"/>
  <c r="AE1471" i="34"/>
  <c r="AH1467" i="34"/>
  <c r="AJ1467" i="34" s="1"/>
  <c r="AK1467" i="34" s="1"/>
  <c r="AG1467" i="34"/>
  <c r="AF1467" i="34"/>
  <c r="AI1467" i="34" s="1"/>
  <c r="AE1467" i="34"/>
  <c r="AH1466" i="34"/>
  <c r="AJ1466" i="34" s="1"/>
  <c r="AK1466" i="34" s="1"/>
  <c r="AG1466" i="34"/>
  <c r="AF1466" i="34"/>
  <c r="AI1466" i="34" s="1"/>
  <c r="AE1466" i="34"/>
  <c r="AH1465" i="34"/>
  <c r="AJ1465" i="34" s="1"/>
  <c r="AK1465" i="34" s="1"/>
  <c r="AG1465" i="34"/>
  <c r="AF1465" i="34"/>
  <c r="AE1465" i="34"/>
  <c r="AJ1464" i="34"/>
  <c r="AG1464" i="34"/>
  <c r="AH1463" i="34"/>
  <c r="AG1463" i="34"/>
  <c r="AF1463" i="34"/>
  <c r="AE1463" i="34"/>
  <c r="AH1462" i="34"/>
  <c r="AG1462" i="34"/>
  <c r="AF1462" i="34"/>
  <c r="AE1462" i="34"/>
  <c r="AH1461" i="34"/>
  <c r="AH1460" i="34"/>
  <c r="AG1460" i="34"/>
  <c r="AF1460" i="34"/>
  <c r="AE1460" i="34"/>
  <c r="AH1459" i="34"/>
  <c r="AG1459" i="34"/>
  <c r="AF1459" i="34"/>
  <c r="AE1459" i="34"/>
  <c r="AH1457" i="34"/>
  <c r="AG1457" i="34"/>
  <c r="AF1457" i="34"/>
  <c r="AE1457" i="34"/>
  <c r="AH1456" i="34"/>
  <c r="AG1456" i="34"/>
  <c r="AF1456" i="34"/>
  <c r="AE1456" i="34"/>
  <c r="AG1454" i="34"/>
  <c r="AH1454" i="34"/>
  <c r="AF1454" i="34"/>
  <c r="AE1454" i="34"/>
  <c r="AG1453" i="34"/>
  <c r="AG1443" i="34" s="1"/>
  <c r="AH1453" i="34"/>
  <c r="AF1453" i="34"/>
  <c r="AE1453" i="34"/>
  <c r="AE1443" i="34" s="1"/>
  <c r="AG1452" i="34"/>
  <c r="AH1452" i="34"/>
  <c r="AF1452" i="34"/>
  <c r="AE1452" i="34"/>
  <c r="AG1450" i="34"/>
  <c r="AH1450" i="34"/>
  <c r="AF1450" i="34"/>
  <c r="AE1450" i="34"/>
  <c r="AG1449" i="34"/>
  <c r="AH1449" i="34"/>
  <c r="AF1449" i="34"/>
  <c r="AE1449" i="34"/>
  <c r="AG1448" i="34"/>
  <c r="AG1447" i="34"/>
  <c r="AH1447" i="34"/>
  <c r="AF1447" i="34"/>
  <c r="AE1447" i="34"/>
  <c r="AG1446" i="34"/>
  <c r="AH1446" i="34"/>
  <c r="AF1446" i="34"/>
  <c r="AE1446" i="34"/>
  <c r="AK1440" i="34"/>
  <c r="AJ1440" i="34"/>
  <c r="AI1440" i="34"/>
  <c r="AH1440" i="34"/>
  <c r="AG1440" i="34"/>
  <c r="AF1440" i="34"/>
  <c r="AE1440" i="34"/>
  <c r="AH1437" i="34"/>
  <c r="AJ1437" i="34" s="1"/>
  <c r="AK1437" i="34" s="1"/>
  <c r="AG1437" i="34"/>
  <c r="AF1437" i="34"/>
  <c r="AI1437" i="34" s="1"/>
  <c r="AE1437" i="34"/>
  <c r="AH1436" i="34"/>
  <c r="AJ1436" i="34" s="1"/>
  <c r="AK1436" i="34" s="1"/>
  <c r="AG1436" i="34"/>
  <c r="AF1436" i="34"/>
  <c r="AI1436" i="34" s="1"/>
  <c r="AE1436" i="34"/>
  <c r="AH1435" i="34"/>
  <c r="AJ1435" i="34" s="1"/>
  <c r="AK1435" i="34" s="1"/>
  <c r="AG1435" i="34"/>
  <c r="AF1435" i="34"/>
  <c r="AI1435" i="34" s="1"/>
  <c r="AE1435" i="34"/>
  <c r="AH1434" i="34"/>
  <c r="AJ1434" i="34" s="1"/>
  <c r="AK1434" i="34" s="1"/>
  <c r="AG1434" i="34"/>
  <c r="AF1434" i="34"/>
  <c r="AE1434" i="34"/>
  <c r="AH1433" i="34"/>
  <c r="AJ1433" i="34" s="1"/>
  <c r="AK1433" i="34" s="1"/>
  <c r="AG1433" i="34"/>
  <c r="AF1433" i="34"/>
  <c r="AI1433" i="34" s="1"/>
  <c r="AE1433" i="34"/>
  <c r="AH1432" i="34"/>
  <c r="AJ1432" i="34" s="1"/>
  <c r="AG1432" i="34"/>
  <c r="AG1431" i="34" s="1"/>
  <c r="AF1432" i="34"/>
  <c r="AI1432" i="34" s="1"/>
  <c r="AE1432" i="34"/>
  <c r="AH1428" i="34"/>
  <c r="AJ1428" i="34" s="1"/>
  <c r="AK1428" i="34" s="1"/>
  <c r="AG1428" i="34"/>
  <c r="AF1428" i="34"/>
  <c r="AI1428" i="34" s="1"/>
  <c r="AE1428" i="34"/>
  <c r="AH1427" i="34"/>
  <c r="AJ1427" i="34" s="1"/>
  <c r="AK1427" i="34" s="1"/>
  <c r="AG1427" i="34"/>
  <c r="AF1427" i="34"/>
  <c r="AI1427" i="34" s="1"/>
  <c r="AE1427" i="34"/>
  <c r="AH1426" i="34"/>
  <c r="AJ1426" i="34" s="1"/>
  <c r="AK1426" i="34" s="1"/>
  <c r="AG1426" i="34"/>
  <c r="AF1426" i="34"/>
  <c r="AI1426" i="34" s="1"/>
  <c r="AE1426" i="34"/>
  <c r="AH1425" i="34"/>
  <c r="AJ1425" i="34" s="1"/>
  <c r="AK1425" i="34" s="1"/>
  <c r="AG1425" i="34"/>
  <c r="AF1425" i="34"/>
  <c r="AI1425" i="34" s="1"/>
  <c r="AE1425" i="34"/>
  <c r="AH1424" i="34"/>
  <c r="AJ1424" i="34" s="1"/>
  <c r="AK1424" i="34" s="1"/>
  <c r="AG1424" i="34"/>
  <c r="AF1424" i="34"/>
  <c r="AI1424" i="34" s="1"/>
  <c r="AE1424" i="34"/>
  <c r="AH1423" i="34"/>
  <c r="AG1423" i="34"/>
  <c r="AG1422" i="34" s="1"/>
  <c r="AF1423" i="34"/>
  <c r="AI1423" i="34" s="1"/>
  <c r="AE1423" i="34"/>
  <c r="AE1422" i="34" s="1"/>
  <c r="AK1412" i="34"/>
  <c r="AJ1412" i="34"/>
  <c r="AI1412" i="34"/>
  <c r="AH1412" i="34"/>
  <c r="AG1412" i="34"/>
  <c r="AF1412" i="34"/>
  <c r="AE1412" i="34"/>
  <c r="AH1406" i="34"/>
  <c r="AG1406" i="34"/>
  <c r="AF1406" i="34"/>
  <c r="AE1406" i="34"/>
  <c r="AH1405" i="34"/>
  <c r="AG1405" i="34"/>
  <c r="AF1405" i="34"/>
  <c r="AE1405" i="34"/>
  <c r="AH1402" i="34"/>
  <c r="AG1402" i="34"/>
  <c r="AF1402" i="34"/>
  <c r="AE1402" i="34"/>
  <c r="AH1401" i="34"/>
  <c r="AG1401" i="34"/>
  <c r="AF1401" i="34"/>
  <c r="AE1401" i="34"/>
  <c r="AH1400" i="34"/>
  <c r="AG1400" i="34"/>
  <c r="AF1400" i="34"/>
  <c r="AE1400" i="34"/>
  <c r="AH1397" i="34"/>
  <c r="AG1397" i="34"/>
  <c r="AF1397" i="34"/>
  <c r="AE1397" i="34"/>
  <c r="AH1396" i="34"/>
  <c r="AG1396" i="34"/>
  <c r="AF1396" i="34"/>
  <c r="AE1396" i="34"/>
  <c r="AH1395" i="34"/>
  <c r="AG1395" i="34"/>
  <c r="AF1395" i="34"/>
  <c r="AE1395" i="34"/>
  <c r="AH1394" i="34"/>
  <c r="AG1394" i="34"/>
  <c r="AF1394" i="34"/>
  <c r="AE1394" i="34"/>
  <c r="AH1393" i="34"/>
  <c r="AG1393" i="34"/>
  <c r="AG1392" i="34" s="1"/>
  <c r="AF1393" i="34"/>
  <c r="AE1393" i="34"/>
  <c r="AH1391" i="34"/>
  <c r="AG1391" i="34"/>
  <c r="AF1391" i="34"/>
  <c r="AE1391" i="34"/>
  <c r="AH1390" i="34"/>
  <c r="AG1390" i="34"/>
  <c r="AF1390" i="34"/>
  <c r="AH1389" i="34"/>
  <c r="AG1389" i="34"/>
  <c r="AF1389" i="34"/>
  <c r="AE1389" i="34"/>
  <c r="AH1388" i="34"/>
  <c r="AG1388" i="34"/>
  <c r="AG1387" i="34" s="1"/>
  <c r="AF1388" i="34"/>
  <c r="AF1387" i="34" s="1"/>
  <c r="AE1388" i="34"/>
  <c r="AH1382" i="34"/>
  <c r="AG1382" i="34"/>
  <c r="AF1382" i="34"/>
  <c r="AE1382" i="34"/>
  <c r="AH1381" i="34"/>
  <c r="AG1381" i="34"/>
  <c r="AF1381" i="34"/>
  <c r="AE1381" i="34"/>
  <c r="AH1380" i="34"/>
  <c r="AG1380" i="34"/>
  <c r="AF1380" i="34"/>
  <c r="AE1380" i="34"/>
  <c r="AH1379" i="34"/>
  <c r="AG1379" i="34"/>
  <c r="AF1379" i="34"/>
  <c r="AE1379" i="34"/>
  <c r="AH1378" i="34"/>
  <c r="AG1378" i="34"/>
  <c r="AG1377" i="34" s="1"/>
  <c r="AF1378" i="34"/>
  <c r="AF1377" i="34" s="1"/>
  <c r="AE1378" i="34"/>
  <c r="AH1377" i="34"/>
  <c r="AH1376" i="34"/>
  <c r="AH1375" i="34" s="1"/>
  <c r="AG1376" i="34"/>
  <c r="AG1375" i="34" s="1"/>
  <c r="AF1376" i="34"/>
  <c r="AF1375" i="34" s="1"/>
  <c r="AE1376" i="34"/>
  <c r="AE1375" i="34" s="1"/>
  <c r="AH1374" i="34"/>
  <c r="AG1374" i="34"/>
  <c r="AF1374" i="34"/>
  <c r="AE1374" i="34"/>
  <c r="AH1373" i="34"/>
  <c r="AG1373" i="34"/>
  <c r="AF1373" i="34"/>
  <c r="AE1373" i="34"/>
  <c r="AH1372" i="34"/>
  <c r="AH1371" i="34" s="1"/>
  <c r="AH1367" i="34"/>
  <c r="AG1367" i="34"/>
  <c r="AF1367" i="34"/>
  <c r="AE1367" i="34"/>
  <c r="AH1366" i="34"/>
  <c r="AG1366" i="34"/>
  <c r="AF1366" i="34"/>
  <c r="AE1366" i="34"/>
  <c r="AH1365" i="34"/>
  <c r="AG1365" i="34"/>
  <c r="AF1365" i="34"/>
  <c r="AE1365" i="34"/>
  <c r="AH1364" i="34"/>
  <c r="AG1364" i="34"/>
  <c r="AF1364" i="34"/>
  <c r="AE1364" i="34"/>
  <c r="AH1363" i="34"/>
  <c r="AG1363" i="34"/>
  <c r="AG1362" i="34" s="1"/>
  <c r="AF1363" i="34"/>
  <c r="AF1362" i="34" s="1"/>
  <c r="AE1363" i="34"/>
  <c r="AH1362" i="34"/>
  <c r="AH1361" i="34"/>
  <c r="AG1361" i="34"/>
  <c r="AG1360" i="34" s="1"/>
  <c r="AF1361" i="34"/>
  <c r="AF1360" i="34" s="1"/>
  <c r="AE1361" i="34"/>
  <c r="AH1359" i="34"/>
  <c r="AG1359" i="34"/>
  <c r="AF1359" i="34"/>
  <c r="AE1359" i="34"/>
  <c r="AH1358" i="34"/>
  <c r="AG1358" i="34"/>
  <c r="AG1357" i="34" s="1"/>
  <c r="AG1356" i="34" s="1"/>
  <c r="AF1358" i="34"/>
  <c r="AF1357" i="34" s="1"/>
  <c r="AE1358" i="34"/>
  <c r="AE1357" i="34" s="1"/>
  <c r="AH1357" i="34"/>
  <c r="AH1348" i="34"/>
  <c r="AG1348" i="34"/>
  <c r="AF1348" i="34"/>
  <c r="AE1348" i="34"/>
  <c r="AH1347" i="34"/>
  <c r="AG1347" i="34"/>
  <c r="AF1347" i="34"/>
  <c r="AE1347" i="34"/>
  <c r="AH1344" i="34"/>
  <c r="AG1344" i="34"/>
  <c r="AF1344" i="34"/>
  <c r="AE1344" i="34"/>
  <c r="AH1343" i="34"/>
  <c r="AG1343" i="34"/>
  <c r="AF1343" i="34"/>
  <c r="AE1343" i="34"/>
  <c r="AH1342" i="34"/>
  <c r="AG1342" i="34"/>
  <c r="AF1342" i="34"/>
  <c r="AE1342" i="34"/>
  <c r="AH1339" i="34"/>
  <c r="AG1339" i="34"/>
  <c r="AF1339" i="34"/>
  <c r="AE1339" i="34"/>
  <c r="AH1338" i="34"/>
  <c r="AG1338" i="34"/>
  <c r="AF1338" i="34"/>
  <c r="AE1338" i="34"/>
  <c r="AH1337" i="34"/>
  <c r="AG1337" i="34"/>
  <c r="AF1337" i="34"/>
  <c r="AE1337" i="34"/>
  <c r="AF1331" i="34"/>
  <c r="AH1329" i="34"/>
  <c r="AG1329" i="34"/>
  <c r="AF1329" i="34"/>
  <c r="AE1329" i="34"/>
  <c r="AH1328" i="34"/>
  <c r="AG1328" i="34"/>
  <c r="AF1328" i="34"/>
  <c r="AE1328" i="34"/>
  <c r="AH1327" i="34"/>
  <c r="AG1327" i="34"/>
  <c r="AF1327" i="34"/>
  <c r="AK1310" i="34"/>
  <c r="AJ1310" i="34"/>
  <c r="AI1310" i="34"/>
  <c r="AH1310" i="34"/>
  <c r="AG1310" i="34"/>
  <c r="AF1310" i="34"/>
  <c r="AE1310" i="34"/>
  <c r="AH1290" i="34"/>
  <c r="AG1290" i="34"/>
  <c r="AF1290" i="34"/>
  <c r="AE1290" i="34"/>
  <c r="AH1289" i="34"/>
  <c r="AG1289" i="34"/>
  <c r="AF1289" i="34"/>
  <c r="AE1289" i="34"/>
  <c r="AH1288" i="34"/>
  <c r="AG1288" i="34"/>
  <c r="AF1288" i="34"/>
  <c r="AE1288" i="34"/>
  <c r="AH1287" i="34"/>
  <c r="AG1287" i="34"/>
  <c r="AF1287" i="34"/>
  <c r="AE1287" i="34"/>
  <c r="AH1286" i="34"/>
  <c r="AG1286" i="34"/>
  <c r="AF1286" i="34"/>
  <c r="AE1286" i="34"/>
  <c r="AH1285" i="34"/>
  <c r="AG1285" i="34"/>
  <c r="AF1285" i="34"/>
  <c r="AE1285" i="34"/>
  <c r="AH1284" i="34"/>
  <c r="AG1284" i="34"/>
  <c r="AF1284" i="34"/>
  <c r="AE1284" i="34"/>
  <c r="AH1283" i="34"/>
  <c r="AG1283" i="34"/>
  <c r="AF1283" i="34"/>
  <c r="AE1283" i="34"/>
  <c r="AH1282" i="34"/>
  <c r="AG1282" i="34"/>
  <c r="AF1282" i="34"/>
  <c r="AE1282" i="34"/>
  <c r="AH1281" i="34"/>
  <c r="AG1281" i="34"/>
  <c r="AF1281" i="34"/>
  <c r="AE1281" i="34"/>
  <c r="AH1280" i="34"/>
  <c r="AG1280" i="34"/>
  <c r="AF1280" i="34"/>
  <c r="AE1280" i="34"/>
  <c r="AH1279" i="34"/>
  <c r="AG1279" i="34"/>
  <c r="AF1279" i="34"/>
  <c r="AE1279" i="34"/>
  <c r="AH1278" i="34"/>
  <c r="AG1278" i="34"/>
  <c r="AF1278" i="34"/>
  <c r="AE1278" i="34"/>
  <c r="AH1277" i="34"/>
  <c r="AG1277" i="34"/>
  <c r="AF1277" i="34"/>
  <c r="AE1277" i="34"/>
  <c r="AH1276" i="34"/>
  <c r="AG1276" i="34"/>
  <c r="AF1276" i="34"/>
  <c r="AE1276" i="34"/>
  <c r="AH1275" i="34"/>
  <c r="AG1275" i="34"/>
  <c r="AF1275" i="34"/>
  <c r="AE1275" i="34"/>
  <c r="AH1274" i="34"/>
  <c r="AG1274" i="34"/>
  <c r="AF1274" i="34"/>
  <c r="AE1274" i="34"/>
  <c r="AH1273" i="34"/>
  <c r="AG1273" i="34"/>
  <c r="AF1273" i="34"/>
  <c r="AE1273" i="34"/>
  <c r="AH1272" i="34"/>
  <c r="AG1272" i="34"/>
  <c r="AF1272" i="34"/>
  <c r="AE1272" i="34"/>
  <c r="AH1271" i="34"/>
  <c r="AG1271" i="34"/>
  <c r="AF1271" i="34"/>
  <c r="AE1271" i="34"/>
  <c r="AH1270" i="34"/>
  <c r="AG1270" i="34"/>
  <c r="AF1270" i="34"/>
  <c r="AE1270" i="34"/>
  <c r="AH1269" i="34"/>
  <c r="AG1269" i="34"/>
  <c r="AF1269" i="34"/>
  <c r="AE1269" i="34"/>
  <c r="AK1268" i="34"/>
  <c r="AJ1268" i="34"/>
  <c r="AI1268" i="34"/>
  <c r="AH1268" i="34"/>
  <c r="AG1268" i="34"/>
  <c r="AF1268" i="34"/>
  <c r="AE1268" i="34"/>
  <c r="AH1265" i="34"/>
  <c r="AJ1265" i="34" s="1"/>
  <c r="AK1265" i="34" s="1"/>
  <c r="AG1265" i="34"/>
  <c r="AF1265" i="34"/>
  <c r="AI1265" i="34" s="1"/>
  <c r="AE1265" i="34"/>
  <c r="AH1264" i="34"/>
  <c r="AJ1264" i="34" s="1"/>
  <c r="AK1264" i="34" s="1"/>
  <c r="AG1264" i="34"/>
  <c r="AF1264" i="34"/>
  <c r="AI1264" i="34" s="1"/>
  <c r="AE1264" i="34"/>
  <c r="AE1263" i="34"/>
  <c r="AH1263" i="34"/>
  <c r="AJ1263" i="34" s="1"/>
  <c r="AK1263" i="34" s="1"/>
  <c r="AG1263" i="34"/>
  <c r="AF1263" i="34"/>
  <c r="AI1263" i="34" s="1"/>
  <c r="AH1260" i="34"/>
  <c r="AJ1260" i="34" s="1"/>
  <c r="AK1260" i="34" s="1"/>
  <c r="AG1260" i="34"/>
  <c r="AF1260" i="34"/>
  <c r="AI1260" i="34" s="1"/>
  <c r="AE1260" i="34"/>
  <c r="AH1259" i="34"/>
  <c r="AJ1259" i="34" s="1"/>
  <c r="AK1259" i="34" s="1"/>
  <c r="AG1259" i="34"/>
  <c r="AF1259" i="34"/>
  <c r="AI1259" i="34" s="1"/>
  <c r="AE1259" i="34"/>
  <c r="AG1258" i="34"/>
  <c r="AH1258" i="34"/>
  <c r="AJ1258" i="34" s="1"/>
  <c r="AK1258" i="34" s="1"/>
  <c r="AF1258" i="34"/>
  <c r="AI1258" i="34" s="1"/>
  <c r="AE1258" i="34"/>
  <c r="AH1253" i="34"/>
  <c r="AG1253" i="34"/>
  <c r="AF1253" i="34"/>
  <c r="AE1253" i="34"/>
  <c r="AH1249" i="34"/>
  <c r="AG1249" i="34"/>
  <c r="AF1249" i="34"/>
  <c r="AE1249" i="34"/>
  <c r="AH1248" i="34"/>
  <c r="AG1248" i="34"/>
  <c r="AF1248" i="34"/>
  <c r="AE1248" i="34"/>
  <c r="AH1247" i="34"/>
  <c r="AG1247" i="34"/>
  <c r="AF1247" i="34"/>
  <c r="AE1247" i="34"/>
  <c r="AH1246" i="34"/>
  <c r="AG1246" i="34"/>
  <c r="AF1246" i="34"/>
  <c r="AE1246" i="34"/>
  <c r="AH1244" i="34"/>
  <c r="AG1244" i="34"/>
  <c r="AF1244" i="34"/>
  <c r="AE1244" i="34"/>
  <c r="AH1243" i="34"/>
  <c r="AG1243" i="34"/>
  <c r="AF1243" i="34"/>
  <c r="AE1243" i="34"/>
  <c r="AH1242" i="34"/>
  <c r="AG1242" i="34"/>
  <c r="AF1242" i="34"/>
  <c r="AE1242" i="34"/>
  <c r="AH1241" i="34"/>
  <c r="AF1245" i="34"/>
  <c r="AH1239" i="34"/>
  <c r="AG1239" i="34"/>
  <c r="AF1239" i="34"/>
  <c r="AE1239" i="34"/>
  <c r="AH1238" i="34"/>
  <c r="AG1238" i="34"/>
  <c r="AF1238" i="34"/>
  <c r="AE1238" i="34"/>
  <c r="AH1237" i="34"/>
  <c r="AG1237" i="34"/>
  <c r="AF1237" i="34"/>
  <c r="AE1237" i="34"/>
  <c r="AH1236" i="34"/>
  <c r="AF1240" i="34"/>
  <c r="AH1235" i="34"/>
  <c r="AG1235" i="34"/>
  <c r="AF1235" i="34"/>
  <c r="AE1235" i="34"/>
  <c r="AH1234" i="34"/>
  <c r="AG1234" i="34"/>
  <c r="AF1234" i="34"/>
  <c r="AE1234" i="34"/>
  <c r="AH1233" i="34"/>
  <c r="AG1233" i="34"/>
  <c r="AF1233" i="34"/>
  <c r="AE1233" i="34"/>
  <c r="AH1232" i="34"/>
  <c r="AG1232" i="34"/>
  <c r="AF1232" i="34"/>
  <c r="AE1232" i="34"/>
  <c r="AH1231" i="34"/>
  <c r="AG1231" i="34"/>
  <c r="AF1231" i="34"/>
  <c r="AE1231" i="34"/>
  <c r="AH1230" i="34"/>
  <c r="AG1230" i="34"/>
  <c r="AF1230" i="34"/>
  <c r="AE1230" i="34"/>
  <c r="AH1229" i="34"/>
  <c r="AG1229" i="34"/>
  <c r="AF1229" i="34"/>
  <c r="AE1229" i="34"/>
  <c r="AH1228" i="34"/>
  <c r="AG1228" i="34"/>
  <c r="AF1228" i="34"/>
  <c r="AE1228" i="34"/>
  <c r="AH1227" i="34"/>
  <c r="AG1227" i="34"/>
  <c r="AF1227" i="34"/>
  <c r="AE1227" i="34"/>
  <c r="AH1226" i="34"/>
  <c r="AG1226" i="34"/>
  <c r="AF1226" i="34"/>
  <c r="AE1226" i="34"/>
  <c r="AH1225" i="34"/>
  <c r="AG1225" i="34"/>
  <c r="AF1225" i="34"/>
  <c r="AE1225" i="34"/>
  <c r="AH1224" i="34"/>
  <c r="AG1224" i="34"/>
  <c r="AF1224" i="34"/>
  <c r="AE1224" i="34"/>
  <c r="AH1223" i="34"/>
  <c r="AG1223" i="34"/>
  <c r="AF1223" i="34"/>
  <c r="AE1223" i="34"/>
  <c r="AH1222" i="34"/>
  <c r="AG1222" i="34"/>
  <c r="AF1222" i="34"/>
  <c r="AE1222" i="34"/>
  <c r="AH1221" i="34"/>
  <c r="AG1221" i="34"/>
  <c r="AF1221" i="34"/>
  <c r="AE1221" i="34"/>
  <c r="AH1220" i="34"/>
  <c r="AG1220" i="34"/>
  <c r="AF1220" i="34"/>
  <c r="AE1220" i="34"/>
  <c r="AH1219" i="34"/>
  <c r="AG1219" i="34"/>
  <c r="AF1219" i="34"/>
  <c r="AE1219" i="34"/>
  <c r="AH1218" i="34"/>
  <c r="AG1218" i="34"/>
  <c r="AF1218" i="34"/>
  <c r="AE1218" i="34"/>
  <c r="AH1217" i="34"/>
  <c r="AG1217" i="34"/>
  <c r="AF1217" i="34"/>
  <c r="AE1217" i="34"/>
  <c r="AH1216" i="34"/>
  <c r="AG1216" i="34"/>
  <c r="AF1216" i="34"/>
  <c r="AE1216" i="34"/>
  <c r="AH1215" i="34"/>
  <c r="AG1215" i="34"/>
  <c r="AF1215" i="34"/>
  <c r="AE1215" i="34"/>
  <c r="AH1214" i="34"/>
  <c r="AG1214" i="34"/>
  <c r="AF1214" i="34"/>
  <c r="AE1214" i="34"/>
  <c r="AH1213" i="34"/>
  <c r="AG1213" i="34"/>
  <c r="AF1213" i="34"/>
  <c r="AE1213" i="34"/>
  <c r="AK1212" i="34"/>
  <c r="AJ1212" i="34"/>
  <c r="AI1212" i="34"/>
  <c r="AH1212" i="34"/>
  <c r="AG1212" i="34"/>
  <c r="AF1212" i="34"/>
  <c r="AE1212" i="34"/>
  <c r="AH1164" i="34"/>
  <c r="AG1164" i="34"/>
  <c r="AF1164" i="34"/>
  <c r="AE1164" i="34"/>
  <c r="AH1163" i="34"/>
  <c r="AG1163" i="34"/>
  <c r="AF1163" i="34"/>
  <c r="AE1163" i="34"/>
  <c r="AH1162" i="34"/>
  <c r="AG1162" i="34"/>
  <c r="AF1162" i="34"/>
  <c r="AE1162" i="34"/>
  <c r="AH1161" i="34"/>
  <c r="AG1161" i="34"/>
  <c r="AF1161" i="34"/>
  <c r="AE1161" i="34"/>
  <c r="AH1160" i="34"/>
  <c r="AG1160" i="34"/>
  <c r="AF1160" i="34"/>
  <c r="AE1160" i="34"/>
  <c r="AH1159" i="34"/>
  <c r="AG1159" i="34"/>
  <c r="AF1159" i="34"/>
  <c r="AE1159" i="34"/>
  <c r="AH1158" i="34"/>
  <c r="AG1158" i="34"/>
  <c r="AF1158" i="34"/>
  <c r="AE1158" i="34"/>
  <c r="AH1153" i="34"/>
  <c r="AG1153" i="34"/>
  <c r="AF1153" i="34"/>
  <c r="AE1153" i="34"/>
  <c r="AH1152" i="34"/>
  <c r="AG1152" i="34"/>
  <c r="AF1152" i="34"/>
  <c r="AE1152" i="34"/>
  <c r="AH1151" i="34"/>
  <c r="AG1151" i="34"/>
  <c r="AF1151" i="34"/>
  <c r="AE1151" i="34"/>
  <c r="AH1150" i="34"/>
  <c r="AG1150" i="34"/>
  <c r="AF1150" i="34"/>
  <c r="AE1150" i="34"/>
  <c r="AH1149" i="34"/>
  <c r="AG1149" i="34"/>
  <c r="AF1149" i="34"/>
  <c r="AE1149" i="34"/>
  <c r="AH1148" i="34"/>
  <c r="AG1148" i="34"/>
  <c r="AF1148" i="34"/>
  <c r="AE1148" i="34"/>
  <c r="AH1147" i="34"/>
  <c r="AG1147" i="34"/>
  <c r="AF1147" i="34"/>
  <c r="AE1147" i="34"/>
  <c r="AE1146" i="34" s="1"/>
  <c r="AH1145" i="34"/>
  <c r="AG1145" i="34"/>
  <c r="AF1145" i="34"/>
  <c r="AE1145" i="34"/>
  <c r="AH1144" i="34"/>
  <c r="AG1144" i="34"/>
  <c r="AF1144" i="34"/>
  <c r="AE1144" i="34"/>
  <c r="AH1143" i="34"/>
  <c r="AH1142" i="34" s="1"/>
  <c r="AG1143" i="34"/>
  <c r="AF1143" i="34"/>
  <c r="AF1142" i="34" s="1"/>
  <c r="AE1143" i="34"/>
  <c r="AE1142" i="34" s="1"/>
  <c r="AH1141" i="34"/>
  <c r="AG1141" i="34"/>
  <c r="AF1141" i="34"/>
  <c r="AE1141" i="34"/>
  <c r="AH1140" i="34"/>
  <c r="AG1140" i="34"/>
  <c r="AF1140" i="34"/>
  <c r="AE1140" i="34"/>
  <c r="AH1139" i="34"/>
  <c r="AH1138" i="34" s="1"/>
  <c r="AG1139" i="34"/>
  <c r="AF1139" i="34"/>
  <c r="AF1138" i="34" s="1"/>
  <c r="AE1139" i="34"/>
  <c r="AE1138" i="34" s="1"/>
  <c r="AH1136" i="34"/>
  <c r="AH1133" i="34" s="1"/>
  <c r="AG1136" i="34"/>
  <c r="AF1136" i="34"/>
  <c r="AE1136" i="34"/>
  <c r="AH1135" i="34"/>
  <c r="AG1135" i="34"/>
  <c r="AF1135" i="34"/>
  <c r="AE1135" i="34"/>
  <c r="AH1134" i="34"/>
  <c r="AG1134" i="34"/>
  <c r="AF1134" i="34"/>
  <c r="AF1133" i="34" s="1"/>
  <c r="AE1134" i="34"/>
  <c r="AH1132" i="34"/>
  <c r="AG1132" i="34"/>
  <c r="AF1132" i="34"/>
  <c r="AE1132" i="34"/>
  <c r="AH1131" i="34"/>
  <c r="AG1131" i="34"/>
  <c r="AF1131" i="34"/>
  <c r="AE1131" i="34"/>
  <c r="AH1130" i="34"/>
  <c r="AH1129" i="34" s="1"/>
  <c r="AG1130" i="34"/>
  <c r="AF1130" i="34"/>
  <c r="AF1129" i="34" s="1"/>
  <c r="AE1130" i="34"/>
  <c r="AH1120" i="34"/>
  <c r="AG1120" i="34"/>
  <c r="AF1120" i="34"/>
  <c r="AE1120" i="34"/>
  <c r="AH1117" i="34"/>
  <c r="AG1117" i="34"/>
  <c r="AF1117" i="34"/>
  <c r="AE1117" i="34"/>
  <c r="AH1116" i="34"/>
  <c r="AG1116" i="34"/>
  <c r="AF1116" i="34"/>
  <c r="AE1116" i="34"/>
  <c r="AG1115" i="34"/>
  <c r="AH1115" i="34"/>
  <c r="AF1115" i="34"/>
  <c r="AE1115" i="34"/>
  <c r="AH1114" i="34"/>
  <c r="AG1114" i="34"/>
  <c r="AF1114" i="34"/>
  <c r="AE1114" i="34"/>
  <c r="AE1110" i="34"/>
  <c r="AH1109" i="34"/>
  <c r="AJ1109" i="34" s="1"/>
  <c r="AK1109" i="34" s="1"/>
  <c r="AG1109" i="34"/>
  <c r="AF1109" i="34"/>
  <c r="AI1109" i="34" s="1"/>
  <c r="AE1109" i="34"/>
  <c r="AH1108" i="34"/>
  <c r="AJ1108" i="34" s="1"/>
  <c r="AK1108" i="34" s="1"/>
  <c r="AG1108" i="34"/>
  <c r="AF1108" i="34"/>
  <c r="AI1108" i="34" s="1"/>
  <c r="AE1108" i="34"/>
  <c r="AH1110" i="34"/>
  <c r="AJ1110" i="34" s="1"/>
  <c r="AK1110" i="34" s="1"/>
  <c r="AG1110" i="34"/>
  <c r="AF1110" i="34"/>
  <c r="AI1110" i="34" s="1"/>
  <c r="AH1105" i="34"/>
  <c r="AJ1105" i="34" s="1"/>
  <c r="AK1105" i="34" s="1"/>
  <c r="AG1105" i="34"/>
  <c r="AF1105" i="34"/>
  <c r="AI1105" i="34" s="1"/>
  <c r="AE1105" i="34"/>
  <c r="AH1104" i="34"/>
  <c r="AJ1104" i="34" s="1"/>
  <c r="AK1104" i="34" s="1"/>
  <c r="AG1104" i="34"/>
  <c r="AF1104" i="34"/>
  <c r="AI1104" i="34" s="1"/>
  <c r="AE1104" i="34"/>
  <c r="AH1103" i="34"/>
  <c r="AJ1103" i="34" s="1"/>
  <c r="AK1103" i="34" s="1"/>
  <c r="AG1103" i="34"/>
  <c r="AF1103" i="34"/>
  <c r="AI1103" i="34" s="1"/>
  <c r="AE1103" i="34"/>
  <c r="AH1106" i="34"/>
  <c r="AJ1106" i="34" s="1"/>
  <c r="AK1106" i="34" s="1"/>
  <c r="AG1106" i="34"/>
  <c r="AF1106" i="34"/>
  <c r="AI1106" i="34" s="1"/>
  <c r="AH1098" i="34"/>
  <c r="AJ1098" i="34" s="1"/>
  <c r="AK1098" i="34" s="1"/>
  <c r="AG1098" i="34"/>
  <c r="AF1098" i="34"/>
  <c r="AE1098" i="34"/>
  <c r="AH1097" i="34"/>
  <c r="AG1097" i="34"/>
  <c r="AF1097" i="34"/>
  <c r="AE1097" i="34"/>
  <c r="AH1095" i="34"/>
  <c r="AG1095" i="34"/>
  <c r="AF1095" i="34"/>
  <c r="AI1095" i="34" s="1"/>
  <c r="AE1095" i="34"/>
  <c r="AH1094" i="34"/>
  <c r="AJ1094" i="34" s="1"/>
  <c r="AG1094" i="34"/>
  <c r="AF1094" i="34"/>
  <c r="AF1093" i="34" s="1"/>
  <c r="AE1094" i="34"/>
  <c r="AH1092" i="34"/>
  <c r="AG1092" i="34"/>
  <c r="AG1107" i="34" s="1"/>
  <c r="AF1092" i="34"/>
  <c r="AI1092" i="34" s="1"/>
  <c r="AI1107" i="34" s="1"/>
  <c r="AE1092" i="34"/>
  <c r="AE1107" i="34" s="1"/>
  <c r="AH1091" i="34"/>
  <c r="AJ1091" i="34" s="1"/>
  <c r="AJ1081" i="34" s="1"/>
  <c r="AG1091" i="34"/>
  <c r="AF1091" i="34"/>
  <c r="AE1091" i="34"/>
  <c r="AE1081" i="34" s="1"/>
  <c r="AH1090" i="34"/>
  <c r="AG1090" i="34"/>
  <c r="AF1090" i="34"/>
  <c r="AI1090" i="34" s="1"/>
  <c r="AE1090" i="34"/>
  <c r="AH1088" i="34"/>
  <c r="AG1088" i="34"/>
  <c r="AF1088" i="34"/>
  <c r="AI1088" i="34" s="1"/>
  <c r="AE1088" i="34"/>
  <c r="AH1087" i="34"/>
  <c r="AJ1087" i="34" s="1"/>
  <c r="AK1087" i="34" s="1"/>
  <c r="AG1087" i="34"/>
  <c r="AF1087" i="34"/>
  <c r="AI1087" i="34" s="1"/>
  <c r="AE1087" i="34"/>
  <c r="AE1086" i="34" s="1"/>
  <c r="AH1085" i="34"/>
  <c r="AG1085" i="34"/>
  <c r="AF1085" i="34"/>
  <c r="AI1085" i="34" s="1"/>
  <c r="AE1085" i="34"/>
  <c r="AH1084" i="34"/>
  <c r="AG1084" i="34"/>
  <c r="AG1083" i="34" s="1"/>
  <c r="AF1084" i="34"/>
  <c r="AE1084" i="34"/>
  <c r="AK1078" i="34"/>
  <c r="AJ1078" i="34"/>
  <c r="AI1078" i="34"/>
  <c r="AH1078" i="34"/>
  <c r="AG1078" i="34"/>
  <c r="AF1078" i="34"/>
  <c r="AE1078" i="34"/>
  <c r="AH1074" i="34"/>
  <c r="AJ1074" i="34" s="1"/>
  <c r="AK1074" i="34" s="1"/>
  <c r="AG1074" i="34"/>
  <c r="AF1074" i="34"/>
  <c r="AI1074" i="34" s="1"/>
  <c r="AE1074" i="34"/>
  <c r="AH1073" i="34"/>
  <c r="AJ1073" i="34" s="1"/>
  <c r="AK1073" i="34" s="1"/>
  <c r="AG1073" i="34"/>
  <c r="AF1073" i="34"/>
  <c r="AI1073" i="34" s="1"/>
  <c r="AE1073" i="34"/>
  <c r="AH1072" i="34"/>
  <c r="AJ1072" i="34" s="1"/>
  <c r="AK1072" i="34" s="1"/>
  <c r="AG1072" i="34"/>
  <c r="AF1072" i="34"/>
  <c r="AI1072" i="34" s="1"/>
  <c r="AE1072" i="34"/>
  <c r="AH1071" i="34"/>
  <c r="AJ1071" i="34" s="1"/>
  <c r="AK1071" i="34" s="1"/>
  <c r="AG1071" i="34"/>
  <c r="AF1071" i="34"/>
  <c r="AI1071" i="34" s="1"/>
  <c r="AE1071" i="34"/>
  <c r="AH1070" i="34"/>
  <c r="AJ1070" i="34" s="1"/>
  <c r="AK1070" i="34" s="1"/>
  <c r="AG1070" i="34"/>
  <c r="AF1070" i="34"/>
  <c r="AI1070" i="34" s="1"/>
  <c r="AE1070" i="34"/>
  <c r="AH1069" i="34"/>
  <c r="AG1069" i="34"/>
  <c r="AF1069" i="34"/>
  <c r="AE1069" i="34"/>
  <c r="AH1068" i="34"/>
  <c r="AJ1068" i="34" s="1"/>
  <c r="AK1068" i="34" s="1"/>
  <c r="AG1068" i="34"/>
  <c r="AF1068" i="34"/>
  <c r="AI1068" i="34" s="1"/>
  <c r="AE1068" i="34"/>
  <c r="AH1065" i="34"/>
  <c r="AJ1065" i="34" s="1"/>
  <c r="AK1065" i="34" s="1"/>
  <c r="AG1065" i="34"/>
  <c r="AF1065" i="34"/>
  <c r="AI1065" i="34" s="1"/>
  <c r="AE1065" i="34"/>
  <c r="AH1064" i="34"/>
  <c r="AJ1064" i="34" s="1"/>
  <c r="AK1064" i="34" s="1"/>
  <c r="AG1064" i="34"/>
  <c r="AF1064" i="34"/>
  <c r="AI1064" i="34" s="1"/>
  <c r="AE1064" i="34"/>
  <c r="AH1063" i="34"/>
  <c r="AJ1063" i="34" s="1"/>
  <c r="AK1063" i="34" s="1"/>
  <c r="AG1063" i="34"/>
  <c r="AF1063" i="34"/>
  <c r="AI1063" i="34" s="1"/>
  <c r="AE1063" i="34"/>
  <c r="AH1062" i="34"/>
  <c r="AJ1062" i="34" s="1"/>
  <c r="AG1062" i="34"/>
  <c r="AF1062" i="34"/>
  <c r="AI1062" i="34" s="1"/>
  <c r="AE1062" i="34"/>
  <c r="AH1060" i="34"/>
  <c r="AJ1060" i="34" s="1"/>
  <c r="AK1060" i="34" s="1"/>
  <c r="AG1060" i="34"/>
  <c r="AF1060" i="34"/>
  <c r="AI1060" i="34" s="1"/>
  <c r="AE1060" i="34"/>
  <c r="AH1059" i="34"/>
  <c r="AJ1059" i="34" s="1"/>
  <c r="AK1059" i="34" s="1"/>
  <c r="AG1059" i="34"/>
  <c r="AF1059" i="34"/>
  <c r="AI1059" i="34" s="1"/>
  <c r="AE1059" i="34"/>
  <c r="AH1058" i="34"/>
  <c r="AJ1058" i="34" s="1"/>
  <c r="AK1058" i="34" s="1"/>
  <c r="AG1058" i="34"/>
  <c r="AF1058" i="34"/>
  <c r="AI1058" i="34" s="1"/>
  <c r="AE1058" i="34"/>
  <c r="AH1057" i="34"/>
  <c r="AJ1057" i="34" s="1"/>
  <c r="AK1057" i="34" s="1"/>
  <c r="AG1057" i="34"/>
  <c r="AF1057" i="34"/>
  <c r="AI1057" i="34" s="1"/>
  <c r="AE1057" i="34"/>
  <c r="AH1056" i="34"/>
  <c r="AH1055" i="34" s="1"/>
  <c r="AG1056" i="34"/>
  <c r="AF1056" i="34"/>
  <c r="AI1056" i="34" s="1"/>
  <c r="AE1056" i="34"/>
  <c r="AE1055" i="34" s="1"/>
  <c r="AH1054" i="34"/>
  <c r="AJ1054" i="34" s="1"/>
  <c r="AK1054" i="34" s="1"/>
  <c r="AG1054" i="34"/>
  <c r="AF1054" i="34"/>
  <c r="AI1054" i="34" s="1"/>
  <c r="AE1054" i="34"/>
  <c r="AH1053" i="34"/>
  <c r="AJ1053" i="34" s="1"/>
  <c r="AK1053" i="34" s="1"/>
  <c r="AG1053" i="34"/>
  <c r="AF1053" i="34"/>
  <c r="AI1053" i="34" s="1"/>
  <c r="AE1053" i="34"/>
  <c r="AH1052" i="34"/>
  <c r="AJ1052" i="34" s="1"/>
  <c r="AK1052" i="34" s="1"/>
  <c r="AG1052" i="34"/>
  <c r="AF1052" i="34"/>
  <c r="AI1052" i="34" s="1"/>
  <c r="AE1052" i="34"/>
  <c r="AH1051" i="34"/>
  <c r="AJ1051" i="34" s="1"/>
  <c r="AG1051" i="34"/>
  <c r="AF1051" i="34"/>
  <c r="AI1051" i="34" s="1"/>
  <c r="AE1051" i="34"/>
  <c r="AH1049" i="34"/>
  <c r="AJ1049" i="34" s="1"/>
  <c r="AK1049" i="34" s="1"/>
  <c r="AG1049" i="34"/>
  <c r="AF1049" i="34"/>
  <c r="AI1049" i="34" s="1"/>
  <c r="AE1049" i="34"/>
  <c r="AH1048" i="34"/>
  <c r="AJ1048" i="34" s="1"/>
  <c r="AK1048" i="34" s="1"/>
  <c r="AG1048" i="34"/>
  <c r="AF1048" i="34"/>
  <c r="AI1048" i="34" s="1"/>
  <c r="AE1048" i="34"/>
  <c r="AH1047" i="34"/>
  <c r="AG1047" i="34"/>
  <c r="AF1047" i="34"/>
  <c r="AI1047" i="34" s="1"/>
  <c r="AE1047" i="34"/>
  <c r="AH1046" i="34"/>
  <c r="AJ1046" i="34" s="1"/>
  <c r="AK1046" i="34" s="1"/>
  <c r="AG1046" i="34"/>
  <c r="AF1046" i="34"/>
  <c r="AI1046" i="34" s="1"/>
  <c r="AE1046" i="34"/>
  <c r="AH1045" i="34"/>
  <c r="AJ1045" i="34" s="1"/>
  <c r="AG1045" i="34"/>
  <c r="AF1045" i="34"/>
  <c r="AE1045" i="34"/>
  <c r="AH1043" i="34"/>
  <c r="AJ1043" i="34" s="1"/>
  <c r="AK1043" i="34" s="1"/>
  <c r="AG1043" i="34"/>
  <c r="AF1043" i="34"/>
  <c r="AI1043" i="34" s="1"/>
  <c r="AE1043" i="34"/>
  <c r="AH1042" i="34"/>
  <c r="AJ1042" i="34" s="1"/>
  <c r="AK1042" i="34" s="1"/>
  <c r="AG1042" i="34"/>
  <c r="AF1042" i="34"/>
  <c r="AI1042" i="34" s="1"/>
  <c r="AE1042" i="34"/>
  <c r="AH1041" i="34"/>
  <c r="AJ1041" i="34" s="1"/>
  <c r="AK1041" i="34" s="1"/>
  <c r="AG1041" i="34"/>
  <c r="AF1041" i="34"/>
  <c r="AI1041" i="34" s="1"/>
  <c r="AE1041" i="34"/>
  <c r="AH1040" i="34"/>
  <c r="AJ1040" i="34" s="1"/>
  <c r="AK1040" i="34" s="1"/>
  <c r="AG1040" i="34"/>
  <c r="AF1040" i="34"/>
  <c r="AI1040" i="34" s="1"/>
  <c r="AE1040" i="34"/>
  <c r="AH1035" i="34"/>
  <c r="AJ1035" i="34" s="1"/>
  <c r="AK1035" i="34" s="1"/>
  <c r="AG1035" i="34"/>
  <c r="AF1035" i="34"/>
  <c r="AI1035" i="34" s="1"/>
  <c r="AE1035" i="34"/>
  <c r="AH1034" i="34"/>
  <c r="AJ1034" i="34" s="1"/>
  <c r="AK1034" i="34" s="1"/>
  <c r="AG1034" i="34"/>
  <c r="AF1034" i="34"/>
  <c r="AI1034" i="34" s="1"/>
  <c r="AE1034" i="34"/>
  <c r="AH1033" i="34"/>
  <c r="AJ1033" i="34" s="1"/>
  <c r="AK1033" i="34" s="1"/>
  <c r="AG1033" i="34"/>
  <c r="AF1033" i="34"/>
  <c r="AI1033" i="34" s="1"/>
  <c r="AE1033" i="34"/>
  <c r="AH1032" i="34"/>
  <c r="AJ1032" i="34" s="1"/>
  <c r="AG1032" i="34"/>
  <c r="AG1031" i="34" s="1"/>
  <c r="AF1032" i="34"/>
  <c r="AE1032" i="34"/>
  <c r="AH1030" i="34"/>
  <c r="AJ1030" i="34" s="1"/>
  <c r="AK1030" i="34" s="1"/>
  <c r="AG1030" i="34"/>
  <c r="AF1030" i="34"/>
  <c r="AI1030" i="34" s="1"/>
  <c r="AE1030" i="34"/>
  <c r="AH1029" i="34"/>
  <c r="AJ1029" i="34" s="1"/>
  <c r="AK1029" i="34" s="1"/>
  <c r="AG1029" i="34"/>
  <c r="AF1029" i="34"/>
  <c r="AI1029" i="34" s="1"/>
  <c r="AE1029" i="34"/>
  <c r="AH1028" i="34"/>
  <c r="AJ1028" i="34" s="1"/>
  <c r="AK1028" i="34" s="1"/>
  <c r="AG1028" i="34"/>
  <c r="AF1028" i="34"/>
  <c r="AI1028" i="34" s="1"/>
  <c r="AE1028" i="34"/>
  <c r="AH1027" i="34"/>
  <c r="AJ1027" i="34" s="1"/>
  <c r="AK1027" i="34" s="1"/>
  <c r="AG1027" i="34"/>
  <c r="AF1027" i="34"/>
  <c r="AI1027" i="34" s="1"/>
  <c r="AE1027" i="34"/>
  <c r="AH1026" i="34"/>
  <c r="AG1026" i="34"/>
  <c r="AF1026" i="34"/>
  <c r="AI1026" i="34" s="1"/>
  <c r="AE1026" i="34"/>
  <c r="AH1024" i="34"/>
  <c r="AJ1024" i="34" s="1"/>
  <c r="AK1024" i="34" s="1"/>
  <c r="AG1024" i="34"/>
  <c r="AF1024" i="34"/>
  <c r="AI1024" i="34" s="1"/>
  <c r="AE1024" i="34"/>
  <c r="AH1023" i="34"/>
  <c r="AJ1023" i="34" s="1"/>
  <c r="AK1023" i="34" s="1"/>
  <c r="AG1023" i="34"/>
  <c r="AF1023" i="34"/>
  <c r="AI1023" i="34" s="1"/>
  <c r="AE1023" i="34"/>
  <c r="AH1022" i="34"/>
  <c r="AJ1022" i="34" s="1"/>
  <c r="AK1022" i="34" s="1"/>
  <c r="AG1022" i="34"/>
  <c r="AF1022" i="34"/>
  <c r="AI1022" i="34" s="1"/>
  <c r="AE1022" i="34"/>
  <c r="AH1021" i="34"/>
  <c r="AJ1021" i="34" s="1"/>
  <c r="AG1021" i="34"/>
  <c r="AF1021" i="34"/>
  <c r="AI1021" i="34" s="1"/>
  <c r="AE1021" i="34"/>
  <c r="AH1019" i="34"/>
  <c r="AJ1019" i="34" s="1"/>
  <c r="AK1019" i="34" s="1"/>
  <c r="AG1019" i="34"/>
  <c r="AF1019" i="34"/>
  <c r="AI1019" i="34" s="1"/>
  <c r="AE1019" i="34"/>
  <c r="AH1018" i="34"/>
  <c r="AJ1018" i="34" s="1"/>
  <c r="AK1018" i="34" s="1"/>
  <c r="AG1018" i="34"/>
  <c r="AF1018" i="34"/>
  <c r="AI1018" i="34" s="1"/>
  <c r="AE1018" i="34"/>
  <c r="AH1017" i="34"/>
  <c r="AJ1017" i="34" s="1"/>
  <c r="AK1017" i="34" s="1"/>
  <c r="AG1017" i="34"/>
  <c r="AF1017" i="34"/>
  <c r="AI1017" i="34" s="1"/>
  <c r="AE1017" i="34"/>
  <c r="AH1016" i="34"/>
  <c r="AG1016" i="34"/>
  <c r="AF1016" i="34"/>
  <c r="AI1016" i="34" s="1"/>
  <c r="AE1016" i="34"/>
  <c r="AH1015" i="34"/>
  <c r="AJ1015" i="34" s="1"/>
  <c r="AG1015" i="34"/>
  <c r="AF1015" i="34"/>
  <c r="AE1015" i="34"/>
  <c r="AE1014" i="34" s="1"/>
  <c r="AH1013" i="34"/>
  <c r="AJ1013" i="34" s="1"/>
  <c r="AK1013" i="34" s="1"/>
  <c r="AG1013" i="34"/>
  <c r="AF1013" i="34"/>
  <c r="AI1013" i="34" s="1"/>
  <c r="AE1013" i="34"/>
  <c r="AH1012" i="34"/>
  <c r="AJ1012" i="34" s="1"/>
  <c r="AK1012" i="34" s="1"/>
  <c r="AG1012" i="34"/>
  <c r="AF1012" i="34"/>
  <c r="AI1012" i="34" s="1"/>
  <c r="AE1012" i="34"/>
  <c r="AH1011" i="34"/>
  <c r="AJ1011" i="34" s="1"/>
  <c r="AK1011" i="34" s="1"/>
  <c r="AG1011" i="34"/>
  <c r="AF1011" i="34"/>
  <c r="AE1011" i="34"/>
  <c r="AH1010" i="34"/>
  <c r="AJ1010" i="34" s="1"/>
  <c r="AG1010" i="34"/>
  <c r="AF1010" i="34"/>
  <c r="AI1010" i="34" s="1"/>
  <c r="AE1010" i="34"/>
  <c r="AH1005" i="34"/>
  <c r="AJ1005" i="34" s="1"/>
  <c r="AK1005" i="34" s="1"/>
  <c r="AG1005" i="34"/>
  <c r="AF1005" i="34"/>
  <c r="AI1005" i="34" s="1"/>
  <c r="AE1005" i="34"/>
  <c r="AH1004" i="34"/>
  <c r="AJ1004" i="34" s="1"/>
  <c r="AK1004" i="34" s="1"/>
  <c r="AG1004" i="34"/>
  <c r="AF1004" i="34"/>
  <c r="AI1004" i="34" s="1"/>
  <c r="AE1004" i="34"/>
  <c r="AH1003" i="34"/>
  <c r="AG1003" i="34"/>
  <c r="AF1003" i="34"/>
  <c r="AI1003" i="34" s="1"/>
  <c r="AE1003" i="34"/>
  <c r="AH1002" i="34"/>
  <c r="AJ1002" i="34" s="1"/>
  <c r="AK1002" i="34" s="1"/>
  <c r="AG1002" i="34"/>
  <c r="AF1002" i="34"/>
  <c r="AI1002" i="34" s="1"/>
  <c r="AE1002" i="34"/>
  <c r="AE1001" i="34" s="1"/>
  <c r="AH1000" i="34"/>
  <c r="AJ1000" i="34" s="1"/>
  <c r="AK1000" i="34" s="1"/>
  <c r="AG1000" i="34"/>
  <c r="AF1000" i="34"/>
  <c r="AI1000" i="34" s="1"/>
  <c r="AE1000" i="34"/>
  <c r="AH999" i="34"/>
  <c r="AJ999" i="34" s="1"/>
  <c r="AK999" i="34" s="1"/>
  <c r="AG999" i="34"/>
  <c r="AF999" i="34"/>
  <c r="AI999" i="34" s="1"/>
  <c r="AE999" i="34"/>
  <c r="AH998" i="34"/>
  <c r="AJ998" i="34" s="1"/>
  <c r="AK998" i="34" s="1"/>
  <c r="AG998" i="34"/>
  <c r="AF998" i="34"/>
  <c r="AI998" i="34" s="1"/>
  <c r="AE998" i="34"/>
  <c r="AH997" i="34"/>
  <c r="AJ997" i="34" s="1"/>
  <c r="AK997" i="34" s="1"/>
  <c r="AG997" i="34"/>
  <c r="AF997" i="34"/>
  <c r="AE997" i="34"/>
  <c r="AH996" i="34"/>
  <c r="AJ996" i="34" s="1"/>
  <c r="AG996" i="34"/>
  <c r="AF996" i="34"/>
  <c r="AI996" i="34" s="1"/>
  <c r="AE996" i="34"/>
  <c r="AH994" i="34"/>
  <c r="AJ994" i="34" s="1"/>
  <c r="AK994" i="34" s="1"/>
  <c r="AG994" i="34"/>
  <c r="AF994" i="34"/>
  <c r="AE994" i="34"/>
  <c r="AH993" i="34"/>
  <c r="AJ993" i="34" s="1"/>
  <c r="AK993" i="34" s="1"/>
  <c r="AG993" i="34"/>
  <c r="AF993" i="34"/>
  <c r="AI993" i="34" s="1"/>
  <c r="AE993" i="34"/>
  <c r="AH992" i="34"/>
  <c r="AJ992" i="34" s="1"/>
  <c r="AK992" i="34" s="1"/>
  <c r="AG992" i="34"/>
  <c r="AF992" i="34"/>
  <c r="AI992" i="34" s="1"/>
  <c r="AE992" i="34"/>
  <c r="AH991" i="34"/>
  <c r="AJ991" i="34" s="1"/>
  <c r="AK991" i="34" s="1"/>
  <c r="AG991" i="34"/>
  <c r="AF991" i="34"/>
  <c r="AI991" i="34" s="1"/>
  <c r="AE991" i="34"/>
  <c r="AE990" i="34" s="1"/>
  <c r="AH989" i="34"/>
  <c r="AJ989" i="34" s="1"/>
  <c r="AK989" i="34" s="1"/>
  <c r="AG989" i="34"/>
  <c r="AF989" i="34"/>
  <c r="AI989" i="34" s="1"/>
  <c r="AE989" i="34"/>
  <c r="AH988" i="34"/>
  <c r="AJ988" i="34" s="1"/>
  <c r="AK988" i="34" s="1"/>
  <c r="AG988" i="34"/>
  <c r="AF988" i="34"/>
  <c r="AI988" i="34" s="1"/>
  <c r="AE988" i="34"/>
  <c r="AH987" i="34"/>
  <c r="AJ987" i="34" s="1"/>
  <c r="AK987" i="34" s="1"/>
  <c r="AG987" i="34"/>
  <c r="AF987" i="34"/>
  <c r="AI987" i="34" s="1"/>
  <c r="AE987" i="34"/>
  <c r="AH986" i="34"/>
  <c r="AJ986" i="34" s="1"/>
  <c r="AK986" i="34" s="1"/>
  <c r="AG986" i="34"/>
  <c r="AF986" i="34"/>
  <c r="AI986" i="34" s="1"/>
  <c r="AE986" i="34"/>
  <c r="AH985" i="34"/>
  <c r="AG985" i="34"/>
  <c r="AF985" i="34"/>
  <c r="AI985" i="34" s="1"/>
  <c r="AE985" i="34"/>
  <c r="AH983" i="34"/>
  <c r="AJ983" i="34" s="1"/>
  <c r="AK983" i="34" s="1"/>
  <c r="AG983" i="34"/>
  <c r="AF983" i="34"/>
  <c r="AI983" i="34" s="1"/>
  <c r="AE983" i="34"/>
  <c r="AH982" i="34"/>
  <c r="AJ982" i="34" s="1"/>
  <c r="AK982" i="34" s="1"/>
  <c r="AG982" i="34"/>
  <c r="AF982" i="34"/>
  <c r="AI982" i="34" s="1"/>
  <c r="AE982" i="34"/>
  <c r="AH981" i="34"/>
  <c r="AJ981" i="34" s="1"/>
  <c r="AG981" i="34"/>
  <c r="AF981" i="34"/>
  <c r="AI981" i="34" s="1"/>
  <c r="AE981" i="34"/>
  <c r="AH980" i="34"/>
  <c r="AJ980" i="34" s="1"/>
  <c r="AK980" i="34" s="1"/>
  <c r="AG980" i="34"/>
  <c r="AF980" i="34"/>
  <c r="AI980" i="34" s="1"/>
  <c r="AE980" i="34"/>
  <c r="AH975" i="34"/>
  <c r="AJ975" i="34" s="1"/>
  <c r="AK975" i="34" s="1"/>
  <c r="AG975" i="34"/>
  <c r="AF975" i="34"/>
  <c r="AI975" i="34" s="1"/>
  <c r="AE975" i="34"/>
  <c r="AH974" i="34"/>
  <c r="AJ974" i="34" s="1"/>
  <c r="AK974" i="34" s="1"/>
  <c r="AG974" i="34"/>
  <c r="AF974" i="34"/>
  <c r="AI974" i="34" s="1"/>
  <c r="AE974" i="34"/>
  <c r="AH973" i="34"/>
  <c r="AJ973" i="34" s="1"/>
  <c r="AK973" i="34" s="1"/>
  <c r="AG973" i="34"/>
  <c r="AF973" i="34"/>
  <c r="AI973" i="34" s="1"/>
  <c r="AE973" i="34"/>
  <c r="AH972" i="34"/>
  <c r="AJ972" i="34" s="1"/>
  <c r="AK972" i="34" s="1"/>
  <c r="AG972" i="34"/>
  <c r="AF972" i="34"/>
  <c r="AE972" i="34"/>
  <c r="AE971" i="34" s="1"/>
  <c r="AH970" i="34"/>
  <c r="AJ970" i="34" s="1"/>
  <c r="AK970" i="34" s="1"/>
  <c r="AG970" i="34"/>
  <c r="AF970" i="34"/>
  <c r="AI970" i="34" s="1"/>
  <c r="AE970" i="34"/>
  <c r="AH969" i="34"/>
  <c r="AJ969" i="34" s="1"/>
  <c r="AG969" i="34"/>
  <c r="AF969" i="34"/>
  <c r="AI969" i="34" s="1"/>
  <c r="AE969" i="34"/>
  <c r="AH968" i="34"/>
  <c r="AJ968" i="34" s="1"/>
  <c r="AK968" i="34" s="1"/>
  <c r="AG968" i="34"/>
  <c r="AF968" i="34"/>
  <c r="AE968" i="34"/>
  <c r="AH967" i="34"/>
  <c r="AJ967" i="34" s="1"/>
  <c r="AK967" i="34" s="1"/>
  <c r="AG967" i="34"/>
  <c r="AF967" i="34"/>
  <c r="AI967" i="34" s="1"/>
  <c r="AE967" i="34"/>
  <c r="AH966" i="34"/>
  <c r="AJ966" i="34" s="1"/>
  <c r="AK966" i="34" s="1"/>
  <c r="AG966" i="34"/>
  <c r="AG965" i="34" s="1"/>
  <c r="AF966" i="34"/>
  <c r="AI966" i="34" s="1"/>
  <c r="AE966" i="34"/>
  <c r="AH964" i="34"/>
  <c r="AJ964" i="34" s="1"/>
  <c r="AK964" i="34" s="1"/>
  <c r="AG964" i="34"/>
  <c r="AF964" i="34"/>
  <c r="AI964" i="34" s="1"/>
  <c r="AE964" i="34"/>
  <c r="AH963" i="34"/>
  <c r="AJ963" i="34" s="1"/>
  <c r="AK963" i="34" s="1"/>
  <c r="AG963" i="34"/>
  <c r="AF963" i="34"/>
  <c r="AI963" i="34" s="1"/>
  <c r="AE963" i="34"/>
  <c r="AH962" i="34"/>
  <c r="AJ962" i="34" s="1"/>
  <c r="AK962" i="34" s="1"/>
  <c r="AG962" i="34"/>
  <c r="AF962" i="34"/>
  <c r="AI962" i="34" s="1"/>
  <c r="AE962" i="34"/>
  <c r="AH961" i="34"/>
  <c r="AJ961" i="34" s="1"/>
  <c r="AK961" i="34" s="1"/>
  <c r="AK960" i="34" s="1"/>
  <c r="AG961" i="34"/>
  <c r="AF961" i="34"/>
  <c r="AI961" i="34" s="1"/>
  <c r="AE961" i="34"/>
  <c r="AH959" i="34"/>
  <c r="AJ959" i="34" s="1"/>
  <c r="AK959" i="34" s="1"/>
  <c r="AG959" i="34"/>
  <c r="AF959" i="34"/>
  <c r="AI959" i="34" s="1"/>
  <c r="AE959" i="34"/>
  <c r="AH958" i="34"/>
  <c r="AJ958" i="34" s="1"/>
  <c r="AK958" i="34" s="1"/>
  <c r="AG958" i="34"/>
  <c r="AF958" i="34"/>
  <c r="AI958" i="34" s="1"/>
  <c r="AE958" i="34"/>
  <c r="AH957" i="34"/>
  <c r="AJ957" i="34" s="1"/>
  <c r="AK957" i="34" s="1"/>
  <c r="AG957" i="34"/>
  <c r="AF957" i="34"/>
  <c r="AI957" i="34" s="1"/>
  <c r="AE957" i="34"/>
  <c r="AH956" i="34"/>
  <c r="AJ956" i="34" s="1"/>
  <c r="AK956" i="34" s="1"/>
  <c r="AG956" i="34"/>
  <c r="AF956" i="34"/>
  <c r="AI956" i="34" s="1"/>
  <c r="AE956" i="34"/>
  <c r="AH955" i="34"/>
  <c r="AG955" i="34"/>
  <c r="AF955" i="34"/>
  <c r="AI955" i="34" s="1"/>
  <c r="AE955" i="34"/>
  <c r="AH953" i="34"/>
  <c r="AJ953" i="34" s="1"/>
  <c r="AK953" i="34" s="1"/>
  <c r="AG953" i="34"/>
  <c r="AF953" i="34"/>
  <c r="AI953" i="34" s="1"/>
  <c r="AE953" i="34"/>
  <c r="AH952" i="34"/>
  <c r="AJ952" i="34" s="1"/>
  <c r="AK952" i="34" s="1"/>
  <c r="AG952" i="34"/>
  <c r="AF952" i="34"/>
  <c r="AI952" i="34" s="1"/>
  <c r="AE952" i="34"/>
  <c r="AH951" i="34"/>
  <c r="AJ951" i="34" s="1"/>
  <c r="AG951" i="34"/>
  <c r="AF951" i="34"/>
  <c r="AI951" i="34" s="1"/>
  <c r="AE951" i="34"/>
  <c r="AH950" i="34"/>
  <c r="AJ950" i="34" s="1"/>
  <c r="AK950" i="34" s="1"/>
  <c r="AG950" i="34"/>
  <c r="AF950" i="34"/>
  <c r="AE950" i="34"/>
  <c r="AH945" i="34"/>
  <c r="AJ945" i="34" s="1"/>
  <c r="AK945" i="34" s="1"/>
  <c r="AG945" i="34"/>
  <c r="AF945" i="34"/>
  <c r="AI945" i="34" s="1"/>
  <c r="AE945" i="34"/>
  <c r="AH944" i="34"/>
  <c r="AJ944" i="34" s="1"/>
  <c r="AK944" i="34" s="1"/>
  <c r="AG944" i="34"/>
  <c r="AF944" i="34"/>
  <c r="AI944" i="34" s="1"/>
  <c r="AE944" i="34"/>
  <c r="AH943" i="34"/>
  <c r="AJ943" i="34" s="1"/>
  <c r="AK943" i="34" s="1"/>
  <c r="AG943" i="34"/>
  <c r="AF943" i="34"/>
  <c r="AI943" i="34" s="1"/>
  <c r="AE943" i="34"/>
  <c r="AH942" i="34"/>
  <c r="AJ942" i="34" s="1"/>
  <c r="AK942" i="34" s="1"/>
  <c r="AG942" i="34"/>
  <c r="AF942" i="34"/>
  <c r="AI942" i="34" s="1"/>
  <c r="AE942" i="34"/>
  <c r="AE941" i="34" s="1"/>
  <c r="AH940" i="34"/>
  <c r="AJ940" i="34" s="1"/>
  <c r="AK940" i="34" s="1"/>
  <c r="AG940" i="34"/>
  <c r="AF940" i="34"/>
  <c r="AI940" i="34" s="1"/>
  <c r="AE940" i="34"/>
  <c r="AH939" i="34"/>
  <c r="AJ939" i="34" s="1"/>
  <c r="AG939" i="34"/>
  <c r="AF939" i="34"/>
  <c r="AI939" i="34" s="1"/>
  <c r="AE939" i="34"/>
  <c r="AH938" i="34"/>
  <c r="AJ938" i="34" s="1"/>
  <c r="AK938" i="34" s="1"/>
  <c r="AG938" i="34"/>
  <c r="AF938" i="34"/>
  <c r="AE938" i="34"/>
  <c r="AH937" i="34"/>
  <c r="AJ937" i="34" s="1"/>
  <c r="AK937" i="34" s="1"/>
  <c r="AG937" i="34"/>
  <c r="AF937" i="34"/>
  <c r="AI937" i="34" s="1"/>
  <c r="AE937" i="34"/>
  <c r="AH936" i="34"/>
  <c r="AJ936" i="34" s="1"/>
  <c r="AK936" i="34" s="1"/>
  <c r="AG936" i="34"/>
  <c r="AF936" i="34"/>
  <c r="AI936" i="34" s="1"/>
  <c r="AE936" i="34"/>
  <c r="AH934" i="34"/>
  <c r="AJ934" i="34" s="1"/>
  <c r="AK934" i="34" s="1"/>
  <c r="AG934" i="34"/>
  <c r="AF934" i="34"/>
  <c r="AI934" i="34" s="1"/>
  <c r="AE934" i="34"/>
  <c r="AH933" i="34"/>
  <c r="AJ933" i="34" s="1"/>
  <c r="AK933" i="34" s="1"/>
  <c r="AG933" i="34"/>
  <c r="AF933" i="34"/>
  <c r="AI933" i="34" s="1"/>
  <c r="AE933" i="34"/>
  <c r="AH932" i="34"/>
  <c r="AJ932" i="34" s="1"/>
  <c r="AK932" i="34" s="1"/>
  <c r="AG932" i="34"/>
  <c r="AF932" i="34"/>
  <c r="AI932" i="34" s="1"/>
  <c r="AE932" i="34"/>
  <c r="AH931" i="34"/>
  <c r="AJ931" i="34" s="1"/>
  <c r="AK931" i="34" s="1"/>
  <c r="AG931" i="34"/>
  <c r="AG930" i="34" s="1"/>
  <c r="AF931" i="34"/>
  <c r="AE931" i="34"/>
  <c r="AH929" i="34"/>
  <c r="AJ929" i="34" s="1"/>
  <c r="AK929" i="34" s="1"/>
  <c r="AG929" i="34"/>
  <c r="AF929" i="34"/>
  <c r="AI929" i="34" s="1"/>
  <c r="AE929" i="34"/>
  <c r="AH928" i="34"/>
  <c r="AJ928" i="34" s="1"/>
  <c r="AK928" i="34" s="1"/>
  <c r="AG928" i="34"/>
  <c r="AF928" i="34"/>
  <c r="AI928" i="34" s="1"/>
  <c r="AE928" i="34"/>
  <c r="AH927" i="34"/>
  <c r="AJ927" i="34" s="1"/>
  <c r="AK927" i="34" s="1"/>
  <c r="AG927" i="34"/>
  <c r="AF927" i="34"/>
  <c r="AI927" i="34" s="1"/>
  <c r="AE927" i="34"/>
  <c r="AH926" i="34"/>
  <c r="AJ926" i="34" s="1"/>
  <c r="AK926" i="34" s="1"/>
  <c r="AG926" i="34"/>
  <c r="AF926" i="34"/>
  <c r="AI926" i="34" s="1"/>
  <c r="AE926" i="34"/>
  <c r="AH925" i="34"/>
  <c r="AG925" i="34"/>
  <c r="AF925" i="34"/>
  <c r="AI925" i="34" s="1"/>
  <c r="AE925" i="34"/>
  <c r="AH923" i="34"/>
  <c r="AJ923" i="34" s="1"/>
  <c r="AK923" i="34" s="1"/>
  <c r="AG923" i="34"/>
  <c r="AF923" i="34"/>
  <c r="AI923" i="34" s="1"/>
  <c r="AE923" i="34"/>
  <c r="AH922" i="34"/>
  <c r="AJ922" i="34" s="1"/>
  <c r="AK922" i="34" s="1"/>
  <c r="AG922" i="34"/>
  <c r="AF922" i="34"/>
  <c r="AI922" i="34" s="1"/>
  <c r="AE922" i="34"/>
  <c r="AH921" i="34"/>
  <c r="AJ921" i="34" s="1"/>
  <c r="AG921" i="34"/>
  <c r="AF921" i="34"/>
  <c r="AI921" i="34" s="1"/>
  <c r="AE921" i="34"/>
  <c r="AH920" i="34"/>
  <c r="AJ920" i="34" s="1"/>
  <c r="AK920" i="34" s="1"/>
  <c r="AG920" i="34"/>
  <c r="AF920" i="34"/>
  <c r="AE920" i="34"/>
  <c r="AE914" i="34"/>
  <c r="AE913" i="34"/>
  <c r="AH913" i="34"/>
  <c r="AJ913" i="34" s="1"/>
  <c r="AK913" i="34" s="1"/>
  <c r="AG913" i="34"/>
  <c r="AF913" i="34"/>
  <c r="AI913" i="34" s="1"/>
  <c r="AG912" i="34"/>
  <c r="AF912" i="34"/>
  <c r="AI912" i="34" s="1"/>
  <c r="AH912" i="34"/>
  <c r="AJ912" i="34" s="1"/>
  <c r="AE912" i="34"/>
  <c r="AE911" i="34"/>
  <c r="AH911" i="34"/>
  <c r="AJ911" i="34" s="1"/>
  <c r="AK911" i="34" s="1"/>
  <c r="AF911" i="34"/>
  <c r="AH909" i="34"/>
  <c r="AJ909" i="34" s="1"/>
  <c r="AK909" i="34" s="1"/>
  <c r="AG909" i="34"/>
  <c r="AF909" i="34"/>
  <c r="AI909" i="34" s="1"/>
  <c r="AE909" i="34"/>
  <c r="AH908" i="34"/>
  <c r="AJ908" i="34" s="1"/>
  <c r="AK908" i="34" s="1"/>
  <c r="AG908" i="34"/>
  <c r="AF908" i="34"/>
  <c r="AI908" i="34" s="1"/>
  <c r="AE908" i="34"/>
  <c r="AG907" i="34"/>
  <c r="AH907" i="34"/>
  <c r="AJ907" i="34" s="1"/>
  <c r="AK907" i="34" s="1"/>
  <c r="AF907" i="34"/>
  <c r="AI907" i="34" s="1"/>
  <c r="AE907" i="34"/>
  <c r="AH906" i="34"/>
  <c r="AJ906" i="34" s="1"/>
  <c r="AK906" i="34" s="1"/>
  <c r="AE906" i="34"/>
  <c r="AG906" i="34"/>
  <c r="AF906" i="34"/>
  <c r="AI906" i="34" s="1"/>
  <c r="AH905" i="34"/>
  <c r="AJ905" i="34" s="1"/>
  <c r="AG905" i="34"/>
  <c r="AF905" i="34"/>
  <c r="AI905" i="34" s="1"/>
  <c r="AE905" i="34"/>
  <c r="AE903" i="34"/>
  <c r="AH903" i="34"/>
  <c r="AJ903" i="34" s="1"/>
  <c r="AK903" i="34" s="1"/>
  <c r="AG903" i="34"/>
  <c r="AF903" i="34"/>
  <c r="AI903" i="34" s="1"/>
  <c r="AE902" i="34"/>
  <c r="AH902" i="34"/>
  <c r="AJ902" i="34" s="1"/>
  <c r="AK902" i="34" s="1"/>
  <c r="AG902" i="34"/>
  <c r="AF902" i="34"/>
  <c r="AE901" i="34"/>
  <c r="AH901" i="34"/>
  <c r="AJ901" i="34" s="1"/>
  <c r="AK901" i="34" s="1"/>
  <c r="AG901" i="34"/>
  <c r="AF901" i="34"/>
  <c r="AI901" i="34" s="1"/>
  <c r="AG900" i="34"/>
  <c r="AF900" i="34"/>
  <c r="AI900" i="34" s="1"/>
  <c r="AE900" i="34"/>
  <c r="AH898" i="34"/>
  <c r="AJ898" i="34" s="1"/>
  <c r="AK898" i="34" s="1"/>
  <c r="AE898" i="34"/>
  <c r="AG898" i="34"/>
  <c r="AF898" i="34"/>
  <c r="AI898" i="34" s="1"/>
  <c r="AH897" i="34"/>
  <c r="AJ897" i="34" s="1"/>
  <c r="AK897" i="34" s="1"/>
  <c r="AG897" i="34"/>
  <c r="AF897" i="34"/>
  <c r="AI897" i="34" s="1"/>
  <c r="AE897" i="34"/>
  <c r="AH896" i="34"/>
  <c r="AJ896" i="34" s="1"/>
  <c r="AK896" i="34" s="1"/>
  <c r="AG896" i="34"/>
  <c r="AF896" i="34"/>
  <c r="AI896" i="34" s="1"/>
  <c r="AE896" i="34"/>
  <c r="AE895" i="34"/>
  <c r="AH895" i="34"/>
  <c r="AJ895" i="34" s="1"/>
  <c r="AK895" i="34" s="1"/>
  <c r="AG895" i="34"/>
  <c r="AF895" i="34"/>
  <c r="AI895" i="34" s="1"/>
  <c r="AE894" i="34"/>
  <c r="AH894" i="34"/>
  <c r="AG894" i="34"/>
  <c r="AG892" i="34"/>
  <c r="AH892" i="34"/>
  <c r="AF892" i="34"/>
  <c r="AI892" i="34" s="1"/>
  <c r="AE892" i="34"/>
  <c r="AG891" i="34"/>
  <c r="AH891" i="34"/>
  <c r="AJ891" i="34" s="1"/>
  <c r="AK891" i="34" s="1"/>
  <c r="AF891" i="34"/>
  <c r="AI891" i="34" s="1"/>
  <c r="AE891" i="34"/>
  <c r="AH890" i="34"/>
  <c r="AJ890" i="34" s="1"/>
  <c r="AK890" i="34" s="1"/>
  <c r="AE890" i="34"/>
  <c r="AG890" i="34"/>
  <c r="AF890" i="34"/>
  <c r="AI890" i="34" s="1"/>
  <c r="AH889" i="34"/>
  <c r="AJ889" i="34" s="1"/>
  <c r="AK889" i="34" s="1"/>
  <c r="AG889" i="34"/>
  <c r="AF889" i="34"/>
  <c r="AE889" i="34"/>
  <c r="AH881" i="34"/>
  <c r="AG881" i="34"/>
  <c r="AF881" i="34"/>
  <c r="AE881" i="34"/>
  <c r="AH880" i="34"/>
  <c r="AG880" i="34"/>
  <c r="AF880" i="34"/>
  <c r="AE880" i="34"/>
  <c r="AH879" i="34"/>
  <c r="AG879" i="34"/>
  <c r="AF879" i="34"/>
  <c r="AE879" i="34"/>
  <c r="AH878" i="34"/>
  <c r="AG878" i="34"/>
  <c r="AG877" i="34" s="1"/>
  <c r="AF878" i="34"/>
  <c r="AF877" i="34" s="1"/>
  <c r="AE878" i="34"/>
  <c r="AH876" i="34"/>
  <c r="AG876" i="34"/>
  <c r="AF876" i="34"/>
  <c r="AE876" i="34"/>
  <c r="AH875" i="34"/>
  <c r="AG875" i="34"/>
  <c r="AF875" i="34"/>
  <c r="AE875" i="34"/>
  <c r="AH874" i="34"/>
  <c r="AG874" i="34"/>
  <c r="AF874" i="34"/>
  <c r="AE874" i="34"/>
  <c r="AH873" i="34"/>
  <c r="AG873" i="34"/>
  <c r="AF873" i="34"/>
  <c r="AE873" i="34"/>
  <c r="AH872" i="34"/>
  <c r="AH871" i="34"/>
  <c r="AG871" i="34"/>
  <c r="AE871" i="34"/>
  <c r="AF870" i="34"/>
  <c r="AH870" i="34"/>
  <c r="AG870" i="34"/>
  <c r="AE870" i="34"/>
  <c r="AH869" i="34"/>
  <c r="AG869" i="34"/>
  <c r="AF869" i="34"/>
  <c r="AE869" i="34"/>
  <c r="AE868" i="34"/>
  <c r="AH866" i="34"/>
  <c r="AG866" i="34"/>
  <c r="AF866" i="34"/>
  <c r="AH865" i="34"/>
  <c r="AG865" i="34"/>
  <c r="AF865" i="34"/>
  <c r="AE865" i="34"/>
  <c r="AH864" i="34"/>
  <c r="AF864" i="34"/>
  <c r="AE864" i="34"/>
  <c r="AH863" i="34"/>
  <c r="AG863" i="34"/>
  <c r="AF863" i="34"/>
  <c r="AH861" i="34"/>
  <c r="AG861" i="34"/>
  <c r="AF861" i="34"/>
  <c r="AE861" i="34"/>
  <c r="AH860" i="34"/>
  <c r="AG860" i="34"/>
  <c r="AF860" i="34"/>
  <c r="AE860" i="34"/>
  <c r="AH859" i="34"/>
  <c r="AG859" i="34"/>
  <c r="AF859" i="34"/>
  <c r="AE859" i="34"/>
  <c r="AH858" i="34"/>
  <c r="AG858" i="34"/>
  <c r="AF858" i="34"/>
  <c r="AE858" i="34"/>
  <c r="AF856" i="34"/>
  <c r="AE856" i="34"/>
  <c r="AH855" i="34"/>
  <c r="AF855" i="34"/>
  <c r="AE855" i="34"/>
  <c r="AH854" i="34"/>
  <c r="AF853" i="34"/>
  <c r="AH853" i="34"/>
  <c r="AE853" i="34"/>
  <c r="AH851" i="34"/>
  <c r="AH850" i="34"/>
  <c r="AH849" i="34"/>
  <c r="AF845" i="34"/>
  <c r="AH839" i="34"/>
  <c r="AG839" i="34"/>
  <c r="AF839" i="34"/>
  <c r="AE839" i="34"/>
  <c r="AH838" i="34"/>
  <c r="AG838" i="34"/>
  <c r="AF838" i="34"/>
  <c r="AE838" i="34"/>
  <c r="AH837" i="34"/>
  <c r="AG837" i="34"/>
  <c r="AF837" i="34"/>
  <c r="AE837" i="34"/>
  <c r="AH836" i="34"/>
  <c r="AG836" i="34"/>
  <c r="AF836" i="34"/>
  <c r="AE836" i="34"/>
  <c r="AH835" i="34"/>
  <c r="AG835" i="34"/>
  <c r="AF835" i="34"/>
  <c r="AE835" i="34"/>
  <c r="AH834" i="34"/>
  <c r="AG834" i="34"/>
  <c r="AF834" i="34"/>
  <c r="AE834" i="34"/>
  <c r="AH832" i="34"/>
  <c r="AG832" i="34"/>
  <c r="AF832" i="34"/>
  <c r="AE832" i="34"/>
  <c r="AH831" i="34"/>
  <c r="AG831" i="34"/>
  <c r="AF831" i="34"/>
  <c r="AE831" i="34"/>
  <c r="AH830" i="34"/>
  <c r="AG830" i="34"/>
  <c r="AF830" i="34"/>
  <c r="AE830" i="34"/>
  <c r="AH829" i="34"/>
  <c r="AG829" i="34"/>
  <c r="AG828" i="34" s="1"/>
  <c r="AF829" i="34"/>
  <c r="AE829" i="34"/>
  <c r="AH827" i="34"/>
  <c r="AG827" i="34"/>
  <c r="AF827" i="34"/>
  <c r="AE827" i="34"/>
  <c r="AH826" i="34"/>
  <c r="AG826" i="34"/>
  <c r="AF826" i="34"/>
  <c r="AE826" i="34"/>
  <c r="AH825" i="34"/>
  <c r="AG825" i="34"/>
  <c r="AF825" i="34"/>
  <c r="AE825" i="34"/>
  <c r="AH824" i="34"/>
  <c r="AG824" i="34"/>
  <c r="AF824" i="34"/>
  <c r="AE824" i="34"/>
  <c r="AE823" i="34" s="1"/>
  <c r="AH822" i="34"/>
  <c r="AG822" i="34"/>
  <c r="AF822" i="34"/>
  <c r="AE822" i="34"/>
  <c r="AH821" i="34"/>
  <c r="AG821" i="34"/>
  <c r="AF821" i="34"/>
  <c r="AE821" i="34"/>
  <c r="AH820" i="34"/>
  <c r="AG820" i="34"/>
  <c r="AF820" i="34"/>
  <c r="AE820" i="34"/>
  <c r="AH819" i="34"/>
  <c r="AG819" i="34"/>
  <c r="AF819" i="34"/>
  <c r="AE819" i="34"/>
  <c r="AE818" i="34" s="1"/>
  <c r="AH817" i="34"/>
  <c r="AG817" i="34"/>
  <c r="AF817" i="34"/>
  <c r="AE817" i="34"/>
  <c r="AH816" i="34"/>
  <c r="AG816" i="34"/>
  <c r="AF816" i="34"/>
  <c r="AE816" i="34"/>
  <c r="AH815" i="34"/>
  <c r="AG815" i="34"/>
  <c r="AF815" i="34"/>
  <c r="AE815" i="34"/>
  <c r="AH814" i="34"/>
  <c r="AG814" i="34"/>
  <c r="AF814" i="34"/>
  <c r="AE814" i="34"/>
  <c r="AH812" i="34"/>
  <c r="AG812" i="34"/>
  <c r="AF812" i="34"/>
  <c r="AE812" i="34"/>
  <c r="AH811" i="34"/>
  <c r="AG811" i="34"/>
  <c r="AF811" i="34"/>
  <c r="AE811" i="34"/>
  <c r="AH810" i="34"/>
  <c r="AG810" i="34"/>
  <c r="AF810" i="34"/>
  <c r="AE810" i="34"/>
  <c r="AH809" i="34"/>
  <c r="AG809" i="34"/>
  <c r="AF809" i="34"/>
  <c r="AE809" i="34"/>
  <c r="AH807" i="34"/>
  <c r="AG807" i="34"/>
  <c r="AF807" i="34"/>
  <c r="AE807" i="34"/>
  <c r="AH806" i="34"/>
  <c r="AG806" i="34"/>
  <c r="AF806" i="34"/>
  <c r="AE806" i="34"/>
  <c r="AH805" i="34"/>
  <c r="AG805" i="34"/>
  <c r="AF805" i="34"/>
  <c r="AE805" i="34"/>
  <c r="AH804" i="34"/>
  <c r="AG804" i="34"/>
  <c r="AF804" i="34"/>
  <c r="AE804" i="34"/>
  <c r="AH800" i="34"/>
  <c r="AG800" i="34"/>
  <c r="AF800" i="34"/>
  <c r="AE800" i="34"/>
  <c r="AH799" i="34"/>
  <c r="AG799" i="34"/>
  <c r="AF799" i="34"/>
  <c r="AE799" i="34"/>
  <c r="AH798" i="34"/>
  <c r="AG798" i="34"/>
  <c r="AF798" i="34"/>
  <c r="AE798" i="34"/>
  <c r="AH797" i="34"/>
  <c r="AG797" i="34"/>
  <c r="AF797" i="34"/>
  <c r="AE797" i="34"/>
  <c r="AH796" i="34"/>
  <c r="AG796" i="34"/>
  <c r="AF796" i="34"/>
  <c r="AE796" i="34"/>
  <c r="AH795" i="34"/>
  <c r="AG795" i="34"/>
  <c r="AF795" i="34"/>
  <c r="AE795" i="34"/>
  <c r="AH793" i="34"/>
  <c r="AG793" i="34"/>
  <c r="AF793" i="34"/>
  <c r="AE793" i="34"/>
  <c r="AH792" i="34"/>
  <c r="AG792" i="34"/>
  <c r="AF792" i="34"/>
  <c r="AE792" i="34"/>
  <c r="AH791" i="34"/>
  <c r="AG791" i="34"/>
  <c r="AF791" i="34"/>
  <c r="AE791" i="34"/>
  <c r="AH790" i="34"/>
  <c r="AG790" i="34"/>
  <c r="AF790" i="34"/>
  <c r="AF789" i="34" s="1"/>
  <c r="AE790" i="34"/>
  <c r="AH789" i="34"/>
  <c r="AH788" i="34"/>
  <c r="AG788" i="34"/>
  <c r="AF788" i="34"/>
  <c r="AE788" i="34"/>
  <c r="AH787" i="34"/>
  <c r="AG787" i="34"/>
  <c r="AF787" i="34"/>
  <c r="AE787" i="34"/>
  <c r="AH786" i="34"/>
  <c r="AG786" i="34"/>
  <c r="AF786" i="34"/>
  <c r="AE786" i="34"/>
  <c r="AH785" i="34"/>
  <c r="AH784" i="34" s="1"/>
  <c r="AG785" i="34"/>
  <c r="AF785" i="34"/>
  <c r="AE785" i="34"/>
  <c r="AH783" i="34"/>
  <c r="AG783" i="34"/>
  <c r="AF783" i="34"/>
  <c r="AE783" i="34"/>
  <c r="AH782" i="34"/>
  <c r="AG782" i="34"/>
  <c r="AF782" i="34"/>
  <c r="AE782" i="34"/>
  <c r="AH781" i="34"/>
  <c r="AG781" i="34"/>
  <c r="AF781" i="34"/>
  <c r="AE781" i="34"/>
  <c r="AH780" i="34"/>
  <c r="AG780" i="34"/>
  <c r="AF780" i="34"/>
  <c r="AF779" i="34" s="1"/>
  <c r="AE780" i="34"/>
  <c r="AH778" i="34"/>
  <c r="AG778" i="34"/>
  <c r="AF778" i="34"/>
  <c r="AE778" i="34"/>
  <c r="AH777" i="34"/>
  <c r="AG777" i="34"/>
  <c r="AF777" i="34"/>
  <c r="AE777" i="34"/>
  <c r="AH776" i="34"/>
  <c r="AG776" i="34"/>
  <c r="AF776" i="34"/>
  <c r="AE776" i="34"/>
  <c r="AH775" i="34"/>
  <c r="AG775" i="34"/>
  <c r="AF775" i="34"/>
  <c r="AE775" i="34"/>
  <c r="AH773" i="34"/>
  <c r="AG773" i="34"/>
  <c r="AF773" i="34"/>
  <c r="AE773" i="34"/>
  <c r="AH772" i="34"/>
  <c r="AG772" i="34"/>
  <c r="AF772" i="34"/>
  <c r="AE772" i="34"/>
  <c r="AH771" i="34"/>
  <c r="AG771" i="34"/>
  <c r="AF771" i="34"/>
  <c r="AE771" i="34"/>
  <c r="AH770" i="34"/>
  <c r="AH769" i="34" s="1"/>
  <c r="AG770" i="34"/>
  <c r="AF770" i="34"/>
  <c r="AF769" i="34" s="1"/>
  <c r="AE770" i="34"/>
  <c r="AH768" i="34"/>
  <c r="AG768" i="34"/>
  <c r="AF768" i="34"/>
  <c r="AE768" i="34"/>
  <c r="AH767" i="34"/>
  <c r="AG767" i="34"/>
  <c r="AF767" i="34"/>
  <c r="AE767" i="34"/>
  <c r="AH766" i="34"/>
  <c r="AG766" i="34"/>
  <c r="AF766" i="34"/>
  <c r="AE766" i="34"/>
  <c r="AH765" i="34"/>
  <c r="AG765" i="34"/>
  <c r="AG764" i="34" s="1"/>
  <c r="AF765" i="34"/>
  <c r="AE765" i="34"/>
  <c r="AH759" i="34"/>
  <c r="AG759" i="34"/>
  <c r="AF759" i="34"/>
  <c r="AE759" i="34"/>
  <c r="AH758" i="34"/>
  <c r="AG758" i="34"/>
  <c r="AF758" i="34"/>
  <c r="AE758" i="34"/>
  <c r="AH757" i="34"/>
  <c r="AG757" i="34"/>
  <c r="AF757" i="34"/>
  <c r="AE757" i="34"/>
  <c r="AH756" i="34"/>
  <c r="AG756" i="34"/>
  <c r="AF756" i="34"/>
  <c r="AE756" i="34"/>
  <c r="AF755" i="34"/>
  <c r="AH755" i="34"/>
  <c r="AE755" i="34"/>
  <c r="AH754" i="34"/>
  <c r="AG754" i="34"/>
  <c r="AF754" i="34"/>
  <c r="AE754" i="34"/>
  <c r="AH753" i="34"/>
  <c r="AG753" i="34"/>
  <c r="AF753" i="34"/>
  <c r="AE753" i="34"/>
  <c r="AH752" i="34"/>
  <c r="AG752" i="34"/>
  <c r="AF752" i="34"/>
  <c r="AE752" i="34"/>
  <c r="AF751" i="34"/>
  <c r="AH751" i="34"/>
  <c r="AE751" i="34"/>
  <c r="AH750" i="34"/>
  <c r="AG750" i="34"/>
  <c r="AF750" i="34"/>
  <c r="AE750" i="34"/>
  <c r="AH748" i="34"/>
  <c r="AG748" i="34"/>
  <c r="AF748" i="34"/>
  <c r="AE748" i="34"/>
  <c r="AH747" i="34"/>
  <c r="AG747" i="34"/>
  <c r="AF747" i="34"/>
  <c r="AE747" i="34"/>
  <c r="AH746" i="34"/>
  <c r="AG746" i="34"/>
  <c r="AF746" i="34"/>
  <c r="AE746" i="34"/>
  <c r="AG745" i="34"/>
  <c r="AH744" i="34"/>
  <c r="AG744" i="34"/>
  <c r="AF744" i="34"/>
  <c r="AE744" i="34"/>
  <c r="AH742" i="34"/>
  <c r="AG742" i="34"/>
  <c r="AF742" i="34"/>
  <c r="AE742" i="34"/>
  <c r="AH741" i="34"/>
  <c r="AG741" i="34"/>
  <c r="AF741" i="34"/>
  <c r="AE741" i="34"/>
  <c r="AH740" i="34"/>
  <c r="AG740" i="34"/>
  <c r="AF740" i="34"/>
  <c r="AE740" i="34"/>
  <c r="AH739" i="34"/>
  <c r="AG739" i="34"/>
  <c r="AF739" i="34"/>
  <c r="AH738" i="34"/>
  <c r="AG738" i="34"/>
  <c r="AF738" i="34"/>
  <c r="AE738" i="34"/>
  <c r="AH736" i="34"/>
  <c r="AG736" i="34"/>
  <c r="AF736" i="34"/>
  <c r="AE736" i="34"/>
  <c r="AH735" i="34"/>
  <c r="AG735" i="34"/>
  <c r="AF735" i="34"/>
  <c r="AE735" i="34"/>
  <c r="AH734" i="34"/>
  <c r="AG734" i="34"/>
  <c r="AF734" i="34"/>
  <c r="AE734" i="34"/>
  <c r="AE733" i="34"/>
  <c r="AH732" i="34"/>
  <c r="AG732" i="34"/>
  <c r="AF732" i="34"/>
  <c r="AE732" i="34"/>
  <c r="AE731" i="34" s="1"/>
  <c r="AH730" i="34"/>
  <c r="AG730" i="34"/>
  <c r="AF730" i="34"/>
  <c r="AE730" i="34"/>
  <c r="AH729" i="34"/>
  <c r="AG729" i="34"/>
  <c r="AF729" i="34"/>
  <c r="AE729" i="34"/>
  <c r="AH728" i="34"/>
  <c r="AG728" i="34"/>
  <c r="AF728" i="34"/>
  <c r="AE728" i="34"/>
  <c r="AF727" i="34"/>
  <c r="AH727" i="34"/>
  <c r="AE727" i="34"/>
  <c r="AH726" i="34"/>
  <c r="AG726" i="34"/>
  <c r="AF726" i="34"/>
  <c r="AE726" i="34"/>
  <c r="AH723" i="34"/>
  <c r="AG723" i="34"/>
  <c r="AF723" i="34"/>
  <c r="AE723" i="34"/>
  <c r="AH722" i="34"/>
  <c r="AG722" i="34"/>
  <c r="AF722" i="34"/>
  <c r="AE722" i="34"/>
  <c r="AH721" i="34"/>
  <c r="AG721" i="34"/>
  <c r="AF721" i="34"/>
  <c r="AE721" i="34"/>
  <c r="AH720" i="34"/>
  <c r="AG720" i="34"/>
  <c r="AF720" i="34"/>
  <c r="AE720" i="34"/>
  <c r="AH719" i="34"/>
  <c r="AG719" i="34"/>
  <c r="AF719" i="34"/>
  <c r="AE719" i="34"/>
  <c r="AH718" i="34"/>
  <c r="AG718" i="34"/>
  <c r="AG717" i="34" s="1"/>
  <c r="AF718" i="34"/>
  <c r="AF717" i="34" s="1"/>
  <c r="AE718" i="34"/>
  <c r="AH715" i="34"/>
  <c r="AG715" i="34"/>
  <c r="AF715" i="34"/>
  <c r="AE715" i="34"/>
  <c r="AH714" i="34"/>
  <c r="AG714" i="34"/>
  <c r="AF714" i="34"/>
  <c r="AE714" i="34"/>
  <c r="AH713" i="34"/>
  <c r="AG713" i="34"/>
  <c r="AF713" i="34"/>
  <c r="AE713" i="34"/>
  <c r="AH712" i="34"/>
  <c r="AG712" i="34"/>
  <c r="AF712" i="34"/>
  <c r="AE712" i="34"/>
  <c r="AH711" i="34"/>
  <c r="AG711" i="34"/>
  <c r="AF711" i="34"/>
  <c r="AE711" i="34"/>
  <c r="AH710" i="34"/>
  <c r="AG710" i="34"/>
  <c r="AF710" i="34"/>
  <c r="AE710" i="34"/>
  <c r="AH709" i="34"/>
  <c r="AG709" i="34"/>
  <c r="AF709" i="34"/>
  <c r="AE709" i="34"/>
  <c r="AH708" i="34"/>
  <c r="AG708" i="34"/>
  <c r="AF708" i="34"/>
  <c r="AE708" i="34"/>
  <c r="AH707" i="34"/>
  <c r="AG707" i="34"/>
  <c r="AF707" i="34"/>
  <c r="AE707" i="34"/>
  <c r="AH706" i="34"/>
  <c r="AG706" i="34"/>
  <c r="AF706" i="34"/>
  <c r="AE706" i="34"/>
  <c r="AE705" i="34" s="1"/>
  <c r="AH704" i="34"/>
  <c r="AG704" i="34"/>
  <c r="AF704" i="34"/>
  <c r="AE704" i="34"/>
  <c r="AH703" i="34"/>
  <c r="AG703" i="34"/>
  <c r="AF703" i="34"/>
  <c r="AE703" i="34"/>
  <c r="AH702" i="34"/>
  <c r="AG702" i="34"/>
  <c r="AF702" i="34"/>
  <c r="AE702" i="34"/>
  <c r="AH701" i="34"/>
  <c r="AE701" i="34"/>
  <c r="AH700" i="34"/>
  <c r="AG700" i="34"/>
  <c r="AF700" i="34"/>
  <c r="AE700" i="34"/>
  <c r="AE699" i="34" s="1"/>
  <c r="AH698" i="34"/>
  <c r="AG698" i="34"/>
  <c r="AF698" i="34"/>
  <c r="AE698" i="34"/>
  <c r="AH697" i="34"/>
  <c r="AG697" i="34"/>
  <c r="AF697" i="34"/>
  <c r="AE697" i="34"/>
  <c r="AH696" i="34"/>
  <c r="AG696" i="34"/>
  <c r="AF696" i="34"/>
  <c r="AE696" i="34"/>
  <c r="AF695" i="34"/>
  <c r="AH695" i="34"/>
  <c r="AG695" i="34"/>
  <c r="AE695" i="34"/>
  <c r="AH694" i="34"/>
  <c r="AG694" i="34"/>
  <c r="AF694" i="34"/>
  <c r="AE694" i="34"/>
  <c r="AH692" i="34"/>
  <c r="AG692" i="34"/>
  <c r="AF692" i="34"/>
  <c r="AE692" i="34"/>
  <c r="AH691" i="34"/>
  <c r="AG691" i="34"/>
  <c r="AF691" i="34"/>
  <c r="AE691" i="34"/>
  <c r="AH690" i="34"/>
  <c r="AG690" i="34"/>
  <c r="AF690" i="34"/>
  <c r="AE690" i="34"/>
  <c r="AG689" i="34"/>
  <c r="AF689" i="34"/>
  <c r="AH688" i="34"/>
  <c r="AG688" i="34"/>
  <c r="AF688" i="34"/>
  <c r="AE688" i="34"/>
  <c r="AH686" i="34"/>
  <c r="AG686" i="34"/>
  <c r="AF686" i="34"/>
  <c r="AE686" i="34"/>
  <c r="AH685" i="34"/>
  <c r="AG685" i="34"/>
  <c r="AF685" i="34"/>
  <c r="AE685" i="34"/>
  <c r="AH684" i="34"/>
  <c r="AG684" i="34"/>
  <c r="AF684" i="34"/>
  <c r="AE684" i="34"/>
  <c r="AH683" i="34"/>
  <c r="AG683" i="34"/>
  <c r="AF683" i="34"/>
  <c r="AH682" i="34"/>
  <c r="AG682" i="34"/>
  <c r="AF682" i="34"/>
  <c r="AE682" i="34"/>
  <c r="AH679" i="34"/>
  <c r="AG679" i="34"/>
  <c r="AF679" i="34"/>
  <c r="AE679" i="34"/>
  <c r="AH678" i="34"/>
  <c r="AG678" i="34"/>
  <c r="AF678" i="34"/>
  <c r="AE678" i="34"/>
  <c r="AH677" i="34"/>
  <c r="AG677" i="34"/>
  <c r="AF677" i="34"/>
  <c r="AE677" i="34"/>
  <c r="AH676" i="34"/>
  <c r="AG676" i="34"/>
  <c r="AF676" i="34"/>
  <c r="AE676" i="34"/>
  <c r="AH675" i="34"/>
  <c r="AG675" i="34"/>
  <c r="AF675" i="34"/>
  <c r="AE675" i="34"/>
  <c r="AH674" i="34"/>
  <c r="AG674" i="34"/>
  <c r="AF674" i="34"/>
  <c r="AE674" i="34"/>
  <c r="AH670" i="34"/>
  <c r="AG670" i="34"/>
  <c r="AF670" i="34"/>
  <c r="AE670" i="34"/>
  <c r="AH669" i="34"/>
  <c r="AG669" i="34"/>
  <c r="AF669" i="34"/>
  <c r="AE669" i="34"/>
  <c r="AH668" i="34"/>
  <c r="AG668" i="34"/>
  <c r="AF668" i="34"/>
  <c r="AE668" i="34"/>
  <c r="AH667" i="34"/>
  <c r="AG667" i="34"/>
  <c r="AF667" i="34"/>
  <c r="AE667" i="34"/>
  <c r="AH666" i="34"/>
  <c r="AG666" i="34"/>
  <c r="AF666" i="34"/>
  <c r="AE666" i="34"/>
  <c r="AH665" i="34"/>
  <c r="AG665" i="34"/>
  <c r="AF665" i="34"/>
  <c r="AF664" i="34" s="1"/>
  <c r="AE665" i="34"/>
  <c r="AH663" i="34"/>
  <c r="AG663" i="34"/>
  <c r="AF663" i="34"/>
  <c r="AE663" i="34"/>
  <c r="AH662" i="34"/>
  <c r="AG662" i="34"/>
  <c r="AF662" i="34"/>
  <c r="AE662" i="34"/>
  <c r="AH661" i="34"/>
  <c r="AG661" i="34"/>
  <c r="AF661" i="34"/>
  <c r="AE661" i="34"/>
  <c r="AH660" i="34"/>
  <c r="AG660" i="34"/>
  <c r="AF660" i="34"/>
  <c r="AE660" i="34"/>
  <c r="AH659" i="34"/>
  <c r="AG659" i="34"/>
  <c r="AF659" i="34"/>
  <c r="AE659" i="34"/>
  <c r="AH658" i="34"/>
  <c r="AG658" i="34"/>
  <c r="AF658" i="34"/>
  <c r="AE658" i="34"/>
  <c r="AH657" i="34"/>
  <c r="AH655" i="34"/>
  <c r="AG655" i="34"/>
  <c r="AF655" i="34"/>
  <c r="AE655" i="34"/>
  <c r="AH654" i="34"/>
  <c r="AG654" i="34"/>
  <c r="AF654" i="34"/>
  <c r="AE654" i="34"/>
  <c r="AH653" i="34"/>
  <c r="AG653" i="34"/>
  <c r="AF653" i="34"/>
  <c r="AE653" i="34"/>
  <c r="AH652" i="34"/>
  <c r="AG652" i="34"/>
  <c r="AF652" i="34"/>
  <c r="AE652" i="34"/>
  <c r="AH651" i="34"/>
  <c r="AG651" i="34"/>
  <c r="AF651" i="34"/>
  <c r="AE651" i="34"/>
  <c r="AH650" i="34"/>
  <c r="AG650" i="34"/>
  <c r="AF650" i="34"/>
  <c r="AE650" i="34"/>
  <c r="AH648" i="34"/>
  <c r="AG648" i="34"/>
  <c r="AF648" i="34"/>
  <c r="AE648" i="34"/>
  <c r="AH647" i="34"/>
  <c r="AG647" i="34"/>
  <c r="AF647" i="34"/>
  <c r="AE647" i="34"/>
  <c r="AH646" i="34"/>
  <c r="AG646" i="34"/>
  <c r="AF646" i="34"/>
  <c r="AE646" i="34"/>
  <c r="AH645" i="34"/>
  <c r="AG645" i="34"/>
  <c r="AF645" i="34"/>
  <c r="AE645" i="34"/>
  <c r="AH644" i="34"/>
  <c r="AG644" i="34"/>
  <c r="AF644" i="34"/>
  <c r="AE644" i="34"/>
  <c r="AH643" i="34"/>
  <c r="AG643" i="34"/>
  <c r="AF643" i="34"/>
  <c r="AE643" i="34"/>
  <c r="AH637" i="34"/>
  <c r="AG637" i="34"/>
  <c r="AF637" i="34"/>
  <c r="AE637" i="34"/>
  <c r="AH636" i="34"/>
  <c r="AG636" i="34"/>
  <c r="AF636" i="34"/>
  <c r="AE636" i="34"/>
  <c r="AH635" i="34"/>
  <c r="AG635" i="34"/>
  <c r="AF635" i="34"/>
  <c r="AE635" i="34"/>
  <c r="AH634" i="34"/>
  <c r="AG634" i="34"/>
  <c r="AF634" i="34"/>
  <c r="AE634" i="34"/>
  <c r="AH633" i="34"/>
  <c r="AG633" i="34"/>
  <c r="AF633" i="34"/>
  <c r="AF632" i="34" s="1"/>
  <c r="AE633" i="34"/>
  <c r="AH631" i="34"/>
  <c r="AG631" i="34"/>
  <c r="AF631" i="34"/>
  <c r="AE631" i="34"/>
  <c r="AH630" i="34"/>
  <c r="AG630" i="34"/>
  <c r="AF630" i="34"/>
  <c r="AE630" i="34"/>
  <c r="AH629" i="34"/>
  <c r="AG629" i="34"/>
  <c r="AG628" i="34" s="1"/>
  <c r="AF629" i="34"/>
  <c r="AF628" i="34" s="1"/>
  <c r="AE629" i="34"/>
  <c r="AH627" i="34"/>
  <c r="AG627" i="34"/>
  <c r="AF627" i="34"/>
  <c r="AE627" i="34"/>
  <c r="AH626" i="34"/>
  <c r="AG626" i="34"/>
  <c r="AF626" i="34"/>
  <c r="AE626" i="34"/>
  <c r="AH625" i="34"/>
  <c r="AG625" i="34"/>
  <c r="AG624" i="34" s="1"/>
  <c r="AF625" i="34"/>
  <c r="AF624" i="34" s="1"/>
  <c r="AE625" i="34"/>
  <c r="AH623" i="34"/>
  <c r="AG623" i="34"/>
  <c r="AF623" i="34"/>
  <c r="AE623" i="34"/>
  <c r="AH622" i="34"/>
  <c r="AG622" i="34"/>
  <c r="AF622" i="34"/>
  <c r="AE622" i="34"/>
  <c r="AH621" i="34"/>
  <c r="AG621" i="34"/>
  <c r="AG620" i="34" s="1"/>
  <c r="AF621" i="34"/>
  <c r="AF620" i="34" s="1"/>
  <c r="AE621" i="34"/>
  <c r="AH618" i="34"/>
  <c r="AG618" i="34"/>
  <c r="AF618" i="34"/>
  <c r="AE618" i="34"/>
  <c r="AH617" i="34"/>
  <c r="AG617" i="34"/>
  <c r="AG616" i="34" s="1"/>
  <c r="AF617" i="34"/>
  <c r="AF616" i="34" s="1"/>
  <c r="AE617" i="34"/>
  <c r="AH614" i="34"/>
  <c r="AG614" i="34"/>
  <c r="AF614" i="34"/>
  <c r="AE614" i="34"/>
  <c r="AH613" i="34"/>
  <c r="AG613" i="34"/>
  <c r="AF613" i="34"/>
  <c r="AE613" i="34"/>
  <c r="AH612" i="34"/>
  <c r="AG612" i="34"/>
  <c r="AF612" i="34"/>
  <c r="AE612" i="34"/>
  <c r="AH611" i="34"/>
  <c r="AG611" i="34"/>
  <c r="AF611" i="34"/>
  <c r="AE611" i="34"/>
  <c r="AH610" i="34"/>
  <c r="AG610" i="34"/>
  <c r="AG609" i="34" s="1"/>
  <c r="AF610" i="34"/>
  <c r="AE610" i="34"/>
  <c r="AH608" i="34"/>
  <c r="AG608" i="34"/>
  <c r="AF608" i="34"/>
  <c r="AE608" i="34"/>
  <c r="AH607" i="34"/>
  <c r="AG607" i="34"/>
  <c r="AF607" i="34"/>
  <c r="AE607" i="34"/>
  <c r="AH606" i="34"/>
  <c r="AG606" i="34"/>
  <c r="AG605" i="34" s="1"/>
  <c r="AF606" i="34"/>
  <c r="AE606" i="34"/>
  <c r="AH604" i="34"/>
  <c r="AG604" i="34"/>
  <c r="AF604" i="34"/>
  <c r="AE604" i="34"/>
  <c r="AH603" i="34"/>
  <c r="AG603" i="34"/>
  <c r="AF603" i="34"/>
  <c r="AE603" i="34"/>
  <c r="AH602" i="34"/>
  <c r="AG602" i="34"/>
  <c r="AF602" i="34"/>
  <c r="AE602" i="34"/>
  <c r="AH600" i="34"/>
  <c r="AG600" i="34"/>
  <c r="AF600" i="34"/>
  <c r="AE600" i="34"/>
  <c r="AH599" i="34"/>
  <c r="AG599" i="34"/>
  <c r="AF599" i="34"/>
  <c r="AE599" i="34"/>
  <c r="AH598" i="34"/>
  <c r="AG598" i="34"/>
  <c r="AG597" i="34" s="1"/>
  <c r="AF598" i="34"/>
  <c r="AE598" i="34"/>
  <c r="AH595" i="34"/>
  <c r="AG595" i="34"/>
  <c r="AF595" i="34"/>
  <c r="AE595" i="34"/>
  <c r="AH594" i="34"/>
  <c r="AG594" i="34"/>
  <c r="AG593" i="34" s="1"/>
  <c r="AF594" i="34"/>
  <c r="AE594" i="34"/>
  <c r="AH590" i="34"/>
  <c r="AG590" i="34"/>
  <c r="AF590" i="34"/>
  <c r="AE590" i="34"/>
  <c r="AH589" i="34"/>
  <c r="AG589" i="34"/>
  <c r="AF589" i="34"/>
  <c r="AE589" i="34"/>
  <c r="AH588" i="34"/>
  <c r="AG588" i="34"/>
  <c r="AF588" i="34"/>
  <c r="AE588" i="34"/>
  <c r="AH587" i="34"/>
  <c r="AG587" i="34"/>
  <c r="AF587" i="34"/>
  <c r="AE587" i="34"/>
  <c r="AH586" i="34"/>
  <c r="AG586" i="34"/>
  <c r="AF586" i="34"/>
  <c r="AE586" i="34"/>
  <c r="AH584" i="34"/>
  <c r="AG584" i="34"/>
  <c r="AF584" i="34"/>
  <c r="AE584" i="34"/>
  <c r="AH583" i="34"/>
  <c r="AG583" i="34"/>
  <c r="AF583" i="34"/>
  <c r="AE583" i="34"/>
  <c r="AH582" i="34"/>
  <c r="AG582" i="34"/>
  <c r="AG581" i="34" s="1"/>
  <c r="AG580" i="34" s="1"/>
  <c r="AF582" i="34"/>
  <c r="AE582" i="34"/>
  <c r="AH579" i="34"/>
  <c r="AG579" i="34"/>
  <c r="AF579" i="34"/>
  <c r="AE579" i="34"/>
  <c r="AH578" i="34"/>
  <c r="AG578" i="34"/>
  <c r="AG577" i="34" s="1"/>
  <c r="AF578" i="34"/>
  <c r="AE578" i="34"/>
  <c r="AH575" i="34"/>
  <c r="AG575" i="34"/>
  <c r="AF575" i="34"/>
  <c r="AE575" i="34"/>
  <c r="AH574" i="34"/>
  <c r="AG574" i="34"/>
  <c r="AF574" i="34"/>
  <c r="AE574" i="34"/>
  <c r="AH573" i="34"/>
  <c r="AG573" i="34"/>
  <c r="AF573" i="34"/>
  <c r="AE573" i="34"/>
  <c r="AH572" i="34"/>
  <c r="AG572" i="34"/>
  <c r="AF572" i="34"/>
  <c r="AE572" i="34"/>
  <c r="AH571" i="34"/>
  <c r="AG571" i="34"/>
  <c r="AF571" i="34"/>
  <c r="AF570" i="34" s="1"/>
  <c r="AE571" i="34"/>
  <c r="AH569" i="34"/>
  <c r="AG569" i="34"/>
  <c r="AF569" i="34"/>
  <c r="AE569" i="34"/>
  <c r="AH568" i="34"/>
  <c r="AG568" i="34"/>
  <c r="AF568" i="34"/>
  <c r="AE568" i="34"/>
  <c r="AH567" i="34"/>
  <c r="AG567" i="34"/>
  <c r="AF567" i="34"/>
  <c r="AE567" i="34"/>
  <c r="AE566" i="34" s="1"/>
  <c r="AE565" i="34" s="1"/>
  <c r="AH564" i="34"/>
  <c r="AG564" i="34"/>
  <c r="AF564" i="34"/>
  <c r="AE564" i="34"/>
  <c r="AH563" i="34"/>
  <c r="AG563" i="34"/>
  <c r="AF563" i="34"/>
  <c r="AE563" i="34"/>
  <c r="AE562" i="34" s="1"/>
  <c r="AH557" i="34"/>
  <c r="AG557" i="34"/>
  <c r="AF557" i="34"/>
  <c r="AE557" i="34"/>
  <c r="AH556" i="34"/>
  <c r="AG556" i="34"/>
  <c r="AF556" i="34"/>
  <c r="AE556" i="34"/>
  <c r="AH555" i="34"/>
  <c r="AG555" i="34"/>
  <c r="AF555" i="34"/>
  <c r="AE555" i="34"/>
  <c r="AH554" i="34"/>
  <c r="AG554" i="34"/>
  <c r="AF554" i="34"/>
  <c r="AE554" i="34"/>
  <c r="AH553" i="34"/>
  <c r="AG553" i="34"/>
  <c r="AF553" i="34"/>
  <c r="AE553" i="34"/>
  <c r="AH550" i="34"/>
  <c r="AG550" i="34"/>
  <c r="AF550" i="34"/>
  <c r="AE550" i="34"/>
  <c r="AH549" i="34"/>
  <c r="AG549" i="34"/>
  <c r="AF549" i="34"/>
  <c r="AE549" i="34"/>
  <c r="AH548" i="34"/>
  <c r="AG548" i="34"/>
  <c r="AF548" i="34"/>
  <c r="AE548" i="34"/>
  <c r="AH547" i="34"/>
  <c r="AG547" i="34"/>
  <c r="AF547" i="34"/>
  <c r="AE547" i="34"/>
  <c r="AH546" i="34"/>
  <c r="AG546" i="34"/>
  <c r="AF546" i="34"/>
  <c r="AE546" i="34"/>
  <c r="AH541" i="34"/>
  <c r="AG541" i="34"/>
  <c r="AF541" i="34"/>
  <c r="AE541" i="34"/>
  <c r="AH540" i="34"/>
  <c r="AG540" i="34"/>
  <c r="AF540" i="34"/>
  <c r="AE540" i="34"/>
  <c r="AH539" i="34"/>
  <c r="AG539" i="34"/>
  <c r="AF539" i="34"/>
  <c r="AE539" i="34"/>
  <c r="AH538" i="34"/>
  <c r="AH537" i="34" s="1"/>
  <c r="AG538" i="34"/>
  <c r="AG537" i="34" s="1"/>
  <c r="AF538" i="34"/>
  <c r="AE538" i="34"/>
  <c r="AE537" i="34" s="1"/>
  <c r="AH536" i="34"/>
  <c r="AG536" i="34"/>
  <c r="AF536" i="34"/>
  <c r="AE536" i="34"/>
  <c r="AH535" i="34"/>
  <c r="AG535" i="34"/>
  <c r="AF535" i="34"/>
  <c r="AE535" i="34"/>
  <c r="AH534" i="34"/>
  <c r="AG534" i="34"/>
  <c r="AF534" i="34"/>
  <c r="AE534" i="34"/>
  <c r="AE533" i="34" s="1"/>
  <c r="AH533" i="34"/>
  <c r="AH532" i="34"/>
  <c r="AG532" i="34"/>
  <c r="AF532" i="34"/>
  <c r="AE532" i="34"/>
  <c r="AH531" i="34"/>
  <c r="AG531" i="34"/>
  <c r="AF531" i="34"/>
  <c r="AE531" i="34"/>
  <c r="AH530" i="34"/>
  <c r="AG530" i="34"/>
  <c r="AF530" i="34"/>
  <c r="AE530" i="34"/>
  <c r="AE529" i="34" s="1"/>
  <c r="AH529" i="34"/>
  <c r="AG529" i="34"/>
  <c r="AH528" i="34"/>
  <c r="AG528" i="34"/>
  <c r="AF528" i="34"/>
  <c r="AE528" i="34"/>
  <c r="AH527" i="34"/>
  <c r="AH526" i="34" s="1"/>
  <c r="AG527" i="34"/>
  <c r="AF527" i="34"/>
  <c r="AF526" i="34" s="1"/>
  <c r="AE527" i="34"/>
  <c r="AH523" i="34"/>
  <c r="AG523" i="34"/>
  <c r="AF523" i="34"/>
  <c r="AE523" i="34"/>
  <c r="AH522" i="34"/>
  <c r="AG522" i="34"/>
  <c r="AF522" i="34"/>
  <c r="AE522" i="34"/>
  <c r="AH521" i="34"/>
  <c r="AG521" i="34"/>
  <c r="AG520" i="34" s="1"/>
  <c r="AG519" i="34" s="1"/>
  <c r="AF521" i="34"/>
  <c r="AF520" i="34" s="1"/>
  <c r="AE521" i="34"/>
  <c r="AH517" i="34"/>
  <c r="AG517" i="34"/>
  <c r="AF517" i="34"/>
  <c r="AE517" i="34"/>
  <c r="AH516" i="34"/>
  <c r="AG516" i="34"/>
  <c r="AF516" i="34"/>
  <c r="AE516" i="34"/>
  <c r="AH515" i="34"/>
  <c r="AG515" i="34"/>
  <c r="AF515" i="34"/>
  <c r="AE515" i="34"/>
  <c r="AH514" i="34"/>
  <c r="AH513" i="34" s="1"/>
  <c r="AG514" i="34"/>
  <c r="AG513" i="34" s="1"/>
  <c r="AF514" i="34"/>
  <c r="AE514" i="34"/>
  <c r="AE513" i="34" s="1"/>
  <c r="AH512" i="34"/>
  <c r="AG512" i="34"/>
  <c r="AF512" i="34"/>
  <c r="AE512" i="34"/>
  <c r="AH511" i="34"/>
  <c r="AG511" i="34"/>
  <c r="AF511" i="34"/>
  <c r="AE511" i="34"/>
  <c r="AH510" i="34"/>
  <c r="AG510" i="34"/>
  <c r="AF510" i="34"/>
  <c r="AE510" i="34"/>
  <c r="AH508" i="34"/>
  <c r="AG508" i="34"/>
  <c r="AF508" i="34"/>
  <c r="AE508" i="34"/>
  <c r="AH507" i="34"/>
  <c r="AG507" i="34"/>
  <c r="AF507" i="34"/>
  <c r="AE507" i="34"/>
  <c r="AH506" i="34"/>
  <c r="AH505" i="34" s="1"/>
  <c r="AG506" i="34"/>
  <c r="AG505" i="34" s="1"/>
  <c r="AF506" i="34"/>
  <c r="AE506" i="34"/>
  <c r="AE505" i="34" s="1"/>
  <c r="AH504" i="34"/>
  <c r="AG504" i="34"/>
  <c r="AF504" i="34"/>
  <c r="AE504" i="34"/>
  <c r="AH503" i="34"/>
  <c r="AG503" i="34"/>
  <c r="AF503" i="34"/>
  <c r="AE503" i="34"/>
  <c r="AH499" i="34"/>
  <c r="AG499" i="34"/>
  <c r="AF499" i="34"/>
  <c r="AE499" i="34"/>
  <c r="AH498" i="34"/>
  <c r="AG498" i="34"/>
  <c r="AF498" i="34"/>
  <c r="AE498" i="34"/>
  <c r="AH497" i="34"/>
  <c r="AG497" i="34"/>
  <c r="AF497" i="34"/>
  <c r="AE497" i="34"/>
  <c r="AH492" i="34"/>
  <c r="AG492" i="34"/>
  <c r="AF492" i="34"/>
  <c r="AE492" i="34"/>
  <c r="AH491" i="34"/>
  <c r="AG491" i="34"/>
  <c r="AF491" i="34"/>
  <c r="AE491" i="34"/>
  <c r="AH490" i="34"/>
  <c r="AG490" i="34"/>
  <c r="AF490" i="34"/>
  <c r="AE490" i="34"/>
  <c r="AH489" i="34"/>
  <c r="AG489" i="34"/>
  <c r="AG488" i="34" s="1"/>
  <c r="AF489" i="34"/>
  <c r="AF488" i="34" s="1"/>
  <c r="AE489" i="34"/>
  <c r="AH487" i="34"/>
  <c r="AG487" i="34"/>
  <c r="AF487" i="34"/>
  <c r="AE487" i="34"/>
  <c r="AH486" i="34"/>
  <c r="AH485" i="34" s="1"/>
  <c r="AG486" i="34"/>
  <c r="AG485" i="34" s="1"/>
  <c r="AF486" i="34"/>
  <c r="AE486" i="34"/>
  <c r="AE485" i="34" s="1"/>
  <c r="AH482" i="34"/>
  <c r="AG482" i="34"/>
  <c r="AF482" i="34"/>
  <c r="AE482" i="34"/>
  <c r="AH481" i="34"/>
  <c r="AG481" i="34"/>
  <c r="AF481" i="34"/>
  <c r="AE481" i="34"/>
  <c r="AH480" i="34"/>
  <c r="AG480" i="34"/>
  <c r="AG479" i="34" s="1"/>
  <c r="AG478" i="34" s="1"/>
  <c r="AF480" i="34"/>
  <c r="AE480" i="34"/>
  <c r="AH476" i="34"/>
  <c r="AG476" i="34"/>
  <c r="AF476" i="34"/>
  <c r="AE476" i="34"/>
  <c r="AH475" i="34"/>
  <c r="AG475" i="34"/>
  <c r="AF475" i="34"/>
  <c r="AE475" i="34"/>
  <c r="AH474" i="34"/>
  <c r="AG474" i="34"/>
  <c r="AF474" i="34"/>
  <c r="AE474" i="34"/>
  <c r="AH473" i="34"/>
  <c r="AG473" i="34"/>
  <c r="AF473" i="34"/>
  <c r="AF472" i="34" s="1"/>
  <c r="AE473" i="34"/>
  <c r="AH471" i="34"/>
  <c r="AG471" i="34"/>
  <c r="AF471" i="34"/>
  <c r="AE471" i="34"/>
  <c r="AH470" i="34"/>
  <c r="AG470" i="34"/>
  <c r="AG469" i="34" s="1"/>
  <c r="AF470" i="34"/>
  <c r="AE470" i="34"/>
  <c r="AH466" i="34"/>
  <c r="AG466" i="34"/>
  <c r="AF466" i="34"/>
  <c r="AE466" i="34"/>
  <c r="AH465" i="34"/>
  <c r="AG465" i="34"/>
  <c r="AF465" i="34"/>
  <c r="AE465" i="34"/>
  <c r="AH464" i="34"/>
  <c r="AG464" i="34"/>
  <c r="AF464" i="34"/>
  <c r="AE464" i="34"/>
  <c r="AK459" i="34"/>
  <c r="AJ459" i="34"/>
  <c r="AI459" i="34"/>
  <c r="AH459" i="34"/>
  <c r="AG459" i="34"/>
  <c r="AF459" i="34"/>
  <c r="AE459" i="34"/>
  <c r="AH430" i="34"/>
  <c r="AG430" i="34"/>
  <c r="AF430" i="34"/>
  <c r="AE430" i="34"/>
  <c r="AH429" i="34"/>
  <c r="AG429" i="34"/>
  <c r="AF429" i="34"/>
  <c r="AE429" i="34"/>
  <c r="AG428" i="34"/>
  <c r="AF428" i="34"/>
  <c r="AE428" i="34"/>
  <c r="AH425" i="34"/>
  <c r="AG425" i="34"/>
  <c r="AF425" i="34"/>
  <c r="AE425" i="34"/>
  <c r="AH424" i="34"/>
  <c r="AG424" i="34"/>
  <c r="AF424" i="34"/>
  <c r="AE424" i="34"/>
  <c r="AH423" i="34"/>
  <c r="AH422" i="34" s="1"/>
  <c r="AG423" i="34"/>
  <c r="AF423" i="34"/>
  <c r="AE423" i="34"/>
  <c r="AE422" i="34" s="1"/>
  <c r="AF453" i="34"/>
  <c r="AH418" i="34"/>
  <c r="AG418" i="34"/>
  <c r="AF418" i="34"/>
  <c r="AE418" i="34"/>
  <c r="AH417" i="34"/>
  <c r="AG417" i="34"/>
  <c r="AF417" i="34"/>
  <c r="AE417" i="34"/>
  <c r="AH404" i="34"/>
  <c r="AG404" i="34"/>
  <c r="AF404" i="34"/>
  <c r="AE404" i="34"/>
  <c r="AH402" i="34"/>
  <c r="AG402" i="34"/>
  <c r="AF402" i="34"/>
  <c r="AE402" i="34"/>
  <c r="AH400" i="34"/>
  <c r="AG400" i="34"/>
  <c r="AF400" i="34"/>
  <c r="AE400" i="34"/>
  <c r="AH399" i="34"/>
  <c r="AG399" i="34"/>
  <c r="AF399" i="34"/>
  <c r="AE399" i="34"/>
  <c r="AH398" i="34"/>
  <c r="AG398" i="34"/>
  <c r="AF398" i="34"/>
  <c r="AE398" i="34"/>
  <c r="AE397" i="34"/>
  <c r="AH396" i="34"/>
  <c r="AG396" i="34"/>
  <c r="AF396" i="34"/>
  <c r="AE396" i="34"/>
  <c r="AH395" i="34"/>
  <c r="AG395" i="34"/>
  <c r="AF395" i="34"/>
  <c r="AE395" i="34"/>
  <c r="AH394" i="34"/>
  <c r="AG394" i="34"/>
  <c r="AF394" i="34"/>
  <c r="AE394" i="34"/>
  <c r="AG392" i="34"/>
  <c r="AE392" i="34"/>
  <c r="AG391" i="34"/>
  <c r="AE391" i="34"/>
  <c r="AG390" i="34"/>
  <c r="AE390" i="34"/>
  <c r="AG388" i="34"/>
  <c r="AF387" i="34"/>
  <c r="AE387" i="34"/>
  <c r="AG385" i="34"/>
  <c r="AE385" i="34"/>
  <c r="AH372" i="34"/>
  <c r="AG372" i="34"/>
  <c r="AF372" i="34"/>
  <c r="AH371" i="34"/>
  <c r="AG371" i="34"/>
  <c r="AF371" i="34"/>
  <c r="AE371" i="34"/>
  <c r="AH370" i="34"/>
  <c r="AG370" i="34"/>
  <c r="AF370" i="34"/>
  <c r="AE370" i="34"/>
  <c r="AH368" i="34"/>
  <c r="AG368" i="34"/>
  <c r="AF368" i="34"/>
  <c r="AE368" i="34"/>
  <c r="AH367" i="34"/>
  <c r="AG367" i="34"/>
  <c r="AF367" i="34"/>
  <c r="AE367" i="34"/>
  <c r="AH366" i="34"/>
  <c r="AG366" i="34"/>
  <c r="AF366" i="34"/>
  <c r="AE366" i="34"/>
  <c r="AH365" i="34"/>
  <c r="AG365" i="34"/>
  <c r="AF365" i="34"/>
  <c r="AE365" i="34"/>
  <c r="AH362" i="34"/>
  <c r="AG362" i="34"/>
  <c r="AF362" i="34"/>
  <c r="AE362" i="34"/>
  <c r="AH361" i="34"/>
  <c r="AG361" i="34"/>
  <c r="AF361" i="34"/>
  <c r="AE361" i="34"/>
  <c r="AH360" i="34"/>
  <c r="AG358" i="34"/>
  <c r="AF358" i="34"/>
  <c r="AE358" i="34"/>
  <c r="AH357" i="34"/>
  <c r="AF357" i="34"/>
  <c r="AE357" i="34"/>
  <c r="AH355" i="34"/>
  <c r="AH350" i="34"/>
  <c r="AG350" i="34"/>
  <c r="AF350" i="34"/>
  <c r="AE350" i="34"/>
  <c r="AH349" i="34"/>
  <c r="AG349" i="34"/>
  <c r="AF349" i="34"/>
  <c r="AE349" i="34"/>
  <c r="AH348" i="34"/>
  <c r="AF348" i="34"/>
  <c r="AE348" i="34"/>
  <c r="AH345" i="34"/>
  <c r="AG345" i="34"/>
  <c r="AF345" i="34"/>
  <c r="AE345" i="34"/>
  <c r="AH344" i="34"/>
  <c r="AG344" i="34"/>
  <c r="AF344" i="34"/>
  <c r="AE344" i="34"/>
  <c r="AH343" i="34"/>
  <c r="AH342" i="34" s="1"/>
  <c r="AG343" i="34"/>
  <c r="AG342" i="34" s="1"/>
  <c r="AF343" i="34"/>
  <c r="AE343" i="34"/>
  <c r="AH338" i="34"/>
  <c r="AG338" i="34"/>
  <c r="AF338" i="34"/>
  <c r="AE338" i="34"/>
  <c r="AH337" i="34"/>
  <c r="AG337" i="34"/>
  <c r="AF337" i="34"/>
  <c r="AE337" i="34"/>
  <c r="AH334" i="34"/>
  <c r="AG334" i="34"/>
  <c r="AF334" i="34"/>
  <c r="AE334" i="34"/>
  <c r="AH333" i="34"/>
  <c r="AG333" i="34"/>
  <c r="AF333" i="34"/>
  <c r="AE333" i="34"/>
  <c r="AH332" i="34"/>
  <c r="AG332" i="34"/>
  <c r="AF332" i="34"/>
  <c r="AF331" i="34" s="1"/>
  <c r="AE332" i="34"/>
  <c r="AH330" i="34"/>
  <c r="AG330" i="34"/>
  <c r="AF330" i="34"/>
  <c r="AH329" i="34"/>
  <c r="AG329" i="34"/>
  <c r="AF329" i="34"/>
  <c r="AE329" i="34"/>
  <c r="AH328" i="34"/>
  <c r="AG328" i="34"/>
  <c r="AF328" i="34"/>
  <c r="AE328" i="34"/>
  <c r="AH327" i="34"/>
  <c r="AG327" i="34"/>
  <c r="AF327" i="34"/>
  <c r="AE327" i="34"/>
  <c r="AH326" i="34"/>
  <c r="AG326" i="34"/>
  <c r="AF326" i="34"/>
  <c r="AE326" i="34"/>
  <c r="AH324" i="34"/>
  <c r="AG324" i="34"/>
  <c r="AF324" i="34"/>
  <c r="AE324" i="34"/>
  <c r="AH323" i="34"/>
  <c r="AG323" i="34"/>
  <c r="AF323" i="34"/>
  <c r="AE323" i="34"/>
  <c r="AH322" i="34"/>
  <c r="AG322" i="34"/>
  <c r="AF322" i="34"/>
  <c r="AE322" i="34"/>
  <c r="AH321" i="34"/>
  <c r="AG321" i="34"/>
  <c r="AH309" i="34"/>
  <c r="AG309" i="34"/>
  <c r="AF309" i="34"/>
  <c r="AE309" i="34"/>
  <c r="AH308" i="34"/>
  <c r="AG308" i="34"/>
  <c r="AF308" i="34"/>
  <c r="AE308" i="34"/>
  <c r="AH307" i="34"/>
  <c r="AG307" i="34"/>
  <c r="AF307" i="34"/>
  <c r="AE307" i="34"/>
  <c r="AH306" i="34"/>
  <c r="AG306" i="34"/>
  <c r="AF306" i="34"/>
  <c r="AE306" i="34"/>
  <c r="AH305" i="34"/>
  <c r="AG305" i="34"/>
  <c r="AF305" i="34"/>
  <c r="AE305" i="34"/>
  <c r="AH304" i="34"/>
  <c r="AG304" i="34"/>
  <c r="AF304" i="34"/>
  <c r="AE304" i="34"/>
  <c r="AH303" i="34"/>
  <c r="AG303" i="34"/>
  <c r="AF303" i="34"/>
  <c r="AE303" i="34"/>
  <c r="AH302" i="34"/>
  <c r="AG302" i="34"/>
  <c r="AF302" i="34"/>
  <c r="AE302" i="34"/>
  <c r="AH301" i="34"/>
  <c r="AG301" i="34"/>
  <c r="AE301" i="34"/>
  <c r="AH299" i="34"/>
  <c r="AG299" i="34"/>
  <c r="AF299" i="34"/>
  <c r="AE299" i="34"/>
  <c r="AH298" i="34"/>
  <c r="AG298" i="34"/>
  <c r="AF298" i="34"/>
  <c r="AE298" i="34"/>
  <c r="AH297" i="34"/>
  <c r="AG297" i="34"/>
  <c r="AF297" i="34"/>
  <c r="AE297" i="34"/>
  <c r="AH296" i="34"/>
  <c r="AG296" i="34"/>
  <c r="AF296" i="34"/>
  <c r="AE296" i="34"/>
  <c r="AG295" i="34"/>
  <c r="AE295" i="34"/>
  <c r="AH294" i="34"/>
  <c r="AG294" i="34"/>
  <c r="AF294" i="34"/>
  <c r="AE294" i="34"/>
  <c r="AH293" i="34"/>
  <c r="AG293" i="34"/>
  <c r="AF293" i="34"/>
  <c r="AE293" i="34"/>
  <c r="AH292" i="34"/>
  <c r="AG292" i="34"/>
  <c r="AF292" i="34"/>
  <c r="AE292" i="34"/>
  <c r="AG291" i="34"/>
  <c r="AE291" i="34"/>
  <c r="AH287" i="34"/>
  <c r="AG287" i="34"/>
  <c r="AF287" i="34"/>
  <c r="AE287" i="34"/>
  <c r="AH286" i="34"/>
  <c r="AG286" i="34"/>
  <c r="AF286" i="34"/>
  <c r="AE286" i="34"/>
  <c r="AH285" i="34"/>
  <c r="AF285" i="34"/>
  <c r="AE285" i="34"/>
  <c r="AH282" i="34"/>
  <c r="AG282" i="34"/>
  <c r="AF282" i="34"/>
  <c r="AE282" i="34"/>
  <c r="AH281" i="34"/>
  <c r="AG281" i="34"/>
  <c r="AF281" i="34"/>
  <c r="AE281" i="34"/>
  <c r="AH280" i="34"/>
  <c r="AG280" i="34"/>
  <c r="AF280" i="34"/>
  <c r="AE280" i="34"/>
  <c r="AH275" i="34"/>
  <c r="AG275" i="34"/>
  <c r="AF275" i="34"/>
  <c r="AE275" i="34"/>
  <c r="AH274" i="34"/>
  <c r="AG274" i="34"/>
  <c r="AF274" i="34"/>
  <c r="AE274" i="34"/>
  <c r="AH271" i="34"/>
  <c r="AG271" i="34"/>
  <c r="AF271" i="34"/>
  <c r="AE271" i="34"/>
  <c r="AH270" i="34"/>
  <c r="AG270" i="34"/>
  <c r="AF270" i="34"/>
  <c r="AE270" i="34"/>
  <c r="AH269" i="34"/>
  <c r="AG269" i="34"/>
  <c r="AF269" i="34"/>
  <c r="AF268" i="34" s="1"/>
  <c r="AE269" i="34"/>
  <c r="AH267" i="34"/>
  <c r="AE266" i="34"/>
  <c r="AE265" i="34"/>
  <c r="AF264" i="34"/>
  <c r="AG264" i="34"/>
  <c r="AE264" i="34"/>
  <c r="AH263" i="34"/>
  <c r="AG263" i="34"/>
  <c r="AE262" i="34"/>
  <c r="AF260" i="34"/>
  <c r="AG260" i="34"/>
  <c r="AE260" i="34"/>
  <c r="AH259" i="34"/>
  <c r="AG259" i="34"/>
  <c r="AF259" i="34"/>
  <c r="AH258" i="34"/>
  <c r="AG258" i="34"/>
  <c r="AE258" i="34"/>
  <c r="AG257" i="34"/>
  <c r="AH257" i="34"/>
  <c r="AF257" i="34"/>
  <c r="AE257" i="34"/>
  <c r="AF256" i="34"/>
  <c r="AG256" i="34"/>
  <c r="AE256" i="34"/>
  <c r="AH255" i="34"/>
  <c r="AG255" i="34"/>
  <c r="AF255" i="34"/>
  <c r="AH237" i="34"/>
  <c r="AG237" i="34"/>
  <c r="AF237" i="34"/>
  <c r="AE237" i="34"/>
  <c r="AH236" i="34"/>
  <c r="AG236" i="34"/>
  <c r="AF236" i="34"/>
  <c r="AE236" i="34"/>
  <c r="AH235" i="34"/>
  <c r="AG235" i="34"/>
  <c r="AF235" i="34"/>
  <c r="AE235" i="34"/>
  <c r="AH234" i="34"/>
  <c r="AG234" i="34"/>
  <c r="AF234" i="34"/>
  <c r="AE234" i="34"/>
  <c r="AH233" i="34"/>
  <c r="AG233" i="34"/>
  <c r="AF233" i="34"/>
  <c r="AE233" i="34"/>
  <c r="AH232" i="34"/>
  <c r="AG232" i="34"/>
  <c r="AF232" i="34"/>
  <c r="AE232" i="34"/>
  <c r="AH231" i="34"/>
  <c r="AE231" i="34"/>
  <c r="AH230" i="34"/>
  <c r="AG230" i="34"/>
  <c r="AF230" i="34"/>
  <c r="AE230" i="34"/>
  <c r="AH229" i="34"/>
  <c r="AG229" i="34"/>
  <c r="AF229" i="34"/>
  <c r="AE229" i="34"/>
  <c r="AH228" i="34"/>
  <c r="AG228" i="34"/>
  <c r="AF228" i="34"/>
  <c r="AE228" i="34"/>
  <c r="AH227" i="34"/>
  <c r="AG227" i="34"/>
  <c r="AF227" i="34"/>
  <c r="AE227" i="34"/>
  <c r="AH226" i="34"/>
  <c r="AG226" i="34"/>
  <c r="AF226" i="34"/>
  <c r="AE226" i="34"/>
  <c r="AH225" i="34"/>
  <c r="AG225" i="34"/>
  <c r="AF225" i="34"/>
  <c r="AE225" i="34"/>
  <c r="AG224" i="34"/>
  <c r="AH222" i="34"/>
  <c r="AF222" i="34"/>
  <c r="AE222" i="34"/>
  <c r="AG221" i="34"/>
  <c r="AF221" i="34"/>
  <c r="AH220" i="34"/>
  <c r="AG220" i="34"/>
  <c r="AH219" i="34"/>
  <c r="AG218" i="34"/>
  <c r="AE218" i="34"/>
  <c r="AG217" i="34"/>
  <c r="AH217" i="34"/>
  <c r="AF217" i="34"/>
  <c r="AE217" i="34"/>
  <c r="AH215" i="34"/>
  <c r="AG215" i="34"/>
  <c r="AF215" i="34"/>
  <c r="AE215" i="34"/>
  <c r="AH214" i="34"/>
  <c r="AF214" i="34"/>
  <c r="AE214" i="34"/>
  <c r="AG213" i="34"/>
  <c r="AF213" i="34"/>
  <c r="AH212" i="34"/>
  <c r="AF212" i="34"/>
  <c r="AE212" i="34"/>
  <c r="AH211" i="34"/>
  <c r="AG211" i="34"/>
  <c r="AF211" i="34"/>
  <c r="AH210" i="34"/>
  <c r="AH205" i="34"/>
  <c r="AG205" i="34"/>
  <c r="AF205" i="34"/>
  <c r="AE205" i="34"/>
  <c r="AH204" i="34"/>
  <c r="AG204" i="34"/>
  <c r="AF204" i="34"/>
  <c r="AE204" i="34"/>
  <c r="AF203" i="34"/>
  <c r="AH200" i="34"/>
  <c r="AG200" i="34"/>
  <c r="AF200" i="34"/>
  <c r="AE200" i="34"/>
  <c r="AH199" i="34"/>
  <c r="AG199" i="34"/>
  <c r="AF199" i="34"/>
  <c r="AE199" i="34"/>
  <c r="AH198" i="34"/>
  <c r="AG198" i="34"/>
  <c r="AF198" i="34"/>
  <c r="AE198" i="34"/>
  <c r="AE197" i="34" s="1"/>
  <c r="AH193" i="34"/>
  <c r="AG193" i="34"/>
  <c r="AF193" i="34"/>
  <c r="AE193" i="34"/>
  <c r="AH192" i="34"/>
  <c r="AG192" i="34"/>
  <c r="AF192" i="34"/>
  <c r="AE192" i="34"/>
  <c r="AH189" i="34"/>
  <c r="AG189" i="34"/>
  <c r="AF189" i="34"/>
  <c r="AE189" i="34"/>
  <c r="AH188" i="34"/>
  <c r="AG188" i="34"/>
  <c r="AF188" i="34"/>
  <c r="AH187" i="34"/>
  <c r="AG187" i="34"/>
  <c r="AF187" i="34"/>
  <c r="AE187" i="34"/>
  <c r="AH186" i="34"/>
  <c r="AG186" i="34"/>
  <c r="AF186" i="34"/>
  <c r="AE186" i="34"/>
  <c r="AH185" i="34"/>
  <c r="AE185" i="34"/>
  <c r="AG184" i="34"/>
  <c r="AF184" i="34"/>
  <c r="AE184" i="34"/>
  <c r="AH172" i="34"/>
  <c r="AG172" i="34"/>
  <c r="AF172" i="34"/>
  <c r="AE172" i="34"/>
  <c r="AF171" i="34"/>
  <c r="AG171" i="34"/>
  <c r="AH170" i="34"/>
  <c r="AF170" i="34"/>
  <c r="AE170" i="34"/>
  <c r="AH168" i="34"/>
  <c r="AG168" i="34"/>
  <c r="AF168" i="34"/>
  <c r="AE168" i="34"/>
  <c r="AH167" i="34"/>
  <c r="AG167" i="34"/>
  <c r="AF167" i="34"/>
  <c r="AE167" i="34"/>
  <c r="AH163" i="34"/>
  <c r="AG163" i="34"/>
  <c r="AF163" i="34"/>
  <c r="AE163" i="34"/>
  <c r="AH162" i="34"/>
  <c r="AG162" i="34"/>
  <c r="AF162" i="34"/>
  <c r="AE162" i="34"/>
  <c r="AH161" i="34"/>
  <c r="AG161" i="34"/>
  <c r="AF161" i="34"/>
  <c r="AE161" i="34"/>
  <c r="AH160" i="34"/>
  <c r="AG160" i="34"/>
  <c r="AF160" i="34"/>
  <c r="AE160" i="34"/>
  <c r="AH159" i="34"/>
  <c r="AG159" i="34"/>
  <c r="AF159" i="34"/>
  <c r="AE159" i="34"/>
  <c r="AE155" i="34"/>
  <c r="AH149" i="34"/>
  <c r="AG149" i="34"/>
  <c r="AF149" i="34"/>
  <c r="AE149" i="34"/>
  <c r="AH148" i="34"/>
  <c r="AG148" i="34"/>
  <c r="AF148" i="34"/>
  <c r="AE148" i="34"/>
  <c r="AH147" i="34"/>
  <c r="AH146" i="34" s="1"/>
  <c r="AG147" i="34"/>
  <c r="AF147" i="34"/>
  <c r="AE147" i="34"/>
  <c r="AH145" i="34"/>
  <c r="AH144" i="34"/>
  <c r="AG144" i="34"/>
  <c r="AF144" i="34"/>
  <c r="AE144" i="34"/>
  <c r="AH138" i="34"/>
  <c r="AG138" i="34"/>
  <c r="AF138" i="34"/>
  <c r="AE138" i="34"/>
  <c r="AH137" i="34"/>
  <c r="AG137" i="34"/>
  <c r="AF137" i="34"/>
  <c r="AH134" i="34"/>
  <c r="AG134" i="34"/>
  <c r="AF134" i="34"/>
  <c r="AE134" i="34"/>
  <c r="AH133" i="34"/>
  <c r="AG133" i="34"/>
  <c r="AF133" i="34"/>
  <c r="AE133" i="34"/>
  <c r="AH132" i="34"/>
  <c r="AG132" i="34"/>
  <c r="AF132" i="34"/>
  <c r="AE132" i="34"/>
  <c r="AH131" i="34"/>
  <c r="AG131" i="34"/>
  <c r="AF131" i="34"/>
  <c r="AE131" i="34"/>
  <c r="AG130" i="34"/>
  <c r="AE130" i="34"/>
  <c r="AG128" i="34"/>
  <c r="AH120" i="34"/>
  <c r="AG120" i="34"/>
  <c r="AF120" i="34"/>
  <c r="AE120" i="34"/>
  <c r="AG119" i="34"/>
  <c r="AF119" i="34"/>
  <c r="AE119" i="34"/>
  <c r="AG118" i="34"/>
  <c r="AF118" i="34"/>
  <c r="AE118" i="34"/>
  <c r="AH116" i="34"/>
  <c r="AG116" i="34"/>
  <c r="AF116" i="34"/>
  <c r="AE116" i="34"/>
  <c r="AH115" i="34"/>
  <c r="AG115" i="34"/>
  <c r="AF115" i="34"/>
  <c r="AE115" i="34"/>
  <c r="AH113" i="34"/>
  <c r="AG113" i="34"/>
  <c r="AF113" i="34"/>
  <c r="AE113" i="34"/>
  <c r="AF112" i="34"/>
  <c r="AH109" i="34"/>
  <c r="AG109" i="34"/>
  <c r="AF109" i="34"/>
  <c r="AE109" i="34"/>
  <c r="AH108" i="34"/>
  <c r="AG108" i="34"/>
  <c r="AF108" i="34"/>
  <c r="AE108" i="34"/>
  <c r="AH107" i="34"/>
  <c r="AG107" i="34"/>
  <c r="AF107" i="34"/>
  <c r="AE107" i="34"/>
  <c r="AH106" i="34"/>
  <c r="AF106" i="34"/>
  <c r="AE106" i="34"/>
  <c r="AH105" i="34"/>
  <c r="AG105" i="34"/>
  <c r="AF105" i="34"/>
  <c r="AH94" i="34"/>
  <c r="AG94" i="34"/>
  <c r="AF94" i="34"/>
  <c r="AE94" i="34"/>
  <c r="AH93" i="34"/>
  <c r="AG93" i="34"/>
  <c r="AF93" i="34"/>
  <c r="AE93" i="34"/>
  <c r="AH92" i="34"/>
  <c r="AG92" i="34"/>
  <c r="AF92" i="34"/>
  <c r="AE92" i="34"/>
  <c r="AH88" i="34"/>
  <c r="AG88" i="34"/>
  <c r="AF88" i="34"/>
  <c r="AE88" i="34"/>
  <c r="AH87" i="34"/>
  <c r="AG87" i="34"/>
  <c r="AF87" i="34"/>
  <c r="AE87" i="34"/>
  <c r="AH85" i="34"/>
  <c r="AG99" i="34"/>
  <c r="AE85" i="34"/>
  <c r="AG1529" i="34"/>
  <c r="AH83" i="34"/>
  <c r="AG83" i="34"/>
  <c r="AH80" i="34"/>
  <c r="AF80" i="34"/>
  <c r="AE80" i="34"/>
  <c r="AK78" i="34"/>
  <c r="AJ78" i="34"/>
  <c r="AI78" i="34"/>
  <c r="AH78" i="34"/>
  <c r="AG78" i="34"/>
  <c r="AF78" i="34"/>
  <c r="AE78" i="34"/>
  <c r="AH72" i="34"/>
  <c r="AG72" i="34"/>
  <c r="AF72" i="34"/>
  <c r="AE72" i="34"/>
  <c r="AH71" i="34"/>
  <c r="AG71" i="34"/>
  <c r="AF71" i="34"/>
  <c r="AE71" i="34"/>
  <c r="AH70" i="34"/>
  <c r="AG70" i="34"/>
  <c r="AF70" i="34"/>
  <c r="AE70" i="34"/>
  <c r="AH69" i="34"/>
  <c r="AG69" i="34"/>
  <c r="AF69" i="34"/>
  <c r="AE69" i="34"/>
  <c r="AH66" i="34"/>
  <c r="AG66" i="34"/>
  <c r="AF66" i="34"/>
  <c r="AE66" i="34"/>
  <c r="AH65" i="34"/>
  <c r="AG65" i="34"/>
  <c r="AF65" i="34"/>
  <c r="AE65" i="34"/>
  <c r="AH64" i="34"/>
  <c r="AG64" i="34"/>
  <c r="AF64" i="34"/>
  <c r="AE64" i="34"/>
  <c r="AH63" i="34"/>
  <c r="AG63" i="34"/>
  <c r="AF63" i="34"/>
  <c r="AE63" i="34"/>
  <c r="AG59" i="34"/>
  <c r="AH54" i="34"/>
  <c r="AG54" i="34"/>
  <c r="AF54" i="34"/>
  <c r="AE54" i="34"/>
  <c r="AH53" i="34"/>
  <c r="AG53" i="34"/>
  <c r="AF53" i="34"/>
  <c r="AE53" i="34"/>
  <c r="AH52" i="34"/>
  <c r="AG52" i="34"/>
  <c r="AF52" i="34"/>
  <c r="AE52" i="34"/>
  <c r="AH51" i="34"/>
  <c r="AG51" i="34"/>
  <c r="AF51" i="34"/>
  <c r="AE51" i="34"/>
  <c r="AH50" i="34"/>
  <c r="AG50" i="34"/>
  <c r="AF50" i="34"/>
  <c r="AE50" i="34"/>
  <c r="AH49" i="34"/>
  <c r="AG49" i="34"/>
  <c r="AF49" i="34"/>
  <c r="AE49" i="34"/>
  <c r="AH47" i="34"/>
  <c r="AG47" i="34"/>
  <c r="AF47" i="34"/>
  <c r="AE47" i="34"/>
  <c r="AH46" i="34"/>
  <c r="AG46" i="34"/>
  <c r="AF46" i="34"/>
  <c r="AE46" i="34"/>
  <c r="AH45" i="34"/>
  <c r="AH44" i="34" s="1"/>
  <c r="AG45" i="34"/>
  <c r="AF45" i="34"/>
  <c r="AE45" i="34"/>
  <c r="AH59" i="34"/>
  <c r="AH43" i="34"/>
  <c r="AG43" i="34"/>
  <c r="AF43" i="34"/>
  <c r="AE43" i="34"/>
  <c r="AH42" i="34"/>
  <c r="AG42" i="34"/>
  <c r="AF42" i="34"/>
  <c r="AE42" i="34"/>
  <c r="AH41" i="34"/>
  <c r="AG41" i="34"/>
  <c r="AF41" i="34"/>
  <c r="AE41" i="34"/>
  <c r="AF34" i="34"/>
  <c r="AH32" i="34"/>
  <c r="AG32" i="34"/>
  <c r="AF32" i="34"/>
  <c r="AE32" i="34"/>
  <c r="AH31" i="34"/>
  <c r="AG31" i="34"/>
  <c r="AF31" i="34"/>
  <c r="AE31" i="34"/>
  <c r="AH30" i="34"/>
  <c r="AG30" i="34"/>
  <c r="AF30" i="34"/>
  <c r="AE30" i="34"/>
  <c r="AG1324" i="34"/>
  <c r="AG1323" i="34"/>
  <c r="J6" i="34"/>
  <c r="AM427" i="34"/>
  <c r="AM409" i="34"/>
  <c r="AU156" i="34"/>
  <c r="BC263" i="34"/>
  <c r="AU171" i="34"/>
  <c r="AU391" i="34"/>
  <c r="AU150" i="34"/>
  <c r="AU524" i="34"/>
  <c r="AU887" i="34"/>
  <c r="AM904" i="34"/>
  <c r="AM165" i="34"/>
  <c r="BC446" i="34"/>
  <c r="AU97" i="34"/>
  <c r="AM446" i="34"/>
  <c r="BC264" i="34"/>
  <c r="BC460" i="34"/>
  <c r="BC216" i="34"/>
  <c r="AU201" i="34"/>
  <c r="AU262" i="34"/>
  <c r="AU265" i="34"/>
  <c r="AM357" i="34"/>
  <c r="BC461" i="34"/>
  <c r="AU208" i="34"/>
  <c r="AM450" i="34"/>
  <c r="BC360" i="34"/>
  <c r="AU182" i="34"/>
  <c r="AU560" i="34"/>
  <c r="AM494" i="34"/>
  <c r="BC680" i="34"/>
  <c r="BC15" i="34"/>
  <c r="AU357" i="34"/>
  <c r="AU576" i="34"/>
  <c r="AM762" i="34"/>
  <c r="BC453" i="34"/>
  <c r="AU103" i="34"/>
  <c r="AM346" i="34"/>
  <c r="BC357" i="34"/>
  <c r="AM918" i="34"/>
  <c r="BC209" i="34"/>
  <c r="BC580" i="34"/>
  <c r="AU918" i="34"/>
  <c r="AM358" i="34"/>
  <c r="AU387" i="34"/>
  <c r="BC157" i="34"/>
  <c r="AU15" i="34"/>
  <c r="AU330" i="34"/>
  <c r="BC561" i="34"/>
  <c r="AM445" i="34"/>
  <c r="AM887" i="34"/>
  <c r="AM401" i="34"/>
  <c r="BC223" i="34"/>
  <c r="AU175" i="34"/>
  <c r="AU388" i="34"/>
  <c r="BC355" i="34"/>
  <c r="AM123" i="34"/>
  <c r="AU453" i="34"/>
  <c r="AM411" i="34"/>
  <c r="BC390" i="34"/>
  <c r="BC387" i="34"/>
  <c r="BC201" i="34"/>
  <c r="AU112" i="34"/>
  <c r="AM416" i="34"/>
  <c r="AM576" i="34"/>
  <c r="BC501" i="34"/>
  <c r="AU1110" i="34"/>
  <c r="AU360" i="34"/>
  <c r="AM22" i="34"/>
  <c r="AM184" i="34"/>
  <c r="AU494" i="34"/>
  <c r="AM262" i="34"/>
  <c r="AM362" i="34"/>
  <c r="AU263" i="34"/>
  <c r="AU434" i="34"/>
  <c r="AM437" i="34"/>
  <c r="AU119" i="34"/>
  <c r="AU183" i="34"/>
  <c r="BC170" i="34"/>
  <c r="BC392" i="34"/>
  <c r="BC391" i="34"/>
  <c r="BC21" i="34"/>
  <c r="AM156" i="34"/>
  <c r="BC99" i="34"/>
  <c r="BC171" i="34"/>
  <c r="AM183" i="34"/>
  <c r="AU62" i="34"/>
  <c r="AM119" i="34"/>
  <c r="BC477" i="34"/>
  <c r="AM415" i="34"/>
  <c r="AM560" i="34"/>
  <c r="AU165" i="34"/>
  <c r="AM128" i="34"/>
  <c r="BC128" i="34"/>
  <c r="BC437" i="34"/>
  <c r="AM157" i="34"/>
  <c r="BC592" i="34"/>
  <c r="BC155" i="34"/>
  <c r="AM155" i="34"/>
  <c r="AM97" i="34"/>
  <c r="AM166" i="34"/>
  <c r="BC68" i="34"/>
  <c r="AU266" i="34"/>
  <c r="BC104" i="34"/>
  <c r="AU361" i="34"/>
  <c r="AU104" i="34"/>
  <c r="AM21" i="34"/>
  <c r="AU446" i="34"/>
  <c r="BC842" i="34"/>
  <c r="AM373" i="34"/>
  <c r="AU184" i="34"/>
  <c r="AU449" i="34"/>
  <c r="AU267" i="34"/>
  <c r="AU68" i="34"/>
  <c r="AU23" i="34"/>
  <c r="AM68" i="34"/>
  <c r="AM518" i="34"/>
  <c r="BC362" i="34"/>
  <c r="AM112" i="34"/>
  <c r="AU390" i="34"/>
  <c r="AM361" i="34"/>
  <c r="BC97" i="34"/>
  <c r="AU904" i="34"/>
  <c r="AM201" i="34"/>
  <c r="BC265" i="34"/>
  <c r="BC267" i="34"/>
  <c r="AM264" i="34"/>
  <c r="AM263" i="34"/>
  <c r="BC98" i="34"/>
  <c r="BC525" i="34"/>
  <c r="BC112" i="34"/>
  <c r="BC385" i="34"/>
  <c r="AU166" i="34"/>
  <c r="AU441" i="34"/>
  <c r="AM453" i="34"/>
  <c r="BC103" i="34"/>
  <c r="BC401" i="34"/>
  <c r="AU385" i="34"/>
  <c r="AU672" i="34"/>
  <c r="BC454" i="34"/>
  <c r="BC262" i="34"/>
  <c r="AM59" i="34"/>
  <c r="AM355" i="34"/>
  <c r="AM23" i="34"/>
  <c r="BC58" i="34"/>
  <c r="AU170" i="34"/>
  <c r="BC175" i="34"/>
  <c r="BC904" i="34"/>
  <c r="AU22" i="34"/>
  <c r="AM118" i="34"/>
  <c r="BC918" i="34"/>
  <c r="AM182" i="34"/>
  <c r="AM104" i="34"/>
  <c r="AM434" i="34"/>
  <c r="BC150" i="34"/>
  <c r="BC266" i="34"/>
  <c r="AM15" i="34"/>
  <c r="BC118" i="34"/>
  <c r="AU176" i="34"/>
  <c r="AU355" i="34"/>
  <c r="BC388" i="34"/>
  <c r="AU414" i="34"/>
  <c r="BC23" i="34"/>
  <c r="AM449" i="34"/>
  <c r="AM672" i="34"/>
  <c r="AM442" i="34"/>
  <c r="AU157" i="34"/>
  <c r="AU362" i="34"/>
  <c r="AM103" i="34"/>
  <c r="AU401" i="34"/>
  <c r="AU500" i="34"/>
  <c r="AU58" i="34"/>
  <c r="AM330" i="34"/>
  <c r="AU59" i="34"/>
  <c r="AM62" i="34"/>
  <c r="BC62" i="34"/>
  <c r="BC641" i="34"/>
  <c r="AU409" i="34"/>
  <c r="AU454" i="34"/>
  <c r="AM175" i="34"/>
  <c r="AM170" i="34"/>
  <c r="AM265" i="34"/>
  <c r="BC445" i="34"/>
  <c r="AU358" i="34"/>
  <c r="BC409" i="34"/>
  <c r="BC1110" i="34"/>
  <c r="AU99" i="34"/>
  <c r="BC346" i="34"/>
  <c r="AU1106" i="34"/>
  <c r="BC887" i="34"/>
  <c r="AU346" i="34"/>
  <c r="BC358" i="34"/>
  <c r="BC182" i="34"/>
  <c r="BC449" i="34"/>
  <c r="BC184" i="34"/>
  <c r="BC862" i="34"/>
  <c r="BC330" i="34"/>
  <c r="BC1106" i="34"/>
  <c r="AU445" i="34"/>
  <c r="AM208" i="34"/>
  <c r="AM360" i="34"/>
  <c r="AM266" i="34"/>
  <c r="BC22" i="34"/>
  <c r="AM454" i="34"/>
  <c r="AM441" i="34"/>
  <c r="BC183" i="34"/>
  <c r="AU264" i="34"/>
  <c r="AM99" i="34"/>
  <c r="AM1110" i="34"/>
  <c r="AM267" i="34"/>
  <c r="AU155" i="34"/>
  <c r="BC762" i="34"/>
  <c r="BC59" i="34"/>
  <c r="AU392" i="34"/>
  <c r="AM98" i="34"/>
  <c r="BC361" i="34"/>
  <c r="AU128" i="34"/>
  <c r="AM1106" i="34"/>
  <c r="AM150" i="34"/>
  <c r="AU21" i="34"/>
  <c r="AM414" i="34"/>
  <c r="AM171" i="34"/>
  <c r="AU118" i="34"/>
  <c r="AM129" i="34"/>
  <c r="BC119" i="34"/>
  <c r="BC441" i="34"/>
  <c r="AM176" i="34"/>
  <c r="AU762" i="34"/>
  <c r="AU98" i="34"/>
  <c r="AU437" i="34"/>
  <c r="AD166" i="34" l="1"/>
  <c r="AD378" i="34"/>
  <c r="AK1464" i="34"/>
  <c r="AH1431" i="34"/>
  <c r="AD373" i="34"/>
  <c r="AD377" i="34"/>
  <c r="AH673" i="34"/>
  <c r="AD591" i="34"/>
  <c r="AD842" i="34"/>
  <c r="AD1482" i="34" s="1"/>
  <c r="AD176" i="34"/>
  <c r="AD165" i="34"/>
  <c r="AD1527" i="34"/>
  <c r="AD460" i="34"/>
  <c r="AD434" i="34"/>
  <c r="AH1323" i="34"/>
  <c r="AH1529" i="34"/>
  <c r="AH48" i="34"/>
  <c r="AH1483" i="34"/>
  <c r="AC493" i="34"/>
  <c r="AC1480" i="34"/>
  <c r="AH40" i="34"/>
  <c r="AC592" i="34"/>
  <c r="AC591" i="34" s="1"/>
  <c r="AC191" i="34"/>
  <c r="AC195" i="34"/>
  <c r="AH509" i="34"/>
  <c r="AC104" i="34"/>
  <c r="AC461" i="34"/>
  <c r="AC460" i="34" s="1"/>
  <c r="AH112" i="34"/>
  <c r="AS918" i="34"/>
  <c r="AR918" i="34"/>
  <c r="AO918" i="34"/>
  <c r="AP918" i="34"/>
  <c r="AW918" i="34"/>
  <c r="BA918" i="34"/>
  <c r="AZ918" i="34"/>
  <c r="AX918" i="34"/>
  <c r="BI918" i="34"/>
  <c r="BE918" i="34"/>
  <c r="BH918" i="34"/>
  <c r="BF918" i="34"/>
  <c r="AR904" i="34"/>
  <c r="AS904" i="34"/>
  <c r="AO904" i="34"/>
  <c r="AP904" i="34"/>
  <c r="BA904" i="34"/>
  <c r="AZ904" i="34"/>
  <c r="AW904" i="34"/>
  <c r="AX904" i="34"/>
  <c r="BE904" i="34"/>
  <c r="BH904" i="34"/>
  <c r="BF904" i="34"/>
  <c r="BI904" i="34"/>
  <c r="S1417" i="34"/>
  <c r="S1413" i="34" s="1"/>
  <c r="AF919" i="34"/>
  <c r="Z887" i="34"/>
  <c r="AS887" i="34"/>
  <c r="AR887" i="34"/>
  <c r="AO887" i="34"/>
  <c r="AP887" i="34"/>
  <c r="BF887" i="34"/>
  <c r="BE887" i="34"/>
  <c r="BI887" i="34"/>
  <c r="BH887" i="34"/>
  <c r="AX887" i="34"/>
  <c r="BA887" i="34"/>
  <c r="AW887" i="34"/>
  <c r="AZ887" i="34"/>
  <c r="AH279" i="34"/>
  <c r="AH1146" i="34"/>
  <c r="AH764" i="34"/>
  <c r="AH774" i="34"/>
  <c r="AB591" i="34"/>
  <c r="AB183" i="34"/>
  <c r="AB1480" i="34"/>
  <c r="AH502" i="34"/>
  <c r="AB460" i="34"/>
  <c r="AH117" i="34"/>
  <c r="AG197" i="34"/>
  <c r="AG803" i="34"/>
  <c r="AG1138" i="34"/>
  <c r="AA238" i="34"/>
  <c r="AA272" i="34" s="1"/>
  <c r="AA276" i="34" s="1"/>
  <c r="AA277" i="34" s="1"/>
  <c r="AA247" i="34"/>
  <c r="AA176" i="34"/>
  <c r="AA190" i="34" s="1"/>
  <c r="AG183" i="34"/>
  <c r="AA592" i="34"/>
  <c r="AA591" i="34" s="1"/>
  <c r="AA179" i="34"/>
  <c r="AA493" i="34"/>
  <c r="AA842" i="34"/>
  <c r="AA1482" i="34" s="1"/>
  <c r="AA1480" i="34" s="1"/>
  <c r="AA58" i="34"/>
  <c r="AA57" i="34" s="1"/>
  <c r="AA1495" i="34"/>
  <c r="AA1505" i="34"/>
  <c r="AA461" i="34"/>
  <c r="AA460" i="34" s="1"/>
  <c r="AA104" i="34"/>
  <c r="AA102" i="34" s="1"/>
  <c r="AA79" i="34" s="1"/>
  <c r="AG146" i="34"/>
  <c r="AG44" i="34"/>
  <c r="AG1483" i="34"/>
  <c r="AG1142" i="34"/>
  <c r="Z1126" i="34"/>
  <c r="Z1173" i="34" s="1"/>
  <c r="Z1172" i="34" s="1"/>
  <c r="Z1157" i="34"/>
  <c r="Z1165" i="34" s="1"/>
  <c r="Z1125" i="34"/>
  <c r="Z592" i="34"/>
  <c r="Z591" i="34" s="1"/>
  <c r="Z843" i="34"/>
  <c r="Z847" i="34"/>
  <c r="Z1528" i="34" s="1"/>
  <c r="Z1527" i="34" s="1"/>
  <c r="Z460" i="34"/>
  <c r="Y1441" i="34"/>
  <c r="Y1126" i="34"/>
  <c r="Y1173" i="34" s="1"/>
  <c r="Y1172" i="34" s="1"/>
  <c r="Y1125" i="34"/>
  <c r="AG279" i="34"/>
  <c r="Y19" i="34"/>
  <c r="AG649" i="34"/>
  <c r="Y592" i="34"/>
  <c r="Y591" i="34" s="1"/>
  <c r="Y126" i="34"/>
  <c r="AG496" i="34"/>
  <c r="AG495" i="34" s="1"/>
  <c r="Y460" i="34"/>
  <c r="Y102" i="34"/>
  <c r="Y79" i="34" s="1"/>
  <c r="X1480" i="34"/>
  <c r="X493" i="34"/>
  <c r="X1505" i="34"/>
  <c r="X1495" i="34"/>
  <c r="X104" i="34"/>
  <c r="X114" i="34" s="1"/>
  <c r="X103" i="34"/>
  <c r="X461" i="34"/>
  <c r="X460" i="34" s="1"/>
  <c r="AF1146" i="34"/>
  <c r="W166" i="34"/>
  <c r="W173" i="34" s="1"/>
  <c r="W1549" i="34"/>
  <c r="W1558" i="34" s="1"/>
  <c r="W1567" i="34" s="1"/>
  <c r="W592" i="34"/>
  <c r="W591" i="34" s="1"/>
  <c r="W114" i="34"/>
  <c r="AF129" i="34"/>
  <c r="AF642" i="34"/>
  <c r="W460" i="34"/>
  <c r="AF146" i="34"/>
  <c r="V887" i="34"/>
  <c r="V1413" i="34"/>
  <c r="AF48" i="34"/>
  <c r="AF44" i="34"/>
  <c r="AF422" i="34"/>
  <c r="AF764" i="34"/>
  <c r="AF813" i="34"/>
  <c r="AF774" i="34"/>
  <c r="AF649" i="34"/>
  <c r="V176" i="34"/>
  <c r="AF183" i="34"/>
  <c r="V166" i="34"/>
  <c r="V173" i="34" s="1"/>
  <c r="V592" i="34"/>
  <c r="V591" i="34" s="1"/>
  <c r="V58" i="34"/>
  <c r="V57" i="34" s="1"/>
  <c r="V842" i="34"/>
  <c r="V1482" i="34" s="1"/>
  <c r="AF502" i="34"/>
  <c r="AF496" i="34"/>
  <c r="V461" i="34"/>
  <c r="V460" i="34" s="1"/>
  <c r="AF117" i="34"/>
  <c r="AE1464" i="34"/>
  <c r="U1125" i="34"/>
  <c r="U1157" i="34"/>
  <c r="U1165" i="34" s="1"/>
  <c r="T248" i="34"/>
  <c r="AE764" i="34"/>
  <c r="U191" i="34"/>
  <c r="U591" i="34"/>
  <c r="U1495" i="34"/>
  <c r="U1505" i="34"/>
  <c r="U461" i="34"/>
  <c r="U460" i="34" s="1"/>
  <c r="AE509" i="34"/>
  <c r="T1476" i="34"/>
  <c r="T19" i="34"/>
  <c r="T95" i="34"/>
  <c r="T591" i="34"/>
  <c r="T129" i="34"/>
  <c r="T123" i="34" s="1"/>
  <c r="T135" i="34" s="1"/>
  <c r="T139" i="34" s="1"/>
  <c r="T1505" i="34"/>
  <c r="T1514" i="34" s="1"/>
  <c r="T1523" i="34" s="1"/>
  <c r="T1495" i="34"/>
  <c r="T461" i="34"/>
  <c r="T460" i="34" s="1"/>
  <c r="T104" i="34"/>
  <c r="BE592" i="34"/>
  <c r="BH592" i="34"/>
  <c r="BI592" i="34"/>
  <c r="BF592" i="34"/>
  <c r="S591" i="34"/>
  <c r="S1441" i="34"/>
  <c r="AE146" i="34"/>
  <c r="S202" i="34"/>
  <c r="T1175" i="34"/>
  <c r="S1200" i="34"/>
  <c r="AE1129" i="34"/>
  <c r="S434" i="34"/>
  <c r="AE169" i="34"/>
  <c r="S1480" i="34"/>
  <c r="AE673" i="34"/>
  <c r="S176" i="34"/>
  <c r="BH862" i="34"/>
  <c r="BF862" i="34"/>
  <c r="BI862" i="34"/>
  <c r="BE862" i="34"/>
  <c r="BF842" i="34"/>
  <c r="BE842" i="34"/>
  <c r="BH842" i="34"/>
  <c r="BC1482" i="34"/>
  <c r="BH1482" i="34" s="1"/>
  <c r="BI842" i="34"/>
  <c r="BH641" i="34"/>
  <c r="BE641" i="34"/>
  <c r="BF641" i="34"/>
  <c r="BI641" i="34"/>
  <c r="S640" i="34"/>
  <c r="BI209" i="34"/>
  <c r="BH209" i="34"/>
  <c r="BE209" i="34"/>
  <c r="BF209" i="34"/>
  <c r="BC240" i="34"/>
  <c r="BE240" i="34" s="1"/>
  <c r="AE545" i="34"/>
  <c r="AE544" i="34" s="1"/>
  <c r="BF477" i="34"/>
  <c r="BI477" i="34"/>
  <c r="BE477" i="34"/>
  <c r="BH477" i="34"/>
  <c r="BE461" i="34"/>
  <c r="BH461" i="34"/>
  <c r="BF461" i="34"/>
  <c r="BI461" i="34"/>
  <c r="AB386" i="34"/>
  <c r="AG463" i="34"/>
  <c r="AG462" i="34" s="1"/>
  <c r="AD179" i="34"/>
  <c r="AB57" i="34"/>
  <c r="AD1495" i="34"/>
  <c r="W1208" i="34"/>
  <c r="V95" i="34"/>
  <c r="AD1157" i="34"/>
  <c r="AD1165" i="34" s="1"/>
  <c r="AD1125" i="34"/>
  <c r="AD408" i="34"/>
  <c r="AR208" i="34"/>
  <c r="AP208" i="34"/>
  <c r="AO208" i="34"/>
  <c r="AS208" i="34"/>
  <c r="AD1505" i="34"/>
  <c r="AD1514" i="34" s="1"/>
  <c r="AD1523" i="34" s="1"/>
  <c r="V410" i="34"/>
  <c r="V180" i="34"/>
  <c r="V174" i="34"/>
  <c r="V1551" i="34" s="1"/>
  <c r="T1318" i="34"/>
  <c r="V373" i="34"/>
  <c r="V406" i="34" s="1"/>
  <c r="V419" i="34" s="1"/>
  <c r="U493" i="34"/>
  <c r="S356" i="34"/>
  <c r="AE356" i="34" s="1"/>
  <c r="S311" i="34"/>
  <c r="AD178" i="34"/>
  <c r="AD359" i="34"/>
  <c r="T194" i="34"/>
  <c r="T195" i="34" s="1"/>
  <c r="Y336" i="34"/>
  <c r="X135" i="34"/>
  <c r="X139" i="34" s="1"/>
  <c r="AB359" i="34"/>
  <c r="V1484" i="34"/>
  <c r="S440" i="34"/>
  <c r="AA1208" i="34"/>
  <c r="Z373" i="34"/>
  <c r="Z406" i="34" s="1"/>
  <c r="Z419" i="34" s="1"/>
  <c r="X1407" i="34"/>
  <c r="X1408" i="34" s="1"/>
  <c r="X272" i="34"/>
  <c r="X276" i="34" s="1"/>
  <c r="X277" i="34" s="1"/>
  <c r="X239" i="34"/>
  <c r="AB381" i="34"/>
  <c r="AD125" i="34"/>
  <c r="U384" i="34"/>
  <c r="U408" i="34" s="1"/>
  <c r="AF40" i="34"/>
  <c r="X247" i="34"/>
  <c r="Z380" i="34"/>
  <c r="S1404" i="34"/>
  <c r="S1407" i="34"/>
  <c r="S1408" i="34" s="1"/>
  <c r="BA208" i="34"/>
  <c r="AW208" i="34"/>
  <c r="AX208" i="34"/>
  <c r="AZ208" i="34"/>
  <c r="AG472" i="34"/>
  <c r="AG468" i="34" s="1"/>
  <c r="AG467" i="34" s="1"/>
  <c r="AG461" i="34" s="1"/>
  <c r="V493" i="34"/>
  <c r="AB376" i="34"/>
  <c r="AR576" i="34"/>
  <c r="AP576" i="34"/>
  <c r="AO576" i="34"/>
  <c r="AS576" i="34"/>
  <c r="BF216" i="34"/>
  <c r="BE216" i="34"/>
  <c r="BI216" i="34"/>
  <c r="BH216" i="34"/>
  <c r="Y135" i="34"/>
  <c r="Y81" i="34"/>
  <c r="Y86" i="34" s="1"/>
  <c r="Y89" i="34" s="1"/>
  <c r="Y124" i="34"/>
  <c r="T1404" i="34"/>
  <c r="X1320" i="34"/>
  <c r="AA114" i="34"/>
  <c r="AA110" i="34" s="1"/>
  <c r="AD1484" i="34"/>
  <c r="U1476" i="34"/>
  <c r="AC177" i="34"/>
  <c r="Y177" i="34"/>
  <c r="Z1505" i="34"/>
  <c r="Z1514" i="34" s="1"/>
  <c r="Z1523" i="34" s="1"/>
  <c r="Z1476" i="34"/>
  <c r="Z311" i="34"/>
  <c r="U247" i="34"/>
  <c r="S1208" i="34"/>
  <c r="S208" i="34"/>
  <c r="W1516" i="34"/>
  <c r="W1525" i="34" s="1"/>
  <c r="V1476" i="34"/>
  <c r="Y166" i="34"/>
  <c r="Y173" i="34" s="1"/>
  <c r="AC19" i="34"/>
  <c r="Z165" i="34"/>
  <c r="Z560" i="34"/>
  <c r="AB261" i="34"/>
  <c r="AB247" i="34" s="1"/>
  <c r="Y238" i="34"/>
  <c r="Y272" i="34" s="1"/>
  <c r="Y273" i="34" s="1"/>
  <c r="X195" i="34"/>
  <c r="W377" i="34"/>
  <c r="Y195" i="34"/>
  <c r="W1319" i="34"/>
  <c r="Y191" i="34"/>
  <c r="V276" i="34"/>
  <c r="V277" i="34" s="1"/>
  <c r="Z1542" i="34"/>
  <c r="V179" i="34"/>
  <c r="AA377" i="34"/>
  <c r="W238" i="34"/>
  <c r="AB389" i="34"/>
  <c r="AB413" i="34" s="1"/>
  <c r="S378" i="34"/>
  <c r="Z174" i="34"/>
  <c r="Z1551" i="34" s="1"/>
  <c r="AS166" i="34"/>
  <c r="AR166" i="34"/>
  <c r="AO166" i="34"/>
  <c r="AP166" i="34"/>
  <c r="BE409" i="34"/>
  <c r="BF409" i="34"/>
  <c r="AZ560" i="34"/>
  <c r="BA560" i="34"/>
  <c r="AX560" i="34"/>
  <c r="AW560" i="34"/>
  <c r="BA494" i="34"/>
  <c r="AZ494" i="34"/>
  <c r="AX494" i="34"/>
  <c r="AW494" i="34"/>
  <c r="AW98" i="34"/>
  <c r="AZ98" i="34"/>
  <c r="AX98" i="34"/>
  <c r="BA98" i="34"/>
  <c r="BE98" i="34"/>
  <c r="BF98" i="34"/>
  <c r="BI98" i="34"/>
  <c r="BH98" i="34"/>
  <c r="AR23" i="34"/>
  <c r="AS23" i="34"/>
  <c r="AM1484" i="34"/>
  <c r="AM1480" i="34" s="1"/>
  <c r="AO23" i="34"/>
  <c r="AP23" i="34"/>
  <c r="AZ23" i="34"/>
  <c r="AU1484" i="34"/>
  <c r="AU1480" i="34" s="1"/>
  <c r="AX23" i="34"/>
  <c r="BA23" i="34"/>
  <c r="AW23" i="34"/>
  <c r="AM1477" i="34"/>
  <c r="AS21" i="34"/>
  <c r="AR21" i="34"/>
  <c r="AP21" i="34"/>
  <c r="AO21" i="34"/>
  <c r="BA15" i="34"/>
  <c r="AW15" i="34"/>
  <c r="AZ15" i="34"/>
  <c r="AX15" i="34"/>
  <c r="BE23" i="34"/>
  <c r="BC1484" i="34"/>
  <c r="BH23" i="34"/>
  <c r="BF23" i="34"/>
  <c r="BI23" i="34"/>
  <c r="AP373" i="34"/>
  <c r="AO373" i="34"/>
  <c r="AR373" i="34"/>
  <c r="AS373" i="34"/>
  <c r="AU1477" i="34"/>
  <c r="AZ21" i="34"/>
  <c r="AX21" i="34"/>
  <c r="AW21" i="34"/>
  <c r="BA21" i="34"/>
  <c r="AR119" i="34"/>
  <c r="AS119" i="34"/>
  <c r="AO119" i="34"/>
  <c r="AP119" i="34"/>
  <c r="BA119" i="34"/>
  <c r="AW119" i="34"/>
  <c r="AZ119" i="34"/>
  <c r="AX119" i="34"/>
  <c r="AS157" i="34"/>
  <c r="AR157" i="34"/>
  <c r="AO157" i="34"/>
  <c r="AP157" i="34"/>
  <c r="AW157" i="34"/>
  <c r="AZ157" i="34"/>
  <c r="AX157" i="34"/>
  <c r="BA157" i="34"/>
  <c r="BI155" i="34"/>
  <c r="BH155" i="34"/>
  <c r="BF155" i="34"/>
  <c r="BE155" i="34"/>
  <c r="BI118" i="34"/>
  <c r="BH118" i="34"/>
  <c r="BF118" i="34"/>
  <c r="BE118" i="34"/>
  <c r="AS518" i="34"/>
  <c r="AR518" i="34"/>
  <c r="AP518" i="34"/>
  <c r="AO518" i="34"/>
  <c r="BE150" i="34"/>
  <c r="BF150" i="34"/>
  <c r="BI150" i="34"/>
  <c r="BH150" i="34"/>
  <c r="AX330" i="34"/>
  <c r="AW330" i="34"/>
  <c r="AZ330" i="34"/>
  <c r="BA330" i="34"/>
  <c r="BI330" i="34"/>
  <c r="BF330" i="34"/>
  <c r="BH330" i="34"/>
  <c r="BE330" i="34"/>
  <c r="AU382" i="34"/>
  <c r="BA391" i="34"/>
  <c r="AX391" i="34"/>
  <c r="AW391" i="34"/>
  <c r="AZ391" i="34"/>
  <c r="BA390" i="34"/>
  <c r="AX390" i="34"/>
  <c r="AW390" i="34"/>
  <c r="AU381" i="34"/>
  <c r="AZ390" i="34"/>
  <c r="AU389" i="34"/>
  <c r="BF358" i="34"/>
  <c r="BI358" i="34"/>
  <c r="BE358" i="34"/>
  <c r="BH358" i="34"/>
  <c r="AR267" i="34"/>
  <c r="AM253" i="34"/>
  <c r="AS267" i="34"/>
  <c r="AO267" i="34"/>
  <c r="AP267" i="34"/>
  <c r="AS263" i="34"/>
  <c r="AR263" i="34"/>
  <c r="AM249" i="34"/>
  <c r="AP263" i="34"/>
  <c r="AO263" i="34"/>
  <c r="AS170" i="34"/>
  <c r="AR170" i="34"/>
  <c r="AP170" i="34"/>
  <c r="AO170" i="34"/>
  <c r="BA170" i="34"/>
  <c r="AW170" i="34"/>
  <c r="AZ170" i="34"/>
  <c r="AX170" i="34"/>
  <c r="AZ524" i="34"/>
  <c r="AX524" i="34"/>
  <c r="BA524" i="34"/>
  <c r="AW524" i="34"/>
  <c r="BF446" i="34"/>
  <c r="BH446" i="34"/>
  <c r="BI446" i="34"/>
  <c r="BE446" i="34"/>
  <c r="BC447" i="34"/>
  <c r="BF388" i="34"/>
  <c r="BH388" i="34"/>
  <c r="BE388" i="34"/>
  <c r="BC379" i="34"/>
  <c r="BI388" i="34"/>
  <c r="AS362" i="34"/>
  <c r="AR362" i="34"/>
  <c r="AP362" i="34"/>
  <c r="AO362" i="34"/>
  <c r="AM383" i="34"/>
  <c r="AZ362" i="34"/>
  <c r="BA362" i="34"/>
  <c r="AW362" i="34"/>
  <c r="AX362" i="34"/>
  <c r="AM359" i="34"/>
  <c r="AM380" i="34" s="1"/>
  <c r="AR360" i="34"/>
  <c r="AS360" i="34"/>
  <c r="AP360" i="34"/>
  <c r="AO360" i="34"/>
  <c r="AM381" i="34"/>
  <c r="AZ401" i="34"/>
  <c r="BA401" i="34"/>
  <c r="AX401" i="34"/>
  <c r="AW401" i="34"/>
  <c r="AR446" i="34"/>
  <c r="AM447" i="34"/>
  <c r="AS446" i="34"/>
  <c r="AO446" i="34"/>
  <c r="AP446" i="34"/>
  <c r="AW441" i="34"/>
  <c r="BA441" i="34"/>
  <c r="AZ441" i="34"/>
  <c r="AX441" i="34"/>
  <c r="BF59" i="34"/>
  <c r="BI59" i="34"/>
  <c r="BE59" i="34"/>
  <c r="BH59" i="34"/>
  <c r="AS330" i="34"/>
  <c r="AR330" i="34"/>
  <c r="AP330" i="34"/>
  <c r="AO330" i="34"/>
  <c r="BA263" i="34"/>
  <c r="AW263" i="34"/>
  <c r="AU249" i="34"/>
  <c r="AX263" i="34"/>
  <c r="AZ263" i="34"/>
  <c r="BI263" i="34"/>
  <c r="BH263" i="34"/>
  <c r="BE263" i="34"/>
  <c r="BC249" i="34"/>
  <c r="BF263" i="34"/>
  <c r="BE453" i="34"/>
  <c r="BH453" i="34"/>
  <c r="BF453" i="34"/>
  <c r="BI453" i="34"/>
  <c r="BH449" i="34"/>
  <c r="BF449" i="34"/>
  <c r="BI449" i="34"/>
  <c r="BE449" i="34"/>
  <c r="BH441" i="34"/>
  <c r="BF441" i="34"/>
  <c r="BI441" i="34"/>
  <c r="BE441" i="34"/>
  <c r="AZ1110" i="34"/>
  <c r="AW1110" i="34"/>
  <c r="BA1110" i="34"/>
  <c r="AX1110" i="34"/>
  <c r="AS1110" i="34"/>
  <c r="AR1110" i="34"/>
  <c r="AP1110" i="34"/>
  <c r="AO1110" i="34"/>
  <c r="BI1110" i="34"/>
  <c r="BH1110" i="34"/>
  <c r="BF1110" i="34"/>
  <c r="BE1110" i="34"/>
  <c r="BA358" i="34"/>
  <c r="AW358" i="34"/>
  <c r="AZ358" i="34"/>
  <c r="AX358" i="34"/>
  <c r="AX762" i="34"/>
  <c r="BA762" i="34"/>
  <c r="AW762" i="34"/>
  <c r="AZ762" i="34"/>
  <c r="BH183" i="34"/>
  <c r="BI183" i="34"/>
  <c r="BF183" i="34"/>
  <c r="BE183" i="34"/>
  <c r="AR453" i="34"/>
  <c r="AS453" i="34"/>
  <c r="AP453" i="34"/>
  <c r="AO453" i="34"/>
  <c r="AZ446" i="34"/>
  <c r="AU447" i="34"/>
  <c r="BA446" i="34"/>
  <c r="AX446" i="34"/>
  <c r="AW446" i="34"/>
  <c r="AR437" i="34"/>
  <c r="AS437" i="34"/>
  <c r="AO437" i="34"/>
  <c r="AP437" i="34"/>
  <c r="AX175" i="34"/>
  <c r="BA175" i="34"/>
  <c r="AW175" i="34"/>
  <c r="AZ175" i="34"/>
  <c r="BA165" i="34"/>
  <c r="AW165" i="34"/>
  <c r="AZ165" i="34"/>
  <c r="AX165" i="34"/>
  <c r="BA62" i="34"/>
  <c r="AW62" i="34"/>
  <c r="AZ62" i="34"/>
  <c r="AX62" i="34"/>
  <c r="BH62" i="34"/>
  <c r="BF62" i="34"/>
  <c r="BE62" i="34"/>
  <c r="BI62" i="34"/>
  <c r="AS176" i="34"/>
  <c r="AR176" i="34"/>
  <c r="AP176" i="34"/>
  <c r="AO176" i="34"/>
  <c r="AS62" i="34"/>
  <c r="AR62" i="34"/>
  <c r="AP62" i="34"/>
  <c r="AO62" i="34"/>
  <c r="AM451" i="34"/>
  <c r="AR450" i="34"/>
  <c r="AS450" i="34"/>
  <c r="AO450" i="34"/>
  <c r="AP450" i="34"/>
  <c r="AS434" i="34"/>
  <c r="AR434" i="34"/>
  <c r="AP434" i="34"/>
  <c r="AO434" i="34"/>
  <c r="BF175" i="34"/>
  <c r="BI175" i="34"/>
  <c r="BE175" i="34"/>
  <c r="BH175" i="34"/>
  <c r="AS99" i="34"/>
  <c r="AR99" i="34"/>
  <c r="AP99" i="34"/>
  <c r="AO99" i="34"/>
  <c r="AZ99" i="34"/>
  <c r="AX99" i="34"/>
  <c r="BA99" i="34"/>
  <c r="AW99" i="34"/>
  <c r="AS97" i="34"/>
  <c r="AR97" i="34"/>
  <c r="AO97" i="34"/>
  <c r="AP97" i="34"/>
  <c r="AW97" i="34"/>
  <c r="AZ97" i="34"/>
  <c r="AX97" i="34"/>
  <c r="BA97" i="34"/>
  <c r="BC1476" i="34"/>
  <c r="BE22" i="34"/>
  <c r="BF22" i="34"/>
  <c r="BI22" i="34"/>
  <c r="BH22" i="34"/>
  <c r="BH104" i="34"/>
  <c r="BF104" i="34"/>
  <c r="BI104" i="34"/>
  <c r="BE104" i="34"/>
  <c r="AO409" i="34"/>
  <c r="AP409" i="34"/>
  <c r="BE112" i="34"/>
  <c r="BH112" i="34"/>
  <c r="BF112" i="34"/>
  <c r="BI112" i="34"/>
  <c r="AR123" i="34"/>
  <c r="AS123" i="34"/>
  <c r="AM81" i="34"/>
  <c r="AO123" i="34"/>
  <c r="AP123" i="34"/>
  <c r="BE97" i="34"/>
  <c r="BH97" i="34"/>
  <c r="BF97" i="34"/>
  <c r="BI97" i="34"/>
  <c r="BE99" i="34"/>
  <c r="BH99" i="34"/>
  <c r="BF99" i="34"/>
  <c r="BI99" i="34"/>
  <c r="AS128" i="34"/>
  <c r="AM125" i="34"/>
  <c r="AR128" i="34"/>
  <c r="AO128" i="34"/>
  <c r="AP128" i="34"/>
  <c r="BI680" i="34"/>
  <c r="BE680" i="34"/>
  <c r="BH680" i="34"/>
  <c r="BF680" i="34"/>
  <c r="BA58" i="34"/>
  <c r="AW58" i="34"/>
  <c r="AZ58" i="34"/>
  <c r="AX58" i="34"/>
  <c r="BI58" i="34"/>
  <c r="BH58" i="34"/>
  <c r="BE58" i="34"/>
  <c r="BF58" i="34"/>
  <c r="AX388" i="34"/>
  <c r="AU379" i="34"/>
  <c r="BA388" i="34"/>
  <c r="AW388" i="34"/>
  <c r="AZ388" i="34"/>
  <c r="AW385" i="34"/>
  <c r="AZ385" i="34"/>
  <c r="AX385" i="34"/>
  <c r="AU376" i="34"/>
  <c r="BA385" i="34"/>
  <c r="BE357" i="34"/>
  <c r="BF357" i="34"/>
  <c r="BH357" i="34"/>
  <c r="BC356" i="34"/>
  <c r="BC354" i="34" s="1"/>
  <c r="BI357" i="34"/>
  <c r="AS266" i="34"/>
  <c r="AM252" i="34"/>
  <c r="AR266" i="34"/>
  <c r="AP266" i="34"/>
  <c r="AO266" i="34"/>
  <c r="BA266" i="34"/>
  <c r="AZ266" i="34"/>
  <c r="AW266" i="34"/>
  <c r="AU252" i="34"/>
  <c r="AX266" i="34"/>
  <c r="BC252" i="34"/>
  <c r="BI266" i="34"/>
  <c r="BF266" i="34"/>
  <c r="BH266" i="34"/>
  <c r="BE266" i="34"/>
  <c r="AS262" i="34"/>
  <c r="AM248" i="34"/>
  <c r="AR262" i="34"/>
  <c r="AO262" i="34"/>
  <c r="AP262" i="34"/>
  <c r="AZ262" i="34"/>
  <c r="AW262" i="34"/>
  <c r="AX262" i="34"/>
  <c r="AU248" i="34"/>
  <c r="BA262" i="34"/>
  <c r="AR183" i="34"/>
  <c r="AS183" i="34"/>
  <c r="AM179" i="34"/>
  <c r="AP183" i="34"/>
  <c r="AO183" i="34"/>
  <c r="BA183" i="34"/>
  <c r="AU179" i="34"/>
  <c r="AZ183" i="34"/>
  <c r="AX183" i="34"/>
  <c r="AW183" i="34"/>
  <c r="BI445" i="34"/>
  <c r="BE445" i="34"/>
  <c r="BH445" i="34"/>
  <c r="BF445" i="34"/>
  <c r="BI387" i="34"/>
  <c r="BC378" i="34"/>
  <c r="BH387" i="34"/>
  <c r="BF387" i="34"/>
  <c r="BC386" i="34"/>
  <c r="BC384" i="34" s="1"/>
  <c r="BE387" i="34"/>
  <c r="AS361" i="34"/>
  <c r="AR361" i="34"/>
  <c r="AO361" i="34"/>
  <c r="AP361" i="34"/>
  <c r="AM382" i="34"/>
  <c r="AS355" i="34"/>
  <c r="AR355" i="34"/>
  <c r="AO355" i="34"/>
  <c r="AP355" i="34"/>
  <c r="AM376" i="34"/>
  <c r="AR103" i="34"/>
  <c r="AS103" i="34"/>
  <c r="AP103" i="34"/>
  <c r="AO103" i="34"/>
  <c r="BA103" i="34"/>
  <c r="AW103" i="34"/>
  <c r="AZ103" i="34"/>
  <c r="AX103" i="34"/>
  <c r="BH103" i="34"/>
  <c r="BF103" i="34"/>
  <c r="BI103" i="34"/>
  <c r="BE103" i="34"/>
  <c r="AO415" i="34"/>
  <c r="AP415" i="34"/>
  <c r="AS445" i="34"/>
  <c r="AR445" i="34"/>
  <c r="AP445" i="34"/>
  <c r="AO445" i="34"/>
  <c r="AX437" i="34"/>
  <c r="BA437" i="34"/>
  <c r="AW437" i="34"/>
  <c r="AZ437" i="34"/>
  <c r="AX500" i="34"/>
  <c r="AW500" i="34"/>
  <c r="BA500" i="34"/>
  <c r="AZ500" i="34"/>
  <c r="BE401" i="34"/>
  <c r="BF401" i="34"/>
  <c r="BI401" i="34"/>
  <c r="BH401" i="34"/>
  <c r="AW1106" i="34"/>
  <c r="AZ1106" i="34"/>
  <c r="BA1106" i="34"/>
  <c r="AX1106" i="34"/>
  <c r="AR1106" i="34"/>
  <c r="AS1106" i="34"/>
  <c r="AO1106" i="34"/>
  <c r="AP1106" i="34"/>
  <c r="BF1106" i="34"/>
  <c r="BE1106" i="34"/>
  <c r="BH1106" i="34"/>
  <c r="BI1106" i="34"/>
  <c r="AX672" i="34"/>
  <c r="BA672" i="34"/>
  <c r="AW672" i="34"/>
  <c r="AZ672" i="34"/>
  <c r="BC178" i="34"/>
  <c r="BI182" i="34"/>
  <c r="BE182" i="34"/>
  <c r="BF182" i="34"/>
  <c r="BH182" i="34"/>
  <c r="BE561" i="34"/>
  <c r="BH561" i="34"/>
  <c r="BF561" i="34"/>
  <c r="BI561" i="34"/>
  <c r="AS401" i="34"/>
  <c r="AR401" i="34"/>
  <c r="AO401" i="34"/>
  <c r="AP401" i="34"/>
  <c r="AM347" i="34"/>
  <c r="AO347" i="34" s="1"/>
  <c r="AR346" i="34"/>
  <c r="AR347" i="34" s="1"/>
  <c r="AS346" i="34"/>
  <c r="AP346" i="34"/>
  <c r="AO346" i="34"/>
  <c r="AZ445" i="34"/>
  <c r="AX445" i="34"/>
  <c r="BA445" i="34"/>
  <c r="AW445" i="34"/>
  <c r="AM202" i="34"/>
  <c r="AO202" i="34" s="1"/>
  <c r="AR201" i="34"/>
  <c r="AS201" i="34"/>
  <c r="AO201" i="34"/>
  <c r="AP201" i="34"/>
  <c r="BA68" i="34"/>
  <c r="AW68" i="34"/>
  <c r="AX68" i="34"/>
  <c r="AZ68" i="34"/>
  <c r="BH68" i="34"/>
  <c r="BI68" i="34"/>
  <c r="BE68" i="34"/>
  <c r="BF68" i="34"/>
  <c r="AR68" i="34"/>
  <c r="AS68" i="34"/>
  <c r="AP68" i="34"/>
  <c r="AO68" i="34"/>
  <c r="AS442" i="34"/>
  <c r="AM443" i="34"/>
  <c r="AR442" i="34"/>
  <c r="AO442" i="34"/>
  <c r="AP442" i="34"/>
  <c r="AM1476" i="34"/>
  <c r="AS22" i="34"/>
  <c r="AR22" i="34"/>
  <c r="AO22" i="34"/>
  <c r="AP22" i="34"/>
  <c r="BF21" i="34"/>
  <c r="BE21" i="34"/>
  <c r="BC1477" i="34"/>
  <c r="BI21" i="34"/>
  <c r="BH21" i="34"/>
  <c r="AR165" i="34"/>
  <c r="AS165" i="34"/>
  <c r="AP165" i="34"/>
  <c r="AO165" i="34"/>
  <c r="AM126" i="34"/>
  <c r="AS129" i="34"/>
  <c r="AR129" i="34"/>
  <c r="AP129" i="34"/>
  <c r="AO129" i="34"/>
  <c r="BI119" i="34"/>
  <c r="BH119" i="34"/>
  <c r="BE119" i="34"/>
  <c r="BF119" i="34"/>
  <c r="BI157" i="34"/>
  <c r="BE157" i="34"/>
  <c r="BH157" i="34"/>
  <c r="BF157" i="34"/>
  <c r="AR155" i="34"/>
  <c r="AS155" i="34"/>
  <c r="AP155" i="34"/>
  <c r="AO155" i="34"/>
  <c r="BA155" i="34"/>
  <c r="AW155" i="34"/>
  <c r="AZ155" i="34"/>
  <c r="AX155" i="34"/>
  <c r="AS118" i="34"/>
  <c r="AR118" i="34"/>
  <c r="AO118" i="34"/>
  <c r="AP118" i="34"/>
  <c r="BA118" i="34"/>
  <c r="AW118" i="34"/>
  <c r="AZ118" i="34"/>
  <c r="AX118" i="34"/>
  <c r="BH262" i="34"/>
  <c r="BE262" i="34"/>
  <c r="BC248" i="34"/>
  <c r="BF262" i="34"/>
  <c r="BI262" i="34"/>
  <c r="BA176" i="34"/>
  <c r="AZ176" i="34"/>
  <c r="AX176" i="34"/>
  <c r="AW176" i="34"/>
  <c r="AX414" i="34"/>
  <c r="AW414" i="34"/>
  <c r="BI362" i="34"/>
  <c r="BE362" i="34"/>
  <c r="BH362" i="34"/>
  <c r="BF362" i="34"/>
  <c r="BC359" i="34"/>
  <c r="BI360" i="34"/>
  <c r="BH360" i="34"/>
  <c r="BE360" i="34"/>
  <c r="BF360" i="34"/>
  <c r="AS265" i="34"/>
  <c r="AR265" i="34"/>
  <c r="AM251" i="34"/>
  <c r="AP265" i="34"/>
  <c r="AO265" i="34"/>
  <c r="BH265" i="34"/>
  <c r="BF265" i="34"/>
  <c r="BC251" i="34"/>
  <c r="BI265" i="34"/>
  <c r="BE265" i="34"/>
  <c r="AW265" i="34"/>
  <c r="AZ265" i="34"/>
  <c r="BA265" i="34"/>
  <c r="AU251" i="34"/>
  <c r="AX265" i="34"/>
  <c r="AM180" i="34"/>
  <c r="AS184" i="34"/>
  <c r="AR184" i="34"/>
  <c r="AP184" i="34"/>
  <c r="AO184" i="34"/>
  <c r="AX184" i="34"/>
  <c r="AZ184" i="34"/>
  <c r="AW184" i="34"/>
  <c r="BA184" i="34"/>
  <c r="AU180" i="34"/>
  <c r="BE184" i="34"/>
  <c r="BC180" i="34"/>
  <c r="BH184" i="34"/>
  <c r="BF184" i="34"/>
  <c r="BI184" i="34"/>
  <c r="AS182" i="34"/>
  <c r="AR182" i="34"/>
  <c r="AM178" i="34"/>
  <c r="AP182" i="34"/>
  <c r="AO182" i="34"/>
  <c r="AW182" i="34"/>
  <c r="AZ182" i="34"/>
  <c r="AU178" i="34"/>
  <c r="AX182" i="34"/>
  <c r="BA182" i="34"/>
  <c r="AX150" i="34"/>
  <c r="AW150" i="34"/>
  <c r="AZ150" i="34"/>
  <c r="BA150" i="34"/>
  <c r="BI392" i="34"/>
  <c r="BC383" i="34"/>
  <c r="BE392" i="34"/>
  <c r="BH392" i="34"/>
  <c r="BF392" i="34"/>
  <c r="BI390" i="34"/>
  <c r="BE390" i="34"/>
  <c r="BF390" i="34"/>
  <c r="BC389" i="34"/>
  <c r="BH390" i="34"/>
  <c r="BC381" i="34"/>
  <c r="AS358" i="34"/>
  <c r="AR358" i="34"/>
  <c r="AP358" i="34"/>
  <c r="AO358" i="34"/>
  <c r="AM379" i="34"/>
  <c r="AO762" i="34"/>
  <c r="AP762" i="34"/>
  <c r="AR762" i="34"/>
  <c r="AS762" i="34"/>
  <c r="AS560" i="34"/>
  <c r="AR560" i="34"/>
  <c r="AP560" i="34"/>
  <c r="AO560" i="34"/>
  <c r="BH525" i="34"/>
  <c r="BF525" i="34"/>
  <c r="BI525" i="34"/>
  <c r="BE525" i="34"/>
  <c r="AU455" i="34"/>
  <c r="AX454" i="34"/>
  <c r="BA454" i="34"/>
  <c r="AW454" i="34"/>
  <c r="AZ454" i="34"/>
  <c r="AU347" i="34"/>
  <c r="AW347" i="34" s="1"/>
  <c r="BA346" i="34"/>
  <c r="AX346" i="34"/>
  <c r="AW346" i="34"/>
  <c r="AZ346" i="34"/>
  <c r="AZ347" i="34" s="1"/>
  <c r="BH223" i="34"/>
  <c r="BF223" i="34"/>
  <c r="BI223" i="34"/>
  <c r="BE223" i="34"/>
  <c r="BA267" i="34"/>
  <c r="AW267" i="34"/>
  <c r="AU253" i="34"/>
  <c r="AX267" i="34"/>
  <c r="AZ267" i="34"/>
  <c r="BH267" i="34"/>
  <c r="BE267" i="34"/>
  <c r="BC253" i="34"/>
  <c r="BF267" i="34"/>
  <c r="BI267" i="34"/>
  <c r="AR494" i="34"/>
  <c r="AS494" i="34"/>
  <c r="AO494" i="34"/>
  <c r="AP494" i="34"/>
  <c r="AS59" i="34"/>
  <c r="AR59" i="34"/>
  <c r="AO59" i="34"/>
  <c r="AP59" i="34"/>
  <c r="AW360" i="34"/>
  <c r="AX360" i="34"/>
  <c r="AZ360" i="34"/>
  <c r="AU359" i="34"/>
  <c r="BA360" i="34"/>
  <c r="BE171" i="34"/>
  <c r="BH171" i="34"/>
  <c r="BF171" i="34"/>
  <c r="BI171" i="34"/>
  <c r="BH501" i="34"/>
  <c r="BF501" i="34"/>
  <c r="BI501" i="34"/>
  <c r="BE501" i="34"/>
  <c r="AX112" i="34"/>
  <c r="BA112" i="34"/>
  <c r="AW112" i="34"/>
  <c r="AZ112" i="34"/>
  <c r="AO416" i="34"/>
  <c r="AP416" i="34"/>
  <c r="AR449" i="34"/>
  <c r="AS449" i="34"/>
  <c r="AP449" i="34"/>
  <c r="AO449" i="34"/>
  <c r="AS441" i="34"/>
  <c r="AR441" i="34"/>
  <c r="AP441" i="34"/>
  <c r="AO441" i="34"/>
  <c r="AS15" i="34"/>
  <c r="AR15" i="34"/>
  <c r="AO15" i="34"/>
  <c r="AP15" i="34"/>
  <c r="AX166" i="34"/>
  <c r="BA166" i="34"/>
  <c r="AW166" i="34"/>
  <c r="AZ166" i="34"/>
  <c r="AZ434" i="34"/>
  <c r="BA434" i="34"/>
  <c r="AX434" i="34"/>
  <c r="AW434" i="34"/>
  <c r="AR454" i="34"/>
  <c r="AS454" i="34"/>
  <c r="AM455" i="34"/>
  <c r="AO454" i="34"/>
  <c r="AP454" i="34"/>
  <c r="AR175" i="34"/>
  <c r="AS175" i="34"/>
  <c r="AO175" i="34"/>
  <c r="AP175" i="34"/>
  <c r="AR98" i="34"/>
  <c r="AS98" i="34"/>
  <c r="AP98" i="34"/>
  <c r="AO98" i="34"/>
  <c r="BH15" i="34"/>
  <c r="BE15" i="34"/>
  <c r="BI15" i="34"/>
  <c r="BF15" i="34"/>
  <c r="AO427" i="34"/>
  <c r="AR427" i="34"/>
  <c r="AR104" i="34"/>
  <c r="AS104" i="34"/>
  <c r="AO104" i="34"/>
  <c r="AP104" i="34"/>
  <c r="AS150" i="34"/>
  <c r="AR150" i="34"/>
  <c r="AO150" i="34"/>
  <c r="AP150" i="34"/>
  <c r="AR112" i="34"/>
  <c r="AS112" i="34"/>
  <c r="AP112" i="34"/>
  <c r="AO112" i="34"/>
  <c r="AS156" i="34"/>
  <c r="AR156" i="34"/>
  <c r="AP156" i="34"/>
  <c r="AO156" i="34"/>
  <c r="AZ156" i="34"/>
  <c r="AX156" i="34"/>
  <c r="AW156" i="34"/>
  <c r="BA156" i="34"/>
  <c r="BI128" i="34"/>
  <c r="BC125" i="34"/>
  <c r="BE128" i="34"/>
  <c r="BF128" i="34"/>
  <c r="BH128" i="34"/>
  <c r="AU1476" i="34"/>
  <c r="AZ22" i="34"/>
  <c r="AX22" i="34"/>
  <c r="BA22" i="34"/>
  <c r="AW22" i="34"/>
  <c r="AR672" i="34"/>
  <c r="AS672" i="34"/>
  <c r="AP672" i="34"/>
  <c r="AO672" i="34"/>
  <c r="AZ104" i="34"/>
  <c r="BA104" i="34"/>
  <c r="AX104" i="34"/>
  <c r="AW104" i="34"/>
  <c r="AP411" i="34"/>
  <c r="AO411" i="34"/>
  <c r="AW409" i="34"/>
  <c r="AX409" i="34"/>
  <c r="AX392" i="34"/>
  <c r="AZ392" i="34"/>
  <c r="AU383" i="34"/>
  <c r="BA392" i="34"/>
  <c r="AW392" i="34"/>
  <c r="AZ387" i="34"/>
  <c r="AU378" i="34"/>
  <c r="AW387" i="34"/>
  <c r="AX387" i="34"/>
  <c r="AU386" i="34"/>
  <c r="AU384" i="34" s="1"/>
  <c r="BA387" i="34"/>
  <c r="BH361" i="34"/>
  <c r="BF361" i="34"/>
  <c r="BI361" i="34"/>
  <c r="BE361" i="34"/>
  <c r="BF762" i="34"/>
  <c r="BE762" i="34"/>
  <c r="BI762" i="34"/>
  <c r="BH762" i="34"/>
  <c r="AM250" i="34"/>
  <c r="AR264" i="34"/>
  <c r="AR284" i="34" s="1"/>
  <c r="AS264" i="34"/>
  <c r="AP264" i="34"/>
  <c r="AO264" i="34"/>
  <c r="AR171" i="34"/>
  <c r="AS171" i="34"/>
  <c r="AO171" i="34"/>
  <c r="AP171" i="34"/>
  <c r="AW171" i="34"/>
  <c r="AZ171" i="34"/>
  <c r="AX171" i="34"/>
  <c r="BA171" i="34"/>
  <c r="BH460" i="34"/>
  <c r="BF460" i="34"/>
  <c r="BI460" i="34"/>
  <c r="BE460" i="34"/>
  <c r="AZ59" i="34"/>
  <c r="BA59" i="34"/>
  <c r="AX59" i="34"/>
  <c r="AW59" i="34"/>
  <c r="BI391" i="34"/>
  <c r="BF391" i="34"/>
  <c r="BH391" i="34"/>
  <c r="BE391" i="34"/>
  <c r="BC382" i="34"/>
  <c r="BC376" i="34"/>
  <c r="BI385" i="34"/>
  <c r="BF385" i="34"/>
  <c r="BE385" i="34"/>
  <c r="BH385" i="34"/>
  <c r="AM356" i="34"/>
  <c r="AM354" i="34" s="1"/>
  <c r="AM375" i="34" s="1"/>
  <c r="AS357" i="34"/>
  <c r="AR357" i="34"/>
  <c r="AO357" i="34"/>
  <c r="AP357" i="34"/>
  <c r="AM378" i="34"/>
  <c r="AW357" i="34"/>
  <c r="AU356" i="34"/>
  <c r="AX357" i="34"/>
  <c r="BA357" i="34"/>
  <c r="AZ357" i="34"/>
  <c r="BA453" i="34"/>
  <c r="AW453" i="34"/>
  <c r="AZ453" i="34"/>
  <c r="AX453" i="34"/>
  <c r="AZ449" i="34"/>
  <c r="AX449" i="34"/>
  <c r="BA449" i="34"/>
  <c r="AW449" i="34"/>
  <c r="AX201" i="34"/>
  <c r="AW201" i="34"/>
  <c r="BA201" i="34"/>
  <c r="AZ201" i="34"/>
  <c r="AU202" i="34"/>
  <c r="AW202" i="34" s="1"/>
  <c r="BA264" i="34"/>
  <c r="AW264" i="34"/>
  <c r="AZ264" i="34"/>
  <c r="AZ284" i="34" s="1"/>
  <c r="AX264" i="34"/>
  <c r="AU250" i="34"/>
  <c r="BC250" i="34"/>
  <c r="BF264" i="34"/>
  <c r="BH264" i="34"/>
  <c r="BH284" i="34" s="1"/>
  <c r="BI264" i="34"/>
  <c r="BE264" i="34"/>
  <c r="AZ576" i="34"/>
  <c r="BA576" i="34"/>
  <c r="AW576" i="34"/>
  <c r="AX576" i="34"/>
  <c r="BC455" i="34"/>
  <c r="BF454" i="34"/>
  <c r="BH454" i="34"/>
  <c r="BI454" i="34"/>
  <c r="BE454" i="34"/>
  <c r="BF346" i="34"/>
  <c r="BH346" i="34"/>
  <c r="BH347" i="34" s="1"/>
  <c r="BE346" i="34"/>
  <c r="BI346" i="34"/>
  <c r="BC347" i="34"/>
  <c r="BE347" i="34" s="1"/>
  <c r="BF201" i="34"/>
  <c r="BC202" i="34"/>
  <c r="BE202" i="34" s="1"/>
  <c r="BE201" i="34"/>
  <c r="BH201" i="34"/>
  <c r="BI201" i="34"/>
  <c r="BH437" i="34"/>
  <c r="BF437" i="34"/>
  <c r="BI437" i="34"/>
  <c r="BE437" i="34"/>
  <c r="AX361" i="34"/>
  <c r="BA361" i="34"/>
  <c r="AW361" i="34"/>
  <c r="AZ361" i="34"/>
  <c r="AX355" i="34"/>
  <c r="BA355" i="34"/>
  <c r="AZ355" i="34"/>
  <c r="AW355" i="34"/>
  <c r="BH355" i="34"/>
  <c r="BF355" i="34"/>
  <c r="BI355" i="34"/>
  <c r="BE355" i="34"/>
  <c r="BE170" i="34"/>
  <c r="BF170" i="34"/>
  <c r="BI170" i="34"/>
  <c r="BH170" i="34"/>
  <c r="BF580" i="34"/>
  <c r="BI580" i="34"/>
  <c r="BE580" i="34"/>
  <c r="BH580" i="34"/>
  <c r="AZ128" i="34"/>
  <c r="AW128" i="34"/>
  <c r="AX128" i="34"/>
  <c r="AU125" i="34"/>
  <c r="BA128" i="34"/>
  <c r="AO414" i="34"/>
  <c r="AP414" i="34"/>
  <c r="AD173" i="34"/>
  <c r="U272" i="34"/>
  <c r="U239" i="34"/>
  <c r="AB79" i="34"/>
  <c r="AG111" i="34"/>
  <c r="Y110" i="34"/>
  <c r="AI365" i="34"/>
  <c r="AI1396" i="34"/>
  <c r="AB1208" i="34"/>
  <c r="T1208" i="34"/>
  <c r="AB95" i="34"/>
  <c r="AB438" i="34" s="1"/>
  <c r="S95" i="34"/>
  <c r="S438" i="34" s="1"/>
  <c r="V1560" i="34"/>
  <c r="V1569" i="34" s="1"/>
  <c r="X1208" i="34"/>
  <c r="AB1312" i="34"/>
  <c r="S1320" i="34"/>
  <c r="AD406" i="34"/>
  <c r="AD419" i="34" s="1"/>
  <c r="AB1318" i="34"/>
  <c r="AB1316" i="34" s="1"/>
  <c r="T247" i="34"/>
  <c r="V154" i="34"/>
  <c r="AD1542" i="34"/>
  <c r="V165" i="34"/>
  <c r="V164" i="34" s="1"/>
  <c r="S376" i="34"/>
  <c r="AD493" i="34"/>
  <c r="S151" i="34"/>
  <c r="AB325" i="34"/>
  <c r="AB415" i="34"/>
  <c r="S379" i="34"/>
  <c r="AB518" i="34"/>
  <c r="AB405" i="34"/>
  <c r="AB412" i="34" s="1"/>
  <c r="S57" i="34"/>
  <c r="AD325" i="34"/>
  <c r="S452" i="34"/>
  <c r="AB379" i="34"/>
  <c r="AB356" i="34"/>
  <c r="AB377" i="34" s="1"/>
  <c r="BA1482" i="34"/>
  <c r="AW1482" i="34"/>
  <c r="AZ1482" i="34"/>
  <c r="AX1482" i="34"/>
  <c r="AZ244" i="34"/>
  <c r="AW244" i="34"/>
  <c r="AZ243" i="34"/>
  <c r="AW243" i="34"/>
  <c r="AZ242" i="34"/>
  <c r="AW242" i="34"/>
  <c r="BH242" i="34"/>
  <c r="BE242" i="34"/>
  <c r="AX80" i="34"/>
  <c r="AZ80" i="34"/>
  <c r="BA80" i="34"/>
  <c r="AW80" i="34"/>
  <c r="BH427" i="34"/>
  <c r="BE427" i="34"/>
  <c r="AS384" i="34"/>
  <c r="AO384" i="34"/>
  <c r="AR384" i="34"/>
  <c r="AP384" i="34"/>
  <c r="AR246" i="34"/>
  <c r="AO246" i="34"/>
  <c r="AO245" i="34"/>
  <c r="AR245" i="34"/>
  <c r="AO240" i="34"/>
  <c r="AR240" i="34"/>
  <c r="AO127" i="34"/>
  <c r="AR127" i="34"/>
  <c r="AB1552" i="34"/>
  <c r="AB67" i="34"/>
  <c r="S67" i="34"/>
  <c r="AD67" i="34"/>
  <c r="AD448" i="34"/>
  <c r="S1552" i="34"/>
  <c r="S1561" i="34" s="1"/>
  <c r="S1570" i="34" s="1"/>
  <c r="S1319" i="34"/>
  <c r="V126" i="34"/>
  <c r="V111" i="34"/>
  <c r="AD81" i="34"/>
  <c r="AD86" i="34" s="1"/>
  <c r="AD89" i="34" s="1"/>
  <c r="S79" i="34"/>
  <c r="T672" i="34"/>
  <c r="AD261" i="34"/>
  <c r="S444" i="34"/>
  <c r="AD444" i="34"/>
  <c r="AB129" i="34"/>
  <c r="AB123" i="34" s="1"/>
  <c r="S405" i="34"/>
  <c r="AB671" i="34"/>
  <c r="AB444" i="34"/>
  <c r="AX551" i="34"/>
  <c r="AW551" i="34"/>
  <c r="BA551" i="34"/>
  <c r="AZ551" i="34"/>
  <c r="BA544" i="34"/>
  <c r="AW544" i="34"/>
  <c r="AZ544" i="34"/>
  <c r="AX544" i="34"/>
  <c r="AW241" i="34"/>
  <c r="AZ241" i="34"/>
  <c r="BE544" i="34"/>
  <c r="BH544" i="34"/>
  <c r="BF544" i="34"/>
  <c r="BI544" i="34"/>
  <c r="AO312" i="34"/>
  <c r="AR312" i="34"/>
  <c r="BH245" i="34"/>
  <c r="BE245" i="34"/>
  <c r="BH241" i="34"/>
  <c r="BE241" i="34"/>
  <c r="AW127" i="34"/>
  <c r="AZ127" i="34"/>
  <c r="AO244" i="34"/>
  <c r="AR244" i="34"/>
  <c r="BH181" i="34"/>
  <c r="BE181" i="34"/>
  <c r="AR389" i="34"/>
  <c r="AP389" i="34"/>
  <c r="AS389" i="34"/>
  <c r="AO389" i="34"/>
  <c r="AS80" i="34"/>
  <c r="AO80" i="34"/>
  <c r="AR80" i="34"/>
  <c r="AP80" i="34"/>
  <c r="X339" i="34"/>
  <c r="X340" i="34" s="1"/>
  <c r="AB1551" i="34"/>
  <c r="AB1560" i="34" s="1"/>
  <c r="AB1569" i="34" s="1"/>
  <c r="AB73" i="34"/>
  <c r="S1551" i="34"/>
  <c r="S1560" i="34" s="1"/>
  <c r="S1569" i="34" s="1"/>
  <c r="S73" i="34"/>
  <c r="AA1320" i="34"/>
  <c r="AD73" i="34"/>
  <c r="Y1516" i="34"/>
  <c r="Y1525" i="34" s="1"/>
  <c r="S448" i="34"/>
  <c r="AD440" i="34"/>
  <c r="Z408" i="34"/>
  <c r="AD1168" i="34"/>
  <c r="AD1319" i="34"/>
  <c r="S1318" i="34"/>
  <c r="AD135" i="34"/>
  <c r="S386" i="34"/>
  <c r="S384" i="34" s="1"/>
  <c r="X380" i="34"/>
  <c r="T384" i="34"/>
  <c r="T408" i="34" s="1"/>
  <c r="S383" i="34"/>
  <c r="S381" i="34"/>
  <c r="S359" i="34"/>
  <c r="S380" i="34" s="1"/>
  <c r="AB151" i="34"/>
  <c r="S416" i="34"/>
  <c r="S414" i="34"/>
  <c r="S524" i="34"/>
  <c r="AB450" i="34"/>
  <c r="AD57" i="34"/>
  <c r="AD1197" i="34"/>
  <c r="AD1178" i="34" s="1"/>
  <c r="S500" i="34"/>
  <c r="AB111" i="34"/>
  <c r="AD1312" i="34"/>
  <c r="AZ245" i="34"/>
  <c r="AW245" i="34"/>
  <c r="BI551" i="34"/>
  <c r="BH551" i="34"/>
  <c r="BE551" i="34"/>
  <c r="BF551" i="34"/>
  <c r="BE244" i="34"/>
  <c r="BH244" i="34"/>
  <c r="AW181" i="34"/>
  <c r="AZ181" i="34"/>
  <c r="AS1482" i="34"/>
  <c r="AP1482" i="34"/>
  <c r="AO1482" i="34"/>
  <c r="AR1482" i="34"/>
  <c r="AS551" i="34"/>
  <c r="AO551" i="34"/>
  <c r="AR551" i="34"/>
  <c r="AP551" i="34"/>
  <c r="BF80" i="34"/>
  <c r="BI80" i="34"/>
  <c r="BH80" i="34"/>
  <c r="BE80" i="34"/>
  <c r="AD452" i="34"/>
  <c r="AD1552" i="34"/>
  <c r="AD1561" i="34" s="1"/>
  <c r="AD1570" i="34" s="1"/>
  <c r="AD95" i="34"/>
  <c r="AD96" i="34" s="1"/>
  <c r="S1312" i="34"/>
  <c r="AD126" i="34"/>
  <c r="AD151" i="34"/>
  <c r="AD111" i="34"/>
  <c r="V123" i="34"/>
  <c r="AB1476" i="34"/>
  <c r="AD671" i="34"/>
  <c r="S238" i="34"/>
  <c r="AB416" i="34"/>
  <c r="AB411" i="34"/>
  <c r="S382" i="34"/>
  <c r="S415" i="34"/>
  <c r="AB452" i="34"/>
  <c r="AB442" i="34"/>
  <c r="AD1413" i="34"/>
  <c r="AB382" i="34"/>
  <c r="S576" i="34"/>
  <c r="S560" i="34" s="1"/>
  <c r="S156" i="34"/>
  <c r="BH312" i="34"/>
  <c r="BE312" i="34"/>
  <c r="AW246" i="34"/>
  <c r="AZ246" i="34"/>
  <c r="AZ240" i="34"/>
  <c r="AW240" i="34"/>
  <c r="AZ427" i="34"/>
  <c r="AW427" i="34"/>
  <c r="BH246" i="34"/>
  <c r="BE246" i="34"/>
  <c r="BE243" i="34"/>
  <c r="BH243" i="34"/>
  <c r="AR544" i="34"/>
  <c r="AP544" i="34"/>
  <c r="AS544" i="34"/>
  <c r="AO544" i="34"/>
  <c r="AR243" i="34"/>
  <c r="AO243" i="34"/>
  <c r="AR242" i="34"/>
  <c r="AO242" i="34"/>
  <c r="AO241" i="34"/>
  <c r="AR241" i="34"/>
  <c r="BH127" i="34"/>
  <c r="BE127" i="34"/>
  <c r="AR386" i="34"/>
  <c r="AO386" i="34"/>
  <c r="AP386" i="34"/>
  <c r="AS386" i="34"/>
  <c r="AZ312" i="34"/>
  <c r="AW312" i="34"/>
  <c r="AR181" i="34"/>
  <c r="AO181" i="34"/>
  <c r="U124" i="34"/>
  <c r="U135" i="34"/>
  <c r="U81" i="34"/>
  <c r="AC272" i="34"/>
  <c r="AC239" i="34"/>
  <c r="AH1137" i="34"/>
  <c r="AB1404" i="34"/>
  <c r="U177" i="34"/>
  <c r="X177" i="34"/>
  <c r="V1591" i="34"/>
  <c r="V1590" i="34" s="1"/>
  <c r="X191" i="34"/>
  <c r="U1516" i="34"/>
  <c r="U1525" i="34" s="1"/>
  <c r="W1320" i="34"/>
  <c r="Z114" i="34"/>
  <c r="Z110" i="34" s="1"/>
  <c r="AD1476" i="34"/>
  <c r="V178" i="34"/>
  <c r="AD174" i="34"/>
  <c r="T335" i="34"/>
  <c r="AD154" i="34"/>
  <c r="AD177" i="34" s="1"/>
  <c r="Y410" i="34"/>
  <c r="Y384" i="34"/>
  <c r="Y408" i="34" s="1"/>
  <c r="AG1146" i="34"/>
  <c r="AJ172" i="34"/>
  <c r="X311" i="34"/>
  <c r="T177" i="34"/>
  <c r="T1320" i="34"/>
  <c r="X1319" i="34"/>
  <c r="X1316" i="34" s="1"/>
  <c r="U195" i="34"/>
  <c r="AA174" i="34"/>
  <c r="V114" i="34"/>
  <c r="V110" i="34" s="1"/>
  <c r="Z1484" i="34"/>
  <c r="U114" i="34"/>
  <c r="U110" i="34" s="1"/>
  <c r="AA335" i="34"/>
  <c r="U1484" i="34"/>
  <c r="U1480" i="34" s="1"/>
  <c r="AA180" i="34"/>
  <c r="AD180" i="34"/>
  <c r="Z239" i="34"/>
  <c r="AC247" i="34"/>
  <c r="S247" i="34"/>
  <c r="U126" i="34"/>
  <c r="AC384" i="34"/>
  <c r="AC375" i="34" s="1"/>
  <c r="AB384" i="34"/>
  <c r="X377" i="34"/>
  <c r="AG112" i="34"/>
  <c r="AJ398" i="34"/>
  <c r="AJ399" i="34"/>
  <c r="AJ400" i="34"/>
  <c r="AJ402" i="34"/>
  <c r="AJ404" i="34"/>
  <c r="AJ861" i="34"/>
  <c r="AI865" i="34"/>
  <c r="AI874" i="34"/>
  <c r="S19" i="34"/>
  <c r="AC1561" i="34"/>
  <c r="AC1570" i="34" s="1"/>
  <c r="AC123" i="34"/>
  <c r="AA126" i="34"/>
  <c r="U373" i="34"/>
  <c r="U406" i="34" s="1"/>
  <c r="U419" i="34" s="1"/>
  <c r="X384" i="34"/>
  <c r="X375" i="34" s="1"/>
  <c r="AC377" i="34"/>
  <c r="AA135" i="34"/>
  <c r="AA139" i="34" s="1"/>
  <c r="AA140" i="34" s="1"/>
  <c r="AA81" i="34"/>
  <c r="AA86" i="34" s="1"/>
  <c r="AA89" i="34" s="1"/>
  <c r="T239" i="34"/>
  <c r="T272" i="34"/>
  <c r="AE1448" i="34"/>
  <c r="AE1455" i="34"/>
  <c r="AE1458" i="34"/>
  <c r="AJ1462" i="34"/>
  <c r="AK1462" i="34" s="1"/>
  <c r="AJ1463" i="34"/>
  <c r="AK1463" i="34" s="1"/>
  <c r="W1600" i="34"/>
  <c r="W1607" i="34" s="1"/>
  <c r="S1597" i="34"/>
  <c r="S1604" i="34" s="1"/>
  <c r="S1587" i="34"/>
  <c r="W1559" i="34"/>
  <c r="W1568" i="34" s="1"/>
  <c r="AA1556" i="34"/>
  <c r="AA1565" i="34" s="1"/>
  <c r="S1556" i="34"/>
  <c r="S1565" i="34" s="1"/>
  <c r="Z179" i="34"/>
  <c r="Z126" i="34"/>
  <c r="Z494" i="34"/>
  <c r="Z493" i="34" s="1"/>
  <c r="V102" i="34"/>
  <c r="W1157" i="34"/>
  <c r="W1125" i="34"/>
  <c r="W1126" i="34"/>
  <c r="W1173" i="34" s="1"/>
  <c r="W1172" i="34" s="1"/>
  <c r="T413" i="34"/>
  <c r="AA166" i="34"/>
  <c r="AA173" i="34" s="1"/>
  <c r="AA154" i="34"/>
  <c r="AA177" i="34" s="1"/>
  <c r="AA384" i="34"/>
  <c r="W354" i="34"/>
  <c r="AI1450" i="34"/>
  <c r="AI1454" i="34"/>
  <c r="AI1457" i="34"/>
  <c r="AI1460" i="34"/>
  <c r="AE1461" i="34"/>
  <c r="Y1600" i="34"/>
  <c r="Y1607" i="34" s="1"/>
  <c r="AC1597" i="34"/>
  <c r="AC1604" i="34" s="1"/>
  <c r="U1597" i="34"/>
  <c r="U1604" i="34" s="1"/>
  <c r="AB1157" i="34"/>
  <c r="AB1165" i="34" s="1"/>
  <c r="AB1126" i="34"/>
  <c r="AB1173" i="34" s="1"/>
  <c r="AB1172" i="34" s="1"/>
  <c r="AB1168" i="34" s="1"/>
  <c r="AB1125" i="34"/>
  <c r="Y377" i="34"/>
  <c r="Y354" i="34"/>
  <c r="W123" i="34"/>
  <c r="T380" i="34"/>
  <c r="U377" i="34"/>
  <c r="U354" i="34"/>
  <c r="AJ187" i="34"/>
  <c r="AG1445" i="34"/>
  <c r="AJ1450" i="34"/>
  <c r="AK1450" i="34" s="1"/>
  <c r="AJ1454" i="34"/>
  <c r="AK1454" i="34" s="1"/>
  <c r="AG1455" i="34"/>
  <c r="AI1462" i="34"/>
  <c r="AI1463" i="34"/>
  <c r="V354" i="34"/>
  <c r="V375" i="34" s="1"/>
  <c r="X1157" i="34"/>
  <c r="X1165" i="34" s="1"/>
  <c r="X1126" i="34"/>
  <c r="X1173" i="34" s="1"/>
  <c r="X1172" i="34" s="1"/>
  <c r="X1125" i="34"/>
  <c r="T377" i="34"/>
  <c r="T354" i="34"/>
  <c r="X353" i="34"/>
  <c r="W384" i="34"/>
  <c r="AA354" i="34"/>
  <c r="AG40" i="34"/>
  <c r="AG1451" i="34"/>
  <c r="AJ1457" i="34"/>
  <c r="AK1457" i="34" s="1"/>
  <c r="AJ1460" i="34"/>
  <c r="AK1460" i="34" s="1"/>
  <c r="AD1587" i="34"/>
  <c r="V1587" i="34"/>
  <c r="T1157" i="34"/>
  <c r="T1165" i="34" s="1"/>
  <c r="T1126" i="34"/>
  <c r="T1173" i="34" s="1"/>
  <c r="T1172" i="34" s="1"/>
  <c r="T1168" i="34" s="1"/>
  <c r="T1125" i="34"/>
  <c r="W179" i="34"/>
  <c r="W154" i="34"/>
  <c r="AC125" i="34"/>
  <c r="AC353" i="34"/>
  <c r="Y413" i="34"/>
  <c r="W380" i="34"/>
  <c r="Y380" i="34"/>
  <c r="U380" i="34"/>
  <c r="S354" i="34"/>
  <c r="Y1561" i="34"/>
  <c r="Y1570" i="34" s="1"/>
  <c r="AC1316" i="34"/>
  <c r="Z95" i="34"/>
  <c r="Z438" i="34" s="1"/>
  <c r="AD102" i="34"/>
  <c r="AJ417" i="34"/>
  <c r="AJ418" i="34"/>
  <c r="AJ531" i="34"/>
  <c r="AI734" i="34"/>
  <c r="AI736" i="34"/>
  <c r="AI746" i="34"/>
  <c r="AI747" i="34"/>
  <c r="AJ1233" i="34"/>
  <c r="AC1512" i="34"/>
  <c r="AC1521" i="34" s="1"/>
  <c r="Y1501" i="34"/>
  <c r="X1512" i="34"/>
  <c r="X1521" i="34" s="1"/>
  <c r="Z1512" i="34"/>
  <c r="Z1521" i="34" s="1"/>
  <c r="X1516" i="34"/>
  <c r="X1525" i="34" s="1"/>
  <c r="AC1516" i="34"/>
  <c r="AC1525" i="34" s="1"/>
  <c r="V239" i="34"/>
  <c r="Y1320" i="34"/>
  <c r="Y1316" i="34" s="1"/>
  <c r="Z1561" i="34"/>
  <c r="Z1570" i="34" s="1"/>
  <c r="V247" i="34"/>
  <c r="AD413" i="34"/>
  <c r="AD380" i="34"/>
  <c r="AD354" i="34"/>
  <c r="Y1484" i="34"/>
  <c r="Y1480" i="34" s="1"/>
  <c r="AB19" i="34"/>
  <c r="Z135" i="34"/>
  <c r="Z81" i="34"/>
  <c r="Z354" i="34"/>
  <c r="Z102" i="34"/>
  <c r="AI395" i="34"/>
  <c r="AI521" i="34"/>
  <c r="AI1216" i="34"/>
  <c r="AI1218" i="34"/>
  <c r="AI1219" i="34"/>
  <c r="AA1512" i="34"/>
  <c r="AA1521" i="34" s="1"/>
  <c r="S1512" i="34"/>
  <c r="S1521" i="34" s="1"/>
  <c r="AD1516" i="34"/>
  <c r="AD1525" i="34" s="1"/>
  <c r="V1516" i="34"/>
  <c r="V1525" i="34" s="1"/>
  <c r="AD114" i="34"/>
  <c r="AD110" i="34" s="1"/>
  <c r="W1318" i="34"/>
  <c r="W19" i="34"/>
  <c r="AA1318" i="34"/>
  <c r="AA19" i="34"/>
  <c r="Z154" i="34"/>
  <c r="Z177" i="34" s="1"/>
  <c r="AI584" i="34"/>
  <c r="AI587" i="34"/>
  <c r="AI625" i="34"/>
  <c r="AI627" i="34"/>
  <c r="AI875" i="34"/>
  <c r="AI876" i="34"/>
  <c r="AI1221" i="34"/>
  <c r="AI1225" i="34"/>
  <c r="AJ1359" i="34"/>
  <c r="AD1600" i="34"/>
  <c r="AD1607" i="34" s="1"/>
  <c r="V1600" i="34"/>
  <c r="V1607" i="34" s="1"/>
  <c r="Z1597" i="34"/>
  <c r="Z1604" i="34" s="1"/>
  <c r="U1504" i="34"/>
  <c r="U1513" i="34" s="1"/>
  <c r="U1522" i="34" s="1"/>
  <c r="AB1559" i="34"/>
  <c r="AB1568" i="34" s="1"/>
  <c r="T1559" i="34"/>
  <c r="T1568" i="34" s="1"/>
  <c r="X1556" i="34"/>
  <c r="X1565" i="34" s="1"/>
  <c r="AB1548" i="34"/>
  <c r="T1548" i="34"/>
  <c r="X1545" i="34"/>
  <c r="X1504" i="34"/>
  <c r="X1513" i="34" s="1"/>
  <c r="X1522" i="34" s="1"/>
  <c r="W1512" i="34"/>
  <c r="W1521" i="34" s="1"/>
  <c r="AC1208" i="34"/>
  <c r="Z1318" i="34"/>
  <c r="Z1316" i="34" s="1"/>
  <c r="Z19" i="34"/>
  <c r="AC1200" i="34"/>
  <c r="U1316" i="34"/>
  <c r="AJ830" i="34"/>
  <c r="AJ831" i="34"/>
  <c r="AJ878" i="34"/>
  <c r="AJ879" i="34"/>
  <c r="W1501" i="34"/>
  <c r="T1561" i="34"/>
  <c r="T1570" i="34" s="1"/>
  <c r="AA124" i="34"/>
  <c r="AC96" i="34"/>
  <c r="AD1318" i="34"/>
  <c r="AD19" i="34"/>
  <c r="V1318" i="34"/>
  <c r="V1316" i="34" s="1"/>
  <c r="V19" i="34"/>
  <c r="AJ147" i="34"/>
  <c r="AJ148" i="34"/>
  <c r="AJ149" i="34"/>
  <c r="AJ162" i="34"/>
  <c r="AI541" i="34"/>
  <c r="AJ547" i="34"/>
  <c r="AE552" i="34"/>
  <c r="AE551" i="34" s="1"/>
  <c r="AJ748" i="34"/>
  <c r="AI756" i="34"/>
  <c r="AJ1115" i="34"/>
  <c r="AJ1116" i="34"/>
  <c r="AJ1364" i="34"/>
  <c r="X1600" i="34"/>
  <c r="X1607" i="34" s="1"/>
  <c r="AB1597" i="34"/>
  <c r="AB1604" i="34" s="1"/>
  <c r="T1597" i="34"/>
  <c r="T1604" i="34" s="1"/>
  <c r="V1208" i="34"/>
  <c r="Y1559" i="34"/>
  <c r="Y1568" i="34" s="1"/>
  <c r="AC1556" i="34"/>
  <c r="AC1565" i="34" s="1"/>
  <c r="U1556" i="34"/>
  <c r="U1565" i="34" s="1"/>
  <c r="X1559" i="34"/>
  <c r="X1568" i="34" s="1"/>
  <c r="AB1556" i="34"/>
  <c r="AB1565" i="34" s="1"/>
  <c r="T1556" i="34"/>
  <c r="T1565" i="34" s="1"/>
  <c r="X1501" i="34"/>
  <c r="AA1600" i="34"/>
  <c r="AA1607" i="34" s="1"/>
  <c r="AA1559" i="34"/>
  <c r="AA1568" i="34" s="1"/>
  <c r="S1559" i="34"/>
  <c r="S1568" i="34" s="1"/>
  <c r="W1556" i="34"/>
  <c r="W1565" i="34" s="1"/>
  <c r="W1504" i="34"/>
  <c r="W1513" i="34" s="1"/>
  <c r="W1522" i="34" s="1"/>
  <c r="AD1559" i="34"/>
  <c r="AD1568" i="34" s="1"/>
  <c r="V1559" i="34"/>
  <c r="V1568" i="34" s="1"/>
  <c r="Z1556" i="34"/>
  <c r="Z1565" i="34" s="1"/>
  <c r="V1504" i="34"/>
  <c r="V1513" i="34" s="1"/>
  <c r="V1522" i="34" s="1"/>
  <c r="Z1501" i="34"/>
  <c r="U19" i="34"/>
  <c r="T438" i="34"/>
  <c r="T96" i="34"/>
  <c r="Y438" i="34"/>
  <c r="Y96" i="34"/>
  <c r="X438" i="34"/>
  <c r="X96" i="34"/>
  <c r="AD438" i="34"/>
  <c r="V438" i="34"/>
  <c r="V96" i="34"/>
  <c r="U438" i="34"/>
  <c r="U96" i="34"/>
  <c r="AA438" i="34"/>
  <c r="AA96" i="34"/>
  <c r="X1596" i="34"/>
  <c r="X1603" i="34" s="1"/>
  <c r="X1580" i="34"/>
  <c r="AA1583" i="34"/>
  <c r="AA1599" i="34"/>
  <c r="AA1606" i="34" s="1"/>
  <c r="W1587" i="34"/>
  <c r="AA1558" i="34"/>
  <c r="AA1567" i="34" s="1"/>
  <c r="AA1539" i="34"/>
  <c r="S1558" i="34"/>
  <c r="S1567" i="34" s="1"/>
  <c r="S1539" i="34"/>
  <c r="W1555" i="34"/>
  <c r="W1564" i="34" s="1"/>
  <c r="W1536" i="34"/>
  <c r="V1545" i="34"/>
  <c r="Z1511" i="34"/>
  <c r="Z1520" i="34" s="1"/>
  <c r="Z1492" i="34"/>
  <c r="AJ1323" i="34"/>
  <c r="AI49" i="34"/>
  <c r="AI50" i="34"/>
  <c r="AI51" i="34"/>
  <c r="AI134" i="34"/>
  <c r="AI137" i="34"/>
  <c r="AI138" i="34"/>
  <c r="AI144" i="34"/>
  <c r="AI188" i="34"/>
  <c r="AI189" i="34"/>
  <c r="AI192" i="34"/>
  <c r="AI193" i="34"/>
  <c r="AI323" i="34"/>
  <c r="AI417" i="34"/>
  <c r="AK417" i="34" s="1"/>
  <c r="AJ626" i="34"/>
  <c r="AD1590" i="34"/>
  <c r="Y1590" i="34"/>
  <c r="X1590" i="34"/>
  <c r="AC1587" i="34"/>
  <c r="U1587" i="34"/>
  <c r="Y1548" i="34"/>
  <c r="AC1545" i="34"/>
  <c r="U1545" i="34"/>
  <c r="U1512" i="34"/>
  <c r="U1521" i="34" s="1"/>
  <c r="X1587" i="34"/>
  <c r="AB1558" i="34"/>
  <c r="AB1567" i="34" s="1"/>
  <c r="AB1539" i="34"/>
  <c r="T1558" i="34"/>
  <c r="T1567" i="34" s="1"/>
  <c r="T1539" i="34"/>
  <c r="X1555" i="34"/>
  <c r="X1564" i="34" s="1"/>
  <c r="X1536" i="34"/>
  <c r="AB1504" i="34"/>
  <c r="AB1513" i="34" s="1"/>
  <c r="AB1522" i="34" s="1"/>
  <c r="X1514" i="34"/>
  <c r="X1523" i="34" s="1"/>
  <c r="AB1511" i="34"/>
  <c r="AB1520" i="34" s="1"/>
  <c r="AB1492" i="34"/>
  <c r="T1511" i="34"/>
  <c r="T1520" i="34" s="1"/>
  <c r="T1492" i="34"/>
  <c r="S1600" i="34"/>
  <c r="S1607" i="34" s="1"/>
  <c r="W1597" i="34"/>
  <c r="W1604" i="34" s="1"/>
  <c r="AA1590" i="34"/>
  <c r="S1590" i="34"/>
  <c r="W1580" i="34"/>
  <c r="W1596" i="34"/>
  <c r="W1603" i="34" s="1"/>
  <c r="AA1548" i="34"/>
  <c r="S1548" i="34"/>
  <c r="W1545" i="34"/>
  <c r="AA1504" i="34"/>
  <c r="AA1513" i="34" s="1"/>
  <c r="AA1522" i="34" s="1"/>
  <c r="W1514" i="34"/>
  <c r="W1523" i="34" s="1"/>
  <c r="AA1511" i="34"/>
  <c r="AA1520" i="34" s="1"/>
  <c r="AA1492" i="34"/>
  <c r="S1511" i="34"/>
  <c r="S1520" i="34" s="1"/>
  <c r="S1492" i="34"/>
  <c r="V1583" i="34"/>
  <c r="Z1596" i="34"/>
  <c r="Z1603" i="34" s="1"/>
  <c r="Z1580" i="34"/>
  <c r="AD1558" i="34"/>
  <c r="AD1567" i="34" s="1"/>
  <c r="AD1539" i="34"/>
  <c r="V1558" i="34"/>
  <c r="V1567" i="34" s="1"/>
  <c r="V1539" i="34"/>
  <c r="Z1555" i="34"/>
  <c r="Z1564" i="34" s="1"/>
  <c r="Z1536" i="34"/>
  <c r="V1514" i="34"/>
  <c r="V1523" i="34" s="1"/>
  <c r="T164" i="34"/>
  <c r="T1471" i="34"/>
  <c r="T1440" i="34"/>
  <c r="T1412" i="34"/>
  <c r="T1310" i="34"/>
  <c r="T1268" i="34"/>
  <c r="T1212" i="34"/>
  <c r="T1078" i="34"/>
  <c r="T459" i="34"/>
  <c r="T78" i="34"/>
  <c r="U13" i="34"/>
  <c r="W311" i="34"/>
  <c r="W335" i="34"/>
  <c r="W177" i="34"/>
  <c r="W190" i="34"/>
  <c r="Z273" i="34"/>
  <c r="Z276" i="34"/>
  <c r="Z277" i="34" s="1"/>
  <c r="AC164" i="34"/>
  <c r="Z194" i="34"/>
  <c r="W164" i="34"/>
  <c r="Z339" i="34"/>
  <c r="Z340" i="34" s="1"/>
  <c r="Z336" i="34"/>
  <c r="AD1599" i="34"/>
  <c r="AD1606" i="34" s="1"/>
  <c r="AD1583" i="34"/>
  <c r="Y1599" i="34"/>
  <c r="Y1606" i="34" s="1"/>
  <c r="Y1583" i="34"/>
  <c r="AC1596" i="34"/>
  <c r="AC1603" i="34" s="1"/>
  <c r="AC1580" i="34"/>
  <c r="Y1558" i="34"/>
  <c r="Y1567" i="34" s="1"/>
  <c r="Y1539" i="34"/>
  <c r="AC1555" i="34"/>
  <c r="AC1564" i="34" s="1"/>
  <c r="AC1536" i="34"/>
  <c r="U1555" i="34"/>
  <c r="U1564" i="34" s="1"/>
  <c r="U1536" i="34"/>
  <c r="AD1545" i="34"/>
  <c r="AA194" i="34"/>
  <c r="AA195" i="34" s="1"/>
  <c r="AI757" i="34"/>
  <c r="AI758" i="34"/>
  <c r="AJ790" i="34"/>
  <c r="AJ792" i="34"/>
  <c r="AJ793" i="34"/>
  <c r="AI858" i="34"/>
  <c r="AE899" i="34"/>
  <c r="AE1416" i="34" s="1"/>
  <c r="AG904" i="34"/>
  <c r="AG1417" i="34" s="1"/>
  <c r="AJ1361" i="34"/>
  <c r="AJ1360" i="34" s="1"/>
  <c r="AI1364" i="34"/>
  <c r="AJ1365" i="34"/>
  <c r="AJ1395" i="34"/>
  <c r="AJ1400" i="34"/>
  <c r="AJ1406" i="34"/>
  <c r="Z1600" i="34"/>
  <c r="Z1607" i="34" s="1"/>
  <c r="AD1597" i="34"/>
  <c r="AD1604" i="34" s="1"/>
  <c r="V1597" i="34"/>
  <c r="V1604" i="34" s="1"/>
  <c r="Z1599" i="34"/>
  <c r="Z1606" i="34" s="1"/>
  <c r="Z1583" i="34"/>
  <c r="AC1600" i="34"/>
  <c r="AC1607" i="34" s="1"/>
  <c r="U1600" i="34"/>
  <c r="U1607" i="34" s="1"/>
  <c r="Y1597" i="34"/>
  <c r="Y1604" i="34" s="1"/>
  <c r="AC1599" i="34"/>
  <c r="AC1606" i="34" s="1"/>
  <c r="AC1583" i="34"/>
  <c r="AB1600" i="34"/>
  <c r="AB1607" i="34" s="1"/>
  <c r="T1600" i="34"/>
  <c r="T1607" i="34" s="1"/>
  <c r="X1597" i="34"/>
  <c r="X1604" i="34" s="1"/>
  <c r="AB1599" i="34"/>
  <c r="AB1606" i="34" s="1"/>
  <c r="AB1583" i="34"/>
  <c r="T1599" i="34"/>
  <c r="T1606" i="34" s="1"/>
  <c r="T1583" i="34"/>
  <c r="U1599" i="34"/>
  <c r="U1606" i="34" s="1"/>
  <c r="U1583" i="34"/>
  <c r="Y1596" i="34"/>
  <c r="Y1603" i="34" s="1"/>
  <c r="Y1580" i="34"/>
  <c r="AC1559" i="34"/>
  <c r="AC1568" i="34" s="1"/>
  <c r="U1559" i="34"/>
  <c r="U1568" i="34" s="1"/>
  <c r="Y1556" i="34"/>
  <c r="Y1565" i="34" s="1"/>
  <c r="AC1558" i="34"/>
  <c r="AC1567" i="34" s="1"/>
  <c r="AC1539" i="34"/>
  <c r="U1558" i="34"/>
  <c r="U1567" i="34" s="1"/>
  <c r="U1539" i="34"/>
  <c r="Y1555" i="34"/>
  <c r="Y1564" i="34" s="1"/>
  <c r="Y1536" i="34"/>
  <c r="Y1512" i="34"/>
  <c r="Y1521" i="34" s="1"/>
  <c r="AC1504" i="34"/>
  <c r="AC1513" i="34" s="1"/>
  <c r="AC1522" i="34" s="1"/>
  <c r="Y1504" i="34"/>
  <c r="AC1511" i="34"/>
  <c r="AC1520" i="34" s="1"/>
  <c r="AC1492" i="34"/>
  <c r="U1492" i="34"/>
  <c r="U1511" i="34"/>
  <c r="U1520" i="34" s="1"/>
  <c r="AB1596" i="34"/>
  <c r="AB1603" i="34" s="1"/>
  <c r="AB1580" i="34"/>
  <c r="T1596" i="34"/>
  <c r="T1603" i="34" s="1"/>
  <c r="T1580" i="34"/>
  <c r="X1539" i="34"/>
  <c r="X1558" i="34"/>
  <c r="X1567" i="34" s="1"/>
  <c r="AB1545" i="34"/>
  <c r="T1536" i="34"/>
  <c r="T1555" i="34"/>
  <c r="T1564" i="34" s="1"/>
  <c r="AB1512" i="34"/>
  <c r="AB1521" i="34" s="1"/>
  <c r="T1512" i="34"/>
  <c r="T1521" i="34" s="1"/>
  <c r="AB1514" i="34"/>
  <c r="AB1523" i="34" s="1"/>
  <c r="AB1501" i="34"/>
  <c r="T1501" i="34"/>
  <c r="W1599" i="34"/>
  <c r="W1606" i="34" s="1"/>
  <c r="W1583" i="34"/>
  <c r="AA1587" i="34"/>
  <c r="W1539" i="34"/>
  <c r="AA1555" i="34"/>
  <c r="AA1564" i="34" s="1"/>
  <c r="AA1536" i="34"/>
  <c r="S1555" i="34"/>
  <c r="S1564" i="34" s="1"/>
  <c r="S1536" i="34"/>
  <c r="AA1514" i="34"/>
  <c r="AA1523" i="34" s="1"/>
  <c r="AA1501" i="34"/>
  <c r="S1501" i="34"/>
  <c r="Z1587" i="34"/>
  <c r="AD1548" i="34"/>
  <c r="V1548" i="34"/>
  <c r="Z1545" i="34"/>
  <c r="AD1504" i="34"/>
  <c r="AD1513" i="34" s="1"/>
  <c r="AD1522" i="34" s="1"/>
  <c r="AD1511" i="34"/>
  <c r="AD1520" i="34" s="1"/>
  <c r="AD1492" i="34"/>
  <c r="V1511" i="34"/>
  <c r="V1520" i="34" s="1"/>
  <c r="V1492" i="34"/>
  <c r="X1561" i="34"/>
  <c r="X1570" i="34" s="1"/>
  <c r="T1560" i="34"/>
  <c r="T1569" i="34" s="1"/>
  <c r="Y1560" i="34"/>
  <c r="Y1569" i="34" s="1"/>
  <c r="AD190" i="34"/>
  <c r="Z121" i="34"/>
  <c r="U1560" i="34"/>
  <c r="U1569" i="34" s="1"/>
  <c r="Z164" i="34"/>
  <c r="S339" i="34"/>
  <c r="S336" i="34"/>
  <c r="AD164" i="34"/>
  <c r="AC435" i="34"/>
  <c r="AC433" i="34" s="1"/>
  <c r="AG1355" i="34"/>
  <c r="AG1354" i="34" s="1"/>
  <c r="AG1353" i="34" s="1"/>
  <c r="W1407" i="34"/>
  <c r="W1408" i="34" s="1"/>
  <c r="W1404" i="34"/>
  <c r="X1599" i="34"/>
  <c r="X1606" i="34" s="1"/>
  <c r="X1583" i="34"/>
  <c r="U1596" i="34"/>
  <c r="U1603" i="34" s="1"/>
  <c r="U1580" i="34"/>
  <c r="Y1492" i="34"/>
  <c r="Y1511" i="34"/>
  <c r="Y1520" i="34" s="1"/>
  <c r="S1583" i="34"/>
  <c r="S1599" i="34"/>
  <c r="S1606" i="34" s="1"/>
  <c r="Z1548" i="34"/>
  <c r="X121" i="34"/>
  <c r="X110" i="34"/>
  <c r="W121" i="34"/>
  <c r="W110" i="34"/>
  <c r="AA336" i="34"/>
  <c r="AA339" i="34"/>
  <c r="AA340" i="34" s="1"/>
  <c r="W438" i="34"/>
  <c r="W96" i="34"/>
  <c r="AI31" i="34"/>
  <c r="AI32" i="34"/>
  <c r="AJ47" i="34"/>
  <c r="AI115" i="34"/>
  <c r="AG313" i="34"/>
  <c r="AF314" i="34"/>
  <c r="AF315" i="34"/>
  <c r="AJ304" i="34"/>
  <c r="AJ523" i="34"/>
  <c r="AI531" i="34"/>
  <c r="AK531" i="34" s="1"/>
  <c r="AI655" i="34"/>
  <c r="AI832" i="34"/>
  <c r="AI879" i="34"/>
  <c r="AH1128" i="34"/>
  <c r="AH1127" i="34" s="1"/>
  <c r="AH1157" i="34" s="1"/>
  <c r="AJ1134" i="34"/>
  <c r="AJ1135" i="34"/>
  <c r="AJ1136" i="34"/>
  <c r="AJ1150" i="34"/>
  <c r="AJ1226" i="34"/>
  <c r="AJ1228" i="34"/>
  <c r="AI1361" i="34"/>
  <c r="AI1365" i="34"/>
  <c r="AI1367" i="34"/>
  <c r="Z1590" i="34"/>
  <c r="AC1590" i="34"/>
  <c r="AB1590" i="34"/>
  <c r="T1590" i="34"/>
  <c r="Z1208" i="34"/>
  <c r="U1590" i="34"/>
  <c r="Y1587" i="34"/>
  <c r="AC1548" i="34"/>
  <c r="U1548" i="34"/>
  <c r="Y1545" i="34"/>
  <c r="Y1544" i="34" s="1"/>
  <c r="U1514" i="34"/>
  <c r="U1523" i="34" s="1"/>
  <c r="AC1501" i="34"/>
  <c r="U1501" i="34"/>
  <c r="AB1587" i="34"/>
  <c r="T1587" i="34"/>
  <c r="X1548" i="34"/>
  <c r="AB1536" i="34"/>
  <c r="AB1555" i="34"/>
  <c r="AB1564" i="34" s="1"/>
  <c r="T1545" i="34"/>
  <c r="T1504" i="34"/>
  <c r="T1513" i="34" s="1"/>
  <c r="T1522" i="34" s="1"/>
  <c r="X1511" i="34"/>
  <c r="X1520" i="34" s="1"/>
  <c r="X1492" i="34"/>
  <c r="AA1597" i="34"/>
  <c r="AA1604" i="34" s="1"/>
  <c r="W1590" i="34"/>
  <c r="AA1596" i="34"/>
  <c r="AA1603" i="34" s="1"/>
  <c r="AA1580" i="34"/>
  <c r="S1580" i="34"/>
  <c r="S1596" i="34"/>
  <c r="S1603" i="34" s="1"/>
  <c r="AA1545" i="34"/>
  <c r="S1545" i="34"/>
  <c r="W1511" i="34"/>
  <c r="W1520" i="34" s="1"/>
  <c r="W1492" i="34"/>
  <c r="AD1596" i="34"/>
  <c r="AD1603" i="34" s="1"/>
  <c r="AD1580" i="34"/>
  <c r="V1596" i="34"/>
  <c r="V1603" i="34" s="1"/>
  <c r="V1580" i="34"/>
  <c r="Z1559" i="34"/>
  <c r="Z1568" i="34" s="1"/>
  <c r="AD1556" i="34"/>
  <c r="AD1565" i="34" s="1"/>
  <c r="V1556" i="34"/>
  <c r="V1565" i="34" s="1"/>
  <c r="Z1558" i="34"/>
  <c r="Z1567" i="34" s="1"/>
  <c r="Z1539" i="34"/>
  <c r="AD1555" i="34"/>
  <c r="AD1564" i="34" s="1"/>
  <c r="AD1536" i="34"/>
  <c r="V1555" i="34"/>
  <c r="V1564" i="34" s="1"/>
  <c r="V1536" i="34"/>
  <c r="AD1512" i="34"/>
  <c r="AD1521" i="34" s="1"/>
  <c r="V1512" i="34"/>
  <c r="V1521" i="34" s="1"/>
  <c r="AD1501" i="34"/>
  <c r="V1501" i="34"/>
  <c r="V1500" i="34" s="1"/>
  <c r="AB1561" i="34"/>
  <c r="AB1570" i="34" s="1"/>
  <c r="X1560" i="34"/>
  <c r="X1569" i="34" s="1"/>
  <c r="X164" i="34"/>
  <c r="AB1516" i="34"/>
  <c r="AB1525" i="34" s="1"/>
  <c r="T1516" i="34"/>
  <c r="T1525" i="34" s="1"/>
  <c r="U1561" i="34"/>
  <c r="U1570" i="34" s="1"/>
  <c r="Y164" i="34"/>
  <c r="Y1208" i="34"/>
  <c r="AD412" i="34"/>
  <c r="AD403" i="34"/>
  <c r="AA1516" i="34"/>
  <c r="AA1525" i="34" s="1"/>
  <c r="S1516" i="34"/>
  <c r="S1525" i="34" s="1"/>
  <c r="U1208" i="34"/>
  <c r="V311" i="34"/>
  <c r="V335" i="34"/>
  <c r="V177" i="34"/>
  <c r="V190" i="34"/>
  <c r="Z1516" i="34"/>
  <c r="Z1525" i="34" s="1"/>
  <c r="AC1560" i="34"/>
  <c r="AC1569" i="34" s="1"/>
  <c r="U164" i="34"/>
  <c r="U121" i="34"/>
  <c r="Z448" i="34"/>
  <c r="AI41" i="34"/>
  <c r="AI42" i="34"/>
  <c r="AI43" i="34"/>
  <c r="AJ50" i="34"/>
  <c r="AJ51" i="34"/>
  <c r="AJ52" i="34"/>
  <c r="AJ137" i="34"/>
  <c r="AI214" i="34"/>
  <c r="AI233" i="34"/>
  <c r="AI234" i="34"/>
  <c r="AI235" i="34"/>
  <c r="AI237" i="34"/>
  <c r="AJ487" i="34"/>
  <c r="AJ499" i="34"/>
  <c r="AJ511" i="34"/>
  <c r="AJ572" i="34"/>
  <c r="AJ574" i="34"/>
  <c r="AJ575" i="34"/>
  <c r="AJ747" i="34"/>
  <c r="AK747" i="34" s="1"/>
  <c r="AJ809" i="34"/>
  <c r="AE1419" i="34"/>
  <c r="AJ1151" i="34"/>
  <c r="AI1231" i="34"/>
  <c r="AG1386" i="34"/>
  <c r="AG1385" i="34" s="1"/>
  <c r="AG1384" i="34" s="1"/>
  <c r="AG1383" i="34" s="1"/>
  <c r="AJ1396" i="34"/>
  <c r="AK1396" i="34" s="1"/>
  <c r="AG585" i="34"/>
  <c r="AI487" i="34"/>
  <c r="AH501" i="34"/>
  <c r="AH500" i="34" s="1"/>
  <c r="AI511" i="34"/>
  <c r="AJ516" i="34"/>
  <c r="AH525" i="34"/>
  <c r="AH524" i="34" s="1"/>
  <c r="AI554" i="34"/>
  <c r="AI573" i="34"/>
  <c r="AI574" i="34"/>
  <c r="AI575" i="34"/>
  <c r="AJ607" i="34"/>
  <c r="AJ612" i="34"/>
  <c r="AJ613" i="34"/>
  <c r="AJ614" i="34"/>
  <c r="AJ623" i="34"/>
  <c r="AI751" i="34"/>
  <c r="AJ773" i="34"/>
  <c r="AI790" i="34"/>
  <c r="AK790" i="34" s="1"/>
  <c r="AI791" i="34"/>
  <c r="AJ814" i="34"/>
  <c r="AJ815" i="34"/>
  <c r="AI1247" i="34"/>
  <c r="AI1249" i="34"/>
  <c r="AJ1253" i="34"/>
  <c r="AJ1277" i="34"/>
  <c r="AJ1379" i="34"/>
  <c r="AJ30" i="34"/>
  <c r="AJ31" i="34"/>
  <c r="AJ32" i="34"/>
  <c r="AI63" i="34"/>
  <c r="AI172" i="34"/>
  <c r="AK172" i="34" s="1"/>
  <c r="AJ189" i="34"/>
  <c r="AJ192" i="34"/>
  <c r="AJ193" i="34"/>
  <c r="AJ200" i="34"/>
  <c r="AI225" i="34"/>
  <c r="AI226" i="34"/>
  <c r="AI227" i="34"/>
  <c r="AJ281" i="34"/>
  <c r="AI303" i="34"/>
  <c r="AI304" i="34"/>
  <c r="AJ345" i="34"/>
  <c r="AI370" i="34"/>
  <c r="AJ396" i="34"/>
  <c r="AI503" i="34"/>
  <c r="AI527" i="34"/>
  <c r="AI535" i="34"/>
  <c r="AJ540" i="34"/>
  <c r="AI607" i="34"/>
  <c r="AI608" i="34"/>
  <c r="AI613" i="34"/>
  <c r="AI614" i="34"/>
  <c r="AJ627" i="34"/>
  <c r="AK627" i="34" s="1"/>
  <c r="AJ630" i="34"/>
  <c r="AJ631" i="34"/>
  <c r="AJ646" i="34"/>
  <c r="AI676" i="34"/>
  <c r="AI678" i="34"/>
  <c r="AI679" i="34"/>
  <c r="AH725" i="34"/>
  <c r="AG743" i="34"/>
  <c r="AH749" i="34"/>
  <c r="AI771" i="34"/>
  <c r="AI772" i="34"/>
  <c r="AJ806" i="34"/>
  <c r="AI816" i="34"/>
  <c r="AE910" i="34"/>
  <c r="AE1418" i="34" s="1"/>
  <c r="AG1009" i="34"/>
  <c r="AH1081" i="34"/>
  <c r="AF1128" i="34"/>
  <c r="AJ1214" i="34"/>
  <c r="AJ1216" i="34"/>
  <c r="AJ1217" i="34"/>
  <c r="AJ1218" i="34"/>
  <c r="AK1218" i="34" s="1"/>
  <c r="AJ1219" i="34"/>
  <c r="AK1219" i="34" s="1"/>
  <c r="AJ1221" i="34"/>
  <c r="AJ1223" i="34"/>
  <c r="AJ1224" i="34"/>
  <c r="AJ1231" i="34"/>
  <c r="AI1381" i="34"/>
  <c r="AF1009" i="34"/>
  <c r="AG1096" i="34"/>
  <c r="AF1399" i="34"/>
  <c r="AG576" i="34"/>
  <c r="AJ43" i="34"/>
  <c r="AJ116" i="34"/>
  <c r="AJ235" i="34"/>
  <c r="AH315" i="34"/>
  <c r="AJ464" i="34"/>
  <c r="AJ503" i="34"/>
  <c r="AJ578" i="34"/>
  <c r="AJ579" i="34"/>
  <c r="AJ654" i="34"/>
  <c r="AG687" i="34"/>
  <c r="AI695" i="34"/>
  <c r="AJ796" i="34"/>
  <c r="AJ816" i="34"/>
  <c r="AJ834" i="34"/>
  <c r="AJ869" i="34"/>
  <c r="AJ875" i="34"/>
  <c r="AK875" i="34" s="1"/>
  <c r="AJ876" i="34"/>
  <c r="AK876" i="34" s="1"/>
  <c r="AG1102" i="34"/>
  <c r="AG1101" i="34" s="1"/>
  <c r="AJ1117" i="34"/>
  <c r="AJ1120" i="34"/>
  <c r="AF1137" i="34"/>
  <c r="AJ1337" i="34"/>
  <c r="AJ1338" i="34"/>
  <c r="AH1370" i="34"/>
  <c r="AH1369" i="34" s="1"/>
  <c r="AH1368" i="34" s="1"/>
  <c r="AJ1380" i="34"/>
  <c r="AJ1382" i="34"/>
  <c r="AJ1391" i="34"/>
  <c r="AJ1390" i="34" s="1"/>
  <c r="AJ1393" i="34"/>
  <c r="AG117" i="34"/>
  <c r="AJ88" i="34"/>
  <c r="AJ234" i="34"/>
  <c r="AJ372" i="34"/>
  <c r="AJ395" i="34"/>
  <c r="AK395" i="34" s="1"/>
  <c r="AJ69" i="34"/>
  <c r="AJ70" i="34"/>
  <c r="AJ71" i="34"/>
  <c r="AJ93" i="34"/>
  <c r="AJ94" i="34"/>
  <c r="AI116" i="34"/>
  <c r="AJ302" i="34"/>
  <c r="AJ470" i="34"/>
  <c r="AJ471" i="34"/>
  <c r="AJ475" i="34"/>
  <c r="AJ476" i="34"/>
  <c r="AJ594" i="34"/>
  <c r="AJ593" i="34" s="1"/>
  <c r="AJ600" i="34"/>
  <c r="AI636" i="34"/>
  <c r="AJ658" i="34"/>
  <c r="AJ659" i="34"/>
  <c r="AH681" i="34"/>
  <c r="AJ685" i="34"/>
  <c r="AJ719" i="34"/>
  <c r="AJ720" i="34"/>
  <c r="AJ722" i="34"/>
  <c r="AJ723" i="34"/>
  <c r="AJ728" i="34"/>
  <c r="AJ729" i="34"/>
  <c r="AJ730" i="34"/>
  <c r="AJ732" i="34"/>
  <c r="AG737" i="34"/>
  <c r="AJ741" i="34"/>
  <c r="AI785" i="34"/>
  <c r="AF794" i="34"/>
  <c r="AJ797" i="34"/>
  <c r="AJ807" i="34"/>
  <c r="AJ824" i="34"/>
  <c r="AG919" i="34"/>
  <c r="AK941" i="34"/>
  <c r="AG1137" i="34"/>
  <c r="AJ1225" i="34"/>
  <c r="AK1225" i="34" s="1"/>
  <c r="AJ1269" i="34"/>
  <c r="AJ1282" i="34"/>
  <c r="AJ1283" i="34"/>
  <c r="AJ1284" i="34"/>
  <c r="AJ1288" i="34"/>
  <c r="AJ1289" i="34"/>
  <c r="AJ1290" i="34"/>
  <c r="AJ1388" i="34"/>
  <c r="AE1392" i="34"/>
  <c r="AJ1397" i="34"/>
  <c r="AH1399" i="34"/>
  <c r="AJ42" i="34"/>
  <c r="AJ87" i="34"/>
  <c r="AJ113" i="34"/>
  <c r="AJ236" i="34"/>
  <c r="AI69" i="34"/>
  <c r="AK69" i="34" s="1"/>
  <c r="AI70" i="34"/>
  <c r="AI71" i="34"/>
  <c r="AI93" i="34"/>
  <c r="AI94" i="34"/>
  <c r="AI118" i="34"/>
  <c r="AI119" i="34"/>
  <c r="AI120" i="34"/>
  <c r="AJ133" i="34"/>
  <c r="AI163" i="34"/>
  <c r="AJ299" i="34"/>
  <c r="AG318" i="34"/>
  <c r="AG320" i="34"/>
  <c r="AJ332" i="34"/>
  <c r="AJ344" i="34"/>
  <c r="AI368" i="34"/>
  <c r="AJ370" i="34"/>
  <c r="AI471" i="34"/>
  <c r="AI476" i="34"/>
  <c r="AK476" i="34" s="1"/>
  <c r="AJ492" i="34"/>
  <c r="AJ507" i="34"/>
  <c r="AJ554" i="34"/>
  <c r="AJ563" i="34"/>
  <c r="AJ567" i="34"/>
  <c r="AI599" i="34"/>
  <c r="AI603" i="34"/>
  <c r="AI604" i="34"/>
  <c r="AI660" i="34"/>
  <c r="AI662" i="34"/>
  <c r="AI666" i="34"/>
  <c r="AI667" i="34"/>
  <c r="AI668" i="34"/>
  <c r="AI669" i="34"/>
  <c r="AI684" i="34"/>
  <c r="AI686" i="34"/>
  <c r="AJ696" i="34"/>
  <c r="AI702" i="34"/>
  <c r="AI703" i="34"/>
  <c r="AI704" i="34"/>
  <c r="AI708" i="34"/>
  <c r="AI710" i="34"/>
  <c r="AI712" i="34"/>
  <c r="AI714" i="34"/>
  <c r="AI728" i="34"/>
  <c r="AI729" i="34"/>
  <c r="AI730" i="34"/>
  <c r="AI740" i="34"/>
  <c r="AJ777" i="34"/>
  <c r="AJ781" i="34"/>
  <c r="AJ783" i="34"/>
  <c r="AI807" i="34"/>
  <c r="AI855" i="34"/>
  <c r="AI864" i="34"/>
  <c r="AG1086" i="34"/>
  <c r="AI1094" i="34"/>
  <c r="AI1093" i="34" s="1"/>
  <c r="AI1135" i="34"/>
  <c r="AK1135" i="34" s="1"/>
  <c r="AI1136" i="34"/>
  <c r="AK1136" i="34" s="1"/>
  <c r="AI1151" i="34"/>
  <c r="AJ1152" i="34"/>
  <c r="AJ1246" i="34"/>
  <c r="AJ1248" i="34"/>
  <c r="AJ1249" i="34"/>
  <c r="AK1249" i="34" s="1"/>
  <c r="AI1253" i="34"/>
  <c r="AI1269" i="34"/>
  <c r="AI1271" i="34"/>
  <c r="AI1272" i="34"/>
  <c r="AI1273" i="34"/>
  <c r="AI1275" i="34"/>
  <c r="AI1276" i="34"/>
  <c r="AI1277" i="34"/>
  <c r="AI1290" i="34"/>
  <c r="AI1388" i="34"/>
  <c r="AI1389" i="34"/>
  <c r="AI1397" i="34"/>
  <c r="AI1402" i="34"/>
  <c r="AF1461" i="34"/>
  <c r="AG1461" i="34"/>
  <c r="AJ119" i="34"/>
  <c r="AH169" i="34"/>
  <c r="AJ167" i="34"/>
  <c r="AJ204" i="34"/>
  <c r="AJ587" i="34"/>
  <c r="AI1373" i="34"/>
  <c r="AE1372" i="34"/>
  <c r="AE1371" i="34" s="1"/>
  <c r="AI1434" i="34"/>
  <c r="AI1431" i="34" s="1"/>
  <c r="AF1431" i="34"/>
  <c r="AJ199" i="34"/>
  <c r="AE1137" i="34"/>
  <c r="AJ63" i="34"/>
  <c r="AJ226" i="34"/>
  <c r="AJ227" i="34"/>
  <c r="AJ228" i="34"/>
  <c r="AI464" i="34"/>
  <c r="AE463" i="34"/>
  <c r="AE462" i="34" s="1"/>
  <c r="AJ480" i="34"/>
  <c r="AH313" i="34"/>
  <c r="AG426" i="34"/>
  <c r="AJ430" i="34"/>
  <c r="AH808" i="34"/>
  <c r="AJ811" i="34"/>
  <c r="AG857" i="34"/>
  <c r="AI870" i="34"/>
  <c r="AJ64" i="34"/>
  <c r="AJ66" i="34"/>
  <c r="AJ230" i="34"/>
  <c r="AJ282" i="34"/>
  <c r="AF317" i="34"/>
  <c r="AF318" i="34"/>
  <c r="AF319" i="34"/>
  <c r="AF320" i="34"/>
  <c r="AJ305" i="34"/>
  <c r="AJ306" i="34"/>
  <c r="AJ308" i="34"/>
  <c r="AJ324" i="34"/>
  <c r="AJ326" i="34"/>
  <c r="AJ328" i="34"/>
  <c r="AJ349" i="34"/>
  <c r="AF369" i="34"/>
  <c r="AJ371" i="34"/>
  <c r="AH393" i="34"/>
  <c r="AJ424" i="34"/>
  <c r="AI480" i="34"/>
  <c r="AJ481" i="34"/>
  <c r="AJ482" i="34"/>
  <c r="AJ490" i="34"/>
  <c r="AJ491" i="34"/>
  <c r="AJ514" i="34"/>
  <c r="AJ515" i="34"/>
  <c r="AJ548" i="34"/>
  <c r="AJ550" i="34"/>
  <c r="AH562" i="34"/>
  <c r="AH566" i="34"/>
  <c r="AH565" i="34" s="1"/>
  <c r="AJ588" i="34"/>
  <c r="AG601" i="34"/>
  <c r="AG596" i="34" s="1"/>
  <c r="AG592" i="34" s="1"/>
  <c r="AJ611" i="34"/>
  <c r="AJ644" i="34"/>
  <c r="AJ645" i="34"/>
  <c r="AJ652" i="34"/>
  <c r="AJ653" i="34"/>
  <c r="AF681" i="34"/>
  <c r="AJ691" i="34"/>
  <c r="AJ697" i="34"/>
  <c r="AI727" i="34"/>
  <c r="AJ858" i="34"/>
  <c r="AK858" i="34" s="1"/>
  <c r="AE919" i="34"/>
  <c r="AI920" i="34"/>
  <c r="AI919" i="34" s="1"/>
  <c r="AI954" i="34"/>
  <c r="AI972" i="34"/>
  <c r="AI971" i="34" s="1"/>
  <c r="AF971" i="34"/>
  <c r="AI1069" i="34"/>
  <c r="AI1067" i="34" s="1"/>
  <c r="AF1067" i="34"/>
  <c r="AI1084" i="34"/>
  <c r="AI1083" i="34" s="1"/>
  <c r="AF1083" i="34"/>
  <c r="AF1356" i="34"/>
  <c r="AF1355" i="34" s="1"/>
  <c r="AF1354" i="34" s="1"/>
  <c r="AF1353" i="34" s="1"/>
  <c r="AG290" i="34"/>
  <c r="AG314" i="34"/>
  <c r="AJ303" i="34"/>
  <c r="AJ323" i="34"/>
  <c r="AK323" i="34" s="1"/>
  <c r="AJ429" i="34"/>
  <c r="AJ527" i="34"/>
  <c r="AJ535" i="34"/>
  <c r="AJ555" i="34"/>
  <c r="AJ557" i="34"/>
  <c r="AJ583" i="34"/>
  <c r="AJ608" i="34"/>
  <c r="AF619" i="34"/>
  <c r="AF615" i="34" s="1"/>
  <c r="AJ634" i="34"/>
  <c r="AJ635" i="34"/>
  <c r="AJ636" i="34"/>
  <c r="AJ637" i="34"/>
  <c r="AJ675" i="34"/>
  <c r="AG693" i="34"/>
  <c r="AJ695" i="34"/>
  <c r="AJ726" i="34"/>
  <c r="AJ735" i="34"/>
  <c r="AJ736" i="34"/>
  <c r="AK736" i="34" s="1"/>
  <c r="AG888" i="34"/>
  <c r="AG1414" i="34" s="1"/>
  <c r="AJ1090" i="34"/>
  <c r="AJ1102" i="34" s="1"/>
  <c r="AH1102" i="34"/>
  <c r="AJ59" i="34"/>
  <c r="AI64" i="34"/>
  <c r="AJ109" i="34"/>
  <c r="AF169" i="34"/>
  <c r="AI168" i="34"/>
  <c r="AI204" i="34"/>
  <c r="AI215" i="34"/>
  <c r="AI229" i="34"/>
  <c r="AI230" i="34"/>
  <c r="AJ232" i="34"/>
  <c r="AI269" i="34"/>
  <c r="AI270" i="34"/>
  <c r="AF313" i="34"/>
  <c r="AI293" i="34"/>
  <c r="AI314" i="34" s="1"/>
  <c r="AI294" i="34"/>
  <c r="AG317" i="34"/>
  <c r="AJ297" i="34"/>
  <c r="AI343" i="34"/>
  <c r="AI344" i="34"/>
  <c r="AI345" i="34"/>
  <c r="AI350" i="34"/>
  <c r="AI357" i="34"/>
  <c r="AI367" i="34"/>
  <c r="AJ368" i="34"/>
  <c r="AI372" i="34"/>
  <c r="AI398" i="34"/>
  <c r="AK398" i="34" s="1"/>
  <c r="AI399" i="34"/>
  <c r="AI400" i="34"/>
  <c r="AK400" i="34" s="1"/>
  <c r="AI402" i="34"/>
  <c r="AK402" i="34" s="1"/>
  <c r="AI424" i="34"/>
  <c r="AI425" i="34"/>
  <c r="AF479" i="34"/>
  <c r="AF478" i="34" s="1"/>
  <c r="AI481" i="34"/>
  <c r="AI482" i="34"/>
  <c r="AG484" i="34"/>
  <c r="AG483" i="34" s="1"/>
  <c r="AG477" i="34" s="1"/>
  <c r="AI489" i="34"/>
  <c r="AI491" i="34"/>
  <c r="AI497" i="34"/>
  <c r="AI507" i="34"/>
  <c r="AI515" i="34"/>
  <c r="AI517" i="34"/>
  <c r="AJ538" i="34"/>
  <c r="AJ539" i="34"/>
  <c r="AI547" i="34"/>
  <c r="AK547" i="34" s="1"/>
  <c r="AI563" i="34"/>
  <c r="AI569" i="34"/>
  <c r="AI572" i="34"/>
  <c r="AI589" i="34"/>
  <c r="AI590" i="34"/>
  <c r="AJ595" i="34"/>
  <c r="AJ602" i="34"/>
  <c r="AJ603" i="34"/>
  <c r="AI612" i="34"/>
  <c r="AI646" i="34"/>
  <c r="AI647" i="34"/>
  <c r="AI648" i="34"/>
  <c r="AI692" i="34"/>
  <c r="AI696" i="34"/>
  <c r="AI697" i="34"/>
  <c r="AI698" i="34"/>
  <c r="AJ759" i="34"/>
  <c r="AH1093" i="34"/>
  <c r="AJ1095" i="34"/>
  <c r="AK1095" i="34" s="1"/>
  <c r="AJ1215" i="34"/>
  <c r="AE960" i="34"/>
  <c r="AG984" i="34"/>
  <c r="AI1152" i="34"/>
  <c r="AK1152" i="34" s="1"/>
  <c r="AI1158" i="34"/>
  <c r="AI1159" i="34"/>
  <c r="AI1160" i="34"/>
  <c r="AI1161" i="34"/>
  <c r="AI1162" i="34"/>
  <c r="AI1163" i="34"/>
  <c r="AI1164" i="34"/>
  <c r="AI1215" i="34"/>
  <c r="AJ1220" i="34"/>
  <c r="AJ1227" i="34"/>
  <c r="AI1246" i="34"/>
  <c r="AJ1271" i="34"/>
  <c r="AJ1272" i="34"/>
  <c r="AJ1273" i="34"/>
  <c r="AJ1279" i="34"/>
  <c r="AJ1280" i="34"/>
  <c r="AJ1281" i="34"/>
  <c r="AJ1286" i="34"/>
  <c r="AF1372" i="34"/>
  <c r="AF1371" i="34" s="1"/>
  <c r="AF1370" i="34" s="1"/>
  <c r="AF1369" i="34" s="1"/>
  <c r="AF1368" i="34" s="1"/>
  <c r="AJ1389" i="34"/>
  <c r="AF1392" i="34"/>
  <c r="AH1464" i="34"/>
  <c r="AJ767" i="34"/>
  <c r="AJ768" i="34"/>
  <c r="AJ788" i="34"/>
  <c r="AI792" i="34"/>
  <c r="AI793" i="34"/>
  <c r="AJ795" i="34"/>
  <c r="AF808" i="34"/>
  <c r="AE808" i="34"/>
  <c r="AI811" i="34"/>
  <c r="AJ812" i="34"/>
  <c r="AH823" i="34"/>
  <c r="AJ835" i="34"/>
  <c r="AH857" i="34"/>
  <c r="AJ860" i="34"/>
  <c r="AE888" i="34"/>
  <c r="AE1414" i="34" s="1"/>
  <c r="AK971" i="34"/>
  <c r="AE984" i="34"/>
  <c r="AI1001" i="34"/>
  <c r="AG1025" i="34"/>
  <c r="AI1086" i="34"/>
  <c r="AH1089" i="34"/>
  <c r="AJ1285" i="34"/>
  <c r="AJ1342" i="34"/>
  <c r="AJ1343" i="34"/>
  <c r="AJ1344" i="34"/>
  <c r="AJ1347" i="34"/>
  <c r="AJ1348" i="34"/>
  <c r="AJ1363" i="34"/>
  <c r="AJ1362" i="34" s="1"/>
  <c r="AE1387" i="34"/>
  <c r="AF1386" i="34"/>
  <c r="AG1399" i="34"/>
  <c r="AF737" i="34"/>
  <c r="AI742" i="34"/>
  <c r="AI765" i="34"/>
  <c r="AI766" i="34"/>
  <c r="AI781" i="34"/>
  <c r="AI782" i="34"/>
  <c r="AI783" i="34"/>
  <c r="AI804" i="34"/>
  <c r="AI806" i="34"/>
  <c r="AF823" i="34"/>
  <c r="AI825" i="34"/>
  <c r="AI835" i="34"/>
  <c r="AG833" i="34"/>
  <c r="AF857" i="34"/>
  <c r="AI859" i="34"/>
  <c r="AI860" i="34"/>
  <c r="AE924" i="34"/>
  <c r="AE930" i="34"/>
  <c r="AG949" i="34"/>
  <c r="AE954" i="34"/>
  <c r="AG960" i="34"/>
  <c r="AE1031" i="34"/>
  <c r="AG1044" i="34"/>
  <c r="AG1050" i="34"/>
  <c r="AG1061" i="34"/>
  <c r="AI1114" i="34"/>
  <c r="AJ1149" i="34"/>
  <c r="AJ1158" i="34"/>
  <c r="AJ1159" i="34"/>
  <c r="AI1226" i="34"/>
  <c r="AK1226" i="34" s="1"/>
  <c r="AI1228" i="34"/>
  <c r="AJ1230" i="34"/>
  <c r="AI1287" i="34"/>
  <c r="AI1288" i="34"/>
  <c r="AI1289" i="34"/>
  <c r="AK1289" i="34" s="1"/>
  <c r="AI1327" i="34"/>
  <c r="AI1328" i="34"/>
  <c r="AI1329" i="34"/>
  <c r="AI1337" i="34"/>
  <c r="AI1338" i="34"/>
  <c r="AI1342" i="34"/>
  <c r="AI1343" i="34"/>
  <c r="AK1343" i="34" s="1"/>
  <c r="AI1344" i="34"/>
  <c r="AI1347" i="34"/>
  <c r="AI1348" i="34"/>
  <c r="AI1359" i="34"/>
  <c r="AK1359" i="34" s="1"/>
  <c r="AE1360" i="34"/>
  <c r="AE1356" i="34" s="1"/>
  <c r="AJ1367" i="34"/>
  <c r="AJ1374" i="34"/>
  <c r="AJ1381" i="34"/>
  <c r="AK1381" i="34" s="1"/>
  <c r="AI1393" i="34"/>
  <c r="AI1401" i="34"/>
  <c r="AJ1401" i="34"/>
  <c r="AJ1402" i="34"/>
  <c r="AI1573" i="34"/>
  <c r="AI45" i="34"/>
  <c r="AE44" i="34"/>
  <c r="AI47" i="34"/>
  <c r="AG48" i="34"/>
  <c r="AI53" i="34"/>
  <c r="AI54" i="34"/>
  <c r="AI80" i="34"/>
  <c r="AI92" i="34"/>
  <c r="AI107" i="34"/>
  <c r="AI108" i="34"/>
  <c r="AI109" i="34"/>
  <c r="AI132" i="34"/>
  <c r="AI133" i="34"/>
  <c r="AJ138" i="34"/>
  <c r="AJ144" i="34"/>
  <c r="AK144" i="34" s="1"/>
  <c r="AI160" i="34"/>
  <c r="AI161" i="34"/>
  <c r="AI162" i="34"/>
  <c r="AK162" i="34" s="1"/>
  <c r="AI200" i="34"/>
  <c r="AJ217" i="34"/>
  <c r="AJ229" i="34"/>
  <c r="AJ237" i="34"/>
  <c r="AK237" i="34" s="1"/>
  <c r="AI257" i="34"/>
  <c r="AF246" i="34"/>
  <c r="AI280" i="34"/>
  <c r="AI281" i="34"/>
  <c r="AK281" i="34" s="1"/>
  <c r="AI282" i="34"/>
  <c r="AI286" i="34"/>
  <c r="AI292" i="34"/>
  <c r="AJ292" i="34"/>
  <c r="AG315" i="34"/>
  <c r="AI296" i="34"/>
  <c r="AI297" i="34"/>
  <c r="AH319" i="34"/>
  <c r="AH320" i="34"/>
  <c r="AI307" i="34"/>
  <c r="AI308" i="34"/>
  <c r="AK308" i="34" s="1"/>
  <c r="AJ309" i="34"/>
  <c r="AH314" i="34"/>
  <c r="AI332" i="34"/>
  <c r="AK332" i="34" s="1"/>
  <c r="AI333" i="34"/>
  <c r="AE331" i="34"/>
  <c r="AI337" i="34"/>
  <c r="AI338" i="34"/>
  <c r="AE342" i="34"/>
  <c r="AI358" i="34"/>
  <c r="AF364" i="34"/>
  <c r="AJ367" i="34"/>
  <c r="AG369" i="34"/>
  <c r="AI371" i="34"/>
  <c r="AE393" i="34"/>
  <c r="AI418" i="34"/>
  <c r="AK418" i="34" s="1"/>
  <c r="AJ466" i="34"/>
  <c r="AF469" i="34"/>
  <c r="AF468" i="34" s="1"/>
  <c r="AF467" i="34" s="1"/>
  <c r="AJ474" i="34"/>
  <c r="AF513" i="34"/>
  <c r="AF537" i="34"/>
  <c r="AJ584" i="34"/>
  <c r="AK584" i="34" s="1"/>
  <c r="AF593" i="34"/>
  <c r="AJ604" i="34"/>
  <c r="AF279" i="34"/>
  <c r="AI298" i="34"/>
  <c r="AI299" i="34"/>
  <c r="AK299" i="34" s="1"/>
  <c r="AI302" i="34"/>
  <c r="AI309" i="34"/>
  <c r="AE319" i="34"/>
  <c r="AI322" i="34"/>
  <c r="AJ327" i="34"/>
  <c r="AJ329" i="34"/>
  <c r="AG364" i="34"/>
  <c r="AI396" i="34"/>
  <c r="AG422" i="34"/>
  <c r="AJ425" i="34"/>
  <c r="AF463" i="34"/>
  <c r="AF462" i="34" s="1"/>
  <c r="AI465" i="34"/>
  <c r="AI466" i="34"/>
  <c r="AI473" i="34"/>
  <c r="AE472" i="34"/>
  <c r="AI475" i="34"/>
  <c r="AK475" i="34" s="1"/>
  <c r="AH479" i="34"/>
  <c r="AH478" i="34" s="1"/>
  <c r="AF485" i="34"/>
  <c r="AF484" i="34" s="1"/>
  <c r="AF483" i="34" s="1"/>
  <c r="AJ498" i="34"/>
  <c r="AE502" i="34"/>
  <c r="AE501" i="34" s="1"/>
  <c r="AE500" i="34" s="1"/>
  <c r="AJ506" i="34"/>
  <c r="AJ508" i="34"/>
  <c r="AF509" i="34"/>
  <c r="AJ522" i="34"/>
  <c r="AE526" i="34"/>
  <c r="AE525" i="34" s="1"/>
  <c r="AE524" i="34" s="1"/>
  <c r="AJ530" i="34"/>
  <c r="AJ529" i="34" s="1"/>
  <c r="AJ532" i="34"/>
  <c r="AF533" i="34"/>
  <c r="AF545" i="34"/>
  <c r="AF544" i="34" s="1"/>
  <c r="AI548" i="34"/>
  <c r="AF552" i="34"/>
  <c r="AF551" i="34" s="1"/>
  <c r="AI555" i="34"/>
  <c r="AF562" i="34"/>
  <c r="AI564" i="34"/>
  <c r="AJ564" i="34"/>
  <c r="AF566" i="34"/>
  <c r="AF565" i="34" s="1"/>
  <c r="AI568" i="34"/>
  <c r="AJ568" i="34"/>
  <c r="AJ569" i="34"/>
  <c r="AJ571" i="34"/>
  <c r="AF577" i="34"/>
  <c r="AJ65" i="34"/>
  <c r="AK70" i="34"/>
  <c r="AK71" i="34"/>
  <c r="AJ72" i="34"/>
  <c r="AJ1529" i="34"/>
  <c r="AJ184" i="34"/>
  <c r="AJ198" i="34"/>
  <c r="AJ220" i="34"/>
  <c r="AJ271" i="34"/>
  <c r="AJ274" i="34"/>
  <c r="AJ275" i="34"/>
  <c r="AE315" i="34"/>
  <c r="AF342" i="34"/>
  <c r="AJ361" i="34"/>
  <c r="AJ362" i="34"/>
  <c r="AJ365" i="34"/>
  <c r="AK365" i="34" s="1"/>
  <c r="AI404" i="34"/>
  <c r="AE496" i="34"/>
  <c r="AE495" i="34" s="1"/>
  <c r="AE520" i="34"/>
  <c r="AE519" i="34" s="1"/>
  <c r="AJ573" i="34"/>
  <c r="AH570" i="34"/>
  <c r="AI52" i="34"/>
  <c r="AJ53" i="34"/>
  <c r="AJ54" i="34"/>
  <c r="AI65" i="34"/>
  <c r="AI66" i="34"/>
  <c r="AI72" i="34"/>
  <c r="AK72" i="34" s="1"/>
  <c r="AJ92" i="34"/>
  <c r="AJ107" i="34"/>
  <c r="AJ108" i="34"/>
  <c r="AJ132" i="34"/>
  <c r="AJ134" i="34"/>
  <c r="AI147" i="34"/>
  <c r="AI148" i="34"/>
  <c r="AI149" i="34"/>
  <c r="AJ161" i="34"/>
  <c r="AJ163" i="34"/>
  <c r="AK163" i="34" s="1"/>
  <c r="AG169" i="34"/>
  <c r="AI198" i="34"/>
  <c r="AI205" i="34"/>
  <c r="AG249" i="34"/>
  <c r="AJ225" i="34"/>
  <c r="AJ233" i="34"/>
  <c r="AK233" i="34" s="1"/>
  <c r="AF245" i="34"/>
  <c r="AE268" i="34"/>
  <c r="AI274" i="34"/>
  <c r="AI275" i="34"/>
  <c r="AE279" i="34"/>
  <c r="AJ287" i="34"/>
  <c r="AH317" i="34"/>
  <c r="AH318" i="34"/>
  <c r="AG319" i="34"/>
  <c r="AI306" i="34"/>
  <c r="AJ307" i="34"/>
  <c r="AE317" i="34"/>
  <c r="AJ322" i="34"/>
  <c r="AI324" i="34"/>
  <c r="AI326" i="34"/>
  <c r="AI327" i="34"/>
  <c r="AI328" i="34"/>
  <c r="AI329" i="34"/>
  <c r="AJ333" i="34"/>
  <c r="AJ334" i="34"/>
  <c r="AJ337" i="34"/>
  <c r="AJ338" i="34"/>
  <c r="AF346" i="34"/>
  <c r="AF347" i="34" s="1"/>
  <c r="AE369" i="34"/>
  <c r="AJ394" i="34"/>
  <c r="AE479" i="34"/>
  <c r="AE478" i="34" s="1"/>
  <c r="AJ486" i="34"/>
  <c r="AE488" i="34"/>
  <c r="AE484" i="34" s="1"/>
  <c r="AE483" i="34" s="1"/>
  <c r="AF505" i="34"/>
  <c r="AF501" i="34" s="1"/>
  <c r="AJ510" i="34"/>
  <c r="AF529" i="34"/>
  <c r="AF525" i="34" s="1"/>
  <c r="AJ534" i="34"/>
  <c r="AI539" i="34"/>
  <c r="AK539" i="34" s="1"/>
  <c r="AI550" i="34"/>
  <c r="AI557" i="34"/>
  <c r="AG562" i="34"/>
  <c r="AJ599" i="34"/>
  <c r="AF609" i="34"/>
  <c r="AF657" i="34"/>
  <c r="AF656" i="34" s="1"/>
  <c r="AE664" i="34"/>
  <c r="AJ766" i="34"/>
  <c r="AJ770" i="34"/>
  <c r="AJ771" i="34"/>
  <c r="AJ772" i="34"/>
  <c r="AI775" i="34"/>
  <c r="AE774" i="34"/>
  <c r="AI777" i="34"/>
  <c r="AI778" i="34"/>
  <c r="AJ780" i="34"/>
  <c r="AJ782" i="34"/>
  <c r="AE784" i="34"/>
  <c r="AI787" i="34"/>
  <c r="AI788" i="34"/>
  <c r="AE789" i="34"/>
  <c r="AI795" i="34"/>
  <c r="AI797" i="34"/>
  <c r="AJ798" i="34"/>
  <c r="AJ799" i="34"/>
  <c r="AJ804" i="34"/>
  <c r="AF1014" i="34"/>
  <c r="AI1015" i="34"/>
  <c r="AI1014" i="34" s="1"/>
  <c r="AJ1020" i="34"/>
  <c r="AK1021" i="34"/>
  <c r="AK1020" i="34" s="1"/>
  <c r="AI1379" i="34"/>
  <c r="AE1377" i="34"/>
  <c r="AG1458" i="34"/>
  <c r="AG1442" i="34"/>
  <c r="AG1444" i="34"/>
  <c r="AI1465" i="34"/>
  <c r="AI1464" i="34" s="1"/>
  <c r="AF1464" i="34"/>
  <c r="AI583" i="34"/>
  <c r="AF585" i="34"/>
  <c r="AI588" i="34"/>
  <c r="AJ589" i="34"/>
  <c r="AJ590" i="34"/>
  <c r="AJ598" i="34"/>
  <c r="AF605" i="34"/>
  <c r="AJ618" i="34"/>
  <c r="AI633" i="34"/>
  <c r="AI635" i="34"/>
  <c r="AI643" i="34"/>
  <c r="AI645" i="34"/>
  <c r="AJ647" i="34"/>
  <c r="AK647" i="34" s="1"/>
  <c r="AJ648" i="34"/>
  <c r="AI675" i="34"/>
  <c r="AJ677" i="34"/>
  <c r="AJ679" i="34"/>
  <c r="AF687" i="34"/>
  <c r="AJ703" i="34"/>
  <c r="AK703" i="34" s="1"/>
  <c r="AJ704" i="34"/>
  <c r="AH705" i="34"/>
  <c r="AJ709" i="34"/>
  <c r="AJ711" i="34"/>
  <c r="AJ713" i="34"/>
  <c r="AJ715" i="34"/>
  <c r="AJ746" i="34"/>
  <c r="AK746" i="34" s="1"/>
  <c r="AJ756" i="34"/>
  <c r="AK756" i="34" s="1"/>
  <c r="AJ757" i="34"/>
  <c r="AJ758" i="34"/>
  <c r="AK758" i="34" s="1"/>
  <c r="AI805" i="34"/>
  <c r="AJ825" i="34"/>
  <c r="AJ826" i="34"/>
  <c r="AJ827" i="34"/>
  <c r="AI873" i="34"/>
  <c r="AI872" i="34" s="1"/>
  <c r="AE872" i="34"/>
  <c r="AI950" i="34"/>
  <c r="AI949" i="34" s="1"/>
  <c r="AF949" i="34"/>
  <c r="AG570" i="34"/>
  <c r="AF581" i="34"/>
  <c r="AF580" i="34" s="1"/>
  <c r="AF601" i="34"/>
  <c r="AJ610" i="34"/>
  <c r="AI617" i="34"/>
  <c r="AE616" i="34"/>
  <c r="AJ622" i="34"/>
  <c r="AG664" i="34"/>
  <c r="AF673" i="34"/>
  <c r="AI715" i="34"/>
  <c r="AJ721" i="34"/>
  <c r="AF749" i="34"/>
  <c r="AJ752" i="34"/>
  <c r="AJ753" i="34"/>
  <c r="AJ754" i="34"/>
  <c r="AI767" i="34"/>
  <c r="AK767" i="34" s="1"/>
  <c r="AI768" i="34"/>
  <c r="AJ785" i="34"/>
  <c r="AJ817" i="34"/>
  <c r="AJ819" i="34"/>
  <c r="AJ821" i="34"/>
  <c r="AK879" i="34"/>
  <c r="AJ880" i="34"/>
  <c r="AJ881" i="34"/>
  <c r="AH954" i="34"/>
  <c r="AG954" i="34"/>
  <c r="AF960" i="34"/>
  <c r="AI994" i="34"/>
  <c r="AI990" i="34" s="1"/>
  <c r="AF990" i="34"/>
  <c r="AJ1097" i="34"/>
  <c r="AK1097" i="34" s="1"/>
  <c r="AK1096" i="34" s="1"/>
  <c r="AH1080" i="34"/>
  <c r="AH1096" i="34"/>
  <c r="AG566" i="34"/>
  <c r="AG565" i="34" s="1"/>
  <c r="AE570" i="34"/>
  <c r="AE561" i="34" s="1"/>
  <c r="AI579" i="34"/>
  <c r="AI595" i="34"/>
  <c r="AF597" i="34"/>
  <c r="AI600" i="34"/>
  <c r="AK600" i="34" s="1"/>
  <c r="AJ606" i="34"/>
  <c r="AI611" i="34"/>
  <c r="AI621" i="34"/>
  <c r="AE620" i="34"/>
  <c r="AI623" i="34"/>
  <c r="AI629" i="34"/>
  <c r="AE628" i="34"/>
  <c r="AI631" i="34"/>
  <c r="AK631" i="34" s="1"/>
  <c r="AG632" i="34"/>
  <c r="AI637" i="34"/>
  <c r="AG642" i="34"/>
  <c r="AG641" i="34" s="1"/>
  <c r="AI650" i="34"/>
  <c r="AI651" i="34"/>
  <c r="AE649" i="34"/>
  <c r="AI653" i="34"/>
  <c r="AK653" i="34" s="1"/>
  <c r="AE657" i="34"/>
  <c r="AE656" i="34" s="1"/>
  <c r="AJ661" i="34"/>
  <c r="AJ662" i="34"/>
  <c r="AJ663" i="34"/>
  <c r="AJ667" i="34"/>
  <c r="AJ668" i="34"/>
  <c r="AJ669" i="34"/>
  <c r="AI690" i="34"/>
  <c r="AI691" i="34"/>
  <c r="AF693" i="34"/>
  <c r="AJ700" i="34"/>
  <c r="AF705" i="34"/>
  <c r="AI720" i="34"/>
  <c r="AI721" i="34"/>
  <c r="AI722" i="34"/>
  <c r="AI723" i="34"/>
  <c r="AK723" i="34" s="1"/>
  <c r="AF725" i="34"/>
  <c r="AH737" i="34"/>
  <c r="AI748" i="34"/>
  <c r="AK748" i="34" s="1"/>
  <c r="AJ750" i="34"/>
  <c r="AI752" i="34"/>
  <c r="AI753" i="34"/>
  <c r="AI754" i="34"/>
  <c r="AI755" i="34"/>
  <c r="AG769" i="34"/>
  <c r="AJ776" i="34"/>
  <c r="AJ778" i="34"/>
  <c r="AF784" i="34"/>
  <c r="AF763" i="34" s="1"/>
  <c r="AF762" i="34" s="1"/>
  <c r="AJ786" i="34"/>
  <c r="AJ787" i="34"/>
  <c r="AH794" i="34"/>
  <c r="AH803" i="34"/>
  <c r="AG823" i="34"/>
  <c r="AE828" i="34"/>
  <c r="AI830" i="34"/>
  <c r="AK830" i="34" s="1"/>
  <c r="AI856" i="34"/>
  <c r="AI924" i="34"/>
  <c r="AI931" i="34"/>
  <c r="AI930" i="34" s="1"/>
  <c r="AF930" i="34"/>
  <c r="AK990" i="34"/>
  <c r="AH1014" i="34"/>
  <c r="AJ1016" i="34"/>
  <c r="AK1016" i="34" s="1"/>
  <c r="AI1025" i="34"/>
  <c r="AE794" i="34"/>
  <c r="AI798" i="34"/>
  <c r="AI799" i="34"/>
  <c r="AI800" i="34"/>
  <c r="AF803" i="34"/>
  <c r="AJ805" i="34"/>
  <c r="AG808" i="34"/>
  <c r="AE813" i="34"/>
  <c r="AI821" i="34"/>
  <c r="AK821" i="34" s="1"/>
  <c r="AI822" i="34"/>
  <c r="AI826" i="34"/>
  <c r="AJ838" i="34"/>
  <c r="AI861" i="34"/>
  <c r="AK861" i="34" s="1"/>
  <c r="AF862" i="34"/>
  <c r="AF872" i="34"/>
  <c r="AE877" i="34"/>
  <c r="AI880" i="34"/>
  <c r="AI881" i="34"/>
  <c r="AF888" i="34"/>
  <c r="AF1414" i="34" s="1"/>
  <c r="AE893" i="34"/>
  <c r="AE1415" i="34" s="1"/>
  <c r="AH924" i="34"/>
  <c r="AG924" i="34"/>
  <c r="AG935" i="34"/>
  <c r="AF941" i="34"/>
  <c r="AF965" i="34"/>
  <c r="AF979" i="34"/>
  <c r="AE995" i="34"/>
  <c r="AG995" i="34"/>
  <c r="AG1001" i="34"/>
  <c r="AF1025" i="34"/>
  <c r="AG1039" i="34"/>
  <c r="AF1050" i="34"/>
  <c r="AI1061" i="34"/>
  <c r="AE1061" i="34"/>
  <c r="AJ1069" i="34"/>
  <c r="AK1069" i="34" s="1"/>
  <c r="AK1067" i="34" s="1"/>
  <c r="AH1067" i="34"/>
  <c r="AE1083" i="34"/>
  <c r="AG1372" i="34"/>
  <c r="AG1371" i="34" s="1"/>
  <c r="AG1370" i="34" s="1"/>
  <c r="AG1369" i="34" s="1"/>
  <c r="AG1368" i="34" s="1"/>
  <c r="AJ1373" i="34"/>
  <c r="AF818" i="34"/>
  <c r="AJ832" i="34"/>
  <c r="AF833" i="34"/>
  <c r="AI837" i="34"/>
  <c r="AI838" i="34"/>
  <c r="AI839" i="34"/>
  <c r="AJ859" i="34"/>
  <c r="AJ873" i="34"/>
  <c r="AJ874" i="34"/>
  <c r="AH904" i="34"/>
  <c r="AH1417" i="34" s="1"/>
  <c r="AJ904" i="34"/>
  <c r="AJ1417" i="34" s="1"/>
  <c r="AF935" i="34"/>
  <c r="AE965" i="34"/>
  <c r="AE979" i="34"/>
  <c r="AG979" i="34"/>
  <c r="AI984" i="34"/>
  <c r="AI1011" i="34"/>
  <c r="AI1009" i="34" s="1"/>
  <c r="AJ1039" i="34"/>
  <c r="AE1039" i="34"/>
  <c r="AE1050" i="34"/>
  <c r="AG1055" i="34"/>
  <c r="AE1082" i="34"/>
  <c r="AF1086" i="34"/>
  <c r="AG1093" i="34"/>
  <c r="AI1134" i="34"/>
  <c r="AK1134" i="34" s="1"/>
  <c r="AE1133" i="34"/>
  <c r="AE1128" i="34" s="1"/>
  <c r="AJ1394" i="34"/>
  <c r="AH1392" i="34"/>
  <c r="AE904" i="34"/>
  <c r="AE1417" i="34" s="1"/>
  <c r="AE935" i="34"/>
  <c r="AI941" i="34"/>
  <c r="AE949" i="34"/>
  <c r="AI960" i="34"/>
  <c r="AH984" i="34"/>
  <c r="AG990" i="34"/>
  <c r="AF995" i="34"/>
  <c r="AG1020" i="34"/>
  <c r="AE1025" i="34"/>
  <c r="AK1039" i="34"/>
  <c r="AH1061" i="34"/>
  <c r="AG1067" i="34"/>
  <c r="AG1080" i="34"/>
  <c r="AE1093" i="34"/>
  <c r="AI1098" i="34"/>
  <c r="AI1082" i="34" s="1"/>
  <c r="AF1082" i="34"/>
  <c r="AF1107" i="34"/>
  <c r="AJ1247" i="34"/>
  <c r="AK1247" i="34" s="1"/>
  <c r="AJ1423" i="34"/>
  <c r="AH1422" i="34"/>
  <c r="AJ1114" i="34"/>
  <c r="AK1114" i="34" s="1"/>
  <c r="AI1130" i="34"/>
  <c r="AI1131" i="34"/>
  <c r="AI1132" i="34"/>
  <c r="AI1129" i="34" s="1"/>
  <c r="AJ1139" i="34"/>
  <c r="AJ1140" i="34"/>
  <c r="AJ1141" i="34"/>
  <c r="AJ1143" i="34"/>
  <c r="AJ1144" i="34"/>
  <c r="AJ1145" i="34"/>
  <c r="AJ1147" i="34"/>
  <c r="AJ1148" i="34"/>
  <c r="AJ1146" i="34" s="1"/>
  <c r="AJ1153" i="34"/>
  <c r="AI1214" i="34"/>
  <c r="AI1220" i="34"/>
  <c r="AJ1222" i="34"/>
  <c r="AI1233" i="34"/>
  <c r="AK1273" i="34"/>
  <c r="AJ1274" i="34"/>
  <c r="AI1286" i="34"/>
  <c r="AJ1358" i="34"/>
  <c r="AJ1357" i="34" s="1"/>
  <c r="AH1360" i="34"/>
  <c r="AH1356" i="34" s="1"/>
  <c r="AH1355" i="34" s="1"/>
  <c r="AH1354" i="34" s="1"/>
  <c r="AH1353" i="34" s="1"/>
  <c r="AJ1366" i="34"/>
  <c r="AI1380" i="34"/>
  <c r="AH1387" i="34"/>
  <c r="AH1386" i="34" s="1"/>
  <c r="AI1395" i="34"/>
  <c r="AJ1405" i="34"/>
  <c r="AE1431" i="34"/>
  <c r="AJ1461" i="34"/>
  <c r="AI1406" i="34"/>
  <c r="AK1406" i="34" s="1"/>
  <c r="AI1422" i="34"/>
  <c r="AI1117" i="34"/>
  <c r="AK1117" i="34" s="1"/>
  <c r="AI1120" i="34"/>
  <c r="AK1120" i="34" s="1"/>
  <c r="AJ1130" i="34"/>
  <c r="AJ1131" i="34"/>
  <c r="AJ1132" i="34"/>
  <c r="AI1139" i="34"/>
  <c r="AI1140" i="34"/>
  <c r="AI1141" i="34"/>
  <c r="AK1141" i="34" s="1"/>
  <c r="AI1143" i="34"/>
  <c r="AI1144" i="34"/>
  <c r="AI1145" i="34"/>
  <c r="AI1150" i="34"/>
  <c r="AK1150" i="34" s="1"/>
  <c r="AJ1213" i="34"/>
  <c r="AI1223" i="34"/>
  <c r="AI1224" i="34"/>
  <c r="AI1230" i="34"/>
  <c r="AJ1232" i="34"/>
  <c r="AJ1270" i="34"/>
  <c r="AI1279" i="34"/>
  <c r="AI1280" i="34"/>
  <c r="AI1281" i="34"/>
  <c r="AK1281" i="34" s="1"/>
  <c r="AI1363" i="34"/>
  <c r="AI1362" i="34" s="1"/>
  <c r="AE1362" i="34"/>
  <c r="AI1376" i="34"/>
  <c r="AI1375" i="34" s="1"/>
  <c r="AJ1376" i="34"/>
  <c r="AJ1375" i="34" s="1"/>
  <c r="AJ1378" i="34"/>
  <c r="AI1391" i="34"/>
  <c r="AK1391" i="34" s="1"/>
  <c r="AK1390" i="34" s="1"/>
  <c r="AE1390" i="34"/>
  <c r="AI1400" i="34"/>
  <c r="AE1399" i="34"/>
  <c r="AE1444" i="34"/>
  <c r="AI1147" i="34"/>
  <c r="AI1148" i="34"/>
  <c r="AI1149" i="34"/>
  <c r="AI1153" i="34"/>
  <c r="AJ1160" i="34"/>
  <c r="AK1160" i="34" s="1"/>
  <c r="AJ1161" i="34"/>
  <c r="AJ1162" i="34"/>
  <c r="AJ1163" i="34"/>
  <c r="AJ1164" i="34"/>
  <c r="AK1164" i="34" s="1"/>
  <c r="AI1213" i="34"/>
  <c r="AI1217" i="34"/>
  <c r="AI1222" i="34"/>
  <c r="AI1227" i="34"/>
  <c r="AI1232" i="34"/>
  <c r="AI1248" i="34"/>
  <c r="AJ1275" i="34"/>
  <c r="AJ1276" i="34"/>
  <c r="AJ1278" i="34"/>
  <c r="AI1283" i="34"/>
  <c r="AI1284" i="34"/>
  <c r="AK1284" i="34" s="1"/>
  <c r="AI1285" i="34"/>
  <c r="AI1358" i="34"/>
  <c r="AI1366" i="34"/>
  <c r="AI1374" i="34"/>
  <c r="AI1378" i="34"/>
  <c r="AI1382" i="34"/>
  <c r="AI1394" i="34"/>
  <c r="AI1405" i="34"/>
  <c r="AI1593" i="34"/>
  <c r="AI30" i="34"/>
  <c r="AE59" i="34"/>
  <c r="AF99" i="34"/>
  <c r="AG80" i="34"/>
  <c r="AJ80" i="34" s="1"/>
  <c r="AF111" i="34"/>
  <c r="AJ112" i="34"/>
  <c r="AG127" i="34"/>
  <c r="AI170" i="34"/>
  <c r="AF59" i="34"/>
  <c r="AI87" i="34"/>
  <c r="AK87" i="34" s="1"/>
  <c r="AI88" i="34"/>
  <c r="AE111" i="34"/>
  <c r="AI113" i="34"/>
  <c r="AK113" i="34" s="1"/>
  <c r="AI117" i="34"/>
  <c r="AJ120" i="34"/>
  <c r="AH150" i="34"/>
  <c r="AH151" i="34" s="1"/>
  <c r="AI212" i="34"/>
  <c r="AJ83" i="34"/>
  <c r="AF15" i="34"/>
  <c r="AK92" i="34"/>
  <c r="AE99" i="34"/>
  <c r="AJ105" i="34"/>
  <c r="AJ118" i="34"/>
  <c r="AK118" i="34" s="1"/>
  <c r="AE22" i="34"/>
  <c r="AE1323" i="34"/>
  <c r="AE26" i="34"/>
  <c r="AF27" i="34"/>
  <c r="AF68" i="34" s="1"/>
  <c r="AF73" i="34" s="1"/>
  <c r="AE40" i="34"/>
  <c r="AJ41" i="34"/>
  <c r="AJ45" i="34"/>
  <c r="AE48" i="34"/>
  <c r="AJ49" i="34"/>
  <c r="AE83" i="34"/>
  <c r="AE1529" i="34"/>
  <c r="AE84" i="34"/>
  <c r="AF437" i="34"/>
  <c r="AH91" i="34"/>
  <c r="AG103" i="34"/>
  <c r="AG125" i="34" s="1"/>
  <c r="AE105" i="34"/>
  <c r="AI105" i="34" s="1"/>
  <c r="AE117" i="34"/>
  <c r="AF122" i="34"/>
  <c r="AH128" i="34"/>
  <c r="AF130" i="34"/>
  <c r="AF127" i="34" s="1"/>
  <c r="AF143" i="34"/>
  <c r="AF145" i="34"/>
  <c r="AF150" i="34" s="1"/>
  <c r="AF151" i="34" s="1"/>
  <c r="AF155" i="34"/>
  <c r="AI155" i="34" s="1"/>
  <c r="AG156" i="34"/>
  <c r="AG179" i="34" s="1"/>
  <c r="AH157" i="34"/>
  <c r="AE158" i="34"/>
  <c r="AE181" i="34" s="1"/>
  <c r="AI167" i="34"/>
  <c r="AE182" i="34"/>
  <c r="AI184" i="34"/>
  <c r="AF185" i="34"/>
  <c r="AI187" i="34"/>
  <c r="AF441" i="34"/>
  <c r="AI199" i="34"/>
  <c r="AJ205" i="34"/>
  <c r="AJ211" i="34"/>
  <c r="AI217" i="34"/>
  <c r="AF219" i="34"/>
  <c r="AF250" i="34" s="1"/>
  <c r="AE220" i="34"/>
  <c r="AF220" i="34"/>
  <c r="AH221" i="34"/>
  <c r="AJ221" i="34" s="1"/>
  <c r="AG222" i="34"/>
  <c r="AJ222" i="34" s="1"/>
  <c r="AE224" i="34"/>
  <c r="AF224" i="34"/>
  <c r="AI228" i="34"/>
  <c r="AF231" i="34"/>
  <c r="AI231" i="34" s="1"/>
  <c r="AI232" i="34"/>
  <c r="AG242" i="34"/>
  <c r="AJ258" i="34"/>
  <c r="AG262" i="34"/>
  <c r="AG248" i="34" s="1"/>
  <c r="AH265" i="34"/>
  <c r="AG266" i="34"/>
  <c r="AG252" i="34" s="1"/>
  <c r="AE267" i="34"/>
  <c r="AJ269" i="34"/>
  <c r="AG268" i="34"/>
  <c r="AE300" i="34"/>
  <c r="AI348" i="34"/>
  <c r="AE346" i="34"/>
  <c r="AI349" i="34"/>
  <c r="AI366" i="34"/>
  <c r="AI364" i="34" s="1"/>
  <c r="AE364" i="34"/>
  <c r="AE409" i="34"/>
  <c r="AE414" i="34"/>
  <c r="AE389" i="34"/>
  <c r="AG415" i="34"/>
  <c r="AG382" i="34"/>
  <c r="AG416" i="34"/>
  <c r="AG383" i="34"/>
  <c r="AH401" i="34"/>
  <c r="AE426" i="34"/>
  <c r="AI428" i="34"/>
  <c r="AI429" i="34"/>
  <c r="AI430" i="34"/>
  <c r="AE21" i="34"/>
  <c r="AF22" i="34"/>
  <c r="AF1476" i="34" s="1"/>
  <c r="AG23" i="34"/>
  <c r="AG1484" i="34" s="1"/>
  <c r="AF26" i="34"/>
  <c r="AF62" i="34" s="1"/>
  <c r="AF67" i="34" s="1"/>
  <c r="AG27" i="34"/>
  <c r="AG68" i="34" s="1"/>
  <c r="AG73" i="34" s="1"/>
  <c r="AF83" i="34"/>
  <c r="AF84" i="34"/>
  <c r="AF85" i="34"/>
  <c r="AI85" i="34" s="1"/>
  <c r="AE437" i="34"/>
  <c r="AE91" i="34"/>
  <c r="AG97" i="34"/>
  <c r="AG102" i="34"/>
  <c r="AH103" i="34"/>
  <c r="AG106" i="34"/>
  <c r="AE112" i="34"/>
  <c r="AI112" i="34" s="1"/>
  <c r="AG122" i="34"/>
  <c r="AE128" i="34"/>
  <c r="AG143" i="34"/>
  <c r="AG145" i="34"/>
  <c r="AG150" i="34" s="1"/>
  <c r="AG151" i="34" s="1"/>
  <c r="AG155" i="34"/>
  <c r="AH156" i="34"/>
  <c r="AE157" i="34"/>
  <c r="AE180" i="34" s="1"/>
  <c r="AF158" i="34"/>
  <c r="AF176" i="34"/>
  <c r="AH182" i="34"/>
  <c r="AF182" i="34"/>
  <c r="AE441" i="34"/>
  <c r="AF210" i="34"/>
  <c r="AF241" i="34" s="1"/>
  <c r="AE219" i="34"/>
  <c r="AH224" i="34"/>
  <c r="AJ259" i="34"/>
  <c r="AH245" i="34"/>
  <c r="AI260" i="34"/>
  <c r="AE246" i="34"/>
  <c r="AF262" i="34"/>
  <c r="AF248" i="34" s="1"/>
  <c r="AF266" i="34"/>
  <c r="AF252" i="34" s="1"/>
  <c r="AI271" i="34"/>
  <c r="AG445" i="34"/>
  <c r="AJ301" i="34"/>
  <c r="AH300" i="34"/>
  <c r="AG312" i="34"/>
  <c r="AH325" i="34"/>
  <c r="AH346" i="34"/>
  <c r="AH359" i="34"/>
  <c r="AE411" i="34"/>
  <c r="AI387" i="34"/>
  <c r="AE378" i="34"/>
  <c r="AF401" i="34"/>
  <c r="AG401" i="34"/>
  <c r="AF21" i="34"/>
  <c r="AF1477" i="34" s="1"/>
  <c r="AG22" i="34"/>
  <c r="AG1476" i="34" s="1"/>
  <c r="AG26" i="34"/>
  <c r="AG62" i="34" s="1"/>
  <c r="AG67" i="34" s="1"/>
  <c r="AE1483" i="34"/>
  <c r="AI46" i="34"/>
  <c r="AG84" i="34"/>
  <c r="AG85" i="34"/>
  <c r="AJ85" i="34" s="1"/>
  <c r="AH437" i="34"/>
  <c r="AF91" i="34"/>
  <c r="AH99" i="34"/>
  <c r="AJ99" i="34" s="1"/>
  <c r="AE103" i="34"/>
  <c r="AF104" i="34"/>
  <c r="AF126" i="34" s="1"/>
  <c r="AG1508" i="34"/>
  <c r="AH122" i="34"/>
  <c r="AF128" i="34"/>
  <c r="AH130" i="34"/>
  <c r="AH143" i="34"/>
  <c r="AH155" i="34"/>
  <c r="AE156" i="34"/>
  <c r="AF157" i="34"/>
  <c r="AF180" i="34" s="1"/>
  <c r="AG158" i="34"/>
  <c r="AG170" i="34"/>
  <c r="AJ170" i="34" s="1"/>
  <c r="AE171" i="34"/>
  <c r="AI171" i="34" s="1"/>
  <c r="AG182" i="34"/>
  <c r="AE183" i="34"/>
  <c r="AH441" i="34"/>
  <c r="AH197" i="34"/>
  <c r="AE203" i="34"/>
  <c r="AF201" i="34"/>
  <c r="AF202" i="34" s="1"/>
  <c r="AE210" i="34"/>
  <c r="AG210" i="34"/>
  <c r="AJ210" i="34" s="1"/>
  <c r="AG212" i="34"/>
  <c r="AG243" i="34" s="1"/>
  <c r="AE213" i="34"/>
  <c r="AI213" i="34" s="1"/>
  <c r="AJ215" i="34"/>
  <c r="AK215" i="34" s="1"/>
  <c r="AF218" i="34"/>
  <c r="AI218" i="34" s="1"/>
  <c r="AF216" i="34"/>
  <c r="AI222" i="34"/>
  <c r="AJ255" i="34"/>
  <c r="AH241" i="34"/>
  <c r="AI256" i="34"/>
  <c r="AF242" i="34"/>
  <c r="AF243" i="34"/>
  <c r="AJ257" i="34"/>
  <c r="AH243" i="34"/>
  <c r="AG244" i="34"/>
  <c r="AE259" i="34"/>
  <c r="AH260" i="34"/>
  <c r="AE248" i="34"/>
  <c r="AH262" i="34"/>
  <c r="AJ263" i="34"/>
  <c r="AI264" i="34"/>
  <c r="AH266" i="34"/>
  <c r="AG267" i="34"/>
  <c r="AI285" i="34"/>
  <c r="AE283" i="34"/>
  <c r="AI287" i="34"/>
  <c r="AE290" i="34"/>
  <c r="AG300" i="34"/>
  <c r="AI305" i="34"/>
  <c r="AJ321" i="34"/>
  <c r="AJ330" i="34"/>
  <c r="AI361" i="34"/>
  <c r="AI362" i="34"/>
  <c r="AG409" i="34"/>
  <c r="AF378" i="34"/>
  <c r="AF411" i="34"/>
  <c r="AG414" i="34"/>
  <c r="AG389" i="34"/>
  <c r="AE382" i="34"/>
  <c r="AE415" i="34"/>
  <c r="AE416" i="34"/>
  <c r="AE383" i="34"/>
  <c r="AE401" i="34"/>
  <c r="AF1312" i="34"/>
  <c r="AG21" i="34"/>
  <c r="AG1477" i="34" s="1"/>
  <c r="AH22" i="34"/>
  <c r="AE23" i="34"/>
  <c r="AF1323" i="34"/>
  <c r="AH26" i="34"/>
  <c r="AE1324" i="34"/>
  <c r="AE27" i="34"/>
  <c r="AF1483" i="34"/>
  <c r="AJ46" i="34"/>
  <c r="AF1529" i="34"/>
  <c r="AH84" i="34"/>
  <c r="AG437" i="34"/>
  <c r="AG91" i="34"/>
  <c r="AF98" i="34"/>
  <c r="AJ115" i="34"/>
  <c r="AE1508" i="34"/>
  <c r="AE122" i="34"/>
  <c r="AE1507" i="34"/>
  <c r="AE143" i="34"/>
  <c r="AE145" i="34"/>
  <c r="AF154" i="34"/>
  <c r="AF156" i="34"/>
  <c r="AF179" i="34" s="1"/>
  <c r="AG157" i="34"/>
  <c r="AG180" i="34" s="1"/>
  <c r="AH158" i="34"/>
  <c r="AJ160" i="34"/>
  <c r="AE165" i="34"/>
  <c r="AJ168" i="34"/>
  <c r="AH171" i="34"/>
  <c r="AJ171" i="34" s="1"/>
  <c r="AH183" i="34"/>
  <c r="AG185" i="34"/>
  <c r="AJ188" i="34"/>
  <c r="AG441" i="34"/>
  <c r="AF197" i="34"/>
  <c r="AH203" i="34"/>
  <c r="AG203" i="34"/>
  <c r="AG201" i="34" s="1"/>
  <c r="AG202" i="34" s="1"/>
  <c r="AE211" i="34"/>
  <c r="AI211" i="34" s="1"/>
  <c r="AH213" i="34"/>
  <c r="AJ213" i="34" s="1"/>
  <c r="AG214" i="34"/>
  <c r="AG245" i="34" s="1"/>
  <c r="AH218" i="34"/>
  <c r="AJ218" i="34" s="1"/>
  <c r="AG219" i="34"/>
  <c r="AJ219" i="34" s="1"/>
  <c r="AE221" i="34"/>
  <c r="AI221" i="34" s="1"/>
  <c r="AG231" i="34"/>
  <c r="AJ231" i="34" s="1"/>
  <c r="AI236" i="34"/>
  <c r="AE243" i="34"/>
  <c r="AE255" i="34"/>
  <c r="AH256" i="34"/>
  <c r="AF258" i="34"/>
  <c r="AF244" i="34" s="1"/>
  <c r="AG246" i="34"/>
  <c r="AG261" i="34"/>
  <c r="AE263" i="34"/>
  <c r="AG265" i="34"/>
  <c r="AG251" i="34" s="1"/>
  <c r="AF267" i="34"/>
  <c r="AF253" i="34" s="1"/>
  <c r="AH253" i="34"/>
  <c r="AJ270" i="34"/>
  <c r="AH268" i="34"/>
  <c r="AE445" i="34"/>
  <c r="AE446" i="34"/>
  <c r="AF283" i="34"/>
  <c r="AF284" i="34" s="1"/>
  <c r="AH283" i="34"/>
  <c r="AJ286" i="34"/>
  <c r="AK326" i="34"/>
  <c r="AE325" i="34"/>
  <c r="AG449" i="34"/>
  <c r="AJ350" i="34"/>
  <c r="AG356" i="34"/>
  <c r="AJ366" i="34"/>
  <c r="AJ364" i="34" s="1"/>
  <c r="AH364" i="34"/>
  <c r="AG379" i="34"/>
  <c r="AK399" i="34"/>
  <c r="AK404" i="34"/>
  <c r="AK425" i="34"/>
  <c r="AE454" i="34"/>
  <c r="AF426" i="34"/>
  <c r="AG1497" i="34"/>
  <c r="AG285" i="34"/>
  <c r="AG283" i="34" s="1"/>
  <c r="AH291" i="34"/>
  <c r="AF295" i="34"/>
  <c r="AI295" i="34" s="1"/>
  <c r="AF301" i="34"/>
  <c r="AF300" i="34" s="1"/>
  <c r="AE321" i="34"/>
  <c r="AG325" i="34"/>
  <c r="AG316" i="34" s="1"/>
  <c r="AE330" i="34"/>
  <c r="AI330" i="34" s="1"/>
  <c r="AI334" i="34"/>
  <c r="AG348" i="34"/>
  <c r="AG346" i="34" s="1"/>
  <c r="AF355" i="34"/>
  <c r="AG357" i="34"/>
  <c r="AJ357" i="34" s="1"/>
  <c r="AH358" i="34"/>
  <c r="AJ358" i="34" s="1"/>
  <c r="AF360" i="34"/>
  <c r="AF359" i="34" s="1"/>
  <c r="AF385" i="34"/>
  <c r="AI385" i="34" s="1"/>
  <c r="AG387" i="34"/>
  <c r="AH388" i="34"/>
  <c r="AF390" i="34"/>
  <c r="AH391" i="34"/>
  <c r="AH392" i="34"/>
  <c r="AI394" i="34"/>
  <c r="AG397" i="34"/>
  <c r="AH453" i="34"/>
  <c r="AI423" i="34"/>
  <c r="AH428" i="34"/>
  <c r="AJ521" i="34"/>
  <c r="AK521" i="34" s="1"/>
  <c r="AH520" i="34"/>
  <c r="AH519" i="34" s="1"/>
  <c r="AJ553" i="34"/>
  <c r="AH552" i="34"/>
  <c r="AH551" i="34" s="1"/>
  <c r="AG552" i="34"/>
  <c r="AG551" i="34" s="1"/>
  <c r="AJ556" i="34"/>
  <c r="AI571" i="34"/>
  <c r="AJ586" i="34"/>
  <c r="AH585" i="34"/>
  <c r="AH445" i="34"/>
  <c r="AE314" i="34"/>
  <c r="AF321" i="34"/>
  <c r="AG331" i="34"/>
  <c r="AH449" i="34"/>
  <c r="AG355" i="34"/>
  <c r="AG360" i="34"/>
  <c r="AG359" i="34" s="1"/>
  <c r="AE386" i="34"/>
  <c r="AH387" i="34"/>
  <c r="AE388" i="34"/>
  <c r="AH397" i="34"/>
  <c r="AG453" i="34"/>
  <c r="AJ423" i="34"/>
  <c r="AE450" i="34"/>
  <c r="AJ497" i="34"/>
  <c r="AH496" i="34"/>
  <c r="AH495" i="34" s="1"/>
  <c r="AI522" i="34"/>
  <c r="AI520" i="34" s="1"/>
  <c r="AG526" i="34"/>
  <c r="AG525" i="34" s="1"/>
  <c r="AJ528" i="34"/>
  <c r="AJ546" i="34"/>
  <c r="AH545" i="34"/>
  <c r="AH544" i="34" s="1"/>
  <c r="AG545" i="34"/>
  <c r="AG544" i="34" s="1"/>
  <c r="AJ549" i="34"/>
  <c r="AG619" i="34"/>
  <c r="AK646" i="34"/>
  <c r="AJ280" i="34"/>
  <c r="AF291" i="34"/>
  <c r="AJ294" i="34"/>
  <c r="AH295" i="34"/>
  <c r="AJ295" i="34" s="1"/>
  <c r="AJ296" i="34"/>
  <c r="AK296" i="34" s="1"/>
  <c r="AJ298" i="34"/>
  <c r="AE313" i="34"/>
  <c r="AE318" i="34"/>
  <c r="AE320" i="34"/>
  <c r="AH331" i="34"/>
  <c r="AJ343" i="34"/>
  <c r="AJ342" i="34" s="1"/>
  <c r="AH369" i="34"/>
  <c r="AH385" i="34"/>
  <c r="AF388" i="34"/>
  <c r="AH390" i="34"/>
  <c r="AF391" i="34"/>
  <c r="AI391" i="34" s="1"/>
  <c r="AF392" i="34"/>
  <c r="AI392" i="34" s="1"/>
  <c r="AE449" i="34"/>
  <c r="AI498" i="34"/>
  <c r="AK498" i="34" s="1"/>
  <c r="AG502" i="34"/>
  <c r="AG501" i="34" s="1"/>
  <c r="AJ504" i="34"/>
  <c r="AF519" i="34"/>
  <c r="AI523" i="34"/>
  <c r="AK523" i="34" s="1"/>
  <c r="AJ536" i="34"/>
  <c r="AG533" i="34"/>
  <c r="AF445" i="34"/>
  <c r="AJ293" i="34"/>
  <c r="AF449" i="34"/>
  <c r="AE355" i="34"/>
  <c r="AE376" i="34" s="1"/>
  <c r="AE360" i="34"/>
  <c r="AG393" i="34"/>
  <c r="AF397" i="34"/>
  <c r="AI397" i="34" s="1"/>
  <c r="AE453" i="34"/>
  <c r="AF495" i="34"/>
  <c r="AI499" i="34"/>
  <c r="AK499" i="34" s="1"/>
  <c r="AJ512" i="34"/>
  <c r="AG509" i="34"/>
  <c r="AI567" i="34"/>
  <c r="AJ582" i="34"/>
  <c r="AH581" i="34"/>
  <c r="AH580" i="34" s="1"/>
  <c r="AJ651" i="34"/>
  <c r="AH649" i="34"/>
  <c r="AI652" i="34"/>
  <c r="AH699" i="34"/>
  <c r="AF745" i="34"/>
  <c r="AF743" i="34" s="1"/>
  <c r="AI786" i="34"/>
  <c r="AJ800" i="34"/>
  <c r="AG794" i="34"/>
  <c r="AF1506" i="34"/>
  <c r="AF1497" i="34"/>
  <c r="AJ517" i="34"/>
  <c r="AJ541" i="34"/>
  <c r="AK541" i="34" s="1"/>
  <c r="AI546" i="34"/>
  <c r="AI553" i="34"/>
  <c r="AE581" i="34"/>
  <c r="AE580" i="34" s="1"/>
  <c r="AI582" i="34"/>
  <c r="AE585" i="34"/>
  <c r="AI586" i="34"/>
  <c r="AH597" i="34"/>
  <c r="AE597" i="34"/>
  <c r="AI598" i="34"/>
  <c r="AH601" i="34"/>
  <c r="AE601" i="34"/>
  <c r="AI602" i="34"/>
  <c r="AH605" i="34"/>
  <c r="AE605" i="34"/>
  <c r="AI606" i="34"/>
  <c r="AH609" i="34"/>
  <c r="AE609" i="34"/>
  <c r="AI610" i="34"/>
  <c r="AJ621" i="34"/>
  <c r="AJ620" i="34" s="1"/>
  <c r="AH620" i="34"/>
  <c r="AI622" i="34"/>
  <c r="AK622" i="34" s="1"/>
  <c r="AJ625" i="34"/>
  <c r="AH624" i="34"/>
  <c r="AE624" i="34"/>
  <c r="AI626" i="34"/>
  <c r="AK626" i="34" s="1"/>
  <c r="AJ629" i="34"/>
  <c r="AH628" i="34"/>
  <c r="AI630" i="34"/>
  <c r="AK630" i="34" s="1"/>
  <c r="AJ633" i="34"/>
  <c r="AH632" i="34"/>
  <c r="AE632" i="34"/>
  <c r="AI634" i="34"/>
  <c r="AJ650" i="34"/>
  <c r="AI658" i="34"/>
  <c r="AK662" i="34"/>
  <c r="AI670" i="34"/>
  <c r="AH689" i="34"/>
  <c r="AH693" i="34"/>
  <c r="AJ707" i="34"/>
  <c r="AH733" i="34"/>
  <c r="AE749" i="34"/>
  <c r="AI750" i="34"/>
  <c r="AI817" i="34"/>
  <c r="AE1496" i="34"/>
  <c r="AH469" i="34"/>
  <c r="AE469" i="34"/>
  <c r="AI470" i="34"/>
  <c r="AJ473" i="34"/>
  <c r="AH472" i="34"/>
  <c r="AI474" i="34"/>
  <c r="AI492" i="34"/>
  <c r="AI504" i="34"/>
  <c r="AI508" i="34"/>
  <c r="AK508" i="34" s="1"/>
  <c r="AI512" i="34"/>
  <c r="AI516" i="34"/>
  <c r="AK516" i="34" s="1"/>
  <c r="AI528" i="34"/>
  <c r="AI532" i="34"/>
  <c r="AI536" i="34"/>
  <c r="AI540" i="34"/>
  <c r="AK540" i="34" s="1"/>
  <c r="AI549" i="34"/>
  <c r="AI556" i="34"/>
  <c r="AH577" i="34"/>
  <c r="AE577" i="34"/>
  <c r="AI578" i="34"/>
  <c r="AH593" i="34"/>
  <c r="AE593" i="34"/>
  <c r="AI594" i="34"/>
  <c r="AJ617" i="34"/>
  <c r="AH616" i="34"/>
  <c r="AI618" i="34"/>
  <c r="AK618" i="34" s="1"/>
  <c r="AJ643" i="34"/>
  <c r="AH642" i="34"/>
  <c r="AE642" i="34"/>
  <c r="AI644" i="34"/>
  <c r="AJ655" i="34"/>
  <c r="AI674" i="34"/>
  <c r="AJ683" i="34"/>
  <c r="AE693" i="34"/>
  <c r="AI694" i="34"/>
  <c r="AF701" i="34"/>
  <c r="AF699" i="34" s="1"/>
  <c r="AG705" i="34"/>
  <c r="AI810" i="34"/>
  <c r="AH818" i="34"/>
  <c r="AJ820" i="34"/>
  <c r="AE848" i="34"/>
  <c r="AJ465" i="34"/>
  <c r="AK465" i="34" s="1"/>
  <c r="AH463" i="34"/>
  <c r="AH462" i="34" s="1"/>
  <c r="AG1496" i="34"/>
  <c r="AI486" i="34"/>
  <c r="AJ489" i="34"/>
  <c r="AH488" i="34"/>
  <c r="AH484" i="34" s="1"/>
  <c r="AH483" i="34" s="1"/>
  <c r="AI490" i="34"/>
  <c r="AK490" i="34" s="1"/>
  <c r="AI506" i="34"/>
  <c r="AI510" i="34"/>
  <c r="AI514" i="34"/>
  <c r="AI530" i="34"/>
  <c r="AI534" i="34"/>
  <c r="AI538" i="34"/>
  <c r="AI654" i="34"/>
  <c r="AI659" i="34"/>
  <c r="AG681" i="34"/>
  <c r="AK695" i="34"/>
  <c r="AE725" i="34"/>
  <c r="AI726" i="34"/>
  <c r="AF1592" i="34"/>
  <c r="AF733" i="34"/>
  <c r="AF731" i="34" s="1"/>
  <c r="AJ739" i="34"/>
  <c r="AH745" i="34"/>
  <c r="AJ791" i="34"/>
  <c r="AJ789" i="34" s="1"/>
  <c r="AG789" i="34"/>
  <c r="AG850" i="34"/>
  <c r="AJ850" i="34" s="1"/>
  <c r="AG845" i="34"/>
  <c r="AE854" i="34"/>
  <c r="AE852" i="34" s="1"/>
  <c r="AF849" i="34"/>
  <c r="AJ666" i="34"/>
  <c r="AK666" i="34" s="1"/>
  <c r="AJ678" i="34"/>
  <c r="AJ682" i="34"/>
  <c r="AJ686" i="34"/>
  <c r="AK686" i="34" s="1"/>
  <c r="AI700" i="34"/>
  <c r="AJ702" i="34"/>
  <c r="AJ706" i="34"/>
  <c r="AJ710" i="34"/>
  <c r="AK710" i="34" s="1"/>
  <c r="AJ714" i="34"/>
  <c r="AK714" i="34" s="1"/>
  <c r="AJ718" i="34"/>
  <c r="AI732" i="34"/>
  <c r="AJ734" i="34"/>
  <c r="AJ738" i="34"/>
  <c r="AJ742" i="34"/>
  <c r="AK742" i="34" s="1"/>
  <c r="AK753" i="34"/>
  <c r="AJ765" i="34"/>
  <c r="AI776" i="34"/>
  <c r="AE779" i="34"/>
  <c r="AI780" i="34"/>
  <c r="AK804" i="34"/>
  <c r="AJ822" i="34"/>
  <c r="AK822" i="34" s="1"/>
  <c r="AG818" i="34"/>
  <c r="AJ829" i="34"/>
  <c r="AH828" i="34"/>
  <c r="AE845" i="34"/>
  <c r="AI845" i="34" s="1"/>
  <c r="AE850" i="34"/>
  <c r="AJ870" i="34"/>
  <c r="AK870" i="34" s="1"/>
  <c r="AH888" i="34"/>
  <c r="AJ892" i="34"/>
  <c r="AK892" i="34" s="1"/>
  <c r="AK888" i="34" s="1"/>
  <c r="AF899" i="34"/>
  <c r="AF1416" i="34" s="1"/>
  <c r="AI902" i="34"/>
  <c r="AI899" i="34" s="1"/>
  <c r="AF910" i="34"/>
  <c r="AF1418" i="34" s="1"/>
  <c r="AI911" i="34"/>
  <c r="AI910" i="34" s="1"/>
  <c r="AI1418" i="34" s="1"/>
  <c r="AK912" i="34"/>
  <c r="AK910" i="34" s="1"/>
  <c r="AK1418" i="34" s="1"/>
  <c r="AJ910" i="34"/>
  <c r="AJ1418" i="34" s="1"/>
  <c r="AJ935" i="34"/>
  <c r="AK939" i="34"/>
  <c r="AK935" i="34" s="1"/>
  <c r="AK951" i="34"/>
  <c r="AK949" i="34" s="1"/>
  <c r="AJ949" i="34"/>
  <c r="AE1547" i="34"/>
  <c r="AG657" i="34"/>
  <c r="AJ660" i="34"/>
  <c r="AI663" i="34"/>
  <c r="AH664" i="34"/>
  <c r="AH656" i="34" s="1"/>
  <c r="AK667" i="34"/>
  <c r="AG673" i="34"/>
  <c r="AJ676" i="34"/>
  <c r="AK676" i="34" s="1"/>
  <c r="AI682" i="34"/>
  <c r="AE683" i="34"/>
  <c r="AI683" i="34" s="1"/>
  <c r="AJ684" i="34"/>
  <c r="AK684" i="34" s="1"/>
  <c r="AJ688" i="34"/>
  <c r="AJ692" i="34"/>
  <c r="AK692" i="34" s="1"/>
  <c r="AI706" i="34"/>
  <c r="AI707" i="34"/>
  <c r="AJ708" i="34"/>
  <c r="AI711" i="34"/>
  <c r="AJ712" i="34"/>
  <c r="AK712" i="34" s="1"/>
  <c r="AH717" i="34"/>
  <c r="AE717" i="34"/>
  <c r="AI718" i="34"/>
  <c r="AI719" i="34"/>
  <c r="AK719" i="34" s="1"/>
  <c r="AG727" i="34"/>
  <c r="AJ727" i="34" s="1"/>
  <c r="AI735" i="34"/>
  <c r="AI738" i="34"/>
  <c r="AE739" i="34"/>
  <c r="AI739" i="34" s="1"/>
  <c r="AJ740" i="34"/>
  <c r="AJ744" i="34"/>
  <c r="AG751" i="34"/>
  <c r="AG749" i="34" s="1"/>
  <c r="AG755" i="34"/>
  <c r="AJ755" i="34" s="1"/>
  <c r="AI759" i="34"/>
  <c r="AI770" i="34"/>
  <c r="AI773" i="34"/>
  <c r="AK773" i="34" s="1"/>
  <c r="AJ775" i="34"/>
  <c r="AG774" i="34"/>
  <c r="AI796" i="34"/>
  <c r="AI812" i="34"/>
  <c r="AI815" i="34"/>
  <c r="AK815" i="34" s="1"/>
  <c r="AF851" i="34"/>
  <c r="AI853" i="34"/>
  <c r="AG849" i="34"/>
  <c r="AJ849" i="34" s="1"/>
  <c r="AJ865" i="34"/>
  <c r="AJ871" i="34"/>
  <c r="AK874" i="34"/>
  <c r="AJ894" i="34"/>
  <c r="AH893" i="34"/>
  <c r="AH1415" i="34" s="1"/>
  <c r="AJ965" i="34"/>
  <c r="AK969" i="34"/>
  <c r="AK965" i="34" s="1"/>
  <c r="AK981" i="34"/>
  <c r="AK979" i="34" s="1"/>
  <c r="AJ979" i="34"/>
  <c r="AH1547" i="34"/>
  <c r="AE1550" i="34"/>
  <c r="AI661" i="34"/>
  <c r="AI665" i="34"/>
  <c r="AJ665" i="34"/>
  <c r="AJ670" i="34"/>
  <c r="AJ674" i="34"/>
  <c r="AI677" i="34"/>
  <c r="AK677" i="34" s="1"/>
  <c r="AI685" i="34"/>
  <c r="AI688" i="34"/>
  <c r="AE689" i="34"/>
  <c r="AI689" i="34" s="1"/>
  <c r="AJ690" i="34"/>
  <c r="AJ694" i="34"/>
  <c r="AJ693" i="34" s="1"/>
  <c r="AJ698" i="34"/>
  <c r="AG701" i="34"/>
  <c r="AG699" i="34" s="1"/>
  <c r="AI709" i="34"/>
  <c r="AI713" i="34"/>
  <c r="AG733" i="34"/>
  <c r="AG731" i="34" s="1"/>
  <c r="AI741" i="34"/>
  <c r="AI744" i="34"/>
  <c r="AE745" i="34"/>
  <c r="AG779" i="34"/>
  <c r="AG784" i="34"/>
  <c r="AI809" i="34"/>
  <c r="AI819" i="34"/>
  <c r="AF828" i="34"/>
  <c r="AH833" i="34"/>
  <c r="AJ836" i="34"/>
  <c r="AE843" i="34"/>
  <c r="AF844" i="34"/>
  <c r="AJ863" i="34"/>
  <c r="AH862" i="34"/>
  <c r="AJ866" i="34"/>
  <c r="AE867" i="34"/>
  <c r="AI869" i="34"/>
  <c r="AG893" i="34"/>
  <c r="AG1415" i="34" s="1"/>
  <c r="AG899" i="34"/>
  <c r="AG1416" i="34" s="1"/>
  <c r="AH910" i="34"/>
  <c r="AH1418" i="34" s="1"/>
  <c r="AK930" i="34"/>
  <c r="AF904" i="34"/>
  <c r="AF1417" i="34" s="1"/>
  <c r="AK921" i="34"/>
  <c r="AK919" i="34" s="1"/>
  <c r="AJ919" i="34"/>
  <c r="AE1589" i="34"/>
  <c r="AE769" i="34"/>
  <c r="AH779" i="34"/>
  <c r="AH763" i="34" s="1"/>
  <c r="AE803" i="34"/>
  <c r="AH813" i="34"/>
  <c r="AG813" i="34"/>
  <c r="AI820" i="34"/>
  <c r="AI829" i="34"/>
  <c r="AI836" i="34"/>
  <c r="AJ837" i="34"/>
  <c r="AH845" i="34"/>
  <c r="AG853" i="34"/>
  <c r="AJ853" i="34" s="1"/>
  <c r="AG854" i="34"/>
  <c r="AJ854" i="34" s="1"/>
  <c r="AH856" i="34"/>
  <c r="AE1572" i="34"/>
  <c r="AE863" i="34"/>
  <c r="AG868" i="34"/>
  <c r="AG867" i="34" s="1"/>
  <c r="AH868" i="34"/>
  <c r="AI889" i="34"/>
  <c r="AI888" i="34" s="1"/>
  <c r="AF894" i="34"/>
  <c r="AH900" i="34"/>
  <c r="AK905" i="34"/>
  <c r="AK904" i="34" s="1"/>
  <c r="AK1417" i="34" s="1"/>
  <c r="AG911" i="34"/>
  <c r="AG910" i="34" s="1"/>
  <c r="AG1418" i="34" s="1"/>
  <c r="AF914" i="34"/>
  <c r="AH919" i="34"/>
  <c r="AF924" i="34"/>
  <c r="AJ925" i="34"/>
  <c r="AH949" i="34"/>
  <c r="AF954" i="34"/>
  <c r="AJ955" i="34"/>
  <c r="AH979" i="34"/>
  <c r="AF984" i="34"/>
  <c r="AJ985" i="34"/>
  <c r="AK996" i="34"/>
  <c r="AK995" i="34" s="1"/>
  <c r="AJ995" i="34"/>
  <c r="AI997" i="34"/>
  <c r="AG1014" i="34"/>
  <c r="AE1020" i="34"/>
  <c r="AK1032" i="34"/>
  <c r="AK1031" i="34" s="1"/>
  <c r="AJ1031" i="34"/>
  <c r="AE1044" i="34"/>
  <c r="AK1045" i="34"/>
  <c r="AK1051" i="34"/>
  <c r="AK1050" i="34" s="1"/>
  <c r="AJ1050" i="34"/>
  <c r="AI1055" i="34"/>
  <c r="AF850" i="34"/>
  <c r="AG855" i="34"/>
  <c r="AJ855" i="34" s="1"/>
  <c r="AG851" i="34"/>
  <c r="AJ851" i="34" s="1"/>
  <c r="AG856" i="34"/>
  <c r="AE857" i="34"/>
  <c r="AE866" i="34"/>
  <c r="AI866" i="34" s="1"/>
  <c r="AG1609" i="34"/>
  <c r="AG872" i="34"/>
  <c r="AH914" i="34"/>
  <c r="AJ930" i="34"/>
  <c r="AH930" i="34"/>
  <c r="AH935" i="34"/>
  <c r="AI938" i="34"/>
  <c r="AI935" i="34" s="1"/>
  <c r="AJ941" i="34"/>
  <c r="AJ960" i="34"/>
  <c r="AH960" i="34"/>
  <c r="AH965" i="34"/>
  <c r="AI968" i="34"/>
  <c r="AI965" i="34" s="1"/>
  <c r="AJ971" i="34"/>
  <c r="AJ990" i="34"/>
  <c r="AH990" i="34"/>
  <c r="AH995" i="34"/>
  <c r="AI995" i="34"/>
  <c r="AJ1026" i="34"/>
  <c r="AH1025" i="34"/>
  <c r="AI1032" i="34"/>
  <c r="AI1031" i="34" s="1"/>
  <c r="AF1031" i="34"/>
  <c r="AI1045" i="34"/>
  <c r="AI1044" i="34" s="1"/>
  <c r="AF1044" i="34"/>
  <c r="AJ1047" i="34"/>
  <c r="AK1047" i="34" s="1"/>
  <c r="AH1044" i="34"/>
  <c r="AI1050" i="34"/>
  <c r="AJ1061" i="34"/>
  <c r="AJ810" i="34"/>
  <c r="AI814" i="34"/>
  <c r="AI824" i="34"/>
  <c r="AI827" i="34"/>
  <c r="AK827" i="34" s="1"/>
  <c r="AI831" i="34"/>
  <c r="AK831" i="34" s="1"/>
  <c r="AE833" i="34"/>
  <c r="AI834" i="34"/>
  <c r="AJ839" i="34"/>
  <c r="AF854" i="34"/>
  <c r="AF852" i="34" s="1"/>
  <c r="AG864" i="34"/>
  <c r="AJ864" i="34" s="1"/>
  <c r="AK864" i="34" s="1"/>
  <c r="AF871" i="34"/>
  <c r="AI871" i="34" s="1"/>
  <c r="AH877" i="34"/>
  <c r="AI878" i="34"/>
  <c r="AI979" i="34"/>
  <c r="AK1010" i="34"/>
  <c r="AK1009" i="34" s="1"/>
  <c r="AJ1009" i="34"/>
  <c r="AG1572" i="34"/>
  <c r="AF1609" i="34"/>
  <c r="AH1609" i="34"/>
  <c r="AF868" i="34"/>
  <c r="AI904" i="34"/>
  <c r="AI1417" i="34" s="1"/>
  <c r="AG914" i="34"/>
  <c r="AG1419" i="34" s="1"/>
  <c r="AH941" i="34"/>
  <c r="AG941" i="34"/>
  <c r="AH971" i="34"/>
  <c r="AG971" i="34"/>
  <c r="AF1001" i="34"/>
  <c r="AJ1003" i="34"/>
  <c r="AH1001" i="34"/>
  <c r="AH1009" i="34"/>
  <c r="AE1009" i="34"/>
  <c r="AK1015" i="34"/>
  <c r="AK1014" i="34" s="1"/>
  <c r="AJ1014" i="34"/>
  <c r="AF1020" i="34"/>
  <c r="AI1020" i="34"/>
  <c r="AH1039" i="34"/>
  <c r="AI1039" i="34"/>
  <c r="AE1102" i="34"/>
  <c r="AE1101" i="34" s="1"/>
  <c r="AE1080" i="34"/>
  <c r="AH1020" i="34"/>
  <c r="AF1039" i="34"/>
  <c r="AF1055" i="34"/>
  <c r="AK1062" i="34"/>
  <c r="AK1061" i="34" s="1"/>
  <c r="AE1067" i="34"/>
  <c r="AG1082" i="34"/>
  <c r="AF1102" i="34"/>
  <c r="AF1089" i="34"/>
  <c r="AI1091" i="34"/>
  <c r="AI1081" i="34" s="1"/>
  <c r="AF1081" i="34"/>
  <c r="AK1091" i="34"/>
  <c r="AK1081" i="34" s="1"/>
  <c r="AK1094" i="34"/>
  <c r="AE1096" i="34"/>
  <c r="AE1106" i="34"/>
  <c r="AI1116" i="34"/>
  <c r="AK1116" i="34" s="1"/>
  <c r="AI1229" i="34"/>
  <c r="AI1234" i="34"/>
  <c r="AI1235" i="34"/>
  <c r="AE1240" i="34"/>
  <c r="AI1240" i="34" s="1"/>
  <c r="AI1237" i="34"/>
  <c r="AI1238" i="34"/>
  <c r="AI1239" i="34"/>
  <c r="AE1245" i="34"/>
  <c r="AI1245" i="34" s="1"/>
  <c r="AI1242" i="34"/>
  <c r="AI1243" i="34"/>
  <c r="AI1244" i="34"/>
  <c r="AH1031" i="34"/>
  <c r="AH1050" i="34"/>
  <c r="AJ1056" i="34"/>
  <c r="AH1082" i="34"/>
  <c r="AJ1085" i="34"/>
  <c r="AG1089" i="34"/>
  <c r="AG1081" i="34"/>
  <c r="AI1097" i="34"/>
  <c r="AI1096" i="34" s="1"/>
  <c r="AF1096" i="34"/>
  <c r="AF1080" i="34"/>
  <c r="AF1061" i="34"/>
  <c r="AJ1067" i="34"/>
  <c r="AJ1084" i="34"/>
  <c r="AH1083" i="34"/>
  <c r="AJ1088" i="34"/>
  <c r="AK1088" i="34" s="1"/>
  <c r="AK1086" i="34" s="1"/>
  <c r="AH1086" i="34"/>
  <c r="AE1089" i="34"/>
  <c r="AJ1092" i="34"/>
  <c r="AJ1089" i="34" s="1"/>
  <c r="AH1107" i="34"/>
  <c r="AI1115" i="34"/>
  <c r="AK1115" i="34" s="1"/>
  <c r="AG1129" i="34"/>
  <c r="AG1133" i="34"/>
  <c r="AK1143" i="34"/>
  <c r="AJ1229" i="34"/>
  <c r="AJ1234" i="34"/>
  <c r="AJ1235" i="34"/>
  <c r="AG1240" i="34"/>
  <c r="AJ1237" i="34"/>
  <c r="AJ1238" i="34"/>
  <c r="AJ1239" i="34"/>
  <c r="AG1245" i="34"/>
  <c r="AJ1242" i="34"/>
  <c r="AJ1243" i="34"/>
  <c r="AJ1244" i="34"/>
  <c r="AE1236" i="34"/>
  <c r="AE1241" i="34"/>
  <c r="AI1270" i="34"/>
  <c r="AI1278" i="34"/>
  <c r="AJ1287" i="34"/>
  <c r="AJ1327" i="34"/>
  <c r="AJ1328" i="34"/>
  <c r="AJ1329" i="34"/>
  <c r="AF1126" i="34"/>
  <c r="AF1236" i="34"/>
  <c r="AH1240" i="34"/>
  <c r="AF1241" i="34"/>
  <c r="AH1245" i="34"/>
  <c r="AI1390" i="34"/>
  <c r="AG1236" i="34"/>
  <c r="AJ1236" i="34" s="1"/>
  <c r="AG1241" i="34"/>
  <c r="AJ1241" i="34" s="1"/>
  <c r="AI1274" i="34"/>
  <c r="AK1274" i="34" s="1"/>
  <c r="AI1282" i="34"/>
  <c r="AK1282" i="34" s="1"/>
  <c r="AI1360" i="34"/>
  <c r="AK1393" i="34"/>
  <c r="AI1339" i="34"/>
  <c r="AE1340" i="34"/>
  <c r="AE1341" i="34"/>
  <c r="AE1345" i="34" s="1"/>
  <c r="AF1445" i="34"/>
  <c r="AF1442" i="34"/>
  <c r="AI1446" i="34"/>
  <c r="AJ1447" i="34"/>
  <c r="AH1444" i="34"/>
  <c r="AJ1449" i="34"/>
  <c r="AH1448" i="34"/>
  <c r="AF1451" i="34"/>
  <c r="AI1452" i="34"/>
  <c r="AJ1453" i="34"/>
  <c r="AH1443" i="34"/>
  <c r="AF1455" i="34"/>
  <c r="AI1456" i="34"/>
  <c r="AI1455" i="34" s="1"/>
  <c r="AF1458" i="34"/>
  <c r="AI1459" i="34"/>
  <c r="AI1458" i="34" s="1"/>
  <c r="AJ1339" i="34"/>
  <c r="AF1340" i="34"/>
  <c r="AF1341" i="34"/>
  <c r="AF1345" i="34" s="1"/>
  <c r="AF1422" i="34"/>
  <c r="AE1445" i="34"/>
  <c r="AE1442" i="34"/>
  <c r="AE1451" i="34"/>
  <c r="AG1340" i="34"/>
  <c r="AG1341" i="34"/>
  <c r="AG1345" i="34" s="1"/>
  <c r="AJ1446" i="34"/>
  <c r="AH1445" i="34"/>
  <c r="AH1442" i="34"/>
  <c r="AF1444" i="34"/>
  <c r="AI1447" i="34"/>
  <c r="AI1444" i="34" s="1"/>
  <c r="AF1448" i="34"/>
  <c r="AI1449" i="34"/>
  <c r="AI1448" i="34" s="1"/>
  <c r="AJ1452" i="34"/>
  <c r="AH1451" i="34"/>
  <c r="AF1443" i="34"/>
  <c r="AI1453" i="34"/>
  <c r="AI1443" i="34" s="1"/>
  <c r="AJ1456" i="34"/>
  <c r="AH1455" i="34"/>
  <c r="AJ1459" i="34"/>
  <c r="AH1458" i="34"/>
  <c r="AH1340" i="34"/>
  <c r="AH1341" i="34"/>
  <c r="AH1345" i="34" s="1"/>
  <c r="AK1432" i="34"/>
  <c r="AK1431" i="34" s="1"/>
  <c r="AJ1431" i="34"/>
  <c r="AF1499" i="34"/>
  <c r="AG1499" i="34"/>
  <c r="AJ1499" i="34" s="1"/>
  <c r="AE1499" i="34"/>
  <c r="AJ1573" i="34"/>
  <c r="AK1573" i="34" s="1"/>
  <c r="AJ1593" i="34"/>
  <c r="AF1610" i="34"/>
  <c r="AG1610" i="34"/>
  <c r="AJ1610" i="34" s="1"/>
  <c r="AE1610" i="34"/>
  <c r="AU67" i="34"/>
  <c r="AU415" i="34"/>
  <c r="AM448" i="34"/>
  <c r="AM95" i="34"/>
  <c r="BC524" i="34"/>
  <c r="AU19" i="34"/>
  <c r="BC415" i="34"/>
  <c r="BC325" i="34"/>
  <c r="BC411" i="34"/>
  <c r="AU411" i="34"/>
  <c r="AU164" i="34"/>
  <c r="BC591" i="34"/>
  <c r="BC444" i="34"/>
  <c r="AU151" i="34"/>
  <c r="BC434" i="34"/>
  <c r="AM190" i="34"/>
  <c r="BC165" i="34"/>
  <c r="AU405" i="34"/>
  <c r="AM151" i="34"/>
  <c r="AM419" i="34"/>
  <c r="AU95" i="34"/>
  <c r="BC19" i="34"/>
  <c r="AM174" i="34"/>
  <c r="AM444" i="34"/>
  <c r="AU438" i="34"/>
  <c r="AU190" i="34"/>
  <c r="AU173" i="34"/>
  <c r="BC560" i="34"/>
  <c r="AM405" i="34"/>
  <c r="AM413" i="34"/>
  <c r="BC261" i="34"/>
  <c r="BC576" i="34"/>
  <c r="AM111" i="34"/>
  <c r="AU73" i="34"/>
  <c r="AM408" i="34"/>
  <c r="AU57" i="34"/>
  <c r="BC67" i="34"/>
  <c r="BC438" i="34"/>
  <c r="BC208" i="34"/>
  <c r="BC452" i="34"/>
  <c r="AU416" i="34"/>
  <c r="AU261" i="34"/>
  <c r="BC405" i="34"/>
  <c r="AM19" i="34"/>
  <c r="AM440" i="34"/>
  <c r="BC176" i="34"/>
  <c r="AM173" i="34"/>
  <c r="AM67" i="34"/>
  <c r="AU413" i="34"/>
  <c r="BC57" i="34"/>
  <c r="AU518" i="34"/>
  <c r="AU129" i="34"/>
  <c r="AM438" i="34"/>
  <c r="AM406" i="34"/>
  <c r="AM493" i="34"/>
  <c r="AU442" i="34"/>
  <c r="BC413" i="34"/>
  <c r="AM57" i="34"/>
  <c r="BC111" i="34"/>
  <c r="BC414" i="34"/>
  <c r="AU102" i="34"/>
  <c r="BC640" i="34"/>
  <c r="BC500" i="34"/>
  <c r="BC95" i="34"/>
  <c r="AU123" i="34"/>
  <c r="AM452" i="34"/>
  <c r="AU111" i="34"/>
  <c r="AM261" i="34"/>
  <c r="AU154" i="34"/>
  <c r="BC151" i="34"/>
  <c r="AM135" i="34"/>
  <c r="AM102" i="34"/>
  <c r="BC102" i="34"/>
  <c r="BC416" i="34"/>
  <c r="AU452" i="34"/>
  <c r="BC450" i="34"/>
  <c r="AU450" i="34"/>
  <c r="AU671" i="34"/>
  <c r="AM114" i="34"/>
  <c r="AM325" i="34"/>
  <c r="BC672" i="34"/>
  <c r="AM154" i="34"/>
  <c r="AM671" i="34"/>
  <c r="BC73" i="34"/>
  <c r="AM164" i="34"/>
  <c r="BC442" i="34"/>
  <c r="AU174" i="34"/>
  <c r="AM110" i="34"/>
  <c r="BC174" i="34"/>
  <c r="AU325" i="34"/>
  <c r="AM73" i="34"/>
  <c r="AU444" i="34"/>
  <c r="BC156" i="34"/>
  <c r="AP405" i="34" l="1"/>
  <c r="AO405" i="34"/>
  <c r="AD1208" i="34"/>
  <c r="AD1316" i="34"/>
  <c r="AH1101" i="34"/>
  <c r="AK685" i="34"/>
  <c r="AD1480" i="34"/>
  <c r="AH111" i="34"/>
  <c r="AK645" i="34"/>
  <c r="AD1586" i="34"/>
  <c r="AK282" i="34"/>
  <c r="AK147" i="34"/>
  <c r="AK149" i="34"/>
  <c r="AK93" i="34"/>
  <c r="AK869" i="34"/>
  <c r="AC1500" i="34"/>
  <c r="AC102" i="34"/>
  <c r="AC79" i="34" s="1"/>
  <c r="AC114" i="34"/>
  <c r="AC126" i="34"/>
  <c r="AH762" i="34"/>
  <c r="AB96" i="34"/>
  <c r="AB1200" i="34"/>
  <c r="AK199" i="34"/>
  <c r="AB179" i="34"/>
  <c r="AB166" i="34"/>
  <c r="AB176" i="34"/>
  <c r="AK396" i="34"/>
  <c r="AK430" i="34"/>
  <c r="AA1316" i="34"/>
  <c r="AK94" i="34"/>
  <c r="AK91" i="34" s="1"/>
  <c r="AG1318" i="34"/>
  <c r="AA273" i="34"/>
  <c r="AA239" i="34"/>
  <c r="AA1500" i="34"/>
  <c r="AA191" i="34"/>
  <c r="AG104" i="34"/>
  <c r="AJ197" i="34"/>
  <c r="Z842" i="34"/>
  <c r="Z1482" i="34" s="1"/>
  <c r="Z1480" i="34" s="1"/>
  <c r="Z58" i="34"/>
  <c r="Z57" i="34" s="1"/>
  <c r="AJ117" i="34"/>
  <c r="AK134" i="34"/>
  <c r="AK51" i="34"/>
  <c r="Y276" i="34"/>
  <c r="Y277" i="34" s="1"/>
  <c r="Y239" i="34"/>
  <c r="Y1500" i="34"/>
  <c r="X1598" i="34"/>
  <c r="X1605" i="34" s="1"/>
  <c r="X126" i="34"/>
  <c r="X1500" i="34"/>
  <c r="X125" i="34"/>
  <c r="X102" i="34"/>
  <c r="AF102" i="34" s="1"/>
  <c r="AF103" i="34"/>
  <c r="AI103" i="34" s="1"/>
  <c r="W1548" i="34"/>
  <c r="AF641" i="34"/>
  <c r="AF640" i="34" s="1"/>
  <c r="W1316" i="34"/>
  <c r="V1480" i="34"/>
  <c r="V121" i="34"/>
  <c r="V1586" i="34"/>
  <c r="V1599" i="34"/>
  <c r="V1606" i="34" s="1"/>
  <c r="AK32" i="34"/>
  <c r="AE641" i="34"/>
  <c r="U1500" i="34"/>
  <c r="AK286" i="34"/>
  <c r="T1200" i="34"/>
  <c r="U1175" i="34"/>
  <c r="U1168" i="34" s="1"/>
  <c r="T1316" i="34"/>
  <c r="AE1318" i="34"/>
  <c r="T81" i="34"/>
  <c r="T86" i="34" s="1"/>
  <c r="T89" i="34" s="1"/>
  <c r="T114" i="34"/>
  <c r="T102" i="34"/>
  <c r="T126" i="34"/>
  <c r="BE591" i="34"/>
  <c r="BH591" i="34"/>
  <c r="BF591" i="34"/>
  <c r="BI591" i="34"/>
  <c r="S96" i="34"/>
  <c r="S1544" i="34"/>
  <c r="BI1482" i="34"/>
  <c r="AK137" i="34"/>
  <c r="BE1482" i="34"/>
  <c r="BF1482" i="34"/>
  <c r="BE434" i="34"/>
  <c r="BF434" i="34"/>
  <c r="BH434" i="34"/>
  <c r="BI434" i="34"/>
  <c r="BH240" i="34"/>
  <c r="BF176" i="34"/>
  <c r="BH176" i="34"/>
  <c r="BE176" i="34"/>
  <c r="BI176" i="34"/>
  <c r="S190" i="34"/>
  <c r="BC1480" i="34"/>
  <c r="BF1480" i="34" s="1"/>
  <c r="BE640" i="34"/>
  <c r="BH640" i="34"/>
  <c r="BI640" i="34"/>
  <c r="BF640" i="34"/>
  <c r="S239" i="34"/>
  <c r="S1586" i="34"/>
  <c r="AF1385" i="34"/>
  <c r="AF1384" i="34" s="1"/>
  <c r="AF1383" i="34" s="1"/>
  <c r="AF1403" i="34" s="1"/>
  <c r="AF1407" i="34" s="1"/>
  <c r="AJ577" i="34"/>
  <c r="AK613" i="34"/>
  <c r="Z1560" i="34"/>
  <c r="Z1569" i="34" s="1"/>
  <c r="AK575" i="34"/>
  <c r="AR408" i="34"/>
  <c r="AS408" i="34"/>
  <c r="AP408" i="34"/>
  <c r="AO408" i="34"/>
  <c r="AK503" i="34"/>
  <c r="AK1231" i="34"/>
  <c r="AK511" i="34"/>
  <c r="AK1130" i="34"/>
  <c r="AK50" i="34"/>
  <c r="AK1365" i="34"/>
  <c r="AK796" i="34"/>
  <c r="AK735" i="34"/>
  <c r="AK305" i="34"/>
  <c r="AK429" i="34"/>
  <c r="AK611" i="34"/>
  <c r="AJ609" i="34"/>
  <c r="AK704" i="34"/>
  <c r="AJ562" i="34"/>
  <c r="AK740" i="34"/>
  <c r="AK617" i="34"/>
  <c r="AK616" i="34" s="1"/>
  <c r="AJ186" i="34"/>
  <c r="AJ300" i="34"/>
  <c r="AJ1392" i="34"/>
  <c r="AJ320" i="34"/>
  <c r="AK192" i="34"/>
  <c r="BH202" i="34"/>
  <c r="AE1079" i="34"/>
  <c r="AK839" i="34"/>
  <c r="AK270" i="34"/>
  <c r="AI803" i="34"/>
  <c r="AK372" i="34"/>
  <c r="AJ513" i="34"/>
  <c r="AK855" i="34"/>
  <c r="AI502" i="34"/>
  <c r="AJ526" i="34"/>
  <c r="AJ525" i="34" s="1"/>
  <c r="AJ496" i="34"/>
  <c r="AK362" i="34"/>
  <c r="AI243" i="34"/>
  <c r="AK1217" i="34"/>
  <c r="AK1149" i="34"/>
  <c r="AJ1377" i="34"/>
  <c r="AK148" i="34"/>
  <c r="AK138" i="34"/>
  <c r="AB1544" i="34"/>
  <c r="AD121" i="34"/>
  <c r="Z1504" i="34"/>
  <c r="Z1513" i="34" s="1"/>
  <c r="Z1522" i="34" s="1"/>
  <c r="AK709" i="34"/>
  <c r="AK236" i="34"/>
  <c r="AI1357" i="34"/>
  <c r="AK1223" i="34"/>
  <c r="AK482" i="34"/>
  <c r="AK344" i="34"/>
  <c r="AK587" i="34"/>
  <c r="AK1397" i="34"/>
  <c r="AK1277" i="34"/>
  <c r="AK1151" i="34"/>
  <c r="T1544" i="34"/>
  <c r="S377" i="34"/>
  <c r="AA164" i="34"/>
  <c r="AB380" i="34"/>
  <c r="S1316" i="34"/>
  <c r="AB238" i="34"/>
  <c r="AB239" i="34" s="1"/>
  <c r="AK812" i="34"/>
  <c r="AK532" i="34"/>
  <c r="AE468" i="34"/>
  <c r="AE467" i="34" s="1"/>
  <c r="AE461" i="34" s="1"/>
  <c r="AJ624" i="34"/>
  <c r="AJ585" i="34"/>
  <c r="AE427" i="34"/>
  <c r="AK80" i="34"/>
  <c r="AK1285" i="34"/>
  <c r="AK832" i="34"/>
  <c r="AK583" i="34"/>
  <c r="AK1379" i="34"/>
  <c r="S1598" i="34"/>
  <c r="S1605" i="34" s="1"/>
  <c r="AB1557" i="34"/>
  <c r="AB1566" i="34" s="1"/>
  <c r="Z96" i="34"/>
  <c r="AK1253" i="34"/>
  <c r="AK636" i="34"/>
  <c r="X273" i="34"/>
  <c r="AK327" i="34"/>
  <c r="AB114" i="34"/>
  <c r="AB126" i="34"/>
  <c r="AM377" i="34"/>
  <c r="AR377" i="34" s="1"/>
  <c r="AG1398" i="34"/>
  <c r="AK1286" i="34"/>
  <c r="AK1288" i="34"/>
  <c r="AK1153" i="34"/>
  <c r="AK603" i="34"/>
  <c r="AK1269" i="34"/>
  <c r="AK1290" i="34"/>
  <c r="AF1127" i="34"/>
  <c r="AF1157" i="34" s="1"/>
  <c r="AK607" i="34"/>
  <c r="AK304" i="34"/>
  <c r="S272" i="34"/>
  <c r="AK766" i="34"/>
  <c r="AK43" i="34"/>
  <c r="AK371" i="34"/>
  <c r="AK1348" i="34"/>
  <c r="AK1342" i="34"/>
  <c r="AK697" i="34"/>
  <c r="AK1402" i="34"/>
  <c r="AK119" i="34"/>
  <c r="AH123" i="34"/>
  <c r="AH135" i="34" s="1"/>
  <c r="AK881" i="34"/>
  <c r="AK65" i="34"/>
  <c r="AK806" i="34"/>
  <c r="AK555" i="34"/>
  <c r="BE208" i="34"/>
  <c r="BH208" i="34"/>
  <c r="BI208" i="34"/>
  <c r="BF208" i="34"/>
  <c r="AK217" i="34"/>
  <c r="AK579" i="34"/>
  <c r="AK728" i="34"/>
  <c r="AK368" i="34"/>
  <c r="AK235" i="34"/>
  <c r="T1586" i="34"/>
  <c r="Y1586" i="34"/>
  <c r="Z191" i="34"/>
  <c r="V353" i="34"/>
  <c r="AI1461" i="34"/>
  <c r="AK797" i="34"/>
  <c r="AJ505" i="34"/>
  <c r="AK302" i="34"/>
  <c r="AK604" i="34"/>
  <c r="T373" i="34"/>
  <c r="Y136" i="34"/>
  <c r="Y139" i="34"/>
  <c r="Y140" i="34" s="1"/>
  <c r="AK512" i="34"/>
  <c r="AI210" i="34"/>
  <c r="AK226" i="34"/>
  <c r="AK772" i="34"/>
  <c r="AK614" i="34"/>
  <c r="AK487" i="34"/>
  <c r="AD1500" i="34"/>
  <c r="W272" i="34"/>
  <c r="W239" i="34"/>
  <c r="AK608" i="34"/>
  <c r="AK227" i="34"/>
  <c r="AK648" i="34"/>
  <c r="AK1461" i="34"/>
  <c r="AD1200" i="34"/>
  <c r="AR110" i="34"/>
  <c r="AS110" i="34"/>
  <c r="AP110" i="34"/>
  <c r="AO110" i="34"/>
  <c r="AP419" i="34"/>
  <c r="AO419" i="34"/>
  <c r="AS419" i="34"/>
  <c r="AR419" i="34"/>
  <c r="AM439" i="34"/>
  <c r="AR438" i="34"/>
  <c r="AS438" i="34"/>
  <c r="AP438" i="34"/>
  <c r="AO438" i="34"/>
  <c r="AR413" i="34"/>
  <c r="AS413" i="34"/>
  <c r="AP413" i="34"/>
  <c r="AO413" i="34"/>
  <c r="AX413" i="34"/>
  <c r="AW413" i="34"/>
  <c r="BA413" i="34"/>
  <c r="AZ413" i="34"/>
  <c r="AS174" i="34"/>
  <c r="AR174" i="34"/>
  <c r="AO174" i="34"/>
  <c r="AP174" i="34"/>
  <c r="AZ174" i="34"/>
  <c r="AX174" i="34"/>
  <c r="BA174" i="34"/>
  <c r="AW174" i="34"/>
  <c r="BH576" i="34"/>
  <c r="BF576" i="34"/>
  <c r="BI576" i="34"/>
  <c r="BE576" i="34"/>
  <c r="BA452" i="34"/>
  <c r="AW452" i="34"/>
  <c r="AZ452" i="34"/>
  <c r="AX452" i="34"/>
  <c r="AW416" i="34"/>
  <c r="AX416" i="34"/>
  <c r="AR452" i="34"/>
  <c r="AS452" i="34"/>
  <c r="AP452" i="34"/>
  <c r="AO452" i="34"/>
  <c r="BE414" i="34"/>
  <c r="BF414" i="34"/>
  <c r="BA73" i="34"/>
  <c r="AW73" i="34"/>
  <c r="AZ73" i="34"/>
  <c r="AX73" i="34"/>
  <c r="AW444" i="34"/>
  <c r="AZ444" i="34"/>
  <c r="AX444" i="34"/>
  <c r="BA444" i="34"/>
  <c r="AW129" i="34"/>
  <c r="AX129" i="34"/>
  <c r="AZ129" i="34"/>
  <c r="AU126" i="34"/>
  <c r="BA129" i="34"/>
  <c r="BF67" i="34"/>
  <c r="BE67" i="34"/>
  <c r="BI67" i="34"/>
  <c r="BH67" i="34"/>
  <c r="BI57" i="34"/>
  <c r="BH57" i="34"/>
  <c r="BF57" i="34"/>
  <c r="BE57" i="34"/>
  <c r="AW415" i="34"/>
  <c r="AX415" i="34"/>
  <c r="BC96" i="34"/>
  <c r="BE96" i="34" s="1"/>
  <c r="BI95" i="34"/>
  <c r="BF95" i="34"/>
  <c r="BE95" i="34"/>
  <c r="BH95" i="34"/>
  <c r="BH96" i="34" s="1"/>
  <c r="AR19" i="34"/>
  <c r="AS19" i="34"/>
  <c r="AP19" i="34"/>
  <c r="AO19" i="34"/>
  <c r="AW19" i="34"/>
  <c r="BA19" i="34"/>
  <c r="AX19" i="34"/>
  <c r="AZ19" i="34"/>
  <c r="AR102" i="34"/>
  <c r="AS102" i="34"/>
  <c r="AM79" i="34"/>
  <c r="AO102" i="34"/>
  <c r="AP102" i="34"/>
  <c r="AM124" i="34"/>
  <c r="BA102" i="34"/>
  <c r="AX102" i="34"/>
  <c r="AZ102" i="34"/>
  <c r="AU79" i="34"/>
  <c r="AW102" i="34"/>
  <c r="BH174" i="34"/>
  <c r="BF174" i="34"/>
  <c r="BI174" i="34"/>
  <c r="BE174" i="34"/>
  <c r="BF415" i="34"/>
  <c r="BE415" i="34"/>
  <c r="AW173" i="34"/>
  <c r="AZ173" i="34"/>
  <c r="AX173" i="34"/>
  <c r="BA173" i="34"/>
  <c r="AS57" i="34"/>
  <c r="AR57" i="34"/>
  <c r="AP57" i="34"/>
  <c r="AO57" i="34"/>
  <c r="BA57" i="34"/>
  <c r="AW57" i="34"/>
  <c r="AZ57" i="34"/>
  <c r="AX57" i="34"/>
  <c r="BF416" i="34"/>
  <c r="BE416" i="34"/>
  <c r="BI73" i="34"/>
  <c r="BF73" i="34"/>
  <c r="BH73" i="34"/>
  <c r="BE73" i="34"/>
  <c r="BE560" i="34"/>
  <c r="BH560" i="34"/>
  <c r="BF560" i="34"/>
  <c r="BI560" i="34"/>
  <c r="AS444" i="34"/>
  <c r="AR444" i="34"/>
  <c r="AP444" i="34"/>
  <c r="AO444" i="34"/>
  <c r="BE672" i="34"/>
  <c r="BH672" i="34"/>
  <c r="BF672" i="34"/>
  <c r="BI672" i="34"/>
  <c r="AX67" i="34"/>
  <c r="BA67" i="34"/>
  <c r="AW67" i="34"/>
  <c r="AZ67" i="34"/>
  <c r="AX405" i="34"/>
  <c r="AW405" i="34"/>
  <c r="AX325" i="34"/>
  <c r="AU316" i="34"/>
  <c r="AW325" i="34"/>
  <c r="AZ325" i="34"/>
  <c r="BA325" i="34"/>
  <c r="BE325" i="34"/>
  <c r="BC316" i="34"/>
  <c r="BH325" i="34"/>
  <c r="BF325" i="34"/>
  <c r="BI325" i="34"/>
  <c r="AM191" i="34"/>
  <c r="AP190" i="34"/>
  <c r="AR190" i="34"/>
  <c r="AS190" i="34"/>
  <c r="AO190" i="34"/>
  <c r="AU439" i="34"/>
  <c r="BA438" i="34"/>
  <c r="AX438" i="34"/>
  <c r="AW438" i="34"/>
  <c r="AZ438" i="34"/>
  <c r="BI438" i="34"/>
  <c r="BE438" i="34"/>
  <c r="BC439" i="34"/>
  <c r="BF438" i="34"/>
  <c r="BH438" i="34"/>
  <c r="BF413" i="34"/>
  <c r="BI413" i="34"/>
  <c r="BE413" i="34"/>
  <c r="BH413" i="34"/>
  <c r="BF102" i="34"/>
  <c r="BC79" i="34"/>
  <c r="BI102" i="34"/>
  <c r="BH102" i="34"/>
  <c r="BE102" i="34"/>
  <c r="AS154" i="34"/>
  <c r="AR154" i="34"/>
  <c r="AO154" i="34"/>
  <c r="AP154" i="34"/>
  <c r="AM177" i="34"/>
  <c r="AX154" i="34"/>
  <c r="BA154" i="34"/>
  <c r="AW154" i="34"/>
  <c r="AZ154" i="34"/>
  <c r="AU177" i="34"/>
  <c r="BA123" i="34"/>
  <c r="AU124" i="34"/>
  <c r="AW123" i="34"/>
  <c r="AX123" i="34"/>
  <c r="AZ123" i="34"/>
  <c r="AU81" i="34"/>
  <c r="AR111" i="34"/>
  <c r="AS111" i="34"/>
  <c r="AP111" i="34"/>
  <c r="AO111" i="34"/>
  <c r="AM96" i="34"/>
  <c r="AO96" i="34" s="1"/>
  <c r="AR95" i="34"/>
  <c r="AR96" i="34" s="1"/>
  <c r="AS95" i="34"/>
  <c r="AO95" i="34"/>
  <c r="AP95" i="34"/>
  <c r="AW111" i="34"/>
  <c r="AX111" i="34"/>
  <c r="BA111" i="34"/>
  <c r="AZ111" i="34"/>
  <c r="BA450" i="34"/>
  <c r="AW450" i="34"/>
  <c r="AU451" i="34"/>
  <c r="AZ450" i="34"/>
  <c r="AX450" i="34"/>
  <c r="BC451" i="34"/>
  <c r="BE450" i="34"/>
  <c r="BH450" i="34"/>
  <c r="BF450" i="34"/>
  <c r="BI450" i="34"/>
  <c r="AX151" i="34"/>
  <c r="AW151" i="34"/>
  <c r="BA151" i="34"/>
  <c r="AZ151" i="34"/>
  <c r="AZ190" i="34"/>
  <c r="AW190" i="34"/>
  <c r="AU191" i="34"/>
  <c r="AX190" i="34"/>
  <c r="BA190" i="34"/>
  <c r="AR135" i="34"/>
  <c r="AS135" i="34"/>
  <c r="AM136" i="34"/>
  <c r="AP135" i="34"/>
  <c r="AO135" i="34"/>
  <c r="AW671" i="34"/>
  <c r="AZ671" i="34"/>
  <c r="AX671" i="34"/>
  <c r="BA671" i="34"/>
  <c r="BH444" i="34"/>
  <c r="BF444" i="34"/>
  <c r="BE444" i="34"/>
  <c r="BI444" i="34"/>
  <c r="BH111" i="34"/>
  <c r="BF111" i="34"/>
  <c r="BI111" i="34"/>
  <c r="BE111" i="34"/>
  <c r="AR448" i="34"/>
  <c r="AS448" i="34"/>
  <c r="AP448" i="34"/>
  <c r="AO448" i="34"/>
  <c r="BE452" i="34"/>
  <c r="BH452" i="34"/>
  <c r="BF452" i="34"/>
  <c r="BI452" i="34"/>
  <c r="BA518" i="34"/>
  <c r="AW518" i="34"/>
  <c r="AZ518" i="34"/>
  <c r="AX518" i="34"/>
  <c r="BF151" i="34"/>
  <c r="BE151" i="34"/>
  <c r="BH151" i="34"/>
  <c r="BI151" i="34"/>
  <c r="BI165" i="34"/>
  <c r="BH165" i="34"/>
  <c r="BE165" i="34"/>
  <c r="BF165" i="34"/>
  <c r="AZ95" i="34"/>
  <c r="AZ96" i="34" s="1"/>
  <c r="BA95" i="34"/>
  <c r="AX95" i="34"/>
  <c r="AW95" i="34"/>
  <c r="AU96" i="34"/>
  <c r="AW96" i="34" s="1"/>
  <c r="AR173" i="34"/>
  <c r="AS173" i="34"/>
  <c r="AP173" i="34"/>
  <c r="AO173" i="34"/>
  <c r="AS164" i="34"/>
  <c r="AR164" i="34"/>
  <c r="AO164" i="34"/>
  <c r="AP164" i="34"/>
  <c r="AZ164" i="34"/>
  <c r="AX164" i="34"/>
  <c r="BA164" i="34"/>
  <c r="AW164" i="34"/>
  <c r="AS114" i="34"/>
  <c r="AR114" i="34"/>
  <c r="AP114" i="34"/>
  <c r="AO114" i="34"/>
  <c r="BH19" i="34"/>
  <c r="BI19" i="34"/>
  <c r="BF19" i="34"/>
  <c r="BE19" i="34"/>
  <c r="BI156" i="34"/>
  <c r="BE156" i="34"/>
  <c r="BH156" i="34"/>
  <c r="BF156" i="34"/>
  <c r="BC179" i="34"/>
  <c r="AU443" i="34"/>
  <c r="AZ442" i="34"/>
  <c r="BA442" i="34"/>
  <c r="AW442" i="34"/>
  <c r="AX442" i="34"/>
  <c r="BH442" i="34"/>
  <c r="BF442" i="34"/>
  <c r="BI442" i="34"/>
  <c r="BC443" i="34"/>
  <c r="BE442" i="34"/>
  <c r="AW411" i="34"/>
  <c r="AX411" i="34"/>
  <c r="BE411" i="34"/>
  <c r="BF411" i="34"/>
  <c r="AR671" i="34"/>
  <c r="AS671" i="34"/>
  <c r="AO671" i="34"/>
  <c r="AP671" i="34"/>
  <c r="AS151" i="34"/>
  <c r="AR151" i="34"/>
  <c r="AO151" i="34"/>
  <c r="AP151" i="34"/>
  <c r="BF500" i="34"/>
  <c r="BE500" i="34"/>
  <c r="BI500" i="34"/>
  <c r="BH500" i="34"/>
  <c r="BH524" i="34"/>
  <c r="BF524" i="34"/>
  <c r="BI524" i="34"/>
  <c r="BE524" i="34"/>
  <c r="AS440" i="34"/>
  <c r="AR440" i="34"/>
  <c r="AP440" i="34"/>
  <c r="AO440" i="34"/>
  <c r="AS73" i="34"/>
  <c r="AR73" i="34"/>
  <c r="AP73" i="34"/>
  <c r="AO73" i="34"/>
  <c r="BF405" i="34"/>
  <c r="BE405" i="34"/>
  <c r="AR261" i="34"/>
  <c r="AS261" i="34"/>
  <c r="AO261" i="34"/>
  <c r="AP261" i="34"/>
  <c r="BF261" i="34"/>
  <c r="BI261" i="34"/>
  <c r="BE261" i="34"/>
  <c r="BH261" i="34"/>
  <c r="AW261" i="34"/>
  <c r="AZ261" i="34"/>
  <c r="AX261" i="34"/>
  <c r="BA261" i="34"/>
  <c r="AR67" i="34"/>
  <c r="AS67" i="34"/>
  <c r="AP67" i="34"/>
  <c r="AO67" i="34"/>
  <c r="AS325" i="34"/>
  <c r="AM316" i="34"/>
  <c r="AR325" i="34"/>
  <c r="AP325" i="34"/>
  <c r="AO325" i="34"/>
  <c r="AS493" i="34"/>
  <c r="AR493" i="34"/>
  <c r="AO493" i="34"/>
  <c r="AP493" i="34"/>
  <c r="AO406" i="34"/>
  <c r="AP406" i="34"/>
  <c r="AR406" i="34"/>
  <c r="AS406" i="34"/>
  <c r="AW384" i="34"/>
  <c r="AX384" i="34"/>
  <c r="AZ384" i="34"/>
  <c r="BA384" i="34"/>
  <c r="AK820" i="34"/>
  <c r="AJ642" i="34"/>
  <c r="AH494" i="34"/>
  <c r="AK287" i="34"/>
  <c r="AK1394" i="34"/>
  <c r="AK1392" i="34" s="1"/>
  <c r="AK328" i="34"/>
  <c r="AK1228" i="34"/>
  <c r="AK783" i="34"/>
  <c r="AK1272" i="34"/>
  <c r="AK464" i="34"/>
  <c r="AK463" i="34" s="1"/>
  <c r="AK63" i="34"/>
  <c r="AB1586" i="34"/>
  <c r="Y1513" i="34"/>
  <c r="Y1522" i="34" s="1"/>
  <c r="AB1500" i="34"/>
  <c r="Y1557" i="34"/>
  <c r="Y1566" i="34" s="1"/>
  <c r="T1557" i="34"/>
  <c r="T1566" i="34" s="1"/>
  <c r="AD1551" i="34"/>
  <c r="AD1560" i="34" s="1"/>
  <c r="AD1569" i="34" s="1"/>
  <c r="AR1480" i="34"/>
  <c r="AS1480" i="34"/>
  <c r="AP1480" i="34"/>
  <c r="AO1480" i="34"/>
  <c r="AH129" i="34"/>
  <c r="AB354" i="34"/>
  <c r="AH356" i="34"/>
  <c r="AH354" i="34" s="1"/>
  <c r="AH353" i="34" s="1"/>
  <c r="AW250" i="34"/>
  <c r="AZ250" i="34"/>
  <c r="AS356" i="34"/>
  <c r="AO356" i="34"/>
  <c r="AR356" i="34"/>
  <c r="AP356" i="34"/>
  <c r="AO250" i="34"/>
  <c r="AR250" i="34"/>
  <c r="AZ1476" i="34"/>
  <c r="AX1476" i="34"/>
  <c r="BA1476" i="34"/>
  <c r="AW1476" i="34"/>
  <c r="BE125" i="34"/>
  <c r="BH125" i="34"/>
  <c r="BH253" i="34"/>
  <c r="BE253" i="34"/>
  <c r="BH383" i="34"/>
  <c r="BE383" i="34"/>
  <c r="AW178" i="34"/>
  <c r="AZ178" i="34"/>
  <c r="AZ251" i="34"/>
  <c r="AW251" i="34"/>
  <c r="BH248" i="34"/>
  <c r="BE248" i="34"/>
  <c r="AO376" i="34"/>
  <c r="AR376" i="34"/>
  <c r="BE386" i="34"/>
  <c r="BH386" i="34"/>
  <c r="BI386" i="34"/>
  <c r="BF386" i="34"/>
  <c r="BC377" i="34"/>
  <c r="AW179" i="34"/>
  <c r="AZ179" i="34"/>
  <c r="AR179" i="34"/>
  <c r="AO179" i="34"/>
  <c r="AW248" i="34"/>
  <c r="AZ248" i="34"/>
  <c r="AS81" i="34"/>
  <c r="AR81" i="34"/>
  <c r="AP81" i="34"/>
  <c r="AO81" i="34"/>
  <c r="AM86" i="34"/>
  <c r="AW447" i="34"/>
  <c r="AZ447" i="34"/>
  <c r="AU278" i="34"/>
  <c r="BE249" i="34"/>
  <c r="BH249" i="34"/>
  <c r="AR447" i="34"/>
  <c r="AO447" i="34"/>
  <c r="AM278" i="34"/>
  <c r="AO383" i="34"/>
  <c r="AR383" i="34"/>
  <c r="AZ1477" i="34"/>
  <c r="AW1477" i="34"/>
  <c r="AX1477" i="34"/>
  <c r="BA1477" i="34"/>
  <c r="S340" i="34"/>
  <c r="AA1551" i="34"/>
  <c r="AA1560" i="34" s="1"/>
  <c r="AA1569" i="34" s="1"/>
  <c r="V135" i="34"/>
  <c r="V139" i="34" s="1"/>
  <c r="V140" i="34" s="1"/>
  <c r="V81" i="34"/>
  <c r="T671" i="34"/>
  <c r="AB403" i="34"/>
  <c r="AB310" i="34"/>
  <c r="AB316" i="34"/>
  <c r="AB272" i="34"/>
  <c r="U276" i="34"/>
  <c r="U277" i="34" s="1"/>
  <c r="U273" i="34"/>
  <c r="AZ356" i="34"/>
  <c r="AX356" i="34"/>
  <c r="BA356" i="34"/>
  <c r="AW356" i="34"/>
  <c r="AZ378" i="34"/>
  <c r="AW378" i="34"/>
  <c r="AW383" i="34"/>
  <c r="AZ383" i="34"/>
  <c r="AZ253" i="34"/>
  <c r="AW253" i="34"/>
  <c r="AW455" i="34"/>
  <c r="AZ455" i="34"/>
  <c r="AU421" i="34"/>
  <c r="BI389" i="34"/>
  <c r="BE389" i="34"/>
  <c r="BF389" i="34"/>
  <c r="BH389" i="34"/>
  <c r="BC380" i="34"/>
  <c r="AR178" i="34"/>
  <c r="AO178" i="34"/>
  <c r="AZ180" i="34"/>
  <c r="AW180" i="34"/>
  <c r="AP1476" i="34"/>
  <c r="AS1476" i="34"/>
  <c r="AO1476" i="34"/>
  <c r="AR1476" i="34"/>
  <c r="AO443" i="34"/>
  <c r="AR443" i="34"/>
  <c r="AM196" i="34"/>
  <c r="BE178" i="34"/>
  <c r="BH178" i="34"/>
  <c r="AR354" i="34"/>
  <c r="AS354" i="34"/>
  <c r="AO354" i="34"/>
  <c r="AP354" i="34"/>
  <c r="BH252" i="34"/>
  <c r="BE252" i="34"/>
  <c r="BH356" i="34"/>
  <c r="BF356" i="34"/>
  <c r="BE356" i="34"/>
  <c r="BI356" i="34"/>
  <c r="AO249" i="34"/>
  <c r="AR249" i="34"/>
  <c r="AZ389" i="34"/>
  <c r="AW389" i="34"/>
  <c r="AX389" i="34"/>
  <c r="AU380" i="34"/>
  <c r="BA389" i="34"/>
  <c r="BH1484" i="34"/>
  <c r="BF1484" i="34"/>
  <c r="BI1484" i="34"/>
  <c r="BE1484" i="34"/>
  <c r="AK1278" i="34"/>
  <c r="AK361" i="34"/>
  <c r="AI1146" i="34"/>
  <c r="AK550" i="34"/>
  <c r="AI317" i="34"/>
  <c r="AK225" i="34"/>
  <c r="AK1338" i="34"/>
  <c r="AK303" i="34"/>
  <c r="AK31" i="34"/>
  <c r="AD410" i="34"/>
  <c r="AK1364" i="34"/>
  <c r="Z195" i="34"/>
  <c r="AK193" i="34"/>
  <c r="AK1221" i="34"/>
  <c r="AK1216" i="34"/>
  <c r="AB135" i="34"/>
  <c r="AB81" i="34"/>
  <c r="AB86" i="34" s="1"/>
  <c r="AB89" i="34" s="1"/>
  <c r="AB124" i="34"/>
  <c r="AB448" i="34"/>
  <c r="AD139" i="34"/>
  <c r="AR380" i="34"/>
  <c r="AO380" i="34"/>
  <c r="AB493" i="34"/>
  <c r="AZ125" i="34"/>
  <c r="AW125" i="34"/>
  <c r="BF354" i="34"/>
  <c r="BE354" i="34"/>
  <c r="BH354" i="34"/>
  <c r="BI354" i="34"/>
  <c r="AU354" i="34"/>
  <c r="AU375" i="34" s="1"/>
  <c r="BE455" i="34"/>
  <c r="BH455" i="34"/>
  <c r="BC421" i="34"/>
  <c r="AZ202" i="34"/>
  <c r="BI384" i="34"/>
  <c r="BH384" i="34"/>
  <c r="BF384" i="34"/>
  <c r="BE384" i="34"/>
  <c r="BC375" i="34"/>
  <c r="BH376" i="34"/>
  <c r="BE376" i="34"/>
  <c r="AW386" i="34"/>
  <c r="AZ386" i="34"/>
  <c r="AU377" i="34"/>
  <c r="BA386" i="34"/>
  <c r="AX386" i="34"/>
  <c r="AR455" i="34"/>
  <c r="AO455" i="34"/>
  <c r="AM421" i="34"/>
  <c r="AX359" i="34"/>
  <c r="BA359" i="34"/>
  <c r="AW359" i="34"/>
  <c r="AZ359" i="34"/>
  <c r="AR379" i="34"/>
  <c r="AO379" i="34"/>
  <c r="AO180" i="34"/>
  <c r="AR180" i="34"/>
  <c r="BE251" i="34"/>
  <c r="BH251" i="34"/>
  <c r="BI359" i="34"/>
  <c r="BE359" i="34"/>
  <c r="BH359" i="34"/>
  <c r="BF359" i="34"/>
  <c r="BF1477" i="34"/>
  <c r="BI1477" i="34"/>
  <c r="BE1477" i="34"/>
  <c r="BH1477" i="34"/>
  <c r="AR202" i="34"/>
  <c r="AR382" i="34"/>
  <c r="AO382" i="34"/>
  <c r="AO252" i="34"/>
  <c r="AR252" i="34"/>
  <c r="AZ379" i="34"/>
  <c r="AW379" i="34"/>
  <c r="BF1476" i="34"/>
  <c r="BI1476" i="34"/>
  <c r="BE1476" i="34"/>
  <c r="BH1476" i="34"/>
  <c r="AW249" i="34"/>
  <c r="AZ249" i="34"/>
  <c r="AR381" i="34"/>
  <c r="AO381" i="34"/>
  <c r="BH379" i="34"/>
  <c r="BE379" i="34"/>
  <c r="BE447" i="34"/>
  <c r="BH447" i="34"/>
  <c r="BC278" i="34"/>
  <c r="AJ566" i="34"/>
  <c r="AJ565" i="34" s="1"/>
  <c r="AK116" i="34"/>
  <c r="AK816" i="34"/>
  <c r="AK554" i="34"/>
  <c r="AK1400" i="34"/>
  <c r="S166" i="34"/>
  <c r="S154" i="34"/>
  <c r="S179" i="34"/>
  <c r="AB440" i="34"/>
  <c r="S494" i="34"/>
  <c r="S1505" i="34"/>
  <c r="S129" i="34"/>
  <c r="S518" i="34"/>
  <c r="S1506" i="34"/>
  <c r="S1515" i="34" s="1"/>
  <c r="S1524" i="34" s="1"/>
  <c r="S403" i="34"/>
  <c r="S412" i="34"/>
  <c r="AD238" i="34"/>
  <c r="AD247" i="34"/>
  <c r="AR375" i="34"/>
  <c r="AO375" i="34"/>
  <c r="AZ1480" i="34"/>
  <c r="BA1480" i="34"/>
  <c r="AX1480" i="34"/>
  <c r="AW1480" i="34"/>
  <c r="AD316" i="34"/>
  <c r="AD310" i="34"/>
  <c r="BE250" i="34"/>
  <c r="BH250" i="34"/>
  <c r="AR378" i="34"/>
  <c r="AO378" i="34"/>
  <c r="BH382" i="34"/>
  <c r="BE382" i="34"/>
  <c r="BE381" i="34"/>
  <c r="BH381" i="34"/>
  <c r="BH180" i="34"/>
  <c r="BE180" i="34"/>
  <c r="AO251" i="34"/>
  <c r="AR251" i="34"/>
  <c r="AO126" i="34"/>
  <c r="AR126" i="34"/>
  <c r="BE378" i="34"/>
  <c r="BH378" i="34"/>
  <c r="AR248" i="34"/>
  <c r="AO248" i="34"/>
  <c r="AZ252" i="34"/>
  <c r="AW252" i="34"/>
  <c r="AW376" i="34"/>
  <c r="AZ376" i="34"/>
  <c r="AR125" i="34"/>
  <c r="AO125" i="34"/>
  <c r="AO451" i="34"/>
  <c r="AM341" i="34"/>
  <c r="AR451" i="34"/>
  <c r="AS359" i="34"/>
  <c r="AO359" i="34"/>
  <c r="AR359" i="34"/>
  <c r="AP359" i="34"/>
  <c r="AO253" i="34"/>
  <c r="AR253" i="34"/>
  <c r="AW381" i="34"/>
  <c r="AZ381" i="34"/>
  <c r="AZ382" i="34"/>
  <c r="AW382" i="34"/>
  <c r="AR1477" i="34"/>
  <c r="AP1477" i="34"/>
  <c r="AS1477" i="34"/>
  <c r="AO1477" i="34"/>
  <c r="AW1484" i="34"/>
  <c r="AZ1484" i="34"/>
  <c r="AX1484" i="34"/>
  <c r="BA1484" i="34"/>
  <c r="AR1484" i="34"/>
  <c r="AS1484" i="34"/>
  <c r="AO1484" i="34"/>
  <c r="AP1484" i="34"/>
  <c r="T339" i="34"/>
  <c r="T336" i="34"/>
  <c r="AC276" i="34"/>
  <c r="AC277" i="34" s="1"/>
  <c r="AC273" i="34"/>
  <c r="AK690" i="34"/>
  <c r="AK659" i="34"/>
  <c r="AK492" i="34"/>
  <c r="AE363" i="34"/>
  <c r="AF1318" i="34"/>
  <c r="AK1374" i="34"/>
  <c r="AK1275" i="34"/>
  <c r="AK1224" i="34"/>
  <c r="AK635" i="34"/>
  <c r="AK788" i="34"/>
  <c r="AK66" i="34"/>
  <c r="AK572" i="34"/>
  <c r="AK345" i="34"/>
  <c r="AK527" i="34"/>
  <c r="Z1557" i="34"/>
  <c r="Z1566" i="34" s="1"/>
  <c r="Y1598" i="34"/>
  <c r="Y1605" i="34" s="1"/>
  <c r="AC135" i="34"/>
  <c r="AC81" i="34"/>
  <c r="AC124" i="34"/>
  <c r="AB408" i="34"/>
  <c r="AB373" i="34"/>
  <c r="U86" i="34"/>
  <c r="U89" i="34" s="1"/>
  <c r="U17" i="34"/>
  <c r="AK708" i="34"/>
  <c r="AK663" i="34"/>
  <c r="AK678" i="34"/>
  <c r="AK1361" i="34"/>
  <c r="AK1360" i="34" s="1"/>
  <c r="AK1147" i="34"/>
  <c r="AI1038" i="34"/>
  <c r="AK741" i="34"/>
  <c r="AK865" i="34"/>
  <c r="AJ657" i="34"/>
  <c r="AK734" i="34"/>
  <c r="AK654" i="34"/>
  <c r="AJ628" i="34"/>
  <c r="AJ533" i="34"/>
  <c r="AG284" i="34"/>
  <c r="AK350" i="34"/>
  <c r="AF1319" i="34"/>
  <c r="AK120" i="34"/>
  <c r="AK1283" i="34"/>
  <c r="AK1145" i="34"/>
  <c r="AK1140" i="34"/>
  <c r="AH1385" i="34"/>
  <c r="AH1384" i="34" s="1"/>
  <c r="AH1383" i="34" s="1"/>
  <c r="AH1403" i="34" s="1"/>
  <c r="AH1407" i="34" s="1"/>
  <c r="AH1408" i="34" s="1"/>
  <c r="AK623" i="34"/>
  <c r="AJ605" i="34"/>
  <c r="AG1403" i="34"/>
  <c r="Y373" i="34"/>
  <c r="Y17" i="34" s="1"/>
  <c r="Y24" i="34" s="1"/>
  <c r="X408" i="34"/>
  <c r="X373" i="34"/>
  <c r="X374" i="34" s="1"/>
  <c r="AC408" i="34"/>
  <c r="AC373" i="34"/>
  <c r="AC406" i="34" s="1"/>
  <c r="AC419" i="34" s="1"/>
  <c r="AC420" i="34" s="1"/>
  <c r="U136" i="34"/>
  <c r="U139" i="34"/>
  <c r="U140" i="34" s="1"/>
  <c r="AJ1093" i="34"/>
  <c r="AK755" i="34"/>
  <c r="AK683" i="34"/>
  <c r="AG656" i="34"/>
  <c r="AG640" i="34" s="1"/>
  <c r="AK655" i="34"/>
  <c r="AK358" i="34"/>
  <c r="AK334" i="34"/>
  <c r="AK211" i="34"/>
  <c r="AK30" i="34"/>
  <c r="AK1380" i="34"/>
  <c r="AJ1356" i="34"/>
  <c r="AJ1355" i="34" s="1"/>
  <c r="AJ1354" i="34" s="1"/>
  <c r="AJ1353" i="34" s="1"/>
  <c r="AK1233" i="34"/>
  <c r="AK720" i="34"/>
  <c r="AK757" i="34"/>
  <c r="AK589" i="34"/>
  <c r="AJ485" i="34"/>
  <c r="AJ393" i="34"/>
  <c r="AJ313" i="34"/>
  <c r="AJ91" i="34"/>
  <c r="AK491" i="34"/>
  <c r="AI1387" i="34"/>
  <c r="AK729" i="34"/>
  <c r="AJ469" i="34"/>
  <c r="X1544" i="34"/>
  <c r="AA136" i="34"/>
  <c r="AI122" i="34"/>
  <c r="AA375" i="34"/>
  <c r="AA353" i="34"/>
  <c r="AA14" i="34" s="1"/>
  <c r="U375" i="34"/>
  <c r="U353" i="34"/>
  <c r="W135" i="34"/>
  <c r="W124" i="34"/>
  <c r="AF123" i="34"/>
  <c r="AF135" i="34" s="1"/>
  <c r="AF139" i="34" s="1"/>
  <c r="W81" i="34"/>
  <c r="W375" i="34"/>
  <c r="W353" i="34"/>
  <c r="W14" i="34" s="1"/>
  <c r="T406" i="34"/>
  <c r="T17" i="34"/>
  <c r="T273" i="34"/>
  <c r="T276" i="34"/>
  <c r="S375" i="34"/>
  <c r="S353" i="34"/>
  <c r="Y375" i="34"/>
  <c r="Y353" i="34"/>
  <c r="Y14" i="34" s="1"/>
  <c r="S408" i="34"/>
  <c r="S373" i="34"/>
  <c r="V79" i="34"/>
  <c r="V14" i="34" s="1"/>
  <c r="V20" i="34" s="1"/>
  <c r="V124" i="34"/>
  <c r="W408" i="34"/>
  <c r="W373" i="34"/>
  <c r="T375" i="34"/>
  <c r="T353" i="34"/>
  <c r="AA408" i="34"/>
  <c r="AA373" i="34"/>
  <c r="AG181" i="34"/>
  <c r="AK1366" i="34"/>
  <c r="AC14" i="34"/>
  <c r="AF1125" i="34"/>
  <c r="AJ1399" i="34"/>
  <c r="AK807" i="34"/>
  <c r="Z86" i="34"/>
  <c r="Z89" i="34" s="1"/>
  <c r="Z17" i="34"/>
  <c r="AD375" i="34"/>
  <c r="AD353" i="34"/>
  <c r="AD124" i="34"/>
  <c r="AD136" i="34"/>
  <c r="AK556" i="34"/>
  <c r="AI401" i="34"/>
  <c r="AJ146" i="34"/>
  <c r="Z139" i="34"/>
  <c r="Z140" i="34" s="1"/>
  <c r="Z136" i="34"/>
  <c r="Z79" i="34"/>
  <c r="Z124" i="34"/>
  <c r="AK730" i="34"/>
  <c r="AK574" i="34"/>
  <c r="AJ1133" i="34"/>
  <c r="Z353" i="34"/>
  <c r="Z375" i="34"/>
  <c r="V420" i="34"/>
  <c r="AI701" i="34"/>
  <c r="AI266" i="34"/>
  <c r="AI1138" i="34"/>
  <c r="AJ784" i="34"/>
  <c r="AK752" i="34"/>
  <c r="AK309" i="34"/>
  <c r="AK1163" i="34"/>
  <c r="AK569" i="34"/>
  <c r="AJ537" i="34"/>
  <c r="AI315" i="34"/>
  <c r="AK269" i="34"/>
  <c r="AK515" i="34"/>
  <c r="AK230" i="34"/>
  <c r="AE1370" i="34"/>
  <c r="AE1369" i="34" s="1"/>
  <c r="AE1368" i="34" s="1"/>
  <c r="AK792" i="34"/>
  <c r="AI733" i="34"/>
  <c r="AI731" i="34" s="1"/>
  <c r="AJ1142" i="34"/>
  <c r="AK466" i="34"/>
  <c r="AE1413" i="34"/>
  <c r="AC439" i="34"/>
  <c r="AC90" i="34" s="1"/>
  <c r="W1598" i="34"/>
  <c r="W1605" i="34" s="1"/>
  <c r="W1500" i="34"/>
  <c r="AK669" i="34"/>
  <c r="AK599" i="34"/>
  <c r="AJ369" i="34"/>
  <c r="AJ363" i="34" s="1"/>
  <c r="AK1388" i="34"/>
  <c r="AK785" i="34"/>
  <c r="AK771" i="34"/>
  <c r="AK679" i="34"/>
  <c r="AK535" i="34"/>
  <c r="AK370" i="34"/>
  <c r="AK369" i="34" s="1"/>
  <c r="AK234" i="34"/>
  <c r="AI40" i="34"/>
  <c r="U1586" i="34"/>
  <c r="AK189" i="34"/>
  <c r="AG978" i="34"/>
  <c r="U1598" i="34"/>
  <c r="U1605" i="34" s="1"/>
  <c r="AB1598" i="34"/>
  <c r="AB1605" i="34" s="1"/>
  <c r="S1554" i="34"/>
  <c r="S1563" i="34" s="1"/>
  <c r="S1535" i="34"/>
  <c r="S1553" i="34" s="1"/>
  <c r="AB1595" i="34"/>
  <c r="AB1602" i="34" s="1"/>
  <c r="AB1579" i="34"/>
  <c r="AC1510" i="34"/>
  <c r="AC1519" i="34" s="1"/>
  <c r="AC1491" i="34"/>
  <c r="AC1509" i="34" s="1"/>
  <c r="Z1598" i="34"/>
  <c r="Z1605" i="34" s="1"/>
  <c r="U1471" i="34"/>
  <c r="U1440" i="34"/>
  <c r="U1412" i="34"/>
  <c r="U1078" i="34"/>
  <c r="U1212" i="34"/>
  <c r="U459" i="34"/>
  <c r="U1268" i="34"/>
  <c r="U1310" i="34"/>
  <c r="V13" i="34"/>
  <c r="U78" i="34"/>
  <c r="V1557" i="34"/>
  <c r="V1566" i="34" s="1"/>
  <c r="S1510" i="34"/>
  <c r="S1519" i="34" s="1"/>
  <c r="S1491" i="34"/>
  <c r="Z435" i="34"/>
  <c r="Z439" i="34" s="1"/>
  <c r="Z90" i="34" s="1"/>
  <c r="Z436" i="34"/>
  <c r="Z1510" i="34"/>
  <c r="Z1519" i="34" s="1"/>
  <c r="Z1491" i="34"/>
  <c r="AK1329" i="34"/>
  <c r="AI1133" i="34"/>
  <c r="AI1128" i="34" s="1"/>
  <c r="AE802" i="34"/>
  <c r="AE801" i="34" s="1"/>
  <c r="AJ705" i="34"/>
  <c r="AK644" i="34"/>
  <c r="AK621" i="34"/>
  <c r="AK620" i="34" s="1"/>
  <c r="AJ570" i="34"/>
  <c r="AJ561" i="34" s="1"/>
  <c r="AK786" i="34"/>
  <c r="AK294" i="34"/>
  <c r="AI369" i="34"/>
  <c r="AK329" i="34"/>
  <c r="AK320" i="34" s="1"/>
  <c r="AK322" i="34"/>
  <c r="AJ159" i="34"/>
  <c r="AJ1483" i="34"/>
  <c r="AK228" i="34"/>
  <c r="AJ40" i="34"/>
  <c r="AI91" i="34"/>
  <c r="AK42" i="34"/>
  <c r="AK1248" i="34"/>
  <c r="AE1386" i="34"/>
  <c r="AE1385" i="34" s="1"/>
  <c r="AE1384" i="34" s="1"/>
  <c r="AE1383" i="34" s="1"/>
  <c r="AE1403" i="34" s="1"/>
  <c r="AE1127" i="34"/>
  <c r="AE1157" i="34" s="1"/>
  <c r="AJ1372" i="34"/>
  <c r="AH561" i="34"/>
  <c r="AK292" i="34"/>
  <c r="AK133" i="34"/>
  <c r="AK1401" i="34"/>
  <c r="AK1367" i="34"/>
  <c r="AK781" i="34"/>
  <c r="AK1389" i="34"/>
  <c r="AK1271" i="34"/>
  <c r="AK612" i="34"/>
  <c r="V336" i="34"/>
  <c r="V339" i="34"/>
  <c r="V340" i="34" s="1"/>
  <c r="V1554" i="34"/>
  <c r="V1563" i="34" s="1"/>
  <c r="V1535" i="34"/>
  <c r="X1510" i="34"/>
  <c r="X1519" i="34" s="1"/>
  <c r="X1491" i="34"/>
  <c r="X1509" i="34" s="1"/>
  <c r="V1510" i="34"/>
  <c r="V1519" i="34" s="1"/>
  <c r="V1491" i="34"/>
  <c r="V1509" i="34" s="1"/>
  <c r="X1557" i="34"/>
  <c r="X1566" i="34" s="1"/>
  <c r="Y1554" i="34"/>
  <c r="Y1563" i="34" s="1"/>
  <c r="Y1535" i="34"/>
  <c r="Y1553" i="34" s="1"/>
  <c r="AC1557" i="34"/>
  <c r="AC1566" i="34" s="1"/>
  <c r="AD1598" i="34"/>
  <c r="AD1605" i="34" s="1"/>
  <c r="T1510" i="34"/>
  <c r="T1519" i="34" s="1"/>
  <c r="T1491" i="34"/>
  <c r="X1586" i="34"/>
  <c r="U1544" i="34"/>
  <c r="AC1586" i="34"/>
  <c r="W1554" i="34"/>
  <c r="W1563" i="34" s="1"/>
  <c r="W1535" i="34"/>
  <c r="AA1557" i="34"/>
  <c r="AA1566" i="34" s="1"/>
  <c r="AA1598" i="34"/>
  <c r="AA1605" i="34" s="1"/>
  <c r="AA435" i="34"/>
  <c r="AA439" i="34" s="1"/>
  <c r="AA90" i="34" s="1"/>
  <c r="AA436" i="34"/>
  <c r="V435" i="34"/>
  <c r="V439" i="34" s="1"/>
  <c r="V90" i="34" s="1"/>
  <c r="V436" i="34"/>
  <c r="S435" i="34"/>
  <c r="S436" i="34"/>
  <c r="W1557" i="34"/>
  <c r="W1566" i="34" s="1"/>
  <c r="AK1090" i="34"/>
  <c r="AK1102" i="34" s="1"/>
  <c r="AG948" i="34"/>
  <c r="AJ888" i="34"/>
  <c r="AJ845" i="34"/>
  <c r="AK845" i="34" s="1"/>
  <c r="AK707" i="34"/>
  <c r="AJ717" i="34"/>
  <c r="AK702" i="34"/>
  <c r="AJ502" i="34"/>
  <c r="AJ501" i="34" s="1"/>
  <c r="AJ319" i="34"/>
  <c r="AJ495" i="34"/>
  <c r="AK271" i="34"/>
  <c r="AI219" i="34"/>
  <c r="AI250" i="34" s="1"/>
  <c r="AE347" i="34"/>
  <c r="AI279" i="34"/>
  <c r="AJ48" i="34"/>
  <c r="AK88" i="34"/>
  <c r="AK1382" i="34"/>
  <c r="AK1213" i="34"/>
  <c r="AK1214" i="34"/>
  <c r="AK722" i="34"/>
  <c r="AK595" i="34"/>
  <c r="AK768" i="34"/>
  <c r="AK777" i="34"/>
  <c r="AK471" i="34"/>
  <c r="AK52" i="34"/>
  <c r="AK573" i="34"/>
  <c r="AK367" i="34"/>
  <c r="AK1344" i="34"/>
  <c r="AK1337" i="34"/>
  <c r="V1595" i="34"/>
  <c r="V1602" i="34" s="1"/>
  <c r="V1579" i="34"/>
  <c r="W1510" i="34"/>
  <c r="W1519" i="34" s="1"/>
  <c r="W1491" i="34"/>
  <c r="S1579" i="34"/>
  <c r="S1595" i="34"/>
  <c r="S1602" i="34" s="1"/>
  <c r="Y1510" i="34"/>
  <c r="Y1519" i="34" s="1"/>
  <c r="Y1491" i="34"/>
  <c r="Y1509" i="34" s="1"/>
  <c r="AD191" i="34"/>
  <c r="AD194" i="34"/>
  <c r="Z1586" i="34"/>
  <c r="AA1554" i="34"/>
  <c r="AA1563" i="34" s="1"/>
  <c r="AA1535" i="34"/>
  <c r="T1554" i="34"/>
  <c r="T1563" i="34" s="1"/>
  <c r="T1535" i="34"/>
  <c r="T1595" i="34"/>
  <c r="T1602" i="34" s="1"/>
  <c r="T1579" i="34"/>
  <c r="Y1595" i="34"/>
  <c r="Y1602" i="34" s="1"/>
  <c r="Y1579" i="34"/>
  <c r="T1598" i="34"/>
  <c r="T1605" i="34" s="1"/>
  <c r="AC1598" i="34"/>
  <c r="AC1605" i="34" s="1"/>
  <c r="U1554" i="34"/>
  <c r="U1563" i="34" s="1"/>
  <c r="U1535" i="34"/>
  <c r="W339" i="34"/>
  <c r="W340" i="34" s="1"/>
  <c r="W336" i="34"/>
  <c r="Z1554" i="34"/>
  <c r="Z1563" i="34" s="1"/>
  <c r="Z1535" i="34"/>
  <c r="AD1557" i="34"/>
  <c r="AD1566" i="34" s="1"/>
  <c r="V1598" i="34"/>
  <c r="V1605" i="34" s="1"/>
  <c r="AA1510" i="34"/>
  <c r="AA1519" i="34" s="1"/>
  <c r="AA1491" i="34"/>
  <c r="AA1509" i="34" s="1"/>
  <c r="W1544" i="34"/>
  <c r="W1595" i="34"/>
  <c r="W1602" i="34" s="1"/>
  <c r="W1579" i="34"/>
  <c r="AC1544" i="34"/>
  <c r="V1544" i="34"/>
  <c r="X1595" i="34"/>
  <c r="X1602" i="34" s="1"/>
  <c r="X1579" i="34"/>
  <c r="AD1595" i="34"/>
  <c r="AD1602" i="34" s="1"/>
  <c r="AD1579" i="34"/>
  <c r="AC1554" i="34"/>
  <c r="AC1563" i="34" s="1"/>
  <c r="AC1535" i="34"/>
  <c r="AC1595" i="34"/>
  <c r="AC1602" i="34" s="1"/>
  <c r="AC1579" i="34"/>
  <c r="Z1595" i="34"/>
  <c r="Z1602" i="34" s="1"/>
  <c r="Z1579" i="34"/>
  <c r="AE1038" i="34"/>
  <c r="AK837" i="34"/>
  <c r="AF802" i="34"/>
  <c r="AF801" i="34" s="1"/>
  <c r="AI642" i="34"/>
  <c r="AJ509" i="34"/>
  <c r="AJ279" i="34"/>
  <c r="AJ84" i="34"/>
  <c r="AJ82" i="34" s="1"/>
  <c r="AG253" i="34"/>
  <c r="AK198" i="34"/>
  <c r="AK205" i="34"/>
  <c r="AI1377" i="34"/>
  <c r="AK1276" i="34"/>
  <c r="AK1227" i="34"/>
  <c r="AK1395" i="34"/>
  <c r="AE918" i="34"/>
  <c r="AK668" i="34"/>
  <c r="AJ813" i="34"/>
  <c r="AK715" i="34"/>
  <c r="AJ823" i="34"/>
  <c r="AK782" i="34"/>
  <c r="AI320" i="34"/>
  <c r="AK306" i="34"/>
  <c r="AG363" i="34"/>
  <c r="AI319" i="34"/>
  <c r="AK200" i="34"/>
  <c r="AK109" i="34"/>
  <c r="AK47" i="34"/>
  <c r="AK1246" i="34"/>
  <c r="AK507" i="34"/>
  <c r="V191" i="34"/>
  <c r="V194" i="34"/>
  <c r="AD1554" i="34"/>
  <c r="AD1563" i="34" s="1"/>
  <c r="AD1535" i="34"/>
  <c r="AA1544" i="34"/>
  <c r="AA1579" i="34"/>
  <c r="AA1595" i="34"/>
  <c r="AA1602" i="34" s="1"/>
  <c r="AB1535" i="34"/>
  <c r="AB1554" i="34"/>
  <c r="AB1563" i="34" s="1"/>
  <c r="W435" i="34"/>
  <c r="W439" i="34" s="1"/>
  <c r="W90" i="34" s="1"/>
  <c r="W436" i="34"/>
  <c r="U1595" i="34"/>
  <c r="U1602" i="34" s="1"/>
  <c r="U1579" i="34"/>
  <c r="AC447" i="34"/>
  <c r="AC278" i="34" s="1"/>
  <c r="AC451" i="34"/>
  <c r="AC341" i="34" s="1"/>
  <c r="AC443" i="34"/>
  <c r="AC196" i="34" s="1"/>
  <c r="AC455" i="34"/>
  <c r="AC421" i="34" s="1"/>
  <c r="AD1510" i="34"/>
  <c r="AD1519" i="34" s="1"/>
  <c r="AD1491" i="34"/>
  <c r="AD1509" i="34" s="1"/>
  <c r="Z1544" i="34"/>
  <c r="AA1586" i="34"/>
  <c r="T1500" i="34"/>
  <c r="U1491" i="34"/>
  <c r="U1510" i="34"/>
  <c r="U1519" i="34" s="1"/>
  <c r="U1557" i="34"/>
  <c r="U1566" i="34" s="1"/>
  <c r="AD1544" i="34"/>
  <c r="W191" i="34"/>
  <c r="W194" i="34"/>
  <c r="W195" i="34" s="1"/>
  <c r="AB1510" i="34"/>
  <c r="AB1519" i="34" s="1"/>
  <c r="AB1491" i="34"/>
  <c r="X1535" i="34"/>
  <c r="X1554" i="34"/>
  <c r="X1563" i="34" s="1"/>
  <c r="S1557" i="34"/>
  <c r="S1566" i="34" s="1"/>
  <c r="W1586" i="34"/>
  <c r="AB435" i="34"/>
  <c r="AB436" i="34"/>
  <c r="U435" i="34"/>
  <c r="U439" i="34" s="1"/>
  <c r="U90" i="34" s="1"/>
  <c r="U436" i="34"/>
  <c r="AD435" i="34"/>
  <c r="AD436" i="34"/>
  <c r="X435" i="34"/>
  <c r="X439" i="34" s="1"/>
  <c r="X90" i="34" s="1"/>
  <c r="X436" i="34"/>
  <c r="Y435" i="34"/>
  <c r="Y439" i="34" s="1"/>
  <c r="Y90" i="34" s="1"/>
  <c r="Y436" i="34"/>
  <c r="T435" i="34"/>
  <c r="T439" i="34" s="1"/>
  <c r="T90" i="34" s="1"/>
  <c r="T436" i="34"/>
  <c r="AJ156" i="34"/>
  <c r="AK1593" i="34"/>
  <c r="AG1038" i="34"/>
  <c r="AK826" i="34"/>
  <c r="AK696" i="34"/>
  <c r="AK1405" i="34"/>
  <c r="AF1404" i="34"/>
  <c r="AK297" i="34"/>
  <c r="AK318" i="34" s="1"/>
  <c r="AK229" i="34"/>
  <c r="AI106" i="34"/>
  <c r="AK1347" i="34"/>
  <c r="AK1158" i="34"/>
  <c r="AK481" i="34"/>
  <c r="AK64" i="34"/>
  <c r="AJ769" i="34"/>
  <c r="AK800" i="34"/>
  <c r="AK1328" i="34"/>
  <c r="AJ794" i="34"/>
  <c r="AK1162" i="34"/>
  <c r="AK590" i="34"/>
  <c r="AI562" i="34"/>
  <c r="AI342" i="34"/>
  <c r="AJ681" i="34"/>
  <c r="AH576" i="34"/>
  <c r="AF290" i="34"/>
  <c r="AJ267" i="34"/>
  <c r="AJ253" i="34" s="1"/>
  <c r="AK1222" i="34"/>
  <c r="AI616" i="34"/>
  <c r="AK643" i="34"/>
  <c r="AJ331" i="34"/>
  <c r="AK274" i="34"/>
  <c r="AK275" i="34"/>
  <c r="AK307" i="34"/>
  <c r="AI159" i="34"/>
  <c r="AK132" i="34"/>
  <c r="AI1392" i="34"/>
  <c r="AI857" i="34"/>
  <c r="AK835" i="34"/>
  <c r="AI764" i="34"/>
  <c r="AI789" i="34"/>
  <c r="AK1161" i="34"/>
  <c r="AF477" i="34"/>
  <c r="AE681" i="34"/>
  <c r="AJ158" i="34"/>
  <c r="AJ103" i="34"/>
  <c r="AK1139" i="34"/>
  <c r="AK473" i="34"/>
  <c r="AI628" i="34"/>
  <c r="AG460" i="34"/>
  <c r="AJ397" i="34"/>
  <c r="AK397" i="34" s="1"/>
  <c r="AI268" i="34"/>
  <c r="AF178" i="34"/>
  <c r="AK105" i="34"/>
  <c r="AK1232" i="34"/>
  <c r="AK787" i="34"/>
  <c r="AK721" i="34"/>
  <c r="AH1079" i="34"/>
  <c r="AJ877" i="34"/>
  <c r="AK568" i="34"/>
  <c r="AF561" i="34"/>
  <c r="AK480" i="34"/>
  <c r="AK479" i="34" s="1"/>
  <c r="AK478" i="34" s="1"/>
  <c r="AK324" i="34"/>
  <c r="AG1404" i="34"/>
  <c r="AG1407" i="34"/>
  <c r="AG1408" i="34" s="1"/>
  <c r="AG354" i="34"/>
  <c r="AG353" i="34" s="1"/>
  <c r="AK1220" i="34"/>
  <c r="AK799" i="34"/>
  <c r="AK691" i="34"/>
  <c r="AK675" i="34"/>
  <c r="AJ106" i="34"/>
  <c r="AI479" i="34"/>
  <c r="AI478" i="34" s="1"/>
  <c r="AK811" i="34"/>
  <c r="AK1215" i="34"/>
  <c r="AF1398" i="34"/>
  <c r="AI1372" i="34"/>
  <c r="AI1371" i="34" s="1"/>
  <c r="AF1408" i="34"/>
  <c r="AK1363" i="34"/>
  <c r="AK1327" i="34"/>
  <c r="AI1142" i="34"/>
  <c r="AK1133" i="34"/>
  <c r="AF1079" i="34"/>
  <c r="AJ1138" i="34"/>
  <c r="AJ1137" i="34" s="1"/>
  <c r="AJ1096" i="34"/>
  <c r="AK1093" i="34"/>
  <c r="AI1089" i="34"/>
  <c r="AG918" i="34"/>
  <c r="AF867" i="34"/>
  <c r="AG1008" i="34"/>
  <c r="AF948" i="34"/>
  <c r="AG802" i="34"/>
  <c r="AG801" i="34" s="1"/>
  <c r="AE763" i="34"/>
  <c r="AE762" i="34" s="1"/>
  <c r="AK698" i="34"/>
  <c r="AK873" i="34"/>
  <c r="AE737" i="34"/>
  <c r="AK776" i="34"/>
  <c r="AK795" i="34"/>
  <c r="AH477" i="34"/>
  <c r="AE640" i="34"/>
  <c r="AJ616" i="34"/>
  <c r="AK817" i="34"/>
  <c r="AK634" i="34"/>
  <c r="AE619" i="34"/>
  <c r="AE615" i="34" s="1"/>
  <c r="AH619" i="34"/>
  <c r="AH615" i="34" s="1"/>
  <c r="AE596" i="34"/>
  <c r="AE592" i="34" s="1"/>
  <c r="AI519" i="34"/>
  <c r="AK563" i="34"/>
  <c r="AJ422" i="34"/>
  <c r="AH518" i="34"/>
  <c r="AH493" i="34" s="1"/>
  <c r="AK357" i="34"/>
  <c r="AK330" i="34"/>
  <c r="AF427" i="34"/>
  <c r="AI318" i="34"/>
  <c r="AI313" i="34"/>
  <c r="AK221" i="34"/>
  <c r="AK168" i="34"/>
  <c r="AI143" i="34"/>
  <c r="AE284" i="34"/>
  <c r="AJ122" i="34"/>
  <c r="AK122" i="34" s="1"/>
  <c r="AK112" i="34"/>
  <c r="AK349" i="34"/>
  <c r="AK232" i="34"/>
  <c r="AI48" i="34"/>
  <c r="AI131" i="34"/>
  <c r="AK107" i="34"/>
  <c r="AK1148" i="34"/>
  <c r="AK1146" i="34" s="1"/>
  <c r="AK1280" i="34"/>
  <c r="AK1144" i="34"/>
  <c r="AE948" i="34"/>
  <c r="AK798" i="34"/>
  <c r="AK793" i="34"/>
  <c r="AF596" i="34"/>
  <c r="AF592" i="34" s="1"/>
  <c r="AF591" i="34" s="1"/>
  <c r="AK860" i="34"/>
  <c r="AF576" i="34"/>
  <c r="AK588" i="34"/>
  <c r="AF500" i="34"/>
  <c r="AF494" i="34" s="1"/>
  <c r="AE518" i="34"/>
  <c r="AJ318" i="34"/>
  <c r="AJ601" i="34"/>
  <c r="AF363" i="34"/>
  <c r="AJ479" i="34"/>
  <c r="AJ478" i="34" s="1"/>
  <c r="AK146" i="34"/>
  <c r="AK204" i="34"/>
  <c r="AK1373" i="34"/>
  <c r="AK1372" i="34" s="1"/>
  <c r="AK1358" i="34"/>
  <c r="AK1357" i="34" s="1"/>
  <c r="AK1356" i="34" s="1"/>
  <c r="AK1270" i="34"/>
  <c r="AG1079" i="34"/>
  <c r="AF1101" i="34"/>
  <c r="AK871" i="34"/>
  <c r="AF918" i="34"/>
  <c r="AK661" i="34"/>
  <c r="AI784" i="34"/>
  <c r="AJ828" i="34"/>
  <c r="AK629" i="34"/>
  <c r="AK628" i="34" s="1"/>
  <c r="AK528" i="34"/>
  <c r="AJ472" i="34"/>
  <c r="AJ632" i="34"/>
  <c r="AK651" i="34"/>
  <c r="AG427" i="34"/>
  <c r="AK293" i="34"/>
  <c r="AK314" i="34" s="1"/>
  <c r="AK313" i="34"/>
  <c r="AI262" i="34"/>
  <c r="AI248" i="34" s="1"/>
  <c r="AI146" i="34"/>
  <c r="AK838" i="34"/>
  <c r="AJ1387" i="34"/>
  <c r="AJ1386" i="34" s="1"/>
  <c r="AJ1385" i="34" s="1"/>
  <c r="AJ1384" i="34" s="1"/>
  <c r="AJ1383" i="34" s="1"/>
  <c r="AE1441" i="34"/>
  <c r="AK1376" i="34"/>
  <c r="AK1375" i="34" s="1"/>
  <c r="AI1399" i="34"/>
  <c r="AK1378" i="34"/>
  <c r="AK1377" i="34" s="1"/>
  <c r="AK1287" i="34"/>
  <c r="AF1008" i="34"/>
  <c r="AE1008" i="34"/>
  <c r="AJ808" i="34"/>
  <c r="AK866" i="34"/>
  <c r="AH802" i="34"/>
  <c r="AH801" i="34" s="1"/>
  <c r="AI745" i="34"/>
  <c r="AK713" i="34"/>
  <c r="AJ774" i="34"/>
  <c r="AK759" i="34"/>
  <c r="AK711" i="34"/>
  <c r="AI1416" i="34"/>
  <c r="AE887" i="34"/>
  <c r="AJ764" i="34"/>
  <c r="AF724" i="34"/>
  <c r="AF716" i="34" s="1"/>
  <c r="AJ488" i="34"/>
  <c r="AF680" i="34"/>
  <c r="AF672" i="34" s="1"/>
  <c r="AH641" i="34"/>
  <c r="AH640" i="34" s="1"/>
  <c r="AK474" i="34"/>
  <c r="AK517" i="34"/>
  <c r="AJ581" i="34"/>
  <c r="AJ580" i="34" s="1"/>
  <c r="AJ576" i="34" s="1"/>
  <c r="AI463" i="34"/>
  <c r="AI462" i="34" s="1"/>
  <c r="AG615" i="34"/>
  <c r="AG591" i="34" s="1"/>
  <c r="AK522" i="34"/>
  <c r="AK520" i="34" s="1"/>
  <c r="AK519" i="34" s="1"/>
  <c r="AJ520" i="34"/>
  <c r="AJ519" i="34" s="1"/>
  <c r="AI99" i="34"/>
  <c r="AK99" i="34" s="1"/>
  <c r="AE1355" i="34"/>
  <c r="AE1354" i="34" s="1"/>
  <c r="AE1353" i="34" s="1"/>
  <c r="AK1279" i="34"/>
  <c r="AK1230" i="34"/>
  <c r="AE978" i="34"/>
  <c r="AJ857" i="34"/>
  <c r="AK880" i="34"/>
  <c r="AK754" i="34"/>
  <c r="AK637" i="34"/>
  <c r="AJ597" i="34"/>
  <c r="AK557" i="34"/>
  <c r="AF524" i="34"/>
  <c r="AF518" i="34" s="1"/>
  <c r="AE494" i="34"/>
  <c r="AK548" i="34"/>
  <c r="AK1159" i="34"/>
  <c r="AK424" i="34"/>
  <c r="AJ751" i="34"/>
  <c r="AJ749" i="34" s="1"/>
  <c r="AK295" i="34"/>
  <c r="AH363" i="34"/>
  <c r="AJ314" i="34"/>
  <c r="AF82" i="34"/>
  <c r="AJ1129" i="34"/>
  <c r="AK1423" i="34"/>
  <c r="AK1422" i="34" s="1"/>
  <c r="AJ1422" i="34"/>
  <c r="AK805" i="34"/>
  <c r="AK803" i="34" s="1"/>
  <c r="AK778" i="34"/>
  <c r="AK564" i="34"/>
  <c r="AF461" i="34"/>
  <c r="AK108" i="34"/>
  <c r="AK54" i="34"/>
  <c r="AK1244" i="34"/>
  <c r="AK1239" i="34"/>
  <c r="AK1235" i="34"/>
  <c r="AJ1086" i="34"/>
  <c r="AI1102" i="34"/>
  <c r="AI1101" i="34" s="1"/>
  <c r="AI488" i="34"/>
  <c r="AE252" i="34"/>
  <c r="AI258" i="34"/>
  <c r="AK258" i="34" s="1"/>
  <c r="AJ872" i="34"/>
  <c r="AK859" i="34"/>
  <c r="AJ803" i="34"/>
  <c r="AK333" i="34"/>
  <c r="AK161" i="34"/>
  <c r="AK53" i="34"/>
  <c r="AH1008" i="34"/>
  <c r="AI1356" i="34"/>
  <c r="AI1355" i="34" s="1"/>
  <c r="AI1354" i="34" s="1"/>
  <c r="AI1353" i="34" s="1"/>
  <c r="AJ856" i="34"/>
  <c r="AK856" i="34" s="1"/>
  <c r="AJ833" i="34"/>
  <c r="AG763" i="34"/>
  <c r="AG762" i="34" s="1"/>
  <c r="AI850" i="34"/>
  <c r="AK850" i="34" s="1"/>
  <c r="AJ545" i="34"/>
  <c r="AJ544" i="34" s="1"/>
  <c r="AI156" i="34"/>
  <c r="AK1132" i="34"/>
  <c r="AG561" i="34"/>
  <c r="AG560" i="34" s="1"/>
  <c r="AE477" i="34"/>
  <c r="AE460" i="34" s="1"/>
  <c r="AK338" i="34"/>
  <c r="AI1386" i="34"/>
  <c r="AI1241" i="34"/>
  <c r="AK1241" i="34" s="1"/>
  <c r="AE687" i="34"/>
  <c r="AG725" i="34"/>
  <c r="AG724" i="34" s="1"/>
  <c r="AG716" i="34" s="1"/>
  <c r="AJ649" i="34"/>
  <c r="AJ641" i="34" s="1"/>
  <c r="AK213" i="34"/>
  <c r="AG82" i="34"/>
  <c r="AF223" i="34"/>
  <c r="AK1131" i="34"/>
  <c r="AJ1371" i="34"/>
  <c r="AJ1370" i="34" s="1"/>
  <c r="AJ1369" i="34" s="1"/>
  <c r="AJ1368" i="34" s="1"/>
  <c r="AK825" i="34"/>
  <c r="AG1441" i="34"/>
  <c r="AJ779" i="34"/>
  <c r="AJ131" i="34"/>
  <c r="AK337" i="34"/>
  <c r="AE1349" i="34"/>
  <c r="AE1350" i="34" s="1"/>
  <c r="AE1346" i="34"/>
  <c r="AJ725" i="34"/>
  <c r="AK727" i="34"/>
  <c r="AI416" i="34"/>
  <c r="AI383" i="34"/>
  <c r="AJ524" i="34"/>
  <c r="AE377" i="34"/>
  <c r="AE384" i="34"/>
  <c r="AI409" i="34"/>
  <c r="AK231" i="34"/>
  <c r="AI382" i="34"/>
  <c r="AI415" i="34"/>
  <c r="AK85" i="34"/>
  <c r="AG1349" i="34"/>
  <c r="AG1350" i="34" s="1"/>
  <c r="AG1346" i="34"/>
  <c r="AF1493" i="34"/>
  <c r="AH687" i="34"/>
  <c r="AH680" i="34" s="1"/>
  <c r="AH672" i="34" s="1"/>
  <c r="AJ689" i="34"/>
  <c r="AK689" i="34" s="1"/>
  <c r="AK670" i="34"/>
  <c r="AK598" i="34"/>
  <c r="AK597" i="34" s="1"/>
  <c r="AI597" i="34"/>
  <c r="AG1549" i="34"/>
  <c r="AF1494" i="34"/>
  <c r="AH1582" i="34"/>
  <c r="AK652" i="34"/>
  <c r="AI649" i="34"/>
  <c r="AH1591" i="34"/>
  <c r="AK567" i="34"/>
  <c r="AI566" i="34"/>
  <c r="AI565" i="34" s="1"/>
  <c r="AE448" i="34"/>
  <c r="AI449" i="34"/>
  <c r="AH381" i="34"/>
  <c r="AH414" i="34"/>
  <c r="AJ390" i="34"/>
  <c r="AH389" i="34"/>
  <c r="AF379" i="34"/>
  <c r="AF386" i="34"/>
  <c r="AF384" i="34" s="1"/>
  <c r="AH1494" i="34"/>
  <c r="AF312" i="34"/>
  <c r="AJ445" i="34"/>
  <c r="AK571" i="34"/>
  <c r="AK570" i="34" s="1"/>
  <c r="AI570" i="34"/>
  <c r="AH416" i="34"/>
  <c r="AJ392" i="34"/>
  <c r="AK392" i="34" s="1"/>
  <c r="AH383" i="34"/>
  <c r="AG378" i="34"/>
  <c r="AG411" i="34"/>
  <c r="AE310" i="34"/>
  <c r="AI321" i="34"/>
  <c r="AE312" i="34"/>
  <c r="AG1506" i="34"/>
  <c r="AJ285" i="34"/>
  <c r="AJ283" i="34" s="1"/>
  <c r="AE444" i="34"/>
  <c r="AI445" i="34"/>
  <c r="AJ256" i="34"/>
  <c r="AJ242" i="34" s="1"/>
  <c r="AH242" i="34"/>
  <c r="AE1498" i="34"/>
  <c r="AH1476" i="34"/>
  <c r="AJ22" i="34"/>
  <c r="AJ1476" i="34" s="1"/>
  <c r="AK343" i="34"/>
  <c r="AK342" i="34" s="1"/>
  <c r="AJ317" i="34"/>
  <c r="AI252" i="34"/>
  <c r="AH249" i="34"/>
  <c r="AJ260" i="34"/>
  <c r="AJ246" i="34" s="1"/>
  <c r="AH246" i="34"/>
  <c r="AK222" i="34"/>
  <c r="AK210" i="34"/>
  <c r="AH1542" i="34"/>
  <c r="AG154" i="34"/>
  <c r="AF1507" i="34"/>
  <c r="AI1507" i="34" s="1"/>
  <c r="AG98" i="34"/>
  <c r="AH21" i="34"/>
  <c r="AJ348" i="34"/>
  <c r="AJ346" i="34" s="1"/>
  <c r="AI331" i="34"/>
  <c r="AG310" i="34"/>
  <c r="AK298" i="34"/>
  <c r="AH223" i="34"/>
  <c r="AJ224" i="34"/>
  <c r="AJ223" i="34" s="1"/>
  <c r="AF177" i="34"/>
  <c r="AF190" i="34"/>
  <c r="AF166" i="34"/>
  <c r="AF173" i="34"/>
  <c r="AG1498" i="34"/>
  <c r="AE434" i="34"/>
  <c r="AH1319" i="34"/>
  <c r="AE413" i="34"/>
  <c r="AJ315" i="34"/>
  <c r="AI301" i="34"/>
  <c r="AG446" i="34"/>
  <c r="AG444" i="34" s="1"/>
  <c r="AG250" i="34"/>
  <c r="AJ244" i="34"/>
  <c r="AI220" i="34"/>
  <c r="AK220" i="34" s="1"/>
  <c r="AE251" i="34"/>
  <c r="AH216" i="34"/>
  <c r="AK187" i="34"/>
  <c r="AI186" i="34"/>
  <c r="AI182" i="34"/>
  <c r="AE178" i="34"/>
  <c r="AE1552" i="34"/>
  <c r="AE175" i="34"/>
  <c r="AF1542" i="34"/>
  <c r="AE98" i="34"/>
  <c r="AI98" i="34" s="1"/>
  <c r="AJ44" i="34"/>
  <c r="AH1324" i="34"/>
  <c r="AJ1324" i="34" s="1"/>
  <c r="AH27" i="34"/>
  <c r="AH1320" i="34"/>
  <c r="AH23" i="34"/>
  <c r="AE1319" i="34"/>
  <c r="AH181" i="34"/>
  <c r="AK41" i="34"/>
  <c r="AJ212" i="34"/>
  <c r="AJ243" i="34" s="1"/>
  <c r="AH154" i="34"/>
  <c r="AG19" i="34"/>
  <c r="AH1552" i="34"/>
  <c r="AG1312" i="34"/>
  <c r="AG15" i="34"/>
  <c r="AI59" i="34"/>
  <c r="AK59" i="34" s="1"/>
  <c r="AJ1445" i="34"/>
  <c r="AJ1442" i="34"/>
  <c r="AK1446" i="34"/>
  <c r="AJ1340" i="34"/>
  <c r="AI1445" i="34"/>
  <c r="AI1442" i="34"/>
  <c r="AI1441" i="34" s="1"/>
  <c r="AF1349" i="34"/>
  <c r="AF1350" i="34" s="1"/>
  <c r="AF1346" i="34"/>
  <c r="AH1585" i="34"/>
  <c r="AH1125" i="34"/>
  <c r="AK955" i="34"/>
  <c r="AK954" i="34" s="1"/>
  <c r="AK948" i="34" s="1"/>
  <c r="AJ954" i="34"/>
  <c r="AJ948" i="34" s="1"/>
  <c r="AE1582" i="34"/>
  <c r="AJ862" i="34"/>
  <c r="AH1549" i="34"/>
  <c r="AK780" i="34"/>
  <c r="AI779" i="34"/>
  <c r="AE1540" i="34"/>
  <c r="AF1537" i="34"/>
  <c r="AK510" i="34"/>
  <c r="AI509" i="34"/>
  <c r="AG1505" i="34"/>
  <c r="AI673" i="34"/>
  <c r="AK674" i="34"/>
  <c r="AH1588" i="34"/>
  <c r="AG1541" i="34"/>
  <c r="AK578" i="34"/>
  <c r="AK577" i="34" s="1"/>
  <c r="AI577" i="34"/>
  <c r="AJ1455" i="34"/>
  <c r="AK1456" i="34"/>
  <c r="AK1455" i="34" s="1"/>
  <c r="AJ1443" i="34"/>
  <c r="AK1453" i="34"/>
  <c r="AK1443" i="34" s="1"/>
  <c r="AJ1448" i="34"/>
  <c r="AK1449" i="34"/>
  <c r="AK1448" i="34" s="1"/>
  <c r="AH1349" i="34"/>
  <c r="AH1350" i="34" s="1"/>
  <c r="AH1346" i="34"/>
  <c r="AI1236" i="34"/>
  <c r="AK1236" i="34" s="1"/>
  <c r="AK1056" i="34"/>
  <c r="AK1055" i="34" s="1"/>
  <c r="AJ1055" i="34"/>
  <c r="AK1238" i="34"/>
  <c r="AJ1609" i="34"/>
  <c r="AG1571" i="34"/>
  <c r="AI918" i="34"/>
  <c r="AG846" i="34"/>
  <c r="AI833" i="34"/>
  <c r="AK834" i="34"/>
  <c r="AI823" i="34"/>
  <c r="AK824" i="34"/>
  <c r="AH1592" i="34"/>
  <c r="AG1589" i="34"/>
  <c r="AG1125" i="34"/>
  <c r="AE1609" i="34"/>
  <c r="AI1609" i="34" s="1"/>
  <c r="AF1572" i="34"/>
  <c r="AI1572" i="34" s="1"/>
  <c r="AK985" i="34"/>
  <c r="AK984" i="34" s="1"/>
  <c r="AJ984" i="34"/>
  <c r="AH918" i="34"/>
  <c r="AF893" i="34"/>
  <c r="AI894" i="34"/>
  <c r="AI893" i="34" s="1"/>
  <c r="AI1415" i="34" s="1"/>
  <c r="AE1571" i="34"/>
  <c r="AI808" i="34"/>
  <c r="AK809" i="34"/>
  <c r="AJ664" i="34"/>
  <c r="AJ656" i="34" s="1"/>
  <c r="AG1585" i="34"/>
  <c r="AE1588" i="34"/>
  <c r="AH1538" i="34"/>
  <c r="AG1493" i="34"/>
  <c r="AK853" i="34"/>
  <c r="AH264" i="34"/>
  <c r="AI705" i="34"/>
  <c r="AK706" i="34"/>
  <c r="AF1582" i="34"/>
  <c r="AG1584" i="34"/>
  <c r="AF1581" i="34"/>
  <c r="AH1546" i="34"/>
  <c r="AK732" i="34"/>
  <c r="AG862" i="34"/>
  <c r="AK775" i="34"/>
  <c r="AI725" i="34"/>
  <c r="AK726" i="34"/>
  <c r="AG680" i="34"/>
  <c r="AG672" i="34" s="1"/>
  <c r="AG1547" i="34"/>
  <c r="AJ1547" i="34" s="1"/>
  <c r="AE1549" i="34"/>
  <c r="AE1548" i="34"/>
  <c r="AF1546" i="34"/>
  <c r="AK530" i="34"/>
  <c r="AK529" i="34" s="1"/>
  <c r="AI529" i="34"/>
  <c r="AK506" i="34"/>
  <c r="AI505" i="34"/>
  <c r="AI472" i="34"/>
  <c r="AH1502" i="34"/>
  <c r="AK810" i="34"/>
  <c r="AI620" i="34"/>
  <c r="AK594" i="34"/>
  <c r="AI593" i="34"/>
  <c r="AG1550" i="34"/>
  <c r="AE576" i="34"/>
  <c r="AE560" i="34" s="1"/>
  <c r="AK536" i="34"/>
  <c r="AH468" i="34"/>
  <c r="AH467" i="34" s="1"/>
  <c r="AH461" i="34" s="1"/>
  <c r="AF1502" i="34"/>
  <c r="AK791" i="34"/>
  <c r="AK602" i="34"/>
  <c r="AI601" i="34"/>
  <c r="AK582" i="34"/>
  <c r="AK581" i="34" s="1"/>
  <c r="AK580" i="34" s="1"/>
  <c r="AI581" i="34"/>
  <c r="AI580" i="34" s="1"/>
  <c r="AK553" i="34"/>
  <c r="AK552" i="34" s="1"/>
  <c r="AI552" i="34"/>
  <c r="AI551" i="34" s="1"/>
  <c r="AF1503" i="34"/>
  <c r="AH852" i="34"/>
  <c r="AJ701" i="34"/>
  <c r="AJ699" i="34" s="1"/>
  <c r="AH1589" i="34"/>
  <c r="AF450" i="34"/>
  <c r="AI450" i="34" s="1"/>
  <c r="AF1538" i="34"/>
  <c r="AG500" i="34"/>
  <c r="AG494" i="34" s="1"/>
  <c r="AH386" i="34"/>
  <c r="AH384" i="34" s="1"/>
  <c r="AH376" i="34"/>
  <c r="AH409" i="34"/>
  <c r="AJ385" i="34"/>
  <c r="AF356" i="34"/>
  <c r="AI356" i="34" s="1"/>
  <c r="AK660" i="34"/>
  <c r="AH1503" i="34"/>
  <c r="AG386" i="34"/>
  <c r="AE1537" i="34"/>
  <c r="AH1505" i="34"/>
  <c r="AJ428" i="34"/>
  <c r="AJ426" i="34" s="1"/>
  <c r="AH426" i="34"/>
  <c r="AH427" i="34" s="1"/>
  <c r="AH415" i="34"/>
  <c r="AJ391" i="34"/>
  <c r="AK391" i="34" s="1"/>
  <c r="AH382" i="34"/>
  <c r="AF409" i="34"/>
  <c r="AF376" i="34"/>
  <c r="AE241" i="34"/>
  <c r="AI255" i="34"/>
  <c r="AK218" i="34"/>
  <c r="AH179" i="34"/>
  <c r="AJ183" i="34"/>
  <c r="AF1552" i="34"/>
  <c r="AF175" i="34"/>
  <c r="AI27" i="34"/>
  <c r="AE68" i="34"/>
  <c r="AE73" i="34" s="1"/>
  <c r="AE1484" i="34"/>
  <c r="AG1316" i="34"/>
  <c r="AI291" i="34"/>
  <c r="AJ249" i="34"/>
  <c r="AE245" i="34"/>
  <c r="AI259" i="34"/>
  <c r="AJ241" i="34"/>
  <c r="AF254" i="34"/>
  <c r="AH209" i="34"/>
  <c r="AI183" i="34"/>
  <c r="AE179" i="34"/>
  <c r="AH127" i="34"/>
  <c r="AJ130" i="34"/>
  <c r="AJ127" i="34" s="1"/>
  <c r="AF121" i="34"/>
  <c r="AF114" i="34"/>
  <c r="AF110" i="34" s="1"/>
  <c r="AJ437" i="34"/>
  <c r="AG405" i="34"/>
  <c r="AG412" i="34" s="1"/>
  <c r="AG403" i="34"/>
  <c r="AJ360" i="34"/>
  <c r="AJ359" i="34" s="1"/>
  <c r="AJ355" i="34"/>
  <c r="AJ325" i="34"/>
  <c r="AJ316" i="34" s="1"/>
  <c r="AH316" i="34"/>
  <c r="AG209" i="34"/>
  <c r="AI441" i="34"/>
  <c r="AE1542" i="34"/>
  <c r="AG165" i="34"/>
  <c r="AG1507" i="34"/>
  <c r="AI346" i="34"/>
  <c r="AK280" i="34"/>
  <c r="AK279" i="34" s="1"/>
  <c r="AF181" i="34"/>
  <c r="AJ169" i="34"/>
  <c r="AK160" i="34"/>
  <c r="AE1543" i="34"/>
  <c r="AH165" i="34"/>
  <c r="AE154" i="34"/>
  <c r="AH1498" i="34"/>
  <c r="AH125" i="34"/>
  <c r="AJ128" i="34"/>
  <c r="AH97" i="34"/>
  <c r="AJ97" i="34" s="1"/>
  <c r="AI84" i="34"/>
  <c r="AK84" i="34" s="1"/>
  <c r="AF1324" i="34"/>
  <c r="AI1324" i="34" s="1"/>
  <c r="AJ185" i="34"/>
  <c r="AE174" i="34"/>
  <c r="AK49" i="34"/>
  <c r="AJ111" i="34"/>
  <c r="AG241" i="34"/>
  <c r="AK188" i="34"/>
  <c r="AJ145" i="34"/>
  <c r="AK115" i="34"/>
  <c r="AI185" i="34"/>
  <c r="AJ1080" i="34"/>
  <c r="AK1084" i="34"/>
  <c r="AJ1083" i="34"/>
  <c r="AI948" i="34"/>
  <c r="AG848" i="34"/>
  <c r="AG847" i="34" s="1"/>
  <c r="AG1582" i="34"/>
  <c r="AH1419" i="34"/>
  <c r="AJ914" i="34"/>
  <c r="AH1571" i="34"/>
  <c r="AG1528" i="34"/>
  <c r="AH899" i="34"/>
  <c r="AH1416" i="34" s="1"/>
  <c r="AJ900" i="34"/>
  <c r="AE851" i="34"/>
  <c r="AI851" i="34" s="1"/>
  <c r="AK851" i="34" s="1"/>
  <c r="AG1413" i="34"/>
  <c r="AI868" i="34"/>
  <c r="AG1546" i="34"/>
  <c r="AE1585" i="34"/>
  <c r="AE849" i="34"/>
  <c r="AI849" i="34" s="1"/>
  <c r="AK849" i="34" s="1"/>
  <c r="AG1538" i="34"/>
  <c r="AK534" i="34"/>
  <c r="AI533" i="34"/>
  <c r="AH1493" i="34"/>
  <c r="AI693" i="34"/>
  <c r="AK694" i="34"/>
  <c r="AK693" i="34" s="1"/>
  <c r="AF1441" i="34"/>
  <c r="AK1339" i="34"/>
  <c r="AI1340" i="34"/>
  <c r="AK1243" i="34"/>
  <c r="AK1234" i="34"/>
  <c r="AJ1341" i="34"/>
  <c r="AJ1345" i="34" s="1"/>
  <c r="AH1441" i="34"/>
  <c r="AI1451" i="34"/>
  <c r="AJ1245" i="34"/>
  <c r="AK1245" i="34" s="1"/>
  <c r="AJ1240" i="34"/>
  <c r="AK1240" i="34" s="1"/>
  <c r="AG1128" i="34"/>
  <c r="AG1127" i="34" s="1"/>
  <c r="AG1157" i="34" s="1"/>
  <c r="AK1085" i="34"/>
  <c r="AJ1082" i="34"/>
  <c r="AK1242" i="34"/>
  <c r="AK1237" i="34"/>
  <c r="AK1229" i="34"/>
  <c r="AF1038" i="34"/>
  <c r="AH1038" i="34"/>
  <c r="AH1608" i="34"/>
  <c r="AF1608" i="34"/>
  <c r="AI877" i="34"/>
  <c r="AK878" i="34"/>
  <c r="AF848" i="34"/>
  <c r="AF847" i="34" s="1"/>
  <c r="AH844" i="34"/>
  <c r="AI813" i="34"/>
  <c r="AK814" i="34"/>
  <c r="AE1125" i="34"/>
  <c r="AK1044" i="34"/>
  <c r="AF978" i="34"/>
  <c r="AH948" i="34"/>
  <c r="AF1419" i="34"/>
  <c r="AI914" i="34"/>
  <c r="AI1419" i="34" s="1"/>
  <c r="AI1414" i="34"/>
  <c r="AE862" i="34"/>
  <c r="AI863" i="34"/>
  <c r="AG852" i="34"/>
  <c r="AK836" i="34"/>
  <c r="AF1585" i="34"/>
  <c r="AI743" i="34"/>
  <c r="AK744" i="34"/>
  <c r="AK665" i="34"/>
  <c r="AI664" i="34"/>
  <c r="AG1592" i="34"/>
  <c r="AE1581" i="34"/>
  <c r="AG1502" i="34"/>
  <c r="AK894" i="34"/>
  <c r="AK893" i="34" s="1"/>
  <c r="AK1415" i="34" s="1"/>
  <c r="AJ893" i="34"/>
  <c r="AJ1415" i="34" s="1"/>
  <c r="AG844" i="34"/>
  <c r="AH846" i="34"/>
  <c r="AK739" i="34"/>
  <c r="AI717" i="34"/>
  <c r="AK718" i="34"/>
  <c r="AF1589" i="34"/>
  <c r="AI1589" i="34" s="1"/>
  <c r="AG1591" i="34"/>
  <c r="AF1588" i="34"/>
  <c r="AH1537" i="34"/>
  <c r="AH848" i="34"/>
  <c r="AJ737" i="34"/>
  <c r="AI794" i="34"/>
  <c r="AI774" i="34"/>
  <c r="AH743" i="34"/>
  <c r="AJ745" i="34"/>
  <c r="AF263" i="34"/>
  <c r="AF249" i="34" s="1"/>
  <c r="AE1584" i="34"/>
  <c r="AG1588" i="34"/>
  <c r="AF1550" i="34"/>
  <c r="AI1550" i="34" s="1"/>
  <c r="AF1549" i="34"/>
  <c r="AK486" i="34"/>
  <c r="AK485" i="34" s="1"/>
  <c r="AI485" i="34"/>
  <c r="AG1495" i="34"/>
  <c r="AK633" i="34"/>
  <c r="AK625" i="34"/>
  <c r="AK624" i="34" s="1"/>
  <c r="AK549" i="34"/>
  <c r="AJ733" i="34"/>
  <c r="AJ731" i="34" s="1"/>
  <c r="AH731" i="34"/>
  <c r="AI657" i="34"/>
  <c r="AK658" i="34"/>
  <c r="AJ619" i="34"/>
  <c r="AK606" i="34"/>
  <c r="AK605" i="34" s="1"/>
  <c r="AI605" i="34"/>
  <c r="AH596" i="34"/>
  <c r="AH592" i="34" s="1"/>
  <c r="AK546" i="34"/>
  <c r="AI545" i="34"/>
  <c r="AI544" i="34" s="1"/>
  <c r="AK497" i="34"/>
  <c r="AK496" i="34" s="1"/>
  <c r="AK495" i="34" s="1"/>
  <c r="AG1494" i="34"/>
  <c r="AH1541" i="34"/>
  <c r="AE1493" i="34"/>
  <c r="AI360" i="34"/>
  <c r="AE359" i="34"/>
  <c r="AE380" i="34" s="1"/>
  <c r="AF1547" i="34"/>
  <c r="AI1547" i="34" s="1"/>
  <c r="AE1494" i="34"/>
  <c r="AF416" i="34"/>
  <c r="AF383" i="34"/>
  <c r="AG524" i="34"/>
  <c r="AG518" i="34" s="1"/>
  <c r="AI388" i="34"/>
  <c r="AE379" i="34"/>
  <c r="AE1546" i="34"/>
  <c r="AJ552" i="34"/>
  <c r="AJ551" i="34" s="1"/>
  <c r="AI422" i="34"/>
  <c r="AK423" i="34"/>
  <c r="AF414" i="34"/>
  <c r="AF389" i="34"/>
  <c r="AF381" i="34"/>
  <c r="AG347" i="34"/>
  <c r="AE254" i="34"/>
  <c r="AG1552" i="34"/>
  <c r="AG175" i="34"/>
  <c r="AF1543" i="34"/>
  <c r="AG1551" i="34"/>
  <c r="AG174" i="34"/>
  <c r="AE150" i="34"/>
  <c r="AE151" i="34" s="1"/>
  <c r="AI145" i="34"/>
  <c r="AG381" i="34"/>
  <c r="AG450" i="34"/>
  <c r="AH310" i="34"/>
  <c r="AI283" i="34"/>
  <c r="AE250" i="34"/>
  <c r="AE242" i="34"/>
  <c r="AG216" i="34"/>
  <c r="AG247" i="34" s="1"/>
  <c r="AG178" i="34"/>
  <c r="AK171" i="34"/>
  <c r="AF165" i="34"/>
  <c r="AJ155" i="34"/>
  <c r="AJ143" i="34"/>
  <c r="AF1508" i="34"/>
  <c r="AI1508" i="34" s="1"/>
  <c r="AI1483" i="34"/>
  <c r="AK46" i="34"/>
  <c r="AF1320" i="34"/>
  <c r="AF405" i="34"/>
  <c r="AF412" i="34" s="1"/>
  <c r="AF403" i="34"/>
  <c r="AI411" i="34"/>
  <c r="AI378" i="34"/>
  <c r="AE216" i="34"/>
  <c r="AI216" i="34" s="1"/>
  <c r="AE442" i="34"/>
  <c r="AE440" i="34" s="1"/>
  <c r="AH176" i="34"/>
  <c r="AH174" i="34"/>
  <c r="AH1543" i="34"/>
  <c r="AI437" i="34"/>
  <c r="AE1477" i="34"/>
  <c r="AI21" i="34"/>
  <c r="AI426" i="34"/>
  <c r="AJ401" i="34"/>
  <c r="AE381" i="34"/>
  <c r="AK366" i="34"/>
  <c r="AK364" i="34" s="1"/>
  <c r="AJ268" i="34"/>
  <c r="AE261" i="34"/>
  <c r="AE244" i="34"/>
  <c r="AG442" i="34"/>
  <c r="AI169" i="34"/>
  <c r="AK167" i="34"/>
  <c r="AJ157" i="34"/>
  <c r="AJ180" i="34" s="1"/>
  <c r="AH180" i="34"/>
  <c r="AG166" i="34"/>
  <c r="AH1507" i="34"/>
  <c r="AH1508" i="34"/>
  <c r="AJ1508" i="34" s="1"/>
  <c r="AF434" i="34"/>
  <c r="AI1529" i="34"/>
  <c r="AK1529" i="34" s="1"/>
  <c r="AE62" i="34"/>
  <c r="AE67" i="34" s="1"/>
  <c r="AI26" i="34"/>
  <c r="AE1320" i="34"/>
  <c r="AE1551" i="34"/>
  <c r="AI197" i="34"/>
  <c r="AE127" i="34"/>
  <c r="AF97" i="34"/>
  <c r="AK212" i="34"/>
  <c r="AI111" i="34"/>
  <c r="AI44" i="34"/>
  <c r="AK170" i="34"/>
  <c r="AF23" i="34"/>
  <c r="AF1484" i="34" s="1"/>
  <c r="AE1517" i="34"/>
  <c r="AG1517" i="34"/>
  <c r="AG1526" i="34" s="1"/>
  <c r="AJ1451" i="34"/>
  <c r="AK1452" i="34"/>
  <c r="AI1610" i="34"/>
  <c r="AK1610" i="34" s="1"/>
  <c r="AI1499" i="34"/>
  <c r="AK1499" i="34" s="1"/>
  <c r="AJ1458" i="34"/>
  <c r="AK1459" i="34"/>
  <c r="AK1458" i="34" s="1"/>
  <c r="AF1517" i="34"/>
  <c r="AF1526" i="34" s="1"/>
  <c r="AJ1444" i="34"/>
  <c r="AK1447" i="34"/>
  <c r="AK1444" i="34" s="1"/>
  <c r="AI1341" i="34"/>
  <c r="AK1341" i="34" s="1"/>
  <c r="AJ1107" i="34"/>
  <c r="AJ1101" i="34" s="1"/>
  <c r="AK1092" i="34"/>
  <c r="AK1107" i="34" s="1"/>
  <c r="AI1080" i="34"/>
  <c r="AI1079" i="34" s="1"/>
  <c r="AI1008" i="34"/>
  <c r="AJ1001" i="34"/>
  <c r="AK1003" i="34"/>
  <c r="AK1001" i="34" s="1"/>
  <c r="AI978" i="34"/>
  <c r="AK1026" i="34"/>
  <c r="AK1025" i="34" s="1"/>
  <c r="AK1008" i="34" s="1"/>
  <c r="AJ1025" i="34"/>
  <c r="AJ1008" i="34" s="1"/>
  <c r="AG1608" i="34"/>
  <c r="AH1572" i="34"/>
  <c r="AJ1572" i="34" s="1"/>
  <c r="AG843" i="34"/>
  <c r="AJ1044" i="34"/>
  <c r="AH978" i="34"/>
  <c r="AK925" i="34"/>
  <c r="AK924" i="34" s="1"/>
  <c r="AK918" i="34" s="1"/>
  <c r="AJ924" i="34"/>
  <c r="AJ918" i="34" s="1"/>
  <c r="AJ1414" i="34"/>
  <c r="AJ868" i="34"/>
  <c r="AJ867" i="34" s="1"/>
  <c r="AH867" i="34"/>
  <c r="AF846" i="34"/>
  <c r="AI828" i="34"/>
  <c r="AK829" i="34"/>
  <c r="AK828" i="34" s="1"/>
  <c r="AG887" i="34"/>
  <c r="AK819" i="34"/>
  <c r="AK818" i="34" s="1"/>
  <c r="AI818" i="34"/>
  <c r="AE743" i="34"/>
  <c r="AI687" i="34"/>
  <c r="AK688" i="34"/>
  <c r="AJ673" i="34"/>
  <c r="AF1584" i="34"/>
  <c r="AE1541" i="34"/>
  <c r="AH1540" i="34"/>
  <c r="AG1537" i="34"/>
  <c r="AK872" i="34"/>
  <c r="AH1255" i="34"/>
  <c r="AH1254" i="34"/>
  <c r="AK770" i="34"/>
  <c r="AK769" i="34" s="1"/>
  <c r="AI769" i="34"/>
  <c r="AI737" i="34"/>
  <c r="AK738" i="34"/>
  <c r="AI681" i="34"/>
  <c r="AK682" i="34"/>
  <c r="AE1538" i="34"/>
  <c r="AH1414" i="34"/>
  <c r="AI699" i="34"/>
  <c r="AK700" i="34"/>
  <c r="AE1592" i="34"/>
  <c r="AI1592" i="34" s="1"/>
  <c r="AI854" i="34"/>
  <c r="AK854" i="34" s="1"/>
  <c r="AK765" i="34"/>
  <c r="AK764" i="34" s="1"/>
  <c r="AE1590" i="34"/>
  <c r="AE1591" i="34"/>
  <c r="AG1581" i="34"/>
  <c r="AF1541" i="34"/>
  <c r="AF1540" i="34"/>
  <c r="AK538" i="34"/>
  <c r="AK537" i="34" s="1"/>
  <c r="AI537" i="34"/>
  <c r="AK514" i="34"/>
  <c r="AI513" i="34"/>
  <c r="AJ818" i="34"/>
  <c r="AF265" i="34"/>
  <c r="AH1581" i="34"/>
  <c r="AI632" i="34"/>
  <c r="AI624" i="34"/>
  <c r="AK504" i="34"/>
  <c r="AK470" i="34"/>
  <c r="AI469" i="34"/>
  <c r="AE1505" i="34"/>
  <c r="AI749" i="34"/>
  <c r="AK750" i="34"/>
  <c r="AK610" i="34"/>
  <c r="AI609" i="34"/>
  <c r="AK586" i="34"/>
  <c r="AK585" i="34" s="1"/>
  <c r="AI585" i="34"/>
  <c r="AG1540" i="34"/>
  <c r="AI496" i="34"/>
  <c r="AI495" i="34" s="1"/>
  <c r="AG1503" i="34"/>
  <c r="AH1584" i="34"/>
  <c r="AH1550" i="34"/>
  <c r="AJ463" i="34"/>
  <c r="AJ462" i="34" s="1"/>
  <c r="AE1502" i="34"/>
  <c r="AI453" i="34"/>
  <c r="AE452" i="34"/>
  <c r="AI355" i="34"/>
  <c r="AI376" i="34" s="1"/>
  <c r="AE354" i="34"/>
  <c r="AK650" i="34"/>
  <c r="AE1503" i="34"/>
  <c r="AF1496" i="34"/>
  <c r="AI1496" i="34" s="1"/>
  <c r="AF415" i="34"/>
  <c r="AF382" i="34"/>
  <c r="AI526" i="34"/>
  <c r="AJ387" i="34"/>
  <c r="AK387" i="34" s="1"/>
  <c r="AH411" i="34"/>
  <c r="AH378" i="34"/>
  <c r="AJ449" i="34"/>
  <c r="AF325" i="34"/>
  <c r="AF316" i="34" s="1"/>
  <c r="AK489" i="34"/>
  <c r="AK488" i="34" s="1"/>
  <c r="AH1496" i="34"/>
  <c r="AJ1496" i="34" s="1"/>
  <c r="AH454" i="34"/>
  <c r="AH452" i="34" s="1"/>
  <c r="AJ453" i="34"/>
  <c r="AK394" i="34"/>
  <c r="AK393" i="34" s="1"/>
  <c r="AI393" i="34"/>
  <c r="AH379" i="34"/>
  <c r="AJ388" i="34"/>
  <c r="AJ291" i="34"/>
  <c r="AJ290" i="34" s="1"/>
  <c r="AH290" i="34"/>
  <c r="AE316" i="34"/>
  <c r="AK317" i="34"/>
  <c r="AH284" i="34"/>
  <c r="AE249" i="34"/>
  <c r="AG254" i="34"/>
  <c r="AH254" i="34"/>
  <c r="AE209" i="34"/>
  <c r="AJ203" i="34"/>
  <c r="AJ201" i="34" s="1"/>
  <c r="AH201" i="34"/>
  <c r="AH202" i="34" s="1"/>
  <c r="AG1542" i="34"/>
  <c r="AG434" i="34"/>
  <c r="AH62" i="34"/>
  <c r="AH67" i="34" s="1"/>
  <c r="AJ26" i="34"/>
  <c r="AJ62" i="34" s="1"/>
  <c r="AJ67" i="34" s="1"/>
  <c r="AE405" i="34"/>
  <c r="AG380" i="34"/>
  <c r="AG413" i="34"/>
  <c r="AG376" i="34"/>
  <c r="AH312" i="34"/>
  <c r="AJ266" i="34"/>
  <c r="AJ252" i="34" s="1"/>
  <c r="AH252" i="34"/>
  <c r="AJ262" i="34"/>
  <c r="AJ248" i="34" s="1"/>
  <c r="AH248" i="34"/>
  <c r="AI242" i="34"/>
  <c r="AG223" i="34"/>
  <c r="AI203" i="34"/>
  <c r="AE201" i="34"/>
  <c r="AE202" i="34" s="1"/>
  <c r="AJ441" i="34"/>
  <c r="AG176" i="34"/>
  <c r="AG1543" i="34"/>
  <c r="AF1498" i="34"/>
  <c r="AH434" i="34"/>
  <c r="AG1319" i="34"/>
  <c r="AH347" i="34"/>
  <c r="AI246" i="34"/>
  <c r="AJ214" i="34"/>
  <c r="AK214" i="34" s="1"/>
  <c r="AF209" i="34"/>
  <c r="AF208" i="34" s="1"/>
  <c r="AH178" i="34"/>
  <c r="AJ182" i="34"/>
  <c r="AH1551" i="34"/>
  <c r="AI157" i="34"/>
  <c r="AI180" i="34" s="1"/>
  <c r="AI128" i="34"/>
  <c r="AE125" i="34"/>
  <c r="AH98" i="34"/>
  <c r="AG1320" i="34"/>
  <c r="AH405" i="34"/>
  <c r="AI390" i="34"/>
  <c r="AI363" i="34"/>
  <c r="AE253" i="34"/>
  <c r="AI267" i="34"/>
  <c r="AJ265" i="34"/>
  <c r="AJ251" i="34" s="1"/>
  <c r="AH251" i="34"/>
  <c r="AH244" i="34"/>
  <c r="AI224" i="34"/>
  <c r="AE223" i="34"/>
  <c r="AK184" i="34"/>
  <c r="AE176" i="34"/>
  <c r="AE166" i="34"/>
  <c r="AI158" i="34"/>
  <c r="AF1551" i="34"/>
  <c r="AF174" i="34"/>
  <c r="AG173" i="34"/>
  <c r="AI83" i="34"/>
  <c r="AE82" i="34"/>
  <c r="AI1323" i="34"/>
  <c r="AK1323" i="34" s="1"/>
  <c r="AE1476" i="34"/>
  <c r="AI22" i="34"/>
  <c r="AI130" i="34"/>
  <c r="AH82" i="34"/>
  <c r="AE97" i="34"/>
  <c r="AK45" i="34"/>
  <c r="AK257" i="34"/>
  <c r="AH175" i="34"/>
  <c r="AF19" i="34"/>
  <c r="AU373" i="34"/>
  <c r="AM194" i="34"/>
  <c r="AU493" i="34"/>
  <c r="BC310" i="34"/>
  <c r="AU440" i="34"/>
  <c r="AU412" i="34"/>
  <c r="AM403" i="34"/>
  <c r="AU435" i="34"/>
  <c r="BC129" i="34"/>
  <c r="BC448" i="34"/>
  <c r="AM435" i="34"/>
  <c r="AU448" i="34"/>
  <c r="BC494" i="34"/>
  <c r="AM139" i="34"/>
  <c r="BC403" i="34"/>
  <c r="BC518" i="34"/>
  <c r="AM310" i="34"/>
  <c r="AM412" i="34"/>
  <c r="BC154" i="34"/>
  <c r="BC671" i="34"/>
  <c r="BC166" i="34"/>
  <c r="BC412" i="34"/>
  <c r="AU135" i="34"/>
  <c r="AM238" i="34"/>
  <c r="BC408" i="34"/>
  <c r="AM436" i="34"/>
  <c r="AU238" i="34"/>
  <c r="BC373" i="34"/>
  <c r="AM247" i="34"/>
  <c r="AM121" i="34"/>
  <c r="BC238" i="34"/>
  <c r="BC190" i="34"/>
  <c r="BC440" i="34"/>
  <c r="BC247" i="34"/>
  <c r="AU114" i="34"/>
  <c r="AM353" i="34"/>
  <c r="AU403" i="34"/>
  <c r="AU408" i="34"/>
  <c r="AU310" i="34"/>
  <c r="BC436" i="34"/>
  <c r="AU436" i="34"/>
  <c r="AU194" i="34"/>
  <c r="BC435" i="34"/>
  <c r="AU247" i="34"/>
  <c r="AP412" i="34" l="1"/>
  <c r="AO412" i="34"/>
  <c r="AW412" i="34"/>
  <c r="AX412" i="34"/>
  <c r="AP403" i="34"/>
  <c r="AO403" i="34"/>
  <c r="AJ202" i="34"/>
  <c r="AC110" i="34"/>
  <c r="AC121" i="34"/>
  <c r="AH460" i="34"/>
  <c r="AJ427" i="34"/>
  <c r="Y406" i="34"/>
  <c r="AB177" i="34"/>
  <c r="AB190" i="34"/>
  <c r="AB173" i="34"/>
  <c r="AH173" i="34" s="1"/>
  <c r="AJ173" i="34" s="1"/>
  <c r="AH166" i="34"/>
  <c r="AJ166" i="34" s="1"/>
  <c r="AB164" i="34"/>
  <c r="AB1553" i="34"/>
  <c r="AJ484" i="34"/>
  <c r="AJ483" i="34" s="1"/>
  <c r="AJ468" i="34"/>
  <c r="AJ467" i="34" s="1"/>
  <c r="AK509" i="34"/>
  <c r="Z1500" i="34"/>
  <c r="Z1509" i="34" s="1"/>
  <c r="AJ1128" i="34"/>
  <c r="AJ1403" i="34"/>
  <c r="AJ1404" i="34" s="1"/>
  <c r="Y1314" i="34"/>
  <c r="Y1321" i="34" s="1"/>
  <c r="Y18" i="34"/>
  <c r="AK1483" i="34"/>
  <c r="X1553" i="34"/>
  <c r="AK103" i="34"/>
  <c r="X79" i="34"/>
  <c r="X14" i="34" s="1"/>
  <c r="X1472" i="34" s="1"/>
  <c r="X124" i="34"/>
  <c r="X140" i="34"/>
  <c r="X136" i="34"/>
  <c r="AF125" i="34"/>
  <c r="AI1125" i="34"/>
  <c r="AK601" i="34"/>
  <c r="AK596" i="34" s="1"/>
  <c r="AI166" i="34"/>
  <c r="AK502" i="34"/>
  <c r="AK1142" i="34"/>
  <c r="AK40" i="34"/>
  <c r="AI1319" i="34"/>
  <c r="U1200" i="34"/>
  <c r="V1175" i="34"/>
  <c r="V1168" i="34" s="1"/>
  <c r="AK526" i="34"/>
  <c r="AK525" i="34" s="1"/>
  <c r="AK524" i="34" s="1"/>
  <c r="AK518" i="34" s="1"/>
  <c r="U1509" i="34"/>
  <c r="U1530" i="34" s="1"/>
  <c r="AI501" i="34"/>
  <c r="AI500" i="34" s="1"/>
  <c r="AI494" i="34" s="1"/>
  <c r="AI1318" i="34"/>
  <c r="AK117" i="34"/>
  <c r="AE591" i="34"/>
  <c r="T79" i="34"/>
  <c r="T14" i="34" s="1"/>
  <c r="T124" i="34"/>
  <c r="T136" i="34"/>
  <c r="T140" i="34"/>
  <c r="T121" i="34"/>
  <c r="T110" i="34"/>
  <c r="T1553" i="34"/>
  <c r="T1574" i="34" s="1"/>
  <c r="AK422" i="34"/>
  <c r="AK401" i="34"/>
  <c r="AI1137" i="34"/>
  <c r="AI1127" i="34" s="1"/>
  <c r="AI1157" i="34" s="1"/>
  <c r="AK1138" i="34"/>
  <c r="BE1480" i="34"/>
  <c r="BI1480" i="34"/>
  <c r="BH1480" i="34"/>
  <c r="BI190" i="34"/>
  <c r="BF190" i="34"/>
  <c r="BE190" i="34"/>
  <c r="BH190" i="34"/>
  <c r="S194" i="34"/>
  <c r="S195" i="34" s="1"/>
  <c r="AO377" i="34"/>
  <c r="AC407" i="34"/>
  <c r="AK285" i="34"/>
  <c r="AK283" i="34" s="1"/>
  <c r="AJ175" i="34"/>
  <c r="AS121" i="34"/>
  <c r="AR121" i="34"/>
  <c r="AO121" i="34"/>
  <c r="AP121" i="34"/>
  <c r="AI1542" i="34"/>
  <c r="AJ1551" i="34"/>
  <c r="AK1451" i="34"/>
  <c r="AH1398" i="34"/>
  <c r="AZ114" i="34"/>
  <c r="AX114" i="34"/>
  <c r="BA114" i="34"/>
  <c r="AW114" i="34"/>
  <c r="AI1385" i="34"/>
  <c r="AI1384" i="34" s="1"/>
  <c r="AI1383" i="34" s="1"/>
  <c r="AI1403" i="34" s="1"/>
  <c r="AF560" i="34"/>
  <c r="AB110" i="34"/>
  <c r="AB121" i="34"/>
  <c r="AE1398" i="34"/>
  <c r="S273" i="34"/>
  <c r="S276" i="34"/>
  <c r="S277" i="34" s="1"/>
  <c r="AK197" i="34"/>
  <c r="AD14" i="34"/>
  <c r="AD20" i="34" s="1"/>
  <c r="AJ1550" i="34"/>
  <c r="AI641" i="34"/>
  <c r="AH1404" i="34"/>
  <c r="AK331" i="34"/>
  <c r="AF81" i="34"/>
  <c r="AF86" i="34" s="1"/>
  <c r="AF89" i="34" s="1"/>
  <c r="AE680" i="34"/>
  <c r="AE672" i="34" s="1"/>
  <c r="AK1324" i="34"/>
  <c r="AC374" i="34"/>
  <c r="V136" i="34"/>
  <c r="V407" i="34"/>
  <c r="V374" i="34"/>
  <c r="AK609" i="34"/>
  <c r="AK681" i="34"/>
  <c r="AE724" i="34"/>
  <c r="AE716" i="34" s="1"/>
  <c r="AK751" i="34"/>
  <c r="AJ1498" i="34"/>
  <c r="AK319" i="34"/>
  <c r="AJ596" i="34"/>
  <c r="AJ592" i="34" s="1"/>
  <c r="AK472" i="34"/>
  <c r="W273" i="34"/>
  <c r="W276" i="34"/>
  <c r="W277" i="34" s="1"/>
  <c r="AF136" i="34"/>
  <c r="AF124" i="34"/>
  <c r="AK1362" i="34"/>
  <c r="AB1509" i="34"/>
  <c r="AI1370" i="34"/>
  <c r="AI1369" i="34" s="1"/>
  <c r="AI1368" i="34" s="1"/>
  <c r="AK1399" i="34"/>
  <c r="AJ1541" i="34"/>
  <c r="AI887" i="34"/>
  <c r="AK779" i="34"/>
  <c r="AK562" i="34"/>
  <c r="BI436" i="34"/>
  <c r="BH436" i="34"/>
  <c r="BF436" i="34"/>
  <c r="BE436" i="34"/>
  <c r="AO353" i="34"/>
  <c r="AP353" i="34"/>
  <c r="AS353" i="34"/>
  <c r="AR353" i="34"/>
  <c r="AM374" i="34"/>
  <c r="AM407" i="34"/>
  <c r="AM420" i="34"/>
  <c r="AW408" i="34"/>
  <c r="AX408" i="34"/>
  <c r="AZ408" i="34"/>
  <c r="BA408" i="34"/>
  <c r="AR247" i="34"/>
  <c r="AO247" i="34"/>
  <c r="BH247" i="34"/>
  <c r="BE247" i="34"/>
  <c r="AW247" i="34"/>
  <c r="AZ247" i="34"/>
  <c r="BI494" i="34"/>
  <c r="BE494" i="34"/>
  <c r="BH494" i="34"/>
  <c r="BF494" i="34"/>
  <c r="BE166" i="34"/>
  <c r="BF166" i="34"/>
  <c r="BI166" i="34"/>
  <c r="BH166" i="34"/>
  <c r="AX194" i="34"/>
  <c r="AW194" i="34"/>
  <c r="AU195" i="34"/>
  <c r="BA194" i="34"/>
  <c r="AZ194" i="34"/>
  <c r="AU311" i="34"/>
  <c r="AZ310" i="34"/>
  <c r="AX310" i="34"/>
  <c r="BA310" i="34"/>
  <c r="AW310" i="34"/>
  <c r="BF310" i="34"/>
  <c r="BI310" i="34"/>
  <c r="BC311" i="34"/>
  <c r="BE310" i="34"/>
  <c r="BH310" i="34"/>
  <c r="AS436" i="34"/>
  <c r="AR436" i="34"/>
  <c r="AO436" i="34"/>
  <c r="AP436" i="34"/>
  <c r="BA436" i="34"/>
  <c r="AW436" i="34"/>
  <c r="AZ436" i="34"/>
  <c r="AX436" i="34"/>
  <c r="BF435" i="34"/>
  <c r="BI435" i="34"/>
  <c r="BE435" i="34"/>
  <c r="BH435" i="34"/>
  <c r="BF373" i="34"/>
  <c r="BE373" i="34"/>
  <c r="BI373" i="34"/>
  <c r="BH373" i="34"/>
  <c r="AS310" i="34"/>
  <c r="AR310" i="34"/>
  <c r="AM311" i="34"/>
  <c r="AP310" i="34"/>
  <c r="AO310" i="34"/>
  <c r="AS238" i="34"/>
  <c r="AM239" i="34"/>
  <c r="AR238" i="34"/>
  <c r="AP238" i="34"/>
  <c r="AO238" i="34"/>
  <c r="BI238" i="34"/>
  <c r="BC239" i="34"/>
  <c r="BF238" i="34"/>
  <c r="BE238" i="34"/>
  <c r="BH238" i="34"/>
  <c r="AW238" i="34"/>
  <c r="AU239" i="34"/>
  <c r="AZ238" i="34"/>
  <c r="AX238" i="34"/>
  <c r="BA238" i="34"/>
  <c r="BI518" i="34"/>
  <c r="BE518" i="34"/>
  <c r="BH518" i="34"/>
  <c r="BF518" i="34"/>
  <c r="AW440" i="34"/>
  <c r="AX440" i="34"/>
  <c r="BA440" i="34"/>
  <c r="AZ440" i="34"/>
  <c r="BF440" i="34"/>
  <c r="BE440" i="34"/>
  <c r="BI440" i="34"/>
  <c r="BH440" i="34"/>
  <c r="AU136" i="34"/>
  <c r="AW135" i="34"/>
  <c r="BA135" i="34"/>
  <c r="AZ135" i="34"/>
  <c r="AX135" i="34"/>
  <c r="AX403" i="34"/>
  <c r="AW403" i="34"/>
  <c r="AR435" i="34"/>
  <c r="AS435" i="34"/>
  <c r="AO435" i="34"/>
  <c r="AP435" i="34"/>
  <c r="AW435" i="34"/>
  <c r="AX435" i="34"/>
  <c r="AZ435" i="34"/>
  <c r="BA435" i="34"/>
  <c r="BH408" i="34"/>
  <c r="BF408" i="34"/>
  <c r="BI408" i="34"/>
  <c r="BE408" i="34"/>
  <c r="BF412" i="34"/>
  <c r="BE412" i="34"/>
  <c r="BE129" i="34"/>
  <c r="BC126" i="34"/>
  <c r="BH129" i="34"/>
  <c r="BF129" i="34"/>
  <c r="BI129" i="34"/>
  <c r="AZ493" i="34"/>
  <c r="BA493" i="34"/>
  <c r="AX493" i="34"/>
  <c r="AW493" i="34"/>
  <c r="AZ448" i="34"/>
  <c r="BA448" i="34"/>
  <c r="AW448" i="34"/>
  <c r="AX448" i="34"/>
  <c r="BI448" i="34"/>
  <c r="BH448" i="34"/>
  <c r="BF448" i="34"/>
  <c r="BE448" i="34"/>
  <c r="BE671" i="34"/>
  <c r="BH671" i="34"/>
  <c r="BF671" i="34"/>
  <c r="BI671" i="34"/>
  <c r="AS194" i="34"/>
  <c r="AR194" i="34"/>
  <c r="AM195" i="34"/>
  <c r="AP194" i="34"/>
  <c r="AO194" i="34"/>
  <c r="AW373" i="34"/>
  <c r="AX373" i="34"/>
  <c r="BA373" i="34"/>
  <c r="AZ373" i="34"/>
  <c r="BF403" i="34"/>
  <c r="BE403" i="34"/>
  <c r="BE154" i="34"/>
  <c r="BF154" i="34"/>
  <c r="BI154" i="34"/>
  <c r="BH154" i="34"/>
  <c r="BC177" i="34"/>
  <c r="BC191" i="34"/>
  <c r="AR139" i="34"/>
  <c r="AS139" i="34"/>
  <c r="AM140" i="34"/>
  <c r="AP139" i="34"/>
  <c r="AO139" i="34"/>
  <c r="AW375" i="34"/>
  <c r="AZ375" i="34"/>
  <c r="AI97" i="34"/>
  <c r="AK97" i="34" s="1"/>
  <c r="AK649" i="34"/>
  <c r="AJ560" i="34"/>
  <c r="AK1355" i="34"/>
  <c r="AK1354" i="34" s="1"/>
  <c r="AK1353" i="34" s="1"/>
  <c r="Y16" i="34"/>
  <c r="Y1475" i="34" s="1"/>
  <c r="Y1473" i="34" s="1"/>
  <c r="AD420" i="34"/>
  <c r="T277" i="34"/>
  <c r="S493" i="34"/>
  <c r="S173" i="34"/>
  <c r="S164" i="34"/>
  <c r="AO421" i="34"/>
  <c r="AR421" i="34"/>
  <c r="BH421" i="34"/>
  <c r="BE421" i="34"/>
  <c r="AB335" i="34"/>
  <c r="AB311" i="34"/>
  <c r="V86" i="34"/>
  <c r="V89" i="34" s="1"/>
  <c r="V17" i="34"/>
  <c r="V16" i="34" s="1"/>
  <c r="V1475" i="34" s="1"/>
  <c r="V1473" i="34" s="1"/>
  <c r="AZ278" i="34"/>
  <c r="AW278" i="34"/>
  <c r="BH179" i="34"/>
  <c r="BE179" i="34"/>
  <c r="AW191" i="34"/>
  <c r="AZ191" i="34"/>
  <c r="AW177" i="34"/>
  <c r="AZ177" i="34"/>
  <c r="AW439" i="34"/>
  <c r="AZ439" i="34"/>
  <c r="AU90" i="34"/>
  <c r="AZ316" i="34"/>
  <c r="AW316" i="34"/>
  <c r="AS79" i="34"/>
  <c r="AP79" i="34"/>
  <c r="AR79" i="34"/>
  <c r="AO79" i="34"/>
  <c r="AD311" i="34"/>
  <c r="AD335" i="34"/>
  <c r="AD272" i="34"/>
  <c r="AD239" i="34"/>
  <c r="AD17" i="34"/>
  <c r="AZ377" i="34"/>
  <c r="AW377" i="34"/>
  <c r="AB136" i="34"/>
  <c r="AB139" i="34"/>
  <c r="AZ380" i="34"/>
  <c r="AW380" i="34"/>
  <c r="AB410" i="34"/>
  <c r="AJ356" i="34"/>
  <c r="AJ354" i="34" s="1"/>
  <c r="AJ353" i="34" s="1"/>
  <c r="AO177" i="34"/>
  <c r="AR177" i="34"/>
  <c r="BE79" i="34"/>
  <c r="BH79" i="34"/>
  <c r="BF79" i="34"/>
  <c r="BI79" i="34"/>
  <c r="BE439" i="34"/>
  <c r="BH439" i="34"/>
  <c r="BC90" i="34"/>
  <c r="AO191" i="34"/>
  <c r="AR191" i="34"/>
  <c r="BA79" i="34"/>
  <c r="AW79" i="34"/>
  <c r="AZ79" i="34"/>
  <c r="AX79" i="34"/>
  <c r="AO124" i="34"/>
  <c r="AR124" i="34"/>
  <c r="AF671" i="34"/>
  <c r="AB439" i="34"/>
  <c r="AB90" i="34" s="1"/>
  <c r="U1553" i="34"/>
  <c r="U1574" i="34" s="1"/>
  <c r="AK1387" i="34"/>
  <c r="AK1386" i="34" s="1"/>
  <c r="AK1385" i="34" s="1"/>
  <c r="AK1384" i="34" s="1"/>
  <c r="AK1383" i="34" s="1"/>
  <c r="S14" i="34"/>
  <c r="S20" i="34" s="1"/>
  <c r="S126" i="34"/>
  <c r="S123" i="34"/>
  <c r="S114" i="34"/>
  <c r="AE129" i="34"/>
  <c r="AI129" i="34" s="1"/>
  <c r="AI123" i="34" s="1"/>
  <c r="BH278" i="34"/>
  <c r="BE278" i="34"/>
  <c r="BE375" i="34"/>
  <c r="BH375" i="34"/>
  <c r="BH380" i="34"/>
  <c r="BE380" i="34"/>
  <c r="AB276" i="34"/>
  <c r="AB273" i="34"/>
  <c r="BE377" i="34"/>
  <c r="BH377" i="34"/>
  <c r="AB353" i="34"/>
  <c r="AB374" i="34" s="1"/>
  <c r="AB375" i="34"/>
  <c r="AO316" i="34"/>
  <c r="AR316" i="34"/>
  <c r="AZ451" i="34"/>
  <c r="AU341" i="34"/>
  <c r="AW451" i="34"/>
  <c r="AZ81" i="34"/>
  <c r="BA81" i="34"/>
  <c r="AW81" i="34"/>
  <c r="AX81" i="34"/>
  <c r="AU86" i="34"/>
  <c r="AW124" i="34"/>
  <c r="AZ124" i="34"/>
  <c r="V195" i="34"/>
  <c r="AD195" i="34"/>
  <c r="T340" i="34"/>
  <c r="AO341" i="34"/>
  <c r="AR341" i="34"/>
  <c r="S1514" i="34"/>
  <c r="S1523" i="34" s="1"/>
  <c r="S1504" i="34"/>
  <c r="AE1504" i="34" s="1"/>
  <c r="S191" i="34"/>
  <c r="S177" i="34"/>
  <c r="BA354" i="34"/>
  <c r="AW354" i="34"/>
  <c r="AZ354" i="34"/>
  <c r="AX354" i="34"/>
  <c r="AO196" i="34"/>
  <c r="AR196" i="34"/>
  <c r="AW421" i="34"/>
  <c r="AZ421" i="34"/>
  <c r="S410" i="34"/>
  <c r="AD140" i="34"/>
  <c r="AR278" i="34"/>
  <c r="AO278" i="34"/>
  <c r="AO86" i="34"/>
  <c r="AS86" i="34"/>
  <c r="AM89" i="34"/>
  <c r="AR86" i="34"/>
  <c r="AP86" i="34"/>
  <c r="BE443" i="34"/>
  <c r="BC196" i="34"/>
  <c r="BH443" i="34"/>
  <c r="AU196" i="34"/>
  <c r="AW443" i="34"/>
  <c r="AZ443" i="34"/>
  <c r="AO136" i="34"/>
  <c r="AR136" i="34"/>
  <c r="BE451" i="34"/>
  <c r="BC341" i="34"/>
  <c r="BH451" i="34"/>
  <c r="BH316" i="34"/>
  <c r="BE316" i="34"/>
  <c r="AW126" i="34"/>
  <c r="AZ126" i="34"/>
  <c r="AO439" i="34"/>
  <c r="AM90" i="34"/>
  <c r="AR439" i="34"/>
  <c r="AI1398" i="34"/>
  <c r="U1314" i="34"/>
  <c r="U1321" i="34" s="1"/>
  <c r="U1325" i="34" s="1"/>
  <c r="U1330" i="34" s="1"/>
  <c r="U1332" i="34" s="1"/>
  <c r="U24" i="34"/>
  <c r="U28" i="34" s="1"/>
  <c r="U33" i="34" s="1"/>
  <c r="U35" i="34" s="1"/>
  <c r="X406" i="34"/>
  <c r="X17" i="34"/>
  <c r="AC17" i="34"/>
  <c r="AC16" i="34" s="1"/>
  <c r="AC1475" i="34" s="1"/>
  <c r="AC1473" i="34" s="1"/>
  <c r="AC86" i="34"/>
  <c r="AC89" i="34" s="1"/>
  <c r="AB406" i="34"/>
  <c r="AB17" i="34"/>
  <c r="AC139" i="34"/>
  <c r="AC140" i="34" s="1"/>
  <c r="AC136" i="34"/>
  <c r="AK48" i="34"/>
  <c r="AK268" i="34"/>
  <c r="AC1311" i="34"/>
  <c r="AC1472" i="34"/>
  <c r="AC20" i="34"/>
  <c r="AA406" i="34"/>
  <c r="AA374" i="34"/>
  <c r="AA17" i="34"/>
  <c r="S406" i="34"/>
  <c r="S374" i="34"/>
  <c r="W1311" i="34"/>
  <c r="W1317" i="34" s="1"/>
  <c r="W1472" i="34"/>
  <c r="W1481" i="34" s="1"/>
  <c r="W86" i="34"/>
  <c r="W89" i="34" s="1"/>
  <c r="W17" i="34"/>
  <c r="U407" i="34"/>
  <c r="U374" i="34"/>
  <c r="U14" i="34"/>
  <c r="U420" i="34"/>
  <c r="AI763" i="34"/>
  <c r="AI762" i="34" s="1"/>
  <c r="AG842" i="34"/>
  <c r="AG1482" i="34" s="1"/>
  <c r="AG1480" i="34" s="1"/>
  <c r="AK244" i="34"/>
  <c r="Y374" i="34"/>
  <c r="T374" i="34"/>
  <c r="W406" i="34"/>
  <c r="W374" i="34"/>
  <c r="Y1472" i="34"/>
  <c r="Y1481" i="34" s="1"/>
  <c r="Y1311" i="34"/>
  <c r="Y1317" i="34" s="1"/>
  <c r="Y20" i="34"/>
  <c r="Y419" i="34"/>
  <c r="Y420" i="34" s="1"/>
  <c r="Y407" i="34"/>
  <c r="T1314" i="34"/>
  <c r="T24" i="34"/>
  <c r="AF140" i="34"/>
  <c r="T407" i="34"/>
  <c r="T419" i="34"/>
  <c r="T420" i="34" s="1"/>
  <c r="W136" i="34"/>
  <c r="W139" i="34"/>
  <c r="W140" i="34" s="1"/>
  <c r="AA1311" i="34"/>
  <c r="AA20" i="34"/>
  <c r="AA1472" i="34"/>
  <c r="W20" i="34"/>
  <c r="AF448" i="34"/>
  <c r="AE847" i="34"/>
  <c r="V1472" i="34"/>
  <c r="V1481" i="34" s="1"/>
  <c r="V1311" i="34"/>
  <c r="V1317" i="34" s="1"/>
  <c r="AI1581" i="34"/>
  <c r="AJ500" i="34"/>
  <c r="AJ494" i="34" s="1"/>
  <c r="AJ477" i="34"/>
  <c r="AK642" i="34"/>
  <c r="AI1502" i="34"/>
  <c r="AK687" i="34"/>
  <c r="AI1546" i="34"/>
  <c r="AI848" i="34"/>
  <c r="AI847" i="34" s="1"/>
  <c r="AK813" i="34"/>
  <c r="AK877" i="34"/>
  <c r="AK533" i="34"/>
  <c r="AJ150" i="34"/>
  <c r="AJ151" i="34" s="1"/>
  <c r="AJ687" i="34"/>
  <c r="AJ680" i="34" s="1"/>
  <c r="AJ672" i="34" s="1"/>
  <c r="AE493" i="34"/>
  <c r="AH560" i="34"/>
  <c r="AK505" i="34"/>
  <c r="AK673" i="34"/>
  <c r="Z1314" i="34"/>
  <c r="Z24" i="34"/>
  <c r="AJ98" i="34"/>
  <c r="AJ95" i="34" s="1"/>
  <c r="AJ96" i="34" s="1"/>
  <c r="AI1503" i="34"/>
  <c r="AJ179" i="34"/>
  <c r="AK789" i="34"/>
  <c r="AK593" i="34"/>
  <c r="AJ1549" i="34"/>
  <c r="AK156" i="34"/>
  <c r="AK462" i="34"/>
  <c r="W1509" i="34"/>
  <c r="W1518" i="34" s="1"/>
  <c r="W1531" i="34" s="1"/>
  <c r="W1532" i="34" s="1"/>
  <c r="Z374" i="34"/>
  <c r="Z420" i="34"/>
  <c r="Z407" i="34"/>
  <c r="Z14" i="34"/>
  <c r="Z18" i="34" s="1"/>
  <c r="AG79" i="34"/>
  <c r="AD374" i="34"/>
  <c r="AD407" i="34"/>
  <c r="AI263" i="34"/>
  <c r="AK263" i="34" s="1"/>
  <c r="AK249" i="34" s="1"/>
  <c r="AK363" i="34"/>
  <c r="AK428" i="34"/>
  <c r="AK426" i="34" s="1"/>
  <c r="AK427" i="34" s="1"/>
  <c r="AI244" i="34"/>
  <c r="Y28" i="34"/>
  <c r="Y25" i="34"/>
  <c r="AK256" i="34"/>
  <c r="AK242" i="34" s="1"/>
  <c r="AK513" i="34"/>
  <c r="AJ1493" i="34"/>
  <c r="AK219" i="34"/>
  <c r="AJ518" i="34"/>
  <c r="AK784" i="34"/>
  <c r="W1553" i="34"/>
  <c r="W1574" i="34" s="1"/>
  <c r="V1553" i="34"/>
  <c r="V1574" i="34" s="1"/>
  <c r="AK131" i="34"/>
  <c r="AK315" i="34"/>
  <c r="AJ1398" i="34"/>
  <c r="AB1530" i="34"/>
  <c r="AB1518" i="34"/>
  <c r="AB1531" i="34" s="1"/>
  <c r="AB1532" i="34" s="1"/>
  <c r="V1594" i="34"/>
  <c r="AC1530" i="34"/>
  <c r="AC1518" i="34"/>
  <c r="AC1531" i="34" s="1"/>
  <c r="AC1532" i="34" s="1"/>
  <c r="S1574" i="34"/>
  <c r="S1562" i="34"/>
  <c r="S1575" i="34" s="1"/>
  <c r="S1576" i="34" s="1"/>
  <c r="AK469" i="34"/>
  <c r="AI1538" i="34"/>
  <c r="AJ1038" i="34"/>
  <c r="AK717" i="34"/>
  <c r="AK705" i="34"/>
  <c r="AJ763" i="34"/>
  <c r="AJ762" i="34" s="1"/>
  <c r="T455" i="34"/>
  <c r="T421" i="34" s="1"/>
  <c r="T443" i="34"/>
  <c r="T196" i="34" s="1"/>
  <c r="T451" i="34"/>
  <c r="T341" i="34" s="1"/>
  <c r="T447" i="34"/>
  <c r="T278" i="34" s="1"/>
  <c r="T433" i="34"/>
  <c r="U451" i="34"/>
  <c r="U341" i="34" s="1"/>
  <c r="U455" i="34"/>
  <c r="U421" i="34" s="1"/>
  <c r="U447" i="34"/>
  <c r="U278" i="34" s="1"/>
  <c r="U443" i="34"/>
  <c r="U196" i="34" s="1"/>
  <c r="U433" i="34"/>
  <c r="AA1594" i="34"/>
  <c r="Z1594" i="34"/>
  <c r="AC1553" i="34"/>
  <c r="X1594" i="34"/>
  <c r="T1594" i="34"/>
  <c r="AA1553" i="34"/>
  <c r="S1594" i="34"/>
  <c r="V447" i="34"/>
  <c r="V278" i="34" s="1"/>
  <c r="V455" i="34"/>
  <c r="V421" i="34" s="1"/>
  <c r="V433" i="34"/>
  <c r="V443" i="34"/>
  <c r="V196" i="34" s="1"/>
  <c r="V451" i="34"/>
  <c r="V341" i="34" s="1"/>
  <c r="T1509" i="34"/>
  <c r="W455" i="34"/>
  <c r="W421" i="34" s="1"/>
  <c r="W447" i="34"/>
  <c r="W278" i="34" s="1"/>
  <c r="W451" i="34"/>
  <c r="W341" i="34" s="1"/>
  <c r="W443" i="34"/>
  <c r="W196" i="34" s="1"/>
  <c r="W433" i="34"/>
  <c r="AK260" i="34"/>
  <c r="AK246" i="34" s="1"/>
  <c r="AI1493" i="34"/>
  <c r="AI1537" i="34"/>
  <c r="AJ1127" i="34"/>
  <c r="AJ1157" i="34" s="1"/>
  <c r="AD447" i="34"/>
  <c r="AD278" i="34" s="1"/>
  <c r="AD455" i="34"/>
  <c r="AD421" i="34" s="1"/>
  <c r="AD443" i="34"/>
  <c r="AD196" i="34" s="1"/>
  <c r="AD451" i="34"/>
  <c r="AD341" i="34" s="1"/>
  <c r="AD433" i="34"/>
  <c r="AA1530" i="34"/>
  <c r="AA1518" i="34"/>
  <c r="AA1531" i="34" s="1"/>
  <c r="AA1532" i="34" s="1"/>
  <c r="Z1553" i="34"/>
  <c r="Y1530" i="34"/>
  <c r="Y1518" i="34"/>
  <c r="Y1531" i="34" s="1"/>
  <c r="Y1532" i="34" s="1"/>
  <c r="S447" i="34"/>
  <c r="S278" i="34" s="1"/>
  <c r="S455" i="34"/>
  <c r="S421" i="34" s="1"/>
  <c r="S433" i="34"/>
  <c r="S443" i="34"/>
  <c r="S196" i="34" s="1"/>
  <c r="S451" i="34"/>
  <c r="S341" i="34" s="1"/>
  <c r="V1530" i="34"/>
  <c r="V1518" i="34"/>
  <c r="V1531" i="34" s="1"/>
  <c r="V1532" i="34" s="1"/>
  <c r="X1530" i="34"/>
  <c r="X1518" i="34"/>
  <c r="X1531" i="34" s="1"/>
  <c r="X1532" i="34" s="1"/>
  <c r="V1471" i="34"/>
  <c r="V1440" i="34"/>
  <c r="V1412" i="34"/>
  <c r="V1078" i="34"/>
  <c r="V1310" i="34"/>
  <c r="V1268" i="34"/>
  <c r="V1212" i="34"/>
  <c r="W13" i="34"/>
  <c r="V459" i="34"/>
  <c r="V78" i="34"/>
  <c r="AB1594" i="34"/>
  <c r="Y443" i="34"/>
  <c r="Y196" i="34" s="1"/>
  <c r="Y451" i="34"/>
  <c r="Y341" i="34" s="1"/>
  <c r="Y447" i="34"/>
  <c r="Y278" i="34" s="1"/>
  <c r="Y455" i="34"/>
  <c r="Y421" i="34" s="1"/>
  <c r="Y433" i="34"/>
  <c r="AB451" i="34"/>
  <c r="AB341" i="34" s="1"/>
  <c r="AB455" i="34"/>
  <c r="AB421" i="34" s="1"/>
  <c r="AB447" i="34"/>
  <c r="AB278" i="34" s="1"/>
  <c r="AB443" i="34"/>
  <c r="AB196" i="34" s="1"/>
  <c r="AB433" i="34"/>
  <c r="AA455" i="34"/>
  <c r="AA421" i="34" s="1"/>
  <c r="AA447" i="34"/>
  <c r="AA278" i="34" s="1"/>
  <c r="AA433" i="34"/>
  <c r="AA451" i="34"/>
  <c r="AA341" i="34" s="1"/>
  <c r="AA443" i="34"/>
  <c r="AA196" i="34" s="1"/>
  <c r="Z447" i="34"/>
  <c r="Z278" i="34" s="1"/>
  <c r="Z443" i="34"/>
  <c r="Z196" i="34" s="1"/>
  <c r="Z451" i="34"/>
  <c r="Z341" i="34" s="1"/>
  <c r="Z433" i="34"/>
  <c r="Z455" i="34"/>
  <c r="Z421" i="34" s="1"/>
  <c r="AK243" i="34"/>
  <c r="AI525" i="34"/>
  <c r="AI524" i="34" s="1"/>
  <c r="AI518" i="34" s="1"/>
  <c r="AJ461" i="34"/>
  <c r="AJ615" i="34"/>
  <c r="AF354" i="34"/>
  <c r="AF353" i="34" s="1"/>
  <c r="AK551" i="34"/>
  <c r="AG671" i="34"/>
  <c r="AK823" i="34"/>
  <c r="X447" i="34"/>
  <c r="X278" i="34" s="1"/>
  <c r="X455" i="34"/>
  <c r="X421" i="34" s="1"/>
  <c r="X443" i="34"/>
  <c r="X196" i="34" s="1"/>
  <c r="X451" i="34"/>
  <c r="X341" i="34" s="1"/>
  <c r="X433" i="34"/>
  <c r="AD439" i="34"/>
  <c r="AD90" i="34" s="1"/>
  <c r="X1574" i="34"/>
  <c r="X1562" i="34"/>
  <c r="X1575" i="34" s="1"/>
  <c r="X1576" i="34" s="1"/>
  <c r="U1518" i="34"/>
  <c r="U1531" i="34" s="1"/>
  <c r="U1532" i="34" s="1"/>
  <c r="AD1530" i="34"/>
  <c r="AD1518" i="34"/>
  <c r="AD1531" i="34" s="1"/>
  <c r="AD1532" i="34" s="1"/>
  <c r="U1594" i="34"/>
  <c r="AB1574" i="34"/>
  <c r="AB1562" i="34"/>
  <c r="AB1575" i="34" s="1"/>
  <c r="AB1576" i="34" s="1"/>
  <c r="AD1553" i="34"/>
  <c r="AC1594" i="34"/>
  <c r="AD1594" i="34"/>
  <c r="W1594" i="34"/>
  <c r="Y1594" i="34"/>
  <c r="T1562" i="34"/>
  <c r="T1575" i="34" s="1"/>
  <c r="T1576" i="34" s="1"/>
  <c r="S439" i="34"/>
  <c r="S90" i="34" s="1"/>
  <c r="Y1574" i="34"/>
  <c r="Y1562" i="34"/>
  <c r="Y1575" i="34" s="1"/>
  <c r="Y1576" i="34" s="1"/>
  <c r="AI561" i="34"/>
  <c r="AF460" i="34"/>
  <c r="AK657" i="34"/>
  <c r="AK701" i="34"/>
  <c r="AK699" i="34" s="1"/>
  <c r="AI1413" i="34"/>
  <c r="AJ347" i="34"/>
  <c r="AK169" i="34"/>
  <c r="AI484" i="34"/>
  <c r="AI483" i="34" s="1"/>
  <c r="AI477" i="34" s="1"/>
  <c r="AK664" i="34"/>
  <c r="AJ181" i="34"/>
  <c r="AK1414" i="34"/>
  <c r="AK158" i="34"/>
  <c r="AJ1581" i="34"/>
  <c r="AI284" i="34"/>
  <c r="AI1494" i="34"/>
  <c r="AK619" i="34"/>
  <c r="AK774" i="34"/>
  <c r="AK566" i="34"/>
  <c r="AK565" i="34" s="1"/>
  <c r="AK561" i="34" s="1"/>
  <c r="AK857" i="34"/>
  <c r="AK106" i="34"/>
  <c r="AK143" i="34"/>
  <c r="AK794" i="34"/>
  <c r="AK1547" i="34"/>
  <c r="AI468" i="34"/>
  <c r="AI467" i="34" s="1"/>
  <c r="AI461" i="34" s="1"/>
  <c r="AH887" i="34"/>
  <c r="AK1038" i="34"/>
  <c r="AI347" i="34"/>
  <c r="AK1609" i="34"/>
  <c r="AJ852" i="34"/>
  <c r="AK44" i="34"/>
  <c r="AJ405" i="34"/>
  <c r="AJ412" i="34" s="1"/>
  <c r="AI405" i="34"/>
  <c r="AI412" i="34" s="1"/>
  <c r="AJ1584" i="34"/>
  <c r="AK749" i="34"/>
  <c r="AJ802" i="34"/>
  <c r="AJ801" i="34" s="1"/>
  <c r="AH1413" i="34"/>
  <c r="AK737" i="34"/>
  <c r="AK978" i="34"/>
  <c r="AJ1507" i="34"/>
  <c r="AK1507" i="34" s="1"/>
  <c r="AJ174" i="34"/>
  <c r="AJ640" i="34"/>
  <c r="AK745" i="34"/>
  <c r="AK743" i="34" s="1"/>
  <c r="AJ846" i="34"/>
  <c r="AK348" i="34"/>
  <c r="AK346" i="34" s="1"/>
  <c r="AK347" i="34" s="1"/>
  <c r="AF493" i="34"/>
  <c r="AK1371" i="34"/>
  <c r="AK1370" i="34" s="1"/>
  <c r="AK1369" i="34" s="1"/>
  <c r="AK1368" i="34" s="1"/>
  <c r="AK632" i="34"/>
  <c r="AK157" i="34"/>
  <c r="AK180" i="34" s="1"/>
  <c r="AE353" i="34"/>
  <c r="AI656" i="34"/>
  <c r="AK159" i="34"/>
  <c r="AK725" i="34"/>
  <c r="AK1129" i="34"/>
  <c r="AK1128" i="34" s="1"/>
  <c r="AK1508" i="34"/>
  <c r="AK545" i="34"/>
  <c r="AK544" i="34" s="1"/>
  <c r="AI1582" i="34"/>
  <c r="AK1496" i="34"/>
  <c r="AK1550" i="34"/>
  <c r="AJ1407" i="34"/>
  <c r="AJ1408" i="34" s="1"/>
  <c r="AJ978" i="34"/>
  <c r="AI680" i="34"/>
  <c r="AI672" i="34" s="1"/>
  <c r="AI1320" i="34"/>
  <c r="AE1404" i="34"/>
  <c r="AE1407" i="34"/>
  <c r="AE1408" i="34" s="1"/>
  <c r="AK378" i="34"/>
  <c r="AK411" i="34"/>
  <c r="AK416" i="34"/>
  <c r="AK383" i="34"/>
  <c r="AJ1349" i="34"/>
  <c r="AJ1350" i="34" s="1"/>
  <c r="AJ1346" i="34"/>
  <c r="AK415" i="34"/>
  <c r="AK382" i="34"/>
  <c r="AG1539" i="34"/>
  <c r="AF1558" i="34"/>
  <c r="AF1567" i="34" s="1"/>
  <c r="AE1556" i="34"/>
  <c r="AH1558" i="34"/>
  <c r="AE1559" i="34"/>
  <c r="AF1583" i="34"/>
  <c r="AI1477" i="34"/>
  <c r="AF164" i="34"/>
  <c r="AI150" i="34"/>
  <c r="AI151" i="34" s="1"/>
  <c r="AK145" i="34"/>
  <c r="AK150" i="34" s="1"/>
  <c r="AK151" i="34" s="1"/>
  <c r="AE164" i="34"/>
  <c r="AH442" i="34"/>
  <c r="AE1545" i="34"/>
  <c r="AE1544" i="34"/>
  <c r="AF446" i="34"/>
  <c r="AE412" i="34"/>
  <c r="AE1506" i="34"/>
  <c r="AI1506" i="34" s="1"/>
  <c r="AE1497" i="34"/>
  <c r="AI1497" i="34" s="1"/>
  <c r="AE1511" i="34"/>
  <c r="AG1587" i="34"/>
  <c r="AE1599" i="34"/>
  <c r="AJ1537" i="34"/>
  <c r="AE1580" i="34"/>
  <c r="AJ844" i="34"/>
  <c r="AG1545" i="34"/>
  <c r="AK900" i="34"/>
  <c r="AK899" i="34" s="1"/>
  <c r="AK1416" i="34" s="1"/>
  <c r="AJ899" i="34"/>
  <c r="AJ1419" i="34"/>
  <c r="AK914" i="34"/>
  <c r="AK1419" i="34" s="1"/>
  <c r="AK1083" i="34"/>
  <c r="AK1080" i="34"/>
  <c r="AK185" i="34"/>
  <c r="AI181" i="34"/>
  <c r="AI1543" i="34"/>
  <c r="AK441" i="34"/>
  <c r="AJ245" i="34"/>
  <c r="AF79" i="34"/>
  <c r="AK259" i="34"/>
  <c r="AK245" i="34" s="1"/>
  <c r="AI245" i="34"/>
  <c r="AI23" i="34"/>
  <c r="AE1536" i="34"/>
  <c r="AH446" i="34"/>
  <c r="AH104" i="34"/>
  <c r="AG493" i="34"/>
  <c r="AH1501" i="34"/>
  <c r="AI1549" i="34"/>
  <c r="AI724" i="34"/>
  <c r="AI716" i="34" s="1"/>
  <c r="AH1528" i="34"/>
  <c r="AJ1528" i="34" s="1"/>
  <c r="AF1597" i="34"/>
  <c r="AF1604" i="34" s="1"/>
  <c r="AI852" i="34"/>
  <c r="AJ1538" i="34"/>
  <c r="AG1600" i="34"/>
  <c r="AG1607" i="34" s="1"/>
  <c r="AI802" i="34"/>
  <c r="AI801" i="34" s="1"/>
  <c r="AE1608" i="34"/>
  <c r="AG1254" i="34"/>
  <c r="AJ1254" i="34" s="1"/>
  <c r="AG1255" i="34"/>
  <c r="AJ1255" i="34" s="1"/>
  <c r="AG1559" i="34"/>
  <c r="AG1568" i="34" s="1"/>
  <c r="AG1504" i="34"/>
  <c r="AH1600" i="34"/>
  <c r="AJ1441" i="34"/>
  <c r="AF1316" i="34"/>
  <c r="AH1318" i="34"/>
  <c r="AJ1318" i="34" s="1"/>
  <c r="AH1560" i="34"/>
  <c r="AI1498" i="34"/>
  <c r="AK1498" i="34" s="1"/>
  <c r="AK445" i="34"/>
  <c r="AE335" i="34"/>
  <c r="AE311" i="34"/>
  <c r="AH450" i="34"/>
  <c r="AJ414" i="34"/>
  <c r="AJ389" i="34"/>
  <c r="AJ381" i="34"/>
  <c r="AH1590" i="34"/>
  <c r="AH1597" i="34"/>
  <c r="AI154" i="34"/>
  <c r="AI127" i="34"/>
  <c r="AK130" i="34"/>
  <c r="AK127" i="34" s="1"/>
  <c r="AH1312" i="34"/>
  <c r="AJ1312" i="34" s="1"/>
  <c r="AH15" i="34"/>
  <c r="AJ15" i="34" s="1"/>
  <c r="AJ254" i="34"/>
  <c r="AH240" i="34"/>
  <c r="AK224" i="34"/>
  <c r="AK223" i="34" s="1"/>
  <c r="AI223" i="34"/>
  <c r="AF1495" i="34"/>
  <c r="AK453" i="34"/>
  <c r="AH1599" i="34"/>
  <c r="AF251" i="34"/>
  <c r="AI265" i="34"/>
  <c r="AF1539" i="34"/>
  <c r="AF1559" i="34"/>
  <c r="AF1568" i="34" s="1"/>
  <c r="AG1555" i="34"/>
  <c r="AG1564" i="34" s="1"/>
  <c r="AH1539" i="34"/>
  <c r="AG57" i="34"/>
  <c r="AG58" i="34"/>
  <c r="AE1526" i="34"/>
  <c r="AI1517" i="34"/>
  <c r="AE247" i="34"/>
  <c r="AI427" i="34"/>
  <c r="AJ1543" i="34"/>
  <c r="AH190" i="34"/>
  <c r="AH177" i="34"/>
  <c r="AF261" i="34"/>
  <c r="AF247" i="34" s="1"/>
  <c r="AJ154" i="34"/>
  <c r="AF1561" i="34"/>
  <c r="AF1570" i="34" s="1"/>
  <c r="AH1514" i="34"/>
  <c r="AE1512" i="34"/>
  <c r="AK360" i="34"/>
  <c r="AK359" i="34" s="1"/>
  <c r="AI359" i="34"/>
  <c r="AG1512" i="34"/>
  <c r="AG1521" i="34" s="1"/>
  <c r="AK484" i="34"/>
  <c r="AK483" i="34" s="1"/>
  <c r="AK477" i="34" s="1"/>
  <c r="AF1548" i="34"/>
  <c r="AI1548" i="34" s="1"/>
  <c r="AH1536" i="34"/>
  <c r="AG1501" i="34"/>
  <c r="AF1600" i="34"/>
  <c r="AF1607" i="34" s="1"/>
  <c r="AF843" i="34"/>
  <c r="AK1082" i="34"/>
  <c r="AH1492" i="34"/>
  <c r="AI1585" i="34"/>
  <c r="AJ1571" i="34"/>
  <c r="AJ1079" i="34"/>
  <c r="AJ125" i="34"/>
  <c r="AE1561" i="34"/>
  <c r="AH208" i="34"/>
  <c r="AJ209" i="34"/>
  <c r="AJ415" i="34"/>
  <c r="AJ382" i="34"/>
  <c r="AH373" i="34"/>
  <c r="AH375" i="34"/>
  <c r="AH408" i="34"/>
  <c r="AF1501" i="34"/>
  <c r="AJ1502" i="34"/>
  <c r="AF1544" i="34"/>
  <c r="AF1545" i="34"/>
  <c r="AH1527" i="34"/>
  <c r="AJ1546" i="34"/>
  <c r="AF1596" i="34"/>
  <c r="AF1603" i="34" s="1"/>
  <c r="AG1583" i="34"/>
  <c r="AJ264" i="34"/>
  <c r="AH250" i="34"/>
  <c r="AG1492" i="34"/>
  <c r="AH1556" i="34"/>
  <c r="AK833" i="34"/>
  <c r="AI576" i="34"/>
  <c r="AI1540" i="34"/>
  <c r="AH843" i="34"/>
  <c r="AJ743" i="34"/>
  <c r="AJ724" i="34" s="1"/>
  <c r="AJ716" i="34" s="1"/>
  <c r="AE1597" i="34"/>
  <c r="AH1126" i="34"/>
  <c r="AJ1552" i="34"/>
  <c r="AK186" i="34"/>
  <c r="AE1312" i="34"/>
  <c r="AI1312" i="34" s="1"/>
  <c r="AE15" i="34"/>
  <c r="AI15" i="34" s="1"/>
  <c r="AI434" i="34"/>
  <c r="AE1516" i="34"/>
  <c r="AF310" i="34"/>
  <c r="AH1512" i="34"/>
  <c r="AF377" i="34"/>
  <c r="AF410" i="34"/>
  <c r="AG1548" i="34"/>
  <c r="AF1492" i="34"/>
  <c r="AK155" i="34"/>
  <c r="AI1476" i="34"/>
  <c r="AK22" i="34"/>
  <c r="AK1476" i="34" s="1"/>
  <c r="AE177" i="34"/>
  <c r="AE190" i="34"/>
  <c r="AJ434" i="34"/>
  <c r="AG238" i="34"/>
  <c r="AG240" i="34"/>
  <c r="AK267" i="34"/>
  <c r="AK253" i="34" s="1"/>
  <c r="AI253" i="34"/>
  <c r="AG177" i="34"/>
  <c r="AG190" i="34"/>
  <c r="AE403" i="34"/>
  <c r="AK128" i="34"/>
  <c r="AI125" i="34"/>
  <c r="AF1516" i="34"/>
  <c r="AF1525" i="34" s="1"/>
  <c r="AI209" i="34"/>
  <c r="AE208" i="34"/>
  <c r="AH412" i="34"/>
  <c r="AJ378" i="34"/>
  <c r="AJ411" i="34"/>
  <c r="AF1504" i="34"/>
  <c r="AF1505" i="34"/>
  <c r="AI1505" i="34" s="1"/>
  <c r="AE1501" i="34"/>
  <c r="AG1558" i="34"/>
  <c r="AG1567" i="34" s="1"/>
  <c r="AH1580" i="34"/>
  <c r="AG1596" i="34"/>
  <c r="AG1603" i="34" s="1"/>
  <c r="AJ1540" i="34"/>
  <c r="AK1101" i="34"/>
  <c r="AE95" i="34"/>
  <c r="AE96" i="34" s="1"/>
  <c r="AI1551" i="34"/>
  <c r="AK1551" i="34" s="1"/>
  <c r="AI62" i="34"/>
  <c r="AI67" i="34" s="1"/>
  <c r="AK26" i="34"/>
  <c r="AK62" i="34" s="1"/>
  <c r="AK67" i="34" s="1"/>
  <c r="AH1517" i="34"/>
  <c r="AH1561" i="34"/>
  <c r="AH335" i="34"/>
  <c r="AH311" i="34"/>
  <c r="AE240" i="34"/>
  <c r="AI254" i="34"/>
  <c r="AE238" i="34"/>
  <c r="AG454" i="34"/>
  <c r="AE104" i="34"/>
  <c r="AE1492" i="34"/>
  <c r="AE57" i="34"/>
  <c r="AE58" i="34"/>
  <c r="AH724" i="34"/>
  <c r="AH716" i="34" s="1"/>
  <c r="AH671" i="34" s="1"/>
  <c r="AE1583" i="34"/>
  <c r="AH1555" i="34"/>
  <c r="AE1596" i="34"/>
  <c r="AK1572" i="34"/>
  <c r="AE1126" i="34"/>
  <c r="AI1126" i="34" s="1"/>
  <c r="AF1528" i="34"/>
  <c r="AI1345" i="34"/>
  <c r="AH1511" i="34"/>
  <c r="AE844" i="34"/>
  <c r="AE1600" i="34"/>
  <c r="AG1527" i="34"/>
  <c r="AH95" i="34"/>
  <c r="AH96" i="34" s="1"/>
  <c r="AJ165" i="34"/>
  <c r="AG164" i="34"/>
  <c r="AG208" i="34"/>
  <c r="AF240" i="34"/>
  <c r="AJ310" i="34"/>
  <c r="AK255" i="34"/>
  <c r="AK241" i="34" s="1"/>
  <c r="AI241" i="34"/>
  <c r="AG1515" i="34"/>
  <c r="AG1524" i="34" s="1"/>
  <c r="AF408" i="34"/>
  <c r="AF373" i="34"/>
  <c r="AF375" i="34"/>
  <c r="AJ1505" i="34"/>
  <c r="AE1555" i="34"/>
  <c r="AG410" i="34"/>
  <c r="AG377" i="34"/>
  <c r="AG384" i="34"/>
  <c r="AH1506" i="34"/>
  <c r="AJ1506" i="34" s="1"/>
  <c r="AH1497" i="34"/>
  <c r="AJ1497" i="34" s="1"/>
  <c r="AJ409" i="34"/>
  <c r="AJ376" i="34"/>
  <c r="AH377" i="34"/>
  <c r="AJ386" i="34"/>
  <c r="AF454" i="34"/>
  <c r="AF1556" i="34"/>
  <c r="AF1565" i="34" s="1"/>
  <c r="AJ1589" i="34"/>
  <c r="AK1589" i="34" s="1"/>
  <c r="AF1515" i="34"/>
  <c r="AF1524" i="34" s="1"/>
  <c r="AH1545" i="34"/>
  <c r="AH1544" i="34"/>
  <c r="AG1599" i="34"/>
  <c r="AG1606" i="34" s="1"/>
  <c r="AH261" i="34"/>
  <c r="AE1587" i="34"/>
  <c r="AF1415" i="34"/>
  <c r="AF1413" i="34" s="1"/>
  <c r="AF887" i="34"/>
  <c r="AJ1125" i="34"/>
  <c r="AJ1592" i="34"/>
  <c r="AK1592" i="34" s="1"/>
  <c r="AK576" i="34"/>
  <c r="AJ1588" i="34"/>
  <c r="AF1536" i="34"/>
  <c r="AE1539" i="34"/>
  <c r="AH1484" i="34"/>
  <c r="AJ23" i="34"/>
  <c r="AJ1484" i="34" s="1"/>
  <c r="AH68" i="34"/>
  <c r="AH73" i="34" s="1"/>
  <c r="AJ27" i="34"/>
  <c r="AJ68" i="34" s="1"/>
  <c r="AJ73" i="34" s="1"/>
  <c r="AF95" i="34"/>
  <c r="AF96" i="34" s="1"/>
  <c r="AI175" i="34"/>
  <c r="AK175" i="34" s="1"/>
  <c r="AJ216" i="34"/>
  <c r="AK216" i="34" s="1"/>
  <c r="AK301" i="34"/>
  <c r="AK300" i="34" s="1"/>
  <c r="AI300" i="34"/>
  <c r="AG1516" i="34"/>
  <c r="AG1525" i="34" s="1"/>
  <c r="AH19" i="34"/>
  <c r="AK266" i="34"/>
  <c r="AK252" i="34" s="1"/>
  <c r="AG440" i="34"/>
  <c r="AJ284" i="34"/>
  <c r="AJ416" i="34"/>
  <c r="AJ383" i="34"/>
  <c r="AJ1494" i="34"/>
  <c r="AF1511" i="34"/>
  <c r="AF1520" i="34" s="1"/>
  <c r="AI386" i="34"/>
  <c r="AK83" i="34"/>
  <c r="AK82" i="34" s="1"/>
  <c r="AI82" i="34"/>
  <c r="AG1561" i="34"/>
  <c r="AG1570" i="34" s="1"/>
  <c r="AH403" i="34"/>
  <c r="AJ403" i="34" s="1"/>
  <c r="AJ176" i="34"/>
  <c r="AJ178" i="34"/>
  <c r="AG1560" i="34"/>
  <c r="AG1569" i="34" s="1"/>
  <c r="AI325" i="34"/>
  <c r="AI310" i="34" s="1"/>
  <c r="AI381" i="34"/>
  <c r="AI414" i="34"/>
  <c r="AK390" i="34"/>
  <c r="AI389" i="34"/>
  <c r="AK203" i="34"/>
  <c r="AK201" i="34" s="1"/>
  <c r="AI201" i="34"/>
  <c r="AI202" i="34" s="1"/>
  <c r="AJ379" i="34"/>
  <c r="AI354" i="34"/>
  <c r="AK355" i="34"/>
  <c r="AG129" i="34"/>
  <c r="AH1583" i="34"/>
  <c r="AH591" i="34"/>
  <c r="AH1596" i="34"/>
  <c r="AG1580" i="34"/>
  <c r="AG1536" i="34"/>
  <c r="AI1541" i="34"/>
  <c r="AF1255" i="34"/>
  <c r="AF1254" i="34"/>
  <c r="AK1089" i="34"/>
  <c r="AK111" i="34"/>
  <c r="AK437" i="34"/>
  <c r="AE19" i="34"/>
  <c r="AI165" i="34"/>
  <c r="AF413" i="34"/>
  <c r="AF380" i="34"/>
  <c r="AK388" i="34"/>
  <c r="AI379" i="34"/>
  <c r="AH1559" i="34"/>
  <c r="AG1513" i="34"/>
  <c r="AG1522" i="34" s="1"/>
  <c r="AI1584" i="34"/>
  <c r="AH847" i="34"/>
  <c r="AJ848" i="34"/>
  <c r="AJ847" i="34" s="1"/>
  <c r="AF1587" i="34"/>
  <c r="AG1590" i="34"/>
  <c r="AI862" i="34"/>
  <c r="AK863" i="34"/>
  <c r="AK862" i="34" s="1"/>
  <c r="AJ1608" i="34"/>
  <c r="AK1345" i="34"/>
  <c r="AK1340" i="34"/>
  <c r="AG1556" i="34"/>
  <c r="AG1565" i="34" s="1"/>
  <c r="AE1528" i="34"/>
  <c r="AK733" i="34"/>
  <c r="AK731" i="34" s="1"/>
  <c r="AK868" i="34"/>
  <c r="AK867" i="34" s="1"/>
  <c r="AI867" i="34"/>
  <c r="AE846" i="34"/>
  <c r="AG1597" i="34"/>
  <c r="AG1604" i="34" s="1"/>
  <c r="AH81" i="34"/>
  <c r="AI174" i="34"/>
  <c r="AH1516" i="34"/>
  <c r="AE1316" i="34"/>
  <c r="AE1560" i="34"/>
  <c r="AI179" i="34"/>
  <c r="AK183" i="34"/>
  <c r="AK291" i="34"/>
  <c r="AK290" i="34" s="1"/>
  <c r="AI290" i="34"/>
  <c r="AJ312" i="34"/>
  <c r="AI68" i="34"/>
  <c r="AI73" i="34" s="1"/>
  <c r="AF442" i="34"/>
  <c r="AJ1503" i="34"/>
  <c r="AI619" i="34"/>
  <c r="AI615" i="34" s="1"/>
  <c r="AG1514" i="34"/>
  <c r="AG1523" i="34" s="1"/>
  <c r="AF1580" i="34"/>
  <c r="AK852" i="34"/>
  <c r="AG1511" i="34"/>
  <c r="AG1520" i="34" s="1"/>
  <c r="AI1588" i="34"/>
  <c r="AK808" i="34"/>
  <c r="AK802" i="34" s="1"/>
  <c r="AF1571" i="34"/>
  <c r="AG1126" i="34"/>
  <c r="AH1587" i="34"/>
  <c r="AH1586" i="34"/>
  <c r="AF1555" i="34"/>
  <c r="AF1564" i="34" s="1"/>
  <c r="AE1558" i="34"/>
  <c r="AH1548" i="34"/>
  <c r="AJ1585" i="34"/>
  <c r="AK1445" i="34"/>
  <c r="AK1442" i="34"/>
  <c r="AK1441" i="34" s="1"/>
  <c r="AG95" i="34"/>
  <c r="AG96" i="34" s="1"/>
  <c r="AJ1320" i="34"/>
  <c r="AI1552" i="34"/>
  <c r="AK182" i="34"/>
  <c r="AI176" i="34"/>
  <c r="AI178" i="34"/>
  <c r="AJ1319" i="34"/>
  <c r="AF194" i="34"/>
  <c r="AF195" i="34" s="1"/>
  <c r="AF191" i="34"/>
  <c r="AG335" i="34"/>
  <c r="AG311" i="34"/>
  <c r="AH1477" i="34"/>
  <c r="AJ21" i="34"/>
  <c r="AJ1477" i="34" s="1"/>
  <c r="AJ1542" i="34"/>
  <c r="AK1542" i="34" s="1"/>
  <c r="AK262" i="34"/>
  <c r="AK248" i="34" s="1"/>
  <c r="AG448" i="34"/>
  <c r="AK321" i="34"/>
  <c r="AI312" i="34"/>
  <c r="AH413" i="34"/>
  <c r="AH380" i="34"/>
  <c r="AI448" i="34"/>
  <c r="AK449" i="34"/>
  <c r="AJ1591" i="34"/>
  <c r="AJ1582" i="34"/>
  <c r="AF1512" i="34"/>
  <c r="AF1521" i="34" s="1"/>
  <c r="AI596" i="34"/>
  <c r="AI592" i="34" s="1"/>
  <c r="AH139" i="34"/>
  <c r="AK385" i="34"/>
  <c r="AE375" i="34"/>
  <c r="AE408" i="34"/>
  <c r="AE373" i="34"/>
  <c r="AM410" i="34"/>
  <c r="AM335" i="34"/>
  <c r="AU121" i="34"/>
  <c r="BC194" i="34"/>
  <c r="AU139" i="34"/>
  <c r="BC335" i="34"/>
  <c r="AU433" i="34"/>
  <c r="BC123" i="34"/>
  <c r="AU406" i="34"/>
  <c r="BC353" i="34"/>
  <c r="BC164" i="34"/>
  <c r="BC173" i="34"/>
  <c r="AU410" i="34"/>
  <c r="AM17" i="34"/>
  <c r="BC406" i="34"/>
  <c r="AU17" i="34"/>
  <c r="AM433" i="34"/>
  <c r="AU272" i="34"/>
  <c r="BC493" i="34"/>
  <c r="AU335" i="34"/>
  <c r="AM14" i="34"/>
  <c r="AM20" i="34"/>
  <c r="BC410" i="34"/>
  <c r="BC433" i="34"/>
  <c r="BC114" i="34"/>
  <c r="AU353" i="34"/>
  <c r="AU110" i="34"/>
  <c r="BC272" i="34"/>
  <c r="AM272" i="34"/>
  <c r="AO410" i="34" l="1"/>
  <c r="AP410" i="34"/>
  <c r="AD1311" i="34"/>
  <c r="AD1472" i="34"/>
  <c r="AD1481" i="34" s="1"/>
  <c r="AK887" i="34"/>
  <c r="AH164" i="34"/>
  <c r="AK174" i="34"/>
  <c r="AB191" i="34"/>
  <c r="AB194" i="34"/>
  <c r="AB195" i="34" s="1"/>
  <c r="AK166" i="34"/>
  <c r="AK1541" i="34"/>
  <c r="AJ1587" i="34"/>
  <c r="Z1530" i="34"/>
  <c r="Z1518" i="34"/>
  <c r="Z1531" i="34" s="1"/>
  <c r="Z1532" i="34" s="1"/>
  <c r="AK1137" i="34"/>
  <c r="AK1127" i="34" s="1"/>
  <c r="AK1157" i="34" s="1"/>
  <c r="AK501" i="34"/>
  <c r="AK500" i="34" s="1"/>
  <c r="AK494" i="34" s="1"/>
  <c r="AK493" i="34" s="1"/>
  <c r="AK1318" i="34"/>
  <c r="X20" i="34"/>
  <c r="X1311" i="34"/>
  <c r="X16" i="34"/>
  <c r="X1475" i="34" s="1"/>
  <c r="X1473" i="34" s="1"/>
  <c r="X1474" i="34" s="1"/>
  <c r="AK1125" i="34"/>
  <c r="V1200" i="34"/>
  <c r="W1175" i="34"/>
  <c r="W1168" i="34" s="1"/>
  <c r="W1200" i="34" s="1"/>
  <c r="AK1319" i="34"/>
  <c r="U1562" i="34"/>
  <c r="U1575" i="34" s="1"/>
  <c r="U1576" i="34" s="1"/>
  <c r="AK1502" i="34"/>
  <c r="AK284" i="34"/>
  <c r="T20" i="34"/>
  <c r="T16" i="34"/>
  <c r="T1475" i="34" s="1"/>
  <c r="T1473" i="34" s="1"/>
  <c r="T18" i="34"/>
  <c r="T1472" i="34"/>
  <c r="T1311" i="34"/>
  <c r="T1315" i="34" s="1"/>
  <c r="AK468" i="34"/>
  <c r="AK467" i="34" s="1"/>
  <c r="AK461" i="34" s="1"/>
  <c r="AK460" i="34" s="1"/>
  <c r="AK1403" i="34"/>
  <c r="AK1404" i="34" s="1"/>
  <c r="AI95" i="34"/>
  <c r="AI96" i="34" s="1"/>
  <c r="BH194" i="34"/>
  <c r="BI194" i="34"/>
  <c r="BC195" i="34"/>
  <c r="BH195" i="34" s="1"/>
  <c r="BE194" i="34"/>
  <c r="BF194" i="34"/>
  <c r="AK179" i="34"/>
  <c r="AK1503" i="34"/>
  <c r="AE671" i="34"/>
  <c r="AI249" i="34"/>
  <c r="AK1538" i="34"/>
  <c r="AI640" i="34"/>
  <c r="AJ591" i="34"/>
  <c r="W1530" i="34"/>
  <c r="S1472" i="34"/>
  <c r="S1481" i="34" s="1"/>
  <c r="Y1478" i="34"/>
  <c r="Y1487" i="34" s="1"/>
  <c r="Y1488" i="34" s="1"/>
  <c r="BA121" i="34"/>
  <c r="AZ121" i="34"/>
  <c r="AW121" i="34"/>
  <c r="AX121" i="34"/>
  <c r="AX110" i="34"/>
  <c r="BA110" i="34"/>
  <c r="AW110" i="34"/>
  <c r="AZ110" i="34"/>
  <c r="AI1407" i="34"/>
  <c r="AI1408" i="34" s="1"/>
  <c r="AI1404" i="34"/>
  <c r="U29" i="34"/>
  <c r="AC18" i="34"/>
  <c r="AR14" i="34"/>
  <c r="AP14" i="34"/>
  <c r="AM1472" i="34"/>
  <c r="AS1472" i="34" s="1"/>
  <c r="AS14" i="34"/>
  <c r="AO14" i="34"/>
  <c r="Y1474" i="34"/>
  <c r="W1562" i="34"/>
  <c r="W1575" i="34" s="1"/>
  <c r="W1576" i="34" s="1"/>
  <c r="AK181" i="34"/>
  <c r="AK1581" i="34"/>
  <c r="AK1493" i="34"/>
  <c r="S1311" i="34"/>
  <c r="S1317" i="34" s="1"/>
  <c r="U36" i="34"/>
  <c r="V1562" i="34"/>
  <c r="V1575" i="34" s="1"/>
  <c r="V1576" i="34" s="1"/>
  <c r="AJ493" i="34"/>
  <c r="AK641" i="34"/>
  <c r="AC1474" i="34"/>
  <c r="AK356" i="34"/>
  <c r="AK354" i="34" s="1"/>
  <c r="AK353" i="34" s="1"/>
  <c r="AW139" i="34"/>
  <c r="AU140" i="34"/>
  <c r="AZ139" i="34"/>
  <c r="AX139" i="34"/>
  <c r="BA139" i="34"/>
  <c r="AS17" i="34"/>
  <c r="AM18" i="34"/>
  <c r="AR17" i="34"/>
  <c r="AP17" i="34"/>
  <c r="AO17" i="34"/>
  <c r="BI173" i="34"/>
  <c r="BE173" i="34"/>
  <c r="BH173" i="34"/>
  <c r="BF173" i="34"/>
  <c r="AW433" i="34"/>
  <c r="AX433" i="34"/>
  <c r="AZ433" i="34"/>
  <c r="BA433" i="34"/>
  <c r="BE406" i="34"/>
  <c r="BC407" i="34"/>
  <c r="BF406" i="34"/>
  <c r="BI406" i="34"/>
  <c r="BH406" i="34"/>
  <c r="AX410" i="34"/>
  <c r="AW410" i="34"/>
  <c r="AX335" i="34"/>
  <c r="BA335" i="34"/>
  <c r="AW335" i="34"/>
  <c r="AU336" i="34"/>
  <c r="AZ335" i="34"/>
  <c r="BF335" i="34"/>
  <c r="BC336" i="34"/>
  <c r="BI335" i="34"/>
  <c r="BE335" i="34"/>
  <c r="BH335" i="34"/>
  <c r="BH493" i="34"/>
  <c r="BF493" i="34"/>
  <c r="BI493" i="34"/>
  <c r="BE493" i="34"/>
  <c r="AS433" i="34"/>
  <c r="AR433" i="34"/>
  <c r="AO433" i="34"/>
  <c r="AP433" i="34"/>
  <c r="BF410" i="34"/>
  <c r="BE410" i="34"/>
  <c r="AR20" i="34"/>
  <c r="AO20" i="34"/>
  <c r="BA353" i="34"/>
  <c r="AW353" i="34"/>
  <c r="AZ353" i="34"/>
  <c r="AX353" i="34"/>
  <c r="AU374" i="34"/>
  <c r="BF353" i="34"/>
  <c r="BE353" i="34"/>
  <c r="BI353" i="34"/>
  <c r="BH353" i="34"/>
  <c r="BC374" i="34"/>
  <c r="BF114" i="34"/>
  <c r="BI114" i="34"/>
  <c r="BE114" i="34"/>
  <c r="BH114" i="34"/>
  <c r="AS272" i="34"/>
  <c r="AM273" i="34"/>
  <c r="AR272" i="34"/>
  <c r="AO272" i="34"/>
  <c r="AP272" i="34"/>
  <c r="BF272" i="34"/>
  <c r="BH272" i="34"/>
  <c r="BI272" i="34"/>
  <c r="BE272" i="34"/>
  <c r="BC273" i="34"/>
  <c r="AX272" i="34"/>
  <c r="BA272" i="34"/>
  <c r="AW272" i="34"/>
  <c r="AU273" i="34"/>
  <c r="AZ272" i="34"/>
  <c r="AU407" i="34"/>
  <c r="AX406" i="34"/>
  <c r="AW406" i="34"/>
  <c r="AZ406" i="34"/>
  <c r="BA406" i="34"/>
  <c r="BF433" i="34"/>
  <c r="BI433" i="34"/>
  <c r="BE433" i="34"/>
  <c r="BH433" i="34"/>
  <c r="AW17" i="34"/>
  <c r="AZ17" i="34"/>
  <c r="BA17" i="34"/>
  <c r="AX17" i="34"/>
  <c r="BC124" i="34"/>
  <c r="BF123" i="34"/>
  <c r="BH123" i="34"/>
  <c r="BI123" i="34"/>
  <c r="BC81" i="34"/>
  <c r="BE123" i="34"/>
  <c r="AM336" i="34"/>
  <c r="AR335" i="34"/>
  <c r="AS335" i="34"/>
  <c r="AO335" i="34"/>
  <c r="AP335" i="34"/>
  <c r="BH164" i="34"/>
  <c r="BF164" i="34"/>
  <c r="BI164" i="34"/>
  <c r="BE164" i="34"/>
  <c r="AB140" i="34"/>
  <c r="AD18" i="34"/>
  <c r="AD1314" i="34"/>
  <c r="AD24" i="34"/>
  <c r="AE173" i="34"/>
  <c r="AI173" i="34" s="1"/>
  <c r="AK173" i="34" s="1"/>
  <c r="AO140" i="34"/>
  <c r="AR140" i="34"/>
  <c r="BH177" i="34"/>
  <c r="BE177" i="34"/>
  <c r="AR239" i="34"/>
  <c r="AO239" i="34"/>
  <c r="AO311" i="34"/>
  <c r="AR311" i="34"/>
  <c r="AZ195" i="34"/>
  <c r="AW195" i="34"/>
  <c r="BH341" i="34"/>
  <c r="BE341" i="34"/>
  <c r="BE196" i="34"/>
  <c r="BH196" i="34"/>
  <c r="AO90" i="34"/>
  <c r="AR90" i="34"/>
  <c r="S1513" i="34"/>
  <c r="S1522" i="34" s="1"/>
  <c r="S1500" i="34"/>
  <c r="S1509" i="34" s="1"/>
  <c r="S1530" i="34" s="1"/>
  <c r="AW341" i="34"/>
  <c r="AZ341" i="34"/>
  <c r="AB339" i="34"/>
  <c r="AB336" i="34"/>
  <c r="AD16" i="34"/>
  <c r="AZ311" i="34"/>
  <c r="AW311" i="34"/>
  <c r="AO420" i="34"/>
  <c r="AR420" i="34"/>
  <c r="AK202" i="34"/>
  <c r="AJ460" i="34"/>
  <c r="V1474" i="34"/>
  <c r="AZ196" i="34"/>
  <c r="AW196" i="34"/>
  <c r="AB14" i="34"/>
  <c r="AB16" i="34" s="1"/>
  <c r="AB277" i="34"/>
  <c r="S121" i="34"/>
  <c r="AE121" i="34" s="1"/>
  <c r="AI121" i="34" s="1"/>
  <c r="S110" i="34"/>
  <c r="AD273" i="34"/>
  <c r="AD276" i="34"/>
  <c r="V1314" i="34"/>
  <c r="V1313" i="34" s="1"/>
  <c r="V24" i="34"/>
  <c r="V18" i="34"/>
  <c r="BH126" i="34"/>
  <c r="BE126" i="34"/>
  <c r="AW136" i="34"/>
  <c r="AZ136" i="34"/>
  <c r="AZ239" i="34"/>
  <c r="AW239" i="34"/>
  <c r="BH311" i="34"/>
  <c r="BE311" i="34"/>
  <c r="AO407" i="34"/>
  <c r="AR407" i="34"/>
  <c r="AO89" i="34"/>
  <c r="AP89" i="34"/>
  <c r="AS89" i="34"/>
  <c r="AR89" i="34"/>
  <c r="AW86" i="34"/>
  <c r="AU89" i="34"/>
  <c r="AZ86" i="34"/>
  <c r="BA86" i="34"/>
  <c r="AX86" i="34"/>
  <c r="S81" i="34"/>
  <c r="S135" i="34"/>
  <c r="S124" i="34"/>
  <c r="AE123" i="34"/>
  <c r="AE135" i="34" s="1"/>
  <c r="AE139" i="34" s="1"/>
  <c r="BH90" i="34"/>
  <c r="BE90" i="34"/>
  <c r="AD336" i="34"/>
  <c r="AD339" i="34"/>
  <c r="AZ90" i="34"/>
  <c r="AW90" i="34"/>
  <c r="BH191" i="34"/>
  <c r="BE191" i="34"/>
  <c r="AR195" i="34"/>
  <c r="AO195" i="34"/>
  <c r="BE239" i="34"/>
  <c r="BH239" i="34"/>
  <c r="AO374" i="34"/>
  <c r="AR374" i="34"/>
  <c r="AB419" i="34"/>
  <c r="AB407" i="34"/>
  <c r="X419" i="34"/>
  <c r="X420" i="34" s="1"/>
  <c r="X407" i="34"/>
  <c r="AI560" i="34"/>
  <c r="AC1314" i="34"/>
  <c r="AC1321" i="34" s="1"/>
  <c r="AC1325" i="34" s="1"/>
  <c r="AC24" i="34"/>
  <c r="AB24" i="34"/>
  <c r="X24" i="34"/>
  <c r="X18" i="34"/>
  <c r="X1314" i="34"/>
  <c r="X1321" i="34" s="1"/>
  <c r="X1325" i="34" s="1"/>
  <c r="T1321" i="34"/>
  <c r="T1317" i="34"/>
  <c r="Y1313" i="34"/>
  <c r="AA1317" i="34"/>
  <c r="X1481" i="34"/>
  <c r="X1478" i="34"/>
  <c r="W24" i="34"/>
  <c r="W16" i="34"/>
  <c r="W1475" i="34" s="1"/>
  <c r="W1473" i="34" s="1"/>
  <c r="W1314" i="34"/>
  <c r="W1313" i="34" s="1"/>
  <c r="W18" i="34"/>
  <c r="S419" i="34"/>
  <c r="S407" i="34"/>
  <c r="T1481" i="34"/>
  <c r="AC1478" i="34"/>
  <c r="AC1481" i="34"/>
  <c r="AA419" i="34"/>
  <c r="AA420" i="34" s="1"/>
  <c r="AA407" i="34"/>
  <c r="AJ1126" i="34"/>
  <c r="AK1126" i="34" s="1"/>
  <c r="AK1546" i="34"/>
  <c r="AK1549" i="34"/>
  <c r="V1478" i="34"/>
  <c r="V1479" i="34" s="1"/>
  <c r="V1485" i="34" s="1"/>
  <c r="V1486" i="34" s="1"/>
  <c r="AK98" i="34"/>
  <c r="AK95" i="34" s="1"/>
  <c r="AK96" i="34" s="1"/>
  <c r="AI846" i="34"/>
  <c r="AK846" i="34" s="1"/>
  <c r="AK1494" i="34"/>
  <c r="AJ671" i="34"/>
  <c r="AK592" i="34"/>
  <c r="AG14" i="34"/>
  <c r="AG1472" i="34" s="1"/>
  <c r="AG1481" i="34" s="1"/>
  <c r="AI460" i="34"/>
  <c r="AK763" i="34"/>
  <c r="AK762" i="34" s="1"/>
  <c r="Y1315" i="34"/>
  <c r="U18" i="34"/>
  <c r="U1472" i="34"/>
  <c r="U1311" i="34"/>
  <c r="U16" i="34"/>
  <c r="U1475" i="34" s="1"/>
  <c r="U1473" i="34" s="1"/>
  <c r="U25" i="34"/>
  <c r="U20" i="34"/>
  <c r="AA16" i="34"/>
  <c r="AA1475" i="34" s="1"/>
  <c r="AA1473" i="34" s="1"/>
  <c r="AA1474" i="34" s="1"/>
  <c r="AA24" i="34"/>
  <c r="AA1314" i="34"/>
  <c r="AA18" i="34"/>
  <c r="AC1317" i="34"/>
  <c r="AA1481" i="34"/>
  <c r="X1317" i="34"/>
  <c r="T28" i="34"/>
  <c r="T25" i="34"/>
  <c r="W419" i="34"/>
  <c r="W420" i="34" s="1"/>
  <c r="W407" i="34"/>
  <c r="Z1321" i="34"/>
  <c r="Z1311" i="34"/>
  <c r="AG1311" i="34" s="1"/>
  <c r="Z1472" i="34"/>
  <c r="Z16" i="34"/>
  <c r="Z1475" i="34" s="1"/>
  <c r="Z1473" i="34" s="1"/>
  <c r="Z20" i="34"/>
  <c r="Z28" i="34"/>
  <c r="Z25" i="34"/>
  <c r="Y1325" i="34"/>
  <c r="Y1322" i="34"/>
  <c r="AJ1539" i="34"/>
  <c r="AK1398" i="34"/>
  <c r="AK656" i="34"/>
  <c r="AK1537" i="34"/>
  <c r="Y29" i="34"/>
  <c r="Y33" i="34"/>
  <c r="Y35" i="34" s="1"/>
  <c r="Y36" i="34" s="1"/>
  <c r="AI1539" i="34"/>
  <c r="AK15" i="34"/>
  <c r="Y1611" i="34"/>
  <c r="Y1601" i="34"/>
  <c r="Y1612" i="34" s="1"/>
  <c r="Y1613" i="34" s="1"/>
  <c r="W1601" i="34"/>
  <c r="W1612" i="34" s="1"/>
  <c r="W1613" i="34" s="1"/>
  <c r="W1611" i="34"/>
  <c r="AC1611" i="34"/>
  <c r="AC1601" i="34"/>
  <c r="AC1612" i="34" s="1"/>
  <c r="AC1613" i="34" s="1"/>
  <c r="Z1574" i="34"/>
  <c r="Z1562" i="34"/>
  <c r="Z1575" i="34" s="1"/>
  <c r="Z1576" i="34" s="1"/>
  <c r="S1611" i="34"/>
  <c r="S1601" i="34"/>
  <c r="S1612" i="34" s="1"/>
  <c r="S1613" i="34" s="1"/>
  <c r="AC1574" i="34"/>
  <c r="AC1562" i="34"/>
  <c r="AC1575" i="34" s="1"/>
  <c r="AC1576" i="34" s="1"/>
  <c r="AI591" i="34"/>
  <c r="AI1583" i="34"/>
  <c r="U1611" i="34"/>
  <c r="U1601" i="34"/>
  <c r="U1612" i="34" s="1"/>
  <c r="U1613" i="34" s="1"/>
  <c r="AB1611" i="34"/>
  <c r="AB1601" i="34"/>
  <c r="AB1612" i="34" s="1"/>
  <c r="AB1613" i="34" s="1"/>
  <c r="W1310" i="34"/>
  <c r="W1268" i="34"/>
  <c r="W1212" i="34"/>
  <c r="W1440" i="34"/>
  <c r="W1412" i="34"/>
  <c r="W1078" i="34"/>
  <c r="W459" i="34"/>
  <c r="X13" i="34"/>
  <c r="W1471" i="34"/>
  <c r="W78" i="34"/>
  <c r="AA1574" i="34"/>
  <c r="AA1562" i="34"/>
  <c r="AA1575" i="34" s="1"/>
  <c r="AA1576" i="34" s="1"/>
  <c r="Z1611" i="34"/>
  <c r="Z1601" i="34"/>
  <c r="Z1612" i="34" s="1"/>
  <c r="Z1613" i="34" s="1"/>
  <c r="V1611" i="34"/>
  <c r="V1601" i="34"/>
  <c r="V1612" i="34" s="1"/>
  <c r="V1613" i="34" s="1"/>
  <c r="AA1601" i="34"/>
  <c r="AA1612" i="34" s="1"/>
  <c r="AA1613" i="34" s="1"/>
  <c r="AA1611" i="34"/>
  <c r="AJ1548" i="34"/>
  <c r="AK1548" i="34" s="1"/>
  <c r="AK615" i="34"/>
  <c r="AK680" i="34"/>
  <c r="AK672" i="34" s="1"/>
  <c r="AD1611" i="34"/>
  <c r="AD1601" i="34"/>
  <c r="AD1612" i="34" s="1"/>
  <c r="AD1613" i="34" s="1"/>
  <c r="AD1574" i="34"/>
  <c r="AD1562" i="34"/>
  <c r="AD1575" i="34" s="1"/>
  <c r="AD1576" i="34" s="1"/>
  <c r="T1530" i="34"/>
  <c r="T1518" i="34"/>
  <c r="T1531" i="34" s="1"/>
  <c r="T1532" i="34" s="1"/>
  <c r="T1611" i="34"/>
  <c r="T1601" i="34"/>
  <c r="T1612" i="34" s="1"/>
  <c r="T1613" i="34" s="1"/>
  <c r="X1611" i="34"/>
  <c r="X1601" i="34"/>
  <c r="X1612" i="34" s="1"/>
  <c r="X1613" i="34" s="1"/>
  <c r="AI1504" i="34"/>
  <c r="AK1584" i="34"/>
  <c r="AI353" i="34"/>
  <c r="AJ164" i="34"/>
  <c r="AI1501" i="34"/>
  <c r="AK1413" i="34"/>
  <c r="AK1552" i="34"/>
  <c r="AK1582" i="34"/>
  <c r="AJ1583" i="34"/>
  <c r="AK560" i="34"/>
  <c r="AK154" i="34"/>
  <c r="AK405" i="34"/>
  <c r="AK412" i="34" s="1"/>
  <c r="AK1320" i="34"/>
  <c r="AK801" i="34"/>
  <c r="AK724" i="34"/>
  <c r="AK716" i="34" s="1"/>
  <c r="AK1312" i="34"/>
  <c r="AK1588" i="34"/>
  <c r="AI1528" i="34"/>
  <c r="AK1528" i="34" s="1"/>
  <c r="AJ1545" i="34"/>
  <c r="AF238" i="34"/>
  <c r="AF272" i="34" s="1"/>
  <c r="AI1492" i="34"/>
  <c r="AK27" i="34"/>
  <c r="AK68" i="34" s="1"/>
  <c r="AK73" i="34" s="1"/>
  <c r="AK1505" i="34"/>
  <c r="AI493" i="34"/>
  <c r="AE406" i="34"/>
  <c r="AE374" i="34"/>
  <c r="AK178" i="34"/>
  <c r="AK176" i="34"/>
  <c r="AI1558" i="34"/>
  <c r="AE1567" i="34"/>
  <c r="AG438" i="34"/>
  <c r="AI1316" i="34"/>
  <c r="AG1579" i="34"/>
  <c r="AG339" i="34"/>
  <c r="AG340" i="34" s="1"/>
  <c r="AG336" i="34"/>
  <c r="AF1560" i="34"/>
  <c r="AF1569" i="34" s="1"/>
  <c r="AF440" i="34"/>
  <c r="AH1525" i="34"/>
  <c r="AJ1516" i="34"/>
  <c r="AJ1525" i="34" s="1"/>
  <c r="AH86" i="34"/>
  <c r="AH89" i="34" s="1"/>
  <c r="AE1254" i="34"/>
  <c r="AI1254" i="34" s="1"/>
  <c r="AK1254" i="34" s="1"/>
  <c r="AE1255" i="34"/>
  <c r="AI1255" i="34" s="1"/>
  <c r="AK1255" i="34" s="1"/>
  <c r="AK1349" i="34"/>
  <c r="AK1350" i="34" s="1"/>
  <c r="AK1346" i="34"/>
  <c r="AH1568" i="34"/>
  <c r="AJ1559" i="34"/>
  <c r="AJ1568" i="34" s="1"/>
  <c r="AJ1596" i="34"/>
  <c r="AJ1603" i="34" s="1"/>
  <c r="AH1603" i="34"/>
  <c r="AH1598" i="34"/>
  <c r="AG126" i="34"/>
  <c r="AJ129" i="34"/>
  <c r="AF1514" i="34"/>
  <c r="AF1523" i="34" s="1"/>
  <c r="AI377" i="34"/>
  <c r="AK386" i="34"/>
  <c r="AK384" i="34" s="1"/>
  <c r="AI384" i="34"/>
  <c r="AH1495" i="34"/>
  <c r="AJ1495" i="34" s="1"/>
  <c r="AJ19" i="34"/>
  <c r="AF438" i="34"/>
  <c r="AI1587" i="34"/>
  <c r="AG373" i="34"/>
  <c r="AG375" i="34"/>
  <c r="AG408" i="34"/>
  <c r="AE1607" i="34"/>
  <c r="AI1600" i="34"/>
  <c r="AF1527" i="34"/>
  <c r="AH1564" i="34"/>
  <c r="AJ1555" i="34"/>
  <c r="AJ1564" i="34" s="1"/>
  <c r="AI104" i="34"/>
  <c r="AE126" i="34"/>
  <c r="AK254" i="34"/>
  <c r="AI240" i="34"/>
  <c r="AH339" i="34"/>
  <c r="AH340" i="34" s="1"/>
  <c r="AH336" i="34"/>
  <c r="AJ1517" i="34"/>
  <c r="AJ1526" i="34" s="1"/>
  <c r="AH1526" i="34"/>
  <c r="AH1579" i="34"/>
  <c r="AK125" i="34"/>
  <c r="AI403" i="34"/>
  <c r="AK403" i="34" s="1"/>
  <c r="AE410" i="34"/>
  <c r="AG1491" i="34"/>
  <c r="AJ250" i="34"/>
  <c r="AK264" i="34"/>
  <c r="AK250" i="34" s="1"/>
  <c r="AH1504" i="34"/>
  <c r="AJ1504" i="34" s="1"/>
  <c r="AK1585" i="34"/>
  <c r="AH1535" i="34"/>
  <c r="AE1521" i="34"/>
  <c r="AI1512" i="34"/>
  <c r="AH1557" i="34"/>
  <c r="AI251" i="34"/>
  <c r="AK265" i="34"/>
  <c r="AK251" i="34" s="1"/>
  <c r="AJ450" i="34"/>
  <c r="AH448" i="34"/>
  <c r="AE339" i="34"/>
  <c r="AE340" i="34" s="1"/>
  <c r="AE336" i="34"/>
  <c r="AH1500" i="34"/>
  <c r="AH121" i="34"/>
  <c r="AH114" i="34"/>
  <c r="AI1536" i="34"/>
  <c r="AI1580" i="34"/>
  <c r="AK1497" i="34"/>
  <c r="AK409" i="34"/>
  <c r="AK376" i="34"/>
  <c r="AK312" i="34"/>
  <c r="AI177" i="34"/>
  <c r="AI190" i="34"/>
  <c r="AF1579" i="34"/>
  <c r="AE1569" i="34"/>
  <c r="AE1527" i="34"/>
  <c r="AK379" i="34"/>
  <c r="AG1535" i="34"/>
  <c r="AG1595" i="34"/>
  <c r="AG1602" i="34" s="1"/>
  <c r="AG123" i="34"/>
  <c r="AI413" i="34"/>
  <c r="AI380" i="34"/>
  <c r="AJ177" i="34"/>
  <c r="AJ190" i="34"/>
  <c r="AE1557" i="34"/>
  <c r="AE1586" i="34"/>
  <c r="AJ261" i="34"/>
  <c r="AJ247" i="34" s="1"/>
  <c r="AH247" i="34"/>
  <c r="AH410" i="34"/>
  <c r="AF406" i="34"/>
  <c r="AF374" i="34"/>
  <c r="AJ311" i="34"/>
  <c r="AJ335" i="34"/>
  <c r="AH438" i="34"/>
  <c r="AH1520" i="34"/>
  <c r="AJ1511" i="34"/>
  <c r="AJ1520" i="34" s="1"/>
  <c r="AE1598" i="34"/>
  <c r="AE1491" i="34"/>
  <c r="AE102" i="34"/>
  <c r="AG452" i="34"/>
  <c r="AH1595" i="34"/>
  <c r="AG194" i="34"/>
  <c r="AG195" i="34" s="1"/>
  <c r="AG191" i="34"/>
  <c r="AE191" i="34"/>
  <c r="AE194" i="34"/>
  <c r="AE195" i="34" s="1"/>
  <c r="AF311" i="34"/>
  <c r="AF335" i="34"/>
  <c r="AE1604" i="34"/>
  <c r="AI1597" i="34"/>
  <c r="AH842" i="34"/>
  <c r="AH1482" i="34" s="1"/>
  <c r="AH1480" i="34" s="1"/>
  <c r="AJ843" i="34"/>
  <c r="AJ842" i="34" s="1"/>
  <c r="AJ1482" i="34" s="1"/>
  <c r="AJ1480" i="34" s="1"/>
  <c r="AJ208" i="34"/>
  <c r="AE1570" i="34"/>
  <c r="AI1561" i="34"/>
  <c r="AF842" i="34"/>
  <c r="AF1482" i="34" s="1"/>
  <c r="AF1480" i="34" s="1"/>
  <c r="AI843" i="34"/>
  <c r="AH1554" i="34"/>
  <c r="AE1495" i="34"/>
  <c r="AI1495" i="34" s="1"/>
  <c r="AH238" i="34"/>
  <c r="AJ1590" i="34"/>
  <c r="AH1316" i="34"/>
  <c r="AJ1501" i="34"/>
  <c r="AJ446" i="34"/>
  <c r="AH444" i="34"/>
  <c r="AE1554" i="34"/>
  <c r="AF14" i="34"/>
  <c r="AK1079" i="34"/>
  <c r="AG1544" i="34"/>
  <c r="AJ1544" i="34" s="1"/>
  <c r="AG1586" i="34"/>
  <c r="AJ1586" i="34" s="1"/>
  <c r="AK1506" i="34"/>
  <c r="AE1568" i="34"/>
  <c r="AI1559" i="34"/>
  <c r="AG1557" i="34"/>
  <c r="AG1566" i="34" s="1"/>
  <c r="AI335" i="34"/>
  <c r="AI311" i="34"/>
  <c r="AF1591" i="34"/>
  <c r="AI1591" i="34" s="1"/>
  <c r="AK1591" i="34" s="1"/>
  <c r="AE1514" i="34"/>
  <c r="AK165" i="34"/>
  <c r="AI164" i="34"/>
  <c r="AG121" i="34"/>
  <c r="AG114" i="34"/>
  <c r="AG110" i="34" s="1"/>
  <c r="AK414" i="34"/>
  <c r="AK389" i="34"/>
  <c r="AK381" i="34"/>
  <c r="AI316" i="34"/>
  <c r="AK325" i="34"/>
  <c r="AK316" i="34" s="1"/>
  <c r="AF1535" i="34"/>
  <c r="AF452" i="34"/>
  <c r="AI454" i="34"/>
  <c r="AI1555" i="34"/>
  <c r="AE1564" i="34"/>
  <c r="AI844" i="34"/>
  <c r="AK844" i="34" s="1"/>
  <c r="AE842" i="34"/>
  <c r="AE1482" i="34" s="1"/>
  <c r="AE1480" i="34" s="1"/>
  <c r="AI1349" i="34"/>
  <c r="AI1350" i="34" s="1"/>
  <c r="AI1346" i="34"/>
  <c r="AE1603" i="34"/>
  <c r="AI1596" i="34"/>
  <c r="AK848" i="34"/>
  <c r="AK847" i="34" s="1"/>
  <c r="AE114" i="34"/>
  <c r="AE438" i="34"/>
  <c r="AG239" i="34"/>
  <c r="AG272" i="34"/>
  <c r="AF1491" i="34"/>
  <c r="AH1513" i="34"/>
  <c r="AK434" i="34"/>
  <c r="AK1540" i="34"/>
  <c r="AI1571" i="34"/>
  <c r="AJ1556" i="34"/>
  <c r="AJ1565" i="34" s="1"/>
  <c r="AH1565" i="34"/>
  <c r="AG1510" i="34"/>
  <c r="AG1519" i="34" s="1"/>
  <c r="AG1598" i="34"/>
  <c r="AG1605" i="34" s="1"/>
  <c r="AJ1527" i="34"/>
  <c r="AF1500" i="34"/>
  <c r="AH1510" i="34"/>
  <c r="AG1500" i="34"/>
  <c r="AJ1536" i="34"/>
  <c r="AH1523" i="34"/>
  <c r="AJ1514" i="34"/>
  <c r="AJ1523" i="34" s="1"/>
  <c r="AH194" i="34"/>
  <c r="AH195" i="34" s="1"/>
  <c r="AH191" i="34"/>
  <c r="AI261" i="34"/>
  <c r="AI238" i="34" s="1"/>
  <c r="AI1526" i="34"/>
  <c r="AF1557" i="34"/>
  <c r="AF1566" i="34" s="1"/>
  <c r="AJ1599" i="34"/>
  <c r="AJ1606" i="34" s="1"/>
  <c r="AH1606" i="34"/>
  <c r="AH57" i="34"/>
  <c r="AJ57" i="34" s="1"/>
  <c r="AI1608" i="34"/>
  <c r="AJ104" i="34"/>
  <c r="AJ102" i="34" s="1"/>
  <c r="AH126" i="34"/>
  <c r="AI1484" i="34"/>
  <c r="AK23" i="34"/>
  <c r="AK1484" i="34" s="1"/>
  <c r="AE1595" i="34"/>
  <c r="AE1515" i="34"/>
  <c r="AI1544" i="34"/>
  <c r="AK21" i="34"/>
  <c r="AK1477" i="34" s="1"/>
  <c r="AI1556" i="34"/>
  <c r="AE1565" i="34"/>
  <c r="AF1595" i="34"/>
  <c r="AF1602" i="34" s="1"/>
  <c r="AI19" i="34"/>
  <c r="AG1554" i="34"/>
  <c r="AG1563" i="34" s="1"/>
  <c r="AF1554" i="34"/>
  <c r="AF1563" i="34" s="1"/>
  <c r="AJ377" i="34"/>
  <c r="AJ410" i="34"/>
  <c r="AJ384" i="34"/>
  <c r="AH1515" i="34"/>
  <c r="AE1510" i="34"/>
  <c r="AE272" i="34"/>
  <c r="AE239" i="34"/>
  <c r="AI442" i="34"/>
  <c r="AH1570" i="34"/>
  <c r="AJ1561" i="34"/>
  <c r="AJ1570" i="34" s="1"/>
  <c r="AJ1580" i="34"/>
  <c r="AK209" i="34"/>
  <c r="AK208" i="34" s="1"/>
  <c r="AI208" i="34"/>
  <c r="AI135" i="34"/>
  <c r="AF1510" i="34"/>
  <c r="AF1519" i="34" s="1"/>
  <c r="AH1521" i="34"/>
  <c r="AJ1512" i="34"/>
  <c r="AJ1521" i="34" s="1"/>
  <c r="AE1525" i="34"/>
  <c r="AI1516" i="34"/>
  <c r="AI671" i="34"/>
  <c r="AH406" i="34"/>
  <c r="AH374" i="34"/>
  <c r="AJ1492" i="34"/>
  <c r="AF58" i="34"/>
  <c r="AI58" i="34" s="1"/>
  <c r="AF57" i="34"/>
  <c r="AI57" i="34" s="1"/>
  <c r="AJ454" i="34"/>
  <c r="AJ240" i="34"/>
  <c r="AJ1597" i="34"/>
  <c r="AJ1604" i="34" s="1"/>
  <c r="AH1604" i="34"/>
  <c r="AJ413" i="34"/>
  <c r="AJ380" i="34"/>
  <c r="AJ1560" i="34"/>
  <c r="AJ1569" i="34" s="1"/>
  <c r="AH1569" i="34"/>
  <c r="AJ1600" i="34"/>
  <c r="AJ1607" i="34" s="1"/>
  <c r="AH1607" i="34"/>
  <c r="AH58" i="34"/>
  <c r="AJ58" i="34" s="1"/>
  <c r="AH102" i="34"/>
  <c r="AE1535" i="34"/>
  <c r="AK1543" i="34"/>
  <c r="AJ1416" i="34"/>
  <c r="AJ1413" i="34" s="1"/>
  <c r="AJ887" i="34"/>
  <c r="AE1579" i="34"/>
  <c r="AE1606" i="34"/>
  <c r="AE1520" i="34"/>
  <c r="AI1511" i="34"/>
  <c r="AI446" i="34"/>
  <c r="AF444" i="34"/>
  <c r="AI1545" i="34"/>
  <c r="AJ442" i="34"/>
  <c r="AH440" i="34"/>
  <c r="AJ1558" i="34"/>
  <c r="AJ1567" i="34" s="1"/>
  <c r="AH1567" i="34"/>
  <c r="AM276" i="34"/>
  <c r="BC14" i="34"/>
  <c r="AU276" i="34"/>
  <c r="BC339" i="34"/>
  <c r="BC121" i="34"/>
  <c r="BC419" i="34"/>
  <c r="BC110" i="34"/>
  <c r="AU419" i="34"/>
  <c r="AU339" i="34"/>
  <c r="AU14" i="34"/>
  <c r="AM339" i="34"/>
  <c r="BC135" i="34"/>
  <c r="BC276" i="34"/>
  <c r="AD1317" i="34" l="1"/>
  <c r="AD1309" i="34"/>
  <c r="AK164" i="34"/>
  <c r="AK1587" i="34"/>
  <c r="AK1545" i="34"/>
  <c r="AG20" i="34"/>
  <c r="Y1479" i="34"/>
  <c r="Y1485" i="34" s="1"/>
  <c r="Y1486" i="34" s="1"/>
  <c r="X1175" i="34"/>
  <c r="X1168" i="34" s="1"/>
  <c r="AK1407" i="34"/>
  <c r="AK1408" i="34" s="1"/>
  <c r="V1487" i="34"/>
  <c r="V1488" i="34" s="1"/>
  <c r="AE124" i="34"/>
  <c r="T1478" i="34"/>
  <c r="T1487" i="34" s="1"/>
  <c r="T1488" i="34" s="1"/>
  <c r="T1313" i="34"/>
  <c r="T1474" i="34"/>
  <c r="BE195" i="34"/>
  <c r="AK1504" i="34"/>
  <c r="AK1583" i="34"/>
  <c r="AJ238" i="34"/>
  <c r="AJ239" i="34" s="1"/>
  <c r="AF239" i="34"/>
  <c r="AK1517" i="34"/>
  <c r="AK1526" i="34" s="1"/>
  <c r="AC1322" i="34"/>
  <c r="AI1560" i="34"/>
  <c r="AR1472" i="34"/>
  <c r="AP1472" i="34"/>
  <c r="AO1472" i="34"/>
  <c r="AM1481" i="34"/>
  <c r="AO1481" i="34" s="1"/>
  <c r="AK671" i="34"/>
  <c r="AK1539" i="34"/>
  <c r="AA1478" i="34"/>
  <c r="AA1487" i="34" s="1"/>
  <c r="AA1488" i="34" s="1"/>
  <c r="AK640" i="34"/>
  <c r="AE140" i="34"/>
  <c r="AK591" i="34"/>
  <c r="X1322" i="34"/>
  <c r="BF135" i="34"/>
  <c r="BH135" i="34"/>
  <c r="BI135" i="34"/>
  <c r="BE135" i="34"/>
  <c r="BC136" i="34"/>
  <c r="AX14" i="34"/>
  <c r="BA14" i="34"/>
  <c r="AW14" i="34"/>
  <c r="AU1472" i="34"/>
  <c r="AZ14" i="34"/>
  <c r="AU18" i="34"/>
  <c r="BH14" i="34"/>
  <c r="BC1472" i="34"/>
  <c r="BI14" i="34"/>
  <c r="BF14" i="34"/>
  <c r="BE14" i="34"/>
  <c r="BC20" i="34"/>
  <c r="AU340" i="34"/>
  <c r="AX339" i="34"/>
  <c r="AW339" i="34"/>
  <c r="AZ339" i="34"/>
  <c r="BA339" i="34"/>
  <c r="BE339" i="34"/>
  <c r="BH339" i="34"/>
  <c r="BI339" i="34"/>
  <c r="BC340" i="34"/>
  <c r="BF339" i="34"/>
  <c r="AU420" i="34"/>
  <c r="AX419" i="34"/>
  <c r="AW419" i="34"/>
  <c r="BA419" i="34"/>
  <c r="AZ419" i="34"/>
  <c r="BH110" i="34"/>
  <c r="BI110" i="34"/>
  <c r="BE110" i="34"/>
  <c r="BF110" i="34"/>
  <c r="AR276" i="34"/>
  <c r="AS276" i="34"/>
  <c r="AM277" i="34"/>
  <c r="AO276" i="34"/>
  <c r="AP276" i="34"/>
  <c r="BE276" i="34"/>
  <c r="BC277" i="34"/>
  <c r="BH276" i="34"/>
  <c r="BI276" i="34"/>
  <c r="BF276" i="34"/>
  <c r="AX276" i="34"/>
  <c r="BA276" i="34"/>
  <c r="AZ276" i="34"/>
  <c r="AW276" i="34"/>
  <c r="AU277" i="34"/>
  <c r="BF419" i="34"/>
  <c r="BE419" i="34"/>
  <c r="BC420" i="34"/>
  <c r="BH419" i="34"/>
  <c r="BI419" i="34"/>
  <c r="AS339" i="34"/>
  <c r="AM340" i="34"/>
  <c r="AR339" i="34"/>
  <c r="AP339" i="34"/>
  <c r="AO339" i="34"/>
  <c r="BE121" i="34"/>
  <c r="BH121" i="34"/>
  <c r="BF121" i="34"/>
  <c r="BI121" i="34"/>
  <c r="AD1315" i="34"/>
  <c r="AD1321" i="34"/>
  <c r="AD1313" i="34"/>
  <c r="AW374" i="34"/>
  <c r="AZ374" i="34"/>
  <c r="BH336" i="34"/>
  <c r="BE336" i="34"/>
  <c r="BE407" i="34"/>
  <c r="BH407" i="34"/>
  <c r="AB1475" i="34"/>
  <c r="AB1473" i="34" s="1"/>
  <c r="S136" i="34"/>
  <c r="S139" i="34"/>
  <c r="AB1311" i="34"/>
  <c r="AB1317" i="34" s="1"/>
  <c r="AB20" i="34"/>
  <c r="AB1472" i="34"/>
  <c r="AB1481" i="34" s="1"/>
  <c r="AB340" i="34"/>
  <c r="BC86" i="34"/>
  <c r="BE81" i="34"/>
  <c r="BH81" i="34"/>
  <c r="BF81" i="34"/>
  <c r="BI81" i="34"/>
  <c r="BH124" i="34"/>
  <c r="BE124" i="34"/>
  <c r="AW273" i="34"/>
  <c r="AZ273" i="34"/>
  <c r="BH273" i="34"/>
  <c r="BE273" i="34"/>
  <c r="AO273" i="34"/>
  <c r="AR273" i="34"/>
  <c r="AO18" i="34"/>
  <c r="AR18" i="34"/>
  <c r="AI1535" i="34"/>
  <c r="AK1492" i="34"/>
  <c r="S1518" i="34"/>
  <c r="S1531" i="34" s="1"/>
  <c r="S1532" i="34" s="1"/>
  <c r="AC1313" i="34"/>
  <c r="AB18" i="34"/>
  <c r="AB420" i="34"/>
  <c r="S86" i="34"/>
  <c r="S89" i="34" s="1"/>
  <c r="AE81" i="34"/>
  <c r="S17" i="34"/>
  <c r="BA89" i="34"/>
  <c r="AZ89" i="34"/>
  <c r="AW89" i="34"/>
  <c r="AX89" i="34"/>
  <c r="V25" i="34"/>
  <c r="V28" i="34"/>
  <c r="AZ140" i="34"/>
  <c r="AW140" i="34"/>
  <c r="AD277" i="34"/>
  <c r="AE1500" i="34"/>
  <c r="AI1500" i="34" s="1"/>
  <c r="X1313" i="34"/>
  <c r="AF1313" i="34" s="1"/>
  <c r="AC1315" i="34"/>
  <c r="S420" i="34"/>
  <c r="AD340" i="34"/>
  <c r="V1315" i="34"/>
  <c r="V1321" i="34"/>
  <c r="AD1475" i="34"/>
  <c r="AD1473" i="34" s="1"/>
  <c r="AD28" i="34"/>
  <c r="AD25" i="34"/>
  <c r="AR336" i="34"/>
  <c r="AO336" i="34"/>
  <c r="AW407" i="34"/>
  <c r="AZ407" i="34"/>
  <c r="BE374" i="34"/>
  <c r="BH374" i="34"/>
  <c r="AZ336" i="34"/>
  <c r="AW336" i="34"/>
  <c r="AC28" i="34"/>
  <c r="AC25" i="34"/>
  <c r="AB25" i="34"/>
  <c r="AB28" i="34"/>
  <c r="AC1330" i="34"/>
  <c r="AC1326" i="34"/>
  <c r="X1315" i="34"/>
  <c r="X28" i="34"/>
  <c r="X25" i="34"/>
  <c r="AB1321" i="34"/>
  <c r="U1474" i="34"/>
  <c r="X1479" i="34"/>
  <c r="X1485" i="34" s="1"/>
  <c r="X1486" i="34" s="1"/>
  <c r="X1487" i="34"/>
  <c r="X1488" i="34" s="1"/>
  <c r="AG1317" i="34"/>
  <c r="U1313" i="34"/>
  <c r="U1317" i="34"/>
  <c r="U1315" i="34"/>
  <c r="U1322" i="34"/>
  <c r="U1326" i="34"/>
  <c r="AC1487" i="34"/>
  <c r="AC1488" i="34" s="1"/>
  <c r="AC1479" i="34"/>
  <c r="AC1485" i="34" s="1"/>
  <c r="AC1486" i="34" s="1"/>
  <c r="W1321" i="34"/>
  <c r="W1315" i="34"/>
  <c r="U1333" i="34"/>
  <c r="AA1315" i="34"/>
  <c r="AA1321" i="34"/>
  <c r="U1481" i="34"/>
  <c r="U1478" i="34"/>
  <c r="W1474" i="34"/>
  <c r="W1478" i="34"/>
  <c r="AA1313" i="34"/>
  <c r="T1325" i="34"/>
  <c r="T1322" i="34"/>
  <c r="T33" i="34"/>
  <c r="T35" i="34" s="1"/>
  <c r="T36" i="34" s="1"/>
  <c r="T29" i="34"/>
  <c r="AA28" i="34"/>
  <c r="AA25" i="34"/>
  <c r="X1330" i="34"/>
  <c r="X1326" i="34"/>
  <c r="W25" i="34"/>
  <c r="W28" i="34"/>
  <c r="AE136" i="34"/>
  <c r="Z1478" i="34"/>
  <c r="Z1481" i="34"/>
  <c r="Z33" i="34"/>
  <c r="Z35" i="34" s="1"/>
  <c r="Z36" i="34" s="1"/>
  <c r="Z29" i="34"/>
  <c r="Z1313" i="34"/>
  <c r="Z1317" i="34"/>
  <c r="Z1315" i="34"/>
  <c r="Z1474" i="34"/>
  <c r="Z1322" i="34"/>
  <c r="Z1325" i="34"/>
  <c r="AK1501" i="34"/>
  <c r="Y1330" i="34"/>
  <c r="Y1332" i="34" s="1"/>
  <c r="Y1333" i="34" s="1"/>
  <c r="Y1326" i="34"/>
  <c r="X1471" i="34"/>
  <c r="X1440" i="34"/>
  <c r="X1412" i="34"/>
  <c r="X1310" i="34"/>
  <c r="X1268" i="34"/>
  <c r="X1212" i="34"/>
  <c r="X1078" i="34"/>
  <c r="X459" i="34"/>
  <c r="X78" i="34"/>
  <c r="Y13" i="34"/>
  <c r="AK57" i="34"/>
  <c r="AK1495" i="34"/>
  <c r="AI410" i="34"/>
  <c r="AK58" i="34"/>
  <c r="AI1491" i="34"/>
  <c r="AJ121" i="34"/>
  <c r="AK121" i="34" s="1"/>
  <c r="AE1553" i="34"/>
  <c r="AE1574" i="34"/>
  <c r="AF1574" i="34"/>
  <c r="AF1553" i="34"/>
  <c r="AF1562" i="34" s="1"/>
  <c r="AF1575" i="34" s="1"/>
  <c r="AF1576" i="34" s="1"/>
  <c r="AF1472" i="34"/>
  <c r="AF1481" i="34" s="1"/>
  <c r="AF20" i="34"/>
  <c r="AJ1316" i="34"/>
  <c r="AK1316" i="34" s="1"/>
  <c r="AK1597" i="34"/>
  <c r="AK1604" i="34" s="1"/>
  <c r="AI1604" i="34"/>
  <c r="AH435" i="34"/>
  <c r="AH439" i="34" s="1"/>
  <c r="AH90" i="34" s="1"/>
  <c r="AI1579" i="34"/>
  <c r="AH79" i="34"/>
  <c r="AJ79" i="34" s="1"/>
  <c r="AJ452" i="34"/>
  <c r="AE276" i="34"/>
  <c r="AE277" i="34" s="1"/>
  <c r="AE273" i="34"/>
  <c r="AH1524" i="34"/>
  <c r="AJ1515" i="34"/>
  <c r="AJ1524" i="34" s="1"/>
  <c r="AK1544" i="34"/>
  <c r="AK1608" i="34"/>
  <c r="AH1522" i="34"/>
  <c r="AJ1513" i="34"/>
  <c r="AJ1522" i="34" s="1"/>
  <c r="AG276" i="34"/>
  <c r="AG277" i="34" s="1"/>
  <c r="AG273" i="34"/>
  <c r="AI114" i="34"/>
  <c r="AE110" i="34"/>
  <c r="AK1596" i="34"/>
  <c r="AK1603" i="34" s="1"/>
  <c r="AI1603" i="34"/>
  <c r="AF1590" i="34"/>
  <c r="AI1590" i="34" s="1"/>
  <c r="AK1590" i="34" s="1"/>
  <c r="AF1311" i="34"/>
  <c r="AH1509" i="34"/>
  <c r="AH1530" i="34"/>
  <c r="AE1530" i="34"/>
  <c r="AE1509" i="34"/>
  <c r="AF407" i="34"/>
  <c r="AF419" i="34"/>
  <c r="AF420" i="34" s="1"/>
  <c r="AG124" i="34"/>
  <c r="AG135" i="34"/>
  <c r="AG1574" i="34"/>
  <c r="AG1553" i="34"/>
  <c r="AG1562" i="34" s="1"/>
  <c r="AG1575" i="34" s="1"/>
  <c r="AG1576" i="34" s="1"/>
  <c r="AK1580" i="34"/>
  <c r="AK1536" i="34"/>
  <c r="AJ1500" i="34"/>
  <c r="AF1513" i="34"/>
  <c r="AF1522" i="34" s="1"/>
  <c r="AH1566" i="34"/>
  <c r="AJ1557" i="34"/>
  <c r="AJ1566" i="34" s="1"/>
  <c r="AJ1579" i="34"/>
  <c r="AH1314" i="34"/>
  <c r="AF436" i="34"/>
  <c r="AK410" i="34"/>
  <c r="AK377" i="34"/>
  <c r="AG1594" i="34"/>
  <c r="AG1601" i="34" s="1"/>
  <c r="AG1612" i="34" s="1"/>
  <c r="AG1613" i="34" s="1"/>
  <c r="AG435" i="34"/>
  <c r="AG439" i="34" s="1"/>
  <c r="AG90" i="34" s="1"/>
  <c r="AI1567" i="34"/>
  <c r="AK1558" i="34"/>
  <c r="AK1567" i="34" s="1"/>
  <c r="AK177" i="34"/>
  <c r="AK190" i="34"/>
  <c r="AE1602" i="34"/>
  <c r="AI1595" i="34"/>
  <c r="AK1571" i="34"/>
  <c r="AI1525" i="34"/>
  <c r="AK1516" i="34"/>
  <c r="AK1525" i="34" s="1"/>
  <c r="AE1519" i="34"/>
  <c r="AI1510" i="34"/>
  <c r="AK19" i="34"/>
  <c r="AH1519" i="34"/>
  <c r="AJ1510" i="34"/>
  <c r="AJ1519" i="34" s="1"/>
  <c r="AK1555" i="34"/>
  <c r="AK1564" i="34" s="1"/>
  <c r="AI1564" i="34"/>
  <c r="AE1523" i="34"/>
  <c r="AI1514" i="34"/>
  <c r="AK1559" i="34"/>
  <c r="AK1568" i="34" s="1"/>
  <c r="AI1568" i="34"/>
  <c r="AF16" i="34"/>
  <c r="AF1475" i="34" s="1"/>
  <c r="AF1473" i="34" s="1"/>
  <c r="AJ444" i="34"/>
  <c r="AH239" i="34"/>
  <c r="AH272" i="34"/>
  <c r="AH1563" i="34"/>
  <c r="AJ1554" i="34"/>
  <c r="AJ1563" i="34" s="1"/>
  <c r="AH1491" i="34"/>
  <c r="AJ1491" i="34" s="1"/>
  <c r="AF336" i="34"/>
  <c r="AF339" i="34"/>
  <c r="AF340" i="34" s="1"/>
  <c r="AE1605" i="34"/>
  <c r="AJ336" i="34"/>
  <c r="AJ339" i="34"/>
  <c r="AJ340" i="34" s="1"/>
  <c r="AI1527" i="34"/>
  <c r="AI191" i="34"/>
  <c r="AI194" i="34"/>
  <c r="AI195" i="34" s="1"/>
  <c r="AF17" i="34"/>
  <c r="AF18" i="34" s="1"/>
  <c r="AJ114" i="34"/>
  <c r="AJ110" i="34" s="1"/>
  <c r="AH110" i="34"/>
  <c r="AJ1535" i="34"/>
  <c r="AH1594" i="34"/>
  <c r="AK240" i="34"/>
  <c r="AK104" i="34"/>
  <c r="AK102" i="34" s="1"/>
  <c r="AI102" i="34"/>
  <c r="AI124" i="34" s="1"/>
  <c r="AI126" i="34"/>
  <c r="AH17" i="34"/>
  <c r="AJ126" i="34"/>
  <c r="AJ123" i="34"/>
  <c r="AK129" i="34"/>
  <c r="AG436" i="34"/>
  <c r="AI1520" i="34"/>
  <c r="AK1511" i="34"/>
  <c r="AK1520" i="34" s="1"/>
  <c r="AH407" i="34"/>
  <c r="AH419" i="34"/>
  <c r="AH420" i="34" s="1"/>
  <c r="AE1524" i="34"/>
  <c r="AI1515" i="34"/>
  <c r="AF1599" i="34"/>
  <c r="AK446" i="34"/>
  <c r="AI444" i="34"/>
  <c r="AE1594" i="34"/>
  <c r="AE435" i="34"/>
  <c r="AE439" i="34" s="1"/>
  <c r="AE90" i="34" s="1"/>
  <c r="AJ440" i="34"/>
  <c r="AH124" i="34"/>
  <c r="AH136" i="34"/>
  <c r="AI139" i="34"/>
  <c r="AK442" i="34"/>
  <c r="AI440" i="34"/>
  <c r="AF273" i="34"/>
  <c r="AF276" i="34"/>
  <c r="AF277" i="34" s="1"/>
  <c r="AJ408" i="34"/>
  <c r="AJ373" i="34"/>
  <c r="AJ375" i="34"/>
  <c r="AI1565" i="34"/>
  <c r="AK1556" i="34"/>
  <c r="AK1565" i="34" s="1"/>
  <c r="AK261" i="34"/>
  <c r="AK247" i="34" s="1"/>
  <c r="AI247" i="34"/>
  <c r="AK454" i="34"/>
  <c r="AI452" i="34"/>
  <c r="AK380" i="34"/>
  <c r="AK413" i="34"/>
  <c r="AI339" i="34"/>
  <c r="AI340" i="34" s="1"/>
  <c r="AI336" i="34"/>
  <c r="AK843" i="34"/>
  <c r="AK842" i="34" s="1"/>
  <c r="AK1482" i="34" s="1"/>
  <c r="AK1480" i="34" s="1"/>
  <c r="AI842" i="34"/>
  <c r="AI1482" i="34" s="1"/>
  <c r="AI1480" i="34" s="1"/>
  <c r="AK1561" i="34"/>
  <c r="AK1570" i="34" s="1"/>
  <c r="AI1570" i="34"/>
  <c r="AJ1595" i="34"/>
  <c r="AJ1602" i="34" s="1"/>
  <c r="AH1602" i="34"/>
  <c r="AE79" i="34"/>
  <c r="AI79" i="34" s="1"/>
  <c r="AJ438" i="34"/>
  <c r="AH436" i="34"/>
  <c r="AE1566" i="34"/>
  <c r="AI1557" i="34"/>
  <c r="AG81" i="34"/>
  <c r="AK373" i="34"/>
  <c r="AK375" i="34"/>
  <c r="AK408" i="34"/>
  <c r="AH1574" i="34"/>
  <c r="AH1553" i="34"/>
  <c r="AG1530" i="34"/>
  <c r="AG1509" i="34"/>
  <c r="AG1518" i="34" s="1"/>
  <c r="AG1531" i="34" s="1"/>
  <c r="AG1532" i="34" s="1"/>
  <c r="AI375" i="34"/>
  <c r="AI408" i="34"/>
  <c r="AI373" i="34"/>
  <c r="AH140" i="34"/>
  <c r="AI438" i="34"/>
  <c r="AE436" i="34"/>
  <c r="AI1554" i="34"/>
  <c r="AE1563" i="34"/>
  <c r="AE1513" i="34"/>
  <c r="AJ191" i="34"/>
  <c r="AJ194" i="34"/>
  <c r="AJ195" i="34" s="1"/>
  <c r="AK1560" i="34"/>
  <c r="AK1569" i="34" s="1"/>
  <c r="AI1569" i="34"/>
  <c r="AK310" i="34"/>
  <c r="AK450" i="34"/>
  <c r="AJ448" i="34"/>
  <c r="AI1521" i="34"/>
  <c r="AK1512" i="34"/>
  <c r="AK1521" i="34" s="1"/>
  <c r="AI272" i="34"/>
  <c r="AI239" i="34"/>
  <c r="AK1600" i="34"/>
  <c r="AK1607" i="34" s="1"/>
  <c r="AI1607" i="34"/>
  <c r="AH24" i="34"/>
  <c r="AG406" i="34"/>
  <c r="AG374" i="34"/>
  <c r="AF435" i="34"/>
  <c r="AF439" i="34" s="1"/>
  <c r="AF90" i="34" s="1"/>
  <c r="AJ1598" i="34"/>
  <c r="AJ1605" i="34" s="1"/>
  <c r="AH1605" i="34"/>
  <c r="AE407" i="34"/>
  <c r="AE419" i="34"/>
  <c r="AE420" i="34" s="1"/>
  <c r="BC17" i="34"/>
  <c r="AU20" i="34"/>
  <c r="BC139" i="34"/>
  <c r="AJ272" i="34" l="1"/>
  <c r="X1200" i="34"/>
  <c r="Y1175" i="34"/>
  <c r="Y1168" i="34" s="1"/>
  <c r="X1332" i="34"/>
  <c r="X1333" i="34" s="1"/>
  <c r="T1479" i="34"/>
  <c r="T1485" i="34" s="1"/>
  <c r="T1486" i="34" s="1"/>
  <c r="AB1313" i="34"/>
  <c r="AR1481" i="34"/>
  <c r="AA1479" i="34"/>
  <c r="AA1485" i="34" s="1"/>
  <c r="AA1486" i="34" s="1"/>
  <c r="AB1315" i="34"/>
  <c r="AB1474" i="34"/>
  <c r="AB1478" i="34"/>
  <c r="AB1487" i="34" s="1"/>
  <c r="AB1488" i="34" s="1"/>
  <c r="BI139" i="34"/>
  <c r="BC140" i="34"/>
  <c r="BE139" i="34"/>
  <c r="BH139" i="34"/>
  <c r="BF139" i="34"/>
  <c r="BC18" i="34"/>
  <c r="BI17" i="34"/>
  <c r="BH17" i="34"/>
  <c r="BF17" i="34"/>
  <c r="BE17" i="34"/>
  <c r="AZ20" i="34"/>
  <c r="AW20" i="34"/>
  <c r="AK1535" i="34"/>
  <c r="AD1474" i="34"/>
  <c r="AD1478" i="34"/>
  <c r="BH86" i="34"/>
  <c r="BC89" i="34"/>
  <c r="BF86" i="34"/>
  <c r="BI86" i="34"/>
  <c r="BE86" i="34"/>
  <c r="AO340" i="34"/>
  <c r="AR340" i="34"/>
  <c r="BE420" i="34"/>
  <c r="BH420" i="34"/>
  <c r="BH340" i="34"/>
  <c r="BE340" i="34"/>
  <c r="AZ340" i="34"/>
  <c r="AW340" i="34"/>
  <c r="V1325" i="34"/>
  <c r="V1322" i="34"/>
  <c r="S140" i="34"/>
  <c r="S18" i="34"/>
  <c r="S1314" i="34"/>
  <c r="AE17" i="34"/>
  <c r="AI17" i="34" s="1"/>
  <c r="S24" i="34"/>
  <c r="S16" i="34"/>
  <c r="AD1322" i="34"/>
  <c r="AD1325" i="34"/>
  <c r="BH20" i="34"/>
  <c r="BE20" i="34"/>
  <c r="BF1472" i="34"/>
  <c r="BI1472" i="34"/>
  <c r="BH1472" i="34"/>
  <c r="BE1472" i="34"/>
  <c r="BC1481" i="34"/>
  <c r="AW1472" i="34"/>
  <c r="AZ1472" i="34"/>
  <c r="AX1472" i="34"/>
  <c r="BA1472" i="34"/>
  <c r="AU1481" i="34"/>
  <c r="BE136" i="34"/>
  <c r="BH136" i="34"/>
  <c r="AK1491" i="34"/>
  <c r="AE86" i="34"/>
  <c r="AE89" i="34" s="1"/>
  <c r="AI81" i="34"/>
  <c r="AI86" i="34" s="1"/>
  <c r="AI89" i="34" s="1"/>
  <c r="AW420" i="34"/>
  <c r="AZ420" i="34"/>
  <c r="AD33" i="34"/>
  <c r="AD1331" i="34" s="1"/>
  <c r="AD29" i="34"/>
  <c r="V33" i="34"/>
  <c r="V35" i="34" s="1"/>
  <c r="V36" i="34" s="1"/>
  <c r="V29" i="34"/>
  <c r="AW277" i="34"/>
  <c r="AZ277" i="34"/>
  <c r="BH277" i="34"/>
  <c r="BE277" i="34"/>
  <c r="AO277" i="34"/>
  <c r="AR277" i="34"/>
  <c r="AZ18" i="34"/>
  <c r="AW18" i="34"/>
  <c r="AB1322" i="34"/>
  <c r="AB1325" i="34"/>
  <c r="AC29" i="34"/>
  <c r="AC33" i="34"/>
  <c r="X29" i="34"/>
  <c r="X33" i="34"/>
  <c r="X35" i="34" s="1"/>
  <c r="X36" i="34" s="1"/>
  <c r="AB33" i="34"/>
  <c r="AB29" i="34"/>
  <c r="AK79" i="34"/>
  <c r="W1487" i="34"/>
  <c r="W1488" i="34" s="1"/>
  <c r="W1479" i="34"/>
  <c r="W1485" i="34" s="1"/>
  <c r="W1486" i="34" s="1"/>
  <c r="AA1322" i="34"/>
  <c r="AA1325" i="34"/>
  <c r="W33" i="34"/>
  <c r="W35" i="34" s="1"/>
  <c r="W36" i="34" s="1"/>
  <c r="W29" i="34"/>
  <c r="AA29" i="34"/>
  <c r="AA33" i="34"/>
  <c r="T1330" i="34"/>
  <c r="T1332" i="34" s="1"/>
  <c r="T1333" i="34" s="1"/>
  <c r="T1326" i="34"/>
  <c r="U1479" i="34"/>
  <c r="U1485" i="34" s="1"/>
  <c r="U1486" i="34" s="1"/>
  <c r="U1487" i="34"/>
  <c r="U1488" i="34" s="1"/>
  <c r="W1325" i="34"/>
  <c r="W1322" i="34"/>
  <c r="AF1317" i="34"/>
  <c r="Z1330" i="34"/>
  <c r="Z1332" i="34" s="1"/>
  <c r="Z1333" i="34" s="1"/>
  <c r="Z1326" i="34"/>
  <c r="Z1487" i="34"/>
  <c r="Z1488" i="34" s="1"/>
  <c r="Z1479" i="34"/>
  <c r="Z1485" i="34" s="1"/>
  <c r="Z1486" i="34" s="1"/>
  <c r="Y1471" i="34"/>
  <c r="Y1440" i="34"/>
  <c r="Y1412" i="34"/>
  <c r="Y1078" i="34"/>
  <c r="Y1268" i="34"/>
  <c r="Y459" i="34"/>
  <c r="Y1310" i="34"/>
  <c r="Z13" i="34"/>
  <c r="Y1212" i="34"/>
  <c r="Y78" i="34"/>
  <c r="AF1474" i="34"/>
  <c r="AJ1574" i="34"/>
  <c r="AI140" i="34"/>
  <c r="AK1500" i="34"/>
  <c r="AI276" i="34"/>
  <c r="AI277" i="34" s="1"/>
  <c r="AI273" i="34"/>
  <c r="AK452" i="34"/>
  <c r="AH276" i="34"/>
  <c r="AH277" i="34" s="1"/>
  <c r="AH273" i="34"/>
  <c r="AG419" i="34"/>
  <c r="AG420" i="34" s="1"/>
  <c r="AG407" i="34"/>
  <c r="AI406" i="34"/>
  <c r="AI374" i="34"/>
  <c r="AI435" i="34"/>
  <c r="AI439" i="34" s="1"/>
  <c r="AI90" i="34" s="1"/>
  <c r="AE447" i="34"/>
  <c r="AE278" i="34" s="1"/>
  <c r="AE455" i="34"/>
  <c r="AE421" i="34" s="1"/>
  <c r="AE451" i="34"/>
  <c r="AE341" i="34" s="1"/>
  <c r="AE433" i="34"/>
  <c r="AE443" i="34"/>
  <c r="AE196" i="34" s="1"/>
  <c r="AK444" i="34"/>
  <c r="AI1524" i="34"/>
  <c r="AK1515" i="34"/>
  <c r="AK1524" i="34" s="1"/>
  <c r="AK126" i="34"/>
  <c r="AK123" i="34"/>
  <c r="AH1518" i="34"/>
  <c r="AH1531" i="34" s="1"/>
  <c r="AH1532" i="34" s="1"/>
  <c r="AJ1509" i="34"/>
  <c r="AJ1518" i="34" s="1"/>
  <c r="AJ1531" i="34" s="1"/>
  <c r="AJ1532" i="34" s="1"/>
  <c r="AF1598" i="34"/>
  <c r="AK114" i="34"/>
  <c r="AK110" i="34" s="1"/>
  <c r="AI110" i="34"/>
  <c r="AK1579" i="34"/>
  <c r="AE1522" i="34"/>
  <c r="AI1513" i="34"/>
  <c r="AH1562" i="34"/>
  <c r="AH1575" i="34" s="1"/>
  <c r="AH1576" i="34" s="1"/>
  <c r="AJ1553" i="34"/>
  <c r="AJ1562" i="34" s="1"/>
  <c r="AJ1575" i="34" s="1"/>
  <c r="AJ1576" i="34" s="1"/>
  <c r="AK238" i="34"/>
  <c r="AK194" i="34"/>
  <c r="AK195" i="34" s="1"/>
  <c r="AK191" i="34"/>
  <c r="AK448" i="34"/>
  <c r="AK335" i="34"/>
  <c r="AK311" i="34"/>
  <c r="AG86" i="34"/>
  <c r="AG89" i="34" s="1"/>
  <c r="AJ81" i="34"/>
  <c r="AK440" i="34"/>
  <c r="AI1519" i="34"/>
  <c r="AK1510" i="34"/>
  <c r="AK1519" i="34" s="1"/>
  <c r="AI1602" i="34"/>
  <c r="AK1595" i="34"/>
  <c r="AK1602" i="34" s="1"/>
  <c r="AG1611" i="34"/>
  <c r="AF433" i="34"/>
  <c r="AF451" i="34"/>
  <c r="AF341" i="34" s="1"/>
  <c r="AF443" i="34"/>
  <c r="AF196" i="34" s="1"/>
  <c r="AF447" i="34"/>
  <c r="AF278" i="34" s="1"/>
  <c r="AF455" i="34"/>
  <c r="AF421" i="34" s="1"/>
  <c r="AJ273" i="34"/>
  <c r="AJ276" i="34"/>
  <c r="AJ277" i="34" s="1"/>
  <c r="AK1557" i="34"/>
  <c r="AK1566" i="34" s="1"/>
  <c r="AI1566" i="34"/>
  <c r="AJ436" i="34"/>
  <c r="AI136" i="34"/>
  <c r="AE1601" i="34"/>
  <c r="AE1612" i="34" s="1"/>
  <c r="AE1613" i="34" s="1"/>
  <c r="AF1606" i="34"/>
  <c r="AI1599" i="34"/>
  <c r="AJ135" i="34"/>
  <c r="AJ124" i="34"/>
  <c r="AH1611" i="34"/>
  <c r="AK1527" i="34"/>
  <c r="AG136" i="34"/>
  <c r="AG139" i="34"/>
  <c r="AG140" i="34" s="1"/>
  <c r="AF1586" i="34"/>
  <c r="AI1586" i="34" s="1"/>
  <c r="AK1586" i="34" s="1"/>
  <c r="AF1478" i="34"/>
  <c r="AI1574" i="34"/>
  <c r="AG17" i="34"/>
  <c r="AG18" i="34" s="1"/>
  <c r="AJ406" i="34"/>
  <c r="AJ374" i="34"/>
  <c r="AF1314" i="34"/>
  <c r="AF1315" i="34" s="1"/>
  <c r="AI1563" i="34"/>
  <c r="AK1554" i="34"/>
  <c r="AK1563" i="34" s="1"/>
  <c r="AK438" i="34"/>
  <c r="AI436" i="34"/>
  <c r="AK406" i="34"/>
  <c r="AK374" i="34"/>
  <c r="AE14" i="34"/>
  <c r="AF1530" i="34"/>
  <c r="AI1530" i="34" s="1"/>
  <c r="AF1509" i="34"/>
  <c r="AF1518" i="34" s="1"/>
  <c r="AF1531" i="34" s="1"/>
  <c r="AF1532" i="34" s="1"/>
  <c r="AE1611" i="34"/>
  <c r="AJ1594" i="34"/>
  <c r="AJ1601" i="34" s="1"/>
  <c r="AJ1612" i="34" s="1"/>
  <c r="AJ1613" i="34" s="1"/>
  <c r="AH1601" i="34"/>
  <c r="AH1612" i="34" s="1"/>
  <c r="AH1613" i="34" s="1"/>
  <c r="AF24" i="34"/>
  <c r="AF25" i="34" s="1"/>
  <c r="AI1523" i="34"/>
  <c r="AK1514" i="34"/>
  <c r="AK1523" i="34" s="1"/>
  <c r="AG447" i="34"/>
  <c r="AG278" i="34" s="1"/>
  <c r="AG443" i="34"/>
  <c r="AG196" i="34" s="1"/>
  <c r="AG451" i="34"/>
  <c r="AG341" i="34" s="1"/>
  <c r="AG433" i="34"/>
  <c r="AG455" i="34"/>
  <c r="AG421" i="34" s="1"/>
  <c r="AH28" i="34"/>
  <c r="AE1518" i="34"/>
  <c r="AE1531" i="34" s="1"/>
  <c r="AE1532" i="34" s="1"/>
  <c r="AJ1530" i="34"/>
  <c r="AH14" i="34"/>
  <c r="AH25" i="34" s="1"/>
  <c r="AJ435" i="34"/>
  <c r="AJ439" i="34" s="1"/>
  <c r="AJ90" i="34" s="1"/>
  <c r="AH455" i="34"/>
  <c r="AH421" i="34" s="1"/>
  <c r="AH433" i="34"/>
  <c r="AH451" i="34"/>
  <c r="AH341" i="34" s="1"/>
  <c r="AH447" i="34"/>
  <c r="AH278" i="34" s="1"/>
  <c r="AH443" i="34"/>
  <c r="AH196" i="34" s="1"/>
  <c r="AE1562" i="34"/>
  <c r="AE1575" i="34" s="1"/>
  <c r="AE1576" i="34" s="1"/>
  <c r="AI1553" i="34"/>
  <c r="BC24" i="34"/>
  <c r="AU24" i="34"/>
  <c r="AU16" i="34"/>
  <c r="BC16" i="34"/>
  <c r="AM24" i="34"/>
  <c r="AM16" i="34"/>
  <c r="AC34" i="34" l="1"/>
  <c r="AS24" i="34"/>
  <c r="AR24" i="34"/>
  <c r="AM25" i="34"/>
  <c r="AO24" i="34"/>
  <c r="AP24" i="34"/>
  <c r="AU25" i="34"/>
  <c r="AX24" i="34"/>
  <c r="AW24" i="34"/>
  <c r="AZ24" i="34"/>
  <c r="BA24" i="34"/>
  <c r="Y1200" i="34"/>
  <c r="Z1175" i="34"/>
  <c r="Z1168" i="34" s="1"/>
  <c r="AZ16" i="34"/>
  <c r="BA16" i="34"/>
  <c r="AW16" i="34"/>
  <c r="AU1475" i="34"/>
  <c r="AX16" i="34"/>
  <c r="AO16" i="34"/>
  <c r="AM1475" i="34"/>
  <c r="AS16" i="34"/>
  <c r="AR16" i="34"/>
  <c r="AP16" i="34"/>
  <c r="AB1479" i="34"/>
  <c r="AB1485" i="34" s="1"/>
  <c r="AB1486" i="34" s="1"/>
  <c r="BE16" i="34"/>
  <c r="BC1475" i="34"/>
  <c r="BF16" i="34"/>
  <c r="BI16" i="34"/>
  <c r="BH16" i="34"/>
  <c r="BI24" i="34"/>
  <c r="BF24" i="34"/>
  <c r="BC25" i="34"/>
  <c r="BE24" i="34"/>
  <c r="BH24" i="34"/>
  <c r="S1313" i="34"/>
  <c r="AE1313" i="34" s="1"/>
  <c r="S1321" i="34"/>
  <c r="AE1314" i="34"/>
  <c r="AI1314" i="34" s="1"/>
  <c r="S1315" i="34"/>
  <c r="V1330" i="34"/>
  <c r="V1332" i="34" s="1"/>
  <c r="V1333" i="34" s="1"/>
  <c r="V1326" i="34"/>
  <c r="AD1479" i="34"/>
  <c r="AD1485" i="34" s="1"/>
  <c r="AD1486" i="34" s="1"/>
  <c r="AD1487" i="34"/>
  <c r="AD1488" i="34" s="1"/>
  <c r="AD35" i="34"/>
  <c r="BH1481" i="34"/>
  <c r="BE1481" i="34"/>
  <c r="S1475" i="34"/>
  <c r="S1473" i="34" s="1"/>
  <c r="BE89" i="34"/>
  <c r="BF89" i="34"/>
  <c r="BI89" i="34"/>
  <c r="BH89" i="34"/>
  <c r="BH18" i="34"/>
  <c r="BE18" i="34"/>
  <c r="BH140" i="34"/>
  <c r="BE140" i="34"/>
  <c r="S28" i="34"/>
  <c r="S25" i="34"/>
  <c r="AE24" i="34"/>
  <c r="AE25" i="34" s="1"/>
  <c r="AB35" i="34"/>
  <c r="AZ1481" i="34"/>
  <c r="AW1481" i="34"/>
  <c r="AD1330" i="34"/>
  <c r="AD1332" i="34" s="1"/>
  <c r="AD1333" i="34" s="1"/>
  <c r="AD1326" i="34"/>
  <c r="AK1574" i="34"/>
  <c r="AB1330" i="34"/>
  <c r="AB1332" i="34" s="1"/>
  <c r="AB1333" i="34" s="1"/>
  <c r="AB1326" i="34"/>
  <c r="AA1326" i="34"/>
  <c r="AA1330" i="34"/>
  <c r="W1326" i="34"/>
  <c r="W1330" i="34"/>
  <c r="W1332" i="34" s="1"/>
  <c r="W1333" i="34" s="1"/>
  <c r="Z1471" i="34"/>
  <c r="Z1440" i="34"/>
  <c r="Z1412" i="34"/>
  <c r="Z1078" i="34"/>
  <c r="Z1310" i="34"/>
  <c r="Z1268" i="34"/>
  <c r="Z1212" i="34"/>
  <c r="AA13" i="34"/>
  <c r="Z459" i="34"/>
  <c r="Z78" i="34"/>
  <c r="AI1509" i="34"/>
  <c r="AK1509" i="34" s="1"/>
  <c r="AK1518" i="34" s="1"/>
  <c r="AK1531" i="34" s="1"/>
  <c r="AK1532" i="34" s="1"/>
  <c r="AJ17" i="34"/>
  <c r="AK1530" i="34"/>
  <c r="AH29" i="34"/>
  <c r="AH1313" i="34"/>
  <c r="AH1311" i="34"/>
  <c r="AK436" i="34"/>
  <c r="AG1314" i="34"/>
  <c r="AG1313" i="34"/>
  <c r="AK1599" i="34"/>
  <c r="AK1606" i="34" s="1"/>
  <c r="AI1606" i="34"/>
  <c r="AF28" i="34"/>
  <c r="AF29" i="34" s="1"/>
  <c r="AE16" i="34"/>
  <c r="AK419" i="34"/>
  <c r="AK420" i="34" s="1"/>
  <c r="AK407" i="34"/>
  <c r="AJ407" i="34"/>
  <c r="AJ419" i="34"/>
  <c r="AJ420" i="34" s="1"/>
  <c r="AG24" i="34"/>
  <c r="AF1594" i="34"/>
  <c r="AF1611" i="34"/>
  <c r="AI1611" i="34" s="1"/>
  <c r="AH1321" i="34"/>
  <c r="AH18" i="34"/>
  <c r="AK124" i="34"/>
  <c r="AK135" i="34"/>
  <c r="AI407" i="34"/>
  <c r="AI419" i="34"/>
  <c r="AI420" i="34" s="1"/>
  <c r="AG16" i="34"/>
  <c r="AG1475" i="34" s="1"/>
  <c r="AG1473" i="34" s="1"/>
  <c r="AF1487" i="34"/>
  <c r="AF1488" i="34" s="1"/>
  <c r="AF1479" i="34"/>
  <c r="AF1485" i="34" s="1"/>
  <c r="AF1486" i="34" s="1"/>
  <c r="AE1311" i="34"/>
  <c r="AF1321" i="34"/>
  <c r="AF1322" i="34" s="1"/>
  <c r="AK339" i="34"/>
  <c r="AK340" i="34" s="1"/>
  <c r="AK336" i="34"/>
  <c r="AF1605" i="34"/>
  <c r="AI1598" i="34"/>
  <c r="AH1472" i="34"/>
  <c r="AJ14" i="34"/>
  <c r="AH20" i="34"/>
  <c r="AK239" i="34"/>
  <c r="AK272" i="34"/>
  <c r="AK1553" i="34"/>
  <c r="AK1562" i="34" s="1"/>
  <c r="AK1575" i="34" s="1"/>
  <c r="AK1576" i="34" s="1"/>
  <c r="AI1562" i="34"/>
  <c r="AI1575" i="34" s="1"/>
  <c r="AI1576" i="34" s="1"/>
  <c r="AJ433" i="34"/>
  <c r="AJ443" i="34"/>
  <c r="AJ196" i="34" s="1"/>
  <c r="AJ455" i="34"/>
  <c r="AJ421" i="34" s="1"/>
  <c r="AJ447" i="34"/>
  <c r="AJ278" i="34" s="1"/>
  <c r="AJ451" i="34"/>
  <c r="AJ341" i="34" s="1"/>
  <c r="AH16" i="34"/>
  <c r="AE1472" i="34"/>
  <c r="AI14" i="34"/>
  <c r="AI18" i="34" s="1"/>
  <c r="AE20" i="34"/>
  <c r="AE18" i="34"/>
  <c r="AH1325" i="34"/>
  <c r="AJ1611" i="34"/>
  <c r="AJ139" i="34"/>
  <c r="AJ140" i="34" s="1"/>
  <c r="AJ136" i="34"/>
  <c r="AJ86" i="34"/>
  <c r="AJ89" i="34" s="1"/>
  <c r="AK81" i="34"/>
  <c r="AK86" i="34" s="1"/>
  <c r="AK89" i="34" s="1"/>
  <c r="AI1522" i="34"/>
  <c r="AK1513" i="34"/>
  <c r="AK1522" i="34" s="1"/>
  <c r="AH33" i="34"/>
  <c r="AK435" i="34"/>
  <c r="AI451" i="34"/>
  <c r="AI341" i="34" s="1"/>
  <c r="AI433" i="34"/>
  <c r="AI447" i="34"/>
  <c r="AI278" i="34" s="1"/>
  <c r="AI443" i="34"/>
  <c r="AI196" i="34" s="1"/>
  <c r="AI455" i="34"/>
  <c r="AI421" i="34" s="1"/>
  <c r="AU28" i="34"/>
  <c r="AM28" i="34"/>
  <c r="BC28" i="34"/>
  <c r="AC1331" i="34" l="1"/>
  <c r="AH34" i="34"/>
  <c r="AC35" i="34"/>
  <c r="AC36" i="34" s="1"/>
  <c r="AA1331" i="34"/>
  <c r="AG1331" i="34" s="1"/>
  <c r="AG34" i="34"/>
  <c r="AA35" i="34"/>
  <c r="AA36" i="34" s="1"/>
  <c r="Z1200" i="34"/>
  <c r="AA1175" i="34"/>
  <c r="AA1168" i="34" s="1"/>
  <c r="AX28" i="34"/>
  <c r="BA28" i="34"/>
  <c r="AW28" i="34"/>
  <c r="AU29" i="34"/>
  <c r="AZ28" i="34"/>
  <c r="AR28" i="34"/>
  <c r="AS28" i="34"/>
  <c r="AM29" i="34"/>
  <c r="AO28" i="34"/>
  <c r="AP28" i="34"/>
  <c r="AZ25" i="34"/>
  <c r="AW25" i="34"/>
  <c r="AR25" i="34"/>
  <c r="AO25" i="34"/>
  <c r="AS1475" i="34"/>
  <c r="AM1473" i="34"/>
  <c r="AP1475" i="34"/>
  <c r="AO1475" i="34"/>
  <c r="AR1475" i="34"/>
  <c r="BA1475" i="34"/>
  <c r="AZ1475" i="34"/>
  <c r="AU1473" i="34"/>
  <c r="AX1475" i="34"/>
  <c r="AW1475" i="34"/>
  <c r="AI24" i="34"/>
  <c r="AI25" i="34" s="1"/>
  <c r="BH28" i="34"/>
  <c r="BF28" i="34"/>
  <c r="BE28" i="34"/>
  <c r="BI28" i="34"/>
  <c r="BC29" i="34"/>
  <c r="AB36" i="34"/>
  <c r="S1474" i="34"/>
  <c r="S1478" i="34"/>
  <c r="BE25" i="34"/>
  <c r="BH25" i="34"/>
  <c r="S29" i="34"/>
  <c r="AE28" i="34"/>
  <c r="AE29" i="34" s="1"/>
  <c r="S33" i="34"/>
  <c r="AD36" i="34"/>
  <c r="AE1321" i="34"/>
  <c r="AI1321" i="34" s="1"/>
  <c r="S1325" i="34"/>
  <c r="S1322" i="34"/>
  <c r="BE1475" i="34"/>
  <c r="BH1475" i="34"/>
  <c r="BF1475" i="34"/>
  <c r="BC1473" i="34"/>
  <c r="BI1475" i="34"/>
  <c r="AI1313" i="34"/>
  <c r="AJ18" i="34"/>
  <c r="AK17" i="34"/>
  <c r="AI1518" i="34"/>
  <c r="AI1531" i="34" s="1"/>
  <c r="AI1532" i="34" s="1"/>
  <c r="AA1440" i="34"/>
  <c r="AA1412" i="34"/>
  <c r="AA1310" i="34"/>
  <c r="AA1268" i="34"/>
  <c r="AA1212" i="34"/>
  <c r="AA1471" i="34"/>
  <c r="AA1078" i="34"/>
  <c r="AA459" i="34"/>
  <c r="AB13" i="34"/>
  <c r="AA78" i="34"/>
  <c r="AK1611" i="34"/>
  <c r="AI1311" i="34"/>
  <c r="AI1315" i="34" s="1"/>
  <c r="AE1317" i="34"/>
  <c r="AE1315" i="34"/>
  <c r="AF1601" i="34"/>
  <c r="AF1612" i="34" s="1"/>
  <c r="AF1613" i="34" s="1"/>
  <c r="AI1594" i="34"/>
  <c r="AE1475" i="34"/>
  <c r="AE1473" i="34" s="1"/>
  <c r="AE1474" i="34" s="1"/>
  <c r="AI16" i="34"/>
  <c r="AE1481" i="34"/>
  <c r="AK433" i="34"/>
  <c r="AK455" i="34"/>
  <c r="AK421" i="34" s="1"/>
  <c r="AK451" i="34"/>
  <c r="AK341" i="34" s="1"/>
  <c r="AK447" i="34"/>
  <c r="AK278" i="34" s="1"/>
  <c r="AK443" i="34"/>
  <c r="AK196" i="34" s="1"/>
  <c r="AK1598" i="34"/>
  <c r="AK1605" i="34" s="1"/>
  <c r="AI1605" i="34"/>
  <c r="AF1325" i="34"/>
  <c r="AF1326" i="34" s="1"/>
  <c r="AH1322" i="34"/>
  <c r="AG25" i="34"/>
  <c r="AJ24" i="34"/>
  <c r="AJ25" i="34" s="1"/>
  <c r="AF33" i="34"/>
  <c r="AG1315" i="34"/>
  <c r="AJ1314" i="34"/>
  <c r="AK439" i="34"/>
  <c r="AK90" i="34" s="1"/>
  <c r="AJ1313" i="34"/>
  <c r="AH1481" i="34"/>
  <c r="AK136" i="34"/>
  <c r="AK139" i="34"/>
  <c r="AK140" i="34" s="1"/>
  <c r="AG28" i="34"/>
  <c r="AJ1311" i="34"/>
  <c r="AJ1317" i="34" s="1"/>
  <c r="AH1317" i="34"/>
  <c r="AH1315" i="34"/>
  <c r="AH1326" i="34"/>
  <c r="AI1472" i="34"/>
  <c r="AK14" i="34"/>
  <c r="AI20" i="34"/>
  <c r="AH1475" i="34"/>
  <c r="AH1473" i="34" s="1"/>
  <c r="AH1474" i="34" s="1"/>
  <c r="AJ16" i="34"/>
  <c r="AJ1475" i="34" s="1"/>
  <c r="AJ1473" i="34" s="1"/>
  <c r="AK276" i="34"/>
  <c r="AK277" i="34" s="1"/>
  <c r="AK273" i="34"/>
  <c r="AJ1472" i="34"/>
  <c r="AJ20" i="34"/>
  <c r="AG1474" i="34"/>
  <c r="AG1478" i="34"/>
  <c r="AG1321" i="34"/>
  <c r="AG1322" i="34" s="1"/>
  <c r="BC34" i="34"/>
  <c r="AM33" i="34"/>
  <c r="AU33" i="34"/>
  <c r="BC33" i="34"/>
  <c r="AJ34" i="34" l="1"/>
  <c r="AH35" i="34"/>
  <c r="AH36" i="34" s="1"/>
  <c r="AH1331" i="34"/>
  <c r="AJ1331" i="34" s="1"/>
  <c r="AC1332" i="34"/>
  <c r="AC1333" i="34" s="1"/>
  <c r="AA1200" i="34"/>
  <c r="AA1332" i="34"/>
  <c r="AA1333" i="34" s="1"/>
  <c r="AX33" i="34"/>
  <c r="AW33" i="34"/>
  <c r="BA33" i="34"/>
  <c r="AZ33" i="34"/>
  <c r="AS33" i="34"/>
  <c r="AP33" i="34"/>
  <c r="AO33" i="34"/>
  <c r="AR33" i="34"/>
  <c r="AR29" i="34"/>
  <c r="AO29" i="34"/>
  <c r="AZ29" i="34"/>
  <c r="AW29" i="34"/>
  <c r="AR1473" i="34"/>
  <c r="AS1473" i="34"/>
  <c r="AM1474" i="34"/>
  <c r="AO1473" i="34"/>
  <c r="AP1473" i="34"/>
  <c r="AM1478" i="34"/>
  <c r="AU1478" i="34"/>
  <c r="AU1474" i="34"/>
  <c r="AZ1473" i="34"/>
  <c r="BA1473" i="34"/>
  <c r="AX1473" i="34"/>
  <c r="AW1473" i="34"/>
  <c r="BE34" i="34"/>
  <c r="BF34" i="34"/>
  <c r="BI34" i="34"/>
  <c r="BH34" i="34"/>
  <c r="S1331" i="34"/>
  <c r="AE1331" i="34" s="1"/>
  <c r="AI1331" i="34" s="1"/>
  <c r="AE34" i="34"/>
  <c r="AI34" i="34" s="1"/>
  <c r="AK34" i="34" s="1"/>
  <c r="AI28" i="34"/>
  <c r="AI29" i="34" s="1"/>
  <c r="AE1478" i="34"/>
  <c r="AE1479" i="34" s="1"/>
  <c r="AE1485" i="34" s="1"/>
  <c r="AE1486" i="34" s="1"/>
  <c r="AK1313" i="34"/>
  <c r="AE1322" i="34"/>
  <c r="BI33" i="34"/>
  <c r="BH33" i="34"/>
  <c r="BF33" i="34"/>
  <c r="BE33" i="34"/>
  <c r="S1330" i="34"/>
  <c r="AE1325" i="34"/>
  <c r="AE1326" i="34" s="1"/>
  <c r="S1326" i="34"/>
  <c r="S1487" i="34"/>
  <c r="S1488" i="34" s="1"/>
  <c r="S1479" i="34"/>
  <c r="S1485" i="34" s="1"/>
  <c r="S1486" i="34" s="1"/>
  <c r="S35" i="34"/>
  <c r="AE33" i="34"/>
  <c r="AI33" i="34" s="1"/>
  <c r="BE29" i="34"/>
  <c r="BH29" i="34"/>
  <c r="BE1473" i="34"/>
  <c r="BH1473" i="34"/>
  <c r="BI1473" i="34"/>
  <c r="BC1474" i="34"/>
  <c r="BF1473" i="34"/>
  <c r="BC1478" i="34"/>
  <c r="AB1471" i="34"/>
  <c r="AB1440" i="34"/>
  <c r="AB1412" i="34"/>
  <c r="AB1310" i="34"/>
  <c r="AB1268" i="34"/>
  <c r="AB1212" i="34"/>
  <c r="AB1078" i="34"/>
  <c r="AB459" i="34"/>
  <c r="AB78" i="34"/>
  <c r="AC13" i="34"/>
  <c r="AJ1315" i="34"/>
  <c r="AJ1474" i="34"/>
  <c r="AI1322" i="34"/>
  <c r="AK1472" i="34"/>
  <c r="AK20" i="34"/>
  <c r="AG29" i="34"/>
  <c r="AJ28" i="34"/>
  <c r="AG1325" i="34"/>
  <c r="AK24" i="34"/>
  <c r="AK25" i="34" s="1"/>
  <c r="AI1481" i="34"/>
  <c r="AK1314" i="34"/>
  <c r="AG1487" i="34"/>
  <c r="AG1488" i="34" s="1"/>
  <c r="AG1479" i="34"/>
  <c r="AG1485" i="34" s="1"/>
  <c r="AG1486" i="34" s="1"/>
  <c r="AH1330" i="34"/>
  <c r="AH1478" i="34"/>
  <c r="AK18" i="34"/>
  <c r="AI1475" i="34"/>
  <c r="AI1473" i="34" s="1"/>
  <c r="AI1474" i="34" s="1"/>
  <c r="AK16" i="34"/>
  <c r="AK1475" i="34" s="1"/>
  <c r="AK1473" i="34" s="1"/>
  <c r="AK1311" i="34"/>
  <c r="AK1317" i="34" s="1"/>
  <c r="AI1317" i="34"/>
  <c r="AJ1478" i="34"/>
  <c r="AJ1481" i="34"/>
  <c r="AG33" i="34"/>
  <c r="AJ33" i="34" s="1"/>
  <c r="AF35" i="34"/>
  <c r="AF36" i="34" s="1"/>
  <c r="AJ1321" i="34"/>
  <c r="AJ1322" i="34" s="1"/>
  <c r="AF1330" i="34"/>
  <c r="AI1601" i="34"/>
  <c r="AI1612" i="34" s="1"/>
  <c r="AI1613" i="34" s="1"/>
  <c r="AK1594" i="34"/>
  <c r="AK1601" i="34" s="1"/>
  <c r="AK1612" i="34" s="1"/>
  <c r="AK1613" i="34" s="1"/>
  <c r="AM35" i="34"/>
  <c r="BC35" i="34"/>
  <c r="AU35" i="34"/>
  <c r="AH1332" i="34" l="1"/>
  <c r="AH1333" i="34" s="1"/>
  <c r="AK1331" i="34"/>
  <c r="BA35" i="34"/>
  <c r="AU36" i="34"/>
  <c r="AW35" i="34"/>
  <c r="AZ35" i="34"/>
  <c r="AX35" i="34"/>
  <c r="AM36" i="34"/>
  <c r="AR35" i="34"/>
  <c r="AS35" i="34"/>
  <c r="AO35" i="34"/>
  <c r="AP35" i="34"/>
  <c r="AX1478" i="34"/>
  <c r="BA1478" i="34"/>
  <c r="AU1487" i="34"/>
  <c r="AW1478" i="34"/>
  <c r="AU1479" i="34"/>
  <c r="AZ1478" i="34"/>
  <c r="AZ1474" i="34"/>
  <c r="AW1474" i="34"/>
  <c r="AO1478" i="34"/>
  <c r="AP1478" i="34"/>
  <c r="AR1478" i="34"/>
  <c r="AS1478" i="34"/>
  <c r="AM1487" i="34"/>
  <c r="AM1479" i="34"/>
  <c r="AO1474" i="34"/>
  <c r="AR1474" i="34"/>
  <c r="AE1487" i="34"/>
  <c r="AE1488" i="34" s="1"/>
  <c r="AI1325" i="34"/>
  <c r="AI1326" i="34" s="1"/>
  <c r="BE35" i="34"/>
  <c r="BC36" i="34"/>
  <c r="BF35" i="34"/>
  <c r="BH35" i="34"/>
  <c r="BI35" i="34"/>
  <c r="BE1474" i="34"/>
  <c r="BH1474" i="34"/>
  <c r="S1332" i="34"/>
  <c r="AE1330" i="34"/>
  <c r="AI1330" i="34" s="1"/>
  <c r="S36" i="34"/>
  <c r="AE35" i="34"/>
  <c r="AE36" i="34" s="1"/>
  <c r="AK33" i="34"/>
  <c r="BC1487" i="34"/>
  <c r="BH1478" i="34"/>
  <c r="BE1478" i="34"/>
  <c r="BF1478" i="34"/>
  <c r="BC1479" i="34"/>
  <c r="BI1478" i="34"/>
  <c r="AC1471" i="34"/>
  <c r="AC1440" i="34"/>
  <c r="AC1412" i="34"/>
  <c r="AC1078" i="34"/>
  <c r="AC1310" i="34"/>
  <c r="AC459" i="34"/>
  <c r="AC1212" i="34"/>
  <c r="AC1268" i="34"/>
  <c r="AD13" i="34"/>
  <c r="AC78" i="34"/>
  <c r="AK1474" i="34"/>
  <c r="AG1326" i="34"/>
  <c r="AJ1325" i="34"/>
  <c r="AJ1326" i="34" s="1"/>
  <c r="AF1332" i="34"/>
  <c r="AF1333" i="34" s="1"/>
  <c r="AK1315" i="34"/>
  <c r="AG35" i="34"/>
  <c r="AH1487" i="34"/>
  <c r="AH1488" i="34" s="1"/>
  <c r="AH1479" i="34"/>
  <c r="AH1485" i="34" s="1"/>
  <c r="AH1486" i="34" s="1"/>
  <c r="AJ29" i="34"/>
  <c r="AK28" i="34"/>
  <c r="AK29" i="34" s="1"/>
  <c r="AJ1487" i="34"/>
  <c r="AJ1488" i="34" s="1"/>
  <c r="AJ1479" i="34"/>
  <c r="AJ1485" i="34" s="1"/>
  <c r="AJ1486" i="34" s="1"/>
  <c r="AI1478" i="34"/>
  <c r="AG1330" i="34"/>
  <c r="AK1478" i="34"/>
  <c r="AK1481" i="34"/>
  <c r="AK1321" i="34"/>
  <c r="AK1322" i="34" s="1"/>
  <c r="AO36" i="34" l="1"/>
  <c r="AR36" i="34"/>
  <c r="AW36" i="34"/>
  <c r="AZ36" i="34"/>
  <c r="AO1479" i="34"/>
  <c r="AR1479" i="34"/>
  <c r="AM1485" i="34"/>
  <c r="AS1487" i="34"/>
  <c r="AR1487" i="34"/>
  <c r="AM1488" i="34"/>
  <c r="AP1487" i="34"/>
  <c r="AO1487" i="34"/>
  <c r="AZ1479" i="34"/>
  <c r="AW1479" i="34"/>
  <c r="AU1485" i="34"/>
  <c r="AW1487" i="34"/>
  <c r="AZ1487" i="34"/>
  <c r="BA1487" i="34"/>
  <c r="AU1488" i="34"/>
  <c r="AX1487" i="34"/>
  <c r="AI35" i="34"/>
  <c r="AI36" i="34" s="1"/>
  <c r="S1333" i="34"/>
  <c r="AE1332" i="34"/>
  <c r="AE1333" i="34" s="1"/>
  <c r="AK1325" i="34"/>
  <c r="AK1326" i="34" s="1"/>
  <c r="BC1485" i="34"/>
  <c r="BH1479" i="34"/>
  <c r="BE1479" i="34"/>
  <c r="BF1487" i="34"/>
  <c r="BE1487" i="34"/>
  <c r="BI1487" i="34"/>
  <c r="BC1488" i="34"/>
  <c r="BH1487" i="34"/>
  <c r="BE36" i="34"/>
  <c r="BH36" i="34"/>
  <c r="AJ1330" i="34"/>
  <c r="AK1330" i="34" s="1"/>
  <c r="AD1471" i="34"/>
  <c r="AD1440" i="34"/>
  <c r="AD1412" i="34"/>
  <c r="AD1078" i="34"/>
  <c r="AD1310" i="34"/>
  <c r="AD1268" i="34"/>
  <c r="AD1212" i="34"/>
  <c r="AD459" i="34"/>
  <c r="AD78" i="34"/>
  <c r="AK1487" i="34"/>
  <c r="AK1488" i="34" s="1"/>
  <c r="AK1479" i="34"/>
  <c r="AK1485" i="34" s="1"/>
  <c r="AK1486" i="34" s="1"/>
  <c r="AG1332" i="34"/>
  <c r="AG36" i="34"/>
  <c r="AJ35" i="34"/>
  <c r="AJ36" i="34" s="1"/>
  <c r="AI1487" i="34"/>
  <c r="AI1488" i="34" s="1"/>
  <c r="AI1479" i="34"/>
  <c r="AI1485" i="34" s="1"/>
  <c r="AI1486" i="34" s="1"/>
  <c r="AO1488" i="34" l="1"/>
  <c r="AR1488" i="34"/>
  <c r="BA1485" i="34"/>
  <c r="AU1486" i="34"/>
  <c r="AZ1485" i="34"/>
  <c r="AX1485" i="34"/>
  <c r="AW1485" i="34"/>
  <c r="AS1485" i="34"/>
  <c r="AM1486" i="34"/>
  <c r="AR1485" i="34"/>
  <c r="AP1485" i="34"/>
  <c r="AO1485" i="34"/>
  <c r="AW1488" i="34"/>
  <c r="AZ1488" i="34"/>
  <c r="AI1332" i="34"/>
  <c r="AI1333" i="34" s="1"/>
  <c r="BE1488" i="34"/>
  <c r="BH1488" i="34"/>
  <c r="BC1486" i="34"/>
  <c r="BE1485" i="34"/>
  <c r="BI1485" i="34"/>
  <c r="BH1485" i="34"/>
  <c r="BF1485" i="34"/>
  <c r="AG1333" i="34"/>
  <c r="AJ1332" i="34"/>
  <c r="AJ1333" i="34" s="1"/>
  <c r="AK35" i="34"/>
  <c r="AK36" i="34" s="1"/>
  <c r="AW1486" i="34" l="1"/>
  <c r="AZ1486" i="34"/>
  <c r="AR1486" i="34"/>
  <c r="AO1486" i="34"/>
  <c r="BH1486" i="34"/>
  <c r="BE1486" i="34"/>
  <c r="AK1332" i="34"/>
  <c r="AK1333" i="34" s="1"/>
</calcChain>
</file>

<file path=xl/sharedStrings.xml><?xml version="1.0" encoding="utf-8"?>
<sst xmlns="http://schemas.openxmlformats.org/spreadsheetml/2006/main" count="10404" uniqueCount="1694">
  <si>
    <t>Net Sales</t>
  </si>
  <si>
    <t>Operating Profit</t>
  </si>
  <si>
    <t>Others</t>
  </si>
  <si>
    <t>IMS</t>
  </si>
  <si>
    <t>MCS</t>
  </si>
  <si>
    <t>Rent income from Property, Plant and Equipment</t>
  </si>
  <si>
    <t>Commissions and Fees Income</t>
  </si>
  <si>
    <t>Gains on Sales of Asset</t>
  </si>
  <si>
    <t>Impairment Loss</t>
  </si>
  <si>
    <t>Depreciation &amp; Amortization</t>
  </si>
  <si>
    <t>KM-1</t>
  </si>
  <si>
    <t>Procurement</t>
  </si>
  <si>
    <t>Production</t>
  </si>
  <si>
    <t>On Demand Printing</t>
  </si>
  <si>
    <t>Sales Total</t>
  </si>
  <si>
    <t>Onsite Engineer</t>
  </si>
  <si>
    <t>Remote Engineer</t>
  </si>
  <si>
    <t>Administration Total</t>
  </si>
  <si>
    <t>Finance</t>
  </si>
  <si>
    <t>HR</t>
  </si>
  <si>
    <t>Training (Academy)</t>
  </si>
  <si>
    <t>Administration</t>
  </si>
  <si>
    <t>Warehouse</t>
  </si>
  <si>
    <t>Workshop</t>
  </si>
  <si>
    <t>Solution</t>
  </si>
  <si>
    <t>1-2.SGA Expenses Details</t>
  </si>
  <si>
    <t>1-1. P/L Statement</t>
  </si>
  <si>
    <t>Non-hard</t>
  </si>
  <si>
    <t>Wages &amp; Salaries</t>
  </si>
  <si>
    <t>SGA Expenses</t>
  </si>
  <si>
    <t>(1) Office</t>
  </si>
  <si>
    <t>(0) Total</t>
  </si>
  <si>
    <t>2nd H</t>
  </si>
  <si>
    <t>1st H</t>
  </si>
  <si>
    <t>Q4</t>
  </si>
  <si>
    <t>Q3</t>
  </si>
  <si>
    <t>Q2</t>
  </si>
  <si>
    <t>Cost of Sales</t>
  </si>
  <si>
    <t>Purchased from BT cons. companies</t>
    <phoneticPr fontId="111"/>
  </si>
  <si>
    <t>Information Technology</t>
  </si>
  <si>
    <t>Administration/Others</t>
  </si>
  <si>
    <t>Dealer(Indirect) support</t>
  </si>
  <si>
    <t>Technical support</t>
  </si>
  <si>
    <t>Dealer(Indirect) sales rep.</t>
  </si>
  <si>
    <t>Direct sales engineers</t>
  </si>
  <si>
    <t>Direct sales rep.</t>
  </si>
  <si>
    <t>Sales Total</t>
    <phoneticPr fontId="111"/>
  </si>
  <si>
    <t>Total</t>
    <phoneticPr fontId="7"/>
  </si>
  <si>
    <t>BT Consolidated Sales</t>
  </si>
  <si>
    <t>BT Consolidated Sales</t>
    <phoneticPr fontId="111"/>
  </si>
  <si>
    <t>(0) Total</t>
    <phoneticPr fontId="111"/>
  </si>
  <si>
    <t>Others</t>
    <phoneticPr fontId="111"/>
  </si>
  <si>
    <t>MGI</t>
    <phoneticPr fontId="111"/>
  </si>
  <si>
    <t>Hardware</t>
    <phoneticPr fontId="111"/>
  </si>
  <si>
    <t>Gross Profit</t>
  </si>
  <si>
    <t>(%)</t>
  </si>
  <si>
    <t>Business Contribution Profit</t>
  </si>
  <si>
    <t>Hard</t>
  </si>
  <si>
    <t xml:space="preserve">Other income </t>
    <phoneticPr fontId="7"/>
  </si>
  <si>
    <t>Gains on Sales of Asset</t>
    <phoneticPr fontId="7"/>
  </si>
  <si>
    <t>Commissions and Fees Income</t>
    <phoneticPr fontId="7"/>
  </si>
  <si>
    <t>Personnel Costs Total</t>
  </si>
  <si>
    <t>Fixed Expenses</t>
  </si>
  <si>
    <t>Variable Expenses</t>
  </si>
  <si>
    <t>Profit before Taxes</t>
  </si>
  <si>
    <t xml:space="preserve"> Input fields</t>
  </si>
  <si>
    <t>3rd Party</t>
  </si>
  <si>
    <t>BUS</t>
  </si>
  <si>
    <t>Others(3rd Party)</t>
    <phoneticPr fontId="111"/>
  </si>
  <si>
    <t>Incidental Cost</t>
    <phoneticPr fontId="7"/>
  </si>
  <si>
    <t>Supplies</t>
  </si>
  <si>
    <t>Option</t>
  </si>
  <si>
    <t>Machine</t>
  </si>
  <si>
    <t>Other Expenses</t>
    <phoneticPr fontId="111"/>
  </si>
  <si>
    <t>Allocation method</t>
  </si>
  <si>
    <t>EFI VUTEk</t>
  </si>
  <si>
    <t>Label Printer related businesses</t>
  </si>
  <si>
    <t>Marketing solution services such as; Marketing planning, Customer insight, Creative, Planning, Data, and Technology</t>
  </si>
  <si>
    <t>Marketing production services such as; Onsite studio, Central creative production agency, Pre-Media, Asset creation, and Marketing technology</t>
  </si>
  <si>
    <t>EX)Color Care, Page Pro NDPS, Print Shop</t>
  </si>
  <si>
    <t>Color Management/Variable Data Printing/Print Automation/Make Ready/Web to print</t>
  </si>
  <si>
    <t>Application S/W, Application S/W related H/W, S/W Licensees related to PP</t>
  </si>
  <si>
    <t>Non-Contract service for Office products classified by item code. Including Office products installation fees (Including contracted MIFs)</t>
  </si>
  <si>
    <t>Click business for Office products classified by item code or allocated for Office(A3/A4). Minimum commitment and over volume included. (KMJ: Kit contract included)</t>
  </si>
  <si>
    <t>KMJ</t>
  </si>
  <si>
    <t>(Unit:1000LC)</t>
    <phoneticPr fontId="111"/>
  </si>
  <si>
    <t>1-1. P/L Statement</t>
    <phoneticPr fontId="111"/>
  </si>
  <si>
    <t>Variable Expenses</t>
    <phoneticPr fontId="111"/>
  </si>
  <si>
    <t>Wages &amp; Salaries</t>
    <phoneticPr fontId="111"/>
  </si>
  <si>
    <t>Fixed Expenses</t>
    <phoneticPr fontId="111"/>
  </si>
  <si>
    <t>Business Contribution Profit</t>
    <phoneticPr fontId="111"/>
  </si>
  <si>
    <t>Other Income</t>
    <phoneticPr fontId="111"/>
  </si>
  <si>
    <t>Operating Profit</t>
    <phoneticPr fontId="111"/>
  </si>
  <si>
    <t>Financial Income (Expenses), net</t>
    <phoneticPr fontId="111"/>
  </si>
  <si>
    <t>Financial Income</t>
    <phoneticPr fontId="111"/>
  </si>
  <si>
    <t>Financial Expenses</t>
    <phoneticPr fontId="111"/>
  </si>
  <si>
    <t>Tax Expenses &amp; Others</t>
    <phoneticPr fontId="111"/>
  </si>
  <si>
    <t>Net Profit</t>
    <phoneticPr fontId="111"/>
  </si>
  <si>
    <t>Selling Expenses</t>
    <phoneticPr fontId="7"/>
  </si>
  <si>
    <t>Adverting Expenses</t>
    <phoneticPr fontId="7"/>
  </si>
  <si>
    <t>Logistics Expense</t>
    <phoneticPr fontId="7"/>
  </si>
  <si>
    <t>Variable Wages &amp; Salaries</t>
    <phoneticPr fontId="7"/>
  </si>
  <si>
    <t>Fixed Wages &amp; Salaries</t>
    <phoneticPr fontId="7"/>
  </si>
  <si>
    <t>Retirement Benefit Cost</t>
    <phoneticPr fontId="7"/>
  </si>
  <si>
    <t xml:space="preserve">Traveling Expenses </t>
    <phoneticPr fontId="7"/>
  </si>
  <si>
    <t xml:space="preserve">Depreciation &amp; Amortization </t>
    <phoneticPr fontId="7"/>
  </si>
  <si>
    <t>Repair and Maintenance</t>
    <phoneticPr fontId="7"/>
  </si>
  <si>
    <t>Rent Expenses</t>
    <phoneticPr fontId="7"/>
  </si>
  <si>
    <t>Other Expenses</t>
    <phoneticPr fontId="7"/>
  </si>
  <si>
    <t>Rent income from Property, Plant and Equipment</t>
    <phoneticPr fontId="7"/>
  </si>
  <si>
    <t>Other Expense</t>
    <phoneticPr fontId="7"/>
  </si>
  <si>
    <t xml:space="preserve">Losses on Sales of Asset, Disposal of Asset </t>
    <phoneticPr fontId="7"/>
  </si>
  <si>
    <t>Impairment Loss</t>
    <phoneticPr fontId="7"/>
  </si>
  <si>
    <t>(%)</t>
    <phoneticPr fontId="111"/>
  </si>
  <si>
    <t>Procurement</t>
    <phoneticPr fontId="111"/>
  </si>
  <si>
    <t>Production</t>
    <phoneticPr fontId="111"/>
  </si>
  <si>
    <t>Solution</t>
    <phoneticPr fontId="111"/>
  </si>
  <si>
    <t>Label Printer</t>
    <phoneticPr fontId="111"/>
  </si>
  <si>
    <t>EFI/LF</t>
    <phoneticPr fontId="111"/>
  </si>
  <si>
    <t>Net Sales</t>
    <phoneticPr fontId="111"/>
  </si>
  <si>
    <t>Direct</t>
    <phoneticPr fontId="111"/>
  </si>
  <si>
    <t>Hard</t>
    <phoneticPr fontId="111"/>
  </si>
  <si>
    <t>KMI</t>
    <phoneticPr fontId="111"/>
  </si>
  <si>
    <t>Office A3</t>
    <phoneticPr fontId="111"/>
  </si>
  <si>
    <t>Office A4</t>
    <phoneticPr fontId="111"/>
  </si>
  <si>
    <t>3rd Party</t>
    <phoneticPr fontId="111"/>
  </si>
  <si>
    <t>Non-hard</t>
    <phoneticPr fontId="111"/>
  </si>
  <si>
    <t>Copy Click (Kit)</t>
    <phoneticPr fontId="111"/>
  </si>
  <si>
    <t>Non Contract</t>
    <phoneticPr fontId="111"/>
  </si>
  <si>
    <t>Indirect</t>
    <phoneticPr fontId="111"/>
  </si>
  <si>
    <t>Consumables</t>
    <phoneticPr fontId="111"/>
  </si>
  <si>
    <t>Parts</t>
    <phoneticPr fontId="111"/>
  </si>
  <si>
    <t>Gross Profit</t>
    <phoneticPr fontId="111"/>
  </si>
  <si>
    <t>Field Service Cost (-)</t>
    <phoneticPr fontId="111"/>
  </si>
  <si>
    <t>Software</t>
    <phoneticPr fontId="111"/>
  </si>
  <si>
    <t>Professional Service</t>
    <phoneticPr fontId="111"/>
  </si>
  <si>
    <t>1. Headcount Details</t>
    <phoneticPr fontId="111"/>
  </si>
  <si>
    <t>Service Total</t>
    <phoneticPr fontId="111"/>
  </si>
  <si>
    <t>Administration Total</t>
    <phoneticPr fontId="111"/>
  </si>
  <si>
    <t>Logistics Total</t>
    <phoneticPr fontId="111"/>
  </si>
  <si>
    <t>(0) Total Inventories</t>
    <phoneticPr fontId="111"/>
  </si>
  <si>
    <t>K_EUR</t>
    <phoneticPr fontId="7"/>
  </si>
  <si>
    <t>K_RMB</t>
    <phoneticPr fontId="7"/>
  </si>
  <si>
    <t>K_EUR12</t>
    <phoneticPr fontId="7"/>
  </si>
  <si>
    <t>MGI</t>
    <phoneticPr fontId="7"/>
  </si>
  <si>
    <t>K_AUD</t>
    <phoneticPr fontId="7"/>
  </si>
  <si>
    <t>BEAU</t>
  </si>
  <si>
    <t>K_KRW</t>
    <phoneticPr fontId="7"/>
  </si>
  <si>
    <t>BPKR</t>
  </si>
  <si>
    <t>BKK</t>
  </si>
  <si>
    <t>K_BRL</t>
    <phoneticPr fontId="7"/>
  </si>
  <si>
    <t>BBR</t>
  </si>
  <si>
    <t>BAU</t>
  </si>
  <si>
    <t>K_HKD</t>
    <phoneticPr fontId="7"/>
  </si>
  <si>
    <t>BHK</t>
  </si>
  <si>
    <t>BCN</t>
  </si>
  <si>
    <t>K_INR</t>
    <phoneticPr fontId="7"/>
  </si>
  <si>
    <t>BIN</t>
  </si>
  <si>
    <t>K_USD</t>
    <phoneticPr fontId="7"/>
  </si>
  <si>
    <t>BME</t>
  </si>
  <si>
    <t>K_THB</t>
    <phoneticPr fontId="7"/>
  </si>
  <si>
    <t>BTH</t>
  </si>
  <si>
    <t>K_MYR</t>
    <phoneticPr fontId="7"/>
  </si>
  <si>
    <t>BMY</t>
  </si>
  <si>
    <t>BSA</t>
  </si>
  <si>
    <t>BEU-Cons</t>
    <phoneticPr fontId="7"/>
  </si>
  <si>
    <t>BEU</t>
    <phoneticPr fontId="62"/>
  </si>
  <si>
    <t>BCHUS</t>
  </si>
  <si>
    <t>K_JPY</t>
    <phoneticPr fontId="7"/>
  </si>
  <si>
    <t>BEJ</t>
  </si>
  <si>
    <t>BKJ</t>
  </si>
  <si>
    <t>Currency</t>
    <phoneticPr fontId="7"/>
  </si>
  <si>
    <t>for Others</t>
    <phoneticPr fontId="7"/>
  </si>
  <si>
    <t>for BBR</t>
    <phoneticPr fontId="7"/>
  </si>
  <si>
    <t>Initial period of fiscal year</t>
    <phoneticPr fontId="7"/>
  </si>
  <si>
    <t>Office Solution</t>
  </si>
  <si>
    <t>Marketing Total</t>
    <phoneticPr fontId="111"/>
  </si>
  <si>
    <t>Financial Income</t>
  </si>
  <si>
    <t>Financial Expenses</t>
  </si>
  <si>
    <t>Net Profit</t>
  </si>
  <si>
    <t>Textile Printer</t>
    <phoneticPr fontId="111"/>
  </si>
  <si>
    <t>KMJ's special products only.</t>
  </si>
  <si>
    <t>Semi-Full-Time/Part-Time Employees /Contractors</t>
    <phoneticPr fontId="7"/>
  </si>
  <si>
    <t>Hard</t>
    <phoneticPr fontId="7"/>
  </si>
  <si>
    <t>KMI</t>
    <phoneticPr fontId="7"/>
  </si>
  <si>
    <t xml:space="preserve">Service Charges and Fees </t>
    <phoneticPr fontId="7"/>
  </si>
  <si>
    <t xml:space="preserve">Restructuring Expense </t>
    <phoneticPr fontId="7"/>
  </si>
  <si>
    <t>Hard &amp; Solution</t>
    <phoneticPr fontId="7"/>
  </si>
  <si>
    <t>Hard &amp; Solution</t>
    <phoneticPr fontId="111"/>
  </si>
  <si>
    <t>Non-hard</t>
    <phoneticPr fontId="7"/>
  </si>
  <si>
    <t>For KMJ Only</t>
    <phoneticPr fontId="7"/>
  </si>
  <si>
    <t>&lt;Direct&gt; Field Service Cost (-)</t>
    <phoneticPr fontId="111"/>
  </si>
  <si>
    <t>&lt;Indirect&gt; Field Service Cost (-)</t>
    <phoneticPr fontId="111"/>
  </si>
  <si>
    <r>
      <t>Included in SG&amp;</t>
    </r>
    <r>
      <rPr>
        <sz val="11"/>
        <rFont val="Arial"/>
        <family val="2"/>
      </rPr>
      <t>A (Wages &amp; Salaries</t>
    </r>
    <r>
      <rPr>
        <sz val="11"/>
        <rFont val="ＭＳ Ｐゴシック"/>
        <family val="3"/>
        <charset val="128"/>
      </rPr>
      <t>）</t>
    </r>
    <phoneticPr fontId="7"/>
  </si>
  <si>
    <t>Non-RR</t>
  </si>
  <si>
    <t>Purchase for South Africa</t>
  </si>
  <si>
    <t>Purchase for Oli</t>
  </si>
  <si>
    <t>①Supplier = BT</t>
  </si>
  <si>
    <t>Business Development</t>
  </si>
  <si>
    <t>Channel Marketing</t>
  </si>
  <si>
    <t>Product Marketing</t>
  </si>
  <si>
    <t>Marketing Communication / Others</t>
  </si>
  <si>
    <t>Full-Time Employees / Temporary Transfer from Other Company</t>
  </si>
  <si>
    <t>Full-Time Employees / Temporary Transfer from Other Company</t>
    <phoneticPr fontId="111"/>
  </si>
  <si>
    <t>Service Total</t>
  </si>
  <si>
    <t>Marketing Total</t>
  </si>
  <si>
    <t>Logistics Total</t>
  </si>
  <si>
    <t>Marketing</t>
  </si>
  <si>
    <t>Field Service Cost</t>
    <phoneticPr fontId="7"/>
  </si>
  <si>
    <t>Service Desk Cost</t>
    <phoneticPr fontId="7"/>
  </si>
  <si>
    <t>BVN</t>
    <phoneticPr fontId="7"/>
  </si>
  <si>
    <t>K_VND</t>
    <phoneticPr fontId="7"/>
  </si>
  <si>
    <t>Personnel Costs(Service)</t>
    <phoneticPr fontId="111"/>
  </si>
  <si>
    <t>Traveling Expenses(Service)</t>
    <phoneticPr fontId="111"/>
  </si>
  <si>
    <t xml:space="preserve">Label Printer </t>
    <phoneticPr fontId="7"/>
  </si>
  <si>
    <t>EFI/LF</t>
    <phoneticPr fontId="7"/>
  </si>
  <si>
    <t>Textile Printer</t>
    <phoneticPr fontId="7"/>
  </si>
  <si>
    <t>Label Printer</t>
    <phoneticPr fontId="7"/>
  </si>
  <si>
    <t>Other Fixed Costs(Service)</t>
    <phoneticPr fontId="111"/>
  </si>
  <si>
    <t>&lt;Indirect&gt; Service Desk Cost (-)</t>
    <phoneticPr fontId="111"/>
  </si>
  <si>
    <t>Included in COGS [Personnel Costs(Service)]</t>
    <phoneticPr fontId="111"/>
  </si>
  <si>
    <t>Included in COGS [Traveling Expenses(Service)]</t>
    <phoneticPr fontId="111"/>
  </si>
  <si>
    <t>Included in COGS [Other Fixed Costs(Service)]</t>
    <phoneticPr fontId="111"/>
  </si>
  <si>
    <t>Personnel Costs(Service)</t>
  </si>
  <si>
    <t>Other Fixed Costs(Service)</t>
  </si>
  <si>
    <t>2-1. P/L Statement by BU</t>
    <phoneticPr fontId="111"/>
  </si>
  <si>
    <t xml:space="preserve">3. Headcount </t>
    <phoneticPr fontId="111"/>
  </si>
  <si>
    <t>3-1. Headcount Details</t>
    <phoneticPr fontId="111"/>
  </si>
  <si>
    <t>3-2. Headcount by BU</t>
    <phoneticPr fontId="111"/>
  </si>
  <si>
    <t>4. B/S (1) - Inventories</t>
    <phoneticPr fontId="111"/>
  </si>
  <si>
    <t>(1) Office</t>
    <phoneticPr fontId="7"/>
  </si>
  <si>
    <t>RR</t>
    <phoneticPr fontId="7"/>
  </si>
  <si>
    <t>Non-RR</t>
    <phoneticPr fontId="7"/>
  </si>
  <si>
    <t>Others</t>
    <phoneticPr fontId="7"/>
  </si>
  <si>
    <t>BT Support/Discount</t>
    <phoneticPr fontId="7"/>
  </si>
  <si>
    <t>Parts</t>
    <phoneticPr fontId="7"/>
  </si>
  <si>
    <t>Others(KM1,EFI/LF,Textile,others)</t>
    <phoneticPr fontId="7"/>
  </si>
  <si>
    <t>RR Purchase</t>
    <phoneticPr fontId="111"/>
  </si>
  <si>
    <t>(for BEU)</t>
    <phoneticPr fontId="111"/>
  </si>
  <si>
    <t>(for BEU)</t>
    <phoneticPr fontId="7"/>
  </si>
  <si>
    <t>Purchase for Aurora</t>
    <phoneticPr fontId="111"/>
  </si>
  <si>
    <t>(for BCN)</t>
    <phoneticPr fontId="111"/>
  </si>
  <si>
    <t>Purchase for Murata</t>
    <phoneticPr fontId="111"/>
  </si>
  <si>
    <t>(for KMJ)</t>
    <phoneticPr fontId="111"/>
  </si>
  <si>
    <t>(for KMJ/BEU/BCN)</t>
    <phoneticPr fontId="7"/>
  </si>
  <si>
    <t>CHK--&gt;</t>
    <phoneticPr fontId="111"/>
  </si>
  <si>
    <t>OUT Total</t>
    <phoneticPr fontId="7"/>
  </si>
  <si>
    <t>balance CHK--&gt;</t>
    <phoneticPr fontId="111"/>
  </si>
  <si>
    <t>IP</t>
    <phoneticPr fontId="7"/>
  </si>
  <si>
    <t>Office</t>
    <phoneticPr fontId="7"/>
  </si>
  <si>
    <t>PP</t>
    <phoneticPr fontId="7"/>
  </si>
  <si>
    <t>Fixed Cost in COGS</t>
    <phoneticPr fontId="111"/>
  </si>
  <si>
    <t>②Other BT-Gr Suppliers (BSF/BCUS)</t>
  </si>
  <si>
    <t>③Other BT-Gr Suppliers (MGI)</t>
  </si>
  <si>
    <r>
      <t>Total Purchase amount (</t>
    </r>
    <r>
      <rPr>
        <b/>
        <sz val="11"/>
        <rFont val="ＭＳ Ｐゴシック"/>
        <family val="3"/>
        <charset val="128"/>
      </rPr>
      <t>①</t>
    </r>
    <r>
      <rPr>
        <b/>
        <sz val="11"/>
        <rFont val="Arial"/>
        <family val="2"/>
      </rPr>
      <t>+</t>
    </r>
    <r>
      <rPr>
        <b/>
        <sz val="11"/>
        <rFont val="ＭＳ Ｐゴシック"/>
        <family val="3"/>
        <charset val="128"/>
      </rPr>
      <t>②</t>
    </r>
    <r>
      <rPr>
        <b/>
        <sz val="11"/>
        <rFont val="Arial"/>
        <family val="2"/>
      </rPr>
      <t>+</t>
    </r>
    <r>
      <rPr>
        <b/>
        <sz val="11"/>
        <rFont val="ＭＳ Ｐゴシック"/>
        <family val="3"/>
        <charset val="128"/>
      </rPr>
      <t>③</t>
    </r>
    <r>
      <rPr>
        <b/>
        <sz val="11"/>
        <rFont val="Arial"/>
        <family val="2"/>
      </rPr>
      <t>+</t>
    </r>
    <r>
      <rPr>
        <b/>
        <sz val="11"/>
        <rFont val="ＭＳ Ｐゴシック"/>
        <family val="3"/>
        <charset val="128"/>
      </rPr>
      <t>④</t>
    </r>
    <r>
      <rPr>
        <b/>
        <sz val="11"/>
        <rFont val="Arial"/>
        <family val="2"/>
      </rPr>
      <t>)</t>
    </r>
    <phoneticPr fontId="7"/>
  </si>
  <si>
    <r>
      <t>①</t>
    </r>
    <r>
      <rPr>
        <b/>
        <sz val="11"/>
        <rFont val="Arial"/>
        <family val="2"/>
      </rPr>
      <t>Supplier = BT</t>
    </r>
  </si>
  <si>
    <r>
      <rPr>
        <b/>
        <sz val="11"/>
        <rFont val="ＭＳ Ｐゴシック"/>
        <family val="3"/>
        <charset val="128"/>
      </rPr>
      <t>④</t>
    </r>
    <r>
      <rPr>
        <b/>
        <sz val="11"/>
        <rFont val="Arial"/>
        <family val="2"/>
      </rPr>
      <t>Other (3rd Party</t>
    </r>
    <r>
      <rPr>
        <b/>
        <sz val="11"/>
        <rFont val="ＭＳ Ｐゴシック"/>
        <family val="3"/>
        <charset val="128"/>
      </rPr>
      <t>）</t>
    </r>
    <r>
      <rPr>
        <b/>
        <sz val="11"/>
        <rFont val="Arial"/>
        <family val="2"/>
      </rPr>
      <t xml:space="preserve"> Suppliers</t>
    </r>
    <phoneticPr fontId="7"/>
  </si>
  <si>
    <t>IN Total</t>
    <phoneticPr fontId="7"/>
  </si>
  <si>
    <t>MarketingTotal</t>
    <phoneticPr fontId="111"/>
  </si>
  <si>
    <r>
      <t>Purchased from BT cons. companies</t>
    </r>
    <r>
      <rPr>
        <sz val="11"/>
        <color rgb="FFFF0000"/>
        <rFont val="Arial"/>
        <family val="2"/>
      </rPr>
      <t xml:space="preserve"> &lt;exclude MGI&gt;</t>
    </r>
    <phoneticPr fontId="111"/>
  </si>
  <si>
    <r>
      <t>Purchased from</t>
    </r>
    <r>
      <rPr>
        <sz val="11"/>
        <color rgb="FFFF0000"/>
        <rFont val="Arial"/>
        <family val="2"/>
      </rPr>
      <t xml:space="preserve"> MGI</t>
    </r>
    <r>
      <rPr>
        <sz val="11"/>
        <rFont val="Arial"/>
        <family val="2"/>
      </rPr>
      <t xml:space="preserve"> (BT-Gr)</t>
    </r>
    <phoneticPr fontId="111"/>
  </si>
  <si>
    <t>BSA-Cons</t>
    <phoneticPr fontId="7"/>
  </si>
  <si>
    <t>From BT-Gr (Include BSF/BCUS/MGI)</t>
  </si>
  <si>
    <t>4-1. Inventories</t>
    <phoneticPr fontId="111"/>
  </si>
  <si>
    <t>Inventory at the beginning</t>
  </si>
  <si>
    <t>Purchase</t>
  </si>
  <si>
    <t>Loss &amp; Disposal of Inventories</t>
  </si>
  <si>
    <t>Inventory at the end</t>
  </si>
  <si>
    <t>&lt; free input                            &gt;</t>
    <phoneticPr fontId="7"/>
  </si>
  <si>
    <t>Material Cost(Toner, Parts, Consumable)</t>
  </si>
  <si>
    <t>Cost of Sales</t>
    <phoneticPr fontId="7"/>
  </si>
  <si>
    <t>Depreciation &amp; Amortization</t>
    <phoneticPr fontId="111"/>
  </si>
  <si>
    <t>&lt;Direct&gt;Field Service Cost (-)</t>
    <phoneticPr fontId="111"/>
  </si>
  <si>
    <t>&lt;Direct&gt;Service Desk Cost (-)</t>
    <phoneticPr fontId="111"/>
  </si>
  <si>
    <t>&lt;Indirect&gt;Field Service Cost (-)</t>
    <phoneticPr fontId="111"/>
  </si>
  <si>
    <t>&lt;Indirect&gt;Service Desk Cost (-)</t>
    <phoneticPr fontId="111"/>
  </si>
  <si>
    <t>&lt;Direct&gt; Service Desk Cost (-)</t>
    <phoneticPr fontId="111"/>
  </si>
  <si>
    <t>&lt;Direct&gt; Service Desk Cost (-)</t>
    <phoneticPr fontId="7"/>
  </si>
  <si>
    <t>&lt;Indirect&gt; Service Desk Cost (-)</t>
    <phoneticPr fontId="7"/>
  </si>
  <si>
    <t>(1) BIC</t>
    <phoneticPr fontId="7"/>
  </si>
  <si>
    <t>BT Support</t>
    <phoneticPr fontId="7"/>
  </si>
  <si>
    <t xml:space="preserve">Not include Incidental Cost </t>
    <phoneticPr fontId="7"/>
  </si>
  <si>
    <t>except BT Support (HW, NH)</t>
    <phoneticPr fontId="7"/>
  </si>
  <si>
    <t>(2) PP</t>
    <phoneticPr fontId="111"/>
  </si>
  <si>
    <t>(3) IP</t>
    <phoneticPr fontId="111"/>
  </si>
  <si>
    <t>(4) MS (Marketing Service)</t>
    <phoneticPr fontId="111"/>
  </si>
  <si>
    <t>(4) MS</t>
    <phoneticPr fontId="111"/>
  </si>
  <si>
    <t>Remote technician, 1st and 2nd level call agent, catch &amp; dispatch</t>
  </si>
  <si>
    <t>Product specialists, Problem manager</t>
  </si>
  <si>
    <t>District/Regional Service Managers, other</t>
  </si>
  <si>
    <t>This fields require the cost related to Toner, Parts and Consumables used during the service for products in field.</t>
  </si>
  <si>
    <t xml:space="preserve">Please enter both total of the following: </t>
  </si>
  <si>
    <t xml:space="preserve">  Cost of goods that engineer use at customers</t>
  </si>
  <si>
    <t xml:space="preserve">  Cost of goods that sent directly to customers</t>
  </si>
  <si>
    <t>Please enter by each business unit and by direct / indirect.</t>
  </si>
  <si>
    <t>Material Cost</t>
  </si>
  <si>
    <t>1-3.Total Personnel Costs</t>
    <phoneticPr fontId="7"/>
  </si>
  <si>
    <t>1-4.Break-down of Other Income, Other Expense</t>
    <phoneticPr fontId="7"/>
  </si>
  <si>
    <t>Transfer from Inventory</t>
    <phoneticPr fontId="7"/>
  </si>
  <si>
    <r>
      <t>Total BT-Gr Purchase amount</t>
    </r>
    <r>
      <rPr>
        <b/>
        <sz val="11"/>
        <color theme="1"/>
        <rFont val="Calibri"/>
        <family val="2"/>
        <charset val="128"/>
        <scheme val="minor"/>
      </rPr>
      <t>（①</t>
    </r>
    <r>
      <rPr>
        <b/>
        <sz val="11"/>
        <rFont val="Arial"/>
        <family val="2"/>
      </rPr>
      <t>+</t>
    </r>
    <r>
      <rPr>
        <b/>
        <sz val="11"/>
        <color theme="1"/>
        <rFont val="Calibri"/>
        <family val="2"/>
        <charset val="128"/>
        <scheme val="minor"/>
      </rPr>
      <t>②</t>
    </r>
    <r>
      <rPr>
        <b/>
        <sz val="11"/>
        <color theme="1"/>
        <rFont val="Calibri"/>
        <family val="2"/>
        <scheme val="minor"/>
      </rPr>
      <t>+③</t>
    </r>
    <r>
      <rPr>
        <b/>
        <sz val="11"/>
        <color theme="1"/>
        <rFont val="Calibri"/>
        <family val="2"/>
        <charset val="128"/>
        <scheme val="minor"/>
      </rPr>
      <t>）</t>
    </r>
    <phoneticPr fontId="111"/>
  </si>
  <si>
    <t>Included in COGS [Depreciation &amp; Amortization]</t>
    <phoneticPr fontId="111"/>
  </si>
  <si>
    <t>(Formula: Gross Profit / Net Sales)</t>
    <phoneticPr fontId="111"/>
  </si>
  <si>
    <t>(Includes Sales to BT-Gr. Companies)</t>
  </si>
  <si>
    <t>(Includes Sales to BT-Gr. Companies)</t>
    <phoneticPr fontId="111"/>
  </si>
  <si>
    <t>(Excludes Sales to BT-Gr. Companies)</t>
  </si>
  <si>
    <t>(Excludes Sales to BT-Gr. Companies)</t>
    <phoneticPr fontId="111"/>
  </si>
  <si>
    <t>&lt;Direct&gt;Depreciation &amp; Amortization (-)</t>
    <phoneticPr fontId="111"/>
  </si>
  <si>
    <t>&lt;Indirect&gt;Depreciation &amp; Amortization (-)</t>
    <phoneticPr fontId="111"/>
  </si>
  <si>
    <t>&lt;Direct&gt; Depreciation &amp; Amortization (-)</t>
    <phoneticPr fontId="111"/>
  </si>
  <si>
    <t>&lt;Indirect&gt; Depreciation &amp; Amortization (-)</t>
    <phoneticPr fontId="111"/>
  </si>
  <si>
    <t>1. P/L (1) - Overview</t>
    <phoneticPr fontId="111"/>
  </si>
  <si>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phoneticPr fontId="7"/>
  </si>
  <si>
    <t>Material Cost(Toner, Parts, Consumable)</t>
    <phoneticPr fontId="111"/>
  </si>
  <si>
    <t>Common fields for all BU</t>
    <phoneticPr fontId="7"/>
  </si>
  <si>
    <t>Wages &amp; Salaries, Travel expenses, Communication fee for Onsite Engineers</t>
    <phoneticPr fontId="7"/>
  </si>
  <si>
    <t>included in COGS</t>
    <phoneticPr fontId="7"/>
  </si>
  <si>
    <t>Wages &amp; Salaries, Communication fee for Remote Engineers</t>
    <phoneticPr fontId="7"/>
  </si>
  <si>
    <t>Headcount</t>
    <phoneticPr fontId="7"/>
  </si>
  <si>
    <t>Items</t>
    <phoneticPr fontId="7"/>
  </si>
  <si>
    <t>Dedicated employee</t>
    <phoneticPr fontId="7"/>
  </si>
  <si>
    <t>Common function employee</t>
    <phoneticPr fontId="7"/>
  </si>
  <si>
    <t>Direct chargeable cost</t>
    <phoneticPr fontId="7"/>
  </si>
  <si>
    <t>Service Headcount Definition</t>
    <phoneticPr fontId="7"/>
  </si>
  <si>
    <t>Definition</t>
    <phoneticPr fontId="7"/>
  </si>
  <si>
    <t xml:space="preserve">  Service Total</t>
    <phoneticPr fontId="111"/>
  </si>
  <si>
    <t xml:space="preserve"> -</t>
    <phoneticPr fontId="7"/>
  </si>
  <si>
    <t>Technicians who visit customers and maintain machines.</t>
    <phoneticPr fontId="7"/>
  </si>
  <si>
    <t>Hard (%)</t>
    <phoneticPr fontId="111"/>
  </si>
  <si>
    <t>Non-hard (%)</t>
    <phoneticPr fontId="111"/>
  </si>
  <si>
    <t>Others (%)</t>
    <phoneticPr fontId="111"/>
  </si>
  <si>
    <t>Solution (%)</t>
    <phoneticPr fontId="111"/>
  </si>
  <si>
    <t>Hard &amp; Solution (%)</t>
    <phoneticPr fontId="111"/>
  </si>
  <si>
    <t>Label Printer (%)</t>
    <phoneticPr fontId="111"/>
  </si>
  <si>
    <t>MGI (%)</t>
    <phoneticPr fontId="111"/>
  </si>
  <si>
    <t>EFI/LF (%)</t>
    <phoneticPr fontId="111"/>
  </si>
  <si>
    <t>Textile Printer (%)</t>
    <phoneticPr fontId="111"/>
  </si>
  <si>
    <t>Procurement (%)</t>
    <phoneticPr fontId="111"/>
  </si>
  <si>
    <t>Production (%)</t>
    <phoneticPr fontId="111"/>
  </si>
  <si>
    <t>On Demand Printing (%)</t>
    <phoneticPr fontId="111"/>
  </si>
  <si>
    <t>Office &lt;OUT&gt;</t>
    <phoneticPr fontId="7"/>
  </si>
  <si>
    <t>PP &lt;OUT&gt;</t>
    <phoneticPr fontId="7"/>
  </si>
  <si>
    <t>Others &lt;OUT&gt;</t>
    <phoneticPr fontId="7"/>
  </si>
  <si>
    <t>Others of Others</t>
    <phoneticPr fontId="7"/>
  </si>
  <si>
    <t>difference check.</t>
    <phoneticPr fontId="7"/>
  </si>
  <si>
    <t>OUT check by BU</t>
    <phoneticPr fontId="7"/>
  </si>
  <si>
    <t>Input fields, but not affect PL</t>
    <phoneticPr fontId="111"/>
  </si>
  <si>
    <t xml:space="preserve">Classification </t>
    <phoneticPr fontId="7"/>
  </si>
  <si>
    <t>Classified by item code (by products)</t>
    <phoneticPr fontId="7"/>
  </si>
  <si>
    <t>Purchased from KMI</t>
    <phoneticPr fontId="7"/>
  </si>
  <si>
    <t>Purchased from Other Vendors</t>
    <phoneticPr fontId="7"/>
  </si>
  <si>
    <t>(2) PP</t>
    <phoneticPr fontId="7"/>
  </si>
  <si>
    <t>Classified by items code (by products)</t>
    <phoneticPr fontId="7"/>
  </si>
  <si>
    <t>Other</t>
    <phoneticPr fontId="7"/>
  </si>
  <si>
    <t>KIP,EPSON,WF</t>
    <phoneticPr fontId="7"/>
  </si>
  <si>
    <t>KMJ's special products only.</t>
    <phoneticPr fontId="7"/>
  </si>
  <si>
    <t>(3) IP</t>
    <phoneticPr fontId="7"/>
  </si>
  <si>
    <t>IJ-PP Textile Printer</t>
    <phoneticPr fontId="7"/>
  </si>
  <si>
    <t>(4) MS (Marketing Service)</t>
    <phoneticPr fontId="7"/>
  </si>
  <si>
    <t xml:space="preserve">Marketing procurement services such as; Marketing printing, POS, Direct mail, PPOS, Merchandise, and Packaging </t>
    <phoneticPr fontId="7"/>
  </si>
  <si>
    <t>Full-Time Employees
/ Temporary Transfer from Other Company</t>
    <phoneticPr fontId="7"/>
  </si>
  <si>
    <t>Headcount allocation bases by SBU</t>
    <phoneticPr fontId="7"/>
  </si>
  <si>
    <t>Direct charge to SBU</t>
    <phoneticPr fontId="7"/>
  </si>
  <si>
    <t>Non-dedicated (concurrent post) employee</t>
    <phoneticPr fontId="7"/>
  </si>
  <si>
    <t>Charge  to main SBU</t>
    <phoneticPr fontId="7"/>
  </si>
  <si>
    <t>Common function</t>
    <phoneticPr fontId="7"/>
  </si>
  <si>
    <t>Non-dedicated employee</t>
    <phoneticPr fontId="7"/>
  </si>
  <si>
    <t>Non-direct chargeable cost</t>
    <phoneticPr fontId="7"/>
  </si>
  <si>
    <t>Remote Engineer</t>
    <phoneticPr fontId="7"/>
  </si>
  <si>
    <t>IMS</t>
    <phoneticPr fontId="7"/>
  </si>
  <si>
    <t>Consolidated Sales</t>
    <phoneticPr fontId="7"/>
  </si>
  <si>
    <t>(Excludes Sales to KM-Gr. Companies)</t>
  </si>
  <si>
    <t>Consolidated Sales</t>
  </si>
  <si>
    <t>MPM</t>
    <phoneticPr fontId="111"/>
  </si>
  <si>
    <t>ODP</t>
    <phoneticPr fontId="111"/>
  </si>
  <si>
    <t>Marketing Service</t>
  </si>
  <si>
    <t>Digital Solution</t>
  </si>
  <si>
    <t>ODP New Business</t>
  </si>
  <si>
    <t>MPM(%)</t>
    <phoneticPr fontId="111"/>
  </si>
  <si>
    <t>ODP(%)</t>
    <phoneticPr fontId="111"/>
  </si>
  <si>
    <t>Marketing Service (%)</t>
    <phoneticPr fontId="111"/>
  </si>
  <si>
    <t>Digital Solution (%)</t>
    <phoneticPr fontId="111"/>
  </si>
  <si>
    <t>ODP New Business (%)</t>
    <phoneticPr fontId="111"/>
  </si>
  <si>
    <t>KMJS</t>
    <phoneticPr fontId="7"/>
  </si>
  <si>
    <t>Offer a single bundled and fixed rate Invoice (not only traditional MFP hardware and service, but also unlimited value added KM services such as ECM, MIT etc. for the future)</t>
    <phoneticPr fontId="7"/>
  </si>
  <si>
    <t>HW(One Rate)</t>
  </si>
  <si>
    <t>NH(One Rate)</t>
  </si>
  <si>
    <t>One Rate</t>
    <phoneticPr fontId="7"/>
  </si>
  <si>
    <t>5-1. One Rate  (included in Office/ITS)</t>
    <phoneticPr fontId="111"/>
  </si>
  <si>
    <t>5-2. Free to Fee  (included in Office/ITS)</t>
    <phoneticPr fontId="111"/>
  </si>
  <si>
    <t>(Unit)</t>
    <phoneticPr fontId="111"/>
  </si>
  <si>
    <r>
      <t>Unit Sales</t>
    </r>
    <r>
      <rPr>
        <sz val="11"/>
        <rFont val="Arial"/>
        <family val="2"/>
      </rPr>
      <t xml:space="preserve"> (One Rate)</t>
    </r>
    <phoneticPr fontId="111"/>
  </si>
  <si>
    <r>
      <t>Net Sales</t>
    </r>
    <r>
      <rPr>
        <sz val="11"/>
        <rFont val="Arial"/>
        <family val="2"/>
      </rPr>
      <t xml:space="preserve"> (One Rate)</t>
    </r>
    <phoneticPr fontId="111"/>
  </si>
  <si>
    <r>
      <t xml:space="preserve">Net Sales </t>
    </r>
    <r>
      <rPr>
        <sz val="11"/>
        <rFont val="Arial"/>
        <family val="2"/>
      </rPr>
      <t>(Free to Fee)</t>
    </r>
    <phoneticPr fontId="111"/>
  </si>
  <si>
    <t>Free to Fee</t>
    <phoneticPr fontId="7"/>
  </si>
  <si>
    <t>5. One Rate / Free to Fee</t>
    <phoneticPr fontId="111"/>
  </si>
  <si>
    <t>Invoice Fee</t>
  </si>
  <si>
    <t>Old MIF Fee</t>
  </si>
  <si>
    <t>Scan Fee</t>
  </si>
  <si>
    <t>Counter Estimation Fee</t>
  </si>
  <si>
    <t>Invoice / Administration fee to handle/generate invoice(both Paper based and Electric based included)</t>
    <phoneticPr fontId="7"/>
  </si>
  <si>
    <t>IMACD Services</t>
  </si>
  <si>
    <r>
      <rPr>
        <sz val="12"/>
        <color rgb="FF0000FF"/>
        <rFont val="ＭＳ Ｐゴシック"/>
        <family val="3"/>
        <charset val="128"/>
      </rPr>
      <t>★</t>
    </r>
    <phoneticPr fontId="7"/>
  </si>
  <si>
    <t>Training</t>
  </si>
  <si>
    <t>End user training on the operation of devices, workflow, and software associated with a solution</t>
  </si>
  <si>
    <t>price per year for units older than X years - cover cost of older parts and increased service</t>
    <phoneticPr fontId="7"/>
  </si>
  <si>
    <t>price per month to scan, incl XXXX scan / month</t>
    <phoneticPr fontId="7"/>
  </si>
  <si>
    <t>Install, Move, Add, Change or Dispose work for any HW, SW or Service</t>
    <phoneticPr fontId="7"/>
  </si>
  <si>
    <t>Initiatives to secure revenue by firmly charging services that were previously offered free of charge except for click charge.
Service items may vary depending on the region. Please refer to the examples as below:</t>
    <phoneticPr fontId="7"/>
  </si>
  <si>
    <t>Refer to Definition</t>
    <phoneticPr fontId="111"/>
  </si>
  <si>
    <t>MPM</t>
    <phoneticPr fontId="7"/>
  </si>
  <si>
    <t>ODP</t>
    <phoneticPr fontId="7"/>
  </si>
  <si>
    <r>
      <t>For Kinko's (BKK BKJ)
Original printing business such as Copy &amp; Print, Business card,  etc</t>
    </r>
    <r>
      <rPr>
        <sz val="11"/>
        <color theme="1"/>
        <rFont val="ＭＳ ゴシック"/>
        <family val="2"/>
        <charset val="128"/>
      </rPr>
      <t>　（</t>
    </r>
    <r>
      <rPr>
        <sz val="11"/>
        <color theme="1"/>
        <rFont val="Arial"/>
        <family val="2"/>
      </rPr>
      <t>All Business except below 3 categories</t>
    </r>
    <r>
      <rPr>
        <sz val="11"/>
        <color theme="1"/>
        <rFont val="ＭＳ ゴシック"/>
        <family val="2"/>
        <charset val="128"/>
      </rPr>
      <t>）</t>
    </r>
    <phoneticPr fontId="7"/>
  </si>
  <si>
    <t>For Kinko's (BKK BKJ)
Sign &amp; Graphic(Display) exclude Ondemand MPM</t>
    <phoneticPr fontId="7"/>
  </si>
  <si>
    <t>For Kinko's (BKK BKJ)
ODP New Business such as TSUKURU</t>
    <phoneticPr fontId="7"/>
  </si>
  <si>
    <t>24 hours / 7 days service ,etc.</t>
    <phoneticPr fontId="7"/>
  </si>
  <si>
    <t>Fee if customer who do not have CSRC is not sending us counters</t>
    <phoneticPr fontId="7"/>
  </si>
  <si>
    <t>For Kinko's (BKK BKJ)
Ondemand MPM(POSM), WiL, Kinko's commerce, Mobotix, C3-Value, etc.</t>
  </si>
  <si>
    <t>Office Solution</t>
    <phoneticPr fontId="111"/>
  </si>
  <si>
    <t>IMS</t>
    <phoneticPr fontId="111"/>
  </si>
  <si>
    <t>MCS</t>
    <phoneticPr fontId="111"/>
  </si>
  <si>
    <t>Period</t>
    <phoneticPr fontId="7"/>
  </si>
  <si>
    <t>OP</t>
    <phoneticPr fontId="7"/>
  </si>
  <si>
    <t>Previous</t>
    <phoneticPr fontId="7"/>
  </si>
  <si>
    <t>single month</t>
    <phoneticPr fontId="7"/>
  </si>
  <si>
    <t>Quarter</t>
    <phoneticPr fontId="7"/>
  </si>
  <si>
    <t>Annual Year</t>
    <phoneticPr fontId="7"/>
  </si>
  <si>
    <t>S</t>
  </si>
  <si>
    <t>V</t>
  </si>
  <si>
    <t>Result</t>
    <phoneticPr fontId="7"/>
  </si>
  <si>
    <t>Y</t>
  </si>
  <si>
    <t>1</t>
    <phoneticPr fontId="7"/>
  </si>
  <si>
    <t>2</t>
    <phoneticPr fontId="7"/>
  </si>
  <si>
    <t>3</t>
    <phoneticPr fontId="7"/>
  </si>
  <si>
    <t>4</t>
    <phoneticPr fontId="7"/>
  </si>
  <si>
    <t>5</t>
    <phoneticPr fontId="7"/>
  </si>
  <si>
    <t>6</t>
    <phoneticPr fontId="7"/>
  </si>
  <si>
    <t>7</t>
    <phoneticPr fontId="7"/>
  </si>
  <si>
    <t>8</t>
    <phoneticPr fontId="7"/>
  </si>
  <si>
    <t>9</t>
    <phoneticPr fontId="7"/>
  </si>
  <si>
    <t>10</t>
    <phoneticPr fontId="7"/>
  </si>
  <si>
    <t>11</t>
    <phoneticPr fontId="7"/>
  </si>
  <si>
    <t>12</t>
    <phoneticPr fontId="7"/>
  </si>
  <si>
    <t>Period-Start</t>
    <phoneticPr fontId="7"/>
  </si>
  <si>
    <t>Period-End</t>
    <phoneticPr fontId="7"/>
  </si>
  <si>
    <t>Total</t>
    <phoneticPr fontId="111"/>
  </si>
  <si>
    <t>Depreciation &amp; Amortization  included in COCS</t>
    <phoneticPr fontId="111"/>
  </si>
  <si>
    <t>Depreciation &amp; Amortization  included in SGA</t>
    <phoneticPr fontId="111"/>
  </si>
  <si>
    <t>Same Segment</t>
    <phoneticPr fontId="111"/>
  </si>
  <si>
    <t>Inter Segment &amp; Outside</t>
    <phoneticPr fontId="111"/>
  </si>
  <si>
    <t>Product Name</t>
  </si>
  <si>
    <t>Codename</t>
  </si>
  <si>
    <t>Ac Jet KM-1</t>
  </si>
  <si>
    <t>Ac Jet KM-1e</t>
  </si>
  <si>
    <t>KM-2</t>
  </si>
  <si>
    <t>bh PRESS C71cf/AccurioLabel 190</t>
    <phoneticPr fontId="111"/>
  </si>
  <si>
    <t>Degas R2R</t>
  </si>
  <si>
    <t>Accurio Label 230</t>
  </si>
  <si>
    <t>Degas-e MLK R2R</t>
  </si>
  <si>
    <t>Meteor Unlimited Color</t>
  </si>
  <si>
    <t>MUC</t>
  </si>
  <si>
    <t>JETvarnish 3DS</t>
  </si>
  <si>
    <t>JV3DS</t>
  </si>
  <si>
    <t>JETvarnish 3D Evolution52</t>
  </si>
  <si>
    <t>JV3D Evo52</t>
  </si>
  <si>
    <t>JETvarnish 3D Evolution64</t>
  </si>
  <si>
    <t>JV3D Evo64</t>
  </si>
  <si>
    <t>JETvarnish 3D Evolution75</t>
  </si>
  <si>
    <t>JV3D Evo75</t>
  </si>
  <si>
    <t>JETvarnish 3DW</t>
  </si>
  <si>
    <t>JV3DW</t>
  </si>
  <si>
    <t>JETvarnish 3D</t>
  </si>
  <si>
    <t>JV3D</t>
  </si>
  <si>
    <t>JETvarnish 3DL</t>
  </si>
  <si>
    <t>JV3DL</t>
  </si>
  <si>
    <t>H1625LED</t>
  </si>
  <si>
    <t>AccurioWide 200</t>
  </si>
  <si>
    <t>Agfa WF200(BUS)</t>
  </si>
  <si>
    <t>AccurioWide 160</t>
  </si>
  <si>
    <t>Agfa WF160(BUS)</t>
  </si>
  <si>
    <t>Textile Printer</t>
  </si>
  <si>
    <t xml:space="preserve">Nassenger PRO 120 </t>
  </si>
  <si>
    <t>LIBRA2</t>
  </si>
  <si>
    <t>Nassenger PRO 1000</t>
  </si>
  <si>
    <t>TP-9</t>
  </si>
  <si>
    <t>Nassenger 10</t>
  </si>
  <si>
    <t>TP-10</t>
  </si>
  <si>
    <t>Nassenger 8</t>
  </si>
  <si>
    <t>LIBRA3</t>
  </si>
  <si>
    <t>Nassenger SP-1</t>
  </si>
  <si>
    <t>STP</t>
  </si>
  <si>
    <t>Variable Cost</t>
    <phoneticPr fontId="111"/>
  </si>
  <si>
    <t>Marginal Profit</t>
    <phoneticPr fontId="111"/>
  </si>
  <si>
    <t>Fixed Cost</t>
    <phoneticPr fontId="111"/>
  </si>
  <si>
    <t>BCP</t>
    <phoneticPr fontId="111"/>
  </si>
  <si>
    <t>COGS (ex. field service cost/ Service desk cost)</t>
    <phoneticPr fontId="111"/>
  </si>
  <si>
    <t>COGS (material cost)</t>
    <phoneticPr fontId="111"/>
  </si>
  <si>
    <t>Wages &amp; Salaries (SG&amp;A - variable)</t>
    <phoneticPr fontId="111"/>
  </si>
  <si>
    <t>Wages &amp; Salaries (SG&amp;A - fixed)</t>
    <phoneticPr fontId="111"/>
  </si>
  <si>
    <t>SG&amp;A variable (ex.Selling expenses/ Advertising expenses)</t>
    <phoneticPr fontId="111"/>
  </si>
  <si>
    <t>SG&amp;A fixed (ex.SG&amp;A Fixed expenses)</t>
    <phoneticPr fontId="111"/>
  </si>
  <si>
    <t>A</t>
    <phoneticPr fontId="111"/>
  </si>
  <si>
    <t>B</t>
    <phoneticPr fontId="111"/>
  </si>
  <si>
    <t>C = A - B</t>
    <phoneticPr fontId="111"/>
  </si>
  <si>
    <t>D = C / A</t>
    <phoneticPr fontId="111"/>
  </si>
  <si>
    <t>E</t>
    <phoneticPr fontId="111"/>
  </si>
  <si>
    <t>F = E / D</t>
    <phoneticPr fontId="111"/>
  </si>
  <si>
    <t>Break-even Point Net Sales</t>
    <phoneticPr fontId="111"/>
  </si>
  <si>
    <t>G = F / A</t>
    <phoneticPr fontId="111"/>
  </si>
  <si>
    <t>H = C - D</t>
    <phoneticPr fontId="111"/>
  </si>
  <si>
    <t>SG&amp;A: Directly assigned</t>
  </si>
  <si>
    <t>SG&amp;A: Allocation</t>
    <phoneticPr fontId="111"/>
  </si>
  <si>
    <t>Cost Allocation Ratio [Allocation to Office] (%)</t>
    <phoneticPr fontId="111"/>
  </si>
  <si>
    <t>RF</t>
    <phoneticPr fontId="111"/>
  </si>
  <si>
    <t>Allocation cost in total SGA (%)</t>
    <phoneticPr fontId="111"/>
  </si>
  <si>
    <t>Cost Allocation Ratio [Allocation to PP] (%)</t>
    <phoneticPr fontId="111"/>
  </si>
  <si>
    <t>Cost Allocation Ratio [Allocation to IP] (%)</t>
    <phoneticPr fontId="111"/>
  </si>
  <si>
    <t>Cost Allocation Ratio [Allocation to MS] (%)</t>
    <phoneticPr fontId="111"/>
  </si>
  <si>
    <t>(1) Office</t>
    <phoneticPr fontId="111"/>
  </si>
  <si>
    <t>Directly assigned</t>
  </si>
  <si>
    <t>Allocation cost</t>
    <phoneticPr fontId="111"/>
  </si>
  <si>
    <t>Allocation rate to Office (%)</t>
    <phoneticPr fontId="111"/>
  </si>
  <si>
    <t>2-2. SG&amp;A: Allocation by BU</t>
    <phoneticPr fontId="111"/>
  </si>
  <si>
    <t>2-3. Sales/GP Details by BU</t>
    <phoneticPr fontId="111"/>
  </si>
  <si>
    <t>one shot product (HW/SW License)</t>
  </si>
  <si>
    <t>recurring product (SaaS/Cloud)</t>
  </si>
  <si>
    <t>one shot professional service</t>
  </si>
  <si>
    <t>recurring professional service</t>
  </si>
  <si>
    <t>This is the same as Stravis definition.</t>
    <phoneticPr fontId="7"/>
  </si>
  <si>
    <t>SG&amp;A account definition</t>
    <phoneticPr fontId="7"/>
  </si>
  <si>
    <t>Selling Expenses / Advertising Expenses / Logistics Expenses</t>
    <phoneticPr fontId="7"/>
  </si>
  <si>
    <r>
      <rPr>
        <u/>
        <sz val="11"/>
        <rFont val="Arial"/>
        <family val="2"/>
      </rPr>
      <t>Fixed W&amp;S</t>
    </r>
    <r>
      <rPr>
        <sz val="11"/>
        <rFont val="Arial"/>
        <family val="2"/>
      </rPr>
      <t xml:space="preserve">: Wages and Salaries / Outsourcing Expenses / Accrued Vacation Pay, and so on.
</t>
    </r>
    <r>
      <rPr>
        <u/>
        <sz val="11"/>
        <rFont val="Arial"/>
        <family val="2"/>
      </rPr>
      <t>Variable W&amp;S</t>
    </r>
    <r>
      <rPr>
        <sz val="11"/>
        <rFont val="Arial"/>
        <family val="2"/>
      </rPr>
      <t>: Profit-sharing Bonus</t>
    </r>
    <phoneticPr fontId="7"/>
  </si>
  <si>
    <t>Depreciation &amp; Amortization / Travel Expenses / Service Charges and Fees / Rent Expenses, and so on.</t>
    <phoneticPr fontId="7"/>
  </si>
  <si>
    <t>R</t>
  </si>
  <si>
    <t>T</t>
  </si>
  <si>
    <t>U</t>
  </si>
  <si>
    <t>W</t>
  </si>
  <si>
    <t>X</t>
  </si>
  <si>
    <t>Z</t>
  </si>
  <si>
    <t>AA</t>
  </si>
  <si>
    <t>(5) DW-DX</t>
    <phoneticPr fontId="111"/>
  </si>
  <si>
    <t>IMS (%)</t>
    <phoneticPr fontId="111"/>
  </si>
  <si>
    <t>MCS (%)</t>
    <phoneticPr fontId="111"/>
  </si>
  <si>
    <t>DW-DX</t>
    <phoneticPr fontId="7"/>
  </si>
  <si>
    <t>(5) DW-DX</t>
    <phoneticPr fontId="7"/>
  </si>
  <si>
    <t>(5) DWDX</t>
    <phoneticPr fontId="7"/>
  </si>
  <si>
    <t>product category</t>
  </si>
  <si>
    <t>Chgd</t>
    <phoneticPr fontId="111"/>
  </si>
  <si>
    <t>SG&amp;A: Allocation rate to DW-DX (%)</t>
    <phoneticPr fontId="111"/>
  </si>
  <si>
    <t>Direct sales engineers (Pre-sales/Consultant)</t>
    <phoneticPr fontId="111"/>
  </si>
  <si>
    <t>Remote Engineer (Help Desk, Customer support)</t>
    <phoneticPr fontId="111"/>
  </si>
  <si>
    <t>4-2. IP Inventories by product</t>
  </si>
  <si>
    <t>from BT</t>
    <phoneticPr fontId="140"/>
  </si>
  <si>
    <t>Label</t>
    <phoneticPr fontId="140"/>
  </si>
  <si>
    <t>MGI</t>
    <phoneticPr fontId="140"/>
  </si>
  <si>
    <t>Others</t>
    <phoneticPr fontId="140"/>
  </si>
  <si>
    <t>from 3rd Party</t>
    <phoneticPr fontId="140"/>
  </si>
  <si>
    <t>Allocation rate to PP (%)</t>
    <phoneticPr fontId="111"/>
  </si>
  <si>
    <t>Allocation rate to IP (%)</t>
    <phoneticPr fontId="111"/>
  </si>
  <si>
    <t>Allocation rate to MS (%)</t>
    <phoneticPr fontId="111"/>
  </si>
  <si>
    <t>Allocation rate to DW-DX (%)</t>
    <phoneticPr fontId="111"/>
  </si>
  <si>
    <t>BNZL</t>
    <phoneticPr fontId="7"/>
  </si>
  <si>
    <t>K_NZD</t>
    <phoneticPr fontId="7"/>
  </si>
  <si>
    <t>2-4. Fixed Cost in COGS(Cost of Goods Sales) by BU</t>
    <phoneticPr fontId="111"/>
  </si>
  <si>
    <t>DW-DX</t>
  </si>
  <si>
    <t>AB</t>
  </si>
  <si>
    <t>Government support</t>
    <phoneticPr fontId="7"/>
  </si>
  <si>
    <t>Expense for layoff benefit</t>
    <phoneticPr fontId="111"/>
  </si>
  <si>
    <t>(2) IIS (Imaging-IoT Solution)</t>
    <phoneticPr fontId="7"/>
  </si>
  <si>
    <t>*Mobotix and DM have been merged into IIS</t>
    <phoneticPr fontId="7"/>
  </si>
  <si>
    <t>BDSG</t>
    <phoneticPr fontId="7"/>
  </si>
  <si>
    <t>BAU-Cons</t>
    <phoneticPr fontId="7"/>
  </si>
  <si>
    <t>Direct</t>
    <phoneticPr fontId="7"/>
  </si>
  <si>
    <t>MX</t>
    <phoneticPr fontId="7"/>
  </si>
  <si>
    <t>Product</t>
    <phoneticPr fontId="7"/>
  </si>
  <si>
    <t>Camera Device</t>
    <phoneticPr fontId="7"/>
  </si>
  <si>
    <t>SW/Apps</t>
    <phoneticPr fontId="7"/>
  </si>
  <si>
    <t>Service</t>
    <phoneticPr fontId="7"/>
  </si>
  <si>
    <t>Onetime</t>
    <phoneticPr fontId="7"/>
  </si>
  <si>
    <t>Recurring</t>
    <phoneticPr fontId="7"/>
  </si>
  <si>
    <t>Indirect</t>
    <phoneticPr fontId="7"/>
  </si>
  <si>
    <t>DM</t>
    <phoneticPr fontId="7"/>
  </si>
  <si>
    <t>Gas</t>
    <phoneticPr fontId="7"/>
  </si>
  <si>
    <t>Hardware/device, such as thermal camera, outdoor camera, gas-monitoring camera,etc. and other optional devices</t>
  </si>
  <si>
    <t>Software, application</t>
  </si>
  <si>
    <t>Recurring type of services, such as AI, data service, etc. with monthly/quarterly  billing contract</t>
    <phoneticPr fontId="7"/>
  </si>
  <si>
    <t>Total</t>
    <phoneticPr fontId="140"/>
  </si>
  <si>
    <t>Purchased from BT cons. companies</t>
  </si>
  <si>
    <t>KM-1/KM-1e</t>
  </si>
  <si>
    <t>KM-1/KM-1e (%)</t>
  </si>
  <si>
    <t>1. P/L (1) - Overview</t>
  </si>
  <si>
    <t>Government support</t>
  </si>
  <si>
    <t xml:space="preserve">Losses on Sales of Asset, Disposal of Asset </t>
  </si>
  <si>
    <t xml:space="preserve">Restructuring Expense </t>
  </si>
  <si>
    <t>Expense for layoff benefit</t>
  </si>
  <si>
    <t>2-3. Sales/GP Details by BU</t>
  </si>
  <si>
    <t>Included in COGS [Personnel Costs(Service)]</t>
  </si>
  <si>
    <t>Included in COGS [Traveling Expenses(Service)]</t>
  </si>
  <si>
    <t>Included in COGS [Other Fixed Costs(Service)]</t>
  </si>
  <si>
    <t>Included in COGS [Depreciation &amp; Amortization]</t>
  </si>
  <si>
    <t>Purchased from BT cons. companies &lt;exclude MGI&gt;</t>
  </si>
  <si>
    <t>Purchased from MGI (BT-Gr)</t>
  </si>
  <si>
    <t>Total</t>
  </si>
  <si>
    <t>BPS</t>
  </si>
  <si>
    <t>BPS</t>
    <phoneticPr fontId="111"/>
  </si>
  <si>
    <t>ICW-IT (%)</t>
    <phoneticPr fontId="111"/>
  </si>
  <si>
    <t>BPS (%)</t>
    <phoneticPr fontId="111"/>
  </si>
  <si>
    <t>ICW-WK (%)</t>
    <phoneticPr fontId="111"/>
  </si>
  <si>
    <t>ICW-P (%)</t>
    <phoneticPr fontId="111"/>
  </si>
  <si>
    <r>
      <t xml:space="preserve">ICW-IT (WPH,BNDK, DevOps) </t>
    </r>
    <r>
      <rPr>
        <i/>
        <sz val="9"/>
        <rFont val="Arial"/>
        <family val="2"/>
      </rPr>
      <t>*OLD: WPH#1</t>
    </r>
    <phoneticPr fontId="111"/>
  </si>
  <si>
    <r>
      <t xml:space="preserve">ICW-P (New DevOps) </t>
    </r>
    <r>
      <rPr>
        <i/>
        <sz val="9"/>
        <rFont val="Arial"/>
        <family val="2"/>
      </rPr>
      <t>*New</t>
    </r>
    <phoneticPr fontId="111"/>
  </si>
  <si>
    <r>
      <t>KM-1</t>
    </r>
    <r>
      <rPr>
        <sz val="11"/>
        <color rgb="FFFF0000"/>
        <rFont val="Arial"/>
        <family val="2"/>
      </rPr>
      <t>/KM-1e</t>
    </r>
    <phoneticPr fontId="111"/>
  </si>
  <si>
    <t>SG&amp;A allocation bases by BU</t>
    <phoneticPr fontId="7"/>
  </si>
  <si>
    <t>Charge directly to each BU</t>
    <phoneticPr fontId="7"/>
  </si>
  <si>
    <t>Allocate according to each annual sales ratio of Original Plan. Allocation% should be same for each month of the year</t>
  </si>
  <si>
    <t>One time professional services such as consultation, implementation or training. One shot DPO falls into this category.
Please note that if the contract renewal cycle is longer than a year, it is considered as One-shot.</t>
    <phoneticPr fontId="7"/>
  </si>
  <si>
    <t>ICW-IT(WPH #1, BNDK, DevOps)</t>
    <phoneticPr fontId="7"/>
  </si>
  <si>
    <t>BPS</t>
    <phoneticPr fontId="7"/>
  </si>
  <si>
    <t>ICW-WK (KMJ #3, JP Local Gov't, US HC IT, FORXAI Secure Access)+ DevOps</t>
    <phoneticPr fontId="7"/>
  </si>
  <si>
    <t>ICW-P(New DevOps)</t>
    <phoneticPr fontId="7"/>
  </si>
  <si>
    <t>ICW-P</t>
  </si>
  <si>
    <t>ICW-WK</t>
  </si>
  <si>
    <t>Secure Passwordless Service (SPS)</t>
  </si>
  <si>
    <t>Service Line</t>
  </si>
  <si>
    <t>Theme</t>
  </si>
  <si>
    <t>ICW IT</t>
  </si>
  <si>
    <t>DXP</t>
  </si>
  <si>
    <t>SWS</t>
  </si>
  <si>
    <t>CDM</t>
  </si>
  <si>
    <t>Digital US</t>
  </si>
  <si>
    <t>Company Navigator</t>
  </si>
  <si>
    <t>AIRe Link</t>
  </si>
  <si>
    <t>TOMOLINKS (Solution for Education)</t>
  </si>
  <si>
    <t>Work style reform visualization</t>
  </si>
  <si>
    <t xml:space="preserve">MELON/KOTOBAL </t>
  </si>
  <si>
    <t>COCOMITE</t>
  </si>
  <si>
    <t>WPH HC</t>
  </si>
  <si>
    <t>genARate</t>
  </si>
  <si>
    <t>RoboSense</t>
  </si>
  <si>
    <t>CoboVox &amp; RoboPen (Robotics)</t>
  </si>
  <si>
    <t>AMH Portfolio (Autonomous material handling)</t>
  </si>
  <si>
    <t>SWO Portfolio (smart workflow optimization</t>
  </si>
  <si>
    <t>QoL Back Office (Nursing)</t>
  </si>
  <si>
    <r>
      <t>DW-DX sales categories for each Dev.Ops themes</t>
    </r>
    <r>
      <rPr>
        <b/>
        <sz val="12"/>
        <color theme="1"/>
        <rFont val="ＭＳ ゴシック"/>
        <family val="3"/>
        <charset val="128"/>
      </rPr>
      <t>（テーマのサービスライン分け）</t>
    </r>
    <rPh sb="58" eb="59">
      <t>ワ</t>
    </rPh>
    <phoneticPr fontId="7"/>
  </si>
  <si>
    <t>Other Income, Other Expense definition</t>
    <phoneticPr fontId="7"/>
  </si>
  <si>
    <r>
      <t xml:space="preserve">Revenues earned from renting property, plant and equipment. Revenue is recognized evenly over the contract term. 
</t>
    </r>
    <r>
      <rPr>
        <sz val="11"/>
        <color theme="3"/>
        <rFont val="游ゴシック"/>
        <family val="3"/>
        <charset val="128"/>
      </rPr>
      <t>貸与等固定資産の賃貸から発生する収益。賃貸契約期間にわたり均等に期間収益とする。</t>
    </r>
    <phoneticPr fontId="7"/>
  </si>
  <si>
    <r>
      <t xml:space="preserve">Commissions and fees income from miscellaneous sources other than the company's main line of business. Examples are administrative fees, commissions from vending machines, and other facilities.
</t>
    </r>
    <r>
      <rPr>
        <sz val="11"/>
        <color theme="3"/>
        <rFont val="游ゴシック"/>
        <family val="3"/>
        <charset val="128"/>
      </rPr>
      <t>本業外活動からの手数料収入。証明書作成の事務手数料、自動販売機等の販売手数料、公衆電話の設置手数料等。</t>
    </r>
    <phoneticPr fontId="7"/>
  </si>
  <si>
    <r>
      <t xml:space="preserve">Difference of sales price over book value of property, plant, equipment and intangible assets at the time of sales.
</t>
    </r>
    <r>
      <rPr>
        <sz val="11"/>
        <color theme="3"/>
        <rFont val="Yu Gothic Medium"/>
        <family val="3"/>
        <charset val="128"/>
      </rPr>
      <t>有形・無形固定資産の売却時に発生する売却額と簿価の差益。</t>
    </r>
    <rPh sb="119" eb="121">
      <t>ムケイ</t>
    </rPh>
    <phoneticPr fontId="7"/>
  </si>
  <si>
    <r>
      <t xml:space="preserve">Difference of sales price over book value of property, plant, equipment and intangible assets at the time of sales.
</t>
    </r>
    <r>
      <rPr>
        <sz val="11"/>
        <color theme="3"/>
        <rFont val="Yu Gothic Medium"/>
        <family val="3"/>
        <charset val="128"/>
      </rPr>
      <t>有形・無形固定資産の売却時に発生する売却額と簿価の差損。</t>
    </r>
    <rPh sb="119" eb="121">
      <t>ムケイ</t>
    </rPh>
    <rPh sb="142" eb="143">
      <t>ソン</t>
    </rPh>
    <phoneticPr fontId="7"/>
  </si>
  <si>
    <r>
      <t xml:space="preserve">When the book value of property, plant, equipment and intangible assets exceeds the collectible amount, the difference is recognized as an impairment loss for the reporting period. &lt;IAS 36.59&gt;
</t>
    </r>
    <r>
      <rPr>
        <sz val="11"/>
        <color theme="3"/>
        <rFont val="Yu Gothic Medium"/>
        <family val="3"/>
        <charset val="128"/>
      </rPr>
      <t>有形・無形固定資産の回収可能価額が簿価を下回っている場合にその差額を減損損失として当期の純損益に認識する。（</t>
    </r>
    <r>
      <rPr>
        <sz val="11"/>
        <color theme="3"/>
        <rFont val="Arial"/>
        <family val="3"/>
      </rPr>
      <t>IAS 36.59</t>
    </r>
    <r>
      <rPr>
        <sz val="11"/>
        <color theme="3"/>
        <rFont val="Yu Gothic Medium"/>
        <family val="3"/>
        <charset val="128"/>
      </rPr>
      <t>）</t>
    </r>
    <rPh sb="196" eb="198">
      <t>ムケイ</t>
    </rPh>
    <phoneticPr fontId="7"/>
  </si>
  <si>
    <r>
      <t xml:space="preserve">Government compensation program for COVID-19
</t>
    </r>
    <r>
      <rPr>
        <sz val="11"/>
        <color theme="3"/>
        <rFont val="Arial"/>
        <family val="3"/>
      </rPr>
      <t>COVID-19</t>
    </r>
    <r>
      <rPr>
        <sz val="11"/>
        <color theme="3"/>
        <rFont val="ＭＳ Ｐゴシック"/>
        <family val="3"/>
        <charset val="128"/>
      </rPr>
      <t>に関連する</t>
    </r>
    <r>
      <rPr>
        <sz val="11"/>
        <color theme="3"/>
        <rFont val="Yu Gothic Medium"/>
        <family val="3"/>
        <charset val="128"/>
      </rPr>
      <t>政府助成金</t>
    </r>
    <rPh sb="54" eb="56">
      <t>カンレン</t>
    </rPh>
    <rPh sb="58" eb="60">
      <t>セイフ</t>
    </rPh>
    <rPh sb="60" eb="63">
      <t>ジョセイキン</t>
    </rPh>
    <phoneticPr fontId="7"/>
  </si>
  <si>
    <r>
      <t xml:space="preserve">Difference of sales price over book value of property, plant, equipment and intangible assets at the time of sales.
</t>
    </r>
    <r>
      <rPr>
        <sz val="11"/>
        <color theme="3"/>
        <rFont val="Yu Gothic Medium"/>
        <family val="3"/>
        <charset val="128"/>
      </rPr>
      <t>事業構造改革費用</t>
    </r>
    <rPh sb="116" eb="118">
      <t>ジギョウ</t>
    </rPh>
    <rPh sb="118" eb="120">
      <t>コウゾウ</t>
    </rPh>
    <rPh sb="120" eb="122">
      <t>カイカク</t>
    </rPh>
    <rPh sb="122" eb="124">
      <t>ヒヨウ</t>
    </rPh>
    <phoneticPr fontId="7"/>
  </si>
  <si>
    <r>
      <t xml:space="preserve">Normal retirement cost different from structural reform.
</t>
    </r>
    <r>
      <rPr>
        <sz val="11"/>
        <color theme="3"/>
        <rFont val="Yu Gothic Medium"/>
        <family val="3"/>
        <charset val="128"/>
      </rPr>
      <t>通常発生する退職者に対する費用。会社が戦略的に実施する事業構造改革とは分ける</t>
    </r>
    <rPh sb="57" eb="59">
      <t>ツウジョウ</t>
    </rPh>
    <rPh sb="59" eb="61">
      <t>ハッセイ</t>
    </rPh>
    <rPh sb="63" eb="66">
      <t>タイショクシャ</t>
    </rPh>
    <rPh sb="67" eb="68">
      <t>タイ</t>
    </rPh>
    <rPh sb="70" eb="72">
      <t>ヒヨウ</t>
    </rPh>
    <rPh sb="73" eb="75">
      <t>カイシャ</t>
    </rPh>
    <rPh sb="76" eb="79">
      <t>センリャクテキ</t>
    </rPh>
    <rPh sb="80" eb="82">
      <t>ジッシ</t>
    </rPh>
    <rPh sb="84" eb="86">
      <t>ジギョウ</t>
    </rPh>
    <rPh sb="86" eb="88">
      <t>コウゾウ</t>
    </rPh>
    <rPh sb="88" eb="90">
      <t>カイカク</t>
    </rPh>
    <rPh sb="92" eb="93">
      <t>ワ</t>
    </rPh>
    <phoneticPr fontId="7"/>
  </si>
  <si>
    <r>
      <t>BPS that improves customer’s business critical processes</t>
    </r>
    <r>
      <rPr>
        <sz val="11"/>
        <color theme="1"/>
        <rFont val="ＭＳ Ｐゴシック"/>
        <family val="2"/>
        <charset val="128"/>
      </rPr>
      <t>、</t>
    </r>
    <r>
      <rPr>
        <sz val="11"/>
        <color theme="1"/>
        <rFont val="Arial"/>
        <family val="2"/>
      </rPr>
      <t xml:space="preserve">EX) ERP, CRM, BI, etc.
</t>
    </r>
    <r>
      <rPr>
        <sz val="11"/>
        <color theme="3"/>
        <rFont val="Yu Gothic Medium"/>
        <family val="3"/>
        <charset val="128"/>
      </rPr>
      <t>顧客の業務プロセスを改善するソフトウェア・ソリューションを提供する。</t>
    </r>
    <phoneticPr fontId="7"/>
  </si>
  <si>
    <t xml:space="preserve">Include "Full-Time Employees" and "Temporary Transfer from Other Company"
1) Please enter the number of employees whose personnel cost is borne by your company. 
2) Please do NOT include "Transferred To Other Company" in "Full-Time."
3) Please do NOT include directors, employees on long-term leave, employees who resigned on the end of the period.
4) Those who are re-employed by consolidated company upon resigning the original company on the end of the period should be counted as employees at original company.  </t>
    <phoneticPr fontId="7"/>
  </si>
  <si>
    <r>
      <rPr>
        <sz val="10"/>
        <color theme="3"/>
        <rFont val="Yu Gothic Medium"/>
        <family val="3"/>
        <charset val="128"/>
      </rPr>
      <t>正従業員、他社からの受入出向者が対象。入力上の注意点は以下の通り
1）正従業員、他社からの受入出向者には、貴社で人件費を負担している人員数のみを入力してください。
2）正従業員には他社への出向者は含めないでください。
3）役員、長期休職者、期末日退職者（定年、自己都合、会社都合等）は除いて記入してください。
4)期末日付転籍退職者（連結会社へ転籍するものに限る）については、転籍元で正従業員として記入してください。</t>
    </r>
    <rPh sb="16" eb="18">
      <t>タイショウ</t>
    </rPh>
    <rPh sb="19" eb="21">
      <t>ニュウリョク</t>
    </rPh>
    <rPh sb="21" eb="22">
      <t>ジョウ</t>
    </rPh>
    <rPh sb="23" eb="26">
      <t>チュウイテン</t>
    </rPh>
    <rPh sb="27" eb="29">
      <t>イカ</t>
    </rPh>
    <rPh sb="30" eb="31">
      <t>トオ</t>
    </rPh>
    <phoneticPr fontId="7"/>
  </si>
  <si>
    <r>
      <t>Include "Semi-Full-Time/Part-Time Employees" and "Contractors"</t>
    </r>
    <r>
      <rPr>
        <sz val="11"/>
        <rFont val="ＭＳ Ｐゴシック"/>
        <family val="2"/>
        <charset val="128"/>
      </rPr>
      <t>　　　</t>
    </r>
    <r>
      <rPr>
        <sz val="11"/>
        <color theme="3"/>
        <rFont val="Yu Gothic Medium"/>
        <family val="3"/>
        <charset val="128"/>
      </rPr>
      <t>準社員、派遣・請負が対象</t>
    </r>
    <rPh sb="75" eb="77">
      <t>タイショウ</t>
    </rPh>
    <phoneticPr fontId="7"/>
  </si>
  <si>
    <t>ICW-IT</t>
  </si>
  <si>
    <t>ICW-WK</t>
    <phoneticPr fontId="7"/>
  </si>
  <si>
    <t>New Customer *</t>
    <phoneticPr fontId="200"/>
  </si>
  <si>
    <t>Sales</t>
    <phoneticPr fontId="200"/>
  </si>
  <si>
    <t>Office</t>
    <phoneticPr fontId="200"/>
  </si>
  <si>
    <t>HW</t>
    <phoneticPr fontId="200"/>
  </si>
  <si>
    <t>NH</t>
    <phoneticPr fontId="200"/>
  </si>
  <si>
    <t>DW-DX</t>
    <phoneticPr fontId="200"/>
  </si>
  <si>
    <t>Total</t>
    <phoneticPr fontId="200"/>
  </si>
  <si>
    <t>GP</t>
    <phoneticPr fontId="200"/>
  </si>
  <si>
    <t>Existing Customer **</t>
    <phoneticPr fontId="200"/>
  </si>
  <si>
    <t>Number of Purchase Account</t>
    <phoneticPr fontId="200"/>
  </si>
  <si>
    <t>S.G.&amp;A. Expenses</t>
  </si>
  <si>
    <r>
      <t xml:space="preserve">ICW-WK </t>
    </r>
    <r>
      <rPr>
        <sz val="9"/>
        <rFont val="Arial"/>
        <family val="2"/>
      </rPr>
      <t>(JP Gov't DX biz, KMJ #3, BUS HC IT, FORXAI Secure Access)</t>
    </r>
    <phoneticPr fontId="111"/>
  </si>
  <si>
    <t>KM-1/KM-1e</t>
    <phoneticPr fontId="111"/>
  </si>
  <si>
    <t>KMJ/BEU Stand Alone/BCN ONLY</t>
    <phoneticPr fontId="111"/>
  </si>
  <si>
    <t>KMJ/BUS/BEU Stand Alone/BCN/BSA-Cons/BAU/BIN ONLY</t>
    <phoneticPr fontId="111"/>
  </si>
  <si>
    <t>IP, DW-DX, Others</t>
    <phoneticPr fontId="7"/>
  </si>
  <si>
    <t>Actual</t>
    <phoneticPr fontId="140"/>
  </si>
  <si>
    <r>
      <t>KMJ/BUS/BEU Stand Alone/BAU/BCN/BHK/BSA/BME/BIN/BBR</t>
    </r>
    <r>
      <rPr>
        <b/>
        <sz val="11"/>
        <rFont val="Calibri"/>
        <family val="2"/>
        <charset val="128"/>
        <scheme val="minor"/>
      </rPr>
      <t>　</t>
    </r>
    <r>
      <rPr>
        <b/>
        <sz val="11"/>
        <rFont val="Arial"/>
        <family val="2"/>
      </rPr>
      <t>ONLY</t>
    </r>
    <phoneticPr fontId="111"/>
  </si>
  <si>
    <t>6. Purchase</t>
    <phoneticPr fontId="111"/>
  </si>
  <si>
    <t>6-1. Detail of Purchase</t>
    <phoneticPr fontId="111"/>
  </si>
  <si>
    <t>6-2. Additional Purchase information</t>
    <phoneticPr fontId="111"/>
  </si>
  <si>
    <t>6-3. Inventory Analysis</t>
    <phoneticPr fontId="111"/>
  </si>
  <si>
    <t xml:space="preserve"> by EC business.</t>
    <phoneticPr fontId="111"/>
  </si>
  <si>
    <t>*</t>
    <phoneticPr fontId="111"/>
  </si>
  <si>
    <t>**</t>
  </si>
  <si>
    <t xml:space="preserve">Those are existing </t>
    <phoneticPr fontId="111"/>
  </si>
  <si>
    <t xml:space="preserve">customers by </t>
    <phoneticPr fontId="111"/>
  </si>
  <si>
    <t>organic transaction.</t>
    <phoneticPr fontId="111"/>
  </si>
  <si>
    <t>7. CX2</t>
    <phoneticPr fontId="111"/>
  </si>
  <si>
    <t>BUS ONLY</t>
    <phoneticPr fontId="111"/>
  </si>
  <si>
    <t>TTL</t>
    <phoneticPr fontId="140"/>
  </si>
  <si>
    <t>Office</t>
    <phoneticPr fontId="140"/>
  </si>
  <si>
    <t>PP</t>
    <phoneticPr fontId="140"/>
  </si>
  <si>
    <t>DW-DX</t>
    <phoneticPr fontId="140"/>
  </si>
  <si>
    <t>IP</t>
    <phoneticPr fontId="140"/>
  </si>
  <si>
    <t>8. Rolling forecast only</t>
  </si>
  <si>
    <t>8. Rolling forecast only</t>
    <phoneticPr fontId="111"/>
  </si>
  <si>
    <t>8-1. Depreciation &amp; Amortization</t>
    <phoneticPr fontId="111"/>
  </si>
  <si>
    <t>8-2. Notes and Accounts Receivable-Trade</t>
    <phoneticPr fontId="111"/>
  </si>
  <si>
    <t>8-3. Notes and Accounts Payable-Trade</t>
    <phoneticPr fontId="111"/>
  </si>
  <si>
    <t>8-4. IP Unit</t>
    <phoneticPr fontId="111"/>
  </si>
  <si>
    <t>2. P/L (2) - Overview by BU</t>
    <phoneticPr fontId="111"/>
  </si>
  <si>
    <t>2. P/L (2) - Overview by BU</t>
    <phoneticPr fontId="7"/>
  </si>
  <si>
    <t>3. Headcount</t>
    <phoneticPr fontId="7"/>
  </si>
  <si>
    <t>4. Inventories</t>
    <phoneticPr fontId="7"/>
  </si>
  <si>
    <t>5. One Rate</t>
    <phoneticPr fontId="7"/>
  </si>
  <si>
    <t>6. Purchase</t>
    <phoneticPr fontId="7"/>
  </si>
  <si>
    <t>7. CX2</t>
    <phoneticPr fontId="7"/>
  </si>
  <si>
    <t>1. Investment</t>
  </si>
  <si>
    <t>Y</t>
    <phoneticPr fontId="140"/>
  </si>
  <si>
    <t>N</t>
    <phoneticPr fontId="140"/>
  </si>
  <si>
    <t>Forecast</t>
    <phoneticPr fontId="140"/>
  </si>
  <si>
    <t>2. Financial position</t>
    <phoneticPr fontId="7"/>
  </si>
  <si>
    <t>3. FP related information</t>
    <phoneticPr fontId="7"/>
  </si>
  <si>
    <t>4. Cash Flow  (Automatic Calculation)</t>
    <phoneticPr fontId="7"/>
  </si>
  <si>
    <t>Plan</t>
    <phoneticPr fontId="140"/>
  </si>
  <si>
    <t>　・・・</t>
    <phoneticPr fontId="140"/>
  </si>
  <si>
    <t>"PL" sheet</t>
    <phoneticPr fontId="7"/>
  </si>
  <si>
    <t>"FP" sheet</t>
    <phoneticPr fontId="140"/>
  </si>
  <si>
    <t>(0) Total Inventories includes other Segment</t>
    <phoneticPr fontId="111"/>
  </si>
  <si>
    <t>Purchased from KM group</t>
  </si>
  <si>
    <t>(6) BIC</t>
    <phoneticPr fontId="111"/>
  </si>
  <si>
    <t>(7) IIS (Imaging-IoT Solution)</t>
    <phoneticPr fontId="111"/>
  </si>
  <si>
    <t>Purchased from KM group companies &lt;exclude HMX&gt;</t>
  </si>
  <si>
    <t>Purchased from HMX</t>
    <phoneticPr fontId="111"/>
  </si>
  <si>
    <t>1. Contents</t>
  </si>
  <si>
    <t>2. Submission</t>
    <phoneticPr fontId="140"/>
  </si>
  <si>
    <t>BT_Sales_Planning01@gcp.konicaminolta.com</t>
    <phoneticPr fontId="140"/>
  </si>
  <si>
    <t xml:space="preserve">Members at your organization </t>
    <phoneticPr fontId="140"/>
  </si>
  <si>
    <t>Persons concerned in KMI</t>
    <phoneticPr fontId="140"/>
  </si>
  <si>
    <t>Those are newly acquired</t>
    <phoneticPr fontId="111"/>
  </si>
  <si>
    <t>8-5. Open Orders amount of sales orders</t>
  </si>
  <si>
    <t>8-5. Open Orders amount of sales orders</t>
    <phoneticPr fontId="111"/>
  </si>
  <si>
    <r>
      <t xml:space="preserve">(1)-1 Office: </t>
    </r>
    <r>
      <rPr>
        <b/>
        <sz val="11"/>
        <color rgb="FFFF0000"/>
        <rFont val="Arial"/>
        <family val="2"/>
      </rPr>
      <t>Excluding "Office Solution"</t>
    </r>
    <phoneticPr fontId="111"/>
  </si>
  <si>
    <r>
      <t xml:space="preserve">(1)-2 </t>
    </r>
    <r>
      <rPr>
        <b/>
        <sz val="11"/>
        <color rgb="FFFF0000"/>
        <rFont val="Arial"/>
        <family val="2"/>
      </rPr>
      <t>"Office Solution" only</t>
    </r>
    <phoneticPr fontId="111"/>
  </si>
  <si>
    <t>1. Upload to Anaplan from Excel</t>
    <phoneticPr fontId="140"/>
  </si>
  <si>
    <t>1-1</t>
    <phoneticPr fontId="140"/>
  </si>
  <si>
    <t>Sign In to Anaplan</t>
    <phoneticPr fontId="140"/>
  </si>
  <si>
    <t>Select your company and refresh data</t>
    <phoneticPr fontId="140"/>
  </si>
  <si>
    <t>Input data</t>
    <phoneticPr fontId="140"/>
  </si>
  <si>
    <t>Formulas are possible, but please do not refer to formulas from other excel files</t>
    <phoneticPr fontId="140"/>
  </si>
  <si>
    <t>Open BT-Package file</t>
    <phoneticPr fontId="140"/>
  </si>
  <si>
    <t>Command in "Anaplan" tab in Excel file</t>
    <phoneticPr fontId="140"/>
  </si>
  <si>
    <t>-</t>
    <phoneticPr fontId="140"/>
  </si>
  <si>
    <t>Sign In</t>
    <phoneticPr fontId="140"/>
  </si>
  <si>
    <t>Refresh</t>
    <phoneticPr fontId="140"/>
  </si>
  <si>
    <t>Send and Refresh -&gt; Submit</t>
    <phoneticPr fontId="140"/>
  </si>
  <si>
    <t>Upload by Excel sheet</t>
    <phoneticPr fontId="140"/>
  </si>
  <si>
    <t>Upload</t>
  </si>
  <si>
    <t>Upload</t>
    <phoneticPr fontId="140"/>
  </si>
  <si>
    <t>Once</t>
    <phoneticPr fontId="140"/>
  </si>
  <si>
    <t>Twice</t>
    <phoneticPr fontId="140"/>
  </si>
  <si>
    <t>2. Change status in Anaplan(Web)</t>
    <phoneticPr fontId="140"/>
  </si>
  <si>
    <t>2-1</t>
    <phoneticPr fontId="140"/>
  </si>
  <si>
    <t>Logon to Anaplan</t>
    <phoneticPr fontId="140"/>
  </si>
  <si>
    <t>Command in Anaplan(Web)</t>
    <phoneticPr fontId="140"/>
  </si>
  <si>
    <t>https://sdp.anaplan.com/frontdoor/saml/konicasaml</t>
    <phoneticPr fontId="140"/>
  </si>
  <si>
    <t>Open the menu</t>
    <phoneticPr fontId="140"/>
  </si>
  <si>
    <t>PL sheet</t>
    <phoneticPr fontId="140"/>
  </si>
  <si>
    <t>FP sheet</t>
    <phoneticPr fontId="140"/>
  </si>
  <si>
    <t xml:space="preserve">Model "BT Globan Management" -&gt;"AC1 - Sales Company Actual Top" -&gt; </t>
    <phoneticPr fontId="140"/>
  </si>
  <si>
    <t xml:space="preserve">Model "BT Globan Management" -&gt;"RF1 - Sales Company RF Top" -&gt; </t>
    <phoneticPr fontId="140"/>
  </si>
  <si>
    <t>Anaplan menu</t>
    <phoneticPr fontId="140"/>
  </si>
  <si>
    <t>Check the value in "Summary Report"</t>
    <phoneticPr fontId="140"/>
  </si>
  <si>
    <t>refer to below</t>
    <phoneticPr fontId="140"/>
  </si>
  <si>
    <t>Import data from Excel Add-in</t>
    <phoneticPr fontId="140"/>
  </si>
  <si>
    <t>"Status Management" Tab</t>
    <phoneticPr fontId="140"/>
  </si>
  <si>
    <t>"0. No Entered"</t>
    <phoneticPr fontId="140"/>
  </si>
  <si>
    <t>"1. During Input"</t>
    <phoneticPr fontId="140"/>
  </si>
  <si>
    <t>"2. Submitted"</t>
    <phoneticPr fontId="140"/>
  </si>
  <si>
    <t>Before processing</t>
    <phoneticPr fontId="140"/>
  </si>
  <si>
    <t>Uploading is possible</t>
    <phoneticPr fontId="140"/>
  </si>
  <si>
    <t>Uploading is not possible. If Changes are needed, change the status to "1. During Input"</t>
    <phoneticPr fontId="140"/>
  </si>
  <si>
    <t>Change status to "2. Submitted"</t>
    <phoneticPr fontId="140"/>
  </si>
  <si>
    <t>KMI BT Sales Company Division</t>
    <phoneticPr fontId="140"/>
  </si>
  <si>
    <t>3. Send e-mail</t>
    <phoneticPr fontId="140"/>
  </si>
  <si>
    <t>Attached file: BT-package file</t>
    <phoneticPr fontId="140"/>
  </si>
  <si>
    <t>Breakdown of SG&amp;A: ICW</t>
    <phoneticPr fontId="111"/>
  </si>
  <si>
    <t>Breakdown of SG&amp;A: ITS (except ICW)</t>
    <phoneticPr fontId="111"/>
  </si>
  <si>
    <t>DW-DX SG&amp;A breakdown</t>
    <phoneticPr fontId="7"/>
  </si>
  <si>
    <t>Breakdown of SG&amp;A: ICW or ITS</t>
    <phoneticPr fontId="7"/>
  </si>
  <si>
    <t>9-1. P/L: BT + BIC +IIS</t>
    <phoneticPr fontId="111"/>
  </si>
  <si>
    <t>9-2. P/L Statement by BU</t>
    <phoneticPr fontId="111"/>
  </si>
  <si>
    <t>9-3. Headcount : includes BIC, IIS(Mobotix and DM)</t>
    <phoneticPr fontId="111"/>
  </si>
  <si>
    <t>(0) Total : BT + BIC +IIS</t>
    <phoneticPr fontId="111"/>
  </si>
  <si>
    <t>9-4. Inventories: BT + BIC +IIS</t>
    <phoneticPr fontId="111"/>
  </si>
  <si>
    <t>10. Reference</t>
    <phoneticPr fontId="111"/>
  </si>
  <si>
    <t>9. Other segments: BIC, IIS(Mobotix and DM)</t>
    <phoneticPr fontId="111"/>
  </si>
  <si>
    <t>9. Other segments: BIC, IIS(Mobotix and DM)</t>
    <phoneticPr fontId="140"/>
  </si>
  <si>
    <t>Please note that Rolling forecast requires to upload "PL" sheet &amp; "FP" sheet respectively!!</t>
    <phoneticPr fontId="140"/>
  </si>
  <si>
    <t>TO:</t>
    <phoneticPr fontId="140"/>
  </si>
  <si>
    <t>*Excel files are used as a backup in case of system failure. If the system operates stably and the operation is stable, they may not be attached in the future.</t>
    <phoneticPr fontId="140"/>
  </si>
  <si>
    <t>If there is directly chargeable cost* (i.e. dedicated ICW sales or marketing expenses, promotion costs for ICW etc.), please assign the direct cost first. Then allocate rest of the DW-DX SG&amp;A amount according to the revenue amount ratio.</t>
    <phoneticPr fontId="7"/>
  </si>
  <si>
    <t>(Excludes Sales to IIS Business Unit)</t>
    <phoneticPr fontId="111"/>
  </si>
  <si>
    <t>*Allocation is acceptable</t>
    <phoneticPr fontId="111"/>
  </si>
  <si>
    <t>Uploading to Anaplan will change from FY22. The simple guide is as follows, but please refer to the separate manual for the detailed operation.</t>
    <phoneticPr fontId="140"/>
  </si>
  <si>
    <t>Import data for Actual from Excel Add-in</t>
    <phoneticPr fontId="140"/>
  </si>
  <si>
    <t>(1) Office TTL</t>
    <phoneticPr fontId="111"/>
  </si>
  <si>
    <t>(1)-2. Office Solution</t>
  </si>
  <si>
    <r>
      <t xml:space="preserve">(1)-1. Office </t>
    </r>
    <r>
      <rPr>
        <b/>
        <sz val="11"/>
        <color rgb="FFFF0000"/>
        <rFont val="ＭＳ Ｐゴシック"/>
        <family val="3"/>
        <charset val="128"/>
      </rPr>
      <t>※</t>
    </r>
    <r>
      <rPr>
        <b/>
        <sz val="11"/>
        <color rgb="FFFF0000"/>
        <rFont val="Arial"/>
        <family val="2"/>
      </rPr>
      <t>Excluding Office Solution</t>
    </r>
    <phoneticPr fontId="111"/>
  </si>
  <si>
    <t>Operation Profit</t>
    <phoneticPr fontId="111"/>
  </si>
  <si>
    <t>HW</t>
    <phoneticPr fontId="111"/>
  </si>
  <si>
    <t>NH</t>
    <phoneticPr fontId="111"/>
  </si>
  <si>
    <t>Variable cost (Material Cost + SG&amp;A variable)</t>
    <phoneticPr fontId="111"/>
  </si>
  <si>
    <t>Others (inc. SG&amp;A variable)</t>
    <phoneticPr fontId="111"/>
  </si>
  <si>
    <t>Marginal Profit %</t>
    <phoneticPr fontId="111"/>
  </si>
  <si>
    <t>COGs</t>
    <phoneticPr fontId="111"/>
  </si>
  <si>
    <t>SG&amp;A</t>
    <phoneticPr fontId="111"/>
  </si>
  <si>
    <t>SG&amp;A variable</t>
    <phoneticPr fontId="111"/>
  </si>
  <si>
    <t>(1)-2 "Office Solution" only</t>
    <phoneticPr fontId="7"/>
  </si>
  <si>
    <t>(1)-1 Office: Excluding "Office Solution"</t>
    <phoneticPr fontId="7"/>
  </si>
  <si>
    <t>ITS</t>
    <phoneticPr fontId="111"/>
  </si>
  <si>
    <t>ICW</t>
    <phoneticPr fontId="111"/>
  </si>
  <si>
    <t>ITS (%)</t>
    <phoneticPr fontId="111"/>
  </si>
  <si>
    <t>ICW (%)</t>
    <phoneticPr fontId="111"/>
  </si>
  <si>
    <t>BCP: ITS</t>
    <phoneticPr fontId="111"/>
  </si>
  <si>
    <t>BCP: ICW</t>
    <phoneticPr fontId="111"/>
  </si>
  <si>
    <t>(1)-2 "Office Solution" only</t>
    <phoneticPr fontId="111"/>
  </si>
  <si>
    <t>*one shot/recurring: please follow the definition of DW-DX</t>
    <phoneticPr fontId="111"/>
  </si>
  <si>
    <t>10-1. Variable Costing Income Statement</t>
    <phoneticPr fontId="111"/>
  </si>
  <si>
    <r>
      <t xml:space="preserve">"ICW-IT" that provides WPH (HW and SW), BNDK business, New DevOps. 
EX) WPH, Consulting/Project/Hybrid Cloud (Cloud MSP, Data Management(BNDK)) ,New product(Please refer in below)
</t>
    </r>
    <r>
      <rPr>
        <sz val="11"/>
        <rFont val="Yu Gothic Medium"/>
        <family val="3"/>
        <charset val="128"/>
      </rPr>
      <t>WPH(ハードウェア、ソフトウェア)、BNDK、新規DevOps商材</t>
    </r>
    <phoneticPr fontId="7"/>
  </si>
  <si>
    <r>
      <t>"ICW-Wk" that provides efficiency and automation of customers' workflows by utilizing data by go into specific customers deeply. This includes SaaS product and Robotics.  
EX) Digital Marketing</t>
    </r>
    <r>
      <rPr>
        <sz val="11"/>
        <rFont val="ＭＳ Ｐゴシック"/>
        <family val="2"/>
        <charset val="128"/>
      </rPr>
      <t>・</t>
    </r>
    <r>
      <rPr>
        <sz val="11"/>
        <rFont val="Arial"/>
        <family val="2"/>
      </rPr>
      <t xml:space="preserve">Right-Sizing solution(KMJ), JP Government DX business, US HC-IT (WPH-HC, Revenue Cycle Management (RCM), VBC), FORXAI Secure Access, KMJ WPH Apps, SenrigaN, etc.  New product(Please refer below)
</t>
    </r>
    <r>
      <rPr>
        <sz val="11"/>
        <rFont val="Yu Gothic Medium"/>
        <family val="3"/>
        <charset val="128"/>
      </rPr>
      <t>特定顧客向けに深く入り込み、データ活用し顧客業務フローの効率化・自動化の提供。その為のSaaS商材やRoboticsも含む。</t>
    </r>
    <phoneticPr fontId="7"/>
  </si>
  <si>
    <r>
      <t>"ICW-P" that provides SaaS products which is analyzing the human behavior and knowledge with digital technologies and provides solutions to solve problems.
EX) MELON/ KOTOBAL, COCOMITE</t>
    </r>
    <r>
      <rPr>
        <sz val="11"/>
        <rFont val="ＭＳ Ｐゴシック"/>
        <family val="2"/>
        <charset val="128"/>
      </rPr>
      <t>、</t>
    </r>
    <r>
      <rPr>
        <sz val="11"/>
        <rFont val="Arial"/>
        <family val="2"/>
      </rPr>
      <t>AIReLink</t>
    </r>
    <r>
      <rPr>
        <sz val="11"/>
        <rFont val="ＭＳ Ｐゴシック"/>
        <family val="2"/>
        <charset val="128"/>
      </rPr>
      <t>、</t>
    </r>
    <r>
      <rPr>
        <sz val="11"/>
        <rFont val="Arial"/>
        <family val="2"/>
      </rPr>
      <t>Tomolinks</t>
    </r>
    <r>
      <rPr>
        <sz val="11"/>
        <rFont val="ＭＳ Ｐゴシック"/>
        <family val="2"/>
        <charset val="128"/>
      </rPr>
      <t>、</t>
    </r>
    <r>
      <rPr>
        <sz val="11"/>
        <rFont val="Arial"/>
        <family val="2"/>
      </rPr>
      <t>KMJ AIsee</t>
    </r>
    <r>
      <rPr>
        <sz val="11"/>
        <rFont val="ＭＳ Ｐゴシック"/>
        <family val="2"/>
        <charset val="128"/>
      </rPr>
      <t>、</t>
    </r>
    <r>
      <rPr>
        <sz val="11"/>
        <rFont val="Arial"/>
        <family val="2"/>
      </rPr>
      <t xml:space="preserve">Congnitive Hub, etc. Other product(Please refer in below)
</t>
    </r>
    <r>
      <rPr>
        <sz val="11"/>
        <rFont val="Yu Gothic Medium"/>
        <family val="3"/>
        <charset val="128"/>
      </rPr>
      <t>「ヒトや知見」をデジタル技術で結び付け創造性向上や困りごと解決を支援する主にSaaS商材。</t>
    </r>
    <phoneticPr fontId="7"/>
  </si>
  <si>
    <t>** If #1 &amp; #2 below are unsuccessful, skip #1 &amp; #2 and proceed to #3 **</t>
    <phoneticPr fontId="140"/>
  </si>
  <si>
    <t>Q1</t>
    <phoneticPr fontId="111"/>
  </si>
  <si>
    <t>ICW IT</t>
    <phoneticPr fontId="7"/>
  </si>
  <si>
    <t>Revenue cycle mgmt</t>
    <phoneticPr fontId="7"/>
  </si>
  <si>
    <t>BIC themes</t>
    <phoneticPr fontId="7"/>
  </si>
  <si>
    <t>BIC</t>
    <phoneticPr fontId="7"/>
  </si>
  <si>
    <t xml:space="preserve">FORXAI Secure Access </t>
    <phoneticPr fontId="7"/>
  </si>
  <si>
    <t>Value-based care</t>
    <phoneticPr fontId="7"/>
  </si>
  <si>
    <t>SenrigaN (Non-destructive solution for bridge)</t>
    <phoneticPr fontId="7"/>
  </si>
  <si>
    <t>1-2</t>
    <phoneticPr fontId="140"/>
  </si>
  <si>
    <t>2-0</t>
    <phoneticPr fontId="140"/>
  </si>
  <si>
    <r>
      <t xml:space="preserve">URL for SSO User: </t>
    </r>
    <r>
      <rPr>
        <sz val="10"/>
        <rFont val="Arial"/>
        <family val="2"/>
      </rPr>
      <t>[E-mail address domain is “@konicaminolta.com”]</t>
    </r>
    <phoneticPr fontId="140"/>
  </si>
  <si>
    <t>*If the jump from the URL fails, enter it directly in your browser</t>
    <phoneticPr fontId="140"/>
  </si>
  <si>
    <r>
      <t xml:space="preserve">URL for Password User: </t>
    </r>
    <r>
      <rPr>
        <sz val="10"/>
        <rFont val="Arial"/>
        <family val="2"/>
      </rPr>
      <t>[E-mail address domain other than “@konicaminolta.com”]</t>
    </r>
    <phoneticPr fontId="140"/>
  </si>
  <si>
    <t>https://us1a.app.anaplan.com/frontdoor</t>
    <phoneticPr fontId="140"/>
  </si>
  <si>
    <t>2-2</t>
    <phoneticPr fontId="140"/>
  </si>
  <si>
    <t>2-3</t>
    <phoneticPr fontId="140"/>
  </si>
  <si>
    <t>XXXX</t>
    <phoneticPr fontId="140"/>
  </si>
  <si>
    <t>XXXX</t>
  </si>
  <si>
    <t>K_SGD</t>
    <phoneticPr fontId="7"/>
  </si>
  <si>
    <t>FY19</t>
    <phoneticPr fontId="111"/>
  </si>
  <si>
    <t>FY20</t>
    <phoneticPr fontId="111"/>
  </si>
  <si>
    <t>FY21</t>
    <phoneticPr fontId="111"/>
  </si>
  <si>
    <t>FY22</t>
    <phoneticPr fontId="111"/>
  </si>
  <si>
    <t>FY23</t>
    <phoneticPr fontId="111"/>
  </si>
  <si>
    <t>IIM</t>
    <phoneticPr fontId="111"/>
  </si>
  <si>
    <t>IIM (%)</t>
    <phoneticPr fontId="111"/>
  </si>
  <si>
    <t>BCP: IMS</t>
    <phoneticPr fontId="111"/>
  </si>
  <si>
    <t>BCP: IIM</t>
    <phoneticPr fontId="111"/>
  </si>
  <si>
    <t>BCP: BPS</t>
    <phoneticPr fontId="111"/>
  </si>
  <si>
    <t>BCP: MCS</t>
    <phoneticPr fontId="111"/>
  </si>
  <si>
    <t>Billable Full-Time Employees / Temporary Transfer</t>
    <phoneticPr fontId="111"/>
  </si>
  <si>
    <t>Billable Semi-Full-Time/Part-Time Employees /Contractors</t>
    <phoneticPr fontId="111"/>
  </si>
  <si>
    <t>2. Break down DW-DX SGA into 6 service lines</t>
    <phoneticPr fontId="7"/>
  </si>
  <si>
    <t>1. DW-DX changes service line hierarchy: Add formula for "IIM" including "MCS" and "BPS"</t>
    <phoneticPr fontId="7"/>
  </si>
  <si>
    <r>
      <t xml:space="preserve">3. DW-DX: Add topic to input FTE for each service line  </t>
    </r>
    <r>
      <rPr>
        <sz val="12"/>
        <color rgb="FF0000FF"/>
        <rFont val="Arial"/>
        <family val="2"/>
      </rPr>
      <t>*please see Definition below</t>
    </r>
    <phoneticPr fontId="7"/>
  </si>
  <si>
    <t>One time product sales including software and hardware, such as PC, server, perpetual SW license and its maintenance.
Please note that If license renewal cycle is longer than a year, it is considered as One-shot.
The following global products fall into this category; Dispatcher Phoenix, ScanTrip, Dispatcher Paragon, YSoft SafeQ, Dispatcher Suite, bizhub SECURE Notifier, Shield Guard at one-time payment, Personalize at one-time payment</t>
  </si>
  <si>
    <t>KM-1/KM-1e</t>
    <phoneticPr fontId="7"/>
  </si>
  <si>
    <t>KM-1/KM-1e related businesses</t>
    <phoneticPr fontId="7"/>
  </si>
  <si>
    <t>3D Printers,Motioncutter,Other local equipment</t>
    <rPh sb="0" eb="46">
      <t>ヒョウキツイキ</t>
    </rPh>
    <phoneticPr fontId="7"/>
  </si>
  <si>
    <r>
      <t xml:space="preserve">MCS that supports distributing and managing information and contents. This category includes ECM, Document Management, DPO (Document Process Outsourcing).
</t>
    </r>
    <r>
      <rPr>
        <sz val="11"/>
        <color theme="3"/>
        <rFont val="Yu Gothic Medium"/>
        <family val="3"/>
        <charset val="128"/>
      </rPr>
      <t>情報やコンテンツの配信・管理をサポートするソフトウェア・サービスを提供する。MCSにはECM、ドキュメント管理、DPOが含まれている。</t>
    </r>
    <phoneticPr fontId="7"/>
  </si>
  <si>
    <t>SaaS &amp; E-commerce</t>
  </si>
  <si>
    <t>K-plex document solution</t>
  </si>
  <si>
    <t>aiDocuDroid</t>
  </si>
  <si>
    <t>Billable Individual Contributor</t>
    <phoneticPr fontId="7"/>
  </si>
  <si>
    <t>4. Capital Investment:  Divide into "Strategic Investment" and "Maintenance Investment"</t>
    <phoneticPr fontId="7"/>
  </si>
  <si>
    <t>Please refer to the FP sheet for details</t>
    <phoneticPr fontId="7"/>
  </si>
  <si>
    <t>FY23 new topic</t>
    <phoneticPr fontId="7"/>
  </si>
  <si>
    <t>Charge by annual sales ratio allocation bases to BU. Allocation% should be same for each month of the year</t>
    <phoneticPr fontId="7"/>
  </si>
  <si>
    <r>
      <t xml:space="preserve">"Office Solutions" to include: "Software" (both On-Prem &amp; Cloud), related "Hardware" peripheral devices, and related "Services" </t>
    </r>
    <r>
      <rPr>
        <u/>
        <sz val="11"/>
        <rFont val="Arial"/>
        <family val="2"/>
      </rPr>
      <t>to be sold with/for MFP to add values to MFP</t>
    </r>
    <r>
      <rPr>
        <sz val="11"/>
        <rFont val="Arial"/>
        <family val="2"/>
      </rPr>
      <t>.  They are for example (but not limited to): &lt;SOFTWARE&gt; Print Management Solutions &amp; licenses such as Dispatcher Paragon, Paragon Cloud and other 3rd party solutions, Scan/Capture Solutions such as Dispatcher Phoenix/Suite and other 3rd party solutions, and also MFP Security Management Solutions such as buzhub Secure, ShieldGuard etc. &lt;HARDWARE&gt; ID Card Authentication devices, edge devices for Paragon Cloud etc. &lt;SERVICES&gt; Professional Services chargeable for consultation and deployment related to those applicable "Office Solutions" and for/through OPS services. These are only key own branded/IP examples and other local/regional relevant solutions &amp; services to be also included here.
MFP</t>
    </r>
    <r>
      <rPr>
        <sz val="11"/>
        <rFont val="ＭＳ Ｐゴシック"/>
        <family val="2"/>
        <charset val="128"/>
      </rPr>
      <t>に付加価値を与える一連のソフトウェア(オンプレ・クラウド)・周辺ハードウェア・関連サービス売上。例えば、Dispatcher Paragon/Paragon Cloudを代表とする印刷管理ソリューション、MFPと連携するScanソリューション、MFPセキュリティ管理機能を提供するbizhub SecureやShieldGuard他。周辺ハードウェアについては印刷管理ソリューションと連携するIDカード認証装置やParagon Cloud用エッジデバイス他。関連サービスについては上記各種関連ソリューションに関連して発生するコンサルテーションや導入費用他、OPSコンサルテーション含む。</t>
    </r>
    <rPh sb="975" eb="977">
      <t>レンケイ</t>
    </rPh>
    <rPh sb="1088" eb="1089">
      <t>ヨウ</t>
    </rPh>
    <rPh sb="1159" eb="1160">
      <t>フク</t>
    </rPh>
    <phoneticPr fontId="7"/>
  </si>
  <si>
    <t>IP address advertisement</t>
  </si>
  <si>
    <t>Onetime-offer services, such as installation, solution proposal, maintenance and inspection services</t>
  </si>
  <si>
    <t>Please fill in individual contributor who delivery service as part of a fee in Direct &amp; Indirect channels.
No matter what level of skills they have either newly hired (not ramped up yet) or fully/well skilled, counted as 1 FTE
Purpose)to analyze a service productivity of billable contributor, except for not billable one like managers and administrators.
顧客への課金に直接関わるサービスデリバリに関わる人員を入力してください。熟達度に限らず、1FTEとしてカウントしてください。
目的はマネージャやアドミンを含まない形で販売・サービスの生産性を分析するため。</t>
    <rPh sb="356" eb="358">
      <t>コキャク</t>
    </rPh>
    <rPh sb="360" eb="362">
      <t>カキン</t>
    </rPh>
    <rPh sb="363" eb="365">
      <t>チョクセツ</t>
    </rPh>
    <rPh sb="365" eb="366">
      <t>カカ</t>
    </rPh>
    <rPh sb="377" eb="378">
      <t>カカ</t>
    </rPh>
    <rPh sb="380" eb="382">
      <t>ジンイン</t>
    </rPh>
    <rPh sb="383" eb="385">
      <t>ニュウリョク</t>
    </rPh>
    <rPh sb="392" eb="395">
      <t>ジュクタツド</t>
    </rPh>
    <rPh sb="396" eb="397">
      <t>カギ</t>
    </rPh>
    <rPh sb="419" eb="421">
      <t>モクテキ</t>
    </rPh>
    <rPh sb="433" eb="434">
      <t>フク</t>
    </rPh>
    <rPh sb="437" eb="438">
      <t>カタチ</t>
    </rPh>
    <rPh sb="439" eb="441">
      <t>ハンバイ</t>
    </rPh>
    <rPh sb="447" eb="450">
      <t>セイサンセイ</t>
    </rPh>
    <rPh sb="451" eb="453">
      <t>ブンセキ</t>
    </rPh>
    <phoneticPr fontId="7"/>
  </si>
  <si>
    <r>
      <t xml:space="preserve">IMS that provides IT infrastructure and its management. (Cloud services included)
EX) Procurement, SW licenses(e.g. M365), Consulting/Project/Managed Service,  Helpdesk service, IaaS(Infrastructure as a service) 
</t>
    </r>
    <r>
      <rPr>
        <sz val="11"/>
        <rFont val="Arial"/>
        <family val="3"/>
      </rPr>
      <t>IT</t>
    </r>
    <r>
      <rPr>
        <sz val="11"/>
        <rFont val="Yu Gothic Medium"/>
        <family val="3"/>
        <charset val="128"/>
      </rPr>
      <t>インフラ構築とそれらを管理するサービス提供。クラウドサービス含む。</t>
    </r>
    <phoneticPr fontId="7"/>
  </si>
  <si>
    <t>5. Financial position:  Add "Lease Receivables"</t>
    <phoneticPr fontId="7"/>
  </si>
  <si>
    <t>6. Preconditions:  Add "Logistics cost"</t>
    <phoneticPr fontId="7"/>
  </si>
  <si>
    <r>
      <t>MGI related businesses (</t>
    </r>
    <r>
      <rPr>
        <sz val="11"/>
        <color rgb="FF0000FF"/>
        <rFont val="Arial"/>
        <family val="2"/>
      </rPr>
      <t>Jetvarnish/Alphajet/iFoil/CTS and others</t>
    </r>
    <r>
      <rPr>
        <sz val="11"/>
        <rFont val="Arial"/>
        <family val="2"/>
      </rPr>
      <t>)</t>
    </r>
    <phoneticPr fontId="7"/>
  </si>
  <si>
    <t>Recurring type of product sales, such as SaaS or PaaS. The following global products fall into this category; Dispatcher Paragon Cloud, Workplace Go, Shield Guard at subscription, Personalize at subscription, bizhub Evolution, Dispatcher Phoenix Cloud SaaS (service name is TBD).
&lt;Definition of recurring business model&gt;
To be considered Recurring the following three conditions must be met:
1. Paid to Konica Minolta at regular intervals (Annually, Quarterly, or Monthly)
2. Has a contract associated with it that ensures a fixed payment stream for a minimum term of 24 months, or 12 months with auto-renewal contract language.
3. Is guaranteed revenue not dependent on renewal, consumption*, or any other metric other than cancelation during the term.
*Consumption-based billing with a contracted minimum contracted baseline revenue commitment is acceptable.</t>
    <phoneticPr fontId="7"/>
  </si>
  <si>
    <r>
      <t xml:space="preserve">Recurring type of professional services, such as Managed IT Service, </t>
    </r>
    <r>
      <rPr>
        <sz val="11"/>
        <color rgb="FF0000FF"/>
        <rFont val="Arial"/>
        <family val="2"/>
      </rPr>
      <t xml:space="preserve">Maintenace (for perpetual SW license included renewals), Business Process Outsourcing(BPO)/Document Process Outsourcing(DPO), resource fulfillment, or cloud hosting service.
</t>
    </r>
    <r>
      <rPr>
        <sz val="11"/>
        <rFont val="Arial"/>
        <family val="2"/>
      </rPr>
      <t xml:space="preserve">
&lt;Definition of recurring business model&gt;
To be considered Recurring the following three conditions must be met:
1. Paid to Konica Minolta at regular intervals (Annually, Quarterly, or Monthly)
2. Has a contract associated with it that ensures a fixed payment stream for a minimus term of 24 months, or 12 months with auto-renewal contract language.
3. Is guaranteed revenue not dependent on renewal, consumption*, or any other metric other than cancelation during the term.
*Consumption-based billing with a contracted minimum contracted baseline revenue commitment is acceptable.</t>
    </r>
    <phoneticPr fontId="7"/>
  </si>
  <si>
    <t>7. Preconditions:  Add "Impact of soaring energy cost"</t>
    <phoneticPr fontId="7"/>
  </si>
  <si>
    <t>FY2023 Actual ver1.0</t>
    <phoneticPr fontId="111"/>
  </si>
  <si>
    <t>Hide</t>
    <phoneticPr fontId="111"/>
  </si>
  <si>
    <t>Instruction for FY23 BT Package</t>
    <phoneticPr fontId="140"/>
  </si>
  <si>
    <t>BR</t>
    <phoneticPr fontId="7"/>
  </si>
  <si>
    <t>K_RUB</t>
    <phoneticPr fontId="7"/>
  </si>
  <si>
    <t>data - Plan &amp; Actual Pkg : Monthly</t>
    <phoneticPr fontId="7"/>
  </si>
  <si>
    <t>for FY23 PL Actual Excel Input</t>
    <phoneticPr fontId="7"/>
  </si>
  <si>
    <t>Scenario : 01-2 - Actual</t>
    <phoneticPr fontId="7"/>
  </si>
  <si>
    <t>BT Global Management</t>
    <phoneticPr fontId="7"/>
  </si>
  <si>
    <t>FY23 OP</t>
    <phoneticPr fontId="111"/>
  </si>
  <si>
    <t/>
  </si>
  <si>
    <t>Apr 22</t>
  </si>
  <si>
    <t>May 22</t>
  </si>
  <si>
    <t>Jun 22</t>
  </si>
  <si>
    <t>Jul 22</t>
  </si>
  <si>
    <t>Aug 22</t>
  </si>
  <si>
    <t>Sep 22</t>
  </si>
  <si>
    <t>Oct 22</t>
  </si>
  <si>
    <t>Nov 22</t>
  </si>
  <si>
    <t>Dec 22</t>
  </si>
  <si>
    <t>Jan 23</t>
  </si>
  <si>
    <t>Feb 23</t>
  </si>
  <si>
    <t>Mar 23</t>
  </si>
  <si>
    <t>Q1</t>
  </si>
  <si>
    <t>FY23</t>
  </si>
  <si>
    <t>2-4. Fixed Cost in COGS(Cost of Goods Sales) by BU</t>
  </si>
  <si>
    <t>OK</t>
  </si>
  <si>
    <t>Apr/E</t>
  </si>
  <si>
    <t>May/E</t>
  </si>
  <si>
    <t>Jun/E</t>
  </si>
  <si>
    <t>Jul/E</t>
  </si>
  <si>
    <t>Aug/E</t>
  </si>
  <si>
    <t>Sep/E</t>
  </si>
  <si>
    <t>Oct/E</t>
  </si>
  <si>
    <t>Nov/E</t>
  </si>
  <si>
    <t>Dec/E</t>
  </si>
  <si>
    <t>Jan/E</t>
  </si>
  <si>
    <t>Feb/E</t>
  </si>
  <si>
    <t>Mar/E</t>
  </si>
  <si>
    <t>OP</t>
    <phoneticPr fontId="111"/>
  </si>
  <si>
    <t>Yr.</t>
  </si>
  <si>
    <t>1-3.Total Personnel Costs</t>
  </si>
  <si>
    <t>1-4.Break-down of Other Income, Other Expense</t>
  </si>
  <si>
    <t>2. P/L (2) - Overview by BU</t>
  </si>
  <si>
    <t>2-1. P/L Statement by BU</t>
  </si>
  <si>
    <t>Sales</t>
  </si>
  <si>
    <t>Pre-sales / Consultant</t>
  </si>
  <si>
    <t>Marketing / Business Development</t>
  </si>
  <si>
    <t>Admin / Others</t>
  </si>
  <si>
    <t>2-2. SG&amp;A: Allocation by BU</t>
  </si>
  <si>
    <t>(1)-1 Office: Excluding "Office Solution"</t>
  </si>
  <si>
    <t>3-1. Headcount Details</t>
  </si>
  <si>
    <t>3-2. Headcount by BU</t>
  </si>
  <si>
    <t>4. B/S (1) - Inventories</t>
  </si>
  <si>
    <t>4-1. Inventories</t>
  </si>
  <si>
    <t>(3) IP</t>
  </si>
  <si>
    <t>5. One Rate / Free to Fee</t>
  </si>
  <si>
    <t>5-1. One Rate  (included in Office/ITS)</t>
  </si>
  <si>
    <t>Net Sales (One Rate)</t>
  </si>
  <si>
    <t>5-2. Free to Fee  (included in Office/ITS)</t>
  </si>
  <si>
    <t>Net Sales (Free to Fee)</t>
  </si>
  <si>
    <t>6. Purchase</t>
  </si>
  <si>
    <t>6-1. Detail of Purchase</t>
  </si>
  <si>
    <t>6-2. Additional Purchase information</t>
  </si>
  <si>
    <t>6-3. Inventory Analysis</t>
  </si>
  <si>
    <t>IN Total</t>
  </si>
  <si>
    <t>OUT Total</t>
  </si>
  <si>
    <t>OUT check by BU</t>
  </si>
  <si>
    <t>7. CX2</t>
  </si>
  <si>
    <t>BUS ONLY</t>
  </si>
  <si>
    <t>R1</t>
  </si>
  <si>
    <t>8-1. Depreciation &amp; Amortization</t>
  </si>
  <si>
    <t>8-2. Notes and Accounts Receivable-Trade</t>
  </si>
  <si>
    <t>8-3. Notes and Accounts Payable-Trade</t>
  </si>
  <si>
    <t>8-4. IP Unit</t>
  </si>
  <si>
    <t>9. Other segments: BIC, IIS(Mobotix and DM)</t>
  </si>
  <si>
    <t>9-1. P/L: BT + BIC +IIS</t>
  </si>
  <si>
    <t>9-2. P/L Statement by BU</t>
  </si>
  <si>
    <t>9-3. Headcount : includes BIC, IIS(Mobotix and DM)</t>
  </si>
  <si>
    <t>(0) Total : BT + BIC +IIS</t>
  </si>
  <si>
    <t>(1) BIC</t>
  </si>
  <si>
    <t>(2) IIS (Imaging-IoT Solution)</t>
  </si>
  <si>
    <t>9-4. Inventories: BT + BIC +IIS</t>
  </si>
  <si>
    <t>10. Reference</t>
  </si>
  <si>
    <t>10-1. Variable Costing Income Statement</t>
  </si>
  <si>
    <t>AC</t>
  </si>
  <si>
    <t>AD</t>
  </si>
  <si>
    <t>AE</t>
    <phoneticPr fontId="7"/>
  </si>
  <si>
    <t>AF</t>
    <phoneticPr fontId="7"/>
  </si>
  <si>
    <t>AG</t>
    <phoneticPr fontId="7"/>
  </si>
  <si>
    <t>AH</t>
    <phoneticPr fontId="7"/>
  </si>
  <si>
    <t>AD</t>
    <phoneticPr fontId="7"/>
  </si>
  <si>
    <t>AI</t>
    <phoneticPr fontId="7"/>
  </si>
  <si>
    <t>'OP'!</t>
    <phoneticPr fontId="111"/>
  </si>
  <si>
    <t>'Previous'!</t>
    <phoneticPr fontId="111"/>
  </si>
  <si>
    <t>vs OP / vs FY22</t>
    <phoneticPr fontId="111"/>
  </si>
  <si>
    <t>Please copy&amp;paste "OP" sheet and "Previous" sheet as they are</t>
    <phoneticPr fontId="111"/>
  </si>
  <si>
    <t>Select period (1-12)</t>
    <phoneticPr fontId="111"/>
  </si>
  <si>
    <t>ex. Apr -&gt;1, Feb -&gt;2 ,,,Mar -&gt;12  *BBR: Jan -&gt;1, Feb -&gt;2 ,,,Dec -&gt;12</t>
    <phoneticPr fontId="111"/>
  </si>
  <si>
    <t>single month</t>
    <phoneticPr fontId="111"/>
  </si>
  <si>
    <t>Quarter (QTD)</t>
    <phoneticPr fontId="111"/>
  </si>
  <si>
    <t>Annual Year (YTD)</t>
    <phoneticPr fontId="111"/>
  </si>
  <si>
    <t>Result</t>
    <phoneticPr fontId="111"/>
  </si>
  <si>
    <t>vs OP</t>
    <phoneticPr fontId="111"/>
  </si>
  <si>
    <t>%</t>
    <phoneticPr fontId="111"/>
  </si>
  <si>
    <t>vs FY22</t>
    <phoneticPr fontId="111"/>
  </si>
  <si>
    <t>Sales Company - BUS</t>
    <phoneticPr fontId="7"/>
  </si>
  <si>
    <t>(Unit:1000LC)</t>
  </si>
  <si>
    <t>BT Global Management</t>
  </si>
  <si>
    <t>data - Plan &amp; Actual Pkg : Monthly</t>
  </si>
  <si>
    <t>Input fields, but not affect PL</t>
  </si>
  <si>
    <t>for FY22 PL Actual Excel Input</t>
  </si>
  <si>
    <t>Scenario : 01-2 - Actual</t>
  </si>
  <si>
    <t>Other Income</t>
  </si>
  <si>
    <t>Other Expenses</t>
  </si>
  <si>
    <t>Financial Income (Expenses), net</t>
  </si>
  <si>
    <t>Tax Expenses &amp; Others</t>
  </si>
  <si>
    <t>Selling Expenses</t>
  </si>
  <si>
    <t>Adverting Expenses</t>
  </si>
  <si>
    <t>Logistics Expense</t>
  </si>
  <si>
    <t>Variable Wages &amp; Salaries</t>
  </si>
  <si>
    <t>Fixed Wages &amp; Salaries</t>
  </si>
  <si>
    <t>Retirement Benefit Cost</t>
  </si>
  <si>
    <t xml:space="preserve">Traveling Expenses </t>
  </si>
  <si>
    <t xml:space="preserve">Depreciation &amp; Amortization </t>
  </si>
  <si>
    <t>Repair and Maintenance</t>
  </si>
  <si>
    <t>Rent Expenses</t>
  </si>
  <si>
    <t xml:space="preserve">Service Charges and Fees </t>
  </si>
  <si>
    <t>Included in COGS （Field Service cost /Service Desk Cost）</t>
  </si>
  <si>
    <t>Included in SG&amp;A (Wages &amp; Salaries）</t>
  </si>
  <si>
    <t xml:space="preserve">Other income </t>
  </si>
  <si>
    <t>Other Expense</t>
  </si>
  <si>
    <t>New</t>
  </si>
  <si>
    <t>Cost Allocation Ratio [Allocation to Office] (%)</t>
  </si>
  <si>
    <t>SG&amp;A: Allocation</t>
  </si>
  <si>
    <t>Allocation cost in total SGA (%)</t>
  </si>
  <si>
    <t>KMI</t>
  </si>
  <si>
    <t>Direct</t>
  </si>
  <si>
    <t>Indirect</t>
  </si>
  <si>
    <t>Field Service Cost</t>
  </si>
  <si>
    <t>Service Desk Cost</t>
  </si>
  <si>
    <t>For KMJ Only</t>
  </si>
  <si>
    <t>(Formula: Gross Profit / Net Sales)</t>
  </si>
  <si>
    <t>Hard (%)</t>
  </si>
  <si>
    <t>Non-hard (%)</t>
  </si>
  <si>
    <t>Others (%)</t>
  </si>
  <si>
    <t>(1)-2 "Office Solution" only</t>
  </si>
  <si>
    <t>*Allocation is acceptable</t>
  </si>
  <si>
    <t>Operation Profit</t>
  </si>
  <si>
    <t>(2) PP</t>
  </si>
  <si>
    <t>Solution (%)</t>
  </si>
  <si>
    <t>Cost Allocation Ratio [Allocation to PP] (%)</t>
  </si>
  <si>
    <t>Hard &amp; Solution</t>
  </si>
  <si>
    <t>Label Printer</t>
  </si>
  <si>
    <t>MGI</t>
  </si>
  <si>
    <t>EFI/LF</t>
  </si>
  <si>
    <t>Hard &amp; Solution (%)</t>
  </si>
  <si>
    <t>Label Printer (%)</t>
  </si>
  <si>
    <t>MGI (%)</t>
  </si>
  <si>
    <t>EFI/LF (%)</t>
  </si>
  <si>
    <t>Textile Printer (%)</t>
  </si>
  <si>
    <t>Cost Allocation Ratio [Allocation to IP] (%)</t>
  </si>
  <si>
    <t>(4) MS (Marketing Service)</t>
  </si>
  <si>
    <t>MPM</t>
  </si>
  <si>
    <t>ODP</t>
  </si>
  <si>
    <t>MPM(%)</t>
  </si>
  <si>
    <t>Procurement (%)</t>
  </si>
  <si>
    <t>Production (%)</t>
  </si>
  <si>
    <t>ODP(%)</t>
  </si>
  <si>
    <t>On Demand Printing (%)</t>
  </si>
  <si>
    <t>Marketing Service (%)</t>
  </si>
  <si>
    <t>Digital Solution (%)</t>
  </si>
  <si>
    <t>ODP New Business (%)</t>
  </si>
  <si>
    <t>Fixed Cost in COGS</t>
  </si>
  <si>
    <t>Cost Allocation Ratio [Allocation to MS] (%)</t>
  </si>
  <si>
    <t>(5) DW-DX</t>
  </si>
  <si>
    <t>ITS</t>
  </si>
  <si>
    <t>ICW</t>
  </si>
  <si>
    <t>ICW-IT (WPH,BNDK, DevOps) *OLD: WPH#1</t>
  </si>
  <si>
    <t>ICW-WK (JP Gov't DX biz, KMJ #3, BUS HC IT, FORXAI Secure Access)</t>
  </si>
  <si>
    <t>ICW-P (New DevOps) *New</t>
  </si>
  <si>
    <t>ITS (%)</t>
  </si>
  <si>
    <t>IMS (%)</t>
  </si>
  <si>
    <t>MCS (%)</t>
  </si>
  <si>
    <t>BPS (%)</t>
  </si>
  <si>
    <t>ICW (%)</t>
  </si>
  <si>
    <t>ICW-IT (%)</t>
  </si>
  <si>
    <t>ICW-WK (%)</t>
  </si>
  <si>
    <t>ICW-P (%)</t>
  </si>
  <si>
    <t>Breakdown of SG&amp;A: ICW</t>
  </si>
  <si>
    <t>Breakdown of SG&amp;A: ITS (except ICW)</t>
  </si>
  <si>
    <t>BCP: ITS</t>
  </si>
  <si>
    <t>BCP: ICW</t>
  </si>
  <si>
    <t>SG&amp;A: Allocation rate to DW-DX (%)</t>
  </si>
  <si>
    <t>Allocation cost</t>
  </si>
  <si>
    <t>Allocation rate to Office (%)</t>
  </si>
  <si>
    <t>Allocation rate to PP (%)</t>
  </si>
  <si>
    <t>Allocation rate to IP (%)</t>
  </si>
  <si>
    <t>(4) MS</t>
  </si>
  <si>
    <t>Allocation rate to MS (%)</t>
  </si>
  <si>
    <t>Allocation rate to DW-DX (%)</t>
  </si>
  <si>
    <t>Office A3</t>
  </si>
  <si>
    <t>Office A4</t>
  </si>
  <si>
    <t>Copy Click (Kit)</t>
  </si>
  <si>
    <t>Non Contract</t>
  </si>
  <si>
    <t>Consumables</t>
  </si>
  <si>
    <t>Parts</t>
  </si>
  <si>
    <t>&lt;Direct&gt;Field Service Cost (-)</t>
  </si>
  <si>
    <t>Traveling Expenses(Service)</t>
  </si>
  <si>
    <t>&lt;Direct&gt;Service Desk Cost (-)</t>
  </si>
  <si>
    <t>&lt;Direct&gt;Depreciation &amp; Amortization (-)</t>
  </si>
  <si>
    <t>&lt;Indirect&gt;Field Service Cost (-)</t>
  </si>
  <si>
    <t>&lt;Indirect&gt;Service Desk Cost (-)</t>
  </si>
  <si>
    <t>&lt;Indirect&gt;Depreciation &amp; Amortization (-)</t>
  </si>
  <si>
    <t>*one shot/recurring: please follow the definition of DW-DX</t>
  </si>
  <si>
    <t>Hardware</t>
  </si>
  <si>
    <t>Software</t>
  </si>
  <si>
    <t>Professional Service</t>
  </si>
  <si>
    <t>&lt;Direct&gt; Field Service Cost (-)</t>
  </si>
  <si>
    <t>&lt;Direct&gt; Service Desk Cost (-)</t>
  </si>
  <si>
    <t>&lt;Indirect&gt; Field Service Cost (-)</t>
  </si>
  <si>
    <t>&lt;Indirect&gt; Service Desk Cost (-)</t>
  </si>
  <si>
    <t>Field Service Cost (-)</t>
  </si>
  <si>
    <t xml:space="preserve">Label Printer </t>
  </si>
  <si>
    <t>&lt;Direct&gt; Depreciation &amp; Amortization (-)</t>
  </si>
  <si>
    <t>&lt;Indirect&gt; Depreciation &amp; Amortization (-)</t>
  </si>
  <si>
    <t>(1) Office TTL</t>
  </si>
  <si>
    <t>(1)-1. Office ※Excluding Office Solution</t>
  </si>
  <si>
    <t xml:space="preserve">3. Headcount </t>
  </si>
  <si>
    <t>Semi-Full-Time/Part-Time Employees /Contractors</t>
  </si>
  <si>
    <t>Direct sales engineers (Pre-sales/Consultant)</t>
  </si>
  <si>
    <t>Remote Engineer (Help Desk, Customer support)</t>
  </si>
  <si>
    <t>(0) Total Inventories</t>
  </si>
  <si>
    <t>from BT</t>
  </si>
  <si>
    <t>Label</t>
  </si>
  <si>
    <t>from 3rd Party</t>
  </si>
  <si>
    <t>Refer to Definition</t>
  </si>
  <si>
    <t>Unit Sales (One Rate)</t>
  </si>
  <si>
    <t>(Unit)</t>
  </si>
  <si>
    <t xml:space="preserve">Not include Incidental Cost </t>
  </si>
  <si>
    <t>KMJ/BUS/BEU Stand Alone/BAU/BCN/BHK/BSA/BME/BIN/BBR　ONLY</t>
  </si>
  <si>
    <t>Total Purchase amount (①+②+③+④)</t>
  </si>
  <si>
    <t>Total BT-Gr Purchase amount（①+②+③）</t>
  </si>
  <si>
    <t>RR</t>
  </si>
  <si>
    <t>BT Support/Discount</t>
  </si>
  <si>
    <t>Others(KM1,EFI/LF,Textile,others)</t>
  </si>
  <si>
    <t>④Other (3rd Party） Suppliers</t>
  </si>
  <si>
    <t>KMJ/BEU Stand Alone/BCN ONLY</t>
  </si>
  <si>
    <t>RR Purchase</t>
  </si>
  <si>
    <t>(for BEU)</t>
  </si>
  <si>
    <t>Purchase for Aurora</t>
  </si>
  <si>
    <t>(for BCN)</t>
  </si>
  <si>
    <t>Purchase for Murata</t>
  </si>
  <si>
    <t>(for KMJ)</t>
  </si>
  <si>
    <t>(for KMJ/BEU/BCN)</t>
  </si>
  <si>
    <t>CHK--&gt;</t>
  </si>
  <si>
    <t>KMJ/BUS/BEU Stand Alone/BCN/BSA-Cons/BAU/BIN ONLY</t>
  </si>
  <si>
    <t>Others(3rd Party)</t>
  </si>
  <si>
    <t>Incidental Cost</t>
  </si>
  <si>
    <t>&lt; free input                            &gt;</t>
  </si>
  <si>
    <t>Transfer from Inventory</t>
  </si>
  <si>
    <t>Office</t>
  </si>
  <si>
    <t>except BT Support (HW, NH)</t>
  </si>
  <si>
    <t>BT Support</t>
  </si>
  <si>
    <t>PP</t>
  </si>
  <si>
    <t>IP, DW-DX, Others</t>
  </si>
  <si>
    <t>balance CHK--&gt;</t>
  </si>
  <si>
    <t>Office &lt;OUT&gt;</t>
  </si>
  <si>
    <t>PP &lt;OUT&gt;</t>
  </si>
  <si>
    <t>Others &lt;OUT&gt;</t>
  </si>
  <si>
    <t>Others of Others</t>
  </si>
  <si>
    <t>difference check.</t>
  </si>
  <si>
    <t>New Customer *</t>
  </si>
  <si>
    <t>Number of Purchase Account</t>
  </si>
  <si>
    <t>HW</t>
  </si>
  <si>
    <t>*</t>
  </si>
  <si>
    <t>NH</t>
  </si>
  <si>
    <t>Those are newly acquired</t>
  </si>
  <si>
    <t xml:space="preserve"> by EC business.</t>
  </si>
  <si>
    <t>GP</t>
  </si>
  <si>
    <t>Existing Customer **</t>
  </si>
  <si>
    <t xml:space="preserve">Those are existing </t>
  </si>
  <si>
    <t xml:space="preserve">customers by </t>
  </si>
  <si>
    <t>organic transaction.</t>
  </si>
  <si>
    <t>Depreciation &amp; Amortization  included in COCS</t>
  </si>
  <si>
    <t>Depreciation &amp; Amortization  included in SGA</t>
  </si>
  <si>
    <t>Same Segment</t>
  </si>
  <si>
    <t>Inter Segment &amp; Outside</t>
  </si>
  <si>
    <t>IP</t>
  </si>
  <si>
    <t>bh PRESS C71cf/AccurioLabel 190</t>
  </si>
  <si>
    <t>TTL</t>
  </si>
  <si>
    <t>*Mobotix and DM have been merged into IIS</t>
  </si>
  <si>
    <t>MX</t>
  </si>
  <si>
    <t>Product</t>
  </si>
  <si>
    <t>Camera Device</t>
  </si>
  <si>
    <t>SW/Apps</t>
  </si>
  <si>
    <t>Service</t>
  </si>
  <si>
    <t>Onetime</t>
  </si>
  <si>
    <t>Recurring</t>
  </si>
  <si>
    <t>DM</t>
  </si>
  <si>
    <t>Gas</t>
  </si>
  <si>
    <t>(Excludes Sales to IIS Business Unit)</t>
  </si>
  <si>
    <t>MarketingTotal</t>
  </si>
  <si>
    <t>1. Headcount Details</t>
  </si>
  <si>
    <t>(0) Total Inventories includes other Segment</t>
  </si>
  <si>
    <t>(6) BIC</t>
  </si>
  <si>
    <t>(7) IIS (Imaging-IoT Solution)</t>
  </si>
  <si>
    <t>Purchased from HMX</t>
  </si>
  <si>
    <t>A</t>
  </si>
  <si>
    <t>Variable Cost</t>
  </si>
  <si>
    <t>B</t>
  </si>
  <si>
    <t>COGS (material cost)</t>
  </si>
  <si>
    <t>Wages &amp; Salaries (SG&amp;A - variable)</t>
  </si>
  <si>
    <t>SG&amp;A variable (ex.Selling expenses/ Advertising expenses)</t>
  </si>
  <si>
    <t>Marginal Profit</t>
  </si>
  <si>
    <t>C = A - B</t>
  </si>
  <si>
    <t>D = C / A</t>
  </si>
  <si>
    <t>Fixed Cost</t>
  </si>
  <si>
    <t>E</t>
  </si>
  <si>
    <t>COGS (ex. field service cost/ Service desk cost)</t>
  </si>
  <si>
    <t>Wages &amp; Salaries (SG&amp;A - fixed)</t>
  </si>
  <si>
    <t>SG&amp;A fixed (ex.SG&amp;A Fixed expenses)</t>
  </si>
  <si>
    <t>Break-even Point Net Sales</t>
  </si>
  <si>
    <t>F = E / D</t>
  </si>
  <si>
    <t>G = F / A</t>
  </si>
  <si>
    <t>BCP</t>
  </si>
  <si>
    <t>H = C - D</t>
  </si>
  <si>
    <t>Variable cost (Material Cost + SG&amp;A variable)</t>
  </si>
  <si>
    <t>Others (inc. SG&amp;A variable)</t>
  </si>
  <si>
    <t>Marginal Profit %</t>
  </si>
  <si>
    <t>COGs</t>
  </si>
  <si>
    <t>SG&amp;A</t>
  </si>
  <si>
    <t>SG&amp;A variable</t>
  </si>
  <si>
    <t>MTP23-25 &amp; FY23 Original Plan ver1.0</t>
  </si>
  <si>
    <t>No Anaplan upload</t>
  </si>
  <si>
    <t>MTP</t>
  </si>
  <si>
    <t>FY23 Original Plan</t>
  </si>
  <si>
    <t>RF</t>
  </si>
  <si>
    <t>IIM</t>
  </si>
  <si>
    <t>IIM (%)</t>
  </si>
  <si>
    <t>BCP: IMS</t>
  </si>
  <si>
    <t>BCP: IIM</t>
  </si>
  <si>
    <t>BCP: MCS</t>
  </si>
  <si>
    <t>BCP: BPS</t>
  </si>
  <si>
    <t>Billable Full-Time Employees / Temporary Transfer</t>
  </si>
  <si>
    <t>Billable Semi-Full-Time/Part-Time Employees /Contractors</t>
  </si>
  <si>
    <t>Show</t>
  </si>
  <si>
    <t>2023/04/10 13:50:31</t>
  </si>
  <si>
    <t>Last Refresh: 2023/04/10 13:51:13</t>
    <phoneticPr fontId="7"/>
  </si>
  <si>
    <t>Due date of FY23 submission</t>
    <phoneticPr fontId="140"/>
  </si>
  <si>
    <r>
      <t xml:space="preserve">Due date of </t>
    </r>
    <r>
      <rPr>
        <b/>
        <u/>
        <sz val="14"/>
        <color theme="4"/>
        <rFont val="Arial"/>
        <family val="2"/>
      </rPr>
      <t>Unit Report</t>
    </r>
    <phoneticPr fontId="140"/>
  </si>
  <si>
    <r>
      <t xml:space="preserve">Due date of </t>
    </r>
    <r>
      <rPr>
        <b/>
        <u/>
        <sz val="14"/>
        <color theme="4"/>
        <rFont val="Arial"/>
        <family val="2"/>
      </rPr>
      <t>BT-Package</t>
    </r>
    <phoneticPr fontId="140"/>
  </si>
  <si>
    <r>
      <t xml:space="preserve">Due date of </t>
    </r>
    <r>
      <rPr>
        <b/>
        <u/>
        <sz val="14"/>
        <color theme="4"/>
        <rFont val="Arial"/>
        <family val="2"/>
      </rPr>
      <t>CEO Report</t>
    </r>
    <phoneticPr fontId="140"/>
  </si>
  <si>
    <t>Reference: Stravis-Link</t>
    <phoneticPr fontId="140"/>
  </si>
  <si>
    <t>[BUS/BEU/KMJ/BCN/BHK/BSA/BAU/BIN]</t>
    <phoneticPr fontId="140"/>
  </si>
  <si>
    <t>Reporting Period</t>
    <phoneticPr fontId="7"/>
  </si>
  <si>
    <r>
      <rPr>
        <sz val="11"/>
        <rFont val="Arial"/>
        <family val="2"/>
      </rPr>
      <t xml:space="preserve">Due date of </t>
    </r>
    <r>
      <rPr>
        <b/>
        <sz val="11"/>
        <rFont val="Arial"/>
        <family val="2"/>
      </rPr>
      <t>Unit Report</t>
    </r>
    <phoneticPr fontId="7"/>
  </si>
  <si>
    <r>
      <rPr>
        <sz val="11"/>
        <rFont val="Arial"/>
        <family val="2"/>
      </rPr>
      <t xml:space="preserve">Due date of </t>
    </r>
    <r>
      <rPr>
        <b/>
        <sz val="11"/>
        <rFont val="Arial"/>
        <family val="2"/>
      </rPr>
      <t>BT-Package</t>
    </r>
    <phoneticPr fontId="140"/>
  </si>
  <si>
    <r>
      <rPr>
        <sz val="11"/>
        <rFont val="Arial"/>
        <family val="2"/>
      </rPr>
      <t xml:space="preserve">Due date of </t>
    </r>
    <r>
      <rPr>
        <b/>
        <sz val="11"/>
        <rFont val="Arial"/>
        <family val="2"/>
      </rPr>
      <t>CEO Report</t>
    </r>
    <phoneticPr fontId="140"/>
  </si>
  <si>
    <t>Due date of Stravis-Link</t>
    <phoneticPr fontId="140"/>
  </si>
  <si>
    <t>1st Month</t>
    <phoneticPr fontId="140"/>
  </si>
  <si>
    <t>April, 2023</t>
  </si>
  <si>
    <t>May 5, 2023
(Japan: May 9, 2023)</t>
    <phoneticPr fontId="140"/>
  </si>
  <si>
    <t>May 8, 2023
(Japan: May 10, 2023)</t>
    <phoneticPr fontId="140"/>
  </si>
  <si>
    <t>May 12, 2023
(Japan: May 16, 2023)</t>
    <phoneticPr fontId="140"/>
  </si>
  <si>
    <t>2nd Month</t>
  </si>
  <si>
    <t>May, 2023</t>
  </si>
  <si>
    <t>3rd Month</t>
  </si>
  <si>
    <t>Jun, 2023</t>
  </si>
  <si>
    <t>July 6, 2023
(US: July 7, 2023)</t>
  </si>
  <si>
    <t>July 14, 2023
(US: July 17, 2023)</t>
  </si>
  <si>
    <t>4th Month</t>
  </si>
  <si>
    <t>July, 2023</t>
  </si>
  <si>
    <t>August 8, 2023
(Japan: August 10, 2023)</t>
  </si>
  <si>
    <t>August 14, 2023
(Japan: August 17, 2023)</t>
    <phoneticPr fontId="140"/>
  </si>
  <si>
    <t>5th Month</t>
  </si>
  <si>
    <t>August, 2023</t>
  </si>
  <si>
    <t>September 6, 2023
(US: September 7, 2023)</t>
  </si>
  <si>
    <t>September 7, 2023
(US: September 8, 2023)</t>
  </si>
  <si>
    <t>September 13, 2023
(US: September 14, 2023)</t>
    <phoneticPr fontId="140"/>
  </si>
  <si>
    <t>6th Month</t>
  </si>
  <si>
    <t>September, 2023</t>
  </si>
  <si>
    <t>October 9, 2023
(Japan: October 10, 2023)</t>
    <phoneticPr fontId="140"/>
  </si>
  <si>
    <t>October 13, 2023
(Japan: October 16, 2023)</t>
    <phoneticPr fontId="140"/>
  </si>
  <si>
    <t>7th Month</t>
  </si>
  <si>
    <t>October, 2023</t>
  </si>
  <si>
    <t>November 6, 2023
(Japan: November 7, 2023)</t>
    <phoneticPr fontId="140"/>
  </si>
  <si>
    <t>November 7, 2023
(Japan: November 8, 2023)</t>
  </si>
  <si>
    <t>8th Month</t>
  </si>
  <si>
    <t>November, 2023</t>
  </si>
  <si>
    <t>9th Month</t>
  </si>
  <si>
    <t>December, 2023</t>
  </si>
  <si>
    <t>January 5, 2024
(Japan: January 10, 2024)</t>
  </si>
  <si>
    <t>January 10, 2024
(Japan: January 12, 2024)</t>
    <phoneticPr fontId="140"/>
  </si>
  <si>
    <t>January 16, 2024
(Japan: January 17, 2024)</t>
    <phoneticPr fontId="140"/>
  </si>
  <si>
    <t>January 10, 2024
(Japan: January 11, 2024)</t>
  </si>
  <si>
    <t>10th Month</t>
  </si>
  <si>
    <t>January, 2024</t>
  </si>
  <si>
    <t>11th Month</t>
  </si>
  <si>
    <t>February, 2024</t>
  </si>
  <si>
    <t>12th Month</t>
  </si>
  <si>
    <t>March, 2024</t>
  </si>
  <si>
    <t>TBD</t>
    <phoneticPr fontId="140"/>
  </si>
  <si>
    <t xml:space="preserve">[BBR Only] </t>
  </si>
  <si>
    <r>
      <rPr>
        <sz val="10"/>
        <rFont val="Arial"/>
        <family val="2"/>
      </rPr>
      <t xml:space="preserve">Due date of </t>
    </r>
    <r>
      <rPr>
        <b/>
        <sz val="10"/>
        <rFont val="Arial"/>
        <family val="2"/>
      </rPr>
      <t>Unit Report</t>
    </r>
    <phoneticPr fontId="7"/>
  </si>
  <si>
    <r>
      <rPr>
        <sz val="10"/>
        <rFont val="Arial"/>
        <family val="2"/>
      </rPr>
      <t xml:space="preserve">Due date of </t>
    </r>
    <r>
      <rPr>
        <b/>
        <sz val="10"/>
        <rFont val="Arial"/>
        <family val="2"/>
      </rPr>
      <t>BT-Package</t>
    </r>
    <phoneticPr fontId="140"/>
  </si>
  <si>
    <t>1st Month</t>
  </si>
  <si>
    <t>Apr, 2023</t>
  </si>
  <si>
    <t>Jul, 2023</t>
  </si>
  <si>
    <t>Aug, 2023</t>
  </si>
  <si>
    <t>Sep, 2023</t>
  </si>
  <si>
    <t>Oct, 2023</t>
  </si>
  <si>
    <t>Nov, 2023</t>
  </si>
  <si>
    <t>Dec, 2023</t>
  </si>
  <si>
    <t>Jan, 2024</t>
  </si>
  <si>
    <t>Feb, 2024</t>
  </si>
  <si>
    <t>Mar, 2024</t>
  </si>
  <si>
    <t>'OP'!</t>
    <phoneticPr fontId="110"/>
  </si>
  <si>
    <t>'Previous'!</t>
    <phoneticPr fontId="110"/>
  </si>
  <si>
    <t>Prev</t>
    <phoneticPr fontId="110"/>
  </si>
  <si>
    <t>OP</t>
    <phoneticPr fontId="110"/>
  </si>
  <si>
    <t>FY2022 Actual ver1.0</t>
    <phoneticPr fontId="110"/>
  </si>
  <si>
    <t>Last Refresh: 11-05-2022 12:09:15</t>
  </si>
  <si>
    <t>(Unit:1000LC)</t>
    <phoneticPr fontId="110"/>
  </si>
  <si>
    <t>When using Excel Add-in, please reduce the number of Excel workbooks opened at the same time.</t>
    <phoneticPr fontId="110"/>
  </si>
  <si>
    <t>vs OP / vs FY21</t>
    <phoneticPr fontId="110"/>
  </si>
  <si>
    <t>Please copy&amp;paste "OP" sheet and "Previous" sheet as they are</t>
    <phoneticPr fontId="110"/>
  </si>
  <si>
    <t>RF</t>
    <phoneticPr fontId="110"/>
  </si>
  <si>
    <t>Select period (1-12)</t>
    <phoneticPr fontId="110"/>
  </si>
  <si>
    <t>Input fields, but not affect PL</t>
    <phoneticPr fontId="110"/>
  </si>
  <si>
    <t>12</t>
    <phoneticPr fontId="110"/>
  </si>
  <si>
    <t>ex. Apr -&gt;1, Feb -&gt;2 ,,,Mar -&gt;12  *BBR: Jan -&gt;1, Feb -&gt;2 ,,,Dec -&gt;12</t>
    <phoneticPr fontId="110"/>
  </si>
  <si>
    <t>1. P/L (1) - Overview</t>
    <phoneticPr fontId="110"/>
  </si>
  <si>
    <t>Sales Company - BIN</t>
  </si>
  <si>
    <t>1-1. P/L Statement</t>
    <phoneticPr fontId="110"/>
  </si>
  <si>
    <t xml:space="preserve"> </t>
  </si>
  <si>
    <t>single month</t>
    <phoneticPr fontId="110"/>
  </si>
  <si>
    <t>Quarter (QTD)</t>
    <phoneticPr fontId="110"/>
  </si>
  <si>
    <t>Annual Year (YTD)</t>
    <phoneticPr fontId="110"/>
  </si>
  <si>
    <t>2022/05/10 15:33:48</t>
  </si>
  <si>
    <t>Q1</t>
    <phoneticPr fontId="110"/>
  </si>
  <si>
    <t>Result</t>
    <phoneticPr fontId="110"/>
  </si>
  <si>
    <t>vs OP</t>
    <phoneticPr fontId="110"/>
  </si>
  <si>
    <t>%</t>
    <phoneticPr fontId="110"/>
  </si>
  <si>
    <t>FY21</t>
    <phoneticPr fontId="110"/>
  </si>
  <si>
    <t>vs FY21</t>
    <phoneticPr fontId="110"/>
  </si>
  <si>
    <t>BT Consolidated Sales</t>
    <phoneticPr fontId="110"/>
  </si>
  <si>
    <t>(%)</t>
    <phoneticPr fontId="110"/>
  </si>
  <si>
    <t>Variable Expenses</t>
    <phoneticPr fontId="110"/>
  </si>
  <si>
    <t>Wages &amp; Salaries</t>
    <phoneticPr fontId="110"/>
  </si>
  <si>
    <t>Fixed Expenses</t>
    <phoneticPr fontId="110"/>
  </si>
  <si>
    <t>Business Contribution Profit</t>
    <phoneticPr fontId="110"/>
  </si>
  <si>
    <t>Other Income</t>
    <phoneticPr fontId="110"/>
  </si>
  <si>
    <t>Other Expenses</t>
    <phoneticPr fontId="110"/>
  </si>
  <si>
    <t>Operating Profit</t>
    <phoneticPr fontId="110"/>
  </si>
  <si>
    <t>Financial Income (Expenses), net</t>
    <phoneticPr fontId="110"/>
  </si>
  <si>
    <t>Financial Income</t>
    <phoneticPr fontId="110"/>
  </si>
  <si>
    <t>Financial Expenses</t>
    <phoneticPr fontId="110"/>
  </si>
  <si>
    <t>Tax Expenses &amp; Others</t>
    <phoneticPr fontId="110"/>
  </si>
  <si>
    <t>Net Profit</t>
    <phoneticPr fontId="110"/>
  </si>
  <si>
    <t>Selling Expenses</t>
    <phoneticPr fontId="6"/>
  </si>
  <si>
    <t>Adverting Expenses</t>
    <phoneticPr fontId="6"/>
  </si>
  <si>
    <t>Logistics Expense</t>
    <phoneticPr fontId="6"/>
  </si>
  <si>
    <t>Variable Wages &amp; Salaries</t>
    <phoneticPr fontId="6"/>
  </si>
  <si>
    <t>Fixed Wages &amp; Salaries</t>
    <phoneticPr fontId="6"/>
  </si>
  <si>
    <t>Retirement Benefit Cost</t>
    <phoneticPr fontId="6"/>
  </si>
  <si>
    <t xml:space="preserve">Traveling Expenses </t>
    <phoneticPr fontId="6"/>
  </si>
  <si>
    <t xml:space="preserve">Depreciation &amp; Amortization </t>
    <phoneticPr fontId="6"/>
  </si>
  <si>
    <t>Repair and Maintenance</t>
    <phoneticPr fontId="6"/>
  </si>
  <si>
    <t>Rent Expenses</t>
    <phoneticPr fontId="6"/>
  </si>
  <si>
    <t xml:space="preserve">Service Charges and Fees </t>
    <phoneticPr fontId="6"/>
  </si>
  <si>
    <t>Other Expenses</t>
    <phoneticPr fontId="6"/>
  </si>
  <si>
    <t>1-3.Total Personnel Costs</t>
    <phoneticPr fontId="6"/>
  </si>
  <si>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</si>
  <si>
    <r>
      <t>Included in SG&amp;</t>
    </r>
    <r>
      <rPr>
        <sz val="11"/>
        <rFont val="Arial"/>
        <family val="2"/>
      </rPr>
      <t>A (Wages &amp; Salaries</t>
    </r>
    <r>
      <rPr>
        <sz val="11"/>
        <rFont val="ＭＳ Ｐゴシック"/>
        <family val="3"/>
        <charset val="128"/>
      </rPr>
      <t>）</t>
    </r>
  </si>
  <si>
    <t>1-4.Break-down of Other Income, Other Expense</t>
    <phoneticPr fontId="6"/>
  </si>
  <si>
    <t xml:space="preserve">Other income </t>
    <phoneticPr fontId="6"/>
  </si>
  <si>
    <t>Rent income from Property, Plant and Equipment</t>
    <phoneticPr fontId="6"/>
  </si>
  <si>
    <t>Commissions and Fees Income</t>
    <phoneticPr fontId="6"/>
  </si>
  <si>
    <t>Gains on Sales of Asset</t>
    <phoneticPr fontId="6"/>
  </si>
  <si>
    <t>Government support</t>
    <phoneticPr fontId="6"/>
  </si>
  <si>
    <t>Other Expense</t>
    <phoneticPr fontId="6"/>
  </si>
  <si>
    <t xml:space="preserve">Losses on Sales of Asset, Disposal of Asset </t>
    <phoneticPr fontId="6"/>
  </si>
  <si>
    <t>Impairment Loss</t>
    <phoneticPr fontId="6"/>
  </si>
  <si>
    <t xml:space="preserve">Restructuring Expense </t>
    <phoneticPr fontId="6"/>
  </si>
  <si>
    <t>Expense for layoff benefit</t>
    <phoneticPr fontId="110"/>
  </si>
  <si>
    <t>2. P/L (2) - Overview by BU</t>
    <phoneticPr fontId="110"/>
  </si>
  <si>
    <t>2-1. P/L Statement by BU</t>
    <phoneticPr fontId="110"/>
  </si>
  <si>
    <t>New</t>
    <phoneticPr fontId="110"/>
  </si>
  <si>
    <t>Moved</t>
    <phoneticPr fontId="110"/>
  </si>
  <si>
    <t>Cost Allocation Ratio [Allocation to Office] (%)</t>
    <phoneticPr fontId="110"/>
  </si>
  <si>
    <t>SG&amp;A: Allocation</t>
    <phoneticPr fontId="110"/>
  </si>
  <si>
    <t>Allocation cost in total SGA (%)</t>
    <phoneticPr fontId="110"/>
  </si>
  <si>
    <r>
      <t xml:space="preserve">(1)-1 Office: </t>
    </r>
    <r>
      <rPr>
        <b/>
        <sz val="11"/>
        <color rgb="FFFF0000"/>
        <rFont val="Arial"/>
        <family val="2"/>
      </rPr>
      <t>Excluding "Office Solution"</t>
    </r>
  </si>
  <si>
    <t>Net Sales</t>
    <phoneticPr fontId="110"/>
  </si>
  <si>
    <t>(Includes Sales to BT-Gr. Companies)</t>
    <phoneticPr fontId="110"/>
  </si>
  <si>
    <t>(Excludes Sales to BT-Gr. Companies)</t>
    <phoneticPr fontId="110"/>
  </si>
  <si>
    <t>Cost of Sales</t>
    <phoneticPr fontId="6"/>
  </si>
  <si>
    <t>KMI</t>
    <phoneticPr fontId="6"/>
  </si>
  <si>
    <t>Material Cost(Toner, Parts, Consumable)</t>
    <phoneticPr fontId="110"/>
  </si>
  <si>
    <t>Direct</t>
    <phoneticPr fontId="110"/>
  </si>
  <si>
    <t>Indirect</t>
    <phoneticPr fontId="110"/>
  </si>
  <si>
    <t>Field Service Cost</t>
    <phoneticPr fontId="6"/>
  </si>
  <si>
    <t>Service Desk Cost</t>
    <phoneticPr fontId="6"/>
  </si>
  <si>
    <t>Depreciation &amp; Amortization</t>
    <phoneticPr fontId="110"/>
  </si>
  <si>
    <t>Others</t>
    <phoneticPr fontId="110"/>
  </si>
  <si>
    <t>For KMJ Only</t>
    <phoneticPr fontId="6"/>
  </si>
  <si>
    <t>(Formula: Gross Profit / Net Sales)</t>
    <phoneticPr fontId="110"/>
  </si>
  <si>
    <t>Hard (%)</t>
    <phoneticPr fontId="110"/>
  </si>
  <si>
    <t>Non-hard (%)</t>
    <phoneticPr fontId="110"/>
  </si>
  <si>
    <t>Others (%)</t>
    <phoneticPr fontId="110"/>
  </si>
  <si>
    <r>
      <t xml:space="preserve">(1)-2 </t>
    </r>
    <r>
      <rPr>
        <b/>
        <sz val="11"/>
        <color rgb="FFFF0000"/>
        <rFont val="Arial"/>
        <family val="2"/>
      </rPr>
      <t>"Office Solution" only</t>
    </r>
  </si>
  <si>
    <t>*Allocation is acceptable</t>
    <phoneticPr fontId="110"/>
  </si>
  <si>
    <t>Operation Profit</t>
    <phoneticPr fontId="110"/>
  </si>
  <si>
    <t>(2) PP</t>
    <phoneticPr fontId="110"/>
  </si>
  <si>
    <t>Solution (%)</t>
    <phoneticPr fontId="110"/>
  </si>
  <si>
    <t>Solution</t>
    <phoneticPr fontId="110"/>
  </si>
  <si>
    <t>Cost Allocation Ratio [Allocation to PP] (%)</t>
    <phoneticPr fontId="110"/>
  </si>
  <si>
    <t>(3) IP</t>
    <phoneticPr fontId="110"/>
  </si>
  <si>
    <t>Hard &amp; Solution</t>
    <phoneticPr fontId="110"/>
  </si>
  <si>
    <t>Label Printer</t>
    <phoneticPr fontId="110"/>
  </si>
  <si>
    <t>MGI</t>
    <phoneticPr fontId="110"/>
  </si>
  <si>
    <t>EFI/LF</t>
    <phoneticPr fontId="110"/>
  </si>
  <si>
    <t>Textile Printer</t>
    <phoneticPr fontId="110"/>
  </si>
  <si>
    <t>Non-hard</t>
    <phoneticPr fontId="110"/>
  </si>
  <si>
    <t>Hard &amp; Solution (%)</t>
    <phoneticPr fontId="110"/>
  </si>
  <si>
    <t>Label Printer (%)</t>
    <phoneticPr fontId="110"/>
  </si>
  <si>
    <t>MGI (%)</t>
    <phoneticPr fontId="110"/>
  </si>
  <si>
    <t>EFI/LF (%)</t>
    <phoneticPr fontId="110"/>
  </si>
  <si>
    <t>Textile Printer (%)</t>
    <phoneticPr fontId="110"/>
  </si>
  <si>
    <t>Cost Allocation Ratio [Allocation to IP] (%)</t>
    <phoneticPr fontId="110"/>
  </si>
  <si>
    <t>(4) MS (Marketing Service)</t>
    <phoneticPr fontId="110"/>
  </si>
  <si>
    <t>MPM</t>
    <phoneticPr fontId="110"/>
  </si>
  <si>
    <t>Procurement</t>
    <phoneticPr fontId="110"/>
  </si>
  <si>
    <t>Production</t>
    <phoneticPr fontId="110"/>
  </si>
  <si>
    <t>ODP</t>
    <phoneticPr fontId="110"/>
  </si>
  <si>
    <t>MPM(%)</t>
    <phoneticPr fontId="110"/>
  </si>
  <si>
    <t>Procurement (%)</t>
    <phoneticPr fontId="110"/>
  </si>
  <si>
    <t>Production (%)</t>
    <phoneticPr fontId="110"/>
  </si>
  <si>
    <t>ODP(%)</t>
    <phoneticPr fontId="110"/>
  </si>
  <si>
    <t>On Demand Printing (%)</t>
    <phoneticPr fontId="110"/>
  </si>
  <si>
    <t>Marketing Service (%)</t>
    <phoneticPr fontId="110"/>
  </si>
  <si>
    <t>Digital Solution (%)</t>
    <phoneticPr fontId="110"/>
  </si>
  <si>
    <t>ODP New Business (%)</t>
    <phoneticPr fontId="110"/>
  </si>
  <si>
    <t>Fixed Cost in COGS</t>
    <phoneticPr fontId="110"/>
  </si>
  <si>
    <t>Cost Allocation Ratio [Allocation to MS] (%)</t>
    <phoneticPr fontId="110"/>
  </si>
  <si>
    <t>(5) DW-DX</t>
    <phoneticPr fontId="110"/>
  </si>
  <si>
    <t>ITS</t>
    <phoneticPr fontId="110"/>
  </si>
  <si>
    <t>IMS</t>
    <phoneticPr fontId="110"/>
  </si>
  <si>
    <t>MCS</t>
    <phoneticPr fontId="110"/>
  </si>
  <si>
    <t>BPS</t>
    <phoneticPr fontId="110"/>
  </si>
  <si>
    <t>ICW</t>
    <phoneticPr fontId="110"/>
  </si>
  <si>
    <r>
      <t xml:space="preserve">ICW-IT (WPH,BNDK, DevOps) </t>
    </r>
    <r>
      <rPr>
        <i/>
        <sz val="9"/>
        <rFont val="Arial"/>
        <family val="2"/>
      </rPr>
      <t>*OLD: WPH#1</t>
    </r>
  </si>
  <si>
    <r>
      <t xml:space="preserve">ICW-WK </t>
    </r>
    <r>
      <rPr>
        <sz val="9"/>
        <rFont val="Arial"/>
        <family val="2"/>
      </rPr>
      <t>(JP Gov't DX biz, KMJ #3, BUS HC IT, FORXAI Secure Access)</t>
    </r>
  </si>
  <si>
    <r>
      <t xml:space="preserve">ICW-P (New DevOps) </t>
    </r>
    <r>
      <rPr>
        <i/>
        <sz val="9"/>
        <rFont val="Arial"/>
        <family val="2"/>
      </rPr>
      <t>*New</t>
    </r>
  </si>
  <si>
    <t>ITS (%)</t>
    <phoneticPr fontId="110"/>
  </si>
  <si>
    <t>IMS (%)</t>
    <phoneticPr fontId="110"/>
  </si>
  <si>
    <t>MCS (%)</t>
    <phoneticPr fontId="110"/>
  </si>
  <si>
    <t>BPS (%)</t>
    <phoneticPr fontId="110"/>
  </si>
  <si>
    <t>ICW (%)</t>
    <phoneticPr fontId="110"/>
  </si>
  <si>
    <t>ICW-IT (%)</t>
    <phoneticPr fontId="110"/>
  </si>
  <si>
    <t>ICW-WK (%)</t>
    <phoneticPr fontId="110"/>
  </si>
  <si>
    <t>ICW-P (%)</t>
    <phoneticPr fontId="110"/>
  </si>
  <si>
    <t>Breakdown of SG&amp;A: ICW</t>
    <phoneticPr fontId="110"/>
  </si>
  <si>
    <t>Breakdown of SG&amp;A: ITS (except ICW)</t>
    <phoneticPr fontId="110"/>
  </si>
  <si>
    <t>BCP: ITS</t>
    <phoneticPr fontId="110"/>
  </si>
  <si>
    <t>BCP: ICW</t>
    <phoneticPr fontId="110"/>
  </si>
  <si>
    <t>SG&amp;A: Allocation rate to DW-DX (%)</t>
    <phoneticPr fontId="110"/>
  </si>
  <si>
    <t>2-2. SG&amp;A: Allocation by BU</t>
    <phoneticPr fontId="110"/>
  </si>
  <si>
    <t>(0) Total</t>
    <phoneticPr fontId="110"/>
  </si>
  <si>
    <t>Allocation cost</t>
    <phoneticPr fontId="110"/>
  </si>
  <si>
    <t>(1) Office</t>
    <phoneticPr fontId="110"/>
  </si>
  <si>
    <t>Allocation rate to Office (%)</t>
    <phoneticPr fontId="110"/>
  </si>
  <si>
    <t>Allocation rate to PP (%)</t>
    <phoneticPr fontId="110"/>
  </si>
  <si>
    <t>Allocation rate to IP (%)</t>
    <phoneticPr fontId="110"/>
  </si>
  <si>
    <t>(4) MS</t>
    <phoneticPr fontId="110"/>
  </si>
  <si>
    <t>Allocation rate to MS (%)</t>
    <phoneticPr fontId="110"/>
  </si>
  <si>
    <t>Allocation rate to DW-DX (%)</t>
    <phoneticPr fontId="110"/>
  </si>
  <si>
    <t>2-3. Sales/GP Details by BU</t>
    <phoneticPr fontId="110"/>
  </si>
  <si>
    <t>Hard</t>
    <phoneticPr fontId="110"/>
  </si>
  <si>
    <t>KMI</t>
    <phoneticPr fontId="110"/>
  </si>
  <si>
    <t>Office A3</t>
    <phoneticPr fontId="110"/>
  </si>
  <si>
    <t>Office A4</t>
    <phoneticPr fontId="110"/>
  </si>
  <si>
    <t>3rd Party</t>
    <phoneticPr fontId="110"/>
  </si>
  <si>
    <t>Copy Click (Kit)</t>
    <phoneticPr fontId="110"/>
  </si>
  <si>
    <t>Non Contract</t>
    <phoneticPr fontId="110"/>
  </si>
  <si>
    <t>Consumables</t>
    <phoneticPr fontId="110"/>
  </si>
  <si>
    <t>Parts</t>
    <phoneticPr fontId="110"/>
  </si>
  <si>
    <t>Gross Profit</t>
    <phoneticPr fontId="110"/>
  </si>
  <si>
    <t>&lt;Direct&gt;Field Service Cost (-)</t>
    <phoneticPr fontId="110"/>
  </si>
  <si>
    <t>Personnel Costs(Service)</t>
    <phoneticPr fontId="110"/>
  </si>
  <si>
    <t>Traveling Expenses(Service)</t>
    <phoneticPr fontId="110"/>
  </si>
  <si>
    <t>Other Fixed Costs(Service)</t>
    <phoneticPr fontId="110"/>
  </si>
  <si>
    <t>&lt;Direct&gt;Service Desk Cost (-)</t>
    <phoneticPr fontId="110"/>
  </si>
  <si>
    <t>&lt;Direct&gt;Depreciation &amp; Amortization (-)</t>
    <phoneticPr fontId="110"/>
  </si>
  <si>
    <t>&lt;Indirect&gt;Field Service Cost (-)</t>
    <phoneticPr fontId="110"/>
  </si>
  <si>
    <t>&lt;Indirect&gt;Service Desk Cost (-)</t>
    <phoneticPr fontId="110"/>
  </si>
  <si>
    <t>&lt;Indirect&gt;Depreciation &amp; Amortization (-)</t>
    <phoneticPr fontId="110"/>
  </si>
  <si>
    <t>(1)-2 "Office Solution" only</t>
    <phoneticPr fontId="110"/>
  </si>
  <si>
    <t>*one shot/recurring: please follow the definition of DW-DX</t>
    <phoneticPr fontId="110"/>
  </si>
  <si>
    <t>Hardware</t>
    <phoneticPr fontId="110"/>
  </si>
  <si>
    <t>Software</t>
    <phoneticPr fontId="110"/>
  </si>
  <si>
    <t>Professional Service</t>
    <phoneticPr fontId="110"/>
  </si>
  <si>
    <t>&lt;Direct&gt; Field Service Cost (-)</t>
    <phoneticPr fontId="110"/>
  </si>
  <si>
    <t>&lt;Direct&gt; Service Desk Cost (-)</t>
    <phoneticPr fontId="110"/>
  </si>
  <si>
    <t>&lt;Indirect&gt; Field Service Cost (-)</t>
    <phoneticPr fontId="110"/>
  </si>
  <si>
    <t>&lt;Indirect&gt; Service Desk Cost (-)</t>
    <phoneticPr fontId="110"/>
  </si>
  <si>
    <t>Hard &amp; Solution</t>
    <phoneticPr fontId="6"/>
  </si>
  <si>
    <t>KM-1/KM-1e</t>
    <phoneticPr fontId="110"/>
  </si>
  <si>
    <t>Non-hard</t>
    <phoneticPr fontId="6"/>
  </si>
  <si>
    <t>Field Service Cost (-)</t>
    <phoneticPr fontId="110"/>
  </si>
  <si>
    <t xml:space="preserve">Label Printer </t>
    <phoneticPr fontId="6"/>
  </si>
  <si>
    <t>MGI</t>
    <phoneticPr fontId="6"/>
  </si>
  <si>
    <t>EFI/LF</t>
    <phoneticPr fontId="6"/>
  </si>
  <si>
    <t>Textile Printer</t>
    <phoneticPr fontId="6"/>
  </si>
  <si>
    <t>&lt;Direct&gt; Service Desk Cost (-)</t>
    <phoneticPr fontId="6"/>
  </si>
  <si>
    <t>&lt;Direct&gt; Depreciation &amp; Amortization (-)</t>
    <phoneticPr fontId="110"/>
  </si>
  <si>
    <r>
      <t>KM-1</t>
    </r>
    <r>
      <rPr>
        <sz val="11"/>
        <color rgb="FFFF0000"/>
        <rFont val="Arial"/>
        <family val="2"/>
      </rPr>
      <t>/KM-1e</t>
    </r>
  </si>
  <si>
    <t>Label Printer</t>
    <phoneticPr fontId="6"/>
  </si>
  <si>
    <t>&lt;Indirect&gt; Service Desk Cost (-)</t>
    <phoneticPr fontId="6"/>
  </si>
  <si>
    <t>&lt;Indirect&gt; Depreciation &amp; Amortization (-)</t>
    <phoneticPr fontId="110"/>
  </si>
  <si>
    <t>2-4. Fixed Cost in COGS(Cost of Goods Sales) by BU</t>
    <phoneticPr fontId="110"/>
  </si>
  <si>
    <t>Included in COGS [Personnel Costs(Service)]</t>
    <phoneticPr fontId="110"/>
  </si>
  <si>
    <t>Included in COGS [Traveling Expenses(Service)]</t>
    <phoneticPr fontId="110"/>
  </si>
  <si>
    <t>Included in COGS [Other Fixed Costs(Service)]</t>
    <phoneticPr fontId="110"/>
  </si>
  <si>
    <t>Included in COGS [Depreciation &amp; Amortization]</t>
    <phoneticPr fontId="110"/>
  </si>
  <si>
    <t>(1) Office TTL</t>
    <phoneticPr fontId="110"/>
  </si>
  <si>
    <r>
      <t xml:space="preserve">(1)-1. Office </t>
    </r>
    <r>
      <rPr>
        <b/>
        <sz val="11"/>
        <color rgb="FFFF0000"/>
        <rFont val="ＭＳ Ｐゴシック"/>
        <family val="3"/>
        <charset val="128"/>
      </rPr>
      <t>※</t>
    </r>
    <r>
      <rPr>
        <b/>
        <sz val="11"/>
        <color rgb="FFFF0000"/>
        <rFont val="Arial"/>
        <family val="2"/>
      </rPr>
      <t>Excluding Office Solution</t>
    </r>
  </si>
  <si>
    <t xml:space="preserve">3. Headcount </t>
    <phoneticPr fontId="110"/>
  </si>
  <si>
    <t>3-1. Headcount Details</t>
    <phoneticPr fontId="110"/>
  </si>
  <si>
    <t>Semi-Full-Time/Part-Time Employees /Contractors</t>
    <phoneticPr fontId="6"/>
  </si>
  <si>
    <t>3-2. Headcount by BU</t>
    <phoneticPr fontId="110"/>
  </si>
  <si>
    <t>Full-Time Employees / Temporary Transfer from Other Company</t>
    <phoneticPr fontId="110"/>
  </si>
  <si>
    <t>Sales Total</t>
    <phoneticPr fontId="110"/>
  </si>
  <si>
    <t>Service Total</t>
    <phoneticPr fontId="110"/>
  </si>
  <si>
    <t>Marketing Total</t>
    <phoneticPr fontId="110"/>
  </si>
  <si>
    <t>Administration Total</t>
    <phoneticPr fontId="110"/>
  </si>
  <si>
    <t>Logistics Total</t>
    <phoneticPr fontId="110"/>
  </si>
  <si>
    <t>Direct sales engineers (Pre-sales/Consultant)</t>
    <phoneticPr fontId="110"/>
  </si>
  <si>
    <t>Remote Engineer (Help Desk, Customer support)</t>
    <phoneticPr fontId="110"/>
  </si>
  <si>
    <t>4. B/S (1) - Inventories</t>
    <phoneticPr fontId="110"/>
  </si>
  <si>
    <t>4-1. Inventories</t>
    <phoneticPr fontId="110"/>
  </si>
  <si>
    <t>(0) Total Inventories</t>
    <phoneticPr fontId="110"/>
  </si>
  <si>
    <r>
      <t>Purchased from BT cons. companies</t>
    </r>
    <r>
      <rPr>
        <sz val="11"/>
        <color rgb="FFFF0000"/>
        <rFont val="Arial"/>
        <family val="2"/>
      </rPr>
      <t xml:space="preserve"> &lt;exclude MGI&gt;</t>
    </r>
  </si>
  <si>
    <r>
      <t>Purchased from</t>
    </r>
    <r>
      <rPr>
        <sz val="11"/>
        <color rgb="FFFF0000"/>
        <rFont val="Arial"/>
        <family val="2"/>
      </rPr>
      <t xml:space="preserve"> MGI</t>
    </r>
    <r>
      <rPr>
        <sz val="11"/>
        <rFont val="Arial"/>
        <family val="2"/>
      </rPr>
      <t xml:space="preserve"> (BT-Gr)</t>
    </r>
  </si>
  <si>
    <t>Purchased from BT cons. companies</t>
    <phoneticPr fontId="110"/>
  </si>
  <si>
    <t>from BT</t>
    <phoneticPr fontId="147"/>
  </si>
  <si>
    <t>Label</t>
    <phoneticPr fontId="147"/>
  </si>
  <si>
    <t>MGI</t>
    <phoneticPr fontId="147"/>
  </si>
  <si>
    <t>Others</t>
    <phoneticPr fontId="147"/>
  </si>
  <si>
    <t>from 3rd Party</t>
    <phoneticPr fontId="147"/>
  </si>
  <si>
    <t>5. One Rate / Free to Fee</t>
    <phoneticPr fontId="110"/>
  </si>
  <si>
    <t>5-1. One Rate  (included in Office/ITS)</t>
    <phoneticPr fontId="110"/>
  </si>
  <si>
    <t>Refer to Definition</t>
    <phoneticPr fontId="110"/>
  </si>
  <si>
    <r>
      <t>Unit Sales</t>
    </r>
    <r>
      <rPr>
        <sz val="11"/>
        <rFont val="Arial"/>
        <family val="2"/>
      </rPr>
      <t xml:space="preserve"> (One Rate)</t>
    </r>
  </si>
  <si>
    <t>(Unit)</t>
    <phoneticPr fontId="110"/>
  </si>
  <si>
    <r>
      <t>Net Sales</t>
    </r>
    <r>
      <rPr>
        <sz val="11"/>
        <rFont val="Arial"/>
        <family val="2"/>
      </rPr>
      <t xml:space="preserve"> (One Rate)</t>
    </r>
  </si>
  <si>
    <t>5-2. Free to Fee  (included in Office/ITS)</t>
    <phoneticPr fontId="110"/>
  </si>
  <si>
    <r>
      <t xml:space="preserve">Net Sales </t>
    </r>
    <r>
      <rPr>
        <sz val="11"/>
        <rFont val="Arial"/>
        <family val="2"/>
      </rPr>
      <t>(Free to Fee)</t>
    </r>
  </si>
  <si>
    <t>dummy</t>
    <phoneticPr fontId="110"/>
  </si>
  <si>
    <t>6. Purchase</t>
    <phoneticPr fontId="110"/>
  </si>
  <si>
    <t>6-1. Detail of Purchase</t>
    <phoneticPr fontId="110"/>
  </si>
  <si>
    <t xml:space="preserve">Not include Incidental Cost </t>
    <phoneticPr fontId="6"/>
  </si>
  <si>
    <r>
      <t>KMJ/BUS/BEU Stand Alone/BAU/BCN/BHK/BSA/BME/BIN/BBR</t>
    </r>
    <r>
      <rPr>
        <b/>
        <sz val="11"/>
        <rFont val="Calibri"/>
        <family val="2"/>
        <charset val="128"/>
        <scheme val="minor"/>
      </rPr>
      <t>　</t>
    </r>
    <r>
      <rPr>
        <b/>
        <sz val="11"/>
        <rFont val="Arial"/>
        <family val="2"/>
      </rPr>
      <t>ONLY</t>
    </r>
  </si>
  <si>
    <r>
      <t>Total Purchase amount (</t>
    </r>
    <r>
      <rPr>
        <b/>
        <sz val="11"/>
        <rFont val="ＭＳ Ｐゴシック"/>
        <family val="3"/>
        <charset val="128"/>
      </rPr>
      <t>①</t>
    </r>
    <r>
      <rPr>
        <b/>
        <sz val="11"/>
        <rFont val="Arial"/>
        <family val="2"/>
      </rPr>
      <t>+</t>
    </r>
    <r>
      <rPr>
        <b/>
        <sz val="11"/>
        <rFont val="ＭＳ Ｐゴシック"/>
        <family val="3"/>
        <charset val="128"/>
      </rPr>
      <t>②</t>
    </r>
    <r>
      <rPr>
        <b/>
        <sz val="11"/>
        <rFont val="Arial"/>
        <family val="2"/>
      </rPr>
      <t>+</t>
    </r>
    <r>
      <rPr>
        <b/>
        <sz val="11"/>
        <rFont val="ＭＳ Ｐゴシック"/>
        <family val="3"/>
        <charset val="128"/>
      </rPr>
      <t>③</t>
    </r>
    <r>
      <rPr>
        <b/>
        <sz val="11"/>
        <rFont val="Arial"/>
        <family val="2"/>
      </rPr>
      <t>+</t>
    </r>
    <r>
      <rPr>
        <b/>
        <sz val="11"/>
        <rFont val="ＭＳ Ｐゴシック"/>
        <family val="3"/>
        <charset val="128"/>
      </rPr>
      <t>④</t>
    </r>
    <r>
      <rPr>
        <b/>
        <sz val="11"/>
        <rFont val="Arial"/>
        <family val="2"/>
      </rPr>
      <t>)</t>
    </r>
  </si>
  <si>
    <r>
      <t>Total BT-Gr Purchase amount</t>
    </r>
    <r>
      <rPr>
        <b/>
        <sz val="11"/>
        <color theme="1"/>
        <rFont val="Calibri"/>
        <family val="2"/>
        <charset val="128"/>
        <scheme val="minor"/>
      </rPr>
      <t>（①</t>
    </r>
    <r>
      <rPr>
        <b/>
        <sz val="11"/>
        <rFont val="Arial"/>
        <family val="2"/>
      </rPr>
      <t>+</t>
    </r>
    <r>
      <rPr>
        <b/>
        <sz val="11"/>
        <color theme="1"/>
        <rFont val="Calibri"/>
        <family val="2"/>
        <charset val="128"/>
        <scheme val="minor"/>
      </rPr>
      <t>②</t>
    </r>
    <r>
      <rPr>
        <b/>
        <sz val="11"/>
        <color theme="1"/>
        <rFont val="Calibri"/>
        <family val="2"/>
        <scheme val="minor"/>
      </rPr>
      <t>+③</t>
    </r>
    <r>
      <rPr>
        <b/>
        <sz val="11"/>
        <color theme="1"/>
        <rFont val="Calibri"/>
        <family val="2"/>
        <charset val="128"/>
        <scheme val="minor"/>
      </rPr>
      <t>）</t>
    </r>
  </si>
  <si>
    <t>(1) Office</t>
    <phoneticPr fontId="6"/>
  </si>
  <si>
    <t>RR</t>
    <phoneticPr fontId="6"/>
  </si>
  <si>
    <t>Non-RR</t>
    <phoneticPr fontId="6"/>
  </si>
  <si>
    <t>Others</t>
    <phoneticPr fontId="6"/>
  </si>
  <si>
    <t>BT Support/Discount</t>
    <phoneticPr fontId="6"/>
  </si>
  <si>
    <t>Parts</t>
    <phoneticPr fontId="6"/>
  </si>
  <si>
    <t>(2) PP</t>
    <phoneticPr fontId="6"/>
  </si>
  <si>
    <t>(3) IP</t>
    <phoneticPr fontId="6"/>
  </si>
  <si>
    <t>Others(KM1,EFI/LF,Textile,others)</t>
    <phoneticPr fontId="6"/>
  </si>
  <si>
    <t>(5) DW-DX</t>
    <phoneticPr fontId="6"/>
  </si>
  <si>
    <r>
      <rPr>
        <b/>
        <sz val="11"/>
        <rFont val="ＭＳ Ｐゴシック"/>
        <family val="3"/>
        <charset val="128"/>
      </rPr>
      <t>④</t>
    </r>
    <r>
      <rPr>
        <b/>
        <sz val="11"/>
        <rFont val="Arial"/>
        <family val="2"/>
      </rPr>
      <t>Other (3rd Party</t>
    </r>
    <r>
      <rPr>
        <b/>
        <sz val="11"/>
        <rFont val="ＭＳ Ｐゴシック"/>
        <family val="3"/>
        <charset val="128"/>
      </rPr>
      <t>）</t>
    </r>
    <r>
      <rPr>
        <b/>
        <sz val="11"/>
        <rFont val="Arial"/>
        <family val="2"/>
      </rPr>
      <t xml:space="preserve"> Suppliers</t>
    </r>
  </si>
  <si>
    <t>6-2. Additional Purchase information</t>
    <phoneticPr fontId="110"/>
  </si>
  <si>
    <t>KMJ/BEU Stand Alone/BCN ONLY</t>
    <phoneticPr fontId="110"/>
  </si>
  <si>
    <t>RR Purchase</t>
    <phoneticPr fontId="110"/>
  </si>
  <si>
    <t>(for BEU)</t>
    <phoneticPr fontId="110"/>
  </si>
  <si>
    <t>(for BEU)</t>
    <phoneticPr fontId="6"/>
  </si>
  <si>
    <t>Purchase for Aurora</t>
    <phoneticPr fontId="110"/>
  </si>
  <si>
    <t>(for BCN)</t>
    <phoneticPr fontId="110"/>
  </si>
  <si>
    <t>Purchase for Murata</t>
    <phoneticPr fontId="110"/>
  </si>
  <si>
    <t>(for KMJ)</t>
    <phoneticPr fontId="110"/>
  </si>
  <si>
    <t>(for KMJ/BEU/BCN)</t>
    <phoneticPr fontId="6"/>
  </si>
  <si>
    <t>CHK--&gt;</t>
    <phoneticPr fontId="110"/>
  </si>
  <si>
    <t>6-3. Inventory Analysis</t>
    <phoneticPr fontId="110"/>
  </si>
  <si>
    <t>KMJ/BUS/BEU Stand Alone/BCN/BSA-Cons/BAU/BIN ONLY</t>
    <phoneticPr fontId="110"/>
  </si>
  <si>
    <t>IN Total</t>
    <phoneticPr fontId="6"/>
  </si>
  <si>
    <t>Others(3rd Party)</t>
    <phoneticPr fontId="110"/>
  </si>
  <si>
    <t>Incidental Cost</t>
    <phoneticPr fontId="6"/>
  </si>
  <si>
    <t>&lt; free input                            &gt;</t>
    <phoneticPr fontId="6"/>
  </si>
  <si>
    <t>OUT Total</t>
    <phoneticPr fontId="6"/>
  </si>
  <si>
    <t>Transfer from Inventory</t>
    <phoneticPr fontId="6"/>
  </si>
  <si>
    <t>Office</t>
    <phoneticPr fontId="6"/>
  </si>
  <si>
    <t>Total</t>
    <phoneticPr fontId="6"/>
  </si>
  <si>
    <t>except BT Support (HW, NH)</t>
    <phoneticPr fontId="6"/>
  </si>
  <si>
    <t>BT Support</t>
    <phoneticPr fontId="6"/>
  </si>
  <si>
    <t>PP</t>
    <phoneticPr fontId="6"/>
  </si>
  <si>
    <t>IP, DW-DX, Others</t>
    <phoneticPr fontId="6"/>
  </si>
  <si>
    <t>balance CHK--&gt;</t>
    <phoneticPr fontId="110"/>
  </si>
  <si>
    <t>OUT check by BU</t>
    <phoneticPr fontId="6"/>
  </si>
  <si>
    <t>Office &lt;OUT&gt;</t>
    <phoneticPr fontId="6"/>
  </si>
  <si>
    <t>PP &lt;OUT&gt;</t>
    <phoneticPr fontId="6"/>
  </si>
  <si>
    <t>Others &lt;OUT&gt;</t>
    <phoneticPr fontId="6"/>
  </si>
  <si>
    <t>Others of Others</t>
    <phoneticPr fontId="6"/>
  </si>
  <si>
    <t>difference check.</t>
    <phoneticPr fontId="6"/>
  </si>
  <si>
    <t>7. CX2</t>
    <phoneticPr fontId="110"/>
  </si>
  <si>
    <t>BUS ONLY</t>
    <phoneticPr fontId="110"/>
  </si>
  <si>
    <t>Q2</t>
    <phoneticPr fontId="6"/>
  </si>
  <si>
    <t>Q3</t>
    <phoneticPr fontId="6"/>
  </si>
  <si>
    <t>Q4</t>
    <phoneticPr fontId="6"/>
  </si>
  <si>
    <t>FY22</t>
    <phoneticPr fontId="218"/>
  </si>
  <si>
    <t>New Customer *</t>
    <phoneticPr fontId="218"/>
  </si>
  <si>
    <t>Number of Purchase Account</t>
    <phoneticPr fontId="218"/>
  </si>
  <si>
    <t>Sales</t>
    <phoneticPr fontId="218"/>
  </si>
  <si>
    <t>Office</t>
    <phoneticPr fontId="218"/>
  </si>
  <si>
    <t>HW</t>
    <phoneticPr fontId="218"/>
  </si>
  <si>
    <t>*</t>
    <phoneticPr fontId="110"/>
  </si>
  <si>
    <t>NH</t>
    <phoneticPr fontId="218"/>
  </si>
  <si>
    <t>Those are newly acquired</t>
    <phoneticPr fontId="110"/>
  </si>
  <si>
    <t>Office Solution</t>
    <phoneticPr fontId="110"/>
  </si>
  <si>
    <t xml:space="preserve"> by EC business.</t>
    <phoneticPr fontId="110"/>
  </si>
  <si>
    <t>DW-DX</t>
    <phoneticPr fontId="218"/>
  </si>
  <si>
    <t>Total</t>
    <phoneticPr fontId="218"/>
  </si>
  <si>
    <t>GP</t>
    <phoneticPr fontId="218"/>
  </si>
  <si>
    <t>Existing Customer **</t>
    <phoneticPr fontId="218"/>
  </si>
  <si>
    <t xml:space="preserve">Those are existing </t>
    <phoneticPr fontId="110"/>
  </si>
  <si>
    <t xml:space="preserve">customers by </t>
    <phoneticPr fontId="110"/>
  </si>
  <si>
    <t>organic transaction.</t>
    <phoneticPr fontId="110"/>
  </si>
  <si>
    <t>8. Rolling forecast only</t>
    <phoneticPr fontId="110"/>
  </si>
  <si>
    <t>8-1. Depreciation &amp; Amortization</t>
    <phoneticPr fontId="110"/>
  </si>
  <si>
    <t>Total</t>
    <phoneticPr fontId="110"/>
  </si>
  <si>
    <t>Depreciation &amp; Amortization  included in COCS</t>
    <phoneticPr fontId="110"/>
  </si>
  <si>
    <t>Depreciation &amp; Amortization  included in SGA</t>
    <phoneticPr fontId="110"/>
  </si>
  <si>
    <t>8-2. Notes and Accounts Receivable-Trade</t>
    <phoneticPr fontId="110"/>
  </si>
  <si>
    <t>Same Segment</t>
    <phoneticPr fontId="110"/>
  </si>
  <si>
    <t>Inter Segment &amp; Outside</t>
    <phoneticPr fontId="110"/>
  </si>
  <si>
    <t>8-3. Notes and Accounts Payable-Trade</t>
    <phoneticPr fontId="110"/>
  </si>
  <si>
    <t>8-4. IP Unit</t>
    <phoneticPr fontId="110"/>
  </si>
  <si>
    <t>IP</t>
    <phoneticPr fontId="6"/>
  </si>
  <si>
    <t>bh PRESS C71cf/AccurioLabel 190</t>
    <phoneticPr fontId="110"/>
  </si>
  <si>
    <t>8-5. Open Orders amount of sales orders</t>
    <phoneticPr fontId="110"/>
  </si>
  <si>
    <t>*temporary requests</t>
    <phoneticPr fontId="110"/>
  </si>
  <si>
    <t>TTL</t>
    <phoneticPr fontId="147"/>
  </si>
  <si>
    <t>Total</t>
    <phoneticPr fontId="147"/>
  </si>
  <si>
    <t>Office</t>
    <phoneticPr fontId="147"/>
  </si>
  <si>
    <t>PP</t>
    <phoneticPr fontId="147"/>
  </si>
  <si>
    <t>DW-DX</t>
    <phoneticPr fontId="147"/>
  </si>
  <si>
    <t>IP</t>
    <phoneticPr fontId="147"/>
  </si>
  <si>
    <t>9. Other segments: BIC, IIS(Mobotix and DM)</t>
    <phoneticPr fontId="110"/>
  </si>
  <si>
    <t>9-1. P/L: BT + BIC +IIS</t>
    <phoneticPr fontId="110"/>
  </si>
  <si>
    <t>9-2. P/L Statement by BU</t>
    <phoneticPr fontId="110"/>
  </si>
  <si>
    <t>(1) BIC</t>
    <phoneticPr fontId="6"/>
  </si>
  <si>
    <t>Consolidated Sales</t>
    <phoneticPr fontId="6"/>
  </si>
  <si>
    <t>(2) IIS (Imaging-IoT Solution)</t>
    <phoneticPr fontId="6"/>
  </si>
  <si>
    <t>*Mobotix and DM have been merged into IIS</t>
    <phoneticPr fontId="6"/>
  </si>
  <si>
    <t>MX</t>
    <phoneticPr fontId="6"/>
  </si>
  <si>
    <t>Direct</t>
    <phoneticPr fontId="6"/>
  </si>
  <si>
    <t>Product</t>
    <phoneticPr fontId="6"/>
  </si>
  <si>
    <t>Hard</t>
    <phoneticPr fontId="6"/>
  </si>
  <si>
    <t>Camera Device</t>
    <phoneticPr fontId="6"/>
  </si>
  <si>
    <t>SW/Apps</t>
    <phoneticPr fontId="6"/>
  </si>
  <si>
    <t>Service</t>
    <phoneticPr fontId="6"/>
  </si>
  <si>
    <t>Onetime</t>
    <phoneticPr fontId="6"/>
  </si>
  <si>
    <t>Recurring</t>
    <phoneticPr fontId="6"/>
  </si>
  <si>
    <t>Indirect</t>
    <phoneticPr fontId="6"/>
  </si>
  <si>
    <t>DM</t>
    <phoneticPr fontId="6"/>
  </si>
  <si>
    <t>Gas</t>
    <phoneticPr fontId="6"/>
  </si>
  <si>
    <t>(Excludes Sales to IIS Business Unit)</t>
    <phoneticPr fontId="110"/>
  </si>
  <si>
    <t>9-3. Headcount : includes BIC, IIS(Mobotix and DM)</t>
    <phoneticPr fontId="110"/>
  </si>
  <si>
    <t>(0) Total : BT + BIC +IIS</t>
    <phoneticPr fontId="110"/>
  </si>
  <si>
    <t>MarketingTotal</t>
    <phoneticPr fontId="110"/>
  </si>
  <si>
    <t>1. Headcount Details</t>
    <phoneticPr fontId="110"/>
  </si>
  <si>
    <t>9-4. Inventories: BT + BIC +IIS</t>
    <phoneticPr fontId="110"/>
  </si>
  <si>
    <t>(0) Total Inventories includes other Segment</t>
    <phoneticPr fontId="110"/>
  </si>
  <si>
    <t>(6) BIC</t>
    <phoneticPr fontId="110"/>
  </si>
  <si>
    <t>(7) IIS (Imaging-IoT Solution)</t>
    <phoneticPr fontId="110"/>
  </si>
  <si>
    <t>Purchased from HMX</t>
    <phoneticPr fontId="110"/>
  </si>
  <si>
    <t>10. Reference</t>
    <phoneticPr fontId="110"/>
  </si>
  <si>
    <t>10-1. Variable Costing Income Statement</t>
    <phoneticPr fontId="110"/>
  </si>
  <si>
    <t>A</t>
    <phoneticPr fontId="110"/>
  </si>
  <si>
    <t>Variable Cost</t>
    <phoneticPr fontId="110"/>
  </si>
  <si>
    <t>B</t>
    <phoneticPr fontId="110"/>
  </si>
  <si>
    <t>COGS (material cost)</t>
    <phoneticPr fontId="110"/>
  </si>
  <si>
    <t>Wages &amp; Salaries (SG&amp;A - variable)</t>
    <phoneticPr fontId="110"/>
  </si>
  <si>
    <t>SG&amp;A variable (ex.Selling expenses/ Advertising expenses)</t>
    <phoneticPr fontId="110"/>
  </si>
  <si>
    <t>Marginal Profit</t>
    <phoneticPr fontId="110"/>
  </si>
  <si>
    <t>C = A - B</t>
    <phoneticPr fontId="110"/>
  </si>
  <si>
    <t>D = C / A</t>
    <phoneticPr fontId="110"/>
  </si>
  <si>
    <t>Fixed Cost</t>
    <phoneticPr fontId="110"/>
  </si>
  <si>
    <t>E</t>
    <phoneticPr fontId="110"/>
  </si>
  <si>
    <t>COGS (ex. field service cost/ Service desk cost)</t>
    <phoneticPr fontId="110"/>
  </si>
  <si>
    <t>Wages &amp; Salaries (SG&amp;A - fixed)</t>
    <phoneticPr fontId="110"/>
  </si>
  <si>
    <t>SG&amp;A fixed (ex.SG&amp;A Fixed expenses)</t>
    <phoneticPr fontId="110"/>
  </si>
  <si>
    <t>Break-even Point Net Sales</t>
    <phoneticPr fontId="110"/>
  </si>
  <si>
    <t>F = E / D</t>
    <phoneticPr fontId="110"/>
  </si>
  <si>
    <t>G = F / A</t>
    <phoneticPr fontId="110"/>
  </si>
  <si>
    <t>BCP</t>
    <phoneticPr fontId="110"/>
  </si>
  <si>
    <t>H = C - D</t>
    <phoneticPr fontId="110"/>
  </si>
  <si>
    <t>HW</t>
    <phoneticPr fontId="110"/>
  </si>
  <si>
    <t>NH</t>
    <phoneticPr fontId="110"/>
  </si>
  <si>
    <t>Variable cost (Material Cost + SG&amp;A variable)</t>
    <phoneticPr fontId="110"/>
  </si>
  <si>
    <t>Others (inc. SG&amp;A variable)</t>
    <phoneticPr fontId="110"/>
  </si>
  <si>
    <t>Marginal Profit %</t>
    <phoneticPr fontId="110"/>
  </si>
  <si>
    <t>COGs</t>
    <phoneticPr fontId="110"/>
  </si>
  <si>
    <t>SG&amp;A</t>
    <phoneticPr fontId="110"/>
  </si>
  <si>
    <t>SG&amp;A variable</t>
    <phoneticPr fontId="110"/>
  </si>
  <si>
    <t>1</t>
    <phoneticPr fontId="111"/>
  </si>
  <si>
    <t>Q</t>
  </si>
  <si>
    <t>K_INR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</si>
</sst>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64" formatCode="_(* #,##0_);_(* \(#,##0\);_(* &quot;-&quot;_);_(@_)"/>
    <numFmt numFmtId="165" formatCode="_(* #,##0.00_);_(* \(#,##0.00\);_(* &quot;-&quot;??_);_(@_)"/>
    <numFmt numFmtId="166" formatCode="&quot;¥&quot;#,##0.00;[Red]&quot;¥&quot;\-#,##0.00"/>
    <numFmt numFmtId="167" formatCode="_ &quot;¥&quot;* #,##0_ ;_ &quot;¥&quot;* \-#,##0_ ;_ &quot;¥&quot;* &quot;-&quot;_ ;_ @_ "/>
    <numFmt numFmtId="168" formatCode="_ &quot;¥&quot;* #,##0.00_ ;_ &quot;¥&quot;* \-#,##0.00_ ;_ &quot;¥&quot;* &quot;-&quot;??_ ;_ @_ "/>
    <numFmt numFmtId="169" formatCode="0.00000"/>
    <numFmt numFmtId="170" formatCode="_-* #,##0_-;\-* #,##0_-;_-* &quot;-&quot;_-;_-@_-"/>
    <numFmt numFmtId="171" formatCode="_(* #,##0.0_);_(* \(#,##0.0\);_(* &quot;-&quot;??_);_(@_)"/>
    <numFmt numFmtId="172" formatCode="&quot;$&quot;#,##0;\-&quot;$&quot;#,##0"/>
    <numFmt numFmtId="173" formatCode="_-* #,##0\ _z_3_-;\-* #,##0\ _z_3_-;_-* &quot;-&quot;\ _z_3_-;_-@_-"/>
    <numFmt numFmtId="174" formatCode="_-* #,##0.00\ _z_ł_-;\-* #,##0.00\ _z_ł_-;_-* &quot;-&quot;??\ _z_ł_-;_-@_-"/>
    <numFmt numFmtId="175" formatCode="_(&quot;$&quot;* #,##0.00_);_(&quot;$&quot;* \(#,##0.00\);_(&quot;$&quot;* &quot;-&quot;??_);_(@_)"/>
    <numFmt numFmtId="176" formatCode="#,##0.0_);\(#,##0.0\);;\ \ @"/>
    <numFmt numFmtId="177" formatCode="#,##0_);\(#,##0\);\-_)"/>
    <numFmt numFmtId="178" formatCode="_ &quot;$&quot;\ * #,##0_ ;_ &quot;$&quot;\ * \-#,##0_ ;_ &quot;$&quot;\ * &quot;-&quot;_ ;_ @_ "/>
    <numFmt numFmtId="179" formatCode="#,##0.00,,_-;[Red]\(#,##0.00,,\)"/>
    <numFmt numFmtId="180" formatCode="#,##0.00,,_-;[Red]\(#,##0.00,,\);"/>
    <numFmt numFmtId="181" formatCode="&quot;$&quot;#,##0_);[Red]\(&quot;$&quot;#,##0\)"/>
    <numFmt numFmtId="182" formatCode="&quot;$&quot;#,##0.00_);[Red]\(&quot;$&quot;#,##0.00\)"/>
    <numFmt numFmtId="183" formatCode="0.000000E+00"/>
    <numFmt numFmtId="184" formatCode="0.00_);[Red]\(0.00\)"/>
    <numFmt numFmtId="185" formatCode="0%;[Red]\-0%"/>
    <numFmt numFmtId="186" formatCode="_(&quot;£&quot;* #,##0_);_(&quot;£&quot;* \(#,##0\);_(&quot;£&quot;* &quot;-&quot;_);_(@_)"/>
    <numFmt numFmtId="187" formatCode="_(&quot;£&quot;* #,##0.00_);_(&quot;£&quot;* \(#,##0.00\);_(&quot;£&quot;* &quot;-&quot;??_);_(@_)"/>
    <numFmt numFmtId="188" formatCode="_-* #,##0\ &quot;z3&quot;_-;\-* #,##0\ &quot;z3&quot;_-;_-* &quot;-&quot;\ &quot;z3&quot;_-;_-@_-"/>
    <numFmt numFmtId="189" formatCode="_-* #,##0.00\ &quot;z3&quot;_-;\-* #,##0.00\ &quot;z3&quot;_-;_-* &quot;-&quot;??\ &quot;z3&quot;_-;_-@_-"/>
    <numFmt numFmtId="190" formatCode=";;;"/>
    <numFmt numFmtId="191" formatCode="#,##0,"/>
    <numFmt numFmtId="192" formatCode="0.00%;[Red]\-0.00%;&quot;－&quot;"/>
    <numFmt numFmtId="193" formatCode="_-&quot;$&quot;* #,##0_-;\-&quot;$&quot;* #,##0_-;_-&quot;$&quot;* &quot;-&quot;_-;_-@_-"/>
    <numFmt numFmtId="194" formatCode="_-&quot;$&quot;* #,##0.00_-;\-&quot;$&quot;* #,##0.00_-;_-&quot;$&quot;* &quot;-&quot;??_-;_-@_-"/>
    <numFmt numFmtId="195" formatCode="0.0%"/>
    <numFmt numFmtId="196" formatCode="General_)"/>
    <numFmt numFmtId="197" formatCode="#,##0.0_);[Red]\(#,##0.0\)"/>
    <numFmt numFmtId="198" formatCode="#,##0_ ;[Red]\-#,##0\ "/>
    <numFmt numFmtId="199" formatCode="[$-409]mmm;@"/>
    <numFmt numFmtId="200" formatCode="0.0"/>
    <numFmt numFmtId="201" formatCode="#,##0.000;[Red]\-#,##0.000"/>
    <numFmt numFmtId="202" formatCode="#,##0.0;[Red]\-#,##0.0"/>
    <numFmt numFmtId="203" formatCode="0_ ;[Red]\-0\ "/>
    <numFmt numFmtId="204" formatCode="0_);[Red]\(0\)"/>
    <numFmt numFmtId="205" formatCode="\+#,##0;[Red]\-#,##0"/>
    <numFmt numFmtId="206" formatCode="[$-409]mmmm\ d\,\ yyyy;@"/>
    <numFmt numFmtId="207" formatCode="#,##0_);[Red]\(#,##0\)"/>
    <numFmt numFmtId="208" formatCode="_(* #,##0_);_(* \(#,##0\);_(* &quot;-&quot;??_);_(@_)"/>
    <numFmt numFmtId="209" formatCode="0.000%"/>
    <numFmt numFmtId="210" formatCode="_-* #,##0.00_-;\-* #,##0.00_-;_-* &quot;-&quot;??_-;_-@_-"/>
    <numFmt numFmtId="211" formatCode="#,##0.000000_);[Red]\(#,##0.000000\)"/>
  </numFmts>
  <fonts count="230">
    <font>
      <sz val="11"/>
      <color theme="1"/>
      <name val="Calibri"/>
      <family val="2"/>
      <charset val="128"/>
      <scheme val="minor"/>
    </font>
    <font>
      <sz val="11"/>
      <color theme="1"/>
      <name val="Calibri"/>
      <family val="2"/>
      <scheme val="minor"/>
    </font>
    <font>
      <sz val="10"/>
      <color theme="1"/>
      <name val="Meiryo UI"/>
      <family val="2"/>
      <charset val="128"/>
    </font>
    <font>
      <sz val="10"/>
      <color theme="1"/>
      <name val="Meiryo UI"/>
      <family val="2"/>
      <charset val="128"/>
    </font>
    <font>
      <sz val="11"/>
      <color theme="1"/>
      <name val="Calibri"/>
      <family val="2"/>
      <scheme val="minor"/>
    </font>
    <font>
      <sz val="10"/>
      <color theme="1"/>
      <name val="Meiryo UI"/>
      <family val="2"/>
      <charset val="128"/>
    </font>
    <font>
      <sz val="10"/>
      <color theme="1"/>
      <name val="Meiryo UI"/>
      <family val="2"/>
      <charset val="128"/>
    </font>
    <font>
      <sz val="6"/>
      <name val="Calibri"/>
      <family val="2"/>
      <charset val="128"/>
      <scheme val="minor"/>
    </font>
    <font>
      <sz val="10"/>
      <name val="Times New Roman"/>
      <family val="1"/>
    </font>
    <font>
      <sz val="10"/>
      <name val="Arial"/>
      <family val="2"/>
    </font>
    <font>
      <sz val="10"/>
      <name val="Helv"/>
      <family val="2"/>
    </font>
    <font>
      <sz val="10"/>
      <color indexed="8"/>
      <name val="Arial"/>
      <family val="2"/>
    </font>
    <font>
      <sz val="12"/>
      <name val="Times New Roman"/>
      <family val="1"/>
    </font>
    <font>
      <sz val="10"/>
      <name val="MS Sans Serif"/>
      <family val="2"/>
    </font>
    <font>
      <sz val="11"/>
      <color indexed="8"/>
      <name val="Calibri"/>
      <family val="2"/>
    </font>
    <font>
      <sz val="11"/>
      <color theme="1"/>
      <name val="Calibri"/>
      <family val="3"/>
      <charset val="128"/>
      <scheme val="minor"/>
    </font>
    <font>
      <sz val="11"/>
      <color indexed="8"/>
      <name val="ＭＳ Ｐゴシック"/>
      <family val="3"/>
      <charset val="128"/>
    </font>
    <font>
      <sz val="12"/>
      <color indexed="8"/>
      <name val="新細明體"/>
      <family val="1"/>
    </font>
    <font>
      <sz val="11"/>
      <color indexed="9"/>
      <name val="Calibri"/>
      <family val="2"/>
    </font>
    <font>
      <sz val="11"/>
      <color indexed="9"/>
      <name val="ＭＳ Ｐゴシック"/>
      <family val="3"/>
      <charset val="128"/>
    </font>
    <font>
      <sz val="12"/>
      <color indexed="9"/>
      <name val="新細明體"/>
      <family val="1"/>
    </font>
    <font>
      <sz val="11"/>
      <color indexed="20"/>
      <name val="Calibri"/>
      <family val="2"/>
    </font>
    <font>
      <sz val="11"/>
      <name val="ＭＳ Ｐ明朝"/>
      <family val="1"/>
      <charset val="128"/>
    </font>
    <font>
      <b/>
      <sz val="11"/>
      <color indexed="52"/>
      <name val="Calibri"/>
      <family val="2"/>
    </font>
    <font>
      <b/>
      <sz val="11"/>
      <color indexed="9"/>
      <name val="Calibri"/>
      <family val="2"/>
    </font>
    <font>
      <b/>
      <sz val="8"/>
      <name val="Arial"/>
      <family val="2"/>
    </font>
    <font>
      <sz val="10"/>
      <name val="Courier New"/>
      <family val="3"/>
    </font>
    <font>
      <sz val="10"/>
      <name val="BERNHARD"/>
      <family val="2"/>
    </font>
    <font>
      <sz val="10"/>
      <color indexed="12"/>
      <name val="Arial"/>
      <family val="2"/>
    </font>
    <font>
      <i/>
      <sz val="10"/>
      <name val="Arial"/>
      <family val="2"/>
    </font>
    <font>
      <sz val="8"/>
      <name val="Arial"/>
      <family val="2"/>
    </font>
    <font>
      <sz val="1"/>
      <color indexed="8"/>
      <name val="Courier"/>
      <family val="3"/>
    </font>
    <font>
      <sz val="10"/>
      <name val="Arial CE"/>
      <family val="2"/>
      <charset val="238"/>
    </font>
    <font>
      <b/>
      <sz val="11"/>
      <color indexed="8"/>
      <name val="Calibri"/>
      <family val="2"/>
    </font>
    <font>
      <b/>
      <sz val="1"/>
      <color indexed="8"/>
      <name val="Courier"/>
      <family val="3"/>
    </font>
    <font>
      <u/>
      <sz val="9"/>
      <name val="Geneva"/>
      <family val="2"/>
    </font>
    <font>
      <i/>
      <sz val="11"/>
      <color indexed="23"/>
      <name val="Calibri"/>
      <family val="2"/>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0"/>
      <color indexed="37"/>
      <name val="Courier New"/>
      <family val="3"/>
    </font>
    <font>
      <sz val="10"/>
      <name val="Courier"/>
      <family val="3"/>
    </font>
    <font>
      <sz val="11"/>
      <color indexed="62"/>
      <name val="Calibri"/>
      <family val="2"/>
    </font>
    <font>
      <sz val="11"/>
      <color indexed="52"/>
      <name val="Calibri"/>
      <family val="2"/>
    </font>
    <font>
      <sz val="11"/>
      <color indexed="60"/>
      <name val="Calibri"/>
      <family val="2"/>
    </font>
    <font>
      <sz val="7"/>
      <name val="Small Fonts"/>
      <family val="2"/>
    </font>
    <font>
      <sz val="14"/>
      <name val="Terminal"/>
      <family val="3"/>
      <charset val="255"/>
    </font>
    <font>
      <sz val="11"/>
      <name val="明朝"/>
      <family val="3"/>
      <charset val="128"/>
    </font>
    <font>
      <sz val="10"/>
      <name val="Arial MT"/>
      <family val="2"/>
    </font>
    <font>
      <b/>
      <sz val="11"/>
      <color indexed="63"/>
      <name val="Calibri"/>
      <family val="2"/>
    </font>
    <font>
      <b/>
      <sz val="10"/>
      <color indexed="8"/>
      <name val="Arial"/>
      <family val="2"/>
    </font>
    <font>
      <b/>
      <sz val="18"/>
      <color indexed="62"/>
      <name val="Cambria"/>
      <family val="1"/>
    </font>
    <font>
      <sz val="11"/>
      <name val="–¾’©"/>
      <family val="3"/>
      <charset val="128"/>
    </font>
    <font>
      <b/>
      <sz val="11"/>
      <name val="Helv"/>
      <family val="2"/>
    </font>
    <font>
      <b/>
      <u/>
      <sz val="14"/>
      <color indexed="16"/>
      <name val="ＭＳ Ｐゴシック"/>
      <family val="3"/>
      <charset val="128"/>
    </font>
    <font>
      <b/>
      <sz val="18"/>
      <color indexed="56"/>
      <name val="Cambria"/>
      <family val="1"/>
    </font>
    <font>
      <sz val="11"/>
      <color indexed="10"/>
      <name val="Calibri"/>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theme="1"/>
      <name val="ＭＳ ゴシック"/>
      <family val="3"/>
      <charset val="128"/>
    </font>
    <font>
      <sz val="11"/>
      <name val="ＭＳ ゴシック"/>
      <family val="3"/>
      <charset val="128"/>
    </font>
    <font>
      <u/>
      <sz val="11"/>
      <color theme="10"/>
      <name val="ＭＳ Ｐゴシック"/>
      <family val="3"/>
      <charset val="128"/>
    </font>
    <font>
      <sz val="11"/>
      <color indexed="52"/>
      <name val="ＭＳ Ｐゴシック"/>
      <family val="3"/>
      <charset val="128"/>
    </font>
    <font>
      <sz val="11"/>
      <color indexed="20"/>
      <name val="ＭＳ Ｐゴシック"/>
      <family val="3"/>
      <charset val="128"/>
    </font>
    <font>
      <sz val="12"/>
      <name val="宋体"/>
      <family val="3"/>
      <charset val="128"/>
    </font>
    <font>
      <sz val="12"/>
      <name val="新細明體"/>
      <family val="1"/>
    </font>
    <font>
      <sz val="12"/>
      <name val="ＭＳ ゴシック"/>
      <family val="3"/>
      <charset val="128"/>
    </font>
    <font>
      <b/>
      <sz val="11"/>
      <color indexed="52"/>
      <name val="ＭＳ Ｐゴシック"/>
      <family val="3"/>
      <charset val="128"/>
    </font>
    <font>
      <b/>
      <sz val="12"/>
      <color indexed="52"/>
      <name val="新細明體"/>
      <family val="1"/>
    </font>
    <font>
      <sz val="11"/>
      <color indexed="10"/>
      <name val="ＭＳ Ｐゴシック"/>
      <family val="3"/>
      <charset val="128"/>
    </font>
    <font>
      <sz val="12"/>
      <color indexed="10"/>
      <name val="新細明體"/>
      <family val="1"/>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sz val="12"/>
      <color indexed="17"/>
      <name val="新細明體"/>
      <family val="1"/>
    </font>
    <font>
      <b/>
      <sz val="12"/>
      <color indexed="8"/>
      <name val="新細明體"/>
      <family val="1"/>
    </font>
    <font>
      <b/>
      <sz val="11"/>
      <color indexed="8"/>
      <name val="ＭＳ Ｐゴシック"/>
      <family val="3"/>
      <charset val="128"/>
    </font>
    <font>
      <b/>
      <sz val="11"/>
      <color indexed="63"/>
      <name val="ＭＳ Ｐゴシック"/>
      <family val="3"/>
      <charset val="128"/>
    </font>
    <font>
      <sz val="12"/>
      <name val="Helv"/>
      <family val="2"/>
    </font>
    <font>
      <i/>
      <sz val="11"/>
      <color indexed="23"/>
      <name val="ＭＳ Ｐゴシック"/>
      <family val="3"/>
      <charset val="128"/>
    </font>
    <font>
      <sz val="12"/>
      <color indexed="60"/>
      <name val="新細明體"/>
      <family val="1"/>
    </font>
    <font>
      <u/>
      <sz val="12"/>
      <color indexed="12"/>
      <name val="新細明體"/>
      <family val="1"/>
    </font>
    <font>
      <sz val="11"/>
      <color indexed="62"/>
      <name val="ＭＳ Ｐゴシック"/>
      <family val="3"/>
      <charset val="128"/>
    </font>
    <font>
      <sz val="11"/>
      <color theme="1"/>
      <name val="ＭＳ Ｐゴシック"/>
      <family val="3"/>
      <charset val="128"/>
    </font>
    <font>
      <sz val="10"/>
      <color theme="1"/>
      <name val="Meiryo UI"/>
      <family val="3"/>
      <charset val="128"/>
    </font>
    <font>
      <sz val="12"/>
      <name val="ＭＳ Ｐゴシック"/>
      <family val="3"/>
      <charset val="128"/>
    </font>
    <font>
      <sz val="10"/>
      <name val="ＭＳ Ｐゴシック"/>
      <family val="3"/>
      <charset val="128"/>
    </font>
    <font>
      <b/>
      <sz val="18"/>
      <color indexed="56"/>
      <name val="新細明體"/>
      <family val="1"/>
    </font>
    <font>
      <b/>
      <sz val="15"/>
      <color indexed="56"/>
      <name val="新細明體"/>
      <family val="1"/>
    </font>
    <font>
      <b/>
      <sz val="13"/>
      <color indexed="56"/>
      <name val="新細明體"/>
      <family val="1"/>
    </font>
    <font>
      <b/>
      <sz val="11"/>
      <color indexed="56"/>
      <name val="新細明體"/>
      <family val="1"/>
    </font>
    <font>
      <sz val="14"/>
      <name val="ＭＳ ・団"/>
      <family val="1"/>
      <charset val="128"/>
    </font>
    <font>
      <sz val="14"/>
      <name val="ＭＳ 明朝"/>
      <family val="1"/>
      <charset val="128"/>
    </font>
    <font>
      <b/>
      <sz val="12"/>
      <color indexed="63"/>
      <name val="新細明體"/>
      <family val="1"/>
    </font>
    <font>
      <sz val="12"/>
      <color indexed="62"/>
      <name val="新細明體"/>
      <family val="1"/>
    </font>
    <font>
      <sz val="11"/>
      <color indexed="17"/>
      <name val="ＭＳ Ｐゴシック"/>
      <family val="3"/>
      <charset val="128"/>
    </font>
    <font>
      <sz val="12"/>
      <color indexed="52"/>
      <name val="新細明體"/>
      <family val="1"/>
    </font>
    <font>
      <sz val="12"/>
      <color indexed="20"/>
      <name val="新細明體"/>
      <family val="1"/>
    </font>
    <font>
      <b/>
      <sz val="12"/>
      <color indexed="9"/>
      <name val="新細明體"/>
      <family val="1"/>
    </font>
    <font>
      <u/>
      <sz val="12"/>
      <color indexed="36"/>
      <name val="新細明體"/>
      <family val="1"/>
    </font>
    <font>
      <i/>
      <sz val="12"/>
      <color indexed="23"/>
      <name val="新細明體"/>
      <family val="1"/>
    </font>
    <font>
      <sz val="11"/>
      <color theme="1"/>
      <name val="Calibri"/>
      <family val="2"/>
      <charset val="128"/>
      <scheme val="minor"/>
    </font>
    <font>
      <sz val="11"/>
      <name val="Arial"/>
      <family val="2"/>
    </font>
    <font>
      <b/>
      <sz val="11"/>
      <name val="Arial"/>
      <family val="2"/>
    </font>
    <font>
      <b/>
      <sz val="11"/>
      <color theme="0"/>
      <name val="Arial"/>
      <family val="2"/>
    </font>
    <font>
      <sz val="11"/>
      <color theme="0"/>
      <name val="Arial"/>
      <family val="2"/>
    </font>
    <font>
      <sz val="6"/>
      <name val="ＭＳ Ｐゴシック"/>
      <family val="3"/>
      <charset val="128"/>
    </font>
    <font>
      <b/>
      <sz val="14"/>
      <name val="Arial"/>
      <family val="2"/>
    </font>
    <font>
      <sz val="11"/>
      <color theme="1"/>
      <name val="Arial"/>
      <family val="2"/>
    </font>
    <font>
      <b/>
      <sz val="20"/>
      <name val="Arial"/>
      <family val="2"/>
    </font>
    <font>
      <i/>
      <sz val="11"/>
      <name val="Arial"/>
      <family val="2"/>
    </font>
    <font>
      <sz val="11"/>
      <color rgb="FFFF0000"/>
      <name val="Arial"/>
      <family val="2"/>
    </font>
    <font>
      <b/>
      <i/>
      <sz val="11"/>
      <color theme="9" tint="-0.249977111117893"/>
      <name val="Arial"/>
      <family val="2"/>
    </font>
    <font>
      <i/>
      <sz val="11"/>
      <color theme="9" tint="-0.249977111117893"/>
      <name val="Arial"/>
      <family val="2"/>
    </font>
    <font>
      <u/>
      <sz val="11"/>
      <color theme="10"/>
      <name val="Arial"/>
      <family val="2"/>
    </font>
    <font>
      <b/>
      <sz val="14"/>
      <color rgb="FFFF0000"/>
      <name val="Arial"/>
      <family val="2"/>
    </font>
    <font>
      <b/>
      <u/>
      <sz val="14"/>
      <color theme="10"/>
      <name val="Arial"/>
      <family val="2"/>
    </font>
    <font>
      <b/>
      <sz val="16"/>
      <name val="Arial"/>
      <family val="2"/>
    </font>
    <font>
      <b/>
      <u/>
      <sz val="16"/>
      <name val="Arial"/>
      <family val="2"/>
    </font>
    <font>
      <sz val="11"/>
      <color indexed="10"/>
      <name val="Arial"/>
      <family val="2"/>
    </font>
    <font>
      <b/>
      <sz val="11"/>
      <color rgb="FFFF0000"/>
      <name val="Arial"/>
      <family val="2"/>
    </font>
    <font>
      <b/>
      <u/>
      <sz val="16"/>
      <color theme="1"/>
      <name val="Arial"/>
      <family val="2"/>
    </font>
    <font>
      <sz val="11"/>
      <color theme="1"/>
      <name val="Calibri"/>
      <family val="2"/>
      <scheme val="minor"/>
    </font>
    <font>
      <sz val="10"/>
      <color theme="1"/>
      <name val="Arial"/>
      <family val="2"/>
    </font>
    <font>
      <u/>
      <sz val="10"/>
      <color theme="1"/>
      <name val="Arial"/>
      <family val="2"/>
    </font>
    <font>
      <strike/>
      <sz val="11"/>
      <color rgb="FFFF0000"/>
      <name val="Arial"/>
      <family val="2"/>
    </font>
    <font>
      <sz val="9"/>
      <name val="Arial"/>
      <family val="2"/>
    </font>
    <font>
      <sz val="8"/>
      <color theme="1"/>
      <name val="Arial"/>
      <family val="2"/>
    </font>
    <font>
      <sz val="8"/>
      <color theme="0"/>
      <name val="Arial"/>
      <family val="2"/>
    </font>
    <font>
      <b/>
      <sz val="11"/>
      <name val="ＭＳ Ｐゴシック"/>
      <family val="3"/>
      <charset val="128"/>
    </font>
    <font>
      <b/>
      <sz val="11"/>
      <color theme="1"/>
      <name val="Calibri"/>
      <family val="2"/>
      <charset val="128"/>
      <scheme val="minor"/>
    </font>
    <font>
      <b/>
      <sz val="11"/>
      <color theme="1"/>
      <name val="Calibri"/>
      <family val="2"/>
      <scheme val="minor"/>
    </font>
    <font>
      <b/>
      <sz val="11"/>
      <name val="Arial"/>
      <family val="3"/>
      <charset val="128"/>
    </font>
    <font>
      <b/>
      <u/>
      <sz val="14"/>
      <color theme="1"/>
      <name val="Arial"/>
      <family val="2"/>
    </font>
    <font>
      <sz val="14"/>
      <color theme="1"/>
      <name val="Arial"/>
      <family val="2"/>
    </font>
    <font>
      <sz val="6"/>
      <name val="Meiryo UI"/>
      <family val="2"/>
      <charset val="128"/>
    </font>
    <font>
      <b/>
      <sz val="11"/>
      <color theme="9" tint="-0.499984740745262"/>
      <name val="Arial"/>
      <family val="2"/>
    </font>
    <font>
      <b/>
      <sz val="11"/>
      <color rgb="FFFF0000"/>
      <name val="ＭＳ Ｐゴシック"/>
      <family val="3"/>
      <charset val="128"/>
    </font>
    <font>
      <sz val="8"/>
      <color rgb="FFFF0000"/>
      <name val="Arial"/>
      <family val="2"/>
    </font>
    <font>
      <i/>
      <sz val="11"/>
      <color theme="1" tint="0.499984740745262"/>
      <name val="Arial"/>
      <family val="2"/>
    </font>
    <font>
      <i/>
      <sz val="11"/>
      <color theme="1" tint="0.34998626667073579"/>
      <name val="Arial"/>
      <family val="2"/>
    </font>
    <font>
      <b/>
      <sz val="10"/>
      <color theme="1"/>
      <name val="Meiryo UI"/>
      <family val="3"/>
      <charset val="128"/>
    </font>
    <font>
      <sz val="11"/>
      <color theme="8"/>
      <name val="Arial"/>
      <family val="2"/>
    </font>
    <font>
      <sz val="11"/>
      <color theme="9" tint="-0.499984740745262"/>
      <name val="Arial"/>
      <family val="2"/>
    </font>
    <font>
      <i/>
      <sz val="11"/>
      <color theme="9" tint="-0.499984740745262"/>
      <name val="Arial"/>
      <family val="2"/>
    </font>
    <font>
      <b/>
      <i/>
      <sz val="11"/>
      <color theme="9" tint="-0.499984740745262"/>
      <name val="Arial"/>
      <family val="2"/>
    </font>
    <font>
      <i/>
      <strike/>
      <sz val="11"/>
      <color theme="9" tint="-0.499984740745262"/>
      <name val="Arial"/>
      <family val="2"/>
    </font>
    <font>
      <i/>
      <sz val="11"/>
      <color theme="1" tint="0.249977111117893"/>
      <name val="Arial"/>
      <family val="2"/>
    </font>
    <font>
      <sz val="11"/>
      <color theme="1" tint="0.499984740745262"/>
      <name val="Arial"/>
      <family val="2"/>
    </font>
    <font>
      <i/>
      <sz val="11"/>
      <color rgb="FFFF0000"/>
      <name val="Arial"/>
      <family val="2"/>
    </font>
    <font>
      <sz val="11"/>
      <color theme="1" tint="0.499984740745262"/>
      <name val="ＭＳ Ｐゴシック"/>
      <family val="3"/>
      <charset val="128"/>
    </font>
    <font>
      <b/>
      <sz val="11"/>
      <color theme="1" tint="0.499984740745262"/>
      <name val="ＭＳ Ｐゴシック"/>
      <family val="3"/>
      <charset val="128"/>
    </font>
    <font>
      <b/>
      <sz val="11"/>
      <color theme="1" tint="0.499984740745262"/>
      <name val="Arial"/>
      <family val="2"/>
    </font>
    <font>
      <sz val="14"/>
      <color theme="8"/>
      <name val="Arial"/>
      <family val="2"/>
    </font>
    <font>
      <b/>
      <sz val="10"/>
      <color theme="1"/>
      <name val="Arial"/>
      <family val="2"/>
    </font>
    <font>
      <sz val="12"/>
      <color rgb="FF0000FF"/>
      <name val="ＭＳ Ｐゴシック"/>
      <family val="3"/>
      <charset val="128"/>
    </font>
    <font>
      <sz val="11"/>
      <color rgb="FF0000FF"/>
      <name val="Arial"/>
      <family val="2"/>
    </font>
    <font>
      <b/>
      <sz val="12"/>
      <color rgb="FF0000FF"/>
      <name val="Arial"/>
      <family val="2"/>
    </font>
    <font>
      <sz val="12"/>
      <color rgb="FF0000FF"/>
      <name val="Arial"/>
      <family val="2"/>
    </font>
    <font>
      <sz val="11"/>
      <color theme="1"/>
      <name val="ＭＳ ゴシック"/>
      <family val="2"/>
      <charset val="128"/>
    </font>
    <font>
      <sz val="9"/>
      <color theme="5" tint="-0.499984740745262"/>
      <name val="Arial"/>
      <family val="2"/>
    </font>
    <font>
      <u/>
      <sz val="11"/>
      <name val="Arial"/>
      <family val="2"/>
    </font>
    <font>
      <i/>
      <sz val="11"/>
      <color theme="0"/>
      <name val="Arial"/>
      <family val="2"/>
    </font>
    <font>
      <sz val="8"/>
      <color theme="1" tint="0.34998626667073579"/>
      <name val="Arial"/>
      <family val="2"/>
    </font>
    <font>
      <sz val="11"/>
      <color theme="1" tint="0.34998626667073579"/>
      <name val="Arial"/>
      <family val="2"/>
    </font>
    <font>
      <b/>
      <i/>
      <sz val="11"/>
      <color theme="0" tint="-0.499984740745262"/>
      <name val="Arial"/>
      <family val="2"/>
    </font>
    <font>
      <i/>
      <sz val="11"/>
      <color theme="0" tint="-0.499984740745262"/>
      <name val="Arial"/>
      <family val="2"/>
    </font>
    <font>
      <sz val="11"/>
      <color theme="5" tint="-0.499984740745262"/>
      <name val="Arial"/>
      <family val="2"/>
    </font>
    <font>
      <b/>
      <sz val="11"/>
      <color theme="5" tint="-0.499984740745262"/>
      <name val="Arial"/>
      <family val="2"/>
    </font>
    <font>
      <b/>
      <sz val="11"/>
      <color theme="1" tint="0.34998626667073579"/>
      <name val="Arial"/>
      <family val="2"/>
    </font>
    <font>
      <i/>
      <sz val="10"/>
      <color theme="9" tint="-0.499984740745262"/>
      <name val="Arial"/>
      <family val="2"/>
    </font>
    <font>
      <b/>
      <sz val="11"/>
      <color theme="1"/>
      <name val="Arial"/>
      <family val="2"/>
    </font>
    <font>
      <b/>
      <i/>
      <sz val="11"/>
      <color theme="1"/>
      <name val="Arial"/>
      <family val="2"/>
    </font>
    <font>
      <sz val="9"/>
      <color theme="1" tint="0.34998626667073579"/>
      <name val="Arial"/>
      <family val="2"/>
    </font>
    <font>
      <b/>
      <sz val="14"/>
      <color theme="1" tint="0.34998626667073579"/>
      <name val="Arial"/>
      <family val="2"/>
    </font>
    <font>
      <b/>
      <sz val="12"/>
      <color theme="1" tint="0.34998626667073579"/>
      <name val="Arial"/>
      <family val="2"/>
    </font>
    <font>
      <b/>
      <sz val="10"/>
      <color theme="1" tint="0.34998626667073579"/>
      <name val="Arial"/>
      <family val="2"/>
    </font>
    <font>
      <sz val="11"/>
      <color theme="1" tint="0.34998626667073579"/>
      <name val="宋体"/>
      <family val="3"/>
      <charset val="134"/>
    </font>
    <font>
      <b/>
      <sz val="10"/>
      <name val="Arial"/>
      <family val="2"/>
    </font>
    <font>
      <b/>
      <i/>
      <sz val="11"/>
      <color theme="0"/>
      <name val="Arial"/>
      <family val="2"/>
    </font>
    <font>
      <i/>
      <sz val="9"/>
      <name val="Arial"/>
      <family val="2"/>
    </font>
    <font>
      <b/>
      <i/>
      <sz val="11"/>
      <name val="Arial"/>
      <family val="2"/>
    </font>
    <font>
      <b/>
      <sz val="9"/>
      <color theme="5" tint="-0.499984740745262"/>
      <name val="Arial"/>
      <family val="2"/>
    </font>
    <font>
      <sz val="11"/>
      <color theme="1"/>
      <name val="ＭＳ Ｐゴシック"/>
      <family val="2"/>
      <charset val="128"/>
    </font>
    <font>
      <sz val="11"/>
      <color rgb="FFFF0000"/>
      <name val="ＭＳ Ｐゴシック"/>
      <family val="2"/>
      <charset val="128"/>
    </font>
    <font>
      <b/>
      <sz val="12"/>
      <color theme="1"/>
      <name val="Arial"/>
      <family val="2"/>
    </font>
    <font>
      <b/>
      <sz val="12"/>
      <color theme="1"/>
      <name val="ＭＳ ゴシック"/>
      <family val="3"/>
      <charset val="128"/>
    </font>
    <font>
      <sz val="11"/>
      <name val="ＭＳ Ｐゴシック"/>
      <family val="2"/>
      <charset val="128"/>
    </font>
    <font>
      <sz val="11"/>
      <color theme="3"/>
      <name val="游ゴシック"/>
      <family val="3"/>
      <charset val="128"/>
    </font>
    <font>
      <sz val="11"/>
      <color theme="3"/>
      <name val="ＭＳ Ｐゴシック"/>
      <family val="3"/>
      <charset val="128"/>
    </font>
    <font>
      <sz val="11"/>
      <color theme="3"/>
      <name val="Yu Gothic Medium"/>
      <family val="3"/>
      <charset val="128"/>
    </font>
    <font>
      <sz val="11"/>
      <color theme="3"/>
      <name val="Arial"/>
      <family val="3"/>
    </font>
    <font>
      <sz val="10"/>
      <color theme="3"/>
      <name val="Yu Gothic Medium"/>
      <family val="2"/>
      <charset val="128"/>
    </font>
    <font>
      <sz val="10"/>
      <color theme="3"/>
      <name val="Yu Gothic Medium"/>
      <family val="3"/>
      <charset val="128"/>
    </font>
    <font>
      <sz val="10"/>
      <color theme="1"/>
      <name val="Arial"/>
      <family val="2"/>
      <charset val="128"/>
    </font>
    <font>
      <sz val="6"/>
      <name val="Arial"/>
      <family val="2"/>
      <charset val="128"/>
    </font>
    <font>
      <b/>
      <sz val="11"/>
      <name val="Calibri"/>
      <family val="2"/>
      <charset val="128"/>
      <scheme val="minor"/>
    </font>
    <font>
      <sz val="10"/>
      <color rgb="FF0000FF"/>
      <name val="Arial"/>
      <family val="2"/>
    </font>
    <font>
      <sz val="10"/>
      <color theme="1"/>
      <name val="ＭＳ Ｐゴシック"/>
      <family val="2"/>
      <charset val="128"/>
    </font>
    <font>
      <b/>
      <sz val="12"/>
      <color theme="8" tint="-0.249977111117893"/>
      <name val="Arial"/>
      <family val="2"/>
    </font>
    <font>
      <b/>
      <sz val="16"/>
      <color theme="1"/>
      <name val="Arial"/>
      <family val="2"/>
    </font>
    <font>
      <u/>
      <sz val="11"/>
      <color theme="10"/>
      <name val="Calibri"/>
      <family val="2"/>
      <charset val="128"/>
      <scheme val="minor"/>
    </font>
    <font>
      <b/>
      <i/>
      <sz val="11"/>
      <color theme="1" tint="0.34998626667073579"/>
      <name val="Arial"/>
      <family val="2"/>
    </font>
    <font>
      <b/>
      <sz val="10"/>
      <color rgb="FFFF0000"/>
      <name val="Arial"/>
      <family val="2"/>
    </font>
    <font>
      <b/>
      <u/>
      <sz val="10"/>
      <color rgb="FF0000FF"/>
      <name val="Arial"/>
      <family val="2"/>
    </font>
    <font>
      <sz val="11"/>
      <name val="Yu Gothic Medium"/>
      <family val="3"/>
      <charset val="128"/>
    </font>
    <font>
      <sz val="11"/>
      <color indexed="12"/>
      <name val="Calibri"/>
      <family val="2"/>
    </font>
    <font>
      <sz val="11"/>
      <color theme="0"/>
      <name val="Calibri"/>
      <family val="2"/>
    </font>
    <font>
      <sz val="8"/>
      <color theme="0"/>
      <name val="ＭＳ Ｐゴシック"/>
      <family val="2"/>
      <charset val="128"/>
    </font>
    <font>
      <b/>
      <u/>
      <sz val="10"/>
      <color theme="1"/>
      <name val="ＭＳ Ｐゴシック"/>
      <family val="3"/>
      <charset val="128"/>
    </font>
    <font>
      <b/>
      <u/>
      <sz val="14"/>
      <name val="Arial"/>
      <family val="2"/>
    </font>
    <font>
      <b/>
      <sz val="12"/>
      <color rgb="FFFF0000"/>
      <name val="Arial"/>
      <family val="2"/>
    </font>
    <font>
      <sz val="9"/>
      <color theme="0"/>
      <name val="Arial"/>
      <family val="2"/>
    </font>
    <font>
      <sz val="10"/>
      <color rgb="FF0000FF"/>
      <name val="Yu Gothic Medium"/>
      <family val="2"/>
      <charset val="128"/>
    </font>
    <font>
      <sz val="11"/>
      <name val="Arial"/>
      <family val="3"/>
    </font>
    <font>
      <sz val="11"/>
      <color indexed="8"/>
      <name val="Calibri"/>
      <family val="2"/>
      <scheme val="minor"/>
    </font>
    <font>
      <i/>
      <sz val="9"/>
      <color theme="0"/>
      <name val="Arial"/>
      <family val="2"/>
    </font>
    <font>
      <i/>
      <sz val="8"/>
      <name val="Arial"/>
      <family val="2"/>
    </font>
    <font>
      <b/>
      <i/>
      <sz val="12"/>
      <color rgb="FFFF0000"/>
      <name val="Arial"/>
      <family val="2"/>
    </font>
    <font>
      <i/>
      <sz val="8"/>
      <color theme="0"/>
      <name val="Arial"/>
      <family val="2"/>
    </font>
    <font>
      <i/>
      <sz val="9"/>
      <color theme="0"/>
      <name val="Calibri"/>
      <family val="3"/>
      <charset val="128"/>
      <scheme val="minor"/>
    </font>
    <font>
      <b/>
      <i/>
      <sz val="16"/>
      <color theme="0"/>
      <name val="Arial"/>
      <family val="2"/>
    </font>
    <font>
      <b/>
      <sz val="11"/>
      <name val="ＭＳ Ｐゴシック"/>
      <family val="2"/>
      <charset val="128"/>
    </font>
    <font>
      <b/>
      <u/>
      <sz val="14"/>
      <color theme="4"/>
      <name val="Arial"/>
      <family val="2"/>
    </font>
    <font>
      <sz val="14"/>
      <name val="Arial"/>
      <family val="2"/>
    </font>
  </fonts>
  <fills count="9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10"/>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57"/>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53"/>
      </patternFill>
    </fill>
    <fill>
      <patternFill patternType="solid">
        <fgColor indexed="26"/>
        <bgColor indexed="26"/>
      </patternFill>
    </fill>
    <fill>
      <patternFill patternType="solid">
        <fgColor indexed="47"/>
        <bgColor indexed="47"/>
      </patternFill>
    </fill>
    <fill>
      <patternFill patternType="solid">
        <fgColor indexed="22"/>
      </patternFill>
    </fill>
    <fill>
      <patternFill patternType="solid">
        <fgColor indexed="55"/>
      </patternFill>
    </fill>
    <fill>
      <patternFill patternType="solid">
        <fgColor indexed="9"/>
        <bgColor indexed="64"/>
      </pattern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22"/>
        <bgColor indexed="64"/>
      </patternFill>
    </fill>
    <fill>
      <patternFill patternType="solid">
        <fgColor indexed="43"/>
        <bgColor indexed="64"/>
      </patternFill>
    </fill>
    <fill>
      <patternFill patternType="solid">
        <fgColor indexed="43"/>
      </patternFill>
    </fill>
    <fill>
      <patternFill patternType="solid">
        <fgColor indexed="9"/>
      </patternFill>
    </fill>
    <fill>
      <patternFill patternType="solid">
        <fgColor indexed="26"/>
      </patternFill>
    </fill>
    <fill>
      <patternFill patternType="solid">
        <fgColor indexed="41"/>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54"/>
        <bgColor indexed="64"/>
      </patternFill>
    </fill>
    <fill>
      <patternFill patternType="solid">
        <fgColor indexed="44"/>
        <bgColor indexed="64"/>
      </patternFill>
    </fill>
    <fill>
      <patternFill patternType="solid">
        <fgColor indexed="54"/>
      </patternFill>
    </fill>
    <fill>
      <patternFill patternType="solid">
        <fgColor indexed="23"/>
      </patternFill>
    </fill>
    <fill>
      <patternFill patternType="solid">
        <fgColor indexed="40"/>
      </patternFill>
    </fill>
    <fill>
      <patternFill patternType="solid">
        <fgColor indexed="41"/>
        <bgColor indexed="64"/>
      </patternFill>
    </fill>
    <fill>
      <patternFill patternType="solid">
        <fgColor indexed="40"/>
        <bgColor indexed="64"/>
      </patternFill>
    </fill>
    <fill>
      <patternFill patternType="solid">
        <fgColor theme="0"/>
        <bgColor indexed="64"/>
      </patternFill>
    </fill>
    <fill>
      <patternFill patternType="solid">
        <fgColor rgb="FFFFFFCC"/>
        <bgColor indexed="64"/>
      </patternFill>
    </fill>
    <fill>
      <patternFill patternType="solid">
        <fgColor rgb="FFFFFF99"/>
        <bgColor indexed="64"/>
      </patternFill>
    </fill>
    <fill>
      <patternFill patternType="solid">
        <fgColor rgb="FFFFCC99"/>
        <bgColor indexed="64"/>
      </patternFill>
    </fill>
    <fill>
      <patternFill patternType="solid">
        <fgColor theme="4" tint="0.79998168889431442"/>
        <bgColor indexed="64"/>
      </patternFill>
    </fill>
    <fill>
      <patternFill patternType="solid">
        <fgColor indexed="46"/>
        <bgColor indexed="64"/>
      </patternFill>
    </fill>
    <fill>
      <patternFill patternType="solid">
        <fgColor rgb="FFCCFFFF"/>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CCECFF"/>
        <bgColor indexed="64"/>
      </patternFill>
    </fill>
    <fill>
      <patternFill patternType="solid">
        <fgColor rgb="FFFFFF00"/>
        <bgColor indexed="64"/>
      </patternFill>
    </fill>
    <fill>
      <patternFill patternType="solid">
        <fgColor indexed="13"/>
        <bgColor indexed="64"/>
      </patternFill>
    </fill>
    <fill>
      <patternFill patternType="solid">
        <fgColor theme="0" tint="-4.9989318521683403E-2"/>
        <bgColor indexed="64"/>
      </patternFill>
    </fill>
    <fill>
      <patternFill patternType="solid">
        <fgColor rgb="FFCC99FF"/>
        <bgColor indexed="64"/>
      </patternFill>
    </fill>
    <fill>
      <patternFill patternType="solid">
        <fgColor rgb="FF99CCFF"/>
        <bgColor indexed="64"/>
      </patternFill>
    </fill>
    <fill>
      <patternFill patternType="solid">
        <fgColor rgb="FFFFCCFF"/>
        <bgColor indexed="64"/>
      </patternFill>
    </fill>
    <fill>
      <patternFill patternType="solid">
        <fgColor theme="8"/>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2"/>
        <bgColor indexed="64"/>
      </patternFill>
    </fill>
    <fill>
      <patternFill patternType="solid">
        <fgColor theme="2" tint="-9.9978637043366805E-2"/>
        <bgColor indexed="64"/>
      </patternFill>
    </fill>
    <fill>
      <patternFill patternType="solid">
        <fgColor rgb="FFFCCEFE"/>
        <bgColor indexed="64"/>
      </patternFill>
    </fill>
    <fill>
      <patternFill patternType="solid">
        <fgColor rgb="FFFF00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C000"/>
        <bgColor indexed="64"/>
      </patternFill>
    </fill>
    <fill>
      <patternFill patternType="solid">
        <fgColor theme="9"/>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79998168889431442"/>
        <bgColor indexed="64"/>
      </patternFill>
    </fill>
  </fills>
  <borders count="128">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top style="thin">
        <color auto="1"/>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auto="1"/>
      </top>
      <bottom style="hair">
        <color indexed="64"/>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auto="1"/>
      </left>
      <right style="thin">
        <color indexed="64"/>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indexed="64"/>
      </top>
      <bottom style="hair">
        <color indexed="64"/>
      </bottom>
      <diagonal/>
    </border>
    <border>
      <left/>
      <right/>
      <top style="hair">
        <color auto="1"/>
      </top>
      <bottom style="hair">
        <color auto="1"/>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style="hair">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thin">
        <color indexed="64"/>
      </left>
      <right/>
      <top style="hair">
        <color indexed="64"/>
      </top>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style="thin">
        <color auto="1"/>
      </left>
      <right/>
      <top style="thin">
        <color auto="1"/>
      </top>
      <bottom/>
      <diagonal/>
    </border>
    <border>
      <left/>
      <right/>
      <top style="thin">
        <color indexed="64"/>
      </top>
      <bottom/>
      <diagonal/>
    </border>
    <border>
      <left style="hair">
        <color auto="1"/>
      </left>
      <right/>
      <top/>
      <bottom style="hair">
        <color indexed="64"/>
      </bottom>
      <diagonal/>
    </border>
    <border>
      <left style="hair">
        <color auto="1"/>
      </left>
      <right/>
      <top/>
      <bottom/>
      <diagonal/>
    </border>
    <border>
      <left/>
      <right/>
      <top style="thin">
        <color auto="1"/>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auto="1"/>
      </left>
      <right/>
      <top style="thin">
        <color auto="1"/>
      </top>
      <bottom style="hair">
        <color auto="1"/>
      </bottom>
      <diagonal/>
    </border>
    <border>
      <left/>
      <right style="thin">
        <color indexed="64"/>
      </right>
      <top style="thin">
        <color auto="1"/>
      </top>
      <bottom style="hair">
        <color auto="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top style="hair">
        <color indexed="64"/>
      </top>
      <bottom/>
      <diagonal/>
    </border>
    <border>
      <left style="thin">
        <color indexed="64"/>
      </left>
      <right style="hair">
        <color indexed="64"/>
      </right>
      <top style="thin">
        <color indexed="64"/>
      </top>
      <bottom style="thin">
        <color indexed="64"/>
      </bottom>
      <diagonal/>
    </border>
    <border>
      <left/>
      <right/>
      <top style="thin">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style="hair">
        <color auto="1"/>
      </left>
      <right style="thin">
        <color indexed="64"/>
      </right>
      <top style="hair">
        <color auto="1"/>
      </top>
      <bottom style="thin">
        <color indexed="64"/>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diagonal/>
    </border>
    <border>
      <left style="thin">
        <color auto="1"/>
      </left>
      <right style="hair">
        <color auto="1"/>
      </right>
      <top style="thin">
        <color auto="1"/>
      </top>
      <bottom/>
      <diagonal/>
    </border>
    <border>
      <left style="hair">
        <color auto="1"/>
      </left>
      <right/>
      <top style="thin">
        <color auto="1"/>
      </top>
      <bottom/>
      <diagonal/>
    </border>
    <border>
      <left style="hair">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hair">
        <color indexed="64"/>
      </left>
      <right/>
      <top style="hair">
        <color indexed="64"/>
      </top>
      <bottom style="hair">
        <color indexed="64"/>
      </bottom>
      <diagonal/>
    </border>
    <border>
      <left style="hair">
        <color indexed="64"/>
      </left>
      <right/>
      <top style="hair">
        <color indexed="64"/>
      </top>
      <bottom style="thin">
        <color auto="1"/>
      </bottom>
      <diagonal/>
    </border>
    <border>
      <left style="medium">
        <color indexed="64"/>
      </left>
      <right style="medium">
        <color indexed="64"/>
      </right>
      <top style="medium">
        <color indexed="64"/>
      </top>
      <bottom style="medium">
        <color indexed="64"/>
      </bottom>
      <diagonal/>
    </border>
    <border>
      <left style="hair">
        <color auto="1"/>
      </left>
      <right/>
      <top style="thin">
        <color auto="1"/>
      </top>
      <bottom/>
      <diagonal/>
    </border>
  </borders>
  <cellStyleXfs count="821">
    <xf numFmtId="0" fontId="0" fillId="0" borderId="0">
      <alignment vertical="center"/>
    </xf>
    <xf numFmtId="0" fontId="8" fillId="0" borderId="0" applyNumberFormat="0" applyFill="0" applyBorder="0" applyAlignment="0" applyProtection="0"/>
    <xf numFmtId="0" fontId="9" fillId="0" borderId="0"/>
    <xf numFmtId="0" fontId="9" fillId="0" borderId="0"/>
    <xf numFmtId="0" fontId="9" fillId="0" borderId="0"/>
    <xf numFmtId="0" fontId="9" fillId="0" borderId="0"/>
    <xf numFmtId="0" fontId="10" fillId="0" borderId="0"/>
    <xf numFmtId="0" fontId="11" fillId="0" borderId="0">
      <alignment vertical="top"/>
    </xf>
    <xf numFmtId="0" fontId="10" fillId="0" borderId="0"/>
    <xf numFmtId="0" fontId="10" fillId="0" borderId="0"/>
    <xf numFmtId="0" fontId="10" fillId="0" borderId="0"/>
    <xf numFmtId="0" fontId="10" fillId="0" borderId="0"/>
    <xf numFmtId="0" fontId="12"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3" fontId="9" fillId="0" borderId="1">
      <alignment horizontal="right" vertical="center"/>
      <protection hidden="1"/>
    </xf>
    <xf numFmtId="0" fontId="11" fillId="0" borderId="0">
      <alignment vertical="top"/>
    </xf>
    <xf numFmtId="0" fontId="10" fillId="0" borderId="0"/>
    <xf numFmtId="0" fontId="11" fillId="0" borderId="0">
      <alignment vertical="top"/>
    </xf>
    <xf numFmtId="0" fontId="11" fillId="0" borderId="0">
      <alignment vertical="top"/>
    </xf>
    <xf numFmtId="0" fontId="9" fillId="0" borderId="0"/>
    <xf numFmtId="0" fontId="9" fillId="0" borderId="0"/>
    <xf numFmtId="0" fontId="9" fillId="0" borderId="0"/>
    <xf numFmtId="0" fontId="9" fillId="0" borderId="0"/>
    <xf numFmtId="1" fontId="13" fillId="0" borderId="0"/>
    <xf numFmtId="1" fontId="13" fillId="0" borderId="0"/>
    <xf numFmtId="1" fontId="13" fillId="0" borderId="0"/>
    <xf numFmtId="1" fontId="13"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6" fillId="2" borderId="0" applyNumberFormat="0" applyBorder="0" applyAlignment="0" applyProtection="0">
      <alignment vertical="center"/>
    </xf>
    <xf numFmtId="0" fontId="16" fillId="3" borderId="0" applyNumberFormat="0" applyBorder="0" applyAlignment="0" applyProtection="0">
      <alignment vertical="center"/>
    </xf>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5" borderId="0" applyNumberFormat="0" applyBorder="0" applyAlignment="0" applyProtection="0"/>
    <xf numFmtId="0" fontId="14" fillId="8" borderId="0" applyNumberFormat="0" applyBorder="0" applyAlignment="0" applyProtection="0"/>
    <xf numFmtId="0" fontId="14" fillId="11" borderId="0" applyNumberFormat="0" applyBorder="0" applyAlignment="0" applyProtection="0"/>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5" borderId="0" applyNumberFormat="0" applyBorder="0" applyAlignment="0" applyProtection="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9" fillId="12"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18"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8" fillId="27" borderId="0" applyNumberFormat="0" applyBorder="0" applyAlignment="0" applyProtection="0"/>
    <xf numFmtId="0" fontId="18" fillId="1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8" fillId="27" borderId="0" applyNumberFormat="0" applyBorder="0" applyAlignment="0" applyProtection="0"/>
    <xf numFmtId="0" fontId="18" fillId="14"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8" fillId="18" borderId="0" applyNumberFormat="0" applyBorder="0" applyAlignment="0" applyProtection="0"/>
    <xf numFmtId="0" fontId="18" fillId="28" borderId="0" applyNumberFormat="0" applyBorder="0" applyAlignment="0" applyProtection="0"/>
    <xf numFmtId="0" fontId="14" fillId="29" borderId="0" applyNumberFormat="0" applyBorder="0" applyAlignment="0" applyProtection="0"/>
    <xf numFmtId="0" fontId="14" fillId="22" borderId="0" applyNumberFormat="0" applyBorder="0" applyAlignment="0" applyProtection="0"/>
    <xf numFmtId="0" fontId="18" fillId="30" borderId="0" applyNumberFormat="0" applyBorder="0" applyAlignment="0" applyProtection="0"/>
    <xf numFmtId="0" fontId="21" fillId="3" borderId="0" applyNumberFormat="0" applyBorder="0" applyAlignment="0" applyProtection="0"/>
    <xf numFmtId="0" fontId="11" fillId="0" borderId="0" applyFill="0" applyBorder="0" applyAlignment="0"/>
    <xf numFmtId="169" fontId="22" fillId="0" borderId="0" applyFill="0" applyBorder="0" applyAlignment="0"/>
    <xf numFmtId="0" fontId="23" fillId="31" borderId="2" applyNumberFormat="0" applyAlignment="0" applyProtection="0"/>
    <xf numFmtId="0" fontId="24" fillId="32" borderId="3" applyNumberFormat="0" applyAlignment="0" applyProtection="0"/>
    <xf numFmtId="0" fontId="25" fillId="0" borderId="4">
      <alignment horizontal="center"/>
    </xf>
    <xf numFmtId="171" fontId="26" fillId="0" borderId="0"/>
    <xf numFmtId="3" fontId="9" fillId="0" borderId="0" applyFont="0" applyFill="0" applyBorder="0" applyAlignment="0" applyProtection="0"/>
    <xf numFmtId="0" fontId="27" fillId="0" borderId="0"/>
    <xf numFmtId="0" fontId="10" fillId="0" borderId="0"/>
    <xf numFmtId="0" fontId="10" fillId="0" borderId="0"/>
    <xf numFmtId="0" fontId="10" fillId="0" borderId="0"/>
    <xf numFmtId="0" fontId="27" fillId="0" borderId="0"/>
    <xf numFmtId="0" fontId="10" fillId="0" borderId="0"/>
    <xf numFmtId="0" fontId="10" fillId="0" borderId="0"/>
    <xf numFmtId="0" fontId="10" fillId="0" borderId="0"/>
    <xf numFmtId="172" fontId="9" fillId="0" borderId="0" applyFon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0" fillId="34" borderId="1" applyNumberFormat="0" applyAlignment="0">
      <protection locked="0"/>
    </xf>
    <xf numFmtId="0" fontId="9" fillId="0" borderId="0" applyFont="0" applyFill="0" applyBorder="0" applyAlignment="0" applyProtection="0"/>
    <xf numFmtId="0" fontId="10" fillId="0" borderId="0"/>
    <xf numFmtId="164" fontId="9" fillId="0" borderId="0" applyFont="0" applyFill="0" applyBorder="0" applyAlignment="0" applyProtection="0"/>
    <xf numFmtId="165" fontId="9" fillId="0" borderId="0" applyFont="0" applyFill="0" applyBorder="0" applyAlignment="0" applyProtection="0"/>
    <xf numFmtId="0" fontId="31" fillId="0" borderId="0">
      <protection locked="0"/>
    </xf>
    <xf numFmtId="0" fontId="13" fillId="0" borderId="0" applyNumberFormat="0" applyFont="0" applyFill="0">
      <alignment horizontal="left"/>
    </xf>
    <xf numFmtId="173" fontId="9" fillId="0" borderId="0" applyFont="0" applyFill="0" applyBorder="0" applyAlignment="0" applyProtection="0"/>
    <xf numFmtId="174" fontId="32" fillId="0" borderId="0" applyFont="0" applyFill="0" applyBorder="0" applyAlignment="0" applyProtection="0"/>
    <xf numFmtId="0" fontId="33" fillId="35" borderId="0" applyNumberFormat="0" applyBorder="0" applyAlignment="0" applyProtection="0"/>
    <xf numFmtId="0" fontId="33" fillId="36" borderId="0" applyNumberFormat="0" applyBorder="0" applyAlignment="0" applyProtection="0"/>
    <xf numFmtId="0" fontId="33" fillId="37" borderId="0" applyNumberFormat="0" applyBorder="0" applyAlignment="0" applyProtection="0"/>
    <xf numFmtId="0" fontId="34" fillId="0" borderId="0">
      <protection locked="0"/>
    </xf>
    <xf numFmtId="0" fontId="34" fillId="0" borderId="0">
      <protection locked="0"/>
    </xf>
    <xf numFmtId="17" fontId="35" fillId="0" borderId="5"/>
    <xf numFmtId="17" fontId="35" fillId="0" borderId="5"/>
    <xf numFmtId="0" fontId="9" fillId="0" borderId="0" applyFont="0" applyFill="0" applyBorder="0" applyAlignment="0" applyProtection="0"/>
    <xf numFmtId="0" fontId="36" fillId="0" borderId="0" applyNumberFormat="0" applyFill="0" applyBorder="0" applyAlignment="0" applyProtection="0"/>
    <xf numFmtId="0" fontId="31" fillId="0" borderId="0">
      <protection locked="0"/>
    </xf>
    <xf numFmtId="0" fontId="31" fillId="0" borderId="0">
      <protection locked="0"/>
    </xf>
    <xf numFmtId="0" fontId="31" fillId="0" borderId="0">
      <protection locked="0"/>
    </xf>
    <xf numFmtId="0" fontId="31" fillId="0" borderId="0">
      <protection locked="0"/>
    </xf>
    <xf numFmtId="0" fontId="31" fillId="0" borderId="0">
      <protection locked="0"/>
    </xf>
    <xf numFmtId="0" fontId="31" fillId="0" borderId="0">
      <protection locked="0"/>
    </xf>
    <xf numFmtId="0" fontId="31" fillId="0" borderId="0">
      <protection locked="0"/>
    </xf>
    <xf numFmtId="0" fontId="31" fillId="0" borderId="0">
      <protection locked="0"/>
    </xf>
    <xf numFmtId="0" fontId="31" fillId="0" borderId="0">
      <protection locked="0"/>
    </xf>
    <xf numFmtId="2" fontId="9" fillId="0" borderId="0" applyFont="0" applyFill="0" applyBorder="0" applyAlignment="0" applyProtection="0"/>
    <xf numFmtId="0" fontId="10" fillId="0" borderId="0"/>
    <xf numFmtId="0" fontId="37" fillId="4" borderId="0" applyNumberFormat="0" applyBorder="0" applyAlignment="0" applyProtection="0"/>
    <xf numFmtId="38" fontId="30" fillId="38" borderId="0" applyNumberFormat="0" applyBorder="0" applyAlignment="0" applyProtection="0"/>
    <xf numFmtId="0" fontId="38" fillId="0" borderId="6" applyNumberFormat="0" applyAlignment="0" applyProtection="0">
      <alignment horizontal="left" vertical="center"/>
    </xf>
    <xf numFmtId="0" fontId="38" fillId="0" borderId="7">
      <alignment horizontal="left" vertical="center"/>
    </xf>
    <xf numFmtId="0" fontId="39" fillId="0" borderId="8" applyNumberFormat="0" applyFill="0" applyAlignment="0" applyProtection="0"/>
    <xf numFmtId="0" fontId="40" fillId="0" borderId="9" applyNumberFormat="0" applyFill="0" applyAlignment="0" applyProtection="0"/>
    <xf numFmtId="0" fontId="41" fillId="0" borderId="10" applyNumberFormat="0" applyFill="0" applyAlignment="0" applyProtection="0"/>
    <xf numFmtId="0" fontId="41" fillId="0" borderId="0" applyNumberFormat="0" applyFill="0" applyBorder="0" applyAlignment="0" applyProtection="0"/>
    <xf numFmtId="175" fontId="42" fillId="0" borderId="0"/>
    <xf numFmtId="0" fontId="43" fillId="0" borderId="0"/>
    <xf numFmtId="176" fontId="9" fillId="0" borderId="0" applyFont="0" applyFill="0" applyBorder="0" applyAlignment="0" applyProtection="0"/>
    <xf numFmtId="0" fontId="44" fillId="7" borderId="2" applyNumberFormat="0" applyAlignment="0" applyProtection="0"/>
    <xf numFmtId="10" fontId="30" fillId="34" borderId="1" applyNumberFormat="0" applyBorder="0" applyAlignment="0" applyProtection="0"/>
    <xf numFmtId="177" fontId="28" fillId="39" borderId="11" applyNumberFormat="0" applyBorder="0" applyAlignment="0">
      <protection locked="0"/>
    </xf>
    <xf numFmtId="49" fontId="8" fillId="0" borderId="0"/>
    <xf numFmtId="0" fontId="45" fillId="0" borderId="12" applyNumberFormat="0" applyFill="0" applyAlignment="0" applyProtection="0"/>
    <xf numFmtId="164" fontId="9" fillId="0" borderId="0" applyFont="0" applyFill="0" applyBorder="0" applyAlignment="0" applyProtection="0"/>
    <xf numFmtId="165" fontId="9" fillId="0" borderId="0" applyFont="0" applyFill="0" applyBorder="0" applyAlignment="0" applyProtection="0"/>
    <xf numFmtId="38" fontId="13" fillId="0" borderId="0" applyFont="0" applyFill="0" applyBorder="0" applyAlignment="0" applyProtection="0"/>
    <xf numFmtId="40" fontId="13" fillId="0" borderId="0" applyFont="0" applyFill="0" applyBorder="0" applyAlignment="0" applyProtection="0"/>
    <xf numFmtId="178" fontId="9" fillId="0" borderId="0" applyFont="0" applyFill="0" applyBorder="0" applyAlignment="0" applyProtection="0"/>
    <xf numFmtId="175" fontId="9" fillId="0" borderId="0" applyFont="0" applyFill="0" applyBorder="0" applyAlignment="0" applyProtection="0"/>
    <xf numFmtId="0" fontId="31" fillId="0" borderId="0">
      <protection locked="0"/>
    </xf>
    <xf numFmtId="179" fontId="30" fillId="0" borderId="0" applyFont="0" applyFill="0" applyBorder="0" applyProtection="0">
      <alignment horizontal="right"/>
    </xf>
    <xf numFmtId="180" fontId="30" fillId="0" borderId="1" applyFont="0" applyFill="0" applyBorder="0" applyProtection="0">
      <alignment horizontal="right"/>
    </xf>
    <xf numFmtId="181" fontId="13" fillId="0" borderId="0" applyFont="0" applyFill="0" applyBorder="0" applyAlignment="0" applyProtection="0"/>
    <xf numFmtId="182" fontId="13" fillId="0" borderId="0" applyFont="0" applyFill="0" applyBorder="0" applyAlignment="0" applyProtection="0"/>
    <xf numFmtId="0" fontId="46" fillId="40" borderId="0" applyNumberFormat="0" applyBorder="0" applyAlignment="0" applyProtection="0"/>
    <xf numFmtId="37" fontId="47" fillId="0" borderId="0"/>
    <xf numFmtId="0" fontId="43" fillId="0" borderId="0"/>
    <xf numFmtId="183" fontId="48" fillId="0" borderId="0"/>
    <xf numFmtId="184" fontId="49" fillId="0" borderId="0"/>
    <xf numFmtId="0" fontId="50" fillId="41" borderId="0"/>
    <xf numFmtId="0" fontId="9" fillId="0" borderId="0"/>
    <xf numFmtId="0" fontId="9" fillId="42" borderId="13" applyNumberFormat="0" applyFont="0" applyAlignment="0" applyProtection="0"/>
    <xf numFmtId="0" fontId="51" fillId="31" borderId="14" applyNumberFormat="0" applyAlignment="0" applyProtection="0"/>
    <xf numFmtId="0" fontId="10" fillId="0" borderId="0"/>
    <xf numFmtId="0" fontId="10" fillId="0" borderId="0"/>
    <xf numFmtId="185" fontId="12" fillId="0" borderId="0" applyFont="0" applyFill="0" applyBorder="0" applyAlignment="0" applyProtection="0"/>
    <xf numFmtId="10" fontId="9" fillId="0" borderId="0" applyFont="0" applyFill="0" applyBorder="0" applyAlignment="0" applyProtection="0"/>
    <xf numFmtId="0" fontId="13" fillId="0" borderId="0" applyNumberFormat="0" applyFont="0" applyFill="0" applyBorder="0" applyAlignment="0" applyProtection="0">
      <alignment horizontal="left"/>
    </xf>
    <xf numFmtId="15" fontId="13" fillId="0" borderId="0" applyFont="0" applyFill="0" applyBorder="0" applyAlignment="0" applyProtection="0"/>
    <xf numFmtId="4" fontId="13" fillId="0" borderId="0" applyFont="0" applyFill="0" applyBorder="0" applyAlignment="0" applyProtection="0"/>
    <xf numFmtId="0" fontId="9" fillId="0" borderId="15">
      <alignment horizontal="center"/>
    </xf>
    <xf numFmtId="38" fontId="9" fillId="0" borderId="0"/>
    <xf numFmtId="4" fontId="52" fillId="8" borderId="16" applyNumberFormat="0" applyProtection="0">
      <alignment vertical="center"/>
    </xf>
    <xf numFmtId="4" fontId="9" fillId="39" borderId="16" applyNumberFormat="0" applyProtection="0">
      <alignment vertical="center"/>
    </xf>
    <xf numFmtId="4" fontId="52" fillId="8" borderId="16" applyNumberFormat="0" applyProtection="0">
      <alignment horizontal="left" vertical="center" indent="1"/>
    </xf>
    <xf numFmtId="0" fontId="52" fillId="40" borderId="16" applyNumberFormat="0" applyProtection="0">
      <alignment horizontal="left" vertical="top" indent="1"/>
    </xf>
    <xf numFmtId="4" fontId="52" fillId="43" borderId="16" applyNumberFormat="0" applyProtection="0">
      <alignment horizontal="left" vertical="center" indent="1"/>
    </xf>
    <xf numFmtId="4" fontId="9" fillId="44" borderId="16" applyNumberFormat="0" applyProtection="0">
      <alignment horizontal="right" vertical="center"/>
    </xf>
    <xf numFmtId="4" fontId="9" fillId="45" borderId="16" applyNumberFormat="0" applyProtection="0">
      <alignment horizontal="right" vertical="center"/>
    </xf>
    <xf numFmtId="4" fontId="9" fillId="46" borderId="16" applyNumberFormat="0" applyProtection="0">
      <alignment horizontal="right" vertical="center"/>
    </xf>
    <xf numFmtId="4" fontId="9" fillId="47" borderId="16" applyNumberFormat="0" applyProtection="0">
      <alignment horizontal="right" vertical="center"/>
    </xf>
    <xf numFmtId="4" fontId="9" fillId="48" borderId="16" applyNumberFormat="0" applyProtection="0">
      <alignment horizontal="right" vertical="center"/>
    </xf>
    <xf numFmtId="4" fontId="9" fillId="49" borderId="16" applyNumberFormat="0" applyProtection="0">
      <alignment horizontal="right" vertical="center"/>
    </xf>
    <xf numFmtId="4" fontId="9" fillId="50" borderId="16" applyNumberFormat="0" applyProtection="0">
      <alignment horizontal="right" vertical="center"/>
    </xf>
    <xf numFmtId="4" fontId="11" fillId="51" borderId="16" applyNumberFormat="0" applyProtection="0">
      <alignment horizontal="right" vertical="center"/>
    </xf>
    <xf numFmtId="4" fontId="9" fillId="52" borderId="16" applyNumberFormat="0" applyProtection="0">
      <alignment horizontal="right" vertical="center"/>
    </xf>
    <xf numFmtId="4" fontId="52" fillId="53" borderId="16" applyNumberFormat="0" applyProtection="0">
      <alignment horizontal="left" vertical="center" indent="1"/>
    </xf>
    <xf numFmtId="4" fontId="52" fillId="41" borderId="16" applyNumberFormat="0" applyProtection="0">
      <alignment horizontal="left" vertical="center" indent="1"/>
    </xf>
    <xf numFmtId="4" fontId="9" fillId="54" borderId="0" applyNumberFormat="0" applyProtection="0">
      <alignment horizontal="left" vertical="center" indent="1"/>
    </xf>
    <xf numFmtId="4" fontId="9" fillId="55" borderId="16" applyNumberFormat="0" applyProtection="0">
      <alignment horizontal="right" vertical="center"/>
    </xf>
    <xf numFmtId="4" fontId="9" fillId="0" borderId="0" applyNumberFormat="0" applyProtection="0">
      <alignment horizontal="left" vertical="center" indent="1"/>
    </xf>
    <xf numFmtId="4" fontId="9" fillId="0" borderId="0" applyNumberFormat="0" applyProtection="0">
      <alignment horizontal="left" vertical="center" indent="1"/>
    </xf>
    <xf numFmtId="0" fontId="30" fillId="31" borderId="17" applyNumberFormat="0" applyProtection="0">
      <alignment horizontal="left" vertical="center" indent="1"/>
    </xf>
    <xf numFmtId="0" fontId="9" fillId="56" borderId="16" applyNumberFormat="0" applyProtection="0">
      <alignment horizontal="left" vertical="top" indent="1"/>
    </xf>
    <xf numFmtId="0" fontId="30" fillId="57" borderId="17" applyNumberFormat="0" applyProtection="0">
      <alignment horizontal="left" vertical="center" indent="1"/>
    </xf>
    <xf numFmtId="0" fontId="9" fillId="58" borderId="16" applyNumberFormat="0" applyProtection="0">
      <alignment horizontal="left" vertical="top" indent="1"/>
    </xf>
    <xf numFmtId="0" fontId="9" fillId="8" borderId="16" applyNumberFormat="0" applyProtection="0">
      <alignment horizontal="left" vertical="center" indent="1"/>
    </xf>
    <xf numFmtId="0" fontId="9" fillId="8" borderId="16" applyNumberFormat="0" applyProtection="0">
      <alignment horizontal="left" vertical="top" indent="1"/>
    </xf>
    <xf numFmtId="0" fontId="9" fillId="43" borderId="16" applyNumberFormat="0" applyProtection="0">
      <alignment horizontal="left" vertical="center" indent="1"/>
    </xf>
    <xf numFmtId="0" fontId="9" fillId="43" borderId="16" applyNumberFormat="0" applyProtection="0">
      <alignment horizontal="left" vertical="top" indent="1"/>
    </xf>
    <xf numFmtId="0" fontId="9" fillId="41" borderId="1" applyNumberFormat="0">
      <protection locked="0"/>
    </xf>
    <xf numFmtId="4" fontId="9" fillId="59" borderId="16" applyNumberFormat="0" applyProtection="0">
      <alignment vertical="center"/>
    </xf>
    <xf numFmtId="4" fontId="9" fillId="59" borderId="16" applyNumberFormat="0" applyProtection="0">
      <alignment vertical="center"/>
    </xf>
    <xf numFmtId="4" fontId="9" fillId="55" borderId="18" applyNumberFormat="0" applyProtection="0">
      <alignment horizontal="left" vertical="center" indent="1"/>
    </xf>
    <xf numFmtId="0" fontId="11" fillId="42" borderId="16" applyNumberFormat="0" applyProtection="0">
      <alignment horizontal="left" vertical="top" indent="1"/>
    </xf>
    <xf numFmtId="4" fontId="11" fillId="41" borderId="16" applyNumberFormat="0" applyProtection="0">
      <alignment horizontal="right" vertical="center"/>
    </xf>
    <xf numFmtId="4" fontId="9" fillId="59" borderId="16" applyNumberFormat="0" applyProtection="0">
      <alignment horizontal="right" vertical="center"/>
    </xf>
    <xf numFmtId="4" fontId="52" fillId="43" borderId="16" applyNumberFormat="0" applyProtection="0">
      <alignment horizontal="left" vertical="top" wrapText="1"/>
    </xf>
    <xf numFmtId="0" fontId="11" fillId="58" borderId="16" applyNumberFormat="0" applyProtection="0">
      <alignment horizontal="left" vertical="top" indent="1"/>
    </xf>
    <xf numFmtId="4" fontId="9" fillId="60" borderId="18" applyNumberFormat="0" applyProtection="0">
      <alignment horizontal="left" vertical="center" indent="1"/>
    </xf>
    <xf numFmtId="4" fontId="9" fillId="59" borderId="16" applyNumberFormat="0" applyProtection="0">
      <alignment horizontal="right" vertical="center"/>
    </xf>
    <xf numFmtId="165" fontId="9" fillId="0" borderId="0" applyFont="0" applyFill="0" applyBorder="0" applyAlignment="0" applyProtection="0"/>
    <xf numFmtId="0" fontId="53" fillId="0" borderId="0" applyNumberFormat="0" applyFill="0" applyBorder="0" applyAlignment="0" applyProtection="0"/>
    <xf numFmtId="0" fontId="54" fillId="0" borderId="0"/>
    <xf numFmtId="0" fontId="55" fillId="0" borderId="0"/>
    <xf numFmtId="0" fontId="56" fillId="0" borderId="0" applyNumberFormat="0" applyFill="0" applyBorder="0"/>
    <xf numFmtId="0" fontId="9" fillId="0" borderId="0">
      <alignment horizontal="left" vertical="top" wrapText="1"/>
    </xf>
    <xf numFmtId="0" fontId="57" fillId="0" borderId="0" applyNumberFormat="0" applyFill="0" applyBorder="0" applyAlignment="0" applyProtection="0"/>
    <xf numFmtId="0" fontId="33" fillId="0" borderId="19" applyNumberFormat="0" applyFill="0" applyAlignment="0" applyProtection="0"/>
    <xf numFmtId="186" fontId="9" fillId="0" borderId="0" applyFont="0" applyFill="0" applyBorder="0" applyAlignment="0" applyProtection="0"/>
    <xf numFmtId="187" fontId="9" fillId="0" borderId="0" applyFont="0" applyFill="0" applyBorder="0" applyAlignment="0" applyProtection="0"/>
    <xf numFmtId="188" fontId="9" fillId="0" borderId="0" applyFont="0" applyFill="0" applyBorder="0" applyAlignment="0" applyProtection="0"/>
    <xf numFmtId="189" fontId="9" fillId="0" borderId="0" applyFont="0" applyFill="0" applyBorder="0" applyAlignment="0" applyProtection="0"/>
    <xf numFmtId="0" fontId="58" fillId="0" borderId="0" applyNumberFormat="0" applyFill="0" applyBorder="0" applyAlignment="0" applyProtection="0"/>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19" fillId="24"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9" fillId="28" borderId="0" applyNumberFormat="0" applyBorder="0" applyAlignment="0" applyProtection="0">
      <alignment vertical="center"/>
    </xf>
    <xf numFmtId="0" fontId="10" fillId="0" borderId="0"/>
    <xf numFmtId="0" fontId="11" fillId="0" borderId="0">
      <alignment vertical="top"/>
    </xf>
    <xf numFmtId="0" fontId="59" fillId="0" borderId="0" applyNumberFormat="0" applyFill="0" applyBorder="0" applyAlignment="0" applyProtection="0">
      <alignment vertical="center"/>
    </xf>
    <xf numFmtId="0" fontId="60" fillId="32" borderId="3" applyNumberFormat="0" applyAlignment="0" applyProtection="0">
      <alignment vertical="center"/>
    </xf>
    <xf numFmtId="0" fontId="61" fillId="40" borderId="0" applyNumberFormat="0" applyBorder="0" applyAlignment="0" applyProtection="0">
      <alignment vertical="center"/>
    </xf>
    <xf numFmtId="9" fontId="62" fillId="0" borderId="0" applyFont="0" applyFill="0" applyBorder="0" applyAlignment="0" applyProtection="0">
      <alignment vertical="center"/>
    </xf>
    <xf numFmtId="9" fontId="9" fillId="0" borderId="0" applyFont="0" applyFill="0" applyBorder="0" applyAlignment="0" applyProtection="0"/>
    <xf numFmtId="190" fontId="9" fillId="0" borderId="0" applyFont="0" applyFill="0" applyBorder="0" applyAlignment="0" applyProtection="0"/>
    <xf numFmtId="191" fontId="9" fillId="0" borderId="0" applyFont="0" applyFill="0" applyBorder="0" applyAlignment="0" applyProtection="0"/>
    <xf numFmtId="9" fontId="63" fillId="0" borderId="0" applyFont="0" applyFill="0" applyBorder="0" applyAlignment="0" applyProtection="0">
      <alignment vertical="center"/>
    </xf>
    <xf numFmtId="192" fontId="64" fillId="0" borderId="0" applyFont="0" applyFill="0" applyBorder="0" applyAlignment="0" applyProtection="0"/>
    <xf numFmtId="0" fontId="65" fillId="0" borderId="0" applyNumberFormat="0" applyFill="0" applyBorder="0" applyAlignment="0" applyProtection="0">
      <alignment vertical="center"/>
    </xf>
    <xf numFmtId="0" fontId="62" fillId="42" borderId="13" applyNumberFormat="0" applyFont="0" applyAlignment="0" applyProtection="0">
      <alignment vertical="center"/>
    </xf>
    <xf numFmtId="0" fontId="66" fillId="0" borderId="12" applyNumberFormat="0" applyFill="0" applyAlignment="0" applyProtection="0">
      <alignment vertical="center"/>
    </xf>
    <xf numFmtId="0" fontId="67" fillId="3" borderId="0" applyNumberFormat="0" applyBorder="0" applyAlignment="0" applyProtection="0">
      <alignment vertical="center"/>
    </xf>
    <xf numFmtId="0" fontId="68" fillId="0" borderId="0"/>
    <xf numFmtId="193" fontId="69" fillId="0" borderId="0" applyFont="0" applyFill="0" applyBorder="0" applyAlignment="0" applyProtection="0"/>
    <xf numFmtId="194" fontId="69" fillId="0" borderId="0" applyFont="0" applyFill="0" applyBorder="0" applyAlignment="0" applyProtection="0"/>
    <xf numFmtId="0" fontId="70" fillId="0" borderId="20" applyNumberFormat="0" applyBorder="0">
      <alignment vertical="center"/>
    </xf>
    <xf numFmtId="0" fontId="71" fillId="31" borderId="2" applyNumberFormat="0" applyAlignment="0" applyProtection="0">
      <alignment vertical="center"/>
    </xf>
    <xf numFmtId="0" fontId="72" fillId="31" borderId="2" applyNumberFormat="0" applyAlignment="0" applyProtection="0">
      <alignment vertical="center"/>
    </xf>
    <xf numFmtId="0" fontId="72" fillId="31" borderId="2" applyNumberFormat="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38" fontId="62" fillId="0" borderId="0" applyFont="0" applyFill="0" applyBorder="0" applyAlignment="0" applyProtection="0">
      <alignment vertical="center"/>
    </xf>
    <xf numFmtId="195" fontId="9" fillId="0" borderId="0" applyFont="0" applyFill="0" applyBorder="0" applyAlignment="0" applyProtection="0"/>
    <xf numFmtId="181" fontId="9" fillId="0" borderId="0" applyFont="0" applyFill="0" applyBorder="0" applyAlignment="0" applyProtection="0"/>
    <xf numFmtId="38" fontId="16" fillId="0" borderId="0" applyFont="0" applyFill="0" applyBorder="0" applyAlignment="0" applyProtection="0">
      <alignment vertical="center"/>
    </xf>
    <xf numFmtId="38" fontId="62" fillId="0" borderId="0" applyFont="0" applyFill="0" applyBorder="0" applyAlignment="0" applyProtection="0">
      <alignment vertical="center"/>
    </xf>
    <xf numFmtId="38" fontId="62" fillId="0" borderId="0" applyFont="0" applyFill="0" applyBorder="0" applyAlignment="0" applyProtection="0">
      <alignment vertical="center"/>
    </xf>
    <xf numFmtId="38" fontId="62" fillId="0" borderId="0" applyFont="0" applyFill="0" applyBorder="0" applyAlignment="0" applyProtection="0">
      <alignment vertical="center"/>
    </xf>
    <xf numFmtId="38" fontId="62" fillId="0" borderId="0" applyFont="0" applyFill="0" applyBorder="0" applyAlignment="0" applyProtection="0">
      <alignment vertical="center"/>
    </xf>
    <xf numFmtId="0" fontId="75" fillId="0" borderId="8" applyNumberFormat="0" applyFill="0" applyAlignment="0" applyProtection="0">
      <alignment vertical="center"/>
    </xf>
    <xf numFmtId="0" fontId="76" fillId="0" borderId="9" applyNumberFormat="0" applyFill="0" applyAlignment="0" applyProtection="0">
      <alignment vertical="center"/>
    </xf>
    <xf numFmtId="0" fontId="77" fillId="0" borderId="10" applyNumberFormat="0" applyFill="0" applyAlignment="0" applyProtection="0">
      <alignment vertical="center"/>
    </xf>
    <xf numFmtId="0" fontId="77" fillId="0" borderId="0" applyNumberFormat="0" applyFill="0" applyBorder="0" applyAlignment="0" applyProtection="0">
      <alignment vertical="center"/>
    </xf>
    <xf numFmtId="0" fontId="78" fillId="0" borderId="0" applyFill="0" applyBorder="0" applyProtection="0"/>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80" fillId="0" borderId="19" applyNumberFormat="0" applyFill="0" applyAlignment="0" applyProtection="0">
      <alignment vertical="center"/>
    </xf>
    <xf numFmtId="0" fontId="80" fillId="0" borderId="19" applyNumberFormat="0" applyFill="0" applyAlignment="0" applyProtection="0">
      <alignment vertical="center"/>
    </xf>
    <xf numFmtId="0" fontId="81" fillId="0" borderId="19" applyNumberFormat="0" applyFill="0" applyAlignment="0" applyProtection="0">
      <alignment vertical="center"/>
    </xf>
    <xf numFmtId="0" fontId="82" fillId="31" borderId="14" applyNumberFormat="0" applyAlignment="0" applyProtection="0">
      <alignment vertical="center"/>
    </xf>
    <xf numFmtId="196" fontId="83" fillId="0" borderId="0"/>
    <xf numFmtId="0" fontId="84" fillId="0" borderId="0" applyNumberFormat="0" applyFill="0" applyBorder="0" applyAlignment="0" applyProtection="0">
      <alignment vertical="center"/>
    </xf>
    <xf numFmtId="164" fontId="68" fillId="0" borderId="0" applyFont="0" applyFill="0" applyBorder="0" applyAlignment="0" applyProtection="0"/>
    <xf numFmtId="165" fontId="68" fillId="0" borderId="0" applyFont="0" applyFill="0" applyBorder="0" applyAlignment="0" applyProtection="0"/>
    <xf numFmtId="170" fontId="69" fillId="0" borderId="0" applyFont="0" applyFill="0" applyBorder="0" applyAlignment="0" applyProtection="0"/>
    <xf numFmtId="165" fontId="68" fillId="0" borderId="0" applyFont="0" applyFill="0" applyBorder="0" applyAlignment="0" applyProtection="0">
      <alignment vertical="center"/>
    </xf>
    <xf numFmtId="0" fontId="85" fillId="40" borderId="0" applyNumberFormat="0" applyBorder="0" applyAlignment="0" applyProtection="0">
      <alignment vertical="center"/>
    </xf>
    <xf numFmtId="0" fontId="85" fillId="40" borderId="0" applyNumberFormat="0" applyBorder="0" applyAlignment="0" applyProtection="0">
      <alignment vertical="center"/>
    </xf>
    <xf numFmtId="0" fontId="86" fillId="0" borderId="0" applyNumberFormat="0" applyFill="0" applyBorder="0" applyAlignment="0" applyProtection="0">
      <alignment vertical="top"/>
      <protection locked="0"/>
    </xf>
    <xf numFmtId="166" fontId="15" fillId="0" borderId="0" applyFont="0" applyFill="0" applyBorder="0" applyAlignment="0" applyProtection="0">
      <alignment vertical="center"/>
    </xf>
    <xf numFmtId="0" fontId="87" fillId="7" borderId="2" applyNumberFormat="0" applyAlignment="0" applyProtection="0">
      <alignment vertical="center"/>
    </xf>
    <xf numFmtId="0" fontId="62" fillId="42" borderId="13" applyNumberFormat="0" applyFont="0" applyAlignment="0" applyProtection="0">
      <alignment vertical="center"/>
    </xf>
    <xf numFmtId="0" fontId="88" fillId="0" borderId="0">
      <alignment vertical="center"/>
    </xf>
    <xf numFmtId="0" fontId="15" fillId="0" borderId="0">
      <alignment vertical="center"/>
    </xf>
    <xf numFmtId="0" fontId="15" fillId="0" borderId="0">
      <alignment vertical="center"/>
    </xf>
    <xf numFmtId="0" fontId="62" fillId="0" borderId="0">
      <alignment vertical="center"/>
    </xf>
    <xf numFmtId="0" fontId="62" fillId="0" borderId="0"/>
    <xf numFmtId="0" fontId="62" fillId="0" borderId="0">
      <alignment vertical="center"/>
    </xf>
    <xf numFmtId="38" fontId="9" fillId="0" borderId="0"/>
    <xf numFmtId="0" fontId="9" fillId="0" borderId="0"/>
    <xf numFmtId="0" fontId="62" fillId="0" borderId="0"/>
    <xf numFmtId="0" fontId="62" fillId="0" borderId="0">
      <alignment vertical="center"/>
    </xf>
    <xf numFmtId="0" fontId="15" fillId="0" borderId="0">
      <alignment vertical="center"/>
    </xf>
    <xf numFmtId="0" fontId="62" fillId="0" borderId="0">
      <alignment vertical="center"/>
    </xf>
    <xf numFmtId="0" fontId="89" fillId="0" borderId="0">
      <alignment vertical="center"/>
    </xf>
    <xf numFmtId="0" fontId="62" fillId="0" borderId="0"/>
    <xf numFmtId="0" fontId="90" fillId="0" borderId="0">
      <alignment vertical="center"/>
    </xf>
    <xf numFmtId="0" fontId="90" fillId="0" borderId="0">
      <alignment vertical="center"/>
    </xf>
    <xf numFmtId="0" fontId="15" fillId="0" borderId="0">
      <alignment vertical="center"/>
    </xf>
    <xf numFmtId="0" fontId="91" fillId="0" borderId="0"/>
    <xf numFmtId="0" fontId="15" fillId="0" borderId="0"/>
    <xf numFmtId="0" fontId="15" fillId="0" borderId="0">
      <alignment vertical="center"/>
    </xf>
    <xf numFmtId="0" fontId="63" fillId="0" borderId="0">
      <alignment vertical="center"/>
    </xf>
    <xf numFmtId="0" fontId="63" fillId="0" borderId="0">
      <alignment vertical="center"/>
    </xf>
    <xf numFmtId="0" fontId="62" fillId="0" borderId="0">
      <alignment vertical="center"/>
    </xf>
    <xf numFmtId="0" fontId="62" fillId="0" borderId="0">
      <alignment horizontal="left" vertical="center"/>
    </xf>
    <xf numFmtId="0" fontId="92" fillId="0" borderId="0" applyNumberFormat="0" applyFill="0" applyBorder="0" applyAlignment="0" applyProtection="0">
      <alignment vertical="center"/>
    </xf>
    <xf numFmtId="0" fontId="93" fillId="0" borderId="8" applyNumberFormat="0" applyFill="0" applyAlignment="0" applyProtection="0">
      <alignment vertical="center"/>
    </xf>
    <xf numFmtId="0" fontId="93" fillId="0" borderId="8" applyNumberFormat="0" applyFill="0" applyAlignment="0" applyProtection="0">
      <alignment vertical="center"/>
    </xf>
    <xf numFmtId="0" fontId="94" fillId="0" borderId="9" applyNumberFormat="0" applyFill="0" applyAlignment="0" applyProtection="0">
      <alignment vertical="center"/>
    </xf>
    <xf numFmtId="0" fontId="94" fillId="0" borderId="9" applyNumberFormat="0" applyFill="0" applyAlignment="0" applyProtection="0">
      <alignment vertical="center"/>
    </xf>
    <xf numFmtId="0" fontId="95" fillId="0" borderId="10" applyNumberFormat="0" applyFill="0" applyAlignment="0" applyProtection="0">
      <alignment vertical="center"/>
    </xf>
    <xf numFmtId="0" fontId="95" fillId="0" borderId="10" applyNumberFormat="0" applyFill="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96" fillId="0" borderId="0"/>
    <xf numFmtId="0" fontId="97" fillId="0" borderId="0"/>
    <xf numFmtId="0" fontId="98" fillId="31" borderId="14" applyNumberFormat="0" applyAlignment="0" applyProtection="0">
      <alignment vertical="center"/>
    </xf>
    <xf numFmtId="0" fontId="98" fillId="31" borderId="14" applyNumberFormat="0" applyAlignment="0" applyProtection="0">
      <alignment vertical="center"/>
    </xf>
    <xf numFmtId="0" fontId="99" fillId="7" borderId="2" applyNumberFormat="0" applyAlignment="0" applyProtection="0">
      <alignment vertical="center"/>
    </xf>
    <xf numFmtId="0" fontId="99" fillId="7" borderId="2" applyNumberFormat="0" applyAlignment="0" applyProtection="0">
      <alignment vertical="center"/>
    </xf>
    <xf numFmtId="0" fontId="100" fillId="4" borderId="0" applyNumberFormat="0" applyBorder="0" applyAlignment="0" applyProtection="0">
      <alignment vertical="center"/>
    </xf>
    <xf numFmtId="0" fontId="101" fillId="0" borderId="12" applyNumberFormat="0" applyFill="0" applyAlignment="0" applyProtection="0">
      <alignment vertical="center"/>
    </xf>
    <xf numFmtId="0" fontId="101" fillId="0" borderId="12" applyNumberFormat="0" applyFill="0" applyAlignment="0" applyProtection="0">
      <alignment vertical="center"/>
    </xf>
    <xf numFmtId="0" fontId="102" fillId="3" borderId="0" applyNumberFormat="0" applyBorder="0" applyAlignment="0" applyProtection="0">
      <alignment vertical="center"/>
    </xf>
    <xf numFmtId="0" fontId="102" fillId="3" borderId="0" applyNumberFormat="0" applyBorder="0" applyAlignment="0" applyProtection="0">
      <alignment vertical="center"/>
    </xf>
    <xf numFmtId="0" fontId="103" fillId="32" borderId="3" applyNumberFormat="0" applyAlignment="0" applyProtection="0">
      <alignment vertical="center"/>
    </xf>
    <xf numFmtId="0" fontId="103" fillId="32" borderId="3" applyNumberFormat="0" applyAlignment="0" applyProtection="0">
      <alignment vertical="center"/>
    </xf>
    <xf numFmtId="0" fontId="104" fillId="0" borderId="0" applyNumberFormat="0" applyFill="0" applyBorder="0" applyAlignment="0" applyProtection="0">
      <alignment vertical="top"/>
      <protection locked="0"/>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167" fontId="68" fillId="0" borderId="0" applyFont="0" applyFill="0" applyBorder="0" applyAlignment="0" applyProtection="0"/>
    <xf numFmtId="168" fontId="68" fillId="0" borderId="0" applyFont="0" applyFill="0" applyBorder="0" applyAlignment="0" applyProtection="0"/>
    <xf numFmtId="0" fontId="11" fillId="0" borderId="0">
      <alignment vertical="top"/>
    </xf>
    <xf numFmtId="190" fontId="9" fillId="0" borderId="0" applyFont="0" applyFill="0" applyBorder="0" applyAlignment="0" applyProtection="0"/>
    <xf numFmtId="38" fontId="9" fillId="0" borderId="0"/>
    <xf numFmtId="0" fontId="62" fillId="0" borderId="0"/>
    <xf numFmtId="0" fontId="62" fillId="0" borderId="0"/>
    <xf numFmtId="0" fontId="91" fillId="0" borderId="0"/>
    <xf numFmtId="0" fontId="15" fillId="0" borderId="0">
      <alignment vertical="center"/>
    </xf>
    <xf numFmtId="40" fontId="106" fillId="0" borderId="0" applyFont="0" applyFill="0" applyBorder="0" applyAlignment="0" applyProtection="0">
      <alignment vertical="center"/>
    </xf>
    <xf numFmtId="38" fontId="106" fillId="0" borderId="0" applyFont="0" applyFill="0" applyBorder="0" applyAlignment="0" applyProtection="0">
      <alignment vertical="center"/>
    </xf>
    <xf numFmtId="9" fontId="106" fillId="0" borderId="0" applyFont="0" applyFill="0" applyBorder="0" applyAlignment="0" applyProtection="0">
      <alignment vertical="center"/>
    </xf>
    <xf numFmtId="0" fontId="107" fillId="0" borderId="0"/>
    <xf numFmtId="0" fontId="62" fillId="0" borderId="0"/>
    <xf numFmtId="0" fontId="107" fillId="0" borderId="0"/>
    <xf numFmtId="170" fontId="107" fillId="0" borderId="0" applyFont="0" applyFill="0" applyBorder="0" applyAlignment="0" applyProtection="0"/>
    <xf numFmtId="0" fontId="62" fillId="0" borderId="0"/>
    <xf numFmtId="0" fontId="127" fillId="0" borderId="0"/>
    <xf numFmtId="0" fontId="23" fillId="31" borderId="55" applyNumberFormat="0" applyAlignment="0" applyProtection="0"/>
    <xf numFmtId="17" fontId="35" fillId="0" borderId="56"/>
    <xf numFmtId="17" fontId="35" fillId="0" borderId="56"/>
    <xf numFmtId="0" fontId="44" fillId="7" borderId="55" applyNumberFormat="0" applyAlignment="0" applyProtection="0"/>
    <xf numFmtId="0" fontId="9" fillId="42" borderId="57" applyNumberFormat="0" applyFont="0" applyAlignment="0" applyProtection="0"/>
    <xf numFmtId="0" fontId="51" fillId="31" borderId="58" applyNumberFormat="0" applyAlignment="0" applyProtection="0"/>
    <xf numFmtId="4" fontId="52" fillId="8" borderId="59" applyNumberFormat="0" applyProtection="0">
      <alignment vertical="center"/>
    </xf>
    <xf numFmtId="4" fontId="9" fillId="39" borderId="59" applyNumberFormat="0" applyProtection="0">
      <alignment vertical="center"/>
    </xf>
    <xf numFmtId="4" fontId="52" fillId="8" borderId="59" applyNumberFormat="0" applyProtection="0">
      <alignment horizontal="left" vertical="center" indent="1"/>
    </xf>
    <xf numFmtId="0" fontId="52" fillId="40" borderId="59" applyNumberFormat="0" applyProtection="0">
      <alignment horizontal="left" vertical="top" indent="1"/>
    </xf>
    <xf numFmtId="4" fontId="52" fillId="43" borderId="59" applyNumberFormat="0" applyProtection="0">
      <alignment horizontal="left" vertical="center" indent="1"/>
    </xf>
    <xf numFmtId="4" fontId="9" fillId="44" borderId="59" applyNumberFormat="0" applyProtection="0">
      <alignment horizontal="right" vertical="center"/>
    </xf>
    <xf numFmtId="4" fontId="9" fillId="45" borderId="59" applyNumberFormat="0" applyProtection="0">
      <alignment horizontal="right" vertical="center"/>
    </xf>
    <xf numFmtId="4" fontId="9" fillId="46" borderId="59" applyNumberFormat="0" applyProtection="0">
      <alignment horizontal="right" vertical="center"/>
    </xf>
    <xf numFmtId="4" fontId="9" fillId="47" borderId="59" applyNumberFormat="0" applyProtection="0">
      <alignment horizontal="right" vertical="center"/>
    </xf>
    <xf numFmtId="4" fontId="9" fillId="48" borderId="59" applyNumberFormat="0" applyProtection="0">
      <alignment horizontal="right" vertical="center"/>
    </xf>
    <xf numFmtId="4" fontId="9" fillId="49" borderId="59" applyNumberFormat="0" applyProtection="0">
      <alignment horizontal="right" vertical="center"/>
    </xf>
    <xf numFmtId="4" fontId="9" fillId="50" borderId="59" applyNumberFormat="0" applyProtection="0">
      <alignment horizontal="right" vertical="center"/>
    </xf>
    <xf numFmtId="4" fontId="11" fillId="51" borderId="59" applyNumberFormat="0" applyProtection="0">
      <alignment horizontal="right" vertical="center"/>
    </xf>
    <xf numFmtId="4" fontId="9" fillId="52" borderId="59" applyNumberFormat="0" applyProtection="0">
      <alignment horizontal="right" vertical="center"/>
    </xf>
    <xf numFmtId="4" fontId="52" fillId="53" borderId="59" applyNumberFormat="0" applyProtection="0">
      <alignment horizontal="left" vertical="center" indent="1"/>
    </xf>
    <xf numFmtId="4" fontId="52" fillId="41" borderId="59" applyNumberFormat="0" applyProtection="0">
      <alignment horizontal="left" vertical="center" indent="1"/>
    </xf>
    <xf numFmtId="4" fontId="9" fillId="55" borderId="59" applyNumberFormat="0" applyProtection="0">
      <alignment horizontal="right" vertical="center"/>
    </xf>
    <xf numFmtId="0" fontId="30" fillId="31" borderId="60" applyNumberFormat="0" applyProtection="0">
      <alignment horizontal="left" vertical="center" indent="1"/>
    </xf>
    <xf numFmtId="0" fontId="9" fillId="56" borderId="59" applyNumberFormat="0" applyProtection="0">
      <alignment horizontal="left" vertical="top" indent="1"/>
    </xf>
    <xf numFmtId="0" fontId="30" fillId="57" borderId="60" applyNumberFormat="0" applyProtection="0">
      <alignment horizontal="left" vertical="center" indent="1"/>
    </xf>
    <xf numFmtId="0" fontId="9" fillId="58" borderId="59" applyNumberFormat="0" applyProtection="0">
      <alignment horizontal="left" vertical="top" indent="1"/>
    </xf>
    <xf numFmtId="0" fontId="9" fillId="8" borderId="59" applyNumberFormat="0" applyProtection="0">
      <alignment horizontal="left" vertical="center" indent="1"/>
    </xf>
    <xf numFmtId="0" fontId="9" fillId="8" borderId="59" applyNumberFormat="0" applyProtection="0">
      <alignment horizontal="left" vertical="top" indent="1"/>
    </xf>
    <xf numFmtId="0" fontId="9" fillId="43" borderId="59" applyNumberFormat="0" applyProtection="0">
      <alignment horizontal="left" vertical="center" indent="1"/>
    </xf>
    <xf numFmtId="0" fontId="9" fillId="43" borderId="59" applyNumberFormat="0" applyProtection="0">
      <alignment horizontal="left" vertical="top" indent="1"/>
    </xf>
    <xf numFmtId="4" fontId="9" fillId="59" borderId="59" applyNumberFormat="0" applyProtection="0">
      <alignment vertical="center"/>
    </xf>
    <xf numFmtId="4" fontId="9" fillId="59" borderId="59" applyNumberFormat="0" applyProtection="0">
      <alignment vertical="center"/>
    </xf>
    <xf numFmtId="4" fontId="9" fillId="55" borderId="61" applyNumberFormat="0" applyProtection="0">
      <alignment horizontal="left" vertical="center" indent="1"/>
    </xf>
    <xf numFmtId="0" fontId="11" fillId="42" borderId="59" applyNumberFormat="0" applyProtection="0">
      <alignment horizontal="left" vertical="top" indent="1"/>
    </xf>
    <xf numFmtId="4" fontId="11" fillId="41" borderId="59" applyNumberFormat="0" applyProtection="0">
      <alignment horizontal="right" vertical="center"/>
    </xf>
    <xf numFmtId="4" fontId="9" fillId="59" borderId="59" applyNumberFormat="0" applyProtection="0">
      <alignment horizontal="right" vertical="center"/>
    </xf>
    <xf numFmtId="4" fontId="52" fillId="43" borderId="59" applyNumberFormat="0" applyProtection="0">
      <alignment horizontal="left" vertical="top" wrapText="1"/>
    </xf>
    <xf numFmtId="0" fontId="11" fillId="58" borderId="59" applyNumberFormat="0" applyProtection="0">
      <alignment horizontal="left" vertical="top" indent="1"/>
    </xf>
    <xf numFmtId="4" fontId="9" fillId="60" borderId="61" applyNumberFormat="0" applyProtection="0">
      <alignment horizontal="left" vertical="center" indent="1"/>
    </xf>
    <xf numFmtId="4" fontId="9" fillId="59" borderId="59" applyNumberFormat="0" applyProtection="0">
      <alignment horizontal="right" vertical="center"/>
    </xf>
    <xf numFmtId="0" fontId="33" fillId="0" borderId="62" applyNumberFormat="0" applyFill="0" applyAlignment="0" applyProtection="0"/>
    <xf numFmtId="0" fontId="62" fillId="42" borderId="57" applyNumberFormat="0" applyFont="0" applyAlignment="0" applyProtection="0">
      <alignment vertical="center"/>
    </xf>
    <xf numFmtId="0" fontId="70" fillId="0" borderId="63" applyNumberFormat="0" applyBorder="0">
      <alignment vertical="center"/>
    </xf>
    <xf numFmtId="0" fontId="71" fillId="31" borderId="55" applyNumberFormat="0" applyAlignment="0" applyProtection="0">
      <alignment vertical="center"/>
    </xf>
    <xf numFmtId="0" fontId="72" fillId="31" borderId="55" applyNumberFormat="0" applyAlignment="0" applyProtection="0">
      <alignment vertical="center"/>
    </xf>
    <xf numFmtId="0" fontId="72" fillId="31" borderId="55" applyNumberFormat="0" applyAlignment="0" applyProtection="0">
      <alignment vertical="center"/>
    </xf>
    <xf numFmtId="0" fontId="80" fillId="0" borderId="62" applyNumberFormat="0" applyFill="0" applyAlignment="0" applyProtection="0">
      <alignment vertical="center"/>
    </xf>
    <xf numFmtId="0" fontId="80" fillId="0" borderId="62" applyNumberFormat="0" applyFill="0" applyAlignment="0" applyProtection="0">
      <alignment vertical="center"/>
    </xf>
    <xf numFmtId="0" fontId="81" fillId="0" borderId="62" applyNumberFormat="0" applyFill="0" applyAlignment="0" applyProtection="0">
      <alignment vertical="center"/>
    </xf>
    <xf numFmtId="0" fontId="82" fillId="31" borderId="58" applyNumberFormat="0" applyAlignment="0" applyProtection="0">
      <alignment vertical="center"/>
    </xf>
    <xf numFmtId="166" fontId="15" fillId="0" borderId="0" applyFont="0" applyFill="0" applyBorder="0" applyAlignment="0" applyProtection="0">
      <alignment vertical="center"/>
    </xf>
    <xf numFmtId="0" fontId="87" fillId="7" borderId="55" applyNumberFormat="0" applyAlignment="0" applyProtection="0">
      <alignment vertical="center"/>
    </xf>
    <xf numFmtId="0" fontId="62" fillId="42" borderId="57" applyNumberFormat="0" applyFont="0" applyAlignment="0" applyProtection="0">
      <alignment vertical="center"/>
    </xf>
    <xf numFmtId="0" fontId="98" fillId="31" borderId="58" applyNumberFormat="0" applyAlignment="0" applyProtection="0">
      <alignment vertical="center"/>
    </xf>
    <xf numFmtId="0" fontId="98" fillId="31" borderId="58" applyNumberFormat="0" applyAlignment="0" applyProtection="0">
      <alignment vertical="center"/>
    </xf>
    <xf numFmtId="0" fontId="99" fillId="7" borderId="55" applyNumberFormat="0" applyAlignment="0" applyProtection="0">
      <alignment vertical="center"/>
    </xf>
    <xf numFmtId="0" fontId="99" fillId="7" borderId="55" applyNumberFormat="0" applyAlignment="0" applyProtection="0">
      <alignment vertical="center"/>
    </xf>
    <xf numFmtId="0" fontId="30" fillId="0" borderId="0"/>
    <xf numFmtId="40" fontId="30" fillId="0" borderId="0" applyFont="0" applyFill="0" applyBorder="0" applyAlignment="0" applyProtection="0">
      <alignment vertical="center"/>
    </xf>
    <xf numFmtId="0" fontId="9" fillId="0" borderId="0"/>
    <xf numFmtId="0" fontId="9" fillId="0" borderId="0"/>
    <xf numFmtId="38" fontId="106" fillId="0" borderId="0" applyFont="0" applyFill="0" applyBorder="0" applyAlignment="0" applyProtection="0">
      <alignment vertical="center"/>
    </xf>
    <xf numFmtId="0" fontId="199" fillId="0" borderId="0">
      <alignment vertical="center"/>
    </xf>
    <xf numFmtId="0" fontId="6" fillId="0" borderId="0">
      <alignment vertical="center"/>
    </xf>
    <xf numFmtId="38" fontId="5" fillId="0" borderId="0" applyFont="0" applyFill="0" applyBorder="0" applyAlignment="0" applyProtection="0">
      <alignment vertical="center"/>
    </xf>
    <xf numFmtId="0" fontId="206" fillId="0" borderId="0" applyNumberFormat="0" applyFill="0" applyBorder="0" applyAlignment="0" applyProtection="0">
      <alignment vertical="center"/>
    </xf>
    <xf numFmtId="0" fontId="99" fillId="7" borderId="109" applyNumberFormat="0" applyAlignment="0" applyProtection="0">
      <alignment vertical="center"/>
    </xf>
    <xf numFmtId="0" fontId="99" fillId="7" borderId="109" applyNumberFormat="0" applyAlignment="0" applyProtection="0">
      <alignment vertical="center"/>
    </xf>
    <xf numFmtId="0" fontId="98" fillId="31" borderId="112" applyNumberFormat="0" applyAlignment="0" applyProtection="0">
      <alignment vertical="center"/>
    </xf>
    <xf numFmtId="0" fontId="98" fillId="31" borderId="112" applyNumberFormat="0" applyAlignment="0" applyProtection="0">
      <alignment vertical="center"/>
    </xf>
    <xf numFmtId="3" fontId="9" fillId="0" borderId="95">
      <alignment horizontal="right" vertical="center"/>
      <protection hidden="1"/>
    </xf>
    <xf numFmtId="0" fontId="62" fillId="42" borderId="111" applyNumberFormat="0" applyFont="0" applyAlignment="0" applyProtection="0">
      <alignment vertical="center"/>
    </xf>
    <xf numFmtId="0" fontId="87" fillId="7" borderId="109" applyNumberFormat="0" applyAlignment="0" applyProtection="0">
      <alignment vertical="center"/>
    </xf>
    <xf numFmtId="0" fontId="82" fillId="31" borderId="112" applyNumberFormat="0" applyAlignment="0" applyProtection="0">
      <alignment vertical="center"/>
    </xf>
    <xf numFmtId="0" fontId="81" fillId="0" borderId="116" applyNumberFormat="0" applyFill="0" applyAlignment="0" applyProtection="0">
      <alignment vertical="center"/>
    </xf>
    <xf numFmtId="0" fontId="80" fillId="0" borderId="116" applyNumberFormat="0" applyFill="0" applyAlignment="0" applyProtection="0">
      <alignment vertical="center"/>
    </xf>
    <xf numFmtId="0" fontId="80" fillId="0" borderId="116" applyNumberFormat="0" applyFill="0" applyAlignment="0" applyProtection="0">
      <alignment vertical="center"/>
    </xf>
    <xf numFmtId="0" fontId="72" fillId="31" borderId="109" applyNumberFormat="0" applyAlignment="0" applyProtection="0">
      <alignment vertical="center"/>
    </xf>
    <xf numFmtId="0" fontId="72" fillId="31" borderId="109" applyNumberFormat="0" applyAlignment="0" applyProtection="0">
      <alignment vertical="center"/>
    </xf>
    <xf numFmtId="0" fontId="71" fillId="31" borderId="109" applyNumberFormat="0" applyAlignment="0" applyProtection="0">
      <alignment vertical="center"/>
    </xf>
    <xf numFmtId="0" fontId="70" fillId="0" borderId="117" applyNumberFormat="0" applyBorder="0">
      <alignment vertical="center"/>
    </xf>
    <xf numFmtId="0" fontId="62" fillId="42" borderId="111" applyNumberFormat="0" applyFont="0" applyAlignment="0" applyProtection="0">
      <alignment vertical="center"/>
    </xf>
    <xf numFmtId="0" fontId="23" fillId="31" borderId="96" applyNumberFormat="0" applyAlignment="0" applyProtection="0"/>
    <xf numFmtId="4" fontId="9" fillId="59" borderId="113" applyNumberFormat="0" applyProtection="0">
      <alignment horizontal="right" vertical="center"/>
    </xf>
    <xf numFmtId="4" fontId="9" fillId="60" borderId="115" applyNumberFormat="0" applyProtection="0">
      <alignment horizontal="left" vertical="center" indent="1"/>
    </xf>
    <xf numFmtId="0" fontId="11" fillId="58" borderId="113" applyNumberFormat="0" applyProtection="0">
      <alignment horizontal="left" vertical="top" indent="1"/>
    </xf>
    <xf numFmtId="4" fontId="52" fillId="43" borderId="113" applyNumberFormat="0" applyProtection="0">
      <alignment horizontal="left" vertical="top" wrapText="1"/>
    </xf>
    <xf numFmtId="4" fontId="9" fillId="59" borderId="113" applyNumberFormat="0" applyProtection="0">
      <alignment horizontal="right" vertical="center"/>
    </xf>
    <xf numFmtId="4" fontId="11" fillId="41" borderId="113" applyNumberFormat="0" applyProtection="0">
      <alignment horizontal="right" vertical="center"/>
    </xf>
    <xf numFmtId="0" fontId="11" fillId="42" borderId="113" applyNumberFormat="0" applyProtection="0">
      <alignment horizontal="left" vertical="top" indent="1"/>
    </xf>
    <xf numFmtId="4" fontId="9" fillId="55" borderId="115" applyNumberFormat="0" applyProtection="0">
      <alignment horizontal="left" vertical="center" indent="1"/>
    </xf>
    <xf numFmtId="4" fontId="9" fillId="59" borderId="113" applyNumberFormat="0" applyProtection="0">
      <alignment vertical="center"/>
    </xf>
    <xf numFmtId="4" fontId="9" fillId="59" borderId="113" applyNumberFormat="0" applyProtection="0">
      <alignment vertical="center"/>
    </xf>
    <xf numFmtId="0" fontId="30" fillId="34" borderId="95" applyNumberFormat="0" applyAlignment="0">
      <protection locked="0"/>
    </xf>
    <xf numFmtId="0" fontId="9" fillId="43" borderId="113" applyNumberFormat="0" applyProtection="0">
      <alignment horizontal="left" vertical="top" indent="1"/>
    </xf>
    <xf numFmtId="0" fontId="9" fillId="43" borderId="113" applyNumberFormat="0" applyProtection="0">
      <alignment horizontal="left" vertical="center" indent="1"/>
    </xf>
    <xf numFmtId="0" fontId="9" fillId="8" borderId="113" applyNumberFormat="0" applyProtection="0">
      <alignment horizontal="left" vertical="top" indent="1"/>
    </xf>
    <xf numFmtId="0" fontId="9" fillId="8" borderId="113" applyNumberFormat="0" applyProtection="0">
      <alignment horizontal="left" vertical="center" indent="1"/>
    </xf>
    <xf numFmtId="0" fontId="9" fillId="58" borderId="113" applyNumberFormat="0" applyProtection="0">
      <alignment horizontal="left" vertical="top" indent="1"/>
    </xf>
    <xf numFmtId="0" fontId="30" fillId="57" borderId="114" applyNumberFormat="0" applyProtection="0">
      <alignment horizontal="left" vertical="center" indent="1"/>
    </xf>
    <xf numFmtId="0" fontId="9" fillId="56" borderId="113" applyNumberFormat="0" applyProtection="0">
      <alignment horizontal="left" vertical="top" indent="1"/>
    </xf>
    <xf numFmtId="0" fontId="30" fillId="31" borderId="114" applyNumberFormat="0" applyProtection="0">
      <alignment horizontal="left" vertical="center" indent="1"/>
    </xf>
    <xf numFmtId="4" fontId="9" fillId="55" borderId="113" applyNumberFormat="0" applyProtection="0">
      <alignment horizontal="right" vertical="center"/>
    </xf>
    <xf numFmtId="17" fontId="35" fillId="0" borderId="98"/>
    <xf numFmtId="17" fontId="35" fillId="0" borderId="98"/>
    <xf numFmtId="4" fontId="52" fillId="53" borderId="113" applyNumberFormat="0" applyProtection="0">
      <alignment horizontal="left" vertical="center" indent="1"/>
    </xf>
    <xf numFmtId="4" fontId="9" fillId="52" borderId="113" applyNumberFormat="0" applyProtection="0">
      <alignment horizontal="right" vertical="center"/>
    </xf>
    <xf numFmtId="4" fontId="11" fillId="51" borderId="113" applyNumberFormat="0" applyProtection="0">
      <alignment horizontal="right" vertical="center"/>
    </xf>
    <xf numFmtId="4" fontId="9" fillId="50" borderId="113" applyNumberFormat="0" applyProtection="0">
      <alignment horizontal="right" vertical="center"/>
    </xf>
    <xf numFmtId="4" fontId="9" fillId="49" borderId="113" applyNumberFormat="0" applyProtection="0">
      <alignment horizontal="right" vertical="center"/>
    </xf>
    <xf numFmtId="4" fontId="9" fillId="48" borderId="113" applyNumberFormat="0" applyProtection="0">
      <alignment horizontal="right" vertical="center"/>
    </xf>
    <xf numFmtId="4" fontId="9" fillId="47" borderId="113" applyNumberFormat="0" applyProtection="0">
      <alignment horizontal="right" vertical="center"/>
    </xf>
    <xf numFmtId="4" fontId="9" fillId="46" borderId="113" applyNumberFormat="0" applyProtection="0">
      <alignment horizontal="right" vertical="center"/>
    </xf>
    <xf numFmtId="4" fontId="9" fillId="45" borderId="113" applyNumberFormat="0" applyProtection="0">
      <alignment horizontal="right" vertical="center"/>
    </xf>
    <xf numFmtId="4" fontId="9" fillId="44" borderId="113" applyNumberFormat="0" applyProtection="0">
      <alignment horizontal="right" vertical="center"/>
    </xf>
    <xf numFmtId="4" fontId="52" fillId="43" borderId="113" applyNumberFormat="0" applyProtection="0">
      <alignment horizontal="left" vertical="center" indent="1"/>
    </xf>
    <xf numFmtId="0" fontId="52" fillId="40" borderId="113" applyNumberFormat="0" applyProtection="0">
      <alignment horizontal="left" vertical="top" indent="1"/>
    </xf>
    <xf numFmtId="4" fontId="52" fillId="8" borderId="113" applyNumberFormat="0" applyProtection="0">
      <alignment horizontal="left" vertical="center" indent="1"/>
    </xf>
    <xf numFmtId="4" fontId="9" fillId="39" borderId="113" applyNumberFormat="0" applyProtection="0">
      <alignment vertical="center"/>
    </xf>
    <xf numFmtId="4" fontId="52" fillId="8" borderId="113" applyNumberFormat="0" applyProtection="0">
      <alignment vertical="center"/>
    </xf>
    <xf numFmtId="0" fontId="38" fillId="0" borderId="99">
      <alignment horizontal="left" vertical="center"/>
    </xf>
    <xf numFmtId="0" fontId="44" fillId="7" borderId="96" applyNumberFormat="0" applyAlignment="0" applyProtection="0"/>
    <xf numFmtId="10" fontId="30" fillId="34" borderId="95" applyNumberFormat="0" applyBorder="0" applyAlignment="0" applyProtection="0"/>
    <xf numFmtId="0" fontId="51" fillId="31" borderId="112" applyNumberFormat="0" applyAlignment="0" applyProtection="0"/>
    <xf numFmtId="0" fontId="9" fillId="42" borderId="111" applyNumberFormat="0" applyFont="0" applyAlignment="0" applyProtection="0"/>
    <xf numFmtId="180" fontId="30" fillId="0" borderId="95" applyFont="0" applyFill="0" applyBorder="0" applyProtection="0">
      <alignment horizontal="right"/>
    </xf>
    <xf numFmtId="0" fontId="9" fillId="42" borderId="100" applyNumberFormat="0" applyFont="0" applyAlignment="0" applyProtection="0"/>
    <xf numFmtId="0" fontId="51" fillId="31" borderId="101" applyNumberFormat="0" applyAlignment="0" applyProtection="0"/>
    <xf numFmtId="0" fontId="44" fillId="7" borderId="109" applyNumberFormat="0" applyAlignment="0" applyProtection="0"/>
    <xf numFmtId="4" fontId="52" fillId="8" borderId="102" applyNumberFormat="0" applyProtection="0">
      <alignment vertical="center"/>
    </xf>
    <xf numFmtId="4" fontId="9" fillId="39" borderId="102" applyNumberFormat="0" applyProtection="0">
      <alignment vertical="center"/>
    </xf>
    <xf numFmtId="4" fontId="52" fillId="8" borderId="102" applyNumberFormat="0" applyProtection="0">
      <alignment horizontal="left" vertical="center" indent="1"/>
    </xf>
    <xf numFmtId="0" fontId="52" fillId="40" borderId="102" applyNumberFormat="0" applyProtection="0">
      <alignment horizontal="left" vertical="top" indent="1"/>
    </xf>
    <xf numFmtId="4" fontId="52" fillId="43" borderId="102" applyNumberFormat="0" applyProtection="0">
      <alignment horizontal="left" vertical="center" indent="1"/>
    </xf>
    <xf numFmtId="4" fontId="9" fillId="44" borderId="102" applyNumberFormat="0" applyProtection="0">
      <alignment horizontal="right" vertical="center"/>
    </xf>
    <xf numFmtId="4" fontId="9" fillId="45" borderId="102" applyNumberFormat="0" applyProtection="0">
      <alignment horizontal="right" vertical="center"/>
    </xf>
    <xf numFmtId="4" fontId="9" fillId="46" borderId="102" applyNumberFormat="0" applyProtection="0">
      <alignment horizontal="right" vertical="center"/>
    </xf>
    <xf numFmtId="4" fontId="9" fillId="47" borderId="102" applyNumberFormat="0" applyProtection="0">
      <alignment horizontal="right" vertical="center"/>
    </xf>
    <xf numFmtId="4" fontId="9" fillId="48" borderId="102" applyNumberFormat="0" applyProtection="0">
      <alignment horizontal="right" vertical="center"/>
    </xf>
    <xf numFmtId="4" fontId="9" fillId="49" borderId="102" applyNumberFormat="0" applyProtection="0">
      <alignment horizontal="right" vertical="center"/>
    </xf>
    <xf numFmtId="4" fontId="9" fillId="50" borderId="102" applyNumberFormat="0" applyProtection="0">
      <alignment horizontal="right" vertical="center"/>
    </xf>
    <xf numFmtId="4" fontId="11" fillId="51" borderId="102" applyNumberFormat="0" applyProtection="0">
      <alignment horizontal="right" vertical="center"/>
    </xf>
    <xf numFmtId="4" fontId="9" fillId="52" borderId="102" applyNumberFormat="0" applyProtection="0">
      <alignment horizontal="right" vertical="center"/>
    </xf>
    <xf numFmtId="4" fontId="52" fillId="53" borderId="102" applyNumberFormat="0" applyProtection="0">
      <alignment horizontal="left" vertical="center" indent="1"/>
    </xf>
    <xf numFmtId="4" fontId="52" fillId="41" borderId="102" applyNumberFormat="0" applyProtection="0">
      <alignment horizontal="left" vertical="center" indent="1"/>
    </xf>
    <xf numFmtId="4" fontId="9" fillId="55" borderId="102" applyNumberFormat="0" applyProtection="0">
      <alignment horizontal="right" vertical="center"/>
    </xf>
    <xf numFmtId="0" fontId="30" fillId="31" borderId="103" applyNumberFormat="0" applyProtection="0">
      <alignment horizontal="left" vertical="center" indent="1"/>
    </xf>
    <xf numFmtId="0" fontId="9" fillId="56" borderId="102" applyNumberFormat="0" applyProtection="0">
      <alignment horizontal="left" vertical="top" indent="1"/>
    </xf>
    <xf numFmtId="0" fontId="30" fillId="57" borderId="103" applyNumberFormat="0" applyProtection="0">
      <alignment horizontal="left" vertical="center" indent="1"/>
    </xf>
    <xf numFmtId="0" fontId="9" fillId="58" borderId="102" applyNumberFormat="0" applyProtection="0">
      <alignment horizontal="left" vertical="top" indent="1"/>
    </xf>
    <xf numFmtId="0" fontId="9" fillId="8" borderId="102" applyNumberFormat="0" applyProtection="0">
      <alignment horizontal="left" vertical="center" indent="1"/>
    </xf>
    <xf numFmtId="0" fontId="9" fillId="8" borderId="102" applyNumberFormat="0" applyProtection="0">
      <alignment horizontal="left" vertical="top" indent="1"/>
    </xf>
    <xf numFmtId="0" fontId="9" fillId="43" borderId="102" applyNumberFormat="0" applyProtection="0">
      <alignment horizontal="left" vertical="center" indent="1"/>
    </xf>
    <xf numFmtId="0" fontId="9" fillId="43" borderId="102" applyNumberFormat="0" applyProtection="0">
      <alignment horizontal="left" vertical="top" indent="1"/>
    </xf>
    <xf numFmtId="0" fontId="9" fillId="41" borderId="95" applyNumberFormat="0">
      <protection locked="0"/>
    </xf>
    <xf numFmtId="4" fontId="9" fillId="59" borderId="102" applyNumberFormat="0" applyProtection="0">
      <alignment vertical="center"/>
    </xf>
    <xf numFmtId="4" fontId="9" fillId="59" borderId="102" applyNumberFormat="0" applyProtection="0">
      <alignment vertical="center"/>
    </xf>
    <xf numFmtId="4" fontId="9" fillId="55" borderId="104" applyNumberFormat="0" applyProtection="0">
      <alignment horizontal="left" vertical="center" indent="1"/>
    </xf>
    <xf numFmtId="0" fontId="11" fillId="42" borderId="102" applyNumberFormat="0" applyProtection="0">
      <alignment horizontal="left" vertical="top" indent="1"/>
    </xf>
    <xf numFmtId="4" fontId="11" fillId="41" borderId="102" applyNumberFormat="0" applyProtection="0">
      <alignment horizontal="right" vertical="center"/>
    </xf>
    <xf numFmtId="4" fontId="9" fillId="59" borderId="102" applyNumberFormat="0" applyProtection="0">
      <alignment horizontal="right" vertical="center"/>
    </xf>
    <xf numFmtId="4" fontId="52" fillId="43" borderId="102" applyNumberFormat="0" applyProtection="0">
      <alignment horizontal="left" vertical="top" wrapText="1"/>
    </xf>
    <xf numFmtId="0" fontId="11" fillId="58" borderId="102" applyNumberFormat="0" applyProtection="0">
      <alignment horizontal="left" vertical="top" indent="1"/>
    </xf>
    <xf numFmtId="4" fontId="9" fillId="60" borderId="104" applyNumberFormat="0" applyProtection="0">
      <alignment horizontal="left" vertical="center" indent="1"/>
    </xf>
    <xf numFmtId="4" fontId="9" fillId="59" borderId="102" applyNumberFormat="0" applyProtection="0">
      <alignment horizontal="right" vertical="center"/>
    </xf>
    <xf numFmtId="0" fontId="33" fillId="0" borderId="105" applyNumberFormat="0" applyFill="0" applyAlignment="0" applyProtection="0"/>
    <xf numFmtId="0" fontId="23" fillId="31" borderId="109" applyNumberFormat="0" applyAlignment="0" applyProtection="0"/>
    <xf numFmtId="0" fontId="62" fillId="42" borderId="100" applyNumberFormat="0" applyFont="0" applyAlignment="0" applyProtection="0">
      <alignment vertical="center"/>
    </xf>
    <xf numFmtId="0" fontId="70" fillId="0" borderId="106" applyNumberFormat="0" applyBorder="0">
      <alignment vertical="center"/>
    </xf>
    <xf numFmtId="0" fontId="71" fillId="31" borderId="96" applyNumberFormat="0" applyAlignment="0" applyProtection="0">
      <alignment vertical="center"/>
    </xf>
    <xf numFmtId="0" fontId="72" fillId="31" borderId="96" applyNumberFormat="0" applyAlignment="0" applyProtection="0">
      <alignment vertical="center"/>
    </xf>
    <xf numFmtId="0" fontId="72" fillId="31" borderId="96" applyNumberFormat="0" applyAlignment="0" applyProtection="0">
      <alignment vertical="center"/>
    </xf>
    <xf numFmtId="0" fontId="80" fillId="0" borderId="105" applyNumberFormat="0" applyFill="0" applyAlignment="0" applyProtection="0">
      <alignment vertical="center"/>
    </xf>
    <xf numFmtId="0" fontId="80" fillId="0" borderId="105" applyNumberFormat="0" applyFill="0" applyAlignment="0" applyProtection="0">
      <alignment vertical="center"/>
    </xf>
    <xf numFmtId="0" fontId="81" fillId="0" borderId="105" applyNumberFormat="0" applyFill="0" applyAlignment="0" applyProtection="0">
      <alignment vertical="center"/>
    </xf>
    <xf numFmtId="0" fontId="82" fillId="31" borderId="101" applyNumberFormat="0" applyAlignment="0" applyProtection="0">
      <alignment vertical="center"/>
    </xf>
    <xf numFmtId="166" fontId="15" fillId="0" borderId="0" applyFont="0" applyFill="0" applyBorder="0" applyAlignment="0" applyProtection="0">
      <alignment vertical="center"/>
    </xf>
    <xf numFmtId="0" fontId="87" fillId="7" borderId="96" applyNumberFormat="0" applyAlignment="0" applyProtection="0">
      <alignment vertical="center"/>
    </xf>
    <xf numFmtId="0" fontId="62" fillId="42" borderId="100" applyNumberFormat="0" applyFont="0" applyAlignment="0" applyProtection="0">
      <alignment vertical="center"/>
    </xf>
    <xf numFmtId="0" fontId="98" fillId="31" borderId="101" applyNumberFormat="0" applyAlignment="0" applyProtection="0">
      <alignment vertical="center"/>
    </xf>
    <xf numFmtId="0" fontId="98" fillId="31" borderId="101" applyNumberFormat="0" applyAlignment="0" applyProtection="0">
      <alignment vertical="center"/>
    </xf>
    <xf numFmtId="0" fontId="99" fillId="7" borderId="96" applyNumberFormat="0" applyAlignment="0" applyProtection="0">
      <alignment vertical="center"/>
    </xf>
    <xf numFmtId="0" fontId="99" fillId="7" borderId="96" applyNumberFormat="0" applyAlignment="0" applyProtection="0">
      <alignment vertical="center"/>
    </xf>
    <xf numFmtId="0" fontId="4" fillId="0" borderId="0"/>
    <xf numFmtId="0" fontId="33" fillId="0" borderId="116" applyNumberFormat="0" applyFill="0" applyAlignment="0" applyProtection="0"/>
    <xf numFmtId="4" fontId="52" fillId="41" borderId="113" applyNumberFormat="0" applyProtection="0">
      <alignment horizontal="left" vertical="center" indent="1"/>
    </xf>
    <xf numFmtId="17" fontId="35" fillId="0" borderId="110"/>
    <xf numFmtId="17" fontId="35" fillId="0" borderId="110"/>
    <xf numFmtId="0" fontId="70" fillId="0" borderId="68" applyNumberFormat="0" applyBorder="0">
      <alignment vertical="center"/>
    </xf>
    <xf numFmtId="166" fontId="15" fillId="0" borderId="0" applyFont="0" applyFill="0" applyBorder="0" applyAlignment="0" applyProtection="0">
      <alignment vertical="center"/>
    </xf>
    <xf numFmtId="0" fontId="5" fillId="0" borderId="0">
      <alignment vertical="center"/>
    </xf>
    <xf numFmtId="0" fontId="70" fillId="0" borderId="117" applyNumberFormat="0" applyBorder="0">
      <alignment vertical="center"/>
    </xf>
    <xf numFmtId="0" fontId="3" fillId="0" borderId="0">
      <alignment vertical="center"/>
    </xf>
    <xf numFmtId="0" fontId="220" fillId="0" borderId="0">
      <alignment vertical="center"/>
    </xf>
    <xf numFmtId="38" fontId="2" fillId="0" borderId="0" applyFont="0" applyFill="0" applyBorder="0" applyAlignment="0" applyProtection="0">
      <alignment vertical="center"/>
    </xf>
    <xf numFmtId="0" fontId="2" fillId="0" borderId="0">
      <alignment vertical="center"/>
    </xf>
    <xf numFmtId="0" fontId="2" fillId="0" borderId="0">
      <alignment vertical="center"/>
    </xf>
    <xf numFmtId="0" fontId="9" fillId="0" borderId="0"/>
    <xf numFmtId="0" fontId="1" fillId="0" borderId="0"/>
    <xf numFmtId="165"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38" fontId="106" fillId="0" borderId="0" applyFont="0" applyFill="0" applyBorder="0" applyAlignment="0" applyProtection="0">
      <alignment vertical="center"/>
    </xf>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106" fillId="0" borderId="0">
      <alignment vertical="center"/>
    </xf>
    <xf numFmtId="40" fontId="106" fillId="0" borderId="0" applyFont="0" applyFill="0" applyBorder="0" applyAlignment="0" applyProtection="0">
      <alignment vertical="center"/>
    </xf>
    <xf numFmtId="9" fontId="106" fillId="0" borderId="0" applyFont="0" applyFill="0" applyBorder="0" applyAlignment="0" applyProtection="0">
      <alignment vertical="center"/>
    </xf>
    <xf numFmtId="166" fontId="106" fillId="0" borderId="0" applyFont="0" applyFill="0" applyBorder="0" applyAlignment="0" applyProtection="0">
      <alignment vertical="center"/>
    </xf>
    <xf numFmtId="0" fontId="2" fillId="0" borderId="0">
      <alignment vertical="center"/>
    </xf>
    <xf numFmtId="0" fontId="106" fillId="0" borderId="0">
      <alignment vertical="center"/>
    </xf>
    <xf numFmtId="0" fontId="1" fillId="0" borderId="0"/>
    <xf numFmtId="0" fontId="1" fillId="0" borderId="0"/>
    <xf numFmtId="164" fontId="1" fillId="0" borderId="0" applyFont="0" applyFill="0" applyBorder="0" applyAlignment="0" applyProtection="0"/>
    <xf numFmtId="0" fontId="9" fillId="0" borderId="0"/>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165" fontId="1" fillId="0" borderId="0" applyFont="0" applyFill="0" applyBorder="0" applyAlignment="0" applyProtection="0"/>
    <xf numFmtId="0" fontId="1"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06" fillId="0" borderId="0">
      <alignment vertical="center"/>
    </xf>
    <xf numFmtId="40" fontId="106" fillId="0" borderId="0" applyFont="0" applyFill="0" applyBorder="0" applyAlignment="0" applyProtection="0">
      <alignment vertical="center"/>
    </xf>
    <xf numFmtId="38"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40" fontId="106" fillId="0" borderId="0" applyFont="0" applyFill="0" applyBorder="0" applyAlignment="0" applyProtection="0">
      <alignment vertical="center"/>
    </xf>
    <xf numFmtId="0" fontId="9" fillId="0" borderId="0"/>
    <xf numFmtId="210" fontId="9" fillId="0" borderId="0" applyFont="0" applyFill="0" applyBorder="0" applyAlignment="0" applyProtection="0"/>
    <xf numFmtId="9" fontId="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9" fillId="0" borderId="0" applyFont="0" applyFill="0" applyBorder="0" applyAlignment="0" applyProtection="0"/>
    <xf numFmtId="164" fontId="9"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9" fillId="0" borderId="0" applyFont="0" applyFill="0" applyBorder="0" applyAlignment="0" applyProtection="0"/>
    <xf numFmtId="164" fontId="9"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cellStyleXfs>
  <cellXfs count="3481">
    <xf numFmtId="0" fontId="0" fillId="0" borderId="0" xfId="0">
      <alignment vertical="center"/>
    </xf>
    <xf numFmtId="198" fontId="107" fillId="0" borderId="22" xfId="349" applyNumberFormat="1" applyFont="1" applyBorder="1" applyAlignment="1">
      <alignment vertical="center"/>
    </xf>
    <xf numFmtId="198" fontId="108" fillId="0" borderId="22" xfId="349" applyNumberFormat="1" applyFont="1" applyBorder="1" applyAlignment="1">
      <alignment vertical="center"/>
    </xf>
    <xf numFmtId="198" fontId="107" fillId="0" borderId="0" xfId="349" applyNumberFormat="1" applyFont="1" applyAlignment="1">
      <alignment vertical="center"/>
    </xf>
    <xf numFmtId="198" fontId="108" fillId="0" borderId="0" xfId="349" applyNumberFormat="1" applyFont="1" applyAlignment="1">
      <alignment vertical="center"/>
    </xf>
    <xf numFmtId="198" fontId="108" fillId="63" borderId="11" xfId="349" applyNumberFormat="1" applyFont="1" applyFill="1" applyBorder="1" applyAlignment="1">
      <alignment vertical="center"/>
    </xf>
    <xf numFmtId="198" fontId="108" fillId="64" borderId="11" xfId="349" applyNumberFormat="1" applyFont="1" applyFill="1" applyBorder="1" applyAlignment="1">
      <alignment vertical="center"/>
    </xf>
    <xf numFmtId="198" fontId="108" fillId="67" borderId="11" xfId="349" applyNumberFormat="1" applyFont="1" applyFill="1" applyBorder="1" applyAlignment="1">
      <alignment vertical="center"/>
    </xf>
    <xf numFmtId="0" fontId="107" fillId="61" borderId="0" xfId="345" applyFont="1" applyFill="1">
      <alignment vertical="center"/>
    </xf>
    <xf numFmtId="0" fontId="108" fillId="61" borderId="0" xfId="345" applyFont="1" applyFill="1">
      <alignment vertical="center"/>
    </xf>
    <xf numFmtId="38" fontId="107" fillId="0" borderId="21" xfId="414" applyFont="1" applyBorder="1" applyAlignment="1" applyProtection="1">
      <alignment vertical="center"/>
    </xf>
    <xf numFmtId="0" fontId="107" fillId="61" borderId="22" xfId="345" applyFont="1" applyFill="1" applyBorder="1">
      <alignment vertical="center"/>
    </xf>
    <xf numFmtId="0" fontId="108" fillId="0" borderId="0" xfId="349" applyFont="1"/>
    <xf numFmtId="0" fontId="108" fillId="66" borderId="24" xfId="349" applyFont="1" applyFill="1" applyBorder="1"/>
    <xf numFmtId="0" fontId="108" fillId="66" borderId="25" xfId="349" applyFont="1" applyFill="1" applyBorder="1"/>
    <xf numFmtId="38" fontId="107" fillId="61" borderId="21" xfId="414" applyFont="1" applyFill="1" applyBorder="1">
      <alignment vertical="center"/>
    </xf>
    <xf numFmtId="0" fontId="108" fillId="61" borderId="22" xfId="345" applyFont="1" applyFill="1" applyBorder="1">
      <alignment vertical="center"/>
    </xf>
    <xf numFmtId="38" fontId="107" fillId="61" borderId="24" xfId="414" applyFont="1" applyFill="1" applyBorder="1">
      <alignment vertical="center"/>
    </xf>
    <xf numFmtId="38" fontId="107" fillId="61" borderId="1" xfId="414" applyFont="1" applyFill="1" applyBorder="1">
      <alignment vertical="center"/>
    </xf>
    <xf numFmtId="0" fontId="108" fillId="61" borderId="7" xfId="345" applyFont="1" applyFill="1" applyBorder="1">
      <alignment vertical="center"/>
    </xf>
    <xf numFmtId="0" fontId="107" fillId="61" borderId="7" xfId="345" applyFont="1" applyFill="1" applyBorder="1">
      <alignment vertical="center"/>
    </xf>
    <xf numFmtId="0" fontId="107" fillId="0" borderId="7" xfId="345" applyFont="1" applyBorder="1">
      <alignment vertical="center"/>
    </xf>
    <xf numFmtId="0" fontId="108" fillId="0" borderId="0" xfId="345" applyFont="1">
      <alignment vertical="center"/>
    </xf>
    <xf numFmtId="0" fontId="113" fillId="0" borderId="0" xfId="0" applyFont="1">
      <alignment vertical="center"/>
    </xf>
    <xf numFmtId="198" fontId="107" fillId="0" borderId="30" xfId="349" applyNumberFormat="1" applyFont="1" applyBorder="1" applyAlignment="1">
      <alignment vertical="center"/>
    </xf>
    <xf numFmtId="198" fontId="108" fillId="0" borderId="23" xfId="349" applyNumberFormat="1" applyFont="1" applyBorder="1" applyAlignment="1">
      <alignment vertical="center"/>
    </xf>
    <xf numFmtId="198" fontId="107" fillId="0" borderId="31" xfId="349" applyNumberFormat="1" applyFont="1" applyBorder="1" applyAlignment="1">
      <alignment vertical="center"/>
    </xf>
    <xf numFmtId="198" fontId="108" fillId="0" borderId="11" xfId="349" applyNumberFormat="1" applyFont="1" applyBorder="1" applyAlignment="1">
      <alignment vertical="center"/>
    </xf>
    <xf numFmtId="0" fontId="107" fillId="0" borderId="0" xfId="349" applyFont="1"/>
    <xf numFmtId="0" fontId="108" fillId="0" borderId="11" xfId="349" applyFont="1" applyBorder="1"/>
    <xf numFmtId="198" fontId="107" fillId="0" borderId="7" xfId="349" applyNumberFormat="1" applyFont="1" applyBorder="1" applyAlignment="1">
      <alignment vertical="center"/>
    </xf>
    <xf numFmtId="198" fontId="108" fillId="0" borderId="7" xfId="349" applyNumberFormat="1" applyFont="1" applyBorder="1" applyAlignment="1">
      <alignment vertical="center"/>
    </xf>
    <xf numFmtId="198" fontId="107" fillId="0" borderId="29" xfId="349" applyNumberFormat="1" applyFont="1" applyBorder="1" applyAlignment="1">
      <alignment vertical="center"/>
    </xf>
    <xf numFmtId="198" fontId="108" fillId="0" borderId="29" xfId="349" applyNumberFormat="1" applyFont="1" applyBorder="1" applyAlignment="1">
      <alignment vertical="center"/>
    </xf>
    <xf numFmtId="0" fontId="9" fillId="61" borderId="0" xfId="349" applyFill="1"/>
    <xf numFmtId="198" fontId="108" fillId="61" borderId="0" xfId="349" applyNumberFormat="1" applyFont="1" applyFill="1" applyAlignment="1">
      <alignment vertical="center"/>
    </xf>
    <xf numFmtId="198" fontId="107" fillId="61" borderId="0" xfId="349" applyNumberFormat="1" applyFont="1" applyFill="1" applyAlignment="1">
      <alignment vertical="center"/>
    </xf>
    <xf numFmtId="38" fontId="107" fillId="61" borderId="24" xfId="414" applyFont="1" applyFill="1" applyBorder="1" applyAlignment="1" applyProtection="1">
      <alignment vertical="center"/>
    </xf>
    <xf numFmtId="38" fontId="107" fillId="61" borderId="21" xfId="414" applyFont="1" applyFill="1" applyBorder="1" applyAlignment="1" applyProtection="1">
      <alignment vertical="center"/>
      <protection locked="0"/>
    </xf>
    <xf numFmtId="198" fontId="107" fillId="0" borderId="22" xfId="349" applyNumberFormat="1" applyFont="1" applyBorder="1" applyAlignment="1" applyProtection="1">
      <alignment vertical="center"/>
      <protection locked="0"/>
    </xf>
    <xf numFmtId="38" fontId="107" fillId="61" borderId="24" xfId="414" applyFont="1" applyFill="1" applyBorder="1" applyAlignment="1" applyProtection="1">
      <alignment vertical="center"/>
      <protection locked="0"/>
    </xf>
    <xf numFmtId="198" fontId="107" fillId="0" borderId="0" xfId="349" applyNumberFormat="1" applyFont="1" applyAlignment="1" applyProtection="1">
      <alignment vertical="center"/>
      <protection locked="0"/>
    </xf>
    <xf numFmtId="38" fontId="107" fillId="61" borderId="32" xfId="414" applyFont="1" applyFill="1" applyBorder="1" applyAlignment="1" applyProtection="1">
      <alignment vertical="center"/>
    </xf>
    <xf numFmtId="198" fontId="107" fillId="0" borderId="33" xfId="349" applyNumberFormat="1" applyFont="1" applyBorder="1" applyAlignment="1">
      <alignment vertical="center"/>
    </xf>
    <xf numFmtId="198" fontId="108" fillId="0" borderId="33" xfId="349" applyNumberFormat="1" applyFont="1" applyBorder="1" applyAlignment="1">
      <alignment vertical="center"/>
    </xf>
    <xf numFmtId="38" fontId="107" fillId="61" borderId="34" xfId="414" applyFont="1" applyFill="1" applyBorder="1" applyAlignment="1" applyProtection="1">
      <alignment vertical="center"/>
    </xf>
    <xf numFmtId="198" fontId="107" fillId="0" borderId="35" xfId="349" applyNumberFormat="1" applyFont="1" applyBorder="1" applyAlignment="1">
      <alignment vertical="center"/>
    </xf>
    <xf numFmtId="198" fontId="107" fillId="0" borderId="36" xfId="349" applyNumberFormat="1" applyFont="1" applyBorder="1" applyAlignment="1">
      <alignment vertical="center"/>
    </xf>
    <xf numFmtId="198" fontId="108" fillId="0" borderId="36" xfId="349" applyNumberFormat="1" applyFont="1" applyBorder="1" applyAlignment="1">
      <alignment vertical="center"/>
    </xf>
    <xf numFmtId="198" fontId="108" fillId="0" borderId="37" xfId="349" applyNumberFormat="1" applyFont="1" applyBorder="1" applyAlignment="1">
      <alignment vertical="center"/>
    </xf>
    <xf numFmtId="198" fontId="107" fillId="0" borderId="28" xfId="349" applyNumberFormat="1" applyFont="1" applyBorder="1" applyAlignment="1">
      <alignment vertical="center"/>
    </xf>
    <xf numFmtId="198" fontId="107" fillId="61" borderId="29" xfId="349" applyNumberFormat="1" applyFont="1" applyFill="1" applyBorder="1" applyAlignment="1">
      <alignment vertical="center"/>
    </xf>
    <xf numFmtId="198" fontId="108" fillId="61" borderId="29" xfId="349" applyNumberFormat="1" applyFont="1" applyFill="1" applyBorder="1" applyAlignment="1">
      <alignment vertical="center"/>
    </xf>
    <xf numFmtId="198" fontId="108" fillId="61" borderId="25" xfId="349" applyNumberFormat="1" applyFont="1" applyFill="1" applyBorder="1" applyAlignment="1">
      <alignment vertical="center"/>
    </xf>
    <xf numFmtId="198" fontId="114" fillId="61" borderId="0" xfId="349" applyNumberFormat="1" applyFont="1" applyFill="1" applyAlignment="1">
      <alignment vertical="center"/>
    </xf>
    <xf numFmtId="198" fontId="112" fillId="61" borderId="0" xfId="349" applyNumberFormat="1" applyFont="1" applyFill="1" applyAlignment="1">
      <alignment vertical="center"/>
    </xf>
    <xf numFmtId="198" fontId="107" fillId="61" borderId="11" xfId="349" applyNumberFormat="1" applyFont="1" applyFill="1" applyBorder="1" applyAlignment="1">
      <alignment vertical="center"/>
    </xf>
    <xf numFmtId="38" fontId="107" fillId="61" borderId="4" xfId="414" applyFont="1" applyFill="1" applyBorder="1" applyAlignment="1" applyProtection="1">
      <alignment vertical="center"/>
    </xf>
    <xf numFmtId="38" fontId="107" fillId="61" borderId="41" xfId="414" applyFont="1" applyFill="1" applyBorder="1">
      <alignment vertical="center"/>
    </xf>
    <xf numFmtId="38" fontId="107" fillId="61" borderId="4" xfId="414" applyFont="1" applyFill="1" applyBorder="1">
      <alignment vertical="center"/>
    </xf>
    <xf numFmtId="38" fontId="107" fillId="61" borderId="21" xfId="414" applyFont="1" applyFill="1" applyBorder="1" applyAlignment="1" applyProtection="1">
      <alignment vertical="center"/>
    </xf>
    <xf numFmtId="198" fontId="116" fillId="61" borderId="0" xfId="349" applyNumberFormat="1" applyFont="1" applyFill="1" applyAlignment="1">
      <alignment vertical="center"/>
    </xf>
    <xf numFmtId="0" fontId="108" fillId="69" borderId="22" xfId="345" applyFont="1" applyFill="1" applyBorder="1">
      <alignment vertical="center"/>
    </xf>
    <xf numFmtId="0" fontId="108" fillId="69" borderId="0" xfId="345" applyFont="1" applyFill="1">
      <alignment vertical="center"/>
    </xf>
    <xf numFmtId="38" fontId="107" fillId="0" borderId="1" xfId="414" applyFont="1" applyFill="1" applyBorder="1">
      <alignment vertical="center"/>
    </xf>
    <xf numFmtId="0" fontId="107" fillId="61" borderId="29" xfId="345" applyFont="1" applyFill="1" applyBorder="1">
      <alignment vertical="center"/>
    </xf>
    <xf numFmtId="0" fontId="107" fillId="69" borderId="0" xfId="345" applyFont="1" applyFill="1">
      <alignment vertical="center"/>
    </xf>
    <xf numFmtId="0" fontId="108" fillId="70" borderId="22" xfId="345" applyFont="1" applyFill="1" applyBorder="1">
      <alignment vertical="center"/>
    </xf>
    <xf numFmtId="0" fontId="108" fillId="70" borderId="0" xfId="345" applyFont="1" applyFill="1">
      <alignment vertical="center"/>
    </xf>
    <xf numFmtId="0" fontId="107" fillId="0" borderId="0" xfId="345" applyFont="1">
      <alignment vertical="center"/>
    </xf>
    <xf numFmtId="0" fontId="107" fillId="64" borderId="22" xfId="345" applyFont="1" applyFill="1" applyBorder="1">
      <alignment vertical="center"/>
    </xf>
    <xf numFmtId="0" fontId="108" fillId="64" borderId="23" xfId="345" applyFont="1" applyFill="1" applyBorder="1">
      <alignment vertical="center"/>
    </xf>
    <xf numFmtId="0" fontId="107" fillId="64" borderId="0" xfId="345" applyFont="1" applyFill="1">
      <alignment vertical="center"/>
    </xf>
    <xf numFmtId="0" fontId="108" fillId="64" borderId="11" xfId="345" applyFont="1" applyFill="1" applyBorder="1">
      <alignment vertical="center"/>
    </xf>
    <xf numFmtId="0" fontId="107" fillId="69" borderId="29" xfId="345" applyFont="1" applyFill="1" applyBorder="1">
      <alignment vertical="center"/>
    </xf>
    <xf numFmtId="0" fontId="108" fillId="69" borderId="29" xfId="345" applyFont="1" applyFill="1" applyBorder="1">
      <alignment vertical="center"/>
    </xf>
    <xf numFmtId="0" fontId="107" fillId="64" borderId="29" xfId="345" applyFont="1" applyFill="1" applyBorder="1">
      <alignment vertical="center"/>
    </xf>
    <xf numFmtId="0" fontId="108" fillId="64" borderId="25" xfId="345" applyFont="1" applyFill="1" applyBorder="1">
      <alignment vertical="center"/>
    </xf>
    <xf numFmtId="0" fontId="107" fillId="61" borderId="30" xfId="345" applyFont="1" applyFill="1" applyBorder="1">
      <alignment vertical="center"/>
    </xf>
    <xf numFmtId="198" fontId="108" fillId="0" borderId="31" xfId="349" applyNumberFormat="1" applyFont="1" applyBorder="1" applyAlignment="1">
      <alignment vertical="center"/>
    </xf>
    <xf numFmtId="38" fontId="107" fillId="61" borderId="30" xfId="414" applyFont="1" applyFill="1" applyBorder="1" applyAlignment="1" applyProtection="1">
      <alignment vertical="center"/>
    </xf>
    <xf numFmtId="0" fontId="108" fillId="61" borderId="0" xfId="349" applyFont="1" applyFill="1"/>
    <xf numFmtId="0" fontId="113" fillId="0" borderId="22" xfId="0" applyFont="1" applyBorder="1">
      <alignment vertical="center"/>
    </xf>
    <xf numFmtId="0" fontId="107" fillId="66" borderId="22" xfId="349" applyFont="1" applyFill="1" applyBorder="1"/>
    <xf numFmtId="0" fontId="108" fillId="66" borderId="23" xfId="349" applyFont="1" applyFill="1" applyBorder="1"/>
    <xf numFmtId="0" fontId="107" fillId="66" borderId="0" xfId="349" applyFont="1" applyFill="1"/>
    <xf numFmtId="0" fontId="108" fillId="66" borderId="11" xfId="349" applyFont="1" applyFill="1" applyBorder="1"/>
    <xf numFmtId="38" fontId="107" fillId="61" borderId="30" xfId="414" applyFont="1" applyFill="1" applyBorder="1">
      <alignment vertical="center"/>
    </xf>
    <xf numFmtId="38" fontId="107" fillId="61" borderId="31" xfId="414" applyFont="1" applyFill="1" applyBorder="1">
      <alignment vertical="center"/>
    </xf>
    <xf numFmtId="38" fontId="108" fillId="66" borderId="28" xfId="414" applyFont="1" applyFill="1" applyBorder="1" applyAlignment="1"/>
    <xf numFmtId="0" fontId="107" fillId="66" borderId="29" xfId="349" applyFont="1" applyFill="1" applyBorder="1"/>
    <xf numFmtId="0" fontId="107" fillId="67" borderId="22" xfId="345" applyFont="1" applyFill="1" applyBorder="1">
      <alignment vertical="center"/>
    </xf>
    <xf numFmtId="0" fontId="108" fillId="67" borderId="23" xfId="345" applyFont="1" applyFill="1" applyBorder="1">
      <alignment vertical="center"/>
    </xf>
    <xf numFmtId="0" fontId="107" fillId="67" borderId="0" xfId="345" applyFont="1" applyFill="1">
      <alignment vertical="center"/>
    </xf>
    <xf numFmtId="0" fontId="108" fillId="67" borderId="11" xfId="345" applyFont="1" applyFill="1" applyBorder="1">
      <alignment vertical="center"/>
    </xf>
    <xf numFmtId="38" fontId="107" fillId="0" borderId="45" xfId="414" applyFont="1" applyFill="1" applyBorder="1">
      <alignment vertical="center"/>
    </xf>
    <xf numFmtId="38" fontId="107" fillId="61" borderId="45" xfId="414" applyFont="1" applyFill="1" applyBorder="1">
      <alignment vertical="center"/>
    </xf>
    <xf numFmtId="0" fontId="107" fillId="61" borderId="47" xfId="345" applyFont="1" applyFill="1" applyBorder="1">
      <alignment vertical="center"/>
    </xf>
    <xf numFmtId="38" fontId="108" fillId="69" borderId="28" xfId="345" applyNumberFormat="1" applyFont="1" applyFill="1" applyBorder="1">
      <alignment vertical="center"/>
    </xf>
    <xf numFmtId="0" fontId="107" fillId="67" borderId="29" xfId="345" applyFont="1" applyFill="1" applyBorder="1">
      <alignment vertical="center"/>
    </xf>
    <xf numFmtId="0" fontId="108" fillId="67" borderId="25" xfId="345" applyFont="1" applyFill="1" applyBorder="1">
      <alignment vertical="center"/>
    </xf>
    <xf numFmtId="38" fontId="108" fillId="67" borderId="28" xfId="345" applyNumberFormat="1" applyFont="1" applyFill="1" applyBorder="1">
      <alignment vertical="center"/>
    </xf>
    <xf numFmtId="198" fontId="107" fillId="61" borderId="28" xfId="349" applyNumberFormat="1" applyFont="1" applyFill="1" applyBorder="1" applyAlignment="1">
      <alignment vertical="center"/>
    </xf>
    <xf numFmtId="198" fontId="107" fillId="61" borderId="30" xfId="349" applyNumberFormat="1" applyFont="1" applyFill="1" applyBorder="1" applyAlignment="1">
      <alignment vertical="center"/>
    </xf>
    <xf numFmtId="198" fontId="107" fillId="61" borderId="22" xfId="349" applyNumberFormat="1" applyFont="1" applyFill="1" applyBorder="1" applyAlignment="1">
      <alignment vertical="center"/>
    </xf>
    <xf numFmtId="198" fontId="108" fillId="61" borderId="22" xfId="349" applyNumberFormat="1" applyFont="1" applyFill="1" applyBorder="1" applyAlignment="1">
      <alignment vertical="center"/>
    </xf>
    <xf numFmtId="198" fontId="108" fillId="61" borderId="23" xfId="349" applyNumberFormat="1" applyFont="1" applyFill="1" applyBorder="1" applyAlignment="1">
      <alignment vertical="center"/>
    </xf>
    <xf numFmtId="38" fontId="107" fillId="61" borderId="28" xfId="414" applyFont="1" applyFill="1" applyBorder="1" applyAlignment="1" applyProtection="1">
      <alignment vertical="center"/>
    </xf>
    <xf numFmtId="198" fontId="107" fillId="61" borderId="47" xfId="349" applyNumberFormat="1" applyFont="1" applyFill="1" applyBorder="1" applyAlignment="1">
      <alignment vertical="center"/>
    </xf>
    <xf numFmtId="38" fontId="108" fillId="63" borderId="28" xfId="414" applyFont="1" applyFill="1" applyBorder="1" applyAlignment="1" applyProtection="1">
      <alignment vertical="center"/>
    </xf>
    <xf numFmtId="198" fontId="108" fillId="63" borderId="29" xfId="349" applyNumberFormat="1" applyFont="1" applyFill="1" applyBorder="1" applyAlignment="1">
      <alignment vertical="center"/>
    </xf>
    <xf numFmtId="198" fontId="107" fillId="63" borderId="29" xfId="349" applyNumberFormat="1" applyFont="1" applyFill="1" applyBorder="1" applyAlignment="1">
      <alignment vertical="center"/>
    </xf>
    <xf numFmtId="198" fontId="108" fillId="63" borderId="25" xfId="349" applyNumberFormat="1" applyFont="1" applyFill="1" applyBorder="1" applyAlignment="1">
      <alignment vertical="center"/>
    </xf>
    <xf numFmtId="38" fontId="108" fillId="49" borderId="28" xfId="414" applyFont="1" applyFill="1" applyBorder="1" applyAlignment="1" applyProtection="1">
      <alignment vertical="center"/>
    </xf>
    <xf numFmtId="198" fontId="108" fillId="49" borderId="29" xfId="349" applyNumberFormat="1" applyFont="1" applyFill="1" applyBorder="1" applyAlignment="1">
      <alignment vertical="center"/>
    </xf>
    <xf numFmtId="198" fontId="107" fillId="49" borderId="29" xfId="349" applyNumberFormat="1" applyFont="1" applyFill="1" applyBorder="1" applyAlignment="1">
      <alignment vertical="center"/>
    </xf>
    <xf numFmtId="198" fontId="108" fillId="49" borderId="25" xfId="349" applyNumberFormat="1" applyFont="1" applyFill="1" applyBorder="1" applyAlignment="1">
      <alignment vertical="center"/>
    </xf>
    <xf numFmtId="38" fontId="108" fillId="66" borderId="28" xfId="414" applyFont="1" applyFill="1" applyBorder="1" applyAlignment="1" applyProtection="1">
      <alignment vertical="center"/>
    </xf>
    <xf numFmtId="38" fontId="108" fillId="59" borderId="28" xfId="414" applyFont="1" applyFill="1" applyBorder="1" applyAlignment="1" applyProtection="1">
      <alignment vertical="center"/>
    </xf>
    <xf numFmtId="198" fontId="108" fillId="59" borderId="29" xfId="349" applyNumberFormat="1" applyFont="1" applyFill="1" applyBorder="1" applyAlignment="1">
      <alignment vertical="center"/>
    </xf>
    <xf numFmtId="198" fontId="107" fillId="59" borderId="29" xfId="349" applyNumberFormat="1" applyFont="1" applyFill="1" applyBorder="1" applyAlignment="1">
      <alignment vertical="center"/>
    </xf>
    <xf numFmtId="198" fontId="108" fillId="59" borderId="25" xfId="349" applyNumberFormat="1" applyFont="1" applyFill="1" applyBorder="1" applyAlignment="1">
      <alignment vertical="center"/>
    </xf>
    <xf numFmtId="38" fontId="107" fillId="61" borderId="30" xfId="414" applyFont="1" applyFill="1" applyBorder="1" applyAlignment="1">
      <alignment horizontal="right" vertical="center"/>
    </xf>
    <xf numFmtId="38" fontId="107" fillId="61" borderId="21" xfId="414" applyFont="1" applyFill="1" applyBorder="1" applyAlignment="1">
      <alignment horizontal="right" vertical="center"/>
    </xf>
    <xf numFmtId="0" fontId="108" fillId="61" borderId="23" xfId="345" applyFont="1" applyFill="1" applyBorder="1">
      <alignment vertical="center"/>
    </xf>
    <xf numFmtId="38" fontId="107" fillId="61" borderId="31" xfId="414" applyFont="1" applyFill="1" applyBorder="1" applyAlignment="1">
      <alignment horizontal="right" vertical="center"/>
    </xf>
    <xf numFmtId="38" fontId="107" fillId="61" borderId="24" xfId="414" applyFont="1" applyFill="1" applyBorder="1" applyAlignment="1">
      <alignment horizontal="right" vertical="center"/>
    </xf>
    <xf numFmtId="0" fontId="108" fillId="61" borderId="11" xfId="345" applyFont="1" applyFill="1" applyBorder="1">
      <alignment vertical="center"/>
    </xf>
    <xf numFmtId="0" fontId="107" fillId="61" borderId="27" xfId="345" applyFont="1" applyFill="1" applyBorder="1">
      <alignment vertical="center"/>
    </xf>
    <xf numFmtId="198" fontId="107" fillId="61" borderId="22" xfId="416" applyNumberFormat="1" applyFill="1" applyBorder="1" applyAlignment="1">
      <alignment vertical="center"/>
    </xf>
    <xf numFmtId="198" fontId="107" fillId="61" borderId="23" xfId="416" applyNumberFormat="1" applyFill="1" applyBorder="1" applyAlignment="1">
      <alignment vertical="center"/>
    </xf>
    <xf numFmtId="198" fontId="107" fillId="61" borderId="0" xfId="416" applyNumberFormat="1" applyFill="1" applyAlignment="1">
      <alignment vertical="center"/>
    </xf>
    <xf numFmtId="198" fontId="107" fillId="61" borderId="11" xfId="416" applyNumberFormat="1" applyFill="1" applyBorder="1" applyAlignment="1">
      <alignment vertical="center"/>
    </xf>
    <xf numFmtId="198" fontId="107" fillId="61" borderId="7" xfId="416" applyNumberFormat="1" applyFill="1" applyBorder="1" applyAlignment="1">
      <alignment vertical="center"/>
    </xf>
    <xf numFmtId="40" fontId="107" fillId="61" borderId="22" xfId="413" applyFont="1" applyFill="1" applyBorder="1" applyAlignment="1" applyProtection="1">
      <alignment horizontal="left"/>
    </xf>
    <xf numFmtId="40" fontId="107" fillId="61" borderId="23" xfId="413" applyFont="1" applyFill="1" applyBorder="1" applyAlignment="1" applyProtection="1">
      <alignment horizontal="left"/>
    </xf>
    <xf numFmtId="38" fontId="107" fillId="0" borderId="4" xfId="414" applyFont="1" applyFill="1" applyBorder="1" applyAlignment="1">
      <alignment horizontal="right" vertical="center"/>
    </xf>
    <xf numFmtId="0" fontId="108" fillId="61" borderId="29" xfId="345" applyFont="1" applyFill="1" applyBorder="1">
      <alignment vertical="center"/>
    </xf>
    <xf numFmtId="40" fontId="107" fillId="61" borderId="29" xfId="413" applyFont="1" applyFill="1" applyBorder="1" applyAlignment="1" applyProtection="1">
      <alignment horizontal="left"/>
    </xf>
    <xf numFmtId="40" fontId="107" fillId="61" borderId="11" xfId="413" applyFont="1" applyFill="1" applyBorder="1" applyAlignment="1" applyProtection="1">
      <alignment horizontal="left"/>
    </xf>
    <xf numFmtId="40" fontId="107" fillId="61" borderId="7" xfId="413" applyFont="1" applyFill="1" applyBorder="1" applyAlignment="1" applyProtection="1">
      <alignment horizontal="distributed"/>
    </xf>
    <xf numFmtId="40" fontId="107" fillId="61" borderId="27" xfId="413" applyFont="1" applyFill="1" applyBorder="1" applyAlignment="1" applyProtection="1">
      <alignment horizontal="left"/>
    </xf>
    <xf numFmtId="198" fontId="107" fillId="61" borderId="27" xfId="349" applyNumberFormat="1" applyFont="1" applyFill="1" applyBorder="1" applyAlignment="1">
      <alignment vertical="center"/>
    </xf>
    <xf numFmtId="0" fontId="9" fillId="0" borderId="27" xfId="0" applyFont="1" applyBorder="1" applyAlignment="1"/>
    <xf numFmtId="38" fontId="108" fillId="71" borderId="26" xfId="414" applyFont="1" applyFill="1" applyBorder="1" applyAlignment="1" applyProtection="1">
      <alignment vertical="center"/>
    </xf>
    <xf numFmtId="38" fontId="108" fillId="71" borderId="7" xfId="414" applyFont="1" applyFill="1" applyBorder="1" applyAlignment="1" applyProtection="1">
      <alignment vertical="center"/>
    </xf>
    <xf numFmtId="38" fontId="107" fillId="71" borderId="27" xfId="414" applyFont="1" applyFill="1" applyBorder="1" applyAlignment="1" applyProtection="1">
      <alignment vertical="center"/>
    </xf>
    <xf numFmtId="38" fontId="107" fillId="71" borderId="1" xfId="414" applyFont="1" applyFill="1" applyBorder="1" applyAlignment="1" applyProtection="1">
      <alignment vertical="center"/>
    </xf>
    <xf numFmtId="38" fontId="108" fillId="71" borderId="1" xfId="414" applyFont="1" applyFill="1" applyBorder="1" applyAlignment="1" applyProtection="1">
      <alignment vertical="center"/>
    </xf>
    <xf numFmtId="198" fontId="108" fillId="61" borderId="30" xfId="349" applyNumberFormat="1" applyFont="1" applyFill="1" applyBorder="1" applyAlignment="1">
      <alignment vertical="center"/>
    </xf>
    <xf numFmtId="38" fontId="108" fillId="71" borderId="27" xfId="414" applyFont="1" applyFill="1" applyBorder="1" applyAlignment="1" applyProtection="1">
      <alignment vertical="center"/>
    </xf>
    <xf numFmtId="38" fontId="107" fillId="61" borderId="4" xfId="414" applyFont="1" applyFill="1" applyBorder="1" applyAlignment="1">
      <alignment vertical="center"/>
    </xf>
    <xf numFmtId="198" fontId="107" fillId="61" borderId="31" xfId="349" applyNumberFormat="1" applyFont="1" applyFill="1" applyBorder="1" applyAlignment="1">
      <alignment vertical="center"/>
    </xf>
    <xf numFmtId="198" fontId="108" fillId="61" borderId="11" xfId="349" applyNumberFormat="1" applyFont="1" applyFill="1" applyBorder="1" applyAlignment="1">
      <alignment vertical="center"/>
    </xf>
    <xf numFmtId="38" fontId="107" fillId="61" borderId="45" xfId="414" applyFont="1" applyFill="1" applyBorder="1" applyAlignment="1" applyProtection="1">
      <alignment vertical="center"/>
      <protection locked="0"/>
    </xf>
    <xf numFmtId="198" fontId="107" fillId="61" borderId="46" xfId="349" applyNumberFormat="1" applyFont="1" applyFill="1" applyBorder="1" applyAlignment="1">
      <alignment vertical="center"/>
    </xf>
    <xf numFmtId="198" fontId="108" fillId="61" borderId="47" xfId="349" applyNumberFormat="1" applyFont="1" applyFill="1" applyBorder="1" applyAlignment="1">
      <alignment vertical="center"/>
    </xf>
    <xf numFmtId="198" fontId="108" fillId="61" borderId="31" xfId="349" applyNumberFormat="1" applyFont="1" applyFill="1" applyBorder="1" applyAlignment="1">
      <alignment vertical="center"/>
    </xf>
    <xf numFmtId="38" fontId="108" fillId="71" borderId="4" xfId="414" applyFont="1" applyFill="1" applyBorder="1" applyAlignment="1" applyProtection="1">
      <alignment vertical="center"/>
    </xf>
    <xf numFmtId="38" fontId="108" fillId="71" borderId="28" xfId="414" applyFont="1" applyFill="1" applyBorder="1" applyAlignment="1" applyProtection="1">
      <alignment vertical="center"/>
    </xf>
    <xf numFmtId="38" fontId="108" fillId="71" borderId="29" xfId="414" applyFont="1" applyFill="1" applyBorder="1" applyAlignment="1" applyProtection="1">
      <alignment vertical="center"/>
    </xf>
    <xf numFmtId="38" fontId="108" fillId="71" borderId="25" xfId="414" applyFont="1" applyFill="1" applyBorder="1" applyAlignment="1" applyProtection="1">
      <alignment vertical="center"/>
    </xf>
    <xf numFmtId="198" fontId="108" fillId="61" borderId="46" xfId="349" applyNumberFormat="1" applyFont="1" applyFill="1" applyBorder="1" applyAlignment="1">
      <alignment vertical="center"/>
    </xf>
    <xf numFmtId="0" fontId="107" fillId="61" borderId="0" xfId="345" applyFont="1" applyFill="1" applyAlignment="1">
      <alignment horizontal="center" vertical="center"/>
    </xf>
    <xf numFmtId="0" fontId="120" fillId="61" borderId="0" xfId="345" applyFont="1" applyFill="1">
      <alignment vertical="center"/>
    </xf>
    <xf numFmtId="170" fontId="107" fillId="0" borderId="0" xfId="419" applyFont="1" applyFill="1" applyBorder="1" applyAlignment="1">
      <alignment horizontal="centerContinuous" vertical="center"/>
    </xf>
    <xf numFmtId="198" fontId="108" fillId="61" borderId="0" xfId="349" applyNumberFormat="1" applyFont="1" applyFill="1" applyAlignment="1" applyProtection="1">
      <alignment vertical="center"/>
      <protection locked="0"/>
    </xf>
    <xf numFmtId="0" fontId="107" fillId="61" borderId="0" xfId="345" applyFont="1" applyFill="1" applyAlignment="1">
      <alignment horizontal="right" vertical="center"/>
    </xf>
    <xf numFmtId="49" fontId="107" fillId="61" borderId="0" xfId="345" applyNumberFormat="1" applyFont="1" applyFill="1">
      <alignment vertical="center"/>
    </xf>
    <xf numFmtId="170" fontId="107" fillId="62" borderId="1" xfId="419" applyFont="1" applyFill="1" applyBorder="1" applyAlignment="1">
      <alignment horizontal="centerContinuous" vertical="center"/>
    </xf>
    <xf numFmtId="49" fontId="108" fillId="61" borderId="0" xfId="345" applyNumberFormat="1" applyFont="1" applyFill="1">
      <alignment vertical="center"/>
    </xf>
    <xf numFmtId="198" fontId="107" fillId="61" borderId="23" xfId="417" applyNumberFormat="1" applyFont="1" applyFill="1" applyBorder="1" applyAlignment="1">
      <alignment vertical="center"/>
    </xf>
    <xf numFmtId="198" fontId="107" fillId="61" borderId="11" xfId="417" applyNumberFormat="1" applyFont="1" applyFill="1" applyBorder="1" applyAlignment="1">
      <alignment vertical="center"/>
    </xf>
    <xf numFmtId="198" fontId="107" fillId="61" borderId="0" xfId="418" applyNumberFormat="1" applyFill="1" applyAlignment="1">
      <alignment vertical="center"/>
    </xf>
    <xf numFmtId="0" fontId="110" fillId="0" borderId="0" xfId="345" applyFont="1" applyAlignment="1">
      <alignment horizontal="center" vertical="center"/>
    </xf>
    <xf numFmtId="0" fontId="124" fillId="61" borderId="0" xfId="345" applyFont="1" applyFill="1" applyAlignment="1">
      <alignment horizontal="right" vertical="center"/>
    </xf>
    <xf numFmtId="38" fontId="110" fillId="0" borderId="0" xfId="311" applyFont="1" applyFill="1" applyBorder="1" applyAlignment="1"/>
    <xf numFmtId="38" fontId="110" fillId="0" borderId="0" xfId="345" applyNumberFormat="1" applyFont="1">
      <alignment vertical="center"/>
    </xf>
    <xf numFmtId="198" fontId="107" fillId="33" borderId="22" xfId="311" applyNumberFormat="1" applyFont="1" applyFill="1" applyBorder="1" applyAlignment="1"/>
    <xf numFmtId="0" fontId="107" fillId="72" borderId="0" xfId="345" applyFont="1" applyFill="1">
      <alignment vertical="center"/>
    </xf>
    <xf numFmtId="0" fontId="62" fillId="72" borderId="0" xfId="420" applyFill="1"/>
    <xf numFmtId="0" fontId="107" fillId="73" borderId="0" xfId="345" applyFont="1" applyFill="1" applyAlignment="1"/>
    <xf numFmtId="0" fontId="113" fillId="0" borderId="30" xfId="0" applyFont="1" applyBorder="1">
      <alignment vertical="center"/>
    </xf>
    <xf numFmtId="0" fontId="113" fillId="0" borderId="23" xfId="0" applyFont="1" applyBorder="1">
      <alignment vertical="center"/>
    </xf>
    <xf numFmtId="0" fontId="113" fillId="0" borderId="11" xfId="0" applyFont="1" applyBorder="1">
      <alignment vertical="center"/>
    </xf>
    <xf numFmtId="0" fontId="113" fillId="0" borderId="31" xfId="0" applyFont="1" applyBorder="1">
      <alignment vertical="center"/>
    </xf>
    <xf numFmtId="0" fontId="126" fillId="61" borderId="0" xfId="0" applyFont="1" applyFill="1">
      <alignment vertical="center"/>
    </xf>
    <xf numFmtId="0" fontId="107" fillId="64" borderId="11" xfId="345" applyFont="1" applyFill="1" applyBorder="1">
      <alignment vertical="center"/>
    </xf>
    <xf numFmtId="0" fontId="107" fillId="64" borderId="24" xfId="345" applyFont="1" applyFill="1" applyBorder="1">
      <alignment vertical="center"/>
    </xf>
    <xf numFmtId="0" fontId="107" fillId="61" borderId="23" xfId="345" applyFont="1" applyFill="1" applyBorder="1">
      <alignment vertical="center"/>
    </xf>
    <xf numFmtId="0" fontId="107" fillId="61" borderId="11" xfId="0" applyFont="1" applyFill="1" applyBorder="1">
      <alignment vertical="center"/>
    </xf>
    <xf numFmtId="0" fontId="128" fillId="0" borderId="0" xfId="0" applyFont="1">
      <alignment vertical="center"/>
    </xf>
    <xf numFmtId="0" fontId="129" fillId="0" borderId="0" xfId="0" applyFont="1">
      <alignment vertical="center"/>
    </xf>
    <xf numFmtId="14" fontId="128" fillId="0" borderId="0" xfId="0" applyNumberFormat="1" applyFont="1">
      <alignment vertical="center"/>
    </xf>
    <xf numFmtId="0" fontId="107" fillId="61" borderId="0" xfId="0" applyFont="1" applyFill="1">
      <alignment vertical="center"/>
    </xf>
    <xf numFmtId="170" fontId="107" fillId="61" borderId="0" xfId="419" applyFont="1" applyFill="1" applyBorder="1" applyAlignment="1">
      <alignment horizontal="centerContinuous" vertical="center"/>
    </xf>
    <xf numFmtId="38" fontId="123" fillId="61" borderId="0" xfId="311" applyFont="1" applyFill="1" applyAlignment="1">
      <alignment vertical="center"/>
    </xf>
    <xf numFmtId="0" fontId="109" fillId="61" borderId="0" xfId="349" applyFont="1" applyFill="1" applyAlignment="1">
      <alignment shrinkToFit="1"/>
    </xf>
    <xf numFmtId="198" fontId="108" fillId="61" borderId="68" xfId="349" applyNumberFormat="1" applyFont="1" applyFill="1" applyBorder="1" applyAlignment="1">
      <alignment vertical="center"/>
    </xf>
    <xf numFmtId="38" fontId="108" fillId="71" borderId="68" xfId="414" applyFont="1" applyFill="1" applyBorder="1" applyAlignment="1" applyProtection="1">
      <alignment vertical="center"/>
    </xf>
    <xf numFmtId="198" fontId="109" fillId="61" borderId="23" xfId="349" applyNumberFormat="1" applyFont="1" applyFill="1" applyBorder="1" applyAlignment="1">
      <alignment vertical="center"/>
    </xf>
    <xf numFmtId="198" fontId="109" fillId="61" borderId="11" xfId="349" applyNumberFormat="1" applyFont="1" applyFill="1" applyBorder="1" applyAlignment="1">
      <alignment vertical="center"/>
    </xf>
    <xf numFmtId="38" fontId="107" fillId="61" borderId="45" xfId="414" applyFont="1" applyFill="1" applyBorder="1" applyAlignment="1" applyProtection="1">
      <alignment vertical="center"/>
    </xf>
    <xf numFmtId="198" fontId="109" fillId="61" borderId="0" xfId="349" applyNumberFormat="1" applyFont="1" applyFill="1" applyAlignment="1">
      <alignment vertical="center" shrinkToFit="1"/>
    </xf>
    <xf numFmtId="198" fontId="109" fillId="61" borderId="11" xfId="349" applyNumberFormat="1" applyFont="1" applyFill="1" applyBorder="1" applyAlignment="1">
      <alignment vertical="center" shrinkToFit="1"/>
    </xf>
    <xf numFmtId="0" fontId="109" fillId="61" borderId="0" xfId="345" applyFont="1" applyFill="1" applyAlignment="1">
      <alignment vertical="center" shrinkToFit="1"/>
    </xf>
    <xf numFmtId="198" fontId="109" fillId="0" borderId="0" xfId="349" applyNumberFormat="1" applyFont="1" applyAlignment="1">
      <alignment vertical="center" shrinkToFit="1"/>
    </xf>
    <xf numFmtId="198" fontId="108" fillId="0" borderId="68" xfId="349" applyNumberFormat="1" applyFont="1" applyBorder="1" applyAlignment="1">
      <alignment vertical="center"/>
    </xf>
    <xf numFmtId="0" fontId="107" fillId="61" borderId="0" xfId="345" applyFont="1" applyFill="1" applyAlignment="1">
      <alignment vertical="center" shrinkToFit="1"/>
    </xf>
    <xf numFmtId="0" fontId="107" fillId="64" borderId="23" xfId="345" applyFont="1" applyFill="1" applyBorder="1">
      <alignment vertical="center"/>
    </xf>
    <xf numFmtId="198" fontId="107" fillId="0" borderId="0" xfId="418" applyNumberFormat="1" applyAlignment="1">
      <alignment vertical="center"/>
    </xf>
    <xf numFmtId="0" fontId="107" fillId="0" borderId="22" xfId="345" applyFont="1" applyBorder="1">
      <alignment vertical="center"/>
    </xf>
    <xf numFmtId="198" fontId="107" fillId="74" borderId="0" xfId="349" applyNumberFormat="1" applyFont="1" applyFill="1" applyAlignment="1">
      <alignment vertical="center"/>
    </xf>
    <xf numFmtId="0" fontId="107" fillId="74" borderId="0" xfId="345" applyFont="1" applyFill="1">
      <alignment vertical="center"/>
    </xf>
    <xf numFmtId="0" fontId="108" fillId="67" borderId="0" xfId="345" applyFont="1" applyFill="1">
      <alignment vertical="center"/>
    </xf>
    <xf numFmtId="0" fontId="108" fillId="67" borderId="22" xfId="345" applyFont="1" applyFill="1" applyBorder="1">
      <alignment vertical="center"/>
    </xf>
    <xf numFmtId="198" fontId="116" fillId="0" borderId="0" xfId="418" applyNumberFormat="1" applyFont="1" applyAlignment="1">
      <alignment vertical="center"/>
    </xf>
    <xf numFmtId="200" fontId="113" fillId="0" borderId="0" xfId="0" applyNumberFormat="1" applyFont="1">
      <alignment vertical="center"/>
    </xf>
    <xf numFmtId="0" fontId="107" fillId="0" borderId="29" xfId="345" applyFont="1" applyBorder="1">
      <alignment vertical="center"/>
    </xf>
    <xf numFmtId="198" fontId="107" fillId="61" borderId="27" xfId="417" applyNumberFormat="1" applyFont="1" applyFill="1" applyBorder="1" applyAlignment="1">
      <alignment vertical="center"/>
    </xf>
    <xf numFmtId="198" fontId="107" fillId="61" borderId="0" xfId="417" applyNumberFormat="1" applyFont="1" applyFill="1" applyAlignment="1">
      <alignment vertical="center"/>
    </xf>
    <xf numFmtId="0" fontId="116" fillId="61" borderId="0" xfId="345" applyFont="1" applyFill="1" applyAlignment="1">
      <alignment horizontal="center" vertical="center"/>
    </xf>
    <xf numFmtId="0" fontId="119" fillId="61" borderId="0" xfId="297" applyFont="1" applyFill="1">
      <alignment vertical="center"/>
    </xf>
    <xf numFmtId="0" fontId="107" fillId="0" borderId="11" xfId="345" applyFont="1" applyBorder="1">
      <alignment vertical="center"/>
    </xf>
    <xf numFmtId="0" fontId="107" fillId="33" borderId="22" xfId="345" applyFont="1" applyFill="1" applyBorder="1">
      <alignment vertical="center"/>
    </xf>
    <xf numFmtId="0" fontId="107" fillId="0" borderId="11" xfId="480" applyFont="1" applyBorder="1" applyAlignment="1">
      <alignment vertical="center"/>
    </xf>
    <xf numFmtId="0" fontId="107" fillId="0" borderId="23" xfId="480" applyFont="1" applyBorder="1" applyAlignment="1">
      <alignment vertical="center"/>
    </xf>
    <xf numFmtId="0" fontId="107" fillId="0" borderId="22" xfId="480" applyFont="1" applyBorder="1" applyAlignment="1">
      <alignment vertical="center"/>
    </xf>
    <xf numFmtId="0" fontId="116" fillId="61" borderId="22" xfId="345" applyFont="1" applyFill="1" applyBorder="1">
      <alignment vertical="center"/>
    </xf>
    <xf numFmtId="0" fontId="116" fillId="61" borderId="0" xfId="345" applyFont="1" applyFill="1">
      <alignment vertical="center"/>
    </xf>
    <xf numFmtId="0" fontId="116" fillId="61" borderId="22" xfId="345" applyFont="1" applyFill="1" applyBorder="1" applyAlignment="1">
      <alignment vertical="center" shrinkToFit="1"/>
    </xf>
    <xf numFmtId="0" fontId="116" fillId="0" borderId="0" xfId="345" applyFont="1">
      <alignment vertical="center"/>
    </xf>
    <xf numFmtId="0" fontId="116" fillId="0" borderId="22" xfId="345" applyFont="1" applyBorder="1">
      <alignment vertical="center"/>
    </xf>
    <xf numFmtId="0" fontId="107" fillId="61" borderId="75" xfId="345" applyFont="1" applyFill="1" applyBorder="1">
      <alignment vertical="center"/>
    </xf>
    <xf numFmtId="0" fontId="107" fillId="0" borderId="75" xfId="345" applyFont="1" applyBorder="1">
      <alignment vertical="center"/>
    </xf>
    <xf numFmtId="0" fontId="107" fillId="64" borderId="69" xfId="345" applyFont="1" applyFill="1" applyBorder="1">
      <alignment vertical="center"/>
    </xf>
    <xf numFmtId="0" fontId="131" fillId="61" borderId="0" xfId="420" applyFont="1" applyFill="1"/>
    <xf numFmtId="0" fontId="132" fillId="61" borderId="0" xfId="420" applyFont="1" applyFill="1" applyAlignment="1">
      <alignment horizontal="right"/>
    </xf>
    <xf numFmtId="0" fontId="30" fillId="61" borderId="0" xfId="420" applyFont="1" applyFill="1"/>
    <xf numFmtId="38" fontId="123" fillId="61" borderId="0" xfId="311" applyFont="1" applyFill="1" applyBorder="1" applyAlignment="1">
      <alignment vertical="center"/>
    </xf>
    <xf numFmtId="49" fontId="121" fillId="61" borderId="0" xfId="297" applyNumberFormat="1" applyFont="1" applyFill="1" applyBorder="1">
      <alignment vertical="center"/>
    </xf>
    <xf numFmtId="0" fontId="112" fillId="61" borderId="0" xfId="349" applyFont="1" applyFill="1"/>
    <xf numFmtId="198" fontId="112" fillId="0" borderId="0" xfId="349" applyNumberFormat="1" applyFont="1" applyAlignment="1">
      <alignment vertical="center"/>
    </xf>
    <xf numFmtId="198" fontId="38" fillId="0" borderId="0" xfId="349" applyNumberFormat="1" applyFont="1" applyAlignment="1">
      <alignment vertical="center"/>
    </xf>
    <xf numFmtId="0" fontId="110" fillId="0" borderId="0" xfId="345" applyFont="1" applyAlignment="1">
      <alignment vertical="center" shrinkToFit="1"/>
    </xf>
    <xf numFmtId="0" fontId="116" fillId="0" borderId="69" xfId="345" applyFont="1" applyBorder="1">
      <alignment vertical="center"/>
    </xf>
    <xf numFmtId="198" fontId="108" fillId="0" borderId="73" xfId="349" applyNumberFormat="1" applyFont="1" applyBorder="1" applyAlignment="1">
      <alignment vertical="center"/>
    </xf>
    <xf numFmtId="198" fontId="107" fillId="0" borderId="75" xfId="349" applyNumberFormat="1" applyFont="1" applyBorder="1" applyAlignment="1">
      <alignment vertical="center"/>
    </xf>
    <xf numFmtId="198" fontId="108" fillId="0" borderId="75" xfId="349" applyNumberFormat="1" applyFont="1" applyBorder="1" applyAlignment="1">
      <alignment vertical="center"/>
    </xf>
    <xf numFmtId="198" fontId="107" fillId="0" borderId="81" xfId="349" applyNumberFormat="1" applyFont="1" applyBorder="1" applyAlignment="1">
      <alignment vertical="center"/>
    </xf>
    <xf numFmtId="38" fontId="107" fillId="61" borderId="74" xfId="414" applyFont="1" applyFill="1" applyBorder="1" applyAlignment="1" applyProtection="1">
      <alignment vertical="center"/>
    </xf>
    <xf numFmtId="198" fontId="107" fillId="0" borderId="72" xfId="349" applyNumberFormat="1" applyFont="1" applyBorder="1" applyAlignment="1">
      <alignment vertical="center"/>
    </xf>
    <xf numFmtId="198" fontId="108" fillId="0" borderId="72" xfId="349" applyNumberFormat="1" applyFont="1" applyBorder="1" applyAlignment="1">
      <alignment vertical="center"/>
    </xf>
    <xf numFmtId="198" fontId="108" fillId="63" borderId="68" xfId="349" applyNumberFormat="1" applyFont="1" applyFill="1" applyBorder="1" applyAlignment="1">
      <alignment vertical="center"/>
    </xf>
    <xf numFmtId="198" fontId="107" fillId="63" borderId="69" xfId="349" applyNumberFormat="1" applyFont="1" applyFill="1" applyBorder="1" applyAlignment="1">
      <alignment vertical="center"/>
    </xf>
    <xf numFmtId="198" fontId="108" fillId="63" borderId="69" xfId="349" applyNumberFormat="1" applyFont="1" applyFill="1" applyBorder="1" applyAlignment="1">
      <alignment vertical="center"/>
    </xf>
    <xf numFmtId="0" fontId="9" fillId="63" borderId="11" xfId="349" applyFill="1" applyBorder="1"/>
    <xf numFmtId="0" fontId="9" fillId="63" borderId="23" xfId="349" applyFill="1" applyBorder="1"/>
    <xf numFmtId="0" fontId="9" fillId="64" borderId="11" xfId="349" applyFill="1" applyBorder="1"/>
    <xf numFmtId="0" fontId="9" fillId="64" borderId="23" xfId="349" applyFill="1" applyBorder="1"/>
    <xf numFmtId="0" fontId="9" fillId="75" borderId="11" xfId="349" applyFill="1" applyBorder="1"/>
    <xf numFmtId="0" fontId="9" fillId="75" borderId="23" xfId="349" applyFill="1" applyBorder="1"/>
    <xf numFmtId="0" fontId="9" fillId="67" borderId="11" xfId="349" applyFill="1" applyBorder="1"/>
    <xf numFmtId="0" fontId="9" fillId="67" borderId="23" xfId="349" applyFill="1" applyBorder="1"/>
    <xf numFmtId="38" fontId="108" fillId="55" borderId="28" xfId="414" applyFont="1" applyFill="1" applyBorder="1" applyAlignment="1" applyProtection="1">
      <alignment vertical="center"/>
    </xf>
    <xf numFmtId="0" fontId="9" fillId="76" borderId="11" xfId="349" applyFill="1" applyBorder="1"/>
    <xf numFmtId="0" fontId="9" fillId="76" borderId="23" xfId="349" applyFill="1" applyBorder="1"/>
    <xf numFmtId="38" fontId="108" fillId="0" borderId="0" xfId="414" applyFont="1" applyFill="1" applyBorder="1" applyAlignment="1" applyProtection="1">
      <alignment vertical="center"/>
    </xf>
    <xf numFmtId="38" fontId="108" fillId="0" borderId="0" xfId="414" applyFont="1" applyFill="1" applyAlignment="1" applyProtection="1">
      <alignment vertical="center"/>
    </xf>
    <xf numFmtId="38" fontId="108" fillId="59" borderId="68" xfId="414" applyFont="1" applyFill="1" applyBorder="1" applyAlignment="1" applyProtection="1">
      <alignment vertical="center"/>
    </xf>
    <xf numFmtId="38" fontId="107" fillId="59" borderId="69" xfId="414" applyFont="1" applyFill="1" applyBorder="1" applyAlignment="1" applyProtection="1">
      <alignment vertical="center"/>
    </xf>
    <xf numFmtId="38" fontId="108" fillId="59" borderId="69" xfId="414" applyFont="1" applyFill="1" applyBorder="1" applyAlignment="1" applyProtection="1">
      <alignment vertical="center"/>
    </xf>
    <xf numFmtId="38" fontId="9" fillId="61" borderId="0" xfId="414" applyFont="1" applyFill="1" applyAlignment="1"/>
    <xf numFmtId="38" fontId="108" fillId="76" borderId="68" xfId="414" applyFont="1" applyFill="1" applyBorder="1" applyAlignment="1" applyProtection="1">
      <alignment vertical="center"/>
    </xf>
    <xf numFmtId="38" fontId="107" fillId="55" borderId="69" xfId="414" applyFont="1" applyFill="1" applyBorder="1" applyAlignment="1" applyProtection="1">
      <alignment vertical="center"/>
    </xf>
    <xf numFmtId="38" fontId="108" fillId="55" borderId="69" xfId="414" applyFont="1" applyFill="1" applyBorder="1" applyAlignment="1" applyProtection="1">
      <alignment vertical="center"/>
    </xf>
    <xf numFmtId="38" fontId="108" fillId="75" borderId="68" xfId="414" applyFont="1" applyFill="1" applyBorder="1" applyAlignment="1" applyProtection="1">
      <alignment vertical="center"/>
    </xf>
    <xf numFmtId="38" fontId="107" fillId="66" borderId="69" xfId="414" applyFont="1" applyFill="1" applyBorder="1" applyAlignment="1" applyProtection="1">
      <alignment vertical="center"/>
    </xf>
    <xf numFmtId="38" fontId="108" fillId="66" borderId="69" xfId="414" applyFont="1" applyFill="1" applyBorder="1" applyAlignment="1" applyProtection="1">
      <alignment vertical="center"/>
    </xf>
    <xf numFmtId="38" fontId="108" fillId="49" borderId="68" xfId="414" applyFont="1" applyFill="1" applyBorder="1" applyAlignment="1" applyProtection="1">
      <alignment vertical="center"/>
    </xf>
    <xf numFmtId="38" fontId="107" fillId="49" borderId="69" xfId="414" applyFont="1" applyFill="1" applyBorder="1" applyAlignment="1" applyProtection="1">
      <alignment vertical="center"/>
    </xf>
    <xf numFmtId="38" fontId="108" fillId="49" borderId="69" xfId="414" applyFont="1" applyFill="1" applyBorder="1" applyAlignment="1" applyProtection="1">
      <alignment vertical="center"/>
    </xf>
    <xf numFmtId="0" fontId="108" fillId="64" borderId="69" xfId="345" applyFont="1" applyFill="1" applyBorder="1">
      <alignment vertical="center"/>
    </xf>
    <xf numFmtId="0" fontId="107" fillId="70" borderId="0" xfId="345" applyFont="1" applyFill="1">
      <alignment vertical="center"/>
    </xf>
    <xf numFmtId="0" fontId="107" fillId="61" borderId="72" xfId="345" applyFont="1" applyFill="1" applyBorder="1">
      <alignment vertical="center"/>
    </xf>
    <xf numFmtId="0" fontId="107" fillId="61" borderId="36" xfId="345" applyFont="1" applyFill="1" applyBorder="1">
      <alignment vertical="center"/>
    </xf>
    <xf numFmtId="0" fontId="107" fillId="61" borderId="35" xfId="345" applyFont="1" applyFill="1" applyBorder="1">
      <alignment vertical="center"/>
    </xf>
    <xf numFmtId="38" fontId="107" fillId="61" borderId="34" xfId="414" applyFont="1" applyFill="1" applyBorder="1">
      <alignment vertical="center"/>
    </xf>
    <xf numFmtId="0" fontId="107" fillId="61" borderId="39" xfId="345" applyFont="1" applyFill="1" applyBorder="1">
      <alignment vertical="center"/>
    </xf>
    <xf numFmtId="38" fontId="107" fillId="61" borderId="80" xfId="414" applyFont="1" applyFill="1" applyBorder="1">
      <alignment vertical="center"/>
    </xf>
    <xf numFmtId="0" fontId="116" fillId="61" borderId="72" xfId="345" applyFont="1" applyFill="1" applyBorder="1">
      <alignment vertical="center"/>
    </xf>
    <xf numFmtId="0" fontId="116" fillId="61" borderId="47" xfId="345" applyFont="1" applyFill="1" applyBorder="1">
      <alignment vertical="center"/>
    </xf>
    <xf numFmtId="0" fontId="116" fillId="61" borderId="47" xfId="345" applyFont="1" applyFill="1" applyBorder="1" applyAlignment="1">
      <alignment vertical="center" shrinkToFit="1"/>
    </xf>
    <xf numFmtId="0" fontId="116" fillId="0" borderId="72" xfId="345" applyFont="1" applyBorder="1">
      <alignment vertical="center"/>
    </xf>
    <xf numFmtId="198" fontId="107" fillId="0" borderId="47" xfId="349" applyNumberFormat="1" applyFont="1" applyBorder="1" applyAlignment="1">
      <alignment vertical="center"/>
    </xf>
    <xf numFmtId="38" fontId="107" fillId="61" borderId="46" xfId="414" applyFont="1" applyFill="1" applyBorder="1">
      <alignment vertical="center"/>
    </xf>
    <xf numFmtId="0" fontId="107" fillId="0" borderId="47" xfId="345" applyFont="1" applyBorder="1">
      <alignment vertical="center"/>
    </xf>
    <xf numFmtId="38" fontId="107" fillId="0" borderId="80" xfId="414" applyFont="1" applyFill="1" applyBorder="1">
      <alignment vertical="center"/>
    </xf>
    <xf numFmtId="0" fontId="116" fillId="61" borderId="36" xfId="345" applyFont="1" applyFill="1" applyBorder="1">
      <alignment vertical="center"/>
    </xf>
    <xf numFmtId="0" fontId="108" fillId="69" borderId="69" xfId="345" applyFont="1" applyFill="1" applyBorder="1">
      <alignment vertical="center"/>
    </xf>
    <xf numFmtId="198" fontId="107" fillId="69" borderId="47" xfId="349" applyNumberFormat="1" applyFont="1" applyFill="1" applyBorder="1" applyAlignment="1">
      <alignment vertical="center"/>
    </xf>
    <xf numFmtId="198" fontId="107" fillId="69" borderId="0" xfId="349" applyNumberFormat="1" applyFont="1" applyFill="1" applyAlignment="1">
      <alignment vertical="center"/>
    </xf>
    <xf numFmtId="0" fontId="107" fillId="0" borderId="36" xfId="345" applyFont="1" applyBorder="1">
      <alignment vertical="center"/>
    </xf>
    <xf numFmtId="0" fontId="107" fillId="69" borderId="69" xfId="345" applyFont="1" applyFill="1" applyBorder="1">
      <alignment vertical="center"/>
    </xf>
    <xf numFmtId="38" fontId="107" fillId="69" borderId="82" xfId="414" applyFont="1" applyFill="1" applyBorder="1">
      <alignment vertical="center"/>
    </xf>
    <xf numFmtId="0" fontId="107" fillId="0" borderId="44" xfId="345" applyFont="1" applyBorder="1">
      <alignment vertical="center"/>
    </xf>
    <xf numFmtId="0" fontId="116" fillId="0" borderId="44" xfId="345" applyFont="1" applyBorder="1">
      <alignment vertical="center"/>
    </xf>
    <xf numFmtId="0" fontId="116" fillId="0" borderId="47" xfId="345" applyFont="1" applyBorder="1">
      <alignment vertical="center"/>
    </xf>
    <xf numFmtId="198" fontId="107" fillId="0" borderId="22" xfId="311" applyNumberFormat="1" applyFont="1" applyFill="1" applyBorder="1" applyAlignment="1"/>
    <xf numFmtId="0" fontId="116" fillId="61" borderId="31" xfId="345" applyFont="1" applyFill="1" applyBorder="1">
      <alignment vertical="center"/>
    </xf>
    <xf numFmtId="0" fontId="108" fillId="67" borderId="69" xfId="345" applyFont="1" applyFill="1" applyBorder="1">
      <alignment vertical="center"/>
    </xf>
    <xf numFmtId="0" fontId="107" fillId="67" borderId="69" xfId="345" applyFont="1" applyFill="1" applyBorder="1">
      <alignment vertical="center"/>
    </xf>
    <xf numFmtId="38" fontId="108" fillId="67" borderId="28" xfId="414" applyFont="1" applyFill="1" applyBorder="1">
      <alignment vertical="center"/>
    </xf>
    <xf numFmtId="0" fontId="108" fillId="66" borderId="69" xfId="349" applyFont="1" applyFill="1" applyBorder="1"/>
    <xf numFmtId="38" fontId="108" fillId="66" borderId="82" xfId="414" applyFont="1" applyFill="1" applyBorder="1" applyAlignment="1"/>
    <xf numFmtId="38" fontId="107" fillId="61" borderId="35" xfId="414" applyFont="1" applyFill="1" applyBorder="1">
      <alignment vertical="center"/>
    </xf>
    <xf numFmtId="0" fontId="108" fillId="66" borderId="68" xfId="349" applyFont="1" applyFill="1" applyBorder="1"/>
    <xf numFmtId="38" fontId="107" fillId="63" borderId="82" xfId="414" applyFont="1" applyFill="1" applyBorder="1" applyAlignment="1" applyProtection="1">
      <alignment vertical="center"/>
    </xf>
    <xf numFmtId="198" fontId="108" fillId="64" borderId="69" xfId="349" applyNumberFormat="1" applyFont="1" applyFill="1" applyBorder="1" applyAlignment="1">
      <alignment vertical="center"/>
    </xf>
    <xf numFmtId="198" fontId="107" fillId="64" borderId="69" xfId="349" applyNumberFormat="1" applyFont="1" applyFill="1" applyBorder="1" applyAlignment="1">
      <alignment vertical="center"/>
    </xf>
    <xf numFmtId="38" fontId="107" fillId="64" borderId="82" xfId="414" applyFont="1" applyFill="1" applyBorder="1" applyAlignment="1" applyProtection="1">
      <alignment vertical="center"/>
    </xf>
    <xf numFmtId="198" fontId="108" fillId="67" borderId="69" xfId="349" applyNumberFormat="1" applyFont="1" applyFill="1" applyBorder="1" applyAlignment="1">
      <alignment vertical="center"/>
    </xf>
    <xf numFmtId="198" fontId="107" fillId="67" borderId="69" xfId="349" applyNumberFormat="1" applyFont="1" applyFill="1" applyBorder="1" applyAlignment="1">
      <alignment vertical="center"/>
    </xf>
    <xf numFmtId="38" fontId="107" fillId="67" borderId="82" xfId="414" applyFont="1" applyFill="1" applyBorder="1" applyAlignment="1" applyProtection="1">
      <alignment vertical="center"/>
    </xf>
    <xf numFmtId="0" fontId="107" fillId="66" borderId="69" xfId="349" applyFont="1" applyFill="1" applyBorder="1"/>
    <xf numFmtId="198" fontId="107" fillId="61" borderId="69" xfId="349" applyNumberFormat="1" applyFont="1" applyFill="1" applyBorder="1" applyAlignment="1">
      <alignment vertical="center"/>
    </xf>
    <xf numFmtId="198" fontId="108" fillId="61" borderId="69" xfId="349" applyNumberFormat="1" applyFont="1" applyFill="1" applyBorder="1" applyAlignment="1">
      <alignment vertical="center"/>
    </xf>
    <xf numFmtId="198" fontId="108" fillId="66" borderId="68" xfId="349" applyNumberFormat="1" applyFont="1" applyFill="1" applyBorder="1" applyAlignment="1">
      <alignment vertical="center"/>
    </xf>
    <xf numFmtId="198" fontId="107" fillId="66" borderId="69" xfId="349" applyNumberFormat="1" applyFont="1" applyFill="1" applyBorder="1" applyAlignment="1">
      <alignment vertical="center"/>
    </xf>
    <xf numFmtId="198" fontId="108" fillId="66" borderId="69" xfId="349" applyNumberFormat="1" applyFont="1" applyFill="1" applyBorder="1" applyAlignment="1">
      <alignment vertical="center"/>
    </xf>
    <xf numFmtId="0" fontId="133" fillId="61" borderId="0" xfId="345" applyFont="1" applyFill="1">
      <alignment vertical="center"/>
    </xf>
    <xf numFmtId="0" fontId="107" fillId="75" borderId="29" xfId="349" applyFont="1" applyFill="1" applyBorder="1"/>
    <xf numFmtId="0" fontId="108" fillId="75" borderId="69" xfId="349" applyFont="1" applyFill="1" applyBorder="1"/>
    <xf numFmtId="38" fontId="108" fillId="75" borderId="82" xfId="414" applyFont="1" applyFill="1" applyBorder="1" applyAlignment="1"/>
    <xf numFmtId="0" fontId="108" fillId="63" borderId="25" xfId="349" applyFont="1" applyFill="1" applyBorder="1"/>
    <xf numFmtId="0" fontId="107" fillId="63" borderId="29" xfId="349" applyFont="1" applyFill="1" applyBorder="1"/>
    <xf numFmtId="0" fontId="108" fillId="63" borderId="69" xfId="349" applyFont="1" applyFill="1" applyBorder="1"/>
    <xf numFmtId="0" fontId="108" fillId="64" borderId="25" xfId="349" applyFont="1" applyFill="1" applyBorder="1"/>
    <xf numFmtId="0" fontId="107" fillId="64" borderId="29" xfId="349" applyFont="1" applyFill="1" applyBorder="1"/>
    <xf numFmtId="0" fontId="108" fillId="64" borderId="69" xfId="349" applyFont="1" applyFill="1" applyBorder="1"/>
    <xf numFmtId="38" fontId="108" fillId="64" borderId="82" xfId="414" applyFont="1" applyFill="1" applyBorder="1" applyAlignment="1"/>
    <xf numFmtId="38" fontId="108" fillId="63" borderId="82" xfId="414" applyFont="1" applyFill="1" applyBorder="1" applyAlignment="1"/>
    <xf numFmtId="0" fontId="108" fillId="0" borderId="73" xfId="349" applyFont="1" applyBorder="1"/>
    <xf numFmtId="0" fontId="107" fillId="0" borderId="75" xfId="349" applyFont="1" applyBorder="1"/>
    <xf numFmtId="0" fontId="108" fillId="0" borderId="75" xfId="349" applyFont="1" applyBorder="1"/>
    <xf numFmtId="38" fontId="108" fillId="0" borderId="74" xfId="414" applyFont="1" applyFill="1" applyBorder="1" applyAlignment="1"/>
    <xf numFmtId="0" fontId="108" fillId="77" borderId="25" xfId="349" applyFont="1" applyFill="1" applyBorder="1"/>
    <xf numFmtId="0" fontId="107" fillId="77" borderId="29" xfId="349" applyFont="1" applyFill="1" applyBorder="1"/>
    <xf numFmtId="0" fontId="108" fillId="77" borderId="69" xfId="349" applyFont="1" applyFill="1" applyBorder="1"/>
    <xf numFmtId="38" fontId="108" fillId="77" borderId="82" xfId="414" applyFont="1" applyFill="1" applyBorder="1" applyAlignment="1"/>
    <xf numFmtId="198" fontId="108" fillId="77" borderId="25" xfId="349" applyNumberFormat="1" applyFont="1" applyFill="1" applyBorder="1" applyAlignment="1">
      <alignment vertical="center"/>
    </xf>
    <xf numFmtId="198" fontId="107" fillId="77" borderId="29" xfId="349" applyNumberFormat="1" applyFont="1" applyFill="1" applyBorder="1" applyAlignment="1">
      <alignment vertical="center"/>
    </xf>
    <xf numFmtId="198" fontId="108" fillId="77" borderId="11" xfId="349" applyNumberFormat="1" applyFont="1" applyFill="1" applyBorder="1" applyAlignment="1">
      <alignment vertical="center"/>
    </xf>
    <xf numFmtId="198" fontId="107" fillId="77" borderId="0" xfId="349" applyNumberFormat="1" applyFont="1" applyFill="1" applyAlignment="1">
      <alignment vertical="center"/>
    </xf>
    <xf numFmtId="198" fontId="108" fillId="77" borderId="23" xfId="349" applyNumberFormat="1" applyFont="1" applyFill="1" applyBorder="1" applyAlignment="1">
      <alignment vertical="center"/>
    </xf>
    <xf numFmtId="198" fontId="107" fillId="77" borderId="22" xfId="349" applyNumberFormat="1" applyFont="1" applyFill="1" applyBorder="1" applyAlignment="1">
      <alignment vertical="center"/>
    </xf>
    <xf numFmtId="198" fontId="108" fillId="77" borderId="69" xfId="349" applyNumberFormat="1" applyFont="1" applyFill="1" applyBorder="1" applyAlignment="1">
      <alignment vertical="center"/>
    </xf>
    <xf numFmtId="198" fontId="107" fillId="77" borderId="69" xfId="349" applyNumberFormat="1" applyFont="1" applyFill="1" applyBorder="1" applyAlignment="1">
      <alignment vertical="center"/>
    </xf>
    <xf numFmtId="38" fontId="107" fillId="77" borderId="82" xfId="414" applyFont="1" applyFill="1" applyBorder="1" applyAlignment="1" applyProtection="1">
      <alignment vertical="center"/>
    </xf>
    <xf numFmtId="38" fontId="108" fillId="77" borderId="68" xfId="414" applyFont="1" applyFill="1" applyBorder="1" applyAlignment="1" applyProtection="1">
      <alignment vertical="center"/>
    </xf>
    <xf numFmtId="38" fontId="107" fillId="77" borderId="69" xfId="414" applyFont="1" applyFill="1" applyBorder="1" applyAlignment="1" applyProtection="1">
      <alignment vertical="center"/>
    </xf>
    <xf numFmtId="38" fontId="108" fillId="77" borderId="69" xfId="414" applyFont="1" applyFill="1" applyBorder="1" applyAlignment="1" applyProtection="1">
      <alignment vertical="center"/>
    </xf>
    <xf numFmtId="38" fontId="108" fillId="77" borderId="28" xfId="414" applyFont="1" applyFill="1" applyBorder="1" applyAlignment="1" applyProtection="1">
      <alignment vertical="center"/>
    </xf>
    <xf numFmtId="0" fontId="9" fillId="77" borderId="11" xfId="349" applyFill="1" applyBorder="1"/>
    <xf numFmtId="0" fontId="9" fillId="77" borderId="23" xfId="349" applyFill="1" applyBorder="1"/>
    <xf numFmtId="198" fontId="108" fillId="77" borderId="68" xfId="349" applyNumberFormat="1" applyFont="1" applyFill="1" applyBorder="1" applyAlignment="1">
      <alignment vertical="center"/>
    </xf>
    <xf numFmtId="0" fontId="108" fillId="0" borderId="23" xfId="349" applyFont="1" applyBorder="1"/>
    <xf numFmtId="0" fontId="38" fillId="61" borderId="0" xfId="349" applyFont="1" applyFill="1"/>
    <xf numFmtId="0" fontId="38" fillId="61" borderId="0" xfId="345" applyFont="1" applyFill="1">
      <alignment vertical="center"/>
    </xf>
    <xf numFmtId="198" fontId="38" fillId="61" borderId="0" xfId="416" applyNumberFormat="1" applyFont="1" applyFill="1" applyAlignment="1">
      <alignment vertical="center"/>
    </xf>
    <xf numFmtId="0" fontId="113" fillId="0" borderId="21" xfId="0" applyFont="1" applyBorder="1" applyAlignment="1">
      <alignment vertical="center" wrapText="1"/>
    </xf>
    <xf numFmtId="38" fontId="107" fillId="61" borderId="75" xfId="311" applyFont="1" applyFill="1" applyBorder="1" applyAlignment="1" applyProtection="1">
      <protection locked="0"/>
    </xf>
    <xf numFmtId="38" fontId="107" fillId="0" borderId="75" xfId="311" applyFont="1" applyFill="1" applyBorder="1" applyAlignment="1"/>
    <xf numFmtId="38" fontId="107" fillId="0" borderId="75" xfId="311" applyFont="1" applyFill="1" applyBorder="1" applyAlignment="1" applyProtection="1">
      <protection locked="0"/>
    </xf>
    <xf numFmtId="38" fontId="107" fillId="61" borderId="75" xfId="311" applyFont="1" applyFill="1" applyBorder="1" applyAlignment="1"/>
    <xf numFmtId="38" fontId="107" fillId="66" borderId="82" xfId="414" applyFont="1" applyFill="1" applyBorder="1" applyAlignment="1"/>
    <xf numFmtId="0" fontId="107" fillId="0" borderId="22" xfId="0" applyFont="1" applyBorder="1">
      <alignment vertical="center"/>
    </xf>
    <xf numFmtId="0" fontId="107" fillId="0" borderId="23" xfId="0" applyFont="1" applyBorder="1">
      <alignment vertical="center"/>
    </xf>
    <xf numFmtId="0" fontId="107" fillId="0" borderId="85" xfId="480" applyFont="1" applyBorder="1" applyAlignment="1">
      <alignment vertical="center"/>
    </xf>
    <xf numFmtId="0" fontId="107" fillId="59" borderId="85" xfId="345" applyFont="1" applyFill="1" applyBorder="1">
      <alignment vertical="center"/>
    </xf>
    <xf numFmtId="0" fontId="107" fillId="59" borderId="0" xfId="345" applyFont="1" applyFill="1">
      <alignment vertical="center"/>
    </xf>
    <xf numFmtId="0" fontId="107" fillId="59" borderId="22" xfId="345" applyFont="1" applyFill="1" applyBorder="1">
      <alignment vertical="center"/>
    </xf>
    <xf numFmtId="38" fontId="107" fillId="61" borderId="81" xfId="311" applyFont="1" applyFill="1" applyBorder="1" applyAlignment="1" applyProtection="1">
      <protection locked="0"/>
    </xf>
    <xf numFmtId="0" fontId="107" fillId="0" borderId="0" xfId="480" applyFont="1" applyAlignment="1">
      <alignment vertical="center"/>
    </xf>
    <xf numFmtId="38" fontId="107" fillId="0" borderId="81" xfId="311" applyFont="1" applyFill="1" applyBorder="1" applyAlignment="1" applyProtection="1">
      <protection locked="0"/>
    </xf>
    <xf numFmtId="38" fontId="107" fillId="0" borderId="83" xfId="311" applyFont="1" applyFill="1" applyBorder="1" applyAlignment="1"/>
    <xf numFmtId="38" fontId="107" fillId="0" borderId="44" xfId="311" applyFont="1" applyFill="1" applyBorder="1" applyAlignment="1">
      <alignment horizontal="left"/>
    </xf>
    <xf numFmtId="38" fontId="107" fillId="0" borderId="83" xfId="311" applyFont="1" applyFill="1" applyBorder="1" applyAlignment="1">
      <alignment horizontal="left"/>
    </xf>
    <xf numFmtId="38" fontId="107" fillId="0" borderId="71" xfId="311" applyFont="1" applyFill="1" applyBorder="1" applyAlignment="1">
      <alignment horizontal="left"/>
    </xf>
    <xf numFmtId="38" fontId="107" fillId="0" borderId="70" xfId="311" applyFont="1" applyFill="1" applyBorder="1" applyAlignment="1">
      <alignment horizontal="left"/>
    </xf>
    <xf numFmtId="38" fontId="107" fillId="0" borderId="50" xfId="311" applyFont="1" applyFill="1" applyBorder="1" applyAlignment="1">
      <alignment horizontal="left"/>
    </xf>
    <xf numFmtId="0" fontId="30" fillId="0" borderId="0" xfId="420" applyFont="1"/>
    <xf numFmtId="0" fontId="62" fillId="0" borderId="0" xfId="420"/>
    <xf numFmtId="38" fontId="107" fillId="67" borderId="85" xfId="311" applyFont="1" applyFill="1" applyBorder="1" applyAlignment="1"/>
    <xf numFmtId="38" fontId="107" fillId="67" borderId="85" xfId="311" applyFont="1" applyFill="1" applyBorder="1" applyAlignment="1" applyProtection="1">
      <protection locked="0"/>
    </xf>
    <xf numFmtId="38" fontId="107" fillId="67" borderId="11" xfId="311" applyFont="1" applyFill="1" applyBorder="1" applyAlignment="1">
      <alignment horizontal="right"/>
    </xf>
    <xf numFmtId="38" fontId="108" fillId="67" borderId="11" xfId="311" applyFont="1" applyFill="1" applyBorder="1" applyAlignment="1">
      <alignment horizontal="left" vertical="center"/>
    </xf>
    <xf numFmtId="38" fontId="107" fillId="67" borderId="11" xfId="311" applyFont="1" applyFill="1" applyBorder="1" applyAlignment="1">
      <alignment horizontal="left" vertical="center"/>
    </xf>
    <xf numFmtId="38" fontId="107" fillId="76" borderId="11" xfId="311" applyFont="1" applyFill="1" applyBorder="1" applyAlignment="1">
      <alignment horizontal="right"/>
    </xf>
    <xf numFmtId="38" fontId="108" fillId="76" borderId="11" xfId="311" applyFont="1" applyFill="1" applyBorder="1" applyAlignment="1">
      <alignment horizontal="left" vertical="center"/>
    </xf>
    <xf numFmtId="38" fontId="107" fillId="76" borderId="11" xfId="311" applyFont="1" applyFill="1" applyBorder="1" applyAlignment="1">
      <alignment horizontal="left" vertical="center"/>
    </xf>
    <xf numFmtId="38" fontId="107" fillId="76" borderId="23" xfId="311" applyFont="1" applyFill="1" applyBorder="1" applyAlignment="1">
      <alignment horizontal="left" vertical="center"/>
    </xf>
    <xf numFmtId="38" fontId="107" fillId="76" borderId="85" xfId="311" applyFont="1" applyFill="1" applyBorder="1" applyAlignment="1"/>
    <xf numFmtId="38" fontId="107" fillId="76" borderId="85" xfId="311" applyFont="1" applyFill="1" applyBorder="1" applyAlignment="1" applyProtection="1">
      <protection locked="0"/>
    </xf>
    <xf numFmtId="38" fontId="107" fillId="67" borderId="23" xfId="311" applyFont="1" applyFill="1" applyBorder="1" applyAlignment="1">
      <alignment horizontal="right"/>
    </xf>
    <xf numFmtId="38" fontId="108" fillId="76" borderId="85" xfId="311" applyFont="1" applyFill="1" applyBorder="1" applyAlignment="1">
      <alignment horizontal="left" vertical="center"/>
    </xf>
    <xf numFmtId="38" fontId="108" fillId="76" borderId="11" xfId="311" applyFont="1" applyFill="1" applyBorder="1" applyAlignment="1">
      <alignment horizontal="right"/>
    </xf>
    <xf numFmtId="38" fontId="108" fillId="61" borderId="73" xfId="311" applyFont="1" applyFill="1" applyBorder="1" applyAlignment="1" applyProtection="1">
      <protection locked="0"/>
    </xf>
    <xf numFmtId="38" fontId="108" fillId="0" borderId="73" xfId="311" applyFont="1" applyFill="1" applyBorder="1" applyAlignment="1"/>
    <xf numFmtId="38" fontId="137" fillId="61" borderId="73" xfId="311" applyFont="1" applyFill="1" applyBorder="1" applyAlignment="1">
      <alignment horizontal="left" vertical="center"/>
    </xf>
    <xf numFmtId="38" fontId="134" fillId="65" borderId="73" xfId="311" applyFont="1" applyFill="1" applyBorder="1" applyAlignment="1"/>
    <xf numFmtId="38" fontId="107" fillId="65" borderId="66" xfId="311" applyFont="1" applyFill="1" applyBorder="1" applyAlignment="1">
      <alignment horizontal="left" indent="1"/>
    </xf>
    <xf numFmtId="38" fontId="107" fillId="65" borderId="51" xfId="311" applyFont="1" applyFill="1" applyBorder="1" applyAlignment="1">
      <alignment horizontal="left" indent="1"/>
    </xf>
    <xf numFmtId="38" fontId="107" fillId="65" borderId="23" xfId="311" applyFont="1" applyFill="1" applyBorder="1" applyAlignment="1">
      <alignment horizontal="left" indent="1"/>
    </xf>
    <xf numFmtId="38" fontId="107" fillId="65" borderId="75" xfId="311" applyFont="1" applyFill="1" applyBorder="1" applyAlignment="1"/>
    <xf numFmtId="38" fontId="107" fillId="65" borderId="22" xfId="311" applyFont="1" applyFill="1" applyBorder="1" applyAlignment="1"/>
    <xf numFmtId="38" fontId="107" fillId="65" borderId="72" xfId="311" applyFont="1" applyFill="1" applyBorder="1" applyAlignment="1">
      <alignment vertical="center"/>
    </xf>
    <xf numFmtId="38" fontId="108" fillId="65" borderId="72" xfId="311" applyFont="1" applyFill="1" applyBorder="1" applyAlignment="1" applyProtection="1">
      <protection locked="0"/>
    </xf>
    <xf numFmtId="38" fontId="107" fillId="65" borderId="72" xfId="311" applyFont="1" applyFill="1" applyBorder="1" applyAlignment="1"/>
    <xf numFmtId="38" fontId="107" fillId="65" borderId="22" xfId="311" applyFont="1" applyFill="1" applyBorder="1" applyAlignment="1">
      <alignment horizontal="left"/>
    </xf>
    <xf numFmtId="38" fontId="107" fillId="65" borderId="22" xfId="311" applyFont="1" applyFill="1" applyBorder="1" applyAlignment="1">
      <alignment horizontal="right"/>
    </xf>
    <xf numFmtId="38" fontId="107" fillId="65" borderId="75" xfId="311" applyFont="1" applyFill="1" applyBorder="1" applyAlignment="1" applyProtection="1">
      <protection locked="0"/>
    </xf>
    <xf numFmtId="0" fontId="107" fillId="0" borderId="47" xfId="480" applyFont="1" applyBorder="1" applyAlignment="1">
      <alignment vertical="center"/>
    </xf>
    <xf numFmtId="0" fontId="107" fillId="0" borderId="36" xfId="480" applyFont="1" applyBorder="1" applyAlignment="1">
      <alignment vertical="center"/>
    </xf>
    <xf numFmtId="0" fontId="107" fillId="0" borderId="88" xfId="480" applyFont="1" applyBorder="1" applyAlignment="1">
      <alignment vertical="center"/>
    </xf>
    <xf numFmtId="0" fontId="107" fillId="0" borderId="83" xfId="480" applyFont="1" applyBorder="1" applyAlignment="1">
      <alignment vertical="center"/>
    </xf>
    <xf numFmtId="0" fontId="107" fillId="0" borderId="70" xfId="480" applyFont="1" applyBorder="1" applyAlignment="1">
      <alignment vertical="center"/>
    </xf>
    <xf numFmtId="0" fontId="107" fillId="0" borderId="71" xfId="480" applyFont="1" applyBorder="1" applyAlignment="1">
      <alignment vertical="center"/>
    </xf>
    <xf numFmtId="0" fontId="107" fillId="0" borderId="91" xfId="480" applyFont="1" applyBorder="1" applyAlignment="1">
      <alignment vertical="center"/>
    </xf>
    <xf numFmtId="0" fontId="107" fillId="0" borderId="50" xfId="480" applyFont="1" applyBorder="1" applyAlignment="1">
      <alignment vertical="center"/>
    </xf>
    <xf numFmtId="198" fontId="107" fillId="59" borderId="85" xfId="345" applyNumberFormat="1" applyFont="1" applyFill="1" applyBorder="1">
      <alignment vertical="center"/>
    </xf>
    <xf numFmtId="0" fontId="113" fillId="61" borderId="0" xfId="0" applyFont="1" applyFill="1">
      <alignment vertical="center"/>
    </xf>
    <xf numFmtId="0" fontId="113" fillId="0" borderId="0" xfId="0" applyFont="1" applyAlignment="1">
      <alignment vertical="center" wrapText="1"/>
    </xf>
    <xf numFmtId="0" fontId="138" fillId="61" borderId="0" xfId="0" applyFont="1" applyFill="1">
      <alignment vertical="center"/>
    </xf>
    <xf numFmtId="0" fontId="139" fillId="0" borderId="0" xfId="0" applyFont="1">
      <alignment vertical="center"/>
    </xf>
    <xf numFmtId="0" fontId="139" fillId="61" borderId="0" xfId="0" applyFont="1" applyFill="1">
      <alignment vertical="center"/>
    </xf>
    <xf numFmtId="0" fontId="107" fillId="0" borderId="28" xfId="349" applyFont="1" applyBorder="1" applyAlignment="1">
      <alignment vertical="center"/>
    </xf>
    <xf numFmtId="0" fontId="107" fillId="0" borderId="31" xfId="349" applyFont="1" applyBorder="1" applyAlignment="1">
      <alignment vertical="center"/>
    </xf>
    <xf numFmtId="0" fontId="107" fillId="0" borderId="35" xfId="349" applyFont="1" applyBorder="1" applyAlignment="1">
      <alignment vertical="center"/>
    </xf>
    <xf numFmtId="0" fontId="108" fillId="0" borderId="0" xfId="349" applyFont="1" applyAlignment="1">
      <alignment vertical="center"/>
    </xf>
    <xf numFmtId="0" fontId="107" fillId="0" borderId="29" xfId="349" applyFont="1" applyBorder="1" applyAlignment="1">
      <alignment vertical="center"/>
    </xf>
    <xf numFmtId="0" fontId="108" fillId="0" borderId="29" xfId="349" applyFont="1" applyBorder="1" applyAlignment="1">
      <alignment vertical="center"/>
    </xf>
    <xf numFmtId="0" fontId="107" fillId="0" borderId="0" xfId="349" applyFont="1" applyAlignment="1">
      <alignment vertical="center"/>
    </xf>
    <xf numFmtId="0" fontId="107" fillId="0" borderId="36" xfId="349" applyFont="1" applyBorder="1" applyAlignment="1">
      <alignment vertical="center"/>
    </xf>
    <xf numFmtId="0" fontId="108" fillId="0" borderId="36" xfId="349" applyFont="1" applyBorder="1" applyAlignment="1">
      <alignment vertical="center"/>
    </xf>
    <xf numFmtId="0" fontId="113" fillId="0" borderId="25" xfId="0" applyFont="1" applyBorder="1">
      <alignment vertical="center"/>
    </xf>
    <xf numFmtId="0" fontId="113" fillId="0" borderId="85" xfId="0" applyFont="1" applyBorder="1">
      <alignment vertical="center"/>
    </xf>
    <xf numFmtId="198" fontId="107" fillId="61" borderId="85" xfId="349" applyNumberFormat="1" applyFont="1" applyFill="1" applyBorder="1" applyAlignment="1">
      <alignment vertical="center"/>
    </xf>
    <xf numFmtId="198" fontId="107" fillId="0" borderId="25" xfId="349" applyNumberFormat="1" applyFont="1" applyBorder="1" applyAlignment="1">
      <alignment vertical="center"/>
    </xf>
    <xf numFmtId="0" fontId="107" fillId="0" borderId="85" xfId="0" applyFont="1" applyBorder="1">
      <alignment vertical="center"/>
    </xf>
    <xf numFmtId="0" fontId="107" fillId="0" borderId="21" xfId="0" applyFont="1" applyBorder="1" applyAlignment="1">
      <alignment vertical="center" wrapText="1"/>
    </xf>
    <xf numFmtId="38" fontId="123" fillId="0" borderId="0" xfId="311" applyFont="1" applyFill="1" applyAlignment="1">
      <alignment vertical="center"/>
    </xf>
    <xf numFmtId="49" fontId="108" fillId="0" borderId="0" xfId="345" applyNumberFormat="1" applyFont="1">
      <alignment vertical="center"/>
    </xf>
    <xf numFmtId="198" fontId="114" fillId="0" borderId="0" xfId="349" applyNumberFormat="1" applyFont="1" applyAlignment="1">
      <alignment vertical="center"/>
    </xf>
    <xf numFmtId="0" fontId="9" fillId="0" borderId="0" xfId="349"/>
    <xf numFmtId="0" fontId="125" fillId="0" borderId="0" xfId="345" applyFont="1" applyAlignment="1">
      <alignment vertical="center" shrinkToFit="1"/>
    </xf>
    <xf numFmtId="0" fontId="107" fillId="70" borderId="85" xfId="345" applyFont="1" applyFill="1" applyBorder="1">
      <alignment vertical="center"/>
    </xf>
    <xf numFmtId="0" fontId="107" fillId="70" borderId="22" xfId="345" applyFont="1" applyFill="1" applyBorder="1">
      <alignment vertical="center"/>
    </xf>
    <xf numFmtId="0" fontId="108" fillId="76" borderId="68" xfId="345" applyFont="1" applyFill="1" applyBorder="1">
      <alignment vertical="center"/>
    </xf>
    <xf numFmtId="0" fontId="107" fillId="33" borderId="0" xfId="345" applyFont="1" applyFill="1">
      <alignment vertical="center"/>
    </xf>
    <xf numFmtId="198" fontId="107" fillId="33" borderId="0" xfId="311" applyNumberFormat="1" applyFont="1" applyFill="1" applyBorder="1" applyAlignment="1"/>
    <xf numFmtId="198" fontId="107" fillId="70" borderId="85" xfId="311" applyNumberFormat="1" applyFont="1" applyFill="1" applyBorder="1" applyAlignment="1"/>
    <xf numFmtId="198" fontId="107" fillId="0" borderId="0" xfId="311" applyNumberFormat="1" applyFont="1" applyFill="1" applyBorder="1" applyAlignment="1"/>
    <xf numFmtId="0" fontId="107" fillId="76" borderId="85" xfId="345" applyFont="1" applyFill="1" applyBorder="1">
      <alignment vertical="center"/>
    </xf>
    <xf numFmtId="198" fontId="107" fillId="76" borderId="85" xfId="345" applyNumberFormat="1" applyFont="1" applyFill="1" applyBorder="1">
      <alignment vertical="center"/>
    </xf>
    <xf numFmtId="198" fontId="107" fillId="59" borderId="0" xfId="311" applyNumberFormat="1" applyFont="1" applyFill="1" applyBorder="1" applyAlignment="1"/>
    <xf numFmtId="0" fontId="107" fillId="76" borderId="11" xfId="345" applyFont="1" applyFill="1" applyBorder="1">
      <alignment vertical="center"/>
    </xf>
    <xf numFmtId="0" fontId="107" fillId="76" borderId="23" xfId="345" applyFont="1" applyFill="1" applyBorder="1">
      <alignment vertical="center"/>
    </xf>
    <xf numFmtId="198" fontId="107" fillId="70" borderId="0" xfId="311" applyNumberFormat="1" applyFont="1" applyFill="1" applyBorder="1" applyAlignment="1"/>
    <xf numFmtId="0" fontId="107" fillId="0" borderId="0" xfId="0" applyFont="1">
      <alignment vertical="center"/>
    </xf>
    <xf numFmtId="0" fontId="116" fillId="61" borderId="0" xfId="0" applyFont="1" applyFill="1">
      <alignment vertical="center"/>
    </xf>
    <xf numFmtId="0" fontId="108" fillId="66" borderId="85" xfId="349" applyFont="1" applyFill="1" applyBorder="1"/>
    <xf numFmtId="38" fontId="107" fillId="0" borderId="43" xfId="414" applyFont="1" applyBorder="1" applyAlignment="1" applyProtection="1">
      <alignment vertical="center"/>
    </xf>
    <xf numFmtId="0" fontId="116" fillId="61" borderId="81" xfId="345" applyFont="1" applyFill="1" applyBorder="1">
      <alignment vertical="center"/>
    </xf>
    <xf numFmtId="0" fontId="116" fillId="61" borderId="75" xfId="345" applyFont="1" applyFill="1" applyBorder="1">
      <alignment vertical="center"/>
    </xf>
    <xf numFmtId="38" fontId="107" fillId="0" borderId="74" xfId="414" applyFont="1" applyFill="1" applyBorder="1">
      <alignment vertical="center"/>
    </xf>
    <xf numFmtId="0" fontId="143" fillId="61" borderId="0" xfId="420" applyFont="1" applyFill="1"/>
    <xf numFmtId="0" fontId="125" fillId="0" borderId="0" xfId="345" applyFont="1">
      <alignment vertical="center"/>
    </xf>
    <xf numFmtId="198" fontId="144" fillId="0" borderId="0" xfId="349" applyNumberFormat="1" applyFont="1" applyAlignment="1">
      <alignment vertical="center"/>
    </xf>
    <xf numFmtId="0" fontId="107" fillId="33" borderId="47" xfId="345" applyFont="1" applyFill="1" applyBorder="1">
      <alignment vertical="center"/>
    </xf>
    <xf numFmtId="198" fontId="107" fillId="0" borderId="47" xfId="311" applyNumberFormat="1" applyFont="1" applyFill="1" applyBorder="1" applyAlignment="1"/>
    <xf numFmtId="0" fontId="107" fillId="33" borderId="36" xfId="345" applyFont="1" applyFill="1" applyBorder="1">
      <alignment vertical="center"/>
    </xf>
    <xf numFmtId="198" fontId="107" fillId="0" borderId="36" xfId="311" applyNumberFormat="1" applyFont="1" applyFill="1" applyBorder="1" applyAlignment="1"/>
    <xf numFmtId="198" fontId="107" fillId="0" borderId="22" xfId="345" applyNumberFormat="1" applyFont="1" applyBorder="1">
      <alignment vertical="center"/>
    </xf>
    <xf numFmtId="0" fontId="107" fillId="0" borderId="0" xfId="0" applyFont="1" applyAlignment="1">
      <alignment vertical="center" wrapText="1"/>
    </xf>
    <xf numFmtId="0" fontId="107" fillId="0" borderId="24" xfId="0" applyFont="1" applyBorder="1" applyAlignment="1">
      <alignment vertical="center" wrapText="1"/>
    </xf>
    <xf numFmtId="0" fontId="107" fillId="61" borderId="25" xfId="345" applyFont="1" applyFill="1" applyBorder="1">
      <alignment vertical="center"/>
    </xf>
    <xf numFmtId="0" fontId="107" fillId="61" borderId="85" xfId="345" applyFont="1" applyFill="1" applyBorder="1">
      <alignment vertical="center"/>
    </xf>
    <xf numFmtId="0" fontId="116" fillId="0" borderId="0" xfId="0" applyFont="1">
      <alignment vertical="center"/>
    </xf>
    <xf numFmtId="198" fontId="107" fillId="77" borderId="85" xfId="349" applyNumberFormat="1" applyFont="1" applyFill="1" applyBorder="1" applyAlignment="1">
      <alignment vertical="center"/>
    </xf>
    <xf numFmtId="198" fontId="145" fillId="59" borderId="29" xfId="349" applyNumberFormat="1" applyFont="1" applyFill="1" applyBorder="1" applyAlignment="1">
      <alignment vertical="center"/>
    </xf>
    <xf numFmtId="198" fontId="145" fillId="49" borderId="29" xfId="349" applyNumberFormat="1" applyFont="1" applyFill="1" applyBorder="1" applyAlignment="1">
      <alignment vertical="center"/>
    </xf>
    <xf numFmtId="198" fontId="145" fillId="77" borderId="69" xfId="349" applyNumberFormat="1" applyFont="1" applyFill="1" applyBorder="1" applyAlignment="1">
      <alignment vertical="center"/>
    </xf>
    <xf numFmtId="198" fontId="145" fillId="63" borderId="69" xfId="349" applyNumberFormat="1" applyFont="1" applyFill="1" applyBorder="1" applyAlignment="1">
      <alignment vertical="center"/>
    </xf>
    <xf numFmtId="170" fontId="107" fillId="68" borderId="1" xfId="419" applyFont="1" applyFill="1" applyBorder="1" applyAlignment="1">
      <alignment horizontal="center" vertical="center"/>
    </xf>
    <xf numFmtId="0" fontId="107" fillId="69" borderId="85" xfId="345" applyFont="1" applyFill="1" applyBorder="1">
      <alignment vertical="center"/>
    </xf>
    <xf numFmtId="38" fontId="107" fillId="69" borderId="5" xfId="414" applyFont="1" applyFill="1" applyBorder="1">
      <alignment vertical="center"/>
    </xf>
    <xf numFmtId="0" fontId="107" fillId="64" borderId="85" xfId="345" applyFont="1" applyFill="1" applyBorder="1">
      <alignment vertical="center"/>
    </xf>
    <xf numFmtId="198" fontId="107" fillId="0" borderId="11" xfId="349" applyNumberFormat="1" applyFont="1" applyBorder="1" applyAlignment="1">
      <alignment vertical="center"/>
    </xf>
    <xf numFmtId="0" fontId="115" fillId="61" borderId="22" xfId="345" applyFont="1" applyFill="1" applyBorder="1">
      <alignment vertical="center"/>
    </xf>
    <xf numFmtId="0" fontId="147" fillId="0" borderId="0" xfId="0" applyFont="1">
      <alignment vertical="center"/>
    </xf>
    <xf numFmtId="198" fontId="141" fillId="0" borderId="0" xfId="349" applyNumberFormat="1" applyFont="1" applyAlignment="1">
      <alignment vertical="center"/>
    </xf>
    <xf numFmtId="198" fontId="141" fillId="0" borderId="11" xfId="349" applyNumberFormat="1" applyFont="1" applyBorder="1" applyAlignment="1">
      <alignment vertical="center"/>
    </xf>
    <xf numFmtId="198" fontId="149" fillId="0" borderId="0" xfId="349" applyNumberFormat="1" applyFont="1" applyAlignment="1">
      <alignment vertical="center"/>
    </xf>
    <xf numFmtId="0" fontId="148" fillId="61" borderId="0" xfId="345" applyFont="1" applyFill="1">
      <alignment vertical="center"/>
    </xf>
    <xf numFmtId="198" fontId="148" fillId="0" borderId="0" xfId="349" applyNumberFormat="1" applyFont="1" applyAlignment="1">
      <alignment vertical="center"/>
    </xf>
    <xf numFmtId="198" fontId="150" fillId="0" borderId="0" xfId="349" applyNumberFormat="1" applyFont="1" applyAlignment="1">
      <alignment vertical="center"/>
    </xf>
    <xf numFmtId="198" fontId="150" fillId="0" borderId="11" xfId="349" applyNumberFormat="1" applyFont="1" applyBorder="1" applyAlignment="1">
      <alignment vertical="center"/>
    </xf>
    <xf numFmtId="198" fontId="149" fillId="69" borderId="47" xfId="349" applyNumberFormat="1" applyFont="1" applyFill="1" applyBorder="1" applyAlignment="1">
      <alignment vertical="center"/>
    </xf>
    <xf numFmtId="0" fontId="149" fillId="0" borderId="0" xfId="345" applyFont="1">
      <alignment vertical="center"/>
    </xf>
    <xf numFmtId="198" fontId="149" fillId="0" borderId="36" xfId="349" applyNumberFormat="1" applyFont="1" applyBorder="1" applyAlignment="1">
      <alignment vertical="center"/>
    </xf>
    <xf numFmtId="198" fontId="149" fillId="0" borderId="22" xfId="349" applyNumberFormat="1" applyFont="1" applyBorder="1" applyAlignment="1">
      <alignment vertical="center"/>
    </xf>
    <xf numFmtId="198" fontId="150" fillId="0" borderId="22" xfId="349" applyNumberFormat="1" applyFont="1" applyBorder="1" applyAlignment="1">
      <alignment vertical="center"/>
    </xf>
    <xf numFmtId="0" fontId="152" fillId="66" borderId="69" xfId="349" applyFont="1" applyFill="1" applyBorder="1"/>
    <xf numFmtId="198" fontId="108" fillId="61" borderId="85" xfId="349" applyNumberFormat="1" applyFont="1" applyFill="1" applyBorder="1" applyAlignment="1">
      <alignment vertical="center"/>
    </xf>
    <xf numFmtId="198" fontId="107" fillId="61" borderId="5" xfId="349" applyNumberFormat="1" applyFont="1" applyFill="1" applyBorder="1" applyAlignment="1">
      <alignment vertical="center"/>
    </xf>
    <xf numFmtId="0" fontId="107" fillId="61" borderId="0" xfId="420" applyFont="1" applyFill="1"/>
    <xf numFmtId="0" fontId="107" fillId="0" borderId="0" xfId="420" applyFont="1"/>
    <xf numFmtId="0" fontId="154" fillId="61" borderId="0" xfId="420" applyFont="1" applyFill="1"/>
    <xf numFmtId="0" fontId="154" fillId="0" borderId="0" xfId="420" applyFont="1"/>
    <xf numFmtId="0" fontId="155" fillId="61" borderId="0" xfId="420" applyFont="1" applyFill="1"/>
    <xf numFmtId="0" fontId="156" fillId="61" borderId="0" xfId="420" applyFont="1" applyFill="1"/>
    <xf numFmtId="0" fontId="155" fillId="0" borderId="0" xfId="420" applyFont="1"/>
    <xf numFmtId="0" fontId="153" fillId="61" borderId="85" xfId="420" applyFont="1" applyFill="1" applyBorder="1"/>
    <xf numFmtId="0" fontId="153" fillId="0" borderId="0" xfId="420" applyFont="1"/>
    <xf numFmtId="0" fontId="153" fillId="61" borderId="11" xfId="420" applyFont="1" applyFill="1" applyBorder="1"/>
    <xf numFmtId="0" fontId="153" fillId="61" borderId="0" xfId="420" applyFont="1" applyFill="1"/>
    <xf numFmtId="0" fontId="153" fillId="0" borderId="11" xfId="420" applyFont="1" applyBorder="1"/>
    <xf numFmtId="0" fontId="153" fillId="0" borderId="22" xfId="420" applyFont="1" applyBorder="1"/>
    <xf numFmtId="0" fontId="153" fillId="0" borderId="22" xfId="345" applyFont="1" applyBorder="1">
      <alignment vertical="center"/>
    </xf>
    <xf numFmtId="0" fontId="153" fillId="61" borderId="22" xfId="420" applyFont="1" applyFill="1" applyBorder="1"/>
    <xf numFmtId="0" fontId="157" fillId="0" borderId="73" xfId="345" applyFont="1" applyBorder="1">
      <alignment vertical="center"/>
    </xf>
    <xf numFmtId="0" fontId="153" fillId="61" borderId="75" xfId="420" applyFont="1" applyFill="1" applyBorder="1"/>
    <xf numFmtId="0" fontId="158" fillId="61" borderId="0" xfId="0" applyFont="1" applyFill="1">
      <alignment vertical="center"/>
    </xf>
    <xf numFmtId="0" fontId="147" fillId="61" borderId="0" xfId="0" applyFont="1" applyFill="1">
      <alignment vertical="center"/>
    </xf>
    <xf numFmtId="38" fontId="108" fillId="55" borderId="85" xfId="414" applyFont="1" applyFill="1" applyBorder="1" applyAlignment="1" applyProtection="1">
      <alignment vertical="center"/>
    </xf>
    <xf numFmtId="38" fontId="108" fillId="55" borderId="5" xfId="414" applyFont="1" applyFill="1" applyBorder="1" applyAlignment="1" applyProtection="1">
      <alignment vertical="center"/>
    </xf>
    <xf numFmtId="0" fontId="113" fillId="0" borderId="0" xfId="0" applyFont="1" applyAlignment="1">
      <alignment vertical="top"/>
    </xf>
    <xf numFmtId="38" fontId="108" fillId="76" borderId="68" xfId="311" applyFont="1" applyFill="1" applyBorder="1" applyAlignment="1">
      <alignment horizontal="left" vertical="center"/>
    </xf>
    <xf numFmtId="38" fontId="108" fillId="67" borderId="68" xfId="311" applyFont="1" applyFill="1" applyBorder="1" applyAlignment="1"/>
    <xf numFmtId="38" fontId="107" fillId="67" borderId="5" xfId="311" applyFont="1" applyFill="1" applyBorder="1" applyAlignment="1" applyProtection="1">
      <protection locked="0"/>
    </xf>
    <xf numFmtId="38" fontId="107" fillId="65" borderId="68" xfId="311" applyFont="1" applyFill="1" applyBorder="1" applyAlignment="1">
      <alignment horizontal="left" vertical="center" indent="1"/>
    </xf>
    <xf numFmtId="38" fontId="9" fillId="0" borderId="50" xfId="311" applyFont="1" applyFill="1" applyBorder="1" applyAlignment="1"/>
    <xf numFmtId="0" fontId="107" fillId="0" borderId="68" xfId="480" applyFont="1" applyBorder="1" applyAlignment="1">
      <alignment vertical="center"/>
    </xf>
    <xf numFmtId="0" fontId="153" fillId="61" borderId="68" xfId="420" applyFont="1" applyFill="1" applyBorder="1"/>
    <xf numFmtId="38" fontId="108" fillId="71" borderId="73" xfId="414" applyFont="1" applyFill="1" applyBorder="1" applyAlignment="1" applyProtection="1">
      <alignment vertical="center"/>
    </xf>
    <xf numFmtId="38" fontId="108" fillId="71" borderId="75" xfId="414" applyFont="1" applyFill="1" applyBorder="1" applyAlignment="1" applyProtection="1">
      <alignment vertical="center"/>
    </xf>
    <xf numFmtId="38" fontId="145" fillId="71" borderId="75" xfId="414" applyFont="1" applyFill="1" applyBorder="1" applyAlignment="1" applyProtection="1">
      <alignment vertical="center"/>
    </xf>
    <xf numFmtId="38" fontId="108" fillId="71" borderId="81" xfId="414" applyFont="1" applyFill="1" applyBorder="1" applyAlignment="1" applyProtection="1">
      <alignment vertical="center"/>
    </xf>
    <xf numFmtId="38" fontId="108" fillId="71" borderId="74" xfId="414" applyFont="1" applyFill="1" applyBorder="1" applyAlignment="1" applyProtection="1">
      <alignment vertical="center"/>
    </xf>
    <xf numFmtId="38" fontId="108" fillId="63" borderId="5" xfId="414" applyFont="1" applyFill="1" applyBorder="1" applyAlignment="1" applyProtection="1">
      <alignment vertical="center"/>
    </xf>
    <xf numFmtId="198" fontId="144" fillId="0" borderId="36" xfId="349" applyNumberFormat="1" applyFont="1" applyBorder="1" applyAlignment="1">
      <alignment vertical="center"/>
    </xf>
    <xf numFmtId="198" fontId="141" fillId="0" borderId="36" xfId="349" applyNumberFormat="1" applyFont="1" applyBorder="1" applyAlignment="1">
      <alignment vertical="center"/>
    </xf>
    <xf numFmtId="198" fontId="148" fillId="0" borderId="36" xfId="349" applyNumberFormat="1" applyFont="1" applyBorder="1" applyAlignment="1">
      <alignment vertical="center"/>
    </xf>
    <xf numFmtId="38" fontId="108" fillId="66" borderId="5" xfId="414" applyFont="1" applyFill="1" applyBorder="1" applyAlignment="1"/>
    <xf numFmtId="0" fontId="108" fillId="66" borderId="21" xfId="349" applyFont="1" applyFill="1" applyBorder="1"/>
    <xf numFmtId="198" fontId="108" fillId="0" borderId="68" xfId="482" applyNumberFormat="1" applyFont="1" applyBorder="1" applyAlignment="1">
      <alignment vertical="center"/>
    </xf>
    <xf numFmtId="198" fontId="108" fillId="0" borderId="75" xfId="482" applyNumberFormat="1" applyFont="1" applyBorder="1" applyAlignment="1">
      <alignment vertical="center"/>
    </xf>
    <xf numFmtId="198" fontId="107" fillId="0" borderId="22" xfId="482" applyNumberFormat="1" applyFont="1" applyBorder="1" applyAlignment="1">
      <alignment vertical="center"/>
    </xf>
    <xf numFmtId="198" fontId="108" fillId="0" borderId="73" xfId="0" applyNumberFormat="1" applyFont="1" applyBorder="1">
      <alignment vertical="center"/>
    </xf>
    <xf numFmtId="198" fontId="108" fillId="0" borderId="75" xfId="0" applyNumberFormat="1" applyFont="1" applyBorder="1">
      <alignment vertical="center"/>
    </xf>
    <xf numFmtId="198" fontId="108" fillId="0" borderId="23" xfId="483" applyNumberFormat="1" applyFont="1" applyBorder="1" applyAlignment="1">
      <alignment vertical="center"/>
    </xf>
    <xf numFmtId="198" fontId="108" fillId="0" borderId="77" xfId="482" applyNumberFormat="1" applyFont="1" applyBorder="1" applyAlignment="1">
      <alignment vertical="center"/>
    </xf>
    <xf numFmtId="198" fontId="108" fillId="0" borderId="72" xfId="482" applyNumberFormat="1" applyFont="1" applyBorder="1" applyAlignment="1">
      <alignment vertical="center"/>
    </xf>
    <xf numFmtId="198" fontId="108" fillId="0" borderId="54" xfId="483" applyNumberFormat="1" applyFont="1" applyBorder="1" applyAlignment="1">
      <alignment vertical="center"/>
    </xf>
    <xf numFmtId="198" fontId="107" fillId="0" borderId="47" xfId="482" applyNumberFormat="1" applyFont="1" applyBorder="1" applyAlignment="1">
      <alignment vertical="center"/>
    </xf>
    <xf numFmtId="198" fontId="107" fillId="0" borderId="75" xfId="482" applyNumberFormat="1" applyFont="1" applyBorder="1" applyAlignment="1">
      <alignment vertical="center"/>
    </xf>
    <xf numFmtId="0" fontId="161" fillId="0" borderId="0" xfId="0" applyFont="1">
      <alignment vertical="center"/>
    </xf>
    <xf numFmtId="0" fontId="162" fillId="0" borderId="0" xfId="0" applyFont="1">
      <alignment vertical="center"/>
    </xf>
    <xf numFmtId="38" fontId="113" fillId="0" borderId="45" xfId="414" applyFont="1" applyBorder="1">
      <alignment vertical="center"/>
    </xf>
    <xf numFmtId="38" fontId="113" fillId="0" borderId="74" xfId="414" applyFont="1" applyBorder="1">
      <alignment vertical="center"/>
    </xf>
    <xf numFmtId="38" fontId="113" fillId="0" borderId="21" xfId="414" applyFont="1" applyBorder="1">
      <alignment vertical="center"/>
    </xf>
    <xf numFmtId="198" fontId="107" fillId="0" borderId="68" xfId="349" applyNumberFormat="1" applyFont="1" applyBorder="1" applyAlignment="1">
      <alignment vertical="center"/>
    </xf>
    <xf numFmtId="0" fontId="107" fillId="0" borderId="72" xfId="0" applyFont="1" applyBorder="1">
      <alignment vertical="center"/>
    </xf>
    <xf numFmtId="0" fontId="113" fillId="0" borderId="41" xfId="0" applyFont="1" applyBorder="1">
      <alignment vertical="center"/>
    </xf>
    <xf numFmtId="0" fontId="113" fillId="0" borderId="80" xfId="0" applyFont="1" applyBorder="1">
      <alignment vertical="center"/>
    </xf>
    <xf numFmtId="0" fontId="163" fillId="0" borderId="0" xfId="0" applyFont="1" applyAlignment="1">
      <alignment horizontal="center" vertical="center"/>
    </xf>
    <xf numFmtId="0" fontId="107" fillId="0" borderId="79" xfId="0" applyFont="1" applyBorder="1" applyAlignment="1">
      <alignment vertical="top" wrapText="1"/>
    </xf>
    <xf numFmtId="0" fontId="144" fillId="61" borderId="0" xfId="345" applyFont="1" applyFill="1">
      <alignment vertical="center"/>
    </xf>
    <xf numFmtId="38" fontId="107" fillId="0" borderId="24" xfId="484" applyFont="1" applyFill="1" applyBorder="1">
      <alignment vertical="center"/>
    </xf>
    <xf numFmtId="198" fontId="107" fillId="59" borderId="85" xfId="349" applyNumberFormat="1" applyFont="1" applyFill="1" applyBorder="1" applyAlignment="1">
      <alignment vertical="center"/>
    </xf>
    <xf numFmtId="198" fontId="108" fillId="77" borderId="85" xfId="349" applyNumberFormat="1" applyFont="1" applyFill="1" applyBorder="1" applyAlignment="1">
      <alignment vertical="center"/>
    </xf>
    <xf numFmtId="0" fontId="107" fillId="67" borderId="85" xfId="345" applyFont="1" applyFill="1" applyBorder="1">
      <alignment vertical="center"/>
    </xf>
    <xf numFmtId="0" fontId="108" fillId="69" borderId="85" xfId="345" applyFont="1" applyFill="1" applyBorder="1">
      <alignment vertical="center"/>
    </xf>
    <xf numFmtId="38" fontId="107" fillId="0" borderId="21" xfId="484" applyFont="1" applyFill="1" applyBorder="1">
      <alignment vertical="center"/>
    </xf>
    <xf numFmtId="38" fontId="107" fillId="0" borderId="21" xfId="484" applyFont="1" applyBorder="1" applyAlignment="1" applyProtection="1">
      <alignment vertical="center"/>
    </xf>
    <xf numFmtId="198" fontId="107" fillId="0" borderId="85" xfId="349" applyNumberFormat="1" applyFont="1" applyBorder="1" applyAlignment="1">
      <alignment vertical="center"/>
    </xf>
    <xf numFmtId="0" fontId="107" fillId="64" borderId="85" xfId="349" applyFont="1" applyFill="1" applyBorder="1"/>
    <xf numFmtId="0" fontId="108" fillId="64" borderId="85" xfId="349" applyFont="1" applyFill="1" applyBorder="1"/>
    <xf numFmtId="0" fontId="108" fillId="77" borderId="85" xfId="349" applyFont="1" applyFill="1" applyBorder="1"/>
    <xf numFmtId="0" fontId="107" fillId="63" borderId="85" xfId="349" applyFont="1" applyFill="1" applyBorder="1"/>
    <xf numFmtId="0" fontId="108" fillId="63" borderId="85" xfId="349" applyFont="1" applyFill="1" applyBorder="1"/>
    <xf numFmtId="0" fontId="107" fillId="75" borderId="85" xfId="349" applyFont="1" applyFill="1" applyBorder="1"/>
    <xf numFmtId="0" fontId="108" fillId="75" borderId="85" xfId="349" applyFont="1" applyFill="1" applyBorder="1"/>
    <xf numFmtId="0" fontId="142" fillId="75" borderId="85" xfId="349" applyFont="1" applyFill="1" applyBorder="1" applyAlignment="1">
      <alignment horizontal="right"/>
    </xf>
    <xf numFmtId="198" fontId="107" fillId="63" borderId="85" xfId="349" applyNumberFormat="1" applyFont="1" applyFill="1" applyBorder="1" applyAlignment="1">
      <alignment vertical="center"/>
    </xf>
    <xf numFmtId="38" fontId="107" fillId="0" borderId="24" xfId="484" applyFont="1" applyBorder="1" applyAlignment="1" applyProtection="1">
      <alignment vertical="center"/>
    </xf>
    <xf numFmtId="0" fontId="108" fillId="0" borderId="73" xfId="345" applyFont="1" applyBorder="1">
      <alignment vertical="center"/>
    </xf>
    <xf numFmtId="0" fontId="108" fillId="0" borderId="75" xfId="345" applyFont="1" applyBorder="1">
      <alignment vertical="center"/>
    </xf>
    <xf numFmtId="0" fontId="128" fillId="80" borderId="68" xfId="0" applyFont="1" applyFill="1" applyBorder="1" applyAlignment="1">
      <alignment horizontal="centerContinuous" vertical="center"/>
    </xf>
    <xf numFmtId="0" fontId="159" fillId="0" borderId="0" xfId="0" applyFont="1">
      <alignment vertical="center"/>
    </xf>
    <xf numFmtId="49" fontId="128" fillId="80" borderId="24" xfId="0" applyNumberFormat="1" applyFont="1" applyFill="1" applyBorder="1" applyAlignment="1">
      <alignment horizontal="left" vertical="center"/>
    </xf>
    <xf numFmtId="49" fontId="128" fillId="80" borderId="21" xfId="0" applyNumberFormat="1" applyFont="1" applyFill="1" applyBorder="1" applyAlignment="1">
      <alignment horizontal="left" vertical="center"/>
    </xf>
    <xf numFmtId="0" fontId="128" fillId="80" borderId="31" xfId="0" applyFont="1" applyFill="1" applyBorder="1" applyAlignment="1">
      <alignment horizontal="center" vertical="center"/>
    </xf>
    <xf numFmtId="0" fontId="128" fillId="80" borderId="22" xfId="0" applyFont="1" applyFill="1" applyBorder="1" applyAlignment="1">
      <alignment horizontal="center" vertical="center"/>
    </xf>
    <xf numFmtId="0" fontId="128" fillId="80" borderId="30" xfId="0" applyFont="1" applyFill="1" applyBorder="1" applyAlignment="1">
      <alignment horizontal="center" vertical="center"/>
    </xf>
    <xf numFmtId="0" fontId="128" fillId="80" borderId="11" xfId="0" applyFont="1" applyFill="1" applyBorder="1" applyAlignment="1">
      <alignment horizontal="center" vertical="center"/>
    </xf>
    <xf numFmtId="0" fontId="128" fillId="80" borderId="23" xfId="0" applyFont="1" applyFill="1" applyBorder="1" applyAlignment="1">
      <alignment horizontal="center" vertical="center"/>
    </xf>
    <xf numFmtId="197" fontId="166" fillId="0" borderId="0" xfId="297" applyNumberFormat="1" applyFont="1" applyFill="1" applyBorder="1" applyAlignment="1">
      <alignment horizontal="right" vertical="center"/>
    </xf>
    <xf numFmtId="195" fontId="150" fillId="0" borderId="31" xfId="415" applyNumberFormat="1" applyFont="1" applyFill="1" applyBorder="1" applyAlignment="1" applyProtection="1">
      <alignment vertical="center"/>
    </xf>
    <xf numFmtId="198" fontId="168" fillId="77" borderId="75" xfId="349" applyNumberFormat="1" applyFont="1" applyFill="1" applyBorder="1" applyAlignment="1">
      <alignment vertical="center"/>
    </xf>
    <xf numFmtId="198" fontId="169" fillId="77" borderId="75" xfId="349" applyNumberFormat="1" applyFont="1" applyFill="1" applyBorder="1" applyAlignment="1">
      <alignment vertical="center"/>
    </xf>
    <xf numFmtId="198" fontId="170" fillId="61" borderId="68" xfId="349" applyNumberFormat="1" applyFont="1" applyFill="1" applyBorder="1" applyAlignment="1">
      <alignment vertical="center"/>
    </xf>
    <xf numFmtId="198" fontId="171" fillId="61" borderId="85" xfId="349" applyNumberFormat="1" applyFont="1" applyFill="1" applyBorder="1" applyAlignment="1">
      <alignment vertical="center"/>
    </xf>
    <xf numFmtId="198" fontId="170" fillId="61" borderId="85" xfId="349" applyNumberFormat="1" applyFont="1" applyFill="1" applyBorder="1" applyAlignment="1">
      <alignment vertical="center"/>
    </xf>
    <xf numFmtId="198" fontId="171" fillId="61" borderId="56" xfId="349" applyNumberFormat="1" applyFont="1" applyFill="1" applyBorder="1" applyAlignment="1">
      <alignment vertical="center"/>
    </xf>
    <xf numFmtId="0" fontId="165" fillId="81" borderId="0" xfId="345" applyFont="1" applyFill="1">
      <alignment vertical="center"/>
    </xf>
    <xf numFmtId="0" fontId="172" fillId="81" borderId="0" xfId="345" applyFont="1" applyFill="1">
      <alignment vertical="center"/>
    </xf>
    <xf numFmtId="0" fontId="173" fillId="81" borderId="0" xfId="345" applyFont="1" applyFill="1">
      <alignment vertical="center"/>
    </xf>
    <xf numFmtId="197" fontId="172" fillId="81" borderId="0" xfId="345" applyNumberFormat="1" applyFont="1" applyFill="1">
      <alignment vertical="center"/>
    </xf>
    <xf numFmtId="49" fontId="165" fillId="81" borderId="0" xfId="345" applyNumberFormat="1" applyFont="1" applyFill="1">
      <alignment vertical="center"/>
    </xf>
    <xf numFmtId="0" fontId="169" fillId="61" borderId="0" xfId="345" applyFont="1" applyFill="1">
      <alignment vertical="center"/>
    </xf>
    <xf numFmtId="0" fontId="174" fillId="61" borderId="0" xfId="345" applyFont="1" applyFill="1">
      <alignment vertical="center"/>
    </xf>
    <xf numFmtId="0" fontId="174" fillId="0" borderId="0" xfId="345" applyFont="1">
      <alignment vertical="center"/>
    </xf>
    <xf numFmtId="0" fontId="169" fillId="0" borderId="0" xfId="345" applyFont="1">
      <alignment vertical="center"/>
    </xf>
    <xf numFmtId="38" fontId="174" fillId="0" borderId="11" xfId="414" applyFont="1" applyFill="1" applyBorder="1" applyAlignment="1" applyProtection="1">
      <alignment vertical="center"/>
    </xf>
    <xf numFmtId="38" fontId="174" fillId="0" borderId="0" xfId="414" applyFont="1" applyFill="1" applyBorder="1" applyAlignment="1" applyProtection="1">
      <alignment vertical="center"/>
    </xf>
    <xf numFmtId="38" fontId="174" fillId="0" borderId="23" xfId="414" applyFont="1" applyFill="1" applyBorder="1" applyAlignment="1" applyProtection="1">
      <alignment vertical="center"/>
    </xf>
    <xf numFmtId="38" fontId="174" fillId="0" borderId="22" xfId="414" applyFont="1" applyFill="1" applyBorder="1" applyAlignment="1" applyProtection="1">
      <alignment vertical="center"/>
    </xf>
    <xf numFmtId="38" fontId="174" fillId="71" borderId="11" xfId="414" applyFont="1" applyFill="1" applyBorder="1" applyAlignment="1" applyProtection="1">
      <alignment vertical="center"/>
    </xf>
    <xf numFmtId="38" fontId="174" fillId="71" borderId="0" xfId="414" applyFont="1" applyFill="1" applyBorder="1" applyAlignment="1" applyProtection="1">
      <alignment vertical="center"/>
    </xf>
    <xf numFmtId="38" fontId="174" fillId="0" borderId="68" xfId="414" applyFont="1" applyFill="1" applyBorder="1" applyAlignment="1" applyProtection="1">
      <alignment vertical="center"/>
    </xf>
    <xf numFmtId="38" fontId="174" fillId="0" borderId="85" xfId="414" applyFont="1" applyFill="1" applyBorder="1" applyAlignment="1" applyProtection="1">
      <alignment vertical="center"/>
    </xf>
    <xf numFmtId="38" fontId="174" fillId="0" borderId="82" xfId="414" applyFont="1" applyFill="1" applyBorder="1" applyAlignment="1" applyProtection="1">
      <alignment vertical="center"/>
    </xf>
    <xf numFmtId="38" fontId="169" fillId="0" borderId="11" xfId="414" applyFont="1" applyFill="1" applyBorder="1" applyAlignment="1" applyProtection="1">
      <alignment vertical="center"/>
    </xf>
    <xf numFmtId="198" fontId="169" fillId="61" borderId="0" xfId="349" applyNumberFormat="1" applyFont="1" applyFill="1" applyAlignment="1">
      <alignment vertical="center"/>
    </xf>
    <xf numFmtId="38" fontId="169" fillId="61" borderId="24" xfId="414" applyFont="1" applyFill="1" applyBorder="1" applyAlignment="1">
      <alignment vertical="center"/>
    </xf>
    <xf numFmtId="0" fontId="141" fillId="0" borderId="0" xfId="345" applyFont="1">
      <alignment vertical="center"/>
    </xf>
    <xf numFmtId="38" fontId="150" fillId="0" borderId="11" xfId="414" applyFont="1" applyFill="1" applyBorder="1" applyAlignment="1" applyProtection="1">
      <alignment vertical="center"/>
    </xf>
    <xf numFmtId="38" fontId="149" fillId="0" borderId="36" xfId="414" applyFont="1" applyFill="1" applyBorder="1" applyAlignment="1" applyProtection="1">
      <alignment vertical="center"/>
    </xf>
    <xf numFmtId="38" fontId="150" fillId="0" borderId="36" xfId="414" applyFont="1" applyFill="1" applyBorder="1" applyAlignment="1" applyProtection="1">
      <alignment vertical="center"/>
    </xf>
    <xf numFmtId="0" fontId="148" fillId="0" borderId="0" xfId="345" applyFont="1">
      <alignment vertical="center"/>
    </xf>
    <xf numFmtId="38" fontId="149" fillId="0" borderId="0" xfId="414" applyFont="1" applyFill="1" applyBorder="1" applyAlignment="1" applyProtection="1">
      <alignment vertical="center"/>
    </xf>
    <xf numFmtId="38" fontId="150" fillId="0" borderId="0" xfId="414" applyFont="1" applyFill="1" applyBorder="1" applyAlignment="1" applyProtection="1">
      <alignment vertical="center"/>
    </xf>
    <xf numFmtId="38" fontId="150" fillId="0" borderId="23" xfId="414" applyFont="1" applyFill="1" applyBorder="1" applyAlignment="1" applyProtection="1">
      <alignment vertical="center"/>
    </xf>
    <xf numFmtId="38" fontId="149" fillId="0" borderId="22" xfId="414" applyFont="1" applyFill="1" applyBorder="1" applyAlignment="1" applyProtection="1">
      <alignment vertical="center"/>
    </xf>
    <xf numFmtId="38" fontId="150" fillId="0" borderId="22" xfId="414" applyFont="1" applyFill="1" applyBorder="1" applyAlignment="1" applyProtection="1">
      <alignment vertical="center"/>
    </xf>
    <xf numFmtId="38" fontId="176" fillId="0" borderId="56" xfId="414" applyFont="1" applyFill="1" applyBorder="1" applyAlignment="1" applyProtection="1">
      <alignment vertical="center"/>
    </xf>
    <xf numFmtId="38" fontId="176" fillId="0" borderId="31" xfId="414" applyFont="1" applyFill="1" applyBorder="1" applyAlignment="1" applyProtection="1">
      <alignment vertical="center"/>
    </xf>
    <xf numFmtId="38" fontId="177" fillId="0" borderId="35" xfId="414" applyFont="1" applyFill="1" applyBorder="1" applyAlignment="1" applyProtection="1">
      <alignment vertical="center"/>
    </xf>
    <xf numFmtId="38" fontId="176" fillId="0" borderId="30" xfId="414" applyFont="1" applyFill="1" applyBorder="1" applyAlignment="1" applyProtection="1">
      <alignment vertical="center"/>
    </xf>
    <xf numFmtId="38" fontId="176" fillId="71" borderId="31" xfId="414" applyFont="1" applyFill="1" applyBorder="1" applyAlignment="1" applyProtection="1">
      <alignment vertical="center"/>
    </xf>
    <xf numFmtId="38" fontId="177" fillId="0" borderId="30" xfId="414" applyFont="1" applyFill="1" applyBorder="1" applyAlignment="1" applyProtection="1">
      <alignment vertical="center"/>
    </xf>
    <xf numFmtId="0" fontId="178" fillId="81" borderId="0" xfId="345" applyFont="1" applyFill="1">
      <alignment vertical="center"/>
    </xf>
    <xf numFmtId="198" fontId="179" fillId="0" borderId="0" xfId="349" applyNumberFormat="1" applyFont="1" applyAlignment="1">
      <alignment vertical="center"/>
    </xf>
    <xf numFmtId="198" fontId="174" fillId="0" borderId="68" xfId="349" applyNumberFormat="1" applyFont="1" applyBorder="1" applyAlignment="1">
      <alignment vertical="center"/>
    </xf>
    <xf numFmtId="198" fontId="169" fillId="0" borderId="85" xfId="349" applyNumberFormat="1" applyFont="1" applyBorder="1" applyAlignment="1">
      <alignment vertical="center"/>
    </xf>
    <xf numFmtId="198" fontId="174" fillId="0" borderId="85" xfId="349" applyNumberFormat="1" applyFont="1" applyBorder="1" applyAlignment="1">
      <alignment vertical="center"/>
    </xf>
    <xf numFmtId="198" fontId="169" fillId="0" borderId="56" xfId="349" applyNumberFormat="1" applyFont="1" applyBorder="1" applyAlignment="1">
      <alignment vertical="center"/>
    </xf>
    <xf numFmtId="38" fontId="174" fillId="0" borderId="74" xfId="414" applyFont="1" applyBorder="1" applyAlignment="1" applyProtection="1">
      <alignment vertical="center"/>
    </xf>
    <xf numFmtId="0" fontId="174" fillId="61" borderId="11" xfId="345" applyFont="1" applyFill="1" applyBorder="1">
      <alignment vertical="center"/>
    </xf>
    <xf numFmtId="0" fontId="169" fillId="61" borderId="68" xfId="345" applyFont="1" applyFill="1" applyBorder="1">
      <alignment vertical="center"/>
    </xf>
    <xf numFmtId="0" fontId="174" fillId="61" borderId="85" xfId="345" applyFont="1" applyFill="1" applyBorder="1">
      <alignment vertical="center"/>
    </xf>
    <xf numFmtId="0" fontId="169" fillId="61" borderId="85" xfId="345" applyFont="1" applyFill="1" applyBorder="1">
      <alignment vertical="center"/>
    </xf>
    <xf numFmtId="0" fontId="169" fillId="61" borderId="56" xfId="345" applyFont="1" applyFill="1" applyBorder="1">
      <alignment vertical="center"/>
    </xf>
    <xf numFmtId="38" fontId="169" fillId="61" borderId="24" xfId="414" applyFont="1" applyFill="1" applyBorder="1" applyAlignment="1">
      <alignment horizontal="right" vertical="center"/>
    </xf>
    <xf numFmtId="0" fontId="174" fillId="61" borderId="23" xfId="345" applyFont="1" applyFill="1" applyBorder="1">
      <alignment vertical="center"/>
    </xf>
    <xf numFmtId="0" fontId="169" fillId="61" borderId="23" xfId="345" applyFont="1" applyFill="1" applyBorder="1">
      <alignment vertical="center"/>
    </xf>
    <xf numFmtId="0" fontId="174" fillId="61" borderId="22" xfId="345" applyFont="1" applyFill="1" applyBorder="1">
      <alignment vertical="center"/>
    </xf>
    <xf numFmtId="0" fontId="169" fillId="61" borderId="22" xfId="345" applyFont="1" applyFill="1" applyBorder="1">
      <alignment vertical="center"/>
    </xf>
    <xf numFmtId="0" fontId="169" fillId="61" borderId="30" xfId="345" applyFont="1" applyFill="1" applyBorder="1">
      <alignment vertical="center"/>
    </xf>
    <xf numFmtId="38" fontId="169" fillId="61" borderId="21" xfId="414" applyFont="1" applyFill="1" applyBorder="1" applyAlignment="1">
      <alignment horizontal="right" vertical="center"/>
    </xf>
    <xf numFmtId="198" fontId="180" fillId="0" borderId="0" xfId="349" applyNumberFormat="1" applyFont="1" applyAlignment="1">
      <alignment vertical="center"/>
    </xf>
    <xf numFmtId="198" fontId="174" fillId="0" borderId="0" xfId="349" applyNumberFormat="1" applyFont="1" applyAlignment="1">
      <alignment vertical="center"/>
    </xf>
    <xf numFmtId="198" fontId="169" fillId="0" borderId="0" xfId="349" applyNumberFormat="1" applyFont="1" applyAlignment="1">
      <alignment vertical="center"/>
    </xf>
    <xf numFmtId="198" fontId="174" fillId="0" borderId="82" xfId="349" applyNumberFormat="1" applyFont="1" applyBorder="1" applyAlignment="1">
      <alignment vertical="center"/>
    </xf>
    <xf numFmtId="198" fontId="174" fillId="0" borderId="73" xfId="349" applyNumberFormat="1" applyFont="1" applyBorder="1" applyAlignment="1">
      <alignment vertical="center"/>
    </xf>
    <xf numFmtId="198" fontId="169" fillId="0" borderId="75" xfId="349" applyNumberFormat="1" applyFont="1" applyBorder="1" applyAlignment="1">
      <alignment vertical="center"/>
    </xf>
    <xf numFmtId="198" fontId="174" fillId="0" borderId="75" xfId="349" applyNumberFormat="1" applyFont="1" applyBorder="1" applyAlignment="1">
      <alignment vertical="center"/>
    </xf>
    <xf numFmtId="198" fontId="174" fillId="0" borderId="11" xfId="349" applyNumberFormat="1" applyFont="1" applyBorder="1" applyAlignment="1">
      <alignment vertical="center"/>
    </xf>
    <xf numFmtId="38" fontId="169" fillId="0" borderId="24" xfId="414" applyFont="1" applyBorder="1" applyAlignment="1" applyProtection="1">
      <alignment vertical="center"/>
    </xf>
    <xf numFmtId="198" fontId="174" fillId="0" borderId="21" xfId="349" applyNumberFormat="1" applyFont="1" applyBorder="1" applyAlignment="1">
      <alignment vertical="center"/>
    </xf>
    <xf numFmtId="198" fontId="174" fillId="0" borderId="23" xfId="349" applyNumberFormat="1" applyFont="1" applyBorder="1" applyAlignment="1">
      <alignment vertical="center"/>
    </xf>
    <xf numFmtId="198" fontId="169" fillId="0" borderId="22" xfId="349" applyNumberFormat="1" applyFont="1" applyBorder="1" applyAlignment="1">
      <alignment vertical="center"/>
    </xf>
    <xf numFmtId="198" fontId="174" fillId="0" borderId="22" xfId="349" applyNumberFormat="1" applyFont="1" applyBorder="1" applyAlignment="1">
      <alignment vertical="center"/>
    </xf>
    <xf numFmtId="38" fontId="169" fillId="0" borderId="21" xfId="414" applyFont="1" applyBorder="1" applyAlignment="1" applyProtection="1">
      <alignment vertical="center"/>
    </xf>
    <xf numFmtId="38" fontId="169" fillId="0" borderId="82" xfId="414" applyFont="1" applyBorder="1" applyAlignment="1" applyProtection="1">
      <alignment vertical="center"/>
    </xf>
    <xf numFmtId="198" fontId="174" fillId="77" borderId="68" xfId="349" applyNumberFormat="1" applyFont="1" applyFill="1" applyBorder="1" applyAlignment="1">
      <alignment vertical="center"/>
    </xf>
    <xf numFmtId="198" fontId="174" fillId="77" borderId="75" xfId="349" applyNumberFormat="1" applyFont="1" applyFill="1" applyBorder="1" applyAlignment="1">
      <alignment vertical="center"/>
    </xf>
    <xf numFmtId="199" fontId="174" fillId="77" borderId="74" xfId="349" applyNumberFormat="1" applyFont="1" applyFill="1" applyBorder="1" applyAlignment="1">
      <alignment horizontal="center" vertical="center"/>
    </xf>
    <xf numFmtId="198" fontId="174" fillId="77" borderId="11" xfId="349" applyNumberFormat="1" applyFont="1" applyFill="1" applyBorder="1" applyAlignment="1">
      <alignment vertical="center"/>
    </xf>
    <xf numFmtId="38" fontId="169" fillId="61" borderId="82" xfId="414" applyFont="1" applyFill="1" applyBorder="1" applyAlignment="1">
      <alignment vertical="center"/>
    </xf>
    <xf numFmtId="198" fontId="181" fillId="77" borderId="11" xfId="349" applyNumberFormat="1" applyFont="1" applyFill="1" applyBorder="1" applyAlignment="1">
      <alignment vertical="center"/>
    </xf>
    <xf numFmtId="0" fontId="169" fillId="61" borderId="36" xfId="345" applyFont="1" applyFill="1" applyBorder="1">
      <alignment vertical="center"/>
    </xf>
    <xf numFmtId="0" fontId="169" fillId="61" borderId="35" xfId="345" applyFont="1" applyFill="1" applyBorder="1">
      <alignment vertical="center"/>
    </xf>
    <xf numFmtId="38" fontId="169" fillId="61" borderId="34" xfId="414" applyFont="1" applyFill="1" applyBorder="1" applyAlignment="1">
      <alignment vertical="center"/>
    </xf>
    <xf numFmtId="0" fontId="174" fillId="61" borderId="47" xfId="345" applyFont="1" applyFill="1" applyBorder="1">
      <alignment vertical="center"/>
    </xf>
    <xf numFmtId="0" fontId="169" fillId="61" borderId="47" xfId="345" applyFont="1" applyFill="1" applyBorder="1">
      <alignment vertical="center"/>
    </xf>
    <xf numFmtId="0" fontId="178" fillId="61" borderId="47" xfId="345" applyFont="1" applyFill="1" applyBorder="1">
      <alignment vertical="center"/>
    </xf>
    <xf numFmtId="38" fontId="169" fillId="61" borderId="45" xfId="414" applyFont="1" applyFill="1" applyBorder="1" applyAlignment="1">
      <alignment vertical="center"/>
    </xf>
    <xf numFmtId="0" fontId="169" fillId="61" borderId="46" xfId="345" applyFont="1" applyFill="1" applyBorder="1">
      <alignment vertical="center"/>
    </xf>
    <xf numFmtId="0" fontId="169" fillId="61" borderId="31" xfId="345" applyFont="1" applyFill="1" applyBorder="1">
      <alignment vertical="center"/>
    </xf>
    <xf numFmtId="198" fontId="174" fillId="77" borderId="23" xfId="349" applyNumberFormat="1" applyFont="1" applyFill="1" applyBorder="1" applyAlignment="1">
      <alignment vertical="center"/>
    </xf>
    <xf numFmtId="0" fontId="169" fillId="61" borderId="39" xfId="345" applyFont="1" applyFill="1" applyBorder="1">
      <alignment vertical="center"/>
    </xf>
    <xf numFmtId="0" fontId="169" fillId="0" borderId="39" xfId="345" applyFont="1" applyBorder="1">
      <alignment vertical="center"/>
    </xf>
    <xf numFmtId="38" fontId="169" fillId="61" borderId="80" xfId="414" applyFont="1" applyFill="1" applyBorder="1" applyAlignment="1">
      <alignment vertical="center"/>
    </xf>
    <xf numFmtId="198" fontId="107" fillId="64" borderId="85" xfId="349" applyNumberFormat="1" applyFont="1" applyFill="1" applyBorder="1" applyAlignment="1">
      <alignment vertical="center"/>
    </xf>
    <xf numFmtId="198" fontId="108" fillId="0" borderId="85" xfId="349" applyNumberFormat="1" applyFont="1" applyBorder="1" applyAlignment="1">
      <alignment vertical="center"/>
    </xf>
    <xf numFmtId="38" fontId="107" fillId="61" borderId="82" xfId="414" applyFont="1" applyFill="1" applyBorder="1" applyAlignment="1">
      <alignment horizontal="right" vertical="center"/>
    </xf>
    <xf numFmtId="0" fontId="133" fillId="78" borderId="0" xfId="345" applyFont="1" applyFill="1">
      <alignment vertical="center"/>
    </xf>
    <xf numFmtId="0" fontId="107" fillId="67" borderId="68" xfId="345" applyFont="1" applyFill="1" applyBorder="1">
      <alignment vertical="center"/>
    </xf>
    <xf numFmtId="0" fontId="107" fillId="0" borderId="23" xfId="345" applyFont="1" applyBorder="1">
      <alignment vertical="center"/>
    </xf>
    <xf numFmtId="38" fontId="107" fillId="67" borderId="82" xfId="414" applyFont="1" applyFill="1" applyBorder="1" applyAlignment="1">
      <alignment horizontal="right" vertical="center"/>
    </xf>
    <xf numFmtId="38" fontId="107" fillId="64" borderId="82" xfId="414" applyFont="1" applyFill="1" applyBorder="1" applyAlignment="1">
      <alignment horizontal="right" vertical="center"/>
    </xf>
    <xf numFmtId="38" fontId="107" fillId="83" borderId="82" xfId="414" applyFont="1" applyFill="1" applyBorder="1">
      <alignment vertical="center"/>
    </xf>
    <xf numFmtId="38" fontId="107" fillId="83" borderId="82" xfId="414" applyFont="1" applyFill="1" applyBorder="1" applyAlignment="1">
      <alignment horizontal="right" vertical="center"/>
    </xf>
    <xf numFmtId="38" fontId="107" fillId="63" borderId="82" xfId="414" applyFont="1" applyFill="1" applyBorder="1" applyAlignment="1">
      <alignment horizontal="right" vertical="center"/>
    </xf>
    <xf numFmtId="38" fontId="107" fillId="75" borderId="56" xfId="414" applyFont="1" applyFill="1" applyBorder="1" applyAlignment="1" applyProtection="1">
      <alignment vertical="center"/>
    </xf>
    <xf numFmtId="0" fontId="107" fillId="64" borderId="68" xfId="349" applyFont="1" applyFill="1" applyBorder="1"/>
    <xf numFmtId="0" fontId="107" fillId="63" borderId="68" xfId="349" applyFont="1" applyFill="1" applyBorder="1"/>
    <xf numFmtId="38" fontId="108" fillId="0" borderId="74" xfId="414" applyFont="1" applyFill="1" applyBorder="1" applyAlignment="1">
      <alignment horizontal="right" vertical="center"/>
    </xf>
    <xf numFmtId="198" fontId="107" fillId="61" borderId="83" xfId="349" applyNumberFormat="1" applyFont="1" applyFill="1" applyBorder="1" applyAlignment="1">
      <alignment vertical="center"/>
    </xf>
    <xf numFmtId="198" fontId="108" fillId="0" borderId="47" xfId="349" applyNumberFormat="1" applyFont="1" applyBorder="1" applyAlignment="1">
      <alignment vertical="center"/>
    </xf>
    <xf numFmtId="198" fontId="107" fillId="0" borderId="44" xfId="349" applyNumberFormat="1" applyFont="1" applyBorder="1" applyAlignment="1">
      <alignment vertical="center"/>
    </xf>
    <xf numFmtId="198" fontId="107" fillId="61" borderId="71" xfId="349" applyNumberFormat="1" applyFont="1" applyFill="1" applyBorder="1" applyAlignment="1">
      <alignment vertical="center"/>
    </xf>
    <xf numFmtId="198" fontId="116" fillId="0" borderId="0" xfId="349" applyNumberFormat="1" applyFont="1" applyAlignment="1">
      <alignment vertical="center"/>
    </xf>
    <xf numFmtId="0" fontId="113" fillId="0" borderId="64" xfId="0" applyFont="1" applyBorder="1">
      <alignment vertical="center"/>
    </xf>
    <xf numFmtId="0" fontId="113" fillId="0" borderId="94" xfId="0" applyFont="1" applyBorder="1">
      <alignment vertical="center"/>
    </xf>
    <xf numFmtId="0" fontId="112" fillId="62" borderId="27" xfId="345" applyFont="1" applyFill="1" applyBorder="1">
      <alignment vertical="center"/>
    </xf>
    <xf numFmtId="0" fontId="112" fillId="62" borderId="7" xfId="345" applyFont="1" applyFill="1" applyBorder="1">
      <alignment vertical="center"/>
    </xf>
    <xf numFmtId="0" fontId="112" fillId="62" borderId="26" xfId="345" applyFont="1" applyFill="1" applyBorder="1">
      <alignment vertical="center"/>
    </xf>
    <xf numFmtId="38" fontId="122" fillId="61" borderId="0" xfId="414" applyFont="1" applyFill="1" applyBorder="1" applyAlignment="1" applyProtection="1">
      <alignment vertical="center"/>
      <protection locked="0"/>
    </xf>
    <xf numFmtId="199" fontId="108" fillId="61" borderId="74" xfId="349" applyNumberFormat="1" applyFont="1" applyFill="1" applyBorder="1" applyAlignment="1">
      <alignment horizontal="center" vertical="center"/>
    </xf>
    <xf numFmtId="198" fontId="154" fillId="0" borderId="0" xfId="349" applyNumberFormat="1" applyFont="1" applyAlignment="1">
      <alignment vertical="center"/>
    </xf>
    <xf numFmtId="0" fontId="107" fillId="0" borderId="85" xfId="345" applyFont="1" applyBorder="1" applyAlignment="1">
      <alignment vertical="top"/>
    </xf>
    <xf numFmtId="0" fontId="107" fillId="0" borderId="0" xfId="345" applyFont="1" applyAlignment="1">
      <alignment vertical="top"/>
    </xf>
    <xf numFmtId="0" fontId="107" fillId="0" borderId="22" xfId="345" applyFont="1" applyBorder="1" applyAlignment="1">
      <alignment vertical="top"/>
    </xf>
    <xf numFmtId="198" fontId="184" fillId="0" borderId="0" xfId="349" applyNumberFormat="1" applyFont="1" applyAlignment="1">
      <alignment vertical="center"/>
    </xf>
    <xf numFmtId="0" fontId="38" fillId="0" borderId="0" xfId="345" applyFont="1">
      <alignment vertical="center"/>
    </xf>
    <xf numFmtId="198" fontId="107" fillId="0" borderId="0" xfId="349" applyNumberFormat="1" applyFont="1" applyAlignment="1">
      <alignment horizontal="left" vertical="center" indent="2"/>
    </xf>
    <xf numFmtId="198" fontId="107" fillId="0" borderId="0" xfId="349" applyNumberFormat="1" applyFont="1" applyAlignment="1">
      <alignment horizontal="left" vertical="center"/>
    </xf>
    <xf numFmtId="198" fontId="107" fillId="0" borderId="22" xfId="349" applyNumberFormat="1" applyFont="1" applyBorder="1" applyAlignment="1">
      <alignment horizontal="left" vertical="center"/>
    </xf>
    <xf numFmtId="198" fontId="141" fillId="0" borderId="68" xfId="349" applyNumberFormat="1" applyFont="1" applyBorder="1" applyAlignment="1">
      <alignment vertical="center"/>
    </xf>
    <xf numFmtId="198" fontId="141" fillId="61" borderId="22" xfId="349" applyNumberFormat="1" applyFont="1" applyFill="1" applyBorder="1" applyAlignment="1">
      <alignment vertical="center"/>
    </xf>
    <xf numFmtId="195" fontId="150" fillId="0" borderId="82" xfId="415" applyNumberFormat="1" applyFont="1" applyFill="1" applyBorder="1" applyAlignment="1" applyProtection="1">
      <alignment vertical="center"/>
    </xf>
    <xf numFmtId="38" fontId="107" fillId="61" borderId="78" xfId="414" applyFont="1" applyFill="1" applyBorder="1" applyAlignment="1" applyProtection="1">
      <alignment vertical="center"/>
    </xf>
    <xf numFmtId="198" fontId="125" fillId="0" borderId="0" xfId="349" applyNumberFormat="1" applyFont="1" applyAlignment="1">
      <alignment vertical="center"/>
    </xf>
    <xf numFmtId="38" fontId="174" fillId="71" borderId="68" xfId="484" applyFont="1" applyFill="1" applyBorder="1" applyAlignment="1" applyProtection="1">
      <alignment vertical="center"/>
    </xf>
    <xf numFmtId="38" fontId="174" fillId="71" borderId="85" xfId="484" applyFont="1" applyFill="1" applyBorder="1" applyAlignment="1" applyProtection="1">
      <alignment vertical="center"/>
    </xf>
    <xf numFmtId="38" fontId="174" fillId="0" borderId="0" xfId="484" applyFont="1" applyFill="1" applyBorder="1" applyAlignment="1" applyProtection="1">
      <alignment vertical="center"/>
    </xf>
    <xf numFmtId="38" fontId="174" fillId="0" borderId="11" xfId="484" applyFont="1" applyFill="1" applyBorder="1" applyAlignment="1" applyProtection="1">
      <alignment vertical="center"/>
    </xf>
    <xf numFmtId="38" fontId="150" fillId="0" borderId="23" xfId="484" applyFont="1" applyFill="1" applyBorder="1" applyAlignment="1" applyProtection="1">
      <alignment vertical="center"/>
    </xf>
    <xf numFmtId="38" fontId="149" fillId="0" borderId="22" xfId="484" applyFont="1" applyFill="1" applyBorder="1" applyAlignment="1" applyProtection="1">
      <alignment vertical="center"/>
    </xf>
    <xf numFmtId="38" fontId="150" fillId="0" borderId="22" xfId="484" applyFont="1" applyFill="1" applyBorder="1" applyAlignment="1" applyProtection="1">
      <alignment vertical="center"/>
    </xf>
    <xf numFmtId="0" fontId="108" fillId="0" borderId="31" xfId="349" applyFont="1" applyBorder="1"/>
    <xf numFmtId="0" fontId="108" fillId="0" borderId="22" xfId="349" applyFont="1" applyBorder="1"/>
    <xf numFmtId="0" fontId="108" fillId="0" borderId="30" xfId="349" applyFont="1" applyBorder="1"/>
    <xf numFmtId="0" fontId="107" fillId="0" borderId="22" xfId="349" applyFont="1" applyBorder="1"/>
    <xf numFmtId="0" fontId="108" fillId="0" borderId="72" xfId="349" applyFont="1" applyBorder="1"/>
    <xf numFmtId="0" fontId="107" fillId="0" borderId="72" xfId="349" applyFont="1" applyBorder="1"/>
    <xf numFmtId="0" fontId="108" fillId="0" borderId="78" xfId="349" applyFont="1" applyBorder="1"/>
    <xf numFmtId="0" fontId="108" fillId="0" borderId="68" xfId="349" applyFont="1" applyBorder="1"/>
    <xf numFmtId="0" fontId="107" fillId="0" borderId="11" xfId="349" applyFont="1" applyBorder="1"/>
    <xf numFmtId="0" fontId="107" fillId="0" borderId="23" xfId="349" applyFont="1" applyBorder="1"/>
    <xf numFmtId="0" fontId="108" fillId="0" borderId="81" xfId="349" applyFont="1" applyBorder="1"/>
    <xf numFmtId="0" fontId="107" fillId="0" borderId="36" xfId="349" applyFont="1" applyBorder="1"/>
    <xf numFmtId="0" fontId="108" fillId="0" borderId="36" xfId="349" applyFont="1" applyBorder="1"/>
    <xf numFmtId="0" fontId="108" fillId="0" borderId="35" xfId="349" applyFont="1" applyBorder="1"/>
    <xf numFmtId="0" fontId="107" fillId="0" borderId="44" xfId="349" applyFont="1" applyBorder="1"/>
    <xf numFmtId="0" fontId="108" fillId="0" borderId="44" xfId="349" applyFont="1" applyBorder="1"/>
    <xf numFmtId="0" fontId="108" fillId="0" borderId="43" xfId="349" applyFont="1" applyBorder="1"/>
    <xf numFmtId="38" fontId="107" fillId="0" borderId="35" xfId="414" applyFont="1" applyFill="1" applyBorder="1" applyAlignment="1"/>
    <xf numFmtId="38" fontId="107" fillId="0" borderId="30" xfId="414" applyFont="1" applyFill="1" applyBorder="1" applyAlignment="1"/>
    <xf numFmtId="38" fontId="107" fillId="0" borderId="81" xfId="414" applyFont="1" applyFill="1" applyBorder="1" applyAlignment="1"/>
    <xf numFmtId="0" fontId="125" fillId="75" borderId="24" xfId="349" applyFont="1" applyFill="1" applyBorder="1"/>
    <xf numFmtId="0" fontId="125" fillId="75" borderId="21" xfId="349" applyFont="1" applyFill="1" applyBorder="1"/>
    <xf numFmtId="38" fontId="107" fillId="77" borderId="82" xfId="414" applyFont="1" applyFill="1" applyBorder="1">
      <alignment vertical="center"/>
    </xf>
    <xf numFmtId="0" fontId="108" fillId="68" borderId="24" xfId="349" applyFont="1" applyFill="1" applyBorder="1"/>
    <xf numFmtId="0" fontId="107" fillId="61" borderId="11" xfId="345" applyFont="1" applyFill="1" applyBorder="1" applyAlignment="1">
      <alignment vertical="top"/>
    </xf>
    <xf numFmtId="0" fontId="108" fillId="68" borderId="21" xfId="349" applyFont="1" applyFill="1" applyBorder="1"/>
    <xf numFmtId="0" fontId="107" fillId="61" borderId="23" xfId="345" applyFont="1" applyFill="1" applyBorder="1" applyAlignment="1">
      <alignment vertical="top"/>
    </xf>
    <xf numFmtId="0" fontId="30" fillId="79" borderId="0" xfId="345" applyFont="1" applyFill="1">
      <alignment vertical="center"/>
    </xf>
    <xf numFmtId="38" fontId="107" fillId="0" borderId="78" xfId="414" applyFont="1" applyFill="1" applyBorder="1" applyAlignment="1" applyProtection="1">
      <alignment vertical="center"/>
    </xf>
    <xf numFmtId="38" fontId="107" fillId="0" borderId="31" xfId="414" applyFont="1" applyFill="1" applyBorder="1">
      <alignment vertical="center"/>
    </xf>
    <xf numFmtId="38" fontId="107" fillId="0" borderId="30" xfId="414" applyFont="1" applyFill="1" applyBorder="1">
      <alignment vertical="center"/>
    </xf>
    <xf numFmtId="0" fontId="107" fillId="75" borderId="68" xfId="349" applyFont="1" applyFill="1" applyBorder="1"/>
    <xf numFmtId="0" fontId="107" fillId="0" borderId="85" xfId="345" applyFont="1" applyBorder="1">
      <alignment vertical="center"/>
    </xf>
    <xf numFmtId="0" fontId="108" fillId="75" borderId="25" xfId="349" applyFont="1" applyFill="1" applyBorder="1"/>
    <xf numFmtId="198" fontId="107" fillId="0" borderId="23" xfId="349" applyNumberFormat="1" applyFont="1" applyBorder="1" applyAlignment="1">
      <alignment vertical="center"/>
    </xf>
    <xf numFmtId="0" fontId="113" fillId="75" borderId="11" xfId="0" applyFont="1" applyFill="1" applyBorder="1">
      <alignment vertical="center"/>
    </xf>
    <xf numFmtId="0" fontId="113" fillId="75" borderId="23" xfId="0" applyFont="1" applyFill="1" applyBorder="1">
      <alignment vertical="center"/>
    </xf>
    <xf numFmtId="0" fontId="190" fillId="61" borderId="0" xfId="0" applyFont="1" applyFill="1">
      <alignment vertical="center"/>
    </xf>
    <xf numFmtId="0" fontId="113" fillId="0" borderId="22" xfId="0" applyFont="1" applyBorder="1" applyAlignment="1">
      <alignment vertical="center" wrapText="1"/>
    </xf>
    <xf numFmtId="0" fontId="113" fillId="0" borderId="30" xfId="0" applyFont="1" applyBorder="1" applyAlignment="1">
      <alignment vertical="center" wrapText="1"/>
    </xf>
    <xf numFmtId="0" fontId="197" fillId="0" borderId="21" xfId="0" applyFont="1" applyBorder="1" applyAlignment="1">
      <alignment vertical="center" wrapText="1"/>
    </xf>
    <xf numFmtId="0" fontId="189" fillId="61" borderId="0" xfId="345" applyFont="1" applyFill="1">
      <alignment vertical="center"/>
    </xf>
    <xf numFmtId="38" fontId="89" fillId="0" borderId="24" xfId="414" applyFont="1" applyFill="1" applyBorder="1">
      <alignment vertical="center"/>
    </xf>
    <xf numFmtId="38" fontId="89" fillId="0" borderId="34" xfId="414" applyFont="1" applyFill="1" applyBorder="1">
      <alignment vertical="center"/>
    </xf>
    <xf numFmtId="38" fontId="89" fillId="0" borderId="21" xfId="414" applyFont="1" applyBorder="1">
      <alignment vertical="center"/>
    </xf>
    <xf numFmtId="38" fontId="89" fillId="0" borderId="21" xfId="414" applyFont="1" applyFill="1" applyBorder="1">
      <alignment vertical="center"/>
    </xf>
    <xf numFmtId="38" fontId="89" fillId="0" borderId="24" xfId="414" applyFont="1" applyBorder="1">
      <alignment vertical="center"/>
    </xf>
    <xf numFmtId="38" fontId="89" fillId="0" borderId="34" xfId="414" applyFont="1" applyBorder="1">
      <alignment vertical="center"/>
    </xf>
    <xf numFmtId="38" fontId="107" fillId="65" borderId="73" xfId="311" applyFont="1" applyFill="1" applyBorder="1" applyAlignment="1">
      <alignment horizontal="left" indent="1"/>
    </xf>
    <xf numFmtId="38" fontId="107" fillId="0" borderId="44" xfId="311" applyFont="1" applyFill="1" applyBorder="1" applyAlignment="1">
      <alignment horizontal="right"/>
    </xf>
    <xf numFmtId="38" fontId="107" fillId="0" borderId="47" xfId="311" applyFont="1" applyFill="1" applyBorder="1" applyAlignment="1">
      <alignment horizontal="right"/>
    </xf>
    <xf numFmtId="38" fontId="107" fillId="0" borderId="0" xfId="311" applyFont="1" applyFill="1" applyBorder="1" applyAlignment="1">
      <alignment horizontal="right"/>
    </xf>
    <xf numFmtId="38" fontId="107" fillId="0" borderId="36" xfId="311" applyFont="1" applyFill="1" applyBorder="1" applyAlignment="1">
      <alignment horizontal="right"/>
    </xf>
    <xf numFmtId="38" fontId="107" fillId="0" borderId="22" xfId="311" applyFont="1" applyFill="1" applyBorder="1" applyAlignment="1">
      <alignment horizontal="right"/>
    </xf>
    <xf numFmtId="38" fontId="107" fillId="0" borderId="47" xfId="311" applyFont="1" applyFill="1" applyBorder="1" applyAlignment="1"/>
    <xf numFmtId="38" fontId="107" fillId="0" borderId="22" xfId="311" applyFont="1" applyFill="1" applyBorder="1" applyAlignment="1"/>
    <xf numFmtId="38" fontId="107" fillId="61" borderId="22" xfId="311" applyFont="1" applyFill="1" applyBorder="1" applyAlignment="1" applyProtection="1">
      <protection locked="0"/>
    </xf>
    <xf numFmtId="38" fontId="107" fillId="0" borderId="47" xfId="311" applyFont="1" applyFill="1" applyBorder="1" applyAlignment="1">
      <alignment horizontal="left"/>
    </xf>
    <xf numFmtId="0" fontId="62" fillId="0" borderId="88" xfId="420" applyBorder="1"/>
    <xf numFmtId="0" fontId="62" fillId="0" borderId="89" xfId="420" applyBorder="1"/>
    <xf numFmtId="0" fontId="62" fillId="0" borderId="91" xfId="420" applyBorder="1"/>
    <xf numFmtId="38" fontId="108" fillId="76" borderId="82" xfId="311" applyFont="1" applyFill="1" applyBorder="1" applyAlignment="1" applyProtection="1">
      <protection locked="0"/>
    </xf>
    <xf numFmtId="38" fontId="108" fillId="67" borderId="82" xfId="311" applyFont="1" applyFill="1" applyBorder="1" applyAlignment="1" applyProtection="1">
      <protection locked="0"/>
    </xf>
    <xf numFmtId="38" fontId="108" fillId="65" borderId="74" xfId="311" applyFont="1" applyFill="1" applyBorder="1" applyAlignment="1" applyProtection="1">
      <protection locked="0"/>
    </xf>
    <xf numFmtId="38" fontId="108" fillId="65" borderId="79" xfId="311" applyFont="1" applyFill="1" applyBorder="1" applyAlignment="1" applyProtection="1">
      <protection locked="0"/>
    </xf>
    <xf numFmtId="38" fontId="107" fillId="0" borderId="41" xfId="311" applyFont="1" applyFill="1" applyBorder="1" applyAlignment="1" applyProtection="1">
      <alignment horizontal="right"/>
      <protection locked="0"/>
    </xf>
    <xf numFmtId="38" fontId="107" fillId="0" borderId="45" xfId="311" applyFont="1" applyFill="1" applyBorder="1" applyAlignment="1" applyProtection="1">
      <alignment horizontal="right"/>
      <protection locked="0"/>
    </xf>
    <xf numFmtId="38" fontId="107" fillId="0" borderId="24" xfId="311" applyFont="1" applyFill="1" applyBorder="1" applyAlignment="1" applyProtection="1">
      <alignment horizontal="right"/>
      <protection locked="0"/>
    </xf>
    <xf numFmtId="38" fontId="107" fillId="0" borderId="34" xfId="311" applyFont="1" applyFill="1" applyBorder="1" applyAlignment="1" applyProtection="1">
      <alignment horizontal="right"/>
      <protection locked="0"/>
    </xf>
    <xf numFmtId="38" fontId="107" fillId="0" borderId="21" xfId="311" applyFont="1" applyFill="1" applyBorder="1" applyAlignment="1" applyProtection="1">
      <alignment horizontal="right"/>
      <protection locked="0"/>
    </xf>
    <xf numFmtId="38" fontId="107" fillId="65" borderId="74" xfId="311" applyFont="1" applyFill="1" applyBorder="1" applyAlignment="1" applyProtection="1">
      <protection locked="0"/>
    </xf>
    <xf numFmtId="38" fontId="107" fillId="65" borderId="21" xfId="311" applyFont="1" applyFill="1" applyBorder="1" applyAlignment="1" applyProtection="1">
      <alignment horizontal="right"/>
      <protection locked="0"/>
    </xf>
    <xf numFmtId="38" fontId="107" fillId="0" borderId="74" xfId="311" applyFont="1" applyFill="1" applyBorder="1" applyAlignment="1" applyProtection="1">
      <protection locked="0"/>
    </xf>
    <xf numFmtId="0" fontId="107" fillId="72" borderId="0" xfId="420" applyFont="1" applyFill="1"/>
    <xf numFmtId="0" fontId="107" fillId="0" borderId="47" xfId="420" applyFont="1" applyBorder="1"/>
    <xf numFmtId="0" fontId="107" fillId="0" borderId="36" xfId="420" applyFont="1" applyBorder="1"/>
    <xf numFmtId="0" fontId="113" fillId="0" borderId="0" xfId="486" applyFont="1">
      <alignment vertical="center"/>
    </xf>
    <xf numFmtId="0" fontId="108" fillId="73" borderId="0" xfId="345" applyFont="1" applyFill="1" applyAlignment="1"/>
    <xf numFmtId="0" fontId="107" fillId="0" borderId="75" xfId="420" applyFont="1" applyBorder="1"/>
    <xf numFmtId="0" fontId="107" fillId="0" borderId="85" xfId="420" applyFont="1" applyBorder="1"/>
    <xf numFmtId="0" fontId="107" fillId="0" borderId="22" xfId="420" applyFont="1" applyBorder="1"/>
    <xf numFmtId="0" fontId="128" fillId="0" borderId="73" xfId="485" applyFont="1" applyBorder="1" applyAlignment="1">
      <alignment horizontal="center" vertical="center"/>
    </xf>
    <xf numFmtId="0" fontId="128" fillId="0" borderId="75" xfId="485" applyFont="1" applyBorder="1" applyAlignment="1">
      <alignment horizontal="center" vertical="center"/>
    </xf>
    <xf numFmtId="0" fontId="128" fillId="0" borderId="68" xfId="485" applyFont="1" applyBorder="1">
      <alignment vertical="center"/>
    </xf>
    <xf numFmtId="0" fontId="128" fillId="0" borderId="73" xfId="485" applyFont="1" applyBorder="1">
      <alignment vertical="center"/>
    </xf>
    <xf numFmtId="0" fontId="128" fillId="0" borderId="75" xfId="485" applyFont="1" applyBorder="1">
      <alignment vertical="center"/>
    </xf>
    <xf numFmtId="0" fontId="128" fillId="0" borderId="11" xfId="485" applyFont="1" applyBorder="1">
      <alignment vertical="center"/>
    </xf>
    <xf numFmtId="0" fontId="128" fillId="0" borderId="85" xfId="485" applyFont="1" applyBorder="1">
      <alignment vertical="center"/>
    </xf>
    <xf numFmtId="0" fontId="128" fillId="0" borderId="0" xfId="485" applyFont="1">
      <alignment vertical="center"/>
    </xf>
    <xf numFmtId="0" fontId="128" fillId="0" borderId="36" xfId="485" applyFont="1" applyBorder="1">
      <alignment vertical="center"/>
    </xf>
    <xf numFmtId="0" fontId="128" fillId="0" borderId="23" xfId="485" applyFont="1" applyBorder="1">
      <alignment vertical="center"/>
    </xf>
    <xf numFmtId="0" fontId="128" fillId="0" borderId="22" xfId="485" applyFont="1" applyBorder="1">
      <alignment vertical="center"/>
    </xf>
    <xf numFmtId="38" fontId="89" fillId="0" borderId="74" xfId="414" applyFont="1" applyFill="1" applyBorder="1">
      <alignment vertical="center"/>
    </xf>
    <xf numFmtId="38" fontId="89" fillId="0" borderId="81" xfId="414" applyFont="1" applyBorder="1">
      <alignment vertical="center"/>
    </xf>
    <xf numFmtId="38" fontId="89" fillId="0" borderId="31" xfId="414" applyFont="1" applyBorder="1">
      <alignment vertical="center"/>
    </xf>
    <xf numFmtId="38" fontId="89" fillId="0" borderId="35" xfId="414" applyFont="1" applyBorder="1">
      <alignment vertical="center"/>
    </xf>
    <xf numFmtId="38" fontId="89" fillId="0" borderId="74" xfId="414" applyFont="1" applyBorder="1">
      <alignment vertical="center"/>
    </xf>
    <xf numFmtId="38" fontId="89" fillId="0" borderId="73" xfId="414" applyFont="1" applyFill="1" applyBorder="1">
      <alignment vertical="center"/>
    </xf>
    <xf numFmtId="38" fontId="89" fillId="0" borderId="11" xfId="414" applyFont="1" applyFill="1" applyBorder="1">
      <alignment vertical="center"/>
    </xf>
    <xf numFmtId="38" fontId="89" fillId="0" borderId="37" xfId="414" applyFont="1" applyFill="1" applyBorder="1">
      <alignment vertical="center"/>
    </xf>
    <xf numFmtId="38" fontId="89" fillId="0" borderId="23" xfId="414" applyFont="1" applyFill="1" applyBorder="1">
      <alignment vertical="center"/>
    </xf>
    <xf numFmtId="38" fontId="89" fillId="0" borderId="82" xfId="414" applyFont="1" applyFill="1" applyBorder="1">
      <alignment vertical="center"/>
    </xf>
    <xf numFmtId="38" fontId="89" fillId="0" borderId="68" xfId="414" applyFont="1" applyFill="1" applyBorder="1">
      <alignment vertical="center"/>
    </xf>
    <xf numFmtId="38" fontId="89" fillId="0" borderId="5" xfId="414" applyFont="1" applyFill="1" applyBorder="1">
      <alignment vertical="center"/>
    </xf>
    <xf numFmtId="38" fontId="89" fillId="0" borderId="31" xfId="414" applyFont="1" applyFill="1" applyBorder="1">
      <alignment vertical="center"/>
    </xf>
    <xf numFmtId="38" fontId="89" fillId="0" borderId="35" xfId="414" applyFont="1" applyFill="1" applyBorder="1">
      <alignment vertical="center"/>
    </xf>
    <xf numFmtId="38" fontId="89" fillId="0" borderId="30" xfId="414" applyFont="1" applyFill="1" applyBorder="1">
      <alignment vertical="center"/>
    </xf>
    <xf numFmtId="38" fontId="108" fillId="71" borderId="85" xfId="414" applyFont="1" applyFill="1" applyBorder="1" applyAlignment="1" applyProtection="1">
      <alignment vertical="center"/>
    </xf>
    <xf numFmtId="198" fontId="107" fillId="61" borderId="75" xfId="416" applyNumberFormat="1" applyFill="1" applyBorder="1" applyAlignment="1">
      <alignment vertical="center"/>
    </xf>
    <xf numFmtId="198" fontId="108" fillId="59" borderId="85" xfId="349" applyNumberFormat="1" applyFont="1" applyFill="1" applyBorder="1" applyAlignment="1">
      <alignment vertical="center"/>
    </xf>
    <xf numFmtId="198" fontId="108" fillId="49" borderId="85" xfId="349" applyNumberFormat="1" applyFont="1" applyFill="1" applyBorder="1" applyAlignment="1">
      <alignment vertical="center"/>
    </xf>
    <xf numFmtId="198" fontId="130" fillId="0" borderId="0" xfId="349" applyNumberFormat="1" applyFont="1" applyAlignment="1">
      <alignment vertical="center"/>
    </xf>
    <xf numFmtId="198" fontId="151" fillId="0" borderId="0" xfId="349" applyNumberFormat="1" applyFont="1" applyAlignment="1">
      <alignment vertical="center"/>
    </xf>
    <xf numFmtId="198" fontId="108" fillId="63" borderId="85" xfId="349" applyNumberFormat="1" applyFont="1" applyFill="1" applyBorder="1" applyAlignment="1">
      <alignment vertical="center"/>
    </xf>
    <xf numFmtId="198" fontId="108" fillId="66" borderId="85" xfId="349" applyNumberFormat="1" applyFont="1" applyFill="1" applyBorder="1" applyAlignment="1">
      <alignment vertical="center"/>
    </xf>
    <xf numFmtId="0" fontId="107" fillId="61" borderId="44" xfId="345" applyFont="1" applyFill="1" applyBorder="1">
      <alignment vertical="center"/>
    </xf>
    <xf numFmtId="38" fontId="108" fillId="59" borderId="85" xfId="414" applyFont="1" applyFill="1" applyBorder="1" applyAlignment="1" applyProtection="1">
      <alignment vertical="center"/>
    </xf>
    <xf numFmtId="38" fontId="108" fillId="49" borderId="85" xfId="414" applyFont="1" applyFill="1" applyBorder="1" applyAlignment="1" applyProtection="1">
      <alignment vertical="center"/>
    </xf>
    <xf numFmtId="38" fontId="108" fillId="77" borderId="85" xfId="414" applyFont="1" applyFill="1" applyBorder="1" applyAlignment="1" applyProtection="1">
      <alignment vertical="center"/>
    </xf>
    <xf numFmtId="38" fontId="108" fillId="66" borderId="85" xfId="414" applyFont="1" applyFill="1" applyBorder="1" applyAlignment="1" applyProtection="1">
      <alignment vertical="center"/>
    </xf>
    <xf numFmtId="198" fontId="107" fillId="67" borderId="85" xfId="349" applyNumberFormat="1" applyFont="1" applyFill="1" applyBorder="1" applyAlignment="1">
      <alignment vertical="center"/>
    </xf>
    <xf numFmtId="38" fontId="108" fillId="71" borderId="5" xfId="414" applyFont="1" applyFill="1" applyBorder="1" applyAlignment="1" applyProtection="1">
      <alignment vertical="center"/>
    </xf>
    <xf numFmtId="38" fontId="107" fillId="61" borderId="46" xfId="414" applyFont="1" applyFill="1" applyBorder="1" applyAlignment="1" applyProtection="1">
      <alignment vertical="center"/>
      <protection locked="0"/>
    </xf>
    <xf numFmtId="38" fontId="107" fillId="61" borderId="31" xfId="414" applyFont="1" applyFill="1" applyBorder="1" applyAlignment="1" applyProtection="1">
      <alignment vertical="center"/>
      <protection locked="0"/>
    </xf>
    <xf numFmtId="38" fontId="107" fillId="61" borderId="5" xfId="414" applyFont="1" applyFill="1" applyBorder="1" applyAlignment="1">
      <alignment vertical="center"/>
    </xf>
    <xf numFmtId="38" fontId="107" fillId="61" borderId="81" xfId="414" applyFont="1" applyFill="1" applyBorder="1">
      <alignment vertical="center"/>
    </xf>
    <xf numFmtId="38" fontId="107" fillId="61" borderId="5" xfId="414" applyFont="1" applyFill="1" applyBorder="1">
      <alignment vertical="center"/>
    </xf>
    <xf numFmtId="38" fontId="107" fillId="0" borderId="5" xfId="414" applyFont="1" applyFill="1" applyBorder="1" applyAlignment="1">
      <alignment horizontal="right" vertical="center"/>
    </xf>
    <xf numFmtId="38" fontId="108" fillId="59" borderId="5" xfId="414" applyFont="1" applyFill="1" applyBorder="1" applyAlignment="1" applyProtection="1">
      <alignment vertical="center"/>
    </xf>
    <xf numFmtId="38" fontId="107" fillId="61" borderId="5" xfId="414" applyFont="1" applyFill="1" applyBorder="1" applyAlignment="1" applyProtection="1">
      <alignment vertical="center"/>
    </xf>
    <xf numFmtId="195" fontId="150" fillId="0" borderId="5" xfId="415" applyNumberFormat="1" applyFont="1" applyFill="1" applyBorder="1" applyAlignment="1" applyProtection="1">
      <alignment vertical="center"/>
    </xf>
    <xf numFmtId="38" fontId="108" fillId="49" borderId="5" xfId="414" applyFont="1" applyFill="1" applyBorder="1" applyAlignment="1" applyProtection="1">
      <alignment vertical="center"/>
    </xf>
    <xf numFmtId="38" fontId="108" fillId="77" borderId="5" xfId="414" applyFont="1" applyFill="1" applyBorder="1" applyAlignment="1" applyProtection="1">
      <alignment vertical="center"/>
    </xf>
    <xf numFmtId="38" fontId="108" fillId="66" borderId="5" xfId="414" applyFont="1" applyFill="1" applyBorder="1" applyAlignment="1" applyProtection="1">
      <alignment vertical="center"/>
    </xf>
    <xf numFmtId="38" fontId="108" fillId="0" borderId="81" xfId="414" applyFont="1" applyFill="1" applyBorder="1" applyAlignment="1">
      <alignment horizontal="right" vertical="center"/>
    </xf>
    <xf numFmtId="38" fontId="107" fillId="67" borderId="5" xfId="414" applyFont="1" applyFill="1" applyBorder="1" applyAlignment="1">
      <alignment horizontal="right" vertical="center"/>
    </xf>
    <xf numFmtId="38" fontId="107" fillId="64" borderId="5" xfId="414" applyFont="1" applyFill="1" applyBorder="1" applyAlignment="1">
      <alignment horizontal="right" vertical="center"/>
    </xf>
    <xf numFmtId="38" fontId="107" fillId="83" borderId="5" xfId="414" applyFont="1" applyFill="1" applyBorder="1" applyAlignment="1">
      <alignment horizontal="right" vertical="center"/>
    </xf>
    <xf numFmtId="38" fontId="107" fillId="63" borderId="5" xfId="414" applyFont="1" applyFill="1" applyBorder="1" applyAlignment="1">
      <alignment horizontal="right" vertical="center"/>
    </xf>
    <xf numFmtId="38" fontId="107" fillId="75" borderId="5" xfId="414" applyFont="1" applyFill="1" applyBorder="1" applyAlignment="1" applyProtection="1">
      <alignment vertical="center"/>
    </xf>
    <xf numFmtId="38" fontId="108" fillId="67" borderId="5" xfId="345" applyNumberFormat="1" applyFont="1" applyFill="1" applyBorder="1">
      <alignment vertical="center"/>
    </xf>
    <xf numFmtId="38" fontId="107" fillId="0" borderId="35" xfId="414" applyFont="1" applyFill="1" applyBorder="1">
      <alignment vertical="center"/>
    </xf>
    <xf numFmtId="38" fontId="107" fillId="0" borderId="46" xfId="414" applyFont="1" applyFill="1" applyBorder="1">
      <alignment vertical="center"/>
    </xf>
    <xf numFmtId="38" fontId="107" fillId="0" borderId="38" xfId="414" applyFont="1" applyFill="1" applyBorder="1">
      <alignment vertical="center"/>
    </xf>
    <xf numFmtId="38" fontId="107" fillId="0" borderId="78" xfId="414" applyFont="1" applyFill="1" applyBorder="1">
      <alignment vertical="center"/>
    </xf>
    <xf numFmtId="38" fontId="107" fillId="0" borderId="43" xfId="414" applyFont="1" applyFill="1" applyBorder="1">
      <alignment vertical="center"/>
    </xf>
    <xf numFmtId="38" fontId="107" fillId="0" borderId="81" xfId="414" applyFont="1" applyFill="1" applyBorder="1">
      <alignment vertical="center"/>
    </xf>
    <xf numFmtId="38" fontId="108" fillId="69" borderId="5" xfId="345" applyNumberFormat="1" applyFont="1" applyFill="1" applyBorder="1">
      <alignment vertical="center"/>
    </xf>
    <xf numFmtId="38" fontId="108" fillId="67" borderId="5" xfId="414" applyFont="1" applyFill="1" applyBorder="1">
      <alignment vertical="center"/>
    </xf>
    <xf numFmtId="38" fontId="107" fillId="61" borderId="43" xfId="414" applyFont="1" applyFill="1" applyBorder="1">
      <alignment vertical="center"/>
    </xf>
    <xf numFmtId="38" fontId="107" fillId="61" borderId="38" xfId="414" applyFont="1" applyFill="1" applyBorder="1">
      <alignment vertical="center"/>
    </xf>
    <xf numFmtId="38" fontId="107" fillId="77" borderId="5" xfId="414" applyFont="1" applyFill="1" applyBorder="1" applyAlignment="1" applyProtection="1">
      <alignment vertical="center"/>
    </xf>
    <xf numFmtId="38" fontId="108" fillId="0" borderId="81" xfId="414" applyFont="1" applyFill="1" applyBorder="1" applyAlignment="1"/>
    <xf numFmtId="38" fontId="108" fillId="64" borderId="5" xfId="414" applyFont="1" applyFill="1" applyBorder="1" applyAlignment="1"/>
    <xf numFmtId="38" fontId="108" fillId="77" borderId="5" xfId="414" applyFont="1" applyFill="1" applyBorder="1" applyAlignment="1"/>
    <xf numFmtId="38" fontId="108" fillId="63" borderId="5" xfId="414" applyFont="1" applyFill="1" applyBorder="1" applyAlignment="1"/>
    <xf numFmtId="38" fontId="108" fillId="75" borderId="5" xfId="414" applyFont="1" applyFill="1" applyBorder="1" applyAlignment="1"/>
    <xf numFmtId="38" fontId="107" fillId="61" borderId="35" xfId="414" applyFont="1" applyFill="1" applyBorder="1" applyAlignment="1" applyProtection="1">
      <alignment vertical="center"/>
    </xf>
    <xf numFmtId="38" fontId="107" fillId="61" borderId="30" xfId="414" applyFont="1" applyFill="1" applyBorder="1" applyAlignment="1" applyProtection="1">
      <alignment vertical="center"/>
      <protection locked="0"/>
    </xf>
    <xf numFmtId="38" fontId="107" fillId="61" borderId="81" xfId="414" applyFont="1" applyFill="1" applyBorder="1" applyAlignment="1" applyProtection="1">
      <alignment vertical="center"/>
    </xf>
    <xf numFmtId="38" fontId="107" fillId="67" borderId="5" xfId="414" applyFont="1" applyFill="1" applyBorder="1" applyAlignment="1" applyProtection="1">
      <alignment vertical="center"/>
    </xf>
    <xf numFmtId="38" fontId="107" fillId="64" borderId="5" xfId="414" applyFont="1" applyFill="1" applyBorder="1" applyAlignment="1" applyProtection="1">
      <alignment vertical="center"/>
    </xf>
    <xf numFmtId="38" fontId="107" fillId="63" borderId="5" xfId="414" applyFont="1" applyFill="1" applyBorder="1" applyAlignment="1" applyProtection="1">
      <alignment vertical="center"/>
    </xf>
    <xf numFmtId="38" fontId="107" fillId="0" borderId="30" xfId="414" applyFont="1" applyBorder="1" applyAlignment="1" applyProtection="1">
      <alignment vertical="center"/>
    </xf>
    <xf numFmtId="38" fontId="107" fillId="66" borderId="5" xfId="414" applyFont="1" applyFill="1" applyBorder="1" applyAlignment="1"/>
    <xf numFmtId="38" fontId="107" fillId="83" borderId="5" xfId="414" applyFont="1" applyFill="1" applyBorder="1">
      <alignment vertical="center"/>
    </xf>
    <xf numFmtId="38" fontId="113" fillId="0" borderId="81" xfId="414" applyFont="1" applyBorder="1">
      <alignment vertical="center"/>
    </xf>
    <xf numFmtId="38" fontId="113" fillId="0" borderId="78" xfId="414" applyFont="1" applyBorder="1">
      <alignment vertical="center"/>
    </xf>
    <xf numFmtId="38" fontId="113" fillId="0" borderId="46" xfId="414" applyFont="1" applyBorder="1">
      <alignment vertical="center"/>
    </xf>
    <xf numFmtId="38" fontId="113" fillId="0" borderId="30" xfId="414" applyFont="1" applyBorder="1">
      <alignment vertical="center"/>
    </xf>
    <xf numFmtId="38" fontId="108" fillId="76" borderId="5" xfId="311" applyFont="1" applyFill="1" applyBorder="1" applyAlignment="1" applyProtection="1">
      <protection locked="0"/>
    </xf>
    <xf numFmtId="38" fontId="108" fillId="67" borderId="5" xfId="311" applyFont="1" applyFill="1" applyBorder="1" applyAlignment="1" applyProtection="1">
      <protection locked="0"/>
    </xf>
    <xf numFmtId="38" fontId="108" fillId="65" borderId="81" xfId="311" applyFont="1" applyFill="1" applyBorder="1" applyAlignment="1" applyProtection="1">
      <protection locked="0"/>
    </xf>
    <xf numFmtId="38" fontId="108" fillId="65" borderId="78" xfId="311" applyFont="1" applyFill="1" applyBorder="1" applyAlignment="1" applyProtection="1">
      <protection locked="0"/>
    </xf>
    <xf numFmtId="38" fontId="107" fillId="0" borderId="43" xfId="311" applyFont="1" applyFill="1" applyBorder="1" applyAlignment="1" applyProtection="1">
      <alignment horizontal="right"/>
      <protection locked="0"/>
    </xf>
    <xf numFmtId="38" fontId="107" fillId="0" borderId="46" xfId="311" applyFont="1" applyFill="1" applyBorder="1" applyAlignment="1" applyProtection="1">
      <alignment horizontal="right"/>
      <protection locked="0"/>
    </xf>
    <xf numFmtId="38" fontId="107" fillId="0" borderId="31" xfId="311" applyFont="1" applyFill="1" applyBorder="1" applyAlignment="1" applyProtection="1">
      <alignment horizontal="right"/>
      <protection locked="0"/>
    </xf>
    <xf numFmtId="38" fontId="107" fillId="0" borderId="35" xfId="311" applyFont="1" applyFill="1" applyBorder="1" applyAlignment="1" applyProtection="1">
      <alignment horizontal="right"/>
      <protection locked="0"/>
    </xf>
    <xf numFmtId="38" fontId="107" fillId="0" borderId="30" xfId="311" applyFont="1" applyFill="1" applyBorder="1" applyAlignment="1" applyProtection="1">
      <alignment horizontal="right"/>
      <protection locked="0"/>
    </xf>
    <xf numFmtId="38" fontId="107" fillId="65" borderId="81" xfId="311" applyFont="1" applyFill="1" applyBorder="1" applyAlignment="1" applyProtection="1">
      <protection locked="0"/>
    </xf>
    <xf numFmtId="38" fontId="107" fillId="65" borderId="30" xfId="311" applyFont="1" applyFill="1" applyBorder="1" applyAlignment="1" applyProtection="1">
      <alignment horizontal="right"/>
      <protection locked="0"/>
    </xf>
    <xf numFmtId="38" fontId="89" fillId="0" borderId="81" xfId="414" applyFont="1" applyFill="1" applyBorder="1">
      <alignment vertical="center"/>
    </xf>
    <xf numFmtId="0" fontId="202" fillId="0" borderId="11" xfId="485" applyFont="1" applyBorder="1">
      <alignment vertical="center"/>
    </xf>
    <xf numFmtId="0" fontId="113" fillId="0" borderId="0" xfId="485" applyFont="1">
      <alignment vertical="center"/>
    </xf>
    <xf numFmtId="0" fontId="113" fillId="0" borderId="73" xfId="485" applyFont="1" applyBorder="1">
      <alignment vertical="center"/>
    </xf>
    <xf numFmtId="0" fontId="113" fillId="0" borderId="75" xfId="485" applyFont="1" applyBorder="1">
      <alignment vertical="center"/>
    </xf>
    <xf numFmtId="0" fontId="113" fillId="0" borderId="11" xfId="485" applyFont="1" applyBorder="1">
      <alignment vertical="center"/>
    </xf>
    <xf numFmtId="0" fontId="113" fillId="0" borderId="72" xfId="485" applyFont="1" applyBorder="1">
      <alignment vertical="center"/>
    </xf>
    <xf numFmtId="0" fontId="113" fillId="0" borderId="0" xfId="485" applyFont="1" applyAlignment="1">
      <alignment horizontal="left" vertical="center" indent="1"/>
    </xf>
    <xf numFmtId="0" fontId="113" fillId="0" borderId="23" xfId="485" applyFont="1" applyBorder="1">
      <alignment vertical="center"/>
    </xf>
    <xf numFmtId="0" fontId="113" fillId="0" borderId="22" xfId="485" applyFont="1" applyBorder="1" applyAlignment="1">
      <alignment horizontal="left" vertical="center" indent="1"/>
    </xf>
    <xf numFmtId="0" fontId="113" fillId="0" borderId="22" xfId="485" applyFont="1" applyBorder="1">
      <alignment vertical="center"/>
    </xf>
    <xf numFmtId="0" fontId="113" fillId="0" borderId="85" xfId="485" applyFont="1" applyBorder="1">
      <alignment vertical="center"/>
    </xf>
    <xf numFmtId="0" fontId="115" fillId="61" borderId="0" xfId="345" applyFont="1" applyFill="1">
      <alignment vertical="center"/>
    </xf>
    <xf numFmtId="0" fontId="128" fillId="0" borderId="0" xfId="486" applyFont="1">
      <alignment vertical="center"/>
    </xf>
    <xf numFmtId="0" fontId="113" fillId="0" borderId="85" xfId="486" applyFont="1" applyBorder="1">
      <alignment vertical="center"/>
    </xf>
    <xf numFmtId="0" fontId="128" fillId="0" borderId="85" xfId="486" applyFont="1" applyBorder="1">
      <alignment vertical="center"/>
    </xf>
    <xf numFmtId="0" fontId="128" fillId="0" borderId="11" xfId="486" applyFont="1" applyBorder="1">
      <alignment vertical="center"/>
    </xf>
    <xf numFmtId="0" fontId="128" fillId="0" borderId="31" xfId="486" applyFont="1" applyBorder="1" applyAlignment="1">
      <alignment horizontal="center" vertical="center"/>
    </xf>
    <xf numFmtId="0" fontId="128" fillId="0" borderId="23" xfId="486" applyFont="1" applyBorder="1">
      <alignment vertical="center"/>
    </xf>
    <xf numFmtId="0" fontId="128" fillId="0" borderId="22" xfId="486" applyFont="1" applyBorder="1">
      <alignment vertical="center"/>
    </xf>
    <xf numFmtId="0" fontId="128" fillId="0" borderId="30" xfId="486" applyFont="1" applyBorder="1" applyAlignment="1">
      <alignment horizontal="center" vertical="center"/>
    </xf>
    <xf numFmtId="0" fontId="128" fillId="0" borderId="24" xfId="486" applyFont="1" applyBorder="1" applyAlignment="1">
      <alignment horizontal="center" vertical="center"/>
    </xf>
    <xf numFmtId="0" fontId="128" fillId="0" borderId="31" xfId="486" applyFont="1" applyBorder="1">
      <alignment vertical="center"/>
    </xf>
    <xf numFmtId="0" fontId="128" fillId="0" borderId="11" xfId="486" applyFont="1" applyBorder="1" applyAlignment="1">
      <alignment horizontal="left" vertical="center" indent="1"/>
    </xf>
    <xf numFmtId="0" fontId="128" fillId="0" borderId="23" xfId="486" applyFont="1" applyBorder="1" applyAlignment="1">
      <alignment horizontal="left" vertical="center" indent="1"/>
    </xf>
    <xf numFmtId="0" fontId="128" fillId="0" borderId="30" xfId="486" applyFont="1" applyBorder="1">
      <alignment vertical="center"/>
    </xf>
    <xf numFmtId="0" fontId="203" fillId="0" borderId="11" xfId="486" applyFont="1" applyBorder="1">
      <alignment vertical="center"/>
    </xf>
    <xf numFmtId="38" fontId="107" fillId="0" borderId="82" xfId="484" applyFont="1" applyFill="1" applyBorder="1" applyAlignment="1" applyProtection="1">
      <alignment vertical="center"/>
    </xf>
    <xf numFmtId="0" fontId="107" fillId="0" borderId="68" xfId="349" applyFont="1" applyBorder="1"/>
    <xf numFmtId="0" fontId="107" fillId="0" borderId="85" xfId="349" applyFont="1" applyBorder="1"/>
    <xf numFmtId="0" fontId="108" fillId="0" borderId="85" xfId="349" applyFont="1" applyBorder="1"/>
    <xf numFmtId="38" fontId="107" fillId="0" borderId="82" xfId="484" applyFont="1" applyFill="1" applyBorder="1" applyAlignment="1"/>
    <xf numFmtId="0" fontId="204" fillId="0" borderId="0" xfId="486" applyFont="1">
      <alignment vertical="center"/>
    </xf>
    <xf numFmtId="0" fontId="203" fillId="0" borderId="0" xfId="486" applyFont="1">
      <alignment vertical="center"/>
    </xf>
    <xf numFmtId="0" fontId="206" fillId="0" borderId="11" xfId="488" applyBorder="1">
      <alignment vertical="center"/>
    </xf>
    <xf numFmtId="49" fontId="192" fillId="61" borderId="0" xfId="345" applyNumberFormat="1" applyFont="1" applyFill="1">
      <alignment vertical="center"/>
    </xf>
    <xf numFmtId="198" fontId="108" fillId="61" borderId="73" xfId="349" applyNumberFormat="1" applyFont="1" applyFill="1" applyBorder="1" applyAlignment="1">
      <alignment vertical="center"/>
    </xf>
    <xf numFmtId="198" fontId="107" fillId="61" borderId="75" xfId="349" applyNumberFormat="1" applyFont="1" applyFill="1" applyBorder="1" applyAlignment="1">
      <alignment vertical="center"/>
    </xf>
    <xf numFmtId="198" fontId="108" fillId="61" borderId="75" xfId="349" applyNumberFormat="1" applyFont="1" applyFill="1" applyBorder="1" applyAlignment="1">
      <alignment vertical="center"/>
    </xf>
    <xf numFmtId="198" fontId="107" fillId="61" borderId="81" xfId="349" applyNumberFormat="1" applyFont="1" applyFill="1" applyBorder="1" applyAlignment="1">
      <alignment vertical="center"/>
    </xf>
    <xf numFmtId="38" fontId="107" fillId="61" borderId="34" xfId="414" applyFont="1" applyFill="1" applyBorder="1" applyAlignment="1">
      <alignment horizontal="right" vertical="center"/>
    </xf>
    <xf numFmtId="198" fontId="107" fillId="0" borderId="37" xfId="349" applyNumberFormat="1" applyFont="1" applyBorder="1" applyAlignment="1">
      <alignment vertical="center"/>
    </xf>
    <xf numFmtId="198" fontId="107" fillId="67" borderId="68" xfId="349" applyNumberFormat="1" applyFont="1" applyFill="1" applyBorder="1" applyAlignment="1">
      <alignment vertical="center"/>
    </xf>
    <xf numFmtId="198" fontId="107" fillId="67" borderId="5" xfId="349" applyNumberFormat="1" applyFont="1" applyFill="1" applyBorder="1" applyAlignment="1">
      <alignment vertical="center"/>
    </xf>
    <xf numFmtId="198" fontId="107" fillId="67" borderId="11" xfId="349" applyNumberFormat="1" applyFont="1" applyFill="1" applyBorder="1" applyAlignment="1">
      <alignment vertical="center"/>
    </xf>
    <xf numFmtId="198" fontId="107" fillId="67" borderId="0" xfId="349" applyNumberFormat="1" applyFont="1" applyFill="1" applyAlignment="1">
      <alignment vertical="center"/>
    </xf>
    <xf numFmtId="198" fontId="107" fillId="67" borderId="31" xfId="349" applyNumberFormat="1" applyFont="1" applyFill="1" applyBorder="1" applyAlignment="1">
      <alignment vertical="center"/>
    </xf>
    <xf numFmtId="198" fontId="107" fillId="67" borderId="36" xfId="349" applyNumberFormat="1" applyFont="1" applyFill="1" applyBorder="1" applyAlignment="1">
      <alignment vertical="center"/>
    </xf>
    <xf numFmtId="198" fontId="107" fillId="67" borderId="35" xfId="349" applyNumberFormat="1" applyFont="1" applyFill="1" applyBorder="1" applyAlignment="1">
      <alignment vertical="center"/>
    </xf>
    <xf numFmtId="198" fontId="107" fillId="67" borderId="23" xfId="349" applyNumberFormat="1" applyFont="1" applyFill="1" applyBorder="1" applyAlignment="1">
      <alignment vertical="center"/>
    </xf>
    <xf numFmtId="198" fontId="107" fillId="67" borderId="22" xfId="349" applyNumberFormat="1" applyFont="1" applyFill="1" applyBorder="1" applyAlignment="1">
      <alignment vertical="center"/>
    </xf>
    <xf numFmtId="198" fontId="107" fillId="67" borderId="30" xfId="349" applyNumberFormat="1" applyFont="1" applyFill="1" applyBorder="1" applyAlignment="1">
      <alignment vertical="center"/>
    </xf>
    <xf numFmtId="198" fontId="108" fillId="86" borderId="68" xfId="349" applyNumberFormat="1" applyFont="1" applyFill="1" applyBorder="1" applyAlignment="1">
      <alignment vertical="center"/>
    </xf>
    <xf numFmtId="198" fontId="108" fillId="86" borderId="85" xfId="349" applyNumberFormat="1" applyFont="1" applyFill="1" applyBorder="1" applyAlignment="1">
      <alignment vertical="center"/>
    </xf>
    <xf numFmtId="198" fontId="107" fillId="86" borderId="85" xfId="349" applyNumberFormat="1" applyFont="1" applyFill="1" applyBorder="1" applyAlignment="1">
      <alignment vertical="center"/>
    </xf>
    <xf numFmtId="198" fontId="108" fillId="86" borderId="11" xfId="349" applyNumberFormat="1" applyFont="1" applyFill="1" applyBorder="1" applyAlignment="1">
      <alignment vertical="center"/>
    </xf>
    <xf numFmtId="198" fontId="108" fillId="86" borderId="0" xfId="349" applyNumberFormat="1" applyFont="1" applyFill="1" applyAlignment="1">
      <alignment vertical="center"/>
    </xf>
    <xf numFmtId="198" fontId="107" fillId="86" borderId="0" xfId="349" applyNumberFormat="1" applyFont="1" applyFill="1" applyAlignment="1">
      <alignment vertical="center"/>
    </xf>
    <xf numFmtId="198" fontId="108" fillId="86" borderId="36" xfId="349" applyNumberFormat="1" applyFont="1" applyFill="1" applyBorder="1" applyAlignment="1">
      <alignment vertical="center"/>
    </xf>
    <xf numFmtId="198" fontId="107" fillId="86" borderId="36" xfId="349" applyNumberFormat="1" applyFont="1" applyFill="1" applyBorder="1" applyAlignment="1">
      <alignment vertical="center"/>
    </xf>
    <xf numFmtId="198" fontId="108" fillId="86" borderId="23" xfId="349" applyNumberFormat="1" applyFont="1" applyFill="1" applyBorder="1" applyAlignment="1">
      <alignment vertical="center"/>
    </xf>
    <xf numFmtId="198" fontId="108" fillId="86" borderId="22" xfId="349" applyNumberFormat="1" applyFont="1" applyFill="1" applyBorder="1" applyAlignment="1">
      <alignment vertical="center"/>
    </xf>
    <xf numFmtId="198" fontId="107" fillId="86" borderId="22" xfId="349" applyNumberFormat="1" applyFont="1" applyFill="1" applyBorder="1" applyAlignment="1">
      <alignment vertical="center"/>
    </xf>
    <xf numFmtId="198" fontId="108" fillId="86" borderId="73" xfId="349" applyNumberFormat="1" applyFont="1" applyFill="1" applyBorder="1" applyAlignment="1">
      <alignment vertical="center"/>
    </xf>
    <xf numFmtId="198" fontId="107" fillId="86" borderId="75" xfId="349" applyNumberFormat="1" applyFont="1" applyFill="1" applyBorder="1" applyAlignment="1">
      <alignment vertical="center"/>
    </xf>
    <xf numFmtId="198" fontId="108" fillId="86" borderId="75" xfId="349" applyNumberFormat="1" applyFont="1" applyFill="1" applyBorder="1" applyAlignment="1">
      <alignment vertical="center"/>
    </xf>
    <xf numFmtId="38" fontId="108" fillId="86" borderId="81" xfId="414" applyFont="1" applyFill="1" applyBorder="1" applyAlignment="1" applyProtection="1">
      <alignment vertical="center"/>
    </xf>
    <xf numFmtId="198" fontId="108" fillId="86" borderId="5" xfId="349" applyNumberFormat="1" applyFont="1" applyFill="1" applyBorder="1" applyAlignment="1">
      <alignment vertical="center"/>
    </xf>
    <xf numFmtId="38" fontId="108" fillId="86" borderId="82" xfId="414" applyFont="1" applyFill="1" applyBorder="1" applyAlignment="1">
      <alignment horizontal="right" vertical="center"/>
    </xf>
    <xf numFmtId="198" fontId="108" fillId="86" borderId="31" xfId="349" applyNumberFormat="1" applyFont="1" applyFill="1" applyBorder="1" applyAlignment="1">
      <alignment vertical="center"/>
    </xf>
    <xf numFmtId="198" fontId="108" fillId="86" borderId="35" xfId="349" applyNumberFormat="1" applyFont="1" applyFill="1" applyBorder="1" applyAlignment="1">
      <alignment vertical="center"/>
    </xf>
    <xf numFmtId="198" fontId="108" fillId="86" borderId="30" xfId="349" applyNumberFormat="1" applyFont="1" applyFill="1" applyBorder="1" applyAlignment="1">
      <alignment vertical="center"/>
    </xf>
    <xf numFmtId="0" fontId="128" fillId="0" borderId="0" xfId="486" quotePrefix="1" applyFont="1">
      <alignment vertical="center"/>
    </xf>
    <xf numFmtId="0" fontId="159" fillId="0" borderId="0" xfId="486" applyFont="1">
      <alignment vertical="center"/>
    </xf>
    <xf numFmtId="0" fontId="128" fillId="0" borderId="0" xfId="486" applyFont="1" applyAlignment="1">
      <alignment horizontal="center" vertical="center"/>
    </xf>
    <xf numFmtId="0" fontId="206" fillId="0" borderId="0" xfId="488">
      <alignment vertical="center"/>
    </xf>
    <xf numFmtId="0" fontId="128" fillId="0" borderId="31" xfId="486" quotePrefix="1" applyFont="1" applyBorder="1" applyAlignment="1">
      <alignment horizontal="center" vertical="center"/>
    </xf>
    <xf numFmtId="0" fontId="128" fillId="0" borderId="22" xfId="486" applyFont="1" applyBorder="1" applyAlignment="1">
      <alignment horizontal="center" vertical="center"/>
    </xf>
    <xf numFmtId="0" fontId="202" fillId="0" borderId="0" xfId="486" applyFont="1">
      <alignment vertical="center"/>
    </xf>
    <xf numFmtId="0" fontId="202" fillId="0" borderId="0" xfId="486" quotePrefix="1" applyFont="1">
      <alignment vertical="center"/>
    </xf>
    <xf numFmtId="0" fontId="202" fillId="0" borderId="22" xfId="486" applyFont="1" applyBorder="1">
      <alignment vertical="center"/>
    </xf>
    <xf numFmtId="198" fontId="207" fillId="61" borderId="0" xfId="349" applyNumberFormat="1" applyFont="1" applyFill="1" applyAlignment="1">
      <alignment vertical="center"/>
    </xf>
    <xf numFmtId="38" fontId="169" fillId="0" borderId="31" xfId="414" applyFont="1" applyBorder="1" applyAlignment="1" applyProtection="1">
      <alignment vertical="center"/>
    </xf>
    <xf numFmtId="198" fontId="169" fillId="61" borderId="36" xfId="349" applyNumberFormat="1" applyFont="1" applyFill="1" applyBorder="1" applyAlignment="1">
      <alignment vertical="center"/>
    </xf>
    <xf numFmtId="198" fontId="169" fillId="0" borderId="36" xfId="349" applyNumberFormat="1" applyFont="1" applyBorder="1" applyAlignment="1">
      <alignment vertical="center"/>
    </xf>
    <xf numFmtId="38" fontId="169" fillId="0" borderId="35" xfId="414" applyFont="1" applyBorder="1" applyAlignment="1" applyProtection="1">
      <alignment vertical="center"/>
    </xf>
    <xf numFmtId="0" fontId="128" fillId="0" borderId="23" xfId="486" applyFont="1" applyBorder="1" applyAlignment="1">
      <alignment horizontal="left" vertical="center"/>
    </xf>
    <xf numFmtId="0" fontId="208" fillId="0" borderId="0" xfId="486" applyFont="1">
      <alignment vertical="center"/>
    </xf>
    <xf numFmtId="0" fontId="209" fillId="0" borderId="0" xfId="486" applyFont="1">
      <alignment vertical="center"/>
    </xf>
    <xf numFmtId="198" fontId="154" fillId="67" borderId="36" xfId="349" applyNumberFormat="1" applyFont="1" applyFill="1" applyBorder="1" applyAlignment="1">
      <alignment vertical="center"/>
    </xf>
    <xf numFmtId="0" fontId="128" fillId="82" borderId="24" xfId="486" quotePrefix="1" applyFont="1" applyFill="1" applyBorder="1" applyAlignment="1">
      <alignment horizontal="center" vertical="center"/>
    </xf>
    <xf numFmtId="0" fontId="128" fillId="82" borderId="31" xfId="486" quotePrefix="1" applyFont="1" applyFill="1" applyBorder="1" applyAlignment="1">
      <alignment horizontal="center" vertical="center"/>
    </xf>
    <xf numFmtId="0" fontId="128" fillId="82" borderId="21" xfId="486" quotePrefix="1" applyFont="1" applyFill="1" applyBorder="1" applyAlignment="1">
      <alignment horizontal="center" vertical="center"/>
    </xf>
    <xf numFmtId="197" fontId="116" fillId="61" borderId="0" xfId="345" applyNumberFormat="1" applyFont="1" applyFill="1">
      <alignment vertical="center"/>
    </xf>
    <xf numFmtId="0" fontId="115" fillId="0" borderId="22" xfId="345" applyFont="1" applyBorder="1">
      <alignment vertical="center"/>
    </xf>
    <xf numFmtId="0" fontId="115" fillId="0" borderId="0" xfId="345" applyFont="1">
      <alignment vertical="center"/>
    </xf>
    <xf numFmtId="198" fontId="107" fillId="0" borderId="0" xfId="345" applyNumberFormat="1" applyFont="1">
      <alignment vertical="center"/>
    </xf>
    <xf numFmtId="0" fontId="108" fillId="67" borderId="0" xfId="349" applyFont="1" applyFill="1"/>
    <xf numFmtId="38" fontId="108" fillId="67" borderId="31" xfId="414" applyFont="1" applyFill="1" applyBorder="1" applyAlignment="1"/>
    <xf numFmtId="0" fontId="108" fillId="61" borderId="36" xfId="345" applyFont="1" applyFill="1" applyBorder="1">
      <alignment vertical="center"/>
    </xf>
    <xf numFmtId="38" fontId="107" fillId="61" borderId="35" xfId="414" applyFont="1" applyFill="1" applyBorder="1" applyAlignment="1">
      <alignment horizontal="right" vertical="center"/>
    </xf>
    <xf numFmtId="0" fontId="108" fillId="67" borderId="83" xfId="349" applyFont="1" applyFill="1" applyBorder="1"/>
    <xf numFmtId="0" fontId="108" fillId="67" borderId="47" xfId="349" applyFont="1" applyFill="1" applyBorder="1"/>
    <xf numFmtId="0" fontId="108" fillId="67" borderId="46" xfId="349" applyFont="1" applyFill="1" applyBorder="1"/>
    <xf numFmtId="0" fontId="107" fillId="61" borderId="71" xfId="345" applyFont="1" applyFill="1" applyBorder="1">
      <alignment vertical="center"/>
    </xf>
    <xf numFmtId="0" fontId="107" fillId="61" borderId="70" xfId="345" applyFont="1" applyFill="1" applyBorder="1">
      <alignment vertical="center"/>
    </xf>
    <xf numFmtId="0" fontId="108" fillId="67" borderId="71" xfId="349" applyFont="1" applyFill="1" applyBorder="1"/>
    <xf numFmtId="0" fontId="108" fillId="67" borderId="31" xfId="349" applyFont="1" applyFill="1" applyBorder="1"/>
    <xf numFmtId="0" fontId="108" fillId="86" borderId="25" xfId="349" applyFont="1" applyFill="1" applyBorder="1"/>
    <xf numFmtId="0" fontId="107" fillId="86" borderId="29" xfId="349" applyFont="1" applyFill="1" applyBorder="1"/>
    <xf numFmtId="0" fontId="108" fillId="86" borderId="69" xfId="349" applyFont="1" applyFill="1" applyBorder="1"/>
    <xf numFmtId="0" fontId="108" fillId="86" borderId="85" xfId="349" applyFont="1" applyFill="1" applyBorder="1"/>
    <xf numFmtId="38" fontId="108" fillId="86" borderId="82" xfId="414" applyFont="1" applyFill="1" applyBorder="1" applyAlignment="1"/>
    <xf numFmtId="38" fontId="108" fillId="86" borderId="5" xfId="414" applyFont="1" applyFill="1" applyBorder="1" applyAlignment="1"/>
    <xf numFmtId="0" fontId="183" fillId="0" borderId="0" xfId="486" applyFont="1">
      <alignment vertical="center"/>
    </xf>
    <xf numFmtId="0" fontId="176" fillId="61" borderId="0" xfId="345" applyFont="1" applyFill="1">
      <alignment vertical="center"/>
    </xf>
    <xf numFmtId="0" fontId="176" fillId="0" borderId="0" xfId="345" applyFont="1">
      <alignment vertical="center"/>
    </xf>
    <xf numFmtId="0" fontId="108" fillId="71" borderId="85" xfId="345" applyFont="1" applyFill="1" applyBorder="1">
      <alignment vertical="center"/>
    </xf>
    <xf numFmtId="0" fontId="107" fillId="71" borderId="85" xfId="345" applyFont="1" applyFill="1" applyBorder="1">
      <alignment vertical="center"/>
    </xf>
    <xf numFmtId="38" fontId="107" fillId="71" borderId="82" xfId="414" applyFont="1" applyFill="1" applyBorder="1">
      <alignment vertical="center"/>
    </xf>
    <xf numFmtId="38" fontId="174" fillId="74" borderId="0" xfId="484" applyFont="1" applyFill="1" applyBorder="1" applyAlignment="1" applyProtection="1">
      <alignment vertical="center"/>
    </xf>
    <xf numFmtId="0" fontId="108" fillId="74" borderId="0" xfId="345" applyFont="1" applyFill="1">
      <alignment vertical="center"/>
    </xf>
    <xf numFmtId="195" fontId="107" fillId="71" borderId="82" xfId="414" applyNumberFormat="1" applyFont="1" applyFill="1" applyBorder="1">
      <alignment vertical="center"/>
    </xf>
    <xf numFmtId="38" fontId="174" fillId="87" borderId="68" xfId="484" applyFont="1" applyFill="1" applyBorder="1" applyAlignment="1" applyProtection="1">
      <alignment vertical="center"/>
    </xf>
    <xf numFmtId="38" fontId="174" fillId="87" borderId="85" xfId="484" applyFont="1" applyFill="1" applyBorder="1" applyAlignment="1" applyProtection="1">
      <alignment vertical="center"/>
    </xf>
    <xf numFmtId="0" fontId="108" fillId="87" borderId="85" xfId="345" applyFont="1" applyFill="1" applyBorder="1">
      <alignment vertical="center"/>
    </xf>
    <xf numFmtId="0" fontId="107" fillId="87" borderId="85" xfId="345" applyFont="1" applyFill="1" applyBorder="1">
      <alignment vertical="center"/>
    </xf>
    <xf numFmtId="38" fontId="107" fillId="87" borderId="82" xfId="414" applyFont="1" applyFill="1" applyBorder="1">
      <alignment vertical="center"/>
    </xf>
    <xf numFmtId="195" fontId="107" fillId="87" borderId="82" xfId="414" applyNumberFormat="1" applyFont="1" applyFill="1" applyBorder="1">
      <alignment vertical="center"/>
    </xf>
    <xf numFmtId="38" fontId="174" fillId="77" borderId="68" xfId="484" applyFont="1" applyFill="1" applyBorder="1" applyAlignment="1" applyProtection="1">
      <alignment vertical="center"/>
    </xf>
    <xf numFmtId="38" fontId="174" fillId="77" borderId="85" xfId="484" applyFont="1" applyFill="1" applyBorder="1" applyAlignment="1" applyProtection="1">
      <alignment vertical="center"/>
    </xf>
    <xf numFmtId="0" fontId="108" fillId="77" borderId="85" xfId="345" applyFont="1" applyFill="1" applyBorder="1">
      <alignment vertical="center"/>
    </xf>
    <xf numFmtId="0" fontId="107" fillId="77" borderId="85" xfId="345" applyFont="1" applyFill="1" applyBorder="1">
      <alignment vertical="center"/>
    </xf>
    <xf numFmtId="195" fontId="107" fillId="77" borderId="82" xfId="414" applyNumberFormat="1" applyFont="1" applyFill="1" applyBorder="1">
      <alignment vertical="center"/>
    </xf>
    <xf numFmtId="0" fontId="133" fillId="0" borderId="0" xfId="345" applyFont="1">
      <alignment vertical="center"/>
    </xf>
    <xf numFmtId="0" fontId="108" fillId="67" borderId="24" xfId="349" applyFont="1" applyFill="1" applyBorder="1"/>
    <xf numFmtId="0" fontId="107" fillId="69" borderId="0" xfId="349" applyFont="1" applyFill="1"/>
    <xf numFmtId="0" fontId="108" fillId="69" borderId="0" xfId="349" applyFont="1" applyFill="1"/>
    <xf numFmtId="0" fontId="152" fillId="69" borderId="0" xfId="349" applyFont="1" applyFill="1"/>
    <xf numFmtId="198" fontId="149" fillId="69" borderId="0" xfId="349" applyNumberFormat="1" applyFont="1" applyFill="1" applyAlignment="1">
      <alignment vertical="center"/>
    </xf>
    <xf numFmtId="0" fontId="148" fillId="69" borderId="0" xfId="345" applyFont="1" applyFill="1">
      <alignment vertical="center"/>
    </xf>
    <xf numFmtId="198" fontId="141" fillId="69" borderId="0" xfId="349" applyNumberFormat="1" applyFont="1" applyFill="1" applyAlignment="1">
      <alignment vertical="center"/>
    </xf>
    <xf numFmtId="198" fontId="154" fillId="69" borderId="0" xfId="349" applyNumberFormat="1" applyFont="1" applyFill="1" applyAlignment="1">
      <alignment vertical="center"/>
    </xf>
    <xf numFmtId="198" fontId="148" fillId="69" borderId="0" xfId="349" applyNumberFormat="1" applyFont="1" applyFill="1" applyAlignment="1">
      <alignment vertical="center"/>
    </xf>
    <xf numFmtId="198" fontId="115" fillId="69" borderId="0" xfId="349" applyNumberFormat="1" applyFont="1" applyFill="1" applyAlignment="1">
      <alignment vertical="center"/>
    </xf>
    <xf numFmtId="198" fontId="108" fillId="69" borderId="0" xfId="349" applyNumberFormat="1" applyFont="1" applyFill="1" applyAlignment="1">
      <alignment vertical="center"/>
    </xf>
    <xf numFmtId="198" fontId="115" fillId="0" borderId="0" xfId="349" applyNumberFormat="1" applyFont="1" applyAlignment="1">
      <alignment vertical="center"/>
    </xf>
    <xf numFmtId="0" fontId="107" fillId="70" borderId="36" xfId="345" applyFont="1" applyFill="1" applyBorder="1">
      <alignment vertical="center"/>
    </xf>
    <xf numFmtId="38" fontId="107" fillId="70" borderId="35" xfId="414" applyFont="1" applyFill="1" applyBorder="1">
      <alignment vertical="center"/>
    </xf>
    <xf numFmtId="38" fontId="107" fillId="69" borderId="24" xfId="414" applyFont="1" applyFill="1" applyBorder="1">
      <alignment vertical="center"/>
    </xf>
    <xf numFmtId="38" fontId="107" fillId="69" borderId="31" xfId="414" applyFont="1" applyFill="1" applyBorder="1">
      <alignment vertical="center"/>
    </xf>
    <xf numFmtId="198" fontId="107" fillId="69" borderId="22" xfId="349" applyNumberFormat="1" applyFont="1" applyFill="1" applyBorder="1" applyAlignment="1">
      <alignment vertical="center"/>
    </xf>
    <xf numFmtId="0" fontId="107" fillId="69" borderId="22" xfId="345" applyFont="1" applyFill="1" applyBorder="1">
      <alignment vertical="center"/>
    </xf>
    <xf numFmtId="38" fontId="107" fillId="69" borderId="21" xfId="414" applyFont="1" applyFill="1" applyBorder="1">
      <alignment vertical="center"/>
    </xf>
    <xf numFmtId="38" fontId="107" fillId="69" borderId="30" xfId="414" applyFont="1" applyFill="1" applyBorder="1">
      <alignment vertical="center"/>
    </xf>
    <xf numFmtId="0" fontId="108" fillId="71" borderId="25" xfId="349" applyFont="1" applyFill="1" applyBorder="1"/>
    <xf numFmtId="0" fontId="107" fillId="71" borderId="85" xfId="349" applyFont="1" applyFill="1" applyBorder="1"/>
    <xf numFmtId="0" fontId="108" fillId="71" borderId="85" xfId="349" applyFont="1" applyFill="1" applyBorder="1"/>
    <xf numFmtId="0" fontId="108" fillId="71" borderId="5" xfId="349" applyFont="1" applyFill="1" applyBorder="1"/>
    <xf numFmtId="38" fontId="108" fillId="71" borderId="5" xfId="414" applyFont="1" applyFill="1" applyBorder="1" applyAlignment="1"/>
    <xf numFmtId="38" fontId="108" fillId="71" borderId="28" xfId="414" applyFont="1" applyFill="1" applyBorder="1" applyAlignment="1"/>
    <xf numFmtId="0" fontId="108" fillId="71" borderId="68" xfId="349" applyFont="1" applyFill="1" applyBorder="1"/>
    <xf numFmtId="0" fontId="145" fillId="71" borderId="85" xfId="349" applyFont="1" applyFill="1" applyBorder="1"/>
    <xf numFmtId="0" fontId="108" fillId="71" borderId="11" xfId="349" applyFont="1" applyFill="1" applyBorder="1"/>
    <xf numFmtId="0" fontId="107" fillId="71" borderId="0" xfId="349" applyFont="1" applyFill="1"/>
    <xf numFmtId="0" fontId="108" fillId="71" borderId="0" xfId="349" applyFont="1" applyFill="1"/>
    <xf numFmtId="0" fontId="108" fillId="71" borderId="31" xfId="349" applyFont="1" applyFill="1" applyBorder="1"/>
    <xf numFmtId="198" fontId="108" fillId="71" borderId="25" xfId="349" applyNumberFormat="1" applyFont="1" applyFill="1" applyBorder="1" applyAlignment="1">
      <alignment vertical="center"/>
    </xf>
    <xf numFmtId="198" fontId="107" fillId="71" borderId="85" xfId="349" applyNumberFormat="1" applyFont="1" applyFill="1" applyBorder="1" applyAlignment="1">
      <alignment vertical="center"/>
    </xf>
    <xf numFmtId="198" fontId="108" fillId="71" borderId="85" xfId="349" applyNumberFormat="1" applyFont="1" applyFill="1" applyBorder="1" applyAlignment="1">
      <alignment vertical="center"/>
    </xf>
    <xf numFmtId="198" fontId="108" fillId="71" borderId="5" xfId="349" applyNumberFormat="1" applyFont="1" applyFill="1" applyBorder="1" applyAlignment="1">
      <alignment vertical="center"/>
    </xf>
    <xf numFmtId="198" fontId="108" fillId="71" borderId="28" xfId="349" applyNumberFormat="1" applyFont="1" applyFill="1" applyBorder="1" applyAlignment="1">
      <alignment vertical="center"/>
    </xf>
    <xf numFmtId="0" fontId="108" fillId="71" borderId="56" xfId="349" applyFont="1" applyFill="1" applyBorder="1"/>
    <xf numFmtId="38" fontId="108" fillId="71" borderId="56" xfId="414" applyFont="1" applyFill="1" applyBorder="1" applyAlignment="1"/>
    <xf numFmtId="198" fontId="108" fillId="71" borderId="11" xfId="349" applyNumberFormat="1" applyFont="1" applyFill="1" applyBorder="1" applyAlignment="1">
      <alignment vertical="center"/>
    </xf>
    <xf numFmtId="38" fontId="107" fillId="71" borderId="69" xfId="414" applyFont="1" applyFill="1" applyBorder="1" applyAlignment="1" applyProtection="1">
      <alignment vertical="center"/>
    </xf>
    <xf numFmtId="38" fontId="108" fillId="71" borderId="69" xfId="414" applyFont="1" applyFill="1" applyBorder="1" applyAlignment="1" applyProtection="1">
      <alignment vertical="center"/>
    </xf>
    <xf numFmtId="0" fontId="9" fillId="71" borderId="11" xfId="349" applyFill="1" applyBorder="1"/>
    <xf numFmtId="0" fontId="9" fillId="71" borderId="23" xfId="349" applyFill="1" applyBorder="1"/>
    <xf numFmtId="38" fontId="107" fillId="71" borderId="82" xfId="484" applyFont="1" applyFill="1" applyBorder="1" applyAlignment="1"/>
    <xf numFmtId="38" fontId="107" fillId="71" borderId="85" xfId="414" applyFont="1" applyFill="1" applyBorder="1" applyAlignment="1" applyProtection="1">
      <alignment vertical="center"/>
    </xf>
    <xf numFmtId="0" fontId="108" fillId="74" borderId="0" xfId="349" applyFont="1" applyFill="1"/>
    <xf numFmtId="0" fontId="108" fillId="74" borderId="22" xfId="349" applyFont="1" applyFill="1" applyBorder="1"/>
    <xf numFmtId="0" fontId="108" fillId="74" borderId="30" xfId="349" applyFont="1" applyFill="1" applyBorder="1"/>
    <xf numFmtId="0" fontId="107" fillId="74" borderId="0" xfId="349" applyFont="1" applyFill="1"/>
    <xf numFmtId="0" fontId="107" fillId="74" borderId="22" xfId="349" applyFont="1" applyFill="1" applyBorder="1"/>
    <xf numFmtId="0" fontId="108" fillId="74" borderId="75" xfId="349" applyFont="1" applyFill="1" applyBorder="1"/>
    <xf numFmtId="0" fontId="108" fillId="74" borderId="31" xfId="349" applyFont="1" applyFill="1" applyBorder="1"/>
    <xf numFmtId="49" fontId="14" fillId="61" borderId="0" xfId="345" applyNumberFormat="1" applyFont="1" applyFill="1" applyAlignment="1">
      <alignment vertical="center" justifyLastLine="1"/>
    </xf>
    <xf numFmtId="49" fontId="211" fillId="61" borderId="0" xfId="345" applyNumberFormat="1" applyFont="1" applyFill="1" applyAlignment="1">
      <alignment vertical="center" justifyLastLine="1"/>
    </xf>
    <xf numFmtId="197" fontId="107" fillId="0" borderId="11" xfId="345" applyNumberFormat="1" applyFont="1" applyBorder="1">
      <alignment vertical="center"/>
    </xf>
    <xf numFmtId="198" fontId="107" fillId="0" borderId="24" xfId="349" applyNumberFormat="1" applyFont="1" applyBorder="1" applyAlignment="1">
      <alignment vertical="center"/>
    </xf>
    <xf numFmtId="38" fontId="125" fillId="0" borderId="11" xfId="311" applyFont="1" applyFill="1" applyBorder="1" applyAlignment="1"/>
    <xf numFmtId="38" fontId="107" fillId="68" borderId="45" xfId="311" applyFont="1" applyFill="1" applyBorder="1" applyAlignment="1" applyProtection="1">
      <alignment horizontal="right"/>
      <protection locked="0"/>
    </xf>
    <xf numFmtId="38" fontId="107" fillId="68" borderId="24" xfId="311" applyFont="1" applyFill="1" applyBorder="1" applyAlignment="1" applyProtection="1">
      <alignment horizontal="right"/>
      <protection locked="0"/>
    </xf>
    <xf numFmtId="38" fontId="107" fillId="68" borderId="34" xfId="311" applyFont="1" applyFill="1" applyBorder="1" applyAlignment="1" applyProtection="1">
      <alignment horizontal="right"/>
      <protection locked="0"/>
    </xf>
    <xf numFmtId="38" fontId="107" fillId="68" borderId="21" xfId="311" applyFont="1" applyFill="1" applyBorder="1" applyAlignment="1" applyProtection="1">
      <alignment horizontal="right"/>
      <protection locked="0"/>
    </xf>
    <xf numFmtId="38" fontId="107" fillId="68" borderId="80" xfId="311" applyFont="1" applyFill="1" applyBorder="1" applyAlignment="1" applyProtection="1">
      <alignment horizontal="right"/>
      <protection locked="0"/>
    </xf>
    <xf numFmtId="38" fontId="107" fillId="70" borderId="66" xfId="311" applyFont="1" applyFill="1" applyBorder="1" applyAlignment="1"/>
    <xf numFmtId="38" fontId="107" fillId="70" borderId="48" xfId="311" applyFont="1" applyFill="1" applyBorder="1" applyAlignment="1"/>
    <xf numFmtId="38" fontId="107" fillId="70" borderId="71" xfId="311" applyFont="1" applyFill="1" applyBorder="1" applyAlignment="1"/>
    <xf numFmtId="38" fontId="107" fillId="70" borderId="67" xfId="311" applyFont="1" applyFill="1" applyBorder="1" applyAlignment="1"/>
    <xf numFmtId="38" fontId="107" fillId="0" borderId="48" xfId="311" applyFont="1" applyFill="1" applyBorder="1" applyAlignment="1"/>
    <xf numFmtId="38" fontId="107" fillId="0" borderId="67" xfId="311" applyFont="1" applyFill="1" applyBorder="1" applyAlignment="1"/>
    <xf numFmtId="38" fontId="107" fillId="0" borderId="49" xfId="311" applyFont="1" applyFill="1" applyBorder="1" applyAlignment="1"/>
    <xf numFmtId="38" fontId="107" fillId="0" borderId="65" xfId="311" applyFont="1" applyFill="1" applyBorder="1" applyAlignment="1"/>
    <xf numFmtId="38" fontId="107" fillId="0" borderId="66" xfId="311" applyFont="1" applyBorder="1" applyAlignment="1"/>
    <xf numFmtId="38" fontId="107" fillId="0" borderId="48" xfId="311" applyFont="1" applyBorder="1" applyAlignment="1"/>
    <xf numFmtId="38" fontId="107" fillId="0" borderId="71" xfId="311" applyFont="1" applyBorder="1" applyAlignment="1"/>
    <xf numFmtId="38" fontId="107" fillId="0" borderId="67" xfId="311" applyFont="1" applyBorder="1" applyAlignment="1"/>
    <xf numFmtId="38" fontId="107" fillId="0" borderId="51" xfId="311" applyFont="1" applyBorder="1" applyAlignment="1"/>
    <xf numFmtId="38" fontId="107" fillId="0" borderId="49" xfId="311" applyFont="1" applyBorder="1" applyAlignment="1"/>
    <xf numFmtId="38" fontId="107" fillId="0" borderId="50" xfId="311" applyFont="1" applyBorder="1" applyAlignment="1"/>
    <xf numFmtId="38" fontId="107" fillId="0" borderId="65" xfId="311" applyFont="1" applyBorder="1" applyAlignment="1"/>
    <xf numFmtId="38" fontId="107" fillId="68" borderId="48" xfId="311" applyFont="1" applyFill="1" applyBorder="1" applyAlignment="1"/>
    <xf numFmtId="38" fontId="107" fillId="68" borderId="71" xfId="311" applyFont="1" applyFill="1" applyBorder="1" applyAlignment="1"/>
    <xf numFmtId="38" fontId="107" fillId="68" borderId="67" xfId="311" applyFont="1" applyFill="1" applyBorder="1" applyAlignment="1"/>
    <xf numFmtId="38" fontId="107" fillId="68" borderId="49" xfId="311" applyFont="1" applyFill="1" applyBorder="1" applyAlignment="1"/>
    <xf numFmtId="38" fontId="107" fillId="68" borderId="50" xfId="311" applyFont="1" applyFill="1" applyBorder="1" applyAlignment="1"/>
    <xf numFmtId="38" fontId="107" fillId="68" borderId="65" xfId="311" applyFont="1" applyFill="1" applyBorder="1" applyAlignment="1"/>
    <xf numFmtId="38" fontId="107" fillId="67" borderId="66" xfId="311" applyFont="1" applyFill="1" applyBorder="1" applyAlignment="1"/>
    <xf numFmtId="38" fontId="107" fillId="67" borderId="48" xfId="311" applyFont="1" applyFill="1" applyBorder="1" applyAlignment="1"/>
    <xf numFmtId="38" fontId="107" fillId="67" borderId="71" xfId="311" applyFont="1" applyFill="1" applyBorder="1" applyAlignment="1"/>
    <xf numFmtId="38" fontId="107" fillId="67" borderId="67" xfId="311" applyFont="1" applyFill="1" applyBorder="1" applyAlignment="1"/>
    <xf numFmtId="38" fontId="107" fillId="0" borderId="66" xfId="311" applyFont="1" applyFill="1" applyBorder="1" applyAlignment="1"/>
    <xf numFmtId="38" fontId="107" fillId="68" borderId="86" xfId="311" applyFont="1" applyFill="1" applyBorder="1" applyAlignment="1"/>
    <xf numFmtId="38" fontId="107" fillId="68" borderId="53" xfId="311" applyFont="1" applyFill="1" applyBorder="1" applyAlignment="1"/>
    <xf numFmtId="38" fontId="107" fillId="68" borderId="83" xfId="311" applyFont="1" applyFill="1" applyBorder="1" applyAlignment="1"/>
    <xf numFmtId="38" fontId="107" fillId="68" borderId="87" xfId="311" applyFont="1" applyFill="1" applyBorder="1" applyAlignment="1"/>
    <xf numFmtId="38" fontId="107" fillId="0" borderId="92" xfId="311" applyFont="1" applyFill="1" applyBorder="1" applyAlignment="1"/>
    <xf numFmtId="38" fontId="107" fillId="0" borderId="52" xfId="311" applyFont="1" applyFill="1" applyBorder="1" applyAlignment="1"/>
    <xf numFmtId="38" fontId="107" fillId="0" borderId="90" xfId="311" applyFont="1" applyFill="1" applyBorder="1" applyAlignment="1"/>
    <xf numFmtId="38" fontId="107" fillId="68" borderId="92" xfId="311" applyFont="1" applyFill="1" applyBorder="1" applyAlignment="1"/>
    <xf numFmtId="38" fontId="107" fillId="68" borderId="52" xfId="311" applyFont="1" applyFill="1" applyBorder="1" applyAlignment="1"/>
    <xf numFmtId="38" fontId="107" fillId="68" borderId="70" xfId="311" applyFont="1" applyFill="1" applyBorder="1" applyAlignment="1"/>
    <xf numFmtId="38" fontId="107" fillId="68" borderId="90" xfId="311" applyFont="1" applyFill="1" applyBorder="1" applyAlignment="1"/>
    <xf numFmtId="38" fontId="107" fillId="0" borderId="51" xfId="311" applyFont="1" applyFill="1" applyBorder="1" applyAlignment="1"/>
    <xf numFmtId="38" fontId="89" fillId="0" borderId="23" xfId="414" applyFont="1" applyBorder="1">
      <alignment vertical="center"/>
    </xf>
    <xf numFmtId="38" fontId="89" fillId="0" borderId="11" xfId="414" applyFont="1" applyBorder="1">
      <alignment vertical="center"/>
    </xf>
    <xf numFmtId="38" fontId="89" fillId="0" borderId="37" xfId="414" applyFont="1" applyBorder="1">
      <alignment vertical="center"/>
    </xf>
    <xf numFmtId="38" fontId="89" fillId="0" borderId="40" xfId="414" applyFont="1" applyBorder="1">
      <alignment vertical="center"/>
    </xf>
    <xf numFmtId="38" fontId="89" fillId="0" borderId="80" xfId="414" applyFont="1" applyBorder="1">
      <alignment vertical="center"/>
    </xf>
    <xf numFmtId="38" fontId="108" fillId="65" borderId="118" xfId="311" applyFont="1" applyFill="1" applyBorder="1" applyAlignment="1" applyProtection="1">
      <protection locked="0"/>
    </xf>
    <xf numFmtId="38" fontId="107" fillId="68" borderId="118" xfId="311" applyFont="1" applyFill="1" applyBorder="1" applyAlignment="1" applyProtection="1">
      <protection locked="0"/>
    </xf>
    <xf numFmtId="38" fontId="107" fillId="70" borderId="120" xfId="311" applyFont="1" applyFill="1" applyBorder="1" applyAlignment="1"/>
    <xf numFmtId="38" fontId="107" fillId="70" borderId="119" xfId="311" applyFont="1" applyFill="1" applyBorder="1" applyAlignment="1"/>
    <xf numFmtId="38" fontId="107" fillId="70" borderId="122" xfId="311" applyFont="1" applyFill="1" applyBorder="1" applyAlignment="1"/>
    <xf numFmtId="199" fontId="89" fillId="0" borderId="108" xfId="485" applyNumberFormat="1" applyFont="1" applyBorder="1" applyAlignment="1">
      <alignment horizontal="center" vertical="center"/>
    </xf>
    <xf numFmtId="199" fontId="89" fillId="0" borderId="118" xfId="485" applyNumberFormat="1" applyFont="1" applyBorder="1" applyAlignment="1">
      <alignment horizontal="center" vertical="center"/>
    </xf>
    <xf numFmtId="198" fontId="108" fillId="71" borderId="98" xfId="349" applyNumberFormat="1" applyFont="1" applyFill="1" applyBorder="1" applyAlignment="1">
      <alignment vertical="center"/>
    </xf>
    <xf numFmtId="38" fontId="107" fillId="69" borderId="106" xfId="414" applyFont="1" applyFill="1" applyBorder="1">
      <alignment vertical="center"/>
    </xf>
    <xf numFmtId="38" fontId="108" fillId="66" borderId="98" xfId="414" applyFont="1" applyFill="1" applyBorder="1" applyAlignment="1"/>
    <xf numFmtId="38" fontId="108" fillId="69" borderId="98" xfId="345" applyNumberFormat="1" applyFont="1" applyFill="1" applyBorder="1">
      <alignment vertical="center"/>
    </xf>
    <xf numFmtId="38" fontId="108" fillId="67" borderId="98" xfId="345" applyNumberFormat="1" applyFont="1" applyFill="1" applyBorder="1">
      <alignment vertical="center"/>
    </xf>
    <xf numFmtId="38" fontId="108" fillId="63" borderId="98" xfId="414" applyFont="1" applyFill="1" applyBorder="1" applyAlignment="1" applyProtection="1">
      <alignment vertical="center"/>
    </xf>
    <xf numFmtId="38" fontId="108" fillId="49" borderId="98" xfId="414" applyFont="1" applyFill="1" applyBorder="1" applyAlignment="1" applyProtection="1">
      <alignment vertical="center"/>
    </xf>
    <xf numFmtId="38" fontId="108" fillId="66" borderId="98" xfId="414" applyFont="1" applyFill="1" applyBorder="1" applyAlignment="1" applyProtection="1">
      <alignment vertical="center"/>
    </xf>
    <xf numFmtId="38" fontId="108" fillId="59" borderId="98" xfId="414" applyFont="1" applyFill="1" applyBorder="1" applyAlignment="1" applyProtection="1">
      <alignment vertical="center"/>
    </xf>
    <xf numFmtId="38" fontId="108" fillId="71" borderId="98" xfId="414" applyFont="1" applyFill="1" applyBorder="1" applyAlignment="1" applyProtection="1">
      <alignment vertical="center"/>
    </xf>
    <xf numFmtId="38" fontId="108" fillId="55" borderId="98" xfId="414" applyFont="1" applyFill="1" applyBorder="1" applyAlignment="1" applyProtection="1">
      <alignment vertical="center"/>
    </xf>
    <xf numFmtId="38" fontId="108" fillId="67" borderId="98" xfId="414" applyFont="1" applyFill="1" applyBorder="1">
      <alignment vertical="center"/>
    </xf>
    <xf numFmtId="38" fontId="108" fillId="77" borderId="98" xfId="414" applyFont="1" applyFill="1" applyBorder="1" applyAlignment="1" applyProtection="1">
      <alignment vertical="center"/>
    </xf>
    <xf numFmtId="38" fontId="107" fillId="62" borderId="98" xfId="414" applyFont="1" applyFill="1" applyBorder="1" applyAlignment="1" applyProtection="1">
      <alignment vertical="center"/>
    </xf>
    <xf numFmtId="38" fontId="107" fillId="0" borderId="97" xfId="414" applyFont="1" applyFill="1" applyBorder="1" applyAlignment="1" applyProtection="1">
      <alignment vertical="center"/>
      <protection locked="0"/>
    </xf>
    <xf numFmtId="38" fontId="107" fillId="75" borderId="98" xfId="414" applyFont="1" applyFill="1" applyBorder="1" applyAlignment="1" applyProtection="1">
      <alignment vertical="center"/>
    </xf>
    <xf numFmtId="38" fontId="107" fillId="0" borderId="98" xfId="414" applyFont="1" applyFill="1" applyBorder="1" applyAlignment="1" applyProtection="1">
      <alignment vertical="center"/>
    </xf>
    <xf numFmtId="38" fontId="108" fillId="71" borderId="98" xfId="414" applyFont="1" applyFill="1" applyBorder="1" applyAlignment="1"/>
    <xf numFmtId="38" fontId="108" fillId="67" borderId="97" xfId="311" applyFont="1" applyFill="1" applyBorder="1" applyAlignment="1" applyProtection="1">
      <protection locked="0"/>
    </xf>
    <xf numFmtId="38" fontId="108" fillId="76" borderId="97" xfId="311" applyFont="1" applyFill="1" applyBorder="1" applyAlignment="1" applyProtection="1">
      <protection locked="0"/>
    </xf>
    <xf numFmtId="38" fontId="107" fillId="70" borderId="121" xfId="311" applyFont="1" applyFill="1" applyBorder="1" applyAlignment="1"/>
    <xf numFmtId="38" fontId="89" fillId="0" borderId="108" xfId="414" applyFont="1" applyBorder="1">
      <alignment vertical="center"/>
    </xf>
    <xf numFmtId="38" fontId="89" fillId="0" borderId="118" xfId="414" applyFont="1" applyBorder="1">
      <alignment vertical="center"/>
    </xf>
    <xf numFmtId="38" fontId="89" fillId="68" borderId="108" xfId="414" applyFont="1" applyFill="1" applyBorder="1">
      <alignment vertical="center"/>
    </xf>
    <xf numFmtId="38" fontId="89" fillId="68" borderId="118" xfId="414" applyFont="1" applyFill="1" applyBorder="1">
      <alignment vertical="center"/>
    </xf>
    <xf numFmtId="38" fontId="108" fillId="66" borderId="106" xfId="414" applyFont="1" applyFill="1" applyBorder="1" applyAlignment="1"/>
    <xf numFmtId="197" fontId="107" fillId="61" borderId="0" xfId="345" applyNumberFormat="1" applyFont="1" applyFill="1">
      <alignment vertical="center"/>
    </xf>
    <xf numFmtId="38" fontId="107" fillId="62" borderId="21" xfId="414" applyFont="1" applyFill="1" applyBorder="1" applyAlignment="1" applyProtection="1">
      <alignment vertical="center"/>
      <protection locked="0"/>
    </xf>
    <xf numFmtId="38" fontId="107" fillId="62" borderId="24" xfId="414" applyFont="1" applyFill="1" applyBorder="1" applyAlignment="1" applyProtection="1">
      <alignment vertical="center"/>
      <protection locked="0"/>
    </xf>
    <xf numFmtId="38" fontId="107" fillId="62" borderId="21" xfId="414" applyFont="1" applyFill="1" applyBorder="1" applyAlignment="1" applyProtection="1">
      <alignment vertical="center"/>
    </xf>
    <xf numFmtId="38" fontId="107" fillId="0" borderId="24" xfId="414" applyFont="1" applyBorder="1" applyAlignment="1" applyProtection="1">
      <alignment vertical="center"/>
    </xf>
    <xf numFmtId="38" fontId="107" fillId="62" borderId="24" xfId="414" applyFont="1" applyFill="1" applyBorder="1" applyAlignment="1" applyProtection="1">
      <alignment vertical="center"/>
    </xf>
    <xf numFmtId="38" fontId="107" fillId="62" borderId="30" xfId="414" applyFont="1" applyFill="1" applyBorder="1" applyAlignment="1" applyProtection="1">
      <alignment vertical="center"/>
    </xf>
    <xf numFmtId="38" fontId="107" fillId="62" borderId="24" xfId="414" applyFont="1" applyFill="1" applyBorder="1">
      <alignment vertical="center"/>
    </xf>
    <xf numFmtId="38" fontId="107" fillId="62" borderId="21" xfId="414" applyFont="1" applyFill="1" applyBorder="1">
      <alignment vertical="center"/>
    </xf>
    <xf numFmtId="0" fontId="107" fillId="61" borderId="31" xfId="345" applyFont="1" applyFill="1" applyBorder="1">
      <alignment vertical="center"/>
    </xf>
    <xf numFmtId="197" fontId="107" fillId="0" borderId="0" xfId="414" applyNumberFormat="1" applyFont="1" applyFill="1" applyBorder="1" applyAlignment="1" applyProtection="1">
      <alignment vertical="center"/>
    </xf>
    <xf numFmtId="38" fontId="107" fillId="0" borderId="31" xfId="414" applyFont="1" applyBorder="1" applyAlignment="1" applyProtection="1">
      <alignment vertical="center"/>
    </xf>
    <xf numFmtId="38" fontId="107" fillId="62" borderId="31" xfId="414" applyFont="1" applyFill="1" applyBorder="1" applyAlignment="1" applyProtection="1">
      <alignment vertical="center"/>
    </xf>
    <xf numFmtId="9" fontId="117" fillId="0" borderId="31" xfId="415" applyFont="1" applyFill="1" applyBorder="1" applyAlignment="1" applyProtection="1">
      <alignment vertical="center"/>
    </xf>
    <xf numFmtId="38" fontId="107" fillId="62" borderId="11" xfId="414" applyFont="1" applyFill="1" applyBorder="1">
      <alignment vertical="center"/>
    </xf>
    <xf numFmtId="38" fontId="107" fillId="62" borderId="23" xfId="414" applyFont="1" applyFill="1" applyBorder="1">
      <alignment vertical="center"/>
    </xf>
    <xf numFmtId="38" fontId="107" fillId="0" borderId="24" xfId="414" applyFont="1" applyFill="1" applyBorder="1">
      <alignment vertical="center"/>
    </xf>
    <xf numFmtId="38" fontId="107" fillId="62" borderId="45" xfId="414" applyFont="1" applyFill="1" applyBorder="1">
      <alignment vertical="center"/>
    </xf>
    <xf numFmtId="38" fontId="107" fillId="0" borderId="21" xfId="414" applyFont="1" applyFill="1" applyBorder="1">
      <alignment vertical="center"/>
    </xf>
    <xf numFmtId="9" fontId="118" fillId="0" borderId="30" xfId="415" applyFont="1" applyBorder="1" applyAlignment="1" applyProtection="1">
      <alignment vertical="center"/>
    </xf>
    <xf numFmtId="38" fontId="107" fillId="0" borderId="35" xfId="414" applyFont="1" applyBorder="1" applyAlignment="1" applyProtection="1">
      <alignment vertical="center"/>
    </xf>
    <xf numFmtId="38" fontId="107" fillId="62" borderId="35" xfId="414" applyFont="1" applyFill="1" applyBorder="1" applyAlignment="1" applyProtection="1">
      <alignment vertical="center"/>
    </xf>
    <xf numFmtId="38" fontId="107" fillId="0" borderId="31" xfId="414" applyFont="1" applyFill="1" applyBorder="1" applyAlignment="1" applyProtection="1">
      <alignment vertical="center"/>
    </xf>
    <xf numFmtId="38" fontId="107" fillId="62" borderId="45" xfId="414" applyFont="1" applyFill="1" applyBorder="1" applyAlignment="1" applyProtection="1">
      <alignment vertical="center"/>
      <protection locked="0"/>
    </xf>
    <xf numFmtId="0" fontId="62" fillId="61" borderId="0" xfId="420" applyFill="1"/>
    <xf numFmtId="0" fontId="107" fillId="61" borderId="11" xfId="345" applyFont="1" applyFill="1" applyBorder="1">
      <alignment vertical="center"/>
    </xf>
    <xf numFmtId="38" fontId="107" fillId="0" borderId="24" xfId="414" applyFont="1" applyFill="1" applyBorder="1" applyAlignment="1" applyProtection="1">
      <alignment vertical="center"/>
      <protection locked="0"/>
    </xf>
    <xf numFmtId="38" fontId="107" fillId="0" borderId="21" xfId="414" applyFont="1" applyFill="1" applyBorder="1" applyAlignment="1" applyProtection="1">
      <alignment vertical="center"/>
      <protection locked="0"/>
    </xf>
    <xf numFmtId="38" fontId="107" fillId="74" borderId="31" xfId="414" applyFont="1" applyFill="1" applyBorder="1" applyAlignment="1" applyProtection="1">
      <alignment vertical="center"/>
    </xf>
    <xf numFmtId="38" fontId="113" fillId="0" borderId="0" xfId="414" applyFont="1" applyFill="1" applyBorder="1" applyProtection="1">
      <alignment vertical="center"/>
      <protection locked="0"/>
    </xf>
    <xf numFmtId="38" fontId="107" fillId="0" borderId="35" xfId="414" applyFont="1" applyFill="1" applyBorder="1" applyAlignment="1" applyProtection="1">
      <alignment vertical="center"/>
    </xf>
    <xf numFmtId="38" fontId="107" fillId="0" borderId="30" xfId="414" applyFont="1" applyFill="1" applyBorder="1" applyAlignment="1" applyProtection="1">
      <alignment vertical="center"/>
    </xf>
    <xf numFmtId="197" fontId="119" fillId="0" borderId="0" xfId="297" applyNumberFormat="1" applyFont="1" applyFill="1" applyBorder="1" applyAlignment="1">
      <alignment horizontal="right" vertical="center"/>
    </xf>
    <xf numFmtId="38" fontId="107" fillId="62" borderId="118" xfId="414" applyFont="1" applyFill="1" applyBorder="1" applyAlignment="1" applyProtection="1">
      <alignment vertical="center"/>
    </xf>
    <xf numFmtId="38" fontId="107" fillId="64" borderId="97" xfId="414" applyFont="1" applyFill="1" applyBorder="1">
      <alignment vertical="center"/>
    </xf>
    <xf numFmtId="38" fontId="107" fillId="62" borderId="34" xfId="414" applyFont="1" applyFill="1" applyBorder="1">
      <alignment vertical="center"/>
    </xf>
    <xf numFmtId="38" fontId="107" fillId="62" borderId="80" xfId="414" applyFont="1" applyFill="1" applyBorder="1">
      <alignment vertical="center"/>
    </xf>
    <xf numFmtId="38" fontId="107" fillId="62" borderId="54" xfId="414" applyFont="1" applyFill="1" applyBorder="1">
      <alignment vertical="center"/>
    </xf>
    <xf numFmtId="38" fontId="107" fillId="0" borderId="34" xfId="414" applyFont="1" applyFill="1" applyBorder="1">
      <alignment vertical="center"/>
    </xf>
    <xf numFmtId="38" fontId="107" fillId="0" borderId="79" xfId="414" applyFont="1" applyFill="1" applyBorder="1">
      <alignment vertical="center"/>
    </xf>
    <xf numFmtId="38" fontId="107" fillId="0" borderId="41" xfId="414" applyFont="1" applyFill="1" applyBorder="1">
      <alignment vertical="center"/>
    </xf>
    <xf numFmtId="38" fontId="107" fillId="69" borderId="46" xfId="414" applyFont="1" applyFill="1" applyBorder="1" applyAlignment="1" applyProtection="1">
      <alignment vertical="center"/>
    </xf>
    <xf numFmtId="38" fontId="107" fillId="69" borderId="31" xfId="414" applyFont="1" applyFill="1" applyBorder="1" applyAlignment="1" applyProtection="1">
      <alignment vertical="center"/>
    </xf>
    <xf numFmtId="38" fontId="107" fillId="69" borderId="97" xfId="414" applyFont="1" applyFill="1" applyBorder="1">
      <alignment vertical="center"/>
    </xf>
    <xf numFmtId="38" fontId="107" fillId="62" borderId="41" xfId="414" applyFont="1" applyFill="1" applyBorder="1">
      <alignment vertical="center"/>
    </xf>
    <xf numFmtId="38" fontId="107" fillId="0" borderId="34" xfId="414" applyFont="1" applyFill="1" applyBorder="1" applyAlignment="1" applyProtection="1">
      <alignment vertical="center"/>
    </xf>
    <xf numFmtId="38" fontId="107" fillId="0" borderId="118" xfId="414" applyFont="1" applyFill="1" applyBorder="1" applyAlignment="1" applyProtection="1">
      <alignment vertical="center"/>
    </xf>
    <xf numFmtId="38" fontId="107" fillId="0" borderId="34" xfId="414" applyFont="1" applyBorder="1" applyAlignment="1" applyProtection="1">
      <alignment vertical="center"/>
    </xf>
    <xf numFmtId="38" fontId="108" fillId="59" borderId="97" xfId="414" applyFont="1" applyFill="1" applyBorder="1" applyAlignment="1" applyProtection="1">
      <alignment vertical="center"/>
    </xf>
    <xf numFmtId="38" fontId="108" fillId="70" borderId="31" xfId="345" applyNumberFormat="1" applyFont="1" applyFill="1" applyBorder="1">
      <alignment vertical="center"/>
    </xf>
    <xf numFmtId="38" fontId="108" fillId="66" borderId="97" xfId="414" applyFont="1" applyFill="1" applyBorder="1" applyAlignment="1"/>
    <xf numFmtId="38" fontId="107" fillId="63" borderId="97" xfId="414" applyFont="1" applyFill="1" applyBorder="1" applyAlignment="1" applyProtection="1">
      <alignment vertical="center"/>
    </xf>
    <xf numFmtId="38" fontId="107" fillId="64" borderId="97" xfId="414" applyFont="1" applyFill="1" applyBorder="1" applyAlignment="1" applyProtection="1">
      <alignment vertical="center"/>
    </xf>
    <xf numFmtId="38" fontId="107" fillId="67" borderId="97" xfId="414" applyFont="1" applyFill="1" applyBorder="1" applyAlignment="1" applyProtection="1">
      <alignment vertical="center"/>
    </xf>
    <xf numFmtId="38" fontId="108" fillId="75" borderId="97" xfId="414" applyFont="1" applyFill="1" applyBorder="1" applyAlignment="1"/>
    <xf numFmtId="38" fontId="108" fillId="64" borderId="97" xfId="414" applyFont="1" applyFill="1" applyBorder="1" applyAlignment="1"/>
    <xf numFmtId="38" fontId="108" fillId="63" borderId="97" xfId="414" applyFont="1" applyFill="1" applyBorder="1" applyAlignment="1"/>
    <xf numFmtId="38" fontId="108" fillId="0" borderId="118" xfId="414" applyFont="1" applyFill="1" applyBorder="1" applyAlignment="1"/>
    <xf numFmtId="38" fontId="108" fillId="77" borderId="97" xfId="414" applyFont="1" applyFill="1" applyBorder="1" applyAlignment="1"/>
    <xf numFmtId="38" fontId="107" fillId="77" borderId="97" xfId="414" applyFont="1" applyFill="1" applyBorder="1" applyAlignment="1" applyProtection="1">
      <alignment vertical="center"/>
    </xf>
    <xf numFmtId="38" fontId="107" fillId="59" borderId="120" xfId="345" applyNumberFormat="1" applyFont="1" applyFill="1" applyBorder="1">
      <alignment vertical="center"/>
    </xf>
    <xf numFmtId="38" fontId="107" fillId="59" borderId="119" xfId="345" applyNumberFormat="1" applyFont="1" applyFill="1" applyBorder="1">
      <alignment vertical="center"/>
    </xf>
    <xf numFmtId="38" fontId="107" fillId="59" borderId="121" xfId="345" applyNumberFormat="1" applyFont="1" applyFill="1" applyBorder="1">
      <alignment vertical="center"/>
    </xf>
    <xf numFmtId="38" fontId="107" fillId="66" borderId="97" xfId="414" applyFont="1" applyFill="1" applyBorder="1" applyAlignment="1"/>
    <xf numFmtId="38" fontId="107" fillId="59" borderId="122" xfId="345" applyNumberFormat="1" applyFont="1" applyFill="1" applyBorder="1">
      <alignment vertical="center"/>
    </xf>
    <xf numFmtId="38" fontId="107" fillId="76" borderId="120" xfId="345" applyNumberFormat="1" applyFont="1" applyFill="1" applyBorder="1">
      <alignment vertical="center"/>
    </xf>
    <xf numFmtId="38" fontId="107" fillId="76" borderId="119" xfId="345" applyNumberFormat="1" applyFont="1" applyFill="1" applyBorder="1">
      <alignment vertical="center"/>
    </xf>
    <xf numFmtId="38" fontId="107" fillId="76" borderId="121" xfId="345" applyNumberFormat="1" applyFont="1" applyFill="1" applyBorder="1">
      <alignment vertical="center"/>
    </xf>
    <xf numFmtId="38" fontId="107" fillId="76" borderId="122" xfId="345" applyNumberFormat="1" applyFont="1" applyFill="1" applyBorder="1">
      <alignment vertical="center"/>
    </xf>
    <xf numFmtId="38" fontId="107" fillId="62" borderId="43" xfId="414" applyFont="1" applyFill="1" applyBorder="1" applyAlignment="1" applyProtection="1">
      <alignment vertical="center"/>
    </xf>
    <xf numFmtId="38" fontId="107" fillId="62" borderId="118" xfId="414" applyFont="1" applyFill="1" applyBorder="1">
      <alignment vertical="center"/>
    </xf>
    <xf numFmtId="38" fontId="107" fillId="68" borderId="24" xfId="414" applyFont="1" applyFill="1" applyBorder="1">
      <alignment vertical="center"/>
    </xf>
    <xf numFmtId="38" fontId="107" fillId="68" borderId="21" xfId="414" applyFont="1" applyFill="1" applyBorder="1">
      <alignment vertical="center"/>
    </xf>
    <xf numFmtId="9" fontId="149" fillId="0" borderId="31" xfId="415" applyFont="1" applyBorder="1" applyAlignment="1" applyProtection="1">
      <alignment vertical="center"/>
    </xf>
    <xf numFmtId="9" fontId="150" fillId="0" borderId="31" xfId="415" applyFont="1" applyFill="1" applyBorder="1" applyAlignment="1" applyProtection="1">
      <alignment vertical="center"/>
    </xf>
    <xf numFmtId="9" fontId="149" fillId="0" borderId="31" xfId="415" applyFont="1" applyFill="1" applyBorder="1" applyAlignment="1" applyProtection="1">
      <alignment vertical="center"/>
    </xf>
    <xf numFmtId="9" fontId="149" fillId="69" borderId="46" xfId="415" applyFont="1" applyFill="1" applyBorder="1" applyAlignment="1" applyProtection="1">
      <alignment vertical="center"/>
    </xf>
    <xf numFmtId="9" fontId="149" fillId="0" borderId="35" xfId="415" applyFont="1" applyFill="1" applyBorder="1" applyAlignment="1" applyProtection="1">
      <alignment vertical="center"/>
    </xf>
    <xf numFmtId="9" fontId="149" fillId="0" borderId="30" xfId="415" applyFont="1" applyFill="1" applyBorder="1" applyAlignment="1" applyProtection="1">
      <alignment vertical="center"/>
    </xf>
    <xf numFmtId="38" fontId="107" fillId="0" borderId="24" xfId="414" applyFont="1" applyFill="1" applyBorder="1" applyAlignment="1" applyProtection="1">
      <alignment vertical="center"/>
    </xf>
    <xf numFmtId="38" fontId="107" fillId="0" borderId="21" xfId="414" applyFont="1" applyFill="1" applyBorder="1" applyAlignment="1" applyProtection="1">
      <alignment vertical="center"/>
    </xf>
    <xf numFmtId="38" fontId="107" fillId="0" borderId="45" xfId="414" applyFont="1" applyFill="1" applyBorder="1" applyAlignment="1" applyProtection="1">
      <alignment vertical="center"/>
      <protection locked="0"/>
    </xf>
    <xf numFmtId="38" fontId="107" fillId="0" borderId="50" xfId="311" applyFont="1" applyFill="1" applyBorder="1" applyAlignment="1"/>
    <xf numFmtId="38" fontId="108" fillId="71" borderId="107" xfId="414" applyFont="1" applyFill="1" applyBorder="1" applyAlignment="1" applyProtection="1">
      <alignment vertical="center"/>
    </xf>
    <xf numFmtId="38" fontId="108" fillId="71" borderId="118" xfId="414" applyFont="1" applyFill="1" applyBorder="1" applyAlignment="1" applyProtection="1">
      <alignment vertical="center"/>
    </xf>
    <xf numFmtId="9" fontId="149" fillId="0" borderId="35" xfId="415" applyFont="1" applyBorder="1" applyAlignment="1" applyProtection="1">
      <alignment vertical="center"/>
    </xf>
    <xf numFmtId="38" fontId="113" fillId="68" borderId="118" xfId="414" applyFont="1" applyFill="1" applyBorder="1">
      <alignment vertical="center"/>
    </xf>
    <xf numFmtId="38" fontId="113" fillId="0" borderId="79" xfId="414" applyFont="1" applyBorder="1">
      <alignment vertical="center"/>
    </xf>
    <xf numFmtId="38" fontId="107" fillId="68" borderId="11" xfId="414" applyFont="1" applyFill="1" applyBorder="1">
      <alignment vertical="center"/>
    </xf>
    <xf numFmtId="38" fontId="107" fillId="68" borderId="23" xfId="414" applyFont="1" applyFill="1" applyBorder="1">
      <alignment vertical="center"/>
    </xf>
    <xf numFmtId="38" fontId="113" fillId="68" borderId="45" xfId="414" applyFont="1" applyFill="1" applyBorder="1">
      <alignment vertical="center"/>
    </xf>
    <xf numFmtId="38" fontId="113" fillId="68" borderId="21" xfId="414" applyFont="1" applyFill="1" applyBorder="1">
      <alignment vertical="center"/>
    </xf>
    <xf numFmtId="38" fontId="108" fillId="71" borderId="97" xfId="414" applyFont="1" applyFill="1" applyBorder="1" applyAlignment="1" applyProtection="1">
      <alignment vertical="center"/>
    </xf>
    <xf numFmtId="38" fontId="107" fillId="74" borderId="24" xfId="414" applyFont="1" applyFill="1" applyBorder="1" applyAlignment="1" applyProtection="1">
      <alignment vertical="center"/>
    </xf>
    <xf numFmtId="9" fontId="149" fillId="0" borderId="24" xfId="415" applyFont="1" applyBorder="1" applyAlignment="1" applyProtection="1">
      <alignment vertical="center"/>
    </xf>
    <xf numFmtId="38" fontId="108" fillId="49" borderId="97" xfId="414" applyFont="1" applyFill="1" applyBorder="1" applyAlignment="1" applyProtection="1">
      <alignment vertical="center"/>
    </xf>
    <xf numFmtId="9" fontId="150" fillId="0" borderId="24" xfId="415" applyFont="1" applyFill="1" applyBorder="1" applyAlignment="1" applyProtection="1">
      <alignment vertical="center"/>
    </xf>
    <xf numFmtId="38" fontId="108" fillId="77" borderId="97" xfId="414" applyFont="1" applyFill="1" applyBorder="1" applyAlignment="1" applyProtection="1">
      <alignment vertical="center"/>
    </xf>
    <xf numFmtId="38" fontId="107" fillId="69" borderId="24" xfId="414" applyFont="1" applyFill="1" applyBorder="1" applyAlignment="1" applyProtection="1">
      <alignment vertical="center"/>
    </xf>
    <xf numFmtId="38" fontId="107" fillId="69" borderId="45" xfId="414" applyFont="1" applyFill="1" applyBorder="1" applyAlignment="1" applyProtection="1">
      <alignment vertical="center"/>
    </xf>
    <xf numFmtId="9" fontId="149" fillId="69" borderId="45" xfId="415" applyFont="1" applyFill="1" applyBorder="1" applyAlignment="1" applyProtection="1">
      <alignment vertical="center"/>
    </xf>
    <xf numFmtId="9" fontId="149" fillId="0" borderId="24" xfId="415" applyFont="1" applyFill="1" applyBorder="1" applyAlignment="1" applyProtection="1">
      <alignment vertical="center"/>
    </xf>
    <xf numFmtId="9" fontId="149" fillId="0" borderId="34" xfId="415" applyFont="1" applyFill="1" applyBorder="1" applyAlignment="1" applyProtection="1">
      <alignment vertical="center"/>
    </xf>
    <xf numFmtId="9" fontId="149" fillId="0" borderId="21" xfId="415" applyFont="1" applyFill="1" applyBorder="1" applyAlignment="1" applyProtection="1">
      <alignment vertical="center"/>
    </xf>
    <xf numFmtId="38" fontId="108" fillId="63" borderId="97" xfId="414" applyFont="1" applyFill="1" applyBorder="1" applyAlignment="1" applyProtection="1">
      <alignment vertical="center"/>
    </xf>
    <xf numFmtId="9" fontId="149" fillId="0" borderId="34" xfId="415" applyFont="1" applyBorder="1" applyAlignment="1" applyProtection="1">
      <alignment vertical="center"/>
    </xf>
    <xf numFmtId="38" fontId="108" fillId="66" borderId="97" xfId="414" applyFont="1" applyFill="1" applyBorder="1" applyAlignment="1" applyProtection="1">
      <alignment vertical="center"/>
    </xf>
    <xf numFmtId="38" fontId="108" fillId="67" borderId="97" xfId="345" applyNumberFormat="1" applyFont="1" applyFill="1" applyBorder="1">
      <alignment vertical="center"/>
    </xf>
    <xf numFmtId="38" fontId="108" fillId="70" borderId="24" xfId="345" applyNumberFormat="1" applyFont="1" applyFill="1" applyBorder="1">
      <alignment vertical="center"/>
    </xf>
    <xf numFmtId="38" fontId="108" fillId="69" borderId="97" xfId="345" applyNumberFormat="1" applyFont="1" applyFill="1" applyBorder="1">
      <alignment vertical="center"/>
    </xf>
    <xf numFmtId="38" fontId="108" fillId="67" borderId="97" xfId="414" applyFont="1" applyFill="1" applyBorder="1">
      <alignment vertical="center"/>
    </xf>
    <xf numFmtId="38" fontId="108" fillId="55" borderId="97" xfId="414" applyFont="1" applyFill="1" applyBorder="1" applyAlignment="1" applyProtection="1">
      <alignment vertical="center"/>
    </xf>
    <xf numFmtId="9" fontId="149" fillId="0" borderId="30" xfId="415" applyFont="1" applyBorder="1" applyAlignment="1" applyProtection="1">
      <alignment vertical="center"/>
    </xf>
    <xf numFmtId="9" fontId="149" fillId="0" borderId="21" xfId="415" applyFont="1" applyBorder="1" applyAlignment="1" applyProtection="1">
      <alignment vertical="center"/>
    </xf>
    <xf numFmtId="9" fontId="150" fillId="0" borderId="35" xfId="415" applyFont="1" applyFill="1" applyBorder="1" applyAlignment="1" applyProtection="1">
      <alignment vertical="center"/>
    </xf>
    <xf numFmtId="9" fontId="150" fillId="0" borderId="34" xfId="415" applyFont="1" applyFill="1" applyBorder="1" applyAlignment="1" applyProtection="1">
      <alignment vertical="center"/>
    </xf>
    <xf numFmtId="38" fontId="174" fillId="0" borderId="31" xfId="414" applyFont="1" applyFill="1" applyBorder="1" applyAlignment="1" applyProtection="1">
      <alignment vertical="center"/>
    </xf>
    <xf numFmtId="38" fontId="169" fillId="0" borderId="24" xfId="414" applyFont="1" applyFill="1" applyBorder="1" applyAlignment="1" applyProtection="1">
      <alignment vertical="center"/>
    </xf>
    <xf numFmtId="38" fontId="174" fillId="0" borderId="24" xfId="414" applyFont="1" applyFill="1" applyBorder="1" applyAlignment="1" applyProtection="1">
      <alignment vertical="center"/>
    </xf>
    <xf numFmtId="38" fontId="169" fillId="0" borderId="21" xfId="414" applyFont="1" applyFill="1" applyBorder="1" applyAlignment="1" applyProtection="1">
      <alignment vertical="center"/>
    </xf>
    <xf numFmtId="38" fontId="174" fillId="71" borderId="24" xfId="414" applyFont="1" applyFill="1" applyBorder="1" applyAlignment="1" applyProtection="1">
      <alignment vertical="center"/>
    </xf>
    <xf numFmtId="38" fontId="174" fillId="0" borderId="97" xfId="414" applyFont="1" applyFill="1" applyBorder="1" applyAlignment="1" applyProtection="1">
      <alignment vertical="center"/>
    </xf>
    <xf numFmtId="195" fontId="175" fillId="0" borderId="35" xfId="415" applyNumberFormat="1" applyFont="1" applyFill="1" applyBorder="1" applyAlignment="1" applyProtection="1">
      <alignment vertical="center"/>
    </xf>
    <xf numFmtId="195" fontId="175" fillId="0" borderId="24" xfId="415" applyNumberFormat="1" applyFont="1" applyFill="1" applyBorder="1" applyAlignment="1" applyProtection="1">
      <alignment vertical="center"/>
    </xf>
    <xf numFmtId="195" fontId="175" fillId="0" borderId="34" xfId="415" applyNumberFormat="1" applyFont="1" applyFill="1" applyBorder="1" applyAlignment="1" applyProtection="1">
      <alignment vertical="center"/>
    </xf>
    <xf numFmtId="195" fontId="175" fillId="0" borderId="21" xfId="415" applyNumberFormat="1" applyFont="1" applyFill="1" applyBorder="1" applyAlignment="1" applyProtection="1">
      <alignment vertical="center"/>
    </xf>
    <xf numFmtId="38" fontId="174" fillId="82" borderId="118" xfId="414" applyFont="1" applyFill="1" applyBorder="1" applyAlignment="1" applyProtection="1">
      <alignment horizontal="right" vertical="center"/>
    </xf>
    <xf numFmtId="38" fontId="169" fillId="0" borderId="97" xfId="414" applyFont="1" applyFill="1" applyBorder="1" applyAlignment="1" applyProtection="1">
      <alignment horizontal="right" vertical="center"/>
    </xf>
    <xf numFmtId="38" fontId="169" fillId="0" borderId="21" xfId="414" applyFont="1" applyFill="1" applyBorder="1" applyAlignment="1" applyProtection="1">
      <alignment horizontal="right" vertical="center"/>
    </xf>
    <xf numFmtId="38" fontId="169" fillId="82" borderId="97" xfId="414" applyFont="1" applyFill="1" applyBorder="1" applyAlignment="1" applyProtection="1">
      <alignment horizontal="right" vertical="center"/>
    </xf>
    <xf numFmtId="38" fontId="169" fillId="82" borderId="24" xfId="414" applyFont="1" applyFill="1" applyBorder="1" applyAlignment="1">
      <alignment vertical="center"/>
    </xf>
    <xf numFmtId="38" fontId="169" fillId="82" borderId="21" xfId="414" applyFont="1" applyFill="1" applyBorder="1" applyAlignment="1" applyProtection="1">
      <alignment horizontal="right" vertical="center"/>
    </xf>
    <xf numFmtId="38" fontId="169" fillId="82" borderId="97" xfId="414" applyFont="1" applyFill="1" applyBorder="1" applyAlignment="1">
      <alignment vertical="center"/>
    </xf>
    <xf numFmtId="38" fontId="169" fillId="82" borderId="21" xfId="414" applyFont="1" applyFill="1" applyBorder="1" applyAlignment="1">
      <alignment vertical="center"/>
    </xf>
    <xf numFmtId="38" fontId="169" fillId="82" borderId="97" xfId="414" applyFont="1" applyFill="1" applyBorder="1">
      <alignment vertical="center"/>
    </xf>
    <xf numFmtId="38" fontId="169" fillId="82" borderId="34" xfId="414" applyFont="1" applyFill="1" applyBorder="1">
      <alignment vertical="center"/>
    </xf>
    <xf numFmtId="38" fontId="169" fillId="82" borderId="45" xfId="414" applyFont="1" applyFill="1" applyBorder="1">
      <alignment vertical="center"/>
    </xf>
    <xf numFmtId="38" fontId="182" fillId="82" borderId="34" xfId="414" applyFont="1" applyFill="1" applyBorder="1">
      <alignment vertical="center"/>
    </xf>
    <xf numFmtId="38" fontId="169" fillId="82" borderId="24" xfId="414" applyFont="1" applyFill="1" applyBorder="1">
      <alignment vertical="center"/>
    </xf>
    <xf numFmtId="38" fontId="169" fillId="82" borderId="80" xfId="414" applyFont="1" applyFill="1" applyBorder="1">
      <alignment vertical="center"/>
    </xf>
    <xf numFmtId="38" fontId="107" fillId="68" borderId="24" xfId="414" applyFont="1" applyFill="1" applyBorder="1" applyAlignment="1" applyProtection="1">
      <alignment vertical="center"/>
    </xf>
    <xf numFmtId="38" fontId="107" fillId="68" borderId="24" xfId="414" applyFont="1" applyFill="1" applyBorder="1" applyAlignment="1">
      <alignment horizontal="right" vertical="center"/>
    </xf>
    <xf numFmtId="38" fontId="107" fillId="68" borderId="21" xfId="414" applyFont="1" applyFill="1" applyBorder="1" applyAlignment="1" applyProtection="1">
      <alignment vertical="center"/>
    </xf>
    <xf numFmtId="38" fontId="107" fillId="68" borderId="21" xfId="414" applyFont="1" applyFill="1" applyBorder="1" applyAlignment="1">
      <alignment horizontal="right" vertical="center"/>
    </xf>
    <xf numFmtId="38" fontId="107" fillId="67" borderId="97" xfId="414" applyFont="1" applyFill="1" applyBorder="1">
      <alignment vertical="center"/>
    </xf>
    <xf numFmtId="38" fontId="107" fillId="67" borderId="97" xfId="414" applyFont="1" applyFill="1" applyBorder="1" applyAlignment="1">
      <alignment horizontal="right" vertical="center"/>
    </xf>
    <xf numFmtId="38" fontId="107" fillId="64" borderId="97" xfId="414" applyFont="1" applyFill="1" applyBorder="1" applyAlignment="1">
      <alignment horizontal="right" vertical="center"/>
    </xf>
    <xf numFmtId="38" fontId="107" fillId="83" borderId="97" xfId="414" applyFont="1" applyFill="1" applyBorder="1" applyAlignment="1" applyProtection="1">
      <alignment vertical="center"/>
    </xf>
    <xf numFmtId="38" fontId="107" fillId="83" borderId="97" xfId="414" applyFont="1" applyFill="1" applyBorder="1">
      <alignment vertical="center"/>
    </xf>
    <xf numFmtId="38" fontId="107" fillId="83" borderId="97" xfId="414" applyFont="1" applyFill="1" applyBorder="1" applyAlignment="1">
      <alignment horizontal="right" vertical="center"/>
    </xf>
    <xf numFmtId="38" fontId="107" fillId="63" borderId="97" xfId="414" applyFont="1" applyFill="1" applyBorder="1">
      <alignment vertical="center"/>
    </xf>
    <xf numFmtId="38" fontId="107" fillId="63" borderId="97" xfId="414" applyFont="1" applyFill="1" applyBorder="1" applyAlignment="1">
      <alignment horizontal="right" vertical="center"/>
    </xf>
    <xf numFmtId="38" fontId="108" fillId="0" borderId="118" xfId="414" applyFont="1" applyFill="1" applyBorder="1" applyAlignment="1" applyProtection="1">
      <alignment vertical="center"/>
    </xf>
    <xf numFmtId="38" fontId="108" fillId="0" borderId="118" xfId="414" applyFont="1" applyFill="1" applyBorder="1">
      <alignment vertical="center"/>
    </xf>
    <xf numFmtId="38" fontId="108" fillId="0" borderId="118" xfId="414" applyFont="1" applyFill="1" applyBorder="1" applyAlignment="1">
      <alignment horizontal="right" vertical="center"/>
    </xf>
    <xf numFmtId="195" fontId="150" fillId="0" borderId="30" xfId="415" applyNumberFormat="1" applyFont="1" applyFill="1" applyBorder="1" applyAlignment="1" applyProtection="1">
      <alignment vertical="center"/>
    </xf>
    <xf numFmtId="197" fontId="107" fillId="0" borderId="0" xfId="345" applyNumberFormat="1" applyFont="1">
      <alignment vertical="center"/>
    </xf>
    <xf numFmtId="199" fontId="174" fillId="77" borderId="118" xfId="349" applyNumberFormat="1" applyFont="1" applyFill="1" applyBorder="1" applyAlignment="1">
      <alignment horizontal="center" vertical="center"/>
    </xf>
    <xf numFmtId="195" fontId="150" fillId="0" borderId="97" xfId="415" applyNumberFormat="1" applyFont="1" applyFill="1" applyBorder="1" applyAlignment="1" applyProtection="1">
      <alignment vertical="center"/>
    </xf>
    <xf numFmtId="195" fontId="150" fillId="0" borderId="21" xfId="415" applyNumberFormat="1" applyFont="1" applyFill="1" applyBorder="1" applyAlignment="1" applyProtection="1">
      <alignment vertical="center"/>
    </xf>
    <xf numFmtId="38" fontId="107" fillId="0" borderId="78" xfId="414" applyFont="1" applyFill="1" applyBorder="1" applyAlignment="1"/>
    <xf numFmtId="38" fontId="107" fillId="0" borderId="43" xfId="414" applyFont="1" applyFill="1" applyBorder="1" applyAlignment="1"/>
    <xf numFmtId="38" fontId="107" fillId="0" borderId="31" xfId="414" applyFont="1" applyFill="1" applyBorder="1" applyAlignment="1"/>
    <xf numFmtId="38" fontId="107" fillId="62" borderId="31" xfId="414" applyFont="1" applyFill="1" applyBorder="1" applyAlignment="1"/>
    <xf numFmtId="38" fontId="107" fillId="62" borderId="35" xfId="414" applyFont="1" applyFill="1" applyBorder="1" applyAlignment="1"/>
    <xf numFmtId="38" fontId="107" fillId="62" borderId="30" xfId="414" applyFont="1" applyFill="1" applyBorder="1" applyAlignment="1"/>
    <xf numFmtId="38" fontId="107" fillId="62" borderId="107" xfId="414" applyFont="1" applyFill="1" applyBorder="1" applyAlignment="1"/>
    <xf numFmtId="38" fontId="107" fillId="77" borderId="97" xfId="414" applyFont="1" applyFill="1" applyBorder="1">
      <alignment vertical="center"/>
    </xf>
    <xf numFmtId="38" fontId="107" fillId="0" borderId="24" xfId="484" applyFont="1" applyFill="1" applyBorder="1" applyAlignment="1" applyProtection="1">
      <alignment vertical="center"/>
    </xf>
    <xf numFmtId="38" fontId="107" fillId="0" borderId="21" xfId="484" applyFont="1" applyFill="1" applyBorder="1" applyAlignment="1" applyProtection="1">
      <alignment vertical="center"/>
    </xf>
    <xf numFmtId="38" fontId="107" fillId="0" borderId="79" xfId="414" applyFont="1" applyFill="1" applyBorder="1" applyAlignment="1" applyProtection="1">
      <alignment vertical="center"/>
    </xf>
    <xf numFmtId="38" fontId="107" fillId="0" borderId="71" xfId="311" applyFont="1" applyFill="1" applyBorder="1" applyAlignment="1"/>
    <xf numFmtId="38" fontId="107" fillId="0" borderId="70" xfId="311" applyFont="1" applyFill="1" applyBorder="1" applyAlignment="1"/>
    <xf numFmtId="38" fontId="107" fillId="62" borderId="97" xfId="414" applyFont="1" applyFill="1" applyBorder="1" applyAlignment="1">
      <alignment vertical="center"/>
    </xf>
    <xf numFmtId="38" fontId="107" fillId="0" borderId="97" xfId="414" applyFont="1" applyFill="1" applyBorder="1">
      <alignment vertical="center"/>
    </xf>
    <xf numFmtId="38" fontId="107" fillId="0" borderId="97" xfId="414" applyFont="1" applyFill="1" applyBorder="1" applyAlignment="1">
      <alignment horizontal="right" vertical="center"/>
    </xf>
    <xf numFmtId="38" fontId="107" fillId="62" borderId="41" xfId="414" applyFont="1" applyFill="1" applyBorder="1" applyAlignment="1" applyProtection="1">
      <alignment vertical="center"/>
    </xf>
    <xf numFmtId="38" fontId="107" fillId="62" borderId="34" xfId="414" applyFont="1" applyFill="1" applyBorder="1" applyAlignment="1" applyProtection="1">
      <alignment vertical="center"/>
    </xf>
    <xf numFmtId="38" fontId="107" fillId="62" borderId="97" xfId="414" applyFont="1" applyFill="1" applyBorder="1" applyAlignment="1" applyProtection="1">
      <alignment vertical="center"/>
    </xf>
    <xf numFmtId="38" fontId="107" fillId="75" borderId="97" xfId="414" applyFont="1" applyFill="1" applyBorder="1" applyAlignment="1" applyProtection="1">
      <alignment vertical="center"/>
    </xf>
    <xf numFmtId="38" fontId="107" fillId="62" borderId="37" xfId="414" applyFont="1" applyFill="1" applyBorder="1">
      <alignment vertical="center"/>
    </xf>
    <xf numFmtId="38" fontId="107" fillId="62" borderId="40" xfId="414" applyFont="1" applyFill="1" applyBorder="1">
      <alignment vertical="center"/>
    </xf>
    <xf numFmtId="197" fontId="107" fillId="0" borderId="11" xfId="414" applyNumberFormat="1" applyFont="1" applyFill="1" applyBorder="1" applyAlignment="1" applyProtection="1">
      <alignment vertical="center"/>
    </xf>
    <xf numFmtId="38" fontId="113" fillId="0" borderId="11" xfId="414" applyFont="1" applyFill="1" applyBorder="1" applyProtection="1">
      <alignment vertical="center"/>
      <protection locked="0"/>
    </xf>
    <xf numFmtId="0" fontId="113" fillId="0" borderId="118" xfId="485" applyFont="1" applyBorder="1" applyAlignment="1">
      <alignment horizontal="center" vertical="center"/>
    </xf>
    <xf numFmtId="202" fontId="113" fillId="0" borderId="79" xfId="487" applyNumberFormat="1" applyFont="1" applyFill="1" applyBorder="1">
      <alignment vertical="center"/>
    </xf>
    <xf numFmtId="202" fontId="107" fillId="0" borderId="31" xfId="349" applyNumberFormat="1" applyFont="1" applyBorder="1" applyAlignment="1">
      <alignment vertical="center"/>
    </xf>
    <xf numFmtId="202" fontId="113" fillId="0" borderId="79" xfId="487" applyNumberFormat="1" applyFont="1" applyBorder="1">
      <alignment vertical="center"/>
    </xf>
    <xf numFmtId="199" fontId="107" fillId="61" borderId="118" xfId="349" applyNumberFormat="1" applyFont="1" applyFill="1" applyBorder="1" applyAlignment="1">
      <alignment horizontal="center" vertical="center"/>
    </xf>
    <xf numFmtId="202" fontId="107" fillId="0" borderId="24" xfId="349" applyNumberFormat="1" applyFont="1" applyBorder="1" applyAlignment="1">
      <alignment vertical="center"/>
    </xf>
    <xf numFmtId="38" fontId="107" fillId="0" borderId="97" xfId="484" applyFont="1" applyFill="1" applyBorder="1" applyAlignment="1" applyProtection="1">
      <alignment vertical="center"/>
    </xf>
    <xf numFmtId="38" fontId="107" fillId="0" borderId="97" xfId="484" applyFont="1" applyFill="1" applyBorder="1" applyAlignment="1"/>
    <xf numFmtId="38" fontId="107" fillId="62" borderId="24" xfId="414" applyFont="1" applyFill="1" applyBorder="1" applyAlignment="1">
      <alignment horizontal="right" vertical="center"/>
    </xf>
    <xf numFmtId="38" fontId="107" fillId="62" borderId="34" xfId="414" applyFont="1" applyFill="1" applyBorder="1" applyAlignment="1">
      <alignment horizontal="right" vertical="center"/>
    </xf>
    <xf numFmtId="195" fontId="150" fillId="0" borderId="24" xfId="415" applyNumberFormat="1" applyFont="1" applyFill="1" applyBorder="1" applyAlignment="1" applyProtection="1">
      <alignment vertical="center"/>
    </xf>
    <xf numFmtId="38" fontId="108" fillId="86" borderId="118" xfId="414" applyFont="1" applyFill="1" applyBorder="1" applyAlignment="1" applyProtection="1">
      <alignment vertical="center"/>
    </xf>
    <xf numFmtId="38" fontId="108" fillId="86" borderId="107" xfId="414" applyFont="1" applyFill="1" applyBorder="1" applyAlignment="1" applyProtection="1">
      <alignment vertical="center"/>
    </xf>
    <xf numFmtId="38" fontId="108" fillId="86" borderId="21" xfId="414" applyFont="1" applyFill="1" applyBorder="1" applyAlignment="1" applyProtection="1">
      <alignment vertical="center"/>
    </xf>
    <xf numFmtId="38" fontId="108" fillId="86" borderId="97" xfId="414" applyFont="1" applyFill="1" applyBorder="1" applyAlignment="1" applyProtection="1">
      <alignment vertical="center"/>
    </xf>
    <xf numFmtId="38" fontId="108" fillId="86" borderId="24" xfId="414" applyFont="1" applyFill="1" applyBorder="1" applyAlignment="1" applyProtection="1">
      <alignment vertical="center"/>
    </xf>
    <xf numFmtId="38" fontId="108" fillId="86" borderId="34" xfId="414" applyFont="1" applyFill="1" applyBorder="1" applyAlignment="1" applyProtection="1">
      <alignment vertical="center"/>
    </xf>
    <xf numFmtId="38" fontId="108" fillId="86" borderId="97" xfId="414" applyFont="1" applyFill="1" applyBorder="1">
      <alignment vertical="center"/>
    </xf>
    <xf numFmtId="38" fontId="108" fillId="86" borderId="97" xfId="414" applyFont="1" applyFill="1" applyBorder="1" applyAlignment="1">
      <alignment horizontal="right" vertical="center"/>
    </xf>
    <xf numFmtId="38" fontId="108" fillId="86" borderId="24" xfId="414" applyFont="1" applyFill="1" applyBorder="1">
      <alignment vertical="center"/>
    </xf>
    <xf numFmtId="38" fontId="108" fillId="86" borderId="24" xfId="414" applyFont="1" applyFill="1" applyBorder="1" applyAlignment="1">
      <alignment horizontal="right" vertical="center"/>
    </xf>
    <xf numFmtId="38" fontId="108" fillId="86" borderId="34" xfId="414" applyFont="1" applyFill="1" applyBorder="1">
      <alignment vertical="center"/>
    </xf>
    <xf numFmtId="38" fontId="108" fillId="86" borderId="34" xfId="414" applyFont="1" applyFill="1" applyBorder="1" applyAlignment="1">
      <alignment horizontal="right" vertical="center"/>
    </xf>
    <xf numFmtId="38" fontId="108" fillId="86" borderId="21" xfId="414" applyFont="1" applyFill="1" applyBorder="1">
      <alignment vertical="center"/>
    </xf>
    <xf numFmtId="38" fontId="108" fillId="86" borderId="21" xfId="414" applyFont="1" applyFill="1" applyBorder="1" applyAlignment="1">
      <alignment horizontal="right" vertical="center"/>
    </xf>
    <xf numFmtId="38" fontId="107" fillId="0" borderId="24" xfId="414" applyFont="1" applyFill="1" applyBorder="1" applyAlignment="1">
      <alignment horizontal="right" vertical="center"/>
    </xf>
    <xf numFmtId="38" fontId="107" fillId="0" borderId="34" xfId="414" applyFont="1" applyFill="1" applyBorder="1" applyAlignment="1">
      <alignment horizontal="right" vertical="center"/>
    </xf>
    <xf numFmtId="38" fontId="107" fillId="0" borderId="97" xfId="414" applyFont="1" applyFill="1" applyBorder="1" applyAlignment="1" applyProtection="1">
      <alignment vertical="center"/>
    </xf>
    <xf numFmtId="38" fontId="169" fillId="0" borderId="41" xfId="414" applyFont="1" applyFill="1" applyBorder="1" applyAlignment="1" applyProtection="1">
      <alignment vertical="center"/>
    </xf>
    <xf numFmtId="38" fontId="169" fillId="68" borderId="24" xfId="414" applyFont="1" applyFill="1" applyBorder="1" applyAlignment="1" applyProtection="1">
      <alignment vertical="center"/>
    </xf>
    <xf numFmtId="38" fontId="169" fillId="68" borderId="31" xfId="414" applyFont="1" applyFill="1" applyBorder="1" applyAlignment="1" applyProtection="1">
      <alignment vertical="center"/>
    </xf>
    <xf numFmtId="38" fontId="169" fillId="68" borderId="34" xfId="414" applyFont="1" applyFill="1" applyBorder="1" applyAlignment="1" applyProtection="1">
      <alignment vertical="center"/>
    </xf>
    <xf numFmtId="38" fontId="169" fillId="68" borderId="35" xfId="414" applyFont="1" applyFill="1" applyBorder="1" applyAlignment="1" applyProtection="1">
      <alignment vertical="center"/>
    </xf>
    <xf numFmtId="38" fontId="169" fillId="0" borderId="34" xfId="414" applyFont="1" applyFill="1" applyBorder="1" applyAlignment="1" applyProtection="1">
      <alignment vertical="center"/>
    </xf>
    <xf numFmtId="38" fontId="169" fillId="0" borderId="30" xfId="414" applyFont="1" applyFill="1" applyBorder="1" applyAlignment="1" applyProtection="1">
      <alignment vertical="center"/>
    </xf>
    <xf numFmtId="0" fontId="89" fillId="68" borderId="118" xfId="414" applyNumberFormat="1" applyFont="1" applyFill="1" applyBorder="1">
      <alignment vertical="center"/>
    </xf>
    <xf numFmtId="38" fontId="107" fillId="68" borderId="66" xfId="311" applyFont="1" applyFill="1" applyBorder="1" applyAlignment="1"/>
    <xf numFmtId="38" fontId="107" fillId="68" borderId="51" xfId="311" applyFont="1" applyFill="1" applyBorder="1" applyAlignment="1"/>
    <xf numFmtId="38" fontId="107" fillId="68" borderId="120" xfId="345" applyNumberFormat="1" applyFont="1" applyFill="1" applyBorder="1">
      <alignment vertical="center"/>
    </xf>
    <xf numFmtId="38" fontId="107" fillId="68" borderId="119" xfId="345" applyNumberFormat="1" applyFont="1" applyFill="1" applyBorder="1">
      <alignment vertical="center"/>
    </xf>
    <xf numFmtId="38" fontId="107" fillId="68" borderId="121" xfId="345" applyNumberFormat="1" applyFont="1" applyFill="1" applyBorder="1">
      <alignment vertical="center"/>
    </xf>
    <xf numFmtId="38" fontId="107" fillId="68" borderId="122" xfId="345" applyNumberFormat="1" applyFont="1" applyFill="1" applyBorder="1">
      <alignment vertical="center"/>
    </xf>
    <xf numFmtId="38" fontId="107" fillId="68" borderId="66" xfId="345" applyNumberFormat="1" applyFont="1" applyFill="1" applyBorder="1">
      <alignment vertical="center"/>
    </xf>
    <xf numFmtId="38" fontId="107" fillId="68" borderId="48" xfId="345" applyNumberFormat="1" applyFont="1" applyFill="1" applyBorder="1">
      <alignment vertical="center"/>
    </xf>
    <xf numFmtId="38" fontId="107" fillId="68" borderId="71" xfId="345" applyNumberFormat="1" applyFont="1" applyFill="1" applyBorder="1">
      <alignment vertical="center"/>
    </xf>
    <xf numFmtId="38" fontId="107" fillId="68" borderId="67" xfId="345" applyNumberFormat="1" applyFont="1" applyFill="1" applyBorder="1">
      <alignment vertical="center"/>
    </xf>
    <xf numFmtId="38" fontId="107" fillId="68" borderId="51" xfId="345" applyNumberFormat="1" applyFont="1" applyFill="1" applyBorder="1">
      <alignment vertical="center"/>
    </xf>
    <xf numFmtId="38" fontId="107" fillId="68" borderId="49" xfId="345" applyNumberFormat="1" applyFont="1" applyFill="1" applyBorder="1">
      <alignment vertical="center"/>
    </xf>
    <xf numFmtId="38" fontId="107" fillId="68" borderId="50" xfId="345" applyNumberFormat="1" applyFont="1" applyFill="1" applyBorder="1">
      <alignment vertical="center"/>
    </xf>
    <xf numFmtId="38" fontId="107" fillId="68" borderId="65" xfId="345" applyNumberFormat="1" applyFont="1" applyFill="1" applyBorder="1">
      <alignment vertical="center"/>
    </xf>
    <xf numFmtId="38" fontId="108" fillId="67" borderId="24" xfId="414" applyFont="1" applyFill="1" applyBorder="1" applyAlignment="1"/>
    <xf numFmtId="38" fontId="108" fillId="86" borderId="97" xfId="414" applyFont="1" applyFill="1" applyBorder="1" applyAlignment="1"/>
    <xf numFmtId="38" fontId="107" fillId="71" borderId="97" xfId="414" applyFont="1" applyFill="1" applyBorder="1">
      <alignment vertical="center"/>
    </xf>
    <xf numFmtId="38" fontId="107" fillId="74" borderId="24" xfId="414" applyFont="1" applyFill="1" applyBorder="1">
      <alignment vertical="center"/>
    </xf>
    <xf numFmtId="195" fontId="107" fillId="71" borderId="97" xfId="414" applyNumberFormat="1" applyFont="1" applyFill="1" applyBorder="1">
      <alignment vertical="center"/>
    </xf>
    <xf numFmtId="195" fontId="107" fillId="74" borderId="24" xfId="414" applyNumberFormat="1" applyFont="1" applyFill="1" applyBorder="1">
      <alignment vertical="center"/>
    </xf>
    <xf numFmtId="9" fontId="107" fillId="74" borderId="24" xfId="414" applyNumberFormat="1" applyFont="1" applyFill="1" applyBorder="1">
      <alignment vertical="center"/>
    </xf>
    <xf numFmtId="38" fontId="107" fillId="87" borderId="97" xfId="414" applyFont="1" applyFill="1" applyBorder="1">
      <alignment vertical="center"/>
    </xf>
    <xf numFmtId="195" fontId="107" fillId="87" borderId="97" xfId="414" applyNumberFormat="1" applyFont="1" applyFill="1" applyBorder="1">
      <alignment vertical="center"/>
    </xf>
    <xf numFmtId="195" fontId="107" fillId="77" borderId="97" xfId="414" applyNumberFormat="1" applyFont="1" applyFill="1" applyBorder="1">
      <alignment vertical="center"/>
    </xf>
    <xf numFmtId="38" fontId="107" fillId="69" borderId="24" xfId="414" applyFont="1" applyFill="1" applyBorder="1" applyAlignment="1"/>
    <xf numFmtId="38" fontId="107" fillId="69" borderId="31" xfId="414" applyFont="1" applyFill="1" applyBorder="1" applyAlignment="1"/>
    <xf numFmtId="9" fontId="149" fillId="69" borderId="24" xfId="415" applyFont="1" applyFill="1" applyBorder="1" applyAlignment="1" applyProtection="1">
      <alignment vertical="center"/>
    </xf>
    <xf numFmtId="9" fontId="149" fillId="69" borderId="31" xfId="415" applyFont="1" applyFill="1" applyBorder="1" applyAlignment="1" applyProtection="1">
      <alignment vertical="center"/>
    </xf>
    <xf numFmtId="38" fontId="148" fillId="69" borderId="24" xfId="414" applyFont="1" applyFill="1" applyBorder="1" applyAlignment="1" applyProtection="1">
      <alignment vertical="center"/>
    </xf>
    <xf numFmtId="38" fontId="148" fillId="69" borderId="31" xfId="414" applyFont="1" applyFill="1" applyBorder="1" applyAlignment="1" applyProtection="1">
      <alignment vertical="center"/>
    </xf>
    <xf numFmtId="38" fontId="107" fillId="70" borderId="34" xfId="414" applyFont="1" applyFill="1" applyBorder="1">
      <alignment vertical="center"/>
    </xf>
    <xf numFmtId="38" fontId="108" fillId="71" borderId="31" xfId="414" applyFont="1" applyFill="1" applyBorder="1" applyAlignment="1"/>
    <xf numFmtId="38" fontId="107" fillId="71" borderId="97" xfId="484" applyFont="1" applyFill="1" applyBorder="1" applyAlignment="1"/>
    <xf numFmtId="38" fontId="108" fillId="74" borderId="30" xfId="414" applyFont="1" applyFill="1" applyBorder="1" applyAlignment="1"/>
    <xf numFmtId="38" fontId="108" fillId="74" borderId="31" xfId="414" applyFont="1" applyFill="1" applyBorder="1" applyAlignment="1"/>
    <xf numFmtId="198" fontId="107" fillId="0" borderId="108" xfId="349" applyNumberFormat="1" applyFont="1" applyBorder="1" applyAlignment="1">
      <alignment vertical="center"/>
    </xf>
    <xf numFmtId="0" fontId="107" fillId="0" borderId="99" xfId="0" applyFont="1" applyBorder="1">
      <alignment vertical="center"/>
    </xf>
    <xf numFmtId="0" fontId="113" fillId="0" borderId="107" xfId="0" applyFont="1" applyBorder="1">
      <alignment vertical="center"/>
    </xf>
    <xf numFmtId="0" fontId="113" fillId="0" borderId="28" xfId="0" applyFont="1" applyBorder="1">
      <alignment vertical="center"/>
    </xf>
    <xf numFmtId="198" fontId="108" fillId="59" borderId="99" xfId="349" applyNumberFormat="1" applyFont="1" applyFill="1" applyBorder="1" applyAlignment="1">
      <alignment vertical="center"/>
    </xf>
    <xf numFmtId="198" fontId="108" fillId="59" borderId="107" xfId="349" applyNumberFormat="1" applyFont="1" applyFill="1" applyBorder="1" applyAlignment="1">
      <alignment vertical="center"/>
    </xf>
    <xf numFmtId="198" fontId="108" fillId="59" borderId="24" xfId="349" applyNumberFormat="1" applyFont="1" applyFill="1" applyBorder="1" applyAlignment="1">
      <alignment vertical="center"/>
    </xf>
    <xf numFmtId="0" fontId="113" fillId="0" borderId="97" xfId="0" applyFont="1" applyBorder="1" applyAlignment="1">
      <alignment vertical="center" wrapText="1"/>
    </xf>
    <xf numFmtId="0" fontId="107" fillId="61" borderId="28" xfId="345" applyFont="1" applyFill="1" applyBorder="1">
      <alignment vertical="center"/>
    </xf>
    <xf numFmtId="0" fontId="113" fillId="0" borderId="118" xfId="0" applyFont="1" applyBorder="1" applyAlignment="1">
      <alignment vertical="center" wrapText="1"/>
    </xf>
    <xf numFmtId="0" fontId="107" fillId="61" borderId="99" xfId="345" applyFont="1" applyFill="1" applyBorder="1">
      <alignment vertical="center"/>
    </xf>
    <xf numFmtId="0" fontId="107" fillId="61" borderId="107" xfId="345" applyFont="1" applyFill="1" applyBorder="1">
      <alignment vertical="center"/>
    </xf>
    <xf numFmtId="0" fontId="107" fillId="61" borderId="108" xfId="345" applyFont="1" applyFill="1" applyBorder="1">
      <alignment vertical="center"/>
    </xf>
    <xf numFmtId="0" fontId="107" fillId="64" borderId="107" xfId="345" applyFont="1" applyFill="1" applyBorder="1" applyAlignment="1">
      <alignment vertical="center" wrapText="1"/>
    </xf>
    <xf numFmtId="0" fontId="113" fillId="0" borderId="118" xfId="0" applyFont="1" applyBorder="1" applyAlignment="1">
      <alignment horizontal="left" vertical="center" wrapText="1"/>
    </xf>
    <xf numFmtId="0" fontId="113" fillId="0" borderId="31" xfId="0" applyFont="1" applyBorder="1" applyAlignment="1">
      <alignment vertical="center" wrapText="1"/>
    </xf>
    <xf numFmtId="198" fontId="107" fillId="77" borderId="31" xfId="349" applyNumberFormat="1" applyFont="1" applyFill="1" applyBorder="1" applyAlignment="1">
      <alignment vertical="center" wrapText="1"/>
    </xf>
    <xf numFmtId="198" fontId="107" fillId="77" borderId="11" xfId="349" applyNumberFormat="1" applyFont="1" applyFill="1" applyBorder="1" applyAlignment="1">
      <alignment vertical="center"/>
    </xf>
    <xf numFmtId="198" fontId="107" fillId="77" borderId="23" xfId="349" applyNumberFormat="1" applyFont="1" applyFill="1" applyBorder="1" applyAlignment="1">
      <alignment vertical="center"/>
    </xf>
    <xf numFmtId="198" fontId="108" fillId="63" borderId="99" xfId="349" applyNumberFormat="1" applyFont="1" applyFill="1" applyBorder="1" applyAlignment="1">
      <alignment vertical="center"/>
    </xf>
    <xf numFmtId="198" fontId="108" fillId="63" borderId="107" xfId="349" applyNumberFormat="1" applyFont="1" applyFill="1" applyBorder="1" applyAlignment="1">
      <alignment vertical="center" wrapText="1"/>
    </xf>
    <xf numFmtId="198" fontId="107" fillId="0" borderId="97" xfId="349" applyNumberFormat="1" applyFont="1" applyBorder="1" applyAlignment="1">
      <alignment vertical="center"/>
    </xf>
    <xf numFmtId="198" fontId="107" fillId="0" borderId="21" xfId="349" applyNumberFormat="1" applyFont="1" applyBorder="1" applyAlignment="1">
      <alignment vertical="center"/>
    </xf>
    <xf numFmtId="198" fontId="108" fillId="63" borderId="24" xfId="349" applyNumberFormat="1" applyFont="1" applyFill="1" applyBorder="1" applyAlignment="1">
      <alignment vertical="center"/>
    </xf>
    <xf numFmtId="198" fontId="108" fillId="63" borderId="21" xfId="349" applyNumberFormat="1" applyFont="1" applyFill="1" applyBorder="1" applyAlignment="1">
      <alignment vertical="center"/>
    </xf>
    <xf numFmtId="0" fontId="108" fillId="66" borderId="99" xfId="349" applyFont="1" applyFill="1" applyBorder="1"/>
    <xf numFmtId="0" fontId="108" fillId="66" borderId="107" xfId="349" applyFont="1" applyFill="1" applyBorder="1" applyAlignment="1">
      <alignment wrapText="1"/>
    </xf>
    <xf numFmtId="0" fontId="107" fillId="0" borderId="118" xfId="349" applyFont="1" applyBorder="1" applyAlignment="1">
      <alignment vertical="center" wrapText="1"/>
    </xf>
    <xf numFmtId="0" fontId="107" fillId="0" borderId="118" xfId="0" applyFont="1" applyBorder="1" applyAlignment="1">
      <alignment horizontal="left" vertical="center" wrapText="1"/>
    </xf>
    <xf numFmtId="0" fontId="125" fillId="75" borderId="97" xfId="349" applyFont="1" applyFill="1" applyBorder="1"/>
    <xf numFmtId="0" fontId="107" fillId="61" borderId="25" xfId="345" applyFont="1" applyFill="1" applyBorder="1" applyAlignment="1">
      <alignment vertical="top"/>
    </xf>
    <xf numFmtId="0" fontId="107" fillId="0" borderId="99" xfId="345" applyFont="1" applyBorder="1" applyAlignment="1">
      <alignment vertical="top"/>
    </xf>
    <xf numFmtId="0" fontId="107" fillId="0" borderId="118" xfId="0" applyFont="1" applyBorder="1" applyAlignment="1">
      <alignment vertical="top" wrapText="1"/>
    </xf>
    <xf numFmtId="0" fontId="113" fillId="75" borderId="25" xfId="0" applyFont="1" applyFill="1" applyBorder="1">
      <alignment vertical="center"/>
    </xf>
    <xf numFmtId="0" fontId="176" fillId="0" borderId="108" xfId="0" applyFont="1" applyBorder="1">
      <alignment vertical="center"/>
    </xf>
    <xf numFmtId="0" fontId="176" fillId="0" borderId="107" xfId="0" applyFont="1" applyBorder="1">
      <alignment vertical="center"/>
    </xf>
    <xf numFmtId="0" fontId="176" fillId="0" borderId="99" xfId="0" applyFont="1" applyBorder="1">
      <alignment vertical="center"/>
    </xf>
    <xf numFmtId="0" fontId="113" fillId="88" borderId="25" xfId="0" applyFont="1" applyFill="1" applyBorder="1">
      <alignment vertical="center"/>
    </xf>
    <xf numFmtId="0" fontId="113" fillId="88" borderId="11" xfId="0" applyFont="1" applyFill="1" applyBorder="1">
      <alignment vertical="center"/>
    </xf>
    <xf numFmtId="0" fontId="113" fillId="88" borderId="23" xfId="0" applyFont="1" applyFill="1" applyBorder="1">
      <alignment vertical="center"/>
    </xf>
    <xf numFmtId="0" fontId="108" fillId="68" borderId="25" xfId="349" applyFont="1" applyFill="1" applyBorder="1"/>
    <xf numFmtId="0" fontId="108" fillId="68" borderId="99" xfId="349" applyFont="1" applyFill="1" applyBorder="1"/>
    <xf numFmtId="0" fontId="108" fillId="68" borderId="107" xfId="349" applyFont="1" applyFill="1" applyBorder="1" applyAlignment="1">
      <alignment wrapText="1"/>
    </xf>
    <xf numFmtId="198" fontId="108" fillId="0" borderId="25" xfId="349" applyNumberFormat="1" applyFont="1" applyBorder="1" applyAlignment="1">
      <alignment vertical="center"/>
    </xf>
    <xf numFmtId="198" fontId="108" fillId="0" borderId="99" xfId="349" applyNumberFormat="1" applyFont="1" applyBorder="1" applyAlignment="1">
      <alignment vertical="center"/>
    </xf>
    <xf numFmtId="198" fontId="108" fillId="0" borderId="107" xfId="349" applyNumberFormat="1" applyFont="1" applyBorder="1" applyAlignment="1">
      <alignment vertical="center" wrapText="1"/>
    </xf>
    <xf numFmtId="0" fontId="107" fillId="0" borderId="28" xfId="0" applyFont="1" applyBorder="1" applyAlignment="1">
      <alignment vertical="center" wrapText="1"/>
    </xf>
    <xf numFmtId="0" fontId="107" fillId="0" borderId="31" xfId="0" applyFont="1" applyBorder="1" applyAlignment="1">
      <alignment vertical="center" wrapText="1"/>
    </xf>
    <xf numFmtId="0" fontId="107" fillId="0" borderId="30" xfId="0" applyFont="1" applyBorder="1" applyAlignment="1">
      <alignment vertical="center" wrapText="1"/>
    </xf>
    <xf numFmtId="198" fontId="108" fillId="0" borderId="21" xfId="349" applyNumberFormat="1" applyFont="1" applyBorder="1" applyAlignment="1">
      <alignment vertical="center"/>
    </xf>
    <xf numFmtId="0" fontId="113" fillId="65" borderId="108" xfId="0" applyFont="1" applyFill="1" applyBorder="1">
      <alignment vertical="center"/>
    </xf>
    <xf numFmtId="0" fontId="107" fillId="65" borderId="99" xfId="0" applyFont="1" applyFill="1" applyBorder="1">
      <alignment vertical="center"/>
    </xf>
    <xf numFmtId="0" fontId="107" fillId="65" borderId="107" xfId="0" applyFont="1" applyFill="1" applyBorder="1">
      <alignment vertical="center"/>
    </xf>
    <xf numFmtId="0" fontId="107" fillId="65" borderId="118" xfId="0" applyFont="1" applyFill="1" applyBorder="1" applyAlignment="1">
      <alignment vertical="center" wrapText="1"/>
    </xf>
    <xf numFmtId="0" fontId="107" fillId="0" borderId="97" xfId="0" applyFont="1" applyBorder="1" applyAlignment="1">
      <alignment vertical="center" wrapText="1"/>
    </xf>
    <xf numFmtId="0" fontId="113" fillId="65" borderId="99" xfId="0" applyFont="1" applyFill="1" applyBorder="1">
      <alignment vertical="center"/>
    </xf>
    <xf numFmtId="0" fontId="113" fillId="65" borderId="118" xfId="0" applyFont="1" applyFill="1" applyBorder="1" applyAlignment="1">
      <alignment vertical="center" wrapText="1"/>
    </xf>
    <xf numFmtId="0" fontId="107" fillId="0" borderId="108" xfId="0" applyFont="1" applyBorder="1">
      <alignment vertical="center"/>
    </xf>
    <xf numFmtId="198" fontId="107" fillId="0" borderId="99" xfId="349" applyNumberFormat="1" applyFont="1" applyBorder="1" applyAlignment="1">
      <alignment vertical="center"/>
    </xf>
    <xf numFmtId="0" fontId="107" fillId="0" borderId="118" xfId="0" applyFont="1" applyBorder="1" applyAlignment="1">
      <alignment vertical="center" wrapText="1"/>
    </xf>
    <xf numFmtId="0" fontId="113" fillId="0" borderId="108" xfId="0" applyFont="1" applyBorder="1">
      <alignment vertical="center"/>
    </xf>
    <xf numFmtId="0" fontId="113" fillId="0" borderId="99" xfId="0" applyFont="1" applyBorder="1">
      <alignment vertical="center"/>
    </xf>
    <xf numFmtId="0" fontId="107" fillId="65" borderId="107" xfId="0" applyFont="1" applyFill="1" applyBorder="1" applyAlignment="1">
      <alignment vertical="center" wrapText="1"/>
    </xf>
    <xf numFmtId="0" fontId="113" fillId="0" borderId="97" xfId="0" applyFont="1" applyBorder="1">
      <alignment vertical="center"/>
    </xf>
    <xf numFmtId="0" fontId="113" fillId="0" borderId="118" xfId="0" applyFont="1" applyBorder="1">
      <alignment vertical="center"/>
    </xf>
    <xf numFmtId="0" fontId="113" fillId="0" borderId="21" xfId="0" applyFont="1" applyBorder="1">
      <alignment vertical="center"/>
    </xf>
    <xf numFmtId="0" fontId="113" fillId="0" borderId="24" xfId="0" applyFont="1" applyBorder="1">
      <alignment vertical="center"/>
    </xf>
    <xf numFmtId="0" fontId="116" fillId="65" borderId="108" xfId="0" applyFont="1" applyFill="1" applyBorder="1">
      <alignment vertical="center"/>
    </xf>
    <xf numFmtId="0" fontId="107" fillId="0" borderId="99" xfId="0" applyFont="1" applyBorder="1" applyAlignment="1">
      <alignment vertical="top"/>
    </xf>
    <xf numFmtId="0" fontId="128" fillId="0" borderId="118" xfId="486" applyFont="1" applyBorder="1" applyAlignment="1">
      <alignment horizontal="center" vertical="center"/>
    </xf>
    <xf numFmtId="0" fontId="128" fillId="0" borderId="97" xfId="486" applyFont="1" applyBorder="1" applyAlignment="1">
      <alignment horizontal="center" vertical="center"/>
    </xf>
    <xf numFmtId="0" fontId="176" fillId="0" borderId="25" xfId="486" applyFont="1" applyBorder="1">
      <alignment vertical="center"/>
    </xf>
    <xf numFmtId="0" fontId="128" fillId="0" borderId="107" xfId="486" applyFont="1" applyBorder="1">
      <alignment vertical="center"/>
    </xf>
    <xf numFmtId="0" fontId="128" fillId="0" borderId="25" xfId="486" applyFont="1" applyBorder="1">
      <alignment vertical="center"/>
    </xf>
    <xf numFmtId="0" fontId="128" fillId="0" borderId="28" xfId="486" applyFont="1" applyBorder="1">
      <alignment vertical="center"/>
    </xf>
    <xf numFmtId="0" fontId="128" fillId="0" borderId="28" xfId="486" applyFont="1" applyBorder="1" applyAlignment="1">
      <alignment horizontal="center" vertical="center"/>
    </xf>
    <xf numFmtId="0" fontId="128" fillId="0" borderId="21" xfId="486" quotePrefix="1" applyFont="1" applyBorder="1" applyAlignment="1">
      <alignment horizontal="center" vertical="center"/>
    </xf>
    <xf numFmtId="0" fontId="128" fillId="82" borderId="97" xfId="486" applyFont="1" applyFill="1" applyBorder="1" applyAlignment="1">
      <alignment horizontal="center" vertical="center"/>
    </xf>
    <xf numFmtId="0" fontId="128" fillId="0" borderId="118" xfId="486" applyFont="1" applyBorder="1" applyAlignment="1">
      <alignment horizontal="left" vertical="center" indent="1"/>
    </xf>
    <xf numFmtId="0" fontId="128" fillId="0" borderId="24" xfId="486" applyFont="1" applyBorder="1">
      <alignment vertical="center"/>
    </xf>
    <xf numFmtId="0" fontId="128" fillId="0" borderId="21" xfId="486" applyFont="1" applyBorder="1">
      <alignment vertical="center"/>
    </xf>
    <xf numFmtId="0" fontId="128" fillId="0" borderId="108" xfId="486" applyFont="1" applyBorder="1">
      <alignment vertical="center"/>
    </xf>
    <xf numFmtId="0" fontId="128" fillId="0" borderId="99" xfId="486" applyFont="1" applyBorder="1">
      <alignment vertical="center"/>
    </xf>
    <xf numFmtId="0" fontId="202" fillId="0" borderId="99" xfId="486" applyFont="1" applyBorder="1">
      <alignment vertical="center"/>
    </xf>
    <xf numFmtId="0" fontId="128" fillId="0" borderId="0" xfId="486" quotePrefix="1" applyFont="1" applyAlignment="1">
      <alignment horizontal="center" vertical="center"/>
    </xf>
    <xf numFmtId="0" fontId="128" fillId="0" borderId="25" xfId="486" applyFont="1" applyBorder="1" applyAlignment="1">
      <alignment horizontal="left" vertical="center" indent="1"/>
    </xf>
    <xf numFmtId="38" fontId="107" fillId="0" borderId="118" xfId="414" applyFont="1" applyFill="1" applyBorder="1">
      <alignment vertical="center"/>
    </xf>
    <xf numFmtId="0" fontId="128" fillId="80" borderId="0" xfId="0" applyFont="1" applyFill="1" applyAlignment="1">
      <alignment horizontal="center" vertical="center"/>
    </xf>
    <xf numFmtId="38" fontId="107" fillId="62" borderId="24" xfId="414" applyFont="1" applyFill="1" applyBorder="1" applyAlignment="1">
      <alignment vertical="center"/>
    </xf>
    <xf numFmtId="38" fontId="107" fillId="62" borderId="34" xfId="414" applyFont="1" applyFill="1" applyBorder="1" applyAlignment="1">
      <alignment vertical="center"/>
    </xf>
    <xf numFmtId="38" fontId="107" fillId="62" borderId="21" xfId="414" applyFont="1" applyFill="1" applyBorder="1" applyAlignment="1">
      <alignment vertical="center"/>
    </xf>
    <xf numFmtId="38" fontId="107" fillId="62" borderId="98" xfId="414" applyFont="1" applyFill="1" applyBorder="1" applyAlignment="1">
      <alignment vertical="center"/>
    </xf>
    <xf numFmtId="38" fontId="107" fillId="62" borderId="30" xfId="414" applyFont="1" applyFill="1" applyBorder="1" applyAlignment="1">
      <alignment vertical="center"/>
    </xf>
    <xf numFmtId="38" fontId="107" fillId="62" borderId="31" xfId="414" applyFont="1" applyFill="1" applyBorder="1" applyAlignment="1">
      <alignment vertical="center"/>
    </xf>
    <xf numFmtId="38" fontId="107" fillId="62" borderId="35" xfId="414" applyFont="1" applyFill="1" applyBorder="1" applyAlignment="1">
      <alignment vertical="center"/>
    </xf>
    <xf numFmtId="38" fontId="108" fillId="63" borderId="97" xfId="414" applyFont="1" applyFill="1" applyBorder="1" applyAlignment="1">
      <alignment vertical="center"/>
    </xf>
    <xf numFmtId="38" fontId="108" fillId="63" borderId="98" xfId="414" applyFont="1" applyFill="1" applyBorder="1" applyAlignment="1">
      <alignment vertical="center"/>
    </xf>
    <xf numFmtId="38" fontId="107" fillId="69" borderId="24" xfId="414" applyFont="1" applyFill="1" applyBorder="1" applyAlignment="1">
      <alignment vertical="center"/>
    </xf>
    <xf numFmtId="38" fontId="107" fillId="69" borderId="31" xfId="414" applyFont="1" applyFill="1" applyBorder="1" applyAlignment="1">
      <alignment vertical="center"/>
    </xf>
    <xf numFmtId="38" fontId="107" fillId="0" borderId="24" xfId="414" applyFont="1" applyBorder="1" applyAlignment="1">
      <alignment vertical="center"/>
    </xf>
    <xf numFmtId="38" fontId="107" fillId="0" borderId="31" xfId="414" applyFont="1" applyBorder="1" applyAlignment="1">
      <alignment vertical="center"/>
    </xf>
    <xf numFmtId="49" fontId="107" fillId="61" borderId="0" xfId="345" applyNumberFormat="1" applyFont="1" applyFill="1" applyAlignment="1">
      <alignment horizontal="centerContinuous" vertical="center"/>
    </xf>
    <xf numFmtId="198" fontId="186" fillId="0" borderId="0" xfId="349" applyNumberFormat="1" applyFont="1" applyAlignment="1">
      <alignment vertical="center"/>
    </xf>
    <xf numFmtId="0" fontId="167" fillId="0" borderId="0" xfId="420" applyFont="1"/>
    <xf numFmtId="0" fontId="143" fillId="0" borderId="0" xfId="420" applyFont="1"/>
    <xf numFmtId="0" fontId="132" fillId="0" borderId="0" xfId="420" applyFont="1" applyAlignment="1">
      <alignment horizontal="right"/>
    </xf>
    <xf numFmtId="0" fontId="131" fillId="0" borderId="0" xfId="420" applyFont="1"/>
    <xf numFmtId="0" fontId="213" fillId="0" borderId="0" xfId="345" applyFont="1">
      <alignment vertical="center"/>
    </xf>
    <xf numFmtId="38" fontId="107" fillId="68" borderId="45" xfId="414" applyFont="1" applyFill="1" applyBorder="1">
      <alignment vertical="center"/>
    </xf>
    <xf numFmtId="38" fontId="107" fillId="68" borderId="45" xfId="414" applyFont="1" applyFill="1" applyBorder="1" applyAlignment="1"/>
    <xf numFmtId="38" fontId="107" fillId="0" borderId="46" xfId="414" applyFont="1" applyFill="1" applyBorder="1" applyAlignment="1"/>
    <xf numFmtId="38" fontId="107" fillId="0" borderId="45" xfId="414" applyFont="1" applyFill="1" applyBorder="1" applyAlignment="1"/>
    <xf numFmtId="38" fontId="107" fillId="68" borderId="34" xfId="414" applyFont="1" applyFill="1" applyBorder="1">
      <alignment vertical="center"/>
    </xf>
    <xf numFmtId="38" fontId="107" fillId="68" borderId="34" xfId="414" applyFont="1" applyFill="1" applyBorder="1" applyAlignment="1"/>
    <xf numFmtId="38" fontId="107" fillId="0" borderId="34" xfId="414" applyFont="1" applyFill="1" applyBorder="1" applyAlignment="1"/>
    <xf numFmtId="38" fontId="107" fillId="68" borderId="24" xfId="414" applyFont="1" applyFill="1" applyBorder="1" applyAlignment="1"/>
    <xf numFmtId="38" fontId="107" fillId="0" borderId="24" xfId="414" applyFont="1" applyFill="1" applyBorder="1" applyAlignment="1"/>
    <xf numFmtId="38" fontId="107" fillId="68" borderId="21" xfId="414" applyFont="1" applyFill="1" applyBorder="1" applyAlignment="1"/>
    <xf numFmtId="38" fontId="107" fillId="0" borderId="21" xfId="414" applyFont="1" applyFill="1" applyBorder="1" applyAlignment="1"/>
    <xf numFmtId="38" fontId="108" fillId="49" borderId="97" xfId="414" applyFont="1" applyFill="1" applyBorder="1" applyAlignment="1">
      <alignment vertical="center"/>
    </xf>
    <xf numFmtId="38" fontId="108" fillId="49" borderId="98" xfId="414" applyFont="1" applyFill="1" applyBorder="1" applyAlignment="1">
      <alignment vertical="center"/>
    </xf>
    <xf numFmtId="38" fontId="149" fillId="0" borderId="30" xfId="414" applyFont="1" applyBorder="1" applyAlignment="1" applyProtection="1">
      <alignment vertical="center"/>
    </xf>
    <xf numFmtId="0" fontId="133" fillId="84" borderId="0" xfId="345" applyFont="1" applyFill="1">
      <alignment vertical="center"/>
    </xf>
    <xf numFmtId="0" fontId="107" fillId="84" borderId="0" xfId="345" applyFont="1" applyFill="1">
      <alignment vertical="center"/>
    </xf>
    <xf numFmtId="38" fontId="107" fillId="0" borderId="11" xfId="414" applyFont="1" applyFill="1" applyBorder="1">
      <alignment vertical="center"/>
    </xf>
    <xf numFmtId="38" fontId="107" fillId="0" borderId="30" xfId="414" applyFont="1" applyFill="1" applyBorder="1" applyAlignment="1">
      <alignment vertical="center"/>
    </xf>
    <xf numFmtId="38" fontId="107" fillId="0" borderId="21" xfId="414" applyFont="1" applyFill="1" applyBorder="1" applyAlignment="1">
      <alignment vertical="center"/>
    </xf>
    <xf numFmtId="38" fontId="107" fillId="0" borderId="24" xfId="414" applyFont="1" applyFill="1" applyBorder="1" applyAlignment="1">
      <alignment vertical="center"/>
    </xf>
    <xf numFmtId="38" fontId="107" fillId="0" borderId="31" xfId="414" applyFont="1" applyFill="1" applyBorder="1" applyAlignment="1">
      <alignment vertical="center"/>
    </xf>
    <xf numFmtId="38" fontId="108" fillId="62" borderId="98" xfId="414" applyFont="1" applyFill="1" applyBorder="1" applyAlignment="1"/>
    <xf numFmtId="38" fontId="107" fillId="0" borderId="5" xfId="414" applyFont="1" applyFill="1" applyBorder="1" applyAlignment="1" applyProtection="1">
      <alignment vertical="center"/>
      <protection locked="0"/>
    </xf>
    <xf numFmtId="38" fontId="107" fillId="0" borderId="4" xfId="414" applyFont="1" applyFill="1" applyBorder="1" applyAlignment="1" applyProtection="1">
      <alignment vertical="center"/>
      <protection locked="0"/>
    </xf>
    <xf numFmtId="38" fontId="107" fillId="0" borderId="46" xfId="414" applyFont="1" applyFill="1" applyBorder="1" applyAlignment="1" applyProtection="1">
      <alignment vertical="center"/>
      <protection locked="0"/>
    </xf>
    <xf numFmtId="38" fontId="107" fillId="0" borderId="31" xfId="414" applyFont="1" applyFill="1" applyBorder="1" applyAlignment="1" applyProtection="1">
      <alignment vertical="center"/>
      <protection locked="0"/>
    </xf>
    <xf numFmtId="38" fontId="107" fillId="0" borderId="108" xfId="414" applyFont="1" applyFill="1" applyBorder="1">
      <alignment vertical="center"/>
    </xf>
    <xf numFmtId="201" fontId="107" fillId="0" borderId="11" xfId="414" applyNumberFormat="1" applyFont="1" applyFill="1" applyBorder="1">
      <alignment vertical="center"/>
    </xf>
    <xf numFmtId="201" fontId="107" fillId="0" borderId="0" xfId="414" applyNumberFormat="1" applyFont="1" applyFill="1" applyBorder="1">
      <alignment vertical="center"/>
    </xf>
    <xf numFmtId="38" fontId="107" fillId="0" borderId="118" xfId="414" applyFont="1" applyFill="1" applyBorder="1" applyAlignment="1">
      <alignment horizontal="right" vertical="center"/>
    </xf>
    <xf numFmtId="38" fontId="107" fillId="0" borderId="81" xfId="414" applyFont="1" applyFill="1" applyBorder="1" applyAlignment="1">
      <alignment horizontal="right" vertical="center"/>
    </xf>
    <xf numFmtId="38" fontId="107" fillId="0" borderId="1" xfId="414" applyFont="1" applyFill="1" applyBorder="1" applyAlignment="1">
      <alignment horizontal="right" vertical="center"/>
    </xf>
    <xf numFmtId="38" fontId="107" fillId="0" borderId="21" xfId="414" applyFont="1" applyFill="1" applyBorder="1" applyAlignment="1">
      <alignment horizontal="right" vertical="center"/>
    </xf>
    <xf numFmtId="38" fontId="107" fillId="0" borderId="30" xfId="414" applyFont="1" applyFill="1" applyBorder="1" applyAlignment="1">
      <alignment horizontal="right" vertical="center"/>
    </xf>
    <xf numFmtId="38" fontId="107" fillId="0" borderId="26" xfId="414" applyFont="1" applyFill="1" applyBorder="1" applyAlignment="1">
      <alignment horizontal="right" vertical="center"/>
    </xf>
    <xf numFmtId="197" fontId="107" fillId="0" borderId="11" xfId="349" applyNumberFormat="1" applyFont="1" applyBorder="1" applyAlignment="1">
      <alignment vertical="center"/>
    </xf>
    <xf numFmtId="197" fontId="107" fillId="0" borderId="0" xfId="349" applyNumberFormat="1" applyFont="1" applyAlignment="1">
      <alignment vertical="center"/>
    </xf>
    <xf numFmtId="0" fontId="107" fillId="0" borderId="0" xfId="345" applyFont="1" applyAlignment="1">
      <alignment horizontal="center" vertical="center"/>
    </xf>
    <xf numFmtId="199" fontId="108" fillId="0" borderId="118" xfId="349" applyNumberFormat="1" applyFont="1" applyBorder="1" applyAlignment="1">
      <alignment horizontal="center" vertical="center"/>
    </xf>
    <xf numFmtId="0" fontId="107" fillId="0" borderId="81" xfId="345" applyFont="1" applyBorder="1" applyAlignment="1">
      <alignment horizontal="center" vertical="center"/>
    </xf>
    <xf numFmtId="0" fontId="107" fillId="0" borderId="1" xfId="345" applyFont="1" applyBorder="1" applyAlignment="1">
      <alignment horizontal="center" vertical="center"/>
    </xf>
    <xf numFmtId="38" fontId="107" fillId="0" borderId="79" xfId="414" applyFont="1" applyFill="1" applyBorder="1" applyAlignment="1">
      <alignment horizontal="right" vertical="center"/>
    </xf>
    <xf numFmtId="38" fontId="107" fillId="0" borderId="78" xfId="414" applyFont="1" applyFill="1" applyBorder="1" applyAlignment="1">
      <alignment horizontal="right" vertical="center"/>
    </xf>
    <xf numFmtId="38" fontId="107" fillId="0" borderId="82" xfId="414" applyFont="1" applyFill="1" applyBorder="1" applyAlignment="1">
      <alignment horizontal="right" vertical="center"/>
    </xf>
    <xf numFmtId="38" fontId="107" fillId="0" borderId="31" xfId="414" applyFont="1" applyFill="1" applyBorder="1" applyAlignment="1">
      <alignment horizontal="right" vertical="center"/>
    </xf>
    <xf numFmtId="197" fontId="107" fillId="0" borderId="23" xfId="345" applyNumberFormat="1" applyFont="1" applyBorder="1">
      <alignment vertical="center"/>
    </xf>
    <xf numFmtId="197" fontId="107" fillId="0" borderId="22" xfId="345" applyNumberFormat="1" applyFont="1" applyBorder="1">
      <alignment vertical="center"/>
    </xf>
    <xf numFmtId="38" fontId="107" fillId="0" borderId="37" xfId="414" applyFont="1" applyFill="1" applyBorder="1">
      <alignment vertical="center"/>
    </xf>
    <xf numFmtId="38" fontId="107" fillId="0" borderId="77" xfId="414" applyFont="1" applyFill="1" applyBorder="1">
      <alignment vertical="center"/>
    </xf>
    <xf numFmtId="38" fontId="107" fillId="0" borderId="42" xfId="414" applyFont="1" applyFill="1" applyBorder="1">
      <alignment vertical="center"/>
    </xf>
    <xf numFmtId="38" fontId="107" fillId="0" borderId="5" xfId="414" applyFont="1" applyFill="1" applyBorder="1">
      <alignment vertical="center"/>
    </xf>
    <xf numFmtId="38" fontId="107" fillId="0" borderId="4" xfId="414" applyFont="1" applyFill="1" applyBorder="1">
      <alignment vertical="center"/>
    </xf>
    <xf numFmtId="197" fontId="119" fillId="0" borderId="0" xfId="297" applyNumberFormat="1" applyFont="1" applyFill="1" applyAlignment="1">
      <alignment horizontal="right" vertical="center"/>
    </xf>
    <xf numFmtId="197" fontId="166" fillId="0" borderId="0" xfId="297" applyNumberFormat="1" applyFont="1" applyFill="1" applyAlignment="1">
      <alignment horizontal="right" vertical="center"/>
    </xf>
    <xf numFmtId="197" fontId="9" fillId="0" borderId="0" xfId="349" applyNumberFormat="1"/>
    <xf numFmtId="197" fontId="108" fillId="0" borderId="106" xfId="349" applyNumberFormat="1" applyFont="1" applyBorder="1" applyAlignment="1">
      <alignment vertical="center"/>
    </xf>
    <xf numFmtId="197" fontId="108" fillId="0" borderId="85" xfId="349" applyNumberFormat="1" applyFont="1" applyBorder="1" applyAlignment="1">
      <alignment vertical="center"/>
    </xf>
    <xf numFmtId="197" fontId="108" fillId="0" borderId="11" xfId="349" applyNumberFormat="1" applyFont="1" applyBorder="1" applyAlignment="1">
      <alignment vertical="center"/>
    </xf>
    <xf numFmtId="197" fontId="108" fillId="0" borderId="0" xfId="349" applyNumberFormat="1" applyFont="1" applyAlignment="1">
      <alignment vertical="center"/>
    </xf>
    <xf numFmtId="197" fontId="107" fillId="0" borderId="23" xfId="349" applyNumberFormat="1" applyFont="1" applyBorder="1" applyAlignment="1">
      <alignment vertical="center"/>
    </xf>
    <xf numFmtId="197" fontId="107" fillId="0" borderId="22" xfId="349" applyNumberFormat="1" applyFont="1" applyBorder="1" applyAlignment="1">
      <alignment vertical="center"/>
    </xf>
    <xf numFmtId="38" fontId="107" fillId="0" borderId="32" xfId="414" applyFont="1" applyFill="1" applyBorder="1" applyAlignment="1" applyProtection="1">
      <alignment vertical="center"/>
    </xf>
    <xf numFmtId="38" fontId="107" fillId="0" borderId="97" xfId="414" applyFont="1" applyFill="1" applyBorder="1" applyAlignment="1" applyProtection="1">
      <alignment horizontal="right" vertical="center"/>
    </xf>
    <xf numFmtId="38" fontId="107" fillId="0" borderId="24" xfId="414" applyFont="1" applyFill="1" applyBorder="1" applyAlignment="1" applyProtection="1">
      <alignment horizontal="right" vertical="center"/>
    </xf>
    <xf numFmtId="38" fontId="107" fillId="0" borderId="21" xfId="414" applyFont="1" applyFill="1" applyBorder="1" applyAlignment="1" applyProtection="1">
      <alignment horizontal="right" vertical="center"/>
    </xf>
    <xf numFmtId="38" fontId="107" fillId="0" borderId="97" xfId="414" applyFont="1" applyFill="1" applyBorder="1" applyAlignment="1"/>
    <xf numFmtId="38" fontId="107" fillId="0" borderId="5" xfId="414" applyFont="1" applyFill="1" applyBorder="1" applyAlignment="1"/>
    <xf numFmtId="38" fontId="107" fillId="0" borderId="82" xfId="414" applyFont="1" applyFill="1" applyBorder="1" applyAlignment="1"/>
    <xf numFmtId="0" fontId="124" fillId="0" borderId="11" xfId="345" applyFont="1" applyBorder="1" applyAlignment="1">
      <alignment horizontal="center" vertical="center"/>
    </xf>
    <xf numFmtId="0" fontId="124" fillId="0" borderId="0" xfId="345" applyFont="1" applyAlignment="1">
      <alignment horizontal="center" vertical="center"/>
    </xf>
    <xf numFmtId="0" fontId="124" fillId="0" borderId="85" xfId="345" applyFont="1" applyBorder="1" applyAlignment="1">
      <alignment horizontal="center" vertical="center"/>
    </xf>
    <xf numFmtId="0" fontId="62" fillId="0" borderId="85" xfId="420" applyBorder="1"/>
    <xf numFmtId="0" fontId="155" fillId="0" borderId="11" xfId="420" applyFont="1" applyBorder="1"/>
    <xf numFmtId="38" fontId="153" fillId="0" borderId="120" xfId="414" applyFont="1" applyFill="1" applyBorder="1" applyAlignment="1"/>
    <xf numFmtId="38" fontId="153" fillId="0" borderId="119" xfId="414" applyFont="1" applyFill="1" applyBorder="1" applyAlignment="1"/>
    <xf numFmtId="38" fontId="153" fillId="0" borderId="122" xfId="414" applyFont="1" applyFill="1" applyBorder="1" applyAlignment="1"/>
    <xf numFmtId="38" fontId="153" fillId="0" borderId="66" xfId="414" applyFont="1" applyFill="1" applyBorder="1" applyAlignment="1"/>
    <xf numFmtId="38" fontId="153" fillId="0" borderId="48" xfId="414" applyFont="1" applyFill="1" applyBorder="1" applyAlignment="1"/>
    <xf numFmtId="38" fontId="153" fillId="0" borderId="67" xfId="414" applyFont="1" applyFill="1" applyBorder="1" applyAlignment="1"/>
    <xf numFmtId="38" fontId="153" fillId="0" borderId="51" xfId="414" applyFont="1" applyFill="1" applyBorder="1" applyAlignment="1"/>
    <xf numFmtId="38" fontId="153" fillId="0" borderId="49" xfId="414" applyFont="1" applyFill="1" applyBorder="1" applyAlignment="1"/>
    <xf numFmtId="38" fontId="153" fillId="0" borderId="65" xfId="414" applyFont="1" applyFill="1" applyBorder="1" applyAlignment="1"/>
    <xf numFmtId="38" fontId="153" fillId="0" borderId="84" xfId="414" applyFont="1" applyFill="1" applyBorder="1" applyAlignment="1"/>
    <xf numFmtId="38" fontId="153" fillId="0" borderId="76" xfId="414" applyFont="1" applyFill="1" applyBorder="1" applyAlignment="1"/>
    <xf numFmtId="38" fontId="153" fillId="0" borderId="93" xfId="414" applyFont="1" applyFill="1" applyBorder="1" applyAlignment="1"/>
    <xf numFmtId="38" fontId="154" fillId="0" borderId="11" xfId="414" applyFont="1" applyFill="1" applyBorder="1" applyAlignment="1"/>
    <xf numFmtId="38" fontId="154" fillId="0" borderId="0" xfId="414" applyFont="1" applyFill="1" applyBorder="1" applyAlignment="1"/>
    <xf numFmtId="0" fontId="107" fillId="0" borderId="11" xfId="420" applyFont="1" applyBorder="1"/>
    <xf numFmtId="197" fontId="169" fillId="0" borderId="0" xfId="345" applyNumberFormat="1" applyFont="1">
      <alignment vertical="center"/>
    </xf>
    <xf numFmtId="202" fontId="169" fillId="0" borderId="0" xfId="349" applyNumberFormat="1" applyFont="1" applyAlignment="1">
      <alignment vertical="center"/>
    </xf>
    <xf numFmtId="202" fontId="169" fillId="0" borderId="0" xfId="345" applyNumberFormat="1" applyFont="1">
      <alignment vertical="center"/>
    </xf>
    <xf numFmtId="38" fontId="169" fillId="0" borderId="118" xfId="414" applyFont="1" applyFill="1" applyBorder="1" applyAlignment="1" applyProtection="1">
      <alignment horizontal="right" vertical="center"/>
    </xf>
    <xf numFmtId="38" fontId="169" fillId="0" borderId="74" xfId="414" applyFont="1" applyFill="1" applyBorder="1" applyAlignment="1" applyProtection="1">
      <alignment horizontal="right" vertical="center"/>
    </xf>
    <xf numFmtId="38" fontId="169" fillId="0" borderId="0" xfId="414" applyFont="1" applyFill="1" applyAlignment="1" applyProtection="1">
      <alignment vertical="center"/>
    </xf>
    <xf numFmtId="38" fontId="169" fillId="0" borderId="0" xfId="414" applyFont="1" applyFill="1" applyAlignment="1">
      <alignment vertical="center"/>
    </xf>
    <xf numFmtId="0" fontId="128" fillId="0" borderId="0" xfId="613" applyFont="1">
      <alignment vertical="center"/>
    </xf>
    <xf numFmtId="0" fontId="120" fillId="0" borderId="0" xfId="345" applyFont="1">
      <alignment vertical="center"/>
    </xf>
    <xf numFmtId="38" fontId="107" fillId="0" borderId="4" xfId="414" applyFont="1" applyFill="1" applyBorder="1" applyAlignment="1" applyProtection="1">
      <alignment vertical="center"/>
    </xf>
    <xf numFmtId="9" fontId="118" fillId="0" borderId="21" xfId="415" applyFont="1" applyFill="1" applyBorder="1" applyAlignment="1" applyProtection="1">
      <alignment vertical="center"/>
    </xf>
    <xf numFmtId="9" fontId="118" fillId="0" borderId="34" xfId="415" applyFont="1" applyFill="1" applyBorder="1" applyAlignment="1" applyProtection="1">
      <alignment vertical="center"/>
    </xf>
    <xf numFmtId="38" fontId="107" fillId="0" borderId="45" xfId="414" applyFont="1" applyFill="1" applyBorder="1" applyAlignment="1" applyProtection="1">
      <alignment vertical="center"/>
    </xf>
    <xf numFmtId="9" fontId="118" fillId="0" borderId="24" xfId="415" applyFont="1" applyFill="1" applyBorder="1" applyAlignment="1" applyProtection="1">
      <alignment vertical="center"/>
    </xf>
    <xf numFmtId="9" fontId="115" fillId="0" borderId="21" xfId="415" applyFont="1" applyFill="1" applyBorder="1" applyAlignment="1" applyProtection="1">
      <alignment vertical="center"/>
    </xf>
    <xf numFmtId="38" fontId="107" fillId="0" borderId="0" xfId="414" applyFont="1" applyFill="1" applyBorder="1" applyProtection="1">
      <alignment vertical="center"/>
    </xf>
    <xf numFmtId="38" fontId="65" fillId="0" borderId="0" xfId="414" applyFont="1" applyFill="1" applyBorder="1" applyAlignment="1" applyProtection="1">
      <alignment horizontal="right" vertical="center"/>
    </xf>
    <xf numFmtId="195" fontId="115" fillId="0" borderId="0" xfId="292" applyNumberFormat="1" applyFont="1" applyFill="1" applyBorder="1" applyAlignment="1">
      <alignment vertical="center"/>
    </xf>
    <xf numFmtId="197" fontId="116" fillId="0" borderId="0" xfId="349" applyNumberFormat="1" applyFont="1" applyAlignment="1">
      <alignment vertical="center"/>
    </xf>
    <xf numFmtId="38" fontId="107" fillId="0" borderId="118" xfId="484" applyFont="1" applyFill="1" applyBorder="1" applyAlignment="1" applyProtection="1">
      <alignment horizontal="right" vertical="center"/>
    </xf>
    <xf numFmtId="38" fontId="107" fillId="0" borderId="74" xfId="484" applyFont="1" applyFill="1" applyBorder="1" applyAlignment="1" applyProtection="1">
      <alignment horizontal="right" vertical="center"/>
    </xf>
    <xf numFmtId="38" fontId="107" fillId="0" borderId="97" xfId="484" applyFont="1" applyFill="1" applyBorder="1" applyAlignment="1" applyProtection="1">
      <alignment horizontal="right" vertical="center"/>
    </xf>
    <xf numFmtId="38" fontId="107" fillId="0" borderId="97" xfId="484" applyFont="1" applyFill="1" applyBorder="1">
      <alignment vertical="center"/>
    </xf>
    <xf numFmtId="38" fontId="107" fillId="0" borderId="24" xfId="484" applyFont="1" applyFill="1" applyBorder="1" applyAlignment="1" applyProtection="1">
      <alignment horizontal="right" vertical="center"/>
    </xf>
    <xf numFmtId="38" fontId="107" fillId="0" borderId="21" xfId="484" applyFont="1" applyFill="1" applyBorder="1" applyAlignment="1" applyProtection="1">
      <alignment horizontal="right" vertical="center"/>
    </xf>
    <xf numFmtId="199" fontId="170" fillId="0" borderId="118" xfId="349" applyNumberFormat="1" applyFont="1" applyBorder="1" applyAlignment="1">
      <alignment horizontal="center" vertical="center"/>
    </xf>
    <xf numFmtId="0" fontId="171" fillId="0" borderId="74" xfId="345" applyFont="1" applyBorder="1" applyAlignment="1">
      <alignment horizontal="center" vertical="center"/>
    </xf>
    <xf numFmtId="195" fontId="107" fillId="0" borderId="24" xfId="414" applyNumberFormat="1" applyFont="1" applyFill="1" applyBorder="1">
      <alignment vertical="center"/>
    </xf>
    <xf numFmtId="9" fontId="107" fillId="0" borderId="21" xfId="345" applyNumberFormat="1" applyFont="1" applyBorder="1">
      <alignment vertical="center"/>
    </xf>
    <xf numFmtId="0" fontId="108" fillId="64" borderId="85" xfId="345" applyFont="1" applyFill="1" applyBorder="1">
      <alignment vertical="center"/>
    </xf>
    <xf numFmtId="0" fontId="214" fillId="0" borderId="0" xfId="0" applyFont="1">
      <alignment vertical="center"/>
    </xf>
    <xf numFmtId="170" fontId="108" fillId="72" borderId="1" xfId="419" applyFont="1" applyFill="1" applyBorder="1" applyAlignment="1" applyProtection="1">
      <alignment horizontal="centerContinuous" vertical="center"/>
      <protection locked="0"/>
    </xf>
    <xf numFmtId="0" fontId="165" fillId="81" borderId="11" xfId="345" applyFont="1" applyFill="1" applyBorder="1">
      <alignment vertical="center"/>
    </xf>
    <xf numFmtId="49" fontId="165" fillId="81" borderId="11" xfId="345" applyNumberFormat="1" applyFont="1" applyFill="1" applyBorder="1">
      <alignment vertical="center"/>
    </xf>
    <xf numFmtId="0" fontId="187" fillId="81" borderId="11" xfId="345" applyFont="1" applyFill="1" applyBorder="1">
      <alignment vertical="center"/>
    </xf>
    <xf numFmtId="49" fontId="165" fillId="81" borderId="11" xfId="345" applyNumberFormat="1" applyFont="1" applyFill="1" applyBorder="1" applyAlignment="1">
      <alignment horizontal="centerContinuous" vertical="center"/>
    </xf>
    <xf numFmtId="49" fontId="165" fillId="81" borderId="31" xfId="345" applyNumberFormat="1" applyFont="1" applyFill="1" applyBorder="1" applyAlignment="1">
      <alignment horizontal="centerContinuous" vertical="center"/>
    </xf>
    <xf numFmtId="197" fontId="108" fillId="0" borderId="0" xfId="345" applyNumberFormat="1" applyFont="1" applyAlignment="1">
      <alignment horizontal="center" vertical="center"/>
    </xf>
    <xf numFmtId="49" fontId="107" fillId="0" borderId="0" xfId="345" applyNumberFormat="1" applyFont="1">
      <alignment vertical="center"/>
    </xf>
    <xf numFmtId="49" fontId="192" fillId="0" borderId="0" xfId="345" applyNumberFormat="1" applyFont="1">
      <alignment vertical="center"/>
    </xf>
    <xf numFmtId="198" fontId="116" fillId="79" borderId="0" xfId="349" applyNumberFormat="1" applyFont="1" applyFill="1" applyAlignment="1">
      <alignment horizontal="centerContinuous" vertical="center"/>
    </xf>
    <xf numFmtId="197" fontId="107" fillId="79" borderId="0" xfId="345" applyNumberFormat="1" applyFont="1" applyFill="1" applyAlignment="1">
      <alignment horizontal="centerContinuous" vertical="center"/>
    </xf>
    <xf numFmtId="197" fontId="112" fillId="79" borderId="0" xfId="345" applyNumberFormat="1" applyFont="1" applyFill="1" applyAlignment="1">
      <alignment horizontal="centerContinuous" vertical="center"/>
    </xf>
    <xf numFmtId="0" fontId="108" fillId="61" borderId="81" xfId="345" applyFont="1" applyFill="1" applyBorder="1" applyAlignment="1">
      <alignment horizontal="center" vertical="center"/>
    </xf>
    <xf numFmtId="0" fontId="108" fillId="61" borderId="1" xfId="345" applyFont="1" applyFill="1" applyBorder="1" applyAlignment="1">
      <alignment horizontal="center" vertical="center"/>
    </xf>
    <xf numFmtId="0" fontId="108" fillId="0" borderId="81" xfId="345" applyFont="1" applyBorder="1" applyAlignment="1">
      <alignment horizontal="center" vertical="center"/>
    </xf>
    <xf numFmtId="0" fontId="108" fillId="0" borderId="1" xfId="345" applyFont="1" applyBorder="1" applyAlignment="1">
      <alignment horizontal="center" vertical="center"/>
    </xf>
    <xf numFmtId="0" fontId="146" fillId="0" borderId="81" xfId="485" applyFont="1" applyBorder="1" applyAlignment="1">
      <alignment horizontal="center" vertical="center"/>
    </xf>
    <xf numFmtId="0" fontId="146" fillId="0" borderId="74" xfId="485" applyFont="1" applyBorder="1" applyAlignment="1">
      <alignment horizontal="center" vertical="center"/>
    </xf>
    <xf numFmtId="38" fontId="215" fillId="61" borderId="0" xfId="311" applyFont="1" applyFill="1" applyBorder="1" applyAlignment="1">
      <alignment vertical="center"/>
    </xf>
    <xf numFmtId="38" fontId="108" fillId="0" borderId="118" xfId="414" applyFont="1" applyFill="1" applyBorder="1" applyAlignment="1" applyProtection="1">
      <alignment horizontal="right" vertical="center"/>
    </xf>
    <xf numFmtId="9" fontId="107" fillId="0" borderId="0" xfId="415" applyFont="1" applyFill="1" applyAlignment="1">
      <alignment vertical="center" shrinkToFit="1"/>
    </xf>
    <xf numFmtId="38" fontId="108" fillId="77" borderId="82" xfId="414" applyFont="1" applyFill="1" applyBorder="1" applyAlignment="1" applyProtection="1">
      <alignment vertical="center"/>
    </xf>
    <xf numFmtId="38" fontId="108" fillId="70" borderId="24" xfId="414" applyFont="1" applyFill="1" applyBorder="1">
      <alignment vertical="center"/>
    </xf>
    <xf numFmtId="38" fontId="108" fillId="70" borderId="31" xfId="414" applyFont="1" applyFill="1" applyBorder="1">
      <alignment vertical="center"/>
    </xf>
    <xf numFmtId="38" fontId="108" fillId="69" borderId="97" xfId="414" applyFont="1" applyFill="1" applyBorder="1">
      <alignment vertical="center"/>
    </xf>
    <xf numFmtId="38" fontId="108" fillId="69" borderId="5" xfId="414" applyFont="1" applyFill="1" applyBorder="1">
      <alignment vertical="center"/>
    </xf>
    <xf numFmtId="38" fontId="108" fillId="69" borderId="82" xfId="414" applyFont="1" applyFill="1" applyBorder="1">
      <alignment vertical="center"/>
    </xf>
    <xf numFmtId="38" fontId="108" fillId="64" borderId="106" xfId="414" applyFont="1" applyFill="1" applyBorder="1">
      <alignment vertical="center"/>
    </xf>
    <xf numFmtId="38" fontId="108" fillId="64" borderId="97" xfId="414" applyFont="1" applyFill="1" applyBorder="1">
      <alignment vertical="center"/>
    </xf>
    <xf numFmtId="38" fontId="108" fillId="64" borderId="5" xfId="414" applyFont="1" applyFill="1" applyBorder="1">
      <alignment vertical="center"/>
    </xf>
    <xf numFmtId="38" fontId="108" fillId="64" borderId="82" xfId="414" applyFont="1" applyFill="1" applyBorder="1">
      <alignment vertical="center"/>
    </xf>
    <xf numFmtId="38" fontId="108" fillId="70" borderId="11" xfId="414" applyFont="1" applyFill="1" applyBorder="1">
      <alignment vertical="center"/>
    </xf>
    <xf numFmtId="38" fontId="108" fillId="69" borderId="4" xfId="414" applyFont="1" applyFill="1" applyBorder="1">
      <alignment vertical="center"/>
    </xf>
    <xf numFmtId="38" fontId="108" fillId="0" borderId="81" xfId="414" applyFont="1" applyFill="1" applyBorder="1" applyAlignment="1" applyProtection="1">
      <alignment horizontal="right" vertical="center"/>
    </xf>
    <xf numFmtId="38" fontId="108" fillId="0" borderId="1" xfId="414" applyFont="1" applyFill="1" applyBorder="1" applyAlignment="1" applyProtection="1">
      <alignment horizontal="right" vertical="center"/>
    </xf>
    <xf numFmtId="9" fontId="149" fillId="85" borderId="24" xfId="415" applyFont="1" applyFill="1" applyBorder="1" applyAlignment="1" applyProtection="1">
      <alignment vertical="center"/>
    </xf>
    <xf numFmtId="9" fontId="149" fillId="85" borderId="31" xfId="415" applyFont="1" applyFill="1" applyBorder="1" applyAlignment="1" applyProtection="1">
      <alignment vertical="center"/>
    </xf>
    <xf numFmtId="38" fontId="107" fillId="62" borderId="45" xfId="414" applyFont="1" applyFill="1" applyBorder="1" applyAlignment="1" applyProtection="1">
      <alignment vertical="center"/>
    </xf>
    <xf numFmtId="38" fontId="107" fillId="62" borderId="46" xfId="414" applyFont="1" applyFill="1" applyBorder="1" applyAlignment="1" applyProtection="1">
      <alignment vertical="center"/>
    </xf>
    <xf numFmtId="38" fontId="107" fillId="0" borderId="46" xfId="414" applyFont="1" applyBorder="1" applyAlignment="1" applyProtection="1">
      <alignment vertical="center"/>
    </xf>
    <xf numFmtId="198" fontId="107" fillId="0" borderId="46" xfId="349" applyNumberFormat="1" applyFont="1" applyBorder="1" applyAlignment="1">
      <alignment vertical="center"/>
    </xf>
    <xf numFmtId="198" fontId="107" fillId="61" borderId="50" xfId="349" applyNumberFormat="1" applyFont="1" applyFill="1" applyBorder="1" applyAlignment="1">
      <alignment vertical="center"/>
    </xf>
    <xf numFmtId="38" fontId="148" fillId="0" borderId="24" xfId="414" applyFont="1" applyFill="1" applyBorder="1" applyAlignment="1" applyProtection="1">
      <alignment vertical="center"/>
    </xf>
    <xf numFmtId="38" fontId="148" fillId="0" borderId="31" xfId="414" applyFont="1" applyFill="1" applyBorder="1" applyAlignment="1" applyProtection="1">
      <alignment vertical="center"/>
    </xf>
    <xf numFmtId="198" fontId="107" fillId="85" borderId="0" xfId="349" applyNumberFormat="1" applyFont="1" applyFill="1" applyAlignment="1">
      <alignment vertical="center"/>
    </xf>
    <xf numFmtId="38" fontId="148" fillId="85" borderId="24" xfId="414" applyFont="1" applyFill="1" applyBorder="1" applyAlignment="1" applyProtection="1">
      <alignment vertical="center"/>
    </xf>
    <xf numFmtId="38" fontId="148" fillId="85" borderId="31" xfId="414" applyFont="1" applyFill="1" applyBorder="1" applyAlignment="1" applyProtection="1">
      <alignment vertical="center"/>
    </xf>
    <xf numFmtId="0" fontId="108" fillId="69" borderId="31" xfId="349" applyFont="1" applyFill="1" applyBorder="1"/>
    <xf numFmtId="0" fontId="107" fillId="85" borderId="0" xfId="345" applyFont="1" applyFill="1">
      <alignment vertical="center"/>
    </xf>
    <xf numFmtId="38" fontId="107" fillId="85" borderId="24" xfId="414" applyFont="1" applyFill="1" applyBorder="1" applyAlignment="1" applyProtection="1">
      <alignment vertical="center"/>
    </xf>
    <xf numFmtId="38" fontId="107" fillId="85" borderId="31" xfId="414" applyFont="1" applyFill="1" applyBorder="1" applyAlignment="1" applyProtection="1">
      <alignment vertical="center"/>
    </xf>
    <xf numFmtId="198" fontId="149" fillId="85" borderId="0" xfId="349" applyNumberFormat="1" applyFont="1" applyFill="1" applyAlignment="1">
      <alignment vertical="center"/>
    </xf>
    <xf numFmtId="198" fontId="107" fillId="61" borderId="36" xfId="349" applyNumberFormat="1" applyFont="1" applyFill="1" applyBorder="1" applyAlignment="1">
      <alignment vertical="center"/>
    </xf>
    <xf numFmtId="38" fontId="107" fillId="68" borderId="24" xfId="414" applyFont="1" applyFill="1" applyBorder="1" applyAlignment="1" applyProtection="1">
      <alignment vertical="center"/>
      <protection locked="0"/>
    </xf>
    <xf numFmtId="38" fontId="107" fillId="68" borderId="118" xfId="414" applyFont="1" applyFill="1" applyBorder="1" applyAlignment="1" applyProtection="1">
      <alignment vertical="center"/>
    </xf>
    <xf numFmtId="0" fontId="183" fillId="75" borderId="11" xfId="349" applyFont="1" applyFill="1" applyBorder="1"/>
    <xf numFmtId="198" fontId="108" fillId="75" borderId="36" xfId="349" applyNumberFormat="1" applyFont="1" applyFill="1" applyBorder="1" applyAlignment="1">
      <alignment vertical="center"/>
    </xf>
    <xf numFmtId="198" fontId="107" fillId="75" borderId="36" xfId="349" applyNumberFormat="1" applyFont="1" applyFill="1" applyBorder="1" applyAlignment="1">
      <alignment vertical="center"/>
    </xf>
    <xf numFmtId="38" fontId="107" fillId="75" borderId="34" xfId="414" applyFont="1" applyFill="1" applyBorder="1" applyAlignment="1" applyProtection="1">
      <alignment vertical="center"/>
    </xf>
    <xf numFmtId="38" fontId="107" fillId="75" borderId="35" xfId="414" applyFont="1" applyFill="1" applyBorder="1" applyAlignment="1" applyProtection="1">
      <alignment vertical="center"/>
    </xf>
    <xf numFmtId="0" fontId="107" fillId="0" borderId="21" xfId="0" applyFont="1" applyBorder="1" applyAlignment="1">
      <alignment horizontal="left" vertical="center" wrapText="1"/>
    </xf>
    <xf numFmtId="0" fontId="161" fillId="0" borderId="85" xfId="0" applyFont="1" applyBorder="1">
      <alignment vertical="center"/>
    </xf>
    <xf numFmtId="0" fontId="161" fillId="0" borderId="11" xfId="0" applyFont="1" applyBorder="1">
      <alignment vertical="center"/>
    </xf>
    <xf numFmtId="0" fontId="161" fillId="0" borderId="23" xfId="0" applyFont="1" applyBorder="1">
      <alignment vertical="center"/>
    </xf>
    <xf numFmtId="0" fontId="218" fillId="0" borderId="21" xfId="0" applyFont="1" applyBorder="1" applyAlignment="1">
      <alignment vertical="center" wrapText="1"/>
    </xf>
    <xf numFmtId="0" fontId="161" fillId="65" borderId="99" xfId="0" applyFont="1" applyFill="1" applyBorder="1">
      <alignment vertical="center"/>
    </xf>
    <xf numFmtId="0" fontId="161" fillId="65" borderId="107" xfId="0" applyFont="1" applyFill="1" applyBorder="1">
      <alignment vertical="center"/>
    </xf>
    <xf numFmtId="0" fontId="161" fillId="65" borderId="118" xfId="0" applyFont="1" applyFill="1" applyBorder="1" applyAlignment="1">
      <alignment vertical="center" wrapText="1"/>
    </xf>
    <xf numFmtId="0" fontId="161" fillId="0" borderId="99" xfId="0" applyFont="1" applyBorder="1">
      <alignment vertical="center"/>
    </xf>
    <xf numFmtId="0" fontId="161" fillId="0" borderId="118" xfId="0" applyFont="1" applyBorder="1">
      <alignment vertical="center"/>
    </xf>
    <xf numFmtId="0" fontId="161" fillId="0" borderId="118" xfId="0" applyFont="1" applyBorder="1" applyAlignment="1">
      <alignment vertical="center" wrapText="1"/>
    </xf>
    <xf numFmtId="0" fontId="161" fillId="0" borderId="108" xfId="0" applyFont="1" applyBorder="1">
      <alignment vertical="center"/>
    </xf>
    <xf numFmtId="0" fontId="213" fillId="89" borderId="0" xfId="345" applyFont="1" applyFill="1">
      <alignment vertical="center"/>
    </xf>
    <xf numFmtId="0" fontId="107" fillId="83" borderId="68" xfId="349" applyFont="1" applyFill="1" applyBorder="1"/>
    <xf numFmtId="0" fontId="107" fillId="83" borderId="85" xfId="349" applyFont="1" applyFill="1" applyBorder="1"/>
    <xf numFmtId="0" fontId="108" fillId="83" borderId="85" xfId="349" applyFont="1" applyFill="1" applyBorder="1"/>
    <xf numFmtId="198" fontId="217" fillId="0" borderId="0" xfId="349" applyNumberFormat="1" applyFont="1" applyAlignment="1">
      <alignment vertical="center"/>
    </xf>
    <xf numFmtId="0" fontId="216" fillId="0" borderId="0" xfId="0" applyFont="1">
      <alignment vertical="center"/>
    </xf>
    <xf numFmtId="0" fontId="205" fillId="0" borderId="0" xfId="615" applyFont="1">
      <alignment vertical="center"/>
    </xf>
    <xf numFmtId="0" fontId="217" fillId="61" borderId="0" xfId="345" applyFont="1" applyFill="1" applyAlignment="1">
      <alignment horizontal="center" vertical="center"/>
    </xf>
    <xf numFmtId="0" fontId="14" fillId="61" borderId="123" xfId="345" applyFont="1" applyFill="1" applyBorder="1" applyAlignment="1">
      <alignment horizontal="left" indent="2" justifyLastLine="1"/>
    </xf>
    <xf numFmtId="0" fontId="14" fillId="61" borderId="123" xfId="349" applyFont="1" applyFill="1" applyBorder="1" applyAlignment="1">
      <alignment horizontal="left" indent="2" justifyLastLine="1"/>
    </xf>
    <xf numFmtId="0" fontId="14" fillId="71" borderId="123" xfId="414" applyNumberFormat="1" applyFont="1" applyFill="1" applyBorder="1" applyAlignment="1" applyProtection="1">
      <alignment horizontal="left" indent="2" justifyLastLine="1"/>
    </xf>
    <xf numFmtId="0" fontId="14" fillId="61" borderId="123" xfId="414" applyNumberFormat="1" applyFont="1" applyFill="1" applyBorder="1" applyAlignment="1" applyProtection="1">
      <alignment horizontal="left" indent="2" justifyLastLine="1"/>
      <protection locked="0"/>
    </xf>
    <xf numFmtId="0" fontId="14" fillId="61" borderId="123" xfId="415" applyNumberFormat="1" applyFont="1" applyFill="1" applyBorder="1" applyAlignment="1" applyProtection="1">
      <alignment horizontal="left" indent="2" justifyLastLine="1"/>
    </xf>
    <xf numFmtId="0" fontId="14" fillId="61" borderId="123" xfId="414" applyNumberFormat="1" applyFont="1" applyFill="1" applyBorder="1" applyAlignment="1">
      <alignment horizontal="left" indent="2" justifyLastLine="1"/>
    </xf>
    <xf numFmtId="0" fontId="14" fillId="62" borderId="123" xfId="414" applyNumberFormat="1" applyFont="1" applyFill="1" applyBorder="1" applyAlignment="1" applyProtection="1">
      <alignment horizontal="left" indent="2" justifyLastLine="1"/>
      <protection locked="0"/>
    </xf>
    <xf numFmtId="0" fontId="14" fillId="62" borderId="123" xfId="414" applyNumberFormat="1" applyFont="1" applyFill="1" applyBorder="1" applyAlignment="1">
      <alignment horizontal="left" indent="2" justifyLastLine="1"/>
    </xf>
    <xf numFmtId="0" fontId="14" fillId="0" borderId="123" xfId="345" applyFont="1" applyBorder="1" applyAlignment="1">
      <alignment horizontal="left" indent="2" justifyLastLine="1"/>
    </xf>
    <xf numFmtId="0" fontId="14" fillId="68" borderId="123" xfId="414" applyNumberFormat="1" applyFont="1" applyFill="1" applyBorder="1" applyAlignment="1">
      <alignment horizontal="left" indent="2" justifyLastLine="1"/>
    </xf>
    <xf numFmtId="0" fontId="14" fillId="0" borderId="123" xfId="414" applyNumberFormat="1" applyFont="1" applyFill="1" applyBorder="1" applyAlignment="1">
      <alignment horizontal="left" indent="2" justifyLastLine="1"/>
    </xf>
    <xf numFmtId="0" fontId="14" fillId="86" borderId="123" xfId="414" applyNumberFormat="1" applyFont="1" applyFill="1" applyBorder="1" applyAlignment="1" applyProtection="1">
      <alignment horizontal="left" indent="2" justifyLastLine="1"/>
    </xf>
    <xf numFmtId="0" fontId="14" fillId="0" borderId="123" xfId="414" applyNumberFormat="1" applyFont="1" applyFill="1" applyBorder="1" applyAlignment="1" applyProtection="1">
      <alignment horizontal="left" indent="2" justifyLastLine="1"/>
    </xf>
    <xf numFmtId="0" fontId="14" fillId="0" borderId="123" xfId="415" applyNumberFormat="1" applyFont="1" applyFill="1" applyBorder="1" applyAlignment="1" applyProtection="1">
      <alignment horizontal="left" indent="2" justifyLastLine="1"/>
    </xf>
    <xf numFmtId="0" fontId="14" fillId="61" borderId="123" xfId="414" applyNumberFormat="1" applyFont="1" applyFill="1" applyBorder="1" applyAlignment="1" applyProtection="1">
      <alignment horizontal="left" indent="2" justifyLastLine="1"/>
    </xf>
    <xf numFmtId="0" fontId="14" fillId="68" borderId="123" xfId="414" applyNumberFormat="1" applyFont="1" applyFill="1" applyBorder="1" applyAlignment="1" applyProtection="1">
      <alignment horizontal="left" indent="2" justifyLastLine="1"/>
    </xf>
    <xf numFmtId="0" fontId="14" fillId="59" borderId="123" xfId="414" applyNumberFormat="1" applyFont="1" applyFill="1" applyBorder="1" applyAlignment="1" applyProtection="1">
      <alignment horizontal="left" indent="2" justifyLastLine="1"/>
    </xf>
    <xf numFmtId="0" fontId="14" fillId="0" borderId="123" xfId="414" applyNumberFormat="1" applyFont="1" applyBorder="1" applyAlignment="1" applyProtection="1">
      <alignment horizontal="left" indent="2" justifyLastLine="1"/>
    </xf>
    <xf numFmtId="0" fontId="14" fillId="62" borderId="123" xfId="414" applyNumberFormat="1" applyFont="1" applyFill="1" applyBorder="1" applyAlignment="1" applyProtection="1">
      <alignment horizontal="left" indent="2" justifyLastLine="1"/>
    </xf>
    <xf numFmtId="0" fontId="14" fillId="74" borderId="123" xfId="414" applyNumberFormat="1" applyFont="1" applyFill="1" applyBorder="1" applyAlignment="1" applyProtection="1">
      <alignment horizontal="left" indent="2" justifyLastLine="1"/>
    </xf>
    <xf numFmtId="0" fontId="14" fillId="0" borderId="123" xfId="415" applyNumberFormat="1" applyFont="1" applyBorder="1" applyAlignment="1" applyProtection="1">
      <alignment horizontal="left" indent="2" justifyLastLine="1"/>
    </xf>
    <xf numFmtId="0" fontId="14" fillId="49" borderId="123" xfId="349" applyFont="1" applyFill="1" applyBorder="1" applyAlignment="1">
      <alignment horizontal="left" indent="2" justifyLastLine="1"/>
    </xf>
    <xf numFmtId="0" fontId="14" fillId="0" borderId="123" xfId="349" applyFont="1" applyBorder="1" applyAlignment="1">
      <alignment horizontal="left" indent="2" justifyLastLine="1"/>
    </xf>
    <xf numFmtId="0" fontId="14" fillId="77" borderId="123" xfId="414" applyNumberFormat="1" applyFont="1" applyFill="1" applyBorder="1" applyAlignment="1" applyProtection="1">
      <alignment horizontal="left" indent="2" justifyLastLine="1"/>
    </xf>
    <xf numFmtId="0" fontId="14" fillId="69" borderId="123" xfId="414" applyNumberFormat="1" applyFont="1" applyFill="1" applyBorder="1" applyAlignment="1" applyProtection="1">
      <alignment horizontal="left" indent="2" justifyLastLine="1"/>
    </xf>
    <xf numFmtId="0" fontId="14" fillId="69" borderId="123" xfId="415" applyNumberFormat="1" applyFont="1" applyFill="1" applyBorder="1" applyAlignment="1" applyProtection="1">
      <alignment horizontal="left" indent="2" justifyLastLine="1"/>
    </xf>
    <xf numFmtId="0" fontId="14" fillId="63" borderId="123" xfId="349" applyFont="1" applyFill="1" applyBorder="1" applyAlignment="1">
      <alignment horizontal="left" indent="2" justifyLastLine="1"/>
    </xf>
    <xf numFmtId="0" fontId="14" fillId="69" borderId="123" xfId="349" applyFont="1" applyFill="1" applyBorder="1" applyAlignment="1">
      <alignment horizontal="left" indent="2" justifyLastLine="1"/>
    </xf>
    <xf numFmtId="0" fontId="14" fillId="62" borderId="123" xfId="349" applyFont="1" applyFill="1" applyBorder="1" applyAlignment="1">
      <alignment horizontal="left" indent="2" justifyLastLine="1"/>
    </xf>
    <xf numFmtId="0" fontId="14" fillId="66" borderId="123" xfId="414" applyNumberFormat="1" applyFont="1" applyFill="1" applyBorder="1" applyAlignment="1">
      <alignment horizontal="left" indent="2" justifyLastLine="1"/>
    </xf>
    <xf numFmtId="0" fontId="14" fillId="69" borderId="123" xfId="414" applyNumberFormat="1" applyFont="1" applyFill="1" applyBorder="1" applyAlignment="1">
      <alignment horizontal="left" indent="2" justifyLastLine="1"/>
    </xf>
    <xf numFmtId="0" fontId="14" fillId="85" borderId="123" xfId="414" applyNumberFormat="1" applyFont="1" applyFill="1" applyBorder="1" applyAlignment="1" applyProtection="1">
      <alignment horizontal="left" indent="2" justifyLastLine="1"/>
    </xf>
    <xf numFmtId="0" fontId="14" fillId="66" borderId="123" xfId="414" applyNumberFormat="1" applyFont="1" applyFill="1" applyBorder="1" applyAlignment="1" applyProtection="1">
      <alignment horizontal="left" indent="2" justifyLastLine="1"/>
    </xf>
    <xf numFmtId="0" fontId="14" fillId="67" borderId="123" xfId="414" applyNumberFormat="1" applyFont="1" applyFill="1" applyBorder="1" applyAlignment="1" applyProtection="1">
      <alignment horizontal="left" indent="2" justifyLastLine="1"/>
    </xf>
    <xf numFmtId="0" fontId="14" fillId="64" borderId="123" xfId="414" applyNumberFormat="1" applyFont="1" applyFill="1" applyBorder="1" applyAlignment="1" applyProtection="1">
      <alignment horizontal="left" indent="2" justifyLastLine="1"/>
    </xf>
    <xf numFmtId="0" fontId="14" fillId="83" borderId="123" xfId="414" applyNumberFormat="1" applyFont="1" applyFill="1" applyBorder="1" applyAlignment="1" applyProtection="1">
      <alignment horizontal="left" indent="2" justifyLastLine="1"/>
    </xf>
    <xf numFmtId="0" fontId="14" fillId="63" borderId="123" xfId="414" applyNumberFormat="1" applyFont="1" applyFill="1" applyBorder="1" applyAlignment="1" applyProtection="1">
      <alignment horizontal="left" indent="2" justifyLastLine="1"/>
    </xf>
    <xf numFmtId="0" fontId="14" fillId="75" borderId="123" xfId="414" applyNumberFormat="1" applyFont="1" applyFill="1" applyBorder="1" applyAlignment="1" applyProtection="1">
      <alignment horizontal="left" indent="2" justifyLastLine="1"/>
    </xf>
    <xf numFmtId="0" fontId="14" fillId="67" borderId="123" xfId="345" applyFont="1" applyFill="1" applyBorder="1" applyAlignment="1">
      <alignment horizontal="left" indent="2" justifyLastLine="1"/>
    </xf>
    <xf numFmtId="0" fontId="14" fillId="70" borderId="123" xfId="345" applyFont="1" applyFill="1" applyBorder="1" applyAlignment="1">
      <alignment horizontal="left" indent="2" justifyLastLine="1"/>
    </xf>
    <xf numFmtId="0" fontId="14" fillId="69" borderId="123" xfId="345" applyFont="1" applyFill="1" applyBorder="1" applyAlignment="1">
      <alignment horizontal="left" indent="2" justifyLastLine="1"/>
    </xf>
    <xf numFmtId="0" fontId="14" fillId="67" borderId="123" xfId="414" applyNumberFormat="1" applyFont="1" applyFill="1" applyBorder="1" applyAlignment="1">
      <alignment horizontal="left" indent="2" justifyLastLine="1"/>
    </xf>
    <xf numFmtId="0" fontId="14" fillId="70" borderId="123" xfId="414" applyNumberFormat="1" applyFont="1" applyFill="1" applyBorder="1" applyAlignment="1">
      <alignment horizontal="left" indent="2" justifyLastLine="1"/>
    </xf>
    <xf numFmtId="0" fontId="14" fillId="64" borderId="123" xfId="414" applyNumberFormat="1" applyFont="1" applyFill="1" applyBorder="1" applyAlignment="1">
      <alignment horizontal="left" indent="2" justifyLastLine="1"/>
    </xf>
    <xf numFmtId="0" fontId="14" fillId="86" borderId="123" xfId="414" applyNumberFormat="1" applyFont="1" applyFill="1" applyBorder="1" applyAlignment="1">
      <alignment horizontal="left" indent="2" justifyLastLine="1"/>
    </xf>
    <xf numFmtId="0" fontId="14" fillId="77" borderId="123" xfId="414" applyNumberFormat="1" applyFont="1" applyFill="1" applyBorder="1" applyAlignment="1">
      <alignment horizontal="left" indent="2" justifyLastLine="1"/>
    </xf>
    <xf numFmtId="0" fontId="14" fillId="63" borderId="123" xfId="414" applyNumberFormat="1" applyFont="1" applyFill="1" applyBorder="1" applyAlignment="1">
      <alignment horizontal="left" indent="2" justifyLastLine="1"/>
    </xf>
    <xf numFmtId="0" fontId="14" fillId="75" borderId="123" xfId="414" applyNumberFormat="1" applyFont="1" applyFill="1" applyBorder="1" applyAlignment="1">
      <alignment horizontal="left" indent="2" justifyLastLine="1"/>
    </xf>
    <xf numFmtId="0" fontId="14" fillId="55" borderId="123" xfId="414" applyNumberFormat="1" applyFont="1" applyFill="1" applyBorder="1" applyAlignment="1" applyProtection="1">
      <alignment horizontal="left" indent="2" justifyLastLine="1"/>
    </xf>
    <xf numFmtId="0" fontId="14" fillId="0" borderId="123" xfId="414" applyNumberFormat="1" applyFont="1" applyFill="1" applyBorder="1" applyAlignment="1" applyProtection="1">
      <alignment horizontal="left" indent="2" justifyLastLine="1"/>
      <protection locked="0"/>
    </xf>
    <xf numFmtId="0" fontId="14" fillId="49" borderId="123" xfId="414" applyNumberFormat="1" applyFont="1" applyFill="1" applyBorder="1" applyAlignment="1" applyProtection="1">
      <alignment horizontal="left" indent="2" justifyLastLine="1"/>
    </xf>
    <xf numFmtId="0" fontId="14" fillId="0" borderId="123" xfId="414" applyNumberFormat="1" applyFont="1" applyBorder="1" applyAlignment="1">
      <alignment horizontal="left" indent="2" justifyLastLine="1"/>
    </xf>
    <xf numFmtId="0" fontId="14" fillId="0" borderId="123" xfId="311" applyNumberFormat="1" applyFont="1" applyFill="1" applyBorder="1" applyAlignment="1">
      <alignment horizontal="left" indent="2" justifyLastLine="1"/>
    </xf>
    <xf numFmtId="0" fontId="14" fillId="76" borderId="123" xfId="311" applyNumberFormat="1" applyFont="1" applyFill="1" applyBorder="1" applyAlignment="1" applyProtection="1">
      <alignment horizontal="left" indent="2" justifyLastLine="1"/>
      <protection locked="0"/>
    </xf>
    <xf numFmtId="0" fontId="14" fillId="67" borderId="123" xfId="311" applyNumberFormat="1" applyFont="1" applyFill="1" applyBorder="1" applyAlignment="1" applyProtection="1">
      <alignment horizontal="left" indent="2" justifyLastLine="1"/>
      <protection locked="0"/>
    </xf>
    <xf numFmtId="0" fontId="14" fillId="65" borderId="123" xfId="311" applyNumberFormat="1" applyFont="1" applyFill="1" applyBorder="1" applyAlignment="1" applyProtection="1">
      <alignment horizontal="left" indent="2" justifyLastLine="1"/>
      <protection locked="0"/>
    </xf>
    <xf numFmtId="0" fontId="14" fillId="0" borderId="123" xfId="311" applyNumberFormat="1" applyFont="1" applyFill="1" applyBorder="1" applyAlignment="1" applyProtection="1">
      <alignment horizontal="left" indent="2" justifyLastLine="1"/>
      <protection locked="0"/>
    </xf>
    <xf numFmtId="0" fontId="14" fillId="68" borderId="123" xfId="311" applyNumberFormat="1" applyFont="1" applyFill="1" applyBorder="1" applyAlignment="1" applyProtection="1">
      <alignment horizontal="left" indent="2" justifyLastLine="1"/>
      <protection locked="0"/>
    </xf>
    <xf numFmtId="0" fontId="14" fillId="68" borderId="123" xfId="345" applyFont="1" applyFill="1" applyBorder="1" applyAlignment="1">
      <alignment horizontal="left" indent="2" justifyLastLine="1"/>
    </xf>
    <xf numFmtId="0" fontId="14" fillId="76" borderId="123" xfId="345" applyFont="1" applyFill="1" applyBorder="1" applyAlignment="1">
      <alignment horizontal="left" indent="2" justifyLastLine="1"/>
    </xf>
    <xf numFmtId="0" fontId="14" fillId="70" borderId="123" xfId="311" applyNumberFormat="1" applyFont="1" applyFill="1" applyBorder="1" applyAlignment="1">
      <alignment horizontal="left" indent="2" justifyLastLine="1"/>
    </xf>
    <xf numFmtId="0" fontId="14" fillId="68" borderId="123" xfId="311" applyNumberFormat="1" applyFont="1" applyFill="1" applyBorder="1" applyAlignment="1">
      <alignment horizontal="left" indent="2" justifyLastLine="1"/>
    </xf>
    <xf numFmtId="0" fontId="14" fillId="59" borderId="123" xfId="345" applyFont="1" applyFill="1" applyBorder="1" applyAlignment="1">
      <alignment horizontal="left" indent="2" justifyLastLine="1"/>
    </xf>
    <xf numFmtId="0" fontId="14" fillId="0" borderId="123" xfId="311" applyNumberFormat="1" applyFont="1" applyBorder="1" applyAlignment="1">
      <alignment horizontal="left" indent="2" justifyLastLine="1"/>
    </xf>
    <xf numFmtId="0" fontId="14" fillId="67" borderId="123" xfId="311" applyNumberFormat="1" applyFont="1" applyFill="1" applyBorder="1" applyAlignment="1">
      <alignment horizontal="left" indent="2" justifyLastLine="1"/>
    </xf>
    <xf numFmtId="0" fontId="14" fillId="61" borderId="123" xfId="420" applyFont="1" applyFill="1" applyBorder="1" applyAlignment="1">
      <alignment horizontal="left" indent="2" justifyLastLine="1"/>
    </xf>
    <xf numFmtId="0" fontId="14" fillId="0" borderId="123" xfId="485" applyFont="1" applyBorder="1" applyAlignment="1">
      <alignment horizontal="left" indent="2" justifyLastLine="1"/>
    </xf>
    <xf numFmtId="0" fontId="14" fillId="82" borderId="123" xfId="414" applyNumberFormat="1" applyFont="1" applyFill="1" applyBorder="1" applyAlignment="1" applyProtection="1">
      <alignment horizontal="left" indent="2" justifyLastLine="1"/>
    </xf>
    <xf numFmtId="0" fontId="14" fillId="77" borderId="123" xfId="349" applyFont="1" applyFill="1" applyBorder="1" applyAlignment="1">
      <alignment horizontal="left" indent="2" justifyLastLine="1"/>
    </xf>
    <xf numFmtId="0" fontId="14" fillId="82" borderId="123" xfId="414" applyNumberFormat="1" applyFont="1" applyFill="1" applyBorder="1" applyAlignment="1">
      <alignment horizontal="left" indent="2" justifyLastLine="1"/>
    </xf>
    <xf numFmtId="0" fontId="14" fillId="0" borderId="123" xfId="487" applyNumberFormat="1" applyFont="1" applyFill="1" applyBorder="1" applyAlignment="1">
      <alignment horizontal="left" indent="2" justifyLastLine="1"/>
    </xf>
    <xf numFmtId="0" fontId="14" fillId="0" borderId="123" xfId="487" applyNumberFormat="1" applyFont="1" applyBorder="1" applyAlignment="1">
      <alignment horizontal="left" indent="2" justifyLastLine="1"/>
    </xf>
    <xf numFmtId="0" fontId="14" fillId="0" borderId="123" xfId="486" applyFont="1" applyBorder="1" applyAlignment="1">
      <alignment horizontal="left" indent="2" justifyLastLine="1"/>
    </xf>
    <xf numFmtId="0" fontId="14" fillId="0" borderId="123" xfId="0" applyFont="1" applyBorder="1" applyAlignment="1">
      <alignment horizontal="left" indent="2" justifyLastLine="1"/>
    </xf>
    <xf numFmtId="0" fontId="14" fillId="71" borderId="123" xfId="414" applyNumberFormat="1" applyFont="1" applyFill="1" applyBorder="1" applyAlignment="1">
      <alignment horizontal="left" indent="2" justifyLastLine="1"/>
    </xf>
    <xf numFmtId="0" fontId="14" fillId="61" borderId="123" xfId="292" applyNumberFormat="1" applyFont="1" applyFill="1" applyBorder="1" applyAlignment="1">
      <alignment horizontal="left" indent="2" justifyLastLine="1"/>
    </xf>
    <xf numFmtId="0" fontId="14" fillId="74" borderId="123" xfId="414" applyNumberFormat="1" applyFont="1" applyFill="1" applyBorder="1" applyAlignment="1">
      <alignment horizontal="left" indent="2" justifyLastLine="1"/>
    </xf>
    <xf numFmtId="0" fontId="14" fillId="61" borderId="123" xfId="484" applyNumberFormat="1" applyFont="1" applyFill="1" applyBorder="1" applyAlignment="1" applyProtection="1">
      <alignment horizontal="left" indent="2" justifyLastLine="1"/>
    </xf>
    <xf numFmtId="0" fontId="14" fillId="0" borderId="123" xfId="484" applyNumberFormat="1" applyFont="1" applyFill="1" applyBorder="1" applyAlignment="1" applyProtection="1">
      <alignment horizontal="left" indent="2" justifyLastLine="1"/>
    </xf>
    <xf numFmtId="0" fontId="14" fillId="0" borderId="123" xfId="484" applyNumberFormat="1" applyFont="1" applyFill="1" applyBorder="1" applyAlignment="1">
      <alignment horizontal="left" indent="2" justifyLastLine="1"/>
    </xf>
    <xf numFmtId="0" fontId="14" fillId="71" borderId="123" xfId="484" applyNumberFormat="1" applyFont="1" applyFill="1" applyBorder="1" applyAlignment="1">
      <alignment horizontal="left" indent="2" justifyLastLine="1"/>
    </xf>
    <xf numFmtId="0" fontId="14" fillId="62" borderId="123" xfId="484" applyNumberFormat="1" applyFont="1" applyFill="1" applyBorder="1" applyAlignment="1" applyProtection="1">
      <alignment horizontal="left" indent="2" justifyLastLine="1"/>
    </xf>
    <xf numFmtId="0" fontId="14" fillId="87" borderId="123" xfId="414" applyNumberFormat="1" applyFont="1" applyFill="1" applyBorder="1" applyAlignment="1">
      <alignment horizontal="left" indent="2" justifyLastLine="1"/>
    </xf>
    <xf numFmtId="0" fontId="33" fillId="0" borderId="118" xfId="419" applyNumberFormat="1" applyFont="1" applyFill="1" applyBorder="1" applyAlignment="1">
      <alignment horizontal="left" justifyLastLine="1"/>
    </xf>
    <xf numFmtId="0" fontId="33" fillId="0" borderId="118" xfId="349" applyFont="1" applyBorder="1" applyAlignment="1">
      <alignment horizontal="left" justifyLastLine="1"/>
    </xf>
    <xf numFmtId="0" fontId="33" fillId="61" borderId="118" xfId="345" applyFont="1" applyFill="1" applyBorder="1" applyAlignment="1">
      <alignment horizontal="left" justifyLastLine="1"/>
    </xf>
    <xf numFmtId="49" fontId="14" fillId="61" borderId="0" xfId="349" applyNumberFormat="1" applyFont="1" applyFill="1" applyAlignment="1">
      <alignment vertical="center" justifyLastLine="1"/>
    </xf>
    <xf numFmtId="22" fontId="211" fillId="61" borderId="0" xfId="345" applyNumberFormat="1" applyFont="1" applyFill="1" applyAlignment="1">
      <alignment vertical="center" justifyLastLine="1"/>
    </xf>
    <xf numFmtId="49" fontId="165" fillId="81" borderId="0" xfId="345" applyNumberFormat="1" applyFont="1" applyFill="1" applyAlignment="1">
      <alignment horizontal="centerContinuous" vertical="center"/>
    </xf>
    <xf numFmtId="170" fontId="108" fillId="72" borderId="123" xfId="419" applyFont="1" applyFill="1" applyBorder="1" applyAlignment="1" applyProtection="1">
      <alignment horizontal="centerContinuous" vertical="center"/>
      <protection locked="0"/>
    </xf>
    <xf numFmtId="197" fontId="216" fillId="61" borderId="0" xfId="345" applyNumberFormat="1" applyFont="1" applyFill="1">
      <alignment vertical="center"/>
    </xf>
    <xf numFmtId="197" fontId="107" fillId="61" borderId="0" xfId="345" applyNumberFormat="1" applyFont="1" applyFill="1" applyAlignment="1">
      <alignment horizontal="centerContinuous" vertical="center"/>
    </xf>
    <xf numFmtId="38" fontId="122" fillId="61" borderId="0" xfId="484" applyFont="1" applyFill="1" applyBorder="1" applyAlignment="1" applyProtection="1">
      <alignment vertical="center"/>
      <protection locked="0"/>
    </xf>
    <xf numFmtId="0" fontId="112" fillId="62" borderId="108" xfId="345" applyFont="1" applyFill="1" applyBorder="1">
      <alignment vertical="center"/>
    </xf>
    <xf numFmtId="0" fontId="112" fillId="62" borderId="99" xfId="345" applyFont="1" applyFill="1" applyBorder="1">
      <alignment vertical="center"/>
    </xf>
    <xf numFmtId="0" fontId="112" fillId="62" borderId="107" xfId="345" applyFont="1" applyFill="1" applyBorder="1">
      <alignment vertical="center"/>
    </xf>
    <xf numFmtId="170" fontId="107" fillId="62" borderId="123" xfId="419" applyFont="1" applyFill="1" applyBorder="1" applyAlignment="1">
      <alignment horizontal="centerContinuous" vertical="center"/>
    </xf>
    <xf numFmtId="170" fontId="107" fillId="68" borderId="123" xfId="419" applyFont="1" applyFill="1" applyBorder="1" applyAlignment="1">
      <alignment horizontal="center" vertical="center"/>
    </xf>
    <xf numFmtId="49" fontId="107" fillId="79" borderId="0" xfId="345" applyNumberFormat="1" applyFont="1" applyFill="1" applyAlignment="1">
      <alignment horizontal="centerContinuous" vertical="center"/>
    </xf>
    <xf numFmtId="49" fontId="192" fillId="79" borderId="0" xfId="345" applyNumberFormat="1" applyFont="1" applyFill="1" applyAlignment="1">
      <alignment horizontal="centerContinuous" vertical="center"/>
    </xf>
    <xf numFmtId="0" fontId="33" fillId="0" borderId="123" xfId="419" applyNumberFormat="1" applyFont="1" applyFill="1" applyBorder="1" applyAlignment="1">
      <alignment horizontal="left" justifyLastLine="1"/>
    </xf>
    <xf numFmtId="0" fontId="33" fillId="0" borderId="123" xfId="349" applyFont="1" applyBorder="1" applyAlignment="1">
      <alignment horizontal="left" justifyLastLine="1"/>
    </xf>
    <xf numFmtId="0" fontId="33" fillId="61" borderId="123" xfId="345" applyFont="1" applyFill="1" applyBorder="1" applyAlignment="1">
      <alignment horizontal="left" justifyLastLine="1"/>
    </xf>
    <xf numFmtId="22" fontId="212" fillId="61" borderId="0" xfId="345" applyNumberFormat="1" applyFont="1" applyFill="1" applyAlignment="1">
      <alignment vertical="center" justifyLastLine="1"/>
    </xf>
    <xf numFmtId="0" fontId="212" fillId="61" borderId="0" xfId="349" applyFont="1" applyFill="1" applyAlignment="1">
      <alignment vertical="center" justifyLastLine="1"/>
    </xf>
    <xf numFmtId="49" fontId="211" fillId="61" borderId="0" xfId="349" applyNumberFormat="1" applyFont="1" applyFill="1" applyAlignment="1">
      <alignment vertical="center" justifyLastLine="1"/>
    </xf>
    <xf numFmtId="199" fontId="108" fillId="61" borderId="123" xfId="349" applyNumberFormat="1" applyFont="1" applyFill="1" applyBorder="1" applyAlignment="1">
      <alignment horizontal="center" vertical="center"/>
    </xf>
    <xf numFmtId="0" fontId="108" fillId="61" borderId="107" xfId="345" applyFont="1" applyFill="1" applyBorder="1" applyAlignment="1">
      <alignment horizontal="center" vertical="center"/>
    </xf>
    <xf numFmtId="0" fontId="108" fillId="61" borderId="123" xfId="345" applyFont="1" applyFill="1" applyBorder="1" applyAlignment="1">
      <alignment horizontal="center" vertical="center"/>
    </xf>
    <xf numFmtId="38" fontId="108" fillId="71" borderId="108" xfId="484" applyFont="1" applyFill="1" applyBorder="1" applyAlignment="1" applyProtection="1">
      <alignment vertical="center"/>
    </xf>
    <xf numFmtId="38" fontId="108" fillId="71" borderId="99" xfId="484" applyFont="1" applyFill="1" applyBorder="1" applyAlignment="1" applyProtection="1">
      <alignment vertical="center"/>
    </xf>
    <xf numFmtId="0" fontId="14" fillId="71" borderId="123" xfId="484" applyNumberFormat="1" applyFont="1" applyFill="1" applyBorder="1" applyAlignment="1" applyProtection="1">
      <alignment horizontal="left" indent="2" justifyLastLine="1"/>
    </xf>
    <xf numFmtId="38" fontId="108" fillId="71" borderId="123" xfId="484" applyFont="1" applyFill="1" applyBorder="1" applyAlignment="1" applyProtection="1">
      <alignment vertical="center"/>
    </xf>
    <xf numFmtId="38" fontId="108" fillId="71" borderId="107" xfId="484" applyFont="1" applyFill="1" applyBorder="1" applyAlignment="1" applyProtection="1">
      <alignment vertical="center"/>
    </xf>
    <xf numFmtId="38" fontId="107" fillId="71" borderId="123" xfId="484" applyFont="1" applyFill="1" applyBorder="1" applyAlignment="1" applyProtection="1">
      <alignment vertical="center"/>
    </xf>
    <xf numFmtId="38" fontId="107" fillId="71" borderId="108" xfId="484" applyFont="1" applyFill="1" applyBorder="1" applyAlignment="1" applyProtection="1">
      <alignment vertical="center"/>
    </xf>
    <xf numFmtId="0" fontId="14" fillId="61" borderId="123" xfId="484" applyNumberFormat="1" applyFont="1" applyFill="1" applyBorder="1" applyAlignment="1" applyProtection="1">
      <alignment horizontal="left" indent="2" justifyLastLine="1"/>
      <protection locked="0"/>
    </xf>
    <xf numFmtId="38" fontId="107" fillId="0" borderId="97" xfId="484" applyFont="1" applyFill="1" applyBorder="1" applyAlignment="1" applyProtection="1">
      <alignment vertical="center"/>
      <protection locked="0"/>
    </xf>
    <xf numFmtId="38" fontId="107" fillId="0" borderId="56" xfId="484" applyFont="1" applyFill="1" applyBorder="1" applyAlignment="1" applyProtection="1">
      <alignment vertical="center"/>
      <protection locked="0"/>
    </xf>
    <xf numFmtId="38" fontId="108" fillId="71" borderId="68" xfId="484" applyFont="1" applyFill="1" applyBorder="1" applyAlignment="1" applyProtection="1">
      <alignment vertical="center"/>
    </xf>
    <xf numFmtId="38" fontId="108" fillId="71" borderId="85" xfId="484" applyFont="1" applyFill="1" applyBorder="1" applyAlignment="1" applyProtection="1">
      <alignment vertical="center"/>
    </xf>
    <xf numFmtId="38" fontId="108" fillId="71" borderId="97" xfId="484" applyFont="1" applyFill="1" applyBorder="1" applyAlignment="1" applyProtection="1">
      <alignment vertical="center"/>
    </xf>
    <xf numFmtId="38" fontId="108" fillId="71" borderId="56" xfId="484" applyFont="1" applyFill="1" applyBorder="1" applyAlignment="1" applyProtection="1">
      <alignment vertical="center"/>
    </xf>
    <xf numFmtId="38" fontId="107" fillId="0" borderId="24" xfId="484" applyFont="1" applyFill="1" applyBorder="1" applyAlignment="1" applyProtection="1">
      <alignment vertical="center"/>
      <protection locked="0"/>
    </xf>
    <xf numFmtId="38" fontId="107" fillId="0" borderId="46" xfId="484" applyFont="1" applyFill="1" applyBorder="1" applyAlignment="1" applyProtection="1">
      <alignment vertical="center"/>
      <protection locked="0"/>
    </xf>
    <xf numFmtId="38" fontId="107" fillId="0" borderId="45" xfId="484" applyFont="1" applyFill="1" applyBorder="1" applyAlignment="1" applyProtection="1">
      <alignment vertical="center"/>
      <protection locked="0"/>
    </xf>
    <xf numFmtId="38" fontId="107" fillId="0" borderId="31" xfId="484" applyFont="1" applyFill="1" applyBorder="1" applyAlignment="1" applyProtection="1">
      <alignment vertical="center"/>
      <protection locked="0"/>
    </xf>
    <xf numFmtId="0" fontId="14" fillId="61" borderId="123" xfId="484" applyNumberFormat="1" applyFont="1" applyFill="1" applyBorder="1" applyAlignment="1">
      <alignment horizontal="left" indent="2" justifyLastLine="1"/>
    </xf>
    <xf numFmtId="38" fontId="107" fillId="0" borderId="24" xfId="484" applyFont="1" applyFill="1" applyBorder="1" applyAlignment="1">
      <alignment vertical="center"/>
    </xf>
    <xf numFmtId="38" fontId="107" fillId="0" borderId="31" xfId="484" applyFont="1" applyFill="1" applyBorder="1" applyAlignment="1">
      <alignment vertical="center"/>
    </xf>
    <xf numFmtId="38" fontId="107" fillId="0" borderId="21" xfId="484" applyFont="1" applyFill="1" applyBorder="1" applyAlignment="1">
      <alignment vertical="center"/>
    </xf>
    <xf numFmtId="38" fontId="107" fillId="0" borderId="30" xfId="484" applyFont="1" applyFill="1" applyBorder="1" applyAlignment="1">
      <alignment vertical="center"/>
    </xf>
    <xf numFmtId="0" fontId="14" fillId="62" borderId="123" xfId="484" applyNumberFormat="1" applyFont="1" applyFill="1" applyBorder="1" applyAlignment="1" applyProtection="1">
      <alignment horizontal="left" indent="2" justifyLastLine="1"/>
      <protection locked="0"/>
    </xf>
    <xf numFmtId="38" fontId="107" fillId="62" borderId="45" xfId="484" applyFont="1" applyFill="1" applyBorder="1" applyAlignment="1" applyProtection="1">
      <alignment vertical="center"/>
      <protection locked="0"/>
    </xf>
    <xf numFmtId="38" fontId="107" fillId="61" borderId="46" xfId="484" applyFont="1" applyFill="1" applyBorder="1" applyAlignment="1" applyProtection="1">
      <alignment vertical="center"/>
      <protection locked="0"/>
    </xf>
    <xf numFmtId="38" fontId="107" fillId="61" borderId="45" xfId="484" applyFont="1" applyFill="1" applyBorder="1" applyAlignment="1" applyProtection="1">
      <alignment vertical="center"/>
      <protection locked="0"/>
    </xf>
    <xf numFmtId="38" fontId="107" fillId="62" borderId="24" xfId="484" applyFont="1" applyFill="1" applyBorder="1" applyAlignment="1" applyProtection="1">
      <alignment vertical="center"/>
      <protection locked="0"/>
    </xf>
    <xf numFmtId="38" fontId="107" fillId="61" borderId="31" xfId="484" applyFont="1" applyFill="1" applyBorder="1" applyAlignment="1" applyProtection="1">
      <alignment vertical="center"/>
      <protection locked="0"/>
    </xf>
    <xf numFmtId="38" fontId="107" fillId="61" borderId="24" xfId="484" applyFont="1" applyFill="1" applyBorder="1" applyAlignment="1" applyProtection="1">
      <alignment vertical="center"/>
      <protection locked="0"/>
    </xf>
    <xf numFmtId="0" fontId="14" fillId="62" borderId="123" xfId="484" applyNumberFormat="1" applyFont="1" applyFill="1" applyBorder="1" applyAlignment="1">
      <alignment horizontal="left" indent="2" justifyLastLine="1"/>
    </xf>
    <xf numFmtId="38" fontId="107" fillId="62" borderId="97" xfId="484" applyFont="1" applyFill="1" applyBorder="1" applyAlignment="1">
      <alignment vertical="center"/>
    </xf>
    <xf numFmtId="38" fontId="107" fillId="61" borderId="56" xfId="484" applyFont="1" applyFill="1" applyBorder="1" applyAlignment="1">
      <alignment vertical="center"/>
    </xf>
    <xf numFmtId="38" fontId="107" fillId="61" borderId="97" xfId="484" applyFont="1" applyFill="1" applyBorder="1" applyAlignment="1">
      <alignment vertical="center"/>
    </xf>
    <xf numFmtId="0" fontId="9" fillId="0" borderId="108" xfId="0" applyFont="1" applyBorder="1" applyAlignment="1"/>
    <xf numFmtId="0" fontId="108" fillId="61" borderId="99" xfId="345" applyFont="1" applyFill="1" applyBorder="1">
      <alignment vertical="center"/>
    </xf>
    <xf numFmtId="38" fontId="107" fillId="0" borderId="108" xfId="484" applyFont="1" applyFill="1" applyBorder="1">
      <alignment vertical="center"/>
    </xf>
    <xf numFmtId="38" fontId="107" fillId="0" borderId="123" xfId="484" applyFont="1" applyFill="1" applyBorder="1">
      <alignment vertical="center"/>
    </xf>
    <xf numFmtId="38" fontId="107" fillId="0" borderId="107" xfId="484" applyFont="1" applyFill="1" applyBorder="1">
      <alignment vertical="center"/>
    </xf>
    <xf numFmtId="0" fontId="14" fillId="68" borderId="123" xfId="484" applyNumberFormat="1" applyFont="1" applyFill="1" applyBorder="1" applyAlignment="1">
      <alignment horizontal="left" indent="2" justifyLastLine="1"/>
    </xf>
    <xf numFmtId="38" fontId="107" fillId="68" borderId="11" xfId="484" applyFont="1" applyFill="1" applyBorder="1">
      <alignment vertical="center"/>
    </xf>
    <xf numFmtId="38" fontId="107" fillId="68" borderId="24" xfId="484" applyFont="1" applyFill="1" applyBorder="1">
      <alignment vertical="center"/>
    </xf>
    <xf numFmtId="38" fontId="107" fillId="61" borderId="56" xfId="484" applyFont="1" applyFill="1" applyBorder="1">
      <alignment vertical="center"/>
    </xf>
    <xf numFmtId="38" fontId="107" fillId="61" borderId="97" xfId="484" applyFont="1" applyFill="1" applyBorder="1">
      <alignment vertical="center"/>
    </xf>
    <xf numFmtId="38" fontId="107" fillId="61" borderId="31" xfId="484" applyFont="1" applyFill="1" applyBorder="1">
      <alignment vertical="center"/>
    </xf>
    <xf numFmtId="38" fontId="107" fillId="61" borderId="24" xfId="484" applyFont="1" applyFill="1" applyBorder="1">
      <alignment vertical="center"/>
    </xf>
    <xf numFmtId="38" fontId="107" fillId="61" borderId="30" xfId="484" applyFont="1" applyFill="1" applyBorder="1">
      <alignment vertical="center"/>
    </xf>
    <xf numFmtId="38" fontId="107" fillId="61" borderId="21" xfId="484" applyFont="1" applyFill="1" applyBorder="1">
      <alignment vertical="center"/>
    </xf>
    <xf numFmtId="198" fontId="107" fillId="61" borderId="108" xfId="349" applyNumberFormat="1" applyFont="1" applyFill="1" applyBorder="1" applyAlignment="1">
      <alignment vertical="center"/>
    </xf>
    <xf numFmtId="198" fontId="107" fillId="61" borderId="108" xfId="417" applyNumberFormat="1" applyFont="1" applyFill="1" applyBorder="1" applyAlignment="1">
      <alignment vertical="center"/>
    </xf>
    <xf numFmtId="38" fontId="107" fillId="68" borderId="23" xfId="484" applyFont="1" applyFill="1" applyBorder="1">
      <alignment vertical="center"/>
    </xf>
    <xf numFmtId="38" fontId="107" fillId="68" borderId="21" xfId="484" applyFont="1" applyFill="1" applyBorder="1">
      <alignment vertical="center"/>
    </xf>
    <xf numFmtId="201" fontId="107" fillId="0" borderId="11" xfId="484" applyNumberFormat="1" applyFont="1" applyFill="1" applyBorder="1">
      <alignment vertical="center"/>
    </xf>
    <xf numFmtId="201" fontId="107" fillId="0" borderId="0" xfId="484" applyNumberFormat="1" applyFont="1" applyFill="1" applyBorder="1">
      <alignment vertical="center"/>
    </xf>
    <xf numFmtId="40" fontId="107" fillId="61" borderId="108" xfId="413" applyFont="1" applyFill="1" applyBorder="1" applyAlignment="1" applyProtection="1">
      <alignment horizontal="left"/>
    </xf>
    <xf numFmtId="40" fontId="107" fillId="61" borderId="99" xfId="413" applyFont="1" applyFill="1" applyBorder="1" applyAlignment="1" applyProtection="1">
      <alignment horizontal="distributed"/>
    </xf>
    <xf numFmtId="38" fontId="107" fillId="0" borderId="123" xfId="484" applyFont="1" applyFill="1" applyBorder="1" applyAlignment="1">
      <alignment horizontal="right" vertical="center"/>
    </xf>
    <xf numFmtId="38" fontId="107" fillId="0" borderId="107" xfId="484" applyFont="1" applyFill="1" applyBorder="1" applyAlignment="1">
      <alignment horizontal="right" vertical="center"/>
    </xf>
    <xf numFmtId="40" fontId="107" fillId="61" borderId="85" xfId="413" applyFont="1" applyFill="1" applyBorder="1" applyAlignment="1" applyProtection="1">
      <alignment horizontal="left"/>
    </xf>
    <xf numFmtId="0" fontId="108" fillId="61" borderId="85" xfId="345" applyFont="1" applyFill="1" applyBorder="1">
      <alignment vertical="center"/>
    </xf>
    <xf numFmtId="38" fontId="107" fillId="0" borderId="97" xfId="484" applyFont="1" applyFill="1" applyBorder="1" applyAlignment="1">
      <alignment horizontal="right" vertical="center"/>
    </xf>
    <xf numFmtId="38" fontId="107" fillId="0" borderId="56" xfId="484" applyFont="1" applyFill="1" applyBorder="1" applyAlignment="1">
      <alignment horizontal="right" vertical="center"/>
    </xf>
    <xf numFmtId="38" fontId="107" fillId="0" borderId="21" xfId="484" applyFont="1" applyFill="1" applyBorder="1" applyAlignment="1">
      <alignment horizontal="right" vertical="center"/>
    </xf>
    <xf numFmtId="38" fontId="107" fillId="0" borderId="30" xfId="484" applyFont="1" applyFill="1" applyBorder="1" applyAlignment="1">
      <alignment horizontal="right" vertical="center"/>
    </xf>
    <xf numFmtId="38" fontId="107" fillId="0" borderId="11" xfId="484" applyFont="1" applyFill="1" applyBorder="1">
      <alignment vertical="center"/>
    </xf>
    <xf numFmtId="198" fontId="107" fillId="61" borderId="99" xfId="416" applyNumberFormat="1" applyFill="1" applyBorder="1" applyAlignment="1">
      <alignment vertical="center"/>
    </xf>
    <xf numFmtId="38" fontId="107" fillId="61" borderId="31" xfId="484" applyFont="1" applyFill="1" applyBorder="1" applyAlignment="1">
      <alignment horizontal="right" vertical="center"/>
    </xf>
    <xf numFmtId="38" fontId="107" fillId="61" borderId="24" xfId="484" applyFont="1" applyFill="1" applyBorder="1" applyAlignment="1">
      <alignment horizontal="right" vertical="center"/>
    </xf>
    <xf numFmtId="38" fontId="107" fillId="61" borderId="30" xfId="484" applyFont="1" applyFill="1" applyBorder="1" applyAlignment="1">
      <alignment horizontal="right" vertical="center"/>
    </xf>
    <xf numFmtId="38" fontId="107" fillId="61" borderId="21" xfId="484" applyFont="1" applyFill="1" applyBorder="1" applyAlignment="1">
      <alignment horizontal="right" vertical="center"/>
    </xf>
    <xf numFmtId="198" fontId="108" fillId="61" borderId="108" xfId="349" applyNumberFormat="1" applyFont="1" applyFill="1" applyBorder="1" applyAlignment="1">
      <alignment vertical="center"/>
    </xf>
    <xf numFmtId="198" fontId="107" fillId="61" borderId="99" xfId="349" applyNumberFormat="1" applyFont="1" applyFill="1" applyBorder="1" applyAlignment="1">
      <alignment vertical="center"/>
    </xf>
    <xf numFmtId="198" fontId="108" fillId="61" borderId="99" xfId="349" applyNumberFormat="1" applyFont="1" applyFill="1" applyBorder="1" applyAlignment="1">
      <alignment vertical="center"/>
    </xf>
    <xf numFmtId="198" fontId="107" fillId="61" borderId="107" xfId="349" applyNumberFormat="1" applyFont="1" applyFill="1" applyBorder="1" applyAlignment="1">
      <alignment vertical="center"/>
    </xf>
    <xf numFmtId="199" fontId="108" fillId="0" borderId="123" xfId="349" applyNumberFormat="1" applyFont="1" applyBorder="1" applyAlignment="1">
      <alignment horizontal="center" vertical="center"/>
    </xf>
    <xf numFmtId="0" fontId="107" fillId="0" borderId="107" xfId="345" applyFont="1" applyBorder="1" applyAlignment="1">
      <alignment horizontal="center" vertical="center"/>
    </xf>
    <xf numFmtId="0" fontId="107" fillId="0" borderId="123" xfId="345" applyFont="1" applyBorder="1" applyAlignment="1">
      <alignment horizontal="center" vertical="center"/>
    </xf>
    <xf numFmtId="198" fontId="108" fillId="86" borderId="56" xfId="349" applyNumberFormat="1" applyFont="1" applyFill="1" applyBorder="1" applyAlignment="1">
      <alignment vertical="center"/>
    </xf>
    <xf numFmtId="0" fontId="14" fillId="86" borderId="123" xfId="484" applyNumberFormat="1" applyFont="1" applyFill="1" applyBorder="1" applyAlignment="1" applyProtection="1">
      <alignment horizontal="left" indent="2" justifyLastLine="1"/>
    </xf>
    <xf numFmtId="38" fontId="108" fillId="86" borderId="97" xfId="484" applyFont="1" applyFill="1" applyBorder="1" applyAlignment="1" applyProtection="1">
      <alignment vertical="center"/>
    </xf>
    <xf numFmtId="38" fontId="108" fillId="86" borderId="97" xfId="484" applyFont="1" applyFill="1" applyBorder="1">
      <alignment vertical="center"/>
    </xf>
    <xf numFmtId="38" fontId="108" fillId="86" borderId="97" xfId="484" applyFont="1" applyFill="1" applyBorder="1" applyAlignment="1">
      <alignment horizontal="right" vertical="center"/>
    </xf>
    <xf numFmtId="38" fontId="108" fillId="86" borderId="24" xfId="484" applyFont="1" applyFill="1" applyBorder="1" applyAlignment="1" applyProtection="1">
      <alignment vertical="center"/>
    </xf>
    <xf numFmtId="38" fontId="108" fillId="86" borderId="24" xfId="484" applyFont="1" applyFill="1" applyBorder="1">
      <alignment vertical="center"/>
    </xf>
    <xf numFmtId="38" fontId="108" fillId="86" borderId="24" xfId="484" applyFont="1" applyFill="1" applyBorder="1" applyAlignment="1">
      <alignment horizontal="right" vertical="center"/>
    </xf>
    <xf numFmtId="38" fontId="108" fillId="86" borderId="34" xfId="484" applyFont="1" applyFill="1" applyBorder="1" applyAlignment="1" applyProtection="1">
      <alignment vertical="center"/>
    </xf>
    <xf numFmtId="38" fontId="108" fillId="86" borderId="34" xfId="484" applyFont="1" applyFill="1" applyBorder="1">
      <alignment vertical="center"/>
    </xf>
    <xf numFmtId="38" fontId="108" fillId="86" borderId="34" xfId="484" applyFont="1" applyFill="1" applyBorder="1" applyAlignment="1">
      <alignment horizontal="right" vertical="center"/>
    </xf>
    <xf numFmtId="38" fontId="107" fillId="0" borderId="24" xfId="484" applyFont="1" applyFill="1" applyBorder="1" applyAlignment="1">
      <alignment horizontal="right" vertical="center"/>
    </xf>
    <xf numFmtId="38" fontId="107" fillId="0" borderId="34" xfId="484" applyFont="1" applyFill="1" applyBorder="1" applyAlignment="1" applyProtection="1">
      <alignment vertical="center"/>
    </xf>
    <xf numFmtId="38" fontId="107" fillId="0" borderId="34" xfId="484" applyFont="1" applyFill="1" applyBorder="1">
      <alignment vertical="center"/>
    </xf>
    <xf numFmtId="38" fontId="107" fillId="0" borderId="34" xfId="484" applyFont="1" applyFill="1" applyBorder="1" applyAlignment="1">
      <alignment horizontal="right" vertical="center"/>
    </xf>
    <xf numFmtId="38" fontId="107" fillId="61" borderId="34" xfId="484" applyFont="1" applyFill="1" applyBorder="1" applyAlignment="1">
      <alignment horizontal="right" vertical="center"/>
    </xf>
    <xf numFmtId="38" fontId="108" fillId="86" borderId="21" xfId="484" applyFont="1" applyFill="1" applyBorder="1" applyAlignment="1" applyProtection="1">
      <alignment vertical="center"/>
    </xf>
    <xf numFmtId="38" fontId="108" fillId="86" borderId="21" xfId="484" applyFont="1" applyFill="1" applyBorder="1">
      <alignment vertical="center"/>
    </xf>
    <xf numFmtId="38" fontId="108" fillId="86" borderId="21" xfId="484" applyFont="1" applyFill="1" applyBorder="1" applyAlignment="1">
      <alignment horizontal="right" vertical="center"/>
    </xf>
    <xf numFmtId="38" fontId="107" fillId="0" borderId="56" xfId="484" applyFont="1" applyFill="1" applyBorder="1" applyAlignment="1" applyProtection="1">
      <alignment vertical="center"/>
    </xf>
    <xf numFmtId="38" fontId="107" fillId="61" borderId="56" xfId="484" applyFont="1" applyFill="1" applyBorder="1" applyAlignment="1" applyProtection="1">
      <alignment vertical="center"/>
    </xf>
    <xf numFmtId="38" fontId="107" fillId="0" borderId="30" xfId="484" applyFont="1" applyFill="1" applyBorder="1" applyAlignment="1" applyProtection="1">
      <alignment vertical="center"/>
    </xf>
    <xf numFmtId="38" fontId="107" fillId="61" borderId="30" xfId="484" applyFont="1" applyFill="1" applyBorder="1" applyAlignment="1" applyProtection="1">
      <alignment vertical="center"/>
    </xf>
    <xf numFmtId="198" fontId="108" fillId="86" borderId="108" xfId="349" applyNumberFormat="1" applyFont="1" applyFill="1" applyBorder="1" applyAlignment="1">
      <alignment vertical="center"/>
    </xf>
    <xf numFmtId="198" fontId="107" fillId="86" borderId="99" xfId="349" applyNumberFormat="1" applyFont="1" applyFill="1" applyBorder="1" applyAlignment="1">
      <alignment vertical="center"/>
    </xf>
    <xf numFmtId="198" fontId="108" fillId="86" borderId="99" xfId="349" applyNumberFormat="1" applyFont="1" applyFill="1" applyBorder="1" applyAlignment="1">
      <alignment vertical="center"/>
    </xf>
    <xf numFmtId="38" fontId="108" fillId="86" borderId="123" xfId="484" applyFont="1" applyFill="1" applyBorder="1" applyAlignment="1" applyProtection="1">
      <alignment vertical="center"/>
    </xf>
    <xf numFmtId="38" fontId="108" fillId="86" borderId="107" xfId="484" applyFont="1" applyFill="1" applyBorder="1" applyAlignment="1" applyProtection="1">
      <alignment vertical="center"/>
    </xf>
    <xf numFmtId="38" fontId="107" fillId="0" borderId="79" xfId="484" applyFont="1" applyFill="1" applyBorder="1" applyAlignment="1" applyProtection="1">
      <alignment vertical="center"/>
    </xf>
    <xf numFmtId="38" fontId="107" fillId="0" borderId="79" xfId="484" applyFont="1" applyFill="1" applyBorder="1">
      <alignment vertical="center"/>
    </xf>
    <xf numFmtId="38" fontId="107" fillId="0" borderId="79" xfId="484" applyFont="1" applyFill="1" applyBorder="1" applyAlignment="1">
      <alignment horizontal="right" vertical="center"/>
    </xf>
    <xf numFmtId="38" fontId="107" fillId="0" borderId="78" xfId="484" applyFont="1" applyFill="1" applyBorder="1" applyAlignment="1">
      <alignment horizontal="right" vertical="center"/>
    </xf>
    <xf numFmtId="0" fontId="14" fillId="68" borderId="123" xfId="484" applyNumberFormat="1" applyFont="1" applyFill="1" applyBorder="1" applyAlignment="1" applyProtection="1">
      <alignment horizontal="left" indent="2" justifyLastLine="1"/>
    </xf>
    <xf numFmtId="38" fontId="107" fillId="68" borderId="24" xfId="484" applyFont="1" applyFill="1" applyBorder="1" applyAlignment="1" applyProtection="1">
      <alignment vertical="center"/>
    </xf>
    <xf numFmtId="38" fontId="107" fillId="68" borderId="24" xfId="484" applyFont="1" applyFill="1" applyBorder="1" applyAlignment="1">
      <alignment horizontal="right" vertical="center"/>
    </xf>
    <xf numFmtId="38" fontId="107" fillId="68" borderId="21" xfId="484" applyFont="1" applyFill="1" applyBorder="1" applyAlignment="1" applyProtection="1">
      <alignment vertical="center"/>
    </xf>
    <xf numFmtId="38" fontId="107" fillId="68" borderId="21" xfId="484" applyFont="1" applyFill="1" applyBorder="1" applyAlignment="1">
      <alignment horizontal="right" vertical="center"/>
    </xf>
    <xf numFmtId="38" fontId="107" fillId="0" borderId="31" xfId="484" applyFont="1" applyFill="1" applyBorder="1" applyAlignment="1">
      <alignment horizontal="right" vertical="center"/>
    </xf>
    <xf numFmtId="198" fontId="108" fillId="59" borderId="68" xfId="349" applyNumberFormat="1" applyFont="1" applyFill="1" applyBorder="1" applyAlignment="1">
      <alignment vertical="center"/>
    </xf>
    <xf numFmtId="198" fontId="145" fillId="59" borderId="85" xfId="349" applyNumberFormat="1" applyFont="1" applyFill="1" applyBorder="1" applyAlignment="1">
      <alignment vertical="center"/>
    </xf>
    <xf numFmtId="0" fontId="14" fillId="59" borderId="123" xfId="484" applyNumberFormat="1" applyFont="1" applyFill="1" applyBorder="1" applyAlignment="1" applyProtection="1">
      <alignment horizontal="left" indent="2" justifyLastLine="1"/>
    </xf>
    <xf numFmtId="38" fontId="108" fillId="59" borderId="97" xfId="484" applyFont="1" applyFill="1" applyBorder="1" applyAlignment="1" applyProtection="1">
      <alignment vertical="center"/>
    </xf>
    <xf numFmtId="38" fontId="108" fillId="59" borderId="56" xfId="484" applyFont="1" applyFill="1" applyBorder="1" applyAlignment="1" applyProtection="1">
      <alignment vertical="center"/>
    </xf>
    <xf numFmtId="0" fontId="14" fillId="0" borderId="123" xfId="484" applyNumberFormat="1" applyFont="1" applyBorder="1" applyAlignment="1" applyProtection="1">
      <alignment horizontal="left" indent="2" justifyLastLine="1"/>
    </xf>
    <xf numFmtId="38" fontId="107" fillId="0" borderId="31" xfId="484" applyFont="1" applyBorder="1" applyAlignment="1" applyProtection="1">
      <alignment vertical="center"/>
    </xf>
    <xf numFmtId="38" fontId="107" fillId="62" borderId="24" xfId="484" applyFont="1" applyFill="1" applyBorder="1" applyAlignment="1" applyProtection="1">
      <alignment vertical="center"/>
    </xf>
    <xf numFmtId="38" fontId="107" fillId="62" borderId="31" xfId="484" applyFont="1" applyFill="1" applyBorder="1" applyAlignment="1" applyProtection="1">
      <alignment vertical="center"/>
    </xf>
    <xf numFmtId="0" fontId="14" fillId="74" borderId="123" xfId="484" applyNumberFormat="1" applyFont="1" applyFill="1" applyBorder="1" applyAlignment="1" applyProtection="1">
      <alignment horizontal="left" indent="2" justifyLastLine="1"/>
    </xf>
    <xf numFmtId="38" fontId="107" fillId="74" borderId="24" xfId="484" applyFont="1" applyFill="1" applyBorder="1" applyAlignment="1" applyProtection="1">
      <alignment vertical="center"/>
    </xf>
    <xf numFmtId="38" fontId="107" fillId="74" borderId="31" xfId="484" applyFont="1" applyFill="1" applyBorder="1" applyAlignment="1" applyProtection="1">
      <alignment vertical="center"/>
    </xf>
    <xf numFmtId="38" fontId="107" fillId="62" borderId="41" xfId="484" applyFont="1" applyFill="1" applyBorder="1" applyAlignment="1" applyProtection="1">
      <alignment vertical="center"/>
    </xf>
    <xf numFmtId="38" fontId="107" fillId="62" borderId="43" xfId="484" applyFont="1" applyFill="1" applyBorder="1" applyAlignment="1" applyProtection="1">
      <alignment vertical="center"/>
    </xf>
    <xf numFmtId="38" fontId="107" fillId="0" borderId="43" xfId="484" applyFont="1" applyBorder="1" applyAlignment="1" applyProtection="1">
      <alignment vertical="center"/>
    </xf>
    <xf numFmtId="38" fontId="107" fillId="0" borderId="34" xfId="484" applyFont="1" applyBorder="1" applyAlignment="1" applyProtection="1">
      <alignment vertical="center"/>
    </xf>
    <xf numFmtId="38" fontId="107" fillId="0" borderId="35" xfId="484" applyFont="1" applyBorder="1" applyAlignment="1" applyProtection="1">
      <alignment vertical="center"/>
    </xf>
    <xf numFmtId="38" fontId="107" fillId="62" borderId="34" xfId="484" applyFont="1" applyFill="1" applyBorder="1" applyAlignment="1" applyProtection="1">
      <alignment vertical="center"/>
    </xf>
    <xf numFmtId="38" fontId="107" fillId="62" borderId="35" xfId="484" applyFont="1" applyFill="1" applyBorder="1" applyAlignment="1" applyProtection="1">
      <alignment vertical="center"/>
    </xf>
    <xf numFmtId="38" fontId="107" fillId="62" borderId="97" xfId="484" applyFont="1" applyFill="1" applyBorder="1" applyAlignment="1" applyProtection="1">
      <alignment vertical="center"/>
    </xf>
    <xf numFmtId="38" fontId="107" fillId="62" borderId="56" xfId="484" applyFont="1" applyFill="1" applyBorder="1" applyAlignment="1" applyProtection="1">
      <alignment vertical="center"/>
    </xf>
    <xf numFmtId="38" fontId="107" fillId="62" borderId="21" xfId="484" applyFont="1" applyFill="1" applyBorder="1" applyAlignment="1" applyProtection="1">
      <alignment vertical="center"/>
    </xf>
    <xf numFmtId="38" fontId="107" fillId="62" borderId="30" xfId="484" applyFont="1" applyFill="1" applyBorder="1" applyAlignment="1" applyProtection="1">
      <alignment vertical="center"/>
    </xf>
    <xf numFmtId="198" fontId="107" fillId="67" borderId="56" xfId="349" applyNumberFormat="1" applyFont="1" applyFill="1" applyBorder="1" applyAlignment="1">
      <alignment vertical="center"/>
    </xf>
    <xf numFmtId="38" fontId="107" fillId="61" borderId="97" xfId="484" applyFont="1" applyFill="1" applyBorder="1" applyAlignment="1">
      <alignment horizontal="right" vertical="center"/>
    </xf>
    <xf numFmtId="38" fontId="107" fillId="62" borderId="24" xfId="484" applyFont="1" applyFill="1" applyBorder="1">
      <alignment vertical="center"/>
    </xf>
    <xf numFmtId="38" fontId="107" fillId="62" borderId="24" xfId="484" applyFont="1" applyFill="1" applyBorder="1" applyAlignment="1">
      <alignment horizontal="right" vertical="center"/>
    </xf>
    <xf numFmtId="38" fontId="107" fillId="62" borderId="34" xfId="484" applyFont="1" applyFill="1" applyBorder="1">
      <alignment vertical="center"/>
    </xf>
    <xf numFmtId="38" fontId="107" fillId="62" borderId="34" xfId="484" applyFont="1" applyFill="1" applyBorder="1" applyAlignment="1">
      <alignment horizontal="right" vertical="center"/>
    </xf>
    <xf numFmtId="198" fontId="108" fillId="49" borderId="68" xfId="349" applyNumberFormat="1" applyFont="1" applyFill="1" applyBorder="1" applyAlignment="1">
      <alignment vertical="center"/>
    </xf>
    <xf numFmtId="198" fontId="107" fillId="49" borderId="85" xfId="349" applyNumberFormat="1" applyFont="1" applyFill="1" applyBorder="1" applyAlignment="1">
      <alignment vertical="center"/>
    </xf>
    <xf numFmtId="198" fontId="145" fillId="49" borderId="85" xfId="349" applyNumberFormat="1" applyFont="1" applyFill="1" applyBorder="1" applyAlignment="1">
      <alignment vertical="center"/>
    </xf>
    <xf numFmtId="38" fontId="108" fillId="49" borderId="97" xfId="484" applyFont="1" applyFill="1" applyBorder="1" applyAlignment="1">
      <alignment vertical="center"/>
    </xf>
    <xf numFmtId="38" fontId="108" fillId="49" borderId="56" xfId="484" applyFont="1" applyFill="1" applyBorder="1" applyAlignment="1">
      <alignment vertical="center"/>
    </xf>
    <xf numFmtId="38" fontId="108" fillId="49" borderId="56" xfId="484" applyFont="1" applyFill="1" applyBorder="1" applyAlignment="1" applyProtection="1">
      <alignment vertical="center"/>
    </xf>
    <xf numFmtId="38" fontId="107" fillId="0" borderId="24" xfId="484" applyFont="1" applyBorder="1" applyAlignment="1">
      <alignment vertical="center"/>
    </xf>
    <xf numFmtId="38" fontId="107" fillId="0" borderId="31" xfId="484" applyFont="1" applyBorder="1" applyAlignment="1">
      <alignment vertical="center"/>
    </xf>
    <xf numFmtId="38" fontId="149" fillId="0" borderId="21" xfId="484" applyFont="1" applyBorder="1" applyAlignment="1" applyProtection="1">
      <alignment vertical="center"/>
    </xf>
    <xf numFmtId="38" fontId="149" fillId="0" borderId="30" xfId="484" applyFont="1" applyBorder="1" applyAlignment="1" applyProtection="1">
      <alignment vertical="center"/>
    </xf>
    <xf numFmtId="195" fontId="150" fillId="0" borderId="56" xfId="415" applyNumberFormat="1" applyFont="1" applyFill="1" applyBorder="1" applyAlignment="1" applyProtection="1">
      <alignment vertical="center"/>
    </xf>
    <xf numFmtId="198" fontId="145" fillId="77" borderId="85" xfId="349" applyNumberFormat="1" applyFont="1" applyFill="1" applyBorder="1" applyAlignment="1">
      <alignment vertical="center"/>
    </xf>
    <xf numFmtId="0" fontId="14" fillId="77" borderId="123" xfId="484" applyNumberFormat="1" applyFont="1" applyFill="1" applyBorder="1" applyAlignment="1" applyProtection="1">
      <alignment horizontal="left" indent="2" justifyLastLine="1"/>
    </xf>
    <xf numFmtId="38" fontId="108" fillId="77" borderId="97" xfId="484" applyFont="1" applyFill="1" applyBorder="1" applyAlignment="1" applyProtection="1">
      <alignment vertical="center"/>
    </xf>
    <xf numFmtId="38" fontId="108" fillId="77" borderId="56" xfId="484" applyFont="1" applyFill="1" applyBorder="1" applyAlignment="1" applyProtection="1">
      <alignment vertical="center"/>
    </xf>
    <xf numFmtId="0" fontId="14" fillId="69" borderId="123" xfId="484" applyNumberFormat="1" applyFont="1" applyFill="1" applyBorder="1" applyAlignment="1" applyProtection="1">
      <alignment horizontal="left" indent="2" justifyLastLine="1"/>
    </xf>
    <xf numFmtId="38" fontId="107" fillId="69" borderId="24" xfId="484" applyFont="1" applyFill="1" applyBorder="1" applyAlignment="1" applyProtection="1">
      <alignment vertical="center"/>
    </xf>
    <xf numFmtId="38" fontId="107" fillId="69" borderId="31" xfId="484" applyFont="1" applyFill="1" applyBorder="1" applyAlignment="1" applyProtection="1">
      <alignment vertical="center"/>
    </xf>
    <xf numFmtId="38" fontId="107" fillId="0" borderId="31" xfId="484" applyFont="1" applyFill="1" applyBorder="1" applyAlignment="1" applyProtection="1">
      <alignment vertical="center"/>
    </xf>
    <xf numFmtId="38" fontId="107" fillId="0" borderId="35" xfId="484" applyFont="1" applyFill="1" applyBorder="1" applyAlignment="1" applyProtection="1">
      <alignment vertical="center"/>
    </xf>
    <xf numFmtId="38" fontId="107" fillId="69" borderId="45" xfId="484" applyFont="1" applyFill="1" applyBorder="1" applyAlignment="1" applyProtection="1">
      <alignment vertical="center"/>
    </xf>
    <xf numFmtId="38" fontId="107" fillId="69" borderId="46" xfId="484" applyFont="1" applyFill="1" applyBorder="1" applyAlignment="1" applyProtection="1">
      <alignment vertical="center"/>
    </xf>
    <xf numFmtId="198" fontId="145" fillId="63" borderId="85" xfId="349" applyNumberFormat="1" applyFont="1" applyFill="1" applyBorder="1" applyAlignment="1">
      <alignment vertical="center"/>
    </xf>
    <xf numFmtId="38" fontId="108" fillId="63" borderId="97" xfId="484" applyFont="1" applyFill="1" applyBorder="1" applyAlignment="1">
      <alignment vertical="center"/>
    </xf>
    <xf numFmtId="38" fontId="108" fillId="63" borderId="56" xfId="484" applyFont="1" applyFill="1" applyBorder="1" applyAlignment="1">
      <alignment vertical="center"/>
    </xf>
    <xf numFmtId="38" fontId="108" fillId="63" borderId="56" xfId="484" applyFont="1" applyFill="1" applyBorder="1" applyAlignment="1" applyProtection="1">
      <alignment vertical="center"/>
    </xf>
    <xf numFmtId="38" fontId="107" fillId="69" borderId="24" xfId="484" applyFont="1" applyFill="1" applyBorder="1" applyAlignment="1">
      <alignment vertical="center"/>
    </xf>
    <xf numFmtId="38" fontId="107" fillId="69" borderId="31" xfId="484" applyFont="1" applyFill="1" applyBorder="1" applyAlignment="1">
      <alignment vertical="center"/>
    </xf>
    <xf numFmtId="38" fontId="107" fillId="62" borderId="24" xfId="484" applyFont="1" applyFill="1" applyBorder="1" applyAlignment="1">
      <alignment vertical="center"/>
    </xf>
    <xf numFmtId="38" fontId="107" fillId="62" borderId="34" xfId="484" applyFont="1" applyFill="1" applyBorder="1" applyAlignment="1">
      <alignment vertical="center"/>
    </xf>
    <xf numFmtId="38" fontId="107" fillId="62" borderId="21" xfId="484" applyFont="1" applyFill="1" applyBorder="1" applyAlignment="1">
      <alignment vertical="center"/>
    </xf>
    <xf numFmtId="0" fontId="107" fillId="66" borderId="85" xfId="349" applyFont="1" applyFill="1" applyBorder="1"/>
    <xf numFmtId="0" fontId="152" fillId="66" borderId="85" xfId="349" applyFont="1" applyFill="1" applyBorder="1"/>
    <xf numFmtId="0" fontId="14" fillId="66" borderId="123" xfId="484" applyNumberFormat="1" applyFont="1" applyFill="1" applyBorder="1" applyAlignment="1">
      <alignment horizontal="left" indent="2" justifyLastLine="1"/>
    </xf>
    <xf numFmtId="38" fontId="108" fillId="66" borderId="97" xfId="484" applyFont="1" applyFill="1" applyBorder="1" applyAlignment="1"/>
    <xf numFmtId="38" fontId="108" fillId="66" borderId="56" xfId="484" applyFont="1" applyFill="1" applyBorder="1" applyAlignment="1"/>
    <xf numFmtId="0" fontId="14" fillId="69" borderId="123" xfId="484" applyNumberFormat="1" applyFont="1" applyFill="1" applyBorder="1" applyAlignment="1">
      <alignment horizontal="left" indent="2" justifyLastLine="1"/>
    </xf>
    <xf numFmtId="38" fontId="107" fillId="69" borderId="24" xfId="484" applyFont="1" applyFill="1" applyBorder="1" applyAlignment="1"/>
    <xf numFmtId="38" fontId="107" fillId="69" borderId="31" xfId="484" applyFont="1" applyFill="1" applyBorder="1" applyAlignment="1"/>
    <xf numFmtId="0" fontId="14" fillId="0" borderId="97" xfId="484" applyNumberFormat="1" applyFont="1" applyBorder="1" applyAlignment="1" applyProtection="1">
      <alignment horizontal="left" indent="2" justifyLastLine="1"/>
    </xf>
    <xf numFmtId="0" fontId="14" fillId="85" borderId="24" xfId="484" applyNumberFormat="1" applyFont="1" applyFill="1" applyBorder="1" applyAlignment="1" applyProtection="1">
      <alignment horizontal="left" indent="2" justifyLastLine="1"/>
    </xf>
    <xf numFmtId="38" fontId="107" fillId="85" borderId="24" xfId="484" applyFont="1" applyFill="1" applyBorder="1" applyAlignment="1" applyProtection="1">
      <alignment vertical="center"/>
    </xf>
    <xf numFmtId="38" fontId="107" fillId="85" borderId="31" xfId="484" applyFont="1" applyFill="1" applyBorder="1" applyAlignment="1" applyProtection="1">
      <alignment vertical="center"/>
    </xf>
    <xf numFmtId="0" fontId="14" fillId="0" borderId="21" xfId="484" applyNumberFormat="1" applyFont="1" applyBorder="1" applyAlignment="1" applyProtection="1">
      <alignment horizontal="left" indent="2" justifyLastLine="1"/>
    </xf>
    <xf numFmtId="0" fontId="14" fillId="62" borderId="97" xfId="484" applyNumberFormat="1" applyFont="1" applyFill="1" applyBorder="1" applyAlignment="1" applyProtection="1">
      <alignment horizontal="left" indent="2" justifyLastLine="1"/>
    </xf>
    <xf numFmtId="0" fontId="14" fillId="62" borderId="21" xfId="484" applyNumberFormat="1" applyFont="1" applyFill="1" applyBorder="1" applyAlignment="1" applyProtection="1">
      <alignment horizontal="left" indent="2" justifyLastLine="1"/>
    </xf>
    <xf numFmtId="0" fontId="14" fillId="69" borderId="24" xfId="484" applyNumberFormat="1" applyFont="1" applyFill="1" applyBorder="1" applyAlignment="1">
      <alignment horizontal="left" indent="2" justifyLastLine="1"/>
    </xf>
    <xf numFmtId="0" fontId="14" fillId="0" borderId="97" xfId="415" applyNumberFormat="1" applyFont="1" applyBorder="1" applyAlignment="1" applyProtection="1">
      <alignment horizontal="left" indent="2" justifyLastLine="1"/>
    </xf>
    <xf numFmtId="0" fontId="221" fillId="84" borderId="0" xfId="420" applyFont="1" applyFill="1"/>
    <xf numFmtId="0" fontId="14" fillId="0" borderId="24" xfId="415" applyNumberFormat="1" applyFont="1" applyBorder="1" applyAlignment="1" applyProtection="1">
      <alignment horizontal="left" indent="2" justifyLastLine="1"/>
    </xf>
    <xf numFmtId="0" fontId="14" fillId="0" borderId="21" xfId="415" applyNumberFormat="1" applyFont="1" applyBorder="1" applyAlignment="1" applyProtection="1">
      <alignment horizontal="left" indent="2" justifyLastLine="1"/>
    </xf>
    <xf numFmtId="38" fontId="107" fillId="62" borderId="45" xfId="484" applyFont="1" applyFill="1" applyBorder="1" applyAlignment="1" applyProtection="1">
      <alignment vertical="center"/>
    </xf>
    <xf numFmtId="38" fontId="107" fillId="62" borderId="46" xfId="484" applyFont="1" applyFill="1" applyBorder="1" applyAlignment="1" applyProtection="1">
      <alignment vertical="center"/>
    </xf>
    <xf numFmtId="38" fontId="107" fillId="0" borderId="46" xfId="484" applyFont="1" applyBorder="1" applyAlignment="1" applyProtection="1">
      <alignment vertical="center"/>
    </xf>
    <xf numFmtId="38" fontId="107" fillId="0" borderId="30" xfId="484" applyFont="1" applyBorder="1" applyAlignment="1" applyProtection="1">
      <alignment vertical="center"/>
    </xf>
    <xf numFmtId="38" fontId="169" fillId="0" borderId="41" xfId="484" applyFont="1" applyFill="1" applyBorder="1" applyAlignment="1" applyProtection="1">
      <alignment vertical="center"/>
    </xf>
    <xf numFmtId="38" fontId="169" fillId="0" borderId="31" xfId="484" applyFont="1" applyBorder="1" applyAlignment="1" applyProtection="1">
      <alignment vertical="center"/>
    </xf>
    <xf numFmtId="38" fontId="169" fillId="68" borderId="24" xfId="484" applyFont="1" applyFill="1" applyBorder="1" applyAlignment="1" applyProtection="1">
      <alignment vertical="center"/>
    </xf>
    <xf numFmtId="38" fontId="169" fillId="68" borderId="31" xfId="484" applyFont="1" applyFill="1" applyBorder="1" applyAlignment="1" applyProtection="1">
      <alignment vertical="center"/>
    </xf>
    <xf numFmtId="38" fontId="169" fillId="68" borderId="34" xfId="484" applyFont="1" applyFill="1" applyBorder="1" applyAlignment="1" applyProtection="1">
      <alignment vertical="center"/>
    </xf>
    <xf numFmtId="38" fontId="169" fillId="68" borderId="35" xfId="484" applyFont="1" applyFill="1" applyBorder="1" applyAlignment="1" applyProtection="1">
      <alignment vertical="center"/>
    </xf>
    <xf numFmtId="38" fontId="169" fillId="0" borderId="35" xfId="484" applyFont="1" applyBorder="1" applyAlignment="1" applyProtection="1">
      <alignment vertical="center"/>
    </xf>
    <xf numFmtId="38" fontId="169" fillId="0" borderId="34" xfId="484" applyFont="1" applyFill="1" applyBorder="1" applyAlignment="1" applyProtection="1">
      <alignment vertical="center"/>
    </xf>
    <xf numFmtId="0" fontId="14" fillId="0" borderId="97" xfId="484" applyNumberFormat="1" applyFont="1" applyFill="1" applyBorder="1" applyAlignment="1" applyProtection="1">
      <alignment horizontal="left" indent="2" justifyLastLine="1"/>
    </xf>
    <xf numFmtId="0" fontId="14" fillId="0" borderId="21" xfId="484" applyNumberFormat="1" applyFont="1" applyFill="1" applyBorder="1" applyAlignment="1" applyProtection="1">
      <alignment horizontal="left" indent="2" justifyLastLine="1"/>
    </xf>
    <xf numFmtId="38" fontId="169" fillId="0" borderId="21" xfId="484" applyFont="1" applyFill="1" applyBorder="1" applyAlignment="1" applyProtection="1">
      <alignment vertical="center"/>
    </xf>
    <xf numFmtId="38" fontId="169" fillId="0" borderId="30" xfId="484" applyFont="1" applyFill="1" applyBorder="1" applyAlignment="1" applyProtection="1">
      <alignment vertical="center"/>
    </xf>
    <xf numFmtId="198" fontId="107" fillId="66" borderId="85" xfId="349" applyNumberFormat="1" applyFont="1" applyFill="1" applyBorder="1" applyAlignment="1">
      <alignment vertical="center"/>
    </xf>
    <xf numFmtId="0" fontId="14" fillId="66" borderId="123" xfId="484" applyNumberFormat="1" applyFont="1" applyFill="1" applyBorder="1" applyAlignment="1" applyProtection="1">
      <alignment horizontal="left" indent="2" justifyLastLine="1"/>
    </xf>
    <xf numFmtId="38" fontId="108" fillId="66" borderId="97" xfId="484" applyFont="1" applyFill="1" applyBorder="1" applyAlignment="1" applyProtection="1">
      <alignment vertical="center"/>
    </xf>
    <xf numFmtId="38" fontId="108" fillId="66" borderId="56" xfId="484" applyFont="1" applyFill="1" applyBorder="1" applyAlignment="1" applyProtection="1">
      <alignment vertical="center"/>
    </xf>
    <xf numFmtId="38" fontId="148" fillId="69" borderId="24" xfId="484" applyFont="1" applyFill="1" applyBorder="1" applyAlignment="1" applyProtection="1">
      <alignment vertical="center"/>
    </xf>
    <xf numFmtId="38" fontId="148" fillId="69" borderId="31" xfId="484" applyFont="1" applyFill="1" applyBorder="1" applyAlignment="1" applyProtection="1">
      <alignment vertical="center"/>
    </xf>
    <xf numFmtId="38" fontId="148" fillId="0" borderId="24" xfId="484" applyFont="1" applyFill="1" applyBorder="1" applyAlignment="1" applyProtection="1">
      <alignment vertical="center"/>
    </xf>
    <xf numFmtId="38" fontId="148" fillId="0" borderId="31" xfId="484" applyFont="1" applyFill="1" applyBorder="1" applyAlignment="1" applyProtection="1">
      <alignment vertical="center"/>
    </xf>
    <xf numFmtId="38" fontId="148" fillId="85" borderId="24" xfId="484" applyFont="1" applyFill="1" applyBorder="1" applyAlignment="1" applyProtection="1">
      <alignment vertical="center"/>
    </xf>
    <xf numFmtId="38" fontId="148" fillId="85" borderId="31" xfId="484" applyFont="1" applyFill="1" applyBorder="1" applyAlignment="1" applyProtection="1">
      <alignment vertical="center"/>
    </xf>
    <xf numFmtId="0" fontId="14" fillId="69" borderId="21" xfId="484" applyNumberFormat="1" applyFont="1" applyFill="1" applyBorder="1" applyAlignment="1" applyProtection="1">
      <alignment horizontal="left" indent="2" justifyLastLine="1"/>
    </xf>
    <xf numFmtId="0" fontId="108" fillId="0" borderId="108" xfId="345" applyFont="1" applyBorder="1">
      <alignment vertical="center"/>
    </xf>
    <xf numFmtId="0" fontId="108" fillId="0" borderId="99" xfId="345" applyFont="1" applyBorder="1">
      <alignment vertical="center"/>
    </xf>
    <xf numFmtId="38" fontId="108" fillId="0" borderId="123" xfId="484" applyFont="1" applyFill="1" applyBorder="1" applyAlignment="1" applyProtection="1">
      <alignment vertical="center"/>
    </xf>
    <xf numFmtId="38" fontId="108" fillId="0" borderId="123" xfId="484" applyFont="1" applyFill="1" applyBorder="1">
      <alignment vertical="center"/>
    </xf>
    <xf numFmtId="38" fontId="108" fillId="0" borderId="123" xfId="484" applyFont="1" applyFill="1" applyBorder="1" applyAlignment="1">
      <alignment horizontal="right" vertical="center"/>
    </xf>
    <xf numFmtId="38" fontId="108" fillId="0" borderId="107" xfId="484" applyFont="1" applyFill="1" applyBorder="1" applyAlignment="1">
      <alignment horizontal="right" vertical="center"/>
    </xf>
    <xf numFmtId="0" fontId="14" fillId="67" borderId="123" xfId="484" applyNumberFormat="1" applyFont="1" applyFill="1" applyBorder="1" applyAlignment="1" applyProtection="1">
      <alignment horizontal="left" indent="2" justifyLastLine="1"/>
    </xf>
    <xf numFmtId="38" fontId="107" fillId="67" borderId="97" xfId="484" applyFont="1" applyFill="1" applyBorder="1" applyAlignment="1" applyProtection="1">
      <alignment vertical="center"/>
    </xf>
    <xf numFmtId="38" fontId="107" fillId="67" borderId="97" xfId="484" applyFont="1" applyFill="1" applyBorder="1">
      <alignment vertical="center"/>
    </xf>
    <xf numFmtId="38" fontId="107" fillId="67" borderId="97" xfId="484" applyFont="1" applyFill="1" applyBorder="1" applyAlignment="1">
      <alignment horizontal="right" vertical="center"/>
    </xf>
    <xf numFmtId="38" fontId="107" fillId="67" borderId="56" xfId="484" applyFont="1" applyFill="1" applyBorder="1" applyAlignment="1">
      <alignment horizontal="right" vertical="center"/>
    </xf>
    <xf numFmtId="0" fontId="14" fillId="64" borderId="123" xfId="484" applyNumberFormat="1" applyFont="1" applyFill="1" applyBorder="1" applyAlignment="1" applyProtection="1">
      <alignment horizontal="left" indent="2" justifyLastLine="1"/>
    </xf>
    <xf numFmtId="38" fontId="107" fillId="64" borderId="97" xfId="484" applyFont="1" applyFill="1" applyBorder="1" applyAlignment="1" applyProtection="1">
      <alignment vertical="center"/>
    </xf>
    <xf numFmtId="38" fontId="107" fillId="64" borderId="97" xfId="484" applyFont="1" applyFill="1" applyBorder="1">
      <alignment vertical="center"/>
    </xf>
    <xf numFmtId="38" fontId="107" fillId="64" borderId="97" xfId="484" applyFont="1" applyFill="1" applyBorder="1" applyAlignment="1">
      <alignment horizontal="right" vertical="center"/>
    </xf>
    <xf numFmtId="38" fontId="107" fillId="64" borderId="56" xfId="484" applyFont="1" applyFill="1" applyBorder="1" applyAlignment="1">
      <alignment horizontal="right" vertical="center"/>
    </xf>
    <xf numFmtId="0" fontId="14" fillId="83" borderId="123" xfId="484" applyNumberFormat="1" applyFont="1" applyFill="1" applyBorder="1" applyAlignment="1" applyProtection="1">
      <alignment horizontal="left" indent="2" justifyLastLine="1"/>
    </xf>
    <xf numFmtId="38" fontId="107" fillId="83" borderId="97" xfId="484" applyFont="1" applyFill="1" applyBorder="1" applyAlignment="1" applyProtection="1">
      <alignment vertical="center"/>
    </xf>
    <xf numFmtId="38" fontId="107" fillId="83" borderId="97" xfId="484" applyFont="1" applyFill="1" applyBorder="1">
      <alignment vertical="center"/>
    </xf>
    <xf numFmtId="38" fontId="107" fillId="83" borderId="97" xfId="484" applyFont="1" applyFill="1" applyBorder="1" applyAlignment="1">
      <alignment horizontal="right" vertical="center"/>
    </xf>
    <xf numFmtId="38" fontId="107" fillId="83" borderId="56" xfId="484" applyFont="1" applyFill="1" applyBorder="1" applyAlignment="1">
      <alignment horizontal="right" vertical="center"/>
    </xf>
    <xf numFmtId="0" fontId="14" fillId="63" borderId="123" xfId="484" applyNumberFormat="1" applyFont="1" applyFill="1" applyBorder="1" applyAlignment="1" applyProtection="1">
      <alignment horizontal="left" indent="2" justifyLastLine="1"/>
    </xf>
    <xf numFmtId="38" fontId="107" fillId="63" borderId="97" xfId="484" applyFont="1" applyFill="1" applyBorder="1" applyAlignment="1" applyProtection="1">
      <alignment vertical="center"/>
    </xf>
    <xf numFmtId="38" fontId="107" fillId="63" borderId="97" xfId="484" applyFont="1" applyFill="1" applyBorder="1">
      <alignment vertical="center"/>
    </xf>
    <xf numFmtId="38" fontId="107" fillId="63" borderId="97" xfId="484" applyFont="1" applyFill="1" applyBorder="1" applyAlignment="1">
      <alignment horizontal="right" vertical="center"/>
    </xf>
    <xf numFmtId="38" fontId="107" fillId="63" borderId="56" xfId="484" applyFont="1" applyFill="1" applyBorder="1" applyAlignment="1">
      <alignment horizontal="right" vertical="center"/>
    </xf>
    <xf numFmtId="0" fontId="14" fillId="75" borderId="123" xfId="484" applyNumberFormat="1" applyFont="1" applyFill="1" applyBorder="1" applyAlignment="1" applyProtection="1">
      <alignment horizontal="left" indent="2" justifyLastLine="1"/>
    </xf>
    <xf numFmtId="38" fontId="107" fillId="75" borderId="97" xfId="484" applyFont="1" applyFill="1" applyBorder="1" applyAlignment="1" applyProtection="1">
      <alignment vertical="center"/>
    </xf>
    <xf numFmtId="38" fontId="107" fillId="75" borderId="56" xfId="484" applyFont="1" applyFill="1" applyBorder="1" applyAlignment="1" applyProtection="1">
      <alignment vertical="center"/>
    </xf>
    <xf numFmtId="0" fontId="108" fillId="0" borderId="107" xfId="345" applyFont="1" applyBorder="1" applyAlignment="1">
      <alignment horizontal="center" vertical="center"/>
    </xf>
    <xf numFmtId="0" fontId="108" fillId="0" borderId="123" xfId="345" applyFont="1" applyBorder="1" applyAlignment="1">
      <alignment horizontal="center" vertical="center"/>
    </xf>
    <xf numFmtId="0" fontId="108" fillId="67" borderId="68" xfId="345" applyFont="1" applyFill="1" applyBorder="1">
      <alignment vertical="center"/>
    </xf>
    <xf numFmtId="0" fontId="108" fillId="67" borderId="85" xfId="345" applyFont="1" applyFill="1" applyBorder="1">
      <alignment vertical="center"/>
    </xf>
    <xf numFmtId="38" fontId="108" fillId="67" borderId="56" xfId="345" applyNumberFormat="1" applyFont="1" applyFill="1" applyBorder="1">
      <alignment vertical="center"/>
    </xf>
    <xf numFmtId="38" fontId="107" fillId="0" borderId="35" xfId="484" applyFont="1" applyFill="1" applyBorder="1">
      <alignment vertical="center"/>
    </xf>
    <xf numFmtId="38" fontId="107" fillId="0" borderId="45" xfId="484" applyFont="1" applyFill="1" applyBorder="1">
      <alignment vertical="center"/>
    </xf>
    <xf numFmtId="38" fontId="107" fillId="0" borderId="46" xfId="484" applyFont="1" applyFill="1" applyBorder="1">
      <alignment vertical="center"/>
    </xf>
    <xf numFmtId="38" fontId="107" fillId="62" borderId="45" xfId="484" applyFont="1" applyFill="1" applyBorder="1">
      <alignment vertical="center"/>
    </xf>
    <xf numFmtId="38" fontId="107" fillId="62" borderId="80" xfId="484" applyFont="1" applyFill="1" applyBorder="1">
      <alignment vertical="center"/>
    </xf>
    <xf numFmtId="38" fontId="107" fillId="0" borderId="38" xfId="484" applyFont="1" applyFill="1" applyBorder="1">
      <alignment vertical="center"/>
    </xf>
    <xf numFmtId="38" fontId="107" fillId="0" borderId="80" xfId="484" applyFont="1" applyFill="1" applyBorder="1">
      <alignment vertical="center"/>
    </xf>
    <xf numFmtId="38" fontId="107" fillId="0" borderId="78" xfId="484" applyFont="1" applyFill="1" applyBorder="1">
      <alignment vertical="center"/>
    </xf>
    <xf numFmtId="38" fontId="107" fillId="0" borderId="41" xfId="484" applyFont="1" applyFill="1" applyBorder="1">
      <alignment vertical="center"/>
    </xf>
    <xf numFmtId="38" fontId="107" fillId="0" borderId="43" xfId="484" applyFont="1" applyFill="1" applyBorder="1">
      <alignment vertical="center"/>
    </xf>
    <xf numFmtId="38" fontId="107" fillId="0" borderId="31" xfId="484" applyFont="1" applyFill="1" applyBorder="1">
      <alignment vertical="center"/>
    </xf>
    <xf numFmtId="38" fontId="107" fillId="62" borderId="123" xfId="484" applyFont="1" applyFill="1" applyBorder="1">
      <alignment vertical="center"/>
    </xf>
    <xf numFmtId="38" fontId="108" fillId="69" borderId="56" xfId="345" applyNumberFormat="1" applyFont="1" applyFill="1" applyBorder="1">
      <alignment vertical="center"/>
    </xf>
    <xf numFmtId="0" fontId="14" fillId="67" borderId="123" xfId="484" applyNumberFormat="1" applyFont="1" applyFill="1" applyBorder="1" applyAlignment="1">
      <alignment horizontal="left" indent="2" justifyLastLine="1"/>
    </xf>
    <xf numFmtId="38" fontId="108" fillId="67" borderId="97" xfId="484" applyFont="1" applyFill="1" applyBorder="1">
      <alignment vertical="center"/>
    </xf>
    <xf numFmtId="38" fontId="108" fillId="67" borderId="56" xfId="484" applyFont="1" applyFill="1" applyBorder="1">
      <alignment vertical="center"/>
    </xf>
    <xf numFmtId="38" fontId="107" fillId="62" borderId="21" xfId="484" applyFont="1" applyFill="1" applyBorder="1">
      <alignment vertical="center"/>
    </xf>
    <xf numFmtId="38" fontId="107" fillId="0" borderId="30" xfId="484" applyFont="1" applyFill="1" applyBorder="1">
      <alignment vertical="center"/>
    </xf>
    <xf numFmtId="0" fontId="116" fillId="61" borderId="107" xfId="345" applyFont="1" applyFill="1" applyBorder="1">
      <alignment vertical="center"/>
    </xf>
    <xf numFmtId="0" fontId="116" fillId="61" borderId="99" xfId="345" applyFont="1" applyFill="1" applyBorder="1">
      <alignment vertical="center"/>
    </xf>
    <xf numFmtId="0" fontId="14" fillId="70" borderId="123" xfId="484" applyNumberFormat="1" applyFont="1" applyFill="1" applyBorder="1" applyAlignment="1">
      <alignment horizontal="left" indent="2" justifyLastLine="1"/>
    </xf>
    <xf numFmtId="38" fontId="107" fillId="70" borderId="34" xfId="484" applyFont="1" applyFill="1" applyBorder="1">
      <alignment vertical="center"/>
    </xf>
    <xf numFmtId="38" fontId="107" fillId="70" borderId="35" xfId="484" applyFont="1" applyFill="1" applyBorder="1">
      <alignment vertical="center"/>
    </xf>
    <xf numFmtId="38" fontId="107" fillId="61" borderId="46" xfId="484" applyFont="1" applyFill="1" applyBorder="1">
      <alignment vertical="center"/>
    </xf>
    <xf numFmtId="38" fontId="107" fillId="61" borderId="45" xfId="484" applyFont="1" applyFill="1" applyBorder="1">
      <alignment vertical="center"/>
    </xf>
    <xf numFmtId="38" fontId="107" fillId="62" borderId="11" xfId="484" applyFont="1" applyFill="1" applyBorder="1">
      <alignment vertical="center"/>
    </xf>
    <xf numFmtId="38" fontId="107" fillId="69" borderId="31" xfId="484" applyFont="1" applyFill="1" applyBorder="1">
      <alignment vertical="center"/>
    </xf>
    <xf numFmtId="38" fontId="107" fillId="69" borderId="24" xfId="484" applyFont="1" applyFill="1" applyBorder="1">
      <alignment vertical="center"/>
    </xf>
    <xf numFmtId="38" fontId="107" fillId="62" borderId="23" xfId="484" applyFont="1" applyFill="1" applyBorder="1">
      <alignment vertical="center"/>
    </xf>
    <xf numFmtId="38" fontId="107" fillId="69" borderId="30" xfId="484" applyFont="1" applyFill="1" applyBorder="1">
      <alignment vertical="center"/>
    </xf>
    <xf numFmtId="38" fontId="107" fillId="69" borderId="21" xfId="484" applyFont="1" applyFill="1" applyBorder="1">
      <alignment vertical="center"/>
    </xf>
    <xf numFmtId="0" fontId="108" fillId="64" borderId="68" xfId="345" applyFont="1" applyFill="1" applyBorder="1">
      <alignment vertical="center"/>
    </xf>
    <xf numFmtId="0" fontId="33" fillId="64" borderId="123" xfId="484" applyNumberFormat="1" applyFont="1" applyFill="1" applyBorder="1" applyAlignment="1">
      <alignment horizontal="left" indent="2" justifyLastLine="1"/>
    </xf>
    <xf numFmtId="38" fontId="108" fillId="64" borderId="68" xfId="484" applyFont="1" applyFill="1" applyBorder="1">
      <alignment vertical="center"/>
    </xf>
    <xf numFmtId="38" fontId="108" fillId="64" borderId="97" xfId="484" applyFont="1" applyFill="1" applyBorder="1">
      <alignment vertical="center"/>
    </xf>
    <xf numFmtId="38" fontId="108" fillId="64" borderId="56" xfId="484" applyFont="1" applyFill="1" applyBorder="1">
      <alignment vertical="center"/>
    </xf>
    <xf numFmtId="0" fontId="33" fillId="70" borderId="123" xfId="484" applyNumberFormat="1" applyFont="1" applyFill="1" applyBorder="1" applyAlignment="1">
      <alignment horizontal="left" indent="2" justifyLastLine="1"/>
    </xf>
    <xf numFmtId="38" fontId="108" fillId="70" borderId="11" xfId="484" applyFont="1" applyFill="1" applyBorder="1">
      <alignment vertical="center"/>
    </xf>
    <xf numFmtId="38" fontId="108" fillId="70" borderId="24" xfId="484" applyFont="1" applyFill="1" applyBorder="1">
      <alignment vertical="center"/>
    </xf>
    <xf numFmtId="38" fontId="108" fillId="70" borderId="31" xfId="484" applyFont="1" applyFill="1" applyBorder="1">
      <alignment vertical="center"/>
    </xf>
    <xf numFmtId="38" fontId="107" fillId="0" borderId="37" xfId="484" applyFont="1" applyFill="1" applyBorder="1">
      <alignment vertical="center"/>
    </xf>
    <xf numFmtId="38" fontId="107" fillId="62" borderId="54" xfId="484" applyFont="1" applyFill="1" applyBorder="1">
      <alignment vertical="center"/>
    </xf>
    <xf numFmtId="38" fontId="107" fillId="0" borderId="77" xfId="484" applyFont="1" applyFill="1" applyBorder="1">
      <alignment vertical="center"/>
    </xf>
    <xf numFmtId="38" fontId="107" fillId="0" borderId="42" xfId="484" applyFont="1" applyFill="1" applyBorder="1">
      <alignment vertical="center"/>
    </xf>
    <xf numFmtId="38" fontId="107" fillId="62" borderId="37" xfId="484" applyFont="1" applyFill="1" applyBorder="1">
      <alignment vertical="center"/>
    </xf>
    <xf numFmtId="38" fontId="107" fillId="61" borderId="35" xfId="484" applyFont="1" applyFill="1" applyBorder="1">
      <alignment vertical="center"/>
    </xf>
    <xf numFmtId="38" fontId="107" fillId="61" borderId="34" xfId="484" applyFont="1" applyFill="1" applyBorder="1">
      <alignment vertical="center"/>
    </xf>
    <xf numFmtId="38" fontId="107" fillId="62" borderId="40" xfId="484" applyFont="1" applyFill="1" applyBorder="1">
      <alignment vertical="center"/>
    </xf>
    <xf numFmtId="38" fontId="107" fillId="61" borderId="38" xfId="484" applyFont="1" applyFill="1" applyBorder="1">
      <alignment vertical="center"/>
    </xf>
    <xf numFmtId="38" fontId="107" fillId="61" borderId="80" xfId="484" applyFont="1" applyFill="1" applyBorder="1">
      <alignment vertical="center"/>
    </xf>
    <xf numFmtId="0" fontId="33" fillId="69" borderId="123" xfId="484" applyNumberFormat="1" applyFont="1" applyFill="1" applyBorder="1" applyAlignment="1">
      <alignment horizontal="left" indent="2" justifyLastLine="1"/>
    </xf>
    <xf numFmtId="38" fontId="108" fillId="69" borderId="97" xfId="484" applyFont="1" applyFill="1" applyBorder="1">
      <alignment vertical="center"/>
    </xf>
    <xf numFmtId="38" fontId="108" fillId="69" borderId="56" xfId="484" applyFont="1" applyFill="1" applyBorder="1">
      <alignment vertical="center"/>
    </xf>
    <xf numFmtId="0" fontId="33" fillId="77" borderId="123" xfId="484" applyNumberFormat="1" applyFont="1" applyFill="1" applyBorder="1" applyAlignment="1" applyProtection="1">
      <alignment horizontal="left" indent="2" justifyLastLine="1"/>
    </xf>
    <xf numFmtId="0" fontId="107" fillId="0" borderId="99" xfId="345" applyFont="1" applyBorder="1">
      <alignment vertical="center"/>
    </xf>
    <xf numFmtId="38" fontId="107" fillId="62" borderId="41" xfId="484" applyFont="1" applyFill="1" applyBorder="1">
      <alignment vertical="center"/>
    </xf>
    <xf numFmtId="38" fontId="107" fillId="61" borderId="43" xfId="484" applyFont="1" applyFill="1" applyBorder="1">
      <alignment vertical="center"/>
    </xf>
    <xf numFmtId="38" fontId="107" fillId="61" borderId="41" xfId="484" applyFont="1" applyFill="1" applyBorder="1">
      <alignment vertical="center"/>
    </xf>
    <xf numFmtId="0" fontId="116" fillId="0" borderId="85" xfId="345" applyFont="1" applyBorder="1">
      <alignment vertical="center"/>
    </xf>
    <xf numFmtId="38" fontId="107" fillId="61" borderId="107" xfId="484" applyFont="1" applyFill="1" applyBorder="1">
      <alignment vertical="center"/>
    </xf>
    <xf numFmtId="38" fontId="107" fillId="61" borderId="123" xfId="484" applyFont="1" applyFill="1" applyBorder="1">
      <alignment vertical="center"/>
    </xf>
    <xf numFmtId="38" fontId="107" fillId="0" borderId="56" xfId="484" applyFont="1" applyFill="1" applyBorder="1">
      <alignment vertical="center"/>
    </xf>
    <xf numFmtId="197" fontId="107" fillId="0" borderId="11" xfId="484" applyNumberFormat="1" applyFont="1" applyFill="1" applyBorder="1" applyAlignment="1" applyProtection="1">
      <alignment vertical="center"/>
    </xf>
    <xf numFmtId="197" fontId="107" fillId="0" borderId="0" xfId="484" applyNumberFormat="1" applyFont="1" applyFill="1" applyBorder="1" applyAlignment="1" applyProtection="1">
      <alignment vertical="center"/>
    </xf>
    <xf numFmtId="0" fontId="33" fillId="66" borderId="123" xfId="484" applyNumberFormat="1" applyFont="1" applyFill="1" applyBorder="1" applyAlignment="1">
      <alignment horizontal="left" indent="2" justifyLastLine="1"/>
    </xf>
    <xf numFmtId="38" fontId="108" fillId="66" borderId="68" xfId="484" applyFont="1" applyFill="1" applyBorder="1" applyAlignment="1"/>
    <xf numFmtId="38" fontId="107" fillId="69" borderId="97" xfId="484" applyFont="1" applyFill="1" applyBorder="1">
      <alignment vertical="center"/>
    </xf>
    <xf numFmtId="38" fontId="107" fillId="69" borderId="68" xfId="484" applyFont="1" applyFill="1" applyBorder="1">
      <alignment vertical="center"/>
    </xf>
    <xf numFmtId="38" fontId="107" fillId="69" borderId="56" xfId="484" applyFont="1" applyFill="1" applyBorder="1">
      <alignment vertical="center"/>
    </xf>
    <xf numFmtId="0" fontId="108" fillId="0" borderId="108" xfId="349" applyFont="1" applyBorder="1"/>
    <xf numFmtId="0" fontId="107" fillId="0" borderId="99" xfId="349" applyFont="1" applyBorder="1"/>
    <xf numFmtId="0" fontId="108" fillId="0" borderId="99" xfId="349" applyFont="1" applyBorder="1"/>
    <xf numFmtId="38" fontId="108" fillId="0" borderId="123" xfId="484" applyFont="1" applyFill="1" applyBorder="1" applyAlignment="1"/>
    <xf numFmtId="38" fontId="108" fillId="0" borderId="107" xfId="484" applyFont="1" applyFill="1" applyBorder="1" applyAlignment="1"/>
    <xf numFmtId="0" fontId="108" fillId="86" borderId="68" xfId="349" applyFont="1" applyFill="1" applyBorder="1"/>
    <xf numFmtId="0" fontId="107" fillId="86" borderId="85" xfId="349" applyFont="1" applyFill="1" applyBorder="1"/>
    <xf numFmtId="0" fontId="14" fillId="86" borderId="123" xfId="484" applyNumberFormat="1" applyFont="1" applyFill="1" applyBorder="1" applyAlignment="1">
      <alignment horizontal="left" indent="2" justifyLastLine="1"/>
    </xf>
    <xf numFmtId="38" fontId="108" fillId="86" borderId="97" xfId="484" applyFont="1" applyFill="1" applyBorder="1" applyAlignment="1"/>
    <xf numFmtId="38" fontId="108" fillId="86" borderId="56" xfId="484" applyFont="1" applyFill="1" applyBorder="1" applyAlignment="1"/>
    <xf numFmtId="38" fontId="107" fillId="61" borderId="35" xfId="484" applyFont="1" applyFill="1" applyBorder="1" applyAlignment="1">
      <alignment horizontal="right" vertical="center"/>
    </xf>
    <xf numFmtId="38" fontId="108" fillId="67" borderId="24" xfId="484" applyFont="1" applyFill="1" applyBorder="1" applyAlignment="1"/>
    <xf numFmtId="38" fontId="108" fillId="67" borderId="31" xfId="484" applyFont="1" applyFill="1" applyBorder="1" applyAlignment="1"/>
    <xf numFmtId="0" fontId="108" fillId="64" borderId="68" xfId="349" applyFont="1" applyFill="1" applyBorder="1"/>
    <xf numFmtId="0" fontId="14" fillId="64" borderId="123" xfId="484" applyNumberFormat="1" applyFont="1" applyFill="1" applyBorder="1" applyAlignment="1">
      <alignment horizontal="left" indent="2" justifyLastLine="1"/>
    </xf>
    <xf numFmtId="38" fontId="108" fillId="64" borderId="97" xfId="484" applyFont="1" applyFill="1" applyBorder="1" applyAlignment="1"/>
    <xf numFmtId="38" fontId="108" fillId="64" borderId="56" xfId="484" applyFont="1" applyFill="1" applyBorder="1" applyAlignment="1"/>
    <xf numFmtId="0" fontId="108" fillId="77" borderId="68" xfId="349" applyFont="1" applyFill="1" applyBorder="1"/>
    <xf numFmtId="0" fontId="107" fillId="77" borderId="85" xfId="349" applyFont="1" applyFill="1" applyBorder="1"/>
    <xf numFmtId="0" fontId="14" fillId="77" borderId="123" xfId="484" applyNumberFormat="1" applyFont="1" applyFill="1" applyBorder="1" applyAlignment="1">
      <alignment horizontal="left" indent="2" justifyLastLine="1"/>
    </xf>
    <xf numFmtId="38" fontId="108" fillId="77" borderId="97" xfId="484" applyFont="1" applyFill="1" applyBorder="1" applyAlignment="1"/>
    <xf numFmtId="38" fontId="108" fillId="77" borderId="56" xfId="484" applyFont="1" applyFill="1" applyBorder="1" applyAlignment="1"/>
    <xf numFmtId="0" fontId="108" fillId="63" borderId="68" xfId="349" applyFont="1" applyFill="1" applyBorder="1"/>
    <xf numFmtId="0" fontId="14" fillId="63" borderId="123" xfId="484" applyNumberFormat="1" applyFont="1" applyFill="1" applyBorder="1" applyAlignment="1">
      <alignment horizontal="left" indent="2" justifyLastLine="1"/>
    </xf>
    <xf numFmtId="38" fontId="108" fillId="63" borderId="97" xfId="484" applyFont="1" applyFill="1" applyBorder="1" applyAlignment="1"/>
    <xf numFmtId="38" fontId="108" fillId="63" borderId="56" xfId="484" applyFont="1" applyFill="1" applyBorder="1" applyAlignment="1"/>
    <xf numFmtId="0" fontId="108" fillId="75" borderId="68" xfId="349" applyFont="1" applyFill="1" applyBorder="1"/>
    <xf numFmtId="0" fontId="14" fillId="75" borderId="123" xfId="484" applyNumberFormat="1" applyFont="1" applyFill="1" applyBorder="1" applyAlignment="1">
      <alignment horizontal="left" indent="2" justifyLastLine="1"/>
    </xf>
    <xf numFmtId="38" fontId="108" fillId="75" borderId="97" xfId="484" applyFont="1" applyFill="1" applyBorder="1" applyAlignment="1"/>
    <xf numFmtId="38" fontId="108" fillId="75" borderId="56" xfId="484" applyFont="1" applyFill="1" applyBorder="1" applyAlignment="1"/>
    <xf numFmtId="38" fontId="108" fillId="0" borderId="0" xfId="484" applyFont="1" applyFill="1" applyBorder="1" applyAlignment="1" applyProtection="1">
      <alignment vertical="center"/>
    </xf>
    <xf numFmtId="38" fontId="108" fillId="0" borderId="0" xfId="484" applyFont="1" applyFill="1" applyAlignment="1" applyProtection="1">
      <alignment vertical="center"/>
    </xf>
    <xf numFmtId="38" fontId="108" fillId="76" borderId="68" xfId="484" applyFont="1" applyFill="1" applyBorder="1" applyAlignment="1" applyProtection="1">
      <alignment vertical="center"/>
    </xf>
    <xf numFmtId="38" fontId="107" fillId="55" borderId="85" xfId="484" applyFont="1" applyFill="1" applyBorder="1" applyAlignment="1" applyProtection="1">
      <alignment vertical="center"/>
    </xf>
    <xf numFmtId="38" fontId="108" fillId="55" borderId="85" xfId="484" applyFont="1" applyFill="1" applyBorder="1" applyAlignment="1" applyProtection="1">
      <alignment vertical="center"/>
    </xf>
    <xf numFmtId="0" fontId="14" fillId="55" borderId="123" xfId="484" applyNumberFormat="1" applyFont="1" applyFill="1" applyBorder="1" applyAlignment="1" applyProtection="1">
      <alignment horizontal="left" indent="2" justifyLastLine="1"/>
    </xf>
    <xf numFmtId="38" fontId="108" fillId="55" borderId="97" xfId="484" applyFont="1" applyFill="1" applyBorder="1" applyAlignment="1" applyProtection="1">
      <alignment vertical="center"/>
    </xf>
    <xf numFmtId="38" fontId="108" fillId="55" borderId="56" xfId="484" applyFont="1" applyFill="1" applyBorder="1" applyAlignment="1" applyProtection="1">
      <alignment vertical="center"/>
    </xf>
    <xf numFmtId="38" fontId="9" fillId="61" borderId="0" xfId="484" applyFont="1" applyFill="1" applyAlignment="1"/>
    <xf numFmtId="0" fontId="14" fillId="0" borderId="123" xfId="484" applyNumberFormat="1" applyFont="1" applyFill="1" applyBorder="1" applyAlignment="1" applyProtection="1">
      <alignment horizontal="left" indent="2" justifyLastLine="1"/>
      <protection locked="0"/>
    </xf>
    <xf numFmtId="38" fontId="107" fillId="0" borderId="21" xfId="484" applyFont="1" applyFill="1" applyBorder="1" applyAlignment="1" applyProtection="1">
      <alignment vertical="center"/>
      <protection locked="0"/>
    </xf>
    <xf numFmtId="38" fontId="107" fillId="61" borderId="30" xfId="484" applyFont="1" applyFill="1" applyBorder="1" applyAlignment="1" applyProtection="1">
      <alignment vertical="center"/>
      <protection locked="0"/>
    </xf>
    <xf numFmtId="38" fontId="107" fillId="61" borderId="21" xfId="484" applyFont="1" applyFill="1" applyBorder="1" applyAlignment="1" applyProtection="1">
      <alignment vertical="center"/>
      <protection locked="0"/>
    </xf>
    <xf numFmtId="38" fontId="107" fillId="61" borderId="35" xfId="484" applyFont="1" applyFill="1" applyBorder="1" applyAlignment="1" applyProtection="1">
      <alignment vertical="center"/>
    </xf>
    <xf numFmtId="38" fontId="107" fillId="61" borderId="34" xfId="484" applyFont="1" applyFill="1" applyBorder="1" applyAlignment="1" applyProtection="1">
      <alignment vertical="center"/>
    </xf>
    <xf numFmtId="38" fontId="107" fillId="61" borderId="78" xfId="484" applyFont="1" applyFill="1" applyBorder="1" applyAlignment="1" applyProtection="1">
      <alignment vertical="center"/>
    </xf>
    <xf numFmtId="38" fontId="107" fillId="61" borderId="79" xfId="484" applyFont="1" applyFill="1" applyBorder="1" applyAlignment="1" applyProtection="1">
      <alignment vertical="center"/>
    </xf>
    <xf numFmtId="198" fontId="108" fillId="0" borderId="108" xfId="349" applyNumberFormat="1" applyFont="1" applyBorder="1" applyAlignment="1">
      <alignment vertical="center"/>
    </xf>
    <xf numFmtId="38" fontId="107" fillId="0" borderId="123" xfId="484" applyFont="1" applyFill="1" applyBorder="1" applyAlignment="1" applyProtection="1">
      <alignment vertical="center"/>
    </xf>
    <xf numFmtId="38" fontId="107" fillId="61" borderId="107" xfId="484" applyFont="1" applyFill="1" applyBorder="1" applyAlignment="1" applyProtection="1">
      <alignment vertical="center"/>
    </xf>
    <xf numFmtId="38" fontId="107" fillId="61" borderId="123" xfId="484" applyFont="1" applyFill="1" applyBorder="1" applyAlignment="1" applyProtection="1">
      <alignment vertical="center"/>
    </xf>
    <xf numFmtId="197" fontId="108" fillId="0" borderId="68" xfId="349" applyNumberFormat="1" applyFont="1" applyBorder="1" applyAlignment="1">
      <alignment vertical="center"/>
    </xf>
    <xf numFmtId="38" fontId="108" fillId="59" borderId="68" xfId="484" applyFont="1" applyFill="1" applyBorder="1" applyAlignment="1" applyProtection="1">
      <alignment vertical="center"/>
    </xf>
    <xf numFmtId="38" fontId="107" fillId="59" borderId="85" xfId="484" applyFont="1" applyFill="1" applyBorder="1" applyAlignment="1" applyProtection="1">
      <alignment vertical="center"/>
    </xf>
    <xf numFmtId="38" fontId="108" fillId="59" borderId="85" xfId="484" applyFont="1" applyFill="1" applyBorder="1" applyAlignment="1" applyProtection="1">
      <alignment vertical="center"/>
    </xf>
    <xf numFmtId="38" fontId="107" fillId="62" borderId="21" xfId="484" applyFont="1" applyFill="1" applyBorder="1" applyAlignment="1" applyProtection="1">
      <alignment vertical="center"/>
      <protection locked="0"/>
    </xf>
    <xf numFmtId="38" fontId="107" fillId="0" borderId="78" xfId="484" applyFont="1" applyFill="1" applyBorder="1" applyAlignment="1" applyProtection="1">
      <alignment vertical="center"/>
    </xf>
    <xf numFmtId="38" fontId="107" fillId="62" borderId="123" xfId="484" applyFont="1" applyFill="1" applyBorder="1" applyAlignment="1" applyProtection="1">
      <alignment vertical="center"/>
    </xf>
    <xf numFmtId="38" fontId="108" fillId="49" borderId="68" xfId="484" applyFont="1" applyFill="1" applyBorder="1" applyAlignment="1" applyProtection="1">
      <alignment vertical="center"/>
    </xf>
    <xf numFmtId="38" fontId="107" fillId="49" borderId="85" xfId="484" applyFont="1" applyFill="1" applyBorder="1" applyAlignment="1" applyProtection="1">
      <alignment vertical="center"/>
    </xf>
    <xf numFmtId="38" fontId="108" fillId="49" borderId="85" xfId="484" applyFont="1" applyFill="1" applyBorder="1" applyAlignment="1" applyProtection="1">
      <alignment vertical="center"/>
    </xf>
    <xf numFmtId="0" fontId="14" fillId="49" borderId="123" xfId="484" applyNumberFormat="1" applyFont="1" applyFill="1" applyBorder="1" applyAlignment="1" applyProtection="1">
      <alignment horizontal="left" indent="2" justifyLastLine="1"/>
    </xf>
    <xf numFmtId="38" fontId="108" fillId="49" borderId="97" xfId="484" applyFont="1" applyFill="1" applyBorder="1" applyAlignment="1" applyProtection="1">
      <alignment vertical="center"/>
    </xf>
    <xf numFmtId="38" fontId="108" fillId="77" borderId="68" xfId="484" applyFont="1" applyFill="1" applyBorder="1" applyAlignment="1" applyProtection="1">
      <alignment vertical="center"/>
    </xf>
    <xf numFmtId="38" fontId="107" fillId="77" borderId="85" xfId="484" applyFont="1" applyFill="1" applyBorder="1" applyAlignment="1" applyProtection="1">
      <alignment vertical="center"/>
    </xf>
    <xf numFmtId="38" fontId="108" fillId="77" borderId="85" xfId="484" applyFont="1" applyFill="1" applyBorder="1" applyAlignment="1" applyProtection="1">
      <alignment vertical="center"/>
    </xf>
    <xf numFmtId="38" fontId="108" fillId="63" borderId="97" xfId="484" applyFont="1" applyFill="1" applyBorder="1" applyAlignment="1" applyProtection="1">
      <alignment vertical="center"/>
    </xf>
    <xf numFmtId="38" fontId="108" fillId="75" borderId="68" xfId="484" applyFont="1" applyFill="1" applyBorder="1" applyAlignment="1" applyProtection="1">
      <alignment vertical="center"/>
    </xf>
    <xf numFmtId="38" fontId="107" fillId="66" borderId="85" xfId="484" applyFont="1" applyFill="1" applyBorder="1" applyAlignment="1" applyProtection="1">
      <alignment vertical="center"/>
    </xf>
    <xf numFmtId="38" fontId="108" fillId="66" borderId="85" xfId="484" applyFont="1" applyFill="1" applyBorder="1" applyAlignment="1" applyProtection="1">
      <alignment vertical="center"/>
    </xf>
    <xf numFmtId="38" fontId="107" fillId="75" borderId="34" xfId="484" applyFont="1" applyFill="1" applyBorder="1" applyAlignment="1" applyProtection="1">
      <alignment vertical="center"/>
    </xf>
    <xf numFmtId="38" fontId="107" fillId="75" borderId="35" xfId="484" applyFont="1" applyFill="1" applyBorder="1" applyAlignment="1" applyProtection="1">
      <alignment vertical="center"/>
    </xf>
    <xf numFmtId="38" fontId="107" fillId="68" borderId="24" xfId="484" applyFont="1" applyFill="1" applyBorder="1" applyAlignment="1" applyProtection="1">
      <alignment vertical="center"/>
      <protection locked="0"/>
    </xf>
    <xf numFmtId="38" fontId="107" fillId="68" borderId="123" xfId="484" applyFont="1" applyFill="1" applyBorder="1" applyAlignment="1" applyProtection="1">
      <alignment vertical="center"/>
    </xf>
    <xf numFmtId="0" fontId="33" fillId="61" borderId="123" xfId="484" applyNumberFormat="1" applyFont="1" applyFill="1" applyBorder="1" applyAlignment="1" applyProtection="1">
      <alignment horizontal="left" indent="2" justifyLastLine="1"/>
    </xf>
    <xf numFmtId="38" fontId="108" fillId="0" borderId="123" xfId="484" applyFont="1" applyFill="1" applyBorder="1" applyAlignment="1" applyProtection="1">
      <alignment horizontal="right" vertical="center"/>
    </xf>
    <xf numFmtId="38" fontId="108" fillId="0" borderId="107" xfId="484" applyFont="1" applyFill="1" applyBorder="1" applyAlignment="1" applyProtection="1">
      <alignment horizontal="right" vertical="center"/>
    </xf>
    <xf numFmtId="198" fontId="108" fillId="67" borderId="85" xfId="349" applyNumberFormat="1" applyFont="1" applyFill="1" applyBorder="1" applyAlignment="1">
      <alignment vertical="center"/>
    </xf>
    <xf numFmtId="38" fontId="107" fillId="67" borderId="56" xfId="484" applyFont="1" applyFill="1" applyBorder="1" applyAlignment="1" applyProtection="1">
      <alignment vertical="center"/>
    </xf>
    <xf numFmtId="198" fontId="108" fillId="64" borderId="85" xfId="349" applyNumberFormat="1" applyFont="1" applyFill="1" applyBorder="1" applyAlignment="1">
      <alignment vertical="center"/>
    </xf>
    <xf numFmtId="38" fontId="107" fillId="64" borderId="56" xfId="484" applyFont="1" applyFill="1" applyBorder="1" applyAlignment="1" applyProtection="1">
      <alignment vertical="center"/>
    </xf>
    <xf numFmtId="38" fontId="107" fillId="77" borderId="97" xfId="484" applyFont="1" applyFill="1" applyBorder="1" applyAlignment="1" applyProtection="1">
      <alignment vertical="center"/>
    </xf>
    <xf numFmtId="38" fontId="107" fillId="77" borderId="56" xfId="484" applyFont="1" applyFill="1" applyBorder="1" applyAlignment="1" applyProtection="1">
      <alignment vertical="center"/>
    </xf>
    <xf numFmtId="38" fontId="107" fillId="63" borderId="56" xfId="484" applyFont="1" applyFill="1" applyBorder="1" applyAlignment="1" applyProtection="1">
      <alignment vertical="center"/>
    </xf>
    <xf numFmtId="38" fontId="107" fillId="66" borderId="97" xfId="484" applyFont="1" applyFill="1" applyBorder="1" applyAlignment="1"/>
    <xf numFmtId="38" fontId="107" fillId="66" borderId="56" xfId="484" applyFont="1" applyFill="1" applyBorder="1" applyAlignment="1"/>
    <xf numFmtId="38" fontId="107" fillId="83" borderId="56" xfId="484" applyFont="1" applyFill="1" applyBorder="1">
      <alignment vertical="center"/>
    </xf>
    <xf numFmtId="198" fontId="108" fillId="0" borderId="99" xfId="482" applyNumberFormat="1" applyFont="1" applyBorder="1" applyAlignment="1">
      <alignment vertical="center"/>
    </xf>
    <xf numFmtId="198" fontId="107" fillId="0" borderId="99" xfId="482" applyNumberFormat="1" applyFont="1" applyBorder="1" applyAlignment="1">
      <alignment vertical="center"/>
    </xf>
    <xf numFmtId="38" fontId="113" fillId="68" borderId="123" xfId="484" applyFont="1" applyFill="1" applyBorder="1">
      <alignment vertical="center"/>
    </xf>
    <xf numFmtId="38" fontId="113" fillId="0" borderId="107" xfId="484" applyFont="1" applyBorder="1">
      <alignment vertical="center"/>
    </xf>
    <xf numFmtId="38" fontId="113" fillId="0" borderId="123" xfId="484" applyFont="1" applyBorder="1">
      <alignment vertical="center"/>
    </xf>
    <xf numFmtId="0" fontId="14" fillId="0" borderId="123" xfId="484" applyNumberFormat="1" applyFont="1" applyBorder="1" applyAlignment="1">
      <alignment horizontal="left" indent="2" justifyLastLine="1"/>
    </xf>
    <xf numFmtId="38" fontId="113" fillId="0" borderId="79" xfId="484" applyFont="1" applyBorder="1">
      <alignment vertical="center"/>
    </xf>
    <xf numFmtId="38" fontId="113" fillId="0" borderId="78" xfId="484" applyFont="1" applyBorder="1">
      <alignment vertical="center"/>
    </xf>
    <xf numFmtId="38" fontId="113" fillId="68" borderId="45" xfId="484" applyFont="1" applyFill="1" applyBorder="1">
      <alignment vertical="center"/>
    </xf>
    <xf numFmtId="38" fontId="113" fillId="0" borderId="46" xfId="484" applyFont="1" applyBorder="1">
      <alignment vertical="center"/>
    </xf>
    <xf numFmtId="38" fontId="113" fillId="0" borderId="45" xfId="484" applyFont="1" applyBorder="1">
      <alignment vertical="center"/>
    </xf>
    <xf numFmtId="38" fontId="113" fillId="68" borderId="21" xfId="484" applyFont="1" applyFill="1" applyBorder="1">
      <alignment vertical="center"/>
    </xf>
    <xf numFmtId="38" fontId="113" fillId="0" borderId="30" xfId="484" applyFont="1" applyBorder="1">
      <alignment vertical="center"/>
    </xf>
    <xf numFmtId="38" fontId="113" fillId="0" borderId="21" xfId="484" applyFont="1" applyBorder="1">
      <alignment vertical="center"/>
    </xf>
    <xf numFmtId="198" fontId="108" fillId="0" borderId="108" xfId="0" applyNumberFormat="1" applyFont="1" applyBorder="1">
      <alignment vertical="center"/>
    </xf>
    <xf numFmtId="198" fontId="108" fillId="0" borderId="99" xfId="0" applyNumberFormat="1" applyFont="1" applyBorder="1">
      <alignment vertical="center"/>
    </xf>
    <xf numFmtId="38" fontId="113" fillId="0" borderId="11" xfId="484" applyFont="1" applyFill="1" applyBorder="1" applyProtection="1">
      <alignment vertical="center"/>
      <protection locked="0"/>
    </xf>
    <xf numFmtId="38" fontId="113" fillId="0" borderId="0" xfId="484" applyFont="1" applyFill="1" applyBorder="1" applyProtection="1">
      <alignment vertical="center"/>
      <protection locked="0"/>
    </xf>
    <xf numFmtId="38" fontId="108" fillId="76" borderId="56" xfId="311" applyFont="1" applyFill="1" applyBorder="1" applyAlignment="1" applyProtection="1">
      <protection locked="0"/>
    </xf>
    <xf numFmtId="38" fontId="107" fillId="67" borderId="56" xfId="311" applyFont="1" applyFill="1" applyBorder="1" applyAlignment="1" applyProtection="1">
      <protection locked="0"/>
    </xf>
    <xf numFmtId="38" fontId="108" fillId="67" borderId="56" xfId="311" applyFont="1" applyFill="1" applyBorder="1" applyAlignment="1" applyProtection="1">
      <protection locked="0"/>
    </xf>
    <xf numFmtId="38" fontId="134" fillId="65" borderId="108" xfId="311" applyFont="1" applyFill="1" applyBorder="1" applyAlignment="1"/>
    <xf numFmtId="38" fontId="107" fillId="65" borderId="99" xfId="311" applyFont="1" applyFill="1" applyBorder="1" applyAlignment="1"/>
    <xf numFmtId="38" fontId="107" fillId="65" borderId="99" xfId="311" applyFont="1" applyFill="1" applyBorder="1" applyAlignment="1" applyProtection="1">
      <protection locked="0"/>
    </xf>
    <xf numFmtId="38" fontId="108" fillId="65" borderId="123" xfId="311" applyFont="1" applyFill="1" applyBorder="1" applyAlignment="1" applyProtection="1">
      <protection locked="0"/>
    </xf>
    <xf numFmtId="38" fontId="108" fillId="65" borderId="107" xfId="311" applyFont="1" applyFill="1" applyBorder="1" applyAlignment="1" applyProtection="1">
      <protection locked="0"/>
    </xf>
    <xf numFmtId="38" fontId="107" fillId="65" borderId="107" xfId="311" applyFont="1" applyFill="1" applyBorder="1" applyAlignment="1" applyProtection="1">
      <protection locked="0"/>
    </xf>
    <xf numFmtId="38" fontId="107" fillId="65" borderId="123" xfId="311" applyFont="1" applyFill="1" applyBorder="1" applyAlignment="1" applyProtection="1">
      <protection locked="0"/>
    </xf>
    <xf numFmtId="38" fontId="107" fillId="65" borderId="108" xfId="311" applyFont="1" applyFill="1" applyBorder="1" applyAlignment="1">
      <alignment horizontal="left" indent="1"/>
    </xf>
    <xf numFmtId="38" fontId="108" fillId="61" borderId="108" xfId="311" applyFont="1" applyFill="1" applyBorder="1" applyAlignment="1" applyProtection="1">
      <protection locked="0"/>
    </xf>
    <xf numFmtId="38" fontId="107" fillId="61" borderId="99" xfId="311" applyFont="1" applyFill="1" applyBorder="1" applyAlignment="1" applyProtection="1">
      <protection locked="0"/>
    </xf>
    <xf numFmtId="38" fontId="107" fillId="61" borderId="107" xfId="311" applyFont="1" applyFill="1" applyBorder="1" applyAlignment="1" applyProtection="1">
      <protection locked="0"/>
    </xf>
    <xf numFmtId="38" fontId="107" fillId="0" borderId="107" xfId="311" applyFont="1" applyFill="1" applyBorder="1" applyAlignment="1" applyProtection="1">
      <protection locked="0"/>
    </xf>
    <xf numFmtId="38" fontId="107" fillId="0" borderId="123" xfId="311" applyFont="1" applyFill="1" applyBorder="1" applyAlignment="1" applyProtection="1">
      <protection locked="0"/>
    </xf>
    <xf numFmtId="38" fontId="108" fillId="0" borderId="108" xfId="311" applyFont="1" applyFill="1" applyBorder="1" applyAlignment="1"/>
    <xf numFmtId="38" fontId="107" fillId="0" borderId="99" xfId="311" applyFont="1" applyFill="1" applyBorder="1" applyAlignment="1"/>
    <xf numFmtId="38" fontId="107" fillId="0" borderId="99" xfId="311" applyFont="1" applyFill="1" applyBorder="1" applyAlignment="1" applyProtection="1">
      <protection locked="0"/>
    </xf>
    <xf numFmtId="38" fontId="107" fillId="68" borderId="123" xfId="311" applyFont="1" applyFill="1" applyBorder="1" applyAlignment="1" applyProtection="1">
      <protection locked="0"/>
    </xf>
    <xf numFmtId="38" fontId="137" fillId="61" borderId="108" xfId="311" applyFont="1" applyFill="1" applyBorder="1" applyAlignment="1">
      <alignment horizontal="left" vertical="center"/>
    </xf>
    <xf numFmtId="38" fontId="107" fillId="61" borderId="99" xfId="311" applyFont="1" applyFill="1" applyBorder="1" applyAlignment="1"/>
    <xf numFmtId="38" fontId="107" fillId="0" borderId="56" xfId="484" applyFont="1" applyFill="1" applyBorder="1" applyAlignment="1"/>
    <xf numFmtId="38" fontId="107" fillId="68" borderId="45" xfId="484" applyFont="1" applyFill="1" applyBorder="1">
      <alignment vertical="center"/>
    </xf>
    <xf numFmtId="38" fontId="107" fillId="68" borderId="45" xfId="484" applyFont="1" applyFill="1" applyBorder="1" applyAlignment="1"/>
    <xf numFmtId="38" fontId="107" fillId="0" borderId="46" xfId="484" applyFont="1" applyFill="1" applyBorder="1" applyAlignment="1"/>
    <xf numFmtId="38" fontId="107" fillId="0" borderId="45" xfId="484" applyFont="1" applyFill="1" applyBorder="1" applyAlignment="1"/>
    <xf numFmtId="38" fontId="107" fillId="68" borderId="34" xfId="484" applyFont="1" applyFill="1" applyBorder="1">
      <alignment vertical="center"/>
    </xf>
    <xf numFmtId="38" fontId="107" fillId="68" borderId="34" xfId="484" applyFont="1" applyFill="1" applyBorder="1" applyAlignment="1"/>
    <xf numFmtId="38" fontId="107" fillId="0" borderId="35" xfId="484" applyFont="1" applyFill="1" applyBorder="1" applyAlignment="1"/>
    <xf numFmtId="38" fontId="107" fillId="0" borderId="34" xfId="484" applyFont="1" applyFill="1" applyBorder="1" applyAlignment="1"/>
    <xf numFmtId="38" fontId="107" fillId="68" borderId="24" xfId="484" applyFont="1" applyFill="1" applyBorder="1" applyAlignment="1"/>
    <xf numFmtId="38" fontId="107" fillId="0" borderId="31" xfId="484" applyFont="1" applyFill="1" applyBorder="1" applyAlignment="1"/>
    <xf numFmtId="38" fontId="107" fillId="0" borderId="24" xfId="484" applyFont="1" applyFill="1" applyBorder="1" applyAlignment="1"/>
    <xf numFmtId="38" fontId="107" fillId="68" borderId="21" xfId="484" applyFont="1" applyFill="1" applyBorder="1" applyAlignment="1"/>
    <xf numFmtId="38" fontId="107" fillId="0" borderId="30" xfId="484" applyFont="1" applyFill="1" applyBorder="1" applyAlignment="1"/>
    <xf numFmtId="38" fontId="107" fillId="0" borderId="21" xfId="484" applyFont="1" applyFill="1" applyBorder="1" applyAlignment="1"/>
    <xf numFmtId="38" fontId="153" fillId="0" borderId="120" xfId="484" applyFont="1" applyFill="1" applyBorder="1" applyAlignment="1"/>
    <xf numFmtId="38" fontId="153" fillId="0" borderId="119" xfId="484" applyFont="1" applyFill="1" applyBorder="1" applyAlignment="1"/>
    <xf numFmtId="38" fontId="153" fillId="0" borderId="122" xfId="484" applyFont="1" applyFill="1" applyBorder="1" applyAlignment="1"/>
    <xf numFmtId="38" fontId="153" fillId="0" borderId="66" xfId="484" applyFont="1" applyFill="1" applyBorder="1" applyAlignment="1"/>
    <xf numFmtId="38" fontId="153" fillId="0" borderId="48" xfId="484" applyFont="1" applyFill="1" applyBorder="1" applyAlignment="1"/>
    <xf numFmtId="38" fontId="153" fillId="0" borderId="67" xfId="484" applyFont="1" applyFill="1" applyBorder="1" applyAlignment="1"/>
    <xf numFmtId="38" fontId="153" fillId="0" borderId="51" xfId="484" applyFont="1" applyFill="1" applyBorder="1" applyAlignment="1"/>
    <xf numFmtId="38" fontId="153" fillId="0" borderId="49" xfId="484" applyFont="1" applyFill="1" applyBorder="1" applyAlignment="1"/>
    <xf numFmtId="38" fontId="153" fillId="0" borderId="65" xfId="484" applyFont="1" applyFill="1" applyBorder="1" applyAlignment="1"/>
    <xf numFmtId="0" fontId="157" fillId="0" borderId="108" xfId="345" applyFont="1" applyBorder="1">
      <alignment vertical="center"/>
    </xf>
    <xf numFmtId="0" fontId="153" fillId="61" borderId="99" xfId="420" applyFont="1" applyFill="1" applyBorder="1"/>
    <xf numFmtId="38" fontId="153" fillId="0" borderId="84" xfId="484" applyFont="1" applyFill="1" applyBorder="1" applyAlignment="1"/>
    <xf numFmtId="38" fontId="153" fillId="0" borderId="76" xfId="484" applyFont="1" applyFill="1" applyBorder="1" applyAlignment="1"/>
    <xf numFmtId="38" fontId="153" fillId="0" borderId="93" xfId="484" applyFont="1" applyFill="1" applyBorder="1" applyAlignment="1"/>
    <xf numFmtId="38" fontId="154" fillId="0" borderId="11" xfId="484" applyFont="1" applyFill="1" applyBorder="1" applyAlignment="1"/>
    <xf numFmtId="38" fontId="154" fillId="0" borderId="0" xfId="484" applyFont="1" applyFill="1" applyBorder="1" applyAlignment="1"/>
    <xf numFmtId="0" fontId="14" fillId="61" borderId="108" xfId="420" applyFont="1" applyFill="1" applyBorder="1" applyAlignment="1">
      <alignment horizontal="left" indent="2" justifyLastLine="1"/>
    </xf>
    <xf numFmtId="38" fontId="107" fillId="0" borderId="0" xfId="420" applyNumberFormat="1" applyFont="1"/>
    <xf numFmtId="0" fontId="128" fillId="0" borderId="108" xfId="485" applyFont="1" applyBorder="1" applyAlignment="1">
      <alignment horizontal="center" vertical="center"/>
    </xf>
    <xf numFmtId="0" fontId="107" fillId="0" borderId="99" xfId="420" applyFont="1" applyBorder="1"/>
    <xf numFmtId="0" fontId="128" fillId="0" borderId="99" xfId="485" applyFont="1" applyBorder="1" applyAlignment="1">
      <alignment horizontal="center" vertical="center"/>
    </xf>
    <xf numFmtId="199" fontId="89" fillId="0" borderId="123" xfId="485" applyNumberFormat="1" applyFont="1" applyBorder="1" applyAlignment="1">
      <alignment horizontal="center" vertical="center"/>
    </xf>
    <xf numFmtId="0" fontId="146" fillId="0" borderId="107" xfId="485" applyFont="1" applyBorder="1" applyAlignment="1">
      <alignment horizontal="center" vertical="center"/>
    </xf>
    <xf numFmtId="0" fontId="146" fillId="0" borderId="123" xfId="485" applyFont="1" applyBorder="1" applyAlignment="1">
      <alignment horizontal="center" vertical="center"/>
    </xf>
    <xf numFmtId="0" fontId="128" fillId="0" borderId="108" xfId="485" applyFont="1" applyBorder="1">
      <alignment vertical="center"/>
    </xf>
    <xf numFmtId="0" fontId="128" fillId="0" borderId="99" xfId="485" applyFont="1" applyBorder="1">
      <alignment vertical="center"/>
    </xf>
    <xf numFmtId="38" fontId="89" fillId="68" borderId="108" xfId="484" applyFont="1" applyFill="1" applyBorder="1">
      <alignment vertical="center"/>
    </xf>
    <xf numFmtId="38" fontId="89" fillId="68" borderId="123" xfId="484" applyFont="1" applyFill="1" applyBorder="1">
      <alignment vertical="center"/>
    </xf>
    <xf numFmtId="0" fontId="89" fillId="68" borderId="123" xfId="484" applyNumberFormat="1" applyFont="1" applyFill="1" applyBorder="1">
      <alignment vertical="center"/>
    </xf>
    <xf numFmtId="38" fontId="89" fillId="0" borderId="107" xfId="484" applyFont="1" applyFill="1" applyBorder="1">
      <alignment vertical="center"/>
    </xf>
    <xf numFmtId="38" fontId="89" fillId="0" borderId="123" xfId="484" applyFont="1" applyFill="1" applyBorder="1">
      <alignment vertical="center"/>
    </xf>
    <xf numFmtId="38" fontId="89" fillId="0" borderId="123" xfId="484" applyFont="1" applyBorder="1">
      <alignment vertical="center"/>
    </xf>
    <xf numFmtId="38" fontId="89" fillId="68" borderId="11" xfId="413" applyNumberFormat="1" applyFont="1" applyFill="1" applyBorder="1">
      <alignment vertical="center"/>
    </xf>
    <xf numFmtId="38" fontId="89" fillId="68" borderId="24" xfId="413" applyNumberFormat="1" applyFont="1" applyFill="1" applyBorder="1">
      <alignment vertical="center"/>
    </xf>
    <xf numFmtId="38" fontId="89" fillId="0" borderId="31" xfId="484" applyFont="1" applyFill="1" applyBorder="1">
      <alignment vertical="center"/>
    </xf>
    <xf numFmtId="38" fontId="89" fillId="0" borderId="24" xfId="484" applyFont="1" applyFill="1" applyBorder="1">
      <alignment vertical="center"/>
    </xf>
    <xf numFmtId="38" fontId="89" fillId="0" borderId="24" xfId="484" applyFont="1" applyBorder="1">
      <alignment vertical="center"/>
    </xf>
    <xf numFmtId="38" fontId="89" fillId="68" borderId="37" xfId="413" applyNumberFormat="1" applyFont="1" applyFill="1" applyBorder="1">
      <alignment vertical="center"/>
    </xf>
    <xf numFmtId="38" fontId="89" fillId="68" borderId="34" xfId="413" applyNumberFormat="1" applyFont="1" applyFill="1" applyBorder="1">
      <alignment vertical="center"/>
    </xf>
    <xf numFmtId="38" fontId="89" fillId="0" borderId="35" xfId="484" applyFont="1" applyFill="1" applyBorder="1">
      <alignment vertical="center"/>
    </xf>
    <xf numFmtId="38" fontId="89" fillId="0" borderId="34" xfId="484" applyFont="1" applyFill="1" applyBorder="1">
      <alignment vertical="center"/>
    </xf>
    <xf numFmtId="38" fontId="89" fillId="0" borderId="34" xfId="484" applyFont="1" applyBorder="1">
      <alignment vertical="center"/>
    </xf>
    <xf numFmtId="38" fontId="89" fillId="0" borderId="23" xfId="484" applyFont="1" applyBorder="1">
      <alignment vertical="center"/>
    </xf>
    <xf numFmtId="38" fontId="89" fillId="0" borderId="21" xfId="484" applyFont="1" applyBorder="1">
      <alignment vertical="center"/>
    </xf>
    <xf numFmtId="38" fontId="89" fillId="0" borderId="30" xfId="484" applyFont="1" applyFill="1" applyBorder="1">
      <alignment vertical="center"/>
    </xf>
    <xf numFmtId="38" fontId="89" fillId="0" borderId="21" xfId="484" applyFont="1" applyFill="1" applyBorder="1">
      <alignment vertical="center"/>
    </xf>
    <xf numFmtId="38" fontId="89" fillId="0" borderId="11" xfId="484" applyFont="1" applyBorder="1">
      <alignment vertical="center"/>
    </xf>
    <xf numFmtId="38" fontId="89" fillId="0" borderId="108" xfId="484" applyFont="1" applyBorder="1">
      <alignment vertical="center"/>
    </xf>
    <xf numFmtId="38" fontId="89" fillId="0" borderId="108" xfId="484" applyFont="1" applyFill="1" applyBorder="1">
      <alignment vertical="center"/>
    </xf>
    <xf numFmtId="38" fontId="89" fillId="0" borderId="107" xfId="484" applyFont="1" applyBorder="1">
      <alignment vertical="center"/>
    </xf>
    <xf numFmtId="38" fontId="89" fillId="0" borderId="11" xfId="484" applyFont="1" applyFill="1" applyBorder="1">
      <alignment vertical="center"/>
    </xf>
    <xf numFmtId="38" fontId="89" fillId="0" borderId="31" xfId="484" applyFont="1" applyBorder="1">
      <alignment vertical="center"/>
    </xf>
    <xf numFmtId="38" fontId="89" fillId="0" borderId="37" xfId="484" applyFont="1" applyBorder="1">
      <alignment vertical="center"/>
    </xf>
    <xf numFmtId="38" fontId="89" fillId="0" borderId="37" xfId="484" applyFont="1" applyFill="1" applyBorder="1">
      <alignment vertical="center"/>
    </xf>
    <xf numFmtId="38" fontId="89" fillId="0" borderId="35" xfId="484" applyFont="1" applyBorder="1">
      <alignment vertical="center"/>
    </xf>
    <xf numFmtId="38" fontId="89" fillId="0" borderId="40" xfId="484" applyFont="1" applyBorder="1">
      <alignment vertical="center"/>
    </xf>
    <xf numFmtId="38" fontId="89" fillId="0" borderId="80" xfId="484" applyFont="1" applyBorder="1">
      <alignment vertical="center"/>
    </xf>
    <xf numFmtId="38" fontId="89" fillId="0" borderId="56" xfId="484" applyFont="1" applyFill="1" applyBorder="1">
      <alignment vertical="center"/>
    </xf>
    <xf numFmtId="38" fontId="89" fillId="0" borderId="97" xfId="484" applyFont="1" applyFill="1" applyBorder="1">
      <alignment vertical="center"/>
    </xf>
    <xf numFmtId="38" fontId="89" fillId="0" borderId="68" xfId="484" applyFont="1" applyFill="1" applyBorder="1">
      <alignment vertical="center"/>
    </xf>
    <xf numFmtId="38" fontId="89" fillId="0" borderId="23" xfId="484" applyFont="1" applyFill="1" applyBorder="1">
      <alignment vertical="center"/>
    </xf>
    <xf numFmtId="0" fontId="14" fillId="82" borderId="123" xfId="484" applyNumberFormat="1" applyFont="1" applyFill="1" applyBorder="1" applyAlignment="1" applyProtection="1">
      <alignment horizontal="left" indent="2" justifyLastLine="1"/>
    </xf>
    <xf numFmtId="38" fontId="174" fillId="82" borderId="123" xfId="484" applyFont="1" applyFill="1" applyBorder="1" applyAlignment="1" applyProtection="1">
      <alignment horizontal="right" vertical="center"/>
    </xf>
    <xf numFmtId="38" fontId="174" fillId="0" borderId="123" xfId="484" applyFont="1" applyBorder="1" applyAlignment="1" applyProtection="1">
      <alignment vertical="center"/>
    </xf>
    <xf numFmtId="38" fontId="169" fillId="0" borderId="97" xfId="484" applyFont="1" applyFill="1" applyBorder="1" applyAlignment="1" applyProtection="1">
      <alignment horizontal="right" vertical="center"/>
    </xf>
    <xf numFmtId="38" fontId="169" fillId="61" borderId="24" xfId="484" applyFont="1" applyFill="1" applyBorder="1" applyAlignment="1">
      <alignment horizontal="right" vertical="center"/>
    </xf>
    <xf numFmtId="38" fontId="169" fillId="0" borderId="21" xfId="484" applyFont="1" applyFill="1" applyBorder="1" applyAlignment="1" applyProtection="1">
      <alignment horizontal="right" vertical="center"/>
    </xf>
    <xf numFmtId="38" fontId="169" fillId="61" borderId="21" xfId="484" applyFont="1" applyFill="1" applyBorder="1" applyAlignment="1">
      <alignment horizontal="right" vertical="center"/>
    </xf>
    <xf numFmtId="198" fontId="174" fillId="0" borderId="97" xfId="349" applyNumberFormat="1" applyFont="1" applyBorder="1" applyAlignment="1">
      <alignment vertical="center"/>
    </xf>
    <xf numFmtId="198" fontId="174" fillId="0" borderId="108" xfId="349" applyNumberFormat="1" applyFont="1" applyBorder="1" applyAlignment="1">
      <alignment vertical="center"/>
    </xf>
    <xf numFmtId="198" fontId="169" fillId="0" borderId="99" xfId="349" applyNumberFormat="1" applyFont="1" applyBorder="1" applyAlignment="1">
      <alignment vertical="center"/>
    </xf>
    <xf numFmtId="198" fontId="174" fillId="0" borderId="99" xfId="349" applyNumberFormat="1" applyFont="1" applyBorder="1" applyAlignment="1">
      <alignment vertical="center"/>
    </xf>
    <xf numFmtId="38" fontId="169" fillId="0" borderId="123" xfId="484" applyFont="1" applyFill="1" applyBorder="1" applyAlignment="1" applyProtection="1">
      <alignment horizontal="right" vertical="center"/>
    </xf>
    <xf numFmtId="38" fontId="169" fillId="82" borderId="97" xfId="484" applyFont="1" applyFill="1" applyBorder="1" applyAlignment="1" applyProtection="1">
      <alignment horizontal="right" vertical="center"/>
    </xf>
    <xf numFmtId="38" fontId="169" fillId="82" borderId="24" xfId="484" applyFont="1" applyFill="1" applyBorder="1" applyAlignment="1">
      <alignment vertical="center"/>
    </xf>
    <xf numFmtId="38" fontId="169" fillId="0" borderId="24" xfId="484" applyFont="1" applyBorder="1" applyAlignment="1" applyProtection="1">
      <alignment vertical="center"/>
    </xf>
    <xf numFmtId="38" fontId="169" fillId="82" borderId="21" xfId="484" applyFont="1" applyFill="1" applyBorder="1" applyAlignment="1" applyProtection="1">
      <alignment horizontal="right" vertical="center"/>
    </xf>
    <xf numFmtId="38" fontId="169" fillId="0" borderId="21" xfId="484" applyFont="1" applyBorder="1" applyAlignment="1" applyProtection="1">
      <alignment vertical="center"/>
    </xf>
    <xf numFmtId="38" fontId="169" fillId="0" borderId="0" xfId="484" applyFont="1" applyFill="1" applyAlignment="1" applyProtection="1">
      <alignment vertical="center"/>
    </xf>
    <xf numFmtId="38" fontId="169" fillId="0" borderId="0" xfId="484" applyFont="1" applyFill="1" applyAlignment="1">
      <alignment vertical="center"/>
    </xf>
    <xf numFmtId="38" fontId="169" fillId="82" borderId="97" xfId="484" applyFont="1" applyFill="1" applyBorder="1" applyAlignment="1">
      <alignment vertical="center"/>
    </xf>
    <xf numFmtId="38" fontId="169" fillId="0" borderId="97" xfId="484" applyFont="1" applyBorder="1" applyAlignment="1" applyProtection="1">
      <alignment vertical="center"/>
    </xf>
    <xf numFmtId="38" fontId="169" fillId="82" borderId="21" xfId="484" applyFont="1" applyFill="1" applyBorder="1" applyAlignment="1">
      <alignment vertical="center"/>
    </xf>
    <xf numFmtId="198" fontId="174" fillId="77" borderId="99" xfId="349" applyNumberFormat="1" applyFont="1" applyFill="1" applyBorder="1" applyAlignment="1">
      <alignment vertical="center"/>
    </xf>
    <xf numFmtId="198" fontId="168" fillId="77" borderId="99" xfId="349" applyNumberFormat="1" applyFont="1" applyFill="1" applyBorder="1" applyAlignment="1">
      <alignment vertical="center"/>
    </xf>
    <xf numFmtId="198" fontId="169" fillId="77" borderId="99" xfId="349" applyNumberFormat="1" applyFont="1" applyFill="1" applyBorder="1" applyAlignment="1">
      <alignment vertical="center"/>
    </xf>
    <xf numFmtId="199" fontId="174" fillId="77" borderId="123" xfId="349" applyNumberFormat="1" applyFont="1" applyFill="1" applyBorder="1" applyAlignment="1">
      <alignment horizontal="center" vertical="center"/>
    </xf>
    <xf numFmtId="0" fontId="14" fillId="82" borderId="123" xfId="484" applyNumberFormat="1" applyFont="1" applyFill="1" applyBorder="1" applyAlignment="1">
      <alignment horizontal="left" indent="2" justifyLastLine="1"/>
    </xf>
    <xf numFmtId="38" fontId="169" fillId="82" borderId="97" xfId="484" applyFont="1" applyFill="1" applyBorder="1">
      <alignment vertical="center"/>
    </xf>
    <xf numFmtId="38" fontId="169" fillId="61" borderId="97" xfId="484" applyFont="1" applyFill="1" applyBorder="1" applyAlignment="1">
      <alignment vertical="center"/>
    </xf>
    <xf numFmtId="38" fontId="169" fillId="82" borderId="34" xfId="484" applyFont="1" applyFill="1" applyBorder="1">
      <alignment vertical="center"/>
    </xf>
    <xf numFmtId="38" fontId="169" fillId="61" borderId="34" xfId="484" applyFont="1" applyFill="1" applyBorder="1" applyAlignment="1">
      <alignment vertical="center"/>
    </xf>
    <xf numFmtId="38" fontId="169" fillId="82" borderId="45" xfId="484" applyFont="1" applyFill="1" applyBorder="1">
      <alignment vertical="center"/>
    </xf>
    <xf numFmtId="38" fontId="169" fillId="61" borderId="45" xfId="484" applyFont="1" applyFill="1" applyBorder="1" applyAlignment="1">
      <alignment vertical="center"/>
    </xf>
    <xf numFmtId="38" fontId="182" fillId="82" borderId="34" xfId="484" applyFont="1" applyFill="1" applyBorder="1">
      <alignment vertical="center"/>
    </xf>
    <xf numFmtId="38" fontId="169" fillId="82" borderId="24" xfId="484" applyFont="1" applyFill="1" applyBorder="1">
      <alignment vertical="center"/>
    </xf>
    <xf numFmtId="38" fontId="169" fillId="61" borderId="24" xfId="484" applyFont="1" applyFill="1" applyBorder="1" applyAlignment="1">
      <alignment vertical="center"/>
    </xf>
    <xf numFmtId="38" fontId="169" fillId="82" borderId="80" xfId="484" applyFont="1" applyFill="1" applyBorder="1">
      <alignment vertical="center"/>
    </xf>
    <xf numFmtId="38" fontId="169" fillId="61" borderId="80" xfId="484" applyFont="1" applyFill="1" applyBorder="1" applyAlignment="1">
      <alignment vertical="center"/>
    </xf>
    <xf numFmtId="0" fontId="222" fillId="90" borderId="0" xfId="420" applyFont="1" applyFill="1"/>
    <xf numFmtId="0" fontId="113" fillId="0" borderId="108" xfId="485" applyFont="1" applyBorder="1">
      <alignment vertical="center"/>
    </xf>
    <xf numFmtId="0" fontId="113" fillId="0" borderId="99" xfId="485" applyFont="1" applyBorder="1">
      <alignment vertical="center"/>
    </xf>
    <xf numFmtId="0" fontId="113" fillId="0" borderId="123" xfId="485" applyFont="1" applyBorder="1" applyAlignment="1">
      <alignment horizontal="center" vertical="center"/>
    </xf>
    <xf numFmtId="199" fontId="107" fillId="61" borderId="123" xfId="349" applyNumberFormat="1" applyFont="1" applyFill="1" applyBorder="1" applyAlignment="1">
      <alignment horizontal="center" vertical="center"/>
    </xf>
    <xf numFmtId="0" fontId="14" fillId="0" borderId="123" xfId="617" applyNumberFormat="1" applyFont="1" applyFill="1" applyBorder="1" applyAlignment="1">
      <alignment horizontal="left" indent="2" justifyLastLine="1"/>
    </xf>
    <xf numFmtId="202" fontId="113" fillId="0" borderId="79" xfId="617" applyNumberFormat="1" applyFont="1" applyFill="1" applyBorder="1">
      <alignment vertical="center"/>
    </xf>
    <xf numFmtId="0" fontId="14" fillId="0" borderId="123" xfId="617" applyNumberFormat="1" applyFont="1" applyBorder="1" applyAlignment="1">
      <alignment horizontal="left" indent="2" justifyLastLine="1"/>
    </xf>
    <xf numFmtId="202" fontId="113" fillId="0" borderId="79" xfId="617" applyNumberFormat="1" applyFont="1" applyBorder="1">
      <alignment vertical="center"/>
    </xf>
    <xf numFmtId="0" fontId="14" fillId="68" borderId="123" xfId="349" applyFont="1" applyFill="1" applyBorder="1" applyAlignment="1">
      <alignment horizontal="left" indent="2" justifyLastLine="1"/>
    </xf>
    <xf numFmtId="197" fontId="107" fillId="68" borderId="24" xfId="484" applyNumberFormat="1" applyFont="1" applyFill="1" applyBorder="1" applyAlignment="1">
      <alignment vertical="center"/>
    </xf>
    <xf numFmtId="197" fontId="107" fillId="68" borderId="31" xfId="484" applyNumberFormat="1" applyFont="1" applyFill="1" applyBorder="1" applyAlignment="1">
      <alignment vertical="center"/>
    </xf>
    <xf numFmtId="197" fontId="113" fillId="0" borderId="79" xfId="617" applyNumberFormat="1" applyFont="1" applyBorder="1">
      <alignment vertical="center"/>
    </xf>
    <xf numFmtId="197" fontId="107" fillId="68" borderId="123" xfId="484" applyNumberFormat="1" applyFont="1" applyFill="1" applyBorder="1" applyAlignment="1">
      <alignment vertical="center"/>
    </xf>
    <xf numFmtId="197" fontId="107" fillId="68" borderId="107" xfId="484" applyNumberFormat="1" applyFont="1" applyFill="1" applyBorder="1" applyAlignment="1">
      <alignment vertical="center"/>
    </xf>
    <xf numFmtId="197" fontId="107" fillId="68" borderId="21" xfId="484" applyNumberFormat="1" applyFont="1" applyFill="1" applyBorder="1" applyAlignment="1">
      <alignment vertical="center"/>
    </xf>
    <xf numFmtId="197" fontId="107" fillId="68" borderId="30" xfId="484" applyNumberFormat="1" applyFont="1" applyFill="1" applyBorder="1" applyAlignment="1">
      <alignment vertical="center"/>
    </xf>
    <xf numFmtId="0" fontId="14" fillId="0" borderId="123" xfId="618" applyFont="1" applyBorder="1" applyAlignment="1">
      <alignment horizontal="left" indent="2" justifyLastLine="1"/>
    </xf>
    <xf numFmtId="0" fontId="128" fillId="0" borderId="0" xfId="618" applyFont="1">
      <alignment vertical="center"/>
    </xf>
    <xf numFmtId="38" fontId="145" fillId="71" borderId="99" xfId="484" applyFont="1" applyFill="1" applyBorder="1" applyAlignment="1" applyProtection="1">
      <alignment vertical="center"/>
    </xf>
    <xf numFmtId="198" fontId="107" fillId="61" borderId="56" xfId="349" applyNumberFormat="1" applyFont="1" applyFill="1" applyBorder="1" applyAlignment="1">
      <alignment vertical="center"/>
    </xf>
    <xf numFmtId="38" fontId="107" fillId="0" borderId="45" xfId="484" applyFont="1" applyFill="1" applyBorder="1" applyAlignment="1" applyProtection="1">
      <alignment vertical="center"/>
    </xf>
    <xf numFmtId="38" fontId="107" fillId="61" borderId="45" xfId="484" applyFont="1" applyFill="1" applyBorder="1" applyAlignment="1" applyProtection="1">
      <alignment vertical="center"/>
    </xf>
    <xf numFmtId="38" fontId="107" fillId="61" borderId="24" xfId="484" applyFont="1" applyFill="1" applyBorder="1" applyAlignment="1" applyProtection="1">
      <alignment vertical="center"/>
    </xf>
    <xf numFmtId="38" fontId="107" fillId="61" borderId="97" xfId="484" applyFont="1" applyFill="1" applyBorder="1" applyAlignment="1" applyProtection="1">
      <alignment vertical="center"/>
    </xf>
    <xf numFmtId="38" fontId="107" fillId="0" borderId="0" xfId="484" applyFont="1" applyFill="1" applyBorder="1" applyProtection="1">
      <alignment vertical="center"/>
    </xf>
    <xf numFmtId="38" fontId="65" fillId="0" borderId="0" xfId="484" applyFont="1" applyFill="1" applyBorder="1" applyAlignment="1" applyProtection="1">
      <alignment horizontal="right" vertical="center"/>
    </xf>
    <xf numFmtId="38" fontId="108" fillId="62" borderId="56" xfId="484" applyFont="1" applyFill="1" applyBorder="1" applyAlignment="1"/>
    <xf numFmtId="38" fontId="108" fillId="71" borderId="56" xfId="484" applyFont="1" applyFill="1" applyBorder="1" applyAlignment="1"/>
    <xf numFmtId="38" fontId="108" fillId="71" borderId="31" xfId="484" applyFont="1" applyFill="1" applyBorder="1" applyAlignment="1"/>
    <xf numFmtId="198" fontId="108" fillId="71" borderId="68" xfId="349" applyNumberFormat="1" applyFont="1" applyFill="1" applyBorder="1" applyAlignment="1">
      <alignment vertical="center"/>
    </xf>
    <xf numFmtId="198" fontId="108" fillId="71" borderId="56" xfId="349" applyNumberFormat="1" applyFont="1" applyFill="1" applyBorder="1" applyAlignment="1">
      <alignment vertical="center"/>
    </xf>
    <xf numFmtId="38" fontId="107" fillId="62" borderId="56" xfId="484" applyFont="1" applyFill="1" applyBorder="1" applyAlignment="1">
      <alignment vertical="center"/>
    </xf>
    <xf numFmtId="38" fontId="107" fillId="62" borderId="30" xfId="484" applyFont="1" applyFill="1" applyBorder="1" applyAlignment="1">
      <alignment vertical="center"/>
    </xf>
    <xf numFmtId="0" fontId="14" fillId="74" borderId="123" xfId="484" applyNumberFormat="1" applyFont="1" applyFill="1" applyBorder="1" applyAlignment="1">
      <alignment horizontal="left" indent="2" justifyLastLine="1"/>
    </xf>
    <xf numFmtId="38" fontId="108" fillId="74" borderId="30" xfId="484" applyFont="1" applyFill="1" applyBorder="1" applyAlignment="1"/>
    <xf numFmtId="38" fontId="107" fillId="0" borderId="78" xfId="484" applyFont="1" applyFill="1" applyBorder="1" applyAlignment="1"/>
    <xf numFmtId="38" fontId="107" fillId="0" borderId="43" xfId="484" applyFont="1" applyFill="1" applyBorder="1" applyAlignment="1"/>
    <xf numFmtId="38" fontId="107" fillId="62" borderId="31" xfId="484" applyFont="1" applyFill="1" applyBorder="1" applyAlignment="1"/>
    <xf numFmtId="38" fontId="107" fillId="62" borderId="35" xfId="484" applyFont="1" applyFill="1" applyBorder="1" applyAlignment="1"/>
    <xf numFmtId="38" fontId="107" fillId="62" borderId="30" xfId="484" applyFont="1" applyFill="1" applyBorder="1" applyAlignment="1"/>
    <xf numFmtId="0" fontId="108" fillId="0" borderId="107" xfId="349" applyFont="1" applyBorder="1"/>
    <xf numFmtId="38" fontId="107" fillId="62" borderId="107" xfId="484" applyFont="1" applyFill="1" applyBorder="1" applyAlignment="1"/>
    <xf numFmtId="38" fontId="107" fillId="0" borderId="107" xfId="484" applyFont="1" applyFill="1" applyBorder="1" applyAlignment="1"/>
    <xf numFmtId="0" fontId="108" fillId="74" borderId="99" xfId="349" applyFont="1" applyFill="1" applyBorder="1"/>
    <xf numFmtId="38" fontId="108" fillId="74" borderId="31" xfId="484" applyFont="1" applyFill="1" applyBorder="1" applyAlignment="1"/>
    <xf numFmtId="38" fontId="107" fillId="71" borderId="85" xfId="484" applyFont="1" applyFill="1" applyBorder="1" applyAlignment="1" applyProtection="1">
      <alignment vertical="center"/>
    </xf>
    <xf numFmtId="38" fontId="107" fillId="61" borderId="21" xfId="484" applyFont="1" applyFill="1" applyBorder="1" applyAlignment="1" applyProtection="1">
      <alignment vertical="center"/>
    </xf>
    <xf numFmtId="198" fontId="107" fillId="0" borderId="107" xfId="349" applyNumberFormat="1" applyFont="1" applyBorder="1" applyAlignment="1">
      <alignment vertical="center"/>
    </xf>
    <xf numFmtId="198" fontId="107" fillId="0" borderId="56" xfId="349" applyNumberFormat="1" applyFont="1" applyBorder="1" applyAlignment="1">
      <alignment vertical="center"/>
    </xf>
    <xf numFmtId="0" fontId="107" fillId="0" borderId="56" xfId="349" applyFont="1" applyBorder="1" applyAlignment="1">
      <alignment vertical="center"/>
    </xf>
    <xf numFmtId="38" fontId="107" fillId="62" borderId="31" xfId="484" applyFont="1" applyFill="1" applyBorder="1" applyAlignment="1">
      <alignment vertical="center"/>
    </xf>
    <xf numFmtId="38" fontId="107" fillId="62" borderId="35" xfId="484" applyFont="1" applyFill="1" applyBorder="1" applyAlignment="1">
      <alignment vertical="center"/>
    </xf>
    <xf numFmtId="0" fontId="108" fillId="0" borderId="85" xfId="349" applyFont="1" applyBorder="1" applyAlignment="1">
      <alignment vertical="center"/>
    </xf>
    <xf numFmtId="0" fontId="107" fillId="0" borderId="85" xfId="349" applyFont="1" applyBorder="1" applyAlignment="1">
      <alignment vertical="center"/>
    </xf>
    <xf numFmtId="38" fontId="107" fillId="0" borderId="123" xfId="484" applyFont="1" applyFill="1" applyBorder="1" applyAlignment="1" applyProtection="1">
      <alignment horizontal="right" vertical="center"/>
    </xf>
    <xf numFmtId="199" fontId="170" fillId="0" borderId="123" xfId="349" applyNumberFormat="1" applyFont="1" applyBorder="1" applyAlignment="1">
      <alignment horizontal="center" vertical="center"/>
    </xf>
    <xf numFmtId="0" fontId="171" fillId="0" borderId="123" xfId="345" applyFont="1" applyBorder="1" applyAlignment="1">
      <alignment horizontal="center" vertical="center"/>
    </xf>
    <xf numFmtId="38" fontId="174" fillId="0" borderId="68" xfId="484" applyFont="1" applyFill="1" applyBorder="1" applyAlignment="1" applyProtection="1">
      <alignment vertical="center"/>
    </xf>
    <xf numFmtId="38" fontId="174" fillId="0" borderId="85" xfId="484" applyFont="1" applyFill="1" applyBorder="1" applyAlignment="1" applyProtection="1">
      <alignment vertical="center"/>
    </xf>
    <xf numFmtId="38" fontId="176" fillId="0" borderId="56" xfId="484" applyFont="1" applyFill="1" applyBorder="1" applyAlignment="1" applyProtection="1">
      <alignment vertical="center"/>
    </xf>
    <xf numFmtId="38" fontId="174" fillId="0" borderId="97" xfId="484" applyFont="1" applyFill="1" applyBorder="1" applyAlignment="1" applyProtection="1">
      <alignment vertical="center"/>
    </xf>
    <xf numFmtId="38" fontId="174" fillId="0" borderId="24" xfId="484" applyFont="1" applyFill="1" applyBorder="1" applyAlignment="1" applyProtection="1">
      <alignment vertical="center"/>
    </xf>
    <xf numFmtId="38" fontId="169" fillId="0" borderId="24" xfId="484" applyFont="1" applyFill="1" applyBorder="1" applyAlignment="1" applyProtection="1">
      <alignment vertical="center"/>
    </xf>
    <xf numFmtId="38" fontId="169" fillId="0" borderId="11" xfId="484" applyFont="1" applyFill="1" applyBorder="1" applyAlignment="1" applyProtection="1">
      <alignment vertical="center"/>
    </xf>
    <xf numFmtId="38" fontId="176" fillId="0" borderId="31" xfId="484" applyFont="1" applyFill="1" applyBorder="1" applyAlignment="1" applyProtection="1">
      <alignment vertical="center"/>
    </xf>
    <xf numFmtId="38" fontId="174" fillId="0" borderId="31" xfId="484" applyFont="1" applyFill="1" applyBorder="1" applyAlignment="1" applyProtection="1">
      <alignment vertical="center"/>
    </xf>
    <xf numFmtId="38" fontId="150" fillId="0" borderId="11" xfId="484" applyFont="1" applyFill="1" applyBorder="1" applyAlignment="1" applyProtection="1">
      <alignment vertical="center"/>
    </xf>
    <xf numFmtId="38" fontId="149" fillId="0" borderId="36" xfId="484" applyFont="1" applyFill="1" applyBorder="1" applyAlignment="1" applyProtection="1">
      <alignment vertical="center"/>
    </xf>
    <xf numFmtId="38" fontId="150" fillId="0" borderId="36" xfId="484" applyFont="1" applyFill="1" applyBorder="1" applyAlignment="1" applyProtection="1">
      <alignment vertical="center"/>
    </xf>
    <xf numFmtId="38" fontId="177" fillId="0" borderId="35" xfId="484" applyFont="1" applyFill="1" applyBorder="1" applyAlignment="1" applyProtection="1">
      <alignment vertical="center"/>
    </xf>
    <xf numFmtId="38" fontId="174" fillId="0" borderId="23" xfId="484" applyFont="1" applyFill="1" applyBorder="1" applyAlignment="1" applyProtection="1">
      <alignment vertical="center"/>
    </xf>
    <xf numFmtId="38" fontId="174" fillId="0" borderId="22" xfId="484" applyFont="1" applyFill="1" applyBorder="1" applyAlignment="1" applyProtection="1">
      <alignment vertical="center"/>
    </xf>
    <xf numFmtId="38" fontId="176" fillId="0" borderId="30" xfId="484" applyFont="1" applyFill="1" applyBorder="1" applyAlignment="1" applyProtection="1">
      <alignment vertical="center"/>
    </xf>
    <xf numFmtId="38" fontId="174" fillId="71" borderId="11" xfId="484" applyFont="1" applyFill="1" applyBorder="1" applyAlignment="1" applyProtection="1">
      <alignment vertical="center"/>
    </xf>
    <xf numFmtId="38" fontId="174" fillId="71" borderId="0" xfId="484" applyFont="1" applyFill="1" applyBorder="1" applyAlignment="1" applyProtection="1">
      <alignment vertical="center"/>
    </xf>
    <xf numFmtId="38" fontId="176" fillId="71" borderId="31" xfId="484" applyFont="1" applyFill="1" applyBorder="1" applyAlignment="1" applyProtection="1">
      <alignment vertical="center"/>
    </xf>
    <xf numFmtId="38" fontId="174" fillId="71" borderId="24" xfId="484" applyFont="1" applyFill="1" applyBorder="1" applyAlignment="1" applyProtection="1">
      <alignment vertical="center"/>
    </xf>
    <xf numFmtId="38" fontId="149" fillId="0" borderId="0" xfId="484" applyFont="1" applyFill="1" applyBorder="1" applyAlignment="1" applyProtection="1">
      <alignment vertical="center"/>
    </xf>
    <xf numFmtId="38" fontId="150" fillId="0" borderId="0" xfId="484" applyFont="1" applyFill="1" applyBorder="1" applyAlignment="1" applyProtection="1">
      <alignment vertical="center"/>
    </xf>
    <xf numFmtId="38" fontId="177" fillId="0" borderId="30" xfId="484" applyFont="1" applyFill="1" applyBorder="1" applyAlignment="1" applyProtection="1">
      <alignment vertical="center"/>
    </xf>
    <xf numFmtId="38" fontId="107" fillId="71" borderId="97" xfId="484" applyFont="1" applyFill="1" applyBorder="1">
      <alignment vertical="center"/>
    </xf>
    <xf numFmtId="38" fontId="107" fillId="74" borderId="24" xfId="484" applyFont="1" applyFill="1" applyBorder="1">
      <alignment vertical="center"/>
    </xf>
    <xf numFmtId="195" fontId="107" fillId="71" borderId="97" xfId="484" applyNumberFormat="1" applyFont="1" applyFill="1" applyBorder="1">
      <alignment vertical="center"/>
    </xf>
    <xf numFmtId="195" fontId="107" fillId="74" borderId="24" xfId="484" applyNumberFormat="1" applyFont="1" applyFill="1" applyBorder="1">
      <alignment vertical="center"/>
    </xf>
    <xf numFmtId="195" fontId="107" fillId="0" borderId="24" xfId="484" applyNumberFormat="1" applyFont="1" applyFill="1" applyBorder="1">
      <alignment vertical="center"/>
    </xf>
    <xf numFmtId="9" fontId="107" fillId="74" borderId="24" xfId="484" applyNumberFormat="1" applyFont="1" applyFill="1" applyBorder="1">
      <alignment vertical="center"/>
    </xf>
    <xf numFmtId="0" fontId="14" fillId="87" borderId="123" xfId="484" applyNumberFormat="1" applyFont="1" applyFill="1" applyBorder="1" applyAlignment="1">
      <alignment horizontal="left" indent="2" justifyLastLine="1"/>
    </xf>
    <xf numFmtId="38" fontId="107" fillId="87" borderId="97" xfId="484" applyFont="1" applyFill="1" applyBorder="1">
      <alignment vertical="center"/>
    </xf>
    <xf numFmtId="195" fontId="107" fillId="87" borderId="97" xfId="484" applyNumberFormat="1" applyFont="1" applyFill="1" applyBorder="1">
      <alignment vertical="center"/>
    </xf>
    <xf numFmtId="38" fontId="107" fillId="77" borderId="97" xfId="484" applyFont="1" applyFill="1" applyBorder="1">
      <alignment vertical="center"/>
    </xf>
    <xf numFmtId="195" fontId="107" fillId="77" borderId="97" xfId="484" applyNumberFormat="1" applyFont="1" applyFill="1" applyBorder="1">
      <alignment vertical="center"/>
    </xf>
    <xf numFmtId="0" fontId="131" fillId="81" borderId="0" xfId="345" applyFont="1" applyFill="1">
      <alignment vertical="center"/>
    </xf>
    <xf numFmtId="49" fontId="221" fillId="61" borderId="0" xfId="345" applyNumberFormat="1" applyFont="1" applyFill="1">
      <alignment vertical="center"/>
    </xf>
    <xf numFmtId="170" fontId="107" fillId="72" borderId="123" xfId="419" applyFont="1" applyFill="1" applyBorder="1" applyAlignment="1" applyProtection="1">
      <alignment horizontal="centerContinuous" vertical="center"/>
      <protection locked="0"/>
    </xf>
    <xf numFmtId="197" fontId="189" fillId="61" borderId="0" xfId="345" applyNumberFormat="1" applyFont="1" applyFill="1">
      <alignment vertical="center"/>
    </xf>
    <xf numFmtId="197" fontId="223" fillId="61" borderId="0" xfId="345" applyNumberFormat="1" applyFont="1" applyFill="1" applyAlignment="1">
      <alignment horizontal="centerContinuous" vertical="center"/>
    </xf>
    <xf numFmtId="0" fontId="221" fillId="61" borderId="0" xfId="345" applyFont="1" applyFill="1">
      <alignment vertical="center"/>
    </xf>
    <xf numFmtId="0" fontId="107" fillId="61" borderId="107" xfId="345" applyFont="1" applyFill="1" applyBorder="1" applyAlignment="1">
      <alignment horizontal="center" vertical="center"/>
    </xf>
    <xf numFmtId="0" fontId="107" fillId="61" borderId="123" xfId="345" applyFont="1" applyFill="1" applyBorder="1" applyAlignment="1">
      <alignment horizontal="center" vertical="center"/>
    </xf>
    <xf numFmtId="0" fontId="217" fillId="61" borderId="0" xfId="345" applyFont="1" applyFill="1">
      <alignment vertical="center"/>
    </xf>
    <xf numFmtId="38" fontId="107" fillId="61" borderId="97" xfId="484" applyFont="1" applyFill="1" applyBorder="1" applyAlignment="1" applyProtection="1">
      <alignment vertical="center"/>
      <protection locked="0"/>
    </xf>
    <xf numFmtId="9" fontId="149" fillId="61" borderId="21" xfId="415" applyFont="1" applyFill="1" applyBorder="1" applyAlignment="1" applyProtection="1">
      <alignment vertical="center"/>
    </xf>
    <xf numFmtId="9" fontId="149" fillId="61" borderId="30" xfId="415" applyFont="1" applyFill="1" applyBorder="1" applyAlignment="1" applyProtection="1">
      <alignment vertical="center"/>
    </xf>
    <xf numFmtId="9" fontId="149" fillId="61" borderId="34" xfId="415" applyFont="1" applyFill="1" applyBorder="1" applyAlignment="1" applyProtection="1">
      <alignment vertical="center"/>
    </xf>
    <xf numFmtId="9" fontId="149" fillId="61" borderId="35" xfId="415" applyFont="1" applyFill="1" applyBorder="1" applyAlignment="1" applyProtection="1">
      <alignment vertical="center"/>
    </xf>
    <xf numFmtId="9" fontId="149" fillId="61" borderId="24" xfId="415" applyFont="1" applyFill="1" applyBorder="1" applyAlignment="1" applyProtection="1">
      <alignment vertical="center"/>
    </xf>
    <xf numFmtId="9" fontId="149" fillId="61" borderId="31" xfId="415" applyFont="1" applyFill="1" applyBorder="1" applyAlignment="1" applyProtection="1">
      <alignment vertical="center"/>
    </xf>
    <xf numFmtId="38" fontId="107" fillId="61" borderId="24" xfId="484" applyFont="1" applyFill="1" applyBorder="1" applyAlignment="1">
      <alignment vertical="center"/>
    </xf>
    <xf numFmtId="38" fontId="107" fillId="61" borderId="21" xfId="484" applyFont="1" applyFill="1" applyBorder="1" applyAlignment="1">
      <alignment vertical="center"/>
    </xf>
    <xf numFmtId="197" fontId="107" fillId="61" borderId="11" xfId="345" applyNumberFormat="1" applyFont="1" applyFill="1" applyBorder="1">
      <alignment vertical="center"/>
    </xf>
    <xf numFmtId="197" fontId="119" fillId="61" borderId="0" xfId="297" applyNumberFormat="1" applyFont="1" applyFill="1" applyBorder="1" applyAlignment="1">
      <alignment horizontal="right" vertical="center"/>
    </xf>
    <xf numFmtId="197" fontId="166" fillId="61" borderId="0" xfId="297" applyNumberFormat="1" applyFont="1" applyFill="1" applyBorder="1" applyAlignment="1">
      <alignment horizontal="right" vertical="center"/>
    </xf>
    <xf numFmtId="38" fontId="107" fillId="61" borderId="123" xfId="484" applyFont="1" applyFill="1" applyBorder="1" applyAlignment="1">
      <alignment horizontal="right" vertical="center"/>
    </xf>
    <xf numFmtId="38" fontId="107" fillId="61" borderId="107" xfId="484" applyFont="1" applyFill="1" applyBorder="1" applyAlignment="1">
      <alignment horizontal="right" vertical="center"/>
    </xf>
    <xf numFmtId="197" fontId="107" fillId="61" borderId="11" xfId="349" applyNumberFormat="1" applyFont="1" applyFill="1" applyBorder="1" applyAlignment="1">
      <alignment vertical="center"/>
    </xf>
    <xf numFmtId="197" fontId="107" fillId="61" borderId="0" xfId="349" applyNumberFormat="1" applyFont="1" applyFill="1" applyAlignment="1">
      <alignment vertical="center"/>
    </xf>
    <xf numFmtId="38" fontId="107" fillId="61" borderId="0" xfId="345" applyNumberFormat="1" applyFont="1" applyFill="1">
      <alignment vertical="center"/>
    </xf>
    <xf numFmtId="0" fontId="217" fillId="84" borderId="0" xfId="345" applyFont="1" applyFill="1">
      <alignment vertical="center"/>
    </xf>
    <xf numFmtId="0" fontId="108" fillId="84" borderId="0" xfId="349" applyFont="1" applyFill="1"/>
    <xf numFmtId="198" fontId="108" fillId="84" borderId="0" xfId="349" applyNumberFormat="1" applyFont="1" applyFill="1" applyAlignment="1">
      <alignment vertical="center"/>
    </xf>
    <xf numFmtId="0" fontId="222" fillId="85" borderId="0" xfId="345" applyFont="1" applyFill="1">
      <alignment vertical="center"/>
    </xf>
    <xf numFmtId="0" fontId="154" fillId="85" borderId="0" xfId="420" applyFont="1" applyFill="1"/>
    <xf numFmtId="38" fontId="107" fillId="61" borderId="79" xfId="484" applyFont="1" applyFill="1" applyBorder="1">
      <alignment vertical="center"/>
    </xf>
    <xf numFmtId="195" fontId="175" fillId="61" borderId="34" xfId="415" applyNumberFormat="1" applyFont="1" applyFill="1" applyBorder="1" applyAlignment="1" applyProtection="1">
      <alignment vertical="center"/>
    </xf>
    <xf numFmtId="195" fontId="175" fillId="61" borderId="35" xfId="415" applyNumberFormat="1" applyFont="1" applyFill="1" applyBorder="1" applyAlignment="1" applyProtection="1">
      <alignment vertical="center"/>
    </xf>
    <xf numFmtId="9" fontId="150" fillId="61" borderId="24" xfId="415" applyFont="1" applyFill="1" applyBorder="1" applyAlignment="1" applyProtection="1">
      <alignment vertical="center"/>
    </xf>
    <xf numFmtId="9" fontId="150" fillId="61" borderId="31" xfId="415" applyFont="1" applyFill="1" applyBorder="1" applyAlignment="1" applyProtection="1">
      <alignment vertical="center"/>
    </xf>
    <xf numFmtId="198" fontId="108" fillId="49" borderId="97" xfId="349" applyNumberFormat="1" applyFont="1" applyFill="1" applyBorder="1" applyAlignment="1">
      <alignment vertical="center"/>
    </xf>
    <xf numFmtId="204" fontId="107" fillId="0" borderId="24" xfId="349" applyNumberFormat="1" applyFont="1" applyBorder="1" applyAlignment="1">
      <alignment vertical="center"/>
    </xf>
    <xf numFmtId="204" fontId="107" fillId="0" borderId="31" xfId="349" applyNumberFormat="1" applyFont="1" applyBorder="1" applyAlignment="1">
      <alignment vertical="center"/>
    </xf>
    <xf numFmtId="0" fontId="221" fillId="84" borderId="0" xfId="345" applyFont="1" applyFill="1">
      <alignment vertical="center"/>
    </xf>
    <xf numFmtId="198" fontId="186" fillId="84" borderId="0" xfId="349" applyNumberFormat="1" applyFont="1" applyFill="1" applyAlignment="1">
      <alignment vertical="center"/>
    </xf>
    <xf numFmtId="0" fontId="187" fillId="81" borderId="0" xfId="345" applyFont="1" applyFill="1">
      <alignment vertical="center"/>
    </xf>
    <xf numFmtId="198" fontId="107" fillId="61" borderId="124" xfId="349" applyNumberFormat="1" applyFont="1" applyFill="1" applyBorder="1" applyAlignment="1">
      <alignment vertical="center"/>
    </xf>
    <xf numFmtId="198" fontId="108" fillId="0" borderId="44" xfId="349" applyNumberFormat="1" applyFont="1" applyBorder="1" applyAlignment="1">
      <alignment vertical="center"/>
    </xf>
    <xf numFmtId="198" fontId="107" fillId="61" borderId="70" xfId="349" applyNumberFormat="1" applyFont="1" applyFill="1" applyBorder="1" applyAlignment="1">
      <alignment vertical="center"/>
    </xf>
    <xf numFmtId="198" fontId="107" fillId="61" borderId="125" xfId="349" applyNumberFormat="1" applyFont="1" applyFill="1" applyBorder="1" applyAlignment="1">
      <alignment vertical="center"/>
    </xf>
    <xf numFmtId="198" fontId="108" fillId="0" borderId="39" xfId="349" applyNumberFormat="1" applyFont="1" applyBorder="1" applyAlignment="1">
      <alignment vertical="center"/>
    </xf>
    <xf numFmtId="198" fontId="107" fillId="0" borderId="39" xfId="349" applyNumberFormat="1" applyFont="1" applyBorder="1" applyAlignment="1">
      <alignment vertical="center"/>
    </xf>
    <xf numFmtId="197" fontId="107" fillId="61" borderId="23" xfId="345" applyNumberFormat="1" applyFont="1" applyFill="1" applyBorder="1">
      <alignment vertical="center"/>
    </xf>
    <xf numFmtId="197" fontId="107" fillId="61" borderId="22" xfId="345" applyNumberFormat="1" applyFont="1" applyFill="1" applyBorder="1">
      <alignment vertical="center"/>
    </xf>
    <xf numFmtId="38" fontId="107" fillId="70" borderId="24" xfId="484" applyFont="1" applyFill="1" applyBorder="1">
      <alignment vertical="center"/>
    </xf>
    <xf numFmtId="38" fontId="107" fillId="70" borderId="31" xfId="484" applyFont="1" applyFill="1" applyBorder="1">
      <alignment vertical="center"/>
    </xf>
    <xf numFmtId="38" fontId="107" fillId="61" borderId="78" xfId="484" applyFont="1" applyFill="1" applyBorder="1">
      <alignment vertical="center"/>
    </xf>
    <xf numFmtId="197" fontId="119" fillId="61" borderId="0" xfId="297" applyNumberFormat="1" applyFont="1" applyFill="1" applyAlignment="1">
      <alignment horizontal="right" vertical="center"/>
    </xf>
    <xf numFmtId="197" fontId="166" fillId="61" borderId="0" xfId="297" applyNumberFormat="1" applyFont="1" applyFill="1" applyAlignment="1">
      <alignment horizontal="right" vertical="center"/>
    </xf>
    <xf numFmtId="0" fontId="217" fillId="0" borderId="0" xfId="345" applyFont="1">
      <alignment vertical="center"/>
    </xf>
    <xf numFmtId="197" fontId="9" fillId="61" borderId="0" xfId="349" applyNumberFormat="1" applyFill="1"/>
    <xf numFmtId="197" fontId="108" fillId="61" borderId="85" xfId="349" applyNumberFormat="1" applyFont="1" applyFill="1" applyBorder="1" applyAlignment="1">
      <alignment vertical="center"/>
    </xf>
    <xf numFmtId="197" fontId="108" fillId="61" borderId="11" xfId="349" applyNumberFormat="1" applyFont="1" applyFill="1" applyBorder="1" applyAlignment="1">
      <alignment vertical="center"/>
    </xf>
    <xf numFmtId="197" fontId="108" fillId="61" borderId="0" xfId="349" applyNumberFormat="1" applyFont="1" applyFill="1" applyAlignment="1">
      <alignment vertical="center"/>
    </xf>
    <xf numFmtId="197" fontId="107" fillId="61" borderId="23" xfId="349" applyNumberFormat="1" applyFont="1" applyFill="1" applyBorder="1" applyAlignment="1">
      <alignment vertical="center"/>
    </xf>
    <xf numFmtId="197" fontId="107" fillId="61" borderId="22" xfId="349" applyNumberFormat="1" applyFont="1" applyFill="1" applyBorder="1" applyAlignment="1">
      <alignment vertical="center"/>
    </xf>
    <xf numFmtId="38" fontId="107" fillId="61" borderId="123" xfId="484" applyFont="1" applyFill="1" applyBorder="1" applyAlignment="1" applyProtection="1">
      <alignment horizontal="right" vertical="center"/>
    </xf>
    <xf numFmtId="38" fontId="107" fillId="61" borderId="97" xfId="484" applyFont="1" applyFill="1" applyBorder="1" applyAlignment="1" applyProtection="1">
      <alignment horizontal="right" vertical="center"/>
    </xf>
    <xf numFmtId="38" fontId="107" fillId="61" borderId="24" xfId="484" applyFont="1" applyFill="1" applyBorder="1" applyAlignment="1" applyProtection="1">
      <alignment horizontal="right" vertical="center"/>
    </xf>
    <xf numFmtId="38" fontId="107" fillId="61" borderId="21" xfId="484" applyFont="1" applyFill="1" applyBorder="1" applyAlignment="1" applyProtection="1">
      <alignment horizontal="right" vertical="center"/>
    </xf>
    <xf numFmtId="198" fontId="112" fillId="85" borderId="0" xfId="349" applyNumberFormat="1" applyFont="1" applyFill="1" applyAlignment="1">
      <alignment vertical="center"/>
    </xf>
    <xf numFmtId="0" fontId="108" fillId="85" borderId="0" xfId="345" applyFont="1" applyFill="1">
      <alignment vertical="center"/>
    </xf>
    <xf numFmtId="0" fontId="143" fillId="85" borderId="0" xfId="420" applyFont="1" applyFill="1"/>
    <xf numFmtId="0" fontId="30" fillId="85" borderId="0" xfId="420" applyFont="1" applyFill="1"/>
    <xf numFmtId="0" fontId="132" fillId="85" borderId="0" xfId="420" applyFont="1" applyFill="1" applyAlignment="1">
      <alignment horizontal="right"/>
    </xf>
    <xf numFmtId="38" fontId="107" fillId="65" borderId="80" xfId="311" applyFont="1" applyFill="1" applyBorder="1" applyAlignment="1" applyProtection="1">
      <alignment horizontal="right"/>
      <protection locked="0"/>
    </xf>
    <xf numFmtId="0" fontId="107" fillId="61" borderId="97" xfId="420" applyFont="1" applyFill="1" applyBorder="1"/>
    <xf numFmtId="0" fontId="107" fillId="0" borderId="97" xfId="420" applyFont="1" applyBorder="1"/>
    <xf numFmtId="0" fontId="107" fillId="68" borderId="45" xfId="420" applyFont="1" applyFill="1" applyBorder="1"/>
    <xf numFmtId="0" fontId="107" fillId="0" borderId="46" xfId="420" applyFont="1" applyBorder="1"/>
    <xf numFmtId="0" fontId="107" fillId="0" borderId="45" xfId="420" applyFont="1" applyBorder="1"/>
    <xf numFmtId="0" fontId="107" fillId="68" borderId="34" xfId="345" applyFont="1" applyFill="1" applyBorder="1">
      <alignment vertical="center"/>
    </xf>
    <xf numFmtId="0" fontId="107" fillId="68" borderId="34" xfId="420" applyFont="1" applyFill="1" applyBorder="1"/>
    <xf numFmtId="0" fontId="107" fillId="0" borderId="35" xfId="420" applyFont="1" applyBorder="1"/>
    <xf numFmtId="0" fontId="107" fillId="0" borderId="34" xfId="420" applyFont="1" applyBorder="1"/>
    <xf numFmtId="0" fontId="107" fillId="68" borderId="24" xfId="345" applyFont="1" applyFill="1" applyBorder="1">
      <alignment vertical="center"/>
    </xf>
    <xf numFmtId="0" fontId="107" fillId="68" borderId="24" xfId="420" applyFont="1" applyFill="1" applyBorder="1"/>
    <xf numFmtId="0" fontId="107" fillId="0" borderId="31" xfId="420" applyFont="1" applyBorder="1"/>
    <xf numFmtId="0" fontId="107" fillId="0" borderId="24" xfId="420" applyFont="1" applyBorder="1"/>
    <xf numFmtId="0" fontId="107" fillId="68" borderId="21" xfId="345" applyFont="1" applyFill="1" applyBorder="1">
      <alignment vertical="center"/>
    </xf>
    <xf numFmtId="0" fontId="107" fillId="68" borderId="21" xfId="420" applyFont="1" applyFill="1" applyBorder="1"/>
    <xf numFmtId="0" fontId="107" fillId="0" borderId="30" xfId="420" applyFont="1" applyBorder="1"/>
    <xf numFmtId="0" fontId="107" fillId="0" borderId="21" xfId="420" applyFont="1" applyBorder="1"/>
    <xf numFmtId="0" fontId="124" fillId="61" borderId="11" xfId="345" applyFont="1" applyFill="1" applyBorder="1" applyAlignment="1">
      <alignment horizontal="center" vertical="center"/>
    </xf>
    <xf numFmtId="0" fontId="124" fillId="61" borderId="0" xfId="345" applyFont="1" applyFill="1" applyAlignment="1">
      <alignment horizontal="center" vertical="center"/>
    </xf>
    <xf numFmtId="0" fontId="124" fillId="61" borderId="85" xfId="345" applyFont="1" applyFill="1" applyBorder="1" applyAlignment="1">
      <alignment horizontal="center" vertical="center"/>
    </xf>
    <xf numFmtId="0" fontId="131" fillId="85" borderId="0" xfId="420" applyFont="1" applyFill="1"/>
    <xf numFmtId="0" fontId="62" fillId="85" borderId="0" xfId="420" applyFill="1"/>
    <xf numFmtId="0" fontId="155" fillId="85" borderId="0" xfId="420" applyFont="1" applyFill="1"/>
    <xf numFmtId="0" fontId="155" fillId="61" borderId="11" xfId="420" applyFont="1" applyFill="1" applyBorder="1"/>
    <xf numFmtId="0" fontId="153" fillId="85" borderId="0" xfId="420" applyFont="1" applyFill="1"/>
    <xf numFmtId="0" fontId="107" fillId="61" borderId="11" xfId="420" applyFont="1" applyFill="1" applyBorder="1"/>
    <xf numFmtId="0" fontId="89" fillId="0" borderId="107" xfId="485" applyFont="1" applyBorder="1" applyAlignment="1">
      <alignment horizontal="center" vertical="center"/>
    </xf>
    <xf numFmtId="0" fontId="89" fillId="0" borderId="123" xfId="485" applyFont="1" applyBorder="1" applyAlignment="1">
      <alignment horizontal="center" vertical="center"/>
    </xf>
    <xf numFmtId="0" fontId="224" fillId="84" borderId="0" xfId="345" applyFont="1" applyFill="1">
      <alignment vertical="center"/>
    </xf>
    <xf numFmtId="0" fontId="167" fillId="84" borderId="0" xfId="420" applyFont="1" applyFill="1"/>
    <xf numFmtId="197" fontId="169" fillId="61" borderId="0" xfId="345" applyNumberFormat="1" applyFont="1" applyFill="1">
      <alignment vertical="center"/>
    </xf>
    <xf numFmtId="202" fontId="169" fillId="61" borderId="0" xfId="349" applyNumberFormat="1" applyFont="1" applyFill="1" applyAlignment="1">
      <alignment vertical="center"/>
    </xf>
    <xf numFmtId="202" fontId="169" fillId="61" borderId="0" xfId="345" applyNumberFormat="1" applyFont="1" applyFill="1">
      <alignment vertical="center"/>
    </xf>
    <xf numFmtId="9" fontId="118" fillId="61" borderId="21" xfId="415" applyFont="1" applyFill="1" applyBorder="1" applyAlignment="1" applyProtection="1">
      <alignment vertical="center"/>
    </xf>
    <xf numFmtId="9" fontId="118" fillId="61" borderId="34" xfId="415" applyFont="1" applyFill="1" applyBorder="1" applyAlignment="1" applyProtection="1">
      <alignment vertical="center"/>
    </xf>
    <xf numFmtId="9" fontId="118" fillId="61" borderId="24" xfId="415" applyFont="1" applyFill="1" applyBorder="1" applyAlignment="1" applyProtection="1">
      <alignment vertical="center"/>
    </xf>
    <xf numFmtId="9" fontId="115" fillId="61" borderId="21" xfId="415" applyFont="1" applyFill="1" applyBorder="1" applyAlignment="1" applyProtection="1">
      <alignment vertical="center"/>
    </xf>
    <xf numFmtId="195" fontId="115" fillId="61" borderId="0" xfId="292" applyNumberFormat="1" applyFont="1" applyFill="1" applyBorder="1" applyAlignment="1">
      <alignment vertical="center"/>
    </xf>
    <xf numFmtId="197" fontId="116" fillId="61" borderId="0" xfId="349" applyNumberFormat="1" applyFont="1" applyFill="1" applyAlignment="1">
      <alignment vertical="center"/>
    </xf>
    <xf numFmtId="0" fontId="225" fillId="84" borderId="0" xfId="0" applyFont="1" applyFill="1">
      <alignment vertical="center"/>
    </xf>
    <xf numFmtId="0" fontId="0" fillId="84" borderId="0" xfId="0" applyFill="1">
      <alignment vertical="center"/>
    </xf>
    <xf numFmtId="199" fontId="170" fillId="61" borderId="123" xfId="349" applyNumberFormat="1" applyFont="1" applyFill="1" applyBorder="1" applyAlignment="1">
      <alignment horizontal="center" vertical="center"/>
    </xf>
    <xf numFmtId="0" fontId="171" fillId="61" borderId="123" xfId="345" applyFont="1" applyFill="1" applyBorder="1" applyAlignment="1">
      <alignment horizontal="center" vertical="center"/>
    </xf>
    <xf numFmtId="9" fontId="107" fillId="61" borderId="21" xfId="345" applyNumberFormat="1" applyFont="1" applyFill="1" applyBorder="1">
      <alignment vertical="center"/>
    </xf>
    <xf numFmtId="0" fontId="128" fillId="80" borderId="56" xfId="0" applyFont="1" applyFill="1" applyBorder="1" applyAlignment="1">
      <alignment horizontal="centerContinuous" vertical="center"/>
    </xf>
    <xf numFmtId="0" fontId="128" fillId="80" borderId="108" xfId="0" applyFont="1" applyFill="1" applyBorder="1" applyAlignment="1">
      <alignment horizontal="centerContinuous" vertical="center"/>
    </xf>
    <xf numFmtId="0" fontId="128" fillId="80" borderId="99" xfId="0" applyFont="1" applyFill="1" applyBorder="1" applyAlignment="1">
      <alignment horizontal="centerContinuous" vertical="center"/>
    </xf>
    <xf numFmtId="0" fontId="128" fillId="80" borderId="107" xfId="0" applyFont="1" applyFill="1" applyBorder="1" applyAlignment="1">
      <alignment horizontal="centerContinuous" vertical="center"/>
    </xf>
    <xf numFmtId="0" fontId="129" fillId="80" borderId="123" xfId="0" applyFont="1" applyFill="1" applyBorder="1">
      <alignment vertical="center"/>
    </xf>
    <xf numFmtId="0" fontId="128" fillId="80" borderId="99" xfId="0" applyFont="1" applyFill="1" applyBorder="1" applyAlignment="1">
      <alignment horizontal="center" vertical="center"/>
    </xf>
    <xf numFmtId="0" fontId="128" fillId="80" borderId="107" xfId="0" applyFont="1" applyFill="1" applyBorder="1" applyAlignment="1">
      <alignment horizontal="center" vertical="center"/>
    </xf>
    <xf numFmtId="0" fontId="128" fillId="80" borderId="108" xfId="0" applyFont="1" applyFill="1" applyBorder="1" applyAlignment="1">
      <alignment horizontal="center" vertical="center"/>
    </xf>
    <xf numFmtId="0" fontId="159" fillId="80" borderId="0" xfId="0" applyFont="1" applyFill="1" applyAlignment="1">
      <alignment horizontal="center" vertical="center"/>
    </xf>
    <xf numFmtId="0" fontId="159" fillId="80" borderId="31" xfId="0" applyFont="1" applyFill="1" applyBorder="1" applyAlignment="1">
      <alignment horizontal="center" vertical="center"/>
    </xf>
    <xf numFmtId="0" fontId="159" fillId="80" borderId="11" xfId="0" applyFont="1" applyFill="1" applyBorder="1" applyAlignment="1">
      <alignment horizontal="center" vertical="center"/>
    </xf>
    <xf numFmtId="0" fontId="159" fillId="80" borderId="22" xfId="0" applyFont="1" applyFill="1" applyBorder="1" applyAlignment="1">
      <alignment horizontal="center" vertical="center"/>
    </xf>
    <xf numFmtId="0" fontId="159" fillId="80" borderId="30" xfId="0" applyFont="1" applyFill="1" applyBorder="1" applyAlignment="1">
      <alignment horizontal="center" vertical="center"/>
    </xf>
    <xf numFmtId="0" fontId="165" fillId="81" borderId="0" xfId="345" quotePrefix="1" applyFont="1" applyFill="1" applyAlignment="1">
      <alignment horizontal="center" vertical="center"/>
    </xf>
    <xf numFmtId="0" fontId="165" fillId="81" borderId="0" xfId="345" applyFont="1" applyFill="1" applyAlignment="1">
      <alignment horizontal="center" vertical="center"/>
    </xf>
    <xf numFmtId="0" fontId="165" fillId="81" borderId="0" xfId="345" applyFont="1" applyFill="1" applyAlignment="1">
      <alignment horizontal="center"/>
    </xf>
    <xf numFmtId="49" fontId="226" fillId="78" borderId="0" xfId="345" applyNumberFormat="1" applyFont="1" applyFill="1" applyAlignment="1">
      <alignment horizontal="centerContinuous" vertical="center"/>
    </xf>
    <xf numFmtId="49" fontId="167" fillId="78" borderId="0" xfId="345" applyNumberFormat="1" applyFont="1" applyFill="1" applyAlignment="1">
      <alignment horizontal="centerContinuous" vertical="center"/>
    </xf>
    <xf numFmtId="49" fontId="38" fillId="61" borderId="0" xfId="345" applyNumberFormat="1" applyFont="1" applyFill="1">
      <alignment vertical="center"/>
    </xf>
    <xf numFmtId="49" fontId="227" fillId="72" borderId="123" xfId="345" applyNumberFormat="1" applyFont="1" applyFill="1" applyBorder="1" applyAlignment="1">
      <alignment horizontal="center" vertical="center"/>
    </xf>
    <xf numFmtId="0" fontId="62" fillId="61" borderId="0" xfId="345" applyFill="1">
      <alignment vertical="center"/>
    </xf>
    <xf numFmtId="0" fontId="109" fillId="78" borderId="108" xfId="345" applyFont="1" applyFill="1" applyBorder="1" applyAlignment="1">
      <alignment horizontal="centerContinuous" vertical="center"/>
    </xf>
    <xf numFmtId="0" fontId="109" fillId="78" borderId="99" xfId="345" applyFont="1" applyFill="1" applyBorder="1" applyAlignment="1">
      <alignment horizontal="centerContinuous" vertical="center"/>
    </xf>
    <xf numFmtId="0" fontId="109" fillId="78" borderId="107" xfId="345" applyFont="1" applyFill="1" applyBorder="1" applyAlignment="1">
      <alignment horizontal="centerContinuous" vertical="center"/>
    </xf>
    <xf numFmtId="0" fontId="109" fillId="78" borderId="23" xfId="345" applyFont="1" applyFill="1" applyBorder="1" applyAlignment="1">
      <alignment horizontal="center" vertical="center"/>
    </xf>
    <xf numFmtId="0" fontId="109" fillId="78" borderId="22" xfId="345" applyFont="1" applyFill="1" applyBorder="1" applyAlignment="1">
      <alignment horizontal="center" vertical="center"/>
    </xf>
    <xf numFmtId="0" fontId="109" fillId="78" borderId="30" xfId="345" applyFont="1" applyFill="1" applyBorder="1" applyAlignment="1">
      <alignment horizontal="center" vertical="center"/>
    </xf>
    <xf numFmtId="205" fontId="108" fillId="71" borderId="123" xfId="484" applyNumberFormat="1" applyFont="1" applyFill="1" applyBorder="1" applyAlignment="1" applyProtection="1">
      <alignment vertical="center"/>
    </xf>
    <xf numFmtId="195" fontId="108" fillId="71" borderId="123" xfId="415" applyNumberFormat="1" applyFont="1" applyFill="1" applyBorder="1" applyAlignment="1" applyProtection="1">
      <alignment vertical="center"/>
    </xf>
    <xf numFmtId="205" fontId="108" fillId="71" borderId="107" xfId="484" applyNumberFormat="1" applyFont="1" applyFill="1" applyBorder="1" applyAlignment="1" applyProtection="1">
      <alignment vertical="center"/>
    </xf>
    <xf numFmtId="195" fontId="108" fillId="71" borderId="107" xfId="415" applyNumberFormat="1" applyFont="1" applyFill="1" applyBorder="1" applyAlignment="1" applyProtection="1">
      <alignment vertical="center"/>
    </xf>
    <xf numFmtId="205" fontId="107" fillId="61" borderId="97" xfId="484" applyNumberFormat="1" applyFont="1" applyFill="1" applyBorder="1" applyAlignment="1" applyProtection="1">
      <alignment vertical="center"/>
      <protection locked="0"/>
    </xf>
    <xf numFmtId="195" fontId="107" fillId="61" borderId="97" xfId="415" applyNumberFormat="1" applyFont="1" applyFill="1" applyBorder="1" applyAlignment="1" applyProtection="1">
      <alignment vertical="center"/>
      <protection locked="0"/>
    </xf>
    <xf numFmtId="205" fontId="108" fillId="71" borderId="97" xfId="484" applyNumberFormat="1" applyFont="1" applyFill="1" applyBorder="1" applyAlignment="1" applyProtection="1">
      <alignment vertical="center"/>
    </xf>
    <xf numFmtId="195" fontId="108" fillId="71" borderId="97" xfId="415" applyNumberFormat="1" applyFont="1" applyFill="1" applyBorder="1" applyAlignment="1" applyProtection="1">
      <alignment vertical="center"/>
    </xf>
    <xf numFmtId="195" fontId="149" fillId="61" borderId="21" xfId="415" applyNumberFormat="1" applyFont="1" applyFill="1" applyBorder="1" applyAlignment="1" applyProtection="1">
      <alignment vertical="center"/>
    </xf>
    <xf numFmtId="195" fontId="149" fillId="61" borderId="34" xfId="415" applyNumberFormat="1" applyFont="1" applyFill="1" applyBorder="1" applyAlignment="1" applyProtection="1">
      <alignment vertical="center"/>
    </xf>
    <xf numFmtId="205" fontId="107" fillId="61" borderId="45" xfId="484" applyNumberFormat="1" applyFont="1" applyFill="1" applyBorder="1" applyAlignment="1" applyProtection="1">
      <alignment vertical="center"/>
      <protection locked="0"/>
    </xf>
    <xf numFmtId="195" fontId="107" fillId="61" borderId="45" xfId="415" applyNumberFormat="1" applyFont="1" applyFill="1" applyBorder="1" applyAlignment="1" applyProtection="1">
      <alignment vertical="center"/>
      <protection locked="0"/>
    </xf>
    <xf numFmtId="205" fontId="107" fillId="61" borderId="24" xfId="484" applyNumberFormat="1" applyFont="1" applyFill="1" applyBorder="1" applyAlignment="1" applyProtection="1">
      <alignment vertical="center"/>
      <protection locked="0"/>
    </xf>
    <xf numFmtId="195" fontId="107" fillId="61" borderId="24" xfId="415" applyNumberFormat="1" applyFont="1" applyFill="1" applyBorder="1" applyAlignment="1" applyProtection="1">
      <alignment vertical="center"/>
      <protection locked="0"/>
    </xf>
    <xf numFmtId="195" fontId="149" fillId="61" borderId="24" xfId="415" applyNumberFormat="1" applyFont="1" applyFill="1" applyBorder="1" applyAlignment="1" applyProtection="1">
      <alignment vertical="center"/>
    </xf>
    <xf numFmtId="205" fontId="107" fillId="61" borderId="24" xfId="484" applyNumberFormat="1" applyFont="1" applyFill="1" applyBorder="1" applyAlignment="1">
      <alignment vertical="center"/>
    </xf>
    <xf numFmtId="195" fontId="107" fillId="61" borderId="24" xfId="415" applyNumberFormat="1" applyFont="1" applyFill="1" applyBorder="1" applyAlignment="1">
      <alignment vertical="center"/>
    </xf>
    <xf numFmtId="205" fontId="107" fillId="61" borderId="21" xfId="484" applyNumberFormat="1" applyFont="1" applyFill="1" applyBorder="1" applyAlignment="1">
      <alignment vertical="center"/>
    </xf>
    <xf numFmtId="195" fontId="107" fillId="61" borderId="21" xfId="415" applyNumberFormat="1" applyFont="1" applyFill="1" applyBorder="1" applyAlignment="1">
      <alignment vertical="center"/>
    </xf>
    <xf numFmtId="205" fontId="107" fillId="61" borderId="97" xfId="484" applyNumberFormat="1" applyFont="1" applyFill="1" applyBorder="1" applyAlignment="1">
      <alignment vertical="center"/>
    </xf>
    <xf numFmtId="195" fontId="107" fillId="61" borderId="97" xfId="415" applyNumberFormat="1" applyFont="1" applyFill="1" applyBorder="1" applyAlignment="1">
      <alignment vertical="center"/>
    </xf>
    <xf numFmtId="205" fontId="107" fillId="61" borderId="123" xfId="484" applyNumberFormat="1" applyFont="1" applyFill="1" applyBorder="1">
      <alignment vertical="center"/>
    </xf>
    <xf numFmtId="195" fontId="107" fillId="61" borderId="123" xfId="415" applyNumberFormat="1" applyFont="1" applyFill="1" applyBorder="1">
      <alignment vertical="center"/>
    </xf>
    <xf numFmtId="205" fontId="107" fillId="61" borderId="97" xfId="484" applyNumberFormat="1" applyFont="1" applyFill="1" applyBorder="1">
      <alignment vertical="center"/>
    </xf>
    <xf numFmtId="195" fontId="107" fillId="61" borderId="97" xfId="415" applyNumberFormat="1" applyFont="1" applyFill="1" applyBorder="1">
      <alignment vertical="center"/>
    </xf>
    <xf numFmtId="205" fontId="107" fillId="61" borderId="24" xfId="484" applyNumberFormat="1" applyFont="1" applyFill="1" applyBorder="1">
      <alignment vertical="center"/>
    </xf>
    <xf numFmtId="195" fontId="107" fillId="61" borderId="24" xfId="415" applyNumberFormat="1" applyFont="1" applyFill="1" applyBorder="1">
      <alignment vertical="center"/>
    </xf>
    <xf numFmtId="205" fontId="107" fillId="61" borderId="21" xfId="484" applyNumberFormat="1" applyFont="1" applyFill="1" applyBorder="1">
      <alignment vertical="center"/>
    </xf>
    <xf numFmtId="195" fontId="107" fillId="61" borderId="21" xfId="415" applyNumberFormat="1" applyFont="1" applyFill="1" applyBorder="1">
      <alignment vertical="center"/>
    </xf>
    <xf numFmtId="205" fontId="107" fillId="61" borderId="123" xfId="484" applyNumberFormat="1" applyFont="1" applyFill="1" applyBorder="1" applyAlignment="1">
      <alignment horizontal="right" vertical="center"/>
    </xf>
    <xf numFmtId="195" fontId="107" fillId="61" borderId="123" xfId="415" applyNumberFormat="1" applyFont="1" applyFill="1" applyBorder="1" applyAlignment="1">
      <alignment horizontal="right" vertical="center"/>
    </xf>
    <xf numFmtId="205" fontId="107" fillId="0" borderId="97" xfId="484" applyNumberFormat="1" applyFont="1" applyFill="1" applyBorder="1" applyAlignment="1">
      <alignment horizontal="right" vertical="center"/>
    </xf>
    <xf numFmtId="195" fontId="107" fillId="0" borderId="97" xfId="415" applyNumberFormat="1" applyFont="1" applyFill="1" applyBorder="1" applyAlignment="1">
      <alignment horizontal="right" vertical="center"/>
    </xf>
    <xf numFmtId="205" fontId="107" fillId="61" borderId="21" xfId="484" applyNumberFormat="1" applyFont="1" applyFill="1" applyBorder="1" applyAlignment="1">
      <alignment horizontal="right" vertical="center"/>
    </xf>
    <xf numFmtId="195" fontId="107" fillId="61" borderId="21" xfId="415" applyNumberFormat="1" applyFont="1" applyFill="1" applyBorder="1" applyAlignment="1">
      <alignment horizontal="right" vertical="center"/>
    </xf>
    <xf numFmtId="205" fontId="107" fillId="61" borderId="107" xfId="484" applyNumberFormat="1" applyFont="1" applyFill="1" applyBorder="1" applyAlignment="1">
      <alignment horizontal="right" vertical="center"/>
    </xf>
    <xf numFmtId="195" fontId="107" fillId="61" borderId="107" xfId="415" applyNumberFormat="1" applyFont="1" applyFill="1" applyBorder="1" applyAlignment="1">
      <alignment horizontal="right" vertical="center"/>
    </xf>
    <xf numFmtId="205" fontId="107" fillId="61" borderId="31" xfId="484" applyNumberFormat="1" applyFont="1" applyFill="1" applyBorder="1" applyAlignment="1">
      <alignment horizontal="right" vertical="center"/>
    </xf>
    <xf numFmtId="195" fontId="107" fillId="61" borderId="31" xfId="415" applyNumberFormat="1" applyFont="1" applyFill="1" applyBorder="1" applyAlignment="1">
      <alignment horizontal="right" vertical="center"/>
    </xf>
    <xf numFmtId="205" fontId="107" fillId="61" borderId="30" xfId="484" applyNumberFormat="1" applyFont="1" applyFill="1" applyBorder="1" applyAlignment="1">
      <alignment horizontal="right" vertical="center"/>
    </xf>
    <xf numFmtId="195" fontId="107" fillId="61" borderId="30" xfId="415" applyNumberFormat="1" applyFont="1" applyFill="1" applyBorder="1" applyAlignment="1">
      <alignment horizontal="right" vertical="center"/>
    </xf>
    <xf numFmtId="0" fontId="109" fillId="78" borderId="108" xfId="345" applyFont="1" applyFill="1" applyBorder="1" applyAlignment="1">
      <alignment horizontal="center" vertical="center"/>
    </xf>
    <xf numFmtId="0" fontId="109" fillId="78" borderId="99" xfId="345" applyFont="1" applyFill="1" applyBorder="1" applyAlignment="1">
      <alignment horizontal="center" vertical="center"/>
    </xf>
    <xf numFmtId="205" fontId="109" fillId="78" borderId="99" xfId="345" applyNumberFormat="1" applyFont="1" applyFill="1" applyBorder="1" applyAlignment="1">
      <alignment horizontal="center" vertical="center"/>
    </xf>
    <xf numFmtId="195" fontId="109" fillId="78" borderId="99" xfId="415" applyNumberFormat="1" applyFont="1" applyFill="1" applyBorder="1" applyAlignment="1">
      <alignment horizontal="center" vertical="center"/>
    </xf>
    <xf numFmtId="195" fontId="109" fillId="78" borderId="107" xfId="415" applyNumberFormat="1" applyFont="1" applyFill="1" applyBorder="1" applyAlignment="1">
      <alignment horizontal="center" vertical="center"/>
    </xf>
    <xf numFmtId="205" fontId="108" fillId="86" borderId="97" xfId="484" applyNumberFormat="1" applyFont="1" applyFill="1" applyBorder="1" applyAlignment="1">
      <alignment horizontal="right" vertical="center"/>
    </xf>
    <xf numFmtId="195" fontId="108" fillId="86" borderId="97" xfId="415" applyNumberFormat="1" applyFont="1" applyFill="1" applyBorder="1" applyAlignment="1">
      <alignment horizontal="right" vertical="center"/>
    </xf>
    <xf numFmtId="205" fontId="108" fillId="86" borderId="24" xfId="484" applyNumberFormat="1" applyFont="1" applyFill="1" applyBorder="1" applyAlignment="1">
      <alignment horizontal="right" vertical="center"/>
    </xf>
    <xf numFmtId="195" fontId="108" fillId="86" borderId="24" xfId="415" applyNumberFormat="1" applyFont="1" applyFill="1" applyBorder="1" applyAlignment="1">
      <alignment horizontal="right" vertical="center"/>
    </xf>
    <xf numFmtId="205" fontId="108" fillId="86" borderId="34" xfId="484" applyNumberFormat="1" applyFont="1" applyFill="1" applyBorder="1" applyAlignment="1">
      <alignment horizontal="right" vertical="center"/>
    </xf>
    <xf numFmtId="195" fontId="108" fillId="86" borderId="34" xfId="415" applyNumberFormat="1" applyFont="1" applyFill="1" applyBorder="1" applyAlignment="1">
      <alignment horizontal="right" vertical="center"/>
    </xf>
    <xf numFmtId="205" fontId="107" fillId="0" borderId="24" xfId="484" applyNumberFormat="1" applyFont="1" applyFill="1" applyBorder="1" applyAlignment="1">
      <alignment horizontal="right" vertical="center"/>
    </xf>
    <xf numFmtId="195" fontId="107" fillId="0" borderId="24" xfId="415" applyNumberFormat="1" applyFont="1" applyFill="1" applyBorder="1" applyAlignment="1">
      <alignment horizontal="right" vertical="center"/>
    </xf>
    <xf numFmtId="205" fontId="107" fillId="0" borderId="34" xfId="484" applyNumberFormat="1" applyFont="1" applyFill="1" applyBorder="1" applyAlignment="1">
      <alignment horizontal="right" vertical="center"/>
    </xf>
    <xf numFmtId="195" fontId="107" fillId="0" borderId="34" xfId="415" applyNumberFormat="1" applyFont="1" applyFill="1" applyBorder="1" applyAlignment="1">
      <alignment horizontal="right" vertical="center"/>
    </xf>
    <xf numFmtId="205" fontId="108" fillId="86" borderId="21" xfId="484" applyNumberFormat="1" applyFont="1" applyFill="1" applyBorder="1" applyAlignment="1">
      <alignment horizontal="right" vertical="center"/>
    </xf>
    <xf numFmtId="195" fontId="108" fillId="86" borderId="21" xfId="415" applyNumberFormat="1" applyFont="1" applyFill="1" applyBorder="1" applyAlignment="1">
      <alignment horizontal="right" vertical="center"/>
    </xf>
    <xf numFmtId="205" fontId="107" fillId="0" borderId="56" xfId="484" applyNumberFormat="1" applyFont="1" applyFill="1" applyBorder="1" applyAlignment="1" applyProtection="1">
      <alignment vertical="center"/>
    </xf>
    <xf numFmtId="195" fontId="107" fillId="0" borderId="56" xfId="415" applyNumberFormat="1" applyFont="1" applyFill="1" applyBorder="1" applyAlignment="1" applyProtection="1">
      <alignment vertical="center"/>
    </xf>
    <xf numFmtId="205" fontId="107" fillId="0" borderId="30" xfId="484" applyNumberFormat="1" applyFont="1" applyFill="1" applyBorder="1" applyAlignment="1" applyProtection="1">
      <alignment vertical="center"/>
    </xf>
    <xf numFmtId="195" fontId="107" fillId="0" borderId="30" xfId="415" applyNumberFormat="1" applyFont="1" applyFill="1" applyBorder="1" applyAlignment="1" applyProtection="1">
      <alignment vertical="center"/>
    </xf>
    <xf numFmtId="205" fontId="108" fillId="86" borderId="107" xfId="484" applyNumberFormat="1" applyFont="1" applyFill="1" applyBorder="1" applyAlignment="1" applyProtection="1">
      <alignment vertical="center"/>
    </xf>
    <xf numFmtId="195" fontId="108" fillId="86" borderId="107" xfId="415" applyNumberFormat="1" applyFont="1" applyFill="1" applyBorder="1" applyAlignment="1" applyProtection="1">
      <alignment vertical="center"/>
    </xf>
    <xf numFmtId="195" fontId="150" fillId="0" borderId="123" xfId="415" applyNumberFormat="1" applyFont="1" applyFill="1" applyBorder="1" applyAlignment="1" applyProtection="1">
      <alignment vertical="center"/>
    </xf>
    <xf numFmtId="197" fontId="119" fillId="61" borderId="99" xfId="297" applyNumberFormat="1" applyFont="1" applyFill="1" applyBorder="1" applyAlignment="1">
      <alignment horizontal="right" vertical="center"/>
    </xf>
    <xf numFmtId="197" fontId="119" fillId="0" borderId="107" xfId="297" applyNumberFormat="1" applyFont="1" applyFill="1" applyBorder="1" applyAlignment="1">
      <alignment horizontal="right" vertical="center"/>
    </xf>
    <xf numFmtId="197" fontId="119" fillId="0" borderId="99" xfId="297" applyNumberFormat="1" applyFont="1" applyFill="1" applyBorder="1" applyAlignment="1">
      <alignment horizontal="right" vertical="center"/>
    </xf>
    <xf numFmtId="205" fontId="107" fillId="61" borderId="78" xfId="484" applyNumberFormat="1" applyFont="1" applyFill="1" applyBorder="1" applyAlignment="1" applyProtection="1">
      <alignment vertical="center"/>
    </xf>
    <xf numFmtId="195" fontId="107" fillId="61" borderId="78" xfId="415" applyNumberFormat="1" applyFont="1" applyFill="1" applyBorder="1" applyAlignment="1" applyProtection="1">
      <alignment vertical="center"/>
    </xf>
    <xf numFmtId="205" fontId="107" fillId="0" borderId="78" xfId="484" applyNumberFormat="1" applyFont="1" applyFill="1" applyBorder="1" applyAlignment="1" applyProtection="1">
      <alignment vertical="center"/>
    </xf>
    <xf numFmtId="195" fontId="107" fillId="0" borderId="78" xfId="415" applyNumberFormat="1" applyFont="1" applyFill="1" applyBorder="1" applyAlignment="1" applyProtection="1">
      <alignment vertical="center"/>
    </xf>
    <xf numFmtId="38" fontId="107" fillId="61" borderId="31" xfId="484" applyFont="1" applyFill="1" applyBorder="1" applyAlignment="1" applyProtection="1">
      <alignment vertical="center"/>
    </xf>
    <xf numFmtId="205" fontId="107" fillId="61" borderId="31" xfId="484" applyNumberFormat="1" applyFont="1" applyFill="1" applyBorder="1" applyAlignment="1" applyProtection="1">
      <alignment vertical="center"/>
    </xf>
    <xf numFmtId="195" fontId="107" fillId="61" borderId="31" xfId="415" applyNumberFormat="1" applyFont="1" applyFill="1" applyBorder="1" applyAlignment="1" applyProtection="1">
      <alignment vertical="center"/>
    </xf>
    <xf numFmtId="205" fontId="107" fillId="0" borderId="31" xfId="484" applyNumberFormat="1" applyFont="1" applyFill="1" applyBorder="1" applyAlignment="1" applyProtection="1">
      <alignment vertical="center"/>
    </xf>
    <xf numFmtId="195" fontId="107" fillId="0" borderId="31" xfId="415" applyNumberFormat="1" applyFont="1" applyFill="1" applyBorder="1" applyAlignment="1" applyProtection="1">
      <alignment vertical="center"/>
    </xf>
    <xf numFmtId="205" fontId="107" fillId="61" borderId="30" xfId="484" applyNumberFormat="1" applyFont="1" applyFill="1" applyBorder="1" applyAlignment="1" applyProtection="1">
      <alignment vertical="center"/>
    </xf>
    <xf numFmtId="195" fontId="107" fillId="61" borderId="30" xfId="415" applyNumberFormat="1" applyFont="1" applyFill="1" applyBorder="1" applyAlignment="1" applyProtection="1">
      <alignment vertical="center"/>
    </xf>
    <xf numFmtId="195" fontId="149" fillId="0" borderId="34" xfId="415" applyNumberFormat="1" applyFont="1" applyFill="1" applyBorder="1" applyAlignment="1" applyProtection="1">
      <alignment vertical="center"/>
    </xf>
    <xf numFmtId="197" fontId="119" fillId="61" borderId="36" xfId="297" applyNumberFormat="1" applyFont="1" applyFill="1" applyBorder="1" applyAlignment="1">
      <alignment horizontal="right" vertical="center"/>
    </xf>
    <xf numFmtId="197" fontId="119" fillId="0" borderId="35" xfId="297" applyNumberFormat="1" applyFont="1" applyFill="1" applyBorder="1" applyAlignment="1">
      <alignment horizontal="right" vertical="center"/>
    </xf>
    <xf numFmtId="197" fontId="119" fillId="0" borderId="36" xfId="297" applyNumberFormat="1" applyFont="1" applyFill="1" applyBorder="1" applyAlignment="1">
      <alignment horizontal="right" vertical="center"/>
    </xf>
    <xf numFmtId="205" fontId="108" fillId="59" borderId="56" xfId="484" applyNumberFormat="1" applyFont="1" applyFill="1" applyBorder="1" applyAlignment="1" applyProtection="1">
      <alignment vertical="center"/>
    </xf>
    <xf numFmtId="195" fontId="108" fillId="59" borderId="56" xfId="415" applyNumberFormat="1" applyFont="1" applyFill="1" applyBorder="1" applyAlignment="1" applyProtection="1">
      <alignment vertical="center"/>
    </xf>
    <xf numFmtId="205" fontId="107" fillId="0" borderId="31" xfId="484" applyNumberFormat="1" applyFont="1" applyBorder="1" applyAlignment="1" applyProtection="1">
      <alignment vertical="center"/>
    </xf>
    <xf numFmtId="195" fontId="107" fillId="0" borderId="31" xfId="415" applyNumberFormat="1" applyFont="1" applyBorder="1" applyAlignment="1" applyProtection="1">
      <alignment vertical="center"/>
    </xf>
    <xf numFmtId="205" fontId="107" fillId="74" borderId="31" xfId="484" applyNumberFormat="1" applyFont="1" applyFill="1" applyBorder="1" applyAlignment="1" applyProtection="1">
      <alignment vertical="center"/>
    </xf>
    <xf numFmtId="195" fontId="107" fillId="74" borderId="31" xfId="415" applyNumberFormat="1" applyFont="1" applyFill="1" applyBorder="1" applyAlignment="1" applyProtection="1">
      <alignment vertical="center"/>
    </xf>
    <xf numFmtId="38" fontId="107" fillId="0" borderId="41" xfId="484" applyFont="1" applyBorder="1" applyAlignment="1" applyProtection="1">
      <alignment vertical="center"/>
    </xf>
    <xf numFmtId="205" fontId="107" fillId="0" borderId="43" xfId="484" applyNumberFormat="1" applyFont="1" applyBorder="1" applyAlignment="1" applyProtection="1">
      <alignment vertical="center"/>
    </xf>
    <xf numFmtId="195" fontId="107" fillId="0" borderId="43" xfId="415" applyNumberFormat="1" applyFont="1" applyBorder="1" applyAlignment="1" applyProtection="1">
      <alignment vertical="center"/>
    </xf>
    <xf numFmtId="205" fontId="107" fillId="0" borderId="35" xfId="484" applyNumberFormat="1" applyFont="1" applyBorder="1" applyAlignment="1" applyProtection="1">
      <alignment vertical="center"/>
    </xf>
    <xf numFmtId="195" fontId="107" fillId="0" borderId="35" xfId="415" applyNumberFormat="1" applyFont="1" applyBorder="1" applyAlignment="1" applyProtection="1">
      <alignment vertical="center"/>
    </xf>
    <xf numFmtId="195" fontId="150" fillId="61" borderId="24" xfId="415" applyNumberFormat="1" applyFont="1" applyFill="1" applyBorder="1" applyAlignment="1" applyProtection="1">
      <alignment vertical="center"/>
    </xf>
    <xf numFmtId="195" fontId="149" fillId="0" borderId="31" xfId="415" applyNumberFormat="1" applyFont="1" applyBorder="1" applyAlignment="1" applyProtection="1">
      <alignment vertical="center"/>
    </xf>
    <xf numFmtId="38" fontId="107" fillId="59" borderId="97" xfId="484" applyFont="1" applyFill="1" applyBorder="1" applyAlignment="1" applyProtection="1">
      <alignment vertical="center"/>
    </xf>
    <xf numFmtId="38" fontId="107" fillId="59" borderId="56" xfId="484" applyFont="1" applyFill="1" applyBorder="1" applyAlignment="1" applyProtection="1">
      <alignment vertical="center"/>
    </xf>
    <xf numFmtId="205" fontId="107" fillId="59" borderId="56" xfId="484" applyNumberFormat="1" applyFont="1" applyFill="1" applyBorder="1" applyAlignment="1" applyProtection="1">
      <alignment vertical="center"/>
    </xf>
    <xf numFmtId="195" fontId="107" fillId="59" borderId="56" xfId="415" applyNumberFormat="1" applyFont="1" applyFill="1" applyBorder="1" applyAlignment="1" applyProtection="1">
      <alignment vertical="center"/>
    </xf>
    <xf numFmtId="205" fontId="107" fillId="61" borderId="56" xfId="484" applyNumberFormat="1" applyFont="1" applyFill="1" applyBorder="1" applyAlignment="1" applyProtection="1">
      <alignment vertical="center"/>
    </xf>
    <xf numFmtId="195" fontId="107" fillId="61" borderId="56" xfId="415" applyNumberFormat="1" applyFont="1" applyFill="1" applyBorder="1" applyAlignment="1" applyProtection="1">
      <alignment vertical="center"/>
    </xf>
    <xf numFmtId="205" fontId="107" fillId="61" borderId="97" xfId="484" applyNumberFormat="1" applyFont="1" applyFill="1" applyBorder="1" applyAlignment="1">
      <alignment horizontal="right" vertical="center"/>
    </xf>
    <xf numFmtId="195" fontId="107" fillId="61" borderId="97" xfId="415" applyNumberFormat="1" applyFont="1" applyFill="1" applyBorder="1" applyAlignment="1">
      <alignment horizontal="right" vertical="center"/>
    </xf>
    <xf numFmtId="205" fontId="107" fillId="61" borderId="24" xfId="484" applyNumberFormat="1" applyFont="1" applyFill="1" applyBorder="1" applyAlignment="1">
      <alignment horizontal="right" vertical="center"/>
    </xf>
    <xf numFmtId="195" fontId="107" fillId="61" borderId="24" xfId="415" applyNumberFormat="1" applyFont="1" applyFill="1" applyBorder="1" applyAlignment="1">
      <alignment horizontal="right" vertical="center"/>
    </xf>
    <xf numFmtId="205" fontId="107" fillId="61" borderId="34" xfId="484" applyNumberFormat="1" applyFont="1" applyFill="1" applyBorder="1" applyAlignment="1">
      <alignment horizontal="right" vertical="center"/>
    </xf>
    <xf numFmtId="195" fontId="107" fillId="61" borderId="34" xfId="415" applyNumberFormat="1" applyFont="1" applyFill="1" applyBorder="1" applyAlignment="1">
      <alignment horizontal="right" vertical="center"/>
    </xf>
    <xf numFmtId="38" fontId="107" fillId="81" borderId="24" xfId="484" applyFont="1" applyFill="1" applyBorder="1" applyAlignment="1">
      <alignment horizontal="right" vertical="center"/>
    </xf>
    <xf numFmtId="205" fontId="107" fillId="81" borderId="24" xfId="484" applyNumberFormat="1" applyFont="1" applyFill="1" applyBorder="1" applyAlignment="1">
      <alignment horizontal="right" vertical="center"/>
    </xf>
    <xf numFmtId="195" fontId="107" fillId="81" borderId="24" xfId="415" applyNumberFormat="1" applyFont="1" applyFill="1" applyBorder="1" applyAlignment="1">
      <alignment horizontal="right" vertical="center"/>
    </xf>
    <xf numFmtId="38" fontId="107" fillId="81" borderId="34" xfId="484" applyFont="1" applyFill="1" applyBorder="1" applyAlignment="1">
      <alignment horizontal="right" vertical="center"/>
    </xf>
    <xf numFmtId="205" fontId="107" fillId="81" borderId="34" xfId="484" applyNumberFormat="1" applyFont="1" applyFill="1" applyBorder="1" applyAlignment="1">
      <alignment horizontal="right" vertical="center"/>
    </xf>
    <xf numFmtId="195" fontId="107" fillId="81" borderId="34" xfId="415" applyNumberFormat="1" applyFont="1" applyFill="1" applyBorder="1" applyAlignment="1">
      <alignment horizontal="right" vertical="center"/>
    </xf>
    <xf numFmtId="38" fontId="115" fillId="81" borderId="24" xfId="484" applyFont="1" applyFill="1" applyBorder="1" applyAlignment="1">
      <alignment horizontal="right" vertical="center"/>
    </xf>
    <xf numFmtId="38" fontId="115" fillId="81" borderId="21" xfId="484" applyFont="1" applyFill="1" applyBorder="1" applyAlignment="1">
      <alignment horizontal="right" vertical="center"/>
    </xf>
    <xf numFmtId="205" fontId="107" fillId="81" borderId="21" xfId="484" applyNumberFormat="1" applyFont="1" applyFill="1" applyBorder="1" applyAlignment="1">
      <alignment horizontal="right" vertical="center"/>
    </xf>
    <xf numFmtId="195" fontId="107" fillId="81" borderId="21" xfId="415" applyNumberFormat="1" applyFont="1" applyFill="1" applyBorder="1" applyAlignment="1">
      <alignment horizontal="right" vertical="center"/>
    </xf>
    <xf numFmtId="205" fontId="108" fillId="49" borderId="56" xfId="484" applyNumberFormat="1" applyFont="1" applyFill="1" applyBorder="1" applyAlignment="1" applyProtection="1">
      <alignment vertical="center"/>
    </xf>
    <xf numFmtId="195" fontId="108" fillId="49" borderId="56" xfId="415" applyNumberFormat="1" applyFont="1" applyFill="1" applyBorder="1" applyAlignment="1" applyProtection="1">
      <alignment vertical="center"/>
    </xf>
    <xf numFmtId="195" fontId="149" fillId="0" borderId="30" xfId="415" applyNumberFormat="1" applyFont="1" applyBorder="1" applyAlignment="1" applyProtection="1">
      <alignment vertical="center"/>
    </xf>
    <xf numFmtId="205" fontId="108" fillId="77" borderId="56" xfId="484" applyNumberFormat="1" applyFont="1" applyFill="1" applyBorder="1" applyAlignment="1" applyProtection="1">
      <alignment vertical="center"/>
    </xf>
    <xf numFmtId="195" fontId="108" fillId="77" borderId="56" xfId="415" applyNumberFormat="1" applyFont="1" applyFill="1" applyBorder="1" applyAlignment="1" applyProtection="1">
      <alignment vertical="center"/>
    </xf>
    <xf numFmtId="205" fontId="107" fillId="69" borderId="31" xfId="484" applyNumberFormat="1" applyFont="1" applyFill="1" applyBorder="1" applyAlignment="1" applyProtection="1">
      <alignment vertical="center"/>
    </xf>
    <xf numFmtId="195" fontId="107" fillId="69" borderId="31" xfId="415" applyNumberFormat="1" applyFont="1" applyFill="1" applyBorder="1" applyAlignment="1" applyProtection="1">
      <alignment vertical="center"/>
    </xf>
    <xf numFmtId="205" fontId="107" fillId="0" borderId="35" xfId="484" applyNumberFormat="1" applyFont="1" applyFill="1" applyBorder="1" applyAlignment="1" applyProtection="1">
      <alignment vertical="center"/>
    </xf>
    <xf numFmtId="195" fontId="107" fillId="0" borderId="35" xfId="415" applyNumberFormat="1" applyFont="1" applyFill="1" applyBorder="1" applyAlignment="1" applyProtection="1">
      <alignment vertical="center"/>
    </xf>
    <xf numFmtId="205" fontId="107" fillId="69" borderId="46" xfId="484" applyNumberFormat="1" applyFont="1" applyFill="1" applyBorder="1" applyAlignment="1" applyProtection="1">
      <alignment vertical="center"/>
    </xf>
    <xf numFmtId="195" fontId="107" fillId="69" borderId="46" xfId="415" applyNumberFormat="1" applyFont="1" applyFill="1" applyBorder="1" applyAlignment="1" applyProtection="1">
      <alignment vertical="center"/>
    </xf>
    <xf numFmtId="195" fontId="149" fillId="69" borderId="46" xfId="415" applyNumberFormat="1" applyFont="1" applyFill="1" applyBorder="1" applyAlignment="1" applyProtection="1">
      <alignment vertical="center"/>
    </xf>
    <xf numFmtId="195" fontId="149" fillId="0" borderId="31" xfId="415" applyNumberFormat="1" applyFont="1" applyFill="1" applyBorder="1" applyAlignment="1" applyProtection="1">
      <alignment vertical="center"/>
    </xf>
    <xf numFmtId="195" fontId="149" fillId="0" borderId="35" xfId="415" applyNumberFormat="1" applyFont="1" applyFill="1" applyBorder="1" applyAlignment="1" applyProtection="1">
      <alignment vertical="center"/>
    </xf>
    <xf numFmtId="195" fontId="149" fillId="0" borderId="30" xfId="415" applyNumberFormat="1" applyFont="1" applyFill="1" applyBorder="1" applyAlignment="1" applyProtection="1">
      <alignment vertical="center"/>
    </xf>
    <xf numFmtId="205" fontId="108" fillId="63" borderId="56" xfId="484" applyNumberFormat="1" applyFont="1" applyFill="1" applyBorder="1" applyAlignment="1" applyProtection="1">
      <alignment vertical="center"/>
    </xf>
    <xf numFmtId="195" fontId="108" fillId="63" borderId="56" xfId="415" applyNumberFormat="1" applyFont="1" applyFill="1" applyBorder="1" applyAlignment="1" applyProtection="1">
      <alignment vertical="center"/>
    </xf>
    <xf numFmtId="195" fontId="150" fillId="0" borderId="35" xfId="415" applyNumberFormat="1" applyFont="1" applyFill="1" applyBorder="1" applyAlignment="1" applyProtection="1">
      <alignment vertical="center"/>
    </xf>
    <xf numFmtId="195" fontId="149" fillId="0" borderId="35" xfId="415" applyNumberFormat="1" applyFont="1" applyBorder="1" applyAlignment="1" applyProtection="1">
      <alignment vertical="center"/>
    </xf>
    <xf numFmtId="205" fontId="108" fillId="66" borderId="56" xfId="484" applyNumberFormat="1" applyFont="1" applyFill="1" applyBorder="1" applyAlignment="1"/>
    <xf numFmtId="195" fontId="108" fillId="66" borderId="56" xfId="415" applyNumberFormat="1" applyFont="1" applyFill="1" applyBorder="1" applyAlignment="1"/>
    <xf numFmtId="38" fontId="186" fillId="66" borderId="56" xfId="484" applyFont="1" applyFill="1" applyBorder="1" applyAlignment="1"/>
    <xf numFmtId="38" fontId="108" fillId="69" borderId="24" xfId="484" applyFont="1" applyFill="1" applyBorder="1" applyAlignment="1"/>
    <xf numFmtId="38" fontId="108" fillId="69" borderId="31" xfId="484" applyFont="1" applyFill="1" applyBorder="1" applyAlignment="1"/>
    <xf numFmtId="205" fontId="108" fillId="69" borderId="31" xfId="484" applyNumberFormat="1" applyFont="1" applyFill="1" applyBorder="1" applyAlignment="1"/>
    <xf numFmtId="195" fontId="108" fillId="69" borderId="31" xfId="415" applyNumberFormat="1" applyFont="1" applyFill="1" applyBorder="1" applyAlignment="1"/>
    <xf numFmtId="205" fontId="107" fillId="85" borderId="31" xfId="484" applyNumberFormat="1" applyFont="1" applyFill="1" applyBorder="1" applyAlignment="1" applyProtection="1">
      <alignment vertical="center"/>
    </xf>
    <xf numFmtId="195" fontId="107" fillId="85" borderId="31" xfId="415" applyNumberFormat="1" applyFont="1" applyFill="1" applyBorder="1" applyAlignment="1" applyProtection="1">
      <alignment vertical="center"/>
    </xf>
    <xf numFmtId="195" fontId="149" fillId="69" borderId="31" xfId="415" applyNumberFormat="1" applyFont="1" applyFill="1" applyBorder="1" applyAlignment="1" applyProtection="1">
      <alignment vertical="center"/>
    </xf>
    <xf numFmtId="195" fontId="149" fillId="85" borderId="31" xfId="415" applyNumberFormat="1" applyFont="1" applyFill="1" applyBorder="1" applyAlignment="1" applyProtection="1">
      <alignment vertical="center"/>
    </xf>
    <xf numFmtId="205" fontId="107" fillId="69" borderId="31" xfId="484" applyNumberFormat="1" applyFont="1" applyFill="1" applyBorder="1" applyAlignment="1"/>
    <xf numFmtId="195" fontId="107" fillId="69" borderId="31" xfId="415" applyNumberFormat="1" applyFont="1" applyFill="1" applyBorder="1" applyAlignment="1"/>
    <xf numFmtId="38" fontId="108" fillId="66" borderId="56" xfId="414" applyFont="1" applyFill="1" applyBorder="1" applyAlignment="1"/>
    <xf numFmtId="205" fontId="107" fillId="0" borderId="30" xfId="484" applyNumberFormat="1" applyFont="1" applyBorder="1" applyAlignment="1" applyProtection="1">
      <alignment vertical="center"/>
    </xf>
    <xf numFmtId="195" fontId="107" fillId="0" borderId="30" xfId="415" applyNumberFormat="1" applyFont="1" applyBorder="1" applyAlignment="1" applyProtection="1">
      <alignment vertical="center"/>
    </xf>
    <xf numFmtId="38" fontId="107" fillId="81" borderId="31" xfId="484" applyFont="1" applyFill="1" applyBorder="1" applyAlignment="1" applyProtection="1">
      <alignment vertical="center"/>
    </xf>
    <xf numFmtId="205" fontId="107" fillId="81" borderId="31" xfId="484" applyNumberFormat="1" applyFont="1" applyFill="1" applyBorder="1" applyAlignment="1" applyProtection="1">
      <alignment vertical="center"/>
    </xf>
    <xf numFmtId="195" fontId="107" fillId="81" borderId="31" xfId="415" applyNumberFormat="1" applyFont="1" applyFill="1" applyBorder="1" applyAlignment="1" applyProtection="1">
      <alignment vertical="center"/>
    </xf>
    <xf numFmtId="38" fontId="107" fillId="81" borderId="35" xfId="484" applyFont="1" applyFill="1" applyBorder="1" applyAlignment="1" applyProtection="1">
      <alignment vertical="center"/>
    </xf>
    <xf numFmtId="205" fontId="107" fillId="81" borderId="35" xfId="484" applyNumberFormat="1" applyFont="1" applyFill="1" applyBorder="1" applyAlignment="1" applyProtection="1">
      <alignment vertical="center"/>
    </xf>
    <xf numFmtId="195" fontId="107" fillId="81" borderId="35" xfId="415" applyNumberFormat="1" applyFont="1" applyFill="1" applyBorder="1" applyAlignment="1" applyProtection="1">
      <alignment vertical="center"/>
    </xf>
    <xf numFmtId="38" fontId="107" fillId="81" borderId="30" xfId="484" applyFont="1" applyFill="1" applyBorder="1" applyAlignment="1" applyProtection="1">
      <alignment vertical="center"/>
    </xf>
    <xf numFmtId="205" fontId="107" fillId="81" borderId="30" xfId="484" applyNumberFormat="1" applyFont="1" applyFill="1" applyBorder="1" applyAlignment="1" applyProtection="1">
      <alignment vertical="center"/>
    </xf>
    <xf numFmtId="195" fontId="107" fillId="81" borderId="30" xfId="415" applyNumberFormat="1" applyFont="1" applyFill="1" applyBorder="1" applyAlignment="1" applyProtection="1">
      <alignment vertical="center"/>
    </xf>
    <xf numFmtId="205" fontId="108" fillId="66" borderId="56" xfId="484" applyNumberFormat="1" applyFont="1" applyFill="1" applyBorder="1" applyAlignment="1" applyProtection="1">
      <alignment vertical="center"/>
    </xf>
    <xf numFmtId="195" fontId="108" fillId="66" borderId="56" xfId="415" applyNumberFormat="1" applyFont="1" applyFill="1" applyBorder="1" applyAlignment="1" applyProtection="1">
      <alignment vertical="center"/>
    </xf>
    <xf numFmtId="38" fontId="186" fillId="66" borderId="56" xfId="484" applyFont="1" applyFill="1" applyBorder="1" applyAlignment="1" applyProtection="1">
      <alignment vertical="center"/>
    </xf>
    <xf numFmtId="197" fontId="119" fillId="61" borderId="107" xfId="297" applyNumberFormat="1" applyFont="1" applyFill="1" applyBorder="1" applyAlignment="1">
      <alignment horizontal="right" vertical="center"/>
    </xf>
    <xf numFmtId="197" fontId="119" fillId="61" borderId="35" xfId="297" applyNumberFormat="1" applyFont="1" applyFill="1" applyBorder="1" applyAlignment="1">
      <alignment horizontal="right" vertical="center"/>
    </xf>
    <xf numFmtId="205" fontId="107" fillId="61" borderId="123" xfId="484" applyNumberFormat="1" applyFont="1" applyFill="1" applyBorder="1" applyAlignment="1" applyProtection="1">
      <alignment vertical="center"/>
    </xf>
    <xf numFmtId="195" fontId="107" fillId="61" borderId="123" xfId="415" applyNumberFormat="1" applyFont="1" applyFill="1" applyBorder="1" applyAlignment="1" applyProtection="1">
      <alignment vertical="center"/>
    </xf>
    <xf numFmtId="205" fontId="107" fillId="61" borderId="97" xfId="484" applyNumberFormat="1" applyFont="1" applyFill="1" applyBorder="1" applyAlignment="1" applyProtection="1">
      <alignment vertical="center"/>
    </xf>
    <xf numFmtId="195" fontId="107" fillId="61" borderId="97" xfId="415" applyNumberFormat="1" applyFont="1" applyFill="1" applyBorder="1" applyAlignment="1" applyProtection="1">
      <alignment vertical="center"/>
    </xf>
    <xf numFmtId="205" fontId="107" fillId="61" borderId="21" xfId="484" applyNumberFormat="1" applyFont="1" applyFill="1" applyBorder="1" applyAlignment="1" applyProtection="1">
      <alignment vertical="center"/>
    </xf>
    <xf numFmtId="195" fontId="107" fillId="61" borderId="21" xfId="415" applyNumberFormat="1" applyFont="1" applyFill="1" applyBorder="1" applyAlignment="1" applyProtection="1">
      <alignment vertical="center"/>
    </xf>
    <xf numFmtId="205" fontId="107" fillId="67" borderId="97" xfId="484" applyNumberFormat="1" applyFont="1" applyFill="1" applyBorder="1" applyAlignment="1" applyProtection="1">
      <alignment vertical="center"/>
    </xf>
    <xf numFmtId="195" fontId="107" fillId="67" borderId="97" xfId="415" applyNumberFormat="1" applyFont="1" applyFill="1" applyBorder="1" applyAlignment="1" applyProtection="1">
      <alignment vertical="center"/>
    </xf>
    <xf numFmtId="205" fontId="107" fillId="61" borderId="24" xfId="484" applyNumberFormat="1" applyFont="1" applyFill="1" applyBorder="1" applyAlignment="1" applyProtection="1">
      <alignment vertical="center"/>
    </xf>
    <xf numFmtId="195" fontId="107" fillId="61" borderId="24" xfId="415" applyNumberFormat="1" applyFont="1" applyFill="1" applyBorder="1" applyAlignment="1" applyProtection="1">
      <alignment vertical="center"/>
    </xf>
    <xf numFmtId="38" fontId="107" fillId="64" borderId="24" xfId="484" applyFont="1" applyFill="1" applyBorder="1" applyAlignment="1" applyProtection="1">
      <alignment vertical="center"/>
    </xf>
    <xf numFmtId="205" fontId="107" fillId="64" borderId="24" xfId="484" applyNumberFormat="1" applyFont="1" applyFill="1" applyBorder="1" applyAlignment="1" applyProtection="1">
      <alignment vertical="center"/>
    </xf>
    <xf numFmtId="195" fontId="107" fillId="64" borderId="24" xfId="415" applyNumberFormat="1" applyFont="1" applyFill="1" applyBorder="1" applyAlignment="1" applyProtection="1">
      <alignment vertical="center"/>
    </xf>
    <xf numFmtId="38" fontId="107" fillId="83" borderId="24" xfId="484" applyFont="1" applyFill="1" applyBorder="1" applyAlignment="1" applyProtection="1">
      <alignment vertical="center"/>
    </xf>
    <xf numFmtId="205" fontId="107" fillId="83" borderId="24" xfId="484" applyNumberFormat="1" applyFont="1" applyFill="1" applyBorder="1" applyAlignment="1" applyProtection="1">
      <alignment vertical="center"/>
    </xf>
    <xf numFmtId="195" fontId="107" fillId="83" borderId="24" xfId="415" applyNumberFormat="1" applyFont="1" applyFill="1" applyBorder="1" applyAlignment="1" applyProtection="1">
      <alignment vertical="center"/>
    </xf>
    <xf numFmtId="38" fontId="107" fillId="63" borderId="24" xfId="484" applyFont="1" applyFill="1" applyBorder="1" applyAlignment="1" applyProtection="1">
      <alignment vertical="center"/>
    </xf>
    <xf numFmtId="205" fontId="107" fillId="63" borderId="24" xfId="484" applyNumberFormat="1" applyFont="1" applyFill="1" applyBorder="1" applyAlignment="1" applyProtection="1">
      <alignment vertical="center"/>
    </xf>
    <xf numFmtId="195" fontId="107" fillId="63" borderId="24" xfId="415" applyNumberFormat="1" applyFont="1" applyFill="1" applyBorder="1" applyAlignment="1" applyProtection="1">
      <alignment vertical="center"/>
    </xf>
    <xf numFmtId="38" fontId="107" fillId="75" borderId="24" xfId="484" applyFont="1" applyFill="1" applyBorder="1" applyAlignment="1" applyProtection="1">
      <alignment vertical="center"/>
    </xf>
    <xf numFmtId="205" fontId="107" fillId="75" borderId="24" xfId="484" applyNumberFormat="1" applyFont="1" applyFill="1" applyBorder="1" applyAlignment="1" applyProtection="1">
      <alignment vertical="center"/>
    </xf>
    <xf numFmtId="195" fontId="107" fillId="75" borderId="24" xfId="415" applyNumberFormat="1" applyFont="1" applyFill="1" applyBorder="1" applyAlignment="1" applyProtection="1">
      <alignment vertical="center"/>
    </xf>
    <xf numFmtId="205" fontId="108" fillId="67" borderId="56" xfId="345" applyNumberFormat="1" applyFont="1" applyFill="1" applyBorder="1">
      <alignment vertical="center"/>
    </xf>
    <xf numFmtId="195" fontId="108" fillId="67" borderId="56" xfId="415" applyNumberFormat="1" applyFont="1" applyFill="1" applyBorder="1">
      <alignment vertical="center"/>
    </xf>
    <xf numFmtId="205" fontId="108" fillId="70" borderId="31" xfId="345" applyNumberFormat="1" applyFont="1" applyFill="1" applyBorder="1">
      <alignment vertical="center"/>
    </xf>
    <xf numFmtId="195" fontId="108" fillId="70" borderId="31" xfId="415" applyNumberFormat="1" applyFont="1" applyFill="1" applyBorder="1">
      <alignment vertical="center"/>
    </xf>
    <xf numFmtId="205" fontId="107" fillId="61" borderId="34" xfId="484" applyNumberFormat="1" applyFont="1" applyFill="1" applyBorder="1">
      <alignment vertical="center"/>
    </xf>
    <xf numFmtId="195" fontId="107" fillId="61" borderId="34" xfId="415" applyNumberFormat="1" applyFont="1" applyFill="1" applyBorder="1">
      <alignment vertical="center"/>
    </xf>
    <xf numFmtId="205" fontId="107" fillId="61" borderId="45" xfId="484" applyNumberFormat="1" applyFont="1" applyFill="1" applyBorder="1">
      <alignment vertical="center"/>
    </xf>
    <xf numFmtId="195" fontId="107" fillId="61" borderId="45" xfId="415" applyNumberFormat="1" applyFont="1" applyFill="1" applyBorder="1">
      <alignment vertical="center"/>
    </xf>
    <xf numFmtId="205" fontId="107" fillId="0" borderId="45" xfId="484" applyNumberFormat="1" applyFont="1" applyFill="1" applyBorder="1">
      <alignment vertical="center"/>
    </xf>
    <xf numFmtId="195" fontId="107" fillId="0" borderId="45" xfId="415" applyNumberFormat="1" applyFont="1" applyFill="1" applyBorder="1">
      <alignment vertical="center"/>
    </xf>
    <xf numFmtId="205" fontId="107" fillId="0" borderId="34" xfId="484" applyNumberFormat="1" applyFont="1" applyFill="1" applyBorder="1">
      <alignment vertical="center"/>
    </xf>
    <xf numFmtId="195" fontId="107" fillId="0" borderId="34" xfId="415" applyNumberFormat="1" applyFont="1" applyFill="1" applyBorder="1">
      <alignment vertical="center"/>
    </xf>
    <xf numFmtId="205" fontId="107" fillId="0" borderId="80" xfId="484" applyNumberFormat="1" applyFont="1" applyFill="1" applyBorder="1">
      <alignment vertical="center"/>
    </xf>
    <xf numFmtId="195" fontId="107" fillId="0" borderId="80" xfId="415" applyNumberFormat="1" applyFont="1" applyFill="1" applyBorder="1">
      <alignment vertical="center"/>
    </xf>
    <xf numFmtId="205" fontId="107" fillId="0" borderId="79" xfId="484" applyNumberFormat="1" applyFont="1" applyFill="1" applyBorder="1">
      <alignment vertical="center"/>
    </xf>
    <xf numFmtId="195" fontId="107" fillId="0" borderId="79" xfId="415" applyNumberFormat="1" applyFont="1" applyFill="1" applyBorder="1">
      <alignment vertical="center"/>
    </xf>
    <xf numFmtId="205" fontId="107" fillId="0" borderId="41" xfId="484" applyNumberFormat="1" applyFont="1" applyFill="1" applyBorder="1">
      <alignment vertical="center"/>
    </xf>
    <xf numFmtId="195" fontId="107" fillId="0" borderId="41" xfId="415" applyNumberFormat="1" applyFont="1" applyFill="1" applyBorder="1">
      <alignment vertical="center"/>
    </xf>
    <xf numFmtId="205" fontId="107" fillId="0" borderId="24" xfId="484" applyNumberFormat="1" applyFont="1" applyFill="1" applyBorder="1">
      <alignment vertical="center"/>
    </xf>
    <xf numFmtId="195" fontId="107" fillId="0" borderId="24" xfId="415" applyNumberFormat="1" applyFont="1" applyFill="1" applyBorder="1">
      <alignment vertical="center"/>
    </xf>
    <xf numFmtId="205" fontId="107" fillId="0" borderId="123" xfId="484" applyNumberFormat="1" applyFont="1" applyFill="1" applyBorder="1">
      <alignment vertical="center"/>
    </xf>
    <xf numFmtId="195" fontId="107" fillId="0" borderId="123" xfId="415" applyNumberFormat="1" applyFont="1" applyFill="1" applyBorder="1">
      <alignment vertical="center"/>
    </xf>
    <xf numFmtId="205" fontId="108" fillId="69" borderId="56" xfId="345" applyNumberFormat="1" applyFont="1" applyFill="1" applyBorder="1">
      <alignment vertical="center"/>
    </xf>
    <xf numFmtId="195" fontId="108" fillId="69" borderId="56" xfId="415" applyNumberFormat="1" applyFont="1" applyFill="1" applyBorder="1">
      <alignment vertical="center"/>
    </xf>
    <xf numFmtId="205" fontId="108" fillId="67" borderId="56" xfId="484" applyNumberFormat="1" applyFont="1" applyFill="1" applyBorder="1">
      <alignment vertical="center"/>
    </xf>
    <xf numFmtId="205" fontId="107" fillId="0" borderId="21" xfId="484" applyNumberFormat="1" applyFont="1" applyFill="1" applyBorder="1">
      <alignment vertical="center"/>
    </xf>
    <xf numFmtId="195" fontId="107" fillId="0" borderId="21" xfId="415" applyNumberFormat="1" applyFont="1" applyFill="1" applyBorder="1">
      <alignment vertical="center"/>
    </xf>
    <xf numFmtId="205" fontId="107" fillId="61" borderId="78" xfId="484" applyNumberFormat="1" applyFont="1" applyFill="1" applyBorder="1">
      <alignment vertical="center"/>
    </xf>
    <xf numFmtId="195" fontId="107" fillId="61" borderId="78" xfId="415" applyNumberFormat="1" applyFont="1" applyFill="1" applyBorder="1">
      <alignment vertical="center"/>
    </xf>
    <xf numFmtId="205" fontId="107" fillId="61" borderId="46" xfId="484" applyNumberFormat="1" applyFont="1" applyFill="1" applyBorder="1">
      <alignment vertical="center"/>
    </xf>
    <xf numFmtId="195" fontId="107" fillId="61" borderId="46" xfId="415" applyNumberFormat="1" applyFont="1" applyFill="1" applyBorder="1">
      <alignment vertical="center"/>
    </xf>
    <xf numFmtId="205" fontId="107" fillId="61" borderId="31" xfId="484" applyNumberFormat="1" applyFont="1" applyFill="1" applyBorder="1">
      <alignment vertical="center"/>
    </xf>
    <xf numFmtId="195" fontId="107" fillId="61" borderId="31" xfId="415" applyNumberFormat="1" applyFont="1" applyFill="1" applyBorder="1">
      <alignment vertical="center"/>
    </xf>
    <xf numFmtId="205" fontId="107" fillId="61" borderId="30" xfId="484" applyNumberFormat="1" applyFont="1" applyFill="1" applyBorder="1">
      <alignment vertical="center"/>
    </xf>
    <xf numFmtId="195" fontId="107" fillId="61" borderId="30" xfId="415" applyNumberFormat="1" applyFont="1" applyFill="1" applyBorder="1">
      <alignment vertical="center"/>
    </xf>
    <xf numFmtId="205" fontId="107" fillId="64" borderId="97" xfId="484" applyNumberFormat="1" applyFont="1" applyFill="1" applyBorder="1">
      <alignment vertical="center"/>
    </xf>
    <xf numFmtId="195" fontId="107" fillId="64" borderId="97" xfId="415" applyNumberFormat="1" applyFont="1" applyFill="1" applyBorder="1">
      <alignment vertical="center"/>
    </xf>
    <xf numFmtId="205" fontId="107" fillId="70" borderId="24" xfId="484" applyNumberFormat="1" applyFont="1" applyFill="1" applyBorder="1">
      <alignment vertical="center"/>
    </xf>
    <xf numFmtId="195" fontId="107" fillId="70" borderId="24" xfId="415" applyNumberFormat="1" applyFont="1" applyFill="1" applyBorder="1">
      <alignment vertical="center"/>
    </xf>
    <xf numFmtId="205" fontId="107" fillId="61" borderId="79" xfId="484" applyNumberFormat="1" applyFont="1" applyFill="1" applyBorder="1">
      <alignment vertical="center"/>
    </xf>
    <xf numFmtId="195" fontId="107" fillId="61" borderId="79" xfId="415" applyNumberFormat="1" applyFont="1" applyFill="1" applyBorder="1">
      <alignment vertical="center"/>
    </xf>
    <xf numFmtId="205" fontId="107" fillId="61" borderId="41" xfId="484" applyNumberFormat="1" applyFont="1" applyFill="1" applyBorder="1">
      <alignment vertical="center"/>
    </xf>
    <xf numFmtId="195" fontId="107" fillId="61" borderId="41" xfId="415" applyNumberFormat="1" applyFont="1" applyFill="1" applyBorder="1">
      <alignment vertical="center"/>
    </xf>
    <xf numFmtId="205" fontId="107" fillId="61" borderId="80" xfId="484" applyNumberFormat="1" applyFont="1" applyFill="1" applyBorder="1">
      <alignment vertical="center"/>
    </xf>
    <xf numFmtId="195" fontId="107" fillId="61" borderId="80" xfId="415" applyNumberFormat="1" applyFont="1" applyFill="1" applyBorder="1">
      <alignment vertical="center"/>
    </xf>
    <xf numFmtId="205" fontId="107" fillId="69" borderId="97" xfId="484" applyNumberFormat="1" applyFont="1" applyFill="1" applyBorder="1">
      <alignment vertical="center"/>
    </xf>
    <xf numFmtId="195" fontId="107" fillId="69" borderId="97" xfId="415" applyNumberFormat="1" applyFont="1" applyFill="1" applyBorder="1">
      <alignment vertical="center"/>
    </xf>
    <xf numFmtId="205" fontId="107" fillId="77" borderId="97" xfId="484" applyNumberFormat="1" applyFont="1" applyFill="1" applyBorder="1" applyAlignment="1" applyProtection="1">
      <alignment vertical="center"/>
    </xf>
    <xf numFmtId="195" fontId="107" fillId="77" borderId="97" xfId="415" applyNumberFormat="1" applyFont="1" applyFill="1" applyBorder="1" applyAlignment="1" applyProtection="1">
      <alignment vertical="center"/>
    </xf>
    <xf numFmtId="38" fontId="186" fillId="66" borderId="97" xfId="484" applyFont="1" applyFill="1" applyBorder="1" applyAlignment="1"/>
    <xf numFmtId="205" fontId="107" fillId="70" borderId="31" xfId="484" applyNumberFormat="1" applyFont="1" applyFill="1" applyBorder="1">
      <alignment vertical="center"/>
    </xf>
    <xf numFmtId="195" fontId="107" fillId="70" borderId="31" xfId="415" applyNumberFormat="1" applyFont="1" applyFill="1" applyBorder="1">
      <alignment vertical="center"/>
    </xf>
    <xf numFmtId="38" fontId="115" fillId="70" borderId="24" xfId="484" applyFont="1" applyFill="1" applyBorder="1">
      <alignment vertical="center"/>
    </xf>
    <xf numFmtId="205" fontId="107" fillId="0" borderId="31" xfId="484" applyNumberFormat="1" applyFont="1" applyFill="1" applyBorder="1">
      <alignment vertical="center"/>
    </xf>
    <xf numFmtId="195" fontId="107" fillId="0" borderId="31" xfId="415" applyNumberFormat="1" applyFont="1" applyFill="1" applyBorder="1">
      <alignment vertical="center"/>
    </xf>
    <xf numFmtId="205" fontId="107" fillId="69" borderId="56" xfId="484" applyNumberFormat="1" applyFont="1" applyFill="1" applyBorder="1">
      <alignment vertical="center"/>
    </xf>
    <xf numFmtId="195" fontId="107" fillId="69" borderId="56" xfId="415" applyNumberFormat="1" applyFont="1" applyFill="1" applyBorder="1">
      <alignment vertical="center"/>
    </xf>
    <xf numFmtId="38" fontId="115" fillId="69" borderId="97" xfId="484" applyFont="1" applyFill="1" applyBorder="1">
      <alignment vertical="center"/>
    </xf>
    <xf numFmtId="205" fontId="107" fillId="0" borderId="30" xfId="484" applyNumberFormat="1" applyFont="1" applyFill="1" applyBorder="1">
      <alignment vertical="center"/>
    </xf>
    <xf numFmtId="195" fontId="107" fillId="0" borderId="30" xfId="415" applyNumberFormat="1" applyFont="1" applyFill="1" applyBorder="1">
      <alignment vertical="center"/>
    </xf>
    <xf numFmtId="205" fontId="107" fillId="61" borderId="35" xfId="484" applyNumberFormat="1" applyFont="1" applyFill="1" applyBorder="1">
      <alignment vertical="center"/>
    </xf>
    <xf numFmtId="195" fontId="107" fillId="61" borderId="35" xfId="415" applyNumberFormat="1" applyFont="1" applyFill="1" applyBorder="1">
      <alignment vertical="center"/>
    </xf>
    <xf numFmtId="205" fontId="108" fillId="0" borderId="123" xfId="484" applyNumberFormat="1" applyFont="1" applyFill="1" applyBorder="1" applyAlignment="1"/>
    <xf numFmtId="195" fontId="108" fillId="0" borderId="123" xfId="415" applyNumberFormat="1" applyFont="1" applyFill="1" applyBorder="1" applyAlignment="1"/>
    <xf numFmtId="38" fontId="108" fillId="67" borderId="97" xfId="484" applyFont="1" applyFill="1" applyBorder="1" applyAlignment="1"/>
    <xf numFmtId="205" fontId="108" fillId="67" borderId="97" xfId="484" applyNumberFormat="1" applyFont="1" applyFill="1" applyBorder="1" applyAlignment="1"/>
    <xf numFmtId="195" fontId="108" fillId="67" borderId="97" xfId="415" applyNumberFormat="1" applyFont="1" applyFill="1" applyBorder="1" applyAlignment="1"/>
    <xf numFmtId="205" fontId="108" fillId="64" borderId="97" xfId="484" applyNumberFormat="1" applyFont="1" applyFill="1" applyBorder="1" applyAlignment="1"/>
    <xf numFmtId="195" fontId="108" fillId="64" borderId="97" xfId="415" applyNumberFormat="1" applyFont="1" applyFill="1" applyBorder="1" applyAlignment="1"/>
    <xf numFmtId="205" fontId="108" fillId="77" borderId="97" xfId="484" applyNumberFormat="1" applyFont="1" applyFill="1" applyBorder="1" applyAlignment="1"/>
    <xf numFmtId="195" fontId="108" fillId="77" borderId="97" xfId="415" applyNumberFormat="1" applyFont="1" applyFill="1" applyBorder="1" applyAlignment="1"/>
    <xf numFmtId="205" fontId="108" fillId="63" borderId="97" xfId="484" applyNumberFormat="1" applyFont="1" applyFill="1" applyBorder="1" applyAlignment="1"/>
    <xf numFmtId="195" fontId="108" fillId="63" borderId="97" xfId="415" applyNumberFormat="1" applyFont="1" applyFill="1" applyBorder="1" applyAlignment="1"/>
    <xf numFmtId="205" fontId="108" fillId="75" borderId="97" xfId="484" applyNumberFormat="1" applyFont="1" applyFill="1" applyBorder="1" applyAlignment="1"/>
    <xf numFmtId="195" fontId="108" fillId="75" borderId="97" xfId="415" applyNumberFormat="1" applyFont="1" applyFill="1" applyBorder="1" applyAlignment="1"/>
    <xf numFmtId="205" fontId="108" fillId="55" borderId="56" xfId="484" applyNumberFormat="1" applyFont="1" applyFill="1" applyBorder="1" applyAlignment="1" applyProtection="1">
      <alignment vertical="center"/>
    </xf>
    <xf numFmtId="195" fontId="108" fillId="55" borderId="56" xfId="415" applyNumberFormat="1" applyFont="1" applyFill="1" applyBorder="1" applyAlignment="1" applyProtection="1">
      <alignment vertical="center"/>
    </xf>
    <xf numFmtId="205" fontId="107" fillId="61" borderId="34" xfId="484" applyNumberFormat="1" applyFont="1" applyFill="1" applyBorder="1" applyAlignment="1" applyProtection="1">
      <alignment vertical="center"/>
    </xf>
    <xf numFmtId="195" fontId="107" fillId="61" borderId="34" xfId="415" applyNumberFormat="1" applyFont="1" applyFill="1" applyBorder="1" applyAlignment="1" applyProtection="1">
      <alignment vertical="center"/>
    </xf>
    <xf numFmtId="205" fontId="107" fillId="61" borderId="21" xfId="484" applyNumberFormat="1" applyFont="1" applyFill="1" applyBorder="1" applyAlignment="1" applyProtection="1">
      <alignment vertical="center"/>
      <protection locked="0"/>
    </xf>
    <xf numFmtId="195" fontId="107" fillId="61" borderId="21" xfId="415" applyNumberFormat="1" applyFont="1" applyFill="1" applyBorder="1" applyAlignment="1" applyProtection="1">
      <alignment vertical="center"/>
      <protection locked="0"/>
    </xf>
    <xf numFmtId="205" fontId="107" fillId="61" borderId="79" xfId="484" applyNumberFormat="1" applyFont="1" applyFill="1" applyBorder="1" applyAlignment="1" applyProtection="1">
      <alignment vertical="center"/>
    </xf>
    <xf numFmtId="195" fontId="107" fillId="61" borderId="79" xfId="415" applyNumberFormat="1" applyFont="1" applyFill="1" applyBorder="1" applyAlignment="1" applyProtection="1">
      <alignment vertical="center"/>
    </xf>
    <xf numFmtId="205" fontId="107" fillId="61" borderId="123" xfId="484" applyNumberFormat="1" applyFont="1" applyFill="1" applyBorder="1" applyAlignment="1" applyProtection="1">
      <alignment horizontal="right" vertical="center"/>
    </xf>
    <xf numFmtId="195" fontId="107" fillId="61" borderId="123" xfId="415" applyNumberFormat="1" applyFont="1" applyFill="1" applyBorder="1" applyAlignment="1" applyProtection="1">
      <alignment horizontal="right" vertical="center"/>
    </xf>
    <xf numFmtId="205" fontId="107" fillId="0" borderId="24" xfId="484" applyNumberFormat="1" applyFont="1" applyBorder="1" applyAlignment="1" applyProtection="1">
      <alignment vertical="center"/>
    </xf>
    <xf numFmtId="195" fontId="107" fillId="0" borderId="24" xfId="415" applyNumberFormat="1" applyFont="1" applyBorder="1" applyAlignment="1" applyProtection="1">
      <alignment vertical="center"/>
    </xf>
    <xf numFmtId="205" fontId="107" fillId="64" borderId="97" xfId="484" applyNumberFormat="1" applyFont="1" applyFill="1" applyBorder="1" applyAlignment="1" applyProtection="1">
      <alignment vertical="center"/>
    </xf>
    <xf numFmtId="195" fontId="107" fillId="64" borderId="97" xfId="415" applyNumberFormat="1" applyFont="1" applyFill="1" applyBorder="1" applyAlignment="1" applyProtection="1">
      <alignment vertical="center"/>
    </xf>
    <xf numFmtId="205" fontId="107" fillId="63" borderId="97" xfId="484" applyNumberFormat="1" applyFont="1" applyFill="1" applyBorder="1" applyAlignment="1" applyProtection="1">
      <alignment vertical="center"/>
    </xf>
    <xf numFmtId="195" fontId="107" fillId="63" borderId="97" xfId="415" applyNumberFormat="1" applyFont="1" applyFill="1" applyBorder="1" applyAlignment="1" applyProtection="1">
      <alignment vertical="center"/>
    </xf>
    <xf numFmtId="205" fontId="107" fillId="0" borderId="21" xfId="484" applyNumberFormat="1" applyFont="1" applyBorder="1" applyAlignment="1" applyProtection="1">
      <alignment vertical="center"/>
    </xf>
    <xf numFmtId="195" fontId="107" fillId="0" borderId="21" xfId="415" applyNumberFormat="1" applyFont="1" applyBorder="1" applyAlignment="1" applyProtection="1">
      <alignment vertical="center"/>
    </xf>
    <xf numFmtId="205" fontId="107" fillId="66" borderId="97" xfId="484" applyNumberFormat="1" applyFont="1" applyFill="1" applyBorder="1" applyAlignment="1"/>
    <xf numFmtId="195" fontId="107" fillId="66" borderId="97" xfId="415" applyNumberFormat="1" applyFont="1" applyFill="1" applyBorder="1" applyAlignment="1"/>
    <xf numFmtId="205" fontId="107" fillId="0" borderId="34" xfId="484" applyNumberFormat="1" applyFont="1" applyFill="1" applyBorder="1" applyAlignment="1" applyProtection="1">
      <alignment vertical="center"/>
    </xf>
    <xf numFmtId="195" fontId="107" fillId="0" borderId="34" xfId="415" applyNumberFormat="1" applyFont="1" applyFill="1" applyBorder="1" applyAlignment="1" applyProtection="1">
      <alignment vertical="center"/>
    </xf>
    <xf numFmtId="205" fontId="107" fillId="0" borderId="24" xfId="484" applyNumberFormat="1" applyFont="1" applyFill="1" applyBorder="1" applyAlignment="1" applyProtection="1">
      <alignment vertical="center"/>
    </xf>
    <xf numFmtId="195" fontId="107" fillId="0" borderId="24" xfId="415" applyNumberFormat="1" applyFont="1" applyFill="1" applyBorder="1" applyAlignment="1" applyProtection="1">
      <alignment vertical="center"/>
    </xf>
    <xf numFmtId="205" fontId="107" fillId="0" borderId="21" xfId="484" applyNumberFormat="1" applyFont="1" applyFill="1" applyBorder="1" applyAlignment="1" applyProtection="1">
      <alignment vertical="center"/>
    </xf>
    <xf numFmtId="195" fontId="107" fillId="0" borderId="21" xfId="415" applyNumberFormat="1" applyFont="1" applyFill="1" applyBorder="1" applyAlignment="1" applyProtection="1">
      <alignment vertical="center"/>
    </xf>
    <xf numFmtId="205" fontId="113" fillId="0" borderId="123" xfId="484" applyNumberFormat="1" applyFont="1" applyBorder="1">
      <alignment vertical="center"/>
    </xf>
    <xf numFmtId="195" fontId="113" fillId="0" borderId="123" xfId="415" applyNumberFormat="1" applyFont="1" applyBorder="1">
      <alignment vertical="center"/>
    </xf>
    <xf numFmtId="205" fontId="113" fillId="0" borderId="79" xfId="484" applyNumberFormat="1" applyFont="1" applyBorder="1">
      <alignment vertical="center"/>
    </xf>
    <xf numFmtId="195" fontId="113" fillId="0" borderId="79" xfId="415" applyNumberFormat="1" applyFont="1" applyBorder="1">
      <alignment vertical="center"/>
    </xf>
    <xf numFmtId="205" fontId="113" fillId="0" borderId="45" xfId="484" applyNumberFormat="1" applyFont="1" applyBorder="1">
      <alignment vertical="center"/>
    </xf>
    <xf numFmtId="195" fontId="113" fillId="0" borderId="45" xfId="415" applyNumberFormat="1" applyFont="1" applyBorder="1">
      <alignment vertical="center"/>
    </xf>
    <xf numFmtId="205" fontId="113" fillId="0" borderId="21" xfId="484" applyNumberFormat="1" applyFont="1" applyBorder="1">
      <alignment vertical="center"/>
    </xf>
    <xf numFmtId="195" fontId="113" fillId="0" borderId="21" xfId="415" applyNumberFormat="1" applyFont="1" applyBorder="1">
      <alignment vertical="center"/>
    </xf>
    <xf numFmtId="205" fontId="113" fillId="0" borderId="123" xfId="0" applyNumberFormat="1" applyFont="1" applyBorder="1">
      <alignment vertical="center"/>
    </xf>
    <xf numFmtId="205" fontId="174" fillId="0" borderId="97" xfId="484" applyNumberFormat="1" applyFont="1" applyFill="1" applyBorder="1" applyAlignment="1" applyProtection="1">
      <alignment vertical="center"/>
    </xf>
    <xf numFmtId="195" fontId="174" fillId="0" borderId="97" xfId="415" applyNumberFormat="1" applyFont="1" applyFill="1" applyBorder="1" applyAlignment="1" applyProtection="1">
      <alignment vertical="center"/>
    </xf>
    <xf numFmtId="205" fontId="174" fillId="0" borderId="24" xfId="484" applyNumberFormat="1" applyFont="1" applyFill="1" applyBorder="1" applyAlignment="1" applyProtection="1">
      <alignment vertical="center"/>
    </xf>
    <xf numFmtId="195" fontId="174" fillId="0" borderId="24" xfId="415" applyNumberFormat="1" applyFont="1" applyFill="1" applyBorder="1" applyAlignment="1" applyProtection="1">
      <alignment vertical="center"/>
    </xf>
    <xf numFmtId="205" fontId="169" fillId="0" borderId="24" xfId="484" applyNumberFormat="1" applyFont="1" applyFill="1" applyBorder="1" applyAlignment="1" applyProtection="1">
      <alignment vertical="center"/>
    </xf>
    <xf numFmtId="195" fontId="169" fillId="0" borderId="24" xfId="415" applyNumberFormat="1" applyFont="1" applyFill="1" applyBorder="1" applyAlignment="1" applyProtection="1">
      <alignment vertical="center"/>
    </xf>
    <xf numFmtId="205" fontId="169" fillId="0" borderId="21" xfId="484" applyNumberFormat="1" applyFont="1" applyFill="1" applyBorder="1" applyAlignment="1" applyProtection="1">
      <alignment vertical="center"/>
    </xf>
    <xf numFmtId="195" fontId="169" fillId="0" borderId="21" xfId="415" applyNumberFormat="1" applyFont="1" applyFill="1" applyBorder="1" applyAlignment="1" applyProtection="1">
      <alignment vertical="center"/>
    </xf>
    <xf numFmtId="205" fontId="174" fillId="71" borderId="24" xfId="484" applyNumberFormat="1" applyFont="1" applyFill="1" applyBorder="1" applyAlignment="1" applyProtection="1">
      <alignment vertical="center"/>
    </xf>
    <xf numFmtId="195" fontId="174" fillId="71" borderId="24" xfId="415" applyNumberFormat="1" applyFont="1" applyFill="1" applyBorder="1" applyAlignment="1" applyProtection="1">
      <alignment vertical="center"/>
    </xf>
    <xf numFmtId="38" fontId="89" fillId="68" borderId="11" xfId="414" applyFont="1" applyFill="1" applyBorder="1">
      <alignment vertical="center"/>
    </xf>
    <xf numFmtId="38" fontId="89" fillId="68" borderId="24" xfId="414" applyFont="1" applyFill="1" applyBorder="1">
      <alignment vertical="center"/>
    </xf>
    <xf numFmtId="38" fontId="89" fillId="68" borderId="37" xfId="414" applyFont="1" applyFill="1" applyBorder="1">
      <alignment vertical="center"/>
    </xf>
    <xf numFmtId="38" fontId="89" fillId="68" borderId="34" xfId="414" applyFont="1" applyFill="1" applyBorder="1">
      <alignment vertical="center"/>
    </xf>
    <xf numFmtId="38" fontId="107" fillId="82" borderId="24" xfId="414" applyFont="1" applyFill="1" applyBorder="1" applyAlignment="1">
      <alignment vertical="center"/>
    </xf>
    <xf numFmtId="38" fontId="107" fillId="82" borderId="31" xfId="414" applyFont="1" applyFill="1" applyBorder="1" applyAlignment="1">
      <alignment vertical="center"/>
    </xf>
    <xf numFmtId="38" fontId="107" fillId="82" borderId="118" xfId="414" applyFont="1" applyFill="1" applyBorder="1" applyAlignment="1">
      <alignment vertical="center"/>
    </xf>
    <xf numFmtId="38" fontId="107" fillId="82" borderId="107" xfId="414" applyFont="1" applyFill="1" applyBorder="1" applyAlignment="1">
      <alignment vertical="center"/>
    </xf>
    <xf numFmtId="38" fontId="107" fillId="82" borderId="21" xfId="414" applyFont="1" applyFill="1" applyBorder="1" applyAlignment="1">
      <alignment vertical="center"/>
    </xf>
    <xf numFmtId="38" fontId="107" fillId="82" borderId="30" xfId="414" applyFont="1" applyFill="1" applyBorder="1" applyAlignment="1">
      <alignment vertical="center"/>
    </xf>
    <xf numFmtId="0" fontId="14" fillId="82" borderId="123" xfId="349" applyFont="1" applyFill="1" applyBorder="1" applyAlignment="1">
      <alignment horizontal="left" indent="2" justifyLastLine="1"/>
    </xf>
    <xf numFmtId="0" fontId="205" fillId="0" borderId="0" xfId="0" applyFont="1">
      <alignment vertical="center"/>
    </xf>
    <xf numFmtId="0" fontId="215" fillId="0" borderId="0" xfId="345" applyFont="1" applyAlignment="1">
      <alignment horizontal="left" vertical="center"/>
    </xf>
    <xf numFmtId="0" fontId="229" fillId="0" borderId="0" xfId="345" applyFont="1" applyAlignment="1">
      <alignment horizontal="centerContinuous" vertical="center"/>
    </xf>
    <xf numFmtId="0" fontId="139" fillId="0" borderId="0" xfId="0" applyFont="1" applyAlignment="1">
      <alignment horizontal="center" vertical="center"/>
    </xf>
    <xf numFmtId="0" fontId="107" fillId="0" borderId="123" xfId="345" applyFont="1" applyBorder="1" applyAlignment="1">
      <alignment horizontal="centerContinuous" vertical="center"/>
    </xf>
    <xf numFmtId="0" fontId="108" fillId="76" borderId="126" xfId="345" applyFont="1" applyFill="1" applyBorder="1" applyAlignment="1">
      <alignment horizontal="center" vertical="center"/>
    </xf>
    <xf numFmtId="0" fontId="108" fillId="81" borderId="126" xfId="345" applyFont="1" applyFill="1" applyBorder="1" applyAlignment="1">
      <alignment horizontal="center" vertical="center"/>
    </xf>
    <xf numFmtId="0" fontId="107" fillId="0" borderId="24" xfId="345" applyFont="1" applyBorder="1" applyAlignment="1">
      <alignment vertical="center" shrinkToFit="1"/>
    </xf>
    <xf numFmtId="0" fontId="107" fillId="0" borderId="24" xfId="345" applyFont="1" applyBorder="1">
      <alignment vertical="center"/>
    </xf>
    <xf numFmtId="206" fontId="107" fillId="80" borderId="34" xfId="0" quotePrefix="1" applyNumberFormat="1" applyFont="1" applyFill="1" applyBorder="1" applyAlignment="1">
      <alignment horizontal="left" vertical="center" wrapText="1"/>
    </xf>
    <xf numFmtId="206" fontId="107" fillId="85" borderId="34" xfId="0" quotePrefix="1" applyNumberFormat="1" applyFont="1" applyFill="1" applyBorder="1" applyAlignment="1">
      <alignment horizontal="left" vertical="center" wrapText="1"/>
    </xf>
    <xf numFmtId="206" fontId="107" fillId="91" borderId="34" xfId="0" quotePrefix="1" applyNumberFormat="1" applyFont="1" applyFill="1" applyBorder="1" applyAlignment="1">
      <alignment horizontal="left" vertical="center" wrapText="1"/>
    </xf>
    <xf numFmtId="206" fontId="107" fillId="81" borderId="34" xfId="0" quotePrefix="1" applyNumberFormat="1" applyFont="1" applyFill="1" applyBorder="1" applyAlignment="1">
      <alignment horizontal="left" vertical="center" wrapText="1"/>
    </xf>
    <xf numFmtId="0" fontId="107" fillId="0" borderId="41" xfId="345" applyFont="1" applyBorder="1" applyAlignment="1">
      <alignment vertical="center" shrinkToFit="1"/>
    </xf>
    <xf numFmtId="0" fontId="107" fillId="0" borderId="41" xfId="345" applyFont="1" applyBorder="1">
      <alignment vertical="center"/>
    </xf>
    <xf numFmtId="206" fontId="107" fillId="80" borderId="41" xfId="0" quotePrefix="1" applyNumberFormat="1" applyFont="1" applyFill="1" applyBorder="1" applyAlignment="1">
      <alignment horizontal="left" vertical="center"/>
    </xf>
    <xf numFmtId="206" fontId="107" fillId="85" borderId="41" xfId="0" quotePrefix="1" applyNumberFormat="1" applyFont="1" applyFill="1" applyBorder="1" applyAlignment="1">
      <alignment horizontal="left" vertical="center"/>
    </xf>
    <xf numFmtId="206" fontId="107" fillId="91" borderId="41" xfId="0" quotePrefix="1" applyNumberFormat="1" applyFont="1" applyFill="1" applyBorder="1" applyAlignment="1">
      <alignment horizontal="left" vertical="center"/>
    </xf>
    <xf numFmtId="206" fontId="107" fillId="81" borderId="41" xfId="0" quotePrefix="1" applyNumberFormat="1" applyFont="1" applyFill="1" applyBorder="1" applyAlignment="1">
      <alignment horizontal="left" vertical="center"/>
    </xf>
    <xf numFmtId="206" fontId="107" fillId="80" borderId="41" xfId="0" quotePrefix="1" applyNumberFormat="1" applyFont="1" applyFill="1" applyBorder="1" applyAlignment="1">
      <alignment horizontal="left" vertical="center" wrapText="1"/>
    </xf>
    <xf numFmtId="206" fontId="107" fillId="85" borderId="41" xfId="0" quotePrefix="1" applyNumberFormat="1" applyFont="1" applyFill="1" applyBorder="1" applyAlignment="1">
      <alignment horizontal="left" vertical="center" wrapText="1"/>
    </xf>
    <xf numFmtId="206" fontId="107" fillId="91" borderId="41" xfId="0" quotePrefix="1" applyNumberFormat="1" applyFont="1" applyFill="1" applyBorder="1" applyAlignment="1">
      <alignment horizontal="left" vertical="center" wrapText="1"/>
    </xf>
    <xf numFmtId="206" fontId="107" fillId="81" borderId="41" xfId="0" quotePrefix="1" applyNumberFormat="1" applyFont="1" applyFill="1" applyBorder="1" applyAlignment="1">
      <alignment horizontal="left" vertical="center" wrapText="1"/>
    </xf>
    <xf numFmtId="0" fontId="107" fillId="0" borderId="21" xfId="345" applyFont="1" applyBorder="1" applyAlignment="1">
      <alignment vertical="center" shrinkToFit="1"/>
    </xf>
    <xf numFmtId="0" fontId="107" fillId="0" borderId="21" xfId="345" applyFont="1" applyBorder="1">
      <alignment vertical="center"/>
    </xf>
    <xf numFmtId="206" fontId="107" fillId="80" borderId="80" xfId="0" quotePrefix="1" applyNumberFormat="1" applyFont="1" applyFill="1" applyBorder="1" applyAlignment="1">
      <alignment horizontal="left" vertical="center" wrapText="1"/>
    </xf>
    <xf numFmtId="206" fontId="107" fillId="85" borderId="80" xfId="0" quotePrefix="1" applyNumberFormat="1" applyFont="1" applyFill="1" applyBorder="1" applyAlignment="1">
      <alignment horizontal="left" vertical="center" wrapText="1"/>
    </xf>
    <xf numFmtId="206" fontId="107" fillId="91" borderId="80" xfId="0" quotePrefix="1" applyNumberFormat="1" applyFont="1" applyFill="1" applyBorder="1" applyAlignment="1">
      <alignment horizontal="left" vertical="center" wrapText="1"/>
    </xf>
    <xf numFmtId="206" fontId="107" fillId="81" borderId="80" xfId="0" quotePrefix="1" applyNumberFormat="1" applyFont="1" applyFill="1" applyBorder="1" applyAlignment="1">
      <alignment horizontal="left" vertical="center" wrapText="1"/>
    </xf>
    <xf numFmtId="0" fontId="183" fillId="76" borderId="126" xfId="345" applyFont="1" applyFill="1" applyBorder="1" applyAlignment="1">
      <alignment horizontal="center" vertical="center"/>
    </xf>
    <xf numFmtId="206" fontId="107" fillId="80" borderId="34" xfId="0" quotePrefix="1" applyNumberFormat="1" applyFont="1" applyFill="1" applyBorder="1" applyAlignment="1">
      <alignment horizontal="left" vertical="center"/>
    </xf>
    <xf numFmtId="206" fontId="107" fillId="85" borderId="34" xfId="0" quotePrefix="1" applyNumberFormat="1" applyFont="1" applyFill="1" applyBorder="1" applyAlignment="1">
      <alignment horizontal="left" vertical="center"/>
    </xf>
    <xf numFmtId="0" fontId="107" fillId="0" borderId="42" xfId="345" applyFont="1" applyBorder="1">
      <alignment vertical="center"/>
    </xf>
    <xf numFmtId="206" fontId="107" fillId="80" borderId="80" xfId="0" quotePrefix="1" applyNumberFormat="1" applyFont="1" applyFill="1" applyBorder="1" applyAlignment="1">
      <alignment horizontal="left" vertical="center"/>
    </xf>
    <xf numFmtId="206" fontId="107" fillId="85" borderId="80" xfId="0" quotePrefix="1" applyNumberFormat="1" applyFont="1" applyFill="1" applyBorder="1" applyAlignment="1">
      <alignment horizontal="left" vertical="center"/>
    </xf>
    <xf numFmtId="38" fontId="107" fillId="61" borderId="108" xfId="414" applyFont="1" applyFill="1" applyBorder="1">
      <alignment vertical="center"/>
    </xf>
    <xf numFmtId="38" fontId="107" fillId="61" borderId="123" xfId="414" applyFont="1" applyFill="1" applyBorder="1">
      <alignment vertical="center"/>
    </xf>
    <xf numFmtId="38" fontId="107" fillId="62" borderId="110" xfId="414" applyFont="1" applyFill="1" applyBorder="1" applyAlignment="1" applyProtection="1">
      <alignment vertical="center"/>
    </xf>
    <xf numFmtId="207" fontId="107" fillId="61" borderId="0" xfId="345" applyNumberFormat="1" applyFont="1" applyFill="1">
      <alignment vertical="center"/>
    </xf>
    <xf numFmtId="198" fontId="108" fillId="61" borderId="117" xfId="349" applyNumberFormat="1" applyFont="1" applyFill="1" applyBorder="1" applyAlignment="1">
      <alignment vertical="center"/>
    </xf>
    <xf numFmtId="38" fontId="108" fillId="71" borderId="108" xfId="414" applyFont="1" applyFill="1" applyBorder="1" applyAlignment="1" applyProtection="1">
      <alignment vertical="center"/>
    </xf>
    <xf numFmtId="38" fontId="108" fillId="71" borderId="99" xfId="414" applyFont="1" applyFill="1" applyBorder="1" applyAlignment="1" applyProtection="1">
      <alignment vertical="center"/>
    </xf>
    <xf numFmtId="38" fontId="108" fillId="71" borderId="123" xfId="414" applyFont="1" applyFill="1" applyBorder="1" applyAlignment="1" applyProtection="1">
      <alignment vertical="center"/>
    </xf>
    <xf numFmtId="205" fontId="108" fillId="71" borderId="123" xfId="414" applyNumberFormat="1" applyFont="1" applyFill="1" applyBorder="1" applyAlignment="1" applyProtection="1">
      <alignment vertical="center"/>
    </xf>
    <xf numFmtId="38" fontId="107" fillId="71" borderId="123" xfId="414" applyFont="1" applyFill="1" applyBorder="1" applyAlignment="1" applyProtection="1">
      <alignment vertical="center"/>
    </xf>
    <xf numFmtId="38" fontId="107" fillId="71" borderId="108" xfId="414" applyFont="1" applyFill="1" applyBorder="1" applyAlignment="1" applyProtection="1">
      <alignment vertical="center"/>
    </xf>
    <xf numFmtId="205" fontId="108" fillId="71" borderId="107" xfId="414" applyNumberFormat="1" applyFont="1" applyFill="1" applyBorder="1" applyAlignment="1" applyProtection="1">
      <alignment vertical="center"/>
    </xf>
    <xf numFmtId="38" fontId="107" fillId="61" borderId="97" xfId="414" applyFont="1" applyFill="1" applyBorder="1" applyAlignment="1" applyProtection="1">
      <alignment vertical="center"/>
      <protection locked="0"/>
    </xf>
    <xf numFmtId="38" fontId="107" fillId="61" borderId="110" xfId="414" applyFont="1" applyFill="1" applyBorder="1" applyAlignment="1" applyProtection="1">
      <alignment vertical="center"/>
      <protection locked="0"/>
    </xf>
    <xf numFmtId="205" fontId="107" fillId="61" borderId="97" xfId="414" applyNumberFormat="1" applyFont="1" applyFill="1" applyBorder="1" applyAlignment="1" applyProtection="1">
      <alignment vertical="center"/>
      <protection locked="0"/>
    </xf>
    <xf numFmtId="38" fontId="108" fillId="71" borderId="117" xfId="414" applyFont="1" applyFill="1" applyBorder="1" applyAlignment="1" applyProtection="1">
      <alignment vertical="center"/>
    </xf>
    <xf numFmtId="38" fontId="108" fillId="71" borderId="110" xfId="414" applyFont="1" applyFill="1" applyBorder="1" applyAlignment="1" applyProtection="1">
      <alignment vertical="center"/>
    </xf>
    <xf numFmtId="205" fontId="108" fillId="71" borderId="97" xfId="414" applyNumberFormat="1" applyFont="1" applyFill="1" applyBorder="1" applyAlignment="1" applyProtection="1">
      <alignment vertical="center"/>
    </xf>
    <xf numFmtId="38" fontId="113" fillId="61" borderId="24" xfId="414" applyFont="1" applyFill="1" applyBorder="1" applyAlignment="1" applyProtection="1">
      <alignment vertical="center"/>
      <protection locked="0"/>
    </xf>
    <xf numFmtId="205" fontId="107" fillId="61" borderId="45" xfId="414" applyNumberFormat="1" applyFont="1" applyFill="1" applyBorder="1" applyAlignment="1" applyProtection="1">
      <alignment vertical="center"/>
      <protection locked="0"/>
    </xf>
    <xf numFmtId="205" fontId="107" fillId="61" borderId="24" xfId="414" applyNumberFormat="1" applyFont="1" applyFill="1" applyBorder="1" applyAlignment="1" applyProtection="1">
      <alignment vertical="center"/>
      <protection locked="0"/>
    </xf>
    <xf numFmtId="38" fontId="107" fillId="61" borderId="24" xfId="414" applyFont="1" applyFill="1" applyBorder="1" applyAlignment="1">
      <alignment vertical="center"/>
    </xf>
    <xf numFmtId="38" fontId="107" fillId="61" borderId="31" xfId="414" applyFont="1" applyFill="1" applyBorder="1" applyAlignment="1">
      <alignment vertical="center"/>
    </xf>
    <xf numFmtId="205" fontId="107" fillId="61" borderId="24" xfId="414" applyNumberFormat="1" applyFont="1" applyFill="1" applyBorder="1" applyAlignment="1">
      <alignment vertical="center"/>
    </xf>
    <xf numFmtId="38" fontId="107" fillId="61" borderId="21" xfId="414" applyFont="1" applyFill="1" applyBorder="1" applyAlignment="1">
      <alignment vertical="center"/>
    </xf>
    <xf numFmtId="38" fontId="107" fillId="61" borderId="30" xfId="414" applyFont="1" applyFill="1" applyBorder="1" applyAlignment="1">
      <alignment vertical="center"/>
    </xf>
    <xf numFmtId="205" fontId="107" fillId="61" borderId="21" xfId="414" applyNumberFormat="1" applyFont="1" applyFill="1" applyBorder="1" applyAlignment="1">
      <alignment vertical="center"/>
    </xf>
    <xf numFmtId="38" fontId="107" fillId="61" borderId="110" xfId="414" applyFont="1" applyFill="1" applyBorder="1" applyAlignment="1">
      <alignment vertical="center"/>
    </xf>
    <xf numFmtId="38" fontId="107" fillId="61" borderId="97" xfId="414" applyFont="1" applyFill="1" applyBorder="1" applyAlignment="1">
      <alignment vertical="center"/>
    </xf>
    <xf numFmtId="205" fontId="107" fillId="61" borderId="97" xfId="414" applyNumberFormat="1" applyFont="1" applyFill="1" applyBorder="1" applyAlignment="1">
      <alignment vertical="center"/>
    </xf>
    <xf numFmtId="38" fontId="107" fillId="61" borderId="107" xfId="414" applyFont="1" applyFill="1" applyBorder="1">
      <alignment vertical="center"/>
    </xf>
    <xf numFmtId="205" fontId="107" fillId="61" borderId="123" xfId="414" applyNumberFormat="1" applyFont="1" applyFill="1" applyBorder="1">
      <alignment vertical="center"/>
    </xf>
    <xf numFmtId="38" fontId="107" fillId="61" borderId="110" xfId="414" applyFont="1" applyFill="1" applyBorder="1">
      <alignment vertical="center"/>
    </xf>
    <xf numFmtId="38" fontId="107" fillId="61" borderId="97" xfId="414" applyFont="1" applyFill="1" applyBorder="1">
      <alignment vertical="center"/>
    </xf>
    <xf numFmtId="205" fontId="107" fillId="61" borderId="97" xfId="414" applyNumberFormat="1" applyFont="1" applyFill="1" applyBorder="1">
      <alignment vertical="center"/>
    </xf>
    <xf numFmtId="205" fontId="107" fillId="61" borderId="24" xfId="414" applyNumberFormat="1" applyFont="1" applyFill="1" applyBorder="1">
      <alignment vertical="center"/>
    </xf>
    <xf numFmtId="205" fontId="107" fillId="61" borderId="21" xfId="414" applyNumberFormat="1" applyFont="1" applyFill="1" applyBorder="1">
      <alignment vertical="center"/>
    </xf>
    <xf numFmtId="201" fontId="107" fillId="61" borderId="11" xfId="414" applyNumberFormat="1" applyFont="1" applyFill="1" applyBorder="1">
      <alignment vertical="center"/>
    </xf>
    <xf numFmtId="201" fontId="107" fillId="61" borderId="0" xfId="414" applyNumberFormat="1" applyFont="1" applyFill="1" applyBorder="1">
      <alignment vertical="center"/>
    </xf>
    <xf numFmtId="38" fontId="107" fillId="61" borderId="123" xfId="414" applyFont="1" applyFill="1" applyBorder="1" applyAlignment="1">
      <alignment horizontal="right" vertical="center"/>
    </xf>
    <xf numFmtId="38" fontId="107" fillId="61" borderId="107" xfId="414" applyFont="1" applyFill="1" applyBorder="1" applyAlignment="1">
      <alignment horizontal="right" vertical="center"/>
    </xf>
    <xf numFmtId="205" fontId="107" fillId="61" borderId="123" xfId="414" applyNumberFormat="1" applyFont="1" applyFill="1" applyBorder="1" applyAlignment="1">
      <alignment horizontal="right" vertical="center"/>
    </xf>
    <xf numFmtId="38" fontId="107" fillId="0" borderId="110" xfId="414" applyFont="1" applyFill="1" applyBorder="1" applyAlignment="1">
      <alignment horizontal="right" vertical="center"/>
    </xf>
    <xf numFmtId="205" fontId="107" fillId="0" borderId="97" xfId="414" applyNumberFormat="1" applyFont="1" applyFill="1" applyBorder="1" applyAlignment="1">
      <alignment horizontal="right" vertical="center"/>
    </xf>
    <xf numFmtId="205" fontId="107" fillId="61" borderId="21" xfId="414" applyNumberFormat="1" applyFont="1" applyFill="1" applyBorder="1" applyAlignment="1">
      <alignment horizontal="right" vertical="center"/>
    </xf>
    <xf numFmtId="38" fontId="107" fillId="61" borderId="11" xfId="414" applyFont="1" applyFill="1" applyBorder="1">
      <alignment vertical="center"/>
    </xf>
    <xf numFmtId="205" fontId="107" fillId="61" borderId="107" xfId="414" applyNumberFormat="1" applyFont="1" applyFill="1" applyBorder="1" applyAlignment="1">
      <alignment horizontal="right" vertical="center"/>
    </xf>
    <xf numFmtId="205" fontId="107" fillId="61" borderId="31" xfId="414" applyNumberFormat="1" applyFont="1" applyFill="1" applyBorder="1" applyAlignment="1">
      <alignment horizontal="right" vertical="center"/>
    </xf>
    <xf numFmtId="205" fontId="107" fillId="61" borderId="30" xfId="414" applyNumberFormat="1" applyFont="1" applyFill="1" applyBorder="1" applyAlignment="1">
      <alignment horizontal="right" vertical="center"/>
    </xf>
    <xf numFmtId="198" fontId="108" fillId="86" borderId="117" xfId="349" applyNumberFormat="1" applyFont="1" applyFill="1" applyBorder="1" applyAlignment="1">
      <alignment vertical="center"/>
    </xf>
    <xf numFmtId="198" fontId="108" fillId="86" borderId="110" xfId="349" applyNumberFormat="1" applyFont="1" applyFill="1" applyBorder="1" applyAlignment="1">
      <alignment vertical="center"/>
    </xf>
    <xf numFmtId="205" fontId="108" fillId="86" borderId="97" xfId="414" applyNumberFormat="1" applyFont="1" applyFill="1" applyBorder="1" applyAlignment="1">
      <alignment horizontal="right" vertical="center"/>
    </xf>
    <xf numFmtId="205" fontId="108" fillId="86" borderId="24" xfId="414" applyNumberFormat="1" applyFont="1" applyFill="1" applyBorder="1" applyAlignment="1">
      <alignment horizontal="right" vertical="center"/>
    </xf>
    <xf numFmtId="205" fontId="108" fillId="86" borderId="34" xfId="414" applyNumberFormat="1" applyFont="1" applyFill="1" applyBorder="1" applyAlignment="1">
      <alignment horizontal="right" vertical="center"/>
    </xf>
    <xf numFmtId="205" fontId="107" fillId="0" borderId="24" xfId="414" applyNumberFormat="1" applyFont="1" applyFill="1" applyBorder="1" applyAlignment="1">
      <alignment horizontal="right" vertical="center"/>
    </xf>
    <xf numFmtId="205" fontId="107" fillId="0" borderId="34" xfId="414" applyNumberFormat="1" applyFont="1" applyFill="1" applyBorder="1" applyAlignment="1">
      <alignment horizontal="right" vertical="center"/>
    </xf>
    <xf numFmtId="205" fontId="108" fillId="86" borderId="21" xfId="414" applyNumberFormat="1" applyFont="1" applyFill="1" applyBorder="1" applyAlignment="1">
      <alignment horizontal="right" vertical="center"/>
    </xf>
    <xf numFmtId="38" fontId="107" fillId="0" borderId="110" xfId="414" applyFont="1" applyFill="1" applyBorder="1" applyAlignment="1" applyProtection="1">
      <alignment vertical="center"/>
    </xf>
    <xf numFmtId="38" fontId="107" fillId="61" borderId="110" xfId="414" applyFont="1" applyFill="1" applyBorder="1" applyAlignment="1" applyProtection="1">
      <alignment vertical="center"/>
    </xf>
    <xf numFmtId="205" fontId="107" fillId="0" borderId="110" xfId="414" applyNumberFormat="1" applyFont="1" applyFill="1" applyBorder="1" applyAlignment="1" applyProtection="1">
      <alignment vertical="center"/>
    </xf>
    <xf numFmtId="195" fontId="107" fillId="0" borderId="110" xfId="415" applyNumberFormat="1" applyFont="1" applyFill="1" applyBorder="1" applyAlignment="1" applyProtection="1">
      <alignment vertical="center"/>
    </xf>
    <xf numFmtId="205" fontId="107" fillId="0" borderId="30" xfId="414" applyNumberFormat="1" applyFont="1" applyFill="1" applyBorder="1" applyAlignment="1" applyProtection="1">
      <alignment vertical="center"/>
    </xf>
    <xf numFmtId="38" fontId="108" fillId="86" borderId="123" xfId="414" applyFont="1" applyFill="1" applyBorder="1" applyAlignment="1" applyProtection="1">
      <alignment vertical="center"/>
    </xf>
    <xf numFmtId="205" fontId="108" fillId="86" borderId="107" xfId="414" applyNumberFormat="1" applyFont="1" applyFill="1" applyBorder="1" applyAlignment="1" applyProtection="1">
      <alignment vertical="center"/>
    </xf>
    <xf numFmtId="198" fontId="107" fillId="0" borderId="117" xfId="349" applyNumberFormat="1" applyFont="1" applyBorder="1" applyAlignment="1">
      <alignment vertical="center"/>
    </xf>
    <xf numFmtId="38" fontId="107" fillId="61" borderId="79" xfId="414" applyFont="1" applyFill="1" applyBorder="1" applyAlignment="1" applyProtection="1">
      <alignment vertical="center"/>
    </xf>
    <xf numFmtId="38" fontId="107" fillId="61" borderId="79" xfId="414" applyFont="1" applyFill="1" applyBorder="1">
      <alignment vertical="center"/>
    </xf>
    <xf numFmtId="38" fontId="107" fillId="61" borderId="79" xfId="414" applyFont="1" applyFill="1" applyBorder="1" applyAlignment="1">
      <alignment horizontal="right" vertical="center"/>
    </xf>
    <xf numFmtId="38" fontId="107" fillId="61" borderId="78" xfId="414" applyFont="1" applyFill="1" applyBorder="1" applyAlignment="1">
      <alignment horizontal="right" vertical="center"/>
    </xf>
    <xf numFmtId="205" fontId="107" fillId="61" borderId="78" xfId="414" applyNumberFormat="1" applyFont="1" applyFill="1" applyBorder="1" applyAlignment="1" applyProtection="1">
      <alignment vertical="center"/>
    </xf>
    <xf numFmtId="205" fontId="107" fillId="0" borderId="78" xfId="414" applyNumberFormat="1" applyFont="1" applyFill="1" applyBorder="1" applyAlignment="1" applyProtection="1">
      <alignment vertical="center"/>
    </xf>
    <xf numFmtId="38" fontId="107" fillId="61" borderId="31" xfId="414" applyFont="1" applyFill="1" applyBorder="1" applyAlignment="1" applyProtection="1">
      <alignment vertical="center"/>
    </xf>
    <xf numFmtId="205" fontId="107" fillId="61" borderId="31" xfId="414" applyNumberFormat="1" applyFont="1" applyFill="1" applyBorder="1" applyAlignment="1" applyProtection="1">
      <alignment vertical="center"/>
    </xf>
    <xf numFmtId="205" fontId="107" fillId="0" borderId="31" xfId="414" applyNumberFormat="1" applyFont="1" applyFill="1" applyBorder="1" applyAlignment="1" applyProtection="1">
      <alignment vertical="center"/>
    </xf>
    <xf numFmtId="205" fontId="107" fillId="61" borderId="30" xfId="414" applyNumberFormat="1" applyFont="1" applyFill="1" applyBorder="1" applyAlignment="1" applyProtection="1">
      <alignment vertical="center"/>
    </xf>
    <xf numFmtId="38" fontId="107" fillId="61" borderId="97" xfId="414" applyFont="1" applyFill="1" applyBorder="1" applyAlignment="1" applyProtection="1">
      <alignment vertical="center"/>
    </xf>
    <xf numFmtId="38" fontId="107" fillId="61" borderId="97" xfId="414" applyFont="1" applyFill="1" applyBorder="1" applyAlignment="1">
      <alignment horizontal="right" vertical="center"/>
    </xf>
    <xf numFmtId="38" fontId="107" fillId="61" borderId="110" xfId="414" applyFont="1" applyFill="1" applyBorder="1" applyAlignment="1">
      <alignment horizontal="right" vertical="center"/>
    </xf>
    <xf numFmtId="198" fontId="108" fillId="59" borderId="117" xfId="349" applyNumberFormat="1" applyFont="1" applyFill="1" applyBorder="1" applyAlignment="1">
      <alignment vertical="center"/>
    </xf>
    <xf numFmtId="38" fontId="108" fillId="59" borderId="110" xfId="414" applyFont="1" applyFill="1" applyBorder="1" applyAlignment="1" applyProtection="1">
      <alignment vertical="center"/>
    </xf>
    <xf numFmtId="205" fontId="108" fillId="59" borderId="110" xfId="414" applyNumberFormat="1" applyFont="1" applyFill="1" applyBorder="1" applyAlignment="1" applyProtection="1">
      <alignment vertical="center"/>
    </xf>
    <xf numFmtId="195" fontId="108" fillId="59" borderId="110" xfId="415" applyNumberFormat="1" applyFont="1" applyFill="1" applyBorder="1" applyAlignment="1" applyProtection="1">
      <alignment vertical="center"/>
    </xf>
    <xf numFmtId="205" fontId="107" fillId="0" borderId="31" xfId="414" applyNumberFormat="1" applyFont="1" applyBorder="1" applyAlignment="1" applyProtection="1">
      <alignment vertical="center"/>
    </xf>
    <xf numFmtId="205" fontId="107" fillId="74" borderId="31" xfId="414" applyNumberFormat="1" applyFont="1" applyFill="1" applyBorder="1" applyAlignment="1" applyProtection="1">
      <alignment vertical="center"/>
    </xf>
    <xf numFmtId="38" fontId="107" fillId="0" borderId="41" xfId="414" applyFont="1" applyBorder="1" applyAlignment="1" applyProtection="1">
      <alignment vertical="center"/>
    </xf>
    <xf numFmtId="205" fontId="107" fillId="0" borderId="43" xfId="414" applyNumberFormat="1" applyFont="1" applyBorder="1" applyAlignment="1" applyProtection="1">
      <alignment vertical="center"/>
    </xf>
    <xf numFmtId="205" fontId="107" fillId="0" borderId="35" xfId="414" applyNumberFormat="1" applyFont="1" applyBorder="1" applyAlignment="1" applyProtection="1">
      <alignment vertical="center"/>
    </xf>
    <xf numFmtId="38" fontId="107" fillId="59" borderId="97" xfId="414" applyFont="1" applyFill="1" applyBorder="1" applyAlignment="1" applyProtection="1">
      <alignment vertical="center"/>
    </xf>
    <xf numFmtId="38" fontId="107" fillId="59" borderId="110" xfId="414" applyFont="1" applyFill="1" applyBorder="1" applyAlignment="1" applyProtection="1">
      <alignment vertical="center"/>
    </xf>
    <xf numFmtId="205" fontId="107" fillId="59" borderId="110" xfId="414" applyNumberFormat="1" applyFont="1" applyFill="1" applyBorder="1" applyAlignment="1" applyProtection="1">
      <alignment vertical="center"/>
    </xf>
    <xf numFmtId="195" fontId="107" fillId="59" borderId="110" xfId="415" applyNumberFormat="1" applyFont="1" applyFill="1" applyBorder="1" applyAlignment="1" applyProtection="1">
      <alignment vertical="center"/>
    </xf>
    <xf numFmtId="10" fontId="149" fillId="61" borderId="21" xfId="415" applyNumberFormat="1" applyFont="1" applyFill="1" applyBorder="1" applyAlignment="1" applyProtection="1">
      <alignment vertical="center"/>
    </xf>
    <xf numFmtId="205" fontId="107" fillId="61" borderId="110" xfId="414" applyNumberFormat="1" applyFont="1" applyFill="1" applyBorder="1" applyAlignment="1" applyProtection="1">
      <alignment vertical="center"/>
    </xf>
    <xf numFmtId="195" fontId="107" fillId="61" borderId="110" xfId="415" applyNumberFormat="1" applyFont="1" applyFill="1" applyBorder="1" applyAlignment="1" applyProtection="1">
      <alignment vertical="center"/>
    </xf>
    <xf numFmtId="198" fontId="107" fillId="67" borderId="117" xfId="349" applyNumberFormat="1" applyFont="1" applyFill="1" applyBorder="1" applyAlignment="1">
      <alignment vertical="center"/>
    </xf>
    <xf numFmtId="198" fontId="107" fillId="67" borderId="110" xfId="349" applyNumberFormat="1" applyFont="1" applyFill="1" applyBorder="1" applyAlignment="1">
      <alignment vertical="center"/>
    </xf>
    <xf numFmtId="205" fontId="107" fillId="61" borderId="97" xfId="414" applyNumberFormat="1" applyFont="1" applyFill="1" applyBorder="1" applyAlignment="1">
      <alignment horizontal="right" vertical="center"/>
    </xf>
    <xf numFmtId="205" fontId="107" fillId="61" borderId="24" xfId="414" applyNumberFormat="1" applyFont="1" applyFill="1" applyBorder="1" applyAlignment="1">
      <alignment horizontal="right" vertical="center"/>
    </xf>
    <xf numFmtId="205" fontId="107" fillId="61" borderId="34" xfId="414" applyNumberFormat="1" applyFont="1" applyFill="1" applyBorder="1" applyAlignment="1">
      <alignment horizontal="right" vertical="center"/>
    </xf>
    <xf numFmtId="38" fontId="107" fillId="81" borderId="24" xfId="414" applyFont="1" applyFill="1" applyBorder="1" applyAlignment="1">
      <alignment horizontal="right" vertical="center"/>
    </xf>
    <xf numFmtId="205" fontId="107" fillId="81" borderId="24" xfId="414" applyNumberFormat="1" applyFont="1" applyFill="1" applyBorder="1" applyAlignment="1">
      <alignment horizontal="right" vertical="center"/>
    </xf>
    <xf numFmtId="38" fontId="107" fillId="81" borderId="34" xfId="414" applyFont="1" applyFill="1" applyBorder="1" applyAlignment="1">
      <alignment horizontal="right" vertical="center"/>
    </xf>
    <xf numFmtId="205" fontId="107" fillId="81" borderId="34" xfId="414" applyNumberFormat="1" applyFont="1" applyFill="1" applyBorder="1" applyAlignment="1">
      <alignment horizontal="right" vertical="center"/>
    </xf>
    <xf numFmtId="38" fontId="115" fillId="81" borderId="24" xfId="414" applyFont="1" applyFill="1" applyBorder="1" applyAlignment="1">
      <alignment horizontal="right" vertical="center"/>
    </xf>
    <xf numFmtId="38" fontId="115" fillId="81" borderId="21" xfId="414" applyFont="1" applyFill="1" applyBorder="1" applyAlignment="1">
      <alignment horizontal="right" vertical="center"/>
    </xf>
    <xf numFmtId="205" fontId="107" fillId="81" borderId="21" xfId="414" applyNumberFormat="1" applyFont="1" applyFill="1" applyBorder="1" applyAlignment="1">
      <alignment horizontal="right" vertical="center"/>
    </xf>
    <xf numFmtId="9" fontId="107" fillId="61" borderId="11" xfId="415" applyFont="1" applyFill="1" applyBorder="1" applyAlignment="1">
      <alignment vertical="center"/>
    </xf>
    <xf numFmtId="198" fontId="108" fillId="49" borderId="117" xfId="349" applyNumberFormat="1" applyFont="1" applyFill="1" applyBorder="1" applyAlignment="1">
      <alignment vertical="center"/>
    </xf>
    <xf numFmtId="198" fontId="108" fillId="49" borderId="110" xfId="349" applyNumberFormat="1" applyFont="1" applyFill="1" applyBorder="1" applyAlignment="1">
      <alignment vertical="center"/>
    </xf>
    <xf numFmtId="38" fontId="108" fillId="49" borderId="110" xfId="414" applyFont="1" applyFill="1" applyBorder="1" applyAlignment="1" applyProtection="1">
      <alignment vertical="center"/>
    </xf>
    <xf numFmtId="205" fontId="108" fillId="49" borderId="110" xfId="414" applyNumberFormat="1" applyFont="1" applyFill="1" applyBorder="1" applyAlignment="1" applyProtection="1">
      <alignment vertical="center"/>
    </xf>
    <xf numFmtId="195" fontId="108" fillId="49" borderId="110" xfId="415" applyNumberFormat="1" applyFont="1" applyFill="1" applyBorder="1" applyAlignment="1" applyProtection="1">
      <alignment vertical="center"/>
    </xf>
    <xf numFmtId="203" fontId="107" fillId="0" borderId="24" xfId="414" applyNumberFormat="1" applyFont="1" applyBorder="1" applyAlignment="1" applyProtection="1">
      <alignment vertical="center"/>
    </xf>
    <xf numFmtId="203" fontId="107" fillId="0" borderId="31" xfId="414" applyNumberFormat="1" applyFont="1" applyBorder="1" applyAlignment="1" applyProtection="1">
      <alignment vertical="center"/>
    </xf>
    <xf numFmtId="203" fontId="107" fillId="0" borderId="34" xfId="414" applyNumberFormat="1" applyFont="1" applyBorder="1" applyAlignment="1" applyProtection="1">
      <alignment vertical="center"/>
    </xf>
    <xf numFmtId="203" fontId="107" fillId="0" borderId="35" xfId="414" applyNumberFormat="1" applyFont="1" applyBorder="1" applyAlignment="1" applyProtection="1">
      <alignment vertical="center"/>
    </xf>
    <xf numFmtId="198" fontId="141" fillId="0" borderId="117" xfId="349" applyNumberFormat="1" applyFont="1" applyBorder="1" applyAlignment="1">
      <alignment vertical="center"/>
    </xf>
    <xf numFmtId="195" fontId="150" fillId="0" borderId="110" xfId="415" applyNumberFormat="1" applyFont="1" applyFill="1" applyBorder="1" applyAlignment="1" applyProtection="1">
      <alignment vertical="center"/>
    </xf>
    <xf numFmtId="198" fontId="108" fillId="77" borderId="117" xfId="349" applyNumberFormat="1" applyFont="1" applyFill="1" applyBorder="1" applyAlignment="1">
      <alignment vertical="center"/>
    </xf>
    <xf numFmtId="38" fontId="108" fillId="77" borderId="110" xfId="414" applyFont="1" applyFill="1" applyBorder="1" applyAlignment="1" applyProtection="1">
      <alignment vertical="center"/>
    </xf>
    <xf numFmtId="205" fontId="108" fillId="77" borderId="110" xfId="414" applyNumberFormat="1" applyFont="1" applyFill="1" applyBorder="1" applyAlignment="1" applyProtection="1">
      <alignment vertical="center"/>
    </xf>
    <xf numFmtId="195" fontId="108" fillId="77" borderId="110" xfId="415" applyNumberFormat="1" applyFont="1" applyFill="1" applyBorder="1" applyAlignment="1" applyProtection="1">
      <alignment vertical="center"/>
    </xf>
    <xf numFmtId="205" fontId="107" fillId="69" borderId="31" xfId="414" applyNumberFormat="1" applyFont="1" applyFill="1" applyBorder="1" applyAlignment="1" applyProtection="1">
      <alignment vertical="center"/>
    </xf>
    <xf numFmtId="205" fontId="107" fillId="0" borderId="35" xfId="414" applyNumberFormat="1" applyFont="1" applyFill="1" applyBorder="1" applyAlignment="1" applyProtection="1">
      <alignment vertical="center"/>
    </xf>
    <xf numFmtId="205" fontId="107" fillId="69" borderId="46" xfId="414" applyNumberFormat="1" applyFont="1" applyFill="1" applyBorder="1" applyAlignment="1" applyProtection="1">
      <alignment vertical="center"/>
    </xf>
    <xf numFmtId="198" fontId="108" fillId="63" borderId="117" xfId="349" applyNumberFormat="1" applyFont="1" applyFill="1" applyBorder="1" applyAlignment="1">
      <alignment vertical="center"/>
    </xf>
    <xf numFmtId="38" fontId="108" fillId="63" borderId="110" xfId="414" applyFont="1" applyFill="1" applyBorder="1" applyAlignment="1">
      <alignment vertical="center"/>
    </xf>
    <xf numFmtId="38" fontId="108" fillId="63" borderId="110" xfId="414" applyFont="1" applyFill="1" applyBorder="1" applyAlignment="1" applyProtection="1">
      <alignment vertical="center"/>
    </xf>
    <xf numFmtId="205" fontId="108" fillId="63" borderId="110" xfId="414" applyNumberFormat="1" applyFont="1" applyFill="1" applyBorder="1" applyAlignment="1" applyProtection="1">
      <alignment vertical="center"/>
    </xf>
    <xf numFmtId="195" fontId="108" fillId="63" borderId="110" xfId="415" applyNumberFormat="1" applyFont="1" applyFill="1" applyBorder="1" applyAlignment="1" applyProtection="1">
      <alignment vertical="center"/>
    </xf>
    <xf numFmtId="0" fontId="108" fillId="66" borderId="117" xfId="349" applyFont="1" applyFill="1" applyBorder="1"/>
    <xf numFmtId="38" fontId="108" fillId="66" borderId="110" xfId="414" applyFont="1" applyFill="1" applyBorder="1" applyAlignment="1"/>
    <xf numFmtId="205" fontId="108" fillId="66" borderId="110" xfId="414" applyNumberFormat="1" applyFont="1" applyFill="1" applyBorder="1" applyAlignment="1"/>
    <xf numFmtId="195" fontId="108" fillId="66" borderId="110" xfId="415" applyNumberFormat="1" applyFont="1" applyFill="1" applyBorder="1" applyAlignment="1"/>
    <xf numFmtId="38" fontId="186" fillId="66" borderId="110" xfId="414" applyFont="1" applyFill="1" applyBorder="1" applyAlignment="1"/>
    <xf numFmtId="38" fontId="108" fillId="69" borderId="24" xfId="414" applyFont="1" applyFill="1" applyBorder="1" applyAlignment="1"/>
    <xf numFmtId="38" fontId="108" fillId="69" borderId="31" xfId="414" applyFont="1" applyFill="1" applyBorder="1" applyAlignment="1"/>
    <xf numFmtId="205" fontId="108" fillId="69" borderId="31" xfId="414" applyNumberFormat="1" applyFont="1" applyFill="1" applyBorder="1" applyAlignment="1"/>
    <xf numFmtId="205" fontId="107" fillId="69" borderId="31" xfId="414" applyNumberFormat="1" applyFont="1" applyFill="1" applyBorder="1" applyAlignment="1"/>
    <xf numFmtId="38" fontId="107" fillId="0" borderId="43" xfId="414" applyFont="1" applyFill="1" applyBorder="1" applyAlignment="1" applyProtection="1">
      <alignment vertical="center"/>
    </xf>
    <xf numFmtId="205" fontId="107" fillId="0" borderId="43" xfId="414" applyNumberFormat="1" applyFont="1" applyFill="1" applyBorder="1" applyAlignment="1" applyProtection="1">
      <alignment vertical="center"/>
    </xf>
    <xf numFmtId="195" fontId="107" fillId="0" borderId="43" xfId="415" applyNumberFormat="1" applyFont="1" applyFill="1" applyBorder="1" applyAlignment="1" applyProtection="1">
      <alignment vertical="center"/>
    </xf>
    <xf numFmtId="38" fontId="107" fillId="0" borderId="41" xfId="414" applyFont="1" applyFill="1" applyBorder="1" applyAlignment="1" applyProtection="1">
      <alignment vertical="center"/>
    </xf>
    <xf numFmtId="38" fontId="107" fillId="62" borderId="80" xfId="414" applyFont="1" applyFill="1" applyBorder="1" applyAlignment="1" applyProtection="1">
      <alignment vertical="center"/>
    </xf>
    <xf numFmtId="38" fontId="107" fillId="62" borderId="38" xfId="414" applyFont="1" applyFill="1" applyBorder="1" applyAlignment="1" applyProtection="1">
      <alignment vertical="center"/>
    </xf>
    <xf numFmtId="38" fontId="107" fillId="0" borderId="38" xfId="414" applyFont="1" applyBorder="1" applyAlignment="1" applyProtection="1">
      <alignment vertical="center"/>
    </xf>
    <xf numFmtId="38" fontId="107" fillId="0" borderId="80" xfId="414" applyFont="1" applyBorder="1" applyAlignment="1" applyProtection="1">
      <alignment vertical="center"/>
    </xf>
    <xf numFmtId="205" fontId="107" fillId="0" borderId="38" xfId="414" applyNumberFormat="1" applyFont="1" applyBorder="1" applyAlignment="1" applyProtection="1">
      <alignment vertical="center"/>
    </xf>
    <xf numFmtId="195" fontId="107" fillId="0" borderId="38" xfId="415" applyNumberFormat="1" applyFont="1" applyBorder="1" applyAlignment="1" applyProtection="1">
      <alignment vertical="center"/>
    </xf>
    <xf numFmtId="38" fontId="169" fillId="0" borderId="31" xfId="414" applyFont="1" applyFill="1" applyBorder="1" applyAlignment="1" applyProtection="1">
      <alignment vertical="center"/>
    </xf>
    <xf numFmtId="198" fontId="108" fillId="66" borderId="117" xfId="349" applyNumberFormat="1" applyFont="1" applyFill="1" applyBorder="1" applyAlignment="1">
      <alignment vertical="center"/>
    </xf>
    <xf numFmtId="38" fontId="108" fillId="66" borderId="110" xfId="414" applyFont="1" applyFill="1" applyBorder="1" applyAlignment="1" applyProtection="1">
      <alignment vertical="center"/>
    </xf>
    <xf numFmtId="205" fontId="108" fillId="66" borderId="110" xfId="414" applyNumberFormat="1" applyFont="1" applyFill="1" applyBorder="1" applyAlignment="1" applyProtection="1">
      <alignment vertical="center"/>
    </xf>
    <xf numFmtId="195" fontId="108" fillId="66" borderId="110" xfId="415" applyNumberFormat="1" applyFont="1" applyFill="1" applyBorder="1" applyAlignment="1" applyProtection="1">
      <alignment vertical="center"/>
    </xf>
    <xf numFmtId="38" fontId="186" fillId="66" borderId="110" xfId="414" applyFont="1" applyFill="1" applyBorder="1" applyAlignment="1" applyProtection="1">
      <alignment vertical="center"/>
    </xf>
    <xf numFmtId="201" fontId="107" fillId="61" borderId="24" xfId="414" applyNumberFormat="1" applyFont="1" applyFill="1" applyBorder="1" applyAlignment="1">
      <alignment horizontal="right" vertical="center"/>
    </xf>
    <xf numFmtId="201" fontId="107" fillId="61" borderId="21" xfId="414" applyNumberFormat="1" applyFont="1" applyFill="1" applyBorder="1" applyAlignment="1">
      <alignment horizontal="right" vertical="center"/>
    </xf>
    <xf numFmtId="38" fontId="108" fillId="0" borderId="123" xfId="414" applyFont="1" applyFill="1" applyBorder="1" applyAlignment="1" applyProtection="1">
      <alignment vertical="center"/>
    </xf>
    <xf numFmtId="38" fontId="108" fillId="0" borderId="123" xfId="414" applyFont="1" applyFill="1" applyBorder="1">
      <alignment vertical="center"/>
    </xf>
    <xf numFmtId="38" fontId="108" fillId="0" borderId="123" xfId="414" applyFont="1" applyFill="1" applyBorder="1" applyAlignment="1">
      <alignment horizontal="right" vertical="center"/>
    </xf>
    <xf numFmtId="38" fontId="108" fillId="0" borderId="107" xfId="414" applyFont="1" applyFill="1" applyBorder="1" applyAlignment="1">
      <alignment horizontal="right" vertical="center"/>
    </xf>
    <xf numFmtId="38" fontId="107" fillId="61" borderId="123" xfId="414" applyFont="1" applyFill="1" applyBorder="1" applyAlignment="1" applyProtection="1">
      <alignment vertical="center"/>
    </xf>
    <xf numFmtId="205" fontId="107" fillId="61" borderId="123" xfId="414" applyNumberFormat="1" applyFont="1" applyFill="1" applyBorder="1" applyAlignment="1" applyProtection="1">
      <alignment vertical="center"/>
    </xf>
    <xf numFmtId="205" fontId="107" fillId="61" borderId="97" xfId="414" applyNumberFormat="1" applyFont="1" applyFill="1" applyBorder="1" applyAlignment="1" applyProtection="1">
      <alignment vertical="center"/>
    </xf>
    <xf numFmtId="205" fontId="107" fillId="61" borderId="21" xfId="414" applyNumberFormat="1" applyFont="1" applyFill="1" applyBorder="1" applyAlignment="1" applyProtection="1">
      <alignment vertical="center"/>
    </xf>
    <xf numFmtId="0" fontId="107" fillId="67" borderId="117" xfId="345" applyFont="1" applyFill="1" applyBorder="1">
      <alignment vertical="center"/>
    </xf>
    <xf numFmtId="38" fontId="107" fillId="67" borderId="110" xfId="414" applyFont="1" applyFill="1" applyBorder="1" applyAlignment="1">
      <alignment horizontal="right" vertical="center"/>
    </xf>
    <xf numFmtId="205" fontId="107" fillId="67" borderId="97" xfId="414" applyNumberFormat="1" applyFont="1" applyFill="1" applyBorder="1" applyAlignment="1" applyProtection="1">
      <alignment vertical="center"/>
    </xf>
    <xf numFmtId="205" fontId="107" fillId="61" borderId="24" xfId="414" applyNumberFormat="1" applyFont="1" applyFill="1" applyBorder="1" applyAlignment="1" applyProtection="1">
      <alignment vertical="center"/>
    </xf>
    <xf numFmtId="0" fontId="107" fillId="64" borderId="117" xfId="349" applyFont="1" applyFill="1" applyBorder="1"/>
    <xf numFmtId="38" fontId="107" fillId="64" borderId="110" xfId="414" applyFont="1" applyFill="1" applyBorder="1" applyAlignment="1">
      <alignment horizontal="right" vertical="center"/>
    </xf>
    <xf numFmtId="38" fontId="107" fillId="64" borderId="24" xfId="414" applyFont="1" applyFill="1" applyBorder="1" applyAlignment="1" applyProtection="1">
      <alignment vertical="center"/>
    </xf>
    <xf numFmtId="205" fontId="107" fillId="64" borderId="24" xfId="414" applyNumberFormat="1" applyFont="1" applyFill="1" applyBorder="1" applyAlignment="1" applyProtection="1">
      <alignment vertical="center"/>
    </xf>
    <xf numFmtId="0" fontId="107" fillId="77" borderId="117" xfId="349" applyFont="1" applyFill="1" applyBorder="1"/>
    <xf numFmtId="38" fontId="107" fillId="83" borderId="110" xfId="414" applyFont="1" applyFill="1" applyBorder="1" applyAlignment="1">
      <alignment horizontal="right" vertical="center"/>
    </xf>
    <xf numFmtId="38" fontId="107" fillId="83" borderId="24" xfId="414" applyFont="1" applyFill="1" applyBorder="1" applyAlignment="1" applyProtection="1">
      <alignment vertical="center"/>
    </xf>
    <xf numFmtId="205" fontId="107" fillId="83" borderId="24" xfId="414" applyNumberFormat="1" applyFont="1" applyFill="1" applyBorder="1" applyAlignment="1" applyProtection="1">
      <alignment vertical="center"/>
    </xf>
    <xf numFmtId="0" fontId="107" fillId="63" borderId="117" xfId="349" applyFont="1" applyFill="1" applyBorder="1"/>
    <xf numFmtId="38" fontId="107" fillId="63" borderId="110" xfId="414" applyFont="1" applyFill="1" applyBorder="1" applyAlignment="1">
      <alignment horizontal="right" vertical="center"/>
    </xf>
    <xf numFmtId="38" fontId="107" fillId="63" borderId="24" xfId="414" applyFont="1" applyFill="1" applyBorder="1" applyAlignment="1" applyProtection="1">
      <alignment vertical="center"/>
    </xf>
    <xf numFmtId="205" fontId="107" fillId="63" borderId="24" xfId="414" applyNumberFormat="1" applyFont="1" applyFill="1" applyBorder="1" applyAlignment="1" applyProtection="1">
      <alignment vertical="center"/>
    </xf>
    <xf numFmtId="0" fontId="107" fillId="75" borderId="117" xfId="349" applyFont="1" applyFill="1" applyBorder="1"/>
    <xf numFmtId="38" fontId="107" fillId="75" borderId="110" xfId="414" applyFont="1" applyFill="1" applyBorder="1" applyAlignment="1" applyProtection="1">
      <alignment vertical="center"/>
    </xf>
    <xf numFmtId="38" fontId="107" fillId="75" borderId="24" xfId="414" applyFont="1" applyFill="1" applyBorder="1" applyAlignment="1" applyProtection="1">
      <alignment vertical="center"/>
    </xf>
    <xf numFmtId="205" fontId="107" fillId="75" borderId="24" xfId="414" applyNumberFormat="1" applyFont="1" applyFill="1" applyBorder="1" applyAlignment="1" applyProtection="1">
      <alignment vertical="center"/>
    </xf>
    <xf numFmtId="0" fontId="108" fillId="67" borderId="117" xfId="345" applyFont="1" applyFill="1" applyBorder="1">
      <alignment vertical="center"/>
    </xf>
    <xf numFmtId="38" fontId="108" fillId="67" borderId="110" xfId="345" applyNumberFormat="1" applyFont="1" applyFill="1" applyBorder="1">
      <alignment vertical="center"/>
    </xf>
    <xf numFmtId="205" fontId="108" fillId="67" borderId="110" xfId="345" applyNumberFormat="1" applyFont="1" applyFill="1" applyBorder="1">
      <alignment vertical="center"/>
    </xf>
    <xf numFmtId="195" fontId="108" fillId="67" borderId="110" xfId="415" applyNumberFormat="1" applyFont="1" applyFill="1" applyBorder="1">
      <alignment vertical="center"/>
    </xf>
    <xf numFmtId="205" fontId="107" fillId="61" borderId="34" xfId="414" applyNumberFormat="1" applyFont="1" applyFill="1" applyBorder="1">
      <alignment vertical="center"/>
    </xf>
    <xf numFmtId="205" fontId="107" fillId="61" borderId="45" xfId="414" applyNumberFormat="1" applyFont="1" applyFill="1" applyBorder="1">
      <alignment vertical="center"/>
    </xf>
    <xf numFmtId="205" fontId="107" fillId="0" borderId="45" xfId="414" applyNumberFormat="1" applyFont="1" applyFill="1" applyBorder="1">
      <alignment vertical="center"/>
    </xf>
    <xf numFmtId="205" fontId="107" fillId="0" borderId="34" xfId="414" applyNumberFormat="1" applyFont="1" applyFill="1" applyBorder="1">
      <alignment vertical="center"/>
    </xf>
    <xf numFmtId="205" fontId="107" fillId="0" borderId="80" xfId="414" applyNumberFormat="1" applyFont="1" applyFill="1" applyBorder="1">
      <alignment vertical="center"/>
    </xf>
    <xf numFmtId="205" fontId="107" fillId="0" borderId="79" xfId="414" applyNumberFormat="1" applyFont="1" applyFill="1" applyBorder="1">
      <alignment vertical="center"/>
    </xf>
    <xf numFmtId="205" fontId="107" fillId="0" borderId="41" xfId="414" applyNumberFormat="1" applyFont="1" applyFill="1" applyBorder="1">
      <alignment vertical="center"/>
    </xf>
    <xf numFmtId="205" fontId="107" fillId="0" borderId="24" xfId="414" applyNumberFormat="1" applyFont="1" applyFill="1" applyBorder="1">
      <alignment vertical="center"/>
    </xf>
    <xf numFmtId="38" fontId="107" fillId="62" borderId="123" xfId="414" applyFont="1" applyFill="1" applyBorder="1">
      <alignment vertical="center"/>
    </xf>
    <xf numFmtId="38" fontId="107" fillId="0" borderId="107" xfId="414" applyFont="1" applyFill="1" applyBorder="1">
      <alignment vertical="center"/>
    </xf>
    <xf numFmtId="38" fontId="107" fillId="0" borderId="123" xfId="414" applyFont="1" applyFill="1" applyBorder="1">
      <alignment vertical="center"/>
    </xf>
    <xf numFmtId="205" fontId="107" fillId="0" borderId="123" xfId="414" applyNumberFormat="1" applyFont="1" applyFill="1" applyBorder="1">
      <alignment vertical="center"/>
    </xf>
    <xf numFmtId="38" fontId="108" fillId="69" borderId="110" xfId="345" applyNumberFormat="1" applyFont="1" applyFill="1" applyBorder="1">
      <alignment vertical="center"/>
    </xf>
    <xf numFmtId="205" fontId="108" fillId="69" borderId="110" xfId="345" applyNumberFormat="1" applyFont="1" applyFill="1" applyBorder="1">
      <alignment vertical="center"/>
    </xf>
    <xf numFmtId="195" fontId="108" fillId="69" borderId="110" xfId="415" applyNumberFormat="1" applyFont="1" applyFill="1" applyBorder="1">
      <alignment vertical="center"/>
    </xf>
    <xf numFmtId="38" fontId="108" fillId="67" borderId="110" xfId="414" applyFont="1" applyFill="1" applyBorder="1">
      <alignment vertical="center"/>
    </xf>
    <xf numFmtId="205" fontId="108" fillId="67" borderId="110" xfId="414" applyNumberFormat="1" applyFont="1" applyFill="1" applyBorder="1">
      <alignment vertical="center"/>
    </xf>
    <xf numFmtId="205" fontId="107" fillId="0" borderId="21" xfId="414" applyNumberFormat="1" applyFont="1" applyFill="1" applyBorder="1">
      <alignment vertical="center"/>
    </xf>
    <xf numFmtId="38" fontId="107" fillId="61" borderId="78" xfId="414" applyFont="1" applyFill="1" applyBorder="1">
      <alignment vertical="center"/>
    </xf>
    <xf numFmtId="205" fontId="107" fillId="61" borderId="78" xfId="414" applyNumberFormat="1" applyFont="1" applyFill="1" applyBorder="1">
      <alignment vertical="center"/>
    </xf>
    <xf numFmtId="205" fontId="107" fillId="61" borderId="46" xfId="414" applyNumberFormat="1" applyFont="1" applyFill="1" applyBorder="1">
      <alignment vertical="center"/>
    </xf>
    <xf numFmtId="205" fontId="107" fillId="61" borderId="31" xfId="414" applyNumberFormat="1" applyFont="1" applyFill="1" applyBorder="1">
      <alignment vertical="center"/>
    </xf>
    <xf numFmtId="205" fontId="107" fillId="61" borderId="30" xfId="414" applyNumberFormat="1" applyFont="1" applyFill="1" applyBorder="1">
      <alignment vertical="center"/>
    </xf>
    <xf numFmtId="0" fontId="108" fillId="64" borderId="117" xfId="345" applyFont="1" applyFill="1" applyBorder="1">
      <alignment vertical="center"/>
    </xf>
    <xf numFmtId="38" fontId="107" fillId="64" borderId="117" xfId="414" applyFont="1" applyFill="1" applyBorder="1">
      <alignment vertical="center"/>
    </xf>
    <xf numFmtId="38" fontId="107" fillId="64" borderId="110" xfId="414" applyFont="1" applyFill="1" applyBorder="1">
      <alignment vertical="center"/>
    </xf>
    <xf numFmtId="205" fontId="107" fillId="64" borderId="97" xfId="414" applyNumberFormat="1" applyFont="1" applyFill="1" applyBorder="1">
      <alignment vertical="center"/>
    </xf>
    <xf numFmtId="38" fontId="107" fillId="70" borderId="11" xfId="414" applyFont="1" applyFill="1" applyBorder="1">
      <alignment vertical="center"/>
    </xf>
    <xf numFmtId="38" fontId="107" fillId="70" borderId="24" xfId="414" applyFont="1" applyFill="1" applyBorder="1">
      <alignment vertical="center"/>
    </xf>
    <xf numFmtId="38" fontId="107" fillId="70" borderId="31" xfId="414" applyFont="1" applyFill="1" applyBorder="1">
      <alignment vertical="center"/>
    </xf>
    <xf numFmtId="205" fontId="107" fillId="70" borderId="24" xfId="414" applyNumberFormat="1" applyFont="1" applyFill="1" applyBorder="1">
      <alignment vertical="center"/>
    </xf>
    <xf numFmtId="38" fontId="107" fillId="61" borderId="37" xfId="414" applyFont="1" applyFill="1" applyBorder="1">
      <alignment vertical="center"/>
    </xf>
    <xf numFmtId="38" fontId="107" fillId="61" borderId="77" xfId="414" applyFont="1" applyFill="1" applyBorder="1">
      <alignment vertical="center"/>
    </xf>
    <xf numFmtId="205" fontId="107" fillId="61" borderId="79" xfId="414" applyNumberFormat="1" applyFont="1" applyFill="1" applyBorder="1">
      <alignment vertical="center"/>
    </xf>
    <xf numFmtId="38" fontId="107" fillId="61" borderId="42" xfId="414" applyFont="1" applyFill="1" applyBorder="1">
      <alignment vertical="center"/>
    </xf>
    <xf numFmtId="205" fontId="107" fillId="61" borderId="41" xfId="414" applyNumberFormat="1" applyFont="1" applyFill="1" applyBorder="1">
      <alignment vertical="center"/>
    </xf>
    <xf numFmtId="205" fontId="107" fillId="61" borderId="80" xfId="414" applyNumberFormat="1" applyFont="1" applyFill="1" applyBorder="1">
      <alignment vertical="center"/>
    </xf>
    <xf numFmtId="38" fontId="107" fillId="69" borderId="110" xfId="414" applyFont="1" applyFill="1" applyBorder="1">
      <alignment vertical="center"/>
    </xf>
    <xf numFmtId="205" fontId="107" fillId="69" borderId="97" xfId="414" applyNumberFormat="1" applyFont="1" applyFill="1" applyBorder="1">
      <alignment vertical="center"/>
    </xf>
    <xf numFmtId="38" fontId="107" fillId="77" borderId="110" xfId="414" applyFont="1" applyFill="1" applyBorder="1" applyAlignment="1" applyProtection="1">
      <alignment vertical="center"/>
    </xf>
    <xf numFmtId="205" fontId="107" fillId="77" borderId="97" xfId="414" applyNumberFormat="1" applyFont="1" applyFill="1" applyBorder="1" applyAlignment="1" applyProtection="1">
      <alignment vertical="center"/>
    </xf>
    <xf numFmtId="38" fontId="108" fillId="66" borderId="117" xfId="414" applyFont="1" applyFill="1" applyBorder="1" applyAlignment="1"/>
    <xf numFmtId="38" fontId="186" fillId="66" borderId="97" xfId="414" applyFont="1" applyFill="1" applyBorder="1" applyAlignment="1"/>
    <xf numFmtId="205" fontId="107" fillId="70" borderId="31" xfId="414" applyNumberFormat="1" applyFont="1" applyFill="1" applyBorder="1">
      <alignment vertical="center"/>
    </xf>
    <xf numFmtId="38" fontId="115" fillId="70" borderId="24" xfId="414" applyFont="1" applyFill="1" applyBorder="1">
      <alignment vertical="center"/>
    </xf>
    <xf numFmtId="205" fontId="107" fillId="0" borderId="31" xfId="414" applyNumberFormat="1" applyFont="1" applyFill="1" applyBorder="1">
      <alignment vertical="center"/>
    </xf>
    <xf numFmtId="38" fontId="107" fillId="69" borderId="117" xfId="414" applyFont="1" applyFill="1" applyBorder="1">
      <alignment vertical="center"/>
    </xf>
    <xf numFmtId="205" fontId="107" fillId="69" borderId="110" xfId="414" applyNumberFormat="1" applyFont="1" applyFill="1" applyBorder="1">
      <alignment vertical="center"/>
    </xf>
    <xf numFmtId="195" fontId="107" fillId="69" borderId="110" xfId="415" applyNumberFormat="1" applyFont="1" applyFill="1" applyBorder="1">
      <alignment vertical="center"/>
    </xf>
    <xf numFmtId="38" fontId="115" fillId="69" borderId="97" xfId="414" applyFont="1" applyFill="1" applyBorder="1">
      <alignment vertical="center"/>
    </xf>
    <xf numFmtId="205" fontId="107" fillId="0" borderId="30" xfId="414" applyNumberFormat="1" applyFont="1" applyFill="1" applyBorder="1">
      <alignment vertical="center"/>
    </xf>
    <xf numFmtId="205" fontId="107" fillId="61" borderId="35" xfId="414" applyNumberFormat="1" applyFont="1" applyFill="1" applyBorder="1">
      <alignment vertical="center"/>
    </xf>
    <xf numFmtId="38" fontId="108" fillId="0" borderId="123" xfId="414" applyFont="1" applyFill="1" applyBorder="1" applyAlignment="1"/>
    <xf numFmtId="38" fontId="108" fillId="0" borderId="107" xfId="414" applyFont="1" applyFill="1" applyBorder="1" applyAlignment="1"/>
    <xf numFmtId="205" fontId="108" fillId="0" borderId="123" xfId="414" applyNumberFormat="1" applyFont="1" applyFill="1" applyBorder="1" applyAlignment="1"/>
    <xf numFmtId="0" fontId="108" fillId="86" borderId="117" xfId="349" applyFont="1" applyFill="1" applyBorder="1"/>
    <xf numFmtId="38" fontId="108" fillId="86" borderId="110" xfId="414" applyFont="1" applyFill="1" applyBorder="1" applyAlignment="1"/>
    <xf numFmtId="38" fontId="108" fillId="67" borderId="97" xfId="414" applyFont="1" applyFill="1" applyBorder="1" applyAlignment="1"/>
    <xf numFmtId="205" fontId="108" fillId="67" borderId="97" xfId="414" applyNumberFormat="1" applyFont="1" applyFill="1" applyBorder="1" applyAlignment="1"/>
    <xf numFmtId="0" fontId="108" fillId="64" borderId="117" xfId="349" applyFont="1" applyFill="1" applyBorder="1"/>
    <xf numFmtId="38" fontId="108" fillId="64" borderId="110" xfId="414" applyFont="1" applyFill="1" applyBorder="1" applyAlignment="1"/>
    <xf numFmtId="205" fontId="108" fillId="64" borderId="97" xfId="414" applyNumberFormat="1" applyFont="1" applyFill="1" applyBorder="1" applyAlignment="1"/>
    <xf numFmtId="0" fontId="108" fillId="77" borderId="117" xfId="349" applyFont="1" applyFill="1" applyBorder="1"/>
    <xf numFmtId="38" fontId="108" fillId="77" borderId="110" xfId="414" applyFont="1" applyFill="1" applyBorder="1" applyAlignment="1"/>
    <xf numFmtId="205" fontId="108" fillId="77" borderId="97" xfId="414" applyNumberFormat="1" applyFont="1" applyFill="1" applyBorder="1" applyAlignment="1"/>
    <xf numFmtId="0" fontId="108" fillId="63" borderId="117" xfId="349" applyFont="1" applyFill="1" applyBorder="1"/>
    <xf numFmtId="38" fontId="108" fillId="63" borderId="110" xfId="414" applyFont="1" applyFill="1" applyBorder="1" applyAlignment="1"/>
    <xf numFmtId="205" fontId="108" fillId="63" borderId="97" xfId="414" applyNumberFormat="1" applyFont="1" applyFill="1" applyBorder="1" applyAlignment="1"/>
    <xf numFmtId="0" fontId="108" fillId="75" borderId="117" xfId="349" applyFont="1" applyFill="1" applyBorder="1"/>
    <xf numFmtId="38" fontId="108" fillId="75" borderId="110" xfId="414" applyFont="1" applyFill="1" applyBorder="1" applyAlignment="1"/>
    <xf numFmtId="205" fontId="108" fillId="75" borderId="97" xfId="414" applyNumberFormat="1" applyFont="1" applyFill="1" applyBorder="1" applyAlignment="1"/>
    <xf numFmtId="38" fontId="108" fillId="76" borderId="117" xfId="414" applyFont="1" applyFill="1" applyBorder="1" applyAlignment="1" applyProtection="1">
      <alignment vertical="center"/>
    </xf>
    <xf numFmtId="38" fontId="107" fillId="55" borderId="85" xfId="414" applyFont="1" applyFill="1" applyBorder="1" applyAlignment="1" applyProtection="1">
      <alignment vertical="center"/>
    </xf>
    <xf numFmtId="38" fontId="108" fillId="55" borderId="110" xfId="414" applyFont="1" applyFill="1" applyBorder="1" applyAlignment="1" applyProtection="1">
      <alignment vertical="center"/>
    </xf>
    <xf numFmtId="205" fontId="108" fillId="55" borderId="110" xfId="414" applyNumberFormat="1" applyFont="1" applyFill="1" applyBorder="1" applyAlignment="1" applyProtection="1">
      <alignment vertical="center"/>
    </xf>
    <xf numFmtId="195" fontId="108" fillId="55" borderId="110" xfId="415" applyNumberFormat="1" applyFont="1" applyFill="1" applyBorder="1" applyAlignment="1" applyProtection="1">
      <alignment vertical="center"/>
    </xf>
    <xf numFmtId="205" fontId="107" fillId="61" borderId="34" xfId="414" applyNumberFormat="1" applyFont="1" applyFill="1" applyBorder="1" applyAlignment="1" applyProtection="1">
      <alignment vertical="center"/>
    </xf>
    <xf numFmtId="205" fontId="107" fillId="61" borderId="21" xfId="414" applyNumberFormat="1" applyFont="1" applyFill="1" applyBorder="1" applyAlignment="1" applyProtection="1">
      <alignment vertical="center"/>
      <protection locked="0"/>
    </xf>
    <xf numFmtId="205" fontId="107" fillId="61" borderId="79" xfId="414" applyNumberFormat="1" applyFont="1" applyFill="1" applyBorder="1" applyAlignment="1" applyProtection="1">
      <alignment vertical="center"/>
    </xf>
    <xf numFmtId="38" fontId="107" fillId="0" borderId="123" xfId="414" applyFont="1" applyFill="1" applyBorder="1" applyAlignment="1" applyProtection="1">
      <alignment vertical="center"/>
    </xf>
    <xf numFmtId="38" fontId="107" fillId="61" borderId="107" xfId="414" applyFont="1" applyFill="1" applyBorder="1" applyAlignment="1" applyProtection="1">
      <alignment vertical="center"/>
    </xf>
    <xf numFmtId="197" fontId="108" fillId="61" borderId="117" xfId="349" applyNumberFormat="1" applyFont="1" applyFill="1" applyBorder="1" applyAlignment="1">
      <alignment vertical="center"/>
    </xf>
    <xf numFmtId="38" fontId="108" fillId="59" borderId="117" xfId="414" applyFont="1" applyFill="1" applyBorder="1" applyAlignment="1" applyProtection="1">
      <alignment vertical="center"/>
    </xf>
    <xf numFmtId="38" fontId="107" fillId="59" borderId="85" xfId="414" applyFont="1" applyFill="1" applyBorder="1" applyAlignment="1" applyProtection="1">
      <alignment vertical="center"/>
    </xf>
    <xf numFmtId="38" fontId="107" fillId="62" borderId="24" xfId="414" applyFont="1" applyFill="1" applyBorder="1" applyProtection="1">
      <alignment vertical="center"/>
      <protection locked="0"/>
    </xf>
    <xf numFmtId="38" fontId="107" fillId="62" borderId="21" xfId="414" applyFont="1" applyFill="1" applyBorder="1" applyProtection="1">
      <alignment vertical="center"/>
      <protection locked="0"/>
    </xf>
    <xf numFmtId="38" fontId="107" fillId="62" borderId="123" xfId="414" applyFont="1" applyFill="1" applyBorder="1" applyAlignment="1" applyProtection="1">
      <alignment vertical="center"/>
    </xf>
    <xf numFmtId="38" fontId="108" fillId="49" borderId="117" xfId="414" applyFont="1" applyFill="1" applyBorder="1" applyAlignment="1" applyProtection="1">
      <alignment vertical="center"/>
    </xf>
    <xf numFmtId="38" fontId="107" fillId="49" borderId="85" xfId="414" applyFont="1" applyFill="1" applyBorder="1" applyAlignment="1" applyProtection="1">
      <alignment vertical="center"/>
    </xf>
    <xf numFmtId="38" fontId="108" fillId="77" borderId="117" xfId="414" applyFont="1" applyFill="1" applyBorder="1" applyAlignment="1" applyProtection="1">
      <alignment vertical="center"/>
    </xf>
    <xf numFmtId="38" fontId="107" fillId="77" borderId="85" xfId="414" applyFont="1" applyFill="1" applyBorder="1" applyAlignment="1" applyProtection="1">
      <alignment vertical="center"/>
    </xf>
    <xf numFmtId="38" fontId="108" fillId="75" borderId="117" xfId="414" applyFont="1" applyFill="1" applyBorder="1" applyAlignment="1" applyProtection="1">
      <alignment vertical="center"/>
    </xf>
    <xf numFmtId="38" fontId="107" fillId="66" borderId="85" xfId="414" applyFont="1" applyFill="1" applyBorder="1" applyAlignment="1" applyProtection="1">
      <alignment vertical="center"/>
    </xf>
    <xf numFmtId="38" fontId="107" fillId="61" borderId="123" xfId="414" applyFont="1" applyFill="1" applyBorder="1" applyAlignment="1" applyProtection="1">
      <alignment horizontal="right" vertical="center"/>
    </xf>
    <xf numFmtId="38" fontId="107" fillId="61" borderId="107" xfId="414" applyFont="1" applyFill="1" applyBorder="1" applyAlignment="1" applyProtection="1">
      <alignment horizontal="right" vertical="center"/>
    </xf>
    <xf numFmtId="205" fontId="107" fillId="61" borderId="123" xfId="414" applyNumberFormat="1" applyFont="1" applyFill="1" applyBorder="1" applyAlignment="1" applyProtection="1">
      <alignment horizontal="right" vertical="center"/>
    </xf>
    <xf numFmtId="38" fontId="107" fillId="61" borderId="97" xfId="414" applyFont="1" applyFill="1" applyBorder="1" applyAlignment="1" applyProtection="1">
      <alignment horizontal="right" vertical="center"/>
    </xf>
    <xf numFmtId="38" fontId="107" fillId="61" borderId="24" xfId="414" applyFont="1" applyFill="1" applyBorder="1" applyAlignment="1" applyProtection="1">
      <alignment horizontal="right" vertical="center"/>
    </xf>
    <xf numFmtId="38" fontId="107" fillId="61" borderId="21" xfId="414" applyFont="1" applyFill="1" applyBorder="1" applyAlignment="1" applyProtection="1">
      <alignment horizontal="right" vertical="center"/>
    </xf>
    <xf numFmtId="38" fontId="107" fillId="67" borderId="110" xfId="414" applyFont="1" applyFill="1" applyBorder="1" applyAlignment="1" applyProtection="1">
      <alignment vertical="center"/>
    </xf>
    <xf numFmtId="205" fontId="107" fillId="0" borderId="24" xfId="414" applyNumberFormat="1" applyFont="1" applyBorder="1" applyAlignment="1" applyProtection="1">
      <alignment vertical="center"/>
    </xf>
    <xf numFmtId="38" fontId="107" fillId="64" borderId="110" xfId="414" applyFont="1" applyFill="1" applyBorder="1" applyAlignment="1" applyProtection="1">
      <alignment vertical="center"/>
    </xf>
    <xf numFmtId="205" fontId="107" fillId="64" borderId="97" xfId="414" applyNumberFormat="1" applyFont="1" applyFill="1" applyBorder="1" applyAlignment="1" applyProtection="1">
      <alignment vertical="center"/>
    </xf>
    <xf numFmtId="38" fontId="107" fillId="63" borderId="110" xfId="414" applyFont="1" applyFill="1" applyBorder="1" applyAlignment="1" applyProtection="1">
      <alignment vertical="center"/>
    </xf>
    <xf numFmtId="205" fontId="107" fillId="63" borderId="97" xfId="414" applyNumberFormat="1" applyFont="1" applyFill="1" applyBorder="1" applyAlignment="1" applyProtection="1">
      <alignment vertical="center"/>
    </xf>
    <xf numFmtId="205" fontId="107" fillId="0" borderId="21" xfId="414" applyNumberFormat="1" applyFont="1" applyBorder="1" applyAlignment="1" applyProtection="1">
      <alignment vertical="center"/>
    </xf>
    <xf numFmtId="38" fontId="107" fillId="66" borderId="110" xfId="414" applyFont="1" applyFill="1" applyBorder="1" applyAlignment="1"/>
    <xf numFmtId="205" fontId="107" fillId="66" borderId="97" xfId="414" applyNumberFormat="1" applyFont="1" applyFill="1" applyBorder="1" applyAlignment="1"/>
    <xf numFmtId="38" fontId="107" fillId="83" borderId="110" xfId="414" applyFont="1" applyFill="1" applyBorder="1">
      <alignment vertical="center"/>
    </xf>
    <xf numFmtId="205" fontId="107" fillId="0" borderId="34" xfId="414" applyNumberFormat="1" applyFont="1" applyFill="1" applyBorder="1" applyAlignment="1" applyProtection="1">
      <alignment vertical="center"/>
    </xf>
    <xf numFmtId="205" fontId="107" fillId="0" borderId="24" xfId="414" applyNumberFormat="1" applyFont="1" applyFill="1" applyBorder="1" applyAlignment="1" applyProtection="1">
      <alignment vertical="center"/>
    </xf>
    <xf numFmtId="205" fontId="107" fillId="0" borderId="21" xfId="414" applyNumberFormat="1" applyFont="1" applyFill="1" applyBorder="1" applyAlignment="1" applyProtection="1">
      <alignment vertical="center"/>
    </xf>
    <xf numFmtId="198" fontId="108" fillId="0" borderId="117" xfId="482" applyNumberFormat="1" applyFont="1" applyBorder="1" applyAlignment="1">
      <alignment vertical="center"/>
    </xf>
    <xf numFmtId="38" fontId="113" fillId="68" borderId="123" xfId="414" applyFont="1" applyFill="1" applyBorder="1">
      <alignment vertical="center"/>
    </xf>
    <xf numFmtId="38" fontId="113" fillId="0" borderId="107" xfId="414" applyFont="1" applyBorder="1">
      <alignment vertical="center"/>
    </xf>
    <xf numFmtId="38" fontId="113" fillId="0" borderId="123" xfId="414" applyFont="1" applyBorder="1">
      <alignment vertical="center"/>
    </xf>
    <xf numFmtId="205" fontId="113" fillId="0" borderId="123" xfId="414" applyNumberFormat="1" applyFont="1" applyBorder="1">
      <alignment vertical="center"/>
    </xf>
    <xf numFmtId="205" fontId="113" fillId="0" borderId="79" xfId="414" applyNumberFormat="1" applyFont="1" applyBorder="1">
      <alignment vertical="center"/>
    </xf>
    <xf numFmtId="205" fontId="113" fillId="0" borderId="45" xfId="414" applyNumberFormat="1" applyFont="1" applyBorder="1">
      <alignment vertical="center"/>
    </xf>
    <xf numFmtId="205" fontId="113" fillId="0" borderId="21" xfId="414" applyNumberFormat="1" applyFont="1" applyBorder="1">
      <alignment vertical="center"/>
    </xf>
    <xf numFmtId="208" fontId="0" fillId="0" borderId="123" xfId="0" applyNumberFormat="1" applyBorder="1" applyAlignment="1"/>
    <xf numFmtId="38" fontId="108" fillId="76" borderId="117" xfId="311" applyFont="1" applyFill="1" applyBorder="1" applyAlignment="1">
      <alignment horizontal="left" vertical="center"/>
    </xf>
    <xf numFmtId="38" fontId="108" fillId="76" borderId="110" xfId="311" applyFont="1" applyFill="1" applyBorder="1" applyAlignment="1" applyProtection="1">
      <protection locked="0"/>
    </xf>
    <xf numFmtId="38" fontId="108" fillId="67" borderId="117" xfId="311" applyFont="1" applyFill="1" applyBorder="1" applyAlignment="1"/>
    <xf numFmtId="38" fontId="107" fillId="67" borderId="110" xfId="311" applyFont="1" applyFill="1" applyBorder="1" applyAlignment="1" applyProtection="1">
      <protection locked="0"/>
    </xf>
    <xf numFmtId="38" fontId="108" fillId="67" borderId="110" xfId="311" applyFont="1" applyFill="1" applyBorder="1" applyAlignment="1" applyProtection="1">
      <protection locked="0"/>
    </xf>
    <xf numFmtId="38" fontId="107" fillId="65" borderId="117" xfId="311" applyFont="1" applyFill="1" applyBorder="1" applyAlignment="1">
      <alignment horizontal="left" vertical="center" indent="1"/>
    </xf>
    <xf numFmtId="0" fontId="107" fillId="0" borderId="117" xfId="480" applyFont="1" applyBorder="1" applyAlignment="1">
      <alignment vertical="center"/>
    </xf>
    <xf numFmtId="38" fontId="107" fillId="61" borderId="97" xfId="413" applyNumberFormat="1" applyFont="1" applyFill="1" applyBorder="1">
      <alignment vertical="center"/>
    </xf>
    <xf numFmtId="38" fontId="107" fillId="61" borderId="97" xfId="413" applyNumberFormat="1" applyFont="1" applyFill="1" applyBorder="1" applyAlignment="1"/>
    <xf numFmtId="0" fontId="107" fillId="0" borderId="110" xfId="420" applyFont="1" applyBorder="1"/>
    <xf numFmtId="38" fontId="107" fillId="68" borderId="45" xfId="413" applyNumberFormat="1" applyFont="1" applyFill="1" applyBorder="1">
      <alignment vertical="center"/>
    </xf>
    <xf numFmtId="38" fontId="107" fillId="68" borderId="45" xfId="413" applyNumberFormat="1" applyFont="1" applyFill="1" applyBorder="1" applyAlignment="1"/>
    <xf numFmtId="0" fontId="108" fillId="76" borderId="117" xfId="345" applyFont="1" applyFill="1" applyBorder="1">
      <alignment vertical="center"/>
    </xf>
    <xf numFmtId="0" fontId="153" fillId="61" borderId="117" xfId="420" applyFont="1" applyFill="1" applyBorder="1"/>
    <xf numFmtId="38" fontId="153" fillId="61" borderId="120" xfId="414" applyFont="1" applyFill="1" applyBorder="1" applyAlignment="1"/>
    <xf numFmtId="38" fontId="153" fillId="61" borderId="119" xfId="414" applyFont="1" applyFill="1" applyBorder="1" applyAlignment="1"/>
    <xf numFmtId="38" fontId="153" fillId="61" borderId="122" xfId="414" applyFont="1" applyFill="1" applyBorder="1" applyAlignment="1"/>
    <xf numFmtId="38" fontId="153" fillId="61" borderId="66" xfId="414" applyFont="1" applyFill="1" applyBorder="1" applyAlignment="1"/>
    <xf numFmtId="38" fontId="153" fillId="61" borderId="48" xfId="414" applyFont="1" applyFill="1" applyBorder="1" applyAlignment="1"/>
    <xf numFmtId="38" fontId="153" fillId="61" borderId="67" xfId="414" applyFont="1" applyFill="1" applyBorder="1" applyAlignment="1"/>
    <xf numFmtId="38" fontId="153" fillId="61" borderId="51" xfId="414" applyFont="1" applyFill="1" applyBorder="1" applyAlignment="1"/>
    <xf numFmtId="38" fontId="153" fillId="61" borderId="49" xfId="414" applyFont="1" applyFill="1" applyBorder="1" applyAlignment="1"/>
    <xf numFmtId="38" fontId="153" fillId="61" borderId="65" xfId="414" applyFont="1" applyFill="1" applyBorder="1" applyAlignment="1"/>
    <xf numFmtId="38" fontId="153" fillId="61" borderId="84" xfId="414" applyFont="1" applyFill="1" applyBorder="1" applyAlignment="1"/>
    <xf numFmtId="38" fontId="153" fillId="61" borderId="76" xfId="414" applyFont="1" applyFill="1" applyBorder="1" applyAlignment="1"/>
    <xf numFmtId="38" fontId="153" fillId="61" borderId="93" xfId="414" applyFont="1" applyFill="1" applyBorder="1" applyAlignment="1"/>
    <xf numFmtId="38" fontId="154" fillId="61" borderId="11" xfId="414" applyFont="1" applyFill="1" applyBorder="1" applyAlignment="1"/>
    <xf numFmtId="38" fontId="154" fillId="61" borderId="0" xfId="414" applyFont="1" applyFill="1" applyBorder="1" applyAlignment="1"/>
    <xf numFmtId="0" fontId="128" fillId="0" borderId="117" xfId="485" applyFont="1" applyBorder="1">
      <alignment vertical="center"/>
    </xf>
    <xf numFmtId="38" fontId="89" fillId="68" borderId="123" xfId="414" applyFont="1" applyFill="1" applyBorder="1">
      <alignment vertical="center"/>
    </xf>
    <xf numFmtId="0" fontId="89" fillId="68" borderId="123" xfId="414" applyNumberFormat="1" applyFont="1" applyFill="1" applyBorder="1">
      <alignment vertical="center"/>
    </xf>
    <xf numFmtId="38" fontId="89" fillId="0" borderId="107" xfId="414" applyFont="1" applyFill="1" applyBorder="1">
      <alignment vertical="center"/>
    </xf>
    <xf numFmtId="38" fontId="89" fillId="0" borderId="123" xfId="414" applyFont="1" applyFill="1" applyBorder="1">
      <alignment vertical="center"/>
    </xf>
    <xf numFmtId="38" fontId="89" fillId="0" borderId="123" xfId="414" applyFont="1" applyBorder="1">
      <alignment vertical="center"/>
    </xf>
    <xf numFmtId="0" fontId="89" fillId="68" borderId="11" xfId="414" applyNumberFormat="1" applyFont="1" applyFill="1" applyBorder="1">
      <alignment vertical="center"/>
    </xf>
    <xf numFmtId="0" fontId="89" fillId="68" borderId="24" xfId="414" applyNumberFormat="1" applyFont="1" applyFill="1" applyBorder="1">
      <alignment vertical="center"/>
    </xf>
    <xf numFmtId="0" fontId="89" fillId="68" borderId="37" xfId="414" applyNumberFormat="1" applyFont="1" applyFill="1" applyBorder="1">
      <alignment vertical="center"/>
    </xf>
    <xf numFmtId="0" fontId="89" fillId="68" borderId="34" xfId="414" applyNumberFormat="1" applyFont="1" applyFill="1" applyBorder="1">
      <alignment vertical="center"/>
    </xf>
    <xf numFmtId="38" fontId="89" fillId="0" borderId="108" xfId="414" applyFont="1" applyFill="1" applyBorder="1">
      <alignment vertical="center"/>
    </xf>
    <xf numFmtId="38" fontId="89" fillId="0" borderId="107" xfId="414" applyFont="1" applyBorder="1">
      <alignment vertical="center"/>
    </xf>
    <xf numFmtId="38" fontId="89" fillId="0" borderId="110" xfId="414" applyFont="1" applyFill="1" applyBorder="1">
      <alignment vertical="center"/>
    </xf>
    <xf numFmtId="38" fontId="89" fillId="0" borderId="97" xfId="414" applyFont="1" applyFill="1" applyBorder="1">
      <alignment vertical="center"/>
    </xf>
    <xf numFmtId="38" fontId="89" fillId="0" borderId="117" xfId="414" applyFont="1" applyFill="1" applyBorder="1">
      <alignment vertical="center"/>
    </xf>
    <xf numFmtId="198" fontId="174" fillId="0" borderId="117" xfId="349" applyNumberFormat="1" applyFont="1" applyBorder="1" applyAlignment="1">
      <alignment vertical="center"/>
    </xf>
    <xf numFmtId="198" fontId="169" fillId="0" borderId="110" xfId="349" applyNumberFormat="1" applyFont="1" applyBorder="1" applyAlignment="1">
      <alignment vertical="center"/>
    </xf>
    <xf numFmtId="38" fontId="174" fillId="82" borderId="123" xfId="414" applyFont="1" applyFill="1" applyBorder="1" applyAlignment="1" applyProtection="1">
      <alignment horizontal="right" vertical="center"/>
    </xf>
    <xf numFmtId="38" fontId="174" fillId="0" borderId="123" xfId="414" applyFont="1" applyBorder="1" applyAlignment="1" applyProtection="1">
      <alignment vertical="center"/>
    </xf>
    <xf numFmtId="0" fontId="169" fillId="61" borderId="117" xfId="345" applyFont="1" applyFill="1" applyBorder="1">
      <alignment vertical="center"/>
    </xf>
    <xf numFmtId="0" fontId="169" fillId="61" borderId="110" xfId="345" applyFont="1" applyFill="1" applyBorder="1">
      <alignment vertical="center"/>
    </xf>
    <xf numFmtId="38" fontId="169" fillId="61" borderId="123" xfId="414" applyFont="1" applyFill="1" applyBorder="1" applyAlignment="1" applyProtection="1">
      <alignment horizontal="right" vertical="center"/>
    </xf>
    <xf numFmtId="38" fontId="169" fillId="61" borderId="0" xfId="414" applyFont="1" applyFill="1" applyAlignment="1" applyProtection="1">
      <alignment vertical="center"/>
    </xf>
    <xf numFmtId="38" fontId="169" fillId="61" borderId="0" xfId="414" applyFont="1" applyFill="1" applyAlignment="1">
      <alignment vertical="center"/>
    </xf>
    <xf numFmtId="38" fontId="169" fillId="0" borderId="97" xfId="414" applyFont="1" applyBorder="1" applyAlignment="1" applyProtection="1">
      <alignment vertical="center"/>
    </xf>
    <xf numFmtId="198" fontId="174" fillId="77" borderId="117" xfId="349" applyNumberFormat="1" applyFont="1" applyFill="1" applyBorder="1" applyAlignment="1">
      <alignment vertical="center"/>
    </xf>
    <xf numFmtId="38" fontId="169" fillId="61" borderId="97" xfId="414" applyFont="1" applyFill="1" applyBorder="1" applyAlignment="1">
      <alignment vertical="center"/>
    </xf>
    <xf numFmtId="38" fontId="107" fillId="68" borderId="24" xfId="414" applyFont="1" applyFill="1" applyBorder="1" applyAlignment="1">
      <alignment vertical="center"/>
    </xf>
    <xf numFmtId="38" fontId="107" fillId="68" borderId="31" xfId="414" applyFont="1" applyFill="1" applyBorder="1" applyAlignment="1">
      <alignment vertical="center"/>
    </xf>
    <xf numFmtId="38" fontId="107" fillId="68" borderId="123" xfId="414" applyFont="1" applyFill="1" applyBorder="1" applyAlignment="1">
      <alignment vertical="center"/>
    </xf>
    <xf numFmtId="38" fontId="107" fillId="68" borderId="107" xfId="414" applyFont="1" applyFill="1" applyBorder="1" applyAlignment="1">
      <alignment vertical="center"/>
    </xf>
    <xf numFmtId="38" fontId="107" fillId="68" borderId="21" xfId="414" applyFont="1" applyFill="1" applyBorder="1" applyAlignment="1">
      <alignment vertical="center"/>
    </xf>
    <xf numFmtId="38" fontId="107" fillId="68" borderId="30" xfId="414" applyFont="1" applyFill="1" applyBorder="1" applyAlignment="1">
      <alignment vertical="center"/>
    </xf>
    <xf numFmtId="38" fontId="128" fillId="0" borderId="0" xfId="618" applyNumberFormat="1" applyFont="1">
      <alignment vertical="center"/>
    </xf>
    <xf numFmtId="38" fontId="145" fillId="71" borderId="99" xfId="414" applyFont="1" applyFill="1" applyBorder="1" applyAlignment="1" applyProtection="1">
      <alignment vertical="center"/>
    </xf>
    <xf numFmtId="198" fontId="107" fillId="61" borderId="110" xfId="349" applyNumberFormat="1" applyFont="1" applyFill="1" applyBorder="1" applyAlignment="1">
      <alignment vertical="center"/>
    </xf>
    <xf numFmtId="38" fontId="107" fillId="61" borderId="0" xfId="414" applyFont="1" applyFill="1" applyBorder="1" applyProtection="1">
      <alignment vertical="center"/>
    </xf>
    <xf numFmtId="38" fontId="65" fillId="61" borderId="0" xfId="414" applyFont="1" applyFill="1" applyBorder="1" applyAlignment="1" applyProtection="1">
      <alignment horizontal="right" vertical="center"/>
    </xf>
    <xf numFmtId="38" fontId="0" fillId="0" borderId="0" xfId="0" applyNumberFormat="1">
      <alignment vertical="center"/>
    </xf>
    <xf numFmtId="0" fontId="108" fillId="71" borderId="117" xfId="349" applyFont="1" applyFill="1" applyBorder="1"/>
    <xf numFmtId="0" fontId="108" fillId="71" borderId="110" xfId="349" applyFont="1" applyFill="1" applyBorder="1"/>
    <xf numFmtId="38" fontId="108" fillId="71" borderId="110" xfId="414" applyFont="1" applyFill="1" applyBorder="1" applyAlignment="1"/>
    <xf numFmtId="198" fontId="108" fillId="71" borderId="117" xfId="349" applyNumberFormat="1" applyFont="1" applyFill="1" applyBorder="1" applyAlignment="1">
      <alignment vertical="center"/>
    </xf>
    <xf numFmtId="198" fontId="108" fillId="71" borderId="110" xfId="349" applyNumberFormat="1" applyFont="1" applyFill="1" applyBorder="1" applyAlignment="1">
      <alignment vertical="center"/>
    </xf>
    <xf numFmtId="38" fontId="107" fillId="62" borderId="110" xfId="414" applyFont="1" applyFill="1" applyBorder="1" applyAlignment="1">
      <alignment vertical="center"/>
    </xf>
    <xf numFmtId="0" fontId="108" fillId="0" borderId="117" xfId="349" applyFont="1" applyBorder="1"/>
    <xf numFmtId="38" fontId="107" fillId="0" borderId="107" xfId="414" applyFont="1" applyFill="1" applyBorder="1" applyAlignment="1"/>
    <xf numFmtId="198" fontId="108" fillId="0" borderId="117" xfId="349" applyNumberFormat="1" applyFont="1" applyBorder="1" applyAlignment="1">
      <alignment vertical="center"/>
    </xf>
    <xf numFmtId="198" fontId="107" fillId="0" borderId="110" xfId="349" applyNumberFormat="1" applyFont="1" applyBorder="1" applyAlignment="1">
      <alignment vertical="center"/>
    </xf>
    <xf numFmtId="0" fontId="107" fillId="0" borderId="110" xfId="349" applyFont="1" applyBorder="1" applyAlignment="1">
      <alignment vertical="center"/>
    </xf>
    <xf numFmtId="0" fontId="107" fillId="0" borderId="117" xfId="349" applyFont="1" applyBorder="1"/>
    <xf numFmtId="198" fontId="170" fillId="61" borderId="117" xfId="349" applyNumberFormat="1" applyFont="1" applyFill="1" applyBorder="1" applyAlignment="1">
      <alignment vertical="center"/>
    </xf>
    <xf numFmtId="198" fontId="171" fillId="61" borderId="110" xfId="349" applyNumberFormat="1" applyFont="1" applyFill="1" applyBorder="1" applyAlignment="1">
      <alignment vertical="center"/>
    </xf>
    <xf numFmtId="38" fontId="174" fillId="0" borderId="117" xfId="414" applyFont="1" applyFill="1" applyBorder="1" applyAlignment="1" applyProtection="1">
      <alignment vertical="center"/>
    </xf>
    <xf numFmtId="38" fontId="176" fillId="0" borderId="110" xfId="414" applyFont="1" applyFill="1" applyBorder="1" applyAlignment="1" applyProtection="1">
      <alignment vertical="center"/>
    </xf>
    <xf numFmtId="205" fontId="174" fillId="0" borderId="97" xfId="414" applyNumberFormat="1" applyFont="1" applyFill="1" applyBorder="1" applyAlignment="1" applyProtection="1">
      <alignment vertical="center"/>
    </xf>
    <xf numFmtId="205" fontId="174" fillId="0" borderId="24" xfId="414" applyNumberFormat="1" applyFont="1" applyFill="1" applyBorder="1" applyAlignment="1" applyProtection="1">
      <alignment vertical="center"/>
    </xf>
    <xf numFmtId="205" fontId="169" fillId="0" borderId="24" xfId="414" applyNumberFormat="1" applyFont="1" applyFill="1" applyBorder="1" applyAlignment="1" applyProtection="1">
      <alignment vertical="center"/>
    </xf>
    <xf numFmtId="205" fontId="169" fillId="0" borderId="21" xfId="414" applyNumberFormat="1" applyFont="1" applyFill="1" applyBorder="1" applyAlignment="1" applyProtection="1">
      <alignment vertical="center"/>
    </xf>
    <xf numFmtId="205" fontId="174" fillId="71" borderId="24" xfId="414" applyNumberFormat="1" applyFont="1" applyFill="1" applyBorder="1" applyAlignment="1" applyProtection="1">
      <alignment vertical="center"/>
    </xf>
    <xf numFmtId="38" fontId="174" fillId="71" borderId="117" xfId="484" applyFont="1" applyFill="1" applyBorder="1" applyAlignment="1" applyProtection="1">
      <alignment vertical="center"/>
    </xf>
    <xf numFmtId="195" fontId="107" fillId="61" borderId="24" xfId="414" applyNumberFormat="1" applyFont="1" applyFill="1" applyBorder="1">
      <alignment vertical="center"/>
    </xf>
    <xf numFmtId="38" fontId="174" fillId="87" borderId="117" xfId="484" applyFont="1" applyFill="1" applyBorder="1" applyAlignment="1" applyProtection="1">
      <alignment vertical="center"/>
    </xf>
    <xf numFmtId="38" fontId="174" fillId="77" borderId="117" xfId="484" applyFont="1" applyFill="1" applyBorder="1" applyAlignment="1" applyProtection="1">
      <alignment vertical="center"/>
    </xf>
    <xf numFmtId="195" fontId="149" fillId="0" borderId="21" xfId="415" applyNumberFormat="1" applyFont="1" applyBorder="1" applyAlignment="1" applyProtection="1">
      <alignment vertical="center"/>
    </xf>
    <xf numFmtId="38" fontId="108" fillId="0" borderId="0" xfId="413" applyNumberFormat="1" applyFont="1" applyAlignment="1">
      <alignment horizontal="center" vertical="center"/>
    </xf>
    <xf numFmtId="10" fontId="107" fillId="0" borderId="0" xfId="415" applyNumberFormat="1" applyFont="1">
      <alignment vertical="center"/>
    </xf>
    <xf numFmtId="209" fontId="107" fillId="0" borderId="0" xfId="415" applyNumberFormat="1" applyFont="1">
      <alignment vertical="center"/>
    </xf>
    <xf numFmtId="202" fontId="107" fillId="62" borderId="97" xfId="414" applyNumberFormat="1" applyFont="1" applyFill="1" applyBorder="1" applyAlignment="1">
      <alignment vertical="center"/>
    </xf>
    <xf numFmtId="207" fontId="107" fillId="0" borderId="0" xfId="345" applyNumberFormat="1" applyFont="1">
      <alignment vertical="center"/>
    </xf>
    <xf numFmtId="0" fontId="107" fillId="62" borderId="110" xfId="349" applyFont="1" applyFill="1" applyBorder="1" applyAlignment="1">
      <alignment horizontal="right" vertical="center"/>
    </xf>
    <xf numFmtId="38" fontId="107" fillId="68" borderId="127" xfId="345" applyNumberFormat="1" applyFont="1" applyFill="1" applyBorder="1">
      <alignment vertical="center"/>
    </xf>
    <xf numFmtId="202" fontId="107" fillId="0" borderId="35" xfId="414" applyNumberFormat="1" applyFont="1" applyFill="1" applyBorder="1" applyAlignment="1" applyProtection="1">
      <alignment vertical="center"/>
    </xf>
    <xf numFmtId="211" fontId="107" fillId="0" borderId="0" xfId="345" applyNumberFormat="1" applyFont="1">
      <alignment vertical="center"/>
    </xf>
    <xf numFmtId="38" fontId="62" fillId="0" borderId="0" xfId="420" applyNumberFormat="1"/>
    <xf numFmtId="38" fontId="107" fillId="62" borderId="45" xfId="414" applyFont="1" applyFill="1" applyBorder="1" applyAlignment="1">
      <alignment vertical="center" wrapText="1"/>
    </xf>
    <xf numFmtId="10" fontId="149" fillId="0" borderId="21" xfId="415" applyNumberFormat="1" applyFont="1" applyFill="1" applyBorder="1" applyAlignment="1" applyProtection="1">
      <alignment vertical="center"/>
    </xf>
    <xf numFmtId="10" fontId="118" fillId="0" borderId="21" xfId="415" applyNumberFormat="1" applyFont="1" applyFill="1" applyBorder="1" applyAlignment="1" applyProtection="1">
      <alignment vertical="center"/>
    </xf>
    <xf numFmtId="195" fontId="118" fillId="0" borderId="24" xfId="415" applyNumberFormat="1" applyFont="1" applyFill="1" applyBorder="1" applyAlignment="1" applyProtection="1">
      <alignment vertical="center"/>
    </xf>
    <xf numFmtId="38" fontId="116" fillId="0" borderId="0" xfId="311" applyFont="1" applyFill="1" applyBorder="1" applyAlignment="1"/>
    <xf numFmtId="38" fontId="116" fillId="0" borderId="0" xfId="345" applyNumberFormat="1" applyFont="1">
      <alignment vertical="center"/>
    </xf>
    <xf numFmtId="38" fontId="107" fillId="62" borderId="123" xfId="414" applyFont="1" applyFill="1" applyBorder="1" applyAlignment="1" applyProtection="1">
      <alignment horizontal="center" vertical="center"/>
    </xf>
    <xf numFmtId="38" fontId="107" fillId="0" borderId="0" xfId="345" applyNumberFormat="1" applyFont="1">
      <alignment vertical="center"/>
    </xf>
    <xf numFmtId="0" fontId="161" fillId="0" borderId="99" xfId="0" applyFont="1" applyBorder="1" applyAlignment="1">
      <alignment horizontal="left" vertical="center" wrapText="1"/>
    </xf>
    <xf numFmtId="0" fontId="161" fillId="0" borderId="107" xfId="0" applyFont="1" applyBorder="1" applyAlignment="1">
      <alignment horizontal="left" vertical="center" wrapText="1"/>
    </xf>
    <xf numFmtId="0" fontId="113" fillId="0" borderId="85" xfId="0" applyFont="1" applyBorder="1" applyAlignment="1">
      <alignment vertical="center" wrapText="1"/>
    </xf>
    <xf numFmtId="0" fontId="113" fillId="0" borderId="28" xfId="0" applyFont="1" applyBorder="1" applyAlignment="1">
      <alignment vertical="center" wrapText="1"/>
    </xf>
    <xf numFmtId="0" fontId="113" fillId="0" borderId="24" xfId="0" applyFont="1" applyBorder="1" applyAlignment="1">
      <alignment horizontal="left" vertical="center"/>
    </xf>
    <xf numFmtId="0" fontId="113" fillId="0" borderId="21" xfId="0" applyFont="1" applyBorder="1" applyAlignment="1">
      <alignment horizontal="left" vertical="center"/>
    </xf>
    <xf numFmtId="0" fontId="113" fillId="0" borderId="108" xfId="349" applyFont="1" applyBorder="1" applyAlignment="1">
      <alignment horizontal="left" vertical="top"/>
    </xf>
    <xf numFmtId="0" fontId="113" fillId="0" borderId="99" xfId="349" applyFont="1" applyBorder="1" applyAlignment="1">
      <alignment horizontal="left" vertical="top"/>
    </xf>
    <xf numFmtId="0" fontId="113" fillId="0" borderId="107" xfId="349" applyFont="1" applyBorder="1" applyAlignment="1">
      <alignment horizontal="left" vertical="top"/>
    </xf>
    <xf numFmtId="0" fontId="113" fillId="0" borderId="97" xfId="0" applyFont="1" applyBorder="1" applyAlignment="1">
      <alignment horizontal="left" vertical="center" wrapText="1"/>
    </xf>
    <xf numFmtId="0" fontId="113" fillId="0" borderId="21" xfId="0" applyFont="1" applyBorder="1" applyAlignment="1">
      <alignment horizontal="left" vertical="center" wrapText="1"/>
    </xf>
    <xf numFmtId="0" fontId="113" fillId="61" borderId="108" xfId="345" applyFont="1" applyFill="1" applyBorder="1" applyAlignment="1">
      <alignment horizontal="left" vertical="top"/>
    </xf>
    <xf numFmtId="0" fontId="113" fillId="61" borderId="99" xfId="345" applyFont="1" applyFill="1" applyBorder="1" applyAlignment="1">
      <alignment horizontal="left" vertical="top"/>
    </xf>
    <xf numFmtId="0" fontId="113" fillId="61" borderId="107" xfId="345" applyFont="1" applyFill="1" applyBorder="1" applyAlignment="1">
      <alignment horizontal="left" vertical="top"/>
    </xf>
    <xf numFmtId="0" fontId="107" fillId="0" borderId="108" xfId="349" applyFont="1" applyBorder="1" applyAlignment="1">
      <alignment horizontal="left" vertical="top" wrapText="1"/>
    </xf>
    <xf numFmtId="0" fontId="107" fillId="0" borderId="99" xfId="349" applyFont="1" applyBorder="1" applyAlignment="1">
      <alignment horizontal="left" vertical="top" wrapText="1"/>
    </xf>
    <xf numFmtId="0" fontId="107" fillId="0" borderId="107" xfId="349" applyFont="1" applyBorder="1" applyAlignment="1">
      <alignment horizontal="left" vertical="top" wrapText="1"/>
    </xf>
    <xf numFmtId="0" fontId="107" fillId="61" borderId="108" xfId="345" applyFont="1" applyFill="1" applyBorder="1" applyAlignment="1">
      <alignment horizontal="left" vertical="top" wrapText="1"/>
    </xf>
    <xf numFmtId="0" fontId="107" fillId="61" borderId="99" xfId="345" applyFont="1" applyFill="1" applyBorder="1" applyAlignment="1">
      <alignment horizontal="left" vertical="top" wrapText="1"/>
    </xf>
    <xf numFmtId="0" fontId="107" fillId="61" borderId="107" xfId="345" applyFont="1" applyFill="1" applyBorder="1" applyAlignment="1">
      <alignment horizontal="left" vertical="top" wrapText="1"/>
    </xf>
    <xf numFmtId="0" fontId="107" fillId="0" borderId="108" xfId="0" applyFont="1" applyBorder="1" applyAlignment="1">
      <alignment horizontal="left" vertical="top" wrapText="1"/>
    </xf>
    <xf numFmtId="0" fontId="107" fillId="0" borderId="99" xfId="0" applyFont="1" applyBorder="1" applyAlignment="1">
      <alignment horizontal="left" vertical="top" wrapText="1"/>
    </xf>
    <xf numFmtId="0" fontId="107" fillId="0" borderId="107" xfId="0" applyFont="1" applyBorder="1" applyAlignment="1">
      <alignment horizontal="left" vertical="top" wrapText="1"/>
    </xf>
  </cellXfs>
  <cellStyles count="821">
    <cellStyle name="          _x000d__x000a_386grabber=VGA.3GR_x000d__x000a_" xfId="1" xr:uid="{00000000-0005-0000-0000-000000000000}"/>
    <cellStyle name="_~8539632" xfId="2" xr:uid="{00000000-0005-0000-0000-000001000000}"/>
    <cellStyle name="_~8539632_P&amp;L OP walk" xfId="3" xr:uid="{00000000-0005-0000-0000-000002000000}"/>
    <cellStyle name="_~8539632_P&amp;L OP walk_07 P&amp;L OP walk" xfId="4" xr:uid="{00000000-0005-0000-0000-000003000000}"/>
    <cellStyle name="_~8539632_P&amp;L OP walk_P&amp;L OP walk2" xfId="5" xr:uid="{00000000-0005-0000-0000-000004000000}"/>
    <cellStyle name="_【Avon】PL_AC_20110222_v1.1" xfId="6" xr:uid="{00000000-0005-0000-0000-000005000000}"/>
    <cellStyle name="_2007A &amp; 2008B RVP per CBU" xfId="7" xr:uid="{00000000-0005-0000-0000-000006000000}"/>
    <cellStyle name="_Cat_Split_GM FCST 09" xfId="8" xr:uid="{00000000-0005-0000-0000-000007000000}"/>
    <cellStyle name="_CBU GM report_ap" xfId="9" xr:uid="{00000000-0005-0000-0000-000008000000}"/>
    <cellStyle name="_CBU GM report_ap_RV" xfId="10" xr:uid="{00000000-0005-0000-0000-000009000000}"/>
    <cellStyle name="_CBU GM report_china" xfId="11" xr:uid="{00000000-0005-0000-0000-00000A000000}"/>
    <cellStyle name="_CBU report " xfId="12" xr:uid="{00000000-0005-0000-0000-00000B000000}"/>
    <cellStyle name="_Consumer Motivation &amp; Brochure" xfId="13" xr:uid="{00000000-0005-0000-0000-00000C000000}"/>
    <cellStyle name="_contribution&amp;pr" xfId="14" xr:uid="{00000000-0005-0000-0000-00000D000000}"/>
    <cellStyle name="_contribution&amp;pr_P&amp;L OP walk" xfId="15" xr:uid="{00000000-0005-0000-0000-00000E000000}"/>
    <cellStyle name="_contribution&amp;pr_P&amp;L OP walk_07 P&amp;L OP walk" xfId="16" xr:uid="{00000000-0005-0000-0000-00000F000000}"/>
    <cellStyle name="_contribution&amp;pr_P&amp;L OP walk_P&amp;L OP walk2" xfId="17" xr:uid="{00000000-0005-0000-0000-000010000000}"/>
    <cellStyle name="_Facility(07VS06)10.8 C$'MM" xfId="18" xr:uid="{00000000-0005-0000-0000-000011000000}"/>
    <cellStyle name="_Facility(07VS06)10.8 C$'MM_P&amp;L OP walk" xfId="19" xr:uid="{00000000-0005-0000-0000-000012000000}"/>
    <cellStyle name="_Facility(07VS06)10.8 C$'MM_P&amp;L OP walk_07 P&amp;L OP walk" xfId="20" xr:uid="{00000000-0005-0000-0000-000013000000}"/>
    <cellStyle name="_Facility(07VS06)10.8 C$'MM_P&amp;L OP walk_P&amp;L OP walk2" xfId="21" xr:uid="{00000000-0005-0000-0000-000014000000}"/>
    <cellStyle name="_FCST Template Pull LA v2" xfId="22" xr:uid="{00000000-0005-0000-0000-000015000000}"/>
    <cellStyle name="_FCST(1)_CBU_ap" xfId="23" xr:uid="{00000000-0005-0000-0000-000016000000}"/>
    <cellStyle name="_FCST(1)_CBU_ap_checked" xfId="24" xr:uid="{00000000-0005-0000-0000-000017000000}"/>
    <cellStyle name="_frmLOCK_NumberTable" xfId="25" xr:uid="{00000000-0005-0000-0000-000018000000}"/>
    <cellStyle name="_frmLOCK_NumberTable 2" xfId="493" xr:uid="{00000000-0005-0000-0000-000019000000}"/>
    <cellStyle name="_NA RVP Analysis" xfId="26" xr:uid="{00000000-0005-0000-0000-00001A000000}"/>
    <cellStyle name="_Q3OP" xfId="27" xr:uid="{00000000-0005-0000-0000-00001B000000}"/>
    <cellStyle name="_RVP Chart (rev)" xfId="28" xr:uid="{00000000-0005-0000-0000-00001C000000}"/>
    <cellStyle name="_RVP_mex" xfId="29" xr:uid="{00000000-0005-0000-0000-00001D000000}"/>
    <cellStyle name="_Template for training exp analysis" xfId="30" xr:uid="{00000000-0005-0000-0000-00001E000000}"/>
    <cellStyle name="_Template for training exp analysis_P&amp;L OP walk" xfId="31" xr:uid="{00000000-0005-0000-0000-00001F000000}"/>
    <cellStyle name="_Template for training exp analysis_P&amp;L OP walk_07 P&amp;L OP walk" xfId="32" xr:uid="{00000000-0005-0000-0000-000020000000}"/>
    <cellStyle name="_Template for training exp analysis_P&amp;L OP walk_P&amp;L OP walk2" xfId="33" xr:uid="{00000000-0005-0000-0000-000021000000}"/>
    <cellStyle name="0" xfId="34" xr:uid="{00000000-0005-0000-0000-000022000000}"/>
    <cellStyle name="0_~0062009" xfId="35" xr:uid="{00000000-0005-0000-0000-000023000000}"/>
    <cellStyle name="0_Price" xfId="36" xr:uid="{00000000-0005-0000-0000-000024000000}"/>
    <cellStyle name="0_Price_GC A &amp; C Package Q3 FY03" xfId="37" xr:uid="{00000000-0005-0000-0000-000025000000}"/>
    <cellStyle name="20% - Accent1" xfId="38" xr:uid="{00000000-0005-0000-0000-000026000000}"/>
    <cellStyle name="20% - Accent2" xfId="39" xr:uid="{00000000-0005-0000-0000-000027000000}"/>
    <cellStyle name="20% - Accent3" xfId="40" xr:uid="{00000000-0005-0000-0000-000028000000}"/>
    <cellStyle name="20% - Accent4" xfId="41" xr:uid="{00000000-0005-0000-0000-000029000000}"/>
    <cellStyle name="20% - Accent5" xfId="42" xr:uid="{00000000-0005-0000-0000-00002A000000}"/>
    <cellStyle name="20% - Accent6" xfId="43" xr:uid="{00000000-0005-0000-0000-00002B000000}"/>
    <cellStyle name="20% - アクセント 1 2" xfId="44" xr:uid="{00000000-0005-0000-0000-00002C000000}"/>
    <cellStyle name="20% - アクセント 2 2" xfId="45" xr:uid="{00000000-0005-0000-0000-00002D000000}"/>
    <cellStyle name="20% - アクセント 3 2" xfId="46" xr:uid="{00000000-0005-0000-0000-00002E000000}"/>
    <cellStyle name="20% - アクセント 4 2" xfId="47" xr:uid="{00000000-0005-0000-0000-00002F000000}"/>
    <cellStyle name="20% - アクセント 5 2" xfId="48" xr:uid="{00000000-0005-0000-0000-000030000000}"/>
    <cellStyle name="20% - アクセント 6 2" xfId="49" xr:uid="{00000000-0005-0000-0000-000031000000}"/>
    <cellStyle name="20% - 輔色1" xfId="50" xr:uid="{00000000-0005-0000-0000-000032000000}"/>
    <cellStyle name="20% - 輔色1 2" xfId="51" xr:uid="{00000000-0005-0000-0000-000033000000}"/>
    <cellStyle name="20% - 輔色2" xfId="52" xr:uid="{00000000-0005-0000-0000-000034000000}"/>
    <cellStyle name="20% - 輔色2 2" xfId="53" xr:uid="{00000000-0005-0000-0000-000035000000}"/>
    <cellStyle name="20% - 輔色3" xfId="54" xr:uid="{00000000-0005-0000-0000-000036000000}"/>
    <cellStyle name="20% - 輔色3 2" xfId="55" xr:uid="{00000000-0005-0000-0000-000037000000}"/>
    <cellStyle name="20% - 輔色4" xfId="56" xr:uid="{00000000-0005-0000-0000-000038000000}"/>
    <cellStyle name="20% - 輔色4 2" xfId="57" xr:uid="{00000000-0005-0000-0000-000039000000}"/>
    <cellStyle name="20% - 輔色5" xfId="58" xr:uid="{00000000-0005-0000-0000-00003A000000}"/>
    <cellStyle name="20% - 輔色5 2" xfId="59" xr:uid="{00000000-0005-0000-0000-00003B000000}"/>
    <cellStyle name="20% - 輔色6" xfId="60" xr:uid="{00000000-0005-0000-0000-00003C000000}"/>
    <cellStyle name="20% - 輔色6 2" xfId="61" xr:uid="{00000000-0005-0000-0000-00003D000000}"/>
    <cellStyle name="40% - Accent1" xfId="62" xr:uid="{00000000-0005-0000-0000-00003E000000}"/>
    <cellStyle name="40% - Accent2" xfId="63" xr:uid="{00000000-0005-0000-0000-00003F000000}"/>
    <cellStyle name="40% - Accent3" xfId="64" xr:uid="{00000000-0005-0000-0000-000040000000}"/>
    <cellStyle name="40% - Accent4" xfId="65" xr:uid="{00000000-0005-0000-0000-000041000000}"/>
    <cellStyle name="40% - Accent5" xfId="66" xr:uid="{00000000-0005-0000-0000-000042000000}"/>
    <cellStyle name="40% - Accent6" xfId="67" xr:uid="{00000000-0005-0000-0000-000043000000}"/>
    <cellStyle name="40% - アクセント 1 2" xfId="68" xr:uid="{00000000-0005-0000-0000-000044000000}"/>
    <cellStyle name="40% - アクセント 2 2" xfId="69" xr:uid="{00000000-0005-0000-0000-000045000000}"/>
    <cellStyle name="40% - アクセント 3 2" xfId="70" xr:uid="{00000000-0005-0000-0000-000046000000}"/>
    <cellStyle name="40% - アクセント 4 2" xfId="71" xr:uid="{00000000-0005-0000-0000-000047000000}"/>
    <cellStyle name="40% - アクセント 5 2" xfId="72" xr:uid="{00000000-0005-0000-0000-000048000000}"/>
    <cellStyle name="40% - アクセント 6 2" xfId="73" xr:uid="{00000000-0005-0000-0000-000049000000}"/>
    <cellStyle name="40% - 輔色1" xfId="74" xr:uid="{00000000-0005-0000-0000-00004A000000}"/>
    <cellStyle name="40% - 輔色1 2" xfId="75" xr:uid="{00000000-0005-0000-0000-00004B000000}"/>
    <cellStyle name="40% - 輔色2" xfId="76" xr:uid="{00000000-0005-0000-0000-00004C000000}"/>
    <cellStyle name="40% - 輔色2 2" xfId="77" xr:uid="{00000000-0005-0000-0000-00004D000000}"/>
    <cellStyle name="40% - 輔色3" xfId="78" xr:uid="{00000000-0005-0000-0000-00004E000000}"/>
    <cellStyle name="40% - 輔色3 2" xfId="79" xr:uid="{00000000-0005-0000-0000-00004F000000}"/>
    <cellStyle name="40% - 輔色4" xfId="80" xr:uid="{00000000-0005-0000-0000-000050000000}"/>
    <cellStyle name="40% - 輔色4 2" xfId="81" xr:uid="{00000000-0005-0000-0000-000051000000}"/>
    <cellStyle name="40% - 輔色5" xfId="82" xr:uid="{00000000-0005-0000-0000-000052000000}"/>
    <cellStyle name="40% - 輔色5 2" xfId="83" xr:uid="{00000000-0005-0000-0000-000053000000}"/>
    <cellStyle name="40% - 輔色6" xfId="84" xr:uid="{00000000-0005-0000-0000-000054000000}"/>
    <cellStyle name="40% - 輔色6 2" xfId="85" xr:uid="{00000000-0005-0000-0000-000055000000}"/>
    <cellStyle name="60% - Accent1" xfId="86" xr:uid="{00000000-0005-0000-0000-000056000000}"/>
    <cellStyle name="60% - Accent2" xfId="87" xr:uid="{00000000-0005-0000-0000-000057000000}"/>
    <cellStyle name="60% - Accent3" xfId="88" xr:uid="{00000000-0005-0000-0000-000058000000}"/>
    <cellStyle name="60% - Accent4" xfId="89" xr:uid="{00000000-0005-0000-0000-000059000000}"/>
    <cellStyle name="60% - Accent5" xfId="90" xr:uid="{00000000-0005-0000-0000-00005A000000}"/>
    <cellStyle name="60% - Accent6" xfId="91" xr:uid="{00000000-0005-0000-0000-00005B000000}"/>
    <cellStyle name="60% - アクセント 1 2" xfId="92" xr:uid="{00000000-0005-0000-0000-00005C000000}"/>
    <cellStyle name="60% - アクセント 2 2" xfId="93" xr:uid="{00000000-0005-0000-0000-00005D000000}"/>
    <cellStyle name="60% - アクセント 3 2" xfId="94" xr:uid="{00000000-0005-0000-0000-00005E000000}"/>
    <cellStyle name="60% - アクセント 4 2" xfId="95" xr:uid="{00000000-0005-0000-0000-00005F000000}"/>
    <cellStyle name="60% - アクセント 5 2" xfId="96" xr:uid="{00000000-0005-0000-0000-000060000000}"/>
    <cellStyle name="60% - アクセント 6 2" xfId="97" xr:uid="{00000000-0005-0000-0000-000061000000}"/>
    <cellStyle name="60% - 輔色1" xfId="98" xr:uid="{00000000-0005-0000-0000-000062000000}"/>
    <cellStyle name="60% - 輔色1 2" xfId="99" xr:uid="{00000000-0005-0000-0000-000063000000}"/>
    <cellStyle name="60% - 輔色2" xfId="100" xr:uid="{00000000-0005-0000-0000-000064000000}"/>
    <cellStyle name="60% - 輔色2 2" xfId="101" xr:uid="{00000000-0005-0000-0000-000065000000}"/>
    <cellStyle name="60% - 輔色3" xfId="102" xr:uid="{00000000-0005-0000-0000-000066000000}"/>
    <cellStyle name="60% - 輔色3 2" xfId="103" xr:uid="{00000000-0005-0000-0000-000067000000}"/>
    <cellStyle name="60% - 輔色4" xfId="104" xr:uid="{00000000-0005-0000-0000-000068000000}"/>
    <cellStyle name="60% - 輔色4 2" xfId="105" xr:uid="{00000000-0005-0000-0000-000069000000}"/>
    <cellStyle name="60% - 輔色5" xfId="106" xr:uid="{00000000-0005-0000-0000-00006A000000}"/>
    <cellStyle name="60% - 輔色5 2" xfId="107" xr:uid="{00000000-0005-0000-0000-00006B000000}"/>
    <cellStyle name="60% - 輔色6" xfId="108" xr:uid="{00000000-0005-0000-0000-00006C000000}"/>
    <cellStyle name="60% - 輔色6 2" xfId="109" xr:uid="{00000000-0005-0000-0000-00006D000000}"/>
    <cellStyle name="Accent1" xfId="110" xr:uid="{00000000-0005-0000-0000-00006E000000}"/>
    <cellStyle name="Accent1 - 20%" xfId="111" xr:uid="{00000000-0005-0000-0000-00006F000000}"/>
    <cellStyle name="Accent1 - 40%" xfId="112" xr:uid="{00000000-0005-0000-0000-000070000000}"/>
    <cellStyle name="Accent1 - 60%" xfId="113" xr:uid="{00000000-0005-0000-0000-000071000000}"/>
    <cellStyle name="Accent2" xfId="114" xr:uid="{00000000-0005-0000-0000-000072000000}"/>
    <cellStyle name="Accent2 - 20%" xfId="115" xr:uid="{00000000-0005-0000-0000-000073000000}"/>
    <cellStyle name="Accent2 - 40%" xfId="116" xr:uid="{00000000-0005-0000-0000-000074000000}"/>
    <cellStyle name="Accent2 - 60%" xfId="117" xr:uid="{00000000-0005-0000-0000-000075000000}"/>
    <cellStyle name="Accent3" xfId="118" xr:uid="{00000000-0005-0000-0000-000076000000}"/>
    <cellStyle name="Accent3 - 20%" xfId="119" xr:uid="{00000000-0005-0000-0000-000077000000}"/>
    <cellStyle name="Accent3 - 40%" xfId="120" xr:uid="{00000000-0005-0000-0000-000078000000}"/>
    <cellStyle name="Accent3 - 60%" xfId="121" xr:uid="{00000000-0005-0000-0000-000079000000}"/>
    <cellStyle name="Accent4" xfId="122" xr:uid="{00000000-0005-0000-0000-00007A000000}"/>
    <cellStyle name="Accent4 - 20%" xfId="123" xr:uid="{00000000-0005-0000-0000-00007B000000}"/>
    <cellStyle name="Accent4 - 40%" xfId="124" xr:uid="{00000000-0005-0000-0000-00007C000000}"/>
    <cellStyle name="Accent4 - 60%" xfId="125" xr:uid="{00000000-0005-0000-0000-00007D000000}"/>
    <cellStyle name="Accent5" xfId="126" xr:uid="{00000000-0005-0000-0000-00007E000000}"/>
    <cellStyle name="Accent5 - 20%" xfId="127" xr:uid="{00000000-0005-0000-0000-00007F000000}"/>
    <cellStyle name="Accent5 - 40%" xfId="128" xr:uid="{00000000-0005-0000-0000-000080000000}"/>
    <cellStyle name="Accent5 - 60%" xfId="129" xr:uid="{00000000-0005-0000-0000-000081000000}"/>
    <cellStyle name="Accent6" xfId="130" xr:uid="{00000000-0005-0000-0000-000082000000}"/>
    <cellStyle name="Accent6 - 20%" xfId="131" xr:uid="{00000000-0005-0000-0000-000083000000}"/>
    <cellStyle name="Accent6 - 40%" xfId="132" xr:uid="{00000000-0005-0000-0000-000084000000}"/>
    <cellStyle name="Accent6 - 60%" xfId="133" xr:uid="{00000000-0005-0000-0000-000085000000}"/>
    <cellStyle name="Bad" xfId="134" xr:uid="{00000000-0005-0000-0000-000086000000}"/>
    <cellStyle name="Calc Currency (0)" xfId="135" xr:uid="{00000000-0005-0000-0000-000087000000}"/>
    <cellStyle name="Calc Currency (0) 2" xfId="136" xr:uid="{00000000-0005-0000-0000-000088000000}"/>
    <cellStyle name="Calculation" xfId="137" xr:uid="{00000000-0005-0000-0000-000089000000}"/>
    <cellStyle name="Calculation 2" xfId="422" xr:uid="{00000000-0005-0000-0000-00008A000000}"/>
    <cellStyle name="Calculation 3" xfId="505" xr:uid="{00000000-0005-0000-0000-00008B000000}"/>
    <cellStyle name="Calculation 4" xfId="589" xr:uid="{00000000-0005-0000-0000-00008C000000}"/>
    <cellStyle name="Check Cell" xfId="138" xr:uid="{00000000-0005-0000-0000-00008D000000}"/>
    <cellStyle name="Column_Title" xfId="139" xr:uid="{00000000-0005-0000-0000-00008E000000}"/>
    <cellStyle name="Comma" xfId="413" builtinId="3"/>
    <cellStyle name="Comma [0]" xfId="414" xr:uid="{00000000-0005-0000-0000-00008F000000}"/>
    <cellStyle name="Comma [0] 2" xfId="484" xr:uid="{00000000-0005-0000-0000-000090000000}"/>
    <cellStyle name="Comma [0] 2 2" xfId="666" xr:uid="{91990C1C-5043-4301-8464-EF89417D6DCA}"/>
    <cellStyle name="Comma [0] 2 3" xfId="722" xr:uid="{278FB851-477A-4F02-83D7-0E6C53480D99}"/>
    <cellStyle name="Comma [0] 2 3 2" xfId="806" xr:uid="{F55EF14C-6ED6-435E-A190-FC33E638A6A3}"/>
    <cellStyle name="Comma [0] 2 4" xfId="754" xr:uid="{DB4D16B6-454E-4ED0-A834-E6FF16446125}"/>
    <cellStyle name="Comma [0] 2 5" xfId="641" xr:uid="{A7B3456E-5610-4687-8515-F7C2C7A368DB}"/>
    <cellStyle name="Comma [0] 3" xfId="629" xr:uid="{813ED6BE-9A8A-4783-930D-6D7464E79674}"/>
    <cellStyle name="Comma [0] 4" xfId="631" xr:uid="{F3B4F7F7-B2C5-45C0-A0FF-389632DD1279}"/>
    <cellStyle name="Comma [0] 4 2" xfId="752" xr:uid="{CE0F8F90-3CA0-4EB4-AA6A-E0CC5BC015A9}"/>
    <cellStyle name="Comma [0] 5" xfId="628" xr:uid="{FF05776B-9AE4-40CC-B437-F979D740F0F9}"/>
    <cellStyle name="Comma [0] 5 2" xfId="750" xr:uid="{01B4B07F-8AD6-49D9-8A2C-A2C876F4F785}"/>
    <cellStyle name="Comma [0] 6" xfId="720" xr:uid="{0ED64340-F29D-4F09-923F-10B20C6A40A1}"/>
    <cellStyle name="Comma [0] 6 2" xfId="804" xr:uid="{3E664F92-62C8-4152-AA7A-312CCCFBD892}"/>
    <cellStyle name="Comma 0.0" xfId="140" xr:uid="{00000000-0005-0000-0000-000091000000}"/>
    <cellStyle name="Comma 10" xfId="650" xr:uid="{F9CAB749-9FDF-4D0F-8363-E8EFF127AF2D}"/>
    <cellStyle name="Comma 11" xfId="651" xr:uid="{0BE9B06F-8F40-43A0-BD89-ECC629C0C8DE}"/>
    <cellStyle name="Comma 12" xfId="646" xr:uid="{574EF2B6-6FF6-4479-AE85-885EE0237C76}"/>
    <cellStyle name="Comma 13" xfId="630" xr:uid="{E26EA04E-6173-4334-87E3-33CB312059D3}"/>
    <cellStyle name="Comma 13 2" xfId="667" xr:uid="{04AEF5DA-3419-4C7E-B098-070AB321A7BD}"/>
    <cellStyle name="Comma 13 3" xfId="751" xr:uid="{5990963C-51D9-4A51-8055-C86A6661117A}"/>
    <cellStyle name="Comma 14" xfId="625" xr:uid="{1521D312-C3B0-4952-A0A5-E8CAE076585F}"/>
    <cellStyle name="Comma 14 2" xfId="668" xr:uid="{D63F2733-4B31-4402-99C3-9081A47734F6}"/>
    <cellStyle name="Comma 14 3" xfId="747" xr:uid="{CAD8E1FC-E08C-4B1F-A457-898EF7D311A2}"/>
    <cellStyle name="Comma 15" xfId="624" xr:uid="{5BFE8966-8D41-4052-8E50-54425C73B4BB}"/>
    <cellStyle name="Comma 15 2" xfId="669" xr:uid="{BD1CD7C2-F9E4-4CBD-9717-8D1BEB8DFB2C}"/>
    <cellStyle name="Comma 15 3" xfId="746" xr:uid="{52AFB336-DD36-4FF3-9583-F6547862FB78}"/>
    <cellStyle name="Comma 16" xfId="657" xr:uid="{BE0A831D-C8CA-43F1-A8B9-EAE49B6072B5}"/>
    <cellStyle name="Comma 16 2" xfId="670" xr:uid="{DFA82282-2F58-4857-A301-FBE60E59D9FA}"/>
    <cellStyle name="Comma 16 3" xfId="759" xr:uid="{E9799FCC-F16E-4C98-8885-9ACABDF82E79}"/>
    <cellStyle name="Comma 17" xfId="659" xr:uid="{BAB69997-46FD-45CB-A29E-104715D06C7D}"/>
    <cellStyle name="Comma 17 2" xfId="671" xr:uid="{5ADD3E54-4E57-48C0-81BC-5171BBEF9E29}"/>
    <cellStyle name="Comma 17 3" xfId="761" xr:uid="{0065F461-8EF1-48B2-9911-E31FF6ED0098}"/>
    <cellStyle name="Comma 18" xfId="655" xr:uid="{2172131C-AC99-485D-A689-D5CA94D9A756}"/>
    <cellStyle name="Comma 18 2" xfId="672" xr:uid="{0111F019-88AA-4776-ACB1-23ED7DE0FC69}"/>
    <cellStyle name="Comma 18 3" xfId="757" xr:uid="{4A91CA0F-F2F9-4160-9987-3EEFB72DFA10}"/>
    <cellStyle name="Comma 19" xfId="658" xr:uid="{274B1FEA-E4C8-4104-98B8-C9FA364976EB}"/>
    <cellStyle name="Comma 19 2" xfId="673" xr:uid="{17A5F2A0-1505-40EE-AA2A-EB5F7A1B1C6B}"/>
    <cellStyle name="Comma 19 3" xfId="760" xr:uid="{26127620-FFC8-4516-BDE7-75BA0B9425F4}"/>
    <cellStyle name="Comma 2" xfId="626" xr:uid="{B08CAC1E-4144-439B-843C-24C6E8EFF8E4}"/>
    <cellStyle name="Comma 2 2" xfId="632" xr:uid="{AA49E526-4BD5-406B-95DF-CDAF971E024E}"/>
    <cellStyle name="Comma 2 2 2" xfId="753" xr:uid="{B86FC88C-E41D-42A3-B3D5-A5F6770BCE5C}"/>
    <cellStyle name="Comma 2 3" xfId="665" xr:uid="{8132D21D-519E-4531-9D24-7397B793D8A4}"/>
    <cellStyle name="Comma 2 4" xfId="698" xr:uid="{D25345BB-BAB1-4E0D-BBAF-4B652E514288}"/>
    <cellStyle name="Comma 2 4 2" xfId="782" xr:uid="{A7039E58-D094-41FA-9993-2CC3A08B90FC}"/>
    <cellStyle name="Comma 2 5" xfId="748" xr:uid="{987B6B6D-2BEC-47D1-8BF9-49E77BFF17F1}"/>
    <cellStyle name="Comma 20" xfId="661" xr:uid="{E2797D26-5619-4317-9A88-4088663595F1}"/>
    <cellStyle name="Comma 20 2" xfId="674" xr:uid="{4645289C-DEC1-4420-98CE-F526A33796E4}"/>
    <cellStyle name="Comma 20 3" xfId="763" xr:uid="{D19E8B33-BD33-48E2-9E74-8444B414FA39}"/>
    <cellStyle name="Comma 21" xfId="654" xr:uid="{F920F2AD-64E6-411F-A9D9-AFFE24260801}"/>
    <cellStyle name="Comma 21 2" xfId="675" xr:uid="{7E89F40B-FA17-4922-A8FC-40C3DDF47F55}"/>
    <cellStyle name="Comma 21 3" xfId="756" xr:uid="{D1EA76A7-987F-4D82-9E36-FEA2CFC0E672}"/>
    <cellStyle name="Comma 22" xfId="656" xr:uid="{934CB9C7-3F9C-4165-805B-BB1FD496B3F7}"/>
    <cellStyle name="Comma 22 2" xfId="676" xr:uid="{12DB1508-09C4-4076-807C-81120C9FAAC5}"/>
    <cellStyle name="Comma 22 3" xfId="758" xr:uid="{7ECF49D2-1D89-48AE-B591-F26580BBAFE4}"/>
    <cellStyle name="Comma 23" xfId="662" xr:uid="{74ACBBC8-26FD-4361-9006-05614E791D7D}"/>
    <cellStyle name="Comma 23 2" xfId="677" xr:uid="{43FAFCBB-3ABE-45C8-AEAB-E11965446269}"/>
    <cellStyle name="Comma 23 3" xfId="764" xr:uid="{5ECEC417-7D91-488C-A669-ECED62DA1EBB}"/>
    <cellStyle name="Comma 24" xfId="660" xr:uid="{CD515404-95FE-48EA-B0B6-AF05AA25153E}"/>
    <cellStyle name="Comma 24 2" xfId="678" xr:uid="{3A4EA469-391B-4C4D-B999-A43CF4EBBD35}"/>
    <cellStyle name="Comma 24 3" xfId="762" xr:uid="{D280B5C6-5062-404A-8E28-A0BDBBAAD96F}"/>
    <cellStyle name="Comma 25" xfId="652" xr:uid="{43D8EBF9-5624-4683-BDAC-0EDDF4542C50}"/>
    <cellStyle name="Comma 25 2" xfId="755" xr:uid="{6FB20101-7A3B-41F7-B1D3-681BAF5F2571}"/>
    <cellStyle name="Comma 26" xfId="663" xr:uid="{4D636A84-5FF8-49F4-AE4E-218E070BEAA1}"/>
    <cellStyle name="Comma 26 2" xfId="765" xr:uid="{0C416143-8C71-449B-B2B0-A7618D156C5C}"/>
    <cellStyle name="Comma 27" xfId="680" xr:uid="{0CE58193-58A9-4A2B-9501-1AEFD87491B1}"/>
    <cellStyle name="Comma 28" xfId="682" xr:uid="{6D0053AF-9556-4D72-ACB6-B556659A2CEC}"/>
    <cellStyle name="Comma 28 2" xfId="766" xr:uid="{040F541B-C6F5-48E4-A6BD-9E2CF07F15DD}"/>
    <cellStyle name="Comma 29" xfId="683" xr:uid="{56EB6809-ACD2-4504-BC72-C3DBB7523511}"/>
    <cellStyle name="Comma 29 2" xfId="767" xr:uid="{93FC253C-5DF1-4D6D-B064-7C1EFCD95F07}"/>
    <cellStyle name="Comma 3" xfId="627" xr:uid="{F0AC5BAA-A5B9-4060-8A33-65A396E32C36}"/>
    <cellStyle name="Comma 3 2" xfId="634" xr:uid="{42E557CF-C9D8-4BFF-A9EC-38DC4E59E547}"/>
    <cellStyle name="Comma 3 3" xfId="749" xr:uid="{7561DC43-CCC5-40BC-85AC-B97699A750AD}"/>
    <cellStyle name="Comma 30" xfId="684" xr:uid="{5B74BA6E-0D21-468F-A56B-0105413894D0}"/>
    <cellStyle name="Comma 30 2" xfId="768" xr:uid="{16A9FA6A-B193-481A-8630-A5EF0EFEC1E4}"/>
    <cellStyle name="Comma 31" xfId="685" xr:uid="{FAFE6C18-9F47-4A47-AEEF-08783F75E5AE}"/>
    <cellStyle name="Comma 31 2" xfId="769" xr:uid="{2F6771BD-93F1-405B-9683-93FF31BD9B38}"/>
    <cellStyle name="Comma 32" xfId="686" xr:uid="{DD246C12-7BB6-4A9C-B6CD-E9B5765FC905}"/>
    <cellStyle name="Comma 32 2" xfId="770" xr:uid="{19034C0C-214E-488F-A7AD-2FD06F8048C6}"/>
    <cellStyle name="Comma 33" xfId="688" xr:uid="{64942C60-F25F-4D92-B861-5FC078F176D5}"/>
    <cellStyle name="Comma 33 2" xfId="772" xr:uid="{04FFAC44-0AE0-440D-AE26-2A49D3CBE435}"/>
    <cellStyle name="Comma 34" xfId="687" xr:uid="{3AB8CB38-7CFF-42B4-AA1C-201A4F9939DF}"/>
    <cellStyle name="Comma 34 2" xfId="771" xr:uid="{9135AD60-1293-45AB-BEBB-47555694C566}"/>
    <cellStyle name="Comma 35" xfId="689" xr:uid="{758A4F5D-C0E8-4DA8-A552-73D6E5437FF9}"/>
    <cellStyle name="Comma 35 2" xfId="773" xr:uid="{1525FB43-4373-4870-87CF-84F1B5A7C879}"/>
    <cellStyle name="Comma 36" xfId="690" xr:uid="{FD1D15AF-A8D6-4C74-A830-21A3A7823B72}"/>
    <cellStyle name="Comma 36 2" xfId="774" xr:uid="{E8C8FECA-7C72-468B-8C18-AABC4D88430A}"/>
    <cellStyle name="Comma 37" xfId="691" xr:uid="{5E8B3458-379F-4C07-8450-227BEFE73594}"/>
    <cellStyle name="Comma 37 2" xfId="775" xr:uid="{E2EC221E-382D-46D7-AF35-38078B861D1D}"/>
    <cellStyle name="Comma 38" xfId="692" xr:uid="{B94C6EDF-15A1-48E5-9703-2C7BD8519479}"/>
    <cellStyle name="Comma 38 2" xfId="776" xr:uid="{0F688ECA-DB73-47A9-86A0-B458DF5EBDEB}"/>
    <cellStyle name="Comma 39" xfId="693" xr:uid="{3C33A0F6-4091-4A47-8F40-AD3D49BDEAEF}"/>
    <cellStyle name="Comma 39 2" xfId="777" xr:uid="{05F31C91-2694-4956-A99C-F54EA6A96702}"/>
    <cellStyle name="Comma 4" xfId="643" xr:uid="{819D4AAA-3713-4985-B9C8-BB607DF74DB5}"/>
    <cellStyle name="Comma 40" xfId="694" xr:uid="{DBF89B75-56A3-47B0-8FEA-FE3C7BB9E554}"/>
    <cellStyle name="Comma 40 2" xfId="778" xr:uid="{F38C533D-8012-4532-A485-124A80EEDBA9}"/>
    <cellStyle name="Comma 41" xfId="695" xr:uid="{F88F3371-76AC-4E6D-8F8C-4EA78A1026F2}"/>
    <cellStyle name="Comma 41 2" xfId="779" xr:uid="{C25ECFFC-EC62-4F89-8E6F-FFBDA9B95132}"/>
    <cellStyle name="Comma 42" xfId="696" xr:uid="{EDB32B11-7F4E-4F36-9DA7-838FD481EE60}"/>
    <cellStyle name="Comma 42 2" xfId="780" xr:uid="{69805097-C957-44A5-A0DC-079494A465C3}"/>
    <cellStyle name="Comma 43" xfId="697" xr:uid="{2A46C56B-13AB-478E-BA24-AAEEF2F50287}"/>
    <cellStyle name="Comma 43 2" xfId="781" xr:uid="{4DCD4C17-7015-49C3-91B9-5432F73126C2}"/>
    <cellStyle name="Comma 44" xfId="699" xr:uid="{196D41B3-577C-417B-92C2-203C2C6C4A4F}"/>
    <cellStyle name="Comma 44 2" xfId="783" xr:uid="{E8B2F289-A6FF-40E7-88CD-DF8326452349}"/>
    <cellStyle name="Comma 45" xfId="700" xr:uid="{D367D67F-4368-44B9-A839-2D491464F896}"/>
    <cellStyle name="Comma 45 2" xfId="784" xr:uid="{B065B310-7506-445D-BE0B-C43C4B35F1BB}"/>
    <cellStyle name="Comma 46" xfId="701" xr:uid="{F7C6EE6D-16B3-47ED-A2D5-3777F5333B3B}"/>
    <cellStyle name="Comma 46 2" xfId="785" xr:uid="{488DD893-9BBD-40F4-8A84-003BCBF4B596}"/>
    <cellStyle name="Comma 47" xfId="702" xr:uid="{790BFBBA-82F3-4E19-AA30-31947B29C7B4}"/>
    <cellStyle name="Comma 47 2" xfId="786" xr:uid="{42F8FED3-EBA0-49B1-9E76-62CE7D6646E3}"/>
    <cellStyle name="Comma 48" xfId="703" xr:uid="{E2FB3E72-9791-4B1E-893F-2186A4DBAA2A}"/>
    <cellStyle name="Comma 48 2" xfId="787" xr:uid="{3FF00133-1700-4669-8D9D-C128ADFE32F1}"/>
    <cellStyle name="Comma 49" xfId="704" xr:uid="{1DFB3941-FE86-4167-A465-1F34E794910A}"/>
    <cellStyle name="Comma 49 2" xfId="788" xr:uid="{1389053F-75DE-4856-9640-3CCAF470A19F}"/>
    <cellStyle name="Comma 5" xfId="644" xr:uid="{A5A8B146-979D-4503-998A-72362A469B03}"/>
    <cellStyle name="Comma 50" xfId="705" xr:uid="{A9A1B338-52E3-46C6-8C59-167A3B3CF070}"/>
    <cellStyle name="Comma 50 2" xfId="789" xr:uid="{304E32ED-CA6F-41B0-9AB8-1A869A0BBF0E}"/>
    <cellStyle name="Comma 51" xfId="706" xr:uid="{D0F3AD8C-14D5-4736-BD4E-90C9AF432BB3}"/>
    <cellStyle name="Comma 51 2" xfId="790" xr:uid="{69F76FF8-CD80-4CC5-9F75-37A7B76FE588}"/>
    <cellStyle name="Comma 52" xfId="707" xr:uid="{AC5B466A-DAD5-4B0F-9777-12D551F76DDA}"/>
    <cellStyle name="Comma 52 2" xfId="791" xr:uid="{F881755B-3D56-4ECB-88D0-4B2CD3B895B1}"/>
    <cellStyle name="Comma 53" xfId="708" xr:uid="{ECBF0DA4-822F-4F18-ACB2-464B96427FB5}"/>
    <cellStyle name="Comma 53 2" xfId="792" xr:uid="{86AE14DB-768A-4FB2-A512-AF2E8A5E590D}"/>
    <cellStyle name="Comma 54" xfId="709" xr:uid="{06667B7D-EB70-4418-8BB1-5F54D13B3CBE}"/>
    <cellStyle name="Comma 54 2" xfId="793" xr:uid="{628496C5-D38C-4A87-8B03-64E2B74A3567}"/>
    <cellStyle name="Comma 55" xfId="710" xr:uid="{BF9CB218-B893-4E7C-B20C-9E2688DB67E0}"/>
    <cellStyle name="Comma 55 2" xfId="794" xr:uid="{08ACD085-BA20-4865-9B44-EA141C0538FE}"/>
    <cellStyle name="Comma 56" xfId="711" xr:uid="{93FBD163-EEED-43CC-B0CF-80C39AD76C02}"/>
    <cellStyle name="Comma 56 2" xfId="795" xr:uid="{27CB93EB-1F82-411C-9863-118958C53132}"/>
    <cellStyle name="Comma 57" xfId="712" xr:uid="{A50EAA63-C12E-4E8B-9CCE-5CFD10F0CD2A}"/>
    <cellStyle name="Comma 57 2" xfId="796" xr:uid="{FE95D8EE-EF06-4792-ACB7-82C5325B9BFF}"/>
    <cellStyle name="Comma 58" xfId="713" xr:uid="{5AA0B947-A4C9-4393-A46C-BB8FB70016A8}"/>
    <cellStyle name="Comma 58 2" xfId="797" xr:uid="{4DF87AFD-6DBB-4796-84E0-2A2E7766ED5E}"/>
    <cellStyle name="Comma 59" xfId="714" xr:uid="{0C0263CB-D980-4E6C-BE33-93163ED1C2FA}"/>
    <cellStyle name="Comma 59 2" xfId="798" xr:uid="{2F846E4F-DBD9-45DD-9B98-DA1E7A074B37}"/>
    <cellStyle name="Comma 6" xfId="645" xr:uid="{0F97D4C9-8C83-4E89-A8F1-F2F8716EDFE6}"/>
    <cellStyle name="Comma 60" xfId="715" xr:uid="{369C7AA2-C6C7-489A-B13A-D24FF6ECE8C5}"/>
    <cellStyle name="Comma 60 2" xfId="799" xr:uid="{36519CF1-7185-4611-9439-5748A2CEB6FB}"/>
    <cellStyle name="Comma 61" xfId="716" xr:uid="{90A3BCB4-6A46-4FD8-8382-055D773548AC}"/>
    <cellStyle name="Comma 61 2" xfId="800" xr:uid="{03088D10-3B3D-4AB5-AD6C-81F9EFBDE1B7}"/>
    <cellStyle name="Comma 62" xfId="717" xr:uid="{50D80F8D-103B-43A5-B676-DE085F267561}"/>
    <cellStyle name="Comma 62 2" xfId="801" xr:uid="{F1913A4C-944B-4A3A-A84C-F91C9F64F4D2}"/>
    <cellStyle name="Comma 63" xfId="718" xr:uid="{08AA0973-9C88-475C-B71D-A628A92F05DC}"/>
    <cellStyle name="Comma 63 2" xfId="802" xr:uid="{9CB49035-0D5B-4845-A4D6-A49E058D3F85}"/>
    <cellStyle name="Comma 64" xfId="719" xr:uid="{9D948389-53F1-4805-BB1B-0B999393B3D7}"/>
    <cellStyle name="Comma 64 2" xfId="803" xr:uid="{EF7746F8-1D89-43DC-83F6-9458CE2BF338}"/>
    <cellStyle name="Comma 65" xfId="721" xr:uid="{3B5A67E2-0786-4362-ACA9-24AD2C3A7B80}"/>
    <cellStyle name="Comma 65 2" xfId="805" xr:uid="{B9AA77B7-77FA-4A7E-AD1B-6B77DE05705A}"/>
    <cellStyle name="Comma 66" xfId="723" xr:uid="{8ED06B76-33AF-4C7D-AFFC-71C9109491AB}"/>
    <cellStyle name="Comma 66 2" xfId="807" xr:uid="{6F5C9D6E-06F5-4C58-A25F-EDDBF276FBBF}"/>
    <cellStyle name="Comma 67" xfId="724" xr:uid="{82994F0D-4906-4479-A424-8522D910ED3B}"/>
    <cellStyle name="Comma 67 2" xfId="808" xr:uid="{3CB778DB-E833-4DF0-9AAD-E498D8E1089F}"/>
    <cellStyle name="Comma 68" xfId="725" xr:uid="{D865D6E5-DD0B-4C4F-B0A8-F06236389BAD}"/>
    <cellStyle name="Comma 68 2" xfId="809" xr:uid="{65DF66F9-D848-4BBE-8976-409C76D33BDC}"/>
    <cellStyle name="Comma 69" xfId="726" xr:uid="{7E9A7A1A-1A6F-44D7-8254-F802ED978D96}"/>
    <cellStyle name="Comma 69 2" xfId="810" xr:uid="{DC1FDC45-0C6D-4814-A591-3C0C59A57F52}"/>
    <cellStyle name="Comma 7" xfId="647" xr:uid="{C60AD596-45C6-432A-9513-3C783B4239C5}"/>
    <cellStyle name="Comma 70" xfId="727" xr:uid="{578AD091-892A-4F68-806C-958B1C41CF6C}"/>
    <cellStyle name="Comma 70 2" xfId="811" xr:uid="{C9ED0E83-5549-4AE1-B12C-2258A8CA1E65}"/>
    <cellStyle name="Comma 71" xfId="728" xr:uid="{E7FE0C99-8639-4AD8-BCFF-A6B7D17F69C0}"/>
    <cellStyle name="Comma 71 2" xfId="812" xr:uid="{E56E2624-6320-491F-8B23-9C82CBC8242B}"/>
    <cellStyle name="Comma 72" xfId="729" xr:uid="{51334129-D332-4709-AABC-796A6E30F85C}"/>
    <cellStyle name="Comma 72 2" xfId="813" xr:uid="{FC025396-7C1B-4A2F-B417-64027CBE10CF}"/>
    <cellStyle name="Comma 73" xfId="730" xr:uid="{B1CD36A3-F96A-4AD9-B9D5-F00F7BD8E3A7}"/>
    <cellStyle name="Comma 73 2" xfId="814" xr:uid="{244ECE59-09B7-4F1B-9582-8FA20182D72A}"/>
    <cellStyle name="Comma 74" xfId="731" xr:uid="{673D2E71-B931-4E3D-BE70-7FB72EFAE23E}"/>
    <cellStyle name="Comma 75" xfId="733" xr:uid="{88472487-B0F4-471D-87C8-508322B2886A}"/>
    <cellStyle name="Comma 76" xfId="732" xr:uid="{E4D6DD97-D1D7-4932-8144-4194DC560106}"/>
    <cellStyle name="Comma 77" xfId="734" xr:uid="{D3A388CF-BFB2-47D2-91CD-51A1B90B35A0}"/>
    <cellStyle name="Comma 78" xfId="735" xr:uid="{3D67D1FF-17AE-466E-84B8-87D75D37EE1C}"/>
    <cellStyle name="Comma 79" xfId="736" xr:uid="{17E1E9C1-63C8-4F97-B046-24A1DC0F1AF2}"/>
    <cellStyle name="Comma 8" xfId="648" xr:uid="{5D500C5D-F40E-472D-887F-85A2D51C51B1}"/>
    <cellStyle name="Comma 80" xfId="737" xr:uid="{5D58109B-4768-44FE-A28B-913F0CE22F56}"/>
    <cellStyle name="Comma 81" xfId="738" xr:uid="{6E1E207B-FD04-457B-9808-5BF41BC53DF5}"/>
    <cellStyle name="Comma 82" xfId="739" xr:uid="{8B778380-CCF7-4726-B64A-37A9EA330E13}"/>
    <cellStyle name="Comma 83" xfId="740" xr:uid="{F66B2631-A1D3-4C97-AC5A-E2291C824D30}"/>
    <cellStyle name="Comma 84" xfId="741" xr:uid="{22A010C9-7E5F-4BF5-9812-57F9E9B8D1A3}"/>
    <cellStyle name="Comma 85" xfId="742" xr:uid="{C40F3FDD-6E4B-4050-BD24-2F821012CBB5}"/>
    <cellStyle name="Comma 86" xfId="743" xr:uid="{FC9AFA03-4774-4DAC-921F-55E2F9E88001}"/>
    <cellStyle name="Comma 87" xfId="744" xr:uid="{41232C46-8776-4E29-862E-B105C37CABD4}"/>
    <cellStyle name="Comma 88" xfId="815" xr:uid="{434C2965-6507-4B57-ACD3-10DFE9116C13}"/>
    <cellStyle name="Comma 89" xfId="817" xr:uid="{6B9E24A1-45F3-46A7-8740-D862888864B0}"/>
    <cellStyle name="Comma 9" xfId="649" xr:uid="{116CB499-BD5D-4BF4-935A-AA1F0AA6EBA5}"/>
    <cellStyle name="Comma 90" xfId="816" xr:uid="{22ABF7C1-EE33-4F6E-A09C-745827B69C8A}"/>
    <cellStyle name="Comma 91" xfId="819" xr:uid="{54CF13E9-9C21-4497-97BA-5E0CD660B059}"/>
    <cellStyle name="Comma 92" xfId="818" xr:uid="{ACFF23DE-E58D-43DB-B337-45D4A0CBA15F}"/>
    <cellStyle name="Comma 93" xfId="820" xr:uid="{A9E00C0B-65AD-4914-8C18-2FDF8B9E8D78}"/>
    <cellStyle name="Comma 94" xfId="745" xr:uid="{D8D09669-0D1E-4112-A709-55650D7095D0}"/>
    <cellStyle name="Comma 95" xfId="622" xr:uid="{1DBE6130-EB5B-4975-B262-7E4102C64979}"/>
    <cellStyle name="Comma0" xfId="141" xr:uid="{00000000-0005-0000-0000-000093000000}"/>
    <cellStyle name="Comma0 - Modelo1" xfId="142" xr:uid="{00000000-0005-0000-0000-000094000000}"/>
    <cellStyle name="Comma0 - Style1" xfId="143" xr:uid="{00000000-0005-0000-0000-000095000000}"/>
    <cellStyle name="Comma0 - Style3" xfId="144" xr:uid="{00000000-0005-0000-0000-000096000000}"/>
    <cellStyle name="Comma0 - Style5" xfId="145" xr:uid="{00000000-0005-0000-0000-000097000000}"/>
    <cellStyle name="Comma1 - Modelo2" xfId="146" xr:uid="{00000000-0005-0000-0000-000098000000}"/>
    <cellStyle name="Comma1 - Style1" xfId="147" xr:uid="{00000000-0005-0000-0000-000099000000}"/>
    <cellStyle name="Comma1 - Style2" xfId="148" xr:uid="{00000000-0005-0000-0000-00009A000000}"/>
    <cellStyle name="Curren - Style2" xfId="149" xr:uid="{00000000-0005-0000-0000-00009B000000}"/>
    <cellStyle name="Currency0" xfId="150" xr:uid="{00000000-0005-0000-0000-00009D000000}"/>
    <cellStyle name="D$_x0014_‹D$4÷Ø‰D" xfId="151" xr:uid="{00000000-0005-0000-0000-00009E000000}"/>
    <cellStyle name="D$_x0014_‹D$4÷Ø‰D$4ë" xfId="152" xr:uid="{00000000-0005-0000-0000-00009F000000}"/>
    <cellStyle name="D$_x0014_‹D$4÷Ø‰D$4ë_x0007_Æ" xfId="153" xr:uid="{00000000-0005-0000-0000-0000A0000000}"/>
    <cellStyle name="DataEntry" xfId="154" xr:uid="{00000000-0005-0000-0000-0000A1000000}"/>
    <cellStyle name="DataEntry 2" xfId="516" xr:uid="{00000000-0005-0000-0000-0000A2000000}"/>
    <cellStyle name="Date" xfId="155" xr:uid="{00000000-0005-0000-0000-0000A3000000}"/>
    <cellStyle name="Date - Style4" xfId="156" xr:uid="{00000000-0005-0000-0000-0000A4000000}"/>
    <cellStyle name="Dezimal [0]_~0025339" xfId="157" xr:uid="{00000000-0005-0000-0000-0000A5000000}"/>
    <cellStyle name="Dezimal_~0025339" xfId="158" xr:uid="{00000000-0005-0000-0000-0000A6000000}"/>
    <cellStyle name="Dia" xfId="159" xr:uid="{00000000-0005-0000-0000-0000A7000000}"/>
    <cellStyle name="dnm01" xfId="160" xr:uid="{00000000-0005-0000-0000-0000A8000000}"/>
    <cellStyle name="Dziesiętny [0]_labour efficiency" xfId="161" xr:uid="{00000000-0005-0000-0000-0000A9000000}"/>
    <cellStyle name="Dziesiętny_2002 Capex - Poland" xfId="162" xr:uid="{00000000-0005-0000-0000-0000AA000000}"/>
    <cellStyle name="Emphasis 1" xfId="163" xr:uid="{00000000-0005-0000-0000-0000AB000000}"/>
    <cellStyle name="Emphasis 2" xfId="164" xr:uid="{00000000-0005-0000-0000-0000AC000000}"/>
    <cellStyle name="Emphasis 3" xfId="165" xr:uid="{00000000-0005-0000-0000-0000AD000000}"/>
    <cellStyle name="Encabez1" xfId="166" xr:uid="{00000000-0005-0000-0000-0000AE000000}"/>
    <cellStyle name="Encabez2" xfId="167" xr:uid="{00000000-0005-0000-0000-0000AF000000}"/>
    <cellStyle name="ept" xfId="168" xr:uid="{00000000-0005-0000-0000-0000B0000000}"/>
    <cellStyle name="ept 2" xfId="169" xr:uid="{00000000-0005-0000-0000-0000B1000000}"/>
    <cellStyle name="ept 2 2" xfId="424" xr:uid="{00000000-0005-0000-0000-0000B2000000}"/>
    <cellStyle name="ept 2 3" xfId="527" xr:uid="{00000000-0005-0000-0000-0000B3000000}"/>
    <cellStyle name="ept 2 4" xfId="609" xr:uid="{00000000-0005-0000-0000-0000B4000000}"/>
    <cellStyle name="ept 3" xfId="423" xr:uid="{00000000-0005-0000-0000-0000B5000000}"/>
    <cellStyle name="ept 4" xfId="526" xr:uid="{00000000-0005-0000-0000-0000B6000000}"/>
    <cellStyle name="ept 5" xfId="610" xr:uid="{00000000-0005-0000-0000-0000B7000000}"/>
    <cellStyle name="Euro" xfId="170" xr:uid="{00000000-0005-0000-0000-0000B8000000}"/>
    <cellStyle name="Explanatory Text" xfId="171" xr:uid="{00000000-0005-0000-0000-0000B9000000}"/>
    <cellStyle name="F2" xfId="172" xr:uid="{00000000-0005-0000-0000-0000BA000000}"/>
    <cellStyle name="F3" xfId="173" xr:uid="{00000000-0005-0000-0000-0000BB000000}"/>
    <cellStyle name="F4" xfId="174" xr:uid="{00000000-0005-0000-0000-0000BC000000}"/>
    <cellStyle name="F5" xfId="175" xr:uid="{00000000-0005-0000-0000-0000BD000000}"/>
    <cellStyle name="F6" xfId="176" xr:uid="{00000000-0005-0000-0000-0000BE000000}"/>
    <cellStyle name="F7" xfId="177" xr:uid="{00000000-0005-0000-0000-0000BF000000}"/>
    <cellStyle name="F8" xfId="178" xr:uid="{00000000-0005-0000-0000-0000C0000000}"/>
    <cellStyle name="Fijo" xfId="179" xr:uid="{00000000-0005-0000-0000-0000C1000000}"/>
    <cellStyle name="Financiero" xfId="180" xr:uid="{00000000-0005-0000-0000-0000C2000000}"/>
    <cellStyle name="Fixed" xfId="181" xr:uid="{00000000-0005-0000-0000-0000C3000000}"/>
    <cellStyle name="Fixed2 - Style2" xfId="182" xr:uid="{00000000-0005-0000-0000-0000C4000000}"/>
    <cellStyle name="Good" xfId="183" xr:uid="{00000000-0005-0000-0000-0000C5000000}"/>
    <cellStyle name="Grey" xfId="184" xr:uid="{00000000-0005-0000-0000-0000C6000000}"/>
    <cellStyle name="Header1" xfId="185" xr:uid="{00000000-0005-0000-0000-0000C7000000}"/>
    <cellStyle name="Header2" xfId="186" xr:uid="{00000000-0005-0000-0000-0000C8000000}"/>
    <cellStyle name="Header2 2" xfId="543" xr:uid="{00000000-0005-0000-0000-0000C9000000}"/>
    <cellStyle name="Heading 1" xfId="187" xr:uid="{00000000-0005-0000-0000-0000CA000000}"/>
    <cellStyle name="Heading 2" xfId="188" xr:uid="{00000000-0005-0000-0000-0000CB000000}"/>
    <cellStyle name="Heading 3" xfId="189" xr:uid="{00000000-0005-0000-0000-0000CC000000}"/>
    <cellStyle name="Heading 4" xfId="190" xr:uid="{00000000-0005-0000-0000-0000CD000000}"/>
    <cellStyle name="Hyperlink" xfId="488" builtinId="8"/>
    <cellStyle name="INCA" xfId="191" xr:uid="{00000000-0005-0000-0000-0000CE000000}"/>
    <cellStyle name="Indefinido" xfId="192" xr:uid="{00000000-0005-0000-0000-0000CF000000}"/>
    <cellStyle name="Indented" xfId="193" xr:uid="{00000000-0005-0000-0000-0000D0000000}"/>
    <cellStyle name="Input" xfId="194" xr:uid="{00000000-0005-0000-0000-0000D1000000}"/>
    <cellStyle name="Input [yellow]" xfId="195" xr:uid="{00000000-0005-0000-0000-0000D2000000}"/>
    <cellStyle name="Input [yellow] 2" xfId="545" xr:uid="{00000000-0005-0000-0000-0000D3000000}"/>
    <cellStyle name="Input 2" xfId="425" xr:uid="{00000000-0005-0000-0000-0000D4000000}"/>
    <cellStyle name="Input 3" xfId="544" xr:uid="{00000000-0005-0000-0000-0000D5000000}"/>
    <cellStyle name="Input 4" xfId="551" xr:uid="{00000000-0005-0000-0000-0000D6000000}"/>
    <cellStyle name="Input_Q3OP" xfId="196" xr:uid="{00000000-0005-0000-0000-0000D7000000}"/>
    <cellStyle name="IR Template" xfId="197" xr:uid="{00000000-0005-0000-0000-0000D8000000}"/>
    <cellStyle name="Linked Cell" xfId="198" xr:uid="{00000000-0005-0000-0000-0000D9000000}"/>
    <cellStyle name="Millares [0]_~5173340" xfId="199" xr:uid="{00000000-0005-0000-0000-0000DA000000}"/>
    <cellStyle name="Millares_~0030803" xfId="200" xr:uid="{00000000-0005-0000-0000-0000DB000000}"/>
    <cellStyle name="Milliers [0]_AR1194" xfId="201" xr:uid="{00000000-0005-0000-0000-0000DC000000}"/>
    <cellStyle name="Milliers_AR1194" xfId="202" xr:uid="{00000000-0005-0000-0000-0000DD000000}"/>
    <cellStyle name="Moneda [0]_~5173340" xfId="203" xr:uid="{00000000-0005-0000-0000-0000DE000000}"/>
    <cellStyle name="Moneda_~0030803" xfId="204" xr:uid="{00000000-0005-0000-0000-0000DF000000}"/>
    <cellStyle name="Monetario" xfId="205" xr:uid="{00000000-0005-0000-0000-0000E0000000}"/>
    <cellStyle name="Money M" xfId="206" xr:uid="{00000000-0005-0000-0000-0000E1000000}"/>
    <cellStyle name="Money M Blank Zero" xfId="207" xr:uid="{00000000-0005-0000-0000-0000E2000000}"/>
    <cellStyle name="Money M Blank Zero 2" xfId="548" xr:uid="{00000000-0005-0000-0000-0000E3000000}"/>
    <cellStyle name="Mon騁aire [0]_AR1194" xfId="208" xr:uid="{00000000-0005-0000-0000-0000E4000000}"/>
    <cellStyle name="Mon騁aire_AR1194" xfId="209" xr:uid="{00000000-0005-0000-0000-0000E5000000}"/>
    <cellStyle name="Neutral" xfId="210" xr:uid="{00000000-0005-0000-0000-0000E6000000}"/>
    <cellStyle name="no dec" xfId="211" xr:uid="{00000000-0005-0000-0000-0000E7000000}"/>
    <cellStyle name="No-definido" xfId="212" xr:uid="{00000000-0005-0000-0000-0000E8000000}"/>
    <cellStyle name="Normal" xfId="0" builtinId="0"/>
    <cellStyle name="Normal - Style1" xfId="213" xr:uid="{00000000-0005-0000-0000-0000E9000000}"/>
    <cellStyle name="Normal - Style1 2" xfId="214" xr:uid="{00000000-0005-0000-0000-0000EA000000}"/>
    <cellStyle name="Normal 2" xfId="620" xr:uid="{537C4CEA-7D94-448A-8D5B-C69607638F64}"/>
    <cellStyle name="Normal 2 2" xfId="640" xr:uid="{052ECF74-218A-4AFA-B93A-FB5D1CACF045}"/>
    <cellStyle name="Normal 2 3" xfId="664" xr:uid="{7D9D73F5-1835-43E6-8208-14E6802D75C0}"/>
    <cellStyle name="Normal 3" xfId="642" xr:uid="{7FC1C012-5D93-4FBD-A4AB-3FEF34DFD7D2}"/>
    <cellStyle name="Normal 3 9" xfId="653" xr:uid="{899E100F-A630-4B3A-B8F4-2F16AFF76BA5}"/>
    <cellStyle name="Normal 4" xfId="633" xr:uid="{0FE16098-89E3-4F43-AA03-8E84DC8392F8}"/>
    <cellStyle name="Normal 5" xfId="679" xr:uid="{DA89D3A7-B53C-4291-BACC-92F0DF456435}"/>
    <cellStyle name="Normal 6" xfId="621" xr:uid="{E438E0F7-3DDC-4538-922A-5A6B6C1E58F9}"/>
    <cellStyle name="Normale_Plan2000" xfId="215" xr:uid="{00000000-0005-0000-0000-0000EC000000}"/>
    <cellStyle name="Normalny_~1001583" xfId="216" xr:uid="{00000000-0005-0000-0000-0000ED000000}"/>
    <cellStyle name="Note" xfId="217" xr:uid="{00000000-0005-0000-0000-0000EE000000}"/>
    <cellStyle name="Note 2" xfId="426" xr:uid="{00000000-0005-0000-0000-0000EF000000}"/>
    <cellStyle name="Note 3" xfId="549" xr:uid="{00000000-0005-0000-0000-0000F0000000}"/>
    <cellStyle name="Note 4" xfId="547" xr:uid="{00000000-0005-0000-0000-0000F1000000}"/>
    <cellStyle name="Output" xfId="218" xr:uid="{00000000-0005-0000-0000-0000F2000000}"/>
    <cellStyle name="Output 2" xfId="427" xr:uid="{00000000-0005-0000-0000-0000F3000000}"/>
    <cellStyle name="Output 3" xfId="550" xr:uid="{00000000-0005-0000-0000-0000F4000000}"/>
    <cellStyle name="Output 4" xfId="546" xr:uid="{00000000-0005-0000-0000-0000F5000000}"/>
    <cellStyle name="Percen - Style1" xfId="219" xr:uid="{00000000-0005-0000-0000-0000F6000000}"/>
    <cellStyle name="Percen - Style3" xfId="220" xr:uid="{00000000-0005-0000-0000-0000F7000000}"/>
    <cellStyle name="Percent" xfId="415" builtinId="5"/>
    <cellStyle name="Percent [0]" xfId="221" xr:uid="{00000000-0005-0000-0000-0000F8000000}"/>
    <cellStyle name="Percent [2]" xfId="222" xr:uid="{00000000-0005-0000-0000-0000F9000000}"/>
    <cellStyle name="Percent 2" xfId="635" xr:uid="{2711D4AA-453B-4E86-9FA5-98A91A39B82B}"/>
    <cellStyle name="Percent 3" xfId="681" xr:uid="{86665046-4446-414C-BAA1-2E06323BA412}"/>
    <cellStyle name="Percent 4" xfId="623" xr:uid="{470CB260-43DC-41A2-87D5-42AF3A82F545}"/>
    <cellStyle name="PSChar" xfId="223" xr:uid="{00000000-0005-0000-0000-0000FA000000}"/>
    <cellStyle name="PSDate" xfId="224" xr:uid="{00000000-0005-0000-0000-0000FB000000}"/>
    <cellStyle name="PSDec" xfId="225" xr:uid="{00000000-0005-0000-0000-0000FC000000}"/>
    <cellStyle name="PSHeading" xfId="226" xr:uid="{00000000-0005-0000-0000-0000FD000000}"/>
    <cellStyle name="Saldos" xfId="227" xr:uid="{00000000-0005-0000-0000-0000FE000000}"/>
    <cellStyle name="SAPBEXaggData" xfId="228" xr:uid="{00000000-0005-0000-0000-0000FF000000}"/>
    <cellStyle name="SAPBEXaggData 2" xfId="428" xr:uid="{00000000-0005-0000-0000-000000010000}"/>
    <cellStyle name="SAPBEXaggData 3" xfId="552" xr:uid="{00000000-0005-0000-0000-000001010000}"/>
    <cellStyle name="SAPBEXaggData 4" xfId="542" xr:uid="{00000000-0005-0000-0000-000002010000}"/>
    <cellStyle name="SAPBEXaggDataEmph" xfId="229" xr:uid="{00000000-0005-0000-0000-000003010000}"/>
    <cellStyle name="SAPBEXaggDataEmph 2" xfId="429" xr:uid="{00000000-0005-0000-0000-000004010000}"/>
    <cellStyle name="SAPBEXaggDataEmph 3" xfId="553" xr:uid="{00000000-0005-0000-0000-000005010000}"/>
    <cellStyle name="SAPBEXaggDataEmph 4" xfId="541" xr:uid="{00000000-0005-0000-0000-000006010000}"/>
    <cellStyle name="SAPBEXaggItem" xfId="230" xr:uid="{00000000-0005-0000-0000-000007010000}"/>
    <cellStyle name="SAPBEXaggItem 2" xfId="430" xr:uid="{00000000-0005-0000-0000-000008010000}"/>
    <cellStyle name="SAPBEXaggItem 3" xfId="554" xr:uid="{00000000-0005-0000-0000-000009010000}"/>
    <cellStyle name="SAPBEXaggItem 4" xfId="540" xr:uid="{00000000-0005-0000-0000-00000A010000}"/>
    <cellStyle name="SAPBEXaggItemX" xfId="231" xr:uid="{00000000-0005-0000-0000-00000B010000}"/>
    <cellStyle name="SAPBEXaggItemX 2" xfId="431" xr:uid="{00000000-0005-0000-0000-00000C010000}"/>
    <cellStyle name="SAPBEXaggItemX 3" xfId="555" xr:uid="{00000000-0005-0000-0000-00000D010000}"/>
    <cellStyle name="SAPBEXaggItemX 4" xfId="539" xr:uid="{00000000-0005-0000-0000-00000E010000}"/>
    <cellStyle name="SAPBEXchaText" xfId="232" xr:uid="{00000000-0005-0000-0000-00000F010000}"/>
    <cellStyle name="SAPBEXchaText 2" xfId="432" xr:uid="{00000000-0005-0000-0000-000010010000}"/>
    <cellStyle name="SAPBEXchaText 3" xfId="556" xr:uid="{00000000-0005-0000-0000-000011010000}"/>
    <cellStyle name="SAPBEXchaText 4" xfId="538" xr:uid="{00000000-0005-0000-0000-000012010000}"/>
    <cellStyle name="SAPBEXexcBad7" xfId="233" xr:uid="{00000000-0005-0000-0000-000013010000}"/>
    <cellStyle name="SAPBEXexcBad7 2" xfId="433" xr:uid="{00000000-0005-0000-0000-000014010000}"/>
    <cellStyle name="SAPBEXexcBad7 3" xfId="557" xr:uid="{00000000-0005-0000-0000-000015010000}"/>
    <cellStyle name="SAPBEXexcBad7 4" xfId="537" xr:uid="{00000000-0005-0000-0000-000016010000}"/>
    <cellStyle name="SAPBEXexcBad8" xfId="234" xr:uid="{00000000-0005-0000-0000-000017010000}"/>
    <cellStyle name="SAPBEXexcBad8 2" xfId="434" xr:uid="{00000000-0005-0000-0000-000018010000}"/>
    <cellStyle name="SAPBEXexcBad8 3" xfId="558" xr:uid="{00000000-0005-0000-0000-000019010000}"/>
    <cellStyle name="SAPBEXexcBad8 4" xfId="536" xr:uid="{00000000-0005-0000-0000-00001A010000}"/>
    <cellStyle name="SAPBEXexcBad9" xfId="235" xr:uid="{00000000-0005-0000-0000-00001B010000}"/>
    <cellStyle name="SAPBEXexcBad9 2" xfId="435" xr:uid="{00000000-0005-0000-0000-00001C010000}"/>
    <cellStyle name="SAPBEXexcBad9 3" xfId="559" xr:uid="{00000000-0005-0000-0000-00001D010000}"/>
    <cellStyle name="SAPBEXexcBad9 4" xfId="535" xr:uid="{00000000-0005-0000-0000-00001E010000}"/>
    <cellStyle name="SAPBEXexcCritical4" xfId="236" xr:uid="{00000000-0005-0000-0000-00001F010000}"/>
    <cellStyle name="SAPBEXexcCritical4 2" xfId="436" xr:uid="{00000000-0005-0000-0000-000020010000}"/>
    <cellStyle name="SAPBEXexcCritical4 3" xfId="560" xr:uid="{00000000-0005-0000-0000-000021010000}"/>
    <cellStyle name="SAPBEXexcCritical4 4" xfId="534" xr:uid="{00000000-0005-0000-0000-000022010000}"/>
    <cellStyle name="SAPBEXexcCritical5" xfId="237" xr:uid="{00000000-0005-0000-0000-000023010000}"/>
    <cellStyle name="SAPBEXexcCritical5 2" xfId="437" xr:uid="{00000000-0005-0000-0000-000024010000}"/>
    <cellStyle name="SAPBEXexcCritical5 3" xfId="561" xr:uid="{00000000-0005-0000-0000-000025010000}"/>
    <cellStyle name="SAPBEXexcCritical5 4" xfId="533" xr:uid="{00000000-0005-0000-0000-000026010000}"/>
    <cellStyle name="SAPBEXexcCritical6" xfId="238" xr:uid="{00000000-0005-0000-0000-000027010000}"/>
    <cellStyle name="SAPBEXexcCritical6 2" xfId="438" xr:uid="{00000000-0005-0000-0000-000028010000}"/>
    <cellStyle name="SAPBEXexcCritical6 3" xfId="562" xr:uid="{00000000-0005-0000-0000-000029010000}"/>
    <cellStyle name="SAPBEXexcCritical6 4" xfId="532" xr:uid="{00000000-0005-0000-0000-00002A010000}"/>
    <cellStyle name="SAPBEXexcGood1" xfId="239" xr:uid="{00000000-0005-0000-0000-00002B010000}"/>
    <cellStyle name="SAPBEXexcGood1 2" xfId="439" xr:uid="{00000000-0005-0000-0000-00002C010000}"/>
    <cellStyle name="SAPBEXexcGood1 3" xfId="563" xr:uid="{00000000-0005-0000-0000-00002D010000}"/>
    <cellStyle name="SAPBEXexcGood1 4" xfId="531" xr:uid="{00000000-0005-0000-0000-00002E010000}"/>
    <cellStyle name="SAPBEXexcGood2" xfId="240" xr:uid="{00000000-0005-0000-0000-00002F010000}"/>
    <cellStyle name="SAPBEXexcGood2 2" xfId="440" xr:uid="{00000000-0005-0000-0000-000030010000}"/>
    <cellStyle name="SAPBEXexcGood2 3" xfId="564" xr:uid="{00000000-0005-0000-0000-000031010000}"/>
    <cellStyle name="SAPBEXexcGood2 4" xfId="530" xr:uid="{00000000-0005-0000-0000-000032010000}"/>
    <cellStyle name="SAPBEXexcGood3" xfId="241" xr:uid="{00000000-0005-0000-0000-000033010000}"/>
    <cellStyle name="SAPBEXexcGood3 2" xfId="441" xr:uid="{00000000-0005-0000-0000-000034010000}"/>
    <cellStyle name="SAPBEXexcGood3 3" xfId="565" xr:uid="{00000000-0005-0000-0000-000035010000}"/>
    <cellStyle name="SAPBEXexcGood3 4" xfId="529" xr:uid="{00000000-0005-0000-0000-000036010000}"/>
    <cellStyle name="SAPBEXfilterDrill" xfId="242" xr:uid="{00000000-0005-0000-0000-000037010000}"/>
    <cellStyle name="SAPBEXfilterDrill 2" xfId="442" xr:uid="{00000000-0005-0000-0000-000038010000}"/>
    <cellStyle name="SAPBEXfilterDrill 3" xfId="566" xr:uid="{00000000-0005-0000-0000-000039010000}"/>
    <cellStyle name="SAPBEXfilterDrill 4" xfId="528" xr:uid="{00000000-0005-0000-0000-00003A010000}"/>
    <cellStyle name="SAPBEXfilterItem" xfId="243" xr:uid="{00000000-0005-0000-0000-00003B010000}"/>
    <cellStyle name="SAPBEXfilterItem 2" xfId="443" xr:uid="{00000000-0005-0000-0000-00003C010000}"/>
    <cellStyle name="SAPBEXfilterItem 3" xfId="567" xr:uid="{00000000-0005-0000-0000-00003D010000}"/>
    <cellStyle name="SAPBEXfilterItem 4" xfId="608" xr:uid="{00000000-0005-0000-0000-00003E010000}"/>
    <cellStyle name="SAPBEXfilterText" xfId="244" xr:uid="{00000000-0005-0000-0000-00003F010000}"/>
    <cellStyle name="SAPBEXformats" xfId="245" xr:uid="{00000000-0005-0000-0000-000040010000}"/>
    <cellStyle name="SAPBEXformats 2" xfId="444" xr:uid="{00000000-0005-0000-0000-000041010000}"/>
    <cellStyle name="SAPBEXformats 3" xfId="568" xr:uid="{00000000-0005-0000-0000-000042010000}"/>
    <cellStyle name="SAPBEXformats 4" xfId="525" xr:uid="{00000000-0005-0000-0000-000043010000}"/>
    <cellStyle name="SAPBEXheaderItem" xfId="246" xr:uid="{00000000-0005-0000-0000-000044010000}"/>
    <cellStyle name="SAPBEXheaderText" xfId="247" xr:uid="{00000000-0005-0000-0000-000045010000}"/>
    <cellStyle name="SAPBEXHLevel0" xfId="248" xr:uid="{00000000-0005-0000-0000-000046010000}"/>
    <cellStyle name="SAPBEXHLevel0 2" xfId="445" xr:uid="{00000000-0005-0000-0000-000047010000}"/>
    <cellStyle name="SAPBEXHLevel0 3" xfId="569" xr:uid="{00000000-0005-0000-0000-000048010000}"/>
    <cellStyle name="SAPBEXHLevel0 4" xfId="524" xr:uid="{00000000-0005-0000-0000-000049010000}"/>
    <cellStyle name="SAPBEXHLevel0X" xfId="249" xr:uid="{00000000-0005-0000-0000-00004A010000}"/>
    <cellStyle name="SAPBEXHLevel0X 2" xfId="446" xr:uid="{00000000-0005-0000-0000-00004B010000}"/>
    <cellStyle name="SAPBEXHLevel0X 3" xfId="570" xr:uid="{00000000-0005-0000-0000-00004C010000}"/>
    <cellStyle name="SAPBEXHLevel0X 4" xfId="523" xr:uid="{00000000-0005-0000-0000-00004D010000}"/>
    <cellStyle name="SAPBEXHLevel1" xfId="250" xr:uid="{00000000-0005-0000-0000-00004E010000}"/>
    <cellStyle name="SAPBEXHLevel1 2" xfId="447" xr:uid="{00000000-0005-0000-0000-00004F010000}"/>
    <cellStyle name="SAPBEXHLevel1 3" xfId="571" xr:uid="{00000000-0005-0000-0000-000050010000}"/>
    <cellStyle name="SAPBEXHLevel1 4" xfId="522" xr:uid="{00000000-0005-0000-0000-000051010000}"/>
    <cellStyle name="SAPBEXHLevel1X" xfId="251" xr:uid="{00000000-0005-0000-0000-000052010000}"/>
    <cellStyle name="SAPBEXHLevel1X 2" xfId="448" xr:uid="{00000000-0005-0000-0000-000053010000}"/>
    <cellStyle name="SAPBEXHLevel1X 3" xfId="572" xr:uid="{00000000-0005-0000-0000-000054010000}"/>
    <cellStyle name="SAPBEXHLevel1X 4" xfId="521" xr:uid="{00000000-0005-0000-0000-000055010000}"/>
    <cellStyle name="SAPBEXHLevel2" xfId="252" xr:uid="{00000000-0005-0000-0000-000056010000}"/>
    <cellStyle name="SAPBEXHLevel2 2" xfId="449" xr:uid="{00000000-0005-0000-0000-000057010000}"/>
    <cellStyle name="SAPBEXHLevel2 3" xfId="573" xr:uid="{00000000-0005-0000-0000-000058010000}"/>
    <cellStyle name="SAPBEXHLevel2 4" xfId="520" xr:uid="{00000000-0005-0000-0000-000059010000}"/>
    <cellStyle name="SAPBEXHLevel2X" xfId="253" xr:uid="{00000000-0005-0000-0000-00005A010000}"/>
    <cellStyle name="SAPBEXHLevel2X 2" xfId="450" xr:uid="{00000000-0005-0000-0000-00005B010000}"/>
    <cellStyle name="SAPBEXHLevel2X 3" xfId="574" xr:uid="{00000000-0005-0000-0000-00005C010000}"/>
    <cellStyle name="SAPBEXHLevel2X 4" xfId="519" xr:uid="{00000000-0005-0000-0000-00005D010000}"/>
    <cellStyle name="SAPBEXHLevel3" xfId="254" xr:uid="{00000000-0005-0000-0000-00005E010000}"/>
    <cellStyle name="SAPBEXHLevel3 2" xfId="451" xr:uid="{00000000-0005-0000-0000-00005F010000}"/>
    <cellStyle name="SAPBEXHLevel3 3" xfId="575" xr:uid="{00000000-0005-0000-0000-000060010000}"/>
    <cellStyle name="SAPBEXHLevel3 4" xfId="518" xr:uid="{00000000-0005-0000-0000-000061010000}"/>
    <cellStyle name="SAPBEXHLevel3X" xfId="255" xr:uid="{00000000-0005-0000-0000-000062010000}"/>
    <cellStyle name="SAPBEXHLevel3X 2" xfId="452" xr:uid="{00000000-0005-0000-0000-000063010000}"/>
    <cellStyle name="SAPBEXHLevel3X 3" xfId="576" xr:uid="{00000000-0005-0000-0000-000064010000}"/>
    <cellStyle name="SAPBEXHLevel3X 4" xfId="517" xr:uid="{00000000-0005-0000-0000-000065010000}"/>
    <cellStyle name="SAPBEXinputData" xfId="256" xr:uid="{00000000-0005-0000-0000-000066010000}"/>
    <cellStyle name="SAPBEXinputData 2" xfId="577" xr:uid="{00000000-0005-0000-0000-000067010000}"/>
    <cellStyle name="SAPBEXresData" xfId="257" xr:uid="{00000000-0005-0000-0000-000068010000}"/>
    <cellStyle name="SAPBEXresData 2" xfId="453" xr:uid="{00000000-0005-0000-0000-000069010000}"/>
    <cellStyle name="SAPBEXresData 3" xfId="578" xr:uid="{00000000-0005-0000-0000-00006A010000}"/>
    <cellStyle name="SAPBEXresData 4" xfId="515" xr:uid="{00000000-0005-0000-0000-00006B010000}"/>
    <cellStyle name="SAPBEXresDataEmph" xfId="258" xr:uid="{00000000-0005-0000-0000-00006C010000}"/>
    <cellStyle name="SAPBEXresDataEmph 2" xfId="454" xr:uid="{00000000-0005-0000-0000-00006D010000}"/>
    <cellStyle name="SAPBEXresDataEmph 3" xfId="579" xr:uid="{00000000-0005-0000-0000-00006E010000}"/>
    <cellStyle name="SAPBEXresDataEmph 4" xfId="514" xr:uid="{00000000-0005-0000-0000-00006F010000}"/>
    <cellStyle name="SAPBEXresItem" xfId="259" xr:uid="{00000000-0005-0000-0000-000070010000}"/>
    <cellStyle name="SAPBEXresItem 2" xfId="455" xr:uid="{00000000-0005-0000-0000-000071010000}"/>
    <cellStyle name="SAPBEXresItem 3" xfId="580" xr:uid="{00000000-0005-0000-0000-000072010000}"/>
    <cellStyle name="SAPBEXresItem 4" xfId="513" xr:uid="{00000000-0005-0000-0000-000073010000}"/>
    <cellStyle name="SAPBEXresItemX" xfId="260" xr:uid="{00000000-0005-0000-0000-000074010000}"/>
    <cellStyle name="SAPBEXresItemX 2" xfId="456" xr:uid="{00000000-0005-0000-0000-000075010000}"/>
    <cellStyle name="SAPBEXresItemX 3" xfId="581" xr:uid="{00000000-0005-0000-0000-000076010000}"/>
    <cellStyle name="SAPBEXresItemX 4" xfId="512" xr:uid="{00000000-0005-0000-0000-000077010000}"/>
    <cellStyle name="SAPBEXstdData" xfId="261" xr:uid="{00000000-0005-0000-0000-000078010000}"/>
    <cellStyle name="SAPBEXstdData 2" xfId="457" xr:uid="{00000000-0005-0000-0000-000079010000}"/>
    <cellStyle name="SAPBEXstdData 3" xfId="582" xr:uid="{00000000-0005-0000-0000-00007A010000}"/>
    <cellStyle name="SAPBEXstdData 4" xfId="511" xr:uid="{00000000-0005-0000-0000-00007B010000}"/>
    <cellStyle name="SAPBEXstdDataEmph" xfId="262" xr:uid="{00000000-0005-0000-0000-00007C010000}"/>
    <cellStyle name="SAPBEXstdDataEmph 2" xfId="458" xr:uid="{00000000-0005-0000-0000-00007D010000}"/>
    <cellStyle name="SAPBEXstdDataEmph 3" xfId="583" xr:uid="{00000000-0005-0000-0000-00007E010000}"/>
    <cellStyle name="SAPBEXstdDataEmph 4" xfId="510" xr:uid="{00000000-0005-0000-0000-00007F010000}"/>
    <cellStyle name="SAPBEXstdItem" xfId="263" xr:uid="{00000000-0005-0000-0000-000080010000}"/>
    <cellStyle name="SAPBEXstdItem 2" xfId="459" xr:uid="{00000000-0005-0000-0000-000081010000}"/>
    <cellStyle name="SAPBEXstdItem 3" xfId="584" xr:uid="{00000000-0005-0000-0000-000082010000}"/>
    <cellStyle name="SAPBEXstdItem 4" xfId="509" xr:uid="{00000000-0005-0000-0000-000083010000}"/>
    <cellStyle name="SAPBEXstdItemX" xfId="264" xr:uid="{00000000-0005-0000-0000-000084010000}"/>
    <cellStyle name="SAPBEXstdItemX 2" xfId="460" xr:uid="{00000000-0005-0000-0000-000085010000}"/>
    <cellStyle name="SAPBEXstdItemX 3" xfId="585" xr:uid="{00000000-0005-0000-0000-000086010000}"/>
    <cellStyle name="SAPBEXstdItemX 4" xfId="508" xr:uid="{00000000-0005-0000-0000-000087010000}"/>
    <cellStyle name="SAPBEXtitle" xfId="265" xr:uid="{00000000-0005-0000-0000-000088010000}"/>
    <cellStyle name="SAPBEXtitle 2" xfId="461" xr:uid="{00000000-0005-0000-0000-000089010000}"/>
    <cellStyle name="SAPBEXtitle 3" xfId="586" xr:uid="{00000000-0005-0000-0000-00008A010000}"/>
    <cellStyle name="SAPBEXtitle 4" xfId="507" xr:uid="{00000000-0005-0000-0000-00008B010000}"/>
    <cellStyle name="SAPBEXundefined" xfId="266" xr:uid="{00000000-0005-0000-0000-00008C010000}"/>
    <cellStyle name="SAPBEXundefined 2" xfId="462" xr:uid="{00000000-0005-0000-0000-00008D010000}"/>
    <cellStyle name="SAPBEXundefined 3" xfId="587" xr:uid="{00000000-0005-0000-0000-00008E010000}"/>
    <cellStyle name="SAPBEXundefined 4" xfId="506" xr:uid="{00000000-0005-0000-0000-00008F010000}"/>
    <cellStyle name="Separador de milhares_2005-2007 B. Plan - Consolidation" xfId="267" xr:uid="{00000000-0005-0000-0000-000090010000}"/>
    <cellStyle name="Sheet Title" xfId="268" xr:uid="{00000000-0005-0000-0000-000091010000}"/>
    <cellStyle name="Standard 2" xfId="483" xr:uid="{00000000-0005-0000-0000-000092010000}"/>
    <cellStyle name="Standard_100" xfId="269" xr:uid="{00000000-0005-0000-0000-000093010000}"/>
    <cellStyle name="subhead" xfId="270" xr:uid="{00000000-0005-0000-0000-000094010000}"/>
    <cellStyle name="TC_SheetTitle" xfId="271" xr:uid="{00000000-0005-0000-0000-000095010000}"/>
    <cellStyle name="TEXT MERGED CELLS" xfId="272" xr:uid="{00000000-0005-0000-0000-000096010000}"/>
    <cellStyle name="Title" xfId="273" xr:uid="{00000000-0005-0000-0000-000097010000}"/>
    <cellStyle name="Total" xfId="274" xr:uid="{00000000-0005-0000-0000-000098010000}"/>
    <cellStyle name="Total 2" xfId="463" xr:uid="{00000000-0005-0000-0000-000099010000}"/>
    <cellStyle name="Total 3" xfId="588" xr:uid="{00000000-0005-0000-0000-00009A010000}"/>
    <cellStyle name="Total 4" xfId="607" xr:uid="{00000000-0005-0000-0000-00009B010000}"/>
    <cellStyle name="Währung [0]_~0025339" xfId="275" xr:uid="{00000000-0005-0000-0000-00009C010000}"/>
    <cellStyle name="Währung_~0025339" xfId="276" xr:uid="{00000000-0005-0000-0000-00009D010000}"/>
    <cellStyle name="Walutowy [0]_labour efficiency" xfId="277" xr:uid="{00000000-0005-0000-0000-00009E010000}"/>
    <cellStyle name="Walutowy_labour efficiency" xfId="278" xr:uid="{00000000-0005-0000-0000-00009F010000}"/>
    <cellStyle name="Warning Text" xfId="279" xr:uid="{00000000-0005-0000-0000-0000A0010000}"/>
    <cellStyle name="アクセント 1 2" xfId="280" xr:uid="{00000000-0005-0000-0000-0000A1010000}"/>
    <cellStyle name="アクセント 2 2" xfId="281" xr:uid="{00000000-0005-0000-0000-0000A2010000}"/>
    <cellStyle name="アクセント 3 2" xfId="282" xr:uid="{00000000-0005-0000-0000-0000A3010000}"/>
    <cellStyle name="アクセント 4 2" xfId="283" xr:uid="{00000000-0005-0000-0000-0000A4010000}"/>
    <cellStyle name="アクセント 5 2" xfId="284" xr:uid="{00000000-0005-0000-0000-0000A5010000}"/>
    <cellStyle name="アクセント 6 2" xfId="285" xr:uid="{00000000-0005-0000-0000-0000A6010000}"/>
    <cellStyle name="スタイル 1" xfId="286" xr:uid="{00000000-0005-0000-0000-0000A7010000}"/>
    <cellStyle name="スタイル 1 2" xfId="287" xr:uid="{00000000-0005-0000-0000-0000A8010000}"/>
    <cellStyle name="スタイル 1_Sheet1" xfId="406" xr:uid="{00000000-0005-0000-0000-0000A9010000}"/>
    <cellStyle name="タイトル 2" xfId="288" xr:uid="{00000000-0005-0000-0000-0000AA010000}"/>
    <cellStyle name="チェック セル 2" xfId="289" xr:uid="{00000000-0005-0000-0000-0000AB010000}"/>
    <cellStyle name="どちらでもない 2" xfId="290" xr:uid="{00000000-0005-0000-0000-0000AC010000}"/>
    <cellStyle name="パーセント 2" xfId="291" xr:uid="{00000000-0005-0000-0000-0000AE010000}"/>
    <cellStyle name="パーセント 2 2" xfId="292" xr:uid="{00000000-0005-0000-0000-0000AF010000}"/>
    <cellStyle name="パーセント 2 2 2" xfId="293" xr:uid="{00000000-0005-0000-0000-0000B0010000}"/>
    <cellStyle name="パーセント 2 2_Sheet1" xfId="407" xr:uid="{00000000-0005-0000-0000-0000B1010000}"/>
    <cellStyle name="パーセント 2_アウトプットイメージ2_マーケティング" xfId="294" xr:uid="{00000000-0005-0000-0000-0000B2010000}"/>
    <cellStyle name="パーセント 4" xfId="295" xr:uid="{00000000-0005-0000-0000-0000B3010000}"/>
    <cellStyle name="パーセント[0.00]" xfId="296" xr:uid="{00000000-0005-0000-0000-0000B4010000}"/>
    <cellStyle name="ハイパーリンク 2" xfId="297" xr:uid="{00000000-0005-0000-0000-0000B6010000}"/>
    <cellStyle name="メモ 2" xfId="298" xr:uid="{00000000-0005-0000-0000-0000B7010000}"/>
    <cellStyle name="メモ 2 2" xfId="464" xr:uid="{00000000-0005-0000-0000-0000B8010000}"/>
    <cellStyle name="メモ 2 3" xfId="590" xr:uid="{00000000-0005-0000-0000-0000B9010000}"/>
    <cellStyle name="メモ 2 4" xfId="504" xr:uid="{00000000-0005-0000-0000-0000BA010000}"/>
    <cellStyle name="リンク セル 2" xfId="299" xr:uid="{00000000-0005-0000-0000-0000BB010000}"/>
    <cellStyle name="一般_~4982736" xfId="301" xr:uid="{00000000-0005-0000-0000-0000BD010000}"/>
    <cellStyle name="中等" xfId="336" xr:uid="{00000000-0005-0000-0000-0000FF010000}"/>
    <cellStyle name="中等 2" xfId="337" xr:uid="{00000000-0005-0000-0000-000000020000}"/>
    <cellStyle name="備註" xfId="341" xr:uid="{00000000-0005-0000-0000-00000A020000}"/>
    <cellStyle name="備註 2" xfId="475" xr:uid="{00000000-0005-0000-0000-00000B020000}"/>
    <cellStyle name="備註 3" xfId="601" xr:uid="{00000000-0005-0000-0000-00000C020000}"/>
    <cellStyle name="備註 4" xfId="494" xr:uid="{00000000-0005-0000-0000-00000D020000}"/>
    <cellStyle name="入力 2" xfId="340" xr:uid="{00000000-0005-0000-0000-000006020000}"/>
    <cellStyle name="入力 2 2" xfId="474" xr:uid="{00000000-0005-0000-0000-000007020000}"/>
    <cellStyle name="入力 2 3" xfId="600" xr:uid="{00000000-0005-0000-0000-000008020000}"/>
    <cellStyle name="入力 2 4" xfId="495" xr:uid="{00000000-0005-0000-0000-000009020000}"/>
    <cellStyle name="出力 2" xfId="329" xr:uid="{00000000-0005-0000-0000-0000F5010000}"/>
    <cellStyle name="出力 2 2" xfId="472" xr:uid="{00000000-0005-0000-0000-0000F6010000}"/>
    <cellStyle name="出力 2 3" xfId="598" xr:uid="{00000000-0005-0000-0000-0000F7010000}"/>
    <cellStyle name="出力 2 4" xfId="496" xr:uid="{00000000-0005-0000-0000-0000F8010000}"/>
    <cellStyle name="千位分隔[0]_gm worksheet" xfId="332" xr:uid="{00000000-0005-0000-0000-0000FB010000}"/>
    <cellStyle name="千位分隔_gm worksheet" xfId="333" xr:uid="{00000000-0005-0000-0000-0000FC010000}"/>
    <cellStyle name="千分位[0]_01'Sales%" xfId="334" xr:uid="{00000000-0005-0000-0000-0000FD010000}"/>
    <cellStyle name="千分位_2005-2007 Brochure Plan" xfId="335" xr:uid="{00000000-0005-0000-0000-0000FE010000}"/>
    <cellStyle name="合計" xfId="326" xr:uid="{00000000-0005-0000-0000-0000E9010000}"/>
    <cellStyle name="合計 2" xfId="327" xr:uid="{00000000-0005-0000-0000-0000EA010000}"/>
    <cellStyle name="合計 2 2" xfId="470" xr:uid="{00000000-0005-0000-0000-0000EB010000}"/>
    <cellStyle name="合計 2 3" xfId="596" xr:uid="{00000000-0005-0000-0000-0000EC010000}"/>
    <cellStyle name="合計 2 4" xfId="498" xr:uid="{00000000-0005-0000-0000-0000ED010000}"/>
    <cellStyle name="合計 3" xfId="469" xr:uid="{00000000-0005-0000-0000-0000EE010000}"/>
    <cellStyle name="合計 4" xfId="595" xr:uid="{00000000-0005-0000-0000-0000EF010000}"/>
    <cellStyle name="合計 5" xfId="499" xr:uid="{00000000-0005-0000-0000-0000F0010000}"/>
    <cellStyle name="基本フォーム" xfId="304" xr:uid="{00000000-0005-0000-0000-0000C0010000}"/>
    <cellStyle name="基本フォーム 2" xfId="465" xr:uid="{00000000-0005-0000-0000-0000C1010000}"/>
    <cellStyle name="基本フォーム 2 2" xfId="611" xr:uid="{00000000-0005-0000-0000-0000C2010000}"/>
    <cellStyle name="基本フォーム 2 3" xfId="614" xr:uid="{00000000-0005-0000-0000-0000C3010000}"/>
    <cellStyle name="基本フォーム 3" xfId="591" xr:uid="{00000000-0005-0000-0000-0000C4010000}"/>
    <cellStyle name="基本フォーム 4" xfId="503" xr:uid="{00000000-0005-0000-0000-0000C5010000}"/>
    <cellStyle name="壞" xfId="397" xr:uid="{00000000-0005-0000-0000-000063020000}"/>
    <cellStyle name="壞 2" xfId="398" xr:uid="{00000000-0005-0000-0000-000064020000}"/>
    <cellStyle name="好" xfId="324" xr:uid="{00000000-0005-0000-0000-0000E7010000}"/>
    <cellStyle name="好 2" xfId="325" xr:uid="{00000000-0005-0000-0000-0000E8010000}"/>
    <cellStyle name="常规_Attachment D- CountryOBU Business Plan Financial Deck" xfId="330" xr:uid="{00000000-0005-0000-0000-0000F9010000}"/>
    <cellStyle name="悪い 2" xfId="300" xr:uid="{00000000-0005-0000-0000-0000BC010000}"/>
    <cellStyle name="未定義" xfId="389" xr:uid="{00000000-0005-0000-0000-00004F020000}"/>
    <cellStyle name="桁区切り [0.00] 2" xfId="481" xr:uid="{00000000-0005-0000-0000-0000D7010000}"/>
    <cellStyle name="桁区切り 2" xfId="311" xr:uid="{00000000-0005-0000-0000-0000D8010000}"/>
    <cellStyle name="桁区切り 2 2" xfId="312" xr:uid="{00000000-0005-0000-0000-0000D9010000}"/>
    <cellStyle name="桁区切り 2_アウトプットイメージ2_マーケティング" xfId="313" xr:uid="{00000000-0005-0000-0000-0000DA010000}"/>
    <cellStyle name="桁区切り 3" xfId="314" xr:uid="{00000000-0005-0000-0000-0000DB010000}"/>
    <cellStyle name="桁区切り 4" xfId="487" xr:uid="{00000000-0005-0000-0000-0000DC010000}"/>
    <cellStyle name="桁区切り 4 2" xfId="617" xr:uid="{4216D3AE-60E3-48E4-992C-B455E6413B1F}"/>
    <cellStyle name="桁区切り 5" xfId="315" xr:uid="{00000000-0005-0000-0000-0000DD010000}"/>
    <cellStyle name="桁区切り 6" xfId="316" xr:uid="{00000000-0005-0000-0000-0000DE010000}"/>
    <cellStyle name="桁区切り 8" xfId="317" xr:uid="{00000000-0005-0000-0000-0000DF010000}"/>
    <cellStyle name="桁区切り 9" xfId="318" xr:uid="{00000000-0005-0000-0000-0000E0010000}"/>
    <cellStyle name="桁区切り_10MTP_Package_Bxx (2)" xfId="419" xr:uid="{00000000-0005-0000-0000-0000E1010000}"/>
    <cellStyle name="標準 10" xfId="342" xr:uid="{00000000-0005-0000-0000-00000F020000}"/>
    <cellStyle name="標準 11" xfId="343" xr:uid="{00000000-0005-0000-0000-000010020000}"/>
    <cellStyle name="標準 12" xfId="344" xr:uid="{00000000-0005-0000-0000-000011020000}"/>
    <cellStyle name="標準 13" xfId="480" xr:uid="{00000000-0005-0000-0000-000012020000}"/>
    <cellStyle name="標準 14" xfId="482" xr:uid="{00000000-0005-0000-0000-000013020000}"/>
    <cellStyle name="標準 15" xfId="485" xr:uid="{00000000-0005-0000-0000-000014020000}"/>
    <cellStyle name="標準 16" xfId="486" xr:uid="{00000000-0005-0000-0000-000015020000}"/>
    <cellStyle name="標準 16 2" xfId="613" xr:uid="{00000000-0005-0000-0000-000016020000}"/>
    <cellStyle name="標準 16 2 2" xfId="618" xr:uid="{9B329050-E96F-4985-BAA9-B6D6F570D740}"/>
    <cellStyle name="標準 16 3" xfId="615" xr:uid="{39383442-48E7-4772-BE55-80C8AE3C50BA}"/>
    <cellStyle name="標準 16 4" xfId="619" xr:uid="{FC434196-CA33-4019-8DEF-65E318C337A2}"/>
    <cellStyle name="標準 17" xfId="616" xr:uid="{B13DD06B-5991-49DD-A6B0-8F32167F9FD2}"/>
    <cellStyle name="標準 2" xfId="345" xr:uid="{00000000-0005-0000-0000-000017020000}"/>
    <cellStyle name="標準 2 2" xfId="346" xr:uid="{00000000-0005-0000-0000-000018020000}"/>
    <cellStyle name="標準 2 2 2" xfId="347" xr:uid="{00000000-0005-0000-0000-000019020000}"/>
    <cellStyle name="標準 2 2 3" xfId="348" xr:uid="{00000000-0005-0000-0000-00001A020000}"/>
    <cellStyle name="標準 2 2_Sheet1" xfId="408" xr:uid="{00000000-0005-0000-0000-00001B020000}"/>
    <cellStyle name="標準 2 3" xfId="349" xr:uid="{00000000-0005-0000-0000-00001C020000}"/>
    <cellStyle name="標準 2 3 2" xfId="350" xr:uid="{00000000-0005-0000-0000-00001D020000}"/>
    <cellStyle name="標準 2 3_Sheet1" xfId="409" xr:uid="{00000000-0005-0000-0000-00001E020000}"/>
    <cellStyle name="標準 2 4" xfId="351" xr:uid="{00000000-0005-0000-0000-00001F020000}"/>
    <cellStyle name="標準 2 5" xfId="352" xr:uid="{00000000-0005-0000-0000-000020020000}"/>
    <cellStyle name="標準 2_01_アウトライン設計書_ver0.1_100528" xfId="353" xr:uid="{00000000-0005-0000-0000-000021020000}"/>
    <cellStyle name="標準 3" xfId="354" xr:uid="{00000000-0005-0000-0000-000022020000}"/>
    <cellStyle name="標準 3 2" xfId="355" xr:uid="{00000000-0005-0000-0000-000023020000}"/>
    <cellStyle name="標準 3 3" xfId="637" xr:uid="{70B3E526-2E9A-4991-B139-3A6E4C2269E9}"/>
    <cellStyle name="標準 3_Sheet1" xfId="410" xr:uid="{00000000-0005-0000-0000-000024020000}"/>
    <cellStyle name="標準 4" xfId="356" xr:uid="{00000000-0005-0000-0000-000025020000}"/>
    <cellStyle name="標準 4 2" xfId="357" xr:uid="{00000000-0005-0000-0000-000026020000}"/>
    <cellStyle name="標準 4 3" xfId="358" xr:uid="{00000000-0005-0000-0000-000027020000}"/>
    <cellStyle name="標準 4 3 2" xfId="638" xr:uid="{E976669C-5999-4966-8D6B-15AD6FF675FD}"/>
    <cellStyle name="標準 4 4" xfId="359" xr:uid="{00000000-0005-0000-0000-000028020000}"/>
    <cellStyle name="標準 4_Sheet1" xfId="411" xr:uid="{00000000-0005-0000-0000-000029020000}"/>
    <cellStyle name="標準 5" xfId="360" xr:uid="{00000000-0005-0000-0000-00002A020000}"/>
    <cellStyle name="標準 5 2" xfId="361" xr:uid="{00000000-0005-0000-0000-00002B020000}"/>
    <cellStyle name="標準 5 3" xfId="421" xr:uid="{00000000-0005-0000-0000-00002C020000}"/>
    <cellStyle name="標準 5 3 2" xfId="606" xr:uid="{00000000-0005-0000-0000-00002D020000}"/>
    <cellStyle name="標準 5 4" xfId="639" xr:uid="{D9B37635-ED65-4C46-AC2D-DA0B50F4ED23}"/>
    <cellStyle name="標準 5_Sheet1" xfId="412" xr:uid="{00000000-0005-0000-0000-00002E020000}"/>
    <cellStyle name="標準 6" xfId="362" xr:uid="{00000000-0005-0000-0000-00002F020000}"/>
    <cellStyle name="標準 7" xfId="363" xr:uid="{00000000-0005-0000-0000-000030020000}"/>
    <cellStyle name="標準 8" xfId="364" xr:uid="{00000000-0005-0000-0000-000031020000}"/>
    <cellStyle name="標準 9" xfId="365" xr:uid="{00000000-0005-0000-0000-000032020000}"/>
    <cellStyle name="標準_07MTP Form3(Financial) (Draft)03" xfId="416" xr:uid="{00000000-0005-0000-0000-000033020000}"/>
    <cellStyle name="標準_08MTP_Form3(Financials)" xfId="418" xr:uid="{00000000-0005-0000-0000-000034020000}"/>
    <cellStyle name="標準_FY10下見通 " xfId="420" xr:uid="{00000000-0005-0000-0000-000035020000}"/>
    <cellStyle name="標準_OD編成form02仮_03-2ndEst BAT_08MTP_Form3(Financials)" xfId="417" xr:uid="{00000000-0005-0000-0000-000036020000}"/>
    <cellStyle name="標題" xfId="366" xr:uid="{00000000-0005-0000-0000-000038020000}"/>
    <cellStyle name="標題 1" xfId="367" xr:uid="{00000000-0005-0000-0000-000039020000}"/>
    <cellStyle name="標題 1 2" xfId="368" xr:uid="{00000000-0005-0000-0000-00003A020000}"/>
    <cellStyle name="標題 2" xfId="369" xr:uid="{00000000-0005-0000-0000-00003B020000}"/>
    <cellStyle name="標題 2 2" xfId="370" xr:uid="{00000000-0005-0000-0000-00003C020000}"/>
    <cellStyle name="標題 3" xfId="371" xr:uid="{00000000-0005-0000-0000-00003D020000}"/>
    <cellStyle name="標題 3 2" xfId="372" xr:uid="{00000000-0005-0000-0000-00003E020000}"/>
    <cellStyle name="標題 4" xfId="373" xr:uid="{00000000-0005-0000-0000-00003F020000}"/>
    <cellStyle name="標題 4 2" xfId="374" xr:uid="{00000000-0005-0000-0000-000040020000}"/>
    <cellStyle name="標題 5" xfId="375" xr:uid="{00000000-0005-0000-0000-000041020000}"/>
    <cellStyle name="檢查儲存格" xfId="399" xr:uid="{00000000-0005-0000-0000-000065020000}"/>
    <cellStyle name="檢查儲存格 2" xfId="400" xr:uid="{00000000-0005-0000-0000-000066020000}"/>
    <cellStyle name="磨葬e義" xfId="388" xr:uid="{00000000-0005-0000-0000-00004E020000}"/>
    <cellStyle name="良い 2" xfId="394" xr:uid="{00000000-0005-0000-0000-000060020000}"/>
    <cellStyle name="見出し 1 2" xfId="319" xr:uid="{00000000-0005-0000-0000-0000E2010000}"/>
    <cellStyle name="見出し 2 2" xfId="320" xr:uid="{00000000-0005-0000-0000-0000E3010000}"/>
    <cellStyle name="見出し 3 2" xfId="321" xr:uid="{00000000-0005-0000-0000-0000E4010000}"/>
    <cellStyle name="見出し 4 2" xfId="322" xr:uid="{00000000-0005-0000-0000-0000E5010000}"/>
    <cellStyle name="見出し１" xfId="323" xr:uid="{00000000-0005-0000-0000-0000E6010000}"/>
    <cellStyle name="計算 2" xfId="305" xr:uid="{00000000-0005-0000-0000-0000C6010000}"/>
    <cellStyle name="計算 2 2" xfId="466" xr:uid="{00000000-0005-0000-0000-0000C7010000}"/>
    <cellStyle name="計算 2 3" xfId="592" xr:uid="{00000000-0005-0000-0000-0000C8010000}"/>
    <cellStyle name="計算 2 4" xfId="502" xr:uid="{00000000-0005-0000-0000-0000C9010000}"/>
    <cellStyle name="計算方式" xfId="306" xr:uid="{00000000-0005-0000-0000-0000CA010000}"/>
    <cellStyle name="計算方式 2" xfId="307" xr:uid="{00000000-0005-0000-0000-0000CB010000}"/>
    <cellStyle name="計算方式 2 2" xfId="468" xr:uid="{00000000-0005-0000-0000-0000CC010000}"/>
    <cellStyle name="計算方式 2 3" xfId="594" xr:uid="{00000000-0005-0000-0000-0000CD010000}"/>
    <cellStyle name="計算方式 2 4" xfId="500" xr:uid="{00000000-0005-0000-0000-0000CE010000}"/>
    <cellStyle name="計算方式 3" xfId="467" xr:uid="{00000000-0005-0000-0000-0000CF010000}"/>
    <cellStyle name="計算方式 4" xfId="593" xr:uid="{00000000-0005-0000-0000-0000D0010000}"/>
    <cellStyle name="計算方式 5" xfId="501" xr:uid="{00000000-0005-0000-0000-0000D1010000}"/>
    <cellStyle name="說明文字" xfId="402" xr:uid="{00000000-0005-0000-0000-000068020000}"/>
    <cellStyle name="說明文字 2" xfId="403" xr:uid="{00000000-0005-0000-0000-000069020000}"/>
    <cellStyle name="説明文 2" xfId="331" xr:uid="{00000000-0005-0000-0000-0000FA010000}"/>
    <cellStyle name="警告文 2" xfId="308" xr:uid="{00000000-0005-0000-0000-0000D2010000}"/>
    <cellStyle name="警告文字" xfId="309" xr:uid="{00000000-0005-0000-0000-0000D3010000}"/>
    <cellStyle name="警告文字 2" xfId="310" xr:uid="{00000000-0005-0000-0000-0000D4010000}"/>
    <cellStyle name="貨幣 [0]_2004 profit plan 0814" xfId="302" xr:uid="{00000000-0005-0000-0000-0000BE010000}"/>
    <cellStyle name="貨幣_2004 profit plan 0814" xfId="303" xr:uid="{00000000-0005-0000-0000-0000BF010000}"/>
    <cellStyle name="货币[0]_gm worksheet" xfId="404" xr:uid="{00000000-0005-0000-0000-00006A020000}"/>
    <cellStyle name="货币_gm worksheet" xfId="405" xr:uid="{00000000-0005-0000-0000-00006B020000}"/>
    <cellStyle name="超連結_2004 profit plan 0814" xfId="338" xr:uid="{00000000-0005-0000-0000-000001020000}"/>
    <cellStyle name="輔色1" xfId="376" xr:uid="{00000000-0005-0000-0000-000042020000}"/>
    <cellStyle name="輔色1 2" xfId="377" xr:uid="{00000000-0005-0000-0000-000043020000}"/>
    <cellStyle name="輔色2" xfId="378" xr:uid="{00000000-0005-0000-0000-000044020000}"/>
    <cellStyle name="輔色2 2" xfId="379" xr:uid="{00000000-0005-0000-0000-000045020000}"/>
    <cellStyle name="輔色3" xfId="380" xr:uid="{00000000-0005-0000-0000-000046020000}"/>
    <cellStyle name="輔色3 2" xfId="381" xr:uid="{00000000-0005-0000-0000-000047020000}"/>
    <cellStyle name="輔色4" xfId="382" xr:uid="{00000000-0005-0000-0000-000048020000}"/>
    <cellStyle name="輔色4 2" xfId="383" xr:uid="{00000000-0005-0000-0000-000049020000}"/>
    <cellStyle name="輔色5" xfId="384" xr:uid="{00000000-0005-0000-0000-00004A020000}"/>
    <cellStyle name="輔色5 2" xfId="385" xr:uid="{00000000-0005-0000-0000-00004B020000}"/>
    <cellStyle name="輔色6" xfId="386" xr:uid="{00000000-0005-0000-0000-00004C020000}"/>
    <cellStyle name="輔色6 2" xfId="387" xr:uid="{00000000-0005-0000-0000-00004D020000}"/>
    <cellStyle name="輸入" xfId="392" xr:uid="{00000000-0005-0000-0000-000058020000}"/>
    <cellStyle name="輸入 2" xfId="393" xr:uid="{00000000-0005-0000-0000-000059020000}"/>
    <cellStyle name="輸入 2 2" xfId="479" xr:uid="{00000000-0005-0000-0000-00005A020000}"/>
    <cellStyle name="輸入 2 3" xfId="605" xr:uid="{00000000-0005-0000-0000-00005B020000}"/>
    <cellStyle name="輸入 2 4" xfId="489" xr:uid="{00000000-0005-0000-0000-00005C020000}"/>
    <cellStyle name="輸入 3" xfId="478" xr:uid="{00000000-0005-0000-0000-00005D020000}"/>
    <cellStyle name="輸入 4" xfId="604" xr:uid="{00000000-0005-0000-0000-00005E020000}"/>
    <cellStyle name="輸入 5" xfId="490" xr:uid="{00000000-0005-0000-0000-00005F020000}"/>
    <cellStyle name="輸出" xfId="390" xr:uid="{00000000-0005-0000-0000-000050020000}"/>
    <cellStyle name="輸出 2" xfId="391" xr:uid="{00000000-0005-0000-0000-000051020000}"/>
    <cellStyle name="輸出 2 2" xfId="477" xr:uid="{00000000-0005-0000-0000-000052020000}"/>
    <cellStyle name="輸出 2 3" xfId="603" xr:uid="{00000000-0005-0000-0000-000053020000}"/>
    <cellStyle name="輸出 2 4" xfId="491" xr:uid="{00000000-0005-0000-0000-000054020000}"/>
    <cellStyle name="輸出 3" xfId="476" xr:uid="{00000000-0005-0000-0000-000055020000}"/>
    <cellStyle name="輸出 4" xfId="602" xr:uid="{00000000-0005-0000-0000-000056020000}"/>
    <cellStyle name="輸出 5" xfId="492" xr:uid="{00000000-0005-0000-0000-000057020000}"/>
    <cellStyle name="通貨 [0.00] 2" xfId="339" xr:uid="{00000000-0005-0000-0000-000002020000}"/>
    <cellStyle name="通貨 [0.00] 2 2" xfId="473" xr:uid="{00000000-0005-0000-0000-000003020000}"/>
    <cellStyle name="通貨 [0.00] 2 2 2" xfId="612" xr:uid="{00000000-0005-0000-0000-000004020000}"/>
    <cellStyle name="通貨 [0.00] 2 3" xfId="599" xr:uid="{00000000-0005-0000-0000-000005020000}"/>
    <cellStyle name="通貨 [0.00] 2 4" xfId="636" xr:uid="{2590A9AB-D2B1-42A3-9F48-9633E864F017}"/>
    <cellStyle name="連結的儲存格" xfId="395" xr:uid="{00000000-0005-0000-0000-000061020000}"/>
    <cellStyle name="連結的儲存格 2" xfId="396" xr:uid="{00000000-0005-0000-0000-000062020000}"/>
    <cellStyle name="隨後的超連結_2004 profit plan 0814" xfId="401" xr:uid="{00000000-0005-0000-0000-000067020000}"/>
    <cellStyle name="集計 2" xfId="328" xr:uid="{00000000-0005-0000-0000-0000F1010000}"/>
    <cellStyle name="集計 2 2" xfId="471" xr:uid="{00000000-0005-0000-0000-0000F2010000}"/>
    <cellStyle name="集計 2 3" xfId="597" xr:uid="{00000000-0005-0000-0000-0000F3010000}"/>
    <cellStyle name="集計 2 4" xfId="497" xr:uid="{00000000-0005-0000-0000-0000F4010000}"/>
  </cellStyles>
  <dxfs count="3">
    <dxf>
      <font>
        <color theme="0"/>
      </font>
      <fill>
        <patternFill>
          <bgColor rgb="FFFF0000"/>
        </patternFill>
      </fill>
    </dxf>
    <dxf>
      <font>
        <color theme="0"/>
      </font>
      <fill>
        <patternFill>
          <bgColor theme="0" tint="-0.499984740745262"/>
        </patternFill>
      </fill>
    </dxf>
    <dxf>
      <fill>
        <patternFill>
          <bgColor rgb="FF0070C0"/>
        </patternFill>
      </fill>
    </dxf>
  </dxfs>
  <tableStyles count="0" defaultTableStyle="TableStyleMedium2" defaultPivotStyle="PivotStyleLight16"/>
  <colors>
    <mruColors>
      <color rgb="FF580000"/>
      <color rgb="FF0000FF"/>
      <color rgb="FFFFFFCC"/>
      <color rgb="FFCCFFFF"/>
      <color rgb="FF99CCFF"/>
      <color rgb="FFFCCEFE"/>
      <color rgb="FFCC99FF"/>
      <color rgb="FFFFFF99"/>
      <color rgb="FFEFCEFE"/>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xdr:row>
      <xdr:rowOff>47625</xdr:rowOff>
    </xdr:from>
    <xdr:to>
      <xdr:col>6</xdr:col>
      <xdr:colOff>330919</xdr:colOff>
      <xdr:row>10</xdr:row>
      <xdr:rowOff>76021</xdr:rowOff>
    </xdr:to>
    <xdr:pic>
      <xdr:nvPicPr>
        <xdr:cNvPr id="13" name="図 12">
          <a:extLst>
            <a:ext uri="{FF2B5EF4-FFF2-40B4-BE49-F238E27FC236}">
              <a16:creationId xmlns:a16="http://schemas.microsoft.com/office/drawing/2014/main" id="{1A9A4AB6-5777-4970-B6B4-10DFD25D0557}"/>
            </a:ext>
          </a:extLst>
        </xdr:cNvPr>
        <xdr:cNvPicPr>
          <a:picLocks noChangeAspect="1"/>
        </xdr:cNvPicPr>
      </xdr:nvPicPr>
      <xdr:blipFill>
        <a:blip xmlns:r="http://schemas.openxmlformats.org/officeDocument/2006/relationships" r:embed="rId1"/>
        <a:stretch>
          <a:fillRect/>
        </a:stretch>
      </xdr:blipFill>
      <xdr:spPr>
        <a:xfrm>
          <a:off x="466725" y="838200"/>
          <a:ext cx="4409524" cy="1428571"/>
        </a:xfrm>
        <a:prstGeom prst="rect">
          <a:avLst/>
        </a:prstGeom>
        <a:ln>
          <a:solidFill>
            <a:schemeClr val="bg2">
              <a:lumMod val="90000"/>
            </a:schemeClr>
          </a:solidFill>
        </a:ln>
      </xdr:spPr>
    </xdr:pic>
    <xdr:clientData/>
  </xdr:twoCellAnchor>
  <xdr:twoCellAnchor editAs="oneCell">
    <xdr:from>
      <xdr:col>1</xdr:col>
      <xdr:colOff>95250</xdr:colOff>
      <xdr:row>13</xdr:row>
      <xdr:rowOff>47626</xdr:rowOff>
    </xdr:from>
    <xdr:to>
      <xdr:col>5</xdr:col>
      <xdr:colOff>1752174</xdr:colOff>
      <xdr:row>25</xdr:row>
      <xdr:rowOff>87631</xdr:rowOff>
    </xdr:to>
    <xdr:pic>
      <xdr:nvPicPr>
        <xdr:cNvPr id="14" name="図 13">
          <a:extLst>
            <a:ext uri="{FF2B5EF4-FFF2-40B4-BE49-F238E27FC236}">
              <a16:creationId xmlns:a16="http://schemas.microsoft.com/office/drawing/2014/main" id="{5FAEAEB2-E272-426A-AC16-ECF5899F21C2}"/>
            </a:ext>
          </a:extLst>
        </xdr:cNvPr>
        <xdr:cNvPicPr>
          <a:picLocks noChangeAspect="1"/>
        </xdr:cNvPicPr>
      </xdr:nvPicPr>
      <xdr:blipFill rotWithShape="1">
        <a:blip xmlns:r="http://schemas.openxmlformats.org/officeDocument/2006/relationships" r:embed="rId2"/>
        <a:srcRect b="1773"/>
        <a:stretch/>
      </xdr:blipFill>
      <xdr:spPr>
        <a:xfrm>
          <a:off x="428625" y="2809876"/>
          <a:ext cx="3409524" cy="2095500"/>
        </a:xfrm>
        <a:prstGeom prst="rect">
          <a:avLst/>
        </a:prstGeom>
        <a:ln>
          <a:solidFill>
            <a:schemeClr val="bg2">
              <a:lumMod val="90000"/>
            </a:schemeClr>
          </a:solidFill>
        </a:ln>
      </xdr:spPr>
    </xdr:pic>
    <xdr:clientData/>
  </xdr:twoCellAnchor>
  <xdr:twoCellAnchor editAs="oneCell">
    <xdr:from>
      <xdr:col>1</xdr:col>
      <xdr:colOff>104775</xdr:colOff>
      <xdr:row>28</xdr:row>
      <xdr:rowOff>76200</xdr:rowOff>
    </xdr:from>
    <xdr:to>
      <xdr:col>6</xdr:col>
      <xdr:colOff>468059</xdr:colOff>
      <xdr:row>39</xdr:row>
      <xdr:rowOff>60727</xdr:rowOff>
    </xdr:to>
    <xdr:pic>
      <xdr:nvPicPr>
        <xdr:cNvPr id="18" name="図 17">
          <a:extLst>
            <a:ext uri="{FF2B5EF4-FFF2-40B4-BE49-F238E27FC236}">
              <a16:creationId xmlns:a16="http://schemas.microsoft.com/office/drawing/2014/main" id="{D922F18A-6DBC-4763-8009-B1A9722ED2FC}"/>
            </a:ext>
          </a:extLst>
        </xdr:cNvPr>
        <xdr:cNvPicPr>
          <a:picLocks noChangeAspect="1"/>
        </xdr:cNvPicPr>
      </xdr:nvPicPr>
      <xdr:blipFill>
        <a:blip xmlns:r="http://schemas.openxmlformats.org/officeDocument/2006/relationships" r:embed="rId3"/>
        <a:stretch>
          <a:fillRect/>
        </a:stretch>
      </xdr:blipFill>
      <xdr:spPr>
        <a:xfrm>
          <a:off x="438150" y="5238750"/>
          <a:ext cx="4571429" cy="1866667"/>
        </a:xfrm>
        <a:prstGeom prst="rect">
          <a:avLst/>
        </a:prstGeom>
        <a:ln>
          <a:solidFill>
            <a:schemeClr val="bg2">
              <a:lumMod val="90000"/>
            </a:schemeClr>
          </a:solidFill>
        </a:ln>
      </xdr:spPr>
    </xdr:pic>
    <xdr:clientData/>
  </xdr:twoCellAnchor>
  <xdr:twoCellAnchor editAs="oneCell">
    <xdr:from>
      <xdr:col>1</xdr:col>
      <xdr:colOff>104775</xdr:colOff>
      <xdr:row>45</xdr:row>
      <xdr:rowOff>28575</xdr:rowOff>
    </xdr:from>
    <xdr:to>
      <xdr:col>5</xdr:col>
      <xdr:colOff>1190270</xdr:colOff>
      <xdr:row>55</xdr:row>
      <xdr:rowOff>9313</xdr:rowOff>
    </xdr:to>
    <xdr:pic>
      <xdr:nvPicPr>
        <xdr:cNvPr id="2" name="図 1">
          <a:extLst>
            <a:ext uri="{FF2B5EF4-FFF2-40B4-BE49-F238E27FC236}">
              <a16:creationId xmlns:a16="http://schemas.microsoft.com/office/drawing/2014/main" id="{F670FA82-CEB0-4A4A-906E-B4FFD21555C1}"/>
            </a:ext>
          </a:extLst>
        </xdr:cNvPr>
        <xdr:cNvPicPr>
          <a:picLocks noChangeAspect="1"/>
        </xdr:cNvPicPr>
      </xdr:nvPicPr>
      <xdr:blipFill>
        <a:blip xmlns:r="http://schemas.openxmlformats.org/officeDocument/2006/relationships" r:embed="rId4"/>
        <a:stretch>
          <a:fillRect/>
        </a:stretch>
      </xdr:blipFill>
      <xdr:spPr>
        <a:xfrm>
          <a:off x="438150" y="8162925"/>
          <a:ext cx="2838095" cy="1695238"/>
        </a:xfrm>
        <a:prstGeom prst="rect">
          <a:avLst/>
        </a:prstGeom>
        <a:ln>
          <a:solidFill>
            <a:schemeClr val="bg2"/>
          </a:solidFill>
        </a:ln>
      </xdr:spPr>
    </xdr:pic>
    <xdr:clientData/>
  </xdr:twoCellAnchor>
  <xdr:twoCellAnchor editAs="oneCell">
    <xdr:from>
      <xdr:col>1</xdr:col>
      <xdr:colOff>104775</xdr:colOff>
      <xdr:row>57</xdr:row>
      <xdr:rowOff>28575</xdr:rowOff>
    </xdr:from>
    <xdr:to>
      <xdr:col>5</xdr:col>
      <xdr:colOff>1724025</xdr:colOff>
      <xdr:row>63</xdr:row>
      <xdr:rowOff>76065</xdr:rowOff>
    </xdr:to>
    <xdr:pic>
      <xdr:nvPicPr>
        <xdr:cNvPr id="3" name="図 2">
          <a:extLst>
            <a:ext uri="{FF2B5EF4-FFF2-40B4-BE49-F238E27FC236}">
              <a16:creationId xmlns:a16="http://schemas.microsoft.com/office/drawing/2014/main" id="{48751F98-74B7-454D-9B7D-0E2E70227712}"/>
            </a:ext>
          </a:extLst>
        </xdr:cNvPr>
        <xdr:cNvPicPr>
          <a:picLocks noChangeAspect="1"/>
        </xdr:cNvPicPr>
      </xdr:nvPicPr>
      <xdr:blipFill rotWithShape="1">
        <a:blip xmlns:r="http://schemas.openxmlformats.org/officeDocument/2006/relationships" r:embed="rId5"/>
        <a:srcRect r="56074"/>
        <a:stretch/>
      </xdr:blipFill>
      <xdr:spPr>
        <a:xfrm>
          <a:off x="438150" y="10248900"/>
          <a:ext cx="3371850" cy="1076190"/>
        </a:xfrm>
        <a:prstGeom prst="rect">
          <a:avLst/>
        </a:prstGeom>
        <a:ln>
          <a:solidFill>
            <a:schemeClr val="bg2"/>
          </a:solidFill>
        </a:ln>
      </xdr:spPr>
    </xdr:pic>
    <xdr:clientData/>
  </xdr:twoCellAnchor>
  <xdr:twoCellAnchor editAs="oneCell">
    <xdr:from>
      <xdr:col>1</xdr:col>
      <xdr:colOff>95250</xdr:colOff>
      <xdr:row>66</xdr:row>
      <xdr:rowOff>19050</xdr:rowOff>
    </xdr:from>
    <xdr:to>
      <xdr:col>5</xdr:col>
      <xdr:colOff>1628332</xdr:colOff>
      <xdr:row>83</xdr:row>
      <xdr:rowOff>66305</xdr:rowOff>
    </xdr:to>
    <xdr:pic>
      <xdr:nvPicPr>
        <xdr:cNvPr id="4" name="図 3">
          <a:extLst>
            <a:ext uri="{FF2B5EF4-FFF2-40B4-BE49-F238E27FC236}">
              <a16:creationId xmlns:a16="http://schemas.microsoft.com/office/drawing/2014/main" id="{C8217F32-9536-4667-98EC-9F0D1FB90F48}"/>
            </a:ext>
          </a:extLst>
        </xdr:cNvPr>
        <xdr:cNvPicPr>
          <a:picLocks noChangeAspect="1"/>
        </xdr:cNvPicPr>
      </xdr:nvPicPr>
      <xdr:blipFill rotWithShape="1">
        <a:blip xmlns:r="http://schemas.openxmlformats.org/officeDocument/2006/relationships" r:embed="rId6"/>
        <a:srcRect l="7259"/>
        <a:stretch/>
      </xdr:blipFill>
      <xdr:spPr>
        <a:xfrm>
          <a:off x="428625" y="11782425"/>
          <a:ext cx="3285682" cy="296190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us1a.app.anaplan.com/frontdoor" TargetMode="External"/><Relationship Id="rId2" Type="http://schemas.openxmlformats.org/officeDocument/2006/relationships/hyperlink" Target="https://sdp.anaplan.com/frontdoor/saml/konicasaml" TargetMode="External"/><Relationship Id="rId1" Type="http://schemas.openxmlformats.org/officeDocument/2006/relationships/hyperlink" Target="mailto:BT_Sales_Planning01@gcp.konicaminolta.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3.bin"/><Relationship Id="rId4" Type="http://schemas.openxmlformats.org/officeDocument/2006/relationships/customProperty" Target="../customProperty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0"/>
  <sheetViews>
    <sheetView showGridLines="0" zoomScale="80" zoomScaleNormal="80" workbookViewId="0">
      <selection activeCell="K12" sqref="K12:K19"/>
    </sheetView>
  </sheetViews>
  <sheetFormatPr defaultColWidth="8.90625" defaultRowHeight="12.5"/>
  <cols>
    <col min="1" max="1" width="2.81640625" style="948" customWidth="1"/>
    <col min="2" max="2" width="4.453125" style="948" customWidth="1"/>
    <col min="3" max="6" width="8.453125" style="948" customWidth="1"/>
    <col min="7" max="16384" width="8.90625" style="948"/>
  </cols>
  <sheetData>
    <row r="1" spans="1:10" ht="20">
      <c r="A1" s="1770" t="s">
        <v>883</v>
      </c>
    </row>
    <row r="3" spans="1:10" ht="15.5">
      <c r="A3" s="967" t="s">
        <v>723</v>
      </c>
      <c r="C3" s="830"/>
      <c r="H3" s="1534" t="s">
        <v>713</v>
      </c>
      <c r="I3" s="1535" t="s">
        <v>674</v>
      </c>
      <c r="J3" s="1534" t="s">
        <v>709</v>
      </c>
    </row>
    <row r="4" spans="1:10" ht="14">
      <c r="B4" s="1536" t="s">
        <v>715</v>
      </c>
      <c r="C4" s="949"/>
      <c r="D4" s="950"/>
      <c r="E4" s="950"/>
      <c r="F4" s="950"/>
      <c r="G4" s="950"/>
      <c r="H4" s="950"/>
      <c r="I4" s="950"/>
      <c r="J4" s="1537"/>
    </row>
    <row r="5" spans="1:10">
      <c r="B5" s="951"/>
      <c r="C5" s="1538" t="s">
        <v>589</v>
      </c>
      <c r="D5" s="950"/>
      <c r="E5" s="950"/>
      <c r="F5" s="950"/>
      <c r="G5" s="1539"/>
      <c r="H5" s="1540" t="s">
        <v>707</v>
      </c>
      <c r="I5" s="1535" t="s">
        <v>707</v>
      </c>
      <c r="J5" s="1540" t="s">
        <v>707</v>
      </c>
    </row>
    <row r="6" spans="1:10">
      <c r="B6" s="951"/>
      <c r="C6" s="951" t="s">
        <v>700</v>
      </c>
      <c r="G6" s="957"/>
      <c r="H6" s="952" t="s">
        <v>429</v>
      </c>
      <c r="I6" s="956" t="s">
        <v>707</v>
      </c>
      <c r="J6" s="956" t="s">
        <v>707</v>
      </c>
    </row>
    <row r="7" spans="1:10">
      <c r="B7" s="951"/>
      <c r="C7" s="961" t="s">
        <v>714</v>
      </c>
      <c r="G7" s="957"/>
      <c r="H7" s="952" t="s">
        <v>429</v>
      </c>
      <c r="I7" s="956" t="s">
        <v>707</v>
      </c>
      <c r="J7" s="952" t="s">
        <v>707</v>
      </c>
    </row>
    <row r="8" spans="1:10">
      <c r="B8" s="951"/>
      <c r="C8" s="958" t="s">
        <v>594</v>
      </c>
      <c r="G8" s="957"/>
      <c r="H8" s="952" t="s">
        <v>429</v>
      </c>
      <c r="I8" s="956" t="s">
        <v>707</v>
      </c>
      <c r="J8" s="1026" t="s">
        <v>708</v>
      </c>
    </row>
    <row r="9" spans="1:10">
      <c r="B9" s="951"/>
      <c r="C9" s="951" t="s">
        <v>701</v>
      </c>
      <c r="G9" s="957"/>
      <c r="H9" s="952" t="s">
        <v>429</v>
      </c>
      <c r="I9" s="956" t="s">
        <v>707</v>
      </c>
      <c r="J9" s="952" t="s">
        <v>707</v>
      </c>
    </row>
    <row r="10" spans="1:10">
      <c r="B10" s="951"/>
      <c r="C10" s="951" t="s">
        <v>702</v>
      </c>
      <c r="G10" s="957"/>
      <c r="H10" s="952" t="s">
        <v>429</v>
      </c>
      <c r="I10" s="956" t="s">
        <v>707</v>
      </c>
      <c r="J10" s="952" t="s">
        <v>707</v>
      </c>
    </row>
    <row r="11" spans="1:10">
      <c r="B11" s="951"/>
      <c r="C11" s="951" t="s">
        <v>703</v>
      </c>
      <c r="G11" s="957"/>
      <c r="H11" s="952" t="s">
        <v>429</v>
      </c>
      <c r="I11" s="956" t="s">
        <v>707</v>
      </c>
      <c r="J11" s="952" t="s">
        <v>707</v>
      </c>
    </row>
    <row r="12" spans="1:10">
      <c r="B12" s="951"/>
      <c r="C12" s="951" t="s">
        <v>704</v>
      </c>
      <c r="G12" s="957"/>
      <c r="H12" s="952" t="s">
        <v>429</v>
      </c>
      <c r="I12" s="956" t="s">
        <v>707</v>
      </c>
      <c r="J12" s="952" t="s">
        <v>707</v>
      </c>
    </row>
    <row r="13" spans="1:10">
      <c r="B13" s="951"/>
      <c r="C13" s="951" t="s">
        <v>705</v>
      </c>
      <c r="G13" s="957"/>
      <c r="H13" s="952" t="s">
        <v>429</v>
      </c>
      <c r="I13" s="956" t="s">
        <v>707</v>
      </c>
      <c r="J13" s="1026" t="s">
        <v>708</v>
      </c>
    </row>
    <row r="14" spans="1:10">
      <c r="B14" s="951"/>
      <c r="C14" s="951" t="s">
        <v>693</v>
      </c>
      <c r="G14" s="957"/>
      <c r="H14" s="1025" t="s">
        <v>708</v>
      </c>
      <c r="I14" s="1025" t="s">
        <v>708</v>
      </c>
      <c r="J14" s="952" t="s">
        <v>707</v>
      </c>
    </row>
    <row r="15" spans="1:10">
      <c r="B15" s="951"/>
      <c r="C15" s="961" t="s">
        <v>714</v>
      </c>
      <c r="G15" s="957"/>
      <c r="H15" s="1025" t="s">
        <v>708</v>
      </c>
      <c r="I15" s="1025" t="s">
        <v>708</v>
      </c>
      <c r="J15" s="952" t="s">
        <v>707</v>
      </c>
    </row>
    <row r="16" spans="1:10">
      <c r="B16" s="951"/>
      <c r="C16" s="951" t="s">
        <v>729</v>
      </c>
      <c r="G16" s="957"/>
      <c r="H16" s="1025" t="s">
        <v>708</v>
      </c>
      <c r="I16" s="1025" t="s">
        <v>708</v>
      </c>
      <c r="J16" s="1025" t="s">
        <v>708</v>
      </c>
    </row>
    <row r="17" spans="1:10">
      <c r="B17" s="953"/>
      <c r="C17" s="1021" t="s">
        <v>786</v>
      </c>
      <c r="D17" s="954"/>
      <c r="E17" s="954"/>
      <c r="F17" s="954"/>
      <c r="G17" s="960"/>
      <c r="H17" s="1541" t="s">
        <v>429</v>
      </c>
      <c r="I17" s="1541" t="s">
        <v>429</v>
      </c>
      <c r="J17" s="955" t="s">
        <v>429</v>
      </c>
    </row>
    <row r="18" spans="1:10" ht="14">
      <c r="B18" s="1536" t="s">
        <v>716</v>
      </c>
      <c r="C18" s="949"/>
      <c r="D18" s="950"/>
      <c r="E18" s="950"/>
      <c r="F18" s="950"/>
      <c r="G18" s="950"/>
      <c r="H18" s="950"/>
      <c r="I18" s="950"/>
      <c r="J18" s="1537"/>
    </row>
    <row r="19" spans="1:10">
      <c r="B19" s="951"/>
      <c r="C19" s="1538" t="s">
        <v>706</v>
      </c>
      <c r="D19" s="950"/>
      <c r="E19" s="950"/>
      <c r="F19" s="950"/>
      <c r="G19" s="1539"/>
      <c r="H19" s="1540" t="s">
        <v>429</v>
      </c>
      <c r="I19" s="1542" t="s">
        <v>708</v>
      </c>
      <c r="J19" s="1540" t="s">
        <v>707</v>
      </c>
    </row>
    <row r="20" spans="1:10">
      <c r="B20" s="951"/>
      <c r="C20" s="951" t="s">
        <v>710</v>
      </c>
      <c r="G20" s="957"/>
      <c r="H20" s="952" t="s">
        <v>429</v>
      </c>
      <c r="I20" s="1025" t="s">
        <v>708</v>
      </c>
      <c r="J20" s="1025" t="s">
        <v>708</v>
      </c>
    </row>
    <row r="21" spans="1:10">
      <c r="B21" s="951"/>
      <c r="C21" s="951" t="s">
        <v>711</v>
      </c>
      <c r="G21" s="957"/>
      <c r="H21" s="952" t="s">
        <v>429</v>
      </c>
      <c r="I21" s="1025" t="s">
        <v>708</v>
      </c>
      <c r="J21" s="1025" t="s">
        <v>708</v>
      </c>
    </row>
    <row r="22" spans="1:10">
      <c r="B22" s="953"/>
      <c r="C22" s="953" t="s">
        <v>712</v>
      </c>
      <c r="D22" s="954"/>
      <c r="E22" s="954"/>
      <c r="F22" s="954"/>
      <c r="G22" s="960"/>
      <c r="H22" s="955" t="s">
        <v>429</v>
      </c>
      <c r="I22" s="1027" t="s">
        <v>708</v>
      </c>
      <c r="J22" s="1027" t="s">
        <v>708</v>
      </c>
    </row>
    <row r="25" spans="1:10" ht="15.5">
      <c r="A25" s="967" t="s">
        <v>724</v>
      </c>
    </row>
    <row r="26" spans="1:10" ht="13">
      <c r="B26" s="1049" t="s">
        <v>793</v>
      </c>
    </row>
    <row r="27" spans="1:10" ht="13">
      <c r="B27" s="1022" t="s">
        <v>821</v>
      </c>
    </row>
    <row r="29" spans="1:10" ht="13">
      <c r="B29" s="1008" t="s">
        <v>733</v>
      </c>
      <c r="H29" s="1023" t="s">
        <v>740</v>
      </c>
    </row>
    <row r="30" spans="1:10">
      <c r="C30" s="1007" t="s">
        <v>734</v>
      </c>
      <c r="D30" s="948" t="s">
        <v>739</v>
      </c>
      <c r="H30" s="1014" t="s">
        <v>741</v>
      </c>
    </row>
    <row r="31" spans="1:10">
      <c r="C31" s="1007"/>
      <c r="D31" s="948" t="s">
        <v>735</v>
      </c>
      <c r="H31" s="1013" t="s">
        <v>742</v>
      </c>
    </row>
    <row r="32" spans="1:10">
      <c r="C32" s="1007"/>
      <c r="D32" s="948" t="s">
        <v>736</v>
      </c>
      <c r="H32" s="1013" t="s">
        <v>743</v>
      </c>
    </row>
    <row r="33" spans="2:15">
      <c r="C33" s="1007" t="s">
        <v>734</v>
      </c>
      <c r="D33" s="948" t="s">
        <v>737</v>
      </c>
      <c r="H33" s="1014" t="s">
        <v>741</v>
      </c>
      <c r="K33" s="948" t="s">
        <v>738</v>
      </c>
    </row>
    <row r="34" spans="2:15">
      <c r="C34" s="1007" t="s">
        <v>830</v>
      </c>
      <c r="D34" s="948" t="s">
        <v>745</v>
      </c>
      <c r="H34" s="1013" t="s">
        <v>744</v>
      </c>
    </row>
    <row r="35" spans="2:15">
      <c r="D35" s="1543"/>
      <c r="E35" s="1537" t="s">
        <v>756</v>
      </c>
      <c r="F35" s="1537" t="s">
        <v>757</v>
      </c>
      <c r="H35" s="1013"/>
    </row>
    <row r="36" spans="2:15">
      <c r="D36" s="1544" t="s">
        <v>674</v>
      </c>
      <c r="E36" s="952" t="s">
        <v>747</v>
      </c>
      <c r="F36" s="1011" t="s">
        <v>741</v>
      </c>
      <c r="G36" s="1009" t="s">
        <v>748</v>
      </c>
      <c r="H36" s="1013"/>
    </row>
    <row r="37" spans="2:15" ht="13">
      <c r="D37" s="1545" t="s">
        <v>709</v>
      </c>
      <c r="E37" s="955" t="s">
        <v>746</v>
      </c>
      <c r="F37" s="955" t="s">
        <v>746</v>
      </c>
      <c r="G37" s="1009" t="s">
        <v>749</v>
      </c>
      <c r="H37" s="1013"/>
      <c r="K37" s="1022" t="s">
        <v>787</v>
      </c>
    </row>
    <row r="38" spans="2:15">
      <c r="H38" s="1013"/>
    </row>
    <row r="39" spans="2:15" ht="13">
      <c r="B39" s="1008" t="s">
        <v>750</v>
      </c>
      <c r="H39" s="1023" t="s">
        <v>753</v>
      </c>
    </row>
    <row r="40" spans="2:15">
      <c r="C40" s="1007" t="s">
        <v>831</v>
      </c>
      <c r="D40" s="948" t="s">
        <v>752</v>
      </c>
      <c r="H40" s="1013" t="s">
        <v>832</v>
      </c>
    </row>
    <row r="41" spans="2:15" ht="14.5">
      <c r="C41" s="1007"/>
      <c r="H41" s="1013"/>
      <c r="I41" s="1010" t="s">
        <v>754</v>
      </c>
      <c r="O41" s="948" t="s">
        <v>833</v>
      </c>
    </row>
    <row r="42" spans="2:15" ht="14.5">
      <c r="C42" s="1007"/>
      <c r="H42" s="1013" t="s">
        <v>834</v>
      </c>
      <c r="I42" s="1010"/>
    </row>
    <row r="43" spans="2:15" ht="14.5">
      <c r="C43" s="1007"/>
      <c r="H43" s="1013"/>
      <c r="I43" s="1010" t="s">
        <v>835</v>
      </c>
    </row>
    <row r="44" spans="2:15" ht="14.5">
      <c r="C44" s="1007"/>
      <c r="H44" s="1013"/>
      <c r="I44" s="1010"/>
    </row>
    <row r="45" spans="2:15" ht="14.5">
      <c r="C45" s="1007"/>
      <c r="D45" s="948" t="s">
        <v>755</v>
      </c>
      <c r="H45" s="1013" t="s">
        <v>762</v>
      </c>
      <c r="J45" s="1010"/>
    </row>
    <row r="46" spans="2:15">
      <c r="D46" s="1543"/>
      <c r="E46" s="1546" t="s">
        <v>760</v>
      </c>
      <c r="F46" s="1547"/>
      <c r="G46" s="1547"/>
      <c r="H46" s="1548"/>
      <c r="I46" s="1547"/>
      <c r="J46" s="1547"/>
      <c r="K46" s="1547"/>
      <c r="L46" s="1547"/>
      <c r="M46" s="1547"/>
      <c r="N46" s="1537"/>
    </row>
    <row r="47" spans="2:15">
      <c r="D47" s="1544" t="s">
        <v>674</v>
      </c>
      <c r="E47" s="951" t="s">
        <v>758</v>
      </c>
      <c r="F47" s="1549"/>
      <c r="G47" s="1009"/>
      <c r="H47" s="1013"/>
      <c r="N47" s="957"/>
    </row>
    <row r="48" spans="2:15">
      <c r="D48" s="1545" t="s">
        <v>709</v>
      </c>
      <c r="E48" s="953" t="s">
        <v>759</v>
      </c>
      <c r="F48" s="1012"/>
      <c r="G48" s="1012"/>
      <c r="H48" s="1015"/>
      <c r="I48" s="954"/>
      <c r="J48" s="954"/>
      <c r="K48" s="954"/>
      <c r="L48" s="954"/>
      <c r="M48" s="954"/>
      <c r="N48" s="960"/>
    </row>
    <row r="49" spans="2:14">
      <c r="C49" s="1007" t="s">
        <v>751</v>
      </c>
      <c r="D49" s="948" t="s">
        <v>763</v>
      </c>
      <c r="H49" s="1014" t="s">
        <v>794</v>
      </c>
    </row>
    <row r="50" spans="2:14">
      <c r="C50" s="1007" t="s">
        <v>836</v>
      </c>
      <c r="D50" s="948" t="s">
        <v>761</v>
      </c>
      <c r="H50" s="1014" t="s">
        <v>741</v>
      </c>
    </row>
    <row r="51" spans="2:14">
      <c r="C51" s="1007" t="s">
        <v>837</v>
      </c>
      <c r="D51" s="948" t="s">
        <v>771</v>
      </c>
      <c r="H51" s="1013" t="s">
        <v>764</v>
      </c>
    </row>
    <row r="52" spans="2:14">
      <c r="D52" s="1550" t="s">
        <v>765</v>
      </c>
      <c r="E52" s="1539"/>
      <c r="F52" s="1538" t="s">
        <v>768</v>
      </c>
      <c r="G52" s="950"/>
      <c r="H52" s="950"/>
      <c r="I52" s="950"/>
      <c r="J52" s="950"/>
      <c r="K52" s="950"/>
      <c r="L52" s="950"/>
      <c r="M52" s="950"/>
      <c r="N52" s="1539"/>
    </row>
    <row r="53" spans="2:14">
      <c r="D53" s="958" t="s">
        <v>766</v>
      </c>
      <c r="E53" s="957"/>
      <c r="F53" s="951" t="s">
        <v>769</v>
      </c>
      <c r="N53" s="957"/>
    </row>
    <row r="54" spans="2:14">
      <c r="D54" s="959" t="s">
        <v>767</v>
      </c>
      <c r="E54" s="960"/>
      <c r="F54" s="953" t="s">
        <v>770</v>
      </c>
      <c r="G54" s="954"/>
      <c r="H54" s="954"/>
      <c r="I54" s="954"/>
      <c r="J54" s="954"/>
      <c r="K54" s="954"/>
      <c r="L54" s="954"/>
      <c r="M54" s="954"/>
      <c r="N54" s="960"/>
    </row>
    <row r="56" spans="2:14" ht="13">
      <c r="B56" s="1008" t="s">
        <v>773</v>
      </c>
    </row>
    <row r="57" spans="2:14">
      <c r="C57" s="948" t="s">
        <v>788</v>
      </c>
      <c r="D57" s="1538" t="s">
        <v>726</v>
      </c>
      <c r="E57" s="950"/>
      <c r="F57" s="950"/>
      <c r="G57" s="1539"/>
      <c r="H57" s="1538" t="s">
        <v>838</v>
      </c>
      <c r="I57" s="950"/>
      <c r="J57" s="950"/>
      <c r="K57" s="950"/>
      <c r="L57" s="950"/>
      <c r="M57" s="950"/>
      <c r="N57" s="1539"/>
    </row>
    <row r="58" spans="2:14" ht="14.5">
      <c r="D58" s="951" t="s">
        <v>772</v>
      </c>
      <c r="G58" s="957"/>
      <c r="H58" s="969" t="s">
        <v>725</v>
      </c>
      <c r="N58" s="957"/>
    </row>
    <row r="59" spans="2:14">
      <c r="D59" s="953" t="s">
        <v>727</v>
      </c>
      <c r="E59" s="954"/>
      <c r="F59" s="954"/>
      <c r="G59" s="960"/>
      <c r="H59" s="953" t="s">
        <v>839</v>
      </c>
      <c r="I59" s="954"/>
      <c r="J59" s="954"/>
      <c r="K59" s="954"/>
      <c r="L59" s="954"/>
      <c r="M59" s="954"/>
      <c r="N59" s="960"/>
    </row>
    <row r="60" spans="2:14">
      <c r="B60" s="968"/>
      <c r="C60" s="948" t="s">
        <v>774</v>
      </c>
      <c r="K60" s="948" t="s">
        <v>789</v>
      </c>
    </row>
  </sheetData>
  <phoneticPr fontId="140"/>
  <hyperlinks>
    <hyperlink ref="H58" r:id="rId1" xr:uid="{0CEBD072-20AC-4810-A3C1-E0D13A1CB127}"/>
    <hyperlink ref="I41" r:id="rId2" xr:uid="{D0813627-B11E-45DE-9F57-4B454A5FAD13}"/>
    <hyperlink ref="I43" r:id="rId3" xr:uid="{A2DBBEFA-74D5-4624-AF77-17920F23507B}"/>
  </hyperlinks>
  <pageMargins left="0.25" right="0.25" top="0.5" bottom="0.28999999999999998" header="0.3" footer="0.17"/>
  <pageSetup paperSize="9" scale="97" fitToHeight="0"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4D9EC-B70F-420A-98DD-8648270C1E61}">
  <sheetPr>
    <pageSetUpPr fitToPage="1"/>
  </sheetPr>
  <dimension ref="A1:J33"/>
  <sheetViews>
    <sheetView showGridLines="0" zoomScale="80" zoomScaleNormal="80" workbookViewId="0">
      <selection activeCell="D1" sqref="D1"/>
    </sheetView>
  </sheetViews>
  <sheetFormatPr defaultColWidth="9" defaultRowHeight="14"/>
  <cols>
    <col min="1" max="1" width="2.90625" style="23" customWidth="1"/>
    <col min="2" max="2" width="12.36328125" style="23" bestFit="1" customWidth="1"/>
    <col min="3" max="3" width="18.453125" style="23" bestFit="1" customWidth="1"/>
    <col min="4" max="4" width="33.81640625" style="23" bestFit="1" customWidth="1"/>
    <col min="5" max="5" width="2.54296875" style="23" customWidth="1"/>
    <col min="6" max="6" width="35.1796875" style="23" customWidth="1"/>
    <col min="7" max="7" width="2.54296875" style="23" customWidth="1"/>
    <col min="8" max="8" width="38.36328125" style="23" bestFit="1" customWidth="1"/>
    <col min="9" max="9" width="2.54296875" style="23" customWidth="1"/>
    <col min="10" max="10" width="28.90625" style="23" bestFit="1" customWidth="1"/>
    <col min="11" max="11" width="2.90625" style="23" customWidth="1"/>
    <col min="12" max="16384" width="9" style="23"/>
  </cols>
  <sheetData>
    <row r="1" spans="1:10" ht="20">
      <c r="A1" s="3002" t="s">
        <v>1230</v>
      </c>
    </row>
    <row r="3" spans="1:10" s="434" customFormat="1" ht="18">
      <c r="D3" s="3003" t="s">
        <v>1231</v>
      </c>
      <c r="E3" s="3004"/>
      <c r="F3" s="3003" t="s">
        <v>1232</v>
      </c>
      <c r="G3" s="3004"/>
      <c r="H3" s="3003" t="s">
        <v>1233</v>
      </c>
      <c r="I3" s="3004"/>
      <c r="J3" s="3005" t="s">
        <v>1234</v>
      </c>
    </row>
    <row r="4" spans="1:10" ht="14.5" thickBot="1">
      <c r="H4" s="23" t="s">
        <v>1235</v>
      </c>
    </row>
    <row r="5" spans="1:10" ht="20.399999999999999" customHeight="1" thickBot="1">
      <c r="B5" s="3006"/>
      <c r="C5" s="3006" t="s">
        <v>1236</v>
      </c>
      <c r="D5" s="3007" t="s">
        <v>1237</v>
      </c>
      <c r="F5" s="3007" t="s">
        <v>1238</v>
      </c>
      <c r="H5" s="3007" t="s">
        <v>1239</v>
      </c>
      <c r="J5" s="3008" t="s">
        <v>1240</v>
      </c>
    </row>
    <row r="6" spans="1:10" ht="28">
      <c r="B6" s="3009" t="s">
        <v>1241</v>
      </c>
      <c r="C6" s="3010" t="s">
        <v>1242</v>
      </c>
      <c r="D6" s="3011" t="s">
        <v>1243</v>
      </c>
      <c r="F6" s="3012" t="s">
        <v>1244</v>
      </c>
      <c r="H6" s="3013" t="s">
        <v>1245</v>
      </c>
      <c r="J6" s="3014" t="s">
        <v>1244</v>
      </c>
    </row>
    <row r="7" spans="1:10">
      <c r="B7" s="3015" t="s">
        <v>1246</v>
      </c>
      <c r="C7" s="3016" t="s">
        <v>1247</v>
      </c>
      <c r="D7" s="3017">
        <v>45083</v>
      </c>
      <c r="F7" s="3018">
        <v>45084</v>
      </c>
      <c r="H7" s="3019">
        <v>45090</v>
      </c>
      <c r="J7" s="3020">
        <v>45084</v>
      </c>
    </row>
    <row r="8" spans="1:10" ht="28">
      <c r="B8" s="3015" t="s">
        <v>1248</v>
      </c>
      <c r="C8" s="3016" t="s">
        <v>1249</v>
      </c>
      <c r="D8" s="3011" t="s">
        <v>1250</v>
      </c>
      <c r="F8" s="3012">
        <v>45117</v>
      </c>
      <c r="H8" s="3013" t="s">
        <v>1251</v>
      </c>
      <c r="J8" s="3014">
        <v>45117</v>
      </c>
    </row>
    <row r="9" spans="1:10" ht="28">
      <c r="B9" s="3015" t="s">
        <v>1252</v>
      </c>
      <c r="C9" s="3016" t="s">
        <v>1253</v>
      </c>
      <c r="D9" s="3011">
        <v>45142</v>
      </c>
      <c r="F9" s="3012" t="s">
        <v>1254</v>
      </c>
      <c r="H9" s="3013" t="s">
        <v>1255</v>
      </c>
      <c r="J9" s="3014" t="s">
        <v>1254</v>
      </c>
    </row>
    <row r="10" spans="1:10" ht="28">
      <c r="B10" s="3015" t="s">
        <v>1256</v>
      </c>
      <c r="C10" s="3016" t="s">
        <v>1257</v>
      </c>
      <c r="D10" s="3021" t="s">
        <v>1258</v>
      </c>
      <c r="F10" s="3022" t="s">
        <v>1259</v>
      </c>
      <c r="H10" s="3023" t="s">
        <v>1260</v>
      </c>
      <c r="J10" s="3024" t="s">
        <v>1259</v>
      </c>
    </row>
    <row r="11" spans="1:10" ht="28">
      <c r="B11" s="3015" t="s">
        <v>1261</v>
      </c>
      <c r="C11" s="3016" t="s">
        <v>1262</v>
      </c>
      <c r="D11" s="3011">
        <v>45204</v>
      </c>
      <c r="F11" s="3012" t="s">
        <v>1263</v>
      </c>
      <c r="H11" s="3013" t="s">
        <v>1264</v>
      </c>
      <c r="J11" s="3014" t="s">
        <v>1263</v>
      </c>
    </row>
    <row r="12" spans="1:10" ht="28">
      <c r="B12" s="3015" t="s">
        <v>1265</v>
      </c>
      <c r="C12" s="3016" t="s">
        <v>1266</v>
      </c>
      <c r="D12" s="3011" t="s">
        <v>1267</v>
      </c>
      <c r="F12" s="3012" t="s">
        <v>1268</v>
      </c>
      <c r="H12" s="3013">
        <v>45243</v>
      </c>
      <c r="J12" s="3014" t="s">
        <v>1268</v>
      </c>
    </row>
    <row r="13" spans="1:10">
      <c r="B13" s="3015" t="s">
        <v>1269</v>
      </c>
      <c r="C13" s="3016" t="s">
        <v>1270</v>
      </c>
      <c r="D13" s="3017">
        <v>45266</v>
      </c>
      <c r="F13" s="3018">
        <v>45267</v>
      </c>
      <c r="H13" s="3019">
        <v>45273</v>
      </c>
      <c r="J13" s="3020">
        <v>45267</v>
      </c>
    </row>
    <row r="14" spans="1:10" ht="28">
      <c r="B14" s="3015" t="s">
        <v>1271</v>
      </c>
      <c r="C14" s="3016" t="s">
        <v>1272</v>
      </c>
      <c r="D14" s="3021" t="s">
        <v>1273</v>
      </c>
      <c r="F14" s="3022" t="s">
        <v>1274</v>
      </c>
      <c r="H14" s="3023" t="s">
        <v>1275</v>
      </c>
      <c r="J14" s="3024" t="s">
        <v>1276</v>
      </c>
    </row>
    <row r="15" spans="1:10">
      <c r="B15" s="3015" t="s">
        <v>1277</v>
      </c>
      <c r="C15" s="3016" t="s">
        <v>1278</v>
      </c>
      <c r="D15" s="3017">
        <v>45328</v>
      </c>
      <c r="F15" s="3018">
        <v>45329</v>
      </c>
      <c r="H15" s="3023">
        <v>45335</v>
      </c>
      <c r="J15" s="3020">
        <v>45329</v>
      </c>
    </row>
    <row r="16" spans="1:10">
      <c r="B16" s="3015" t="s">
        <v>1279</v>
      </c>
      <c r="C16" s="3016" t="s">
        <v>1280</v>
      </c>
      <c r="D16" s="3017">
        <v>45357</v>
      </c>
      <c r="F16" s="3018">
        <v>45358</v>
      </c>
      <c r="H16" s="3019">
        <v>45364</v>
      </c>
      <c r="J16" s="3020">
        <v>45358</v>
      </c>
    </row>
    <row r="17" spans="2:10">
      <c r="B17" s="3025" t="s">
        <v>1281</v>
      </c>
      <c r="C17" s="3026" t="s">
        <v>1282</v>
      </c>
      <c r="D17" s="3027">
        <v>45386</v>
      </c>
      <c r="F17" s="3028">
        <v>45391</v>
      </c>
      <c r="H17" s="3029">
        <v>45397</v>
      </c>
      <c r="J17" s="3030" t="s">
        <v>1283</v>
      </c>
    </row>
    <row r="20" spans="2:10" ht="16" thickBot="1">
      <c r="B20" s="738" t="s">
        <v>1284</v>
      </c>
      <c r="C20" s="69"/>
      <c r="D20" s="69"/>
      <c r="E20" s="69"/>
      <c r="F20" s="69"/>
      <c r="G20" s="69"/>
      <c r="I20" s="69"/>
      <c r="J20" s="69"/>
    </row>
    <row r="21" spans="2:10" ht="25.25" customHeight="1" thickBot="1">
      <c r="B21" s="3006"/>
      <c r="C21" s="3006" t="s">
        <v>1236</v>
      </c>
      <c r="D21" s="3031" t="s">
        <v>1285</v>
      </c>
      <c r="F21" s="3031" t="s">
        <v>1286</v>
      </c>
      <c r="J21" s="3008" t="s">
        <v>1240</v>
      </c>
    </row>
    <row r="22" spans="2:10">
      <c r="B22" s="3009" t="s">
        <v>1287</v>
      </c>
      <c r="C22" s="223" t="s">
        <v>1288</v>
      </c>
      <c r="D22" s="3032">
        <v>45047</v>
      </c>
      <c r="F22" s="3033">
        <v>45047</v>
      </c>
      <c r="J22" s="3014">
        <v>45047</v>
      </c>
    </row>
    <row r="23" spans="2:10">
      <c r="B23" s="3015" t="s">
        <v>1246</v>
      </c>
      <c r="C23" s="3034" t="s">
        <v>1247</v>
      </c>
      <c r="D23" s="3017">
        <v>45078</v>
      </c>
      <c r="F23" s="3018">
        <v>45078</v>
      </c>
      <c r="J23" s="3020">
        <v>45078</v>
      </c>
    </row>
    <row r="24" spans="2:10">
      <c r="B24" s="3015" t="s">
        <v>1248</v>
      </c>
      <c r="C24" s="3034" t="s">
        <v>1249</v>
      </c>
      <c r="D24" s="3017">
        <v>45110</v>
      </c>
      <c r="F24" s="3018">
        <v>45110</v>
      </c>
      <c r="J24" s="3014">
        <v>45110</v>
      </c>
    </row>
    <row r="25" spans="2:10">
      <c r="B25" s="3015" t="s">
        <v>1252</v>
      </c>
      <c r="C25" s="3034" t="s">
        <v>1289</v>
      </c>
      <c r="D25" s="3017">
        <v>45139</v>
      </c>
      <c r="F25" s="3018">
        <v>45139</v>
      </c>
      <c r="J25" s="3014">
        <v>45139</v>
      </c>
    </row>
    <row r="26" spans="2:10">
      <c r="B26" s="3015" t="s">
        <v>1256</v>
      </c>
      <c r="C26" s="3034" t="s">
        <v>1290</v>
      </c>
      <c r="D26" s="3017">
        <v>45170</v>
      </c>
      <c r="F26" s="3018">
        <v>45170</v>
      </c>
      <c r="J26" s="3024">
        <v>45170</v>
      </c>
    </row>
    <row r="27" spans="2:10">
      <c r="B27" s="3015" t="s">
        <v>1261</v>
      </c>
      <c r="C27" s="3034" t="s">
        <v>1291</v>
      </c>
      <c r="D27" s="3017">
        <v>45201</v>
      </c>
      <c r="F27" s="3018">
        <v>45201</v>
      </c>
      <c r="J27" s="3014">
        <v>45201</v>
      </c>
    </row>
    <row r="28" spans="2:10">
      <c r="B28" s="3015" t="s">
        <v>1265</v>
      </c>
      <c r="C28" s="3034" t="s">
        <v>1292</v>
      </c>
      <c r="D28" s="3017">
        <v>45231</v>
      </c>
      <c r="F28" s="3018">
        <v>45231</v>
      </c>
      <c r="J28" s="3014">
        <v>45231</v>
      </c>
    </row>
    <row r="29" spans="2:10">
      <c r="B29" s="3015" t="s">
        <v>1269</v>
      </c>
      <c r="C29" s="3034" t="s">
        <v>1293</v>
      </c>
      <c r="D29" s="3017">
        <v>45261</v>
      </c>
      <c r="F29" s="3018">
        <v>45261</v>
      </c>
      <c r="J29" s="3020">
        <v>45261</v>
      </c>
    </row>
    <row r="30" spans="2:10">
      <c r="B30" s="3015" t="s">
        <v>1271</v>
      </c>
      <c r="C30" s="3034" t="s">
        <v>1294</v>
      </c>
      <c r="D30" s="3017">
        <v>45294</v>
      </c>
      <c r="F30" s="3018">
        <v>45294</v>
      </c>
      <c r="J30" s="3024">
        <v>45294</v>
      </c>
    </row>
    <row r="31" spans="2:10">
      <c r="B31" s="3015" t="s">
        <v>1277</v>
      </c>
      <c r="C31" s="3034" t="s">
        <v>1295</v>
      </c>
      <c r="D31" s="3017">
        <v>45323</v>
      </c>
      <c r="F31" s="3018">
        <v>45323</v>
      </c>
      <c r="J31" s="3020">
        <v>45323</v>
      </c>
    </row>
    <row r="32" spans="2:10">
      <c r="B32" s="3015" t="s">
        <v>1279</v>
      </c>
      <c r="C32" s="3034" t="s">
        <v>1296</v>
      </c>
      <c r="D32" s="3017">
        <v>45352</v>
      </c>
      <c r="F32" s="3018">
        <v>45352</v>
      </c>
      <c r="J32" s="3020">
        <v>45352</v>
      </c>
    </row>
    <row r="33" spans="2:10">
      <c r="B33" s="3025" t="s">
        <v>1281</v>
      </c>
      <c r="C33" s="711" t="s">
        <v>1297</v>
      </c>
      <c r="D33" s="3035">
        <v>45383</v>
      </c>
      <c r="F33" s="3036">
        <v>45383</v>
      </c>
      <c r="J33" s="3030" t="s">
        <v>1283</v>
      </c>
    </row>
  </sheetData>
  <phoneticPr fontId="7"/>
  <pageMargins left="0.25" right="0.25" top="0.75" bottom="0.75" header="0.3" footer="0.3"/>
  <pageSetup paperSize="9" scale="48" orientation="landscape" r:id="rId1"/>
  <headerFooter>
    <oddFooter>&amp;C&amp;A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F0151-3313-409E-821D-D004A1542819}">
  <sheetPr>
    <tabColor rgb="FFFCF577"/>
  </sheetPr>
  <dimension ref="A1:BI1614"/>
  <sheetViews>
    <sheetView showGridLines="0" tabSelected="1" topLeftCell="F4" zoomScale="77" zoomScaleNormal="77" workbookViewId="0">
      <pane xSplit="13" ySplit="10" topLeftCell="S14" activePane="bottomRight" state="frozen"/>
      <selection activeCell="F4" sqref="F4"/>
      <selection pane="topRight" activeCell="S4" sqref="S4"/>
      <selection pane="bottomLeft" activeCell="F14" sqref="F14"/>
      <selection pane="bottomRight" activeCell="S14" sqref="S14"/>
    </sheetView>
  </sheetViews>
  <sheetFormatPr defaultColWidth="9" defaultRowHeight="14" outlineLevelRow="1" outlineLevelCol="1"/>
  <cols>
    <col min="1" max="1" width="5.54296875" style="1693" hidden="1" customWidth="1" outlineLevel="1"/>
    <col min="2" max="2" width="4.6328125" style="616" hidden="1" customWidth="1" outlineLevel="1"/>
    <col min="3" max="3" width="5.54296875" style="1693" hidden="1" customWidth="1" outlineLevel="1"/>
    <col min="4" max="4" width="4.6328125" style="616" hidden="1" customWidth="1" outlineLevel="1"/>
    <col min="5" max="5" width="3.36328125" style="8" hidden="1" customWidth="1" outlineLevel="1" collapsed="1"/>
    <col min="6" max="6" width="4.36328125" style="8" customWidth="1" collapsed="1"/>
    <col min="7" max="7" width="1.6328125" style="9" customWidth="1"/>
    <col min="8" max="8" width="1.81640625" style="9" customWidth="1"/>
    <col min="9" max="9" width="1.6328125" style="22" customWidth="1"/>
    <col min="10" max="10" width="4.6328125" style="9" customWidth="1"/>
    <col min="11" max="11" width="4" style="8" customWidth="1"/>
    <col min="12" max="12" width="3.08984375" style="9" customWidth="1"/>
    <col min="13" max="13" width="6.6328125" style="9" customWidth="1"/>
    <col min="14" max="14" width="5.90625" style="8" customWidth="1"/>
    <col min="15" max="15" width="7.08984375" style="8" customWidth="1"/>
    <col min="16" max="16" width="11.36328125" style="8" customWidth="1"/>
    <col min="17" max="17" width="27.36328125" style="8" bestFit="1" customWidth="1"/>
    <col min="18" max="18" width="58.1796875" style="1210" hidden="1" customWidth="1" outlineLevel="1"/>
    <col min="19" max="19" width="13" style="1210" customWidth="1" collapsed="1"/>
    <col min="20" max="20" width="10.6328125" style="1210" bestFit="1" customWidth="1"/>
    <col min="21" max="21" width="10.36328125" style="1210" bestFit="1" customWidth="1"/>
    <col min="22" max="22" width="10.26953125" style="1210" bestFit="1" customWidth="1"/>
    <col min="23" max="23" width="10.6328125" style="1210" bestFit="1" customWidth="1"/>
    <col min="24" max="24" width="10.453125" style="1210" bestFit="1" customWidth="1"/>
    <col min="25" max="25" width="10.26953125" style="1210" bestFit="1" customWidth="1"/>
    <col min="26" max="26" width="10.6328125" style="1210" bestFit="1" customWidth="1"/>
    <col min="27" max="27" width="10.453125" style="1210" bestFit="1" customWidth="1"/>
    <col min="28" max="28" width="10.26953125" style="1210" bestFit="1" customWidth="1"/>
    <col min="29" max="29" width="10.36328125" style="8" bestFit="1" customWidth="1"/>
    <col min="30" max="30" width="10.90625" style="8" bestFit="1" customWidth="1"/>
    <col min="31" max="32" width="12.1796875" style="8" bestFit="1" customWidth="1"/>
    <col min="33" max="34" width="11" style="8" customWidth="1"/>
    <col min="35" max="35" width="10.54296875" style="8" customWidth="1"/>
    <col min="36" max="36" width="10.90625" style="8" customWidth="1"/>
    <col min="37" max="37" width="11.81640625" style="8" bestFit="1" customWidth="1"/>
    <col min="38" max="38" width="7.1796875" style="8" bestFit="1" customWidth="1"/>
    <col min="39" max="39" width="11.81640625" style="8" customWidth="1" outlineLevel="1"/>
    <col min="40" max="40" width="10.1796875" style="8" customWidth="1" outlineLevel="1"/>
    <col min="41" max="41" width="10.90625" style="8" bestFit="1" customWidth="1" outlineLevel="1"/>
    <col min="42" max="42" width="9.54296875" style="8" customWidth="1" outlineLevel="1"/>
    <col min="43" max="43" width="9.81640625" style="8" customWidth="1" outlineLevel="1"/>
    <col min="44" max="44" width="10.1796875" style="8" customWidth="1" outlineLevel="1"/>
    <col min="45" max="45" width="9.81640625" style="8" customWidth="1" outlineLevel="1"/>
    <col min="46" max="46" width="2.81640625" style="8" customWidth="1" outlineLevel="1"/>
    <col min="47" max="47" width="9.81640625" style="8" customWidth="1" outlineLevel="1"/>
    <col min="48" max="48" width="10.1796875" style="8" customWidth="1" outlineLevel="1"/>
    <col min="49" max="49" width="11" style="8" customWidth="1" outlineLevel="1"/>
    <col min="50" max="50" width="9.54296875" style="8" customWidth="1" outlineLevel="1"/>
    <col min="51" max="51" width="9.81640625" style="8" customWidth="1" outlineLevel="1"/>
    <col min="52" max="52" width="10.1796875" style="8" customWidth="1" outlineLevel="1"/>
    <col min="53" max="53" width="9.81640625" style="8" customWidth="1" outlineLevel="1"/>
    <col min="54" max="54" width="2.81640625" style="8" customWidth="1" outlineLevel="1"/>
    <col min="55" max="56" width="11.54296875" style="8" customWidth="1" outlineLevel="1"/>
    <col min="57" max="57" width="11" style="8" customWidth="1" outlineLevel="1"/>
    <col min="58" max="58" width="10.81640625" style="8" customWidth="1" outlineLevel="1"/>
    <col min="59" max="59" width="11.54296875" style="8" customWidth="1" outlineLevel="1"/>
    <col min="60" max="60" width="11.81640625" style="8" customWidth="1" outlineLevel="1"/>
    <col min="61" max="61" width="9.81640625" style="8" customWidth="1" outlineLevel="1"/>
    <col min="62" max="16384" width="9" style="8"/>
  </cols>
  <sheetData>
    <row r="1" spans="1:61" s="617" customFormat="1" hidden="1" outlineLevel="1">
      <c r="A1" s="1693"/>
      <c r="B1" s="616"/>
      <c r="C1" s="1693"/>
      <c r="D1" s="616"/>
      <c r="G1" s="618"/>
      <c r="H1" s="618"/>
      <c r="I1" s="618"/>
      <c r="J1" s="618"/>
      <c r="L1" s="618"/>
      <c r="M1" s="618"/>
      <c r="R1" s="619"/>
      <c r="S1" s="619"/>
      <c r="T1" s="619"/>
      <c r="U1" s="619"/>
      <c r="V1" s="619"/>
      <c r="W1" s="619"/>
      <c r="X1" s="619"/>
      <c r="Y1" s="619"/>
      <c r="Z1" s="619"/>
      <c r="AA1" s="619"/>
      <c r="AB1" s="619"/>
      <c r="AN1" s="2668" t="s">
        <v>974</v>
      </c>
      <c r="AO1" s="2669"/>
      <c r="AP1" s="2669"/>
      <c r="AQ1" s="2668" t="s">
        <v>975</v>
      </c>
      <c r="AS1" s="2669"/>
      <c r="AV1" s="2668" t="str">
        <f>AN1</f>
        <v>'OP'!</v>
      </c>
      <c r="AW1" s="2669"/>
      <c r="AX1" s="2669"/>
      <c r="AY1" s="2668" t="str">
        <f>AQ1</f>
        <v>'Previous'!</v>
      </c>
      <c r="BA1" s="2669"/>
      <c r="BD1" s="2668" t="str">
        <f>AN1</f>
        <v>'OP'!</v>
      </c>
      <c r="BE1" s="2669"/>
      <c r="BF1" s="2669"/>
      <c r="BG1" s="2668" t="str">
        <f>AQ1</f>
        <v>'Previous'!</v>
      </c>
      <c r="BI1" s="2669"/>
    </row>
    <row r="2" spans="1:61" s="617" customFormat="1" hidden="1" outlineLevel="1">
      <c r="A2" s="1693"/>
      <c r="B2" s="616"/>
      <c r="C2" s="1693"/>
      <c r="D2" s="616"/>
      <c r="G2" s="618"/>
      <c r="H2" s="618"/>
      <c r="I2" s="618"/>
      <c r="J2" s="618"/>
      <c r="L2" s="618"/>
      <c r="M2" s="618"/>
      <c r="R2" s="619"/>
      <c r="S2" s="619"/>
      <c r="T2" s="619"/>
      <c r="U2" s="619"/>
      <c r="V2" s="619"/>
      <c r="W2" s="619"/>
      <c r="X2" s="619"/>
      <c r="Y2" s="619"/>
      <c r="Z2" s="619"/>
      <c r="AA2" s="619"/>
      <c r="AB2" s="619"/>
      <c r="AM2" s="2670" t="str">
        <f>VLOOKUP($AM$7,Work1!$F$6:$I$17,2,0)</f>
        <v>S</v>
      </c>
      <c r="AN2" s="2670" t="str">
        <f>VLOOKUP($AM$7,Work1!$F$6:$I$17,3,0)</f>
        <v>X</v>
      </c>
      <c r="AQ2" s="2670" t="str">
        <f>VLOOKUP($AM$7,Work1!$F$6:$I$17,4,0)</f>
        <v>R</v>
      </c>
      <c r="AU2" s="2670" t="str">
        <f>VLOOKUP($AM$7,Work1!$K$6:$Q$17,2,0)</f>
        <v>S</v>
      </c>
      <c r="AV2" s="2670" t="str">
        <f>VLOOKUP($AM$7,Work1!$K$6:$Q$17,3,0)</f>
        <v>X</v>
      </c>
      <c r="AY2" s="2670" t="str">
        <f>VLOOKUP($AM$7,Work1!$K$6:$Q$17,4,0)</f>
        <v>R</v>
      </c>
      <c r="BC2" s="2670" t="str">
        <f>VLOOKUP($AM$7,Work1!$K$6:$Q$17,5,0)</f>
        <v>S</v>
      </c>
      <c r="BD2" s="2670" t="str">
        <f>VLOOKUP($AM$7,Work1!$K$6:$Q$17,6,0)</f>
        <v>X</v>
      </c>
      <c r="BG2" s="2670" t="str">
        <f>VLOOKUP($AM$7,Work1!$K$6:$Q$17,7,0)</f>
        <v>R</v>
      </c>
    </row>
    <row r="3" spans="1:61" s="617" customFormat="1" hidden="1" outlineLevel="1">
      <c r="A3" s="1693"/>
      <c r="B3" s="616"/>
      <c r="C3" s="1693"/>
      <c r="D3" s="616"/>
      <c r="G3" s="618"/>
      <c r="H3" s="618"/>
      <c r="I3" s="618"/>
      <c r="J3" s="618"/>
      <c r="L3" s="618"/>
      <c r="M3" s="618"/>
      <c r="R3" s="619"/>
      <c r="S3" s="619"/>
      <c r="T3" s="619"/>
      <c r="U3" s="619"/>
      <c r="V3" s="619"/>
      <c r="W3" s="619"/>
      <c r="X3" s="619"/>
      <c r="Y3" s="619"/>
      <c r="Z3" s="619"/>
      <c r="AA3" s="619"/>
      <c r="AB3" s="619"/>
      <c r="AM3" s="2670" t="str">
        <f>AM2</f>
        <v>S</v>
      </c>
      <c r="AN3" s="2670" t="str">
        <f>AN2</f>
        <v>X</v>
      </c>
      <c r="AQ3" s="2670" t="str">
        <f>AQ2</f>
        <v>R</v>
      </c>
      <c r="AU3" s="2670" t="str">
        <f>VLOOKUP($AM$7,Work1!$K$22:$Q$33,2,0)</f>
        <v>S</v>
      </c>
      <c r="AV3" s="2670" t="str">
        <f>VLOOKUP($AM$7,Work1!$K$22:$Q$33,3,0)</f>
        <v>X</v>
      </c>
      <c r="AY3" s="2670" t="str">
        <f>VLOOKUP($AM$7,Work1!$K$22:$Q$33,4,0)</f>
        <v>R</v>
      </c>
      <c r="BC3" s="2670" t="str">
        <f>VLOOKUP($AM$7,Work1!$K$22:$Q$33,5,0)</f>
        <v>S</v>
      </c>
      <c r="BD3" s="2670" t="str">
        <f>VLOOKUP($AM$7,Work1!$K$22:$Q$33,6,0)</f>
        <v>X</v>
      </c>
      <c r="BG3" s="2670" t="str">
        <f>VLOOKUP($AM$7,Work1!$K$22:$Q$33,7,0)</f>
        <v>R</v>
      </c>
    </row>
    <row r="4" spans="1:61" s="168" customFormat="1" ht="13" customHeight="1" collapsed="1">
      <c r="A4" s="1696" t="s">
        <v>844</v>
      </c>
      <c r="B4" s="1697"/>
      <c r="C4" s="1696" t="s">
        <v>890</v>
      </c>
      <c r="D4" s="1860"/>
      <c r="F4" s="1710" t="s">
        <v>881</v>
      </c>
      <c r="H4" s="239"/>
      <c r="I4" s="451"/>
      <c r="J4" s="196"/>
      <c r="L4" s="170"/>
      <c r="M4" s="170"/>
      <c r="Q4" s="1692" t="s">
        <v>157</v>
      </c>
      <c r="R4" s="1123" t="s">
        <v>1229</v>
      </c>
      <c r="S4" s="190" t="s">
        <v>85</v>
      </c>
      <c r="T4" s="1210"/>
      <c r="U4" s="1210"/>
      <c r="V4" s="1210"/>
      <c r="W4" s="1210"/>
      <c r="X4" s="1210"/>
      <c r="Y4" s="1210"/>
      <c r="Z4" s="1210"/>
      <c r="AA4" s="1210"/>
      <c r="AB4" s="1210"/>
      <c r="AC4" s="1210"/>
      <c r="AD4" s="1210"/>
      <c r="AE4" s="1210"/>
      <c r="AF4" s="1566"/>
      <c r="AG4" s="1566"/>
      <c r="AM4" s="2671" t="s">
        <v>976</v>
      </c>
      <c r="AN4" s="2672"/>
      <c r="AO4" s="2672"/>
      <c r="AQ4" s="2673" t="s">
        <v>977</v>
      </c>
    </row>
    <row r="5" spans="1:61" s="168" customFormat="1" ht="8" customHeight="1">
      <c r="A5" s="1694"/>
      <c r="B5" s="620"/>
      <c r="C5" s="1694"/>
      <c r="D5" s="620"/>
      <c r="I5" s="452"/>
      <c r="J5" s="731"/>
      <c r="K5" s="731"/>
      <c r="L5" s="170"/>
      <c r="M5" s="170"/>
      <c r="R5" s="1123" t="s">
        <v>889</v>
      </c>
      <c r="S5" s="1210"/>
      <c r="T5" s="1210"/>
      <c r="U5" s="1028"/>
      <c r="V5" s="1028"/>
      <c r="W5" s="1210"/>
      <c r="X5" s="1210"/>
      <c r="Y5" s="1210"/>
      <c r="Z5" s="1210"/>
      <c r="AA5" s="1210"/>
      <c r="AB5" s="1210"/>
    </row>
    <row r="6" spans="1:61" s="168" customFormat="1" ht="18">
      <c r="A6" s="1694"/>
      <c r="B6" s="620"/>
      <c r="C6" s="1694"/>
      <c r="D6" s="620"/>
      <c r="E6" s="709" t="s">
        <v>512</v>
      </c>
      <c r="F6" s="1572"/>
      <c r="G6" s="240"/>
      <c r="H6" s="240"/>
      <c r="I6" s="452"/>
      <c r="J6" s="728" t="str">
        <f>VLOOKUP(Q4,Work1!C6:D32,2,0)</f>
        <v>K_INR</v>
      </c>
      <c r="K6" s="729"/>
      <c r="L6" s="730"/>
      <c r="M6" s="190" t="s">
        <v>85</v>
      </c>
      <c r="N6" s="194"/>
      <c r="O6" s="194"/>
      <c r="Q6" s="169" t="s">
        <v>65</v>
      </c>
      <c r="R6" s="1123" t="s">
        <v>886</v>
      </c>
      <c r="S6" s="8" t="str">
        <f>R4</f>
        <v>Last Refresh: 2023/04/10 13:51:13</v>
      </c>
      <c r="T6" s="725"/>
      <c r="U6" s="1210"/>
      <c r="V6" s="1210"/>
      <c r="W6" s="1210"/>
      <c r="X6" s="1210"/>
      <c r="Y6" s="1210"/>
      <c r="Z6" s="1210"/>
      <c r="AA6" s="1210"/>
      <c r="AB6" s="1210"/>
      <c r="AJ6" s="970"/>
      <c r="AM6" s="170" t="s">
        <v>978</v>
      </c>
    </row>
    <row r="7" spans="1:61" s="168" customFormat="1" ht="18">
      <c r="A7" s="1694"/>
      <c r="B7" s="620"/>
      <c r="C7" s="1694"/>
      <c r="D7" s="620"/>
      <c r="E7" s="709"/>
      <c r="F7" s="1572"/>
      <c r="G7" s="240"/>
      <c r="H7" s="240"/>
      <c r="I7" s="452"/>
      <c r="M7" s="194"/>
      <c r="N7" s="194"/>
      <c r="O7" s="194"/>
      <c r="Q7" s="494" t="s">
        <v>345</v>
      </c>
      <c r="R7" s="1123" t="s">
        <v>887</v>
      </c>
      <c r="S7" s="8" t="str">
        <f>IF(S12="","","Last Send and Refresh:"&amp;TEXT(S12," YYYY/MM/DD HH:MM:SS"))</f>
        <v>Last Send and Refresh: 2023/04/10 13:50:31</v>
      </c>
      <c r="T7" s="725"/>
      <c r="U7" s="1210"/>
      <c r="V7" s="1210"/>
      <c r="W7" s="1210"/>
      <c r="X7" s="1210"/>
      <c r="Y7" s="1210"/>
      <c r="Z7" s="1210"/>
      <c r="AA7" s="1210"/>
      <c r="AB7" s="1210"/>
      <c r="AC7" s="2564"/>
      <c r="AJ7" s="970"/>
      <c r="AM7" s="2674" t="s">
        <v>1691</v>
      </c>
      <c r="AN7" s="2675" t="s">
        <v>979</v>
      </c>
      <c r="AO7" s="8"/>
      <c r="AP7" s="8"/>
      <c r="AQ7" s="8"/>
      <c r="AR7" s="8"/>
      <c r="AS7" s="8"/>
      <c r="AT7" s="8"/>
    </row>
    <row r="8" spans="1:61" s="168" customFormat="1" ht="24.5" hidden="1" customHeight="1">
      <c r="A8" s="1694"/>
      <c r="B8" s="620"/>
      <c r="C8" s="1694"/>
      <c r="D8" s="620"/>
      <c r="E8" s="709"/>
      <c r="F8" s="1572"/>
      <c r="G8" s="240"/>
      <c r="H8" s="55" t="s">
        <v>310</v>
      </c>
      <c r="I8" s="55"/>
      <c r="J8" s="453"/>
      <c r="K8" s="4"/>
      <c r="M8" s="194"/>
      <c r="N8" s="194"/>
      <c r="O8" s="194"/>
      <c r="R8" s="1123" t="s">
        <v>987</v>
      </c>
      <c r="AM8" s="170"/>
    </row>
    <row r="9" spans="1:61" s="168" customFormat="1" ht="18" hidden="1">
      <c r="A9" s="1694"/>
      <c r="B9" s="620"/>
      <c r="C9" s="1694"/>
      <c r="D9" s="620"/>
      <c r="E9" s="709"/>
      <c r="F9" s="1572"/>
      <c r="G9" s="240"/>
      <c r="H9" s="8"/>
      <c r="I9" s="367" t="s">
        <v>86</v>
      </c>
      <c r="J9" s="22"/>
      <c r="K9" s="35"/>
      <c r="M9" s="194"/>
      <c r="N9" s="194"/>
      <c r="O9" s="194"/>
      <c r="R9" s="1123" t="s">
        <v>888</v>
      </c>
      <c r="S9" s="3440"/>
      <c r="T9" s="725"/>
      <c r="U9" s="1366"/>
      <c r="V9" s="1366"/>
      <c r="W9" s="1366"/>
      <c r="X9" s="1366"/>
      <c r="Y9" s="1366"/>
      <c r="Z9" s="1366"/>
      <c r="AA9" s="1366"/>
      <c r="AB9" s="1366"/>
      <c r="AC9" s="1699"/>
      <c r="AD9" s="1699"/>
      <c r="AE9" s="1699"/>
      <c r="AF9" s="1699"/>
      <c r="AG9" s="1699"/>
      <c r="AH9" s="1699"/>
      <c r="AI9" s="1699"/>
      <c r="AJ9" s="1700"/>
      <c r="AK9" s="1699"/>
      <c r="AM9" s="2676" t="s">
        <v>980</v>
      </c>
      <c r="AN9" s="2677"/>
      <c r="AO9" s="2677"/>
      <c r="AP9" s="2677"/>
      <c r="AQ9" s="2677"/>
      <c r="AR9" s="2678"/>
      <c r="AS9" s="2678"/>
      <c r="AT9" s="8"/>
      <c r="AU9" s="2676" t="s">
        <v>981</v>
      </c>
      <c r="AV9" s="2677"/>
      <c r="AW9" s="2677"/>
      <c r="AX9" s="2677"/>
      <c r="AY9" s="2677"/>
      <c r="AZ9" s="2678"/>
      <c r="BA9" s="2678"/>
      <c r="BB9" s="8"/>
      <c r="BC9" s="2676" t="s">
        <v>982</v>
      </c>
      <c r="BD9" s="2677"/>
      <c r="BE9" s="2677"/>
      <c r="BF9" s="2677"/>
      <c r="BG9" s="2677"/>
      <c r="BH9" s="2678"/>
      <c r="BI9" s="2678"/>
    </row>
    <row r="10" spans="1:61" ht="17" hidden="1" customHeight="1" outlineLevel="1">
      <c r="F10" s="1588"/>
      <c r="L10" s="195"/>
      <c r="M10" s="195"/>
      <c r="O10" s="167"/>
      <c r="P10" s="166"/>
      <c r="R10" s="165"/>
      <c r="S10" s="1855" t="str">
        <f>CHOOSE(2, "5450160030", "Apr 23")</f>
        <v>Apr 23</v>
      </c>
      <c r="T10" s="1856" t="str">
        <f>CHOOSE(2, "5450460031", "May 23")</f>
        <v>May 23</v>
      </c>
      <c r="U10" s="1857" t="str">
        <f>CHOOSE(2, "5450770030", "Jun 23")</f>
        <v>Jun 23</v>
      </c>
      <c r="V10" s="1857" t="str">
        <f>CHOOSE(2, "5451070031", "Jul 23")</f>
        <v>Jul 23</v>
      </c>
      <c r="W10" s="1857" t="str">
        <f>CHOOSE(2, "5451380031", "Aug 23")</f>
        <v>Aug 23</v>
      </c>
      <c r="X10" s="1857" t="str">
        <f>CHOOSE(2, "5451690030", "Sep 23")</f>
        <v>Sep 23</v>
      </c>
      <c r="Y10" s="1857" t="str">
        <f>CHOOSE(2, "5451990031", "Oct 23")</f>
        <v>Oct 23</v>
      </c>
      <c r="Z10" s="1857" t="str">
        <f>CHOOSE(2, "5452300030", "Nov 23")</f>
        <v>Nov 23</v>
      </c>
      <c r="AA10" s="1857" t="str">
        <f>CHOOSE(2, "5452600031", "Dec 23")</f>
        <v>Dec 23</v>
      </c>
      <c r="AB10" s="1857" t="str">
        <f>CHOOSE(2, "5452910031", "Jan 24")</f>
        <v>Jan 24</v>
      </c>
      <c r="AC10" s="1857" t="str">
        <f>CHOOSE(2, "5453220029", "Feb 24")</f>
        <v>Feb 24</v>
      </c>
      <c r="AD10" s="1857" t="str">
        <f>CHOOSE(2, "5453510031", "Mar 24")</f>
        <v>Mar 24</v>
      </c>
    </row>
    <row r="11" spans="1:61" ht="22.5" hidden="1" customHeight="1" outlineLevel="1">
      <c r="E11" s="709" t="s">
        <v>512</v>
      </c>
      <c r="F11" s="1587" t="s">
        <v>512</v>
      </c>
      <c r="K11" s="3"/>
      <c r="L11" s="35"/>
      <c r="M11" s="35"/>
      <c r="N11" s="36"/>
      <c r="O11" s="36"/>
      <c r="P11" s="36"/>
      <c r="Q11" s="36"/>
      <c r="R11" s="1772" t="str">
        <f>CHOOSE(2, "6722000002631", "1. P/L (1) - Overview")</f>
        <v>1. P/L (1) - Overview</v>
      </c>
      <c r="S11" s="1859">
        <f ca="1">NOW()</f>
        <v>45391.85464513889</v>
      </c>
      <c r="T11" s="1124"/>
      <c r="U11" s="1124"/>
      <c r="V11" s="1124"/>
      <c r="W11" s="1124"/>
      <c r="X11" s="1124"/>
      <c r="Y11" s="1124"/>
      <c r="Z11" s="1124"/>
      <c r="AA11" s="1124"/>
      <c r="AB11" s="1124"/>
      <c r="AC11" s="1124"/>
      <c r="AD11" s="1124"/>
      <c r="AE11" s="164"/>
    </row>
    <row r="12" spans="1:61" ht="14.5" hidden="1" outlineLevel="1" collapsed="1">
      <c r="E12" s="709" t="s">
        <v>512</v>
      </c>
      <c r="F12" s="1587" t="s">
        <v>512</v>
      </c>
      <c r="K12" s="36"/>
      <c r="L12" s="35"/>
      <c r="M12" s="35"/>
      <c r="N12" s="36"/>
      <c r="O12" s="61"/>
      <c r="P12" s="36"/>
      <c r="Q12" s="36"/>
      <c r="R12" s="1773" t="str">
        <f>CHOOSE(2, "6722000002630", "1-1. P/L Statement")</f>
        <v>1-1. P/L Statement</v>
      </c>
      <c r="S12" s="1858" t="s">
        <v>1228</v>
      </c>
      <c r="T12" s="1858"/>
      <c r="U12" s="1858"/>
      <c r="V12" s="1858"/>
      <c r="W12" s="1858"/>
      <c r="X12" s="1858"/>
      <c r="Y12" s="1123"/>
      <c r="Z12" s="1123"/>
      <c r="AA12" s="1123"/>
      <c r="AB12" s="1123"/>
      <c r="AC12" s="1123"/>
      <c r="AD12" s="1123"/>
      <c r="AI12" s="163"/>
      <c r="AJ12" s="163"/>
      <c r="AK12" s="163"/>
    </row>
    <row r="13" spans="1:61" ht="14.5" collapsed="1">
      <c r="E13" s="709" t="s">
        <v>512</v>
      </c>
      <c r="F13" s="1572"/>
      <c r="G13" s="81"/>
      <c r="H13" s="81"/>
      <c r="I13" s="12"/>
      <c r="J13" s="53"/>
      <c r="K13" s="51"/>
      <c r="L13" s="52"/>
      <c r="M13" s="52"/>
      <c r="N13" s="51"/>
      <c r="O13" s="51"/>
      <c r="P13" s="51"/>
      <c r="Q13" s="447"/>
      <c r="R13" s="1773" t="str">
        <f>CHOOSE(2, "6722000002629", "▷ Blank 0")</f>
        <v>▷ Blank 0</v>
      </c>
      <c r="S13" s="732">
        <f>IF($Q$4="BBR",Work1!D2, Work1!D3)</f>
        <v>45017</v>
      </c>
      <c r="T13" s="732">
        <f>DATE(YEAR(S13),MONTH(S13)+1,DAY(S13))</f>
        <v>45047</v>
      </c>
      <c r="U13" s="732">
        <f t="shared" ref="U13:AC13" si="0">DATE(YEAR(T13),MONTH(T13)+1,DAY(T13))</f>
        <v>45078</v>
      </c>
      <c r="V13" s="732">
        <f t="shared" si="0"/>
        <v>45108</v>
      </c>
      <c r="W13" s="732">
        <f t="shared" si="0"/>
        <v>45139</v>
      </c>
      <c r="X13" s="732">
        <f t="shared" si="0"/>
        <v>45170</v>
      </c>
      <c r="Y13" s="732">
        <f t="shared" si="0"/>
        <v>45200</v>
      </c>
      <c r="Z13" s="732">
        <f t="shared" si="0"/>
        <v>45231</v>
      </c>
      <c r="AA13" s="732">
        <f t="shared" si="0"/>
        <v>45261</v>
      </c>
      <c r="AB13" s="732">
        <f t="shared" si="0"/>
        <v>45292</v>
      </c>
      <c r="AC13" s="732">
        <f t="shared" si="0"/>
        <v>45323</v>
      </c>
      <c r="AD13" s="732">
        <f>DATE(YEAR(AC13),MONTH(AC13)+1,DAY(AC13))</f>
        <v>45352</v>
      </c>
      <c r="AE13" s="1704" t="s">
        <v>822</v>
      </c>
      <c r="AF13" s="1705" t="s">
        <v>36</v>
      </c>
      <c r="AG13" s="1705" t="s">
        <v>35</v>
      </c>
      <c r="AH13" s="1705" t="s">
        <v>34</v>
      </c>
      <c r="AI13" s="1705" t="s">
        <v>33</v>
      </c>
      <c r="AJ13" s="1705" t="s">
        <v>32</v>
      </c>
      <c r="AK13" s="1705" t="s">
        <v>845</v>
      </c>
      <c r="AM13" s="2679" t="s">
        <v>983</v>
      </c>
      <c r="AN13" s="2680" t="s">
        <v>920</v>
      </c>
      <c r="AO13" s="2680" t="s">
        <v>984</v>
      </c>
      <c r="AP13" s="2680" t="s">
        <v>985</v>
      </c>
      <c r="AQ13" s="2680" t="s">
        <v>844</v>
      </c>
      <c r="AR13" s="2681" t="s">
        <v>986</v>
      </c>
      <c r="AS13" s="2681" t="s">
        <v>985</v>
      </c>
      <c r="AU13" s="2679" t="s">
        <v>983</v>
      </c>
      <c r="AV13" s="2680" t="s">
        <v>920</v>
      </c>
      <c r="AW13" s="2680" t="s">
        <v>984</v>
      </c>
      <c r="AX13" s="2680" t="s">
        <v>985</v>
      </c>
      <c r="AY13" s="2680" t="s">
        <v>844</v>
      </c>
      <c r="AZ13" s="2681" t="s">
        <v>986</v>
      </c>
      <c r="BA13" s="2681" t="s">
        <v>985</v>
      </c>
      <c r="BC13" s="2679" t="s">
        <v>983</v>
      </c>
      <c r="BD13" s="2680" t="s">
        <v>920</v>
      </c>
      <c r="BE13" s="2680" t="s">
        <v>984</v>
      </c>
      <c r="BF13" s="2680" t="s">
        <v>985</v>
      </c>
      <c r="BG13" s="2680" t="s">
        <v>844</v>
      </c>
      <c r="BH13" s="2681" t="s">
        <v>986</v>
      </c>
      <c r="BI13" s="2681" t="s">
        <v>985</v>
      </c>
    </row>
    <row r="14" spans="1:61" ht="14.5">
      <c r="A14" s="1693">
        <v>14</v>
      </c>
      <c r="B14" s="616">
        <v>1</v>
      </c>
      <c r="C14" s="1693">
        <v>14</v>
      </c>
      <c r="D14" s="616">
        <v>1</v>
      </c>
      <c r="E14" s="709" t="s">
        <v>512</v>
      </c>
      <c r="F14" s="1572"/>
      <c r="G14" s="81"/>
      <c r="H14" s="81"/>
      <c r="I14" s="12"/>
      <c r="J14" s="150" t="s">
        <v>0</v>
      </c>
      <c r="K14" s="145"/>
      <c r="L14" s="145"/>
      <c r="M14" s="145"/>
      <c r="N14" s="145"/>
      <c r="O14" s="145"/>
      <c r="P14" s="145"/>
      <c r="Q14" s="546"/>
      <c r="R14" s="1774" t="str">
        <f>CHOOSE(2, "6722000002628", "PL Statement Net Sales")</f>
        <v>PL Statement Net Sales</v>
      </c>
      <c r="S14" s="1294">
        <f t="shared" ref="S14:AD14" si="1">S79+S353+S154+S208+S290</f>
        <v>1110462</v>
      </c>
      <c r="T14" s="1294">
        <f t="shared" si="1"/>
        <v>995339.46228000021</v>
      </c>
      <c r="U14" s="1294">
        <f t="shared" si="1"/>
        <v>906113.29396000016</v>
      </c>
      <c r="V14" s="1294">
        <f t="shared" si="1"/>
        <v>844507.30103000009</v>
      </c>
      <c r="W14" s="1294">
        <f t="shared" si="1"/>
        <v>986309.25832000002</v>
      </c>
      <c r="X14" s="1294">
        <f t="shared" si="1"/>
        <v>1071798.60635</v>
      </c>
      <c r="Y14" s="1294">
        <f t="shared" si="1"/>
        <v>907524.40463</v>
      </c>
      <c r="Z14" s="1294">
        <f t="shared" si="1"/>
        <v>899943.86205999996</v>
      </c>
      <c r="AA14" s="1294">
        <f t="shared" si="1"/>
        <v>956990.63972999994</v>
      </c>
      <c r="AB14" s="1294">
        <f t="shared" si="1"/>
        <v>986488.18738000002</v>
      </c>
      <c r="AC14" s="1294">
        <f t="shared" si="1"/>
        <v>1023180.98511</v>
      </c>
      <c r="AD14" s="1294">
        <f t="shared" si="1"/>
        <v>1004203.1276199999</v>
      </c>
      <c r="AE14" s="548">
        <f>SUM(S14,T14,U14)</f>
        <v>3011914.75624</v>
      </c>
      <c r="AF14" s="148">
        <f>SUM(V14,W14,X14)</f>
        <v>2902615.1657000002</v>
      </c>
      <c r="AG14" s="148">
        <f>SUM(Y14,Z14,AA14)</f>
        <v>2764458.9064199999</v>
      </c>
      <c r="AH14" s="148">
        <f>SUM(AB14,AC14,AD14)</f>
        <v>3013872.3001100002</v>
      </c>
      <c r="AI14" s="148">
        <f>AE14+AF14</f>
        <v>5914529.9219400007</v>
      </c>
      <c r="AJ14" s="148">
        <f>AH14+AG14</f>
        <v>5778331.2065300001</v>
      </c>
      <c r="AK14" s="148">
        <f>AI14+AJ14</f>
        <v>11692861.12847</v>
      </c>
      <c r="AM14" s="1884">
        <f ca="1">SUM((INDIRECT(AM$2&amp;(ROW())):INDIRECT(AM$3&amp;(ROW()))))</f>
        <v>1110462</v>
      </c>
      <c r="AN14" s="1884">
        <f ca="1">SUM(INDIRECT(AN$1&amp;AN$2&amp;$C14):INDIRECT(AN$1&amp;AN$3&amp;$C14))</f>
        <v>941049.21058490593</v>
      </c>
      <c r="AO14" s="2682">
        <f ca="1">AM14-AN14</f>
        <v>169412.78941509407</v>
      </c>
      <c r="AP14" s="2683">
        <f ca="1">IFERROR(AM14/AN14,0)</f>
        <v>1.1800254306677502</v>
      </c>
      <c r="AQ14" s="1884">
        <f ca="1">SUM(INDIRECT(AQ$1&amp;AQ$2&amp;$A14):INDIRECT(AQ$1&amp;AQ$3&amp;$A14))+SUM(INDIRECT(AQ$1&amp;AQ$2&amp;$B14):INDIRECT(AQ$1&amp;AQ$3&amp;$B14))</f>
        <v>649255</v>
      </c>
      <c r="AR14" s="2682">
        <f t="shared" ref="AR14:AR36" ca="1" si="2">AM14-AQ14</f>
        <v>461207</v>
      </c>
      <c r="AS14" s="2683">
        <f t="shared" ref="AS14:AS17" ca="1" si="3">IFERROR(AM14/AQ14,0)</f>
        <v>1.7103634165312551</v>
      </c>
      <c r="AU14" s="1884">
        <f ca="1">SUM((INDIRECT(AU$2&amp;(ROW())):INDIRECT(AU$3&amp;(ROW()))))</f>
        <v>1110462</v>
      </c>
      <c r="AV14" s="1884">
        <f ca="1">SUM(INDIRECT(AV$1&amp;AV$2&amp;$C14):INDIRECT(AV$1&amp;AV$3&amp;$C14))</f>
        <v>941049.21058490593</v>
      </c>
      <c r="AW14" s="2682">
        <f t="shared" ref="AW14:AW36" ca="1" si="4">AU14-AV14</f>
        <v>169412.78941509407</v>
      </c>
      <c r="AX14" s="2683">
        <f t="shared" ref="AX14:AX17" ca="1" si="5">IFERROR(AU14/AV14,0)</f>
        <v>1.1800254306677502</v>
      </c>
      <c r="AY14" s="1884">
        <f ca="1">SUM(INDIRECT(AY$1&amp;AY$2&amp;$A14):INDIRECT(AY$1&amp;AY$3&amp;$A14))+SUM(INDIRECT(AY$1&amp;AY$2&amp;$B14):INDIRECT(AY$1&amp;AY$3&amp;$B14))</f>
        <v>649255</v>
      </c>
      <c r="AZ14" s="2682">
        <f t="shared" ref="AZ14:AZ36" ca="1" si="6">AU14-AY14</f>
        <v>461207</v>
      </c>
      <c r="BA14" s="2683">
        <f t="shared" ref="BA14:BA17" ca="1" si="7">IFERROR(AU14/AY14,0)</f>
        <v>1.7103634165312551</v>
      </c>
      <c r="BC14" s="1884">
        <f ca="1">SUM((INDIRECT(BC$2&amp;(ROW())):INDIRECT(BC$3&amp;(ROW()))))</f>
        <v>1110462</v>
      </c>
      <c r="BD14" s="1884">
        <f ca="1">SUM(INDIRECT(BD$1&amp;BD$2&amp;$C14):INDIRECT(BD$1&amp;BD$3&amp;$C14))</f>
        <v>941049.21058490593</v>
      </c>
      <c r="BE14" s="2682">
        <f t="shared" ref="BE14:BE36" ca="1" si="8">BC14-BD14</f>
        <v>169412.78941509407</v>
      </c>
      <c r="BF14" s="2683">
        <f t="shared" ref="BF14:BF17" ca="1" si="9">IFERROR(BC14/BD14,0)</f>
        <v>1.1800254306677502</v>
      </c>
      <c r="BG14" s="1884">
        <f ca="1">SUM(INDIRECT(BG$1&amp;BG$2&amp;$A14):INDIRECT(BG$1&amp;BG$3&amp;$A14))+SUM(INDIRECT(BG$1&amp;BG$2&amp;$B14):INDIRECT(BG$1&amp;BG$3&amp;$B14))</f>
        <v>649255</v>
      </c>
      <c r="BH14" s="2682">
        <f t="shared" ref="BH14:BH36" ca="1" si="10">BC14-BG14</f>
        <v>461207</v>
      </c>
      <c r="BI14" s="2683">
        <f t="shared" ref="BI14:BI17" ca="1" si="11">IFERROR(BC14/BG14,0)</f>
        <v>1.7103634165312551</v>
      </c>
    </row>
    <row r="15" spans="1:61" ht="14.5">
      <c r="A15" s="1693">
        <f>A14+1</f>
        <v>15</v>
      </c>
      <c r="B15" s="616">
        <v>1</v>
      </c>
      <c r="C15" s="1693">
        <f t="shared" ref="C15:C78" si="12">C14+1</f>
        <v>15</v>
      </c>
      <c r="D15" s="616">
        <v>1</v>
      </c>
      <c r="E15" s="709" t="s">
        <v>512</v>
      </c>
      <c r="F15" s="1572"/>
      <c r="G15" s="81"/>
      <c r="H15" s="81"/>
      <c r="J15" s="148" t="s">
        <v>49</v>
      </c>
      <c r="K15" s="147"/>
      <c r="L15" s="147"/>
      <c r="M15" s="146"/>
      <c r="N15" s="145"/>
      <c r="O15" s="145"/>
      <c r="P15" s="145"/>
      <c r="Q15" s="546"/>
      <c r="R15" s="1774" t="str">
        <f>CHOOSE(2, "6722000002627", "PL Statement BT Cons. Sales")</f>
        <v>PL Statement BT Cons. Sales</v>
      </c>
      <c r="S15" s="1294">
        <f t="shared" ref="S15:AD15" si="13">S80+S363+S159+S223+S300</f>
        <v>1110462</v>
      </c>
      <c r="T15" s="1293">
        <f t="shared" si="13"/>
        <v>995340.14428000012</v>
      </c>
      <c r="U15" s="1293">
        <f t="shared" si="13"/>
        <v>906113.29396000016</v>
      </c>
      <c r="V15" s="1293">
        <f t="shared" si="13"/>
        <v>844507.70503000007</v>
      </c>
      <c r="W15" s="1293">
        <f t="shared" si="13"/>
        <v>986308.97132000001</v>
      </c>
      <c r="X15" s="1293">
        <f t="shared" si="13"/>
        <v>1071798.7603500001</v>
      </c>
      <c r="Y15" s="1293">
        <f t="shared" si="13"/>
        <v>907524.13763000001</v>
      </c>
      <c r="Z15" s="1293">
        <f t="shared" si="13"/>
        <v>899943.86205999996</v>
      </c>
      <c r="AA15" s="1293">
        <f t="shared" si="13"/>
        <v>956990.63972999994</v>
      </c>
      <c r="AB15" s="1293">
        <f t="shared" si="13"/>
        <v>986488.18738000002</v>
      </c>
      <c r="AC15" s="1293">
        <f t="shared" si="13"/>
        <v>1023180.98511</v>
      </c>
      <c r="AD15" s="1293">
        <f t="shared" si="13"/>
        <v>1004203.1276199999</v>
      </c>
      <c r="AE15" s="548">
        <f>SUM(S15,T15,U15)</f>
        <v>3011915.43824</v>
      </c>
      <c r="AF15" s="144">
        <f>SUM(V15,W15,X15)</f>
        <v>2902615.4367000004</v>
      </c>
      <c r="AG15" s="144">
        <f>SUM(Y15,Z15,AA15)</f>
        <v>2764458.6394199999</v>
      </c>
      <c r="AH15" s="144">
        <f>SUM(AB15,AC15,AD15)</f>
        <v>3013872.3001100002</v>
      </c>
      <c r="AI15" s="144">
        <f>AE15+AF15</f>
        <v>5914530.8749400005</v>
      </c>
      <c r="AJ15" s="144">
        <f>AH15+AG15</f>
        <v>5778330.9395300001</v>
      </c>
      <c r="AK15" s="144">
        <f>AI15+AJ15</f>
        <v>11692861.814470001</v>
      </c>
      <c r="AM15" s="1884">
        <f ca="1">SUM((INDIRECT(AM$2&amp;(ROW())):INDIRECT(AM$3&amp;(ROW()))))</f>
        <v>1110462</v>
      </c>
      <c r="AN15" s="1885">
        <f ca="1">SUM(INDIRECT(AN$1&amp;AN$2&amp;$C15):INDIRECT(AN$1&amp;AN$3&amp;$C15))</f>
        <v>941049.21058490593</v>
      </c>
      <c r="AO15" s="2684">
        <f t="shared" ref="AO15:AO36" ca="1" si="14">AM15-AN15</f>
        <v>169412.78941509407</v>
      </c>
      <c r="AP15" s="2685">
        <f t="shared" ref="AP15:AP35" ca="1" si="15">IFERROR(AM15/AN15,0)</f>
        <v>1.1800254306677502</v>
      </c>
      <c r="AQ15" s="1885">
        <f ca="1">SUM(INDIRECT(AQ$1&amp;AQ$2&amp;$A15):INDIRECT(AQ$1&amp;AQ$3&amp;$A15))+SUM(INDIRECT(AQ$1&amp;AQ$2&amp;$B15):INDIRECT(AQ$1&amp;AQ$3&amp;$B15))</f>
        <v>648073</v>
      </c>
      <c r="AR15" s="2684">
        <f t="shared" ca="1" si="2"/>
        <v>462389</v>
      </c>
      <c r="AS15" s="2685">
        <f t="shared" ca="1" si="3"/>
        <v>1.7134828946739025</v>
      </c>
      <c r="AU15" s="1884">
        <f ca="1">SUM((INDIRECT(AU$2&amp;(ROW())):INDIRECT(AU$3&amp;(ROW()))))</f>
        <v>1110462</v>
      </c>
      <c r="AV15" s="1885">
        <f ca="1">SUM(INDIRECT(AV$1&amp;AV$2&amp;$C15):INDIRECT(AV$1&amp;AV$3&amp;$C15))</f>
        <v>941049.21058490593</v>
      </c>
      <c r="AW15" s="2684">
        <f t="shared" ca="1" si="4"/>
        <v>169412.78941509407</v>
      </c>
      <c r="AX15" s="2685">
        <f t="shared" ca="1" si="5"/>
        <v>1.1800254306677502</v>
      </c>
      <c r="AY15" s="1885">
        <f ca="1">SUM(INDIRECT(AY$1&amp;AY$2&amp;$A15):INDIRECT(AY$1&amp;AY$3&amp;$A15))+SUM(INDIRECT(AY$1&amp;AY$2&amp;$B15):INDIRECT(AY$1&amp;AY$3&amp;$B15))</f>
        <v>648073</v>
      </c>
      <c r="AZ15" s="2684">
        <f t="shared" ca="1" si="6"/>
        <v>462389</v>
      </c>
      <c r="BA15" s="2685">
        <f t="shared" ca="1" si="7"/>
        <v>1.7134828946739025</v>
      </c>
      <c r="BC15" s="1884">
        <f ca="1">SUM((INDIRECT(BC$2&amp;(ROW())):INDIRECT(BC$3&amp;(ROW()))))</f>
        <v>1110462</v>
      </c>
      <c r="BD15" s="1885">
        <f ca="1">SUM(INDIRECT(BD$1&amp;BD$2&amp;$C15):INDIRECT(BD$1&amp;BD$3&amp;$C15))</f>
        <v>941049.21058490593</v>
      </c>
      <c r="BE15" s="2684">
        <f t="shared" ca="1" si="8"/>
        <v>169412.78941509407</v>
      </c>
      <c r="BF15" s="2685">
        <f t="shared" ca="1" si="9"/>
        <v>1.1800254306677502</v>
      </c>
      <c r="BG15" s="1885">
        <f ca="1">SUM(INDIRECT(BG$1&amp;BG$2&amp;$A15):INDIRECT(BG$1&amp;BG$3&amp;$A15))+SUM(INDIRECT(BG$1&amp;BG$2&amp;$B15):INDIRECT(BG$1&amp;BG$3&amp;$B15))</f>
        <v>648073</v>
      </c>
      <c r="BH15" s="2684">
        <f t="shared" ca="1" si="10"/>
        <v>462389</v>
      </c>
      <c r="BI15" s="2685">
        <f t="shared" ca="1" si="11"/>
        <v>1.7134828946739025</v>
      </c>
    </row>
    <row r="16" spans="1:61" ht="14.5">
      <c r="A16" s="1693">
        <f t="shared" ref="A16:A79" si="16">A15+1</f>
        <v>16</v>
      </c>
      <c r="B16" s="616">
        <v>1</v>
      </c>
      <c r="C16" s="1693">
        <f t="shared" si="12"/>
        <v>16</v>
      </c>
      <c r="D16" s="616">
        <v>1</v>
      </c>
      <c r="E16" s="709" t="s">
        <v>512</v>
      </c>
      <c r="F16" s="1572"/>
      <c r="G16" s="81"/>
      <c r="H16" s="81"/>
      <c r="I16" s="12"/>
      <c r="J16" s="53" t="s">
        <v>37</v>
      </c>
      <c r="K16" s="51"/>
      <c r="L16" s="52"/>
      <c r="M16" s="52"/>
      <c r="N16" s="51"/>
      <c r="O16" s="51"/>
      <c r="P16" s="51"/>
      <c r="Q16" s="447"/>
      <c r="R16" s="1775" t="str">
        <f>CHOOSE(2, "6722000002626", "PL Statement Cost of Sales")</f>
        <v>PL Statement Cost of Sales</v>
      </c>
      <c r="S16" s="1198">
        <f>S14-S17</f>
        <v>705289</v>
      </c>
      <c r="T16" s="1198">
        <f t="shared" ref="T16:AD16" si="17">T14-T17</f>
        <v>684483.67945583351</v>
      </c>
      <c r="U16" s="1198">
        <f t="shared" si="17"/>
        <v>622030.68512791686</v>
      </c>
      <c r="V16" s="1198">
        <f t="shared" si="17"/>
        <v>582012.76488697913</v>
      </c>
      <c r="W16" s="1198">
        <f t="shared" si="17"/>
        <v>696271.07302183867</v>
      </c>
      <c r="X16" s="1198">
        <f t="shared" si="17"/>
        <v>733242.61681827484</v>
      </c>
      <c r="Y16" s="1198">
        <f t="shared" si="17"/>
        <v>634209.72363499983</v>
      </c>
      <c r="Z16" s="1198">
        <f t="shared" si="17"/>
        <v>580906.96190845582</v>
      </c>
      <c r="AA16" s="1198">
        <f t="shared" si="17"/>
        <v>644297.45720593736</v>
      </c>
      <c r="AB16" s="1198">
        <f t="shared" si="17"/>
        <v>663311.56428916659</v>
      </c>
      <c r="AC16" s="1198">
        <f t="shared" si="17"/>
        <v>642779.04581936286</v>
      </c>
      <c r="AD16" s="1198">
        <f t="shared" si="17"/>
        <v>724852.59951584053</v>
      </c>
      <c r="AE16" s="1595">
        <f>SUM(S16,T16,U16)</f>
        <v>2011803.3645837503</v>
      </c>
      <c r="AF16" s="1596">
        <f>SUM(V16,W16,X16)</f>
        <v>2011526.4547270928</v>
      </c>
      <c r="AG16" s="1596">
        <f>SUM(Y16,Z16,AA16)</f>
        <v>1859414.1427493929</v>
      </c>
      <c r="AH16" s="1596">
        <f>SUM(AB16,AC16,AD16)</f>
        <v>2030943.2096243701</v>
      </c>
      <c r="AI16" s="1596">
        <f>AE16+AF16</f>
        <v>4023329.819310843</v>
      </c>
      <c r="AJ16" s="1596">
        <f>AH16+AG16</f>
        <v>3890357.352373763</v>
      </c>
      <c r="AK16" s="1596">
        <f>AI16+AJ16</f>
        <v>7913687.171684606</v>
      </c>
      <c r="AM16" s="2548">
        <f ca="1">SUM((INDIRECT(AM$2&amp;(ROW())):INDIRECT(AM$3&amp;(ROW()))))</f>
        <v>705289</v>
      </c>
      <c r="AN16" s="2548">
        <f ca="1">SUM(INDIRECT(AN$1&amp;AN$2&amp;$C16):INDIRECT(AN$1&amp;AN$3&amp;$C16))</f>
        <v>602625.6842851832</v>
      </c>
      <c r="AO16" s="2686">
        <f t="shared" ca="1" si="14"/>
        <v>102663.3157148168</v>
      </c>
      <c r="AP16" s="2687">
        <f t="shared" ca="1" si="15"/>
        <v>1.1703600068699245</v>
      </c>
      <c r="AQ16" s="2548">
        <f ca="1">SUM(INDIRECT(AQ$1&amp;AQ$2&amp;$A16):INDIRECT(AQ$1&amp;AQ$3&amp;$A16))+SUM(INDIRECT(AQ$1&amp;AQ$2&amp;$B16):INDIRECT(AQ$1&amp;AQ$3&amp;$B16))</f>
        <v>442381</v>
      </c>
      <c r="AR16" s="2686">
        <f t="shared" ca="1" si="2"/>
        <v>262908</v>
      </c>
      <c r="AS16" s="2687">
        <f t="shared" ca="1" si="3"/>
        <v>1.5943021965229067</v>
      </c>
      <c r="AU16" s="2548">
        <f ca="1">SUM((INDIRECT(AU$2&amp;(ROW())):INDIRECT(AU$3&amp;(ROW()))))</f>
        <v>705289</v>
      </c>
      <c r="AV16" s="2548">
        <f ca="1">SUM(INDIRECT(AV$1&amp;AV$2&amp;$C16):INDIRECT(AV$1&amp;AV$3&amp;$C16))</f>
        <v>602625.6842851832</v>
      </c>
      <c r="AW16" s="2686">
        <f t="shared" ca="1" si="4"/>
        <v>102663.3157148168</v>
      </c>
      <c r="AX16" s="2687">
        <f t="shared" ca="1" si="5"/>
        <v>1.1703600068699245</v>
      </c>
      <c r="AY16" s="2548">
        <f ca="1">SUM(INDIRECT(AY$1&amp;AY$2&amp;$A16):INDIRECT(AY$1&amp;AY$3&amp;$A16))+SUM(INDIRECT(AY$1&amp;AY$2&amp;$B16):INDIRECT(AY$1&amp;AY$3&amp;$B16))</f>
        <v>442381</v>
      </c>
      <c r="AZ16" s="2686">
        <f t="shared" ca="1" si="6"/>
        <v>262908</v>
      </c>
      <c r="BA16" s="2687">
        <f t="shared" ca="1" si="7"/>
        <v>1.5943021965229067</v>
      </c>
      <c r="BC16" s="2548">
        <f ca="1">SUM((INDIRECT(BC$2&amp;(ROW())):INDIRECT(BC$3&amp;(ROW()))))</f>
        <v>705289</v>
      </c>
      <c r="BD16" s="2548">
        <f ca="1">SUM(INDIRECT(BD$1&amp;BD$2&amp;$C16):INDIRECT(BD$1&amp;BD$3&amp;$C16))</f>
        <v>602625.6842851832</v>
      </c>
      <c r="BE16" s="2686">
        <f t="shared" ca="1" si="8"/>
        <v>102663.3157148168</v>
      </c>
      <c r="BF16" s="2687">
        <f t="shared" ca="1" si="9"/>
        <v>1.1703600068699245</v>
      </c>
      <c r="BG16" s="2548">
        <f ca="1">SUM(INDIRECT(BG$1&amp;BG$2&amp;$A16):INDIRECT(BG$1&amp;BG$3&amp;$A16))+SUM(INDIRECT(BG$1&amp;BG$2&amp;$B16):INDIRECT(BG$1&amp;BG$3&amp;$B16))</f>
        <v>442381</v>
      </c>
      <c r="BH16" s="2686">
        <f t="shared" ca="1" si="10"/>
        <v>262908</v>
      </c>
      <c r="BI16" s="2687">
        <f t="shared" ca="1" si="11"/>
        <v>1.5943021965229067</v>
      </c>
    </row>
    <row r="17" spans="1:61" ht="14.5">
      <c r="A17" s="1693">
        <f t="shared" si="16"/>
        <v>17</v>
      </c>
      <c r="B17" s="616">
        <v>1</v>
      </c>
      <c r="C17" s="1693">
        <f t="shared" si="12"/>
        <v>17</v>
      </c>
      <c r="D17" s="616">
        <v>1</v>
      </c>
      <c r="E17" s="709" t="s">
        <v>512</v>
      </c>
      <c r="F17" s="1572"/>
      <c r="G17" s="81"/>
      <c r="H17" s="81"/>
      <c r="I17" s="12"/>
      <c r="J17" s="161" t="s">
        <v>54</v>
      </c>
      <c r="K17" s="160"/>
      <c r="L17" s="160"/>
      <c r="M17" s="160"/>
      <c r="N17" s="160"/>
      <c r="O17" s="160"/>
      <c r="P17" s="160"/>
      <c r="Q17" s="861"/>
      <c r="R17" s="1774" t="str">
        <f>CHOOSE(2, "6722000002625", "PL Statement Gross Profit")</f>
        <v>PL Statement Gross Profit</v>
      </c>
      <c r="S17" s="1302">
        <f t="shared" ref="S17:AD17" si="18">S81+S373+S176+S238+S310</f>
        <v>405173</v>
      </c>
      <c r="T17" s="1302">
        <f t="shared" si="18"/>
        <v>310855.78282416664</v>
      </c>
      <c r="U17" s="1302">
        <f t="shared" si="18"/>
        <v>284082.60883208329</v>
      </c>
      <c r="V17" s="1302">
        <f t="shared" si="18"/>
        <v>262494.53614302096</v>
      </c>
      <c r="W17" s="1302">
        <f t="shared" si="18"/>
        <v>290038.18529816129</v>
      </c>
      <c r="X17" s="1302">
        <f t="shared" si="18"/>
        <v>338555.98953172524</v>
      </c>
      <c r="Y17" s="1302">
        <f t="shared" si="18"/>
        <v>273314.68099500018</v>
      </c>
      <c r="Z17" s="1302">
        <f t="shared" si="18"/>
        <v>319036.90015154413</v>
      </c>
      <c r="AA17" s="1302">
        <f t="shared" si="18"/>
        <v>312693.18252406258</v>
      </c>
      <c r="AB17" s="1302">
        <f t="shared" si="18"/>
        <v>323176.62309083337</v>
      </c>
      <c r="AC17" s="1302">
        <f t="shared" si="18"/>
        <v>380401.93929063715</v>
      </c>
      <c r="AD17" s="1302">
        <f t="shared" si="18"/>
        <v>279350.5281041594</v>
      </c>
      <c r="AE17" s="875">
        <f>SUM(S17,T17,U17)</f>
        <v>1000111.3916562499</v>
      </c>
      <c r="AF17" s="158">
        <f>SUM(V17,W17,X17)</f>
        <v>891088.71097290749</v>
      </c>
      <c r="AG17" s="158">
        <f>SUM(Y17,Z17,AA17)</f>
        <v>905044.76367060689</v>
      </c>
      <c r="AH17" s="158">
        <f>SUM(AB17,AC17,AD17)</f>
        <v>982929.09048562997</v>
      </c>
      <c r="AI17" s="158">
        <f>AE17+AF17</f>
        <v>1891200.1026291572</v>
      </c>
      <c r="AJ17" s="158">
        <f>AH17+AG17</f>
        <v>1887973.8541562369</v>
      </c>
      <c r="AK17" s="158">
        <f>AI17+AJ17</f>
        <v>3779173.9567853939</v>
      </c>
      <c r="AM17" s="1893">
        <f ca="1">SUM((INDIRECT(AM$2&amp;(ROW())):INDIRECT(AM$3&amp;(ROW()))))</f>
        <v>405173</v>
      </c>
      <c r="AN17" s="1893">
        <f ca="1">SUM(INDIRECT(AN$1&amp;AN$2&amp;$C17):INDIRECT(AN$1&amp;AN$3&amp;$C17))</f>
        <v>338423.52629972278</v>
      </c>
      <c r="AO17" s="2688">
        <f t="shared" ca="1" si="14"/>
        <v>66749.473700277216</v>
      </c>
      <c r="AP17" s="2689">
        <f t="shared" ca="1" si="15"/>
        <v>1.1972365054820715</v>
      </c>
      <c r="AQ17" s="1893">
        <f ca="1">SUM(INDIRECT(AQ$1&amp;AQ$2&amp;$A17):INDIRECT(AQ$1&amp;AQ$3&amp;$A17))+SUM(INDIRECT(AQ$1&amp;AQ$2&amp;$B17):INDIRECT(AQ$1&amp;AQ$3&amp;$B17))</f>
        <v>206874</v>
      </c>
      <c r="AR17" s="2688">
        <f t="shared" ca="1" si="2"/>
        <v>198299</v>
      </c>
      <c r="AS17" s="2689">
        <f t="shared" ca="1" si="3"/>
        <v>1.9585496485783618</v>
      </c>
      <c r="AU17" s="1893">
        <f ca="1">SUM((INDIRECT(AU$2&amp;(ROW())):INDIRECT(AU$3&amp;(ROW()))))</f>
        <v>405173</v>
      </c>
      <c r="AV17" s="1893">
        <f ca="1">SUM(INDIRECT(AV$1&amp;AV$2&amp;$C17):INDIRECT(AV$1&amp;AV$3&amp;$C17))</f>
        <v>338423.52629972278</v>
      </c>
      <c r="AW17" s="2688">
        <f t="shared" ca="1" si="4"/>
        <v>66749.473700277216</v>
      </c>
      <c r="AX17" s="2689">
        <f t="shared" ca="1" si="5"/>
        <v>1.1972365054820715</v>
      </c>
      <c r="AY17" s="1893">
        <f ca="1">SUM(INDIRECT(AY$1&amp;AY$2&amp;$A17):INDIRECT(AY$1&amp;AY$3&amp;$A17))+SUM(INDIRECT(AY$1&amp;AY$2&amp;$B17):INDIRECT(AY$1&amp;AY$3&amp;$B17))</f>
        <v>206874</v>
      </c>
      <c r="AZ17" s="2688">
        <f t="shared" ca="1" si="6"/>
        <v>198299</v>
      </c>
      <c r="BA17" s="2689">
        <f t="shared" ca="1" si="7"/>
        <v>1.9585496485783618</v>
      </c>
      <c r="BC17" s="1893">
        <f ca="1">SUM((INDIRECT(BC$2&amp;(ROW())):INDIRECT(BC$3&amp;(ROW()))))</f>
        <v>405173</v>
      </c>
      <c r="BD17" s="1893">
        <f ca="1">SUM(INDIRECT(BD$1&amp;BD$2&amp;$C17):INDIRECT(BD$1&amp;BD$3&amp;$C17))</f>
        <v>338423.52629972278</v>
      </c>
      <c r="BE17" s="2688">
        <f t="shared" ca="1" si="8"/>
        <v>66749.473700277216</v>
      </c>
      <c r="BF17" s="2689">
        <f t="shared" ca="1" si="9"/>
        <v>1.1972365054820715</v>
      </c>
      <c r="BG17" s="1893">
        <f ca="1">SUM(INDIRECT(BG$1&amp;BG$2&amp;$A17):INDIRECT(BG$1&amp;BG$3&amp;$A17))+SUM(INDIRECT(BG$1&amp;BG$2&amp;$B17):INDIRECT(BG$1&amp;BG$3&amp;$B17))</f>
        <v>206874</v>
      </c>
      <c r="BH17" s="2688">
        <f t="shared" ca="1" si="10"/>
        <v>198299</v>
      </c>
      <c r="BI17" s="2689">
        <f t="shared" ca="1" si="11"/>
        <v>1.9585496485783618</v>
      </c>
    </row>
    <row r="18" spans="1:61" ht="14.5">
      <c r="A18" s="1693">
        <f t="shared" si="16"/>
        <v>18</v>
      </c>
      <c r="B18" s="616">
        <v>1</v>
      </c>
      <c r="C18" s="1693">
        <f t="shared" si="12"/>
        <v>18</v>
      </c>
      <c r="D18" s="616">
        <v>1</v>
      </c>
      <c r="E18" s="709" t="s">
        <v>512</v>
      </c>
      <c r="F18" s="1572"/>
      <c r="G18" s="81"/>
      <c r="H18" s="81"/>
      <c r="I18" s="12"/>
      <c r="J18" s="106"/>
      <c r="K18" s="104"/>
      <c r="L18" s="105"/>
      <c r="M18" s="105"/>
      <c r="N18" s="104"/>
      <c r="O18" s="104"/>
      <c r="P18" s="104"/>
      <c r="Q18" s="105" t="s">
        <v>55</v>
      </c>
      <c r="R18" s="1776" t="str">
        <f>CHOOSE(2, "6722000002624", "PL Statement Gross Profit (%)")</f>
        <v>PL Statement Gross Profit (%)</v>
      </c>
      <c r="S18" s="1313">
        <f>IFERROR(S17/S14,0)</f>
        <v>0.36486885638590066</v>
      </c>
      <c r="T18" s="1313">
        <f t="shared" ref="T18:AD18" si="19">IFERROR(T17/T14,0)</f>
        <v>0.31231132151848651</v>
      </c>
      <c r="U18" s="1313">
        <f t="shared" si="19"/>
        <v>0.31351775845882685</v>
      </c>
      <c r="V18" s="1313">
        <f t="shared" si="19"/>
        <v>0.3108256563594779</v>
      </c>
      <c r="W18" s="1313">
        <f t="shared" si="19"/>
        <v>0.2940641414967442</v>
      </c>
      <c r="X18" s="1313">
        <f t="shared" si="19"/>
        <v>0.3158764972504251</v>
      </c>
      <c r="Y18" s="1313">
        <f t="shared" si="19"/>
        <v>0.30116510321993079</v>
      </c>
      <c r="Z18" s="1313">
        <f t="shared" si="19"/>
        <v>0.35450755719502169</v>
      </c>
      <c r="AA18" s="1313">
        <f t="shared" si="19"/>
        <v>0.32674633328940828</v>
      </c>
      <c r="AB18" s="3451">
        <f t="shared" si="19"/>
        <v>0.3276031352683032</v>
      </c>
      <c r="AC18" s="1313">
        <f t="shared" si="19"/>
        <v>0.3717836285334612</v>
      </c>
      <c r="AD18" s="1313">
        <f t="shared" si="19"/>
        <v>0.2781812966129979</v>
      </c>
      <c r="AE18" s="1288">
        <f t="shared" ref="AE18:AK18" si="20">IFERROR(AE17/AE14,0)</f>
        <v>0.33205169222809089</v>
      </c>
      <c r="AF18" s="1313">
        <f t="shared" si="20"/>
        <v>0.3069951268438339</v>
      </c>
      <c r="AG18" s="1313">
        <f t="shared" si="20"/>
        <v>0.32738586258916336</v>
      </c>
      <c r="AH18" s="1313">
        <f t="shared" si="20"/>
        <v>0.3261349495297976</v>
      </c>
      <c r="AI18" s="1313">
        <f t="shared" si="20"/>
        <v>0.3197549302462287</v>
      </c>
      <c r="AJ18" s="1313">
        <f t="shared" si="20"/>
        <v>0.32673340912384319</v>
      </c>
      <c r="AK18" s="1313">
        <f t="shared" si="20"/>
        <v>0.32320352694378535</v>
      </c>
      <c r="AL18" s="504"/>
      <c r="AM18" s="2549">
        <f ca="1">IFERROR(AM17/AM14,0)</f>
        <v>0.36486885638590066</v>
      </c>
      <c r="AN18" s="2549">
        <f ca="1">IFERROR(AN17/AN14,0)</f>
        <v>0.35962362275334869</v>
      </c>
      <c r="AO18" s="2549">
        <f t="shared" ca="1" si="14"/>
        <v>5.2452336325519711E-3</v>
      </c>
      <c r="AP18" s="2690"/>
      <c r="AQ18" s="2549">
        <f ca="1">IFERROR(AQ17/AQ14,0)</f>
        <v>0.3186328946253783</v>
      </c>
      <c r="AR18" s="2549">
        <f t="shared" ca="1" si="2"/>
        <v>4.6235961760522359E-2</v>
      </c>
      <c r="AS18" s="2690"/>
      <c r="AT18" s="504"/>
      <c r="AU18" s="2549">
        <f ca="1">IFERROR(AU17/AU14,0)</f>
        <v>0.36486885638590066</v>
      </c>
      <c r="AV18" s="2549">
        <f ca="1">IFERROR(AV17/AV14,0)</f>
        <v>0.35962362275334869</v>
      </c>
      <c r="AW18" s="2549">
        <f t="shared" ca="1" si="4"/>
        <v>5.2452336325519711E-3</v>
      </c>
      <c r="AX18" s="2690"/>
      <c r="AY18" s="2549">
        <f ca="1">IFERROR(AY17/AY14,0)</f>
        <v>0.3186328946253783</v>
      </c>
      <c r="AZ18" s="2549">
        <f t="shared" ca="1" si="6"/>
        <v>4.6235961760522359E-2</v>
      </c>
      <c r="BA18" s="2690"/>
      <c r="BB18" s="504"/>
      <c r="BC18" s="2549">
        <f ca="1">IFERROR(BC17/BC14,0)</f>
        <v>0.36486885638590066</v>
      </c>
      <c r="BD18" s="2549">
        <f ca="1">IFERROR(BD17/BD14,0)</f>
        <v>0.35962362275334869</v>
      </c>
      <c r="BE18" s="2549">
        <f t="shared" ca="1" si="8"/>
        <v>5.2452336325519711E-3</v>
      </c>
      <c r="BF18" s="2690"/>
      <c r="BG18" s="2549">
        <f ca="1">IFERROR(BG17/BG14,0)</f>
        <v>0.3186328946253783</v>
      </c>
      <c r="BH18" s="2549">
        <f t="shared" ca="1" si="10"/>
        <v>4.6235961760522359E-2</v>
      </c>
      <c r="BI18" s="2690"/>
    </row>
    <row r="19" spans="1:61" ht="14.5">
      <c r="A19" s="1693">
        <f t="shared" si="16"/>
        <v>19</v>
      </c>
      <c r="B19" s="616">
        <v>1</v>
      </c>
      <c r="C19" s="1693">
        <f t="shared" si="12"/>
        <v>19</v>
      </c>
      <c r="D19" s="616">
        <v>1</v>
      </c>
      <c r="E19" s="709" t="s">
        <v>512</v>
      </c>
      <c r="F19" s="1572"/>
      <c r="G19" s="81"/>
      <c r="H19" s="81"/>
      <c r="I19" s="12"/>
      <c r="J19" s="161" t="s">
        <v>29</v>
      </c>
      <c r="K19" s="160"/>
      <c r="L19" s="160"/>
      <c r="M19" s="160"/>
      <c r="N19" s="160"/>
      <c r="O19" s="160"/>
      <c r="P19" s="160"/>
      <c r="Q19" s="861"/>
      <c r="R19" s="1774" t="str">
        <f>CHOOSE(2, "6722000002623", "PL Statement SGA")</f>
        <v>PL Statement SGA</v>
      </c>
      <c r="S19" s="1302">
        <f>S21+S22+S23</f>
        <v>260707.809011943</v>
      </c>
      <c r="T19" s="1302">
        <f t="shared" ref="T19:AD19" si="21">T21+T22+T23</f>
        <v>226573.20010364332</v>
      </c>
      <c r="U19" s="1302">
        <f t="shared" si="21"/>
        <v>197639.7399797597</v>
      </c>
      <c r="V19" s="1302">
        <f t="shared" si="21"/>
        <v>188320.64334335711</v>
      </c>
      <c r="W19" s="1302">
        <f t="shared" si="21"/>
        <v>207707.18104779822</v>
      </c>
      <c r="X19" s="1302">
        <f t="shared" si="21"/>
        <v>226229.8471042731</v>
      </c>
      <c r="Y19" s="1302">
        <f t="shared" si="21"/>
        <v>183224.48782272276</v>
      </c>
      <c r="Z19" s="1302">
        <f t="shared" si="21"/>
        <v>240369.13728751958</v>
      </c>
      <c r="AA19" s="1302">
        <f t="shared" si="21"/>
        <v>235529.04482161684</v>
      </c>
      <c r="AB19" s="1302">
        <f t="shared" si="21"/>
        <v>226702.24210549984</v>
      </c>
      <c r="AC19" s="1302">
        <f t="shared" si="21"/>
        <v>292394.9573567445</v>
      </c>
      <c r="AD19" s="1302">
        <f t="shared" si="21"/>
        <v>185329.45814605145</v>
      </c>
      <c r="AE19" s="875">
        <f>SUM(S19,T19,U19)</f>
        <v>684920.74909534596</v>
      </c>
      <c r="AF19" s="158">
        <f>SUM(V19,W19,X19)</f>
        <v>622257.67149542843</v>
      </c>
      <c r="AG19" s="158">
        <f>SUM(Y19,Z19,AA19)</f>
        <v>659122.66993185924</v>
      </c>
      <c r="AH19" s="158">
        <f>SUM(AB19,AC19,AD19)</f>
        <v>704426.65760829579</v>
      </c>
      <c r="AI19" s="158">
        <f>AE19+AF19</f>
        <v>1307178.4205907744</v>
      </c>
      <c r="AJ19" s="158">
        <f>AH19+AG19</f>
        <v>1363549.327540155</v>
      </c>
      <c r="AK19" s="158">
        <f>AI19+AJ19</f>
        <v>2670727.7481309297</v>
      </c>
      <c r="AM19" s="1893">
        <f ca="1">SUM((INDIRECT(AM$2&amp;(ROW())):INDIRECT(AM$3&amp;(ROW()))))</f>
        <v>260707.809011943</v>
      </c>
      <c r="AN19" s="1893">
        <f ca="1">SUM(INDIRECT(AN$1&amp;AN$2&amp;$C19):INDIRECT(AN$1&amp;AN$3&amp;$C19))</f>
        <v>195944.53522784228</v>
      </c>
      <c r="AO19" s="2688">
        <f t="shared" ca="1" si="14"/>
        <v>64763.273784100718</v>
      </c>
      <c r="AP19" s="2689">
        <f t="shared" ca="1" si="15"/>
        <v>1.3305183975087371</v>
      </c>
      <c r="AQ19" s="1893">
        <f ca="1">SUM(INDIRECT(AQ$1&amp;AQ$2&amp;$A19):INDIRECT(AQ$1&amp;AQ$3&amp;$A19))+SUM(INDIRECT(AQ$1&amp;AQ$2&amp;$B19):INDIRECT(AQ$1&amp;AQ$3&amp;$B19))</f>
        <v>162497</v>
      </c>
      <c r="AR19" s="2688">
        <f t="shared" ca="1" si="2"/>
        <v>98210.809011942998</v>
      </c>
      <c r="AS19" s="2689">
        <f t="shared" ref="AS19" ca="1" si="22">IFERROR(AM19/AQ19,0)</f>
        <v>1.6043853671879664</v>
      </c>
      <c r="AU19" s="1893">
        <f ca="1">SUM((INDIRECT(AU$2&amp;(ROW())):INDIRECT(AU$3&amp;(ROW()))))</f>
        <v>260707.809011943</v>
      </c>
      <c r="AV19" s="1893">
        <f ca="1">SUM(INDIRECT(AV$1&amp;AV$2&amp;$C19):INDIRECT(AV$1&amp;AV$3&amp;$C19))</f>
        <v>195944.53522784228</v>
      </c>
      <c r="AW19" s="2688">
        <f t="shared" ca="1" si="4"/>
        <v>64763.273784100718</v>
      </c>
      <c r="AX19" s="2689">
        <f t="shared" ref="AX19" ca="1" si="23">IFERROR(AU19/AV19,0)</f>
        <v>1.3305183975087371</v>
      </c>
      <c r="AY19" s="1893">
        <f ca="1">SUM(INDIRECT(AY$1&amp;AY$2&amp;$A19):INDIRECT(AY$1&amp;AY$3&amp;$A19))+SUM(INDIRECT(AY$1&amp;AY$2&amp;$B19):INDIRECT(AY$1&amp;AY$3&amp;$B19))</f>
        <v>162497</v>
      </c>
      <c r="AZ19" s="2688">
        <f t="shared" ca="1" si="6"/>
        <v>98210.809011942998</v>
      </c>
      <c r="BA19" s="2689">
        <f t="shared" ref="BA19" ca="1" si="24">IFERROR(AU19/AY19,0)</f>
        <v>1.6043853671879664</v>
      </c>
      <c r="BC19" s="1893">
        <f ca="1">SUM((INDIRECT(BC$2&amp;(ROW())):INDIRECT(BC$3&amp;(ROW()))))</f>
        <v>260707.809011943</v>
      </c>
      <c r="BD19" s="1893">
        <f ca="1">SUM(INDIRECT(BD$1&amp;BD$2&amp;$C19):INDIRECT(BD$1&amp;BD$3&amp;$C19))</f>
        <v>195944.53522784228</v>
      </c>
      <c r="BE19" s="2688">
        <f t="shared" ca="1" si="8"/>
        <v>64763.273784100718</v>
      </c>
      <c r="BF19" s="2689">
        <f t="shared" ref="BF19" ca="1" si="25">IFERROR(BC19/BD19,0)</f>
        <v>1.3305183975087371</v>
      </c>
      <c r="BG19" s="1893">
        <f ca="1">SUM(INDIRECT(BG$1&amp;BG$2&amp;$A19):INDIRECT(BG$1&amp;BG$3&amp;$A19))+SUM(INDIRECT(BG$1&amp;BG$2&amp;$B19):INDIRECT(BG$1&amp;BG$3&amp;$B19))</f>
        <v>162497</v>
      </c>
      <c r="BH19" s="2688">
        <f t="shared" ca="1" si="10"/>
        <v>98210.809011942998</v>
      </c>
      <c r="BI19" s="2689">
        <f t="shared" ref="BI19" ca="1" si="26">IFERROR(BC19/BG19,0)</f>
        <v>1.6043853671879664</v>
      </c>
    </row>
    <row r="20" spans="1:61" ht="14.5">
      <c r="A20" s="1693">
        <f t="shared" si="16"/>
        <v>20</v>
      </c>
      <c r="B20" s="616">
        <v>1</v>
      </c>
      <c r="C20" s="1693">
        <f t="shared" si="12"/>
        <v>20</v>
      </c>
      <c r="D20" s="616">
        <v>1</v>
      </c>
      <c r="E20" s="709" t="s">
        <v>512</v>
      </c>
      <c r="F20" s="1572"/>
      <c r="G20" s="81"/>
      <c r="H20" s="81"/>
      <c r="I20" s="12"/>
      <c r="J20" s="153"/>
      <c r="K20" s="36"/>
      <c r="L20" s="35"/>
      <c r="M20" s="35"/>
      <c r="N20" s="36"/>
      <c r="O20" s="36"/>
      <c r="P20" s="36"/>
      <c r="Q20" s="35" t="s">
        <v>113</v>
      </c>
      <c r="R20" s="1776" t="str">
        <f>CHOOSE(2, "6722000002622", "PL Statement SGA (%)")</f>
        <v>PL Statement SGA (%)</v>
      </c>
      <c r="S20" s="1312">
        <f>IFERROR(S19/S14,0)</f>
        <v>0.23477418318856746</v>
      </c>
      <c r="T20" s="1312">
        <f t="shared" ref="T20:AD20" si="27">IFERROR(T19/T14,0)</f>
        <v>0.22763409740093851</v>
      </c>
      <c r="U20" s="1312">
        <f t="shared" si="27"/>
        <v>0.21811813301624994</v>
      </c>
      <c r="V20" s="1312">
        <f t="shared" si="27"/>
        <v>0.2229946894641083</v>
      </c>
      <c r="W20" s="1312">
        <f t="shared" si="27"/>
        <v>0.21059031870144862</v>
      </c>
      <c r="X20" s="1312">
        <f t="shared" si="27"/>
        <v>0.21107495919844185</v>
      </c>
      <c r="Y20" s="1312">
        <f t="shared" si="27"/>
        <v>0.2018948326766197</v>
      </c>
      <c r="Z20" s="1312">
        <f t="shared" si="27"/>
        <v>0.26709347929470517</v>
      </c>
      <c r="AA20" s="1312">
        <f t="shared" si="27"/>
        <v>0.24611426177383272</v>
      </c>
      <c r="AB20" s="1312">
        <f t="shared" si="27"/>
        <v>0.22980735603899638</v>
      </c>
      <c r="AC20" s="1312">
        <f t="shared" si="27"/>
        <v>0.285770515296773</v>
      </c>
      <c r="AD20" s="1312">
        <f t="shared" si="27"/>
        <v>0.18455375516036221</v>
      </c>
      <c r="AE20" s="1287">
        <f t="shared" ref="AE20:AK20" si="28">IFERROR(AE19/AE14,0)</f>
        <v>0.22740376289745468</v>
      </c>
      <c r="AF20" s="1312">
        <f t="shared" si="28"/>
        <v>0.21437828853394128</v>
      </c>
      <c r="AG20" s="1312">
        <f t="shared" si="28"/>
        <v>0.23842737123028146</v>
      </c>
      <c r="AH20" s="1312">
        <f t="shared" si="28"/>
        <v>0.23372810373637451</v>
      </c>
      <c r="AI20" s="1312">
        <f t="shared" si="28"/>
        <v>0.22101138008310425</v>
      </c>
      <c r="AJ20" s="1312">
        <f t="shared" si="28"/>
        <v>0.23597631890661264</v>
      </c>
      <c r="AK20" s="1312">
        <f t="shared" si="28"/>
        <v>0.22840669351902171</v>
      </c>
      <c r="AL20" s="504"/>
      <c r="AM20" s="2551">
        <f ca="1">INDIRECT(AM$2&amp;ROW())</f>
        <v>0.23477418318856746</v>
      </c>
      <c r="AN20" s="2551">
        <f ca="1">IFERROR(AN19/AN14,0)</f>
        <v>0.20821922278225347</v>
      </c>
      <c r="AO20" s="2551">
        <f t="shared" ca="1" si="14"/>
        <v>2.6554960406313999E-2</v>
      </c>
      <c r="AP20" s="2691"/>
      <c r="AQ20" s="2551">
        <f ca="1">IFERROR(AQ19/AQ14,0)</f>
        <v>0.25028224657492049</v>
      </c>
      <c r="AR20" s="2551">
        <f t="shared" ca="1" si="2"/>
        <v>-1.5508063386353022E-2</v>
      </c>
      <c r="AS20" s="2691"/>
      <c r="AT20" s="504"/>
      <c r="AU20" s="2551">
        <f ca="1">INDIRECT(AU$2&amp;ROW())</f>
        <v>0.23477418318856746</v>
      </c>
      <c r="AV20" s="2551">
        <f ca="1">IFERROR(AV19/AV14,0)</f>
        <v>0.20821922278225347</v>
      </c>
      <c r="AW20" s="2551">
        <f t="shared" ca="1" si="4"/>
        <v>2.6554960406313999E-2</v>
      </c>
      <c r="AX20" s="2691"/>
      <c r="AY20" s="2551">
        <f ca="1">IFERROR(AY19/AY14,0)</f>
        <v>0.25028224657492049</v>
      </c>
      <c r="AZ20" s="2551">
        <f t="shared" ca="1" si="6"/>
        <v>-1.5508063386353022E-2</v>
      </c>
      <c r="BA20" s="2691"/>
      <c r="BB20" s="504"/>
      <c r="BC20" s="2551">
        <f ca="1">IFERROR(BC19/BC14,0)</f>
        <v>0.23477418318856746</v>
      </c>
      <c r="BD20" s="2551">
        <f ca="1">IFERROR(BD19/BD14,0)</f>
        <v>0.20821922278225347</v>
      </c>
      <c r="BE20" s="2551">
        <f t="shared" ca="1" si="8"/>
        <v>2.6554960406313999E-2</v>
      </c>
      <c r="BF20" s="2691"/>
      <c r="BG20" s="2551">
        <f ca="1">IFERROR(BG19/BG14,0)</f>
        <v>0.25028224657492049</v>
      </c>
      <c r="BH20" s="2551">
        <f t="shared" ca="1" si="10"/>
        <v>-1.5508063386353022E-2</v>
      </c>
      <c r="BI20" s="2691"/>
    </row>
    <row r="21" spans="1:61" ht="14.5">
      <c r="A21" s="1693">
        <f t="shared" si="16"/>
        <v>21</v>
      </c>
      <c r="B21" s="616">
        <v>1</v>
      </c>
      <c r="C21" s="1693">
        <f t="shared" si="12"/>
        <v>21</v>
      </c>
      <c r="D21" s="616">
        <v>1</v>
      </c>
      <c r="E21" s="709" t="s">
        <v>512</v>
      </c>
      <c r="F21" s="1572"/>
      <c r="G21" s="81"/>
      <c r="H21" s="81"/>
      <c r="I21" s="12"/>
      <c r="J21" s="153"/>
      <c r="K21" s="108" t="s">
        <v>87</v>
      </c>
      <c r="L21" s="108"/>
      <c r="M21" s="156"/>
      <c r="N21" s="108"/>
      <c r="O21" s="108"/>
      <c r="P21" s="108"/>
      <c r="Q21" s="156"/>
      <c r="R21" s="1775" t="str">
        <f>CHOOSE(2, "6722000002621", "PL Statement SGA Variable Expenses")</f>
        <v>PL Statement SGA Variable Expenses</v>
      </c>
      <c r="S21" s="1236">
        <f t="shared" ref="S21:AD23" si="29">S83+S187+S269+S332+S394</f>
        <v>86966.52</v>
      </c>
      <c r="T21" s="1236">
        <f t="shared" si="29"/>
        <v>58635.765709999992</v>
      </c>
      <c r="U21" s="1236">
        <f t="shared" si="29"/>
        <v>111747.62712000002</v>
      </c>
      <c r="V21" s="1236">
        <f t="shared" si="29"/>
        <v>67890.918460000059</v>
      </c>
      <c r="W21" s="1236">
        <f t="shared" si="29"/>
        <v>86236.98414</v>
      </c>
      <c r="X21" s="1236">
        <f t="shared" si="29"/>
        <v>103191.26718</v>
      </c>
      <c r="Y21" s="1236">
        <f t="shared" si="29"/>
        <v>65990.168269999995</v>
      </c>
      <c r="Z21" s="1236">
        <f t="shared" si="29"/>
        <v>85327.275272424551</v>
      </c>
      <c r="AA21" s="1236">
        <f t="shared" si="29"/>
        <v>49407.44223970508</v>
      </c>
      <c r="AB21" s="1236">
        <f t="shared" si="29"/>
        <v>62827.199299999957</v>
      </c>
      <c r="AC21" s="1236">
        <f t="shared" si="29"/>
        <v>121038.75616</v>
      </c>
      <c r="AD21" s="1236">
        <f t="shared" si="29"/>
        <v>98908.032749999998</v>
      </c>
      <c r="AE21" s="1597">
        <f>SUM(S21,T21,U21)</f>
        <v>257349.91283000002</v>
      </c>
      <c r="AF21" s="1291">
        <f>SUM(V21,W21,X21)</f>
        <v>257319.16978000005</v>
      </c>
      <c r="AG21" s="1291">
        <f>SUM(Y21,Z21,AA21)</f>
        <v>200724.8857821296</v>
      </c>
      <c r="AH21" s="1291">
        <f>SUM(AB21,AC21,AD21)</f>
        <v>282773.98820999998</v>
      </c>
      <c r="AI21" s="1291">
        <f>AE21+AF21</f>
        <v>514669.08261000004</v>
      </c>
      <c r="AJ21" s="1291">
        <f>AH21+AG21</f>
        <v>483498.87399212958</v>
      </c>
      <c r="AK21" s="1291">
        <f>AI21+AJ21</f>
        <v>998167.95660212962</v>
      </c>
      <c r="AM21" s="1907">
        <f ca="1">SUM((INDIRECT(AM$2&amp;(ROW())):INDIRECT(AM$3&amp;(ROW()))))</f>
        <v>86966.52</v>
      </c>
      <c r="AN21" s="1907">
        <f ca="1">SUM(INDIRECT(AN$1&amp;AN$2&amp;$C21):INDIRECT(AN$1&amp;AN$3&amp;$C21))</f>
        <v>78754.736297724594</v>
      </c>
      <c r="AO21" s="2692">
        <f t="shared" ca="1" si="14"/>
        <v>8211.7837022754102</v>
      </c>
      <c r="AP21" s="2693">
        <f t="shared" ca="1" si="15"/>
        <v>1.1042703472618023</v>
      </c>
      <c r="AQ21" s="1907">
        <f ca="1">SUM(INDIRECT(AQ$1&amp;AQ$2&amp;$A21):INDIRECT(AQ$1&amp;AQ$3&amp;$A21))+SUM(INDIRECT(AQ$1&amp;AQ$2&amp;$B21):INDIRECT(AQ$1&amp;AQ$3&amp;$B21))</f>
        <v>61663.000000000007</v>
      </c>
      <c r="AR21" s="2692">
        <f t="shared" ca="1" si="2"/>
        <v>25303.519999999997</v>
      </c>
      <c r="AS21" s="2693">
        <f t="shared" ref="AS21:AS24" ca="1" si="30">IFERROR(AM21/AQ21,0)</f>
        <v>1.4103517506446328</v>
      </c>
      <c r="AU21" s="1907">
        <f ca="1">SUM((INDIRECT(AU$2&amp;(ROW())):INDIRECT(AU$3&amp;(ROW()))))</f>
        <v>86966.52</v>
      </c>
      <c r="AV21" s="1907">
        <f ca="1">SUM(INDIRECT(AV$1&amp;AV$2&amp;$C21):INDIRECT(AV$1&amp;AV$3&amp;$C21))</f>
        <v>78754.736297724594</v>
      </c>
      <c r="AW21" s="2692">
        <f t="shared" ca="1" si="4"/>
        <v>8211.7837022754102</v>
      </c>
      <c r="AX21" s="2693">
        <f t="shared" ref="AX21:AX24" ca="1" si="31">IFERROR(AU21/AV21,0)</f>
        <v>1.1042703472618023</v>
      </c>
      <c r="AY21" s="1907">
        <f ca="1">SUM(INDIRECT(AY$1&amp;AY$2&amp;$A21):INDIRECT(AY$1&amp;AY$3&amp;$A21))+SUM(INDIRECT(AY$1&amp;AY$2&amp;$B21):INDIRECT(AY$1&amp;AY$3&amp;$B21))</f>
        <v>61663.000000000007</v>
      </c>
      <c r="AZ21" s="2692">
        <f t="shared" ca="1" si="6"/>
        <v>25303.519999999997</v>
      </c>
      <c r="BA21" s="2693">
        <f t="shared" ref="BA21:BA24" ca="1" si="32">IFERROR(AU21/AY21,0)</f>
        <v>1.4103517506446328</v>
      </c>
      <c r="BC21" s="1907">
        <f ca="1">SUM((INDIRECT(BC$2&amp;(ROW())):INDIRECT(BC$3&amp;(ROW()))))</f>
        <v>86966.52</v>
      </c>
      <c r="BD21" s="1907">
        <f ca="1">SUM(INDIRECT(BD$1&amp;BD$2&amp;$C21):INDIRECT(BD$1&amp;BD$3&amp;$C21))</f>
        <v>78754.736297724594</v>
      </c>
      <c r="BE21" s="2692">
        <f t="shared" ca="1" si="8"/>
        <v>8211.7837022754102</v>
      </c>
      <c r="BF21" s="2693">
        <f t="shared" ref="BF21:BF24" ca="1" si="33">IFERROR(BC21/BD21,0)</f>
        <v>1.1042703472618023</v>
      </c>
      <c r="BG21" s="1907">
        <f ca="1">SUM(INDIRECT(BG$1&amp;BG$2&amp;$A21):INDIRECT(BG$1&amp;BG$3&amp;$A21))+SUM(INDIRECT(BG$1&amp;BG$2&amp;$B21):INDIRECT(BG$1&amp;BG$3&amp;$B21))</f>
        <v>61663.000000000007</v>
      </c>
      <c r="BH21" s="2692">
        <f t="shared" ca="1" si="10"/>
        <v>25303.519999999997</v>
      </c>
      <c r="BI21" s="2693">
        <f t="shared" ref="BI21:BI24" ca="1" si="34">IFERROR(BC21/BG21,0)</f>
        <v>1.4103517506446328</v>
      </c>
    </row>
    <row r="22" spans="1:61" ht="14.5">
      <c r="A22" s="1693">
        <f t="shared" si="16"/>
        <v>22</v>
      </c>
      <c r="B22" s="616">
        <v>1</v>
      </c>
      <c r="C22" s="1693">
        <f t="shared" si="12"/>
        <v>22</v>
      </c>
      <c r="D22" s="616">
        <v>1</v>
      </c>
      <c r="E22" s="709" t="s">
        <v>512</v>
      </c>
      <c r="F22" s="1572"/>
      <c r="G22" s="81"/>
      <c r="H22" s="81"/>
      <c r="I22" s="12"/>
      <c r="J22" s="153"/>
      <c r="K22" s="36" t="s">
        <v>88</v>
      </c>
      <c r="L22" s="36"/>
      <c r="M22" s="35"/>
      <c r="N22" s="36"/>
      <c r="O22" s="36"/>
      <c r="P22" s="36"/>
      <c r="Q22" s="35"/>
      <c r="R22" s="1775" t="str">
        <f>CHOOSE(2, "6722000002620", "PL Statement SGA Wages &amp; Salaries")</f>
        <v>PL Statement SGA Wages &amp; Salaries</v>
      </c>
      <c r="S22" s="1236">
        <f t="shared" si="29"/>
        <v>63320.324551942998</v>
      </c>
      <c r="T22" s="1236">
        <f t="shared" si="29"/>
        <v>70379</v>
      </c>
      <c r="U22" s="1236">
        <f t="shared" si="29"/>
        <v>70105.611995272906</v>
      </c>
      <c r="V22" s="1236">
        <f t="shared" si="29"/>
        <v>65530.81003419996</v>
      </c>
      <c r="W22" s="1236">
        <f t="shared" si="29"/>
        <v>65235.103245577469</v>
      </c>
      <c r="X22" s="1236">
        <f t="shared" si="29"/>
        <v>61425.208120377101</v>
      </c>
      <c r="Y22" s="1236">
        <f t="shared" si="29"/>
        <v>63301.378853116941</v>
      </c>
      <c r="Z22" s="1236">
        <f t="shared" si="29"/>
        <v>71595.816072213915</v>
      </c>
      <c r="AA22" s="1236">
        <f t="shared" si="29"/>
        <v>77974.108654820302</v>
      </c>
      <c r="AB22" s="1236">
        <f t="shared" si="29"/>
        <v>76614.758554901127</v>
      </c>
      <c r="AC22" s="1236">
        <f t="shared" si="29"/>
        <v>87041.205316686333</v>
      </c>
      <c r="AD22" s="1236">
        <f t="shared" si="29"/>
        <v>72003.690600413509</v>
      </c>
      <c r="AE22" s="1598">
        <f>SUM(S22,T22,U22)</f>
        <v>203804.93654721591</v>
      </c>
      <c r="AF22" s="1236">
        <f>SUM(V22,W22,X22)</f>
        <v>192191.12140015452</v>
      </c>
      <c r="AG22" s="1236">
        <f>SUM(Y22,Z22,AA22)</f>
        <v>212871.30358015117</v>
      </c>
      <c r="AH22" s="1236">
        <f>SUM(AB22,AC22,AD22)</f>
        <v>235659.65447200098</v>
      </c>
      <c r="AI22" s="1236">
        <f>AE22+AF22</f>
        <v>395996.05794737046</v>
      </c>
      <c r="AJ22" s="1236">
        <f>AH22+AG22</f>
        <v>448530.95805215219</v>
      </c>
      <c r="AK22" s="1236">
        <f>AI22+AJ22</f>
        <v>844527.01599952264</v>
      </c>
      <c r="AM22" s="1910">
        <f ca="1">SUM((INDIRECT(AM$2&amp;(ROW())):INDIRECT(AM$3&amp;(ROW()))))</f>
        <v>63320.324551942998</v>
      </c>
      <c r="AN22" s="1910">
        <f ca="1">SUM(INDIRECT(AN$1&amp;AN$2&amp;$C22):INDIRECT(AN$1&amp;AN$3&amp;$C22))</f>
        <v>65931.966916666672</v>
      </c>
      <c r="AO22" s="2694">
        <f t="shared" ca="1" si="14"/>
        <v>-2611.6423647236734</v>
      </c>
      <c r="AP22" s="2695">
        <f t="shared" ca="1" si="15"/>
        <v>0.96038882977623574</v>
      </c>
      <c r="AQ22" s="1910">
        <f ca="1">SUM(INDIRECT(AQ$1&amp;AQ$2&amp;$A22):INDIRECT(AQ$1&amp;AQ$3&amp;$A22))+SUM(INDIRECT(AQ$1&amp;AQ$2&amp;$B22):INDIRECT(AQ$1&amp;AQ$3&amp;$B22))</f>
        <v>57082</v>
      </c>
      <c r="AR22" s="2694">
        <f t="shared" ca="1" si="2"/>
        <v>6238.3245519429984</v>
      </c>
      <c r="AS22" s="2695">
        <f t="shared" ca="1" si="30"/>
        <v>1.1092870703889668</v>
      </c>
      <c r="AU22" s="1910">
        <f ca="1">SUM((INDIRECT(AU$2&amp;(ROW())):INDIRECT(AU$3&amp;(ROW()))))</f>
        <v>63320.324551942998</v>
      </c>
      <c r="AV22" s="1910">
        <f ca="1">SUM(INDIRECT(AV$1&amp;AV$2&amp;$C22):INDIRECT(AV$1&amp;AV$3&amp;$C22))</f>
        <v>65931.966916666672</v>
      </c>
      <c r="AW22" s="2694">
        <f t="shared" ca="1" si="4"/>
        <v>-2611.6423647236734</v>
      </c>
      <c r="AX22" s="2695">
        <f t="shared" ca="1" si="31"/>
        <v>0.96038882977623574</v>
      </c>
      <c r="AY22" s="1910">
        <f ca="1">SUM(INDIRECT(AY$1&amp;AY$2&amp;$A22):INDIRECT(AY$1&amp;AY$3&amp;$A22))+SUM(INDIRECT(AY$1&amp;AY$2&amp;$B22):INDIRECT(AY$1&amp;AY$3&amp;$B22))</f>
        <v>57082</v>
      </c>
      <c r="AZ22" s="2694">
        <f t="shared" ca="1" si="6"/>
        <v>6238.3245519429984</v>
      </c>
      <c r="BA22" s="2695">
        <f t="shared" ca="1" si="32"/>
        <v>1.1092870703889668</v>
      </c>
      <c r="BC22" s="1910">
        <f ca="1">SUM((INDIRECT(BC$2&amp;(ROW())):INDIRECT(BC$3&amp;(ROW()))))</f>
        <v>63320.324551942998</v>
      </c>
      <c r="BD22" s="1910">
        <f ca="1">SUM(INDIRECT(BD$1&amp;BD$2&amp;$C22):INDIRECT(BD$1&amp;BD$3&amp;$C22))</f>
        <v>65931.966916666672</v>
      </c>
      <c r="BE22" s="2694">
        <f t="shared" ca="1" si="8"/>
        <v>-2611.6423647236734</v>
      </c>
      <c r="BF22" s="2695">
        <f t="shared" ca="1" si="33"/>
        <v>0.96038882977623574</v>
      </c>
      <c r="BG22" s="1910">
        <f ca="1">SUM(INDIRECT(BG$1&amp;BG$2&amp;$A22):INDIRECT(BG$1&amp;BG$3&amp;$A22))+SUM(INDIRECT(BG$1&amp;BG$2&amp;$B22):INDIRECT(BG$1&amp;BG$3&amp;$B22))</f>
        <v>57082</v>
      </c>
      <c r="BH22" s="2694">
        <f t="shared" ca="1" si="10"/>
        <v>6238.3245519429984</v>
      </c>
      <c r="BI22" s="2695">
        <f t="shared" ca="1" si="34"/>
        <v>1.1092870703889668</v>
      </c>
    </row>
    <row r="23" spans="1:61" ht="14.5">
      <c r="A23" s="1693">
        <f t="shared" si="16"/>
        <v>23</v>
      </c>
      <c r="B23" s="616">
        <v>1</v>
      </c>
      <c r="C23" s="1693">
        <f t="shared" si="12"/>
        <v>23</v>
      </c>
      <c r="D23" s="616">
        <v>1</v>
      </c>
      <c r="E23" s="709" t="s">
        <v>512</v>
      </c>
      <c r="F23" s="1572"/>
      <c r="G23" s="81"/>
      <c r="H23" s="81"/>
      <c r="I23" s="12"/>
      <c r="J23" s="153"/>
      <c r="K23" s="36" t="s">
        <v>89</v>
      </c>
      <c r="L23" s="36"/>
      <c r="M23" s="35"/>
      <c r="N23" s="36"/>
      <c r="O23" s="36"/>
      <c r="P23" s="36"/>
      <c r="Q23" s="35"/>
      <c r="R23" s="1775" t="str">
        <f>CHOOSE(2, "6722000002619", "PL Statement SGA Fixed Expenses")</f>
        <v>PL Statement SGA Fixed Expenses</v>
      </c>
      <c r="S23" s="1236">
        <f t="shared" si="29"/>
        <v>110420.96445999999</v>
      </c>
      <c r="T23" s="1236">
        <f t="shared" si="29"/>
        <v>97558.434393643329</v>
      </c>
      <c r="U23" s="1236">
        <f t="shared" si="29"/>
        <v>15786.500864486759</v>
      </c>
      <c r="V23" s="1236">
        <f t="shared" si="29"/>
        <v>54898.914849157103</v>
      </c>
      <c r="W23" s="1236">
        <f t="shared" si="29"/>
        <v>56235.093662220759</v>
      </c>
      <c r="X23" s="1236">
        <f t="shared" si="29"/>
        <v>61613.371803896007</v>
      </c>
      <c r="Y23" s="1236">
        <f t="shared" si="29"/>
        <v>53932.940699605824</v>
      </c>
      <c r="Z23" s="1236">
        <f t="shared" si="29"/>
        <v>83446.045942881101</v>
      </c>
      <c r="AA23" s="1236">
        <f t="shared" si="29"/>
        <v>108147.49392709148</v>
      </c>
      <c r="AB23" s="1236">
        <f t="shared" si="29"/>
        <v>87260.28425059875</v>
      </c>
      <c r="AC23" s="1236">
        <f t="shared" si="29"/>
        <v>84314.995880058166</v>
      </c>
      <c r="AD23" s="1236">
        <f t="shared" si="29"/>
        <v>14417.734795637945</v>
      </c>
      <c r="AE23" s="1598">
        <f>SUM(S23,T23,U23)</f>
        <v>223765.89971813009</v>
      </c>
      <c r="AF23" s="1236">
        <f>SUM(V23,W23,X23)</f>
        <v>172747.38031527388</v>
      </c>
      <c r="AG23" s="1236">
        <f>SUM(Y23,Z23,AA23)</f>
        <v>245526.48056957842</v>
      </c>
      <c r="AH23" s="1236">
        <f>SUM(AB23,AC23,AD23)</f>
        <v>185993.01492629485</v>
      </c>
      <c r="AI23" s="1236">
        <f>AE23+AF23</f>
        <v>396513.28003340401</v>
      </c>
      <c r="AJ23" s="1236">
        <f>AH23+AG23</f>
        <v>431519.49549587327</v>
      </c>
      <c r="AK23" s="1236">
        <f>AI23+AJ23</f>
        <v>828032.77552927728</v>
      </c>
      <c r="AM23" s="1910">
        <f ca="1">SUM((INDIRECT(AM$2&amp;(ROW())):INDIRECT(AM$3&amp;(ROW()))))</f>
        <v>110420.96445999999</v>
      </c>
      <c r="AN23" s="1910">
        <f ca="1">SUM(INDIRECT(AN$1&amp;AN$2&amp;$C23):INDIRECT(AN$1&amp;AN$3&amp;$C23))</f>
        <v>51257.832013451043</v>
      </c>
      <c r="AO23" s="2694">
        <f t="shared" ca="1" si="14"/>
        <v>59163.132446548945</v>
      </c>
      <c r="AP23" s="2695">
        <f t="shared" ca="1" si="15"/>
        <v>2.1542261957357738</v>
      </c>
      <c r="AQ23" s="1910">
        <f ca="1">SUM(INDIRECT(AQ$1&amp;AQ$2&amp;$A23):INDIRECT(AQ$1&amp;AQ$3&amp;$A23))+SUM(INDIRECT(AQ$1&amp;AQ$2&amp;$B23):INDIRECT(AQ$1&amp;AQ$3&amp;$B23))</f>
        <v>43752.000000000007</v>
      </c>
      <c r="AR23" s="2694">
        <f t="shared" ca="1" si="2"/>
        <v>66668.964459999988</v>
      </c>
      <c r="AS23" s="2695">
        <f t="shared" ca="1" si="30"/>
        <v>2.5237923857195095</v>
      </c>
      <c r="AU23" s="1910">
        <f ca="1">SUM((INDIRECT(AU$2&amp;(ROW())):INDIRECT(AU$3&amp;(ROW()))))</f>
        <v>110420.96445999999</v>
      </c>
      <c r="AV23" s="1910">
        <f ca="1">SUM(INDIRECT(AV$1&amp;AV$2&amp;$C23):INDIRECT(AV$1&amp;AV$3&amp;$C23))</f>
        <v>51257.832013451043</v>
      </c>
      <c r="AW23" s="2694">
        <f t="shared" ca="1" si="4"/>
        <v>59163.132446548945</v>
      </c>
      <c r="AX23" s="2695">
        <f t="shared" ca="1" si="31"/>
        <v>2.1542261957357738</v>
      </c>
      <c r="AY23" s="1910">
        <f ca="1">SUM(INDIRECT(AY$1&amp;AY$2&amp;$A23):INDIRECT(AY$1&amp;AY$3&amp;$A23))+SUM(INDIRECT(AY$1&amp;AY$2&amp;$B23):INDIRECT(AY$1&amp;AY$3&amp;$B23))</f>
        <v>43752.000000000007</v>
      </c>
      <c r="AZ23" s="2694">
        <f t="shared" ca="1" si="6"/>
        <v>66668.964459999988</v>
      </c>
      <c r="BA23" s="2695">
        <f t="shared" ca="1" si="32"/>
        <v>2.5237923857195095</v>
      </c>
      <c r="BC23" s="1910">
        <f ca="1">SUM((INDIRECT(BC$2&amp;(ROW())):INDIRECT(BC$3&amp;(ROW()))))</f>
        <v>110420.96445999999</v>
      </c>
      <c r="BD23" s="1910">
        <f ca="1">SUM(INDIRECT(BD$1&amp;BD$2&amp;$C23):INDIRECT(BD$1&amp;BD$3&amp;$C23))</f>
        <v>51257.832013451043</v>
      </c>
      <c r="BE23" s="2694">
        <f t="shared" ca="1" si="8"/>
        <v>59163.132446548945</v>
      </c>
      <c r="BF23" s="2695">
        <f t="shared" ca="1" si="33"/>
        <v>2.1542261957357738</v>
      </c>
      <c r="BG23" s="1910">
        <f ca="1">SUM(INDIRECT(BG$1&amp;BG$2&amp;$A23):INDIRECT(BG$1&amp;BG$3&amp;$A23))+SUM(INDIRECT(BG$1&amp;BG$2&amp;$B23):INDIRECT(BG$1&amp;BG$3&amp;$B23))</f>
        <v>43752.000000000007</v>
      </c>
      <c r="BH23" s="2694">
        <f t="shared" ca="1" si="10"/>
        <v>66668.964459999988</v>
      </c>
      <c r="BI23" s="2695">
        <f t="shared" ca="1" si="34"/>
        <v>2.5237923857195095</v>
      </c>
    </row>
    <row r="24" spans="1:61" ht="14.5">
      <c r="A24" s="1693">
        <f t="shared" si="16"/>
        <v>24</v>
      </c>
      <c r="B24" s="616">
        <v>1</v>
      </c>
      <c r="C24" s="1693">
        <f t="shared" si="12"/>
        <v>24</v>
      </c>
      <c r="D24" s="616">
        <v>1</v>
      </c>
      <c r="E24" s="709" t="s">
        <v>512</v>
      </c>
      <c r="F24" s="1572"/>
      <c r="G24" s="81"/>
      <c r="H24" s="81"/>
      <c r="I24" s="12"/>
      <c r="J24" s="161" t="s">
        <v>90</v>
      </c>
      <c r="K24" s="160"/>
      <c r="L24" s="160"/>
      <c r="M24" s="160"/>
      <c r="N24" s="160"/>
      <c r="O24" s="160"/>
      <c r="P24" s="160"/>
      <c r="Q24" s="861"/>
      <c r="R24" s="1774" t="str">
        <f>CHOOSE(2, "6722000002618", "PL Statement BCP")</f>
        <v>PL Statement BCP</v>
      </c>
      <c r="S24" s="1302">
        <f>S17-S19</f>
        <v>144465.190988057</v>
      </c>
      <c r="T24" s="1302">
        <f t="shared" ref="T24:AD24" si="35">T17-T19</f>
        <v>84282.582720523322</v>
      </c>
      <c r="U24" s="1302">
        <f t="shared" si="35"/>
        <v>86442.868852323591</v>
      </c>
      <c r="V24" s="1302">
        <f t="shared" si="35"/>
        <v>74173.892799663852</v>
      </c>
      <c r="W24" s="1302">
        <f t="shared" si="35"/>
        <v>82331.004250363068</v>
      </c>
      <c r="X24" s="1302">
        <f t="shared" si="35"/>
        <v>112326.14242745214</v>
      </c>
      <c r="Y24" s="1302">
        <f t="shared" si="35"/>
        <v>90090.193172277417</v>
      </c>
      <c r="Z24" s="1302">
        <f t="shared" si="35"/>
        <v>78667.762864024553</v>
      </c>
      <c r="AA24" s="1302">
        <f t="shared" si="35"/>
        <v>77164.137702445732</v>
      </c>
      <c r="AB24" s="1302">
        <f t="shared" si="35"/>
        <v>96474.380985333526</v>
      </c>
      <c r="AC24" s="1302">
        <f t="shared" si="35"/>
        <v>88006.981933892646</v>
      </c>
      <c r="AD24" s="1302">
        <f t="shared" si="35"/>
        <v>94021.069958107953</v>
      </c>
      <c r="AE24" s="875">
        <f>SUM(S24,T24,U24)</f>
        <v>315190.64256090391</v>
      </c>
      <c r="AF24" s="158">
        <f>SUM(V24,W24,X24)</f>
        <v>268831.03947747906</v>
      </c>
      <c r="AG24" s="158">
        <f>SUM(Y24,Z24,AA24)</f>
        <v>245922.0937387477</v>
      </c>
      <c r="AH24" s="158">
        <f>SUM(AB24,AC24,AD24)</f>
        <v>278502.43287733413</v>
      </c>
      <c r="AI24" s="158">
        <f>AE24+AF24</f>
        <v>584021.68203838298</v>
      </c>
      <c r="AJ24" s="158">
        <f>AH24+AG24</f>
        <v>524424.52661608183</v>
      </c>
      <c r="AK24" s="158">
        <f>AI24+AJ24</f>
        <v>1108446.2086544647</v>
      </c>
      <c r="AM24" s="1893">
        <f ca="1">SUM((INDIRECT(AM$2&amp;(ROW())):INDIRECT(AM$3&amp;(ROW()))))</f>
        <v>144465.190988057</v>
      </c>
      <c r="AN24" s="1893">
        <f ca="1">SUM(INDIRECT(AN$1&amp;AN$2&amp;$C24):INDIRECT(AN$1&amp;AN$3&amp;$C24))</f>
        <v>142478.9910718805</v>
      </c>
      <c r="AO24" s="2688">
        <f t="shared" ca="1" si="14"/>
        <v>1986.1999161764979</v>
      </c>
      <c r="AP24" s="2689">
        <f t="shared" ca="1" si="15"/>
        <v>1.0139403002592464</v>
      </c>
      <c r="AQ24" s="1893">
        <f ca="1">SUM(INDIRECT(AQ$1&amp;AQ$2&amp;$A24):INDIRECT(AQ$1&amp;AQ$3&amp;$A24))+SUM(INDIRECT(AQ$1&amp;AQ$2&amp;$B24):INDIRECT(AQ$1&amp;AQ$3&amp;$B24))</f>
        <v>44377</v>
      </c>
      <c r="AR24" s="2688">
        <f t="shared" ca="1" si="2"/>
        <v>100088.190988057</v>
      </c>
      <c r="AS24" s="2689">
        <f t="shared" ca="1" si="30"/>
        <v>3.2554068771673839</v>
      </c>
      <c r="AU24" s="1893">
        <f ca="1">SUM((INDIRECT(AU$2&amp;(ROW())):INDIRECT(AU$3&amp;(ROW()))))</f>
        <v>144465.190988057</v>
      </c>
      <c r="AV24" s="1893">
        <f ca="1">SUM(INDIRECT(AV$1&amp;AV$2&amp;$C24):INDIRECT(AV$1&amp;AV$3&amp;$C24))</f>
        <v>142478.9910718805</v>
      </c>
      <c r="AW24" s="2688">
        <f t="shared" ca="1" si="4"/>
        <v>1986.1999161764979</v>
      </c>
      <c r="AX24" s="2689">
        <f t="shared" ca="1" si="31"/>
        <v>1.0139403002592464</v>
      </c>
      <c r="AY24" s="1893">
        <f ca="1">SUM(INDIRECT(AY$1&amp;AY$2&amp;$A24):INDIRECT(AY$1&amp;AY$3&amp;$A24))+SUM(INDIRECT(AY$1&amp;AY$2&amp;$B24):INDIRECT(AY$1&amp;AY$3&amp;$B24))</f>
        <v>44377</v>
      </c>
      <c r="AZ24" s="2688">
        <f t="shared" ca="1" si="6"/>
        <v>100088.190988057</v>
      </c>
      <c r="BA24" s="2689">
        <f t="shared" ca="1" si="32"/>
        <v>3.2554068771673839</v>
      </c>
      <c r="BC24" s="1893">
        <f ca="1">SUM((INDIRECT(BC$2&amp;(ROW())):INDIRECT(BC$3&amp;(ROW()))))</f>
        <v>144465.190988057</v>
      </c>
      <c r="BD24" s="1893">
        <f ca="1">SUM(INDIRECT(BD$1&amp;BD$2&amp;$C24):INDIRECT(BD$1&amp;BD$3&amp;$C24))</f>
        <v>142478.9910718805</v>
      </c>
      <c r="BE24" s="2688">
        <f t="shared" ca="1" si="8"/>
        <v>1986.1999161764979</v>
      </c>
      <c r="BF24" s="2689">
        <f t="shared" ca="1" si="33"/>
        <v>1.0139403002592464</v>
      </c>
      <c r="BG24" s="1893">
        <f ca="1">SUM(INDIRECT(BG$1&amp;BG$2&amp;$A24):INDIRECT(BG$1&amp;BG$3&amp;$A24))+SUM(INDIRECT(BG$1&amp;BG$2&amp;$B24):INDIRECT(BG$1&amp;BG$3&amp;$B24))</f>
        <v>44377</v>
      </c>
      <c r="BH24" s="2688">
        <f t="shared" ca="1" si="10"/>
        <v>100088.190988057</v>
      </c>
      <c r="BI24" s="2689">
        <f t="shared" ca="1" si="34"/>
        <v>3.2554068771673839</v>
      </c>
    </row>
    <row r="25" spans="1:61" ht="14.5">
      <c r="A25" s="1693">
        <f t="shared" si="16"/>
        <v>25</v>
      </c>
      <c r="B25" s="616">
        <v>1</v>
      </c>
      <c r="C25" s="1693">
        <f t="shared" si="12"/>
        <v>25</v>
      </c>
      <c r="D25" s="616">
        <v>1</v>
      </c>
      <c r="E25" s="709" t="s">
        <v>512</v>
      </c>
      <c r="F25" s="1572"/>
      <c r="G25" s="81"/>
      <c r="H25" s="81"/>
      <c r="I25" s="12"/>
      <c r="J25" s="153"/>
      <c r="K25" s="36"/>
      <c r="L25" s="35"/>
      <c r="M25" s="35"/>
      <c r="N25" s="36"/>
      <c r="O25" s="36"/>
      <c r="P25" s="36"/>
      <c r="Q25" s="35" t="s">
        <v>55</v>
      </c>
      <c r="R25" s="1776" t="str">
        <f>CHOOSE(2, "6722000002617", "PL Statement BCP (%)")</f>
        <v>PL Statement BCP (%)</v>
      </c>
      <c r="S25" s="1311">
        <f>IFERROR(S24/S14,0)</f>
        <v>0.13009467319733317</v>
      </c>
      <c r="T25" s="1311">
        <f t="shared" ref="T25:AD25" si="36">IFERROR(T24/T14,0)</f>
        <v>8.4677224117548036E-2</v>
      </c>
      <c r="U25" s="1311">
        <f t="shared" si="36"/>
        <v>9.5399625442576894E-2</v>
      </c>
      <c r="V25" s="1311">
        <f t="shared" si="36"/>
        <v>8.783096689536958E-2</v>
      </c>
      <c r="W25" s="1311">
        <f t="shared" si="36"/>
        <v>8.3473822795295555E-2</v>
      </c>
      <c r="X25" s="1311">
        <f t="shared" si="36"/>
        <v>0.10480153805198325</v>
      </c>
      <c r="Y25" s="1311">
        <f t="shared" si="36"/>
        <v>9.9270270543311084E-2</v>
      </c>
      <c r="Z25" s="1311">
        <f t="shared" si="36"/>
        <v>8.7414077900316536E-2</v>
      </c>
      <c r="AA25" s="1311">
        <f t="shared" si="36"/>
        <v>8.0632071515575526E-2</v>
      </c>
      <c r="AB25" s="1311">
        <f t="shared" si="36"/>
        <v>9.7795779229306809E-2</v>
      </c>
      <c r="AC25" s="1311">
        <f t="shared" si="36"/>
        <v>8.6013113236688227E-2</v>
      </c>
      <c r="AD25" s="1311">
        <f t="shared" si="36"/>
        <v>9.3627541452635688E-2</v>
      </c>
      <c r="AE25" s="1285">
        <f t="shared" ref="AE25:AK25" si="37">IFERROR(AE24/AE14,0)</f>
        <v>0.10464792933063621</v>
      </c>
      <c r="AF25" s="1311">
        <f t="shared" si="37"/>
        <v>9.2616838309892605E-2</v>
      </c>
      <c r="AG25" s="1311">
        <f t="shared" si="37"/>
        <v>8.8958491358881911E-2</v>
      </c>
      <c r="AH25" s="1311">
        <f t="shared" si="37"/>
        <v>9.2406845793423079E-2</v>
      </c>
      <c r="AI25" s="1311">
        <f t="shared" si="37"/>
        <v>9.8743550163124444E-2</v>
      </c>
      <c r="AJ25" s="1311">
        <f t="shared" si="37"/>
        <v>9.0757090217230538E-2</v>
      </c>
      <c r="AK25" s="1311">
        <f t="shared" si="37"/>
        <v>9.4796833424763666E-2</v>
      </c>
      <c r="AL25" s="504"/>
      <c r="AM25" s="2553">
        <f ca="1">IFERROR(AM24/AM14,0)</f>
        <v>0.13009467319733317</v>
      </c>
      <c r="AN25" s="2553">
        <f ca="1">IFERROR(AN24/AN14,0)</f>
        <v>0.1514043999710952</v>
      </c>
      <c r="AO25" s="2553">
        <f t="shared" ca="1" si="14"/>
        <v>-2.1309726773762028E-2</v>
      </c>
      <c r="AP25" s="2696"/>
      <c r="AQ25" s="2553">
        <f ca="1">IFERROR(AQ24/AQ14,0)</f>
        <v>6.8350648050457832E-2</v>
      </c>
      <c r="AR25" s="2553">
        <f t="shared" ca="1" si="2"/>
        <v>6.1744025146875339E-2</v>
      </c>
      <c r="AS25" s="2696"/>
      <c r="AT25" s="504"/>
      <c r="AU25" s="2553">
        <f ca="1">IFERROR(AU24/AU14,0)</f>
        <v>0.13009467319733317</v>
      </c>
      <c r="AV25" s="2553">
        <f ca="1">IFERROR(AV24/AV14,0)</f>
        <v>0.1514043999710952</v>
      </c>
      <c r="AW25" s="2553">
        <f t="shared" ca="1" si="4"/>
        <v>-2.1309726773762028E-2</v>
      </c>
      <c r="AX25" s="2696"/>
      <c r="AY25" s="2553">
        <f ca="1">IFERROR(AY24/AY14,0)</f>
        <v>6.8350648050457832E-2</v>
      </c>
      <c r="AZ25" s="2553">
        <f t="shared" ca="1" si="6"/>
        <v>6.1744025146875339E-2</v>
      </c>
      <c r="BA25" s="2696"/>
      <c r="BB25" s="504"/>
      <c r="BC25" s="2553">
        <f ca="1">IFERROR(BC24/BC14,0)</f>
        <v>0.13009467319733317</v>
      </c>
      <c r="BD25" s="2553">
        <f ca="1">IFERROR(BD24/BD14,0)</f>
        <v>0.1514043999710952</v>
      </c>
      <c r="BE25" s="2553">
        <f t="shared" ca="1" si="8"/>
        <v>-2.1309726773762028E-2</v>
      </c>
      <c r="BF25" s="2696"/>
      <c r="BG25" s="2553">
        <f ca="1">IFERROR(BG24/BG14,0)</f>
        <v>6.8350648050457832E-2</v>
      </c>
      <c r="BH25" s="2553">
        <f t="shared" ca="1" si="10"/>
        <v>6.1744025146875339E-2</v>
      </c>
      <c r="BI25" s="2696"/>
    </row>
    <row r="26" spans="1:61" ht="14.5">
      <c r="A26" s="1693">
        <f t="shared" si="16"/>
        <v>26</v>
      </c>
      <c r="B26" s="616">
        <v>1</v>
      </c>
      <c r="C26" s="1693">
        <f t="shared" si="12"/>
        <v>26</v>
      </c>
      <c r="D26" s="616">
        <v>1</v>
      </c>
      <c r="E26" s="709" t="s">
        <v>512</v>
      </c>
      <c r="F26" s="1572"/>
      <c r="G26" s="35"/>
      <c r="H26" s="35"/>
      <c r="I26" s="4"/>
      <c r="J26" s="153" t="s">
        <v>91</v>
      </c>
      <c r="K26" s="36"/>
      <c r="L26" s="35"/>
      <c r="M26" s="35"/>
      <c r="N26" s="36"/>
      <c r="O26" s="36"/>
      <c r="P26" s="36"/>
      <c r="Q26" s="36"/>
      <c r="R26" s="1777" t="str">
        <f>CHOOSE(2, "6722000002616", "PL Statement Other Income")</f>
        <v>PL Statement Other Income</v>
      </c>
      <c r="S26" s="1592">
        <f t="shared" ref="S26:AD27" si="38">S87+S417+S192+S274+S337</f>
        <v>1465</v>
      </c>
      <c r="T26" s="1592">
        <f t="shared" si="38"/>
        <v>3570</v>
      </c>
      <c r="U26" s="1592">
        <f t="shared" si="38"/>
        <v>1463</v>
      </c>
      <c r="V26" s="1592">
        <f t="shared" si="38"/>
        <v>2188</v>
      </c>
      <c r="W26" s="1592">
        <f t="shared" si="38"/>
        <v>1450</v>
      </c>
      <c r="X26" s="1592">
        <f t="shared" si="38"/>
        <v>1389</v>
      </c>
      <c r="Y26" s="1592">
        <f t="shared" si="38"/>
        <v>2530.5748100000001</v>
      </c>
      <c r="Z26" s="1592">
        <f t="shared" si="38"/>
        <v>2736.2130900000002</v>
      </c>
      <c r="AA26" s="1592">
        <f t="shared" si="38"/>
        <v>2183.53856</v>
      </c>
      <c r="AB26" s="1592">
        <f t="shared" si="38"/>
        <v>1830.0158799999999</v>
      </c>
      <c r="AC26" s="1592">
        <f t="shared" si="38"/>
        <v>2094.5670699999951</v>
      </c>
      <c r="AD26" s="1592">
        <f t="shared" si="38"/>
        <v>6234.7175999999999</v>
      </c>
      <c r="AE26" s="1593">
        <f>SUM(S26,T26,U26)</f>
        <v>6498</v>
      </c>
      <c r="AF26" s="1592">
        <f>SUM(V26,W26,X26)</f>
        <v>5027</v>
      </c>
      <c r="AG26" s="1592">
        <f>SUM(Y26,Z26,AA26)</f>
        <v>7450.3264600000002</v>
      </c>
      <c r="AH26" s="1592">
        <f>SUM(AB26,AC26,AD26)</f>
        <v>10159.300549999994</v>
      </c>
      <c r="AI26" s="1592">
        <f>AE26+AF26</f>
        <v>11525</v>
      </c>
      <c r="AJ26" s="1592">
        <f>AH26+AG26</f>
        <v>17609.627009999997</v>
      </c>
      <c r="AK26" s="1592">
        <f>AI26+AJ26</f>
        <v>29134.627009999997</v>
      </c>
      <c r="AM26" s="2555">
        <f ca="1">SUM((INDIRECT(AM$2&amp;(ROW())):INDIRECT(AM$3&amp;(ROW()))))</f>
        <v>1465</v>
      </c>
      <c r="AN26" s="2555">
        <f ca="1">SUM(INDIRECT(AN$1&amp;AN$2&amp;$C26):INDIRECT(AN$1&amp;AN$3&amp;$C26))</f>
        <v>0</v>
      </c>
      <c r="AO26" s="2697">
        <f t="shared" ca="1" si="14"/>
        <v>1465</v>
      </c>
      <c r="AP26" s="2698">
        <f t="shared" ca="1" si="15"/>
        <v>0</v>
      </c>
      <c r="AQ26" s="2555">
        <f ca="1">SUM(INDIRECT(AQ$1&amp;AQ$2&amp;$A26):INDIRECT(AQ$1&amp;AQ$3&amp;$A26))+SUM(INDIRECT(AQ$1&amp;AQ$2&amp;$B26):INDIRECT(AQ$1&amp;AQ$3&amp;$B26))</f>
        <v>9951</v>
      </c>
      <c r="AR26" s="2697">
        <f t="shared" ca="1" si="2"/>
        <v>-8486</v>
      </c>
      <c r="AS26" s="2698">
        <f t="shared" ref="AS26:AS28" ca="1" si="39">IFERROR(AM26/AQ26,0)</f>
        <v>0.14722138478544869</v>
      </c>
      <c r="AU26" s="2555">
        <f ca="1">SUM((INDIRECT(AU$2&amp;(ROW())):INDIRECT(AU$3&amp;(ROW()))))</f>
        <v>1465</v>
      </c>
      <c r="AV26" s="2555">
        <f ca="1">SUM(INDIRECT(AV$1&amp;AV$2&amp;$C26):INDIRECT(AV$1&amp;AV$3&amp;$C26))</f>
        <v>0</v>
      </c>
      <c r="AW26" s="2697">
        <f t="shared" ca="1" si="4"/>
        <v>1465</v>
      </c>
      <c r="AX26" s="2698">
        <f t="shared" ref="AX26:AX28" ca="1" si="40">IFERROR(AU26/AV26,0)</f>
        <v>0</v>
      </c>
      <c r="AY26" s="2555">
        <f ca="1">SUM(INDIRECT(AY$1&amp;AY$2&amp;$A26):INDIRECT(AY$1&amp;AY$3&amp;$A26))+SUM(INDIRECT(AY$1&amp;AY$2&amp;$B26):INDIRECT(AY$1&amp;AY$3&amp;$B26))</f>
        <v>9951</v>
      </c>
      <c r="AZ26" s="2697">
        <f t="shared" ca="1" si="6"/>
        <v>-8486</v>
      </c>
      <c r="BA26" s="2698">
        <f t="shared" ref="BA26:BA28" ca="1" si="41">IFERROR(AU26/AY26,0)</f>
        <v>0.14722138478544869</v>
      </c>
      <c r="BC26" s="2555">
        <f ca="1">SUM((INDIRECT(BC$2&amp;(ROW())):INDIRECT(BC$3&amp;(ROW()))))</f>
        <v>1465</v>
      </c>
      <c r="BD26" s="2555">
        <f ca="1">SUM(INDIRECT(BD$1&amp;BD$2&amp;$C26):INDIRECT(BD$1&amp;BD$3&amp;$C26))</f>
        <v>0</v>
      </c>
      <c r="BE26" s="2697">
        <f t="shared" ca="1" si="8"/>
        <v>1465</v>
      </c>
      <c r="BF26" s="2698">
        <f t="shared" ref="BF26:BF28" ca="1" si="42">IFERROR(BC26/BD26,0)</f>
        <v>0</v>
      </c>
      <c r="BG26" s="2555">
        <f ca="1">SUM(INDIRECT(BG$1&amp;BG$2&amp;$A26):INDIRECT(BG$1&amp;BG$3&amp;$A26))+SUM(INDIRECT(BG$1&amp;BG$2&amp;$B26):INDIRECT(BG$1&amp;BG$3&amp;$B26))</f>
        <v>9951</v>
      </c>
      <c r="BH26" s="2697">
        <f t="shared" ca="1" si="10"/>
        <v>-8486</v>
      </c>
      <c r="BI26" s="2698">
        <f t="shared" ref="BI26:BI28" ca="1" si="43">IFERROR(BC26/BG26,0)</f>
        <v>0.14722138478544869</v>
      </c>
    </row>
    <row r="27" spans="1:61" ht="14.5">
      <c r="A27" s="1693">
        <f t="shared" si="16"/>
        <v>27</v>
      </c>
      <c r="B27" s="616">
        <v>1</v>
      </c>
      <c r="C27" s="1693">
        <f t="shared" si="12"/>
        <v>27</v>
      </c>
      <c r="D27" s="616">
        <v>1</v>
      </c>
      <c r="E27" s="709" t="s">
        <v>512</v>
      </c>
      <c r="F27" s="1572"/>
      <c r="G27" s="35"/>
      <c r="H27" s="35"/>
      <c r="I27" s="4"/>
      <c r="J27" s="106" t="s">
        <v>73</v>
      </c>
      <c r="K27" s="104"/>
      <c r="L27" s="105"/>
      <c r="M27" s="105"/>
      <c r="N27" s="104"/>
      <c r="O27" s="104"/>
      <c r="P27" s="104"/>
      <c r="Q27" s="104"/>
      <c r="R27" s="1777" t="str">
        <f>CHOOSE(2, "6722000002615", "PL Statement Other Expenses")</f>
        <v>PL Statement Other Expenses</v>
      </c>
      <c r="S27" s="1591">
        <f t="shared" si="38"/>
        <v>0</v>
      </c>
      <c r="T27" s="1591">
        <f t="shared" si="38"/>
        <v>0</v>
      </c>
      <c r="U27" s="1591">
        <f t="shared" si="38"/>
        <v>0</v>
      </c>
      <c r="V27" s="1591">
        <f t="shared" si="38"/>
        <v>0</v>
      </c>
      <c r="W27" s="1591">
        <f t="shared" si="38"/>
        <v>0</v>
      </c>
      <c r="X27" s="1591">
        <f t="shared" si="38"/>
        <v>0</v>
      </c>
      <c r="Y27" s="1591">
        <f t="shared" si="38"/>
        <v>0</v>
      </c>
      <c r="Z27" s="1591">
        <f t="shared" si="38"/>
        <v>0</v>
      </c>
      <c r="AA27" s="1591">
        <f t="shared" si="38"/>
        <v>0</v>
      </c>
      <c r="AB27" s="1591">
        <f t="shared" si="38"/>
        <v>0</v>
      </c>
      <c r="AC27" s="1591">
        <f t="shared" si="38"/>
        <v>0</v>
      </c>
      <c r="AD27" s="1591">
        <f t="shared" si="38"/>
        <v>0</v>
      </c>
      <c r="AE27" s="1590">
        <f>SUM(S27,T27,U27)</f>
        <v>0</v>
      </c>
      <c r="AF27" s="1591">
        <f>SUM(V27,W27,X27)</f>
        <v>0</v>
      </c>
      <c r="AG27" s="1591">
        <f>SUM(Y27,Z27,AA27)</f>
        <v>0</v>
      </c>
      <c r="AH27" s="1591">
        <f>SUM(AB27,AC27,AD27)</f>
        <v>0</v>
      </c>
      <c r="AI27" s="1591">
        <f>AE27+AF27</f>
        <v>0</v>
      </c>
      <c r="AJ27" s="1591">
        <f>AH27+AG27</f>
        <v>0</v>
      </c>
      <c r="AK27" s="1591">
        <f>AI27+AJ27</f>
        <v>0</v>
      </c>
      <c r="AM27" s="2556">
        <f ca="1">SUM((INDIRECT(AM$2&amp;(ROW())):INDIRECT(AM$3&amp;(ROW()))))</f>
        <v>0</v>
      </c>
      <c r="AN27" s="2556">
        <f ca="1">SUM(INDIRECT(AN$1&amp;AN$2&amp;$C27):INDIRECT(AN$1&amp;AN$3&amp;$C27))</f>
        <v>0</v>
      </c>
      <c r="AO27" s="2699">
        <f t="shared" ca="1" si="14"/>
        <v>0</v>
      </c>
      <c r="AP27" s="2700">
        <f t="shared" ca="1" si="15"/>
        <v>0</v>
      </c>
      <c r="AQ27" s="2556">
        <f ca="1">SUM(INDIRECT(AQ$1&amp;AQ$2&amp;$A27):INDIRECT(AQ$1&amp;AQ$3&amp;$A27))+SUM(INDIRECT(AQ$1&amp;AQ$2&amp;$B27):INDIRECT(AQ$1&amp;AQ$3&amp;$B27))</f>
        <v>0</v>
      </c>
      <c r="AR27" s="2699">
        <f t="shared" ca="1" si="2"/>
        <v>0</v>
      </c>
      <c r="AS27" s="2700">
        <f t="shared" ca="1" si="39"/>
        <v>0</v>
      </c>
      <c r="AU27" s="2556">
        <f ca="1">SUM((INDIRECT(AU$2&amp;(ROW())):INDIRECT(AU$3&amp;(ROW()))))</f>
        <v>0</v>
      </c>
      <c r="AV27" s="2556">
        <f ca="1">SUM(INDIRECT(AV$1&amp;AV$2&amp;$C27):INDIRECT(AV$1&amp;AV$3&amp;$C27))</f>
        <v>0</v>
      </c>
      <c r="AW27" s="2699">
        <f t="shared" ca="1" si="4"/>
        <v>0</v>
      </c>
      <c r="AX27" s="2700">
        <f t="shared" ca="1" si="40"/>
        <v>0</v>
      </c>
      <c r="AY27" s="2556">
        <f ca="1">SUM(INDIRECT(AY$1&amp;AY$2&amp;$A27):INDIRECT(AY$1&amp;AY$3&amp;$A27))+SUM(INDIRECT(AY$1&amp;AY$2&amp;$B27):INDIRECT(AY$1&amp;AY$3&amp;$B27))</f>
        <v>0</v>
      </c>
      <c r="AZ27" s="2699">
        <f t="shared" ca="1" si="6"/>
        <v>0</v>
      </c>
      <c r="BA27" s="2700">
        <f t="shared" ca="1" si="41"/>
        <v>0</v>
      </c>
      <c r="BC27" s="2556">
        <f ca="1">SUM((INDIRECT(BC$2&amp;(ROW())):INDIRECT(BC$3&amp;(ROW()))))</f>
        <v>0</v>
      </c>
      <c r="BD27" s="2556">
        <f ca="1">SUM(INDIRECT(BD$1&amp;BD$2&amp;$C27):INDIRECT(BD$1&amp;BD$3&amp;$C27))</f>
        <v>0</v>
      </c>
      <c r="BE27" s="2699">
        <f t="shared" ca="1" si="8"/>
        <v>0</v>
      </c>
      <c r="BF27" s="2700">
        <f t="shared" ca="1" si="42"/>
        <v>0</v>
      </c>
      <c r="BG27" s="2556">
        <f ca="1">SUM(INDIRECT(BG$1&amp;BG$2&amp;$A27):INDIRECT(BG$1&amp;BG$3&amp;$A27))+SUM(INDIRECT(BG$1&amp;BG$2&amp;$B27):INDIRECT(BG$1&amp;BG$3&amp;$B27))</f>
        <v>0</v>
      </c>
      <c r="BH27" s="2699">
        <f t="shared" ca="1" si="10"/>
        <v>0</v>
      </c>
      <c r="BI27" s="2700">
        <f t="shared" ca="1" si="43"/>
        <v>0</v>
      </c>
    </row>
    <row r="28" spans="1:61" ht="14.5">
      <c r="A28" s="1693">
        <f t="shared" si="16"/>
        <v>28</v>
      </c>
      <c r="B28" s="616">
        <v>1</v>
      </c>
      <c r="C28" s="1693">
        <f t="shared" si="12"/>
        <v>28</v>
      </c>
      <c r="D28" s="616">
        <v>1</v>
      </c>
      <c r="E28" s="709" t="s">
        <v>512</v>
      </c>
      <c r="F28" s="1572"/>
      <c r="G28" s="35"/>
      <c r="H28" s="35"/>
      <c r="I28" s="4"/>
      <c r="J28" s="161" t="s">
        <v>92</v>
      </c>
      <c r="K28" s="160"/>
      <c r="L28" s="160"/>
      <c r="M28" s="160"/>
      <c r="N28" s="160"/>
      <c r="O28" s="160"/>
      <c r="P28" s="160"/>
      <c r="Q28" s="861"/>
      <c r="R28" s="1774" t="str">
        <f>CHOOSE(2, "6722000002614", "PL Statement Operating Profit")</f>
        <v>PL Statement Operating Profit</v>
      </c>
      <c r="S28" s="1302">
        <f>S24+S26-S27</f>
        <v>145930.190988057</v>
      </c>
      <c r="T28" s="1302">
        <f t="shared" ref="T28:AD28" si="44">T24+T26-T27</f>
        <v>87852.582720523322</v>
      </c>
      <c r="U28" s="1302">
        <f t="shared" si="44"/>
        <v>87905.868852323591</v>
      </c>
      <c r="V28" s="1302">
        <f t="shared" si="44"/>
        <v>76361.892799663852</v>
      </c>
      <c r="W28" s="1302">
        <f t="shared" si="44"/>
        <v>83781.004250363068</v>
      </c>
      <c r="X28" s="1302">
        <f t="shared" si="44"/>
        <v>113715.14242745214</v>
      </c>
      <c r="Y28" s="1302">
        <f t="shared" si="44"/>
        <v>92620.767982277423</v>
      </c>
      <c r="Z28" s="1302">
        <f t="shared" si="44"/>
        <v>81403.975954024558</v>
      </c>
      <c r="AA28" s="1302">
        <f t="shared" si="44"/>
        <v>79347.676262445733</v>
      </c>
      <c r="AB28" s="1302">
        <f t="shared" si="44"/>
        <v>98304.396865333532</v>
      </c>
      <c r="AC28" s="1302">
        <f t="shared" si="44"/>
        <v>90101.549003892636</v>
      </c>
      <c r="AD28" s="1302">
        <f t="shared" si="44"/>
        <v>100255.78755810796</v>
      </c>
      <c r="AE28" s="875">
        <f>SUM(S28,T28,U28)</f>
        <v>321688.64256090391</v>
      </c>
      <c r="AF28" s="158">
        <f>SUM(V28,W28,X28)</f>
        <v>273858.03947747906</v>
      </c>
      <c r="AG28" s="158">
        <f>SUM(Y28,Z28,AA28)</f>
        <v>253372.42019874771</v>
      </c>
      <c r="AH28" s="158">
        <f>SUM(AB28,AC28,AD28)</f>
        <v>288661.73342733411</v>
      </c>
      <c r="AI28" s="158">
        <f>AE28+AF28</f>
        <v>595546.68203838298</v>
      </c>
      <c r="AJ28" s="158">
        <f>AH28+AG28</f>
        <v>542034.15362608177</v>
      </c>
      <c r="AK28" s="158">
        <f>AI28+AJ28</f>
        <v>1137580.8356644646</v>
      </c>
      <c r="AM28" s="1893">
        <f ca="1">SUM((INDIRECT(AM$2&amp;(ROW())):INDIRECT(AM$3&amp;(ROW()))))</f>
        <v>145930.190988057</v>
      </c>
      <c r="AN28" s="1893">
        <f ca="1">SUM(INDIRECT(AN$1&amp;AN$2&amp;$C28):INDIRECT(AN$1&amp;AN$3&amp;$C28))</f>
        <v>142478.9910718805</v>
      </c>
      <c r="AO28" s="2688">
        <f t="shared" ca="1" si="14"/>
        <v>3451.1999161764979</v>
      </c>
      <c r="AP28" s="2689">
        <f t="shared" ca="1" si="15"/>
        <v>1.0242225179320323</v>
      </c>
      <c r="AQ28" s="1893">
        <f ca="1">SUM(INDIRECT(AQ$1&amp;AQ$2&amp;$A28):INDIRECT(AQ$1&amp;AQ$3&amp;$A28))+SUM(INDIRECT(AQ$1&amp;AQ$2&amp;$B28):INDIRECT(AQ$1&amp;AQ$3&amp;$B28))</f>
        <v>54328</v>
      </c>
      <c r="AR28" s="2688">
        <f t="shared" ca="1" si="2"/>
        <v>91602.190988057002</v>
      </c>
      <c r="AS28" s="2689">
        <f t="shared" ca="1" si="39"/>
        <v>2.6860954017828194</v>
      </c>
      <c r="AU28" s="1893">
        <f ca="1">SUM((INDIRECT(AU$2&amp;(ROW())):INDIRECT(AU$3&amp;(ROW()))))</f>
        <v>145930.190988057</v>
      </c>
      <c r="AV28" s="1893">
        <f ca="1">SUM(INDIRECT(AV$1&amp;AV$2&amp;$C28):INDIRECT(AV$1&amp;AV$3&amp;$C28))</f>
        <v>142478.9910718805</v>
      </c>
      <c r="AW28" s="2688">
        <f t="shared" ca="1" si="4"/>
        <v>3451.1999161764979</v>
      </c>
      <c r="AX28" s="2689">
        <f t="shared" ca="1" si="40"/>
        <v>1.0242225179320323</v>
      </c>
      <c r="AY28" s="1893">
        <f ca="1">SUM(INDIRECT(AY$1&amp;AY$2&amp;$A28):INDIRECT(AY$1&amp;AY$3&amp;$A28))+SUM(INDIRECT(AY$1&amp;AY$2&amp;$B28):INDIRECT(AY$1&amp;AY$3&amp;$B28))</f>
        <v>54328</v>
      </c>
      <c r="AZ28" s="2688">
        <f t="shared" ca="1" si="6"/>
        <v>91602.190988057002</v>
      </c>
      <c r="BA28" s="2689">
        <f t="shared" ca="1" si="41"/>
        <v>2.6860954017828194</v>
      </c>
      <c r="BC28" s="1893">
        <f ca="1">SUM((INDIRECT(BC$2&amp;(ROW())):INDIRECT(BC$3&amp;(ROW()))))</f>
        <v>145930.190988057</v>
      </c>
      <c r="BD28" s="1893">
        <f ca="1">SUM(INDIRECT(BD$1&amp;BD$2&amp;$C28):INDIRECT(BD$1&amp;BD$3&amp;$C28))</f>
        <v>142478.9910718805</v>
      </c>
      <c r="BE28" s="2688">
        <f t="shared" ca="1" si="8"/>
        <v>3451.1999161764979</v>
      </c>
      <c r="BF28" s="2689">
        <f t="shared" ca="1" si="42"/>
        <v>1.0242225179320323</v>
      </c>
      <c r="BG28" s="1893">
        <f ca="1">SUM(INDIRECT(BG$1&amp;BG$2&amp;$A28):INDIRECT(BG$1&amp;BG$3&amp;$A28))+SUM(INDIRECT(BG$1&amp;BG$2&amp;$B28):INDIRECT(BG$1&amp;BG$3&amp;$B28))</f>
        <v>54328</v>
      </c>
      <c r="BH28" s="2688">
        <f t="shared" ca="1" si="10"/>
        <v>91602.190988057002</v>
      </c>
      <c r="BI28" s="2689">
        <f t="shared" ca="1" si="43"/>
        <v>2.6860954017828194</v>
      </c>
    </row>
    <row r="29" spans="1:61" ht="14.5">
      <c r="A29" s="1693">
        <f t="shared" si="16"/>
        <v>29</v>
      </c>
      <c r="B29" s="616">
        <v>1</v>
      </c>
      <c r="C29" s="1693">
        <f t="shared" si="12"/>
        <v>29</v>
      </c>
      <c r="D29" s="616">
        <v>1</v>
      </c>
      <c r="E29" s="709" t="s">
        <v>512</v>
      </c>
      <c r="F29" s="1572"/>
      <c r="G29" s="35"/>
      <c r="H29" s="35"/>
      <c r="I29" s="4"/>
      <c r="J29" s="106"/>
      <c r="K29" s="104"/>
      <c r="L29" s="105"/>
      <c r="M29" s="105"/>
      <c r="N29" s="104"/>
      <c r="O29" s="104"/>
      <c r="P29" s="104"/>
      <c r="Q29" s="105" t="s">
        <v>55</v>
      </c>
      <c r="R29" s="1776" t="str">
        <f>CHOOSE(2, "6722000002613", "PL Statement Operating Profit (%)")</f>
        <v>PL Statement Operating Profit (%)</v>
      </c>
      <c r="S29" s="1313">
        <f>IFERROR(S28/S14,0)</f>
        <v>0.1314139439152866</v>
      </c>
      <c r="T29" s="1313">
        <f t="shared" ref="T29:AD29" si="45">IFERROR(T28/T14,0)</f>
        <v>8.8263940142874989E-2</v>
      </c>
      <c r="U29" s="1313">
        <f t="shared" si="45"/>
        <v>9.7014213827663079E-2</v>
      </c>
      <c r="V29" s="1313">
        <f t="shared" si="45"/>
        <v>9.0421826675186071E-2</v>
      </c>
      <c r="W29" s="1313">
        <f t="shared" si="45"/>
        <v>8.4943949926079884E-2</v>
      </c>
      <c r="X29" s="1313">
        <f t="shared" si="45"/>
        <v>0.10609749047417404</v>
      </c>
      <c r="Y29" s="1313">
        <f t="shared" si="45"/>
        <v>0.10205870774355555</v>
      </c>
      <c r="Z29" s="1313">
        <f t="shared" si="45"/>
        <v>9.0454504315067255E-2</v>
      </c>
      <c r="AA29" s="1313">
        <f t="shared" si="45"/>
        <v>8.2913743320240263E-2</v>
      </c>
      <c r="AB29" s="1313">
        <f t="shared" si="45"/>
        <v>9.9650860621472603E-2</v>
      </c>
      <c r="AC29" s="1313">
        <f t="shared" si="45"/>
        <v>8.8060226211305145E-2</v>
      </c>
      <c r="AD29" s="1313">
        <f t="shared" si="45"/>
        <v>9.9836163422153471E-2</v>
      </c>
      <c r="AE29" s="1288">
        <f t="shared" ref="AE29:AK29" si="46">IFERROR(AE28/AE14,0)</f>
        <v>0.10680536090685783</v>
      </c>
      <c r="AF29" s="1313">
        <f t="shared" si="46"/>
        <v>9.4348724802943332E-2</v>
      </c>
      <c r="AG29" s="1313">
        <f t="shared" si="46"/>
        <v>9.1653531043754011E-2</v>
      </c>
      <c r="AH29" s="1313">
        <f t="shared" si="46"/>
        <v>9.5777692179193713E-2</v>
      </c>
      <c r="AI29" s="1313">
        <f t="shared" si="46"/>
        <v>0.10069214120114556</v>
      </c>
      <c r="AJ29" s="1313">
        <f t="shared" si="46"/>
        <v>9.380461836689763E-2</v>
      </c>
      <c r="AK29" s="1313">
        <f t="shared" si="46"/>
        <v>9.728849279622942E-2</v>
      </c>
      <c r="AL29" s="504"/>
      <c r="AM29" s="2549">
        <f ca="1">IFERROR(AM28/AM14,0)</f>
        <v>0.1314139439152866</v>
      </c>
      <c r="AN29" s="2549">
        <f ca="1">IFERROR(AN28/AN14,0)</f>
        <v>0.1514043999710952</v>
      </c>
      <c r="AO29" s="2549">
        <f t="shared" ca="1" si="14"/>
        <v>-1.9990456055808598E-2</v>
      </c>
      <c r="AP29" s="2690"/>
      <c r="AQ29" s="2549">
        <f ca="1">IFERROR(AQ28/AQ14,0)</f>
        <v>8.3677445687749805E-2</v>
      </c>
      <c r="AR29" s="2549">
        <f t="shared" ca="1" si="2"/>
        <v>4.7736498227536797E-2</v>
      </c>
      <c r="AS29" s="2690"/>
      <c r="AT29" s="504"/>
      <c r="AU29" s="2549">
        <f ca="1">IFERROR(AU28/AU14,0)</f>
        <v>0.1314139439152866</v>
      </c>
      <c r="AV29" s="2549">
        <f ca="1">IFERROR(AV28/AV14,0)</f>
        <v>0.1514043999710952</v>
      </c>
      <c r="AW29" s="2549">
        <f t="shared" ca="1" si="4"/>
        <v>-1.9990456055808598E-2</v>
      </c>
      <c r="AX29" s="2690"/>
      <c r="AY29" s="2549">
        <f ca="1">IFERROR(AY28/AY14,0)</f>
        <v>8.3677445687749805E-2</v>
      </c>
      <c r="AZ29" s="2549">
        <f t="shared" ca="1" si="6"/>
        <v>4.7736498227536797E-2</v>
      </c>
      <c r="BA29" s="2690"/>
      <c r="BB29" s="504"/>
      <c r="BC29" s="2549">
        <f ca="1">IFERROR(BC28/BC14,0)</f>
        <v>0.1314139439152866</v>
      </c>
      <c r="BD29" s="2549">
        <f ca="1">IFERROR(BD28/BD14,0)</f>
        <v>0.1514043999710952</v>
      </c>
      <c r="BE29" s="2549">
        <f t="shared" ca="1" si="8"/>
        <v>-1.9990456055808598E-2</v>
      </c>
      <c r="BF29" s="2690"/>
      <c r="BG29" s="2549">
        <f ca="1">IFERROR(BG28/BG14,0)</f>
        <v>8.3677445687749805E-2</v>
      </c>
      <c r="BH29" s="2549">
        <f t="shared" ca="1" si="10"/>
        <v>4.7736498227536797E-2</v>
      </c>
      <c r="BI29" s="2690"/>
    </row>
    <row r="30" spans="1:61" ht="14.5">
      <c r="A30" s="1693">
        <f t="shared" si="16"/>
        <v>30</v>
      </c>
      <c r="B30" s="616">
        <v>1</v>
      </c>
      <c r="C30" s="1693">
        <f t="shared" si="12"/>
        <v>30</v>
      </c>
      <c r="D30" s="616">
        <v>1</v>
      </c>
      <c r="E30" s="709" t="s">
        <v>512</v>
      </c>
      <c r="F30" s="69"/>
      <c r="G30" s="35"/>
      <c r="H30" s="35"/>
      <c r="I30" s="4"/>
      <c r="J30" s="153" t="s">
        <v>93</v>
      </c>
      <c r="K30" s="36"/>
      <c r="L30" s="35"/>
      <c r="M30" s="35"/>
      <c r="N30" s="36"/>
      <c r="O30" s="36"/>
      <c r="P30" s="36"/>
      <c r="Q30" s="35"/>
      <c r="R30" s="1777" t="str">
        <f>CHOOSE(2, "6722000002612", "PL Statement Financial Income/Expenses")</f>
        <v>PL Statement Financial Income/Expenses</v>
      </c>
      <c r="S30" s="1592">
        <f>S31-S32</f>
        <v>17132</v>
      </c>
      <c r="T30" s="1592">
        <f t="shared" ref="T30:AD30" si="47">T31-T32</f>
        <v>16223</v>
      </c>
      <c r="U30" s="1592">
        <f t="shared" si="47"/>
        <v>17280</v>
      </c>
      <c r="V30" s="1592">
        <f t="shared" si="47"/>
        <v>18309</v>
      </c>
      <c r="W30" s="1592">
        <f t="shared" si="47"/>
        <v>14086</v>
      </c>
      <c r="X30" s="1592">
        <f t="shared" si="47"/>
        <v>12995</v>
      </c>
      <c r="Y30" s="1592">
        <f t="shared" si="47"/>
        <v>21648</v>
      </c>
      <c r="Z30" s="1592">
        <f t="shared" si="47"/>
        <v>15369.527389999999</v>
      </c>
      <c r="AA30" s="1592">
        <f t="shared" si="47"/>
        <v>16854</v>
      </c>
      <c r="AB30" s="1592">
        <f t="shared" si="47"/>
        <v>18868.41344</v>
      </c>
      <c r="AC30" s="1592">
        <f t="shared" si="47"/>
        <v>19119.216610000003</v>
      </c>
      <c r="AD30" s="1592">
        <f t="shared" si="47"/>
        <v>68779.575790000003</v>
      </c>
      <c r="AE30" s="1593">
        <f t="shared" ref="AE30:AE35" si="48">SUM(S30,T30,U30)</f>
        <v>50635</v>
      </c>
      <c r="AF30" s="1592">
        <f t="shared" ref="AF30:AF35" si="49">SUM(V30,W30,X30)</f>
        <v>45390</v>
      </c>
      <c r="AG30" s="1592">
        <f t="shared" ref="AG30:AG35" si="50">SUM(Y30,Z30,AA30)</f>
        <v>53871.527390000003</v>
      </c>
      <c r="AH30" s="1592">
        <f t="shared" ref="AH30:AH35" si="51">SUM(AB30,AC30,AD30)</f>
        <v>106767.20584000001</v>
      </c>
      <c r="AI30" s="1592">
        <f t="shared" ref="AI30:AI35" si="52">AE30+AF30</f>
        <v>96025</v>
      </c>
      <c r="AJ30" s="1592">
        <f t="shared" ref="AJ30:AJ35" si="53">AH30+AG30</f>
        <v>160638.73323000001</v>
      </c>
      <c r="AK30" s="1592">
        <f t="shared" ref="AK30:AK35" si="54">AI30+AJ30</f>
        <v>256663.73323000001</v>
      </c>
      <c r="AM30" s="2555">
        <f ca="1">SUM((INDIRECT(AM$2&amp;(ROW())):INDIRECT(AM$3&amp;(ROW()))))</f>
        <v>17132</v>
      </c>
      <c r="AN30" s="2555">
        <f ca="1">SUM(INDIRECT(AN$1&amp;AN$2&amp;$C30):INDIRECT(AN$1&amp;AN$3&amp;$C30))</f>
        <v>0</v>
      </c>
      <c r="AO30" s="2697">
        <f t="shared" ca="1" si="14"/>
        <v>17132</v>
      </c>
      <c r="AP30" s="2698">
        <f t="shared" ca="1" si="15"/>
        <v>0</v>
      </c>
      <c r="AQ30" s="2555">
        <f ca="1">SUM(INDIRECT(AQ$1&amp;AQ$2&amp;$A30):INDIRECT(AQ$1&amp;AQ$3&amp;$A30))+SUM(INDIRECT(AQ$1&amp;AQ$2&amp;$B30):INDIRECT(AQ$1&amp;AQ$3&amp;$B30))</f>
        <v>13664</v>
      </c>
      <c r="AR30" s="2697">
        <f t="shared" ca="1" si="2"/>
        <v>3468</v>
      </c>
      <c r="AS30" s="2698">
        <f t="shared" ref="AS30:AS35" ca="1" si="55">IFERROR(AM30/AQ30,0)</f>
        <v>1.2538056206088992</v>
      </c>
      <c r="AU30" s="2555">
        <f ca="1">SUM((INDIRECT(AU$2&amp;(ROW())):INDIRECT(AU$3&amp;(ROW()))))</f>
        <v>17132</v>
      </c>
      <c r="AV30" s="2555">
        <f ca="1">SUM(INDIRECT(AV$1&amp;AV$2&amp;$C30):INDIRECT(AV$1&amp;AV$3&amp;$C30))</f>
        <v>0</v>
      </c>
      <c r="AW30" s="2697">
        <f t="shared" ca="1" si="4"/>
        <v>17132</v>
      </c>
      <c r="AX30" s="2698">
        <f t="shared" ref="AX30:AX35" ca="1" si="56">IFERROR(AU30/AV30,0)</f>
        <v>0</v>
      </c>
      <c r="AY30" s="2555">
        <f ca="1">SUM(INDIRECT(AY$1&amp;AY$2&amp;$A30):INDIRECT(AY$1&amp;AY$3&amp;$A30))+SUM(INDIRECT(AY$1&amp;AY$2&amp;$B30):INDIRECT(AY$1&amp;AY$3&amp;$B30))</f>
        <v>13664</v>
      </c>
      <c r="AZ30" s="2697">
        <f t="shared" ca="1" si="6"/>
        <v>3468</v>
      </c>
      <c r="BA30" s="2698">
        <f t="shared" ref="BA30:BA35" ca="1" si="57">IFERROR(AU30/AY30,0)</f>
        <v>1.2538056206088992</v>
      </c>
      <c r="BC30" s="2555">
        <f ca="1">SUM((INDIRECT(BC$2&amp;(ROW())):INDIRECT(BC$3&amp;(ROW()))))</f>
        <v>17132</v>
      </c>
      <c r="BD30" s="2555">
        <f ca="1">SUM(INDIRECT(BD$1&amp;BD$2&amp;$C30):INDIRECT(BD$1&amp;BD$3&amp;$C30))</f>
        <v>0</v>
      </c>
      <c r="BE30" s="2697">
        <f t="shared" ca="1" si="8"/>
        <v>17132</v>
      </c>
      <c r="BF30" s="2698">
        <f t="shared" ref="BF30:BF35" ca="1" si="58">IFERROR(BC30/BD30,0)</f>
        <v>0</v>
      </c>
      <c r="BG30" s="2555">
        <f ca="1">SUM(INDIRECT(BG$1&amp;BG$2&amp;$A30):INDIRECT(BG$1&amp;BG$3&amp;$A30))+SUM(INDIRECT(BG$1&amp;BG$2&amp;$B30):INDIRECT(BG$1&amp;BG$3&amp;$B30))</f>
        <v>13664</v>
      </c>
      <c r="BH30" s="2697">
        <f t="shared" ca="1" si="10"/>
        <v>3468</v>
      </c>
      <c r="BI30" s="2698">
        <f t="shared" ref="BI30:BI35" ca="1" si="59">IFERROR(BC30/BG30,0)</f>
        <v>1.2538056206088992</v>
      </c>
    </row>
    <row r="31" spans="1:61" ht="14.5">
      <c r="A31" s="1693">
        <f t="shared" si="16"/>
        <v>31</v>
      </c>
      <c r="B31" s="616">
        <v>1</v>
      </c>
      <c r="C31" s="1693">
        <f t="shared" si="12"/>
        <v>31</v>
      </c>
      <c r="D31" s="616">
        <v>1</v>
      </c>
      <c r="E31" s="709" t="s">
        <v>512</v>
      </c>
      <c r="F31" s="69"/>
      <c r="G31" s="81"/>
      <c r="H31" s="81"/>
      <c r="I31" s="12"/>
      <c r="J31" s="153"/>
      <c r="K31" s="108" t="s">
        <v>94</v>
      </c>
      <c r="L31" s="108"/>
      <c r="M31" s="156"/>
      <c r="N31" s="108"/>
      <c r="O31" s="108"/>
      <c r="P31" s="108"/>
      <c r="Q31" s="108"/>
      <c r="R31" s="1778" t="str">
        <f>CHOOSE(2, "6722000002611", "PL Statement Financial Income")</f>
        <v>PL Statement Financial Income</v>
      </c>
      <c r="S31" s="1233">
        <v>17428</v>
      </c>
      <c r="T31" s="1233">
        <v>16612</v>
      </c>
      <c r="U31" s="1233">
        <v>20268</v>
      </c>
      <c r="V31" s="1233">
        <v>18309</v>
      </c>
      <c r="W31" s="1233">
        <v>14086</v>
      </c>
      <c r="X31" s="1233">
        <f>15948</f>
        <v>15948</v>
      </c>
      <c r="Y31" s="1233">
        <v>21648</v>
      </c>
      <c r="Z31" s="1233">
        <v>16659.667389999999</v>
      </c>
      <c r="AA31" s="1233">
        <v>19655</v>
      </c>
      <c r="AB31" s="1233">
        <v>18868.41344</v>
      </c>
      <c r="AC31" s="1233">
        <v>19394.060000000001</v>
      </c>
      <c r="AD31" s="1233">
        <v>71654.877800000002</v>
      </c>
      <c r="AE31" s="876">
        <f t="shared" si="48"/>
        <v>54308</v>
      </c>
      <c r="AF31" s="154">
        <f t="shared" si="49"/>
        <v>48343</v>
      </c>
      <c r="AG31" s="154">
        <f t="shared" si="50"/>
        <v>57962.667390000002</v>
      </c>
      <c r="AH31" s="154">
        <f t="shared" si="51"/>
        <v>109917.35124</v>
      </c>
      <c r="AI31" s="154">
        <f t="shared" si="52"/>
        <v>102651</v>
      </c>
      <c r="AJ31" s="154">
        <f t="shared" si="53"/>
        <v>167880.01863000001</v>
      </c>
      <c r="AK31" s="154">
        <f t="shared" si="54"/>
        <v>270531.01863000001</v>
      </c>
      <c r="AM31" s="1907">
        <f ca="1">SUM((INDIRECT(AM$2&amp;(ROW())):INDIRECT(AM$3&amp;(ROW()))))</f>
        <v>17428</v>
      </c>
      <c r="AN31" s="1907">
        <f ca="1">SUM(INDIRECT(AN$1&amp;AN$2&amp;$C31):INDIRECT(AN$1&amp;AN$3&amp;$C31))</f>
        <v>0</v>
      </c>
      <c r="AO31" s="2692">
        <f t="shared" ca="1" si="14"/>
        <v>17428</v>
      </c>
      <c r="AP31" s="2693">
        <f t="shared" ca="1" si="15"/>
        <v>0</v>
      </c>
      <c r="AQ31" s="1907">
        <f ca="1">SUM(INDIRECT(AQ$1&amp;AQ$2&amp;$A31):INDIRECT(AQ$1&amp;AQ$3&amp;$A31))+SUM(INDIRECT(AQ$1&amp;AQ$2&amp;$B31):INDIRECT(AQ$1&amp;AQ$3&amp;$B31))</f>
        <v>13664</v>
      </c>
      <c r="AR31" s="2692">
        <f t="shared" ca="1" si="2"/>
        <v>3764</v>
      </c>
      <c r="AS31" s="2693">
        <f t="shared" ca="1" si="55"/>
        <v>1.2754683840749415</v>
      </c>
      <c r="AU31" s="1907">
        <f ca="1">SUM((INDIRECT(AU$2&amp;(ROW())):INDIRECT(AU$3&amp;(ROW()))))</f>
        <v>17428</v>
      </c>
      <c r="AV31" s="1907">
        <f ca="1">SUM(INDIRECT(AV$1&amp;AV$2&amp;$C31):INDIRECT(AV$1&amp;AV$3&amp;$C31))</f>
        <v>0</v>
      </c>
      <c r="AW31" s="2692">
        <f t="shared" ca="1" si="4"/>
        <v>17428</v>
      </c>
      <c r="AX31" s="2693">
        <f t="shared" ca="1" si="56"/>
        <v>0</v>
      </c>
      <c r="AY31" s="1907">
        <f ca="1">SUM(INDIRECT(AY$1&amp;AY$2&amp;$A31):INDIRECT(AY$1&amp;AY$3&amp;$A31))+SUM(INDIRECT(AY$1&amp;AY$2&amp;$B31):INDIRECT(AY$1&amp;AY$3&amp;$B31))</f>
        <v>13664</v>
      </c>
      <c r="AZ31" s="2692">
        <f t="shared" ca="1" si="6"/>
        <v>3764</v>
      </c>
      <c r="BA31" s="2693">
        <f t="shared" ca="1" si="57"/>
        <v>1.2754683840749415</v>
      </c>
      <c r="BC31" s="1907">
        <f ca="1">SUM((INDIRECT(BC$2&amp;(ROW())):INDIRECT(BC$3&amp;(ROW()))))</f>
        <v>17428</v>
      </c>
      <c r="BD31" s="1907">
        <f ca="1">SUM(INDIRECT(BD$1&amp;BD$2&amp;$C31):INDIRECT(BD$1&amp;BD$3&amp;$C31))</f>
        <v>0</v>
      </c>
      <c r="BE31" s="2692">
        <f t="shared" ca="1" si="8"/>
        <v>17428</v>
      </c>
      <c r="BF31" s="2693">
        <f t="shared" ca="1" si="58"/>
        <v>0</v>
      </c>
      <c r="BG31" s="1907">
        <f ca="1">SUM(INDIRECT(BG$1&amp;BG$2&amp;$A31):INDIRECT(BG$1&amp;BG$3&amp;$A31))+SUM(INDIRECT(BG$1&amp;BG$2&amp;$B31):INDIRECT(BG$1&amp;BG$3&amp;$B31))</f>
        <v>13664</v>
      </c>
      <c r="BH31" s="2692">
        <f t="shared" ca="1" si="10"/>
        <v>3764</v>
      </c>
      <c r="BI31" s="2693">
        <f t="shared" ca="1" si="59"/>
        <v>1.2754683840749415</v>
      </c>
    </row>
    <row r="32" spans="1:61" ht="14.5">
      <c r="A32" s="1693">
        <f t="shared" si="16"/>
        <v>32</v>
      </c>
      <c r="B32" s="616">
        <v>1</v>
      </c>
      <c r="C32" s="1693">
        <f t="shared" si="12"/>
        <v>32</v>
      </c>
      <c r="D32" s="616">
        <v>1</v>
      </c>
      <c r="E32" s="709" t="s">
        <v>512</v>
      </c>
      <c r="F32" s="69"/>
      <c r="G32" s="81"/>
      <c r="H32" s="81"/>
      <c r="I32" s="12"/>
      <c r="J32" s="153"/>
      <c r="K32" s="36" t="s">
        <v>95</v>
      </c>
      <c r="L32" s="36"/>
      <c r="M32" s="35"/>
      <c r="N32" s="36"/>
      <c r="O32" s="36"/>
      <c r="P32" s="36"/>
      <c r="Q32" s="36"/>
      <c r="R32" s="1778" t="str">
        <f>CHOOSE(2, "6722000002610", "PL Statement Financial Expenses")</f>
        <v>PL Statement Financial Expenses</v>
      </c>
      <c r="S32" s="1212">
        <v>296</v>
      </c>
      <c r="T32" s="1212">
        <v>389</v>
      </c>
      <c r="U32" s="1212">
        <v>2988</v>
      </c>
      <c r="V32" s="1212">
        <v>0</v>
      </c>
      <c r="W32" s="1212"/>
      <c r="X32" s="1212">
        <v>2953</v>
      </c>
      <c r="Y32" s="1212"/>
      <c r="Z32" s="1212">
        <v>1290.1400000000001</v>
      </c>
      <c r="AA32" s="1212">
        <f>2079+722</f>
        <v>2801</v>
      </c>
      <c r="AB32" s="1212"/>
      <c r="AC32" s="1212">
        <v>274.84338999999989</v>
      </c>
      <c r="AD32" s="1212">
        <f>74.30201+2801</f>
        <v>2875.3020099999999</v>
      </c>
      <c r="AE32" s="877">
        <f t="shared" si="48"/>
        <v>3673</v>
      </c>
      <c r="AF32" s="40">
        <f t="shared" si="49"/>
        <v>2953</v>
      </c>
      <c r="AG32" s="40">
        <f t="shared" si="50"/>
        <v>4091.1400000000003</v>
      </c>
      <c r="AH32" s="40">
        <f t="shared" si="51"/>
        <v>3150.1453999999999</v>
      </c>
      <c r="AI32" s="40">
        <f t="shared" si="52"/>
        <v>6626</v>
      </c>
      <c r="AJ32" s="40">
        <f t="shared" si="53"/>
        <v>7241.2854000000007</v>
      </c>
      <c r="AK32" s="40">
        <f t="shared" si="54"/>
        <v>13867.285400000001</v>
      </c>
      <c r="AM32" s="1910">
        <f ca="1">SUM((INDIRECT(AM$2&amp;(ROW())):INDIRECT(AM$3&amp;(ROW()))))</f>
        <v>296</v>
      </c>
      <c r="AN32" s="1910">
        <f ca="1">SUM(INDIRECT(AN$1&amp;AN$2&amp;$C32):INDIRECT(AN$1&amp;AN$3&amp;$C32))</f>
        <v>0</v>
      </c>
      <c r="AO32" s="2694">
        <f t="shared" ca="1" si="14"/>
        <v>296</v>
      </c>
      <c r="AP32" s="2695">
        <f t="shared" ca="1" si="15"/>
        <v>0</v>
      </c>
      <c r="AQ32" s="1910">
        <f ca="1">SUM(INDIRECT(AQ$1&amp;AQ$2&amp;$A32):INDIRECT(AQ$1&amp;AQ$3&amp;$A32))+SUM(INDIRECT(AQ$1&amp;AQ$2&amp;$B32):INDIRECT(AQ$1&amp;AQ$3&amp;$B32))</f>
        <v>0</v>
      </c>
      <c r="AR32" s="2694">
        <f t="shared" ca="1" si="2"/>
        <v>296</v>
      </c>
      <c r="AS32" s="2695">
        <f t="shared" ca="1" si="55"/>
        <v>0</v>
      </c>
      <c r="AU32" s="1910">
        <f ca="1">SUM((INDIRECT(AU$2&amp;(ROW())):INDIRECT(AU$3&amp;(ROW()))))</f>
        <v>296</v>
      </c>
      <c r="AV32" s="1910">
        <f ca="1">SUM(INDIRECT(AV$1&amp;AV$2&amp;$C32):INDIRECT(AV$1&amp;AV$3&amp;$C32))</f>
        <v>0</v>
      </c>
      <c r="AW32" s="2694">
        <f t="shared" ca="1" si="4"/>
        <v>296</v>
      </c>
      <c r="AX32" s="2695">
        <f t="shared" ca="1" si="56"/>
        <v>0</v>
      </c>
      <c r="AY32" s="1910">
        <f ca="1">SUM(INDIRECT(AY$1&amp;AY$2&amp;$A32):INDIRECT(AY$1&amp;AY$3&amp;$A32))+SUM(INDIRECT(AY$1&amp;AY$2&amp;$B32):INDIRECT(AY$1&amp;AY$3&amp;$B32))</f>
        <v>0</v>
      </c>
      <c r="AZ32" s="2694">
        <f t="shared" ca="1" si="6"/>
        <v>296</v>
      </c>
      <c r="BA32" s="2695">
        <f t="shared" ca="1" si="57"/>
        <v>0</v>
      </c>
      <c r="BC32" s="1910">
        <f ca="1">SUM((INDIRECT(BC$2&amp;(ROW())):INDIRECT(BC$3&amp;(ROW()))))</f>
        <v>296</v>
      </c>
      <c r="BD32" s="1910">
        <f ca="1">SUM(INDIRECT(BD$1&amp;BD$2&amp;$C32):INDIRECT(BD$1&amp;BD$3&amp;$C32))</f>
        <v>0</v>
      </c>
      <c r="BE32" s="2694">
        <f t="shared" ca="1" si="8"/>
        <v>296</v>
      </c>
      <c r="BF32" s="2695">
        <f t="shared" ca="1" si="58"/>
        <v>0</v>
      </c>
      <c r="BG32" s="1910">
        <f ca="1">SUM(INDIRECT(BG$1&amp;BG$2&amp;$A32):INDIRECT(BG$1&amp;BG$3&amp;$A32))+SUM(INDIRECT(BG$1&amp;BG$2&amp;$B32):INDIRECT(BG$1&amp;BG$3&amp;$B32))</f>
        <v>0</v>
      </c>
      <c r="BH32" s="2694">
        <f t="shared" ca="1" si="10"/>
        <v>296</v>
      </c>
      <c r="BI32" s="2695">
        <f t="shared" ca="1" si="59"/>
        <v>0</v>
      </c>
    </row>
    <row r="33" spans="1:61" ht="14.5">
      <c r="A33" s="1693">
        <f t="shared" si="16"/>
        <v>33</v>
      </c>
      <c r="B33" s="616">
        <v>1</v>
      </c>
      <c r="C33" s="1693">
        <f t="shared" si="12"/>
        <v>33</v>
      </c>
      <c r="D33" s="616">
        <v>1</v>
      </c>
      <c r="E33" s="709" t="s">
        <v>512</v>
      </c>
      <c r="F33" s="69"/>
      <c r="G33" s="35"/>
      <c r="H33" s="35"/>
      <c r="I33" s="4"/>
      <c r="J33" s="150" t="s">
        <v>64</v>
      </c>
      <c r="K33" s="145"/>
      <c r="L33" s="145"/>
      <c r="M33" s="145"/>
      <c r="N33" s="145"/>
      <c r="O33" s="145"/>
      <c r="P33" s="145"/>
      <c r="Q33" s="546"/>
      <c r="R33" s="1774" t="str">
        <f>CHOOSE(2, "6722000002609", "PL Statement Profit before Taxes")</f>
        <v>PL Statement Profit before Taxes</v>
      </c>
      <c r="S33" s="1294">
        <f>S28+S30</f>
        <v>163062.190988057</v>
      </c>
      <c r="T33" s="1294">
        <f t="shared" ref="T33:AD33" si="60">T28+T30</f>
        <v>104075.58272052332</v>
      </c>
      <c r="U33" s="1294">
        <f t="shared" si="60"/>
        <v>105185.86885232359</v>
      </c>
      <c r="V33" s="1294">
        <f t="shared" si="60"/>
        <v>94670.892799663852</v>
      </c>
      <c r="W33" s="1294">
        <f t="shared" si="60"/>
        <v>97867.004250363068</v>
      </c>
      <c r="X33" s="1294">
        <f t="shared" si="60"/>
        <v>126710.14242745214</v>
      </c>
      <c r="Y33" s="1294">
        <f t="shared" si="60"/>
        <v>114268.76798227742</v>
      </c>
      <c r="Z33" s="1294">
        <f t="shared" si="60"/>
        <v>96773.503344024561</v>
      </c>
      <c r="AA33" s="1294">
        <f t="shared" si="60"/>
        <v>96201.676262445733</v>
      </c>
      <c r="AB33" s="1294">
        <f t="shared" si="60"/>
        <v>117172.81030533354</v>
      </c>
      <c r="AC33" s="1294">
        <f t="shared" si="60"/>
        <v>109220.76561389264</v>
      </c>
      <c r="AD33" s="1294">
        <f t="shared" si="60"/>
        <v>169035.36334810796</v>
      </c>
      <c r="AE33" s="548">
        <f t="shared" si="48"/>
        <v>372323.64256090391</v>
      </c>
      <c r="AF33" s="148">
        <f t="shared" si="49"/>
        <v>319248.03947747906</v>
      </c>
      <c r="AG33" s="148">
        <f t="shared" si="50"/>
        <v>307243.94758874772</v>
      </c>
      <c r="AH33" s="148">
        <f t="shared" si="51"/>
        <v>395428.93926733412</v>
      </c>
      <c r="AI33" s="148">
        <f t="shared" si="52"/>
        <v>691571.68203838298</v>
      </c>
      <c r="AJ33" s="148">
        <f t="shared" si="53"/>
        <v>702672.8868560819</v>
      </c>
      <c r="AK33" s="148">
        <f t="shared" si="54"/>
        <v>1394244.568894465</v>
      </c>
      <c r="AM33" s="1884">
        <f ca="1">SUM((INDIRECT(AM$2&amp;(ROW())):INDIRECT(AM$3&amp;(ROW()))))</f>
        <v>163062.190988057</v>
      </c>
      <c r="AN33" s="1884">
        <f ca="1">SUM(INDIRECT(AN$1&amp;AN$2&amp;$C33):INDIRECT(AN$1&amp;AN$3&amp;$C33))</f>
        <v>142478.9910718805</v>
      </c>
      <c r="AO33" s="2682">
        <f t="shared" ca="1" si="14"/>
        <v>20583.199916176498</v>
      </c>
      <c r="AP33" s="2683">
        <f t="shared" ca="1" si="15"/>
        <v>1.1444648067853898</v>
      </c>
      <c r="AQ33" s="1884">
        <f ca="1">SUM(INDIRECT(AQ$1&amp;AQ$2&amp;$A33):INDIRECT(AQ$1&amp;AQ$3&amp;$A33))+SUM(INDIRECT(AQ$1&amp;AQ$2&amp;$B33):INDIRECT(AQ$1&amp;AQ$3&amp;$B33))</f>
        <v>67992</v>
      </c>
      <c r="AR33" s="2682">
        <f t="shared" ca="1" si="2"/>
        <v>95070.190988057002</v>
      </c>
      <c r="AS33" s="2683">
        <f t="shared" ca="1" si="55"/>
        <v>2.3982555445943201</v>
      </c>
      <c r="AU33" s="1884">
        <f ca="1">SUM((INDIRECT(AU$2&amp;(ROW())):INDIRECT(AU$3&amp;(ROW()))))</f>
        <v>163062.190988057</v>
      </c>
      <c r="AV33" s="1884">
        <f ca="1">SUM(INDIRECT(AV$1&amp;AV$2&amp;$C33):INDIRECT(AV$1&amp;AV$3&amp;$C33))</f>
        <v>142478.9910718805</v>
      </c>
      <c r="AW33" s="2682">
        <f t="shared" ca="1" si="4"/>
        <v>20583.199916176498</v>
      </c>
      <c r="AX33" s="2683">
        <f t="shared" ca="1" si="56"/>
        <v>1.1444648067853898</v>
      </c>
      <c r="AY33" s="1884">
        <f ca="1">SUM(INDIRECT(AY$1&amp;AY$2&amp;$A33):INDIRECT(AY$1&amp;AY$3&amp;$A33))+SUM(INDIRECT(AY$1&amp;AY$2&amp;$B33):INDIRECT(AY$1&amp;AY$3&amp;$B33))</f>
        <v>67992</v>
      </c>
      <c r="AZ33" s="2682">
        <f t="shared" ca="1" si="6"/>
        <v>95070.190988057002</v>
      </c>
      <c r="BA33" s="2683">
        <f t="shared" ca="1" si="57"/>
        <v>2.3982555445943201</v>
      </c>
      <c r="BC33" s="1884">
        <f ca="1">SUM((INDIRECT(BC$2&amp;(ROW())):INDIRECT(BC$3&amp;(ROW()))))</f>
        <v>163062.190988057</v>
      </c>
      <c r="BD33" s="1884">
        <f ca="1">SUM(INDIRECT(BD$1&amp;BD$2&amp;$C33):INDIRECT(BD$1&amp;BD$3&amp;$C33))</f>
        <v>142478.9910718805</v>
      </c>
      <c r="BE33" s="2682">
        <f t="shared" ca="1" si="8"/>
        <v>20583.199916176498</v>
      </c>
      <c r="BF33" s="2683">
        <f t="shared" ca="1" si="58"/>
        <v>1.1444648067853898</v>
      </c>
      <c r="BG33" s="1884">
        <f ca="1">SUM(INDIRECT(BG$1&amp;BG$2&amp;$A33):INDIRECT(BG$1&amp;BG$3&amp;$A33))+SUM(INDIRECT(BG$1&amp;BG$2&amp;$B33):INDIRECT(BG$1&amp;BG$3&amp;$B33))</f>
        <v>67992</v>
      </c>
      <c r="BH33" s="2682">
        <f t="shared" ca="1" si="10"/>
        <v>95070.190988057002</v>
      </c>
      <c r="BI33" s="2683">
        <f t="shared" ca="1" si="59"/>
        <v>2.3982555445943201</v>
      </c>
    </row>
    <row r="34" spans="1:61" ht="14.5">
      <c r="A34" s="1693">
        <f t="shared" si="16"/>
        <v>34</v>
      </c>
      <c r="B34" s="616">
        <v>1</v>
      </c>
      <c r="C34" s="1693">
        <f t="shared" si="12"/>
        <v>34</v>
      </c>
      <c r="D34" s="616">
        <v>1</v>
      </c>
      <c r="E34" s="709" t="s">
        <v>512</v>
      </c>
      <c r="F34" s="69"/>
      <c r="G34" s="35"/>
      <c r="H34" s="35"/>
      <c r="I34" s="4"/>
      <c r="J34" s="53" t="s">
        <v>96</v>
      </c>
      <c r="K34" s="51"/>
      <c r="L34" s="52"/>
      <c r="M34" s="52"/>
      <c r="N34" s="51"/>
      <c r="O34" s="51"/>
      <c r="P34" s="51"/>
      <c r="Q34" s="447"/>
      <c r="R34" s="1779" t="str">
        <f>CHOOSE(2, "6722000002608", "PL Statement Tax Expenses &amp; Others")</f>
        <v>PL Statement Tax Expenses &amp; Others</v>
      </c>
      <c r="S34" s="1383">
        <v>40897.977900000005</v>
      </c>
      <c r="T34" s="1383">
        <v>26041</v>
      </c>
      <c r="U34" s="1383">
        <f>93266-S34-T34</f>
        <v>26327.022099999995</v>
      </c>
      <c r="V34" s="1383">
        <v>23722</v>
      </c>
      <c r="W34" s="3443">
        <v>24896.830031476155</v>
      </c>
      <c r="X34" s="1383">
        <v>31910</v>
      </c>
      <c r="Y34" s="1383">
        <v>28626.576041207449</v>
      </c>
      <c r="Z34" s="1383">
        <v>24151.661664157178</v>
      </c>
      <c r="AA34" s="1383">
        <v>24174</v>
      </c>
      <c r="AB34" s="1383">
        <v>29403.33</v>
      </c>
      <c r="AC34" s="1383">
        <f>AC33*25.17%</f>
        <v>27490.866705016782</v>
      </c>
      <c r="AD34" s="1383">
        <v>43353</v>
      </c>
      <c r="AE34" s="878">
        <f t="shared" si="48"/>
        <v>93266</v>
      </c>
      <c r="AF34" s="151">
        <f t="shared" si="49"/>
        <v>80528.830031476158</v>
      </c>
      <c r="AG34" s="151">
        <f t="shared" si="50"/>
        <v>76952.23770536462</v>
      </c>
      <c r="AH34" s="151">
        <f t="shared" si="51"/>
        <v>100247.19670501679</v>
      </c>
      <c r="AI34" s="151">
        <f t="shared" si="52"/>
        <v>173794.83003147616</v>
      </c>
      <c r="AJ34" s="151">
        <f t="shared" si="53"/>
        <v>177199.43441038142</v>
      </c>
      <c r="AK34" s="151">
        <f t="shared" si="54"/>
        <v>350994.26444185758</v>
      </c>
      <c r="AM34" s="1914">
        <f ca="1">SUM((INDIRECT(AM$2&amp;(ROW())):INDIRECT(AM$3&amp;(ROW()))))</f>
        <v>40897.977900000005</v>
      </c>
      <c r="AN34" s="1914">
        <f ca="1">SUM(INDIRECT(AN$1&amp;AN$2&amp;$C34):INDIRECT(AN$1&amp;AN$3&amp;$C34))</f>
        <v>35619.747767970126</v>
      </c>
      <c r="AO34" s="2701">
        <f t="shared" ca="1" si="14"/>
        <v>5278.2301320298793</v>
      </c>
      <c r="AP34" s="2702">
        <f t="shared" ca="1" si="15"/>
        <v>1.1481826925449525</v>
      </c>
      <c r="AQ34" s="1914">
        <f ca="1">SUM(INDIRECT(AQ$1&amp;AQ$2&amp;$A34):INDIRECT(AQ$1&amp;AQ$3&amp;$A34))+SUM(INDIRECT(AQ$1&amp;AQ$2&amp;$B34):INDIRECT(AQ$1&amp;AQ$3&amp;$B34))</f>
        <v>16943.200433360998</v>
      </c>
      <c r="AR34" s="2701">
        <f t="shared" ca="1" si="2"/>
        <v>23954.777466639007</v>
      </c>
      <c r="AS34" s="2702">
        <f t="shared" ca="1" si="55"/>
        <v>2.4138283709063773</v>
      </c>
      <c r="AU34" s="1914">
        <f ca="1">SUM((INDIRECT(AU$2&amp;(ROW())):INDIRECT(AU$3&amp;(ROW()))))</f>
        <v>40897.977900000005</v>
      </c>
      <c r="AV34" s="1914">
        <f ca="1">SUM(INDIRECT(AV$1&amp;AV$2&amp;$C34):INDIRECT(AV$1&amp;AV$3&amp;$C34))</f>
        <v>35619.747767970126</v>
      </c>
      <c r="AW34" s="2701">
        <f t="shared" ca="1" si="4"/>
        <v>5278.2301320298793</v>
      </c>
      <c r="AX34" s="2702">
        <f t="shared" ca="1" si="56"/>
        <v>1.1481826925449525</v>
      </c>
      <c r="AY34" s="1914">
        <f ca="1">SUM(INDIRECT(AY$1&amp;AY$2&amp;$A34):INDIRECT(AY$1&amp;AY$3&amp;$A34))+SUM(INDIRECT(AY$1&amp;AY$2&amp;$B34):INDIRECT(AY$1&amp;AY$3&amp;$B34))</f>
        <v>16943.200433360998</v>
      </c>
      <c r="AZ34" s="2701">
        <f t="shared" ca="1" si="6"/>
        <v>23954.777466639007</v>
      </c>
      <c r="BA34" s="2702">
        <f t="shared" ca="1" si="57"/>
        <v>2.4138283709063773</v>
      </c>
      <c r="BC34" s="1914">
        <f ca="1">SUM((INDIRECT(BC$2&amp;(ROW())):INDIRECT(BC$3&amp;(ROW()))))</f>
        <v>40897.977900000005</v>
      </c>
      <c r="BD34" s="1914">
        <f ca="1">SUM(INDIRECT(BD$1&amp;BD$2&amp;$C34):INDIRECT(BD$1&amp;BD$3&amp;$C34))</f>
        <v>35619.747767970126</v>
      </c>
      <c r="BE34" s="2701">
        <f t="shared" ca="1" si="8"/>
        <v>5278.2301320298793</v>
      </c>
      <c r="BF34" s="2702">
        <f t="shared" ca="1" si="58"/>
        <v>1.1481826925449525</v>
      </c>
      <c r="BG34" s="1914">
        <f ca="1">SUM(INDIRECT(BG$1&amp;BG$2&amp;$A34):INDIRECT(BG$1&amp;BG$3&amp;$A34))+SUM(INDIRECT(BG$1&amp;BG$2&amp;$B34):INDIRECT(BG$1&amp;BG$3&amp;$B34))</f>
        <v>16943.200433360998</v>
      </c>
      <c r="BH34" s="2701">
        <f t="shared" ca="1" si="10"/>
        <v>23954.777466639007</v>
      </c>
      <c r="BI34" s="2702">
        <f t="shared" ca="1" si="59"/>
        <v>2.4138283709063773</v>
      </c>
    </row>
    <row r="35" spans="1:61" ht="14.5">
      <c r="A35" s="1693">
        <f t="shared" si="16"/>
        <v>35</v>
      </c>
      <c r="B35" s="616">
        <v>1</v>
      </c>
      <c r="C35" s="1693">
        <f t="shared" si="12"/>
        <v>35</v>
      </c>
      <c r="D35" s="616">
        <v>1</v>
      </c>
      <c r="E35" s="709" t="s">
        <v>512</v>
      </c>
      <c r="F35" s="1572"/>
      <c r="G35" s="35"/>
      <c r="H35" s="35"/>
      <c r="I35" s="4"/>
      <c r="J35" s="150" t="s">
        <v>97</v>
      </c>
      <c r="K35" s="145"/>
      <c r="L35" s="145"/>
      <c r="M35" s="145"/>
      <c r="N35" s="145"/>
      <c r="O35" s="145"/>
      <c r="P35" s="145"/>
      <c r="Q35" s="546"/>
      <c r="R35" s="1774" t="str">
        <f>CHOOSE(2, "6722000002607", "PL Statement Net Profit")</f>
        <v>PL Statement Net Profit</v>
      </c>
      <c r="S35" s="1294">
        <f>S33-S34</f>
        <v>122164.213088057</v>
      </c>
      <c r="T35" s="1294">
        <f t="shared" ref="T35:AD35" si="61">T33-T34</f>
        <v>78034.582720523322</v>
      </c>
      <c r="U35" s="1294">
        <f t="shared" si="61"/>
        <v>78858.846752323589</v>
      </c>
      <c r="V35" s="1294">
        <f t="shared" si="61"/>
        <v>70948.892799663852</v>
      </c>
      <c r="W35" s="1294">
        <f t="shared" si="61"/>
        <v>72970.17421888691</v>
      </c>
      <c r="X35" s="1294">
        <f t="shared" si="61"/>
        <v>94800.142427452141</v>
      </c>
      <c r="Y35" s="1294">
        <f t="shared" si="61"/>
        <v>85642.191941069977</v>
      </c>
      <c r="Z35" s="1294">
        <f t="shared" si="61"/>
        <v>72621.841679867386</v>
      </c>
      <c r="AA35" s="1294">
        <f t="shared" si="61"/>
        <v>72027.676262445733</v>
      </c>
      <c r="AB35" s="1294">
        <f t="shared" si="61"/>
        <v>87769.480305333534</v>
      </c>
      <c r="AC35" s="1294">
        <f t="shared" si="61"/>
        <v>81729.898908875854</v>
      </c>
      <c r="AD35" s="1294">
        <f t="shared" si="61"/>
        <v>125682.36334810796</v>
      </c>
      <c r="AE35" s="548">
        <f t="shared" si="48"/>
        <v>279057.64256090391</v>
      </c>
      <c r="AF35" s="148">
        <f t="shared" si="49"/>
        <v>238719.2094460029</v>
      </c>
      <c r="AG35" s="148">
        <f t="shared" si="50"/>
        <v>230291.70988338313</v>
      </c>
      <c r="AH35" s="148">
        <f t="shared" si="51"/>
        <v>295181.74256231735</v>
      </c>
      <c r="AI35" s="148">
        <f t="shared" si="52"/>
        <v>517776.85200690682</v>
      </c>
      <c r="AJ35" s="148">
        <f t="shared" si="53"/>
        <v>525473.45244570053</v>
      </c>
      <c r="AK35" s="148">
        <f t="shared" si="54"/>
        <v>1043250.3044526074</v>
      </c>
      <c r="AM35" s="1884">
        <f ca="1">SUM((INDIRECT(AM$2&amp;(ROW())):INDIRECT(AM$3&amp;(ROW()))))</f>
        <v>122164.213088057</v>
      </c>
      <c r="AN35" s="1884">
        <f ca="1">SUM(INDIRECT(AN$1&amp;AN$2&amp;$C35):INDIRECT(AN$1&amp;AN$3&amp;$C35))</f>
        <v>106859.24330391038</v>
      </c>
      <c r="AO35" s="2682">
        <f t="shared" ca="1" si="14"/>
        <v>15304.969784146626</v>
      </c>
      <c r="AP35" s="2683">
        <f t="shared" ca="1" si="15"/>
        <v>1.1432255115322023</v>
      </c>
      <c r="AQ35" s="1884">
        <f ca="1">SUM(INDIRECT(AQ$1&amp;AQ$2&amp;$A35):INDIRECT(AQ$1&amp;AQ$3&amp;$A35))+SUM(INDIRECT(AQ$1&amp;AQ$2&amp;$B35):INDIRECT(AQ$1&amp;AQ$3&amp;$B35))</f>
        <v>51048.799566639005</v>
      </c>
      <c r="AR35" s="2682">
        <f t="shared" ca="1" si="2"/>
        <v>71115.413521417999</v>
      </c>
      <c r="AS35" s="2683">
        <f t="shared" ca="1" si="55"/>
        <v>2.3930868918589177</v>
      </c>
      <c r="AU35" s="1884">
        <f ca="1">SUM((INDIRECT(AU$2&amp;(ROW())):INDIRECT(AU$3&amp;(ROW()))))</f>
        <v>122164.213088057</v>
      </c>
      <c r="AV35" s="1884">
        <f ca="1">SUM(INDIRECT(AV$1&amp;AV$2&amp;$C35):INDIRECT(AV$1&amp;AV$3&amp;$C35))</f>
        <v>106859.24330391038</v>
      </c>
      <c r="AW35" s="2682">
        <f t="shared" ca="1" si="4"/>
        <v>15304.969784146626</v>
      </c>
      <c r="AX35" s="2683">
        <f t="shared" ca="1" si="56"/>
        <v>1.1432255115322023</v>
      </c>
      <c r="AY35" s="1884">
        <f ca="1">SUM(INDIRECT(AY$1&amp;AY$2&amp;$A35):INDIRECT(AY$1&amp;AY$3&amp;$A35))+SUM(INDIRECT(AY$1&amp;AY$2&amp;$B35):INDIRECT(AY$1&amp;AY$3&amp;$B35))</f>
        <v>51048.799566639005</v>
      </c>
      <c r="AZ35" s="2682">
        <f t="shared" ca="1" si="6"/>
        <v>71115.413521417999</v>
      </c>
      <c r="BA35" s="2683">
        <f t="shared" ca="1" si="57"/>
        <v>2.3930868918589177</v>
      </c>
      <c r="BC35" s="1884">
        <f ca="1">SUM((INDIRECT(BC$2&amp;(ROW())):INDIRECT(BC$3&amp;(ROW()))))</f>
        <v>122164.213088057</v>
      </c>
      <c r="BD35" s="1884">
        <f ca="1">SUM(INDIRECT(BD$1&amp;BD$2&amp;$C35):INDIRECT(BD$1&amp;BD$3&amp;$C35))</f>
        <v>106859.24330391038</v>
      </c>
      <c r="BE35" s="2682">
        <f t="shared" ca="1" si="8"/>
        <v>15304.969784146626</v>
      </c>
      <c r="BF35" s="2683">
        <f t="shared" ca="1" si="58"/>
        <v>1.1432255115322023</v>
      </c>
      <c r="BG35" s="1884">
        <f ca="1">SUM(INDIRECT(BG$1&amp;BG$2&amp;$A35):INDIRECT(BG$1&amp;BG$3&amp;$A35))+SUM(INDIRECT(BG$1&amp;BG$2&amp;$B35):INDIRECT(BG$1&amp;BG$3&amp;$B35))</f>
        <v>51048.799566639005</v>
      </c>
      <c r="BH35" s="2682">
        <f t="shared" ca="1" si="10"/>
        <v>71115.413521417999</v>
      </c>
      <c r="BI35" s="2683">
        <f t="shared" ca="1" si="59"/>
        <v>2.3930868918589177</v>
      </c>
    </row>
    <row r="36" spans="1:61" ht="14.5">
      <c r="A36" s="1693">
        <f t="shared" si="16"/>
        <v>36</v>
      </c>
      <c r="B36" s="616">
        <v>1</v>
      </c>
      <c r="C36" s="1693">
        <f t="shared" si="12"/>
        <v>36</v>
      </c>
      <c r="D36" s="616">
        <v>1</v>
      </c>
      <c r="E36" s="709" t="s">
        <v>512</v>
      </c>
      <c r="F36" s="1572"/>
      <c r="G36" s="35"/>
      <c r="H36" s="35"/>
      <c r="I36" s="4"/>
      <c r="J36" s="106"/>
      <c r="K36" s="104"/>
      <c r="L36" s="105"/>
      <c r="M36" s="105"/>
      <c r="N36" s="104"/>
      <c r="O36" s="104"/>
      <c r="P36" s="104"/>
      <c r="Q36" s="105" t="s">
        <v>55</v>
      </c>
      <c r="R36" s="1776" t="str">
        <f>CHOOSE(2, "6722000002606", "PL Statement Net Profit (%)")</f>
        <v>PL Statement Net Profit (%)</v>
      </c>
      <c r="S36" s="1313">
        <f>IFERROR(S35/S14,0)</f>
        <v>0.11001206082518537</v>
      </c>
      <c r="T36" s="1313">
        <f t="shared" ref="T36:AD36" si="62">IFERROR(T35/T14,0)</f>
        <v>7.8399968732045827E-2</v>
      </c>
      <c r="U36" s="1313">
        <f t="shared" si="62"/>
        <v>8.7029786758436811E-2</v>
      </c>
      <c r="V36" s="1313">
        <f t="shared" si="62"/>
        <v>8.401217220162728E-2</v>
      </c>
      <c r="W36" s="1313">
        <f t="shared" si="62"/>
        <v>7.3983057142927411E-2</v>
      </c>
      <c r="X36" s="1313">
        <f t="shared" si="62"/>
        <v>8.8449585459243252E-2</v>
      </c>
      <c r="Y36" s="1313">
        <f t="shared" si="62"/>
        <v>9.4369023581229769E-2</v>
      </c>
      <c r="Z36" s="1313">
        <f t="shared" si="62"/>
        <v>8.0695968650348587E-2</v>
      </c>
      <c r="AA36" s="1313">
        <f t="shared" si="62"/>
        <v>7.526476568544832E-2</v>
      </c>
      <c r="AB36" s="1313">
        <f t="shared" si="62"/>
        <v>8.8971648549020385E-2</v>
      </c>
      <c r="AC36" s="1313">
        <f t="shared" si="62"/>
        <v>7.987824255753663E-2</v>
      </c>
      <c r="AD36" s="1313">
        <f t="shared" si="62"/>
        <v>0.125156315382108</v>
      </c>
      <c r="AE36" s="1288">
        <f t="shared" ref="AE36:AK36" si="63">IFERROR(AE35/AE14,0)</f>
        <v>9.265124186624478E-2</v>
      </c>
      <c r="AF36" s="1313">
        <f t="shared" si="63"/>
        <v>8.2242803753984017E-2</v>
      </c>
      <c r="AG36" s="1313">
        <f t="shared" si="63"/>
        <v>8.3304443176409171E-2</v>
      </c>
      <c r="AH36" s="1313">
        <f t="shared" si="63"/>
        <v>9.7941025089730516E-2</v>
      </c>
      <c r="AI36" s="1313">
        <f t="shared" si="63"/>
        <v>8.7543195966632792E-2</v>
      </c>
      <c r="AJ36" s="1313">
        <f t="shared" si="63"/>
        <v>9.0938617684613046E-2</v>
      </c>
      <c r="AK36" s="1313">
        <f t="shared" si="63"/>
        <v>8.9221131850482832E-2</v>
      </c>
      <c r="AL36" s="504"/>
      <c r="AM36" s="2549">
        <f ca="1">IFERROR(AM35/AM14,0)</f>
        <v>0.11001206082518537</v>
      </c>
      <c r="AN36" s="2549">
        <f ca="1">IFERROR(AN35/AN14,0)</f>
        <v>0.11355329997832141</v>
      </c>
      <c r="AO36" s="2549">
        <f t="shared" ca="1" si="14"/>
        <v>-3.5412391531360332E-3</v>
      </c>
      <c r="AP36" s="2690"/>
      <c r="AQ36" s="2549">
        <f ca="1">IFERROR(AQ35/AQ14,0)</f>
        <v>7.8626733050402395E-2</v>
      </c>
      <c r="AR36" s="2549">
        <f t="shared" ca="1" si="2"/>
        <v>3.1385327774782978E-2</v>
      </c>
      <c r="AS36" s="2690"/>
      <c r="AT36" s="504"/>
      <c r="AU36" s="2549">
        <f ca="1">IFERROR(AU35/AU14,0)</f>
        <v>0.11001206082518537</v>
      </c>
      <c r="AV36" s="2549">
        <f ca="1">IFERROR(AV35/AV14,0)</f>
        <v>0.11355329997832141</v>
      </c>
      <c r="AW36" s="2549">
        <f t="shared" ca="1" si="4"/>
        <v>-3.5412391531360332E-3</v>
      </c>
      <c r="AX36" s="2690"/>
      <c r="AY36" s="2549">
        <f ca="1">IFERROR(AY35/AY14,0)</f>
        <v>7.8626733050402395E-2</v>
      </c>
      <c r="AZ36" s="2549">
        <f t="shared" ca="1" si="6"/>
        <v>3.1385327774782978E-2</v>
      </c>
      <c r="BA36" s="2690"/>
      <c r="BB36" s="504"/>
      <c r="BC36" s="2549">
        <f ca="1">IFERROR(BC35/BC14,0)</f>
        <v>0.11001206082518537</v>
      </c>
      <c r="BD36" s="2549">
        <f ca="1">IFERROR(BD35/BD14,0)</f>
        <v>0.11355329997832141</v>
      </c>
      <c r="BE36" s="2549">
        <f t="shared" ca="1" si="8"/>
        <v>-3.5412391531360332E-3</v>
      </c>
      <c r="BF36" s="2690"/>
      <c r="BG36" s="2549">
        <f ca="1">IFERROR(BG35/BG14,0)</f>
        <v>7.8626733050402395E-2</v>
      </c>
      <c r="BH36" s="2549">
        <f t="shared" ca="1" si="10"/>
        <v>3.1385327774782978E-2</v>
      </c>
      <c r="BI36" s="2690"/>
    </row>
    <row r="37" spans="1:61" ht="14.5">
      <c r="A37" s="1693">
        <f t="shared" si="16"/>
        <v>37</v>
      </c>
      <c r="B37" s="616">
        <v>1</v>
      </c>
      <c r="C37" s="1693">
        <f t="shared" si="12"/>
        <v>37</v>
      </c>
      <c r="D37" s="616">
        <v>1</v>
      </c>
      <c r="E37" s="709" t="s">
        <v>512</v>
      </c>
      <c r="F37" s="1572"/>
      <c r="R37" s="1772" t="str">
        <f>CHOOSE(2, "6722000002956", "▷ Blank 1")</f>
        <v>▷ Blank 1</v>
      </c>
      <c r="S37" s="1125"/>
      <c r="T37" s="1366"/>
      <c r="U37" s="1366"/>
      <c r="V37" s="3442"/>
      <c r="W37" s="1366"/>
      <c r="X37" s="3448"/>
      <c r="Y37" s="3448"/>
      <c r="Z37" s="3448"/>
      <c r="AA37" s="1366"/>
      <c r="AB37" s="1242"/>
      <c r="AC37" s="1242"/>
      <c r="AD37" s="1242"/>
      <c r="AE37" s="1242"/>
      <c r="AF37" s="1242"/>
      <c r="AG37" s="1242"/>
      <c r="AH37" s="1242"/>
      <c r="AI37" s="1242"/>
      <c r="AJ37" s="1242"/>
      <c r="AK37" s="608"/>
      <c r="AM37" s="2558"/>
      <c r="AN37" s="2558"/>
      <c r="AO37" s="2558"/>
      <c r="AP37" s="2558"/>
      <c r="AQ37" s="2558"/>
      <c r="AR37" s="2558"/>
      <c r="AS37" s="2558"/>
      <c r="AU37" s="2558"/>
      <c r="AV37" s="2558"/>
      <c r="AW37" s="2558"/>
      <c r="AX37" s="2558"/>
      <c r="AY37" s="2558"/>
      <c r="AZ37" s="2558"/>
      <c r="BA37" s="2558"/>
      <c r="BC37" s="2558"/>
      <c r="BD37" s="2558"/>
      <c r="BE37" s="2558"/>
      <c r="BF37" s="2558"/>
      <c r="BG37" s="2558"/>
      <c r="BH37" s="2558"/>
      <c r="BI37" s="2558"/>
    </row>
    <row r="38" spans="1:61" ht="14.5">
      <c r="A38" s="1693">
        <f t="shared" si="16"/>
        <v>38</v>
      </c>
      <c r="B38" s="616">
        <v>1</v>
      </c>
      <c r="C38" s="1693">
        <f t="shared" si="12"/>
        <v>38</v>
      </c>
      <c r="D38" s="616">
        <v>1</v>
      </c>
      <c r="F38" s="69"/>
      <c r="R38" s="1772" t="str">
        <f>CHOOSE(2, "6722000002957", "▷ Blank 2")</f>
        <v>▷ Blank 2</v>
      </c>
      <c r="S38" s="1125"/>
      <c r="T38" s="1366"/>
      <c r="U38" s="1366"/>
      <c r="V38" s="1366"/>
      <c r="W38" s="1366"/>
      <c r="X38" s="3441"/>
      <c r="Y38" s="1366"/>
      <c r="Z38" s="1366"/>
      <c r="AA38" s="1366"/>
      <c r="AB38" s="1242"/>
      <c r="AC38" s="1242"/>
      <c r="AD38" s="1242"/>
      <c r="AE38" s="1242"/>
      <c r="AF38" s="1242"/>
      <c r="AG38" s="1242"/>
      <c r="AH38" s="1242"/>
      <c r="AI38" s="1242"/>
      <c r="AJ38" s="1242"/>
      <c r="AK38" s="608"/>
      <c r="AM38" s="2558"/>
      <c r="AN38" s="2558"/>
      <c r="AO38" s="2558"/>
      <c r="AP38" s="2558"/>
      <c r="AQ38" s="2558"/>
      <c r="AR38" s="2558"/>
      <c r="AS38" s="2558"/>
      <c r="AU38" s="2558"/>
      <c r="AV38" s="2558"/>
      <c r="AW38" s="2558"/>
      <c r="AX38" s="2558"/>
      <c r="AY38" s="2558"/>
      <c r="AZ38" s="2558"/>
      <c r="BA38" s="2558"/>
      <c r="BC38" s="2558"/>
      <c r="BD38" s="2558"/>
      <c r="BE38" s="2558"/>
      <c r="BF38" s="2558"/>
      <c r="BG38" s="2558"/>
      <c r="BH38" s="2558"/>
      <c r="BI38" s="2558"/>
    </row>
    <row r="39" spans="1:61" s="69" customFormat="1" ht="15.5">
      <c r="A39" s="1693">
        <f t="shared" si="16"/>
        <v>39</v>
      </c>
      <c r="B39" s="616">
        <v>1</v>
      </c>
      <c r="C39" s="1693">
        <f t="shared" si="12"/>
        <v>39</v>
      </c>
      <c r="D39" s="616">
        <v>1</v>
      </c>
      <c r="H39" s="243" t="s">
        <v>25</v>
      </c>
      <c r="J39" s="27"/>
      <c r="L39" s="22"/>
      <c r="M39" s="22"/>
      <c r="R39" s="1780" t="str">
        <f>CHOOSE(2, "6722000002958", "1-2.SGA Expenses Details")</f>
        <v>1-2.SGA Expenses Details</v>
      </c>
      <c r="S39" s="1125"/>
      <c r="T39" s="1366"/>
      <c r="U39" s="1366"/>
      <c r="V39" s="1366"/>
      <c r="W39" s="1366"/>
      <c r="X39" s="1366"/>
      <c r="Y39" s="1366"/>
      <c r="Z39" s="1366"/>
      <c r="AA39" s="1366"/>
      <c r="AB39" s="1242"/>
      <c r="AC39" s="1242"/>
      <c r="AD39" s="1242"/>
      <c r="AE39" s="1242"/>
      <c r="AF39" s="1242"/>
      <c r="AG39" s="1242"/>
      <c r="AH39" s="1242"/>
      <c r="AI39" s="1242"/>
      <c r="AJ39" s="1242"/>
      <c r="AK39" s="608"/>
      <c r="AM39" s="1242"/>
      <c r="AN39" s="1242"/>
      <c r="AO39" s="1242"/>
      <c r="AP39" s="1242"/>
      <c r="AQ39" s="1242"/>
      <c r="AR39" s="1242"/>
      <c r="AS39" s="1242"/>
      <c r="AU39" s="1242"/>
      <c r="AV39" s="1242"/>
      <c r="AW39" s="1242"/>
      <c r="AX39" s="1242"/>
      <c r="AY39" s="1242"/>
      <c r="AZ39" s="1242"/>
      <c r="BA39" s="1242"/>
      <c r="BC39" s="1242"/>
      <c r="BD39" s="1242"/>
      <c r="BE39" s="1242"/>
      <c r="BF39" s="1242"/>
      <c r="BG39" s="1242"/>
      <c r="BH39" s="1242"/>
      <c r="BI39" s="1242"/>
    </row>
    <row r="40" spans="1:61" ht="14.5">
      <c r="A40" s="1693">
        <f t="shared" si="16"/>
        <v>40</v>
      </c>
      <c r="B40" s="616">
        <v>1</v>
      </c>
      <c r="C40" s="1693">
        <f t="shared" si="12"/>
        <v>40</v>
      </c>
      <c r="D40" s="616">
        <v>1</v>
      </c>
      <c r="F40" s="69"/>
      <c r="J40" s="143" t="s">
        <v>63</v>
      </c>
      <c r="K40" s="20"/>
      <c r="L40" s="19"/>
      <c r="M40" s="19"/>
      <c r="N40" s="20"/>
      <c r="O40" s="20"/>
      <c r="P40" s="20"/>
      <c r="Q40" s="233"/>
      <c r="R40" s="1777" t="str">
        <f>CHOOSE(2, "6722000002959", "SGA Variable Expenses")</f>
        <v>SGA Variable Expenses</v>
      </c>
      <c r="S40" s="1599">
        <f>SUM(S41:S43)</f>
        <v>86967.19458000001</v>
      </c>
      <c r="T40" s="1599">
        <f t="shared" ref="T40:AD40" si="64">SUM(T41:T43)</f>
        <v>58635.765710000007</v>
      </c>
      <c r="U40" s="1599">
        <f t="shared" si="64"/>
        <v>111747.62712000003</v>
      </c>
      <c r="V40" s="1599">
        <f t="shared" si="64"/>
        <v>67890.918460000059</v>
      </c>
      <c r="W40" s="1599">
        <f t="shared" si="64"/>
        <v>86237.109139999986</v>
      </c>
      <c r="X40" s="1599">
        <f t="shared" si="64"/>
        <v>103191.26717999997</v>
      </c>
      <c r="Y40" s="1599">
        <f t="shared" si="64"/>
        <v>65990.168270000009</v>
      </c>
      <c r="Z40" s="1599">
        <f t="shared" si="64"/>
        <v>85327.670330000023</v>
      </c>
      <c r="AA40" s="1599">
        <f t="shared" si="64"/>
        <v>48863.393039999937</v>
      </c>
      <c r="AB40" s="1599">
        <f t="shared" si="64"/>
        <v>62827.199299999942</v>
      </c>
      <c r="AC40" s="1599">
        <f t="shared" si="64"/>
        <v>121038.75616000008</v>
      </c>
      <c r="AD40" s="1551">
        <f t="shared" si="64"/>
        <v>98908.032750000013</v>
      </c>
      <c r="AE40" s="900">
        <f t="shared" ref="AE40:AK40" si="65">SUM(AE41:AE43)</f>
        <v>257350.58741000004</v>
      </c>
      <c r="AF40" s="64">
        <f t="shared" si="65"/>
        <v>257319.29478</v>
      </c>
      <c r="AG40" s="64">
        <f t="shared" si="65"/>
        <v>200181.23163999995</v>
      </c>
      <c r="AH40" s="64">
        <f t="shared" si="65"/>
        <v>282773.98821000004</v>
      </c>
      <c r="AI40" s="64">
        <f t="shared" si="65"/>
        <v>514669.88219000003</v>
      </c>
      <c r="AJ40" s="64">
        <f t="shared" si="65"/>
        <v>482955.21984999999</v>
      </c>
      <c r="AK40" s="64">
        <f t="shared" si="65"/>
        <v>997625.10204000003</v>
      </c>
      <c r="AM40" s="2197">
        <f ca="1">SUM((INDIRECT(AM$2&amp;(ROW())):INDIRECT(AM$3&amp;(ROW()))))</f>
        <v>86967.19458000001</v>
      </c>
      <c r="AN40" s="2197">
        <f ca="1">SUM(INDIRECT(AN$1&amp;AN$2&amp;$C40):INDIRECT(AN$1&amp;AN$3&amp;$C40))</f>
        <v>78754.736297724594</v>
      </c>
      <c r="AO40" s="2703">
        <f t="shared" ref="AO40:AO54" ca="1" si="66">AM40-AN40</f>
        <v>8212.4582822754164</v>
      </c>
      <c r="AP40" s="2704">
        <f t="shared" ref="AP40:AP54" ca="1" si="67">IFERROR(AM40/AN40,0)</f>
        <v>1.1042789128418768</v>
      </c>
      <c r="AQ40" s="2197">
        <f ca="1">SUM(INDIRECT(AQ$1&amp;AQ$2&amp;$A40):INDIRECT(AQ$1&amp;AQ$3&amp;$A40))+SUM(INDIRECT(AQ$1&amp;AQ$2&amp;$B40):INDIRECT(AQ$1&amp;AQ$3&amp;$B40))</f>
        <v>61662</v>
      </c>
      <c r="AR40" s="2703">
        <f t="shared" ref="AR40:AR54" ca="1" si="68">AM40-AQ40</f>
        <v>25305.19458000001</v>
      </c>
      <c r="AS40" s="2704">
        <f t="shared" ref="AS40:AS54" ca="1" si="69">IFERROR(AM40/AQ40,0)</f>
        <v>1.4103855629074635</v>
      </c>
      <c r="AU40" s="2197">
        <f ca="1">SUM((INDIRECT(AU$2&amp;(ROW())):INDIRECT(AU$3&amp;(ROW()))))</f>
        <v>86967.19458000001</v>
      </c>
      <c r="AV40" s="2197">
        <f ca="1">SUM(INDIRECT(AV$1&amp;AV$2&amp;$C40):INDIRECT(AV$1&amp;AV$3&amp;$C40))</f>
        <v>78754.736297724594</v>
      </c>
      <c r="AW40" s="2703">
        <f t="shared" ref="AW40:AW54" ca="1" si="70">AU40-AV40</f>
        <v>8212.4582822754164</v>
      </c>
      <c r="AX40" s="2704">
        <f t="shared" ref="AX40:AX54" ca="1" si="71">IFERROR(AU40/AV40,0)</f>
        <v>1.1042789128418768</v>
      </c>
      <c r="AY40" s="2197">
        <f ca="1">SUM(INDIRECT(AY$1&amp;AY$2&amp;$A40):INDIRECT(AY$1&amp;AY$3&amp;$A40))+SUM(INDIRECT(AY$1&amp;AY$2&amp;$B40):INDIRECT(AY$1&amp;AY$3&amp;$B40))</f>
        <v>61662</v>
      </c>
      <c r="AZ40" s="2703">
        <f t="shared" ref="AZ40:AZ54" ca="1" si="72">AU40-AY40</f>
        <v>25305.19458000001</v>
      </c>
      <c r="BA40" s="2704">
        <f t="shared" ref="BA40:BA54" ca="1" si="73">IFERROR(AU40/AY40,0)</f>
        <v>1.4103855629074635</v>
      </c>
      <c r="BC40" s="2197">
        <f ca="1">SUM((INDIRECT(BC$2&amp;(ROW())):INDIRECT(BC$3&amp;(ROW()))))</f>
        <v>86967.19458000001</v>
      </c>
      <c r="BD40" s="2197">
        <f ca="1">SUM(INDIRECT(BD$1&amp;BD$2&amp;$C40):INDIRECT(BD$1&amp;BD$3&amp;$C40))</f>
        <v>78754.736297724594</v>
      </c>
      <c r="BE40" s="2703">
        <f t="shared" ref="BE40:BE54" ca="1" si="74">BC40-BD40</f>
        <v>8212.4582822754164</v>
      </c>
      <c r="BF40" s="2704">
        <f t="shared" ref="BF40:BF54" ca="1" si="75">IFERROR(BC40/BD40,0)</f>
        <v>1.1042789128418768</v>
      </c>
      <c r="BG40" s="2197">
        <f ca="1">SUM(INDIRECT(BG$1&amp;BG$2&amp;$A40):INDIRECT(BG$1&amp;BG$3&amp;$A40))+SUM(INDIRECT(BG$1&amp;BG$2&amp;$B40):INDIRECT(BG$1&amp;BG$3&amp;$B40))</f>
        <v>61662</v>
      </c>
      <c r="BH40" s="2703">
        <f t="shared" ref="BH40:BH54" ca="1" si="76">BC40-BG40</f>
        <v>25305.19458000001</v>
      </c>
      <c r="BI40" s="2704">
        <f t="shared" ref="BI40:BI54" ca="1" si="77">IFERROR(BC40/BG40,0)</f>
        <v>1.4103855629074635</v>
      </c>
    </row>
    <row r="41" spans="1:61" ht="14.5">
      <c r="A41" s="1693">
        <f t="shared" si="16"/>
        <v>41</v>
      </c>
      <c r="B41" s="616">
        <v>1</v>
      </c>
      <c r="C41" s="1693">
        <f t="shared" si="12"/>
        <v>41</v>
      </c>
      <c r="D41" s="616">
        <v>1</v>
      </c>
      <c r="F41" s="69"/>
      <c r="J41" s="172"/>
      <c r="K41" s="8" t="s">
        <v>98</v>
      </c>
      <c r="R41" s="1781" t="str">
        <f>CHOOSE(2, "6722000002960", "SGA Variable Expenses Selling Expenses")</f>
        <v>SGA Variable Expenses Selling Expenses</v>
      </c>
      <c r="S41" s="1298">
        <v>48671.337469999999</v>
      </c>
      <c r="T41" s="1298">
        <v>19830.667490000007</v>
      </c>
      <c r="U41" s="1298">
        <v>64127.338209999994</v>
      </c>
      <c r="V41" s="1298">
        <v>22253.062410000002</v>
      </c>
      <c r="W41" s="1298">
        <v>30917.380859999997</v>
      </c>
      <c r="X41" s="1298">
        <v>51037.175439999999</v>
      </c>
      <c r="Y41" s="1298">
        <v>18156.550040000006</v>
      </c>
      <c r="Z41" s="1298">
        <v>34304.221939999981</v>
      </c>
      <c r="AA41" s="1298">
        <v>13217.927469999997</v>
      </c>
      <c r="AB41" s="1298">
        <v>47196.753989999997</v>
      </c>
      <c r="AC41" s="1298">
        <v>92023.792310000033</v>
      </c>
      <c r="AD41" s="1281">
        <v>27776.729919999994</v>
      </c>
      <c r="AE41" s="880">
        <f>SUM(S41,T41,U41)</f>
        <v>132629.34317000001</v>
      </c>
      <c r="AF41" s="59">
        <f>SUM(V41,W41,X41)</f>
        <v>104207.61871000001</v>
      </c>
      <c r="AG41" s="59">
        <f>SUM(Y41,Z41,AA41)</f>
        <v>65678.699449999986</v>
      </c>
      <c r="AH41" s="59">
        <f>SUM(AB41,AC41,AD41)</f>
        <v>166997.27622000003</v>
      </c>
      <c r="AI41" s="59">
        <f>AE41+AF41</f>
        <v>236836.96188000002</v>
      </c>
      <c r="AJ41" s="59">
        <f>AH41+AG41</f>
        <v>232675.97567000001</v>
      </c>
      <c r="AK41" s="59">
        <f>AI41+AJ41</f>
        <v>469512.93755000003</v>
      </c>
      <c r="AM41" s="1924">
        <f ca="1">SUM((INDIRECT(AM$2&amp;(ROW())):INDIRECT(AM$3&amp;(ROW()))))</f>
        <v>48671.337469999999</v>
      </c>
      <c r="AN41" s="1924">
        <f ca="1">SUM(INDIRECT(AN$1&amp;AN$2&amp;$C41):INDIRECT(AN$1&amp;AN$3&amp;$C41))</f>
        <v>30564.920390154301</v>
      </c>
      <c r="AO41" s="2705">
        <f t="shared" ca="1" si="66"/>
        <v>18106.417079845698</v>
      </c>
      <c r="AP41" s="2706">
        <f t="shared" ca="1" si="67"/>
        <v>1.5923920903022608</v>
      </c>
      <c r="AQ41" s="1924">
        <f ca="1">SUM(INDIRECT(AQ$1&amp;AQ$2&amp;$A41):INDIRECT(AQ$1&amp;AQ$3&amp;$A41))+SUM(INDIRECT(AQ$1&amp;AQ$2&amp;$B41):INDIRECT(AQ$1&amp;AQ$3&amp;$B41))</f>
        <v>29184</v>
      </c>
      <c r="AR41" s="2705">
        <f t="shared" ca="1" si="68"/>
        <v>19487.337469999999</v>
      </c>
      <c r="AS41" s="2706">
        <f t="shared" ca="1" si="69"/>
        <v>1.6677404560718201</v>
      </c>
      <c r="AU41" s="1924">
        <f ca="1">SUM((INDIRECT(AU$2&amp;(ROW())):INDIRECT(AU$3&amp;(ROW()))))</f>
        <v>48671.337469999999</v>
      </c>
      <c r="AV41" s="1924">
        <f ca="1">SUM(INDIRECT(AV$1&amp;AV$2&amp;$C41):INDIRECT(AV$1&amp;AV$3&amp;$C41))</f>
        <v>30564.920390154301</v>
      </c>
      <c r="AW41" s="2705">
        <f t="shared" ca="1" si="70"/>
        <v>18106.417079845698</v>
      </c>
      <c r="AX41" s="2706">
        <f t="shared" ca="1" si="71"/>
        <v>1.5923920903022608</v>
      </c>
      <c r="AY41" s="1924">
        <f ca="1">SUM(INDIRECT(AY$1&amp;AY$2&amp;$A41):INDIRECT(AY$1&amp;AY$3&amp;$A41))+SUM(INDIRECT(AY$1&amp;AY$2&amp;$B41):INDIRECT(AY$1&amp;AY$3&amp;$B41))</f>
        <v>29184</v>
      </c>
      <c r="AZ41" s="2705">
        <f t="shared" ca="1" si="72"/>
        <v>19487.337469999999</v>
      </c>
      <c r="BA41" s="2706">
        <f t="shared" ca="1" si="73"/>
        <v>1.6677404560718201</v>
      </c>
      <c r="BC41" s="1924">
        <f ca="1">SUM((INDIRECT(BC$2&amp;(ROW())):INDIRECT(BC$3&amp;(ROW()))))</f>
        <v>48671.337469999999</v>
      </c>
      <c r="BD41" s="1924">
        <f ca="1">SUM(INDIRECT(BD$1&amp;BD$2&amp;$C41):INDIRECT(BD$1&amp;BD$3&amp;$C41))</f>
        <v>30564.920390154301</v>
      </c>
      <c r="BE41" s="2705">
        <f t="shared" ca="1" si="74"/>
        <v>18106.417079845698</v>
      </c>
      <c r="BF41" s="2706">
        <f t="shared" ca="1" si="75"/>
        <v>1.5923920903022608</v>
      </c>
      <c r="BG41" s="1924">
        <f ca="1">SUM(INDIRECT(BG$1&amp;BG$2&amp;$A41):INDIRECT(BG$1&amp;BG$3&amp;$A41))+SUM(INDIRECT(BG$1&amp;BG$2&amp;$B41):INDIRECT(BG$1&amp;BG$3&amp;$B41))</f>
        <v>29184</v>
      </c>
      <c r="BH41" s="2705">
        <f t="shared" ca="1" si="76"/>
        <v>19487.337469999999</v>
      </c>
      <c r="BI41" s="2706">
        <f t="shared" ca="1" si="77"/>
        <v>1.6677404560718201</v>
      </c>
    </row>
    <row r="42" spans="1:61" ht="14.5">
      <c r="A42" s="1693">
        <f t="shared" si="16"/>
        <v>42</v>
      </c>
      <c r="B42" s="616">
        <v>1</v>
      </c>
      <c r="C42" s="1693">
        <f t="shared" si="12"/>
        <v>42</v>
      </c>
      <c r="D42" s="616">
        <v>1</v>
      </c>
      <c r="F42" s="69"/>
      <c r="J42" s="172"/>
      <c r="K42" s="8" t="s">
        <v>99</v>
      </c>
      <c r="R42" s="1781" t="str">
        <f>CHOOSE(2, "6722000002961", "SGA Variable Expenses Adverting Expenses")</f>
        <v>SGA Variable Expenses Adverting Expenses</v>
      </c>
      <c r="S42" s="1298">
        <v>599.69018999999992</v>
      </c>
      <c r="T42" s="1298">
        <v>2185.9423500000003</v>
      </c>
      <c r="U42" s="1298">
        <v>2596.7902300000001</v>
      </c>
      <c r="V42" s="1298">
        <v>322.19818000000015</v>
      </c>
      <c r="W42" s="1298">
        <v>10033</v>
      </c>
      <c r="X42" s="1298">
        <v>4855.0328899999995</v>
      </c>
      <c r="Y42" s="1298">
        <v>13057.109179999999</v>
      </c>
      <c r="Z42" s="1298">
        <v>10944.53</v>
      </c>
      <c r="AA42" s="1298">
        <v>19600.805680000001</v>
      </c>
      <c r="AB42" s="1298">
        <v>1076.645</v>
      </c>
      <c r="AC42" s="1298">
        <v>-5342.8320000000003</v>
      </c>
      <c r="AD42" s="1281">
        <v>25925.646420000001</v>
      </c>
      <c r="AE42" s="88">
        <f>SUM(S42,T42,U42)</f>
        <v>5382.4227700000001</v>
      </c>
      <c r="AF42" s="17">
        <f>SUM(V42,W42,X42)</f>
        <v>15210.231069999998</v>
      </c>
      <c r="AG42" s="17">
        <f>SUM(Y42,Z42,AA42)</f>
        <v>43602.444860000003</v>
      </c>
      <c r="AH42" s="17">
        <f>SUM(AB42,AC42,AD42)</f>
        <v>21659.459419999999</v>
      </c>
      <c r="AI42" s="17">
        <f>AE42+AF42</f>
        <v>20592.653839999999</v>
      </c>
      <c r="AJ42" s="17">
        <f>AH42+AG42</f>
        <v>65261.904280000002</v>
      </c>
      <c r="AK42" s="17">
        <f>AI42+AJ42</f>
        <v>85854.558120000002</v>
      </c>
      <c r="AM42" s="1926">
        <f ca="1">SUM((INDIRECT(AM$2&amp;(ROW())):INDIRECT(AM$3&amp;(ROW()))))</f>
        <v>599.69018999999992</v>
      </c>
      <c r="AN42" s="1926">
        <f ca="1">SUM(INDIRECT(AN$1&amp;AN$2&amp;$C42):INDIRECT(AN$1&amp;AN$3&amp;$C42))</f>
        <v>6798.2979083393293</v>
      </c>
      <c r="AO42" s="2707">
        <f t="shared" ca="1" si="66"/>
        <v>-6198.607718339329</v>
      </c>
      <c r="AP42" s="2708">
        <f t="shared" ca="1" si="67"/>
        <v>8.8211813910710285E-2</v>
      </c>
      <c r="AQ42" s="1926">
        <f ca="1">SUM(INDIRECT(AQ$1&amp;AQ$2&amp;$A42):INDIRECT(AQ$1&amp;AQ$3&amp;$A42))+SUM(INDIRECT(AQ$1&amp;AQ$2&amp;$B42):INDIRECT(AQ$1&amp;AQ$3&amp;$B42))</f>
        <v>3470</v>
      </c>
      <c r="AR42" s="2707">
        <f t="shared" ca="1" si="68"/>
        <v>-2870.3098100000002</v>
      </c>
      <c r="AS42" s="2708">
        <f t="shared" ca="1" si="69"/>
        <v>0.17282138040345818</v>
      </c>
      <c r="AU42" s="1926">
        <f ca="1">SUM((INDIRECT(AU$2&amp;(ROW())):INDIRECT(AU$3&amp;(ROW()))))</f>
        <v>599.69018999999992</v>
      </c>
      <c r="AV42" s="1926">
        <f ca="1">SUM(INDIRECT(AV$1&amp;AV$2&amp;$C42):INDIRECT(AV$1&amp;AV$3&amp;$C42))</f>
        <v>6798.2979083393293</v>
      </c>
      <c r="AW42" s="2707">
        <f t="shared" ca="1" si="70"/>
        <v>-6198.607718339329</v>
      </c>
      <c r="AX42" s="2708">
        <f t="shared" ca="1" si="71"/>
        <v>8.8211813910710285E-2</v>
      </c>
      <c r="AY42" s="1926">
        <f ca="1">SUM(INDIRECT(AY$1&amp;AY$2&amp;$A42):INDIRECT(AY$1&amp;AY$3&amp;$A42))+SUM(INDIRECT(AY$1&amp;AY$2&amp;$B42):INDIRECT(AY$1&amp;AY$3&amp;$B42))</f>
        <v>3470</v>
      </c>
      <c r="AZ42" s="2707">
        <f t="shared" ca="1" si="72"/>
        <v>-2870.3098100000002</v>
      </c>
      <c r="BA42" s="2708">
        <f t="shared" ca="1" si="73"/>
        <v>0.17282138040345818</v>
      </c>
      <c r="BC42" s="1926">
        <f ca="1">SUM((INDIRECT(BC$2&amp;(ROW())):INDIRECT(BC$3&amp;(ROW()))))</f>
        <v>599.69018999999992</v>
      </c>
      <c r="BD42" s="1926">
        <f ca="1">SUM(INDIRECT(BD$1&amp;BD$2&amp;$C42):INDIRECT(BD$1&amp;BD$3&amp;$C42))</f>
        <v>6798.2979083393293</v>
      </c>
      <c r="BE42" s="2707">
        <f t="shared" ca="1" si="74"/>
        <v>-6198.607718339329</v>
      </c>
      <c r="BF42" s="2708">
        <f t="shared" ca="1" si="75"/>
        <v>8.8211813910710285E-2</v>
      </c>
      <c r="BG42" s="1926">
        <f ca="1">SUM(INDIRECT(BG$1&amp;BG$2&amp;$A42):INDIRECT(BG$1&amp;BG$3&amp;$A42))+SUM(INDIRECT(BG$1&amp;BG$2&amp;$B42):INDIRECT(BG$1&amp;BG$3&amp;$B42))</f>
        <v>3470</v>
      </c>
      <c r="BH42" s="2707">
        <f t="shared" ca="1" si="76"/>
        <v>-2870.3098100000002</v>
      </c>
      <c r="BI42" s="2708">
        <f t="shared" ca="1" si="77"/>
        <v>0.17282138040345818</v>
      </c>
    </row>
    <row r="43" spans="1:61" ht="14.5">
      <c r="A43" s="1693">
        <f t="shared" si="16"/>
        <v>43</v>
      </c>
      <c r="B43" s="616">
        <v>1</v>
      </c>
      <c r="C43" s="1693">
        <f t="shared" si="12"/>
        <v>43</v>
      </c>
      <c r="D43" s="616">
        <v>1</v>
      </c>
      <c r="F43" s="69"/>
      <c r="J43" s="172"/>
      <c r="K43" s="8" t="s">
        <v>100</v>
      </c>
      <c r="R43" s="1781" t="str">
        <f>CHOOSE(2, "6722000002962", "SGA Variable Expenses Logistics Expense")</f>
        <v>SGA Variable Expenses Logistics Expense</v>
      </c>
      <c r="S43" s="1298">
        <v>37696.166920000003</v>
      </c>
      <c r="T43" s="1298">
        <v>36619.155870000002</v>
      </c>
      <c r="U43" s="1298">
        <v>45023.498680000033</v>
      </c>
      <c r="V43" s="1298">
        <v>45315.657870000054</v>
      </c>
      <c r="W43" s="1298">
        <v>45286.728279999996</v>
      </c>
      <c r="X43" s="1298">
        <v>47299.058849999972</v>
      </c>
      <c r="Y43" s="1298">
        <v>34776.509050000008</v>
      </c>
      <c r="Z43" s="1298">
        <v>40078.918390000035</v>
      </c>
      <c r="AA43" s="1298">
        <v>16044.659889999939</v>
      </c>
      <c r="AB43" s="1298">
        <v>14553.800309999948</v>
      </c>
      <c r="AC43" s="1298">
        <v>34357.795850000039</v>
      </c>
      <c r="AD43" s="1281">
        <v>45205.656410000011</v>
      </c>
      <c r="AE43" s="87">
        <f>SUM(S43,T43,U43)</f>
        <v>119338.82147000004</v>
      </c>
      <c r="AF43" s="15">
        <f>SUM(V43,W43,X43)</f>
        <v>137901.44500000001</v>
      </c>
      <c r="AG43" s="15">
        <f>SUM(Y43,Z43,AA43)</f>
        <v>90900.08732999998</v>
      </c>
      <c r="AH43" s="15">
        <f>SUM(AB43,AC43,AD43)</f>
        <v>94117.252569999997</v>
      </c>
      <c r="AI43" s="15">
        <f>AE43+AF43</f>
        <v>257240.26647000003</v>
      </c>
      <c r="AJ43" s="15">
        <f>AH43+AG43</f>
        <v>185017.33989999996</v>
      </c>
      <c r="AK43" s="15">
        <f>AI43+AJ43</f>
        <v>442257.60636999999</v>
      </c>
      <c r="AM43" s="1928">
        <f ca="1">SUM((INDIRECT(AM$2&amp;(ROW())):INDIRECT(AM$3&amp;(ROW()))))</f>
        <v>37696.166920000003</v>
      </c>
      <c r="AN43" s="1928">
        <f ca="1">SUM(INDIRECT(AN$1&amp;AN$2&amp;$C43):INDIRECT(AN$1&amp;AN$3&amp;$C43))</f>
        <v>41391.517999230964</v>
      </c>
      <c r="AO43" s="2709">
        <f t="shared" ca="1" si="66"/>
        <v>-3695.3510792309607</v>
      </c>
      <c r="AP43" s="2710">
        <f t="shared" ca="1" si="67"/>
        <v>0.91072202089085941</v>
      </c>
      <c r="AQ43" s="1928">
        <f ca="1">SUM(INDIRECT(AQ$1&amp;AQ$2&amp;$A43):INDIRECT(AQ$1&amp;AQ$3&amp;$A43))+SUM(INDIRECT(AQ$1&amp;AQ$2&amp;$B43):INDIRECT(AQ$1&amp;AQ$3&amp;$B43))</f>
        <v>29008</v>
      </c>
      <c r="AR43" s="2709">
        <f t="shared" ca="1" si="68"/>
        <v>8688.1669200000033</v>
      </c>
      <c r="AS43" s="2710">
        <f t="shared" ca="1" si="69"/>
        <v>1.2995093394925539</v>
      </c>
      <c r="AU43" s="1928">
        <f ca="1">SUM((INDIRECT(AU$2&amp;(ROW())):INDIRECT(AU$3&amp;(ROW()))))</f>
        <v>37696.166920000003</v>
      </c>
      <c r="AV43" s="1928">
        <f ca="1">SUM(INDIRECT(AV$1&amp;AV$2&amp;$C43):INDIRECT(AV$1&amp;AV$3&amp;$C43))</f>
        <v>41391.517999230964</v>
      </c>
      <c r="AW43" s="2709">
        <f t="shared" ca="1" si="70"/>
        <v>-3695.3510792309607</v>
      </c>
      <c r="AX43" s="2710">
        <f t="shared" ca="1" si="71"/>
        <v>0.91072202089085941</v>
      </c>
      <c r="AY43" s="1928">
        <f ca="1">SUM(INDIRECT(AY$1&amp;AY$2&amp;$A43):INDIRECT(AY$1&amp;AY$3&amp;$A43))+SUM(INDIRECT(AY$1&amp;AY$2&amp;$B43):INDIRECT(AY$1&amp;AY$3&amp;$B43))</f>
        <v>29008</v>
      </c>
      <c r="AZ43" s="2709">
        <f t="shared" ca="1" si="72"/>
        <v>8688.1669200000033</v>
      </c>
      <c r="BA43" s="2710">
        <f t="shared" ca="1" si="73"/>
        <v>1.2995093394925539</v>
      </c>
      <c r="BC43" s="1928">
        <f ca="1">SUM((INDIRECT(BC$2&amp;(ROW())):INDIRECT(BC$3&amp;(ROW()))))</f>
        <v>37696.166920000003</v>
      </c>
      <c r="BD43" s="1928">
        <f ca="1">SUM(INDIRECT(BD$1&amp;BD$2&amp;$C43):INDIRECT(BD$1&amp;BD$3&amp;$C43))</f>
        <v>41391.517999230964</v>
      </c>
      <c r="BE43" s="2709">
        <f t="shared" ca="1" si="74"/>
        <v>-3695.3510792309607</v>
      </c>
      <c r="BF43" s="2710">
        <f t="shared" ca="1" si="75"/>
        <v>0.91072202089085941</v>
      </c>
      <c r="BG43" s="1928">
        <f ca="1">SUM(INDIRECT(BG$1&amp;BG$2&amp;$A43):INDIRECT(BG$1&amp;BG$3&amp;$A43))+SUM(INDIRECT(BG$1&amp;BG$2&amp;$B43):INDIRECT(BG$1&amp;BG$3&amp;$B43))</f>
        <v>29008</v>
      </c>
      <c r="BH43" s="2709">
        <f t="shared" ca="1" si="76"/>
        <v>8688.1669200000033</v>
      </c>
      <c r="BI43" s="2710">
        <f t="shared" ca="1" si="77"/>
        <v>1.2995093394925539</v>
      </c>
    </row>
    <row r="44" spans="1:61" ht="14.5">
      <c r="A44" s="1693">
        <f t="shared" si="16"/>
        <v>44</v>
      </c>
      <c r="B44" s="616">
        <v>1</v>
      </c>
      <c r="C44" s="1693">
        <f t="shared" si="12"/>
        <v>44</v>
      </c>
      <c r="D44" s="616">
        <v>1</v>
      </c>
      <c r="F44" s="69"/>
      <c r="J44" s="142" t="s">
        <v>88</v>
      </c>
      <c r="K44" s="20"/>
      <c r="L44" s="19"/>
      <c r="M44" s="19"/>
      <c r="N44" s="20"/>
      <c r="O44" s="20"/>
      <c r="P44" s="20"/>
      <c r="Q44" s="233"/>
      <c r="R44" s="1777" t="str">
        <f>CHOOSE(2, "6722000002963", "SGA Wages &amp; Salaries")</f>
        <v>SGA Wages &amp; Salaries</v>
      </c>
      <c r="S44" s="1599">
        <f>SUM(S45:S47)</f>
        <v>63642.700359999995</v>
      </c>
      <c r="T44" s="1599">
        <f t="shared" ref="T44:AD44" si="78">SUM(T45:T47)</f>
        <v>70744.86047</v>
      </c>
      <c r="U44" s="1599">
        <f t="shared" si="78"/>
        <v>70437.969939999995</v>
      </c>
      <c r="V44" s="1599">
        <f>SUM(V45:V47)</f>
        <v>65883.562196377097</v>
      </c>
      <c r="W44" s="1599">
        <f t="shared" si="78"/>
        <v>65617.89804</v>
      </c>
      <c r="X44" s="1599">
        <f t="shared" si="78"/>
        <v>61721.108280000008</v>
      </c>
      <c r="Y44" s="1599">
        <f t="shared" si="78"/>
        <v>63628.303740000003</v>
      </c>
      <c r="Z44" s="1599">
        <f t="shared" si="78"/>
        <v>72153.909209999998</v>
      </c>
      <c r="AA44" s="1599">
        <f t="shared" si="78"/>
        <v>78577.474350000019</v>
      </c>
      <c r="AB44" s="1599">
        <f t="shared" si="78"/>
        <v>77056.429300000062</v>
      </c>
      <c r="AC44" s="1599">
        <f t="shared" si="78"/>
        <v>87532.541499999934</v>
      </c>
      <c r="AD44" s="1551">
        <f t="shared" si="78"/>
        <v>72371.084120000043</v>
      </c>
      <c r="AE44" s="900">
        <f t="shared" ref="AE44:AK44" si="79">SUM(AE45:AE47)</f>
        <v>204825.53076999998</v>
      </c>
      <c r="AF44" s="64">
        <f t="shared" si="79"/>
        <v>193222.56851637713</v>
      </c>
      <c r="AG44" s="64">
        <f t="shared" si="79"/>
        <v>214359.68730000002</v>
      </c>
      <c r="AH44" s="64">
        <f t="shared" si="79"/>
        <v>236960.05492000002</v>
      </c>
      <c r="AI44" s="64">
        <f t="shared" si="79"/>
        <v>398048.09928637714</v>
      </c>
      <c r="AJ44" s="64">
        <f t="shared" si="79"/>
        <v>451319.74222000007</v>
      </c>
      <c r="AK44" s="64">
        <f t="shared" si="79"/>
        <v>849367.8415063771</v>
      </c>
      <c r="AM44" s="2197">
        <f ca="1">SUM((INDIRECT(AM$2&amp;(ROW())):INDIRECT(AM$3&amp;(ROW()))))</f>
        <v>63642.700359999995</v>
      </c>
      <c r="AN44" s="2197">
        <f ca="1">SUM(INDIRECT(AN$1&amp;AN$2&amp;$C44):INDIRECT(AN$1&amp;AN$3&amp;$C44))</f>
        <v>67552.120833333334</v>
      </c>
      <c r="AO44" s="2703">
        <f t="shared" ca="1" si="66"/>
        <v>-3909.420473333339</v>
      </c>
      <c r="AP44" s="2704">
        <f t="shared" ca="1" si="67"/>
        <v>0.94212734663092546</v>
      </c>
      <c r="AQ44" s="2197">
        <f ca="1">SUM(INDIRECT(AQ$1&amp;AQ$2&amp;$A44):INDIRECT(AQ$1&amp;AQ$3&amp;$A44))+SUM(INDIRECT(AQ$1&amp;AQ$2&amp;$B44):INDIRECT(AQ$1&amp;AQ$3&amp;$B44))</f>
        <v>57774</v>
      </c>
      <c r="AR44" s="2703">
        <f t="shared" ca="1" si="68"/>
        <v>5868.7003599999953</v>
      </c>
      <c r="AS44" s="2704">
        <f t="shared" ca="1" si="69"/>
        <v>1.1015803018658912</v>
      </c>
      <c r="AU44" s="2197">
        <f ca="1">SUM((INDIRECT(AU$2&amp;(ROW())):INDIRECT(AU$3&amp;(ROW()))))</f>
        <v>63642.700359999995</v>
      </c>
      <c r="AV44" s="2197">
        <f ca="1">SUM(INDIRECT(AV$1&amp;AV$2&amp;$C44):INDIRECT(AV$1&amp;AV$3&amp;$C44))</f>
        <v>67552.120833333334</v>
      </c>
      <c r="AW44" s="2703">
        <f t="shared" ca="1" si="70"/>
        <v>-3909.420473333339</v>
      </c>
      <c r="AX44" s="2704">
        <f t="shared" ca="1" si="71"/>
        <v>0.94212734663092546</v>
      </c>
      <c r="AY44" s="2197">
        <f ca="1">SUM(INDIRECT(AY$1&amp;AY$2&amp;$A44):INDIRECT(AY$1&amp;AY$3&amp;$A44))+SUM(INDIRECT(AY$1&amp;AY$2&amp;$B44):INDIRECT(AY$1&amp;AY$3&amp;$B44))</f>
        <v>57774</v>
      </c>
      <c r="AZ44" s="2703">
        <f t="shared" ca="1" si="72"/>
        <v>5868.7003599999953</v>
      </c>
      <c r="BA44" s="2704">
        <f t="shared" ca="1" si="73"/>
        <v>1.1015803018658912</v>
      </c>
      <c r="BC44" s="2197">
        <f ca="1">SUM((INDIRECT(BC$2&amp;(ROW())):INDIRECT(BC$3&amp;(ROW()))))</f>
        <v>63642.700359999995</v>
      </c>
      <c r="BD44" s="2197">
        <f ca="1">SUM(INDIRECT(BD$1&amp;BD$2&amp;$C44):INDIRECT(BD$1&amp;BD$3&amp;$C44))</f>
        <v>67552.120833333334</v>
      </c>
      <c r="BE44" s="2703">
        <f t="shared" ca="1" si="74"/>
        <v>-3909.420473333339</v>
      </c>
      <c r="BF44" s="2704">
        <f t="shared" ca="1" si="75"/>
        <v>0.94212734663092546</v>
      </c>
      <c r="BG44" s="2197">
        <f ca="1">SUM(INDIRECT(BG$1&amp;BG$2&amp;$A44):INDIRECT(BG$1&amp;BG$3&amp;$A44))+SUM(INDIRECT(BG$1&amp;BG$2&amp;$B44):INDIRECT(BG$1&amp;BG$3&amp;$B44))</f>
        <v>57774</v>
      </c>
      <c r="BH44" s="2703">
        <f t="shared" ca="1" si="76"/>
        <v>5868.7003599999953</v>
      </c>
      <c r="BI44" s="2704">
        <f t="shared" ca="1" si="77"/>
        <v>1.1015803018658912</v>
      </c>
    </row>
    <row r="45" spans="1:61" ht="14.5">
      <c r="A45" s="1693">
        <f t="shared" si="16"/>
        <v>45</v>
      </c>
      <c r="B45" s="616">
        <v>1</v>
      </c>
      <c r="C45" s="1693">
        <f t="shared" si="12"/>
        <v>45</v>
      </c>
      <c r="D45" s="616">
        <v>1</v>
      </c>
      <c r="F45" s="69"/>
      <c r="J45" s="56"/>
      <c r="K45" s="8" t="s">
        <v>101</v>
      </c>
      <c r="R45" s="1781" t="str">
        <f>CHOOSE(2, "6722000002964", "SGA Wages &amp; Salaries Variable Wages &amp; Salaries")</f>
        <v>SGA Wages &amp; Salaries Variable Wages &amp; Salaries</v>
      </c>
      <c r="S45" s="1298">
        <v>10136.797999999999</v>
      </c>
      <c r="T45" s="1298">
        <v>10096.797999999999</v>
      </c>
      <c r="U45" s="1298">
        <v>10987.565920000001</v>
      </c>
      <c r="V45" s="1298">
        <v>7412.6350000000002</v>
      </c>
      <c r="W45" s="1298">
        <v>3944</v>
      </c>
      <c r="X45" s="1298">
        <v>7513.3568400000004</v>
      </c>
      <c r="Y45" s="1298">
        <v>5116.7309999999998</v>
      </c>
      <c r="Z45" s="1298">
        <v>13133.393</v>
      </c>
      <c r="AA45" s="1298">
        <v>8266.2170900000019</v>
      </c>
      <c r="AB45" s="1298">
        <v>8383.6460000000006</v>
      </c>
      <c r="AC45" s="1298">
        <v>8383.6460000000006</v>
      </c>
      <c r="AD45" s="1281">
        <v>8581.6548799999946</v>
      </c>
      <c r="AE45" s="880">
        <f>SUM(S45,T45,U45)</f>
        <v>31221.161919999999</v>
      </c>
      <c r="AF45" s="59">
        <f>SUM(V45,W45,X45)</f>
        <v>18869.991840000002</v>
      </c>
      <c r="AG45" s="59">
        <f>SUM(Y45,Z45,AA45)</f>
        <v>26516.341090000002</v>
      </c>
      <c r="AH45" s="59">
        <f>SUM(AB45,AC45,AD45)</f>
        <v>25348.946879999996</v>
      </c>
      <c r="AI45" s="59">
        <f>AE45+AF45</f>
        <v>50091.153760000001</v>
      </c>
      <c r="AJ45" s="59">
        <f>AH45+AG45</f>
        <v>51865.287969999998</v>
      </c>
      <c r="AK45" s="59">
        <f>AI45+AJ45</f>
        <v>101956.44172999999</v>
      </c>
      <c r="AM45" s="1924">
        <f ca="1">SUM((INDIRECT(AM$2&amp;(ROW())):INDIRECT(AM$3&amp;(ROW()))))</f>
        <v>10136.797999999999</v>
      </c>
      <c r="AN45" s="1924">
        <f ca="1">SUM(INDIRECT(AN$1&amp;AN$2&amp;$C45):INDIRECT(AN$1&amp;AN$3&amp;$C45))</f>
        <v>10768.916666666666</v>
      </c>
      <c r="AO45" s="2705">
        <f t="shared" ca="1" si="66"/>
        <v>-632.1186666666672</v>
      </c>
      <c r="AP45" s="2706">
        <f t="shared" ca="1" si="67"/>
        <v>0.9413015546286766</v>
      </c>
      <c r="AQ45" s="1924">
        <f ca="1">SUM(INDIRECT(AQ$1&amp;AQ$2&amp;$A45):INDIRECT(AQ$1&amp;AQ$3&amp;$A45))+SUM(INDIRECT(AQ$1&amp;AQ$2&amp;$B45):INDIRECT(AQ$1&amp;AQ$3&amp;$B45))</f>
        <v>8793</v>
      </c>
      <c r="AR45" s="2705">
        <f t="shared" ca="1" si="68"/>
        <v>1343.7979999999989</v>
      </c>
      <c r="AS45" s="2706">
        <f t="shared" ca="1" si="69"/>
        <v>1.1528258842260888</v>
      </c>
      <c r="AU45" s="1924">
        <f ca="1">SUM((INDIRECT(AU$2&amp;(ROW())):INDIRECT(AU$3&amp;(ROW()))))</f>
        <v>10136.797999999999</v>
      </c>
      <c r="AV45" s="1924">
        <f ca="1">SUM(INDIRECT(AV$1&amp;AV$2&amp;$C45):INDIRECT(AV$1&amp;AV$3&amp;$C45))</f>
        <v>10768.916666666666</v>
      </c>
      <c r="AW45" s="2705">
        <f t="shared" ca="1" si="70"/>
        <v>-632.1186666666672</v>
      </c>
      <c r="AX45" s="2706">
        <f t="shared" ca="1" si="71"/>
        <v>0.9413015546286766</v>
      </c>
      <c r="AY45" s="1924">
        <f ca="1">SUM(INDIRECT(AY$1&amp;AY$2&amp;$A45):INDIRECT(AY$1&amp;AY$3&amp;$A45))+SUM(INDIRECT(AY$1&amp;AY$2&amp;$B45):INDIRECT(AY$1&amp;AY$3&amp;$B45))</f>
        <v>8793</v>
      </c>
      <c r="AZ45" s="2705">
        <f t="shared" ca="1" si="72"/>
        <v>1343.7979999999989</v>
      </c>
      <c r="BA45" s="2706">
        <f t="shared" ca="1" si="73"/>
        <v>1.1528258842260888</v>
      </c>
      <c r="BC45" s="1924">
        <f ca="1">SUM((INDIRECT(BC$2&amp;(ROW())):INDIRECT(BC$3&amp;(ROW()))))</f>
        <v>10136.797999999999</v>
      </c>
      <c r="BD45" s="1924">
        <f ca="1">SUM(INDIRECT(BD$1&amp;BD$2&amp;$C45):INDIRECT(BD$1&amp;BD$3&amp;$C45))</f>
        <v>10768.916666666666</v>
      </c>
      <c r="BE45" s="2705">
        <f t="shared" ca="1" si="74"/>
        <v>-632.1186666666672</v>
      </c>
      <c r="BF45" s="2706">
        <f t="shared" ca="1" si="75"/>
        <v>0.9413015546286766</v>
      </c>
      <c r="BG45" s="1924">
        <f ca="1">SUM(INDIRECT(BG$1&amp;BG$2&amp;$A45):INDIRECT(BG$1&amp;BG$3&amp;$A45))+SUM(INDIRECT(BG$1&amp;BG$2&amp;$B45):INDIRECT(BG$1&amp;BG$3&amp;$B45))</f>
        <v>8793</v>
      </c>
      <c r="BH45" s="2705">
        <f t="shared" ca="1" si="76"/>
        <v>1343.7979999999989</v>
      </c>
      <c r="BI45" s="2706">
        <f t="shared" ca="1" si="77"/>
        <v>1.1528258842260888</v>
      </c>
    </row>
    <row r="46" spans="1:61" ht="14.5">
      <c r="A46" s="1693">
        <f t="shared" si="16"/>
        <v>46</v>
      </c>
      <c r="B46" s="616">
        <v>1</v>
      </c>
      <c r="C46" s="1693">
        <f t="shared" si="12"/>
        <v>46</v>
      </c>
      <c r="D46" s="616">
        <v>1</v>
      </c>
      <c r="F46" s="69"/>
      <c r="J46" s="172"/>
      <c r="K46" s="8" t="s">
        <v>102</v>
      </c>
      <c r="R46" s="1781" t="str">
        <f>CHOOSE(2, "6722000002965", "SGA Wages &amp; Salaries Fixed Wages &amp; Salaries")</f>
        <v>SGA Wages &amp; Salaries Fixed Wages &amp; Salaries</v>
      </c>
      <c r="S46" s="1298">
        <v>50112.415359999999</v>
      </c>
      <c r="T46" s="1298">
        <v>57276.798470000002</v>
      </c>
      <c r="U46" s="1298">
        <v>56181.91302</v>
      </c>
      <c r="V46" s="1298">
        <v>54977.384196377097</v>
      </c>
      <c r="W46" s="1298">
        <v>58257.882039999997</v>
      </c>
      <c r="X46" s="1298">
        <v>52785.330440000005</v>
      </c>
      <c r="Y46" s="1298">
        <v>55103.30474</v>
      </c>
      <c r="Z46" s="1298">
        <v>55615.25621</v>
      </c>
      <c r="AA46" s="1298">
        <v>66896.81326000001</v>
      </c>
      <c r="AB46" s="1298">
        <v>65261.535300000061</v>
      </c>
      <c r="AC46" s="1298">
        <v>59807.909079999932</v>
      </c>
      <c r="AD46" s="1281">
        <v>55901.298240000047</v>
      </c>
      <c r="AE46" s="88">
        <f>SUM(S46,T46,U46)</f>
        <v>163571.12685</v>
      </c>
      <c r="AF46" s="17">
        <f>SUM(V46,W46,X46)</f>
        <v>166020.59667637711</v>
      </c>
      <c r="AG46" s="17">
        <f>SUM(Y46,Z46,AA46)</f>
        <v>177615.37421000001</v>
      </c>
      <c r="AH46" s="17">
        <f>SUM(AB46,AC46,AD46)</f>
        <v>180970.74262000003</v>
      </c>
      <c r="AI46" s="17">
        <f>AE46+AF46</f>
        <v>329591.72352637711</v>
      </c>
      <c r="AJ46" s="17">
        <f>AH46+AG46</f>
        <v>358586.11683000007</v>
      </c>
      <c r="AK46" s="17">
        <f>AI46+AJ46</f>
        <v>688177.84035637719</v>
      </c>
      <c r="AM46" s="1926">
        <f ca="1">SUM((INDIRECT(AM$2&amp;(ROW())):INDIRECT(AM$3&amp;(ROW()))))</f>
        <v>50112.415359999999</v>
      </c>
      <c r="AN46" s="1926">
        <f ca="1">SUM(INDIRECT(AN$1&amp;AN$2&amp;$C46):INDIRECT(AN$1&amp;AN$3&amp;$C46))</f>
        <v>53502.39166666667</v>
      </c>
      <c r="AO46" s="2707">
        <f t="shared" ca="1" si="66"/>
        <v>-3389.976306666671</v>
      </c>
      <c r="AP46" s="2708">
        <f t="shared" ca="1" si="67"/>
        <v>0.93663878938745249</v>
      </c>
      <c r="AQ46" s="1926">
        <f ca="1">SUM(INDIRECT(AQ$1&amp;AQ$2&amp;$A46):INDIRECT(AQ$1&amp;AQ$3&amp;$A46))+SUM(INDIRECT(AQ$1&amp;AQ$2&amp;$B46):INDIRECT(AQ$1&amp;AQ$3&amp;$B46))</f>
        <v>45396</v>
      </c>
      <c r="AR46" s="2707">
        <f t="shared" ca="1" si="68"/>
        <v>4716.4153599999991</v>
      </c>
      <c r="AS46" s="2708">
        <f t="shared" ca="1" si="69"/>
        <v>1.1038949546215526</v>
      </c>
      <c r="AU46" s="1926">
        <f ca="1">SUM((INDIRECT(AU$2&amp;(ROW())):INDIRECT(AU$3&amp;(ROW()))))</f>
        <v>50112.415359999999</v>
      </c>
      <c r="AV46" s="1926">
        <f ca="1">SUM(INDIRECT(AV$1&amp;AV$2&amp;$C46):INDIRECT(AV$1&amp;AV$3&amp;$C46))</f>
        <v>53502.39166666667</v>
      </c>
      <c r="AW46" s="2707">
        <f t="shared" ca="1" si="70"/>
        <v>-3389.976306666671</v>
      </c>
      <c r="AX46" s="2708">
        <f t="shared" ca="1" si="71"/>
        <v>0.93663878938745249</v>
      </c>
      <c r="AY46" s="1926">
        <f ca="1">SUM(INDIRECT(AY$1&amp;AY$2&amp;$A46):INDIRECT(AY$1&amp;AY$3&amp;$A46))+SUM(INDIRECT(AY$1&amp;AY$2&amp;$B46):INDIRECT(AY$1&amp;AY$3&amp;$B46))</f>
        <v>45396</v>
      </c>
      <c r="AZ46" s="2707">
        <f t="shared" ca="1" si="72"/>
        <v>4716.4153599999991</v>
      </c>
      <c r="BA46" s="2708">
        <f t="shared" ca="1" si="73"/>
        <v>1.1038949546215526</v>
      </c>
      <c r="BC46" s="1926">
        <f ca="1">SUM((INDIRECT(BC$2&amp;(ROW())):INDIRECT(BC$3&amp;(ROW()))))</f>
        <v>50112.415359999999</v>
      </c>
      <c r="BD46" s="1926">
        <f ca="1">SUM(INDIRECT(BD$1&amp;BD$2&amp;$C46):INDIRECT(BD$1&amp;BD$3&amp;$C46))</f>
        <v>53502.39166666667</v>
      </c>
      <c r="BE46" s="2707">
        <f t="shared" ca="1" si="74"/>
        <v>-3389.976306666671</v>
      </c>
      <c r="BF46" s="2708">
        <f t="shared" ca="1" si="75"/>
        <v>0.93663878938745249</v>
      </c>
      <c r="BG46" s="1926">
        <f ca="1">SUM(INDIRECT(BG$1&amp;BG$2&amp;$A46):INDIRECT(BG$1&amp;BG$3&amp;$A46))+SUM(INDIRECT(BG$1&amp;BG$2&amp;$B46):INDIRECT(BG$1&amp;BG$3&amp;$B46))</f>
        <v>45396</v>
      </c>
      <c r="BH46" s="2707">
        <f t="shared" ca="1" si="76"/>
        <v>4716.4153599999991</v>
      </c>
      <c r="BI46" s="2708">
        <f t="shared" ca="1" si="77"/>
        <v>1.1038949546215526</v>
      </c>
    </row>
    <row r="47" spans="1:61" ht="14.5">
      <c r="A47" s="1693">
        <f t="shared" si="16"/>
        <v>47</v>
      </c>
      <c r="B47" s="616">
        <v>1</v>
      </c>
      <c r="C47" s="1693">
        <f t="shared" si="12"/>
        <v>47</v>
      </c>
      <c r="D47" s="616">
        <v>1</v>
      </c>
      <c r="F47" s="69"/>
      <c r="J47" s="171"/>
      <c r="K47" s="11" t="s">
        <v>103</v>
      </c>
      <c r="L47" s="16"/>
      <c r="M47" s="16"/>
      <c r="N47" s="11"/>
      <c r="O47" s="11"/>
      <c r="P47" s="11"/>
      <c r="Q47" s="11"/>
      <c r="R47" s="1781" t="str">
        <f>CHOOSE(2, "6722000002966", "SGA Wages &amp; Salaries Retirement Benefit Cost")</f>
        <v>SGA Wages &amp; Salaries Retirement Benefit Cost</v>
      </c>
      <c r="S47" s="1298">
        <v>3393.4870000000001</v>
      </c>
      <c r="T47" s="1298">
        <v>3371.2640000000001</v>
      </c>
      <c r="U47" s="1298">
        <v>3268.491</v>
      </c>
      <c r="V47" s="1298">
        <v>3493.5430000000001</v>
      </c>
      <c r="W47" s="1298">
        <v>3416.0160000000001</v>
      </c>
      <c r="X47" s="1298">
        <v>1422.421</v>
      </c>
      <c r="Y47" s="1298">
        <v>3408.268</v>
      </c>
      <c r="Z47" s="1298">
        <v>3405.26</v>
      </c>
      <c r="AA47" s="1298">
        <v>3414.444</v>
      </c>
      <c r="AB47" s="1298">
        <v>3411.248</v>
      </c>
      <c r="AC47" s="1298">
        <v>19340.986420000001</v>
      </c>
      <c r="AD47" s="1281">
        <v>7888.1309999999994</v>
      </c>
      <c r="AE47" s="87">
        <f>SUM(S47,T47,U47)</f>
        <v>10033.242</v>
      </c>
      <c r="AF47" s="15">
        <f>SUM(V47,W47,X47)</f>
        <v>8331.98</v>
      </c>
      <c r="AG47" s="15">
        <f>SUM(Y47,Z47,AA47)</f>
        <v>10227.972</v>
      </c>
      <c r="AH47" s="15">
        <f>SUM(AB47,AC47,AD47)</f>
        <v>30640.365420000002</v>
      </c>
      <c r="AI47" s="15">
        <f>AE47+AF47</f>
        <v>18365.222000000002</v>
      </c>
      <c r="AJ47" s="15">
        <f>AH47+AG47</f>
        <v>40868.337420000003</v>
      </c>
      <c r="AK47" s="15">
        <f>AI47+AJ47</f>
        <v>59233.559420000005</v>
      </c>
      <c r="AM47" s="1928">
        <f ca="1">SUM((INDIRECT(AM$2&amp;(ROW())):INDIRECT(AM$3&amp;(ROW()))))</f>
        <v>3393.4870000000001</v>
      </c>
      <c r="AN47" s="1928">
        <f ca="1">SUM(INDIRECT(AN$1&amp;AN$2&amp;$C47):INDIRECT(AN$1&amp;AN$3&amp;$C47))</f>
        <v>3280.8124999999995</v>
      </c>
      <c r="AO47" s="2709">
        <f t="shared" ca="1" si="66"/>
        <v>112.67450000000053</v>
      </c>
      <c r="AP47" s="2710">
        <f t="shared" ca="1" si="67"/>
        <v>1.0343434743680111</v>
      </c>
      <c r="AQ47" s="1928">
        <f ca="1">SUM(INDIRECT(AQ$1&amp;AQ$2&amp;$A47):INDIRECT(AQ$1&amp;AQ$3&amp;$A47))+SUM(INDIRECT(AQ$1&amp;AQ$2&amp;$B47):INDIRECT(AQ$1&amp;AQ$3&amp;$B47))</f>
        <v>3585</v>
      </c>
      <c r="AR47" s="2709">
        <f t="shared" ca="1" si="68"/>
        <v>-191.51299999999992</v>
      </c>
      <c r="AS47" s="2710">
        <f t="shared" ca="1" si="69"/>
        <v>0.94657935843793584</v>
      </c>
      <c r="AU47" s="1928">
        <f ca="1">SUM((INDIRECT(AU$2&amp;(ROW())):INDIRECT(AU$3&amp;(ROW()))))</f>
        <v>3393.4870000000001</v>
      </c>
      <c r="AV47" s="1928">
        <f ca="1">SUM(INDIRECT(AV$1&amp;AV$2&amp;$C47):INDIRECT(AV$1&amp;AV$3&amp;$C47))</f>
        <v>3280.8124999999995</v>
      </c>
      <c r="AW47" s="2709">
        <f t="shared" ca="1" si="70"/>
        <v>112.67450000000053</v>
      </c>
      <c r="AX47" s="2710">
        <f t="shared" ca="1" si="71"/>
        <v>1.0343434743680111</v>
      </c>
      <c r="AY47" s="1928">
        <f ca="1">SUM(INDIRECT(AY$1&amp;AY$2&amp;$A47):INDIRECT(AY$1&amp;AY$3&amp;$A47))+SUM(INDIRECT(AY$1&amp;AY$2&amp;$B47):INDIRECT(AY$1&amp;AY$3&amp;$B47))</f>
        <v>3585</v>
      </c>
      <c r="AZ47" s="2709">
        <f t="shared" ca="1" si="72"/>
        <v>-191.51299999999992</v>
      </c>
      <c r="BA47" s="2710">
        <f t="shared" ca="1" si="73"/>
        <v>0.94657935843793584</v>
      </c>
      <c r="BC47" s="1928">
        <f ca="1">SUM((INDIRECT(BC$2&amp;(ROW())):INDIRECT(BC$3&amp;(ROW()))))</f>
        <v>3393.4870000000001</v>
      </c>
      <c r="BD47" s="1928">
        <f ca="1">SUM(INDIRECT(BD$1&amp;BD$2&amp;$C47):INDIRECT(BD$1&amp;BD$3&amp;$C47))</f>
        <v>3280.8124999999995</v>
      </c>
      <c r="BE47" s="2709">
        <f t="shared" ca="1" si="74"/>
        <v>112.67450000000053</v>
      </c>
      <c r="BF47" s="2710">
        <f t="shared" ca="1" si="75"/>
        <v>1.0343434743680111</v>
      </c>
      <c r="BG47" s="1928">
        <f ca="1">SUM(INDIRECT(BG$1&amp;BG$2&amp;$A47):INDIRECT(BG$1&amp;BG$3&amp;$A47))+SUM(INDIRECT(BG$1&amp;BG$2&amp;$B47):INDIRECT(BG$1&amp;BG$3&amp;$B47))</f>
        <v>3585</v>
      </c>
      <c r="BH47" s="2709">
        <f t="shared" ca="1" si="76"/>
        <v>-191.51299999999992</v>
      </c>
      <c r="BI47" s="2710">
        <f t="shared" ca="1" si="77"/>
        <v>0.94657935843793584</v>
      </c>
    </row>
    <row r="48" spans="1:61" ht="14.5">
      <c r="A48" s="1693">
        <f t="shared" si="16"/>
        <v>48</v>
      </c>
      <c r="B48" s="616">
        <v>1</v>
      </c>
      <c r="C48" s="1693">
        <f t="shared" si="12"/>
        <v>48</v>
      </c>
      <c r="D48" s="616">
        <v>1</v>
      </c>
      <c r="F48" s="69"/>
      <c r="J48" s="219" t="s">
        <v>62</v>
      </c>
      <c r="K48" s="20"/>
      <c r="L48" s="19"/>
      <c r="M48" s="19"/>
      <c r="N48" s="20"/>
      <c r="O48" s="20"/>
      <c r="P48" s="20"/>
      <c r="Q48" s="233"/>
      <c r="R48" s="1777" t="str">
        <f>CHOOSE(2, "6722000002967", "SGA Fixed Expenses")</f>
        <v>SGA Fixed Expenses</v>
      </c>
      <c r="S48" s="1599">
        <f>SUM(S49:S54)</f>
        <v>110445.4719</v>
      </c>
      <c r="T48" s="1599">
        <f t="shared" ref="T48:AD48" si="80">SUM(T49:T54)</f>
        <v>97587.149770000004</v>
      </c>
      <c r="U48" s="1599">
        <f t="shared" si="80"/>
        <v>15802.466240000002</v>
      </c>
      <c r="V48" s="1599">
        <f>SUM(V49:V54)</f>
        <v>54914.880224670349</v>
      </c>
      <c r="W48" s="1599">
        <f t="shared" si="80"/>
        <v>56267.094499999948</v>
      </c>
      <c r="X48" s="1599">
        <f t="shared" si="80"/>
        <v>61644.143199999999</v>
      </c>
      <c r="Y48" s="1599">
        <f t="shared" si="80"/>
        <v>53960.418110000021</v>
      </c>
      <c r="Z48" s="1599">
        <f t="shared" si="80"/>
        <v>83470.118200000012</v>
      </c>
      <c r="AA48" s="1599">
        <f t="shared" si="80"/>
        <v>108721.48796999999</v>
      </c>
      <c r="AB48" s="1599">
        <f t="shared" si="80"/>
        <v>87289.594329999978</v>
      </c>
      <c r="AC48" s="1599">
        <f t="shared" si="80"/>
        <v>84343.917950000017</v>
      </c>
      <c r="AD48" s="1551">
        <f t="shared" si="80"/>
        <v>14489.180379999956</v>
      </c>
      <c r="AE48" s="900">
        <f t="shared" ref="AE48:AK48" si="81">SUM(AE49:AE54)</f>
        <v>223835.08791</v>
      </c>
      <c r="AF48" s="64">
        <f t="shared" si="81"/>
        <v>172826.11792467028</v>
      </c>
      <c r="AG48" s="64">
        <f t="shared" si="81"/>
        <v>246152.02428000004</v>
      </c>
      <c r="AH48" s="64">
        <f t="shared" si="81"/>
        <v>186122.69265999994</v>
      </c>
      <c r="AI48" s="64">
        <f t="shared" si="81"/>
        <v>396661.20583467028</v>
      </c>
      <c r="AJ48" s="64">
        <f t="shared" si="81"/>
        <v>432274.71694000001</v>
      </c>
      <c r="AK48" s="64">
        <f t="shared" si="81"/>
        <v>828935.9227746703</v>
      </c>
      <c r="AM48" s="2197">
        <f ca="1">SUM((INDIRECT(AM$2&amp;(ROW())):INDIRECT(AM$3&amp;(ROW()))))</f>
        <v>110445.4719</v>
      </c>
      <c r="AN48" s="2197">
        <f ca="1">SUM(INDIRECT(AN$1&amp;AN$2&amp;$C48):INDIRECT(AN$1&amp;AN$3&amp;$C48))</f>
        <v>51257.835752666724</v>
      </c>
      <c r="AO48" s="2703">
        <f t="shared" ca="1" si="66"/>
        <v>59187.63614733328</v>
      </c>
      <c r="AP48" s="2704">
        <f t="shared" ca="1" si="67"/>
        <v>2.1547041594368137</v>
      </c>
      <c r="AQ48" s="2197">
        <f ca="1">SUM(INDIRECT(AQ$1&amp;AQ$2&amp;$A48):INDIRECT(AQ$1&amp;AQ$3&amp;$A48))+SUM(INDIRECT(AQ$1&amp;AQ$2&amp;$B48):INDIRECT(AQ$1&amp;AQ$3&amp;$B48))</f>
        <v>43777</v>
      </c>
      <c r="AR48" s="2703">
        <f t="shared" ca="1" si="68"/>
        <v>66668.471900000004</v>
      </c>
      <c r="AS48" s="2704">
        <f t="shared" ca="1" si="69"/>
        <v>2.5229109326815453</v>
      </c>
      <c r="AU48" s="2197">
        <f ca="1">SUM((INDIRECT(AU$2&amp;(ROW())):INDIRECT(AU$3&amp;(ROW()))))</f>
        <v>110445.4719</v>
      </c>
      <c r="AV48" s="2197">
        <f ca="1">SUM(INDIRECT(AV$1&amp;AV$2&amp;$C48):INDIRECT(AV$1&amp;AV$3&amp;$C48))</f>
        <v>51257.835752666724</v>
      </c>
      <c r="AW48" s="2703">
        <f t="shared" ca="1" si="70"/>
        <v>59187.63614733328</v>
      </c>
      <c r="AX48" s="2704">
        <f t="shared" ca="1" si="71"/>
        <v>2.1547041594368137</v>
      </c>
      <c r="AY48" s="2197">
        <f ca="1">SUM(INDIRECT(AY$1&amp;AY$2&amp;$A48):INDIRECT(AY$1&amp;AY$3&amp;$A48))+SUM(INDIRECT(AY$1&amp;AY$2&amp;$B48):INDIRECT(AY$1&amp;AY$3&amp;$B48))</f>
        <v>43777</v>
      </c>
      <c r="AZ48" s="2703">
        <f t="shared" ca="1" si="72"/>
        <v>66668.471900000004</v>
      </c>
      <c r="BA48" s="2704">
        <f t="shared" ca="1" si="73"/>
        <v>2.5229109326815453</v>
      </c>
      <c r="BC48" s="2197">
        <f ca="1">SUM((INDIRECT(BC$2&amp;(ROW())):INDIRECT(BC$3&amp;(ROW()))))</f>
        <v>110445.4719</v>
      </c>
      <c r="BD48" s="2197">
        <f ca="1">SUM(INDIRECT(BD$1&amp;BD$2&amp;$C48):INDIRECT(BD$1&amp;BD$3&amp;$C48))</f>
        <v>51257.835752666724</v>
      </c>
      <c r="BE48" s="2703">
        <f t="shared" ca="1" si="74"/>
        <v>59187.63614733328</v>
      </c>
      <c r="BF48" s="2704">
        <f t="shared" ca="1" si="75"/>
        <v>2.1547041594368137</v>
      </c>
      <c r="BG48" s="2197">
        <f ca="1">SUM(INDIRECT(BG$1&amp;BG$2&amp;$A48):INDIRECT(BG$1&amp;BG$3&amp;$A48))+SUM(INDIRECT(BG$1&amp;BG$2&amp;$B48):INDIRECT(BG$1&amp;BG$3&amp;$B48))</f>
        <v>43777</v>
      </c>
      <c r="BH48" s="2703">
        <f t="shared" ca="1" si="76"/>
        <v>66668.471900000004</v>
      </c>
      <c r="BI48" s="2704">
        <f t="shared" ca="1" si="77"/>
        <v>2.5229109326815453</v>
      </c>
    </row>
    <row r="49" spans="1:61" ht="14.5">
      <c r="A49" s="1693">
        <f t="shared" si="16"/>
        <v>49</v>
      </c>
      <c r="B49" s="616">
        <v>1</v>
      </c>
      <c r="C49" s="1693">
        <f t="shared" si="12"/>
        <v>49</v>
      </c>
      <c r="D49" s="616">
        <v>1</v>
      </c>
      <c r="F49" s="69"/>
      <c r="J49" s="172"/>
      <c r="K49" s="8" t="s">
        <v>104</v>
      </c>
      <c r="R49" s="1781" t="str">
        <f>CHOOSE(2, "6722000002968", "SGA Fixed Expenses Traveling Expenses")</f>
        <v>SGA Fixed Expenses Traveling Expenses</v>
      </c>
      <c r="S49" s="1298">
        <v>4187.8198499999999</v>
      </c>
      <c r="T49" s="1298">
        <v>4549.705030000001</v>
      </c>
      <c r="U49" s="1298">
        <v>4540.5491099999927</v>
      </c>
      <c r="V49" s="1298">
        <v>4906.0615899999893</v>
      </c>
      <c r="W49" s="1298">
        <v>4662.169099999951</v>
      </c>
      <c r="X49" s="1298">
        <v>5150.433339999996</v>
      </c>
      <c r="Y49" s="1298">
        <v>5916.5904500000197</v>
      </c>
      <c r="Z49" s="1298">
        <v>7209.7361400000009</v>
      </c>
      <c r="AA49" s="1298">
        <v>8417.2322699999895</v>
      </c>
      <c r="AB49" s="1298">
        <v>6881.6940699999741</v>
      </c>
      <c r="AC49" s="1298">
        <v>11919.367120000021</v>
      </c>
      <c r="AD49" s="1281">
        <v>1508.3017099999786</v>
      </c>
      <c r="AE49" s="880">
        <f t="shared" ref="AE49:AE54" si="82">SUM(S49,T49,U49)</f>
        <v>13278.073989999994</v>
      </c>
      <c r="AF49" s="59">
        <f t="shared" ref="AF49:AF54" si="83">SUM(V49,W49,X49)</f>
        <v>14718.664029999936</v>
      </c>
      <c r="AG49" s="59">
        <f t="shared" ref="AG49:AG54" si="84">SUM(Y49,Z49,AA49)</f>
        <v>21543.558860000012</v>
      </c>
      <c r="AH49" s="59">
        <f t="shared" ref="AH49:AH54" si="85">SUM(AB49,AC49,AD49)</f>
        <v>20309.362899999971</v>
      </c>
      <c r="AI49" s="59">
        <f t="shared" ref="AI49:AI54" si="86">AE49+AF49</f>
        <v>27996.738019999932</v>
      </c>
      <c r="AJ49" s="59">
        <f t="shared" ref="AJ49:AJ54" si="87">AH49+AG49</f>
        <v>41852.921759999983</v>
      </c>
      <c r="AK49" s="59">
        <f t="shared" ref="AK49:AK54" si="88">AI49+AJ49</f>
        <v>69849.659779999914</v>
      </c>
      <c r="AM49" s="1924">
        <f ca="1">SUM((INDIRECT(AM$2&amp;(ROW())):INDIRECT(AM$3&amp;(ROW()))))</f>
        <v>4187.8198499999999</v>
      </c>
      <c r="AN49" s="1924">
        <f ca="1">SUM(INDIRECT(AN$1&amp;AN$2&amp;$C49):INDIRECT(AN$1&amp;AN$3&amp;$C49))</f>
        <v>6264.4815860000454</v>
      </c>
      <c r="AO49" s="2705">
        <f t="shared" ca="1" si="66"/>
        <v>-2076.6617360000455</v>
      </c>
      <c r="AP49" s="2706">
        <f t="shared" ca="1" si="67"/>
        <v>0.66850222041661045</v>
      </c>
      <c r="AQ49" s="1924">
        <f ca="1">SUM(INDIRECT(AQ$1&amp;AQ$2&amp;$A49):INDIRECT(AQ$1&amp;AQ$3&amp;$A49))+SUM(INDIRECT(AQ$1&amp;AQ$2&amp;$B49):INDIRECT(AQ$1&amp;AQ$3&amp;$B49))</f>
        <v>1570</v>
      </c>
      <c r="AR49" s="2705">
        <f t="shared" ca="1" si="68"/>
        <v>2617.8198499999999</v>
      </c>
      <c r="AS49" s="2706">
        <f t="shared" ca="1" si="69"/>
        <v>2.6674011783439489</v>
      </c>
      <c r="AU49" s="1924">
        <f ca="1">SUM((INDIRECT(AU$2&amp;(ROW())):INDIRECT(AU$3&amp;(ROW()))))</f>
        <v>4187.8198499999999</v>
      </c>
      <c r="AV49" s="1924">
        <f ca="1">SUM(INDIRECT(AV$1&amp;AV$2&amp;$C49):INDIRECT(AV$1&amp;AV$3&amp;$C49))</f>
        <v>6264.4815860000454</v>
      </c>
      <c r="AW49" s="2705">
        <f t="shared" ca="1" si="70"/>
        <v>-2076.6617360000455</v>
      </c>
      <c r="AX49" s="2706">
        <f t="shared" ca="1" si="71"/>
        <v>0.66850222041661045</v>
      </c>
      <c r="AY49" s="1924">
        <f ca="1">SUM(INDIRECT(AY$1&amp;AY$2&amp;$A49):INDIRECT(AY$1&amp;AY$3&amp;$A49))+SUM(INDIRECT(AY$1&amp;AY$2&amp;$B49):INDIRECT(AY$1&amp;AY$3&amp;$B49))</f>
        <v>1570</v>
      </c>
      <c r="AZ49" s="2705">
        <f t="shared" ca="1" si="72"/>
        <v>2617.8198499999999</v>
      </c>
      <c r="BA49" s="2706">
        <f t="shared" ca="1" si="73"/>
        <v>2.6674011783439489</v>
      </c>
      <c r="BC49" s="1924">
        <f ca="1">SUM((INDIRECT(BC$2&amp;(ROW())):INDIRECT(BC$3&amp;(ROW()))))</f>
        <v>4187.8198499999999</v>
      </c>
      <c r="BD49" s="1924">
        <f ca="1">SUM(INDIRECT(BD$1&amp;BD$2&amp;$C49):INDIRECT(BD$1&amp;BD$3&amp;$C49))</f>
        <v>6264.4815860000454</v>
      </c>
      <c r="BE49" s="2705">
        <f t="shared" ca="1" si="74"/>
        <v>-2076.6617360000455</v>
      </c>
      <c r="BF49" s="2706">
        <f t="shared" ca="1" si="75"/>
        <v>0.66850222041661045</v>
      </c>
      <c r="BG49" s="1924">
        <f ca="1">SUM(INDIRECT(BG$1&amp;BG$2&amp;$A49):INDIRECT(BG$1&amp;BG$3&amp;$A49))+SUM(INDIRECT(BG$1&amp;BG$2&amp;$B49):INDIRECT(BG$1&amp;BG$3&amp;$B49))</f>
        <v>1570</v>
      </c>
      <c r="BH49" s="2705">
        <f t="shared" ca="1" si="76"/>
        <v>2617.8198499999999</v>
      </c>
      <c r="BI49" s="2706">
        <f t="shared" ca="1" si="77"/>
        <v>2.6674011783439489</v>
      </c>
    </row>
    <row r="50" spans="1:61" ht="14.5">
      <c r="A50" s="1693">
        <f t="shared" si="16"/>
        <v>50</v>
      </c>
      <c r="B50" s="616">
        <v>1</v>
      </c>
      <c r="C50" s="1693">
        <f t="shared" si="12"/>
        <v>50</v>
      </c>
      <c r="D50" s="616">
        <v>1</v>
      </c>
      <c r="F50" s="69"/>
      <c r="J50" s="172"/>
      <c r="K50" s="8" t="s">
        <v>105</v>
      </c>
      <c r="R50" s="1781" t="str">
        <f>CHOOSE(2, "6722000002969", "SGA Fixed Expenses Depreciation &amp; Amortization")</f>
        <v>SGA Fixed Expenses Depreciation &amp; Amortization</v>
      </c>
      <c r="S50" s="1298">
        <v>1343.9644599999999</v>
      </c>
      <c r="T50" s="1298">
        <v>1422.6002599999999</v>
      </c>
      <c r="U50" s="1298">
        <f>1347.68409+19792</f>
        <v>21139.684089999999</v>
      </c>
      <c r="V50" s="1298">
        <v>1871.3864999999998</v>
      </c>
      <c r="W50" s="1298">
        <v>1747.5705199999998</v>
      </c>
      <c r="X50" s="1298">
        <v>20896.09808</v>
      </c>
      <c r="Y50" s="1298">
        <v>1730.5104099999999</v>
      </c>
      <c r="Z50" s="1298">
        <v>3019.2640299999998</v>
      </c>
      <c r="AA50" s="1298">
        <v>28034.161599999999</v>
      </c>
      <c r="AB50" s="1298">
        <v>2218.8939999999993</v>
      </c>
      <c r="AC50" s="1298">
        <v>2203.3595300000006</v>
      </c>
      <c r="AD50" s="1281">
        <v>27977.26743</v>
      </c>
      <c r="AE50" s="88">
        <f t="shared" si="82"/>
        <v>23906.248809999997</v>
      </c>
      <c r="AF50" s="17">
        <f t="shared" si="83"/>
        <v>24515.055099999998</v>
      </c>
      <c r="AG50" s="17">
        <f t="shared" si="84"/>
        <v>32783.936040000001</v>
      </c>
      <c r="AH50" s="17">
        <f t="shared" si="85"/>
        <v>32399.520960000002</v>
      </c>
      <c r="AI50" s="17">
        <f t="shared" si="86"/>
        <v>48421.303909999995</v>
      </c>
      <c r="AJ50" s="17">
        <f t="shared" si="87"/>
        <v>65183.457000000002</v>
      </c>
      <c r="AK50" s="17">
        <f t="shared" si="88"/>
        <v>113604.76091</v>
      </c>
      <c r="AM50" s="1926">
        <f ca="1">SUM((INDIRECT(AM$2&amp;(ROW())):INDIRECT(AM$3&amp;(ROW()))))</f>
        <v>1343.9644599999999</v>
      </c>
      <c r="AN50" s="1926">
        <f ca="1">SUM(INDIRECT(AN$1&amp;AN$2&amp;$C50):INDIRECT(AN$1&amp;AN$3&amp;$C50))</f>
        <v>6666.458333333333</v>
      </c>
      <c r="AO50" s="2707">
        <f t="shared" ca="1" si="66"/>
        <v>-5322.4938733333329</v>
      </c>
      <c r="AP50" s="2708">
        <f t="shared" ca="1" si="67"/>
        <v>0.20160096903028218</v>
      </c>
      <c r="AQ50" s="1926">
        <f ca="1">SUM(INDIRECT(AQ$1&amp;AQ$2&amp;$A50):INDIRECT(AQ$1&amp;AQ$3&amp;$A50))+SUM(INDIRECT(AQ$1&amp;AQ$2&amp;$B50):INDIRECT(AQ$1&amp;AQ$3&amp;$B50))</f>
        <v>1822</v>
      </c>
      <c r="AR50" s="2707">
        <f t="shared" ca="1" si="68"/>
        <v>-478.03554000000008</v>
      </c>
      <c r="AS50" s="2708">
        <f t="shared" ca="1" si="69"/>
        <v>0.73763142700329309</v>
      </c>
      <c r="AU50" s="1926">
        <f ca="1">SUM((INDIRECT(AU$2&amp;(ROW())):INDIRECT(AU$3&amp;(ROW()))))</f>
        <v>1343.9644599999999</v>
      </c>
      <c r="AV50" s="1926">
        <f ca="1">SUM(INDIRECT(AV$1&amp;AV$2&amp;$C50):INDIRECT(AV$1&amp;AV$3&amp;$C50))</f>
        <v>6666.458333333333</v>
      </c>
      <c r="AW50" s="2707">
        <f t="shared" ca="1" si="70"/>
        <v>-5322.4938733333329</v>
      </c>
      <c r="AX50" s="2708">
        <f t="shared" ca="1" si="71"/>
        <v>0.20160096903028218</v>
      </c>
      <c r="AY50" s="1926">
        <f ca="1">SUM(INDIRECT(AY$1&amp;AY$2&amp;$A50):INDIRECT(AY$1&amp;AY$3&amp;$A50))+SUM(INDIRECT(AY$1&amp;AY$2&amp;$B50):INDIRECT(AY$1&amp;AY$3&amp;$B50))</f>
        <v>1822</v>
      </c>
      <c r="AZ50" s="2707">
        <f t="shared" ca="1" si="72"/>
        <v>-478.03554000000008</v>
      </c>
      <c r="BA50" s="2708">
        <f t="shared" ca="1" si="73"/>
        <v>0.73763142700329309</v>
      </c>
      <c r="BC50" s="1926">
        <f ca="1">SUM((INDIRECT(BC$2&amp;(ROW())):INDIRECT(BC$3&amp;(ROW()))))</f>
        <v>1343.9644599999999</v>
      </c>
      <c r="BD50" s="1926">
        <f ca="1">SUM(INDIRECT(BD$1&amp;BD$2&amp;$C50):INDIRECT(BD$1&amp;BD$3&amp;$C50))</f>
        <v>6666.458333333333</v>
      </c>
      <c r="BE50" s="2707">
        <f t="shared" ca="1" si="74"/>
        <v>-5322.4938733333329</v>
      </c>
      <c r="BF50" s="2708">
        <f t="shared" ca="1" si="75"/>
        <v>0.20160096903028218</v>
      </c>
      <c r="BG50" s="1926">
        <f ca="1">SUM(INDIRECT(BG$1&amp;BG$2&amp;$A50):INDIRECT(BG$1&amp;BG$3&amp;$A50))+SUM(INDIRECT(BG$1&amp;BG$2&amp;$B50):INDIRECT(BG$1&amp;BG$3&amp;$B50))</f>
        <v>1822</v>
      </c>
      <c r="BH50" s="2707">
        <f t="shared" ca="1" si="76"/>
        <v>-478.03554000000008</v>
      </c>
      <c r="BI50" s="2708">
        <f t="shared" ca="1" si="77"/>
        <v>0.73763142700329309</v>
      </c>
    </row>
    <row r="51" spans="1:61" ht="14.5">
      <c r="A51" s="1693">
        <f t="shared" si="16"/>
        <v>51</v>
      </c>
      <c r="B51" s="616">
        <v>1</v>
      </c>
      <c r="C51" s="1693">
        <f t="shared" si="12"/>
        <v>51</v>
      </c>
      <c r="D51" s="616">
        <v>1</v>
      </c>
      <c r="F51" s="69"/>
      <c r="J51" s="172"/>
      <c r="K51" s="8" t="s">
        <v>106</v>
      </c>
      <c r="R51" s="1781" t="str">
        <f>CHOOSE(2, "6722000002970", "SGA Fixed Expenses Repair and Maintenance")</f>
        <v>SGA Fixed Expenses Repair and Maintenance</v>
      </c>
      <c r="S51" s="1298">
        <v>1028.6054200000001</v>
      </c>
      <c r="T51" s="1298">
        <v>1485.2167200000001</v>
      </c>
      <c r="U51" s="1298">
        <v>1065.9191199999998</v>
      </c>
      <c r="V51" s="1298">
        <v>1155.8408400000001</v>
      </c>
      <c r="W51" s="1298">
        <v>1097</v>
      </c>
      <c r="X51" s="1298">
        <v>2523.5838600000002</v>
      </c>
      <c r="Y51" s="1298">
        <v>1004.1060599999996</v>
      </c>
      <c r="Z51" s="1298">
        <v>1555.8721800000001</v>
      </c>
      <c r="AA51" s="1298">
        <v>1509.01792</v>
      </c>
      <c r="AB51" s="1298">
        <v>789.80236000000127</v>
      </c>
      <c r="AC51" s="1298">
        <v>99.69550000000001</v>
      </c>
      <c r="AD51" s="1281">
        <v>2895.8076799999985</v>
      </c>
      <c r="AE51" s="88">
        <f t="shared" si="82"/>
        <v>3579.7412599999998</v>
      </c>
      <c r="AF51" s="17">
        <f t="shared" si="83"/>
        <v>4776.4246999999996</v>
      </c>
      <c r="AG51" s="17">
        <f t="shared" si="84"/>
        <v>4068.9961599999997</v>
      </c>
      <c r="AH51" s="17">
        <f t="shared" si="85"/>
        <v>3785.3055399999998</v>
      </c>
      <c r="AI51" s="17">
        <f t="shared" si="86"/>
        <v>8356.1659599999984</v>
      </c>
      <c r="AJ51" s="17">
        <f t="shared" si="87"/>
        <v>7854.3017</v>
      </c>
      <c r="AK51" s="17">
        <f t="shared" si="88"/>
        <v>16210.467659999998</v>
      </c>
      <c r="AM51" s="1926">
        <f ca="1">SUM((INDIRECT(AM$2&amp;(ROW())):INDIRECT(AM$3&amp;(ROW()))))</f>
        <v>1028.6054200000001</v>
      </c>
      <c r="AN51" s="1926">
        <f ca="1">SUM(INDIRECT(AN$1&amp;AN$2&amp;$C51):INDIRECT(AN$1&amp;AN$3&amp;$C51))</f>
        <v>1089.2</v>
      </c>
      <c r="AO51" s="2707">
        <f t="shared" ca="1" si="66"/>
        <v>-60.594579999999951</v>
      </c>
      <c r="AP51" s="2708">
        <f t="shared" ca="1" si="67"/>
        <v>0.9443678112376056</v>
      </c>
      <c r="AQ51" s="1926">
        <f ca="1">SUM(INDIRECT(AQ$1&amp;AQ$2&amp;$A51):INDIRECT(AQ$1&amp;AQ$3&amp;$A51))+SUM(INDIRECT(AQ$1&amp;AQ$2&amp;$B51):INDIRECT(AQ$1&amp;AQ$3&amp;$B51))</f>
        <v>952</v>
      </c>
      <c r="AR51" s="2707">
        <f t="shared" ca="1" si="68"/>
        <v>76.605420000000095</v>
      </c>
      <c r="AS51" s="2708">
        <f t="shared" ca="1" si="69"/>
        <v>1.0804678781512607</v>
      </c>
      <c r="AU51" s="1926">
        <f ca="1">SUM((INDIRECT(AU$2&amp;(ROW())):INDIRECT(AU$3&amp;(ROW()))))</f>
        <v>1028.6054200000001</v>
      </c>
      <c r="AV51" s="1926">
        <f ca="1">SUM(INDIRECT(AV$1&amp;AV$2&amp;$C51):INDIRECT(AV$1&amp;AV$3&amp;$C51))</f>
        <v>1089.2</v>
      </c>
      <c r="AW51" s="2707">
        <f t="shared" ca="1" si="70"/>
        <v>-60.594579999999951</v>
      </c>
      <c r="AX51" s="2708">
        <f t="shared" ca="1" si="71"/>
        <v>0.9443678112376056</v>
      </c>
      <c r="AY51" s="1926">
        <f ca="1">SUM(INDIRECT(AY$1&amp;AY$2&amp;$A51):INDIRECT(AY$1&amp;AY$3&amp;$A51))+SUM(INDIRECT(AY$1&amp;AY$2&amp;$B51):INDIRECT(AY$1&amp;AY$3&amp;$B51))</f>
        <v>952</v>
      </c>
      <c r="AZ51" s="2707">
        <f t="shared" ca="1" si="72"/>
        <v>76.605420000000095</v>
      </c>
      <c r="BA51" s="2708">
        <f t="shared" ca="1" si="73"/>
        <v>1.0804678781512607</v>
      </c>
      <c r="BC51" s="1926">
        <f ca="1">SUM((INDIRECT(BC$2&amp;(ROW())):INDIRECT(BC$3&amp;(ROW()))))</f>
        <v>1028.6054200000001</v>
      </c>
      <c r="BD51" s="1926">
        <f ca="1">SUM(INDIRECT(BD$1&amp;BD$2&amp;$C51):INDIRECT(BD$1&amp;BD$3&amp;$C51))</f>
        <v>1089.2</v>
      </c>
      <c r="BE51" s="2707">
        <f t="shared" ca="1" si="74"/>
        <v>-60.594579999999951</v>
      </c>
      <c r="BF51" s="2708">
        <f t="shared" ca="1" si="75"/>
        <v>0.9443678112376056</v>
      </c>
      <c r="BG51" s="1926">
        <f ca="1">SUM(INDIRECT(BG$1&amp;BG$2&amp;$A51):INDIRECT(BG$1&amp;BG$3&amp;$A51))+SUM(INDIRECT(BG$1&amp;BG$2&amp;$B51):INDIRECT(BG$1&amp;BG$3&amp;$B51))</f>
        <v>952</v>
      </c>
      <c r="BH51" s="2707">
        <f t="shared" ca="1" si="76"/>
        <v>76.605420000000095</v>
      </c>
      <c r="BI51" s="2708">
        <f t="shared" ca="1" si="77"/>
        <v>1.0804678781512607</v>
      </c>
    </row>
    <row r="52" spans="1:61" ht="14.5">
      <c r="A52" s="1693">
        <f t="shared" si="16"/>
        <v>52</v>
      </c>
      <c r="B52" s="616">
        <v>1</v>
      </c>
      <c r="C52" s="1693">
        <f t="shared" si="12"/>
        <v>52</v>
      </c>
      <c r="D52" s="616">
        <v>1</v>
      </c>
      <c r="F52" s="69"/>
      <c r="J52" s="172"/>
      <c r="K52" s="8" t="s">
        <v>107</v>
      </c>
      <c r="R52" s="1781" t="str">
        <f>CHOOSE(2, "6722000002971", "SGA Fixed Expenses Rent Expenses")</f>
        <v>SGA Fixed Expenses Rent Expenses</v>
      </c>
      <c r="S52" s="1298">
        <v>13434.967590000002</v>
      </c>
      <c r="T52" s="1298">
        <v>14936.355399999999</v>
      </c>
      <c r="U52" s="1298">
        <f>14343.28131-16503</f>
        <v>-2159.7186899999997</v>
      </c>
      <c r="V52" s="1298">
        <v>14173.031494670349</v>
      </c>
      <c r="W52" s="1298">
        <v>13962.81313</v>
      </c>
      <c r="X52" s="1298">
        <v>917.87613000000329</v>
      </c>
      <c r="Y52" s="1298">
        <v>14388.927810000001</v>
      </c>
      <c r="Z52" s="1298">
        <v>14044.220649999999</v>
      </c>
      <c r="AA52" s="1298">
        <v>-10089.747559999996</v>
      </c>
      <c r="AB52" s="1298">
        <v>10585.616740000001</v>
      </c>
      <c r="AC52" s="1298">
        <v>9569.2518600000003</v>
      </c>
      <c r="AD52" s="1281">
        <v>-30608.351120000007</v>
      </c>
      <c r="AE52" s="88">
        <f t="shared" si="82"/>
        <v>26211.604299999999</v>
      </c>
      <c r="AF52" s="17">
        <f t="shared" si="83"/>
        <v>29053.720754670354</v>
      </c>
      <c r="AG52" s="17">
        <f t="shared" si="84"/>
        <v>18343.400900000004</v>
      </c>
      <c r="AH52" s="17">
        <f t="shared" si="85"/>
        <v>-10453.482520000005</v>
      </c>
      <c r="AI52" s="17">
        <f t="shared" si="86"/>
        <v>55265.325054670349</v>
      </c>
      <c r="AJ52" s="17">
        <f t="shared" si="87"/>
        <v>7889.9183799999992</v>
      </c>
      <c r="AK52" s="17">
        <f t="shared" si="88"/>
        <v>63155.243434670352</v>
      </c>
      <c r="AM52" s="1926">
        <f ca="1">SUM((INDIRECT(AM$2&amp;(ROW())):INDIRECT(AM$3&amp;(ROW()))))</f>
        <v>13434.967590000002</v>
      </c>
      <c r="AN52" s="1926">
        <f ca="1">SUM(INDIRECT(AN$1&amp;AN$2&amp;$C52):INDIRECT(AN$1&amp;AN$3&amp;$C52))</f>
        <v>6830.416666666667</v>
      </c>
      <c r="AO52" s="2707">
        <f t="shared" ca="1" si="66"/>
        <v>6604.550923333335</v>
      </c>
      <c r="AP52" s="2708">
        <f t="shared" ca="1" si="67"/>
        <v>1.9669323623497836</v>
      </c>
      <c r="AQ52" s="1926">
        <f ca="1">SUM(INDIRECT(AQ$1&amp;AQ$2&amp;$A52):INDIRECT(AQ$1&amp;AQ$3&amp;$A52))+SUM(INDIRECT(AQ$1&amp;AQ$2&amp;$B52):INDIRECT(AQ$1&amp;AQ$3&amp;$B52))</f>
        <v>9666</v>
      </c>
      <c r="AR52" s="2707">
        <f t="shared" ca="1" si="68"/>
        <v>3768.967590000002</v>
      </c>
      <c r="AS52" s="2708">
        <f t="shared" ca="1" si="69"/>
        <v>1.3899200900062076</v>
      </c>
      <c r="AU52" s="1926">
        <f ca="1">SUM((INDIRECT(AU$2&amp;(ROW())):INDIRECT(AU$3&amp;(ROW()))))</f>
        <v>13434.967590000002</v>
      </c>
      <c r="AV52" s="1926">
        <f ca="1">SUM(INDIRECT(AV$1&amp;AV$2&amp;$C52):INDIRECT(AV$1&amp;AV$3&amp;$C52))</f>
        <v>6830.416666666667</v>
      </c>
      <c r="AW52" s="2707">
        <f t="shared" ca="1" si="70"/>
        <v>6604.550923333335</v>
      </c>
      <c r="AX52" s="2708">
        <f t="shared" ca="1" si="71"/>
        <v>1.9669323623497836</v>
      </c>
      <c r="AY52" s="1926">
        <f ca="1">SUM(INDIRECT(AY$1&amp;AY$2&amp;$A52):INDIRECT(AY$1&amp;AY$3&amp;$A52))+SUM(INDIRECT(AY$1&amp;AY$2&amp;$B52):INDIRECT(AY$1&amp;AY$3&amp;$B52))</f>
        <v>9666</v>
      </c>
      <c r="AZ52" s="2707">
        <f t="shared" ca="1" si="72"/>
        <v>3768.967590000002</v>
      </c>
      <c r="BA52" s="2708">
        <f t="shared" ca="1" si="73"/>
        <v>1.3899200900062076</v>
      </c>
      <c r="BC52" s="1926">
        <f ca="1">SUM((INDIRECT(BC$2&amp;(ROW())):INDIRECT(BC$3&amp;(ROW()))))</f>
        <v>13434.967590000002</v>
      </c>
      <c r="BD52" s="1926">
        <f ca="1">SUM(INDIRECT(BD$1&amp;BD$2&amp;$C52):INDIRECT(BD$1&amp;BD$3&amp;$C52))</f>
        <v>6830.416666666667</v>
      </c>
      <c r="BE52" s="2707">
        <f t="shared" ca="1" si="74"/>
        <v>6604.550923333335</v>
      </c>
      <c r="BF52" s="2708">
        <f t="shared" ca="1" si="75"/>
        <v>1.9669323623497836</v>
      </c>
      <c r="BG52" s="1926">
        <f ca="1">SUM(INDIRECT(BG$1&amp;BG$2&amp;$A52):INDIRECT(BG$1&amp;BG$3&amp;$A52))+SUM(INDIRECT(BG$1&amp;BG$2&amp;$B52):INDIRECT(BG$1&amp;BG$3&amp;$B52))</f>
        <v>9666</v>
      </c>
      <c r="BH52" s="2707">
        <f t="shared" ca="1" si="76"/>
        <v>3768.967590000002</v>
      </c>
      <c r="BI52" s="2708">
        <f t="shared" ca="1" si="77"/>
        <v>1.3899200900062076</v>
      </c>
    </row>
    <row r="53" spans="1:61" ht="14.5">
      <c r="A53" s="1693">
        <f t="shared" si="16"/>
        <v>53</v>
      </c>
      <c r="B53" s="616">
        <v>1</v>
      </c>
      <c r="C53" s="1693">
        <f t="shared" si="12"/>
        <v>53</v>
      </c>
      <c r="D53" s="616">
        <v>1</v>
      </c>
      <c r="F53" s="69"/>
      <c r="J53" s="172"/>
      <c r="K53" s="8" t="s">
        <v>185</v>
      </c>
      <c r="R53" s="1781" t="str">
        <f>CHOOSE(2, "6722000002972", "SGA Fixed Expenses Service Charges and Fees")</f>
        <v>SGA Fixed Expenses Service Charges and Fees</v>
      </c>
      <c r="S53" s="1298"/>
      <c r="T53" s="1298">
        <v>0</v>
      </c>
      <c r="U53" s="1298">
        <v>0</v>
      </c>
      <c r="V53" s="1298">
        <v>364</v>
      </c>
      <c r="W53" s="1298">
        <v>92.491799999999998</v>
      </c>
      <c r="X53" s="1298">
        <v>95.928200000000018</v>
      </c>
      <c r="Y53" s="1298">
        <v>154.58000000000001</v>
      </c>
      <c r="Z53" s="1298">
        <v>19.802630000000001</v>
      </c>
      <c r="AA53" s="1298">
        <v>248.91755000000003</v>
      </c>
      <c r="AB53" s="1298">
        <v>92.796049999999937</v>
      </c>
      <c r="AC53" s="1298">
        <v>86.808999999999997</v>
      </c>
      <c r="AD53" s="1281">
        <v>129.70805000000004</v>
      </c>
      <c r="AE53" s="88">
        <f t="shared" si="82"/>
        <v>0</v>
      </c>
      <c r="AF53" s="17">
        <f t="shared" si="83"/>
        <v>552.42000000000007</v>
      </c>
      <c r="AG53" s="17">
        <f t="shared" si="84"/>
        <v>423.30018000000007</v>
      </c>
      <c r="AH53" s="17">
        <f t="shared" si="85"/>
        <v>309.31309999999996</v>
      </c>
      <c r="AI53" s="17">
        <f t="shared" si="86"/>
        <v>552.42000000000007</v>
      </c>
      <c r="AJ53" s="17">
        <f t="shared" si="87"/>
        <v>732.61328000000003</v>
      </c>
      <c r="AK53" s="17">
        <f t="shared" si="88"/>
        <v>1285.0332800000001</v>
      </c>
      <c r="AM53" s="1926">
        <f ca="1">SUM((INDIRECT(AM$2&amp;(ROW())):INDIRECT(AM$3&amp;(ROW()))))</f>
        <v>0</v>
      </c>
      <c r="AN53" s="1926">
        <f ca="1">SUM(INDIRECT(AN$1&amp;AN$2&amp;$C53):INDIRECT(AN$1&amp;AN$3&amp;$C53))</f>
        <v>83.333333333333329</v>
      </c>
      <c r="AO53" s="2707">
        <f t="shared" ca="1" si="66"/>
        <v>-83.333333333333329</v>
      </c>
      <c r="AP53" s="2708">
        <f t="shared" ca="1" si="67"/>
        <v>0</v>
      </c>
      <c r="AQ53" s="1926">
        <f ca="1">SUM(INDIRECT(AQ$1&amp;AQ$2&amp;$A53):INDIRECT(AQ$1&amp;AQ$3&amp;$A53))+SUM(INDIRECT(AQ$1&amp;AQ$2&amp;$B53):INDIRECT(AQ$1&amp;AQ$3&amp;$B53))</f>
        <v>132</v>
      </c>
      <c r="AR53" s="2707">
        <f t="shared" ca="1" si="68"/>
        <v>-132</v>
      </c>
      <c r="AS53" s="2708">
        <f t="shared" ca="1" si="69"/>
        <v>0</v>
      </c>
      <c r="AU53" s="1926">
        <f ca="1">SUM((INDIRECT(AU$2&amp;(ROW())):INDIRECT(AU$3&amp;(ROW()))))</f>
        <v>0</v>
      </c>
      <c r="AV53" s="1926">
        <f ca="1">SUM(INDIRECT(AV$1&amp;AV$2&amp;$C53):INDIRECT(AV$1&amp;AV$3&amp;$C53))</f>
        <v>83.333333333333329</v>
      </c>
      <c r="AW53" s="2707">
        <f t="shared" ca="1" si="70"/>
        <v>-83.333333333333329</v>
      </c>
      <c r="AX53" s="2708">
        <f t="shared" ca="1" si="71"/>
        <v>0</v>
      </c>
      <c r="AY53" s="1926">
        <f ca="1">SUM(INDIRECT(AY$1&amp;AY$2&amp;$A53):INDIRECT(AY$1&amp;AY$3&amp;$A53))+SUM(INDIRECT(AY$1&amp;AY$2&amp;$B53):INDIRECT(AY$1&amp;AY$3&amp;$B53))</f>
        <v>132</v>
      </c>
      <c r="AZ53" s="2707">
        <f t="shared" ca="1" si="72"/>
        <v>-132</v>
      </c>
      <c r="BA53" s="2708">
        <f t="shared" ca="1" si="73"/>
        <v>0</v>
      </c>
      <c r="BC53" s="1926">
        <f ca="1">SUM((INDIRECT(BC$2&amp;(ROW())):INDIRECT(BC$3&amp;(ROW()))))</f>
        <v>0</v>
      </c>
      <c r="BD53" s="1926">
        <f ca="1">SUM(INDIRECT(BD$1&amp;BD$2&amp;$C53):INDIRECT(BD$1&amp;BD$3&amp;$C53))</f>
        <v>83.333333333333329</v>
      </c>
      <c r="BE53" s="2707">
        <f t="shared" ca="1" si="74"/>
        <v>-83.333333333333329</v>
      </c>
      <c r="BF53" s="2708">
        <f t="shared" ca="1" si="75"/>
        <v>0</v>
      </c>
      <c r="BG53" s="1926">
        <f ca="1">SUM(INDIRECT(BG$1&amp;BG$2&amp;$A53):INDIRECT(BG$1&amp;BG$3&amp;$A53))+SUM(INDIRECT(BG$1&amp;BG$2&amp;$B53):INDIRECT(BG$1&amp;BG$3&amp;$B53))</f>
        <v>132</v>
      </c>
      <c r="BH53" s="2707">
        <f t="shared" ca="1" si="76"/>
        <v>-132</v>
      </c>
      <c r="BI53" s="2708">
        <f t="shared" ca="1" si="77"/>
        <v>0</v>
      </c>
    </row>
    <row r="54" spans="1:61" ht="14.5">
      <c r="A54" s="1693">
        <f t="shared" si="16"/>
        <v>54</v>
      </c>
      <c r="B54" s="616">
        <v>1</v>
      </c>
      <c r="C54" s="1693">
        <f t="shared" si="12"/>
        <v>54</v>
      </c>
      <c r="D54" s="616">
        <v>1</v>
      </c>
      <c r="F54" s="69"/>
      <c r="J54" s="171"/>
      <c r="K54" s="11" t="s">
        <v>108</v>
      </c>
      <c r="L54" s="16"/>
      <c r="M54" s="16"/>
      <c r="N54" s="11"/>
      <c r="O54" s="11"/>
      <c r="P54" s="11"/>
      <c r="Q54" s="11"/>
      <c r="R54" s="1781" t="str">
        <f>CHOOSE(2, "6722000002973", "SGA Fixed Expenses Other Expenses")</f>
        <v>SGA Fixed Expenses Other Expenses</v>
      </c>
      <c r="S54" s="1299">
        <v>90450.114579999994</v>
      </c>
      <c r="T54" s="1299">
        <v>75193.272360000003</v>
      </c>
      <c r="U54" s="1299">
        <v>-8783.9673899999907</v>
      </c>
      <c r="V54" s="1299">
        <v>32444.55980000001</v>
      </c>
      <c r="W54" s="1299">
        <v>34705.049950000001</v>
      </c>
      <c r="X54" s="1299">
        <v>32060.223590000001</v>
      </c>
      <c r="Y54" s="1299">
        <v>30765.703379999999</v>
      </c>
      <c r="Z54" s="1299">
        <v>57621.222570000013</v>
      </c>
      <c r="AA54" s="1299">
        <v>80601.906190000009</v>
      </c>
      <c r="AB54" s="1299">
        <v>66720.791110000006</v>
      </c>
      <c r="AC54" s="1299">
        <v>60465.434939999992</v>
      </c>
      <c r="AD54" s="1282">
        <v>12586.446629999988</v>
      </c>
      <c r="AE54" s="87">
        <f t="shared" si="82"/>
        <v>156859.41954999999</v>
      </c>
      <c r="AF54" s="15">
        <f t="shared" si="83"/>
        <v>99209.833340000012</v>
      </c>
      <c r="AG54" s="15">
        <f t="shared" si="84"/>
        <v>168988.83214000001</v>
      </c>
      <c r="AH54" s="15">
        <f t="shared" si="85"/>
        <v>139772.67267999999</v>
      </c>
      <c r="AI54" s="15">
        <f t="shared" si="86"/>
        <v>256069.25289</v>
      </c>
      <c r="AJ54" s="15">
        <f t="shared" si="87"/>
        <v>308761.50482000003</v>
      </c>
      <c r="AK54" s="15">
        <f t="shared" si="88"/>
        <v>564830.75771000003</v>
      </c>
      <c r="AM54" s="1928">
        <f ca="1">SUM((INDIRECT(AM$2&amp;(ROW())):INDIRECT(AM$3&amp;(ROW()))))</f>
        <v>90450.114579999994</v>
      </c>
      <c r="AN54" s="1928">
        <f ca="1">SUM(INDIRECT(AN$1&amp;AN$2&amp;$C54):INDIRECT(AN$1&amp;AN$3&amp;$C54))</f>
        <v>30323.945833333342</v>
      </c>
      <c r="AO54" s="2709">
        <f t="shared" ca="1" si="66"/>
        <v>60126.168746666648</v>
      </c>
      <c r="AP54" s="2710">
        <f t="shared" ca="1" si="67"/>
        <v>2.9827950187331318</v>
      </c>
      <c r="AQ54" s="1928">
        <f ca="1">SUM(INDIRECT(AQ$1&amp;AQ$2&amp;$A54):INDIRECT(AQ$1&amp;AQ$3&amp;$A54))+SUM(INDIRECT(AQ$1&amp;AQ$2&amp;$B54):INDIRECT(AQ$1&amp;AQ$3&amp;$B54))</f>
        <v>29635</v>
      </c>
      <c r="AR54" s="2709">
        <f t="shared" ca="1" si="68"/>
        <v>60815.114579999994</v>
      </c>
      <c r="AS54" s="2710">
        <f t="shared" ca="1" si="69"/>
        <v>3.0521381670322252</v>
      </c>
      <c r="AU54" s="1928">
        <f ca="1">SUM((INDIRECT(AU$2&amp;(ROW())):INDIRECT(AU$3&amp;(ROW()))))</f>
        <v>90450.114579999994</v>
      </c>
      <c r="AV54" s="1928">
        <f ca="1">SUM(INDIRECT(AV$1&amp;AV$2&amp;$C54):INDIRECT(AV$1&amp;AV$3&amp;$C54))</f>
        <v>30323.945833333342</v>
      </c>
      <c r="AW54" s="2709">
        <f t="shared" ca="1" si="70"/>
        <v>60126.168746666648</v>
      </c>
      <c r="AX54" s="2710">
        <f t="shared" ca="1" si="71"/>
        <v>2.9827950187331318</v>
      </c>
      <c r="AY54" s="1928">
        <f ca="1">SUM(INDIRECT(AY$1&amp;AY$2&amp;$A54):INDIRECT(AY$1&amp;AY$3&amp;$A54))+SUM(INDIRECT(AY$1&amp;AY$2&amp;$B54):INDIRECT(AY$1&amp;AY$3&amp;$B54))</f>
        <v>29635</v>
      </c>
      <c r="AZ54" s="2709">
        <f t="shared" ca="1" si="72"/>
        <v>60815.114579999994</v>
      </c>
      <c r="BA54" s="2710">
        <f t="shared" ca="1" si="73"/>
        <v>3.0521381670322252</v>
      </c>
      <c r="BC54" s="1928">
        <f ca="1">SUM((INDIRECT(BC$2&amp;(ROW())):INDIRECT(BC$3&amp;(ROW()))))</f>
        <v>90450.114579999994</v>
      </c>
      <c r="BD54" s="1928">
        <f ca="1">SUM(INDIRECT(BD$1&amp;BD$2&amp;$C54):INDIRECT(BD$1&amp;BD$3&amp;$C54))</f>
        <v>30323.945833333342</v>
      </c>
      <c r="BE54" s="2709">
        <f t="shared" ca="1" si="74"/>
        <v>60126.168746666648</v>
      </c>
      <c r="BF54" s="2710">
        <f t="shared" ca="1" si="75"/>
        <v>2.9827950187331318</v>
      </c>
      <c r="BG54" s="1928">
        <f ca="1">SUM(INDIRECT(BG$1&amp;BG$2&amp;$A54):INDIRECT(BG$1&amp;BG$3&amp;$A54))+SUM(INDIRECT(BG$1&amp;BG$2&amp;$B54):INDIRECT(BG$1&amp;BG$3&amp;$B54))</f>
        <v>29635</v>
      </c>
      <c r="BH54" s="2709">
        <f t="shared" ca="1" si="76"/>
        <v>60815.114579999994</v>
      </c>
      <c r="BI54" s="2710">
        <f t="shared" ca="1" si="77"/>
        <v>3.0521381670322252</v>
      </c>
    </row>
    <row r="55" spans="1:61" ht="14.5">
      <c r="A55" s="1693">
        <f t="shared" si="16"/>
        <v>55</v>
      </c>
      <c r="B55" s="616">
        <v>1</v>
      </c>
      <c r="C55" s="1693">
        <f t="shared" si="12"/>
        <v>55</v>
      </c>
      <c r="D55" s="616">
        <v>1</v>
      </c>
      <c r="F55" s="69"/>
      <c r="J55" s="220"/>
      <c r="R55" s="1777" t="str">
        <f>CHOOSE(2, "6722000002974", "▷ Blank 3")</f>
        <v>▷ Blank 3</v>
      </c>
      <c r="S55" s="1600"/>
      <c r="T55" s="1601"/>
      <c r="U55" s="1601"/>
      <c r="V55" s="1601"/>
      <c r="W55" s="1601"/>
      <c r="X55" s="1601"/>
      <c r="Y55" s="1601"/>
      <c r="Z55" s="1601"/>
      <c r="AA55" s="1601"/>
      <c r="AB55" s="1601"/>
      <c r="AC55" s="1601"/>
      <c r="AD55" s="1601"/>
      <c r="AE55" s="1601"/>
      <c r="AF55" s="1242"/>
      <c r="AG55" s="1242"/>
      <c r="AH55" s="1242"/>
      <c r="AI55" s="1242"/>
      <c r="AJ55" s="1242"/>
      <c r="AK55" s="608"/>
      <c r="AM55" s="2558"/>
      <c r="AN55" s="2558"/>
      <c r="AO55" s="2558"/>
      <c r="AP55" s="2558"/>
      <c r="AQ55" s="2558"/>
      <c r="AR55" s="2558"/>
      <c r="AS55" s="2558"/>
      <c r="AU55" s="2558"/>
      <c r="AV55" s="2558"/>
      <c r="AW55" s="2558"/>
      <c r="AX55" s="2558"/>
      <c r="AY55" s="2558"/>
      <c r="AZ55" s="2558"/>
      <c r="BA55" s="2558"/>
      <c r="BC55" s="2558"/>
      <c r="BD55" s="2558"/>
      <c r="BE55" s="2558"/>
      <c r="BF55" s="2558"/>
      <c r="BG55" s="2558"/>
      <c r="BH55" s="2558"/>
      <c r="BI55" s="2558"/>
    </row>
    <row r="56" spans="1:61" ht="15.5">
      <c r="A56" s="1693">
        <f t="shared" si="16"/>
        <v>56</v>
      </c>
      <c r="B56" s="616">
        <v>1</v>
      </c>
      <c r="C56" s="1693">
        <f t="shared" si="12"/>
        <v>56</v>
      </c>
      <c r="D56" s="616">
        <v>1</v>
      </c>
      <c r="E56" s="709" t="s">
        <v>512</v>
      </c>
      <c r="F56" s="1572"/>
      <c r="H56" s="369" t="s">
        <v>296</v>
      </c>
      <c r="J56" s="131"/>
      <c r="K56" s="131"/>
      <c r="R56" s="1772" t="str">
        <f>CHOOSE(2, "6722000002975", "1-3.Total Personnel Costs")</f>
        <v>1-3.Total Personnel Costs</v>
      </c>
      <c r="S56" s="1125"/>
      <c r="T56" s="1366"/>
      <c r="U56" s="1366"/>
      <c r="V56" s="1366"/>
      <c r="W56" s="1366"/>
      <c r="X56" s="1366"/>
      <c r="Y56" s="1366"/>
      <c r="Z56" s="1366"/>
      <c r="AA56" s="1366"/>
      <c r="AB56" s="1242"/>
      <c r="AC56" s="1242"/>
      <c r="AD56" s="1242"/>
      <c r="AE56" s="1242"/>
      <c r="AF56" s="1242"/>
      <c r="AG56" s="1242"/>
      <c r="AH56" s="1242"/>
      <c r="AI56" s="1242"/>
      <c r="AJ56" s="1242"/>
      <c r="AK56" s="608"/>
      <c r="AM56" s="2558"/>
      <c r="AN56" s="2558"/>
      <c r="AO56" s="2558"/>
      <c r="AP56" s="2558"/>
      <c r="AQ56" s="2558"/>
      <c r="AR56" s="2558"/>
      <c r="AS56" s="2558"/>
      <c r="AU56" s="2558"/>
      <c r="AV56" s="2558"/>
      <c r="AW56" s="2558"/>
      <c r="AX56" s="2558"/>
      <c r="AY56" s="2558"/>
      <c r="AZ56" s="2558"/>
      <c r="BA56" s="2558"/>
      <c r="BC56" s="2558"/>
      <c r="BD56" s="2558"/>
      <c r="BE56" s="2558"/>
      <c r="BF56" s="2558"/>
      <c r="BG56" s="2558"/>
      <c r="BH56" s="2558"/>
      <c r="BI56" s="2558"/>
    </row>
    <row r="57" spans="1:61" ht="14.5">
      <c r="A57" s="1693">
        <f t="shared" si="16"/>
        <v>57</v>
      </c>
      <c r="B57" s="616">
        <v>1</v>
      </c>
      <c r="C57" s="1693">
        <f t="shared" si="12"/>
        <v>57</v>
      </c>
      <c r="D57" s="616">
        <v>1</v>
      </c>
      <c r="E57" s="709" t="s">
        <v>512</v>
      </c>
      <c r="F57" s="1572"/>
      <c r="J57" s="141" t="s">
        <v>61</v>
      </c>
      <c r="K57" s="140"/>
      <c r="L57" s="19"/>
      <c r="M57" s="19"/>
      <c r="N57" s="20"/>
      <c r="O57" s="20"/>
      <c r="P57" s="20"/>
      <c r="Q57" s="233"/>
      <c r="R57" s="1777" t="str">
        <f>CHOOSE(2, "6722000002976", "Total PC Personnel Costs Total")</f>
        <v>Total PC Personnel Costs Total</v>
      </c>
      <c r="S57" s="1551">
        <f t="shared" ref="S57:AD57" si="89">SUM(S58:S59)</f>
        <v>82425.700359999988</v>
      </c>
      <c r="T57" s="1551">
        <f t="shared" si="89"/>
        <v>89882.810469999997</v>
      </c>
      <c r="U57" s="1551">
        <f t="shared" si="89"/>
        <v>89026.932939999999</v>
      </c>
      <c r="V57" s="1551">
        <f t="shared" si="89"/>
        <v>86637.590196377103</v>
      </c>
      <c r="W57" s="1551">
        <f t="shared" si="89"/>
        <v>87964.713249109889</v>
      </c>
      <c r="X57" s="1551">
        <f t="shared" si="89"/>
        <v>81835.201280000008</v>
      </c>
      <c r="Y57" s="1551">
        <f t="shared" si="89"/>
        <v>84003.406740000006</v>
      </c>
      <c r="Z57" s="1551">
        <f t="shared" si="89"/>
        <v>96486.575209999995</v>
      </c>
      <c r="AA57" s="1551">
        <f t="shared" si="89"/>
        <v>103316.52234000001</v>
      </c>
      <c r="AB57" s="1602">
        <f t="shared" si="89"/>
        <v>104401.79101000004</v>
      </c>
      <c r="AC57" s="1602">
        <f t="shared" si="89"/>
        <v>112440.09049999996</v>
      </c>
      <c r="AD57" s="1602">
        <f t="shared" si="89"/>
        <v>97371.935400000046</v>
      </c>
      <c r="AE57" s="1603">
        <f>SUM(S57,T57,U57)</f>
        <v>261335.44376999998</v>
      </c>
      <c r="AF57" s="1604">
        <f>SUM(V57,W57,X57)</f>
        <v>256437.504725487</v>
      </c>
      <c r="AG57" s="1604">
        <f>SUM(Y57,Z57,AA57)</f>
        <v>283806.50429000001</v>
      </c>
      <c r="AH57" s="1604">
        <f>SUM(AB57,AC57,AD57)</f>
        <v>314213.81691000005</v>
      </c>
      <c r="AI57" s="1604">
        <f>AE57+AF57</f>
        <v>517772.94849548698</v>
      </c>
      <c r="AJ57" s="1604">
        <f>AH57+AG57</f>
        <v>598020.32120000012</v>
      </c>
      <c r="AK57" s="1604">
        <f>AI57+AJ57</f>
        <v>1115793.2696954871</v>
      </c>
      <c r="AM57" s="2560">
        <f ca="1">SUM((INDIRECT(AM$2&amp;(ROW())):INDIRECT(AM$3&amp;(ROW()))))</f>
        <v>82425.700359999988</v>
      </c>
      <c r="AN57" s="2560">
        <f ca="1">SUM(INDIRECT(AN$1&amp;AN$2&amp;$C57):INDIRECT(AN$1&amp;AN$3&amp;$C57))</f>
        <v>86570.587499999994</v>
      </c>
      <c r="AO57" s="2711">
        <f ca="1">AM57-AN57</f>
        <v>-4144.8871400000062</v>
      </c>
      <c r="AP57" s="2712">
        <f ca="1">IFERROR(AM57/AN57,0)</f>
        <v>0.95212130055141408</v>
      </c>
      <c r="AQ57" s="2560">
        <f ca="1">SUM(INDIRECT(AQ$1&amp;AQ$2&amp;$A57):INDIRECT(AQ$1&amp;AQ$3&amp;$A57))+SUM(INDIRECT(AQ$1&amp;AQ$2&amp;$B57):INDIRECT(AQ$1&amp;AQ$3&amp;$B57))</f>
        <v>74516</v>
      </c>
      <c r="AR57" s="2711">
        <f t="shared" ref="AR57:AR59" ca="1" si="90">AM57-AQ57</f>
        <v>7909.700359999988</v>
      </c>
      <c r="AS57" s="2712">
        <f t="shared" ref="AS57:AS59" ca="1" si="91">IFERROR(AM57/AQ57,0)</f>
        <v>1.1061476778141606</v>
      </c>
      <c r="AU57" s="2560">
        <f ca="1">SUM((INDIRECT(AU$2&amp;(ROW())):INDIRECT(AU$3&amp;(ROW()))))</f>
        <v>82425.700359999988</v>
      </c>
      <c r="AV57" s="2560">
        <f ca="1">SUM(INDIRECT(AV$1&amp;AV$2&amp;$C57):INDIRECT(AV$1&amp;AV$3&amp;$C57))</f>
        <v>86570.587499999994</v>
      </c>
      <c r="AW57" s="2711">
        <f t="shared" ref="AW57:AW59" ca="1" si="92">AU57-AV57</f>
        <v>-4144.8871400000062</v>
      </c>
      <c r="AX57" s="2712">
        <f t="shared" ref="AX57:AX59" ca="1" si="93">IFERROR(AU57/AV57,0)</f>
        <v>0.95212130055141408</v>
      </c>
      <c r="AY57" s="2560">
        <f ca="1">SUM(INDIRECT(AY$1&amp;AY$2&amp;$A57):INDIRECT(AY$1&amp;AY$3&amp;$A57))+SUM(INDIRECT(AY$1&amp;AY$2&amp;$B57):INDIRECT(AY$1&amp;AY$3&amp;$B57))</f>
        <v>74516</v>
      </c>
      <c r="AZ57" s="2711">
        <f t="shared" ref="AZ57:AZ59" ca="1" si="94">AU57-AY57</f>
        <v>7909.700359999988</v>
      </c>
      <c r="BA57" s="2712">
        <f t="shared" ref="BA57:BA59" ca="1" si="95">IFERROR(AU57/AY57,0)</f>
        <v>1.1061476778141606</v>
      </c>
      <c r="BC57" s="2560">
        <f ca="1">SUM((INDIRECT(BC$2&amp;(ROW())):INDIRECT(BC$3&amp;(ROW()))))</f>
        <v>82425.700359999988</v>
      </c>
      <c r="BD57" s="2560">
        <f ca="1">SUM(INDIRECT(BD$1&amp;BD$2&amp;$C57):INDIRECT(BD$1&amp;BD$3&amp;$C57))</f>
        <v>86570.587499999994</v>
      </c>
      <c r="BE57" s="2711">
        <f t="shared" ref="BE57:BE59" ca="1" si="96">BC57-BD57</f>
        <v>-4144.8871400000062</v>
      </c>
      <c r="BF57" s="2712">
        <f t="shared" ref="BF57:BF59" ca="1" si="97">IFERROR(BC57/BD57,0)</f>
        <v>0.95212130055141408</v>
      </c>
      <c r="BG57" s="2560">
        <f ca="1">SUM(INDIRECT(BG$1&amp;BG$2&amp;$A57):INDIRECT(BG$1&amp;BG$3&amp;$A57))+SUM(INDIRECT(BG$1&amp;BG$2&amp;$B57):INDIRECT(BG$1&amp;BG$3&amp;$B57))</f>
        <v>74516</v>
      </c>
      <c r="BH57" s="2711">
        <f t="shared" ref="BH57:BH59" ca="1" si="98">BC57-BG57</f>
        <v>7909.700359999988</v>
      </c>
      <c r="BI57" s="2712">
        <f t="shared" ref="BI57:BI59" ca="1" si="99">IFERROR(BC57/BG57,0)</f>
        <v>1.1061476778141606</v>
      </c>
    </row>
    <row r="58" spans="1:61" ht="14.5">
      <c r="A58" s="1693">
        <f t="shared" si="16"/>
        <v>58</v>
      </c>
      <c r="B58" s="616">
        <v>1</v>
      </c>
      <c r="C58" s="1693">
        <f t="shared" si="12"/>
        <v>58</v>
      </c>
      <c r="D58" s="616">
        <v>1</v>
      </c>
      <c r="E58" s="709" t="s">
        <v>512</v>
      </c>
      <c r="F58" s="1572"/>
      <c r="J58" s="139"/>
      <c r="K58" s="138" t="s">
        <v>311</v>
      </c>
      <c r="L58" s="137"/>
      <c r="M58" s="137"/>
      <c r="N58" s="65"/>
      <c r="O58" s="65"/>
      <c r="P58" s="65"/>
      <c r="Q58" s="487"/>
      <c r="R58" s="1782" t="str">
        <f>CHOOSE(2, "6722000002977", "Total PC Personnel Costs Total Included in COGS")</f>
        <v>Total PC Personnel Costs Total Included in COGS</v>
      </c>
      <c r="S58" s="1384">
        <f>S843</f>
        <v>18783</v>
      </c>
      <c r="T58" s="1384">
        <f t="shared" ref="T58:AD58" si="100">T843</f>
        <v>19137.95</v>
      </c>
      <c r="U58" s="1384">
        <f t="shared" si="100"/>
        <v>18588.963</v>
      </c>
      <c r="V58" s="1384">
        <f t="shared" si="100"/>
        <v>20754.027999999998</v>
      </c>
      <c r="W58" s="1384">
        <f t="shared" si="100"/>
        <v>22346.815209109889</v>
      </c>
      <c r="X58" s="1384">
        <f t="shared" si="100"/>
        <v>20114.092999999997</v>
      </c>
      <c r="Y58" s="1384">
        <f t="shared" si="100"/>
        <v>20375.102999999999</v>
      </c>
      <c r="Z58" s="1384">
        <f t="shared" si="100"/>
        <v>24332.665999999997</v>
      </c>
      <c r="AA58" s="1384">
        <f t="shared" si="100"/>
        <v>24739.047989999992</v>
      </c>
      <c r="AB58" s="1385">
        <f t="shared" si="100"/>
        <v>27345.361709999986</v>
      </c>
      <c r="AC58" s="1385">
        <f t="shared" si="100"/>
        <v>24907.549000000021</v>
      </c>
      <c r="AD58" s="1385">
        <f t="shared" si="100"/>
        <v>25000.851280000003</v>
      </c>
      <c r="AE58" s="881">
        <f>SUM(S58,T58,U58)</f>
        <v>56509.913</v>
      </c>
      <c r="AF58" s="136">
        <f>SUM(V58,W58,X58)</f>
        <v>63214.936209109888</v>
      </c>
      <c r="AG58" s="136">
        <f>SUM(Y58,Z58,AA58)</f>
        <v>69446.816989999992</v>
      </c>
      <c r="AH58" s="136">
        <f>SUM(AB58,AC58,AD58)</f>
        <v>77253.761990000014</v>
      </c>
      <c r="AI58" s="136">
        <f>AE58+AF58</f>
        <v>119724.84920910989</v>
      </c>
      <c r="AJ58" s="136">
        <f>AH58+AG58</f>
        <v>146700.57897999999</v>
      </c>
      <c r="AK58" s="136">
        <f>AI58+AJ58</f>
        <v>266425.42818910989</v>
      </c>
      <c r="AM58" s="1941">
        <f ca="1">SUM((INDIRECT(AM$2&amp;(ROW())):INDIRECT(AM$3&amp;(ROW()))))</f>
        <v>18783</v>
      </c>
      <c r="AN58" s="1941">
        <f ca="1">SUM(INDIRECT(AN$1&amp;AN$2&amp;$C58):INDIRECT(AN$1&amp;AN$3&amp;$C58))</f>
        <v>19018.466666666667</v>
      </c>
      <c r="AO58" s="2713">
        <f ca="1">AM58-AN58</f>
        <v>-235.46666666666715</v>
      </c>
      <c r="AP58" s="2714">
        <f ca="1">IFERROR(AM58/AN58,0)</f>
        <v>0.98761905095749036</v>
      </c>
      <c r="AQ58" s="1941">
        <f ca="1">SUM(INDIRECT(AQ$1&amp;AQ$2&amp;$A58):INDIRECT(AQ$1&amp;AQ$3&amp;$A58))+SUM(INDIRECT(AQ$1&amp;AQ$2&amp;$B58):INDIRECT(AQ$1&amp;AQ$3&amp;$B58))</f>
        <v>16742</v>
      </c>
      <c r="AR58" s="2713">
        <f t="shared" ca="1" si="90"/>
        <v>2041</v>
      </c>
      <c r="AS58" s="2714">
        <f t="shared" ca="1" si="91"/>
        <v>1.1219089714490502</v>
      </c>
      <c r="AU58" s="1941">
        <f ca="1">SUM((INDIRECT(AU$2&amp;(ROW())):INDIRECT(AU$3&amp;(ROW()))))</f>
        <v>18783</v>
      </c>
      <c r="AV58" s="1941">
        <f ca="1">SUM(INDIRECT(AV$1&amp;AV$2&amp;$C58):INDIRECT(AV$1&amp;AV$3&amp;$C58))</f>
        <v>19018.466666666667</v>
      </c>
      <c r="AW58" s="2713">
        <f t="shared" ca="1" si="92"/>
        <v>-235.46666666666715</v>
      </c>
      <c r="AX58" s="2714">
        <f t="shared" ca="1" si="93"/>
        <v>0.98761905095749036</v>
      </c>
      <c r="AY58" s="1941">
        <f ca="1">SUM(INDIRECT(AY$1&amp;AY$2&amp;$A58):INDIRECT(AY$1&amp;AY$3&amp;$A58))+SUM(INDIRECT(AY$1&amp;AY$2&amp;$B58):INDIRECT(AY$1&amp;AY$3&amp;$B58))</f>
        <v>16742</v>
      </c>
      <c r="AZ58" s="2713">
        <f t="shared" ca="1" si="94"/>
        <v>2041</v>
      </c>
      <c r="BA58" s="2714">
        <f t="shared" ca="1" si="95"/>
        <v>1.1219089714490502</v>
      </c>
      <c r="BC58" s="1941">
        <f ca="1">SUM((INDIRECT(BC$2&amp;(ROW())):INDIRECT(BC$3&amp;(ROW()))))</f>
        <v>18783</v>
      </c>
      <c r="BD58" s="1941">
        <f ca="1">SUM(INDIRECT(BD$1&amp;BD$2&amp;$C58):INDIRECT(BD$1&amp;BD$3&amp;$C58))</f>
        <v>19018.466666666667</v>
      </c>
      <c r="BE58" s="2713">
        <f t="shared" ca="1" si="96"/>
        <v>-235.46666666666715</v>
      </c>
      <c r="BF58" s="2714">
        <f t="shared" ca="1" si="97"/>
        <v>0.98761905095749036</v>
      </c>
      <c r="BG58" s="1941">
        <f ca="1">SUM(INDIRECT(BG$1&amp;BG$2&amp;$A58):INDIRECT(BG$1&amp;BG$3&amp;$A58))+SUM(INDIRECT(BG$1&amp;BG$2&amp;$B58):INDIRECT(BG$1&amp;BG$3&amp;$B58))</f>
        <v>16742</v>
      </c>
      <c r="BH58" s="2713">
        <f t="shared" ca="1" si="98"/>
        <v>2041</v>
      </c>
      <c r="BI58" s="2714">
        <f t="shared" ca="1" si="99"/>
        <v>1.1219089714490502</v>
      </c>
    </row>
    <row r="59" spans="1:61" ht="14.5">
      <c r="A59" s="1693">
        <f t="shared" si="16"/>
        <v>59</v>
      </c>
      <c r="B59" s="616">
        <v>1</v>
      </c>
      <c r="C59" s="1693">
        <f t="shared" si="12"/>
        <v>59</v>
      </c>
      <c r="D59" s="616">
        <v>1</v>
      </c>
      <c r="E59" s="709" t="s">
        <v>512</v>
      </c>
      <c r="F59" s="1572"/>
      <c r="J59" s="135"/>
      <c r="K59" s="134" t="s">
        <v>193</v>
      </c>
      <c r="L59" s="16"/>
      <c r="M59" s="16"/>
      <c r="N59" s="11"/>
      <c r="O59" s="11"/>
      <c r="P59" s="11"/>
      <c r="Q59" s="11"/>
      <c r="R59" s="1777" t="str">
        <f>CHOOSE(2, "6722000002978", "Total PC Personnel Costs Total Included in SG&amp;A")</f>
        <v>Total PC Personnel Costs Total Included in SG&amp;A</v>
      </c>
      <c r="S59" s="1228">
        <f t="shared" ref="S59:AD59" si="101">S44</f>
        <v>63642.700359999995</v>
      </c>
      <c r="T59" s="1228">
        <f t="shared" si="101"/>
        <v>70744.86047</v>
      </c>
      <c r="U59" s="1228">
        <f t="shared" si="101"/>
        <v>70437.969939999995</v>
      </c>
      <c r="V59" s="1228">
        <f t="shared" si="101"/>
        <v>65883.562196377097</v>
      </c>
      <c r="W59" s="1228">
        <f t="shared" si="101"/>
        <v>65617.89804</v>
      </c>
      <c r="X59" s="1228">
        <f t="shared" si="101"/>
        <v>61721.108280000008</v>
      </c>
      <c r="Y59" s="1228">
        <f t="shared" si="101"/>
        <v>63628.303740000003</v>
      </c>
      <c r="Z59" s="1228">
        <f t="shared" si="101"/>
        <v>72153.909209999998</v>
      </c>
      <c r="AA59" s="1228">
        <f t="shared" si="101"/>
        <v>78577.474350000019</v>
      </c>
      <c r="AB59" s="1605">
        <f t="shared" si="101"/>
        <v>77056.429300000062</v>
      </c>
      <c r="AC59" s="1605">
        <f t="shared" si="101"/>
        <v>87532.541499999934</v>
      </c>
      <c r="AD59" s="1605">
        <f t="shared" si="101"/>
        <v>72371.084120000043</v>
      </c>
      <c r="AE59" s="1606">
        <f>SUM(S59,T59,U59)</f>
        <v>204825.53077000001</v>
      </c>
      <c r="AF59" s="1605">
        <f>SUM(V59,W59,X59)</f>
        <v>193222.5685163771</v>
      </c>
      <c r="AG59" s="1605">
        <f>SUM(Y59,Z59,AA59)</f>
        <v>214359.68730000005</v>
      </c>
      <c r="AH59" s="1605">
        <f>SUM(AB59,AC59,AD59)</f>
        <v>236960.05492000005</v>
      </c>
      <c r="AI59" s="1605">
        <f>AE59+AF59</f>
        <v>398048.09928637708</v>
      </c>
      <c r="AJ59" s="1605">
        <f>AH59+AG59</f>
        <v>451319.74222000013</v>
      </c>
      <c r="AK59" s="1605">
        <f>AI59+AJ59</f>
        <v>849367.84150637721</v>
      </c>
      <c r="AM59" s="1950">
        <f ca="1">SUM((INDIRECT(AM$2&amp;(ROW())):INDIRECT(AM$3&amp;(ROW()))))</f>
        <v>63642.700359999995</v>
      </c>
      <c r="AN59" s="1950">
        <f ca="1">SUM(INDIRECT(AN$1&amp;AN$2&amp;$C59):INDIRECT(AN$1&amp;AN$3&amp;$C59))</f>
        <v>67552.120833333334</v>
      </c>
      <c r="AO59" s="2715">
        <f ca="1">AM59-AN59</f>
        <v>-3909.420473333339</v>
      </c>
      <c r="AP59" s="2716">
        <f ca="1">IFERROR(AM59/AN59,0)</f>
        <v>0.94212734663092546</v>
      </c>
      <c r="AQ59" s="1950">
        <f ca="1">SUM(INDIRECT(AQ$1&amp;AQ$2&amp;$A59):INDIRECT(AQ$1&amp;AQ$3&amp;$A59))+SUM(INDIRECT(AQ$1&amp;AQ$2&amp;$B59):INDIRECT(AQ$1&amp;AQ$3&amp;$B59))</f>
        <v>57774</v>
      </c>
      <c r="AR59" s="2715">
        <f t="shared" ca="1" si="90"/>
        <v>5868.7003599999953</v>
      </c>
      <c r="AS59" s="2716">
        <f t="shared" ca="1" si="91"/>
        <v>1.1015803018658912</v>
      </c>
      <c r="AU59" s="1950">
        <f ca="1">SUM((INDIRECT(AU$2&amp;(ROW())):INDIRECT(AU$3&amp;(ROW()))))</f>
        <v>63642.700359999995</v>
      </c>
      <c r="AV59" s="1950">
        <f ca="1">SUM(INDIRECT(AV$1&amp;AV$2&amp;$C59):INDIRECT(AV$1&amp;AV$3&amp;$C59))</f>
        <v>67552.120833333334</v>
      </c>
      <c r="AW59" s="2715">
        <f t="shared" ca="1" si="92"/>
        <v>-3909.420473333339</v>
      </c>
      <c r="AX59" s="2716">
        <f t="shared" ca="1" si="93"/>
        <v>0.94212734663092546</v>
      </c>
      <c r="AY59" s="1950">
        <f ca="1">SUM(INDIRECT(AY$1&amp;AY$2&amp;$A59):INDIRECT(AY$1&amp;AY$3&amp;$A59))+SUM(INDIRECT(AY$1&amp;AY$2&amp;$B59):INDIRECT(AY$1&amp;AY$3&amp;$B59))</f>
        <v>57774</v>
      </c>
      <c r="AZ59" s="2715">
        <f t="shared" ca="1" si="94"/>
        <v>5868.7003599999953</v>
      </c>
      <c r="BA59" s="2716">
        <f t="shared" ca="1" si="95"/>
        <v>1.1015803018658912</v>
      </c>
      <c r="BC59" s="1950">
        <f ca="1">SUM((INDIRECT(BC$2&amp;(ROW())):INDIRECT(BC$3&amp;(ROW()))))</f>
        <v>63642.700359999995</v>
      </c>
      <c r="BD59" s="1950">
        <f ca="1">SUM(INDIRECT(BD$1&amp;BD$2&amp;$C59):INDIRECT(BD$1&amp;BD$3&amp;$C59))</f>
        <v>67552.120833333334</v>
      </c>
      <c r="BE59" s="2715">
        <f t="shared" ca="1" si="96"/>
        <v>-3909.420473333339</v>
      </c>
      <c r="BF59" s="2716">
        <f t="shared" ca="1" si="97"/>
        <v>0.94212734663092546</v>
      </c>
      <c r="BG59" s="1950">
        <f ca="1">SUM(INDIRECT(BG$1&amp;BG$2&amp;$A59):INDIRECT(BG$1&amp;BG$3&amp;$A59))+SUM(INDIRECT(BG$1&amp;BG$2&amp;$B59):INDIRECT(BG$1&amp;BG$3&amp;$B59))</f>
        <v>57774</v>
      </c>
      <c r="BH59" s="2715">
        <f t="shared" ca="1" si="98"/>
        <v>5868.7003599999953</v>
      </c>
      <c r="BI59" s="2716">
        <f t="shared" ca="1" si="99"/>
        <v>1.1015803018658912</v>
      </c>
    </row>
    <row r="60" spans="1:61" ht="14.5">
      <c r="A60" s="1693">
        <f t="shared" si="16"/>
        <v>60</v>
      </c>
      <c r="B60" s="616">
        <v>1</v>
      </c>
      <c r="C60" s="1693">
        <f t="shared" si="12"/>
        <v>60</v>
      </c>
      <c r="D60" s="616">
        <v>1</v>
      </c>
      <c r="E60" s="709" t="s">
        <v>512</v>
      </c>
      <c r="F60" s="1572"/>
      <c r="J60" s="220"/>
      <c r="R60" s="1772" t="str">
        <f>CHOOSE(2, "6722000002979", "▷ Blank 4")</f>
        <v>▷ Blank 4</v>
      </c>
      <c r="S60" s="1125"/>
      <c r="T60" s="1366"/>
      <c r="U60" s="1366"/>
      <c r="V60" s="1366"/>
      <c r="W60" s="1366"/>
      <c r="X60" s="1366"/>
      <c r="Y60" s="1366"/>
      <c r="Z60" s="1366"/>
      <c r="AA60" s="1366"/>
      <c r="AB60" s="1242"/>
      <c r="AC60" s="1242"/>
      <c r="AD60" s="1242"/>
      <c r="AE60" s="1242"/>
      <c r="AF60" s="1242"/>
      <c r="AG60" s="1242"/>
      <c r="AH60" s="1242"/>
      <c r="AI60" s="1242"/>
      <c r="AJ60" s="1242"/>
      <c r="AK60" s="608"/>
      <c r="AM60" s="2558"/>
      <c r="AN60" s="2558"/>
      <c r="AO60" s="2558"/>
      <c r="AP60" s="2558"/>
      <c r="AQ60" s="2558"/>
      <c r="AR60" s="2558"/>
      <c r="AS60" s="2558"/>
      <c r="AU60" s="2558"/>
      <c r="AV60" s="2558"/>
      <c r="AW60" s="2558"/>
      <c r="AX60" s="2558"/>
      <c r="AY60" s="2558"/>
      <c r="AZ60" s="2558"/>
      <c r="BA60" s="2558"/>
      <c r="BC60" s="2558"/>
      <c r="BD60" s="2558"/>
      <c r="BE60" s="2558"/>
      <c r="BF60" s="2558"/>
      <c r="BG60" s="2558"/>
      <c r="BH60" s="2558"/>
      <c r="BI60" s="2558"/>
    </row>
    <row r="61" spans="1:61" ht="16.5" customHeight="1">
      <c r="A61" s="1693">
        <f t="shared" si="16"/>
        <v>61</v>
      </c>
      <c r="B61" s="616">
        <v>1</v>
      </c>
      <c r="C61" s="1693">
        <f t="shared" si="12"/>
        <v>61</v>
      </c>
      <c r="D61" s="616">
        <v>1</v>
      </c>
      <c r="E61" s="709" t="s">
        <v>512</v>
      </c>
      <c r="F61" s="69"/>
      <c r="H61" s="369" t="s">
        <v>297</v>
      </c>
      <c r="J61" s="131"/>
      <c r="K61" s="131"/>
      <c r="L61" s="131"/>
      <c r="M61" s="131"/>
      <c r="N61" s="131"/>
      <c r="O61" s="131"/>
      <c r="P61" s="131"/>
      <c r="Q61" s="131"/>
      <c r="R61" s="1777" t="str">
        <f>CHOOSE(2, "6722000002980", "1-4.Break-down of Other Income, Other Expense")</f>
        <v>1-4.Break-down of Other Income, Other Expense</v>
      </c>
      <c r="S61" s="1589"/>
      <c r="T61" s="1366"/>
      <c r="U61" s="1366"/>
      <c r="V61" s="1366"/>
      <c r="W61" s="1366"/>
      <c r="X61" s="1366"/>
      <c r="Y61" s="1366"/>
      <c r="Z61" s="1366"/>
      <c r="AA61" s="1366"/>
      <c r="AB61" s="1242"/>
      <c r="AC61" s="1242"/>
      <c r="AD61" s="1242"/>
      <c r="AE61" s="1242"/>
      <c r="AF61" s="1242"/>
      <c r="AG61" s="1242"/>
      <c r="AH61" s="1242"/>
      <c r="AI61" s="1242"/>
      <c r="AJ61" s="1242"/>
      <c r="AK61" s="608"/>
      <c r="AM61" s="2558"/>
      <c r="AN61" s="2558"/>
      <c r="AO61" s="2558"/>
      <c r="AP61" s="2558"/>
      <c r="AQ61" s="2558"/>
      <c r="AR61" s="2558"/>
      <c r="AS61" s="2558"/>
      <c r="AU61" s="2558"/>
      <c r="AV61" s="2558"/>
      <c r="AW61" s="2558"/>
      <c r="AX61" s="2558"/>
      <c r="AY61" s="2558"/>
      <c r="AZ61" s="2558"/>
      <c r="BA61" s="2558"/>
      <c r="BC61" s="2558"/>
      <c r="BD61" s="2558"/>
      <c r="BE61" s="2558"/>
      <c r="BF61" s="2558"/>
      <c r="BG61" s="2558"/>
      <c r="BH61" s="2558"/>
      <c r="BI61" s="2558"/>
    </row>
    <row r="62" spans="1:61" ht="14.5">
      <c r="A62" s="1693">
        <f t="shared" si="16"/>
        <v>62</v>
      </c>
      <c r="B62" s="616">
        <v>1</v>
      </c>
      <c r="C62" s="1693">
        <f t="shared" si="12"/>
        <v>62</v>
      </c>
      <c r="D62" s="616">
        <v>1</v>
      </c>
      <c r="E62" s="709" t="s">
        <v>512</v>
      </c>
      <c r="F62" s="69"/>
      <c r="J62" s="128" t="s">
        <v>58</v>
      </c>
      <c r="K62" s="133"/>
      <c r="L62" s="133"/>
      <c r="M62" s="133"/>
      <c r="N62" s="133"/>
      <c r="O62" s="133"/>
      <c r="P62" s="133"/>
      <c r="Q62" s="862"/>
      <c r="R62" s="1777" t="str">
        <f>CHOOSE(2, "6722000002981", "BO,OE Other income")</f>
        <v>BO,OE Other income</v>
      </c>
      <c r="S62" s="1551">
        <f t="shared" ref="S62:AD62" si="102">S26</f>
        <v>1465</v>
      </c>
      <c r="T62" s="1551">
        <f t="shared" si="102"/>
        <v>3570</v>
      </c>
      <c r="U62" s="1551">
        <f t="shared" si="102"/>
        <v>1463</v>
      </c>
      <c r="V62" s="1551">
        <f t="shared" si="102"/>
        <v>2188</v>
      </c>
      <c r="W62" s="1551">
        <f t="shared" si="102"/>
        <v>1450</v>
      </c>
      <c r="X62" s="1551">
        <f t="shared" si="102"/>
        <v>1389</v>
      </c>
      <c r="Y62" s="1551">
        <f t="shared" si="102"/>
        <v>2530.5748100000001</v>
      </c>
      <c r="Z62" s="1551">
        <f t="shared" si="102"/>
        <v>2736.2130900000002</v>
      </c>
      <c r="AA62" s="1551">
        <f t="shared" si="102"/>
        <v>2183.53856</v>
      </c>
      <c r="AB62" s="1551">
        <f t="shared" si="102"/>
        <v>1830.0158799999999</v>
      </c>
      <c r="AC62" s="1551">
        <f t="shared" si="102"/>
        <v>2094.5670699999951</v>
      </c>
      <c r="AD62" s="1551">
        <f t="shared" si="102"/>
        <v>6234.7175999999999</v>
      </c>
      <c r="AE62" s="1603">
        <f t="shared" ref="AE62:AK62" si="103">AE26</f>
        <v>6498</v>
      </c>
      <c r="AF62" s="1604">
        <f t="shared" si="103"/>
        <v>5027</v>
      </c>
      <c r="AG62" s="1604">
        <f t="shared" si="103"/>
        <v>7450.3264600000002</v>
      </c>
      <c r="AH62" s="1604">
        <f t="shared" si="103"/>
        <v>10159.300549999994</v>
      </c>
      <c r="AI62" s="1604">
        <f t="shared" si="103"/>
        <v>11525</v>
      </c>
      <c r="AJ62" s="1604">
        <f t="shared" si="103"/>
        <v>17609.627009999997</v>
      </c>
      <c r="AK62" s="1607">
        <f t="shared" si="103"/>
        <v>29134.627009999997</v>
      </c>
      <c r="AM62" s="2560">
        <f ca="1">SUM((INDIRECT(AM$2&amp;(ROW())):INDIRECT(AM$3&amp;(ROW()))))</f>
        <v>1465</v>
      </c>
      <c r="AN62" s="2561">
        <f ca="1">SUM(INDIRECT(AN$1&amp;AN$2&amp;$C62):INDIRECT(AN$1&amp;AN$3&amp;$C62))</f>
        <v>0</v>
      </c>
      <c r="AO62" s="2717">
        <f t="shared" ref="AO62:AO73" ca="1" si="104">AM62-AN62</f>
        <v>1465</v>
      </c>
      <c r="AP62" s="2718">
        <f t="shared" ref="AP62:AP73" ca="1" si="105">IFERROR(AM62/AN62,0)</f>
        <v>0</v>
      </c>
      <c r="AQ62" s="2561">
        <f ca="1">SUM(INDIRECT(AQ$1&amp;AQ$2&amp;$A62):INDIRECT(AQ$1&amp;AQ$3&amp;$A62))+SUM(INDIRECT(AQ$1&amp;AQ$2&amp;$B62):INDIRECT(AQ$1&amp;AQ$3&amp;$B62))</f>
        <v>9951</v>
      </c>
      <c r="AR62" s="2717">
        <f t="shared" ref="AR62:AR73" ca="1" si="106">AM62-AQ62</f>
        <v>-8486</v>
      </c>
      <c r="AS62" s="2718">
        <f t="shared" ref="AS62:AS73" ca="1" si="107">IFERROR(AM62/AQ62,0)</f>
        <v>0.14722138478544869</v>
      </c>
      <c r="AU62" s="2560">
        <f ca="1">SUM((INDIRECT(AU$2&amp;(ROW())):INDIRECT(AU$3&amp;(ROW()))))</f>
        <v>1465</v>
      </c>
      <c r="AV62" s="2561">
        <f ca="1">SUM(INDIRECT(AV$1&amp;AV$2&amp;$C62):INDIRECT(AV$1&amp;AV$3&amp;$C62))</f>
        <v>0</v>
      </c>
      <c r="AW62" s="2717">
        <f t="shared" ref="AW62:AW73" ca="1" si="108">AU62-AV62</f>
        <v>1465</v>
      </c>
      <c r="AX62" s="2718">
        <f t="shared" ref="AX62:AX73" ca="1" si="109">IFERROR(AU62/AV62,0)</f>
        <v>0</v>
      </c>
      <c r="AY62" s="2561">
        <f ca="1">SUM(INDIRECT(AY$1&amp;AY$2&amp;$A62):INDIRECT(AY$1&amp;AY$3&amp;$A62))+SUM(INDIRECT(AY$1&amp;AY$2&amp;$B62):INDIRECT(AY$1&amp;AY$3&amp;$B62))</f>
        <v>9951</v>
      </c>
      <c r="AZ62" s="2717">
        <f t="shared" ref="AZ62:AZ73" ca="1" si="110">AU62-AY62</f>
        <v>-8486</v>
      </c>
      <c r="BA62" s="2718">
        <f t="shared" ref="BA62:BA73" ca="1" si="111">IFERROR(AU62/AY62,0)</f>
        <v>0.14722138478544869</v>
      </c>
      <c r="BC62" s="2560">
        <f ca="1">SUM((INDIRECT(BC$2&amp;(ROW())):INDIRECT(BC$3&amp;(ROW()))))</f>
        <v>1465</v>
      </c>
      <c r="BD62" s="2561">
        <f ca="1">SUM(INDIRECT(BD$1&amp;BD$2&amp;$C62):INDIRECT(BD$1&amp;BD$3&amp;$C62))</f>
        <v>0</v>
      </c>
      <c r="BE62" s="2717">
        <f t="shared" ref="BE62:BE73" ca="1" si="112">BC62-BD62</f>
        <v>1465</v>
      </c>
      <c r="BF62" s="2718">
        <f t="shared" ref="BF62:BF73" ca="1" si="113">IFERROR(BC62/BD62,0)</f>
        <v>0</v>
      </c>
      <c r="BG62" s="2561">
        <f ca="1">SUM(INDIRECT(BG$1&amp;BG$2&amp;$A62):INDIRECT(BG$1&amp;BG$3&amp;$A62))+SUM(INDIRECT(BG$1&amp;BG$2&amp;$B62):INDIRECT(BG$1&amp;BG$3&amp;$B62))</f>
        <v>9951</v>
      </c>
      <c r="BH62" s="2717">
        <f t="shared" ref="BH62:BH73" ca="1" si="114">BC62-BG62</f>
        <v>-8486</v>
      </c>
      <c r="BI62" s="2718">
        <f t="shared" ref="BI62:BI73" ca="1" si="115">IFERROR(BC62/BG62,0)</f>
        <v>0.14722138478544869</v>
      </c>
    </row>
    <row r="63" spans="1:61" ht="14.5">
      <c r="A63" s="1693">
        <f t="shared" si="16"/>
        <v>63</v>
      </c>
      <c r="B63" s="616">
        <v>1</v>
      </c>
      <c r="C63" s="1693">
        <f t="shared" si="12"/>
        <v>63</v>
      </c>
      <c r="D63" s="616">
        <v>1</v>
      </c>
      <c r="E63" s="709" t="s">
        <v>512</v>
      </c>
      <c r="F63" s="69"/>
      <c r="J63" s="132"/>
      <c r="K63" s="8" t="s">
        <v>109</v>
      </c>
      <c r="L63" s="131"/>
      <c r="M63" s="131"/>
      <c r="N63" s="131"/>
      <c r="O63" s="131"/>
      <c r="P63" s="131"/>
      <c r="Q63" s="131"/>
      <c r="R63" s="1781" t="str">
        <f>CHOOSE(2, "6722000002982", "BO,OE Other income  RP,PE")</f>
        <v>BO,OE Other income  RP,PE</v>
      </c>
      <c r="S63" s="1281"/>
      <c r="T63" s="1281"/>
      <c r="U63" s="1281"/>
      <c r="V63" s="1281"/>
      <c r="W63" s="1281"/>
      <c r="X63" s="1281"/>
      <c r="Y63" s="1281"/>
      <c r="Z63" s="1281"/>
      <c r="AA63" s="1281"/>
      <c r="AB63" s="1281"/>
      <c r="AC63" s="1281"/>
      <c r="AD63" s="1281"/>
      <c r="AE63" s="125">
        <f>SUM(S63,T63,U63)</f>
        <v>0</v>
      </c>
      <c r="AF63" s="126">
        <f>SUM(V63,W63,X63)</f>
        <v>0</v>
      </c>
      <c r="AG63" s="126">
        <f>SUM(Y63,Z63,AA63)</f>
        <v>0</v>
      </c>
      <c r="AH63" s="126">
        <f>SUM(AB63,AC63,AD63)</f>
        <v>0</v>
      </c>
      <c r="AI63" s="126">
        <f>AE63+AF63</f>
        <v>0</v>
      </c>
      <c r="AJ63" s="126">
        <f>AH63+AG63</f>
        <v>0</v>
      </c>
      <c r="AK63" s="125">
        <f>AI63+AJ63</f>
        <v>0</v>
      </c>
      <c r="AM63" s="1948">
        <f ca="1">SUM((INDIRECT(AM$2&amp;(ROW())):INDIRECT(AM$3&amp;(ROW()))))</f>
        <v>0</v>
      </c>
      <c r="AN63" s="1947">
        <f ca="1">SUM(INDIRECT(AN$1&amp;AN$2&amp;$C63):INDIRECT(AN$1&amp;AN$3&amp;$C63))</f>
        <v>0</v>
      </c>
      <c r="AO63" s="2719">
        <f t="shared" ca="1" si="104"/>
        <v>0</v>
      </c>
      <c r="AP63" s="2720">
        <f t="shared" ca="1" si="105"/>
        <v>0</v>
      </c>
      <c r="AQ63" s="1947">
        <f ca="1">SUM(INDIRECT(AQ$1&amp;AQ$2&amp;$A63):INDIRECT(AQ$1&amp;AQ$3&amp;$A63))+SUM(INDIRECT(AQ$1&amp;AQ$2&amp;$B63):INDIRECT(AQ$1&amp;AQ$3&amp;$B63))</f>
        <v>0</v>
      </c>
      <c r="AR63" s="2719">
        <f t="shared" ca="1" si="106"/>
        <v>0</v>
      </c>
      <c r="AS63" s="2720">
        <f t="shared" ca="1" si="107"/>
        <v>0</v>
      </c>
      <c r="AU63" s="1948">
        <f ca="1">SUM((INDIRECT(AU$2&amp;(ROW())):INDIRECT(AU$3&amp;(ROW()))))</f>
        <v>0</v>
      </c>
      <c r="AV63" s="1947">
        <f ca="1">SUM(INDIRECT(AV$1&amp;AV$2&amp;$C63):INDIRECT(AV$1&amp;AV$3&amp;$C63))</f>
        <v>0</v>
      </c>
      <c r="AW63" s="2719">
        <f t="shared" ca="1" si="108"/>
        <v>0</v>
      </c>
      <c r="AX63" s="2720">
        <f t="shared" ca="1" si="109"/>
        <v>0</v>
      </c>
      <c r="AY63" s="1947">
        <f ca="1">SUM(INDIRECT(AY$1&amp;AY$2&amp;$A63):INDIRECT(AY$1&amp;AY$3&amp;$A63))+SUM(INDIRECT(AY$1&amp;AY$2&amp;$B63):INDIRECT(AY$1&amp;AY$3&amp;$B63))</f>
        <v>0</v>
      </c>
      <c r="AZ63" s="2719">
        <f t="shared" ca="1" si="110"/>
        <v>0</v>
      </c>
      <c r="BA63" s="2720">
        <f t="shared" ca="1" si="111"/>
        <v>0</v>
      </c>
      <c r="BC63" s="1948">
        <f ca="1">SUM((INDIRECT(BC$2&amp;(ROW())):INDIRECT(BC$3&amp;(ROW()))))</f>
        <v>0</v>
      </c>
      <c r="BD63" s="1947">
        <f ca="1">SUM(INDIRECT(BD$1&amp;BD$2&amp;$C63):INDIRECT(BD$1&amp;BD$3&amp;$C63))</f>
        <v>0</v>
      </c>
      <c r="BE63" s="2719">
        <f t="shared" ca="1" si="112"/>
        <v>0</v>
      </c>
      <c r="BF63" s="2720">
        <f t="shared" ca="1" si="113"/>
        <v>0</v>
      </c>
      <c r="BG63" s="1947">
        <f ca="1">SUM(INDIRECT(BG$1&amp;BG$2&amp;$A63):INDIRECT(BG$1&amp;BG$3&amp;$A63))+SUM(INDIRECT(BG$1&amp;BG$2&amp;$B63):INDIRECT(BG$1&amp;BG$3&amp;$B63))</f>
        <v>0</v>
      </c>
      <c r="BH63" s="2719">
        <f t="shared" ca="1" si="114"/>
        <v>0</v>
      </c>
      <c r="BI63" s="2720">
        <f t="shared" ca="1" si="115"/>
        <v>0</v>
      </c>
    </row>
    <row r="64" spans="1:61" ht="14.5">
      <c r="A64" s="1693">
        <f t="shared" si="16"/>
        <v>64</v>
      </c>
      <c r="B64" s="616">
        <v>1</v>
      </c>
      <c r="C64" s="1693">
        <f t="shared" si="12"/>
        <v>64</v>
      </c>
      <c r="D64" s="616">
        <v>1</v>
      </c>
      <c r="E64" s="709" t="s">
        <v>512</v>
      </c>
      <c r="F64" s="69"/>
      <c r="J64" s="132"/>
      <c r="K64" s="8" t="s">
        <v>60</v>
      </c>
      <c r="L64" s="131"/>
      <c r="M64" s="131"/>
      <c r="N64" s="131"/>
      <c r="O64" s="131"/>
      <c r="P64" s="131"/>
      <c r="Q64" s="131"/>
      <c r="R64" s="1781" t="str">
        <f>CHOOSE(2, "6722000002983", "BO,OE Other income  Commissions and Fees Income")</f>
        <v>BO,OE Other income  Commissions and Fees Income</v>
      </c>
      <c r="S64" s="1281"/>
      <c r="T64" s="1281"/>
      <c r="U64" s="1281"/>
      <c r="V64" s="1281"/>
      <c r="W64" s="1281"/>
      <c r="X64" s="1281"/>
      <c r="Y64" s="1281"/>
      <c r="Z64" s="1281"/>
      <c r="AA64" s="1281"/>
      <c r="AB64" s="1281"/>
      <c r="AC64" s="1281"/>
      <c r="AD64" s="1281"/>
      <c r="AE64" s="125">
        <f>SUM(S64,T64,U64)</f>
        <v>0</v>
      </c>
      <c r="AF64" s="126">
        <f>SUM(V64,W64,X64)</f>
        <v>0</v>
      </c>
      <c r="AG64" s="126">
        <f>SUM(Y64,Z64,AA64)</f>
        <v>0</v>
      </c>
      <c r="AH64" s="126">
        <f>SUM(AB64,AC64,AD64)</f>
        <v>0</v>
      </c>
      <c r="AI64" s="126">
        <f>AE64+AF64</f>
        <v>0</v>
      </c>
      <c r="AJ64" s="126">
        <f>AH64+AG64</f>
        <v>0</v>
      </c>
      <c r="AK64" s="125">
        <f>AI64+AJ64</f>
        <v>0</v>
      </c>
      <c r="AM64" s="1948">
        <f ca="1">SUM((INDIRECT(AM$2&amp;(ROW())):INDIRECT(AM$3&amp;(ROW()))))</f>
        <v>0</v>
      </c>
      <c r="AN64" s="1947">
        <f ca="1">SUM(INDIRECT(AN$1&amp;AN$2&amp;$C64):INDIRECT(AN$1&amp;AN$3&amp;$C64))</f>
        <v>0</v>
      </c>
      <c r="AO64" s="2719">
        <f t="shared" ca="1" si="104"/>
        <v>0</v>
      </c>
      <c r="AP64" s="2720">
        <f t="shared" ca="1" si="105"/>
        <v>0</v>
      </c>
      <c r="AQ64" s="1947">
        <f ca="1">SUM(INDIRECT(AQ$1&amp;AQ$2&amp;$A64):INDIRECT(AQ$1&amp;AQ$3&amp;$A64))+SUM(INDIRECT(AQ$1&amp;AQ$2&amp;$B64):INDIRECT(AQ$1&amp;AQ$3&amp;$B64))</f>
        <v>0</v>
      </c>
      <c r="AR64" s="2719">
        <f t="shared" ca="1" si="106"/>
        <v>0</v>
      </c>
      <c r="AS64" s="2720">
        <f t="shared" ca="1" si="107"/>
        <v>0</v>
      </c>
      <c r="AU64" s="1948">
        <f ca="1">SUM((INDIRECT(AU$2&amp;(ROW())):INDIRECT(AU$3&amp;(ROW()))))</f>
        <v>0</v>
      </c>
      <c r="AV64" s="1947">
        <f ca="1">SUM(INDIRECT(AV$1&amp;AV$2&amp;$C64):INDIRECT(AV$1&amp;AV$3&amp;$C64))</f>
        <v>0</v>
      </c>
      <c r="AW64" s="2719">
        <f t="shared" ca="1" si="108"/>
        <v>0</v>
      </c>
      <c r="AX64" s="2720">
        <f t="shared" ca="1" si="109"/>
        <v>0</v>
      </c>
      <c r="AY64" s="1947">
        <f ca="1">SUM(INDIRECT(AY$1&amp;AY$2&amp;$A64):INDIRECT(AY$1&amp;AY$3&amp;$A64))+SUM(INDIRECT(AY$1&amp;AY$2&amp;$B64):INDIRECT(AY$1&amp;AY$3&amp;$B64))</f>
        <v>0</v>
      </c>
      <c r="AZ64" s="2719">
        <f t="shared" ca="1" si="110"/>
        <v>0</v>
      </c>
      <c r="BA64" s="2720">
        <f t="shared" ca="1" si="111"/>
        <v>0</v>
      </c>
      <c r="BC64" s="1948">
        <f ca="1">SUM((INDIRECT(BC$2&amp;(ROW())):INDIRECT(BC$3&amp;(ROW()))))</f>
        <v>0</v>
      </c>
      <c r="BD64" s="1947">
        <f ca="1">SUM(INDIRECT(BD$1&amp;BD$2&amp;$C64):INDIRECT(BD$1&amp;BD$3&amp;$C64))</f>
        <v>0</v>
      </c>
      <c r="BE64" s="2719">
        <f t="shared" ca="1" si="112"/>
        <v>0</v>
      </c>
      <c r="BF64" s="2720">
        <f t="shared" ca="1" si="113"/>
        <v>0</v>
      </c>
      <c r="BG64" s="1947">
        <f ca="1">SUM(INDIRECT(BG$1&amp;BG$2&amp;$A64):INDIRECT(BG$1&amp;BG$3&amp;$A64))+SUM(INDIRECT(BG$1&amp;BG$2&amp;$B64):INDIRECT(BG$1&amp;BG$3&amp;$B64))</f>
        <v>0</v>
      </c>
      <c r="BH64" s="2719">
        <f t="shared" ca="1" si="114"/>
        <v>0</v>
      </c>
      <c r="BI64" s="2720">
        <f t="shared" ca="1" si="115"/>
        <v>0</v>
      </c>
    </row>
    <row r="65" spans="1:61" ht="14.5">
      <c r="A65" s="1693">
        <f t="shared" si="16"/>
        <v>65</v>
      </c>
      <c r="B65" s="616">
        <v>1</v>
      </c>
      <c r="C65" s="1693">
        <f t="shared" si="12"/>
        <v>65</v>
      </c>
      <c r="D65" s="616">
        <v>1</v>
      </c>
      <c r="E65" s="709" t="s">
        <v>512</v>
      </c>
      <c r="F65" s="69"/>
      <c r="J65" s="132"/>
      <c r="K65" s="8" t="s">
        <v>59</v>
      </c>
      <c r="L65" s="131"/>
      <c r="M65" s="131"/>
      <c r="N65" s="131"/>
      <c r="O65" s="131"/>
      <c r="P65" s="131"/>
      <c r="Q65" s="131"/>
      <c r="R65" s="1781" t="str">
        <f>CHOOSE(2, "6722000002984", "BO,OE Other income  Gains on Sales of Asset")</f>
        <v>BO,OE Other income  Gains on Sales of Asset</v>
      </c>
      <c r="S65" s="1281"/>
      <c r="T65" s="1281"/>
      <c r="U65" s="1281"/>
      <c r="V65" s="1281"/>
      <c r="W65" s="1281"/>
      <c r="X65" s="1281"/>
      <c r="Y65" s="1281"/>
      <c r="Z65" s="1281"/>
      <c r="AA65" s="1281"/>
      <c r="AB65" s="1281"/>
      <c r="AC65" s="1281"/>
      <c r="AD65" s="1281"/>
      <c r="AE65" s="125">
        <f>SUM(S65,T65,U65)</f>
        <v>0</v>
      </c>
      <c r="AF65" s="126">
        <f>SUM(V65,W65,X65)</f>
        <v>0</v>
      </c>
      <c r="AG65" s="126">
        <f>SUM(Y65,Z65,AA65)</f>
        <v>0</v>
      </c>
      <c r="AH65" s="126">
        <f>SUM(AB65,AC65,AD65)</f>
        <v>0</v>
      </c>
      <c r="AI65" s="126">
        <f>AE65+AF65</f>
        <v>0</v>
      </c>
      <c r="AJ65" s="126">
        <f>AH65+AG65</f>
        <v>0</v>
      </c>
      <c r="AK65" s="125">
        <f>AI65+AJ65</f>
        <v>0</v>
      </c>
      <c r="AM65" s="1948">
        <f ca="1">SUM((INDIRECT(AM$2&amp;(ROW())):INDIRECT(AM$3&amp;(ROW()))))</f>
        <v>0</v>
      </c>
      <c r="AN65" s="1947">
        <f ca="1">SUM(INDIRECT(AN$1&amp;AN$2&amp;$C65):INDIRECT(AN$1&amp;AN$3&amp;$C65))</f>
        <v>0</v>
      </c>
      <c r="AO65" s="2719">
        <f t="shared" ca="1" si="104"/>
        <v>0</v>
      </c>
      <c r="AP65" s="2720">
        <f t="shared" ca="1" si="105"/>
        <v>0</v>
      </c>
      <c r="AQ65" s="1947">
        <f ca="1">SUM(INDIRECT(AQ$1&amp;AQ$2&amp;$A65):INDIRECT(AQ$1&amp;AQ$3&amp;$A65))+SUM(INDIRECT(AQ$1&amp;AQ$2&amp;$B65):INDIRECT(AQ$1&amp;AQ$3&amp;$B65))</f>
        <v>0</v>
      </c>
      <c r="AR65" s="2719">
        <f t="shared" ca="1" si="106"/>
        <v>0</v>
      </c>
      <c r="AS65" s="2720">
        <f t="shared" ca="1" si="107"/>
        <v>0</v>
      </c>
      <c r="AU65" s="1948">
        <f ca="1">SUM((INDIRECT(AU$2&amp;(ROW())):INDIRECT(AU$3&amp;(ROW()))))</f>
        <v>0</v>
      </c>
      <c r="AV65" s="1947">
        <f ca="1">SUM(INDIRECT(AV$1&amp;AV$2&amp;$C65):INDIRECT(AV$1&amp;AV$3&amp;$C65))</f>
        <v>0</v>
      </c>
      <c r="AW65" s="2719">
        <f t="shared" ca="1" si="108"/>
        <v>0</v>
      </c>
      <c r="AX65" s="2720">
        <f t="shared" ca="1" si="109"/>
        <v>0</v>
      </c>
      <c r="AY65" s="1947">
        <f ca="1">SUM(INDIRECT(AY$1&amp;AY$2&amp;$A65):INDIRECT(AY$1&amp;AY$3&amp;$A65))+SUM(INDIRECT(AY$1&amp;AY$2&amp;$B65):INDIRECT(AY$1&amp;AY$3&amp;$B65))</f>
        <v>0</v>
      </c>
      <c r="AZ65" s="2719">
        <f t="shared" ca="1" si="110"/>
        <v>0</v>
      </c>
      <c r="BA65" s="2720">
        <f t="shared" ca="1" si="111"/>
        <v>0</v>
      </c>
      <c r="BC65" s="1948">
        <f ca="1">SUM((INDIRECT(BC$2&amp;(ROW())):INDIRECT(BC$3&amp;(ROW()))))</f>
        <v>0</v>
      </c>
      <c r="BD65" s="1947">
        <f ca="1">SUM(INDIRECT(BD$1&amp;BD$2&amp;$C65):INDIRECT(BD$1&amp;BD$3&amp;$C65))</f>
        <v>0</v>
      </c>
      <c r="BE65" s="2719">
        <f t="shared" ca="1" si="112"/>
        <v>0</v>
      </c>
      <c r="BF65" s="2720">
        <f t="shared" ca="1" si="113"/>
        <v>0</v>
      </c>
      <c r="BG65" s="1947">
        <f ca="1">SUM(INDIRECT(BG$1&amp;BG$2&amp;$A65):INDIRECT(BG$1&amp;BG$3&amp;$A65))+SUM(INDIRECT(BG$1&amp;BG$2&amp;$B65):INDIRECT(BG$1&amp;BG$3&amp;$B65))</f>
        <v>0</v>
      </c>
      <c r="BH65" s="2719">
        <f t="shared" ca="1" si="114"/>
        <v>0</v>
      </c>
      <c r="BI65" s="2720">
        <f t="shared" ca="1" si="115"/>
        <v>0</v>
      </c>
    </row>
    <row r="66" spans="1:61" ht="14.5">
      <c r="A66" s="1693">
        <f t="shared" si="16"/>
        <v>66</v>
      </c>
      <c r="B66" s="616">
        <v>1</v>
      </c>
      <c r="C66" s="1693">
        <f t="shared" si="12"/>
        <v>66</v>
      </c>
      <c r="D66" s="616">
        <v>1</v>
      </c>
      <c r="E66" s="709" t="s">
        <v>512</v>
      </c>
      <c r="F66" s="69"/>
      <c r="G66" s="8"/>
      <c r="J66" s="132"/>
      <c r="K66" s="8" t="s">
        <v>565</v>
      </c>
      <c r="L66" s="131"/>
      <c r="M66" s="131"/>
      <c r="N66" s="131"/>
      <c r="O66" s="131"/>
      <c r="P66" s="131"/>
      <c r="Q66" s="131"/>
      <c r="R66" s="1781" t="str">
        <f>CHOOSE(2, "6722000002985", "BO,OE Other income  Government support")</f>
        <v>BO,OE Other income  Government support</v>
      </c>
      <c r="S66" s="1281"/>
      <c r="T66" s="1281"/>
      <c r="U66" s="1281"/>
      <c r="V66" s="1281"/>
      <c r="W66" s="1281"/>
      <c r="X66" s="1281"/>
      <c r="Y66" s="1281"/>
      <c r="Z66" s="1281"/>
      <c r="AA66" s="1281"/>
      <c r="AB66" s="1281"/>
      <c r="AC66" s="1281"/>
      <c r="AD66" s="1281"/>
      <c r="AE66" s="125">
        <f>SUM(S66,T66,U66)</f>
        <v>0</v>
      </c>
      <c r="AF66" s="126">
        <f>SUM(V66,W66,X66)</f>
        <v>0</v>
      </c>
      <c r="AG66" s="126">
        <f>SUM(Y66,Z66,AA66)</f>
        <v>0</v>
      </c>
      <c r="AH66" s="126">
        <f>SUM(AB66,AC66,AD66)</f>
        <v>0</v>
      </c>
      <c r="AI66" s="126">
        <f>AE66+AF66</f>
        <v>0</v>
      </c>
      <c r="AJ66" s="126">
        <f>AH66+AG66</f>
        <v>0</v>
      </c>
      <c r="AK66" s="125">
        <f>AI66+AJ66</f>
        <v>0</v>
      </c>
      <c r="AM66" s="1948">
        <f ca="1">SUM((INDIRECT(AM$2&amp;(ROW())):INDIRECT(AM$3&amp;(ROW()))))</f>
        <v>0</v>
      </c>
      <c r="AN66" s="1947">
        <f ca="1">SUM(INDIRECT(AN$1&amp;AN$2&amp;$C66):INDIRECT(AN$1&amp;AN$3&amp;$C66))</f>
        <v>0</v>
      </c>
      <c r="AO66" s="2719">
        <f t="shared" ca="1" si="104"/>
        <v>0</v>
      </c>
      <c r="AP66" s="2720">
        <f t="shared" ca="1" si="105"/>
        <v>0</v>
      </c>
      <c r="AQ66" s="1947">
        <f ca="1">SUM(INDIRECT(AQ$1&amp;AQ$2&amp;$A66):INDIRECT(AQ$1&amp;AQ$3&amp;$A66))+SUM(INDIRECT(AQ$1&amp;AQ$2&amp;$B66):INDIRECT(AQ$1&amp;AQ$3&amp;$B66))</f>
        <v>0</v>
      </c>
      <c r="AR66" s="2719">
        <f t="shared" ca="1" si="106"/>
        <v>0</v>
      </c>
      <c r="AS66" s="2720">
        <f t="shared" ca="1" si="107"/>
        <v>0</v>
      </c>
      <c r="AU66" s="1948">
        <f ca="1">SUM((INDIRECT(AU$2&amp;(ROW())):INDIRECT(AU$3&amp;(ROW()))))</f>
        <v>0</v>
      </c>
      <c r="AV66" s="1947">
        <f ca="1">SUM(INDIRECT(AV$1&amp;AV$2&amp;$C66):INDIRECT(AV$1&amp;AV$3&amp;$C66))</f>
        <v>0</v>
      </c>
      <c r="AW66" s="2719">
        <f t="shared" ca="1" si="108"/>
        <v>0</v>
      </c>
      <c r="AX66" s="2720">
        <f t="shared" ca="1" si="109"/>
        <v>0</v>
      </c>
      <c r="AY66" s="1947">
        <f ca="1">SUM(INDIRECT(AY$1&amp;AY$2&amp;$A66):INDIRECT(AY$1&amp;AY$3&amp;$A66))+SUM(INDIRECT(AY$1&amp;AY$2&amp;$B66):INDIRECT(AY$1&amp;AY$3&amp;$B66))</f>
        <v>0</v>
      </c>
      <c r="AZ66" s="2719">
        <f t="shared" ca="1" si="110"/>
        <v>0</v>
      </c>
      <c r="BA66" s="2720">
        <f t="shared" ca="1" si="111"/>
        <v>0</v>
      </c>
      <c r="BC66" s="1948">
        <f ca="1">SUM((INDIRECT(BC$2&amp;(ROW())):INDIRECT(BC$3&amp;(ROW()))))</f>
        <v>0</v>
      </c>
      <c r="BD66" s="1947">
        <f ca="1">SUM(INDIRECT(BD$1&amp;BD$2&amp;$C66):INDIRECT(BD$1&amp;BD$3&amp;$C66))</f>
        <v>0</v>
      </c>
      <c r="BE66" s="2719">
        <f t="shared" ca="1" si="112"/>
        <v>0</v>
      </c>
      <c r="BF66" s="2720">
        <f t="shared" ca="1" si="113"/>
        <v>0</v>
      </c>
      <c r="BG66" s="1947">
        <f ca="1">SUM(INDIRECT(BG$1&amp;BG$2&amp;$A66):INDIRECT(BG$1&amp;BG$3&amp;$A66))+SUM(INDIRECT(BG$1&amp;BG$2&amp;$B66):INDIRECT(BG$1&amp;BG$3&amp;$B66))</f>
        <v>0</v>
      </c>
      <c r="BH66" s="2719">
        <f t="shared" ca="1" si="114"/>
        <v>0</v>
      </c>
      <c r="BI66" s="2720">
        <f t="shared" ca="1" si="115"/>
        <v>0</v>
      </c>
    </row>
    <row r="67" spans="1:61" ht="14.5">
      <c r="A67" s="1693">
        <f t="shared" si="16"/>
        <v>67</v>
      </c>
      <c r="B67" s="616">
        <v>1</v>
      </c>
      <c r="C67" s="1693">
        <f t="shared" si="12"/>
        <v>67</v>
      </c>
      <c r="D67" s="616">
        <v>1</v>
      </c>
      <c r="E67" s="709" t="s">
        <v>512</v>
      </c>
      <c r="F67" s="69"/>
      <c r="J67" s="130"/>
      <c r="K67" s="11" t="s">
        <v>58</v>
      </c>
      <c r="L67" s="129"/>
      <c r="M67" s="129"/>
      <c r="N67" s="129"/>
      <c r="O67" s="129"/>
      <c r="P67" s="129"/>
      <c r="Q67" s="129"/>
      <c r="R67" s="1782" t="str">
        <f>CHOOSE(2, "6722000002986", "BO,OE Other income  Other income")</f>
        <v>BO,OE Other income  Other income</v>
      </c>
      <c r="S67" s="1226">
        <f>S62-SUM(S63:S66)</f>
        <v>1465</v>
      </c>
      <c r="T67" s="1226">
        <f t="shared" ref="T67:AD67" si="116">T62-SUM(T63:T66)</f>
        <v>3570</v>
      </c>
      <c r="U67" s="1226">
        <f t="shared" si="116"/>
        <v>1463</v>
      </c>
      <c r="V67" s="1226">
        <f t="shared" si="116"/>
        <v>2188</v>
      </c>
      <c r="W67" s="1226">
        <f t="shared" si="116"/>
        <v>1450</v>
      </c>
      <c r="X67" s="1226">
        <f t="shared" si="116"/>
        <v>1389</v>
      </c>
      <c r="Y67" s="1226">
        <f t="shared" si="116"/>
        <v>2530.5748100000001</v>
      </c>
      <c r="Z67" s="1226">
        <f t="shared" si="116"/>
        <v>2736.2130900000002</v>
      </c>
      <c r="AA67" s="1226">
        <f t="shared" si="116"/>
        <v>2183.53856</v>
      </c>
      <c r="AB67" s="1226">
        <f t="shared" si="116"/>
        <v>1830.0158799999999</v>
      </c>
      <c r="AC67" s="1226">
        <f t="shared" si="116"/>
        <v>2094.5670699999951</v>
      </c>
      <c r="AD67" s="1226">
        <f t="shared" si="116"/>
        <v>6234.7175999999999</v>
      </c>
      <c r="AE67" s="125">
        <f t="shared" ref="AE67:AK67" si="117">AE62-SUM(AE63:AE66)</f>
        <v>6498</v>
      </c>
      <c r="AF67" s="126">
        <f t="shared" si="117"/>
        <v>5027</v>
      </c>
      <c r="AG67" s="126">
        <f t="shared" si="117"/>
        <v>7450.3264600000002</v>
      </c>
      <c r="AH67" s="126">
        <f t="shared" si="117"/>
        <v>10159.300549999994</v>
      </c>
      <c r="AI67" s="126">
        <f t="shared" si="117"/>
        <v>11525</v>
      </c>
      <c r="AJ67" s="126">
        <f t="shared" si="117"/>
        <v>17609.627009999997</v>
      </c>
      <c r="AK67" s="125">
        <f t="shared" si="117"/>
        <v>29134.627009999997</v>
      </c>
      <c r="AM67" s="1948">
        <f ca="1">SUM((INDIRECT(AM$2&amp;(ROW())):INDIRECT(AM$3&amp;(ROW()))))</f>
        <v>1465</v>
      </c>
      <c r="AN67" s="1947">
        <f ca="1">SUM(INDIRECT(AN$1&amp;AN$2&amp;$C67):INDIRECT(AN$1&amp;AN$3&amp;$C67))</f>
        <v>0</v>
      </c>
      <c r="AO67" s="2719">
        <f t="shared" ca="1" si="104"/>
        <v>1465</v>
      </c>
      <c r="AP67" s="2720">
        <f t="shared" ca="1" si="105"/>
        <v>0</v>
      </c>
      <c r="AQ67" s="1947">
        <f ca="1">SUM(INDIRECT(AQ$1&amp;AQ$2&amp;$A67):INDIRECT(AQ$1&amp;AQ$3&amp;$A67))+SUM(INDIRECT(AQ$1&amp;AQ$2&amp;$B67):INDIRECT(AQ$1&amp;AQ$3&amp;$B67))</f>
        <v>9951</v>
      </c>
      <c r="AR67" s="2719">
        <f t="shared" ca="1" si="106"/>
        <v>-8486</v>
      </c>
      <c r="AS67" s="2720">
        <f t="shared" ca="1" si="107"/>
        <v>0.14722138478544869</v>
      </c>
      <c r="AU67" s="1948">
        <f ca="1">SUM((INDIRECT(AU$2&amp;(ROW())):INDIRECT(AU$3&amp;(ROW()))))</f>
        <v>1465</v>
      </c>
      <c r="AV67" s="1947">
        <f ca="1">SUM(INDIRECT(AV$1&amp;AV$2&amp;$C67):INDIRECT(AV$1&amp;AV$3&amp;$C67))</f>
        <v>0</v>
      </c>
      <c r="AW67" s="2719">
        <f t="shared" ca="1" si="108"/>
        <v>1465</v>
      </c>
      <c r="AX67" s="2720">
        <f t="shared" ca="1" si="109"/>
        <v>0</v>
      </c>
      <c r="AY67" s="1947">
        <f ca="1">SUM(INDIRECT(AY$1&amp;AY$2&amp;$A67):INDIRECT(AY$1&amp;AY$3&amp;$A67))+SUM(INDIRECT(AY$1&amp;AY$2&amp;$B67):INDIRECT(AY$1&amp;AY$3&amp;$B67))</f>
        <v>9951</v>
      </c>
      <c r="AZ67" s="2719">
        <f t="shared" ca="1" si="110"/>
        <v>-8486</v>
      </c>
      <c r="BA67" s="2720">
        <f t="shared" ca="1" si="111"/>
        <v>0.14722138478544869</v>
      </c>
      <c r="BC67" s="1948">
        <f ca="1">SUM((INDIRECT(BC$2&amp;(ROW())):INDIRECT(BC$3&amp;(ROW()))))</f>
        <v>1465</v>
      </c>
      <c r="BD67" s="1947">
        <f ca="1">SUM(INDIRECT(BD$1&amp;BD$2&amp;$C67):INDIRECT(BD$1&amp;BD$3&amp;$C67))</f>
        <v>0</v>
      </c>
      <c r="BE67" s="2719">
        <f t="shared" ca="1" si="112"/>
        <v>1465</v>
      </c>
      <c r="BF67" s="2720">
        <f t="shared" ca="1" si="113"/>
        <v>0</v>
      </c>
      <c r="BG67" s="1947">
        <f ca="1">SUM(INDIRECT(BG$1&amp;BG$2&amp;$A67):INDIRECT(BG$1&amp;BG$3&amp;$A67))+SUM(INDIRECT(BG$1&amp;BG$2&amp;$B67):INDIRECT(BG$1&amp;BG$3&amp;$B67))</f>
        <v>9951</v>
      </c>
      <c r="BH67" s="2719">
        <f t="shared" ca="1" si="114"/>
        <v>-8486</v>
      </c>
      <c r="BI67" s="2720">
        <f t="shared" ca="1" si="115"/>
        <v>0.14722138478544869</v>
      </c>
    </row>
    <row r="68" spans="1:61" ht="14.5">
      <c r="A68" s="1693">
        <f t="shared" si="16"/>
        <v>68</v>
      </c>
      <c r="B68" s="616">
        <v>1</v>
      </c>
      <c r="C68" s="1693">
        <f t="shared" si="12"/>
        <v>68</v>
      </c>
      <c r="D68" s="616">
        <v>1</v>
      </c>
      <c r="E68" s="709" t="s">
        <v>512</v>
      </c>
      <c r="F68" s="69"/>
      <c r="J68" s="128" t="s">
        <v>110</v>
      </c>
      <c r="K68" s="20"/>
      <c r="L68" s="19"/>
      <c r="M68" s="19"/>
      <c r="N68" s="20"/>
      <c r="O68" s="20"/>
      <c r="P68" s="20"/>
      <c r="Q68" s="233"/>
      <c r="R68" s="1777" t="str">
        <f>CHOOSE(2, "6722000002987", "BO,OE Other Expense")</f>
        <v>BO,OE Other Expense</v>
      </c>
      <c r="S68" s="1551">
        <f>S27</f>
        <v>0</v>
      </c>
      <c r="T68" s="1551">
        <f t="shared" ref="T68:AD68" si="118">T27</f>
        <v>0</v>
      </c>
      <c r="U68" s="1551">
        <f t="shared" si="118"/>
        <v>0</v>
      </c>
      <c r="V68" s="1551">
        <f t="shared" si="118"/>
        <v>0</v>
      </c>
      <c r="W68" s="1551">
        <f t="shared" si="118"/>
        <v>0</v>
      </c>
      <c r="X68" s="1551">
        <f t="shared" si="118"/>
        <v>0</v>
      </c>
      <c r="Y68" s="1551">
        <f t="shared" si="118"/>
        <v>0</v>
      </c>
      <c r="Z68" s="1551">
        <f t="shared" si="118"/>
        <v>0</v>
      </c>
      <c r="AA68" s="1551">
        <f t="shared" si="118"/>
        <v>0</v>
      </c>
      <c r="AB68" s="1551">
        <f t="shared" si="118"/>
        <v>0</v>
      </c>
      <c r="AC68" s="1551">
        <f t="shared" si="118"/>
        <v>0</v>
      </c>
      <c r="AD68" s="1551">
        <f t="shared" si="118"/>
        <v>0</v>
      </c>
      <c r="AE68" s="1603">
        <f t="shared" ref="AE68:AK68" si="119">AE27</f>
        <v>0</v>
      </c>
      <c r="AF68" s="1604">
        <f t="shared" si="119"/>
        <v>0</v>
      </c>
      <c r="AG68" s="1604">
        <f t="shared" si="119"/>
        <v>0</v>
      </c>
      <c r="AH68" s="1604">
        <f t="shared" si="119"/>
        <v>0</v>
      </c>
      <c r="AI68" s="1604">
        <f t="shared" si="119"/>
        <v>0</v>
      </c>
      <c r="AJ68" s="1604">
        <f t="shared" si="119"/>
        <v>0</v>
      </c>
      <c r="AK68" s="1607">
        <f t="shared" si="119"/>
        <v>0</v>
      </c>
      <c r="AM68" s="2560">
        <f ca="1">SUM((INDIRECT(AM$2&amp;(ROW())):INDIRECT(AM$3&amp;(ROW()))))</f>
        <v>0</v>
      </c>
      <c r="AN68" s="2561">
        <f ca="1">SUM(INDIRECT(AN$1&amp;AN$2&amp;$C68):INDIRECT(AN$1&amp;AN$3&amp;$C68))</f>
        <v>0</v>
      </c>
      <c r="AO68" s="2717">
        <f t="shared" ca="1" si="104"/>
        <v>0</v>
      </c>
      <c r="AP68" s="2718">
        <f t="shared" ca="1" si="105"/>
        <v>0</v>
      </c>
      <c r="AQ68" s="2561">
        <f ca="1">SUM(INDIRECT(AQ$1&amp;AQ$2&amp;$A68):INDIRECT(AQ$1&amp;AQ$3&amp;$A68))+SUM(INDIRECT(AQ$1&amp;AQ$2&amp;$B68):INDIRECT(AQ$1&amp;AQ$3&amp;$B68))</f>
        <v>0</v>
      </c>
      <c r="AR68" s="2717">
        <f t="shared" ca="1" si="106"/>
        <v>0</v>
      </c>
      <c r="AS68" s="2718">
        <f t="shared" ca="1" si="107"/>
        <v>0</v>
      </c>
      <c r="AU68" s="2560">
        <f ca="1">SUM((INDIRECT(AU$2&amp;(ROW())):INDIRECT(AU$3&amp;(ROW()))))</f>
        <v>0</v>
      </c>
      <c r="AV68" s="2561">
        <f ca="1">SUM(INDIRECT(AV$1&amp;AV$2&amp;$C68):INDIRECT(AV$1&amp;AV$3&amp;$C68))</f>
        <v>0</v>
      </c>
      <c r="AW68" s="2717">
        <f t="shared" ca="1" si="108"/>
        <v>0</v>
      </c>
      <c r="AX68" s="2718">
        <f t="shared" ca="1" si="109"/>
        <v>0</v>
      </c>
      <c r="AY68" s="2561">
        <f ca="1">SUM(INDIRECT(AY$1&amp;AY$2&amp;$A68):INDIRECT(AY$1&amp;AY$3&amp;$A68))+SUM(INDIRECT(AY$1&amp;AY$2&amp;$B68):INDIRECT(AY$1&amp;AY$3&amp;$B68))</f>
        <v>0</v>
      </c>
      <c r="AZ68" s="2717">
        <f t="shared" ca="1" si="110"/>
        <v>0</v>
      </c>
      <c r="BA68" s="2718">
        <f t="shared" ca="1" si="111"/>
        <v>0</v>
      </c>
      <c r="BC68" s="2560">
        <f ca="1">SUM((INDIRECT(BC$2&amp;(ROW())):INDIRECT(BC$3&amp;(ROW()))))</f>
        <v>0</v>
      </c>
      <c r="BD68" s="2561">
        <f ca="1">SUM(INDIRECT(BD$1&amp;BD$2&amp;$C68):INDIRECT(BD$1&amp;BD$3&amp;$C68))</f>
        <v>0</v>
      </c>
      <c r="BE68" s="2717">
        <f t="shared" ca="1" si="112"/>
        <v>0</v>
      </c>
      <c r="BF68" s="2718">
        <f t="shared" ca="1" si="113"/>
        <v>0</v>
      </c>
      <c r="BG68" s="2561">
        <f ca="1">SUM(INDIRECT(BG$1&amp;BG$2&amp;$A68):INDIRECT(BG$1&amp;BG$3&amp;$A68))+SUM(INDIRECT(BG$1&amp;BG$2&amp;$B68):INDIRECT(BG$1&amp;BG$3&amp;$B68))</f>
        <v>0</v>
      </c>
      <c r="BH68" s="2717">
        <f t="shared" ca="1" si="114"/>
        <v>0</v>
      </c>
      <c r="BI68" s="2718">
        <f t="shared" ca="1" si="115"/>
        <v>0</v>
      </c>
    </row>
    <row r="69" spans="1:61" ht="14.5">
      <c r="A69" s="1693">
        <f t="shared" si="16"/>
        <v>69</v>
      </c>
      <c r="B69" s="616">
        <v>1</v>
      </c>
      <c r="C69" s="1693">
        <f t="shared" si="12"/>
        <v>69</v>
      </c>
      <c r="D69" s="616">
        <v>1</v>
      </c>
      <c r="E69" s="709" t="s">
        <v>512</v>
      </c>
      <c r="F69" s="69"/>
      <c r="J69" s="127"/>
      <c r="K69" s="8" t="s">
        <v>111</v>
      </c>
      <c r="R69" s="1781" t="str">
        <f>CHOOSE(2, "6722000002988", "BO,OE Other Expense LSA, DA")</f>
        <v>BO,OE Other Expense LSA, DA</v>
      </c>
      <c r="S69" s="1281"/>
      <c r="T69" s="1281"/>
      <c r="U69" s="1281"/>
      <c r="V69" s="1281"/>
      <c r="W69" s="1281"/>
      <c r="X69" s="1281"/>
      <c r="Y69" s="1281"/>
      <c r="Z69" s="1281"/>
      <c r="AA69" s="1281"/>
      <c r="AB69" s="1281"/>
      <c r="AC69" s="1281"/>
      <c r="AD69" s="1281"/>
      <c r="AE69" s="125">
        <f>SUM(S69,T69,U69)</f>
        <v>0</v>
      </c>
      <c r="AF69" s="126">
        <f>SUM(V69,W69,X69)</f>
        <v>0</v>
      </c>
      <c r="AG69" s="126">
        <f>SUM(Y69,Z69,AA69)</f>
        <v>0</v>
      </c>
      <c r="AH69" s="126">
        <f>SUM(AB69,AC69,AD69)</f>
        <v>0</v>
      </c>
      <c r="AI69" s="126">
        <f>AE69+AF69</f>
        <v>0</v>
      </c>
      <c r="AJ69" s="126">
        <f>AH69+AG69</f>
        <v>0</v>
      </c>
      <c r="AK69" s="125">
        <f>AI69+AJ69</f>
        <v>0</v>
      </c>
      <c r="AM69" s="1948">
        <f ca="1">SUM((INDIRECT(AM$2&amp;(ROW())):INDIRECT(AM$3&amp;(ROW()))))</f>
        <v>0</v>
      </c>
      <c r="AN69" s="1947">
        <f ca="1">SUM(INDIRECT(AN$1&amp;AN$2&amp;$C69):INDIRECT(AN$1&amp;AN$3&amp;$C69))</f>
        <v>0</v>
      </c>
      <c r="AO69" s="2719">
        <f t="shared" ca="1" si="104"/>
        <v>0</v>
      </c>
      <c r="AP69" s="2720">
        <f t="shared" ca="1" si="105"/>
        <v>0</v>
      </c>
      <c r="AQ69" s="1947">
        <f ca="1">SUM(INDIRECT(AQ$1&amp;AQ$2&amp;$A69):INDIRECT(AQ$1&amp;AQ$3&amp;$A69))+SUM(INDIRECT(AQ$1&amp;AQ$2&amp;$B69):INDIRECT(AQ$1&amp;AQ$3&amp;$B69))</f>
        <v>0</v>
      </c>
      <c r="AR69" s="2719">
        <f t="shared" ca="1" si="106"/>
        <v>0</v>
      </c>
      <c r="AS69" s="2720">
        <f t="shared" ca="1" si="107"/>
        <v>0</v>
      </c>
      <c r="AU69" s="1948">
        <f ca="1">SUM((INDIRECT(AU$2&amp;(ROW())):INDIRECT(AU$3&amp;(ROW()))))</f>
        <v>0</v>
      </c>
      <c r="AV69" s="1947">
        <f ca="1">SUM(INDIRECT(AV$1&amp;AV$2&amp;$C69):INDIRECT(AV$1&amp;AV$3&amp;$C69))</f>
        <v>0</v>
      </c>
      <c r="AW69" s="2719">
        <f t="shared" ca="1" si="108"/>
        <v>0</v>
      </c>
      <c r="AX69" s="2720">
        <f t="shared" ca="1" si="109"/>
        <v>0</v>
      </c>
      <c r="AY69" s="1947">
        <f ca="1">SUM(INDIRECT(AY$1&amp;AY$2&amp;$A69):INDIRECT(AY$1&amp;AY$3&amp;$A69))+SUM(INDIRECT(AY$1&amp;AY$2&amp;$B69):INDIRECT(AY$1&amp;AY$3&amp;$B69))</f>
        <v>0</v>
      </c>
      <c r="AZ69" s="2719">
        <f t="shared" ca="1" si="110"/>
        <v>0</v>
      </c>
      <c r="BA69" s="2720">
        <f t="shared" ca="1" si="111"/>
        <v>0</v>
      </c>
      <c r="BC69" s="1948">
        <f ca="1">SUM((INDIRECT(BC$2&amp;(ROW())):INDIRECT(BC$3&amp;(ROW()))))</f>
        <v>0</v>
      </c>
      <c r="BD69" s="1947">
        <f ca="1">SUM(INDIRECT(BD$1&amp;BD$2&amp;$C69):INDIRECT(BD$1&amp;BD$3&amp;$C69))</f>
        <v>0</v>
      </c>
      <c r="BE69" s="2719">
        <f t="shared" ca="1" si="112"/>
        <v>0</v>
      </c>
      <c r="BF69" s="2720">
        <f t="shared" ca="1" si="113"/>
        <v>0</v>
      </c>
      <c r="BG69" s="1947">
        <f ca="1">SUM(INDIRECT(BG$1&amp;BG$2&amp;$A69):INDIRECT(BG$1&amp;BG$3&amp;$A69))+SUM(INDIRECT(BG$1&amp;BG$2&amp;$B69):INDIRECT(BG$1&amp;BG$3&amp;$B69))</f>
        <v>0</v>
      </c>
      <c r="BH69" s="2719">
        <f t="shared" ca="1" si="114"/>
        <v>0</v>
      </c>
      <c r="BI69" s="2720">
        <f t="shared" ca="1" si="115"/>
        <v>0</v>
      </c>
    </row>
    <row r="70" spans="1:61" ht="14.5">
      <c r="A70" s="1693">
        <f t="shared" si="16"/>
        <v>70</v>
      </c>
      <c r="B70" s="616">
        <v>1</v>
      </c>
      <c r="C70" s="1693">
        <f t="shared" si="12"/>
        <v>70</v>
      </c>
      <c r="D70" s="616">
        <v>1</v>
      </c>
      <c r="E70" s="709" t="s">
        <v>512</v>
      </c>
      <c r="F70" s="69"/>
      <c r="J70" s="127"/>
      <c r="K70" s="8" t="s">
        <v>112</v>
      </c>
      <c r="R70" s="1781" t="str">
        <f>CHOOSE(2, "6722000002989", "BO,OE Other Expense Impairment Loss")</f>
        <v>BO,OE Other Expense Impairment Loss</v>
      </c>
      <c r="S70" s="1281"/>
      <c r="T70" s="1281"/>
      <c r="U70" s="1281"/>
      <c r="V70" s="1281"/>
      <c r="W70" s="1281"/>
      <c r="X70" s="1281"/>
      <c r="Y70" s="1281"/>
      <c r="Z70" s="1281"/>
      <c r="AA70" s="1281"/>
      <c r="AB70" s="1281"/>
      <c r="AC70" s="1281"/>
      <c r="AD70" s="1281"/>
      <c r="AE70" s="125">
        <f>SUM(S70,T70,U70)</f>
        <v>0</v>
      </c>
      <c r="AF70" s="126">
        <f>SUM(V70,W70,X70)</f>
        <v>0</v>
      </c>
      <c r="AG70" s="126">
        <f>SUM(Y70,Z70,AA70)</f>
        <v>0</v>
      </c>
      <c r="AH70" s="126">
        <f>SUM(AB70,AC70,AD70)</f>
        <v>0</v>
      </c>
      <c r="AI70" s="126">
        <f>AE70+AF70</f>
        <v>0</v>
      </c>
      <c r="AJ70" s="126">
        <f>AH70+AG70</f>
        <v>0</v>
      </c>
      <c r="AK70" s="125">
        <f>AI70+AJ70</f>
        <v>0</v>
      </c>
      <c r="AM70" s="1948">
        <f ca="1">SUM((INDIRECT(AM$2&amp;(ROW())):INDIRECT(AM$3&amp;(ROW()))))</f>
        <v>0</v>
      </c>
      <c r="AN70" s="1947">
        <f ca="1">SUM(INDIRECT(AN$1&amp;AN$2&amp;$C70):INDIRECT(AN$1&amp;AN$3&amp;$C70))</f>
        <v>0</v>
      </c>
      <c r="AO70" s="2719">
        <f t="shared" ca="1" si="104"/>
        <v>0</v>
      </c>
      <c r="AP70" s="2720">
        <f t="shared" ca="1" si="105"/>
        <v>0</v>
      </c>
      <c r="AQ70" s="1947">
        <f ca="1">SUM(INDIRECT(AQ$1&amp;AQ$2&amp;$A70):INDIRECT(AQ$1&amp;AQ$3&amp;$A70))+SUM(INDIRECT(AQ$1&amp;AQ$2&amp;$B70):INDIRECT(AQ$1&amp;AQ$3&amp;$B70))</f>
        <v>0</v>
      </c>
      <c r="AR70" s="2719">
        <f t="shared" ca="1" si="106"/>
        <v>0</v>
      </c>
      <c r="AS70" s="2720">
        <f t="shared" ca="1" si="107"/>
        <v>0</v>
      </c>
      <c r="AU70" s="1948">
        <f ca="1">SUM((INDIRECT(AU$2&amp;(ROW())):INDIRECT(AU$3&amp;(ROW()))))</f>
        <v>0</v>
      </c>
      <c r="AV70" s="1947">
        <f ca="1">SUM(INDIRECT(AV$1&amp;AV$2&amp;$C70):INDIRECT(AV$1&amp;AV$3&amp;$C70))</f>
        <v>0</v>
      </c>
      <c r="AW70" s="2719">
        <f t="shared" ca="1" si="108"/>
        <v>0</v>
      </c>
      <c r="AX70" s="2720">
        <f t="shared" ca="1" si="109"/>
        <v>0</v>
      </c>
      <c r="AY70" s="1947">
        <f ca="1">SUM(INDIRECT(AY$1&amp;AY$2&amp;$A70):INDIRECT(AY$1&amp;AY$3&amp;$A70))+SUM(INDIRECT(AY$1&amp;AY$2&amp;$B70):INDIRECT(AY$1&amp;AY$3&amp;$B70))</f>
        <v>0</v>
      </c>
      <c r="AZ70" s="2719">
        <f t="shared" ca="1" si="110"/>
        <v>0</v>
      </c>
      <c r="BA70" s="2720">
        <f t="shared" ca="1" si="111"/>
        <v>0</v>
      </c>
      <c r="BC70" s="1948">
        <f ca="1">SUM((INDIRECT(BC$2&amp;(ROW())):INDIRECT(BC$3&amp;(ROW()))))</f>
        <v>0</v>
      </c>
      <c r="BD70" s="1947">
        <f ca="1">SUM(INDIRECT(BD$1&amp;BD$2&amp;$C70):INDIRECT(BD$1&amp;BD$3&amp;$C70))</f>
        <v>0</v>
      </c>
      <c r="BE70" s="2719">
        <f t="shared" ca="1" si="112"/>
        <v>0</v>
      </c>
      <c r="BF70" s="2720">
        <f t="shared" ca="1" si="113"/>
        <v>0</v>
      </c>
      <c r="BG70" s="1947">
        <f ca="1">SUM(INDIRECT(BG$1&amp;BG$2&amp;$A70):INDIRECT(BG$1&amp;BG$3&amp;$A70))+SUM(INDIRECT(BG$1&amp;BG$2&amp;$B70):INDIRECT(BG$1&amp;BG$3&amp;$B70))</f>
        <v>0</v>
      </c>
      <c r="BH70" s="2719">
        <f t="shared" ca="1" si="114"/>
        <v>0</v>
      </c>
      <c r="BI70" s="2720">
        <f t="shared" ca="1" si="115"/>
        <v>0</v>
      </c>
    </row>
    <row r="71" spans="1:61" ht="14.5">
      <c r="A71" s="1693">
        <f t="shared" si="16"/>
        <v>71</v>
      </c>
      <c r="B71" s="616">
        <v>1</v>
      </c>
      <c r="C71" s="1693">
        <f t="shared" si="12"/>
        <v>71</v>
      </c>
      <c r="D71" s="616">
        <v>1</v>
      </c>
      <c r="E71" s="709" t="s">
        <v>512</v>
      </c>
      <c r="F71" s="69"/>
      <c r="J71" s="127"/>
      <c r="K71" s="8" t="s">
        <v>186</v>
      </c>
      <c r="R71" s="1781" t="str">
        <f>CHOOSE(2, "6722000002990", "BO,OE Other Expense Restructuring Expense")</f>
        <v>BO,OE Other Expense Restructuring Expense</v>
      </c>
      <c r="S71" s="1281"/>
      <c r="T71" s="1281"/>
      <c r="U71" s="1281"/>
      <c r="V71" s="1281"/>
      <c r="W71" s="1281"/>
      <c r="X71" s="1281"/>
      <c r="Y71" s="1281"/>
      <c r="Z71" s="1281"/>
      <c r="AA71" s="1281"/>
      <c r="AB71" s="1281"/>
      <c r="AC71" s="1281"/>
      <c r="AD71" s="1281"/>
      <c r="AE71" s="125">
        <f>SUM(S71,T71,U71)</f>
        <v>0</v>
      </c>
      <c r="AF71" s="126">
        <f>SUM(V71,W71,X71)</f>
        <v>0</v>
      </c>
      <c r="AG71" s="126">
        <f>SUM(Y71,Z71,AA71)</f>
        <v>0</v>
      </c>
      <c r="AH71" s="126">
        <f>SUM(AB71,AC71,AD71)</f>
        <v>0</v>
      </c>
      <c r="AI71" s="126">
        <f>AE71+AF71</f>
        <v>0</v>
      </c>
      <c r="AJ71" s="126">
        <f>AH71+AG71</f>
        <v>0</v>
      </c>
      <c r="AK71" s="125">
        <f>AI71+AJ71</f>
        <v>0</v>
      </c>
      <c r="AM71" s="1948">
        <f ca="1">SUM((INDIRECT(AM$2&amp;(ROW())):INDIRECT(AM$3&amp;(ROW()))))</f>
        <v>0</v>
      </c>
      <c r="AN71" s="1947">
        <f ca="1">SUM(INDIRECT(AN$1&amp;AN$2&amp;$C71):INDIRECT(AN$1&amp;AN$3&amp;$C71))</f>
        <v>0</v>
      </c>
      <c r="AO71" s="2719">
        <f t="shared" ca="1" si="104"/>
        <v>0</v>
      </c>
      <c r="AP71" s="2720">
        <f t="shared" ca="1" si="105"/>
        <v>0</v>
      </c>
      <c r="AQ71" s="1947">
        <f ca="1">SUM(INDIRECT(AQ$1&amp;AQ$2&amp;$A71):INDIRECT(AQ$1&amp;AQ$3&amp;$A71))+SUM(INDIRECT(AQ$1&amp;AQ$2&amp;$B71):INDIRECT(AQ$1&amp;AQ$3&amp;$B71))</f>
        <v>0</v>
      </c>
      <c r="AR71" s="2719">
        <f t="shared" ca="1" si="106"/>
        <v>0</v>
      </c>
      <c r="AS71" s="2720">
        <f t="shared" ca="1" si="107"/>
        <v>0</v>
      </c>
      <c r="AU71" s="1948">
        <f ca="1">SUM((INDIRECT(AU$2&amp;(ROW())):INDIRECT(AU$3&amp;(ROW()))))</f>
        <v>0</v>
      </c>
      <c r="AV71" s="1947">
        <f ca="1">SUM(INDIRECT(AV$1&amp;AV$2&amp;$C71):INDIRECT(AV$1&amp;AV$3&amp;$C71))</f>
        <v>0</v>
      </c>
      <c r="AW71" s="2719">
        <f t="shared" ca="1" si="108"/>
        <v>0</v>
      </c>
      <c r="AX71" s="2720">
        <f t="shared" ca="1" si="109"/>
        <v>0</v>
      </c>
      <c r="AY71" s="1947">
        <f ca="1">SUM(INDIRECT(AY$1&amp;AY$2&amp;$A71):INDIRECT(AY$1&amp;AY$3&amp;$A71))+SUM(INDIRECT(AY$1&amp;AY$2&amp;$B71):INDIRECT(AY$1&amp;AY$3&amp;$B71))</f>
        <v>0</v>
      </c>
      <c r="AZ71" s="2719">
        <f t="shared" ca="1" si="110"/>
        <v>0</v>
      </c>
      <c r="BA71" s="2720">
        <f t="shared" ca="1" si="111"/>
        <v>0</v>
      </c>
      <c r="BC71" s="1948">
        <f ca="1">SUM((INDIRECT(BC$2&amp;(ROW())):INDIRECT(BC$3&amp;(ROW()))))</f>
        <v>0</v>
      </c>
      <c r="BD71" s="1947">
        <f ca="1">SUM(INDIRECT(BD$1&amp;BD$2&amp;$C71):INDIRECT(BD$1&amp;BD$3&amp;$C71))</f>
        <v>0</v>
      </c>
      <c r="BE71" s="2719">
        <f t="shared" ca="1" si="112"/>
        <v>0</v>
      </c>
      <c r="BF71" s="2720">
        <f t="shared" ca="1" si="113"/>
        <v>0</v>
      </c>
      <c r="BG71" s="1947">
        <f ca="1">SUM(INDIRECT(BG$1&amp;BG$2&amp;$A71):INDIRECT(BG$1&amp;BG$3&amp;$A71))+SUM(INDIRECT(BG$1&amp;BG$2&amp;$B71):INDIRECT(BG$1&amp;BG$3&amp;$B71))</f>
        <v>0</v>
      </c>
      <c r="BH71" s="2719">
        <f t="shared" ca="1" si="114"/>
        <v>0</v>
      </c>
      <c r="BI71" s="2720">
        <f t="shared" ca="1" si="115"/>
        <v>0</v>
      </c>
    </row>
    <row r="72" spans="1:61" ht="14.5">
      <c r="A72" s="1693">
        <f t="shared" si="16"/>
        <v>72</v>
      </c>
      <c r="B72" s="616">
        <v>1</v>
      </c>
      <c r="C72" s="1693">
        <f t="shared" si="12"/>
        <v>72</v>
      </c>
      <c r="D72" s="616">
        <v>1</v>
      </c>
      <c r="E72" s="709" t="s">
        <v>512</v>
      </c>
      <c r="F72" s="69"/>
      <c r="G72" s="8"/>
      <c r="J72" s="127"/>
      <c r="K72" s="8" t="s">
        <v>566</v>
      </c>
      <c r="R72" s="1781" t="str">
        <f>CHOOSE(2, "6722000002991", "BO,OE Other Expense Expense for layoff benefit")</f>
        <v>BO,OE Other Expense Expense for layoff benefit</v>
      </c>
      <c r="S72" s="1281"/>
      <c r="T72" s="1281"/>
      <c r="U72" s="1281"/>
      <c r="V72" s="1281"/>
      <c r="W72" s="1281"/>
      <c r="X72" s="1281"/>
      <c r="Y72" s="1281"/>
      <c r="Z72" s="1281"/>
      <c r="AA72" s="1281"/>
      <c r="AB72" s="1281"/>
      <c r="AC72" s="1281"/>
      <c r="AD72" s="1281"/>
      <c r="AE72" s="125">
        <f>SUM(S72,T72,U72)</f>
        <v>0</v>
      </c>
      <c r="AF72" s="126">
        <f>SUM(V72,W72,X72)</f>
        <v>0</v>
      </c>
      <c r="AG72" s="126">
        <f>SUM(Y72,Z72,AA72)</f>
        <v>0</v>
      </c>
      <c r="AH72" s="126">
        <f>SUM(AB72,AC72,AD72)</f>
        <v>0</v>
      </c>
      <c r="AI72" s="126">
        <f>AE72+AF72</f>
        <v>0</v>
      </c>
      <c r="AJ72" s="126">
        <f>AH72+AG72</f>
        <v>0</v>
      </c>
      <c r="AK72" s="125">
        <f>AI72+AJ72</f>
        <v>0</v>
      </c>
      <c r="AM72" s="1948">
        <f ca="1">SUM((INDIRECT(AM$2&amp;(ROW())):INDIRECT(AM$3&amp;(ROW()))))</f>
        <v>0</v>
      </c>
      <c r="AN72" s="1947">
        <f ca="1">SUM(INDIRECT(AN$1&amp;AN$2&amp;$C72):INDIRECT(AN$1&amp;AN$3&amp;$C72))</f>
        <v>0</v>
      </c>
      <c r="AO72" s="2719">
        <f t="shared" ca="1" si="104"/>
        <v>0</v>
      </c>
      <c r="AP72" s="2720">
        <f t="shared" ca="1" si="105"/>
        <v>0</v>
      </c>
      <c r="AQ72" s="1947">
        <f ca="1">SUM(INDIRECT(AQ$1&amp;AQ$2&amp;$A72):INDIRECT(AQ$1&amp;AQ$3&amp;$A72))+SUM(INDIRECT(AQ$1&amp;AQ$2&amp;$B72):INDIRECT(AQ$1&amp;AQ$3&amp;$B72))</f>
        <v>0</v>
      </c>
      <c r="AR72" s="2719">
        <f t="shared" ca="1" si="106"/>
        <v>0</v>
      </c>
      <c r="AS72" s="2720">
        <f t="shared" ca="1" si="107"/>
        <v>0</v>
      </c>
      <c r="AU72" s="1948">
        <f ca="1">SUM((INDIRECT(AU$2&amp;(ROW())):INDIRECT(AU$3&amp;(ROW()))))</f>
        <v>0</v>
      </c>
      <c r="AV72" s="1947">
        <f ca="1">SUM(INDIRECT(AV$1&amp;AV$2&amp;$C72):INDIRECT(AV$1&amp;AV$3&amp;$C72))</f>
        <v>0</v>
      </c>
      <c r="AW72" s="2719">
        <f t="shared" ca="1" si="108"/>
        <v>0</v>
      </c>
      <c r="AX72" s="2720">
        <f t="shared" ca="1" si="109"/>
        <v>0</v>
      </c>
      <c r="AY72" s="1947">
        <f ca="1">SUM(INDIRECT(AY$1&amp;AY$2&amp;$A72):INDIRECT(AY$1&amp;AY$3&amp;$A72))+SUM(INDIRECT(AY$1&amp;AY$2&amp;$B72):INDIRECT(AY$1&amp;AY$3&amp;$B72))</f>
        <v>0</v>
      </c>
      <c r="AZ72" s="2719">
        <f t="shared" ca="1" si="110"/>
        <v>0</v>
      </c>
      <c r="BA72" s="2720">
        <f t="shared" ca="1" si="111"/>
        <v>0</v>
      </c>
      <c r="BC72" s="1948">
        <f ca="1">SUM((INDIRECT(BC$2&amp;(ROW())):INDIRECT(BC$3&amp;(ROW()))))</f>
        <v>0</v>
      </c>
      <c r="BD72" s="1947">
        <f ca="1">SUM(INDIRECT(BD$1&amp;BD$2&amp;$C72):INDIRECT(BD$1&amp;BD$3&amp;$C72))</f>
        <v>0</v>
      </c>
      <c r="BE72" s="2719">
        <f t="shared" ca="1" si="112"/>
        <v>0</v>
      </c>
      <c r="BF72" s="2720">
        <f t="shared" ca="1" si="113"/>
        <v>0</v>
      </c>
      <c r="BG72" s="1947">
        <f ca="1">SUM(INDIRECT(BG$1&amp;BG$2&amp;$A72):INDIRECT(BG$1&amp;BG$3&amp;$A72))+SUM(INDIRECT(BG$1&amp;BG$2&amp;$B72):INDIRECT(BG$1&amp;BG$3&amp;$B72))</f>
        <v>0</v>
      </c>
      <c r="BH72" s="2719">
        <f t="shared" ca="1" si="114"/>
        <v>0</v>
      </c>
      <c r="BI72" s="2720">
        <f t="shared" ca="1" si="115"/>
        <v>0</v>
      </c>
    </row>
    <row r="73" spans="1:61" ht="14.5">
      <c r="A73" s="1693">
        <f t="shared" si="16"/>
        <v>73</v>
      </c>
      <c r="B73" s="616">
        <v>1</v>
      </c>
      <c r="C73" s="1693">
        <f t="shared" si="12"/>
        <v>73</v>
      </c>
      <c r="D73" s="616">
        <v>1</v>
      </c>
      <c r="E73" s="709" t="s">
        <v>512</v>
      </c>
      <c r="F73" s="69"/>
      <c r="J73" s="124"/>
      <c r="K73" s="11" t="s">
        <v>110</v>
      </c>
      <c r="L73" s="16"/>
      <c r="M73" s="16"/>
      <c r="N73" s="11"/>
      <c r="O73" s="11"/>
      <c r="P73" s="11"/>
      <c r="Q73" s="11"/>
      <c r="R73" s="1782" t="str">
        <f>CHOOSE(2, "6722000002992", "BO,OE Other Expense Other Expense")</f>
        <v>BO,OE Other Expense Other Expense</v>
      </c>
      <c r="S73" s="1228">
        <f>S68-SUM(S69:S72)</f>
        <v>0</v>
      </c>
      <c r="T73" s="1228">
        <f t="shared" ref="T73:AD73" si="120">T68-SUM(T69:T72)</f>
        <v>0</v>
      </c>
      <c r="U73" s="1228">
        <f t="shared" si="120"/>
        <v>0</v>
      </c>
      <c r="V73" s="1228">
        <f t="shared" si="120"/>
        <v>0</v>
      </c>
      <c r="W73" s="1228">
        <f t="shared" si="120"/>
        <v>0</v>
      </c>
      <c r="X73" s="1228">
        <f t="shared" si="120"/>
        <v>0</v>
      </c>
      <c r="Y73" s="1228">
        <f t="shared" si="120"/>
        <v>0</v>
      </c>
      <c r="Z73" s="1228">
        <f t="shared" si="120"/>
        <v>0</v>
      </c>
      <c r="AA73" s="1228">
        <f t="shared" si="120"/>
        <v>0</v>
      </c>
      <c r="AB73" s="1228">
        <f t="shared" si="120"/>
        <v>0</v>
      </c>
      <c r="AC73" s="1228">
        <f t="shared" si="120"/>
        <v>0</v>
      </c>
      <c r="AD73" s="1228">
        <f t="shared" si="120"/>
        <v>0</v>
      </c>
      <c r="AE73" s="122">
        <f t="shared" ref="AE73:AK73" si="121">AE68-SUM(AE69:AE72)</f>
        <v>0</v>
      </c>
      <c r="AF73" s="123">
        <f t="shared" si="121"/>
        <v>0</v>
      </c>
      <c r="AG73" s="123">
        <f t="shared" si="121"/>
        <v>0</v>
      </c>
      <c r="AH73" s="123">
        <f t="shared" si="121"/>
        <v>0</v>
      </c>
      <c r="AI73" s="123">
        <f t="shared" si="121"/>
        <v>0</v>
      </c>
      <c r="AJ73" s="123">
        <f t="shared" si="121"/>
        <v>0</v>
      </c>
      <c r="AK73" s="122">
        <f t="shared" si="121"/>
        <v>0</v>
      </c>
      <c r="AM73" s="1950">
        <f ca="1">SUM((INDIRECT(AM$2&amp;(ROW())):INDIRECT(AM$3&amp;(ROW()))))</f>
        <v>0</v>
      </c>
      <c r="AN73" s="1949">
        <f ca="1">SUM(INDIRECT(AN$1&amp;AN$2&amp;$C73):INDIRECT(AN$1&amp;AN$3&amp;$C73))</f>
        <v>0</v>
      </c>
      <c r="AO73" s="2721">
        <f t="shared" ca="1" si="104"/>
        <v>0</v>
      </c>
      <c r="AP73" s="2722">
        <f t="shared" ca="1" si="105"/>
        <v>0</v>
      </c>
      <c r="AQ73" s="1949">
        <f ca="1">SUM(INDIRECT(AQ$1&amp;AQ$2&amp;$A73):INDIRECT(AQ$1&amp;AQ$3&amp;$A73))+SUM(INDIRECT(AQ$1&amp;AQ$2&amp;$B73):INDIRECT(AQ$1&amp;AQ$3&amp;$B73))</f>
        <v>0</v>
      </c>
      <c r="AR73" s="2721">
        <f t="shared" ca="1" si="106"/>
        <v>0</v>
      </c>
      <c r="AS73" s="2722">
        <f t="shared" ca="1" si="107"/>
        <v>0</v>
      </c>
      <c r="AU73" s="1950">
        <f ca="1">SUM((INDIRECT(AU$2&amp;(ROW())):INDIRECT(AU$3&amp;(ROW()))))</f>
        <v>0</v>
      </c>
      <c r="AV73" s="1949">
        <f ca="1">SUM(INDIRECT(AV$1&amp;AV$2&amp;$C73):INDIRECT(AV$1&amp;AV$3&amp;$C73))</f>
        <v>0</v>
      </c>
      <c r="AW73" s="2721">
        <f t="shared" ca="1" si="108"/>
        <v>0</v>
      </c>
      <c r="AX73" s="2722">
        <f t="shared" ca="1" si="109"/>
        <v>0</v>
      </c>
      <c r="AY73" s="1949">
        <f ca="1">SUM(INDIRECT(AY$1&amp;AY$2&amp;$A73):INDIRECT(AY$1&amp;AY$3&amp;$A73))+SUM(INDIRECT(AY$1&amp;AY$2&amp;$B73):INDIRECT(AY$1&amp;AY$3&amp;$B73))</f>
        <v>0</v>
      </c>
      <c r="AZ73" s="2721">
        <f t="shared" ca="1" si="110"/>
        <v>0</v>
      </c>
      <c r="BA73" s="2722">
        <f t="shared" ca="1" si="111"/>
        <v>0</v>
      </c>
      <c r="BC73" s="1950">
        <f ca="1">SUM((INDIRECT(BC$2&amp;(ROW())):INDIRECT(BC$3&amp;(ROW()))))</f>
        <v>0</v>
      </c>
      <c r="BD73" s="1949">
        <f ca="1">SUM(INDIRECT(BD$1&amp;BD$2&amp;$C73):INDIRECT(BD$1&amp;BD$3&amp;$C73))</f>
        <v>0</v>
      </c>
      <c r="BE73" s="2721">
        <f t="shared" ca="1" si="112"/>
        <v>0</v>
      </c>
      <c r="BF73" s="2722">
        <f t="shared" ca="1" si="113"/>
        <v>0</v>
      </c>
      <c r="BG73" s="1949">
        <f ca="1">SUM(INDIRECT(BG$1&amp;BG$2&amp;$A73):INDIRECT(BG$1&amp;BG$3&amp;$A73))+SUM(INDIRECT(BG$1&amp;BG$2&amp;$B73):INDIRECT(BG$1&amp;BG$3&amp;$B73))</f>
        <v>0</v>
      </c>
      <c r="BH73" s="2721">
        <f t="shared" ca="1" si="114"/>
        <v>0</v>
      </c>
      <c r="BI73" s="2722">
        <f t="shared" ca="1" si="115"/>
        <v>0</v>
      </c>
    </row>
    <row r="74" spans="1:61" ht="14.5">
      <c r="A74" s="1693">
        <f t="shared" si="16"/>
        <v>74</v>
      </c>
      <c r="B74" s="616">
        <v>1</v>
      </c>
      <c r="C74" s="1693">
        <f t="shared" si="12"/>
        <v>74</v>
      </c>
      <c r="D74" s="616">
        <v>1</v>
      </c>
      <c r="E74" s="709" t="s">
        <v>512</v>
      </c>
      <c r="F74" s="1572"/>
      <c r="K74" s="795"/>
      <c r="R74" s="1772" t="str">
        <f>CHOOSE(2, "6722000002993", "▷ Blank 5")</f>
        <v>▷ Blank 5</v>
      </c>
      <c r="S74" s="1125"/>
      <c r="T74" s="1366"/>
      <c r="U74" s="1366"/>
      <c r="V74" s="1366"/>
      <c r="W74" s="1366"/>
      <c r="X74" s="1366"/>
      <c r="Y74" s="1366"/>
      <c r="Z74" s="1366"/>
      <c r="AA74" s="1366"/>
      <c r="AB74" s="1242"/>
      <c r="AC74" s="1242"/>
      <c r="AD74" s="1242"/>
      <c r="AE74" s="1242"/>
      <c r="AF74" s="1242"/>
      <c r="AG74" s="1242"/>
      <c r="AH74" s="1242"/>
      <c r="AI74" s="1242"/>
      <c r="AJ74" s="1242"/>
      <c r="AK74" s="608"/>
      <c r="AM74" s="2558"/>
      <c r="AN74" s="2558"/>
      <c r="AO74" s="2558"/>
      <c r="AP74" s="2558"/>
      <c r="AQ74" s="2558"/>
      <c r="AR74" s="2558"/>
      <c r="AS74" s="2558"/>
      <c r="AU74" s="2558"/>
      <c r="AV74" s="2558"/>
      <c r="AW74" s="2558"/>
      <c r="AX74" s="2558"/>
      <c r="AY74" s="2558"/>
      <c r="AZ74" s="2558"/>
      <c r="BA74" s="2558"/>
      <c r="BC74" s="2558"/>
      <c r="BD74" s="2558"/>
      <c r="BE74" s="2558"/>
      <c r="BF74" s="2558"/>
      <c r="BG74" s="2558"/>
      <c r="BH74" s="2558"/>
      <c r="BI74" s="2558"/>
    </row>
    <row r="75" spans="1:61" ht="18">
      <c r="A75" s="1693">
        <f t="shared" si="16"/>
        <v>75</v>
      </c>
      <c r="B75" s="616">
        <v>1</v>
      </c>
      <c r="C75" s="1693">
        <f t="shared" si="12"/>
        <v>75</v>
      </c>
      <c r="D75" s="616">
        <v>1</v>
      </c>
      <c r="E75" s="709" t="s">
        <v>512</v>
      </c>
      <c r="F75" s="1572"/>
      <c r="G75" s="241" t="s">
        <v>699</v>
      </c>
      <c r="H75" s="241"/>
      <c r="I75" s="12"/>
      <c r="R75" s="1772" t="str">
        <f>CHOOSE(2, "6722000002994", "2. P/L (2) - Overview by BU")</f>
        <v>2. P/L (2) - Overview by BU</v>
      </c>
      <c r="S75" s="1125"/>
      <c r="T75" s="1366"/>
      <c r="U75" s="1366"/>
      <c r="V75" s="1366"/>
      <c r="W75" s="1366"/>
      <c r="X75" s="1366"/>
      <c r="Y75" s="1366"/>
      <c r="Z75" s="1366"/>
      <c r="AA75" s="1366"/>
      <c r="AB75" s="1366"/>
      <c r="AC75" s="1366"/>
      <c r="AD75" s="1366"/>
      <c r="AE75" s="1366"/>
      <c r="AF75" s="1366"/>
      <c r="AG75" s="1366"/>
      <c r="AH75" s="1366"/>
      <c r="AI75" s="1366"/>
      <c r="AJ75" s="1366"/>
      <c r="AK75" s="1366"/>
      <c r="AM75" s="1210"/>
      <c r="AN75" s="1210"/>
      <c r="AO75" s="1210"/>
      <c r="AP75" s="1210"/>
      <c r="AQ75" s="1210"/>
      <c r="AR75" s="1210"/>
      <c r="AS75" s="1210"/>
      <c r="AU75" s="1210"/>
      <c r="AV75" s="1210"/>
      <c r="AW75" s="1210"/>
      <c r="AX75" s="1210"/>
      <c r="AY75" s="1210"/>
      <c r="AZ75" s="1210"/>
      <c r="BA75" s="1210"/>
      <c r="BC75" s="1210"/>
      <c r="BD75" s="1210"/>
      <c r="BE75" s="1210"/>
      <c r="BF75" s="1210"/>
      <c r="BG75" s="1210"/>
      <c r="BH75" s="1210"/>
      <c r="BI75" s="1210"/>
    </row>
    <row r="76" spans="1:61" ht="15.5">
      <c r="A76" s="1693">
        <f t="shared" si="16"/>
        <v>76</v>
      </c>
      <c r="B76" s="616">
        <v>1</v>
      </c>
      <c r="C76" s="1693">
        <f t="shared" si="12"/>
        <v>76</v>
      </c>
      <c r="D76" s="616">
        <v>1</v>
      </c>
      <c r="E76" s="709" t="s">
        <v>512</v>
      </c>
      <c r="F76" s="1572"/>
      <c r="G76" s="8"/>
      <c r="H76" s="367" t="s">
        <v>225</v>
      </c>
      <c r="J76" s="35"/>
      <c r="K76" s="36"/>
      <c r="L76" s="35"/>
      <c r="M76" s="35"/>
      <c r="N76" s="36"/>
      <c r="O76" s="61"/>
      <c r="P76" s="36"/>
      <c r="Q76" s="36"/>
      <c r="R76" s="1773" t="str">
        <f>CHOOSE(2, "6722000002995", "2-1. P/L Statement by BU")</f>
        <v>2-1. P/L Statement by BU</v>
      </c>
      <c r="S76" s="1608"/>
      <c r="T76" s="1609"/>
      <c r="U76" s="1609"/>
      <c r="V76" s="1609"/>
      <c r="W76" s="1609"/>
      <c r="X76" s="1609"/>
      <c r="Y76" s="1366"/>
      <c r="Z76" s="1366"/>
      <c r="AA76" s="1366"/>
      <c r="AB76" s="1366"/>
      <c r="AC76" s="69"/>
      <c r="AD76" s="69"/>
      <c r="AE76" s="69"/>
      <c r="AF76" s="69"/>
      <c r="AG76" s="69"/>
      <c r="AH76" s="69"/>
      <c r="AI76" s="1610"/>
      <c r="AJ76" s="1610"/>
      <c r="AK76" s="1610"/>
      <c r="AM76" s="163"/>
      <c r="AN76" s="163"/>
      <c r="AO76" s="163"/>
      <c r="AP76" s="163"/>
      <c r="AQ76" s="163"/>
      <c r="AR76" s="163"/>
      <c r="AS76" s="163"/>
      <c r="AU76" s="163"/>
      <c r="AV76" s="163"/>
      <c r="AW76" s="163"/>
      <c r="AX76" s="163"/>
      <c r="AY76" s="163"/>
      <c r="AZ76" s="163"/>
      <c r="BA76" s="163"/>
      <c r="BC76" s="163"/>
      <c r="BD76" s="163"/>
      <c r="BE76" s="163"/>
      <c r="BF76" s="163"/>
      <c r="BG76" s="163"/>
      <c r="BH76" s="163"/>
      <c r="BI76" s="163"/>
    </row>
    <row r="77" spans="1:61" ht="14.5">
      <c r="A77" s="1693">
        <f t="shared" si="16"/>
        <v>77</v>
      </c>
      <c r="B77" s="616">
        <v>1</v>
      </c>
      <c r="C77" s="1693">
        <f t="shared" si="12"/>
        <v>77</v>
      </c>
      <c r="D77" s="616">
        <v>1</v>
      </c>
      <c r="E77" s="709" t="s">
        <v>512</v>
      </c>
      <c r="F77" s="1572"/>
      <c r="G77" s="4"/>
      <c r="H77" s="4"/>
      <c r="I77" s="4" t="s">
        <v>30</v>
      </c>
      <c r="J77" s="4"/>
      <c r="K77" s="3"/>
      <c r="L77" s="4"/>
      <c r="M77" s="3"/>
      <c r="N77" s="3"/>
      <c r="O77" s="3"/>
      <c r="P77" s="3"/>
      <c r="Q77" s="3"/>
      <c r="R77" s="1773" t="str">
        <f>CHOOSE(2, "6722000002996", "PL (1) Office")</f>
        <v>PL (1) Office</v>
      </c>
      <c r="S77" s="1608"/>
      <c r="T77" s="1609"/>
      <c r="U77" s="1609"/>
      <c r="V77" s="1609"/>
      <c r="W77" s="1609"/>
      <c r="X77" s="1609"/>
      <c r="Y77" s="1366"/>
      <c r="Z77" s="1366"/>
      <c r="AA77" s="1366"/>
      <c r="AB77" s="1366"/>
      <c r="AC77" s="1366"/>
      <c r="AD77" s="1366"/>
      <c r="AE77" s="1366"/>
      <c r="AF77" s="1366"/>
      <c r="AG77" s="1366"/>
      <c r="AH77" s="1366"/>
      <c r="AI77" s="1366"/>
      <c r="AJ77" s="1366"/>
      <c r="AK77" s="1366">
        <f>AK79-AK81</f>
        <v>2415903.9528456386</v>
      </c>
      <c r="AM77" s="1210"/>
      <c r="AN77" s="1210"/>
      <c r="AO77" s="1210"/>
      <c r="AP77" s="1210"/>
      <c r="AQ77" s="1210"/>
      <c r="AR77" s="1210"/>
      <c r="AS77" s="1210"/>
      <c r="AU77" s="1210"/>
      <c r="AV77" s="1210"/>
      <c r="AW77" s="1210"/>
      <c r="AX77" s="1210"/>
      <c r="AY77" s="1210"/>
      <c r="AZ77" s="1210"/>
      <c r="BA77" s="1210"/>
      <c r="BC77" s="1210"/>
      <c r="BD77" s="1210"/>
      <c r="BE77" s="1210"/>
      <c r="BF77" s="1210"/>
      <c r="BG77" s="1210"/>
      <c r="BH77" s="1210"/>
      <c r="BI77" s="1210"/>
    </row>
    <row r="78" spans="1:61" ht="14.5">
      <c r="A78" s="1693">
        <f t="shared" si="16"/>
        <v>78</v>
      </c>
      <c r="B78" s="616">
        <v>1</v>
      </c>
      <c r="C78" s="1693">
        <f t="shared" si="12"/>
        <v>78</v>
      </c>
      <c r="D78" s="616">
        <v>1</v>
      </c>
      <c r="E78" s="709" t="s">
        <v>512</v>
      </c>
      <c r="F78" s="1572"/>
      <c r="G78" s="12"/>
      <c r="H78" s="81"/>
      <c r="I78" s="12"/>
      <c r="J78" s="971"/>
      <c r="K78" s="972"/>
      <c r="L78" s="973"/>
      <c r="M78" s="973"/>
      <c r="N78" s="972"/>
      <c r="O78" s="972"/>
      <c r="P78" s="972"/>
      <c r="Q78" s="974"/>
      <c r="R78" s="1773" t="str">
        <f>CHOOSE(2, "6722000002997", "▷ Blank 6")</f>
        <v>▷ Blank 6</v>
      </c>
      <c r="S78" s="1611">
        <f>S13</f>
        <v>45017</v>
      </c>
      <c r="T78" s="1611">
        <f t="shared" ref="T78:AD78" si="122">T13</f>
        <v>45047</v>
      </c>
      <c r="U78" s="1611">
        <f t="shared" si="122"/>
        <v>45078</v>
      </c>
      <c r="V78" s="1611">
        <f t="shared" si="122"/>
        <v>45108</v>
      </c>
      <c r="W78" s="1611">
        <f t="shared" si="122"/>
        <v>45139</v>
      </c>
      <c r="X78" s="1611">
        <f t="shared" si="122"/>
        <v>45170</v>
      </c>
      <c r="Y78" s="1611">
        <f t="shared" si="122"/>
        <v>45200</v>
      </c>
      <c r="Z78" s="1611">
        <f t="shared" si="122"/>
        <v>45231</v>
      </c>
      <c r="AA78" s="1611">
        <f t="shared" si="122"/>
        <v>45261</v>
      </c>
      <c r="AB78" s="1611">
        <f t="shared" si="122"/>
        <v>45292</v>
      </c>
      <c r="AC78" s="1611">
        <f t="shared" si="122"/>
        <v>45323</v>
      </c>
      <c r="AD78" s="1611">
        <f t="shared" si="122"/>
        <v>45352</v>
      </c>
      <c r="AE78" s="1612" t="str">
        <f t="shared" ref="AE78:AK78" si="123">AE$13</f>
        <v>Q1</v>
      </c>
      <c r="AF78" s="1613" t="str">
        <f t="shared" si="123"/>
        <v>Q2</v>
      </c>
      <c r="AG78" s="1613" t="str">
        <f t="shared" si="123"/>
        <v>Q3</v>
      </c>
      <c r="AH78" s="1613" t="str">
        <f t="shared" si="123"/>
        <v>Q4</v>
      </c>
      <c r="AI78" s="1613" t="str">
        <f t="shared" si="123"/>
        <v>1st H</v>
      </c>
      <c r="AJ78" s="1613" t="str">
        <f t="shared" si="123"/>
        <v>2nd H</v>
      </c>
      <c r="AK78" s="1613" t="str">
        <f t="shared" si="123"/>
        <v>FY23</v>
      </c>
      <c r="AM78" s="2723" t="str">
        <f t="shared" ref="AM78:AS78" si="124">AM$13</f>
        <v>Result</v>
      </c>
      <c r="AN78" s="2724" t="str">
        <f t="shared" si="124"/>
        <v>OP</v>
      </c>
      <c r="AO78" s="2725" t="str">
        <f t="shared" si="124"/>
        <v>vs OP</v>
      </c>
      <c r="AP78" s="2726" t="str">
        <f t="shared" si="124"/>
        <v>%</v>
      </c>
      <c r="AQ78" s="2724" t="str">
        <f t="shared" si="124"/>
        <v>FY22</v>
      </c>
      <c r="AR78" s="2725" t="str">
        <f t="shared" si="124"/>
        <v>vs FY22</v>
      </c>
      <c r="AS78" s="2727" t="str">
        <f t="shared" si="124"/>
        <v>%</v>
      </c>
      <c r="AU78" s="2723" t="str">
        <f t="shared" ref="AU78:BA78" si="125">AU$13</f>
        <v>Result</v>
      </c>
      <c r="AV78" s="2724" t="str">
        <f t="shared" si="125"/>
        <v>OP</v>
      </c>
      <c r="AW78" s="2725" t="str">
        <f t="shared" si="125"/>
        <v>vs OP</v>
      </c>
      <c r="AX78" s="2726" t="str">
        <f t="shared" si="125"/>
        <v>%</v>
      </c>
      <c r="AY78" s="2724" t="str">
        <f t="shared" si="125"/>
        <v>FY22</v>
      </c>
      <c r="AZ78" s="2725" t="str">
        <f t="shared" si="125"/>
        <v>vs FY22</v>
      </c>
      <c r="BA78" s="2727" t="str">
        <f t="shared" si="125"/>
        <v>%</v>
      </c>
      <c r="BC78" s="2723" t="str">
        <f t="shared" ref="BC78:BI78" si="126">BC$13</f>
        <v>Result</v>
      </c>
      <c r="BD78" s="2724" t="str">
        <f t="shared" si="126"/>
        <v>OP</v>
      </c>
      <c r="BE78" s="2725" t="str">
        <f t="shared" si="126"/>
        <v>vs OP</v>
      </c>
      <c r="BF78" s="2726" t="str">
        <f t="shared" si="126"/>
        <v>%</v>
      </c>
      <c r="BG78" s="2724" t="str">
        <f t="shared" si="126"/>
        <v>FY22</v>
      </c>
      <c r="BH78" s="2725" t="str">
        <f t="shared" si="126"/>
        <v>vs FY22</v>
      </c>
      <c r="BI78" s="2727" t="str">
        <f t="shared" si="126"/>
        <v>%</v>
      </c>
    </row>
    <row r="79" spans="1:61" ht="14.5">
      <c r="A79" s="1693">
        <f t="shared" si="16"/>
        <v>79</v>
      </c>
      <c r="B79" s="616">
        <v>1</v>
      </c>
      <c r="C79" s="1693">
        <f t="shared" ref="C79:C142" si="127">C78+1</f>
        <v>79</v>
      </c>
      <c r="D79" s="616">
        <v>1</v>
      </c>
      <c r="E79" s="709" t="s">
        <v>512</v>
      </c>
      <c r="F79" s="1572"/>
      <c r="G79" s="4"/>
      <c r="H79" s="4"/>
      <c r="I79" s="4"/>
      <c r="J79" s="987" t="s">
        <v>0</v>
      </c>
      <c r="K79" s="988"/>
      <c r="L79" s="988"/>
      <c r="M79" s="988"/>
      <c r="N79" s="989"/>
      <c r="O79" s="989"/>
      <c r="P79" s="989"/>
      <c r="Q79" s="1002"/>
      <c r="R79" s="1783" t="str">
        <f>CHOOSE(2, "6722000002998", "PL Net Sales")</f>
        <v>PL Net Sales</v>
      </c>
      <c r="S79" s="1408">
        <f>S102+S143</f>
        <v>282234</v>
      </c>
      <c r="T79" s="1408">
        <f t="shared" ref="T79:AC79" si="128">T102+T143</f>
        <v>305251.20121000003</v>
      </c>
      <c r="U79" s="1408">
        <f t="shared" si="128"/>
        <v>319681.62479999999</v>
      </c>
      <c r="V79" s="1408">
        <f t="shared" si="128"/>
        <v>269779.66502000001</v>
      </c>
      <c r="W79" s="1408">
        <f t="shared" si="128"/>
        <v>303956.91165000002</v>
      </c>
      <c r="X79" s="1408">
        <f t="shared" si="128"/>
        <v>340734.44316000002</v>
      </c>
      <c r="Y79" s="1411">
        <f t="shared" si="128"/>
        <v>251139.65906999999</v>
      </c>
      <c r="Z79" s="1411">
        <f t="shared" si="128"/>
        <v>282806.13997999998</v>
      </c>
      <c r="AA79" s="1411">
        <f t="shared" si="128"/>
        <v>322378.30074999994</v>
      </c>
      <c r="AB79" s="1412">
        <f t="shared" si="128"/>
        <v>308461.61430000002</v>
      </c>
      <c r="AC79" s="1412">
        <f t="shared" si="128"/>
        <v>301585.90937000001</v>
      </c>
      <c r="AD79" s="1412">
        <f>AD102+AD143</f>
        <v>331071.25172999996</v>
      </c>
      <c r="AE79" s="1003">
        <f>SUM(S79,T79,U79)</f>
        <v>907166.82601000008</v>
      </c>
      <c r="AF79" s="1003">
        <f>SUM(V79,W79,X79)</f>
        <v>914471.01983000012</v>
      </c>
      <c r="AG79" s="1003">
        <f>SUM(Y79,Z79,AA79)</f>
        <v>856324.09979999997</v>
      </c>
      <c r="AH79" s="1003">
        <f>SUM(AB79,AC79,AD79)</f>
        <v>941118.77539999993</v>
      </c>
      <c r="AI79" s="1003">
        <f>AE79+AF79</f>
        <v>1821637.8458400001</v>
      </c>
      <c r="AJ79" s="1003">
        <f>AH79+AG79</f>
        <v>1797442.8751999999</v>
      </c>
      <c r="AK79" s="1003">
        <f>AI79+AJ79</f>
        <v>3619080.7210400002</v>
      </c>
      <c r="AM79" s="1962">
        <f t="shared" ref="AM79:AN79" ca="1" si="129">AM102+AM143</f>
        <v>282234</v>
      </c>
      <c r="AN79" s="1962">
        <f t="shared" ca="1" si="129"/>
        <v>250909.45789114243</v>
      </c>
      <c r="AO79" s="2728">
        <f t="shared" ref="AO79:AO99" ca="1" si="130">AM79-AN79</f>
        <v>31324.542108857568</v>
      </c>
      <c r="AP79" s="2729">
        <f t="shared" ref="AP79:AP89" ca="1" si="131">IFERROR(AM79/AN79,0)</f>
        <v>1.1248440069662411</v>
      </c>
      <c r="AQ79" s="1962">
        <f t="shared" ref="AQ79" ca="1" si="132">AQ102+AQ143</f>
        <v>164198</v>
      </c>
      <c r="AR79" s="2728">
        <f t="shared" ref="AR79:AR95" ca="1" si="133">AM79-AQ79</f>
        <v>118036</v>
      </c>
      <c r="AS79" s="2729">
        <f t="shared" ref="AS79:AS89" ca="1" si="134">IFERROR(AM79/AQ79,0)</f>
        <v>1.718863810765052</v>
      </c>
      <c r="AU79" s="1962">
        <f t="shared" ref="AU79:AV79" ca="1" si="135">AU102+AU143</f>
        <v>282234</v>
      </c>
      <c r="AV79" s="1962">
        <f t="shared" ca="1" si="135"/>
        <v>250909.45789114243</v>
      </c>
      <c r="AW79" s="2728">
        <f t="shared" ref="AW79:AW99" ca="1" si="136">AU79-AV79</f>
        <v>31324.542108857568</v>
      </c>
      <c r="AX79" s="2729">
        <f t="shared" ref="AX79:AX89" ca="1" si="137">IFERROR(AU79/AV79,0)</f>
        <v>1.1248440069662411</v>
      </c>
      <c r="AY79" s="1962">
        <f t="shared" ref="AY79" ca="1" si="138">AY102+AY143</f>
        <v>164198</v>
      </c>
      <c r="AZ79" s="2728">
        <f t="shared" ref="AZ79:AZ95" ca="1" si="139">AU79-AY79</f>
        <v>118036</v>
      </c>
      <c r="BA79" s="2729">
        <f t="shared" ref="BA79:BA89" ca="1" si="140">IFERROR(AU79/AY79,0)</f>
        <v>1.718863810765052</v>
      </c>
      <c r="BC79" s="1962">
        <f t="shared" ref="BC79:BD79" ca="1" si="141">BC102+BC143</f>
        <v>282234</v>
      </c>
      <c r="BD79" s="1962">
        <f t="shared" ca="1" si="141"/>
        <v>250909.45789114243</v>
      </c>
      <c r="BE79" s="2728">
        <f t="shared" ref="BE79:BE99" ca="1" si="142">BC79-BD79</f>
        <v>31324.542108857568</v>
      </c>
      <c r="BF79" s="2729">
        <f t="shared" ref="BF79:BF89" ca="1" si="143">IFERROR(BC79/BD79,0)</f>
        <v>1.1248440069662411</v>
      </c>
      <c r="BG79" s="1962">
        <f t="shared" ref="BG79" ca="1" si="144">BG102+BG143</f>
        <v>164198</v>
      </c>
      <c r="BH79" s="2728">
        <f t="shared" ref="BH79:BH95" ca="1" si="145">BC79-BG79</f>
        <v>118036</v>
      </c>
      <c r="BI79" s="2729">
        <f t="shared" ref="BI79:BI89" ca="1" si="146">IFERROR(BC79/BG79,0)</f>
        <v>1.718863810765052</v>
      </c>
    </row>
    <row r="80" spans="1:61" ht="14.5">
      <c r="A80" s="1693">
        <f t="shared" ref="A80:A143" si="147">A79+1</f>
        <v>80</v>
      </c>
      <c r="B80" s="616">
        <v>1</v>
      </c>
      <c r="C80" s="1693">
        <f t="shared" si="127"/>
        <v>80</v>
      </c>
      <c r="D80" s="616">
        <v>1</v>
      </c>
      <c r="E80" s="709" t="s">
        <v>512</v>
      </c>
      <c r="F80" s="1572"/>
      <c r="G80" s="4"/>
      <c r="H80" s="4"/>
      <c r="I80" s="4"/>
      <c r="J80" s="990" t="s">
        <v>48</v>
      </c>
      <c r="K80" s="991"/>
      <c r="L80" s="991"/>
      <c r="M80" s="991"/>
      <c r="N80" s="992"/>
      <c r="O80" s="992"/>
      <c r="P80" s="992"/>
      <c r="Q80" s="1004"/>
      <c r="R80" s="1783" t="str">
        <f>CHOOSE(2, "6722000002999", "PL BT Cons. Sales")</f>
        <v>PL BT Cons. Sales</v>
      </c>
      <c r="S80" s="1409">
        <f>S106+S144</f>
        <v>282234</v>
      </c>
      <c r="T80" s="1409">
        <f t="shared" ref="T80:AD80" si="148">T106+T144</f>
        <v>305251.69621000002</v>
      </c>
      <c r="U80" s="1409">
        <f t="shared" si="148"/>
        <v>319681.62479999999</v>
      </c>
      <c r="V80" s="1409">
        <f t="shared" si="148"/>
        <v>269779.68302</v>
      </c>
      <c r="W80" s="1409">
        <f t="shared" si="148"/>
        <v>303956.62465000001</v>
      </c>
      <c r="X80" s="1409">
        <f t="shared" si="148"/>
        <v>340734.59716</v>
      </c>
      <c r="Y80" s="1413">
        <f t="shared" si="148"/>
        <v>251139.39207</v>
      </c>
      <c r="Z80" s="1413">
        <f t="shared" si="148"/>
        <v>282806.13997999998</v>
      </c>
      <c r="AA80" s="1413">
        <f t="shared" si="148"/>
        <v>322378.30074999994</v>
      </c>
      <c r="AB80" s="1414">
        <f t="shared" si="148"/>
        <v>308461.61430000002</v>
      </c>
      <c r="AC80" s="1414">
        <f t="shared" si="148"/>
        <v>301585.90937000001</v>
      </c>
      <c r="AD80" s="1414">
        <f t="shared" si="148"/>
        <v>331071.25172999996</v>
      </c>
      <c r="AE80" s="1414">
        <f>SUM(S80,T80,U80)</f>
        <v>907167.32100999996</v>
      </c>
      <c r="AF80" s="1414">
        <f>SUM(V80,W80,X80)</f>
        <v>914470.90483000001</v>
      </c>
      <c r="AG80" s="1414">
        <f>SUM(Y80,Z80,AA80)</f>
        <v>856323.83279999997</v>
      </c>
      <c r="AH80" s="1414">
        <f>SUM(AB80,AC80,AD80)</f>
        <v>941118.77539999993</v>
      </c>
      <c r="AI80" s="1414">
        <f>AE80+AF80</f>
        <v>1821638.22584</v>
      </c>
      <c r="AJ80" s="1414">
        <f>AH80+AG80</f>
        <v>1797442.6081999999</v>
      </c>
      <c r="AK80" s="1414">
        <f>AI80+AJ80</f>
        <v>3619080.8340400001</v>
      </c>
      <c r="AM80" s="1965">
        <f t="shared" ref="AM80:AN80" ca="1" si="149">AM106+AM144</f>
        <v>282234</v>
      </c>
      <c r="AN80" s="1965">
        <f t="shared" ca="1" si="149"/>
        <v>250909.45789114243</v>
      </c>
      <c r="AO80" s="2730">
        <f t="shared" ca="1" si="130"/>
        <v>31324.542108857568</v>
      </c>
      <c r="AP80" s="2731">
        <f t="shared" ca="1" si="131"/>
        <v>1.1248440069662411</v>
      </c>
      <c r="AQ80" s="1965">
        <f t="shared" ref="AQ80" ca="1" si="150">AQ106+AQ144</f>
        <v>164198</v>
      </c>
      <c r="AR80" s="2730">
        <f t="shared" ca="1" si="133"/>
        <v>118036</v>
      </c>
      <c r="AS80" s="2731">
        <f t="shared" ca="1" si="134"/>
        <v>1.718863810765052</v>
      </c>
      <c r="AU80" s="1965">
        <f t="shared" ref="AU80:AV80" ca="1" si="151">AU106+AU144</f>
        <v>282234</v>
      </c>
      <c r="AV80" s="1965">
        <f t="shared" ca="1" si="151"/>
        <v>250909.45789114243</v>
      </c>
      <c r="AW80" s="2730">
        <f t="shared" ca="1" si="136"/>
        <v>31324.542108857568</v>
      </c>
      <c r="AX80" s="2731">
        <f t="shared" ca="1" si="137"/>
        <v>1.1248440069662411</v>
      </c>
      <c r="AY80" s="1965">
        <f t="shared" ref="AY80" ca="1" si="152">AY106+AY144</f>
        <v>164198</v>
      </c>
      <c r="AZ80" s="2730">
        <f t="shared" ca="1" si="139"/>
        <v>118036</v>
      </c>
      <c r="BA80" s="2731">
        <f t="shared" ca="1" si="140"/>
        <v>1.718863810765052</v>
      </c>
      <c r="BC80" s="1965">
        <f t="shared" ref="BC80:BD80" ca="1" si="153">BC106+BC144</f>
        <v>282234</v>
      </c>
      <c r="BD80" s="1965">
        <f t="shared" ca="1" si="153"/>
        <v>250909.45789114243</v>
      </c>
      <c r="BE80" s="2730">
        <f t="shared" ca="1" si="142"/>
        <v>31324.542108857568</v>
      </c>
      <c r="BF80" s="2731">
        <f t="shared" ca="1" si="143"/>
        <v>1.1248440069662411</v>
      </c>
      <c r="BG80" s="1965">
        <f t="shared" ref="BG80" ca="1" si="154">BG106+BG144</f>
        <v>164198</v>
      </c>
      <c r="BH80" s="2730">
        <f t="shared" ca="1" si="145"/>
        <v>118036</v>
      </c>
      <c r="BI80" s="2731">
        <f t="shared" ca="1" si="146"/>
        <v>1.718863810765052</v>
      </c>
    </row>
    <row r="81" spans="1:61" ht="14.5">
      <c r="A81" s="1693">
        <f t="shared" si="147"/>
        <v>81</v>
      </c>
      <c r="B81" s="616">
        <v>1</v>
      </c>
      <c r="C81" s="1693">
        <f t="shared" si="127"/>
        <v>81</v>
      </c>
      <c r="D81" s="616">
        <v>1</v>
      </c>
      <c r="E81" s="709" t="s">
        <v>512</v>
      </c>
      <c r="F81" s="1572"/>
      <c r="G81" s="4"/>
      <c r="H81" s="4"/>
      <c r="I81" s="4"/>
      <c r="J81" s="990" t="s">
        <v>54</v>
      </c>
      <c r="K81" s="991"/>
      <c r="L81" s="991"/>
      <c r="M81" s="991"/>
      <c r="N81" s="992"/>
      <c r="O81" s="992"/>
      <c r="P81" s="992"/>
      <c r="Q81" s="1004"/>
      <c r="R81" s="1783" t="str">
        <f>CHOOSE(2, "6722000003000", "PL Gross Profit")</f>
        <v>PL Gross Profit</v>
      </c>
      <c r="S81" s="1409">
        <f>S123+S145</f>
        <v>103028</v>
      </c>
      <c r="T81" s="1409">
        <f t="shared" ref="T81:AD81" si="155">T123+T145</f>
        <v>86965.60983999999</v>
      </c>
      <c r="U81" s="1409">
        <f t="shared" si="155"/>
        <v>97777.981649166613</v>
      </c>
      <c r="V81" s="1409">
        <f t="shared" si="155"/>
        <v>87518.517807065829</v>
      </c>
      <c r="W81" s="1409">
        <f t="shared" si="155"/>
        <v>101538.62548119511</v>
      </c>
      <c r="X81" s="1409">
        <f t="shared" si="155"/>
        <v>112315.66727416654</v>
      </c>
      <c r="Y81" s="1413">
        <f t="shared" si="155"/>
        <v>94330.390083333477</v>
      </c>
      <c r="Z81" s="1413">
        <f t="shared" si="155"/>
        <v>102823.66640333323</v>
      </c>
      <c r="AA81" s="1413">
        <f t="shared" si="155"/>
        <v>113053.21064770741</v>
      </c>
      <c r="AB81" s="1414">
        <f t="shared" si="155"/>
        <v>102549.58471112351</v>
      </c>
      <c r="AC81" s="1414">
        <f t="shared" si="155"/>
        <v>105481.44602811939</v>
      </c>
      <c r="AD81" s="1414">
        <f t="shared" si="155"/>
        <v>95794.068269150375</v>
      </c>
      <c r="AE81" s="1414">
        <f>SUM(S81,T81,U81)</f>
        <v>287771.5914891666</v>
      </c>
      <c r="AF81" s="1414">
        <f>SUM(V81,W81,X81)</f>
        <v>301372.8105624275</v>
      </c>
      <c r="AG81" s="1414">
        <f>SUM(Y81,Z81,AA81)</f>
        <v>310207.26713437412</v>
      </c>
      <c r="AH81" s="1414">
        <f>SUM(AB81,AC81,AD81)</f>
        <v>303825.0990083933</v>
      </c>
      <c r="AI81" s="1414">
        <f>AE81+AF81</f>
        <v>589144.40205159411</v>
      </c>
      <c r="AJ81" s="1414">
        <f>AH81+AG81</f>
        <v>614032.36614276748</v>
      </c>
      <c r="AK81" s="1414">
        <f>AI81+AJ81</f>
        <v>1203176.7681943616</v>
      </c>
      <c r="AM81" s="1965">
        <f t="shared" ref="AM81:AN81" ca="1" si="156">AM123+AM145</f>
        <v>103028</v>
      </c>
      <c r="AN81" s="1965">
        <f t="shared" ca="1" si="156"/>
        <v>74637.497872078937</v>
      </c>
      <c r="AO81" s="2730">
        <f t="shared" ca="1" si="130"/>
        <v>28390.502127921063</v>
      </c>
      <c r="AP81" s="2731">
        <f t="shared" ca="1" si="131"/>
        <v>1.3803785354190128</v>
      </c>
      <c r="AQ81" s="1965">
        <f t="shared" ref="AQ81" ca="1" si="157">AQ123+AQ145</f>
        <v>62999</v>
      </c>
      <c r="AR81" s="2730">
        <f t="shared" ca="1" si="133"/>
        <v>40029</v>
      </c>
      <c r="AS81" s="2731">
        <f t="shared" ca="1" si="134"/>
        <v>1.6353910379529835</v>
      </c>
      <c r="AU81" s="1965">
        <f t="shared" ref="AU81:AV81" ca="1" si="158">AU123+AU145</f>
        <v>103028</v>
      </c>
      <c r="AV81" s="1965">
        <f t="shared" ca="1" si="158"/>
        <v>74637.497872078937</v>
      </c>
      <c r="AW81" s="2730">
        <f t="shared" ca="1" si="136"/>
        <v>28390.502127921063</v>
      </c>
      <c r="AX81" s="2731">
        <f t="shared" ca="1" si="137"/>
        <v>1.3803785354190128</v>
      </c>
      <c r="AY81" s="1965">
        <f t="shared" ref="AY81" ca="1" si="159">AY123+AY145</f>
        <v>62999</v>
      </c>
      <c r="AZ81" s="2730">
        <f t="shared" ca="1" si="139"/>
        <v>40029</v>
      </c>
      <c r="BA81" s="2731">
        <f t="shared" ca="1" si="140"/>
        <v>1.6353910379529835</v>
      </c>
      <c r="BC81" s="1965">
        <f t="shared" ref="BC81:BD81" ca="1" si="160">BC123+BC145</f>
        <v>103028</v>
      </c>
      <c r="BD81" s="1965">
        <f t="shared" ca="1" si="160"/>
        <v>74637.497872078937</v>
      </c>
      <c r="BE81" s="2730">
        <f t="shared" ca="1" si="142"/>
        <v>28390.502127921063</v>
      </c>
      <c r="BF81" s="2731">
        <f t="shared" ca="1" si="143"/>
        <v>1.3803785354190128</v>
      </c>
      <c r="BG81" s="1965">
        <f t="shared" ref="BG81" ca="1" si="161">BG123+BG145</f>
        <v>62999</v>
      </c>
      <c r="BH81" s="2730">
        <f t="shared" ca="1" si="145"/>
        <v>40029</v>
      </c>
      <c r="BI81" s="2731">
        <f t="shared" ca="1" si="146"/>
        <v>1.6353910379529835</v>
      </c>
    </row>
    <row r="82" spans="1:61" ht="14.5">
      <c r="A82" s="1693">
        <f t="shared" si="147"/>
        <v>82</v>
      </c>
      <c r="B82" s="616">
        <v>1</v>
      </c>
      <c r="C82" s="1693">
        <f t="shared" si="127"/>
        <v>82</v>
      </c>
      <c r="D82" s="616">
        <v>1</v>
      </c>
      <c r="E82" s="709" t="s">
        <v>512</v>
      </c>
      <c r="F82" s="1572"/>
      <c r="G82" s="4"/>
      <c r="H82" s="4"/>
      <c r="I82" s="4"/>
      <c r="J82" s="990" t="s">
        <v>29</v>
      </c>
      <c r="K82" s="993"/>
      <c r="L82" s="993"/>
      <c r="M82" s="993"/>
      <c r="N82" s="994"/>
      <c r="O82" s="994"/>
      <c r="P82" s="994"/>
      <c r="Q82" s="1005"/>
      <c r="R82" s="1783" t="str">
        <f>CHOOSE(2, "6722000003001", "PL SGA Expenses")</f>
        <v>PL SGA Expenses</v>
      </c>
      <c r="S82" s="1410">
        <f>SUM(S83:S85)</f>
        <v>93617.34317508711</v>
      </c>
      <c r="T82" s="1410">
        <f t="shared" ref="T82:AD82" si="162">SUM(T83:T85)</f>
        <v>77087.696881996002</v>
      </c>
      <c r="U82" s="1410">
        <f t="shared" si="162"/>
        <v>71900.790101921812</v>
      </c>
      <c r="V82" s="1410">
        <f t="shared" si="162"/>
        <v>73860.774351181317</v>
      </c>
      <c r="W82" s="1410">
        <f t="shared" si="162"/>
        <v>81834.634275660035</v>
      </c>
      <c r="X82" s="1410">
        <f t="shared" si="162"/>
        <v>88790.464016961836</v>
      </c>
      <c r="Y82" s="1415">
        <f t="shared" si="162"/>
        <v>87332.197211609193</v>
      </c>
      <c r="Z82" s="1415">
        <f t="shared" si="162"/>
        <v>86054.765852745215</v>
      </c>
      <c r="AA82" s="1415">
        <f t="shared" si="162"/>
        <v>93353.701048138028</v>
      </c>
      <c r="AB82" s="1416">
        <f t="shared" si="162"/>
        <v>73164.086899557675</v>
      </c>
      <c r="AC82" s="1416">
        <f t="shared" si="162"/>
        <v>87344.487069088456</v>
      </c>
      <c r="AD82" s="1416">
        <f t="shared" si="162"/>
        <v>83449.197081331848</v>
      </c>
      <c r="AE82" s="1416">
        <f t="shared" ref="AE82:AK82" si="163">SUM(AE83:AE85)</f>
        <v>242605.83015900492</v>
      </c>
      <c r="AF82" s="1416">
        <f t="shared" si="163"/>
        <v>244485.87264380319</v>
      </c>
      <c r="AG82" s="1416">
        <f t="shared" si="163"/>
        <v>266740.66411249246</v>
      </c>
      <c r="AH82" s="1416">
        <f t="shared" si="163"/>
        <v>243957.77104997798</v>
      </c>
      <c r="AI82" s="1416">
        <f t="shared" si="163"/>
        <v>487091.70280280814</v>
      </c>
      <c r="AJ82" s="1416">
        <f t="shared" si="163"/>
        <v>510698.43516247044</v>
      </c>
      <c r="AK82" s="1416">
        <f t="shared" si="163"/>
        <v>997790.13796527858</v>
      </c>
      <c r="AM82" s="1968">
        <f t="shared" ref="AM82:AN82" ca="1" si="164">SUM(AM83:AM85)</f>
        <v>93617.34317508711</v>
      </c>
      <c r="AN82" s="1968">
        <f t="shared" ca="1" si="164"/>
        <v>68189.963693167359</v>
      </c>
      <c r="AO82" s="2732">
        <f t="shared" ca="1" si="130"/>
        <v>25427.37948191975</v>
      </c>
      <c r="AP82" s="2733">
        <f t="shared" ca="1" si="131"/>
        <v>1.3728903507902523</v>
      </c>
      <c r="AQ82" s="1968">
        <f t="shared" ref="AQ82" ca="1" si="165">SUM(AQ83:AQ85)</f>
        <v>55371.654876761728</v>
      </c>
      <c r="AR82" s="2732">
        <f t="shared" ca="1" si="133"/>
        <v>38245.688298325382</v>
      </c>
      <c r="AS82" s="2733">
        <f t="shared" ca="1" si="134"/>
        <v>1.6907087820193769</v>
      </c>
      <c r="AU82" s="1968">
        <f t="shared" ref="AU82:AV82" ca="1" si="166">SUM(AU83:AU85)</f>
        <v>93617.34317508711</v>
      </c>
      <c r="AV82" s="1968">
        <f t="shared" ca="1" si="166"/>
        <v>68189.963693167359</v>
      </c>
      <c r="AW82" s="2732">
        <f t="shared" ca="1" si="136"/>
        <v>25427.37948191975</v>
      </c>
      <c r="AX82" s="2733">
        <f t="shared" ca="1" si="137"/>
        <v>1.3728903507902523</v>
      </c>
      <c r="AY82" s="1968">
        <f t="shared" ref="AY82" ca="1" si="167">SUM(AY83:AY85)</f>
        <v>55371.654876761728</v>
      </c>
      <c r="AZ82" s="2732">
        <f t="shared" ca="1" si="139"/>
        <v>38245.688298325382</v>
      </c>
      <c r="BA82" s="2733">
        <f t="shared" ca="1" si="140"/>
        <v>1.6907087820193769</v>
      </c>
      <c r="BC82" s="1968">
        <f t="shared" ref="BC82:BD82" ca="1" si="168">SUM(BC83:BC85)</f>
        <v>93617.34317508711</v>
      </c>
      <c r="BD82" s="1968">
        <f t="shared" ca="1" si="168"/>
        <v>68189.963693167359</v>
      </c>
      <c r="BE82" s="2732">
        <f t="shared" ca="1" si="142"/>
        <v>25427.37948191975</v>
      </c>
      <c r="BF82" s="2733">
        <f t="shared" ca="1" si="143"/>
        <v>1.3728903507902523</v>
      </c>
      <c r="BG82" s="1968">
        <f t="shared" ref="BG82" ca="1" si="169">SUM(BG83:BG85)</f>
        <v>55371.654876761728</v>
      </c>
      <c r="BH82" s="2732">
        <f t="shared" ca="1" si="145"/>
        <v>38245.688298325382</v>
      </c>
      <c r="BI82" s="2733">
        <f t="shared" ca="1" si="146"/>
        <v>1.6907087820193769</v>
      </c>
    </row>
    <row r="83" spans="1:61" ht="14.5">
      <c r="A83" s="1693">
        <f t="shared" si="147"/>
        <v>83</v>
      </c>
      <c r="B83" s="616">
        <v>1</v>
      </c>
      <c r="C83" s="1693">
        <f t="shared" si="127"/>
        <v>83</v>
      </c>
      <c r="D83" s="616">
        <v>1</v>
      </c>
      <c r="E83" s="709" t="s">
        <v>512</v>
      </c>
      <c r="F83" s="1572"/>
      <c r="G83" s="4"/>
      <c r="H83" s="4"/>
      <c r="I83" s="4"/>
      <c r="J83" s="498"/>
      <c r="K83" s="3" t="s">
        <v>63</v>
      </c>
      <c r="L83" s="3"/>
      <c r="M83" s="3"/>
      <c r="N83" s="3"/>
      <c r="O83" s="3"/>
      <c r="P83" s="3"/>
      <c r="Q83" s="26"/>
      <c r="R83" s="1784" t="str">
        <f>CHOOSE(2, "6722000003002", "PL SGA Expenses Variable Expenses")</f>
        <v>PL SGA Expenses Variable Expenses</v>
      </c>
      <c r="S83" s="1289">
        <f t="shared" ref="S83:AD85" si="170">S132+S147</f>
        <v>37793.663902345215</v>
      </c>
      <c r="T83" s="1289">
        <f t="shared" si="170"/>
        <v>13893.488503358309</v>
      </c>
      <c r="U83" s="1289">
        <f t="shared" si="170"/>
        <v>36525.782997567381</v>
      </c>
      <c r="V83" s="1289">
        <f t="shared" si="170"/>
        <v>25624.088414672035</v>
      </c>
      <c r="W83" s="1289">
        <f t="shared" si="170"/>
        <v>34186.87314763527</v>
      </c>
      <c r="X83" s="1289">
        <f t="shared" si="170"/>
        <v>43220.30749997044</v>
      </c>
      <c r="Y83" s="1226">
        <f t="shared" si="170"/>
        <v>42759.897942179319</v>
      </c>
      <c r="Z83" s="1226">
        <f t="shared" si="170"/>
        <v>23125.555025360223</v>
      </c>
      <c r="AA83" s="1226">
        <f t="shared" ref="AA83:AB83" si="171">AA132+AA147</f>
        <v>40319.599303365023</v>
      </c>
      <c r="AB83" s="1226">
        <f t="shared" si="171"/>
        <v>15608.262615706293</v>
      </c>
      <c r="AC83" s="1419">
        <f t="shared" si="170"/>
        <v>26576.323733781152</v>
      </c>
      <c r="AD83" s="1419">
        <f t="shared" si="170"/>
        <v>45044.955278179492</v>
      </c>
      <c r="AE83" s="126">
        <f>SUM(S83,T83,U83)</f>
        <v>88212.935403270909</v>
      </c>
      <c r="AF83" s="126">
        <f>SUM(V83,W83,X83)</f>
        <v>103031.26906227774</v>
      </c>
      <c r="AG83" s="126">
        <f>SUM(Y83,Z83,AA83)</f>
        <v>106205.05227090456</v>
      </c>
      <c r="AH83" s="126">
        <f>SUM(AB83,AC83,AD83)</f>
        <v>87229.541627666942</v>
      </c>
      <c r="AI83" s="126">
        <f>AE83+AF83</f>
        <v>191244.20446554865</v>
      </c>
      <c r="AJ83" s="126">
        <f>AH83+AG83</f>
        <v>193434.5938985715</v>
      </c>
      <c r="AK83" s="126">
        <f>AI83+AJ83</f>
        <v>384678.79836412019</v>
      </c>
      <c r="AM83" s="1969">
        <f t="shared" ref="AM83:AN85" ca="1" si="172">AM132+AM147</f>
        <v>37793.663902345215</v>
      </c>
      <c r="AN83" s="1969">
        <f t="shared" ca="1" si="172"/>
        <v>25792.506177936801</v>
      </c>
      <c r="AO83" s="2734">
        <f t="shared" ca="1" si="130"/>
        <v>12001.157724408415</v>
      </c>
      <c r="AP83" s="2735">
        <f t="shared" ca="1" si="131"/>
        <v>1.4652963012440543</v>
      </c>
      <c r="AQ83" s="1969">
        <f t="shared" ref="AQ83:AQ85" ca="1" si="173">AQ132+AQ147</f>
        <v>18592.978492826012</v>
      </c>
      <c r="AR83" s="2734">
        <f t="shared" ca="1" si="133"/>
        <v>19200.685409519203</v>
      </c>
      <c r="AS83" s="2735">
        <f t="shared" ca="1" si="134"/>
        <v>2.0326847533829864</v>
      </c>
      <c r="AU83" s="1969">
        <f t="shared" ref="AU83:AV85" ca="1" si="174">AU132+AU147</f>
        <v>37793.663902345215</v>
      </c>
      <c r="AV83" s="1969">
        <f t="shared" ca="1" si="174"/>
        <v>25792.506177936801</v>
      </c>
      <c r="AW83" s="2734">
        <f t="shared" ca="1" si="136"/>
        <v>12001.157724408415</v>
      </c>
      <c r="AX83" s="2735">
        <f t="shared" ca="1" si="137"/>
        <v>1.4652963012440543</v>
      </c>
      <c r="AY83" s="1969">
        <f t="shared" ref="AY83:AY85" ca="1" si="175">AY132+AY147</f>
        <v>18592.978492826012</v>
      </c>
      <c r="AZ83" s="2734">
        <f t="shared" ca="1" si="139"/>
        <v>19200.685409519203</v>
      </c>
      <c r="BA83" s="2735">
        <f t="shared" ca="1" si="140"/>
        <v>2.0326847533829864</v>
      </c>
      <c r="BC83" s="1969">
        <f t="shared" ref="BC83:BD85" ca="1" si="176">BC132+BC147</f>
        <v>37793.663902345215</v>
      </c>
      <c r="BD83" s="1969">
        <f t="shared" ca="1" si="176"/>
        <v>25792.506177936801</v>
      </c>
      <c r="BE83" s="2734">
        <f t="shared" ca="1" si="142"/>
        <v>12001.157724408415</v>
      </c>
      <c r="BF83" s="2735">
        <f t="shared" ca="1" si="143"/>
        <v>1.4652963012440543</v>
      </c>
      <c r="BG83" s="1969">
        <f t="shared" ref="BG83:BG85" ca="1" si="177">BG132+BG147</f>
        <v>18592.978492826012</v>
      </c>
      <c r="BH83" s="2734">
        <f t="shared" ca="1" si="145"/>
        <v>19200.685409519203</v>
      </c>
      <c r="BI83" s="2735">
        <f t="shared" ca="1" si="146"/>
        <v>2.0326847533829864</v>
      </c>
    </row>
    <row r="84" spans="1:61" ht="14.5">
      <c r="A84" s="1693">
        <f t="shared" si="147"/>
        <v>84</v>
      </c>
      <c r="B84" s="616">
        <v>1</v>
      </c>
      <c r="C84" s="1693">
        <f t="shared" si="127"/>
        <v>84</v>
      </c>
      <c r="D84" s="616">
        <v>1</v>
      </c>
      <c r="E84" s="709" t="s">
        <v>512</v>
      </c>
      <c r="F84" s="1572"/>
      <c r="G84" s="4"/>
      <c r="H84" s="4"/>
      <c r="I84" s="4"/>
      <c r="J84" s="498"/>
      <c r="K84" s="3" t="s">
        <v>28</v>
      </c>
      <c r="L84" s="3"/>
      <c r="M84" s="3"/>
      <c r="N84" s="3"/>
      <c r="O84" s="3"/>
      <c r="P84" s="3"/>
      <c r="Q84" s="26"/>
      <c r="R84" s="1784" t="str">
        <f>CHOOSE(2, "6722000003003", "PL SGA Expenses Wages &amp; Salaries")</f>
        <v>PL SGA Expenses Wages &amp; Salaries</v>
      </c>
      <c r="S84" s="1289">
        <f t="shared" si="170"/>
        <v>27017.52958309825</v>
      </c>
      <c r="T84" s="1289">
        <f t="shared" si="170"/>
        <v>30155.712482127114</v>
      </c>
      <c r="U84" s="1289">
        <f t="shared" si="170"/>
        <v>30146.809975302425</v>
      </c>
      <c r="V84" s="1289">
        <f t="shared" si="170"/>
        <v>30006.00875632462</v>
      </c>
      <c r="W84" s="1289">
        <f t="shared" si="170"/>
        <v>29623.802807972563</v>
      </c>
      <c r="X84" s="1289">
        <f t="shared" si="170"/>
        <v>25497.191223081241</v>
      </c>
      <c r="Y84" s="1226">
        <f t="shared" si="170"/>
        <v>26878.867468066419</v>
      </c>
      <c r="Z84" s="1226">
        <f t="shared" si="170"/>
        <v>30020.035895401008</v>
      </c>
      <c r="AA84" s="1226">
        <f t="shared" ref="AA84:AB84" si="178">AA133+AA148</f>
        <v>32117.984574523125</v>
      </c>
      <c r="AB84" s="1226">
        <f t="shared" si="178"/>
        <v>31905.498528031905</v>
      </c>
      <c r="AC84" s="1419">
        <f t="shared" si="170"/>
        <v>36262.683402297815</v>
      </c>
      <c r="AD84" s="1419">
        <f t="shared" si="170"/>
        <v>30821.519994049591</v>
      </c>
      <c r="AE84" s="126">
        <f>SUM(S84,T84,U84)</f>
        <v>87320.052040527793</v>
      </c>
      <c r="AF84" s="126">
        <f>SUM(V84,W84,X84)</f>
        <v>85127.002787378427</v>
      </c>
      <c r="AG84" s="126">
        <f>SUM(Y84,Z84,AA84)</f>
        <v>89016.887937990556</v>
      </c>
      <c r="AH84" s="126">
        <f>SUM(AB84,AC84,AD84)</f>
        <v>98989.701924379318</v>
      </c>
      <c r="AI84" s="126">
        <f>AE84+AF84</f>
        <v>172447.05482790622</v>
      </c>
      <c r="AJ84" s="126">
        <f>AH84+AG84</f>
        <v>188006.58986236987</v>
      </c>
      <c r="AK84" s="126">
        <f>AI84+AJ84</f>
        <v>360453.64469027612</v>
      </c>
      <c r="AM84" s="1969">
        <f t="shared" ca="1" si="172"/>
        <v>27017.52958309825</v>
      </c>
      <c r="AN84" s="1969">
        <f t="shared" ca="1" si="172"/>
        <v>28677.001862010544</v>
      </c>
      <c r="AO84" s="2734">
        <f t="shared" ca="1" si="130"/>
        <v>-1659.4722789122934</v>
      </c>
      <c r="AP84" s="2735">
        <f t="shared" ca="1" si="131"/>
        <v>0.94213229517864427</v>
      </c>
      <c r="AQ84" s="1969">
        <f t="shared" ca="1" si="173"/>
        <v>22847</v>
      </c>
      <c r="AR84" s="2734">
        <f t="shared" ca="1" si="133"/>
        <v>4170.5295830982504</v>
      </c>
      <c r="AS84" s="2735">
        <f t="shared" ca="1" si="134"/>
        <v>1.182541672127555</v>
      </c>
      <c r="AU84" s="1969">
        <f t="shared" ca="1" si="174"/>
        <v>27017.52958309825</v>
      </c>
      <c r="AV84" s="1969">
        <f t="shared" ca="1" si="174"/>
        <v>28677.001862010544</v>
      </c>
      <c r="AW84" s="2734">
        <f t="shared" ca="1" si="136"/>
        <v>-1659.4722789122934</v>
      </c>
      <c r="AX84" s="2735">
        <f t="shared" ca="1" si="137"/>
        <v>0.94213229517864427</v>
      </c>
      <c r="AY84" s="1969">
        <f t="shared" ca="1" si="175"/>
        <v>22847</v>
      </c>
      <c r="AZ84" s="2734">
        <f t="shared" ca="1" si="139"/>
        <v>4170.5295830982504</v>
      </c>
      <c r="BA84" s="2735">
        <f t="shared" ca="1" si="140"/>
        <v>1.182541672127555</v>
      </c>
      <c r="BC84" s="1969">
        <f t="shared" ca="1" si="176"/>
        <v>27017.52958309825</v>
      </c>
      <c r="BD84" s="1969">
        <f t="shared" ca="1" si="176"/>
        <v>28677.001862010544</v>
      </c>
      <c r="BE84" s="2734">
        <f t="shared" ca="1" si="142"/>
        <v>-1659.4722789122934</v>
      </c>
      <c r="BF84" s="2735">
        <f t="shared" ca="1" si="143"/>
        <v>0.94213229517864427</v>
      </c>
      <c r="BG84" s="1969">
        <f t="shared" ca="1" si="177"/>
        <v>22847</v>
      </c>
      <c r="BH84" s="2734">
        <f t="shared" ca="1" si="145"/>
        <v>4170.5295830982504</v>
      </c>
      <c r="BI84" s="2735">
        <f t="shared" ca="1" si="146"/>
        <v>1.182541672127555</v>
      </c>
    </row>
    <row r="85" spans="1:61" ht="14.5">
      <c r="A85" s="1693">
        <f t="shared" si="147"/>
        <v>85</v>
      </c>
      <c r="B85" s="616">
        <v>1</v>
      </c>
      <c r="C85" s="1693">
        <f t="shared" si="127"/>
        <v>85</v>
      </c>
      <c r="D85" s="616">
        <v>1</v>
      </c>
      <c r="E85" s="709" t="s">
        <v>512</v>
      </c>
      <c r="F85" s="1572"/>
      <c r="G85" s="4"/>
      <c r="H85" s="4"/>
      <c r="I85" s="4"/>
      <c r="J85" s="976"/>
      <c r="K85" s="47" t="s">
        <v>62</v>
      </c>
      <c r="L85" s="47"/>
      <c r="M85" s="47"/>
      <c r="N85" s="47"/>
      <c r="O85" s="47"/>
      <c r="P85" s="47"/>
      <c r="Q85" s="46"/>
      <c r="R85" s="1784" t="str">
        <f>CHOOSE(2, "6722000003004", "PL SGA Expenses Fixed Expenses")</f>
        <v>PL SGA Expenses Fixed Expenses</v>
      </c>
      <c r="S85" s="1255">
        <f t="shared" si="170"/>
        <v>28806.149689643647</v>
      </c>
      <c r="T85" s="1255">
        <f t="shared" si="170"/>
        <v>33038.495896510583</v>
      </c>
      <c r="U85" s="1255">
        <f t="shared" si="170"/>
        <v>5228.1971290519978</v>
      </c>
      <c r="V85" s="1255">
        <f t="shared" si="170"/>
        <v>18230.677180184659</v>
      </c>
      <c r="W85" s="1255">
        <f t="shared" si="170"/>
        <v>18023.958320052196</v>
      </c>
      <c r="X85" s="1255">
        <f t="shared" si="170"/>
        <v>20072.965293910151</v>
      </c>
      <c r="Y85" s="1248">
        <f t="shared" si="170"/>
        <v>17693.431801363451</v>
      </c>
      <c r="Z85" s="1248">
        <f t="shared" si="170"/>
        <v>32909.174931983995</v>
      </c>
      <c r="AA85" s="1248">
        <f t="shared" ref="AA85:AB85" si="179">AA134+AA149</f>
        <v>20916.117170249883</v>
      </c>
      <c r="AB85" s="1248">
        <f t="shared" si="179"/>
        <v>25650.325755819467</v>
      </c>
      <c r="AC85" s="1420">
        <f t="shared" si="170"/>
        <v>24505.47993300949</v>
      </c>
      <c r="AD85" s="1420">
        <f t="shared" si="170"/>
        <v>7582.7218091027571</v>
      </c>
      <c r="AE85" s="975">
        <f>SUM(S85,T85,U85)</f>
        <v>67072.842715206236</v>
      </c>
      <c r="AF85" s="975">
        <f>SUM(V85,W85,X85)</f>
        <v>56327.600794147002</v>
      </c>
      <c r="AG85" s="975">
        <f>SUM(Y85,Z85,AA85)</f>
        <v>71518.723903597333</v>
      </c>
      <c r="AH85" s="975">
        <f>SUM(AB85,AC85,AD85)</f>
        <v>57738.527497931718</v>
      </c>
      <c r="AI85" s="975">
        <f>AE85+AF85</f>
        <v>123400.44350935324</v>
      </c>
      <c r="AJ85" s="975">
        <f>AH85+AG85</f>
        <v>129257.25140152905</v>
      </c>
      <c r="AK85" s="975">
        <f>AI85+AJ85</f>
        <v>252657.69491088227</v>
      </c>
      <c r="AM85" s="1972">
        <f t="shared" ca="1" si="172"/>
        <v>28806.149689643647</v>
      </c>
      <c r="AN85" s="1972">
        <f t="shared" ca="1" si="172"/>
        <v>13720.455653220015</v>
      </c>
      <c r="AO85" s="2736">
        <f t="shared" ca="1" si="130"/>
        <v>15085.694036423632</v>
      </c>
      <c r="AP85" s="2737">
        <f t="shared" ca="1" si="131"/>
        <v>2.0995038661768652</v>
      </c>
      <c r="AQ85" s="1972">
        <f t="shared" ca="1" si="173"/>
        <v>13931.676383935717</v>
      </c>
      <c r="AR85" s="2736">
        <f t="shared" ca="1" si="133"/>
        <v>14874.47330570793</v>
      </c>
      <c r="AS85" s="2737">
        <f t="shared" ca="1" si="134"/>
        <v>2.067672898493345</v>
      </c>
      <c r="AU85" s="1972">
        <f t="shared" ca="1" si="174"/>
        <v>28806.149689643647</v>
      </c>
      <c r="AV85" s="1972">
        <f t="shared" ca="1" si="174"/>
        <v>13720.455653220015</v>
      </c>
      <c r="AW85" s="2736">
        <f t="shared" ca="1" si="136"/>
        <v>15085.694036423632</v>
      </c>
      <c r="AX85" s="2737">
        <f t="shared" ca="1" si="137"/>
        <v>2.0995038661768652</v>
      </c>
      <c r="AY85" s="1972">
        <f t="shared" ca="1" si="175"/>
        <v>13931.676383935717</v>
      </c>
      <c r="AZ85" s="2736">
        <f t="shared" ca="1" si="139"/>
        <v>14874.47330570793</v>
      </c>
      <c r="BA85" s="2737">
        <f t="shared" ca="1" si="140"/>
        <v>2.067672898493345</v>
      </c>
      <c r="BC85" s="1972">
        <f t="shared" ca="1" si="176"/>
        <v>28806.149689643647</v>
      </c>
      <c r="BD85" s="1972">
        <f t="shared" ca="1" si="176"/>
        <v>13720.455653220015</v>
      </c>
      <c r="BE85" s="2736">
        <f t="shared" ca="1" si="142"/>
        <v>15085.694036423632</v>
      </c>
      <c r="BF85" s="2737">
        <f t="shared" ca="1" si="143"/>
        <v>2.0995038661768652</v>
      </c>
      <c r="BG85" s="1972">
        <f t="shared" ca="1" si="177"/>
        <v>13931.676383935717</v>
      </c>
      <c r="BH85" s="2736">
        <f t="shared" ca="1" si="145"/>
        <v>14874.47330570793</v>
      </c>
      <c r="BI85" s="2737">
        <f t="shared" ca="1" si="146"/>
        <v>2.067672898493345</v>
      </c>
    </row>
    <row r="86" spans="1:61" ht="14.5">
      <c r="A86" s="1693">
        <f t="shared" si="147"/>
        <v>86</v>
      </c>
      <c r="B86" s="616">
        <v>1</v>
      </c>
      <c r="C86" s="1693">
        <f t="shared" si="127"/>
        <v>86</v>
      </c>
      <c r="D86" s="616">
        <v>1</v>
      </c>
      <c r="E86" s="709" t="s">
        <v>512</v>
      </c>
      <c r="F86" s="1572"/>
      <c r="G86" s="4"/>
      <c r="H86" s="4"/>
      <c r="I86" s="4"/>
      <c r="J86" s="995" t="s">
        <v>56</v>
      </c>
      <c r="K86" s="996"/>
      <c r="L86" s="996"/>
      <c r="M86" s="996"/>
      <c r="N86" s="997"/>
      <c r="O86" s="997"/>
      <c r="P86" s="997"/>
      <c r="Q86" s="1006"/>
      <c r="R86" s="1783" t="str">
        <f>CHOOSE(2, "6722000003005", "PL Business Contribution Profit")</f>
        <v>PL Business Contribution Profit</v>
      </c>
      <c r="S86" s="1407">
        <f>S81-S82</f>
        <v>9410.6568249128904</v>
      </c>
      <c r="T86" s="1407">
        <f t="shared" ref="T86:AD86" si="180">T81-T82</f>
        <v>9877.912958003988</v>
      </c>
      <c r="U86" s="1407">
        <f t="shared" si="180"/>
        <v>25877.191547244802</v>
      </c>
      <c r="V86" s="1407">
        <f t="shared" si="180"/>
        <v>13657.743455884513</v>
      </c>
      <c r="W86" s="1407">
        <f t="shared" si="180"/>
        <v>19703.991205535072</v>
      </c>
      <c r="X86" s="1407">
        <f t="shared" si="180"/>
        <v>23525.203257204703</v>
      </c>
      <c r="Y86" s="1417">
        <f t="shared" si="180"/>
        <v>6998.1928717242845</v>
      </c>
      <c r="Z86" s="1417">
        <f t="shared" si="180"/>
        <v>16768.90055058802</v>
      </c>
      <c r="AA86" s="1417">
        <f t="shared" si="180"/>
        <v>19699.509599569385</v>
      </c>
      <c r="AB86" s="1418">
        <f t="shared" si="180"/>
        <v>29385.49781156583</v>
      </c>
      <c r="AC86" s="1418">
        <f t="shared" si="180"/>
        <v>18136.958959030933</v>
      </c>
      <c r="AD86" s="1418">
        <f t="shared" si="180"/>
        <v>12344.871187818528</v>
      </c>
      <c r="AE86" s="1418">
        <f t="shared" ref="AE86:AK86" si="181">AE81-AE82</f>
        <v>45165.76133016168</v>
      </c>
      <c r="AF86" s="1418">
        <f t="shared" si="181"/>
        <v>56886.937918624317</v>
      </c>
      <c r="AG86" s="1418">
        <f t="shared" si="181"/>
        <v>43466.60302188166</v>
      </c>
      <c r="AH86" s="1418">
        <f t="shared" si="181"/>
        <v>59867.327958415321</v>
      </c>
      <c r="AI86" s="1418">
        <f t="shared" si="181"/>
        <v>102052.69924878597</v>
      </c>
      <c r="AJ86" s="1418">
        <f t="shared" si="181"/>
        <v>103333.93098029704</v>
      </c>
      <c r="AK86" s="1418">
        <f t="shared" si="181"/>
        <v>205386.63022908301</v>
      </c>
      <c r="AM86" s="1976">
        <f t="shared" ref="AM86:AN86" ca="1" si="182">AM81-AM82</f>
        <v>9410.6568249128904</v>
      </c>
      <c r="AN86" s="1976">
        <f t="shared" ca="1" si="182"/>
        <v>6447.5341789115773</v>
      </c>
      <c r="AO86" s="2738">
        <f t="shared" ca="1" si="130"/>
        <v>2963.1226460013131</v>
      </c>
      <c r="AP86" s="2739">
        <f t="shared" ca="1" si="131"/>
        <v>1.4595745542060119</v>
      </c>
      <c r="AQ86" s="1976">
        <f t="shared" ref="AQ86" ca="1" si="183">AQ81-AQ82</f>
        <v>7627.3451232382722</v>
      </c>
      <c r="AR86" s="2738">
        <f t="shared" ca="1" si="133"/>
        <v>1783.3117016746182</v>
      </c>
      <c r="AS86" s="2739">
        <f t="shared" ca="1" si="134"/>
        <v>1.2338050360723016</v>
      </c>
      <c r="AU86" s="1976">
        <f t="shared" ref="AU86:AV86" ca="1" si="184">AU81-AU82</f>
        <v>9410.6568249128904</v>
      </c>
      <c r="AV86" s="1976">
        <f t="shared" ca="1" si="184"/>
        <v>6447.5341789115773</v>
      </c>
      <c r="AW86" s="2738">
        <f t="shared" ca="1" si="136"/>
        <v>2963.1226460013131</v>
      </c>
      <c r="AX86" s="2739">
        <f t="shared" ca="1" si="137"/>
        <v>1.4595745542060119</v>
      </c>
      <c r="AY86" s="1976">
        <f t="shared" ref="AY86" ca="1" si="185">AY81-AY82</f>
        <v>7627.3451232382722</v>
      </c>
      <c r="AZ86" s="2738">
        <f t="shared" ca="1" si="139"/>
        <v>1783.3117016746182</v>
      </c>
      <c r="BA86" s="2739">
        <f t="shared" ca="1" si="140"/>
        <v>1.2338050360723016</v>
      </c>
      <c r="BC86" s="1976">
        <f t="shared" ref="BC86:BD86" ca="1" si="186">BC81-BC82</f>
        <v>9410.6568249128904</v>
      </c>
      <c r="BD86" s="1976">
        <f t="shared" ca="1" si="186"/>
        <v>6447.5341789115773</v>
      </c>
      <c r="BE86" s="2738">
        <f t="shared" ca="1" si="142"/>
        <v>2963.1226460013131</v>
      </c>
      <c r="BF86" s="2739">
        <f t="shared" ca="1" si="143"/>
        <v>1.4595745542060119</v>
      </c>
      <c r="BG86" s="1976">
        <f t="shared" ref="BG86" ca="1" si="187">BG81-BG82</f>
        <v>7627.3451232382722</v>
      </c>
      <c r="BH86" s="2738">
        <f t="shared" ca="1" si="145"/>
        <v>1783.3117016746182</v>
      </c>
      <c r="BI86" s="2739">
        <f t="shared" ca="1" si="146"/>
        <v>1.2338050360723016</v>
      </c>
    </row>
    <row r="87" spans="1:61" ht="14.5">
      <c r="A87" s="1693">
        <f t="shared" si="147"/>
        <v>87</v>
      </c>
      <c r="B87" s="616">
        <v>1</v>
      </c>
      <c r="C87" s="1693">
        <f t="shared" si="127"/>
        <v>87</v>
      </c>
      <c r="D87" s="616">
        <v>1</v>
      </c>
      <c r="E87" s="709" t="s">
        <v>512</v>
      </c>
      <c r="F87" s="1572"/>
      <c r="G87" s="4"/>
      <c r="H87" s="4"/>
      <c r="I87" s="4"/>
      <c r="J87" s="53" t="s">
        <v>91</v>
      </c>
      <c r="K87" s="51"/>
      <c r="L87" s="52"/>
      <c r="M87" s="52"/>
      <c r="N87" s="51"/>
      <c r="O87" s="51"/>
      <c r="P87" s="51"/>
      <c r="Q87" s="447"/>
      <c r="R87" s="1784" t="str">
        <f>CHOOSE(2, "6722000003006", "PL Other Income")</f>
        <v>PL Other Income</v>
      </c>
      <c r="S87" s="1421">
        <f>S137</f>
        <v>467</v>
      </c>
      <c r="T87" s="1200">
        <f t="shared" ref="T87:AD88" si="188">T137</f>
        <v>1138</v>
      </c>
      <c r="U87" s="1200">
        <f t="shared" si="188"/>
        <v>466</v>
      </c>
      <c r="V87" s="1200">
        <f t="shared" si="188"/>
        <v>697</v>
      </c>
      <c r="W87" s="1200">
        <f t="shared" si="188"/>
        <v>462</v>
      </c>
      <c r="X87" s="1200">
        <f t="shared" si="188"/>
        <v>443</v>
      </c>
      <c r="Y87" s="1200">
        <f t="shared" si="188"/>
        <v>806.35002616590748</v>
      </c>
      <c r="Z87" s="1200">
        <f t="shared" si="188"/>
        <v>871.87523087570708</v>
      </c>
      <c r="AA87" s="1200">
        <f t="shared" si="188"/>
        <v>695.76934379990439</v>
      </c>
      <c r="AB87" s="1200">
        <f t="shared" si="188"/>
        <v>583.12180572208649</v>
      </c>
      <c r="AC87" s="1200">
        <f t="shared" si="188"/>
        <v>667.419198605215</v>
      </c>
      <c r="AD87" s="1200">
        <f t="shared" si="188"/>
        <v>1986.64930988428</v>
      </c>
      <c r="AE87" s="883">
        <f>SUM(S87:U87)</f>
        <v>2071</v>
      </c>
      <c r="AF87" s="107">
        <f>SUM(V87:X87)</f>
        <v>1602</v>
      </c>
      <c r="AG87" s="107">
        <f>SUM(Y87:AA87)</f>
        <v>2373.9946008415191</v>
      </c>
      <c r="AH87" s="107">
        <f>SUM(AB87:AD87)</f>
        <v>3237.1903142115816</v>
      </c>
      <c r="AI87" s="107">
        <f>AE87+AF87</f>
        <v>3673</v>
      </c>
      <c r="AJ87" s="107">
        <f>AH87+AG87</f>
        <v>5611.1849150531007</v>
      </c>
      <c r="AK87" s="107">
        <f>AI87+AJ87</f>
        <v>9284.1849150531016</v>
      </c>
      <c r="AM87" s="1977">
        <f t="shared" ref="AM87:AN88" ca="1" si="189">AM137</f>
        <v>467</v>
      </c>
      <c r="AN87" s="1977">
        <f t="shared" ca="1" si="189"/>
        <v>0</v>
      </c>
      <c r="AO87" s="2740">
        <f t="shared" ca="1" si="130"/>
        <v>467</v>
      </c>
      <c r="AP87" s="2741">
        <f t="shared" ca="1" si="131"/>
        <v>0</v>
      </c>
      <c r="AQ87" s="1977">
        <f t="shared" ref="AQ87:AQ88" ca="1" si="190">AQ137</f>
        <v>3064</v>
      </c>
      <c r="AR87" s="2740">
        <f t="shared" ca="1" si="133"/>
        <v>-2597</v>
      </c>
      <c r="AS87" s="2741">
        <f t="shared" ca="1" si="134"/>
        <v>0.15241514360313316</v>
      </c>
      <c r="AU87" s="1977">
        <f t="shared" ref="AU87:AV88" ca="1" si="191">AU137</f>
        <v>467</v>
      </c>
      <c r="AV87" s="1977">
        <f t="shared" ca="1" si="191"/>
        <v>0</v>
      </c>
      <c r="AW87" s="2740">
        <f t="shared" ca="1" si="136"/>
        <v>467</v>
      </c>
      <c r="AX87" s="2741">
        <f t="shared" ca="1" si="137"/>
        <v>0</v>
      </c>
      <c r="AY87" s="1977">
        <f t="shared" ref="AY87:AY88" ca="1" si="192">AY137</f>
        <v>3064</v>
      </c>
      <c r="AZ87" s="2740">
        <f t="shared" ca="1" si="139"/>
        <v>-2597</v>
      </c>
      <c r="BA87" s="2741">
        <f t="shared" ca="1" si="140"/>
        <v>0.15241514360313316</v>
      </c>
      <c r="BC87" s="1977">
        <f t="shared" ref="BC87:BD88" ca="1" si="193">BC137</f>
        <v>467</v>
      </c>
      <c r="BD87" s="1977">
        <f t="shared" ca="1" si="193"/>
        <v>0</v>
      </c>
      <c r="BE87" s="2740">
        <f t="shared" ca="1" si="142"/>
        <v>467</v>
      </c>
      <c r="BF87" s="2741">
        <f t="shared" ca="1" si="143"/>
        <v>0</v>
      </c>
      <c r="BG87" s="1977">
        <f t="shared" ref="BG87:BG88" ca="1" si="194">BG137</f>
        <v>3064</v>
      </c>
      <c r="BH87" s="2740">
        <f t="shared" ca="1" si="145"/>
        <v>-2597</v>
      </c>
      <c r="BI87" s="2741">
        <f t="shared" ca="1" si="146"/>
        <v>0.15241514360313316</v>
      </c>
    </row>
    <row r="88" spans="1:61" ht="14.5">
      <c r="A88" s="1693">
        <f t="shared" si="147"/>
        <v>88</v>
      </c>
      <c r="B88" s="616">
        <v>1</v>
      </c>
      <c r="C88" s="1693">
        <f t="shared" si="127"/>
        <v>88</v>
      </c>
      <c r="D88" s="616">
        <v>1</v>
      </c>
      <c r="E88" s="709" t="s">
        <v>512</v>
      </c>
      <c r="F88" s="1572"/>
      <c r="G88" s="4"/>
      <c r="H88" s="4"/>
      <c r="I88" s="4"/>
      <c r="J88" s="106" t="s">
        <v>73</v>
      </c>
      <c r="K88" s="104"/>
      <c r="L88" s="105"/>
      <c r="M88" s="105"/>
      <c r="N88" s="104"/>
      <c r="O88" s="104"/>
      <c r="P88" s="104"/>
      <c r="Q88" s="104"/>
      <c r="R88" s="1784" t="str">
        <f>CHOOSE(2, "6722000003007", "PL Other Expenses")</f>
        <v>PL Other Expenses</v>
      </c>
      <c r="S88" s="1290">
        <f>S138</f>
        <v>0</v>
      </c>
      <c r="T88" s="1241">
        <f t="shared" si="188"/>
        <v>0</v>
      </c>
      <c r="U88" s="1241">
        <f t="shared" si="188"/>
        <v>0</v>
      </c>
      <c r="V88" s="1241">
        <f t="shared" si="188"/>
        <v>0</v>
      </c>
      <c r="W88" s="1241">
        <f t="shared" si="188"/>
        <v>0</v>
      </c>
      <c r="X88" s="1241">
        <f t="shared" si="188"/>
        <v>0</v>
      </c>
      <c r="Y88" s="1241">
        <f t="shared" si="188"/>
        <v>0</v>
      </c>
      <c r="Z88" s="1241">
        <f t="shared" si="188"/>
        <v>0</v>
      </c>
      <c r="AA88" s="1241">
        <f t="shared" si="188"/>
        <v>0</v>
      </c>
      <c r="AB88" s="1241">
        <f t="shared" si="188"/>
        <v>0</v>
      </c>
      <c r="AC88" s="1241">
        <f t="shared" si="188"/>
        <v>0</v>
      </c>
      <c r="AD88" s="1241">
        <f t="shared" si="188"/>
        <v>0</v>
      </c>
      <c r="AE88" s="80">
        <f>SUM(S88:U88)</f>
        <v>0</v>
      </c>
      <c r="AF88" s="80">
        <f>SUM(V88:X88)</f>
        <v>0</v>
      </c>
      <c r="AG88" s="80">
        <f>SUM(Y88:AA88)</f>
        <v>0</v>
      </c>
      <c r="AH88" s="80">
        <f>SUM(AB88:AD88)</f>
        <v>0</v>
      </c>
      <c r="AI88" s="80">
        <f>AE88+AF88</f>
        <v>0</v>
      </c>
      <c r="AJ88" s="80">
        <f>AH88+AG88</f>
        <v>0</v>
      </c>
      <c r="AK88" s="80">
        <f>AI88+AJ88</f>
        <v>0</v>
      </c>
      <c r="AM88" s="1979">
        <f t="shared" ca="1" si="189"/>
        <v>0</v>
      </c>
      <c r="AN88" s="1979">
        <f t="shared" ca="1" si="189"/>
        <v>0</v>
      </c>
      <c r="AO88" s="2742">
        <f t="shared" ca="1" si="130"/>
        <v>0</v>
      </c>
      <c r="AP88" s="2743">
        <f t="shared" ca="1" si="131"/>
        <v>0</v>
      </c>
      <c r="AQ88" s="1979">
        <f t="shared" ca="1" si="190"/>
        <v>0</v>
      </c>
      <c r="AR88" s="2742">
        <f t="shared" ca="1" si="133"/>
        <v>0</v>
      </c>
      <c r="AS88" s="2743">
        <f t="shared" ca="1" si="134"/>
        <v>0</v>
      </c>
      <c r="AU88" s="1979">
        <f t="shared" ca="1" si="191"/>
        <v>0</v>
      </c>
      <c r="AV88" s="1979">
        <f t="shared" ca="1" si="191"/>
        <v>0</v>
      </c>
      <c r="AW88" s="2742">
        <f t="shared" ca="1" si="136"/>
        <v>0</v>
      </c>
      <c r="AX88" s="2743">
        <f t="shared" ca="1" si="137"/>
        <v>0</v>
      </c>
      <c r="AY88" s="1979">
        <f t="shared" ca="1" si="192"/>
        <v>0</v>
      </c>
      <c r="AZ88" s="2742">
        <f t="shared" ca="1" si="139"/>
        <v>0</v>
      </c>
      <c r="BA88" s="2743">
        <f t="shared" ca="1" si="140"/>
        <v>0</v>
      </c>
      <c r="BC88" s="1979">
        <f t="shared" ca="1" si="193"/>
        <v>0</v>
      </c>
      <c r="BD88" s="1979">
        <f t="shared" ca="1" si="193"/>
        <v>0</v>
      </c>
      <c r="BE88" s="2742">
        <f t="shared" ca="1" si="142"/>
        <v>0</v>
      </c>
      <c r="BF88" s="2743">
        <f t="shared" ca="1" si="143"/>
        <v>0</v>
      </c>
      <c r="BG88" s="1979">
        <f t="shared" ca="1" si="194"/>
        <v>0</v>
      </c>
      <c r="BH88" s="2742">
        <f t="shared" ca="1" si="145"/>
        <v>0</v>
      </c>
      <c r="BI88" s="2743">
        <f t="shared" ca="1" si="146"/>
        <v>0</v>
      </c>
    </row>
    <row r="89" spans="1:61" ht="14.5">
      <c r="A89" s="1693">
        <f t="shared" si="147"/>
        <v>89</v>
      </c>
      <c r="B89" s="616">
        <v>1</v>
      </c>
      <c r="C89" s="1693">
        <f t="shared" si="127"/>
        <v>89</v>
      </c>
      <c r="D89" s="616">
        <v>1</v>
      </c>
      <c r="E89" s="709" t="s">
        <v>512</v>
      </c>
      <c r="F89" s="1572"/>
      <c r="G89" s="4"/>
      <c r="H89" s="4"/>
      <c r="I89" s="4"/>
      <c r="J89" s="998" t="s">
        <v>92</v>
      </c>
      <c r="K89" s="999"/>
      <c r="L89" s="1000"/>
      <c r="M89" s="1000"/>
      <c r="N89" s="1000"/>
      <c r="O89" s="1000"/>
      <c r="P89" s="1000"/>
      <c r="Q89" s="1000"/>
      <c r="R89" s="1783" t="str">
        <f>CHOOSE(2, "6722000003008", "PL Operating Profit")</f>
        <v>PL Operating Profit</v>
      </c>
      <c r="S89" s="1405">
        <f>S86+S87-S88</f>
        <v>9877.6568249128904</v>
      </c>
      <c r="T89" s="1406">
        <f t="shared" ref="T89:AD89" si="195">T86+T87-T88</f>
        <v>11015.912958003988</v>
      </c>
      <c r="U89" s="1406">
        <f t="shared" si="195"/>
        <v>26343.191547244802</v>
      </c>
      <c r="V89" s="1406">
        <f t="shared" si="195"/>
        <v>14354.743455884513</v>
      </c>
      <c r="W89" s="1406">
        <f t="shared" si="195"/>
        <v>20165.991205535072</v>
      </c>
      <c r="X89" s="1406">
        <f t="shared" si="195"/>
        <v>23968.203257204703</v>
      </c>
      <c r="Y89" s="1406">
        <f t="shared" si="195"/>
        <v>7804.5428978901919</v>
      </c>
      <c r="Z89" s="1406">
        <f t="shared" si="195"/>
        <v>17640.775781463726</v>
      </c>
      <c r="AA89" s="1406">
        <f t="shared" si="195"/>
        <v>20395.278943369289</v>
      </c>
      <c r="AB89" s="1406">
        <f t="shared" si="195"/>
        <v>29968.619617287917</v>
      </c>
      <c r="AC89" s="1406">
        <f t="shared" si="195"/>
        <v>18804.378157636147</v>
      </c>
      <c r="AD89" s="1406">
        <f t="shared" si="195"/>
        <v>14331.520497702808</v>
      </c>
      <c r="AE89" s="1001">
        <f t="shared" ref="AE89:AK89" si="196">AE86+AE87-AE88</f>
        <v>47236.76133016168</v>
      </c>
      <c r="AF89" s="1001">
        <f t="shared" si="196"/>
        <v>58488.937918624317</v>
      </c>
      <c r="AG89" s="1001">
        <f t="shared" si="196"/>
        <v>45840.59762272318</v>
      </c>
      <c r="AH89" s="1001">
        <f t="shared" si="196"/>
        <v>63104.518272626905</v>
      </c>
      <c r="AI89" s="1001">
        <f t="shared" si="196"/>
        <v>105725.69924878597</v>
      </c>
      <c r="AJ89" s="1001">
        <f t="shared" si="196"/>
        <v>108945.11589535014</v>
      </c>
      <c r="AK89" s="1001">
        <f t="shared" si="196"/>
        <v>214670.81514413611</v>
      </c>
      <c r="AM89" s="1985">
        <f t="shared" ref="AM89:AN89" ca="1" si="197">AM86+AM87-AM88</f>
        <v>9877.6568249128904</v>
      </c>
      <c r="AN89" s="1985">
        <f t="shared" ca="1" si="197"/>
        <v>6447.5341789115773</v>
      </c>
      <c r="AO89" s="2744">
        <f t="shared" ca="1" si="130"/>
        <v>3430.1226460013131</v>
      </c>
      <c r="AP89" s="2745">
        <f t="shared" ca="1" si="131"/>
        <v>1.5320053451163496</v>
      </c>
      <c r="AQ89" s="1985">
        <f t="shared" ref="AQ89" ca="1" si="198">AQ86+AQ87-AQ88</f>
        <v>10691.345123238272</v>
      </c>
      <c r="AR89" s="2744">
        <f t="shared" ca="1" si="133"/>
        <v>-813.68829832538177</v>
      </c>
      <c r="AS89" s="2745">
        <f t="shared" ca="1" si="134"/>
        <v>0.92389280404420004</v>
      </c>
      <c r="AU89" s="1985">
        <f t="shared" ref="AU89:AV89" ca="1" si="199">AU86+AU87-AU88</f>
        <v>9877.6568249128904</v>
      </c>
      <c r="AV89" s="1985">
        <f t="shared" ca="1" si="199"/>
        <v>6447.5341789115773</v>
      </c>
      <c r="AW89" s="2744">
        <f t="shared" ca="1" si="136"/>
        <v>3430.1226460013131</v>
      </c>
      <c r="AX89" s="2745">
        <f t="shared" ca="1" si="137"/>
        <v>1.5320053451163496</v>
      </c>
      <c r="AY89" s="1985">
        <f t="shared" ref="AY89" ca="1" si="200">AY86+AY87-AY88</f>
        <v>10691.345123238272</v>
      </c>
      <c r="AZ89" s="2744">
        <f t="shared" ca="1" si="139"/>
        <v>-813.68829832538177</v>
      </c>
      <c r="BA89" s="2745">
        <f t="shared" ca="1" si="140"/>
        <v>0.92389280404420004</v>
      </c>
      <c r="BC89" s="1985">
        <f t="shared" ref="BC89:BD89" ca="1" si="201">BC86+BC87-BC88</f>
        <v>9877.6568249128904</v>
      </c>
      <c r="BD89" s="1985">
        <f t="shared" ca="1" si="201"/>
        <v>6447.5341789115773</v>
      </c>
      <c r="BE89" s="2744">
        <f t="shared" ca="1" si="142"/>
        <v>3430.1226460013131</v>
      </c>
      <c r="BF89" s="2745">
        <f t="shared" ca="1" si="143"/>
        <v>1.5320053451163496</v>
      </c>
      <c r="BG89" s="1985">
        <f t="shared" ref="BG89" ca="1" si="202">BG86+BG87-BG88</f>
        <v>10691.345123238272</v>
      </c>
      <c r="BH89" s="2744">
        <f t="shared" ca="1" si="145"/>
        <v>-813.68829832538177</v>
      </c>
      <c r="BI89" s="2745">
        <f t="shared" ca="1" si="146"/>
        <v>0.92389280404420004</v>
      </c>
    </row>
    <row r="90" spans="1:61" ht="14.5">
      <c r="A90" s="1693">
        <f t="shared" si="147"/>
        <v>90</v>
      </c>
      <c r="B90" s="616">
        <v>1</v>
      </c>
      <c r="C90" s="1693">
        <f t="shared" si="127"/>
        <v>90</v>
      </c>
      <c r="D90" s="616">
        <v>1</v>
      </c>
      <c r="E90" s="709" t="s">
        <v>512</v>
      </c>
      <c r="F90" s="1572"/>
      <c r="G90" s="519"/>
      <c r="H90" s="737"/>
      <c r="I90" s="4"/>
      <c r="J90" s="4"/>
      <c r="K90" s="3"/>
      <c r="L90" s="502" t="s">
        <v>511</v>
      </c>
      <c r="M90" s="4"/>
      <c r="N90" s="3"/>
      <c r="O90" s="3"/>
      <c r="P90" s="3"/>
      <c r="Q90" s="3"/>
      <c r="R90" s="1785" t="str">
        <f>CHOOSE(2, "6722000003009", "PL Operating Profit CAR (%)")</f>
        <v>PL Operating Profit CAR (%)</v>
      </c>
      <c r="S90" s="1404">
        <f t="shared" ref="S90:AD90" si="203">S439</f>
        <v>0.28046909562086608</v>
      </c>
      <c r="T90" s="1404">
        <f t="shared" si="203"/>
        <v>0.31557930532135636</v>
      </c>
      <c r="U90" s="1404">
        <f t="shared" si="203"/>
        <v>0.29793571121078949</v>
      </c>
      <c r="V90" s="1404">
        <f t="shared" si="203"/>
        <v>0.3385739088435753</v>
      </c>
      <c r="W90" s="1404">
        <f t="shared" si="203"/>
        <v>0.3261509349745802</v>
      </c>
      <c r="X90" s="1404">
        <f t="shared" si="203"/>
        <v>0.32165127387989939</v>
      </c>
      <c r="Y90" s="1404">
        <f t="shared" si="203"/>
        <v>0.32581487985194085</v>
      </c>
      <c r="Z90" s="1404">
        <f t="shared" si="203"/>
        <v>0.31663547611549148</v>
      </c>
      <c r="AA90" s="1404">
        <f t="shared" si="203"/>
        <v>0.32477982211870993</v>
      </c>
      <c r="AB90" s="1404">
        <f t="shared" si="203"/>
        <v>0.32201080829946926</v>
      </c>
      <c r="AC90" s="1404">
        <f t="shared" si="203"/>
        <v>0.3206855460157978</v>
      </c>
      <c r="AD90" s="1404">
        <f t="shared" si="203"/>
        <v>0.32234269093331053</v>
      </c>
      <c r="AE90" s="609">
        <f t="shared" ref="AE90:AK90" si="204">AE439</f>
        <v>0.29752243389305216</v>
      </c>
      <c r="AF90" s="1404">
        <f t="shared" si="204"/>
        <v>0.32824842339884774</v>
      </c>
      <c r="AG90" s="1404">
        <f t="shared" si="204"/>
        <v>0.32160657802144954</v>
      </c>
      <c r="AH90" s="1404">
        <f t="shared" si="204"/>
        <v>0.32143354796967977</v>
      </c>
      <c r="AI90" s="1404">
        <f t="shared" si="204"/>
        <v>0.31252402708302485</v>
      </c>
      <c r="AJ90" s="1404">
        <f t="shared" si="204"/>
        <v>0.32150649188554697</v>
      </c>
      <c r="AK90" s="1404">
        <f t="shared" si="204"/>
        <v>0.31680697031271493</v>
      </c>
      <c r="AM90" s="2746">
        <f ca="1">AM439</f>
        <v>106.51787611514567</v>
      </c>
      <c r="AN90" s="2746">
        <f ca="1">AN439</f>
        <v>45.677332741145307</v>
      </c>
      <c r="AO90" s="2746">
        <f t="shared" ca="1" si="130"/>
        <v>60.840543374000362</v>
      </c>
      <c r="AP90" s="2747"/>
      <c r="AQ90" s="2746">
        <f ca="1">AQ439</f>
        <v>85.47762912023515</v>
      </c>
      <c r="AR90" s="2746">
        <f t="shared" ca="1" si="133"/>
        <v>21.040246994910518</v>
      </c>
      <c r="AS90" s="2748"/>
      <c r="AU90" s="2746">
        <f ca="1">AU439</f>
        <v>106.51787611514567</v>
      </c>
      <c r="AV90" s="2746">
        <f ca="1">AV439</f>
        <v>45.677332741145307</v>
      </c>
      <c r="AW90" s="2746">
        <f t="shared" ca="1" si="136"/>
        <v>60.840543374000362</v>
      </c>
      <c r="AX90" s="2747"/>
      <c r="AY90" s="2746">
        <f ca="1">AY439</f>
        <v>85.47762912023515</v>
      </c>
      <c r="AZ90" s="2746">
        <f t="shared" ca="1" si="139"/>
        <v>21.040246994910518</v>
      </c>
      <c r="BA90" s="2748"/>
      <c r="BB90" s="69"/>
      <c r="BC90" s="2746">
        <f ca="1">BC439</f>
        <v>106.51787611514567</v>
      </c>
      <c r="BD90" s="2746">
        <f ca="1">BD439</f>
        <v>45.677332741145307</v>
      </c>
      <c r="BE90" s="2746">
        <f t="shared" ca="1" si="142"/>
        <v>60.840543374000362</v>
      </c>
      <c r="BF90" s="2749"/>
      <c r="BG90" s="2746">
        <f ca="1">BG439</f>
        <v>85.47762912023515</v>
      </c>
      <c r="BH90" s="2746">
        <f t="shared" ca="1" si="145"/>
        <v>21.040246994910518</v>
      </c>
      <c r="BI90" s="2748"/>
    </row>
    <row r="91" spans="1:61" ht="14.5">
      <c r="A91" s="1693">
        <f t="shared" si="147"/>
        <v>91</v>
      </c>
      <c r="B91" s="616">
        <v>1</v>
      </c>
      <c r="C91" s="1693">
        <f t="shared" si="127"/>
        <v>91</v>
      </c>
      <c r="D91" s="616">
        <v>1</v>
      </c>
      <c r="E91" s="709" t="s">
        <v>512</v>
      </c>
      <c r="F91" s="1572"/>
      <c r="G91" s="519"/>
      <c r="H91" s="737"/>
      <c r="I91" s="4"/>
      <c r="J91" s="4"/>
      <c r="K91" s="3"/>
      <c r="L91" s="27"/>
      <c r="M91" s="572" t="s">
        <v>509</v>
      </c>
      <c r="N91" s="251"/>
      <c r="O91" s="251"/>
      <c r="P91" s="251"/>
      <c r="Q91" s="251"/>
      <c r="R91" s="1786" t="str">
        <f>CHOOSE(2, "6722000003010", "PL Operating Profit CAR Directly assigned")</f>
        <v>PL Operating Profit CAR Directly assigned</v>
      </c>
      <c r="S91" s="1380">
        <f>SUM(S92:S94)</f>
        <v>48719.032346795837</v>
      </c>
      <c r="T91" s="1380">
        <f t="shared" ref="T91:AD91" si="205">SUM(T92:T94)</f>
        <v>30238.640177620498</v>
      </c>
      <c r="U91" s="1380">
        <f t="shared" si="205"/>
        <v>36337.817870560357</v>
      </c>
      <c r="V91" s="1380">
        <f t="shared" si="205"/>
        <v>31419.750725145092</v>
      </c>
      <c r="W91" s="1380">
        <f t="shared" si="205"/>
        <v>40382.94527639469</v>
      </c>
      <c r="X91" s="1380">
        <f t="shared" si="205"/>
        <v>38681.56833580706</v>
      </c>
      <c r="Y91" s="1249">
        <f t="shared" si="205"/>
        <v>59716.34712464561</v>
      </c>
      <c r="Z91" s="1249">
        <f t="shared" si="205"/>
        <v>43012.619304259402</v>
      </c>
      <c r="AA91" s="1249">
        <f t="shared" si="205"/>
        <v>60698.218907922012</v>
      </c>
      <c r="AB91" s="1614">
        <f t="shared" si="205"/>
        <v>35286.457686909896</v>
      </c>
      <c r="AC91" s="1614">
        <f t="shared" si="205"/>
        <v>17351.62815636184</v>
      </c>
      <c r="AD91" s="1614">
        <f t="shared" si="205"/>
        <v>49639.827223312263</v>
      </c>
      <c r="AE91" s="1615">
        <f>SUM(S91,T91,U91)</f>
        <v>115295.49039497669</v>
      </c>
      <c r="AF91" s="1614">
        <f>SUM(V91,W91,X91)</f>
        <v>110484.26433734683</v>
      </c>
      <c r="AG91" s="1614">
        <f>SUM(Y91,Z91,AA91)</f>
        <v>163427.18533682701</v>
      </c>
      <c r="AH91" s="1614">
        <f>SUM(AB91,AC91,AD91)</f>
        <v>102277.91306658401</v>
      </c>
      <c r="AI91" s="1614">
        <f>SUM(AI92:AI94)</f>
        <v>225779.75473232355</v>
      </c>
      <c r="AJ91" s="1614">
        <f>SUM(AJ92:AJ94)</f>
        <v>265705.09840341099</v>
      </c>
      <c r="AK91" s="1614">
        <f>SUM(AK92:AK94)</f>
        <v>491484.85313573456</v>
      </c>
      <c r="AM91" s="2252">
        <f ca="1">SUM((INDIRECT(AM$2&amp;(ROW())):INDIRECT(AM$3&amp;(ROW()))))</f>
        <v>48719.032346795837</v>
      </c>
      <c r="AN91" s="2251">
        <f ca="1">SUM(INDIRECT(AN$1&amp;AN$2&amp;$C91):INDIRECT(AN$1&amp;AN$3&amp;$C91))</f>
        <v>41000</v>
      </c>
      <c r="AO91" s="2750">
        <f t="shared" ca="1" si="130"/>
        <v>7719.0323467958369</v>
      </c>
      <c r="AP91" s="2751">
        <f t="shared" ref="AP91:AP95" ca="1" si="206">IFERROR(AM91/AN91,0)</f>
        <v>1.1882690816291668</v>
      </c>
      <c r="AQ91" s="2262">
        <f ca="1">SUM(INDIRECT(AQ$1&amp;AQ$2&amp;$A91):INDIRECT(AQ$1&amp;AQ$3&amp;$A91))+SUM(INDIRECT(AQ$1&amp;AQ$2&amp;$B91):INDIRECT(AQ$1&amp;AQ$3&amp;$B91))</f>
        <v>20047.31588891986</v>
      </c>
      <c r="AR91" s="2752">
        <f t="shared" ca="1" si="133"/>
        <v>28671.716457875977</v>
      </c>
      <c r="AS91" s="2753">
        <f t="shared" ref="AS91:AS95" ca="1" si="207">IFERROR(AM91/AQ91,0)</f>
        <v>2.4302022583343845</v>
      </c>
      <c r="AU91" s="2252">
        <f ca="1">SUM((INDIRECT(AU$2&amp;(ROW())):INDIRECT(AU$3&amp;(ROW()))))</f>
        <v>48719.032346795837</v>
      </c>
      <c r="AV91" s="2251">
        <f ca="1">SUM(INDIRECT(AV$1&amp;AV$2&amp;$C91):INDIRECT(AV$1&amp;AV$3&amp;$C91))</f>
        <v>41000</v>
      </c>
      <c r="AW91" s="2750">
        <f t="shared" ca="1" si="136"/>
        <v>7719.0323467958369</v>
      </c>
      <c r="AX91" s="2751">
        <f t="shared" ref="AX91:AX95" ca="1" si="208">IFERROR(AU91/AV91,0)</f>
        <v>1.1882690816291668</v>
      </c>
      <c r="AY91" s="2262">
        <f ca="1">SUM(INDIRECT(AY$1&amp;AY$2&amp;$A91):INDIRECT(AY$1&amp;AY$3&amp;$A91))+SUM(INDIRECT(AY$1&amp;AY$2&amp;$B91):INDIRECT(AY$1&amp;AY$3&amp;$B91))</f>
        <v>20047.31588891986</v>
      </c>
      <c r="AZ91" s="2752">
        <f t="shared" ca="1" si="139"/>
        <v>28671.716457875977</v>
      </c>
      <c r="BA91" s="2753">
        <f t="shared" ref="BA91:BA95" ca="1" si="209">IFERROR(AU91/AY91,0)</f>
        <v>2.4302022583343845</v>
      </c>
      <c r="BB91" s="69"/>
      <c r="BC91" s="1986">
        <f ca="1">SUM((INDIRECT(BC$2&amp;(ROW())):INDIRECT(BC$3&amp;(ROW()))))</f>
        <v>48719.032346795837</v>
      </c>
      <c r="BD91" s="2262">
        <f ca="1">SUM(INDIRECT(BD$1&amp;BD$2&amp;$C91):INDIRECT(BD$1&amp;BD$3&amp;$C91))</f>
        <v>41000</v>
      </c>
      <c r="BE91" s="2752">
        <f t="shared" ca="1" si="142"/>
        <v>7719.0323467958369</v>
      </c>
      <c r="BF91" s="2753">
        <f t="shared" ref="BF91:BF95" ca="1" si="210">IFERROR(BC91/BD91,0)</f>
        <v>1.1882690816291668</v>
      </c>
      <c r="BG91" s="2262">
        <f ca="1">SUM(INDIRECT(BG$1&amp;BG$2&amp;$A91):INDIRECT(BG$1&amp;BG$3&amp;$A91))+SUM(INDIRECT(BG$1&amp;BG$2&amp;$B91):INDIRECT(BG$1&amp;BG$3&amp;$B91))</f>
        <v>20047.31588891986</v>
      </c>
      <c r="BH91" s="2752">
        <f t="shared" ca="1" si="145"/>
        <v>28671.716457875977</v>
      </c>
      <c r="BI91" s="2753">
        <f t="shared" ref="BI91:BI95" ca="1" si="211">IFERROR(BC91/BG91,0)</f>
        <v>2.4302022583343845</v>
      </c>
    </row>
    <row r="92" spans="1:61" ht="14.5">
      <c r="A92" s="1693">
        <f t="shared" si="147"/>
        <v>92</v>
      </c>
      <c r="B92" s="616">
        <v>1</v>
      </c>
      <c r="C92" s="1693">
        <f t="shared" si="127"/>
        <v>92</v>
      </c>
      <c r="D92" s="616">
        <v>1</v>
      </c>
      <c r="E92" s="709" t="s">
        <v>512</v>
      </c>
      <c r="F92" s="1572"/>
      <c r="G92" s="519"/>
      <c r="H92" s="737"/>
      <c r="I92" s="4"/>
      <c r="J92" s="4"/>
      <c r="K92" s="3"/>
      <c r="L92" s="27"/>
      <c r="M92" s="27"/>
      <c r="N92" s="36" t="s">
        <v>87</v>
      </c>
      <c r="O92" s="3"/>
      <c r="P92" s="3"/>
      <c r="Q92" s="3"/>
      <c r="R92" s="1787" t="str">
        <f>CHOOSE(2, "6722000003011", "PL Operating Profit CAR Directly assigned Variable Expenses")</f>
        <v>PL Operating Profit CAR Directly assigned Variable Expenses</v>
      </c>
      <c r="S92" s="1350">
        <v>25600.777183862971</v>
      </c>
      <c r="T92" s="1350">
        <v>1593</v>
      </c>
      <c r="U92" s="1350">
        <v>12660.031080000004</v>
      </c>
      <c r="V92" s="1350">
        <v>5494.0180899999987</v>
      </c>
      <c r="W92" s="1350">
        <v>12950.719500000003</v>
      </c>
      <c r="X92" s="1350">
        <v>18162.965479999999</v>
      </c>
      <c r="Y92" s="1281">
        <v>37189.4899</v>
      </c>
      <c r="Z92" s="1281">
        <v>9283.1274011238493</v>
      </c>
      <c r="AA92" s="1281">
        <v>37489.977900033315</v>
      </c>
      <c r="AB92" s="1351">
        <v>8149.0723057721652</v>
      </c>
      <c r="AC92" s="1351">
        <v>-9858.2784699999993</v>
      </c>
      <c r="AD92" s="1351">
        <v>24698.335765014286</v>
      </c>
      <c r="AE92" s="125">
        <f>SUM(S92,T92,U92)</f>
        <v>39853.808263862971</v>
      </c>
      <c r="AF92" s="126">
        <f>SUM(V92,W92,X92)</f>
        <v>36607.703070000003</v>
      </c>
      <c r="AG92" s="126">
        <f>SUM(Y92,Z92,AA92)</f>
        <v>83962.595201157164</v>
      </c>
      <c r="AH92" s="126">
        <f>SUM(AB92,AC92,AD92)</f>
        <v>22989.129600786451</v>
      </c>
      <c r="AI92" s="126">
        <f>AE92+AF92</f>
        <v>76461.511333862974</v>
      </c>
      <c r="AJ92" s="126">
        <f>AH92+AG92</f>
        <v>106951.72480194361</v>
      </c>
      <c r="AK92" s="126">
        <f>AI92+AJ92</f>
        <v>183413.2361358066</v>
      </c>
      <c r="AM92" s="2470">
        <f ca="1">SUM((INDIRECT(AM$2&amp;(ROW())):INDIRECT(AM$3&amp;(ROW()))))</f>
        <v>25600.777183862971</v>
      </c>
      <c r="AN92" s="2754">
        <f ca="1">SUM(INDIRECT(AN$1&amp;AN$2&amp;$C92):INDIRECT(AN$1&amp;AN$3&amp;$C92))</f>
        <v>9500</v>
      </c>
      <c r="AO92" s="2755">
        <f t="shared" ca="1" si="130"/>
        <v>16100.777183862971</v>
      </c>
      <c r="AP92" s="2756">
        <f t="shared" ca="1" si="206"/>
        <v>2.6948186509329441</v>
      </c>
      <c r="AQ92" s="2043">
        <f ca="1">SUM(INDIRECT(AQ$1&amp;AQ$2&amp;$A92):INDIRECT(AQ$1&amp;AQ$3&amp;$A92))+SUM(INDIRECT(AQ$1&amp;AQ$2&amp;$B92):INDIRECT(AQ$1&amp;AQ$3&amp;$B92))</f>
        <v>1286.5372142159508</v>
      </c>
      <c r="AR92" s="2757">
        <f t="shared" ca="1" si="133"/>
        <v>24314.23996964702</v>
      </c>
      <c r="AS92" s="2758">
        <f t="shared" ca="1" si="207"/>
        <v>19.898979136382579</v>
      </c>
      <c r="AU92" s="2470">
        <f ca="1">SUM((INDIRECT(AU$2&amp;(ROW())):INDIRECT(AU$3&amp;(ROW()))))</f>
        <v>25600.777183862971</v>
      </c>
      <c r="AV92" s="2754">
        <f ca="1">SUM(INDIRECT(AV$1&amp;AV$2&amp;$C92):INDIRECT(AV$1&amp;AV$3&amp;$C92))</f>
        <v>9500</v>
      </c>
      <c r="AW92" s="2755">
        <f t="shared" ca="1" si="136"/>
        <v>16100.777183862971</v>
      </c>
      <c r="AX92" s="2756">
        <f t="shared" ca="1" si="208"/>
        <v>2.6948186509329441</v>
      </c>
      <c r="AY92" s="2043">
        <f ca="1">SUM(INDIRECT(AY$1&amp;AY$2&amp;$A92):INDIRECT(AY$1&amp;AY$3&amp;$A92))+SUM(INDIRECT(AY$1&amp;AY$2&amp;$B92):INDIRECT(AY$1&amp;AY$3&amp;$B92))</f>
        <v>1286.5372142159508</v>
      </c>
      <c r="AZ92" s="2757">
        <f t="shared" ca="1" si="139"/>
        <v>24314.23996964702</v>
      </c>
      <c r="BA92" s="2758">
        <f t="shared" ca="1" si="209"/>
        <v>19.898979136382579</v>
      </c>
      <c r="BB92" s="69"/>
      <c r="BC92" s="1378">
        <f ca="1">SUM((INDIRECT(BC$2&amp;(ROW())):INDIRECT(BC$3&amp;(ROW()))))</f>
        <v>25600.777183862971</v>
      </c>
      <c r="BD92" s="2043">
        <f ca="1">SUM(INDIRECT(BD$1&amp;BD$2&amp;$C92):INDIRECT(BD$1&amp;BD$3&amp;$C92))</f>
        <v>9500</v>
      </c>
      <c r="BE92" s="2757">
        <f t="shared" ca="1" si="142"/>
        <v>16100.777183862971</v>
      </c>
      <c r="BF92" s="2758">
        <f t="shared" ca="1" si="210"/>
        <v>2.6948186509329441</v>
      </c>
      <c r="BG92" s="2043">
        <f ca="1">SUM(INDIRECT(BG$1&amp;BG$2&amp;$A92):INDIRECT(BG$1&amp;BG$3&amp;$A92))+SUM(INDIRECT(BG$1&amp;BG$2&amp;$B92):INDIRECT(BG$1&amp;BG$3&amp;$B92))</f>
        <v>1286.5372142159508</v>
      </c>
      <c r="BH92" s="2757">
        <f t="shared" ca="1" si="145"/>
        <v>24314.23996964702</v>
      </c>
      <c r="BI92" s="2758">
        <f t="shared" ca="1" si="211"/>
        <v>19.898979136382579</v>
      </c>
    </row>
    <row r="93" spans="1:61" ht="14.5">
      <c r="A93" s="1693">
        <f t="shared" si="147"/>
        <v>93</v>
      </c>
      <c r="B93" s="616">
        <v>1</v>
      </c>
      <c r="C93" s="1693">
        <f t="shared" si="127"/>
        <v>93</v>
      </c>
      <c r="D93" s="616">
        <v>1</v>
      </c>
      <c r="E93" s="709" t="s">
        <v>512</v>
      </c>
      <c r="F93" s="1572"/>
      <c r="G93" s="519"/>
      <c r="H93" s="737"/>
      <c r="I93" s="4"/>
      <c r="J93" s="4"/>
      <c r="K93" s="3"/>
      <c r="L93" s="27"/>
      <c r="M93" s="27"/>
      <c r="N93" s="36" t="s">
        <v>88</v>
      </c>
      <c r="O93" s="3"/>
      <c r="P93" s="3"/>
      <c r="Q93" s="3"/>
      <c r="R93" s="1787" t="str">
        <f>CHOOSE(2, "6722000003012", "PL Operating Profit CAR Directly assigned Wages &amp; Salaries")</f>
        <v>PL Operating Profit CAR Directly assigned Wages &amp; Salaries</v>
      </c>
      <c r="S93" s="1350">
        <v>18675.858897749935</v>
      </c>
      <c r="T93" s="1350">
        <v>20502.337641905757</v>
      </c>
      <c r="U93" s="1350">
        <v>20242.570629101927</v>
      </c>
      <c r="V93" s="1350">
        <v>21743.52314458026</v>
      </c>
      <c r="W93" s="1350">
        <v>23826.823915343495</v>
      </c>
      <c r="X93" s="1350">
        <v>16510.279804851321</v>
      </c>
      <c r="Y93" s="1281">
        <v>18622.742192146681</v>
      </c>
      <c r="Z93" s="1281">
        <v>20280.138202945422</v>
      </c>
      <c r="AA93" s="1281">
        <v>20289.444429116313</v>
      </c>
      <c r="AB93" s="1351">
        <v>20674.305005577171</v>
      </c>
      <c r="AC93" s="1351">
        <v>22705.98214137242</v>
      </c>
      <c r="AD93" s="1351">
        <v>20266.517486939822</v>
      </c>
      <c r="AE93" s="125">
        <f>SUM(S93,T93,U93)</f>
        <v>59420.767168757622</v>
      </c>
      <c r="AF93" s="126">
        <f>SUM(V93,W93,X93)</f>
        <v>62080.626864775077</v>
      </c>
      <c r="AG93" s="126">
        <f>SUM(Y93,Z93,AA93)</f>
        <v>59192.324824208408</v>
      </c>
      <c r="AH93" s="126">
        <f>SUM(AB93,AC93,AD93)</f>
        <v>63646.804633889406</v>
      </c>
      <c r="AI93" s="126">
        <f>AE93+AF93</f>
        <v>121501.39403353271</v>
      </c>
      <c r="AJ93" s="126">
        <f>AH93+AG93</f>
        <v>122839.12945809781</v>
      </c>
      <c r="AK93" s="126">
        <f>AI93+AJ93</f>
        <v>244340.52349163051</v>
      </c>
      <c r="AM93" s="2470">
        <f ca="1">SUM((INDIRECT(AM$2&amp;(ROW())):INDIRECT(AM$3&amp;(ROW()))))</f>
        <v>18675.858897749935</v>
      </c>
      <c r="AN93" s="2754">
        <f ca="1">SUM(INDIRECT(AN$1&amp;AN$2&amp;$C93):INDIRECT(AN$1&amp;AN$3&amp;$C93))</f>
        <v>21000</v>
      </c>
      <c r="AO93" s="2755">
        <f t="shared" ca="1" si="130"/>
        <v>-2324.1411022500652</v>
      </c>
      <c r="AP93" s="2756">
        <f t="shared" ca="1" si="206"/>
        <v>0.88932661417856829</v>
      </c>
      <c r="AQ93" s="2043">
        <f ca="1">SUM(INDIRECT(AQ$1&amp;AQ$2&amp;$A93):INDIRECT(AQ$1&amp;AQ$3&amp;$A93))+SUM(INDIRECT(AQ$1&amp;AQ$2&amp;$B93):INDIRECT(AQ$1&amp;AQ$3&amp;$B93))</f>
        <v>14878</v>
      </c>
      <c r="AR93" s="2757">
        <f t="shared" ca="1" si="133"/>
        <v>3797.8588977499348</v>
      </c>
      <c r="AS93" s="2758">
        <f t="shared" ca="1" si="207"/>
        <v>1.255266762854546</v>
      </c>
      <c r="AU93" s="2470">
        <f ca="1">SUM((INDIRECT(AU$2&amp;(ROW())):INDIRECT(AU$3&amp;(ROW()))))</f>
        <v>18675.858897749935</v>
      </c>
      <c r="AV93" s="2754">
        <f ca="1">SUM(INDIRECT(AV$1&amp;AV$2&amp;$C93):INDIRECT(AV$1&amp;AV$3&amp;$C93))</f>
        <v>21000</v>
      </c>
      <c r="AW93" s="2755">
        <f t="shared" ca="1" si="136"/>
        <v>-2324.1411022500652</v>
      </c>
      <c r="AX93" s="2756">
        <f t="shared" ca="1" si="208"/>
        <v>0.88932661417856829</v>
      </c>
      <c r="AY93" s="2043">
        <f ca="1">SUM(INDIRECT(AY$1&amp;AY$2&amp;$A93):INDIRECT(AY$1&amp;AY$3&amp;$A93))+SUM(INDIRECT(AY$1&amp;AY$2&amp;$B93):INDIRECT(AY$1&amp;AY$3&amp;$B93))</f>
        <v>14878</v>
      </c>
      <c r="AZ93" s="2757">
        <f t="shared" ca="1" si="139"/>
        <v>3797.8588977499348</v>
      </c>
      <c r="BA93" s="2758">
        <f t="shared" ca="1" si="209"/>
        <v>1.255266762854546</v>
      </c>
      <c r="BB93" s="69"/>
      <c r="BC93" s="1378">
        <f ca="1">SUM((INDIRECT(BC$2&amp;(ROW())):INDIRECT(BC$3&amp;(ROW()))))</f>
        <v>18675.858897749935</v>
      </c>
      <c r="BD93" s="2043">
        <f ca="1">SUM(INDIRECT(BD$1&amp;BD$2&amp;$C93):INDIRECT(BD$1&amp;BD$3&amp;$C93))</f>
        <v>21000</v>
      </c>
      <c r="BE93" s="2757">
        <f t="shared" ca="1" si="142"/>
        <v>-2324.1411022500652</v>
      </c>
      <c r="BF93" s="2758">
        <f t="shared" ca="1" si="210"/>
        <v>0.88932661417856829</v>
      </c>
      <c r="BG93" s="2043">
        <f ca="1">SUM(INDIRECT(BG$1&amp;BG$2&amp;$A93):INDIRECT(BG$1&amp;BG$3&amp;$A93))+SUM(INDIRECT(BG$1&amp;BG$2&amp;$B93):INDIRECT(BG$1&amp;BG$3&amp;$B93))</f>
        <v>14878</v>
      </c>
      <c r="BH93" s="2757">
        <f t="shared" ca="1" si="145"/>
        <v>3797.8588977499348</v>
      </c>
      <c r="BI93" s="2758">
        <f t="shared" ca="1" si="211"/>
        <v>1.255266762854546</v>
      </c>
    </row>
    <row r="94" spans="1:61" ht="14.5">
      <c r="A94" s="1693">
        <f t="shared" si="147"/>
        <v>94</v>
      </c>
      <c r="B94" s="616">
        <v>1</v>
      </c>
      <c r="C94" s="1693">
        <f t="shared" si="127"/>
        <v>94</v>
      </c>
      <c r="D94" s="616">
        <v>1</v>
      </c>
      <c r="E94" s="709" t="s">
        <v>512</v>
      </c>
      <c r="F94" s="1572"/>
      <c r="G94" s="519"/>
      <c r="H94" s="737"/>
      <c r="I94" s="4"/>
      <c r="J94" s="4"/>
      <c r="K94" s="3"/>
      <c r="L94" s="27"/>
      <c r="M94" s="25"/>
      <c r="N94" s="104" t="s">
        <v>89</v>
      </c>
      <c r="O94" s="1"/>
      <c r="P94" s="1"/>
      <c r="Q94" s="1"/>
      <c r="R94" s="1787" t="str">
        <f>CHOOSE(2, "6722000003013", "PL Operating Profit CAR Directly assigned Fixed Expenses")</f>
        <v>PL Operating Profit CAR Directly assigned Fixed Expenses</v>
      </c>
      <c r="S94" s="1352">
        <v>4442.3962651829343</v>
      </c>
      <c r="T94" s="1352">
        <v>8143.3025357147408</v>
      </c>
      <c r="U94" s="1352">
        <v>3435.2161614584284</v>
      </c>
      <c r="V94" s="1352">
        <v>4182.2094905648346</v>
      </c>
      <c r="W94" s="1352">
        <v>3605.4018610511957</v>
      </c>
      <c r="X94" s="1352">
        <v>4008.3230509557397</v>
      </c>
      <c r="Y94" s="1282">
        <v>3904.115032498928</v>
      </c>
      <c r="Z94" s="1282">
        <v>13449.353700190133</v>
      </c>
      <c r="AA94" s="1282">
        <v>2918.7965787723788</v>
      </c>
      <c r="AB94" s="1353">
        <v>6463.0803755605593</v>
      </c>
      <c r="AC94" s="1353">
        <v>4503.9244849894167</v>
      </c>
      <c r="AD94" s="1353">
        <v>4674.9739713581566</v>
      </c>
      <c r="AE94" s="122">
        <f>SUM(S94,T94,U94)</f>
        <v>16020.914962356102</v>
      </c>
      <c r="AF94" s="123">
        <f>SUM(V94,W94,X94)</f>
        <v>11795.934402571769</v>
      </c>
      <c r="AG94" s="123">
        <f>SUM(Y94,Z94,AA94)</f>
        <v>20272.265311461437</v>
      </c>
      <c r="AH94" s="123">
        <f>SUM(AB94,AC94,AD94)</f>
        <v>15641.978831908133</v>
      </c>
      <c r="AI94" s="123">
        <f>AE94+AF94</f>
        <v>27816.849364927872</v>
      </c>
      <c r="AJ94" s="123">
        <f>AH94+AG94</f>
        <v>35914.244143369571</v>
      </c>
      <c r="AK94" s="123">
        <f>AI94+AJ94</f>
        <v>63731.093508297447</v>
      </c>
      <c r="AM94" s="2494">
        <f ca="1">SUM((INDIRECT(AM$2&amp;(ROW())):INDIRECT(AM$3&amp;(ROW()))))</f>
        <v>4442.3962651829343</v>
      </c>
      <c r="AN94" s="1980">
        <f ca="1">SUM(INDIRECT(AN$1&amp;AN$2&amp;$C94):INDIRECT(AN$1&amp;AN$3&amp;$C94))</f>
        <v>10500</v>
      </c>
      <c r="AO94" s="2759">
        <f t="shared" ca="1" si="130"/>
        <v>-6057.6037348170657</v>
      </c>
      <c r="AP94" s="2760">
        <f t="shared" ca="1" si="206"/>
        <v>0.42308535858885088</v>
      </c>
      <c r="AQ94" s="1979">
        <f ca="1">SUM(INDIRECT(AQ$1&amp;AQ$2&amp;$A94):INDIRECT(AQ$1&amp;AQ$3&amp;$A94))+SUM(INDIRECT(AQ$1&amp;AQ$2&amp;$B94):INDIRECT(AQ$1&amp;AQ$3&amp;$B94))</f>
        <v>3882.7786747039095</v>
      </c>
      <c r="AR94" s="2742">
        <f t="shared" ca="1" si="133"/>
        <v>559.61759047902478</v>
      </c>
      <c r="AS94" s="2743">
        <f t="shared" ca="1" si="207"/>
        <v>1.1441281199273352</v>
      </c>
      <c r="AU94" s="2494">
        <f ca="1">SUM((INDIRECT(AU$2&amp;(ROW())):INDIRECT(AU$3&amp;(ROW()))))</f>
        <v>4442.3962651829343</v>
      </c>
      <c r="AV94" s="1980">
        <f ca="1">SUM(INDIRECT(AV$1&amp;AV$2&amp;$C94):INDIRECT(AV$1&amp;AV$3&amp;$C94))</f>
        <v>10500</v>
      </c>
      <c r="AW94" s="2759">
        <f t="shared" ca="1" si="136"/>
        <v>-6057.6037348170657</v>
      </c>
      <c r="AX94" s="2760">
        <f t="shared" ca="1" si="208"/>
        <v>0.42308535858885088</v>
      </c>
      <c r="AY94" s="1979">
        <f ca="1">SUM(INDIRECT(AY$1&amp;AY$2&amp;$A94):INDIRECT(AY$1&amp;AY$3&amp;$A94))+SUM(INDIRECT(AY$1&amp;AY$2&amp;$B94):INDIRECT(AY$1&amp;AY$3&amp;$B94))</f>
        <v>3882.7786747039095</v>
      </c>
      <c r="AZ94" s="2742">
        <f t="shared" ca="1" si="139"/>
        <v>559.61759047902478</v>
      </c>
      <c r="BA94" s="2743">
        <f t="shared" ca="1" si="209"/>
        <v>1.1441281199273352</v>
      </c>
      <c r="BB94" s="69"/>
      <c r="BC94" s="1379">
        <f ca="1">SUM((INDIRECT(BC$2&amp;(ROW())):INDIRECT(BC$3&amp;(ROW()))))</f>
        <v>4442.3962651829343</v>
      </c>
      <c r="BD94" s="1979">
        <f ca="1">SUM(INDIRECT(BD$1&amp;BD$2&amp;$C94):INDIRECT(BD$1&amp;BD$3&amp;$C94))</f>
        <v>10500</v>
      </c>
      <c r="BE94" s="2742">
        <f t="shared" ca="1" si="142"/>
        <v>-6057.6037348170657</v>
      </c>
      <c r="BF94" s="2743">
        <f t="shared" ca="1" si="210"/>
        <v>0.42308535858885088</v>
      </c>
      <c r="BG94" s="1979">
        <f ca="1">SUM(INDIRECT(BG$1&amp;BG$2&amp;$A94):INDIRECT(BG$1&amp;BG$3&amp;$A94))+SUM(INDIRECT(BG$1&amp;BG$2&amp;$B94):INDIRECT(BG$1&amp;BG$3&amp;$B94))</f>
        <v>3882.7786747039095</v>
      </c>
      <c r="BH94" s="2742">
        <f t="shared" ca="1" si="145"/>
        <v>559.61759047902478</v>
      </c>
      <c r="BI94" s="2743">
        <f t="shared" ca="1" si="211"/>
        <v>1.1441281199273352</v>
      </c>
    </row>
    <row r="95" spans="1:61" ht="14.5">
      <c r="A95" s="1693">
        <f t="shared" si="147"/>
        <v>95</v>
      </c>
      <c r="B95" s="616">
        <v>1</v>
      </c>
      <c r="C95" s="1693">
        <f t="shared" si="127"/>
        <v>95</v>
      </c>
      <c r="D95" s="616">
        <v>1</v>
      </c>
      <c r="E95" s="709" t="s">
        <v>512</v>
      </c>
      <c r="F95" s="1572"/>
      <c r="G95" s="519"/>
      <c r="H95" s="737"/>
      <c r="I95" s="4"/>
      <c r="J95" s="4"/>
      <c r="K95" s="3"/>
      <c r="L95" s="27"/>
      <c r="M95" s="572" t="s">
        <v>510</v>
      </c>
      <c r="N95" s="586"/>
      <c r="O95" s="586"/>
      <c r="P95" s="586"/>
      <c r="Q95" s="586"/>
      <c r="R95" s="1786" t="str">
        <f>CHOOSE(2, "6722000003014", "PL Operating Profit CAR Allocation")</f>
        <v>PL Operating Profit CAR Allocation</v>
      </c>
      <c r="S95" s="1421">
        <f>SUM(S97:S99)</f>
        <v>44898.310828291273</v>
      </c>
      <c r="T95" s="1421">
        <f t="shared" ref="T95:AD95" si="212">SUM(T97:T99)</f>
        <v>46849.056704375507</v>
      </c>
      <c r="U95" s="1421">
        <f t="shared" si="212"/>
        <v>35562.972231361447</v>
      </c>
      <c r="V95" s="1421">
        <f t="shared" si="212"/>
        <v>42441.023626036222</v>
      </c>
      <c r="W95" s="1421">
        <f t="shared" si="212"/>
        <v>41451.68899926533</v>
      </c>
      <c r="X95" s="1421">
        <f t="shared" si="212"/>
        <v>50108.895681154776</v>
      </c>
      <c r="Y95" s="1384">
        <f t="shared" si="212"/>
        <v>27615.850086963579</v>
      </c>
      <c r="Z95" s="1384">
        <f t="shared" si="212"/>
        <v>43042.14654848582</v>
      </c>
      <c r="AA95" s="1384">
        <f t="shared" si="212"/>
        <v>32655.482140216023</v>
      </c>
      <c r="AB95" s="1385">
        <f t="shared" si="212"/>
        <v>37877.629212647771</v>
      </c>
      <c r="AC95" s="1385">
        <f t="shared" si="212"/>
        <v>69992.858912726617</v>
      </c>
      <c r="AD95" s="1385">
        <f t="shared" si="212"/>
        <v>33809.369858019578</v>
      </c>
      <c r="AE95" s="881">
        <f>SUM(S95,T95,U95)</f>
        <v>127310.33976402822</v>
      </c>
      <c r="AF95" s="1616">
        <f>SUM(V95,W95,X95)</f>
        <v>134001.60830645633</v>
      </c>
      <c r="AG95" s="1616">
        <f>SUM(Y95,Z95,AA95)</f>
        <v>103313.47877566543</v>
      </c>
      <c r="AH95" s="1616">
        <f>SUM(AB95,AC95,AD95)</f>
        <v>141679.85798339397</v>
      </c>
      <c r="AI95" s="1616">
        <f>SUM(AI97:AI99)</f>
        <v>261311.94807048453</v>
      </c>
      <c r="AJ95" s="1616">
        <f>SUM(AJ97:AJ99)</f>
        <v>244993.33675905937</v>
      </c>
      <c r="AK95" s="1616">
        <f>SUM(AK97:AK99)</f>
        <v>506305.2848295439</v>
      </c>
      <c r="AM95" s="2470">
        <f ca="1">SUM((INDIRECT(AM$2&amp;(ROW())):INDIRECT(AM$3&amp;(ROW()))))</f>
        <v>44898.310828291273</v>
      </c>
      <c r="AN95" s="2754">
        <f ca="1">SUM(INDIRECT(AN$1&amp;AN$2&amp;$C95):INDIRECT(AN$1&amp;AN$3&amp;$C95))</f>
        <v>27189.963693167359</v>
      </c>
      <c r="AO95" s="2755">
        <f t="shared" ca="1" si="130"/>
        <v>17708.347135123913</v>
      </c>
      <c r="AP95" s="2756">
        <f t="shared" ca="1" si="206"/>
        <v>1.6512824855140904</v>
      </c>
      <c r="AQ95" s="2043">
        <f ca="1">SUM(INDIRECT(AQ$1&amp;AQ$2&amp;$A95):INDIRECT(AQ$1&amp;AQ$3&amp;$A95))+SUM(INDIRECT(AQ$1&amp;AQ$2&amp;$B95):INDIRECT(AQ$1&amp;AQ$3&amp;$B95))</f>
        <v>35324.338987841867</v>
      </c>
      <c r="AR95" s="2757">
        <f t="shared" ca="1" si="133"/>
        <v>9573.9718404494051</v>
      </c>
      <c r="AS95" s="2758">
        <f t="shared" ca="1" si="207"/>
        <v>1.2710304598691748</v>
      </c>
      <c r="AU95" s="2470">
        <f ca="1">SUM((INDIRECT(AU$2&amp;(ROW())):INDIRECT(AU$3&amp;(ROW()))))</f>
        <v>44898.310828291273</v>
      </c>
      <c r="AV95" s="2754">
        <f ca="1">SUM(INDIRECT(AV$1&amp;AV$2&amp;$C95):INDIRECT(AV$1&amp;AV$3&amp;$C95))</f>
        <v>27189.963693167359</v>
      </c>
      <c r="AW95" s="2755">
        <f t="shared" ca="1" si="136"/>
        <v>17708.347135123913</v>
      </c>
      <c r="AX95" s="2756">
        <f t="shared" ca="1" si="208"/>
        <v>1.6512824855140904</v>
      </c>
      <c r="AY95" s="2043">
        <f ca="1">SUM(INDIRECT(AY$1&amp;AY$2&amp;$A95):INDIRECT(AY$1&amp;AY$3&amp;$A95))+SUM(INDIRECT(AY$1&amp;AY$2&amp;$B95):INDIRECT(AY$1&amp;AY$3&amp;$B95))</f>
        <v>35324.338987841867</v>
      </c>
      <c r="AZ95" s="2757">
        <f t="shared" ca="1" si="139"/>
        <v>9573.9718404494051</v>
      </c>
      <c r="BA95" s="2758">
        <f t="shared" ca="1" si="209"/>
        <v>1.2710304598691748</v>
      </c>
      <c r="BB95" s="69"/>
      <c r="BC95" s="1378">
        <f ca="1">SUM((INDIRECT(BC$2&amp;(ROW())):INDIRECT(BC$3&amp;(ROW()))))</f>
        <v>44898.310828291273</v>
      </c>
      <c r="BD95" s="2043">
        <f ca="1">SUM(INDIRECT(BD$1&amp;BD$2&amp;$C95):INDIRECT(BD$1&amp;BD$3&amp;$C95))</f>
        <v>27189.963693167359</v>
      </c>
      <c r="BE95" s="2757">
        <f t="shared" ca="1" si="142"/>
        <v>17708.347135123913</v>
      </c>
      <c r="BF95" s="2758">
        <f t="shared" ca="1" si="210"/>
        <v>1.6512824855140904</v>
      </c>
      <c r="BG95" s="2043">
        <f ca="1">SUM(INDIRECT(BG$1&amp;BG$2&amp;$A95):INDIRECT(BG$1&amp;BG$3&amp;$A95))+SUM(INDIRECT(BG$1&amp;BG$2&amp;$B95):INDIRECT(BG$1&amp;BG$3&amp;$B95))</f>
        <v>35324.338987841867</v>
      </c>
      <c r="BH95" s="2757">
        <f t="shared" ca="1" si="145"/>
        <v>9573.9718404494051</v>
      </c>
      <c r="BI95" s="2758">
        <f t="shared" ca="1" si="211"/>
        <v>1.2710304598691748</v>
      </c>
    </row>
    <row r="96" spans="1:61" ht="14.5">
      <c r="A96" s="1693">
        <f t="shared" si="147"/>
        <v>96</v>
      </c>
      <c r="B96" s="616">
        <v>1</v>
      </c>
      <c r="C96" s="1693">
        <f t="shared" si="127"/>
        <v>96</v>
      </c>
      <c r="D96" s="616">
        <v>1</v>
      </c>
      <c r="E96" s="709" t="s">
        <v>512</v>
      </c>
      <c r="F96" s="1572"/>
      <c r="G96" s="519"/>
      <c r="H96" s="737"/>
      <c r="I96" s="4"/>
      <c r="J96" s="4"/>
      <c r="K96" s="3"/>
      <c r="L96" s="27"/>
      <c r="M96" s="498"/>
      <c r="N96" s="553" t="s">
        <v>513</v>
      </c>
      <c r="O96" s="47"/>
      <c r="P96" s="47"/>
      <c r="Q96" s="47"/>
      <c r="R96" s="1776" t="str">
        <f>CHOOSE(2, "6722000003015", "PL Operating Profit CAR Allocation SGA (%)")</f>
        <v>PL Operating Profit CAR Allocation SGA (%)</v>
      </c>
      <c r="S96" s="1334">
        <f>IFERROR(S95/S82,0)</f>
        <v>0.47959394387341836</v>
      </c>
      <c r="T96" s="1334">
        <f>IFERROR(T95/T82,0)</f>
        <v>0.60773714353006192</v>
      </c>
      <c r="U96" s="1334">
        <f t="shared" ref="U96:AD96" si="213">IFERROR(U95/U82,0)</f>
        <v>0.49461170288879619</v>
      </c>
      <c r="V96" s="1334">
        <f t="shared" si="213"/>
        <v>0.57460843050797816</v>
      </c>
      <c r="W96" s="1334">
        <f t="shared" si="213"/>
        <v>0.50652989857124897</v>
      </c>
      <c r="X96" s="1334">
        <f t="shared" si="213"/>
        <v>0.56434996973979512</v>
      </c>
      <c r="Y96" s="1334">
        <f t="shared" si="213"/>
        <v>0.31621613756091971</v>
      </c>
      <c r="Z96" s="1334">
        <f t="shared" si="213"/>
        <v>0.50017156077257219</v>
      </c>
      <c r="AA96" s="1334">
        <f t="shared" si="213"/>
        <v>0.34980382966688334</v>
      </c>
      <c r="AB96" s="1334">
        <f t="shared" si="213"/>
        <v>0.51770794685987898</v>
      </c>
      <c r="AC96" s="1334">
        <f t="shared" si="213"/>
        <v>0.8013426062867951</v>
      </c>
      <c r="AD96" s="1334">
        <f t="shared" si="213"/>
        <v>0.40514913313147938</v>
      </c>
      <c r="AE96" s="1332">
        <f t="shared" ref="AE96:AK96" si="214">IFERROR(AE95/AE82,0)</f>
        <v>0.52476207880325243</v>
      </c>
      <c r="AF96" s="1334">
        <f t="shared" si="214"/>
        <v>0.54809550694033848</v>
      </c>
      <c r="AG96" s="1334">
        <f t="shared" si="214"/>
        <v>0.38731806835456878</v>
      </c>
      <c r="AH96" s="1334">
        <f t="shared" si="214"/>
        <v>0.58075566674352419</v>
      </c>
      <c r="AI96" s="1334">
        <f t="shared" si="214"/>
        <v>0.53647382323872761</v>
      </c>
      <c r="AJ96" s="1334">
        <f t="shared" si="214"/>
        <v>0.4797221214925374</v>
      </c>
      <c r="AK96" s="1334">
        <f t="shared" si="214"/>
        <v>0.50742662766943736</v>
      </c>
      <c r="AM96" s="2761">
        <f ca="1">IFERROR(AM95/AM131,0)</f>
        <v>0.48157095007578699</v>
      </c>
      <c r="AN96" s="2761">
        <f ca="1">IFERROR(AN95/AN131,0)</f>
        <v>0.40907840858998351</v>
      </c>
      <c r="AO96" s="2761">
        <f t="shared" ca="1" si="130"/>
        <v>7.2492541485803474E-2</v>
      </c>
      <c r="AP96" s="2762"/>
      <c r="AQ96" s="2761">
        <f ca="1">IFERROR(AQ95/AQ131,0)</f>
        <v>0.65086808574324817</v>
      </c>
      <c r="AR96" s="2761">
        <f ca="1">IFERROR(AR95/AR127,0)</f>
        <v>0</v>
      </c>
      <c r="AS96" s="2763"/>
      <c r="AU96" s="2761">
        <f ca="1">IFERROR(AU95/AU131,0)</f>
        <v>0.48157095007578699</v>
      </c>
      <c r="AV96" s="2761">
        <f ca="1">IFERROR(AV95/AV131,0)</f>
        <v>0.40907840858998351</v>
      </c>
      <c r="AW96" s="2761">
        <f t="shared" ca="1" si="136"/>
        <v>7.2492541485803474E-2</v>
      </c>
      <c r="AX96" s="2762"/>
      <c r="AY96" s="2761">
        <f ca="1">IFERROR(AY95/AY131,0)</f>
        <v>0.65086808574324817</v>
      </c>
      <c r="AZ96" s="2761">
        <f ca="1">IFERROR(AZ95/AZ127,0)</f>
        <v>0</v>
      </c>
      <c r="BA96" s="2763"/>
      <c r="BB96" s="69"/>
      <c r="BC96" s="2761">
        <f ca="1">IFERROR(BC95/BC131,0)</f>
        <v>0.48157095007578699</v>
      </c>
      <c r="BD96" s="2761">
        <f ca="1">IFERROR(BD95/BD131,0)</f>
        <v>0.40907840858998351</v>
      </c>
      <c r="BE96" s="2761">
        <f t="shared" ca="1" si="142"/>
        <v>7.2492541485803474E-2</v>
      </c>
      <c r="BF96" s="2764"/>
      <c r="BG96" s="2761">
        <f ca="1">IFERROR(BG95/BG131,0)</f>
        <v>0.65086808574324817</v>
      </c>
      <c r="BH96" s="2761">
        <f ca="1">IFERROR(BH95/BH127,0)</f>
        <v>0</v>
      </c>
      <c r="BI96" s="2763"/>
    </row>
    <row r="97" spans="1:61" ht="14.5">
      <c r="A97" s="1693">
        <f t="shared" si="147"/>
        <v>97</v>
      </c>
      <c r="B97" s="616">
        <v>1</v>
      </c>
      <c r="C97" s="1693">
        <f t="shared" si="127"/>
        <v>97</v>
      </c>
      <c r="D97" s="616">
        <v>1</v>
      </c>
      <c r="E97" s="709" t="s">
        <v>512</v>
      </c>
      <c r="F97" s="1572"/>
      <c r="G97" s="519"/>
      <c r="H97" s="737"/>
      <c r="I97" s="4"/>
      <c r="J97" s="4"/>
      <c r="K97" s="3"/>
      <c r="L97" s="27"/>
      <c r="M97" s="27"/>
      <c r="N97" s="36" t="s">
        <v>87</v>
      </c>
      <c r="O97" s="3"/>
      <c r="P97" s="3"/>
      <c r="Q97" s="3"/>
      <c r="R97" s="1786" t="str">
        <f>CHOOSE(2, "6722000003016", "PL Operating Profit CAR Allocation Variable Expenses")</f>
        <v>PL Operating Profit CAR Allocation Variable Expenses</v>
      </c>
      <c r="S97" s="1289">
        <f>S83-S92</f>
        <v>12192.886718482245</v>
      </c>
      <c r="T97" s="1289">
        <f t="shared" ref="T97:AD99" si="215">T83-T92</f>
        <v>12300.488503358309</v>
      </c>
      <c r="U97" s="1289">
        <f t="shared" si="215"/>
        <v>23865.751917567377</v>
      </c>
      <c r="V97" s="1289">
        <f t="shared" si="215"/>
        <v>20130.070324672037</v>
      </c>
      <c r="W97" s="1289">
        <f t="shared" si="215"/>
        <v>21236.153647635267</v>
      </c>
      <c r="X97" s="1289">
        <f t="shared" si="215"/>
        <v>25057.342019970441</v>
      </c>
      <c r="Y97" s="1226">
        <f t="shared" si="215"/>
        <v>5570.4080421793187</v>
      </c>
      <c r="Z97" s="1226">
        <f t="shared" si="215"/>
        <v>13842.427624236374</v>
      </c>
      <c r="AA97" s="1226">
        <f t="shared" si="215"/>
        <v>2829.6214033317083</v>
      </c>
      <c r="AB97" s="1419">
        <f t="shared" si="215"/>
        <v>7459.190309934128</v>
      </c>
      <c r="AC97" s="1419">
        <f t="shared" si="215"/>
        <v>36434.602203781149</v>
      </c>
      <c r="AD97" s="1419">
        <f t="shared" si="215"/>
        <v>20346.619513165206</v>
      </c>
      <c r="AE97" s="1617">
        <f>SUM(S97,T97,U97)</f>
        <v>48359.12713940793</v>
      </c>
      <c r="AF97" s="1419">
        <f>SUM(V97,W97,X97)</f>
        <v>66423.565992277741</v>
      </c>
      <c r="AG97" s="1419">
        <f>SUM(Y97,Z97,AA97)</f>
        <v>22242.457069747401</v>
      </c>
      <c r="AH97" s="1419">
        <f>SUM(AB97,AC97,AD97)</f>
        <v>64240.412026880484</v>
      </c>
      <c r="AI97" s="1419">
        <f>AE97+AF97</f>
        <v>114782.69313168566</v>
      </c>
      <c r="AJ97" s="1419">
        <f>AH97+AG97</f>
        <v>86482.869096627881</v>
      </c>
      <c r="AK97" s="1419">
        <f>AI97+AJ97</f>
        <v>201265.56222831353</v>
      </c>
      <c r="AM97" s="2470">
        <f ca="1">SUM((INDIRECT(AM$2&amp;(ROW())):INDIRECT(AM$3&amp;(ROW()))))</f>
        <v>12192.886718482245</v>
      </c>
      <c r="AN97" s="2754">
        <f ca="1">SUM(INDIRECT(AN$1&amp;AN$2&amp;$C97):INDIRECT(AN$1&amp;AN$3&amp;$C97))</f>
        <v>16292.506177936801</v>
      </c>
      <c r="AO97" s="2755">
        <f t="shared" ca="1" si="130"/>
        <v>-4099.6194594545559</v>
      </c>
      <c r="AP97" s="2756">
        <f t="shared" ref="AP97:AP99" ca="1" si="216">IFERROR(AM97/AN97,0)</f>
        <v>0.74837392021331672</v>
      </c>
      <c r="AQ97" s="2043">
        <f ca="1">SUM(INDIRECT(AQ$1&amp;AQ$2&amp;$A97):INDIRECT(AQ$1&amp;AQ$3&amp;$A97))+SUM(INDIRECT(AQ$1&amp;AQ$2&amp;$B97):INDIRECT(AQ$1&amp;AQ$3&amp;$B97))</f>
        <v>17306.441278610062</v>
      </c>
      <c r="AR97" s="2757">
        <f t="shared" ref="AR97:AR99" ca="1" si="217">AM97-AQ97</f>
        <v>-5113.5545601278172</v>
      </c>
      <c r="AS97" s="2758">
        <f t="shared" ref="AS97:AS99" ca="1" si="218">IFERROR(AM97/AQ97,0)</f>
        <v>0.70452882381729587</v>
      </c>
      <c r="AU97" s="2470">
        <f ca="1">SUM((INDIRECT(AU$2&amp;(ROW())):INDIRECT(AU$3&amp;(ROW()))))</f>
        <v>12192.886718482245</v>
      </c>
      <c r="AV97" s="2754">
        <f ca="1">SUM(INDIRECT(AV$1&amp;AV$2&amp;$C97):INDIRECT(AV$1&amp;AV$3&amp;$C97))</f>
        <v>16292.506177936801</v>
      </c>
      <c r="AW97" s="2755">
        <f t="shared" ca="1" si="136"/>
        <v>-4099.6194594545559</v>
      </c>
      <c r="AX97" s="2756">
        <f t="shared" ref="AX97:AX99" ca="1" si="219">IFERROR(AU97/AV97,0)</f>
        <v>0.74837392021331672</v>
      </c>
      <c r="AY97" s="2043">
        <f ca="1">SUM(INDIRECT(AY$1&amp;AY$2&amp;$A97):INDIRECT(AY$1&amp;AY$3&amp;$A97))+SUM(INDIRECT(AY$1&amp;AY$2&amp;$B97):INDIRECT(AY$1&amp;AY$3&amp;$B97))</f>
        <v>17306.441278610062</v>
      </c>
      <c r="AZ97" s="2757">
        <f t="shared" ref="AZ97:AZ99" ca="1" si="220">AU97-AY97</f>
        <v>-5113.5545601278172</v>
      </c>
      <c r="BA97" s="2758">
        <f t="shared" ref="BA97:BA99" ca="1" si="221">IFERROR(AU97/AY97,0)</f>
        <v>0.70452882381729587</v>
      </c>
      <c r="BB97" s="69"/>
      <c r="BC97" s="1378">
        <f ca="1">SUM((INDIRECT(BC$2&amp;(ROW())):INDIRECT(BC$3&amp;(ROW()))))</f>
        <v>12192.886718482245</v>
      </c>
      <c r="BD97" s="2043">
        <f ca="1">SUM(INDIRECT(BD$1&amp;BD$2&amp;$C97):INDIRECT(BD$1&amp;BD$3&amp;$C97))</f>
        <v>16292.506177936801</v>
      </c>
      <c r="BE97" s="2757">
        <f t="shared" ca="1" si="142"/>
        <v>-4099.6194594545559</v>
      </c>
      <c r="BF97" s="2758">
        <f t="shared" ref="BF97:BF99" ca="1" si="222">IFERROR(BC97/BD97,0)</f>
        <v>0.74837392021331672</v>
      </c>
      <c r="BG97" s="2043">
        <f ca="1">SUM(INDIRECT(BG$1&amp;BG$2&amp;$A97):INDIRECT(BG$1&amp;BG$3&amp;$A97))+SUM(INDIRECT(BG$1&amp;BG$2&amp;$B97):INDIRECT(BG$1&amp;BG$3&amp;$B97))</f>
        <v>17306.441278610062</v>
      </c>
      <c r="BH97" s="2757">
        <f t="shared" ref="BH97:BH99" ca="1" si="223">BC97-BG97</f>
        <v>-5113.5545601278172</v>
      </c>
      <c r="BI97" s="2758">
        <f t="shared" ref="BI97:BI99" ca="1" si="224">IFERROR(BC97/BG97,0)</f>
        <v>0.70452882381729587</v>
      </c>
    </row>
    <row r="98" spans="1:61" ht="14.5">
      <c r="A98" s="1693">
        <f t="shared" si="147"/>
        <v>98</v>
      </c>
      <c r="B98" s="616">
        <v>1</v>
      </c>
      <c r="C98" s="1693">
        <f t="shared" si="127"/>
        <v>98</v>
      </c>
      <c r="D98" s="616">
        <v>1</v>
      </c>
      <c r="E98" s="709" t="s">
        <v>512</v>
      </c>
      <c r="F98" s="1572"/>
      <c r="G98" s="519"/>
      <c r="H98" s="737"/>
      <c r="I98" s="4"/>
      <c r="J98" s="4"/>
      <c r="K98" s="3"/>
      <c r="L98" s="27"/>
      <c r="M98" s="27"/>
      <c r="N98" s="36" t="s">
        <v>88</v>
      </c>
      <c r="O98" s="3"/>
      <c r="P98" s="3"/>
      <c r="Q98" s="3"/>
      <c r="R98" s="1786" t="str">
        <f>CHOOSE(2, "6722000003017", "PL Operating Profit CAR Allocation Wages &amp; Salaries")</f>
        <v>PL Operating Profit CAR Allocation Wages &amp; Salaries</v>
      </c>
      <c r="S98" s="1289">
        <f>S84-S93</f>
        <v>8341.6706853483156</v>
      </c>
      <c r="T98" s="1289">
        <f t="shared" si="215"/>
        <v>9653.3748402213569</v>
      </c>
      <c r="U98" s="1289">
        <f t="shared" si="215"/>
        <v>9904.2393462004984</v>
      </c>
      <c r="V98" s="1289">
        <f>V84-V93</f>
        <v>8262.4856117443596</v>
      </c>
      <c r="W98" s="1289">
        <f t="shared" si="215"/>
        <v>5796.9788926290676</v>
      </c>
      <c r="X98" s="1289">
        <f t="shared" si="215"/>
        <v>8986.9114182299199</v>
      </c>
      <c r="Y98" s="1226">
        <f t="shared" si="215"/>
        <v>8256.1252759197378</v>
      </c>
      <c r="Z98" s="1226">
        <f t="shared" si="215"/>
        <v>9739.8976924555864</v>
      </c>
      <c r="AA98" s="1226">
        <f t="shared" si="215"/>
        <v>11828.540145406812</v>
      </c>
      <c r="AB98" s="1419">
        <f t="shared" si="215"/>
        <v>11231.193522454734</v>
      </c>
      <c r="AC98" s="1419">
        <f t="shared" si="215"/>
        <v>13556.701260925394</v>
      </c>
      <c r="AD98" s="1419">
        <f t="shared" si="215"/>
        <v>10555.00250710977</v>
      </c>
      <c r="AE98" s="1617">
        <f>SUM(S98,T98,U98)</f>
        <v>27899.284871770171</v>
      </c>
      <c r="AF98" s="1419">
        <f>SUM(V98,W98,X98)</f>
        <v>23046.375922603347</v>
      </c>
      <c r="AG98" s="1419">
        <f>SUM(Y98,Z98,AA98)</f>
        <v>29824.563113782136</v>
      </c>
      <c r="AH98" s="1419">
        <f>SUM(AB98,AC98,AD98)</f>
        <v>35342.897290489898</v>
      </c>
      <c r="AI98" s="1419">
        <f>AE98+AF98</f>
        <v>50945.660794373514</v>
      </c>
      <c r="AJ98" s="1419">
        <f>AH98+AG98</f>
        <v>65167.460404272031</v>
      </c>
      <c r="AK98" s="1419">
        <f>AI98+AJ98</f>
        <v>116113.12119864555</v>
      </c>
      <c r="AM98" s="2470">
        <f ca="1">SUM((INDIRECT(AM$2&amp;(ROW())):INDIRECT(AM$3&amp;(ROW()))))</f>
        <v>8341.6706853483156</v>
      </c>
      <c r="AN98" s="2754">
        <f ca="1">SUM(INDIRECT(AN$1&amp;AN$2&amp;$C98):INDIRECT(AN$1&amp;AN$3&amp;$C98))</f>
        <v>7677.0018620105438</v>
      </c>
      <c r="AO98" s="2755">
        <f t="shared" ca="1" si="130"/>
        <v>664.66882333777176</v>
      </c>
      <c r="AP98" s="2756">
        <f t="shared" ca="1" si="216"/>
        <v>1.0865792187216821</v>
      </c>
      <c r="AQ98" s="2043">
        <f ca="1">SUM(INDIRECT(AQ$1&amp;AQ$2&amp;$A98):INDIRECT(AQ$1&amp;AQ$3&amp;$A98))+SUM(INDIRECT(AQ$1&amp;AQ$2&amp;$B98):INDIRECT(AQ$1&amp;AQ$3&amp;$B98))</f>
        <v>7969</v>
      </c>
      <c r="AR98" s="2757">
        <f t="shared" ca="1" si="217"/>
        <v>372.6706853483156</v>
      </c>
      <c r="AS98" s="2758">
        <f t="shared" ca="1" si="218"/>
        <v>1.0467650502382124</v>
      </c>
      <c r="AU98" s="2470">
        <f ca="1">SUM((INDIRECT(AU$2&amp;(ROW())):INDIRECT(AU$3&amp;(ROW()))))</f>
        <v>8341.6706853483156</v>
      </c>
      <c r="AV98" s="2754">
        <f ca="1">SUM(INDIRECT(AV$1&amp;AV$2&amp;$C98):INDIRECT(AV$1&amp;AV$3&amp;$C98))</f>
        <v>7677.0018620105438</v>
      </c>
      <c r="AW98" s="2755">
        <f t="shared" ca="1" si="136"/>
        <v>664.66882333777176</v>
      </c>
      <c r="AX98" s="2756">
        <f t="shared" ca="1" si="219"/>
        <v>1.0865792187216821</v>
      </c>
      <c r="AY98" s="2043">
        <f ca="1">SUM(INDIRECT(AY$1&amp;AY$2&amp;$A98):INDIRECT(AY$1&amp;AY$3&amp;$A98))+SUM(INDIRECT(AY$1&amp;AY$2&amp;$B98):INDIRECT(AY$1&amp;AY$3&amp;$B98))</f>
        <v>7969</v>
      </c>
      <c r="AZ98" s="2757">
        <f t="shared" ca="1" si="220"/>
        <v>372.6706853483156</v>
      </c>
      <c r="BA98" s="2758">
        <f t="shared" ca="1" si="221"/>
        <v>1.0467650502382124</v>
      </c>
      <c r="BB98" s="69"/>
      <c r="BC98" s="1378">
        <f ca="1">SUM((INDIRECT(BC$2&amp;(ROW())):INDIRECT(BC$3&amp;(ROW()))))</f>
        <v>8341.6706853483156</v>
      </c>
      <c r="BD98" s="2043">
        <f ca="1">SUM(INDIRECT(BD$1&amp;BD$2&amp;$C98):INDIRECT(BD$1&amp;BD$3&amp;$C98))</f>
        <v>7677.0018620105438</v>
      </c>
      <c r="BE98" s="2757">
        <f t="shared" ca="1" si="142"/>
        <v>664.66882333777176</v>
      </c>
      <c r="BF98" s="2758">
        <f t="shared" ca="1" si="222"/>
        <v>1.0865792187216821</v>
      </c>
      <c r="BG98" s="2043">
        <f ca="1">SUM(INDIRECT(BG$1&amp;BG$2&amp;$A98):INDIRECT(BG$1&amp;BG$3&amp;$A98))+SUM(INDIRECT(BG$1&amp;BG$2&amp;$B98):INDIRECT(BG$1&amp;BG$3&amp;$B98))</f>
        <v>7969</v>
      </c>
      <c r="BH98" s="2757">
        <f t="shared" ca="1" si="223"/>
        <v>372.6706853483156</v>
      </c>
      <c r="BI98" s="2758">
        <f t="shared" ca="1" si="224"/>
        <v>1.0467650502382124</v>
      </c>
    </row>
    <row r="99" spans="1:61" ht="14.5">
      <c r="A99" s="1693">
        <f t="shared" si="147"/>
        <v>99</v>
      </c>
      <c r="B99" s="616">
        <v>1</v>
      </c>
      <c r="C99" s="1693">
        <f t="shared" si="127"/>
        <v>99</v>
      </c>
      <c r="D99" s="616">
        <v>1</v>
      </c>
      <c r="E99" s="709" t="s">
        <v>512</v>
      </c>
      <c r="F99" s="1572"/>
      <c r="G99" s="519"/>
      <c r="H99" s="737"/>
      <c r="I99" s="4"/>
      <c r="J99" s="4"/>
      <c r="K99" s="3"/>
      <c r="L99" s="25"/>
      <c r="M99" s="25"/>
      <c r="N99" s="104" t="s">
        <v>89</v>
      </c>
      <c r="O99" s="1"/>
      <c r="P99" s="1"/>
      <c r="Q99" s="1"/>
      <c r="R99" s="1786" t="str">
        <f>CHOOSE(2, "6722000003018", "PL Operating Profit CAR Allocation Fixed Expenses")</f>
        <v>PL Operating Profit CAR Allocation Fixed Expenses</v>
      </c>
      <c r="S99" s="1290">
        <f>S85-S94</f>
        <v>24363.753424460712</v>
      </c>
      <c r="T99" s="1290">
        <f t="shared" si="215"/>
        <v>24895.193360795842</v>
      </c>
      <c r="U99" s="1290">
        <f t="shared" si="215"/>
        <v>1792.9809675935694</v>
      </c>
      <c r="V99" s="1290">
        <f t="shared" si="215"/>
        <v>14048.467689619825</v>
      </c>
      <c r="W99" s="1290">
        <f t="shared" si="215"/>
        <v>14418.556459001</v>
      </c>
      <c r="X99" s="1290">
        <f t="shared" si="215"/>
        <v>16064.642242954411</v>
      </c>
      <c r="Y99" s="1228">
        <f t="shared" si="215"/>
        <v>13789.316768864523</v>
      </c>
      <c r="Z99" s="1228">
        <f t="shared" si="215"/>
        <v>19459.82123179386</v>
      </c>
      <c r="AA99" s="1228">
        <f t="shared" si="215"/>
        <v>17997.320591477503</v>
      </c>
      <c r="AB99" s="1605">
        <f t="shared" si="215"/>
        <v>19187.245380258908</v>
      </c>
      <c r="AC99" s="1605">
        <f t="shared" si="215"/>
        <v>20001.555448020074</v>
      </c>
      <c r="AD99" s="1605">
        <f t="shared" si="215"/>
        <v>2907.7478377446005</v>
      </c>
      <c r="AE99" s="1606">
        <f>SUM(S99,T99,U99)</f>
        <v>51051.927752850126</v>
      </c>
      <c r="AF99" s="1605">
        <f>SUM(V99,W99,X99)</f>
        <v>44531.666391575236</v>
      </c>
      <c r="AG99" s="1605">
        <f>SUM(Y99,Z99,AA99)</f>
        <v>51246.458592135881</v>
      </c>
      <c r="AH99" s="1605">
        <f>SUM(AB99,AC99,AD99)</f>
        <v>42096.548666023584</v>
      </c>
      <c r="AI99" s="1605">
        <f>AE99+AF99</f>
        <v>95583.594144425355</v>
      </c>
      <c r="AJ99" s="1605">
        <f>AH99+AG99</f>
        <v>93343.007258159458</v>
      </c>
      <c r="AK99" s="1605">
        <f>AI99+AJ99</f>
        <v>188926.60140258481</v>
      </c>
      <c r="AM99" s="2494">
        <f ca="1">SUM((INDIRECT(AM$2&amp;(ROW())):INDIRECT(AM$3&amp;(ROW()))))</f>
        <v>24363.753424460712</v>
      </c>
      <c r="AN99" s="1980">
        <f ca="1">SUM(INDIRECT(AN$1&amp;AN$2&amp;$C99):INDIRECT(AN$1&amp;AN$3&amp;$C99))</f>
        <v>3220.4556532200149</v>
      </c>
      <c r="AO99" s="2759">
        <f t="shared" ca="1" si="130"/>
        <v>21143.297771240697</v>
      </c>
      <c r="AP99" s="2760">
        <f t="shared" ca="1" si="216"/>
        <v>7.5653125048004597</v>
      </c>
      <c r="AQ99" s="1979">
        <f ca="1">SUM(INDIRECT(AQ$1&amp;AQ$2&amp;$A99):INDIRECT(AQ$1&amp;AQ$3&amp;$A99))+SUM(INDIRECT(AQ$1&amp;AQ$2&amp;$B99):INDIRECT(AQ$1&amp;AQ$3&amp;$B99))</f>
        <v>10048.897709231807</v>
      </c>
      <c r="AR99" s="2742">
        <f t="shared" ca="1" si="217"/>
        <v>14314.855715228905</v>
      </c>
      <c r="AS99" s="2743">
        <f t="shared" ca="1" si="218"/>
        <v>2.4245199950715004</v>
      </c>
      <c r="AU99" s="2494">
        <f ca="1">SUM((INDIRECT(AU$2&amp;(ROW())):INDIRECT(AU$3&amp;(ROW()))))</f>
        <v>24363.753424460712</v>
      </c>
      <c r="AV99" s="1980">
        <f ca="1">SUM(INDIRECT(AV$1&amp;AV$2&amp;$C99):INDIRECT(AV$1&amp;AV$3&amp;$C99))</f>
        <v>3220.4556532200149</v>
      </c>
      <c r="AW99" s="2759">
        <f t="shared" ca="1" si="136"/>
        <v>21143.297771240697</v>
      </c>
      <c r="AX99" s="2760">
        <f t="shared" ca="1" si="219"/>
        <v>7.5653125048004597</v>
      </c>
      <c r="AY99" s="1979">
        <f ca="1">SUM(INDIRECT(AY$1&amp;AY$2&amp;$A99):INDIRECT(AY$1&amp;AY$3&amp;$A99))+SUM(INDIRECT(AY$1&amp;AY$2&amp;$B99):INDIRECT(AY$1&amp;AY$3&amp;$B99))</f>
        <v>10048.897709231807</v>
      </c>
      <c r="AZ99" s="2742">
        <f t="shared" ca="1" si="220"/>
        <v>14314.855715228905</v>
      </c>
      <c r="BA99" s="2743">
        <f t="shared" ca="1" si="221"/>
        <v>2.4245199950715004</v>
      </c>
      <c r="BB99" s="69"/>
      <c r="BC99" s="1379">
        <f ca="1">SUM((INDIRECT(BC$2&amp;(ROW())):INDIRECT(BC$3&amp;(ROW()))))</f>
        <v>24363.753424460712</v>
      </c>
      <c r="BD99" s="1979">
        <f ca="1">SUM(INDIRECT(BD$1&amp;BD$2&amp;$C99):INDIRECT(BD$1&amp;BD$3&amp;$C99))</f>
        <v>3220.4556532200149</v>
      </c>
      <c r="BE99" s="2742">
        <f t="shared" ca="1" si="142"/>
        <v>21143.297771240697</v>
      </c>
      <c r="BF99" s="2743">
        <f t="shared" ca="1" si="222"/>
        <v>7.5653125048004597</v>
      </c>
      <c r="BG99" s="1979">
        <f ca="1">SUM(INDIRECT(BG$1&amp;BG$2&amp;$A99):INDIRECT(BG$1&amp;BG$3&amp;$A99))+SUM(INDIRECT(BG$1&amp;BG$2&amp;$B99):INDIRECT(BG$1&amp;BG$3&amp;$B99))</f>
        <v>10048.897709231807</v>
      </c>
      <c r="BH99" s="2742">
        <f t="shared" ca="1" si="223"/>
        <v>14314.855715228905</v>
      </c>
      <c r="BI99" s="2743">
        <f t="shared" ca="1" si="224"/>
        <v>2.4245199950715004</v>
      </c>
    </row>
    <row r="100" spans="1:61" ht="14.5">
      <c r="A100" s="1693">
        <f t="shared" si="147"/>
        <v>100</v>
      </c>
      <c r="B100" s="616">
        <v>1</v>
      </c>
      <c r="C100" s="1693">
        <f t="shared" si="127"/>
        <v>100</v>
      </c>
      <c r="D100" s="616">
        <v>1</v>
      </c>
      <c r="E100" s="709" t="s">
        <v>512</v>
      </c>
      <c r="F100" s="1572"/>
      <c r="G100" s="4"/>
      <c r="H100" s="4"/>
      <c r="I100" s="4"/>
      <c r="J100" s="4"/>
      <c r="K100" s="3"/>
      <c r="L100" s="4"/>
      <c r="M100" s="4"/>
      <c r="N100" s="3"/>
      <c r="O100" s="3"/>
      <c r="P100" s="3"/>
      <c r="Q100" s="3"/>
      <c r="R100" s="1773" t="str">
        <f>CHOOSE(2, "6722000003019", "▷ Blank 7")</f>
        <v>▷ Blank 7</v>
      </c>
      <c r="S100" s="1608"/>
      <c r="T100" s="1609"/>
      <c r="U100" s="1609"/>
      <c r="V100" s="1609"/>
      <c r="W100" s="1609"/>
      <c r="X100" s="1609"/>
      <c r="Y100" s="1366"/>
      <c r="Z100" s="1366"/>
      <c r="AA100" s="1366"/>
      <c r="AB100" s="1242"/>
      <c r="AC100" s="1242"/>
      <c r="AD100" s="1242"/>
      <c r="AE100" s="1242"/>
      <c r="AF100" s="1242"/>
      <c r="AG100" s="1242"/>
      <c r="AH100" s="1242"/>
      <c r="AI100" s="1242"/>
      <c r="AJ100" s="1242"/>
      <c r="AK100" s="608"/>
      <c r="AM100" s="2558"/>
      <c r="AN100" s="2558"/>
      <c r="AO100" s="2558"/>
      <c r="AP100" s="2558"/>
      <c r="AQ100" s="2558"/>
      <c r="AR100" s="2558"/>
      <c r="AS100" s="2558"/>
      <c r="AU100" s="2558"/>
      <c r="AV100" s="2558"/>
      <c r="AW100" s="2558"/>
      <c r="AX100" s="2558"/>
      <c r="AY100" s="2558"/>
      <c r="AZ100" s="2558"/>
      <c r="BA100" s="2558"/>
      <c r="BC100" s="2558"/>
      <c r="BD100" s="2558"/>
      <c r="BE100" s="2558"/>
      <c r="BF100" s="2558"/>
      <c r="BG100" s="2558"/>
      <c r="BH100" s="2558"/>
      <c r="BI100" s="2558"/>
    </row>
    <row r="101" spans="1:61" ht="14.5">
      <c r="A101" s="1693">
        <f t="shared" si="147"/>
        <v>101</v>
      </c>
      <c r="B101" s="616">
        <v>1</v>
      </c>
      <c r="C101" s="1693">
        <f t="shared" si="127"/>
        <v>101</v>
      </c>
      <c r="D101" s="616">
        <v>1</v>
      </c>
      <c r="E101" s="709" t="s">
        <v>512</v>
      </c>
      <c r="F101" s="1572"/>
      <c r="G101" s="4"/>
      <c r="H101" s="4"/>
      <c r="I101" s="4" t="s">
        <v>731</v>
      </c>
      <c r="J101" s="4"/>
      <c r="K101" s="3"/>
      <c r="L101" s="4"/>
      <c r="M101" s="4"/>
      <c r="N101" s="3"/>
      <c r="O101" s="3"/>
      <c r="P101" s="3"/>
      <c r="Q101" s="3"/>
      <c r="R101" s="1773" t="str">
        <f>CHOOSE(2, "6722000003020", "PL (1)-1 Office: Excluding ""Office Solution""")</f>
        <v>PL (1)-1 Office: Excluding "Office Solution"</v>
      </c>
      <c r="S101" s="1608"/>
      <c r="T101" s="1609"/>
      <c r="U101" s="1609"/>
      <c r="V101" s="1609"/>
      <c r="W101" s="1609"/>
      <c r="X101" s="1609"/>
      <c r="Y101" s="1366"/>
      <c r="Z101" s="1366"/>
      <c r="AA101" s="1366"/>
      <c r="AB101" s="1242"/>
      <c r="AC101" s="1242"/>
      <c r="AD101" s="1242"/>
      <c r="AE101" s="1242"/>
      <c r="AF101" s="1242"/>
      <c r="AG101" s="1242"/>
      <c r="AH101" s="1242"/>
      <c r="AI101" s="1242"/>
      <c r="AJ101" s="1242"/>
      <c r="AK101" s="608"/>
      <c r="AM101" s="2558"/>
      <c r="AN101" s="2558"/>
      <c r="AO101" s="2558"/>
      <c r="AP101" s="2558"/>
      <c r="AQ101" s="2558"/>
      <c r="AR101" s="2558"/>
      <c r="AS101" s="2558"/>
      <c r="AU101" s="2558"/>
      <c r="AV101" s="2558"/>
      <c r="AW101" s="2558"/>
      <c r="AX101" s="2558"/>
      <c r="AY101" s="2558"/>
      <c r="AZ101" s="2558"/>
      <c r="BA101" s="2558"/>
      <c r="BC101" s="2558"/>
      <c r="BD101" s="2558"/>
      <c r="BE101" s="2558"/>
      <c r="BF101" s="2558"/>
      <c r="BG101" s="2558"/>
      <c r="BH101" s="2558"/>
      <c r="BI101" s="2558"/>
    </row>
    <row r="102" spans="1:61" ht="14.5">
      <c r="A102" s="1693">
        <f t="shared" si="147"/>
        <v>102</v>
      </c>
      <c r="B102" s="616">
        <v>1</v>
      </c>
      <c r="C102" s="1693">
        <f t="shared" si="127"/>
        <v>102</v>
      </c>
      <c r="D102" s="616">
        <v>1</v>
      </c>
      <c r="E102" s="709" t="s">
        <v>512</v>
      </c>
      <c r="F102" s="1572"/>
      <c r="G102" s="4"/>
      <c r="H102" s="4"/>
      <c r="I102" s="4"/>
      <c r="J102" s="121" t="s">
        <v>119</v>
      </c>
      <c r="K102" s="120"/>
      <c r="L102" s="119"/>
      <c r="M102" s="119"/>
      <c r="N102" s="119"/>
      <c r="O102" s="119"/>
      <c r="P102" s="490" t="s">
        <v>303</v>
      </c>
      <c r="Q102" s="863"/>
      <c r="R102" s="1788" t="str">
        <f>CHOOSE(2, "6722000003021", "PL (1)-1 Net Sales")</f>
        <v>PL (1)-1 Net Sales</v>
      </c>
      <c r="S102" s="1258">
        <f t="shared" ref="S102:AD102" si="225">SUM(S103:S105)</f>
        <v>279169</v>
      </c>
      <c r="T102" s="1192">
        <f t="shared" si="225"/>
        <v>302567.69621000002</v>
      </c>
      <c r="U102" s="1192">
        <f t="shared" si="225"/>
        <v>314565.47580000001</v>
      </c>
      <c r="V102" s="1192">
        <f t="shared" si="225"/>
        <v>267506.68302</v>
      </c>
      <c r="W102" s="1192">
        <f t="shared" si="225"/>
        <v>300883.62465000001</v>
      </c>
      <c r="X102" s="1192">
        <f t="shared" si="225"/>
        <v>336948.59716</v>
      </c>
      <c r="Y102" s="1192">
        <f t="shared" si="225"/>
        <v>249701.39207</v>
      </c>
      <c r="Z102" s="1192">
        <f t="shared" si="225"/>
        <v>279643.46297999995</v>
      </c>
      <c r="AA102" s="1192">
        <f t="shared" si="225"/>
        <v>319164.67874999996</v>
      </c>
      <c r="AB102" s="1192">
        <f t="shared" si="225"/>
        <v>302587.26130000001</v>
      </c>
      <c r="AC102" s="1192">
        <f t="shared" si="225"/>
        <v>299091.21837000002</v>
      </c>
      <c r="AD102" s="1192">
        <f t="shared" si="225"/>
        <v>328207.33372999995</v>
      </c>
      <c r="AE102" s="882">
        <f t="shared" ref="AE102:AE109" si="226">SUM(S102,T102,U102)</f>
        <v>896302.17200999998</v>
      </c>
      <c r="AF102" s="118">
        <f t="shared" ref="AF102:AF109" si="227">SUM(V102,W102,X102)</f>
        <v>905338.90483000001</v>
      </c>
      <c r="AG102" s="118">
        <f t="shared" ref="AG102:AG109" si="228">SUM(Y102,Z102,AA102)</f>
        <v>848509.53379999986</v>
      </c>
      <c r="AH102" s="118">
        <f t="shared" ref="AH102:AH109" si="229">SUM(AB102,AC102,AD102)</f>
        <v>929885.81339999998</v>
      </c>
      <c r="AI102" s="118">
        <f>SUM(AI103:AI105)</f>
        <v>1801641.0768400002</v>
      </c>
      <c r="AJ102" s="118">
        <f>SUM(AJ103:AJ105)</f>
        <v>1778395.3472</v>
      </c>
      <c r="AK102" s="118">
        <f>SUM(AK103:AK105)</f>
        <v>3580036.42404</v>
      </c>
      <c r="AM102" s="1999">
        <f ca="1">SUM((INDIRECT(AM$2&amp;(ROW())):INDIRECT(AM$3&amp;(ROW()))))</f>
        <v>279169</v>
      </c>
      <c r="AN102" s="2000">
        <f ca="1">SUM(INDIRECT(AN$1&amp;AN$2&amp;$C102):INDIRECT(AN$1&amp;AN$3&amp;$C102))</f>
        <v>249409.45789114243</v>
      </c>
      <c r="AO102" s="2765">
        <f t="shared" ref="AO102:AO176" ca="1" si="230">AM102-AN102</f>
        <v>29759.542108857568</v>
      </c>
      <c r="AP102" s="2766">
        <f t="shared" ref="AP102:AP139" ca="1" si="231">IFERROR(AM102/AN102,0)</f>
        <v>1.1193200224261202</v>
      </c>
      <c r="AQ102" s="2000">
        <f ca="1">SUM(INDIRECT(AQ$1&amp;AQ$2&amp;$A102):INDIRECT(AQ$1&amp;AQ$3&amp;$A102))+SUM(INDIRECT(AQ$1&amp;AQ$2&amp;$B102):INDIRECT(AQ$1&amp;AQ$3&amp;$B102))</f>
        <v>162913</v>
      </c>
      <c r="AR102" s="2765">
        <f t="shared" ref="AR102:AR140" ca="1" si="232">AM102-AQ102</f>
        <v>116256</v>
      </c>
      <c r="AS102" s="2766">
        <f t="shared" ref="AS102:AS123" ca="1" si="233">IFERROR(AM102/AQ102,0)</f>
        <v>1.7136078765967111</v>
      </c>
      <c r="AU102" s="1999">
        <f ca="1">SUM((INDIRECT(AU$2&amp;(ROW())):INDIRECT(AU$3&amp;(ROW()))))</f>
        <v>279169</v>
      </c>
      <c r="AV102" s="2000">
        <f ca="1">SUM(INDIRECT(AV$1&amp;AV$2&amp;$C102):INDIRECT(AV$1&amp;AV$3&amp;$C102))</f>
        <v>249409.45789114243</v>
      </c>
      <c r="AW102" s="2765">
        <f t="shared" ref="AW102:AW140" ca="1" si="234">AU102-AV102</f>
        <v>29759.542108857568</v>
      </c>
      <c r="AX102" s="2766">
        <f t="shared" ref="AX102:AX123" ca="1" si="235">IFERROR(AU102/AV102,0)</f>
        <v>1.1193200224261202</v>
      </c>
      <c r="AY102" s="2000">
        <f ca="1">SUM(INDIRECT(AY$1&amp;AY$2&amp;$A102):INDIRECT(AY$1&amp;AY$3&amp;$A102))+SUM(INDIRECT(AY$1&amp;AY$2&amp;$B102):INDIRECT(AY$1&amp;AY$3&amp;$B102))</f>
        <v>162913</v>
      </c>
      <c r="AZ102" s="2765">
        <f t="shared" ref="AZ102:AZ140" ca="1" si="236">AU102-AY102</f>
        <v>116256</v>
      </c>
      <c r="BA102" s="2766">
        <f t="shared" ref="BA102:BA123" ca="1" si="237">IFERROR(AU102/AY102,0)</f>
        <v>1.7136078765967111</v>
      </c>
      <c r="BC102" s="1999">
        <f ca="1">SUM((INDIRECT(BC$2&amp;(ROW())):INDIRECT(BC$3&amp;(ROW()))))</f>
        <v>279169</v>
      </c>
      <c r="BD102" s="2000">
        <f ca="1">SUM(INDIRECT(BD$1&amp;BD$2&amp;$C102):INDIRECT(BD$1&amp;BD$3&amp;$C102))</f>
        <v>249409.45789114243</v>
      </c>
      <c r="BE102" s="2765">
        <f t="shared" ref="BE102:BE140" ca="1" si="238">BC102-BD102</f>
        <v>29759.542108857568</v>
      </c>
      <c r="BF102" s="2766">
        <f t="shared" ref="BF102:BF123" ca="1" si="239">IFERROR(BC102/BD102,0)</f>
        <v>1.1193200224261202</v>
      </c>
      <c r="BG102" s="2000">
        <f ca="1">SUM(INDIRECT(BG$1&amp;BG$2&amp;$A102):INDIRECT(BG$1&amp;BG$3&amp;$A102))+SUM(INDIRECT(BG$1&amp;BG$2&amp;$B102):INDIRECT(BG$1&amp;BG$3&amp;$B102))</f>
        <v>162913</v>
      </c>
      <c r="BH102" s="2765">
        <f t="shared" ref="BH102:BH140" ca="1" si="240">BC102-BG102</f>
        <v>116256</v>
      </c>
      <c r="BI102" s="2766">
        <f t="shared" ref="BI102:BI123" ca="1" si="241">IFERROR(BC102/BG102,0)</f>
        <v>1.7136078765967111</v>
      </c>
    </row>
    <row r="103" spans="1:61" ht="14.5">
      <c r="A103" s="1693">
        <f t="shared" si="147"/>
        <v>103</v>
      </c>
      <c r="B103" s="616">
        <v>1</v>
      </c>
      <c r="C103" s="1693">
        <f t="shared" si="127"/>
        <v>103</v>
      </c>
      <c r="D103" s="616">
        <v>1</v>
      </c>
      <c r="E103" s="709" t="s">
        <v>512</v>
      </c>
      <c r="F103" s="1572"/>
      <c r="G103" s="4"/>
      <c r="H103" s="4"/>
      <c r="I103" s="4"/>
      <c r="J103" s="27"/>
      <c r="K103" s="3"/>
      <c r="L103" s="4"/>
      <c r="M103" s="4"/>
      <c r="N103" s="3" t="s">
        <v>57</v>
      </c>
      <c r="O103" s="3"/>
      <c r="P103" s="3"/>
      <c r="Q103" s="3"/>
      <c r="R103" s="1789" t="str">
        <f>CHOOSE(2, "6722000003022", "PL (1)-1 Net Sales HW")</f>
        <v>PL (1)-1 Net Sales HW</v>
      </c>
      <c r="S103" s="1214">
        <f>S462+S478</f>
        <v>164832</v>
      </c>
      <c r="T103" s="1221">
        <f t="shared" ref="T103:AD103" si="242">T462+T478</f>
        <v>203516.09668000002</v>
      </c>
      <c r="U103" s="1221">
        <f t="shared" si="242"/>
        <v>223907.18607999998</v>
      </c>
      <c r="V103" s="1221">
        <f t="shared" si="242"/>
        <v>174736.71161000003</v>
      </c>
      <c r="W103" s="1221">
        <f t="shared" si="242"/>
        <v>189715.95994</v>
      </c>
      <c r="X103" s="1221">
        <f t="shared" si="242"/>
        <v>246073.7984</v>
      </c>
      <c r="Y103" s="1221">
        <f t="shared" si="242"/>
        <v>147995.62100000001</v>
      </c>
      <c r="Z103" s="1221">
        <f t="shared" si="242"/>
        <v>173836.37663999997</v>
      </c>
      <c r="AA103" s="1221">
        <f t="shared" si="242"/>
        <v>203736.56680999999</v>
      </c>
      <c r="AB103" s="1221">
        <f t="shared" si="242"/>
        <v>193370.45759000001</v>
      </c>
      <c r="AC103" s="1221">
        <f t="shared" si="242"/>
        <v>197254.29931999999</v>
      </c>
      <c r="AD103" s="1221">
        <f t="shared" si="242"/>
        <v>227812.79194999998</v>
      </c>
      <c r="AE103" s="1221">
        <f t="shared" si="226"/>
        <v>592255.28275999997</v>
      </c>
      <c r="AF103" s="1221">
        <f t="shared" si="227"/>
        <v>610526.46995000006</v>
      </c>
      <c r="AG103" s="1221">
        <f t="shared" si="228"/>
        <v>525568.56444999995</v>
      </c>
      <c r="AH103" s="1221">
        <f t="shared" si="229"/>
        <v>618437.54885999998</v>
      </c>
      <c r="AI103" s="1221">
        <f>AE103+AF103</f>
        <v>1202781.7527100001</v>
      </c>
      <c r="AJ103" s="1221">
        <f>AH103+AG103</f>
        <v>1144006.1133099999</v>
      </c>
      <c r="AK103" s="1221">
        <f>AI103+AJ103</f>
        <v>2346787.8660200001</v>
      </c>
      <c r="AM103" s="596">
        <f ca="1">SUM((INDIRECT(AM$2&amp;(ROW())):INDIRECT(AM$3&amp;(ROW()))))</f>
        <v>164832</v>
      </c>
      <c r="AN103" s="2002">
        <f ca="1">SUM(INDIRECT(AN$1&amp;AN$2&amp;$C103):INDIRECT(AN$1&amp;AN$3&amp;$C103))</f>
        <v>147770.71403176745</v>
      </c>
      <c r="AO103" s="2767">
        <f t="shared" ca="1" si="230"/>
        <v>17061.285968232551</v>
      </c>
      <c r="AP103" s="2768">
        <f t="shared" ca="1" si="231"/>
        <v>1.1154578299226783</v>
      </c>
      <c r="AQ103" s="2002">
        <f ca="1">SUM(INDIRECT(AQ$1&amp;AQ$2&amp;$A103):INDIRECT(AQ$1&amp;AQ$3&amp;$A103))+SUM(INDIRECT(AQ$1&amp;AQ$2&amp;$B103):INDIRECT(AQ$1&amp;AQ$3&amp;$B103))</f>
        <v>74186</v>
      </c>
      <c r="AR103" s="2767">
        <f t="shared" ca="1" si="232"/>
        <v>90646</v>
      </c>
      <c r="AS103" s="2768">
        <f t="shared" ca="1" si="233"/>
        <v>2.2218747472568947</v>
      </c>
      <c r="AU103" s="596">
        <f ca="1">SUM((INDIRECT(AU$2&amp;(ROW())):INDIRECT(AU$3&amp;(ROW()))))</f>
        <v>164832</v>
      </c>
      <c r="AV103" s="2002">
        <f ca="1">SUM(INDIRECT(AV$1&amp;AV$2&amp;$C103):INDIRECT(AV$1&amp;AV$3&amp;$C103))</f>
        <v>147770.71403176745</v>
      </c>
      <c r="AW103" s="2767">
        <f t="shared" ca="1" si="234"/>
        <v>17061.285968232551</v>
      </c>
      <c r="AX103" s="2768">
        <f t="shared" ca="1" si="235"/>
        <v>1.1154578299226783</v>
      </c>
      <c r="AY103" s="2002">
        <f ca="1">SUM(INDIRECT(AY$1&amp;AY$2&amp;$A103):INDIRECT(AY$1&amp;AY$3&amp;$A103))+SUM(INDIRECT(AY$1&amp;AY$2&amp;$B103):INDIRECT(AY$1&amp;AY$3&amp;$B103))</f>
        <v>74186</v>
      </c>
      <c r="AZ103" s="2767">
        <f t="shared" ca="1" si="236"/>
        <v>90646</v>
      </c>
      <c r="BA103" s="2768">
        <f t="shared" ca="1" si="237"/>
        <v>2.2218747472568947</v>
      </c>
      <c r="BC103" s="596">
        <f ca="1">SUM((INDIRECT(BC$2&amp;(ROW())):INDIRECT(BC$3&amp;(ROW()))))</f>
        <v>164832</v>
      </c>
      <c r="BD103" s="2002">
        <f ca="1">SUM(INDIRECT(BD$1&amp;BD$2&amp;$C103):INDIRECT(BD$1&amp;BD$3&amp;$C103))</f>
        <v>147770.71403176745</v>
      </c>
      <c r="BE103" s="2767">
        <f t="shared" ca="1" si="238"/>
        <v>17061.285968232551</v>
      </c>
      <c r="BF103" s="2768">
        <f t="shared" ca="1" si="239"/>
        <v>1.1154578299226783</v>
      </c>
      <c r="BG103" s="2002">
        <f ca="1">SUM(INDIRECT(BG$1&amp;BG$2&amp;$A103):INDIRECT(BG$1&amp;BG$3&amp;$A103))+SUM(INDIRECT(BG$1&amp;BG$2&amp;$B103):INDIRECT(BG$1&amp;BG$3&amp;$B103))</f>
        <v>74186</v>
      </c>
      <c r="BH103" s="2767">
        <f t="shared" ca="1" si="240"/>
        <v>90646</v>
      </c>
      <c r="BI103" s="2768">
        <f t="shared" ca="1" si="241"/>
        <v>2.2218747472568947</v>
      </c>
    </row>
    <row r="104" spans="1:61" ht="14.5">
      <c r="A104" s="1693">
        <f t="shared" si="147"/>
        <v>104</v>
      </c>
      <c r="B104" s="616">
        <v>1</v>
      </c>
      <c r="C104" s="1693">
        <f t="shared" si="127"/>
        <v>104</v>
      </c>
      <c r="D104" s="616">
        <v>1</v>
      </c>
      <c r="E104" s="709" t="s">
        <v>512</v>
      </c>
      <c r="F104" s="1572"/>
      <c r="G104" s="4"/>
      <c r="H104" s="4"/>
      <c r="I104" s="4"/>
      <c r="J104" s="27"/>
      <c r="K104" s="3"/>
      <c r="L104" s="4"/>
      <c r="M104" s="4"/>
      <c r="N104" s="3" t="s">
        <v>27</v>
      </c>
      <c r="O104" s="3"/>
      <c r="P104" s="3"/>
      <c r="Q104" s="3"/>
      <c r="R104" s="1789" t="str">
        <f>CHOOSE(2, "6722000003023", "PL (1)-1 Net Sales NH")</f>
        <v>PL (1)-1 Net Sales NH</v>
      </c>
      <c r="S104" s="1214">
        <f>S467+S483</f>
        <v>114337</v>
      </c>
      <c r="T104" s="1221">
        <f t="shared" ref="T104:AD104" si="243">T467+T483</f>
        <v>99051.599530000007</v>
      </c>
      <c r="U104" s="1221">
        <f t="shared" si="243"/>
        <v>90658.289720000001</v>
      </c>
      <c r="V104" s="1221">
        <f t="shared" si="243"/>
        <v>92769.971409999998</v>
      </c>
      <c r="W104" s="1221">
        <f t="shared" si="243"/>
        <v>111167.66471000001</v>
      </c>
      <c r="X104" s="1221">
        <f t="shared" si="243"/>
        <v>90874.798759999991</v>
      </c>
      <c r="Y104" s="1221">
        <f t="shared" si="243"/>
        <v>101705.77107</v>
      </c>
      <c r="Z104" s="1221">
        <f t="shared" si="243"/>
        <v>105807.08633999999</v>
      </c>
      <c r="AA104" s="1221">
        <f t="shared" si="243"/>
        <v>115428.11193999999</v>
      </c>
      <c r="AB104" s="1221">
        <f t="shared" si="243"/>
        <v>109216.80370999999</v>
      </c>
      <c r="AC104" s="1221">
        <f t="shared" si="243"/>
        <v>101836.91905</v>
      </c>
      <c r="AD104" s="1221">
        <f t="shared" si="243"/>
        <v>100394.54178</v>
      </c>
      <c r="AE104" s="1221">
        <f t="shared" si="226"/>
        <v>304046.88925000001</v>
      </c>
      <c r="AF104" s="1221">
        <f t="shared" si="227"/>
        <v>294812.43488000002</v>
      </c>
      <c r="AG104" s="1221">
        <f t="shared" si="228"/>
        <v>322940.96934999997</v>
      </c>
      <c r="AH104" s="1221">
        <f t="shared" si="229"/>
        <v>311448.26454</v>
      </c>
      <c r="AI104" s="1221">
        <f>AE104+AF104</f>
        <v>598859.32413000008</v>
      </c>
      <c r="AJ104" s="1221">
        <f>AH104+AG104</f>
        <v>634389.23389000003</v>
      </c>
      <c r="AK104" s="1221">
        <f>AI104+AJ104</f>
        <v>1233248.5580200001</v>
      </c>
      <c r="AM104" s="596">
        <f ca="1">SUM((INDIRECT(AM$2&amp;(ROW())):INDIRECT(AM$3&amp;(ROW()))))</f>
        <v>114337</v>
      </c>
      <c r="AN104" s="2002">
        <f ca="1">SUM(INDIRECT(AN$1&amp;AN$2&amp;$C104):INDIRECT(AN$1&amp;AN$3&amp;$C104))</f>
        <v>101638.74385937498</v>
      </c>
      <c r="AO104" s="2767">
        <f t="shared" ca="1" si="230"/>
        <v>12698.256140625017</v>
      </c>
      <c r="AP104" s="2768">
        <f t="shared" ca="1" si="231"/>
        <v>1.1249351935930458</v>
      </c>
      <c r="AQ104" s="2002">
        <f ca="1">SUM(INDIRECT(AQ$1&amp;AQ$2&amp;$A104):INDIRECT(AQ$1&amp;AQ$3&amp;$A104))+SUM(INDIRECT(AQ$1&amp;AQ$2&amp;$B104):INDIRECT(AQ$1&amp;AQ$3&amp;$B104))</f>
        <v>88727</v>
      </c>
      <c r="AR104" s="2767">
        <f t="shared" ca="1" si="232"/>
        <v>25610</v>
      </c>
      <c r="AS104" s="2768">
        <f t="shared" ca="1" si="233"/>
        <v>1.2886381822894948</v>
      </c>
      <c r="AU104" s="596">
        <f ca="1">SUM((INDIRECT(AU$2&amp;(ROW())):INDIRECT(AU$3&amp;(ROW()))))</f>
        <v>114337</v>
      </c>
      <c r="AV104" s="2002">
        <f ca="1">SUM(INDIRECT(AV$1&amp;AV$2&amp;$C104):INDIRECT(AV$1&amp;AV$3&amp;$C104))</f>
        <v>101638.74385937498</v>
      </c>
      <c r="AW104" s="2767">
        <f t="shared" ca="1" si="234"/>
        <v>12698.256140625017</v>
      </c>
      <c r="AX104" s="2768">
        <f t="shared" ca="1" si="235"/>
        <v>1.1249351935930458</v>
      </c>
      <c r="AY104" s="2002">
        <f ca="1">SUM(INDIRECT(AY$1&amp;AY$2&amp;$A104):INDIRECT(AY$1&amp;AY$3&amp;$A104))+SUM(INDIRECT(AY$1&amp;AY$2&amp;$B104):INDIRECT(AY$1&amp;AY$3&amp;$B104))</f>
        <v>88727</v>
      </c>
      <c r="AZ104" s="2767">
        <f t="shared" ca="1" si="236"/>
        <v>25610</v>
      </c>
      <c r="BA104" s="2768">
        <f t="shared" ca="1" si="237"/>
        <v>1.2886381822894948</v>
      </c>
      <c r="BC104" s="596">
        <f ca="1">SUM((INDIRECT(BC$2&amp;(ROW())):INDIRECT(BC$3&amp;(ROW()))))</f>
        <v>114337</v>
      </c>
      <c r="BD104" s="2002">
        <f ca="1">SUM(INDIRECT(BD$1&amp;BD$2&amp;$C104):INDIRECT(BD$1&amp;BD$3&amp;$C104))</f>
        <v>101638.74385937498</v>
      </c>
      <c r="BE104" s="2767">
        <f t="shared" ca="1" si="238"/>
        <v>12698.256140625017</v>
      </c>
      <c r="BF104" s="2768">
        <f t="shared" ca="1" si="239"/>
        <v>1.1249351935930458</v>
      </c>
      <c r="BG104" s="2002">
        <f ca="1">SUM(INDIRECT(BG$1&amp;BG$2&amp;$A104):INDIRECT(BG$1&amp;BG$3&amp;$A104))+SUM(INDIRECT(BG$1&amp;BG$2&amp;$B104):INDIRECT(BG$1&amp;BG$3&amp;$B104))</f>
        <v>88727</v>
      </c>
      <c r="BH104" s="2767">
        <f t="shared" ca="1" si="240"/>
        <v>25610</v>
      </c>
      <c r="BI104" s="2768">
        <f t="shared" ca="1" si="241"/>
        <v>1.2886381822894948</v>
      </c>
    </row>
    <row r="105" spans="1:61" ht="14.5">
      <c r="A105" s="1693">
        <f t="shared" si="147"/>
        <v>105</v>
      </c>
      <c r="B105" s="616">
        <v>1</v>
      </c>
      <c r="C105" s="1693">
        <f t="shared" si="127"/>
        <v>105</v>
      </c>
      <c r="D105" s="616">
        <v>1</v>
      </c>
      <c r="E105" s="709" t="s">
        <v>512</v>
      </c>
      <c r="F105" s="1572"/>
      <c r="G105" s="4"/>
      <c r="H105" s="4"/>
      <c r="I105" s="4"/>
      <c r="J105" s="27"/>
      <c r="K105" s="3"/>
      <c r="L105" s="4"/>
      <c r="M105" s="4"/>
      <c r="N105" s="3" t="s">
        <v>2</v>
      </c>
      <c r="O105" s="3"/>
      <c r="P105" s="3"/>
      <c r="Q105" s="3"/>
      <c r="R105" s="1789" t="str">
        <f>CHOOSE(2, "6722000003024", "PL (1)-1 Net Sales Others")</f>
        <v>PL (1)-1 Net Sales Others</v>
      </c>
      <c r="S105" s="1214">
        <f t="shared" ref="S105:AD105" si="244">S476+S492</f>
        <v>0</v>
      </c>
      <c r="T105" s="1221">
        <f t="shared" si="244"/>
        <v>0</v>
      </c>
      <c r="U105" s="1221">
        <f t="shared" si="244"/>
        <v>0</v>
      </c>
      <c r="V105" s="1221">
        <f t="shared" si="244"/>
        <v>0</v>
      </c>
      <c r="W105" s="1221">
        <f t="shared" si="244"/>
        <v>0</v>
      </c>
      <c r="X105" s="1221">
        <f t="shared" si="244"/>
        <v>0</v>
      </c>
      <c r="Y105" s="1221">
        <f t="shared" si="244"/>
        <v>0</v>
      </c>
      <c r="Z105" s="1221">
        <f t="shared" si="244"/>
        <v>0</v>
      </c>
      <c r="AA105" s="1221">
        <f t="shared" si="244"/>
        <v>0</v>
      </c>
      <c r="AB105" s="1221">
        <f t="shared" si="244"/>
        <v>0</v>
      </c>
      <c r="AC105" s="1221">
        <f>AC476+AC492</f>
        <v>0</v>
      </c>
      <c r="AD105" s="1221">
        <f t="shared" si="244"/>
        <v>0</v>
      </c>
      <c r="AE105" s="1221">
        <f t="shared" si="226"/>
        <v>0</v>
      </c>
      <c r="AF105" s="1221">
        <f t="shared" si="227"/>
        <v>0</v>
      </c>
      <c r="AG105" s="1221">
        <f t="shared" si="228"/>
        <v>0</v>
      </c>
      <c r="AH105" s="1221">
        <f t="shared" si="229"/>
        <v>0</v>
      </c>
      <c r="AI105" s="1221">
        <f>AE105+AF105</f>
        <v>0</v>
      </c>
      <c r="AJ105" s="1221">
        <f>AH105+AG105</f>
        <v>0</v>
      </c>
      <c r="AK105" s="1221">
        <f>AI105+AJ105</f>
        <v>0</v>
      </c>
      <c r="AM105" s="596">
        <f ca="1">SUM((INDIRECT(AM$2&amp;(ROW())):INDIRECT(AM$3&amp;(ROW()))))</f>
        <v>0</v>
      </c>
      <c r="AN105" s="2002">
        <f ca="1">SUM(INDIRECT(AN$1&amp;AN$2&amp;$C105):INDIRECT(AN$1&amp;AN$3&amp;$C105))</f>
        <v>0</v>
      </c>
      <c r="AO105" s="2767">
        <f t="shared" ca="1" si="230"/>
        <v>0</v>
      </c>
      <c r="AP105" s="2768">
        <f t="shared" ca="1" si="231"/>
        <v>0</v>
      </c>
      <c r="AQ105" s="2002">
        <f ca="1">SUM(INDIRECT(AQ$1&amp;AQ$2&amp;$A105):INDIRECT(AQ$1&amp;AQ$3&amp;$A105))+SUM(INDIRECT(AQ$1&amp;AQ$2&amp;$B105):INDIRECT(AQ$1&amp;AQ$3&amp;$B105))</f>
        <v>0</v>
      </c>
      <c r="AR105" s="2767">
        <f t="shared" ca="1" si="232"/>
        <v>0</v>
      </c>
      <c r="AS105" s="2768">
        <f t="shared" ca="1" si="233"/>
        <v>0</v>
      </c>
      <c r="AU105" s="596">
        <f ca="1">SUM((INDIRECT(AU$2&amp;(ROW())):INDIRECT(AU$3&amp;(ROW()))))</f>
        <v>0</v>
      </c>
      <c r="AV105" s="2002">
        <f ca="1">SUM(INDIRECT(AV$1&amp;AV$2&amp;$C105):INDIRECT(AV$1&amp;AV$3&amp;$C105))</f>
        <v>0</v>
      </c>
      <c r="AW105" s="2767">
        <f t="shared" ca="1" si="234"/>
        <v>0</v>
      </c>
      <c r="AX105" s="2768">
        <f t="shared" ca="1" si="235"/>
        <v>0</v>
      </c>
      <c r="AY105" s="2002">
        <f ca="1">SUM(INDIRECT(AY$1&amp;AY$2&amp;$A105):INDIRECT(AY$1&amp;AY$3&amp;$A105))+SUM(INDIRECT(AY$1&amp;AY$2&amp;$B105):INDIRECT(AY$1&amp;AY$3&amp;$B105))</f>
        <v>0</v>
      </c>
      <c r="AZ105" s="2767">
        <f t="shared" ca="1" si="236"/>
        <v>0</v>
      </c>
      <c r="BA105" s="2768">
        <f t="shared" ca="1" si="237"/>
        <v>0</v>
      </c>
      <c r="BC105" s="596">
        <f ca="1">SUM((INDIRECT(BC$2&amp;(ROW())):INDIRECT(BC$3&amp;(ROW()))))</f>
        <v>0</v>
      </c>
      <c r="BD105" s="2002">
        <f ca="1">SUM(INDIRECT(BD$1&amp;BD$2&amp;$C105):INDIRECT(BD$1&amp;BD$3&amp;$C105))</f>
        <v>0</v>
      </c>
      <c r="BE105" s="2767">
        <f t="shared" ca="1" si="238"/>
        <v>0</v>
      </c>
      <c r="BF105" s="2768">
        <f t="shared" ca="1" si="239"/>
        <v>0</v>
      </c>
      <c r="BG105" s="2002">
        <f ca="1">SUM(INDIRECT(BG$1&amp;BG$2&amp;$A105):INDIRECT(BG$1&amp;BG$3&amp;$A105))+SUM(INDIRECT(BG$1&amp;BG$2&amp;$B105):INDIRECT(BG$1&amp;BG$3&amp;$B105))</f>
        <v>0</v>
      </c>
      <c r="BH105" s="2767">
        <f t="shared" ca="1" si="240"/>
        <v>0</v>
      </c>
      <c r="BI105" s="2768">
        <f t="shared" ca="1" si="241"/>
        <v>0</v>
      </c>
    </row>
    <row r="106" spans="1:61" ht="14.5">
      <c r="A106" s="1693">
        <f t="shared" si="147"/>
        <v>106</v>
      </c>
      <c r="B106" s="616">
        <v>1</v>
      </c>
      <c r="C106" s="1693">
        <f t="shared" si="127"/>
        <v>106</v>
      </c>
      <c r="D106" s="616">
        <v>1</v>
      </c>
      <c r="E106" s="709" t="s">
        <v>512</v>
      </c>
      <c r="F106" s="1572"/>
      <c r="G106" s="4"/>
      <c r="H106" s="4"/>
      <c r="I106" s="4"/>
      <c r="J106" s="121" t="s">
        <v>49</v>
      </c>
      <c r="K106" s="120"/>
      <c r="L106" s="119"/>
      <c r="M106" s="119"/>
      <c r="N106" s="119"/>
      <c r="O106" s="119"/>
      <c r="P106" s="490" t="s">
        <v>305</v>
      </c>
      <c r="Q106" s="863"/>
      <c r="R106" s="1788" t="str">
        <f>CHOOSE(2, "6722000003025", "PL (1)-1 BT Cons. Sales")</f>
        <v>PL (1)-1 BT Cons. Sales</v>
      </c>
      <c r="S106" s="1258">
        <f t="shared" ref="S106:AD106" si="245">SUM(S107:S109)</f>
        <v>279169</v>
      </c>
      <c r="T106" s="1192">
        <f t="shared" si="245"/>
        <v>302567.69621000002</v>
      </c>
      <c r="U106" s="1192">
        <f t="shared" si="245"/>
        <v>314565.47580000001</v>
      </c>
      <c r="V106" s="1192">
        <f t="shared" si="245"/>
        <v>267506.68302</v>
      </c>
      <c r="W106" s="1192">
        <f t="shared" si="245"/>
        <v>300883.62465000001</v>
      </c>
      <c r="X106" s="1192">
        <f t="shared" si="245"/>
        <v>336948.59716</v>
      </c>
      <c r="Y106" s="1192">
        <f t="shared" si="245"/>
        <v>249701.39207</v>
      </c>
      <c r="Z106" s="1192">
        <f t="shared" si="245"/>
        <v>279643.46297999995</v>
      </c>
      <c r="AA106" s="1192">
        <f t="shared" si="245"/>
        <v>319164.67874999996</v>
      </c>
      <c r="AB106" s="1192">
        <f t="shared" si="245"/>
        <v>302587.26130000001</v>
      </c>
      <c r="AC106" s="1192">
        <f t="shared" si="245"/>
        <v>299091.21837000002</v>
      </c>
      <c r="AD106" s="1192">
        <f t="shared" si="245"/>
        <v>328431.33372999995</v>
      </c>
      <c r="AE106" s="882">
        <f t="shared" si="226"/>
        <v>896302.17200999998</v>
      </c>
      <c r="AF106" s="118">
        <f t="shared" si="227"/>
        <v>905338.90483000001</v>
      </c>
      <c r="AG106" s="118">
        <f t="shared" si="228"/>
        <v>848509.53379999986</v>
      </c>
      <c r="AH106" s="118">
        <f t="shared" si="229"/>
        <v>930109.81339999998</v>
      </c>
      <c r="AI106" s="118">
        <f>SUM(AI107:AI109)</f>
        <v>1801641.0768400002</v>
      </c>
      <c r="AJ106" s="118">
        <f>SUM(AJ107:AJ109)</f>
        <v>1778619.3472</v>
      </c>
      <c r="AK106" s="118">
        <f>SUM(AK107:AK109)</f>
        <v>3580260.42404</v>
      </c>
      <c r="AM106" s="1999">
        <f ca="1">SUM((INDIRECT(AM$2&amp;(ROW())):INDIRECT(AM$3&amp;(ROW()))))</f>
        <v>279169</v>
      </c>
      <c r="AN106" s="2000">
        <f ca="1">SUM(INDIRECT(AN$1&amp;AN$2&amp;$C106):INDIRECT(AN$1&amp;AN$3&amp;$C106))</f>
        <v>249409.45789114243</v>
      </c>
      <c r="AO106" s="2765">
        <f t="shared" ca="1" si="230"/>
        <v>29759.542108857568</v>
      </c>
      <c r="AP106" s="2766">
        <f t="shared" ca="1" si="231"/>
        <v>1.1193200224261202</v>
      </c>
      <c r="AQ106" s="2000">
        <f ca="1">SUM(INDIRECT(AQ$1&amp;AQ$2&amp;$A106):INDIRECT(AQ$1&amp;AQ$3&amp;$A106))+SUM(INDIRECT(AQ$1&amp;AQ$2&amp;$B106):INDIRECT(AQ$1&amp;AQ$3&amp;$B106))</f>
        <v>162913</v>
      </c>
      <c r="AR106" s="2765">
        <f t="shared" ca="1" si="232"/>
        <v>116256</v>
      </c>
      <c r="AS106" s="2766">
        <f t="shared" ca="1" si="233"/>
        <v>1.7136078765967111</v>
      </c>
      <c r="AU106" s="1999">
        <f ca="1">SUM((INDIRECT(AU$2&amp;(ROW())):INDIRECT(AU$3&amp;(ROW()))))</f>
        <v>279169</v>
      </c>
      <c r="AV106" s="2000">
        <f ca="1">SUM(INDIRECT(AV$1&amp;AV$2&amp;$C106):INDIRECT(AV$1&amp;AV$3&amp;$C106))</f>
        <v>249409.45789114243</v>
      </c>
      <c r="AW106" s="2765">
        <f t="shared" ca="1" si="234"/>
        <v>29759.542108857568</v>
      </c>
      <c r="AX106" s="2766">
        <f t="shared" ca="1" si="235"/>
        <v>1.1193200224261202</v>
      </c>
      <c r="AY106" s="2000">
        <f ca="1">SUM(INDIRECT(AY$1&amp;AY$2&amp;$A106):INDIRECT(AY$1&amp;AY$3&amp;$A106))+SUM(INDIRECT(AY$1&amp;AY$2&amp;$B106):INDIRECT(AY$1&amp;AY$3&amp;$B106))</f>
        <v>162913</v>
      </c>
      <c r="AZ106" s="2765">
        <f t="shared" ca="1" si="236"/>
        <v>116256</v>
      </c>
      <c r="BA106" s="2766">
        <f t="shared" ca="1" si="237"/>
        <v>1.7136078765967111</v>
      </c>
      <c r="BC106" s="1999">
        <f ca="1">SUM((INDIRECT(BC$2&amp;(ROW())):INDIRECT(BC$3&amp;(ROW()))))</f>
        <v>279169</v>
      </c>
      <c r="BD106" s="2000">
        <f ca="1">SUM(INDIRECT(BD$1&amp;BD$2&amp;$C106):INDIRECT(BD$1&amp;BD$3&amp;$C106))</f>
        <v>249409.45789114243</v>
      </c>
      <c r="BE106" s="2765">
        <f t="shared" ca="1" si="238"/>
        <v>29759.542108857568</v>
      </c>
      <c r="BF106" s="2766">
        <f t="shared" ca="1" si="239"/>
        <v>1.1193200224261202</v>
      </c>
      <c r="BG106" s="2000">
        <f ca="1">SUM(INDIRECT(BG$1&amp;BG$2&amp;$A106):INDIRECT(BG$1&amp;BG$3&amp;$A106))+SUM(INDIRECT(BG$1&amp;BG$2&amp;$B106):INDIRECT(BG$1&amp;BG$3&amp;$B106))</f>
        <v>162913</v>
      </c>
      <c r="BH106" s="2765">
        <f t="shared" ca="1" si="240"/>
        <v>116256</v>
      </c>
      <c r="BI106" s="2766">
        <f t="shared" ca="1" si="241"/>
        <v>1.7136078765967111</v>
      </c>
    </row>
    <row r="107" spans="1:61" ht="14.5">
      <c r="A107" s="1693">
        <f t="shared" si="147"/>
        <v>107</v>
      </c>
      <c r="B107" s="616">
        <v>1</v>
      </c>
      <c r="C107" s="1693">
        <f t="shared" si="127"/>
        <v>107</v>
      </c>
      <c r="D107" s="616">
        <v>1</v>
      </c>
      <c r="E107" s="709" t="s">
        <v>512</v>
      </c>
      <c r="F107" s="1572"/>
      <c r="G107" s="4"/>
      <c r="H107" s="4"/>
      <c r="I107" s="4"/>
      <c r="J107" s="27"/>
      <c r="K107" s="3"/>
      <c r="L107" s="4"/>
      <c r="M107" s="4"/>
      <c r="N107" s="3" t="s">
        <v>57</v>
      </c>
      <c r="O107" s="3"/>
      <c r="P107" s="3"/>
      <c r="Q107" s="3"/>
      <c r="R107" s="1790" t="str">
        <f>CHOOSE(2, "6722000003026", "PL (1)-1 BT Cons. Sales HW")</f>
        <v>PL (1)-1 BT Cons. Sales HW</v>
      </c>
      <c r="S107" s="1215">
        <v>164832</v>
      </c>
      <c r="T107" s="1222">
        <v>203516.09668000002</v>
      </c>
      <c r="U107" s="1222">
        <v>223907.18607999998</v>
      </c>
      <c r="V107" s="1222">
        <v>174736.71161000003</v>
      </c>
      <c r="W107" s="1222">
        <v>189715.95994</v>
      </c>
      <c r="X107" s="1222">
        <v>246073.7984</v>
      </c>
      <c r="Y107" s="1222">
        <v>147995.62100000001</v>
      </c>
      <c r="Z107" s="1222">
        <v>173836.37663999997</v>
      </c>
      <c r="AA107" s="1222">
        <v>203736.56680999999</v>
      </c>
      <c r="AB107" s="1222">
        <v>193370.45759000001</v>
      </c>
      <c r="AC107" s="1222">
        <v>197254.29931999999</v>
      </c>
      <c r="AD107" s="1222">
        <v>228036.79194999998</v>
      </c>
      <c r="AE107" s="1221">
        <f t="shared" si="226"/>
        <v>592255.28275999997</v>
      </c>
      <c r="AF107" s="1221">
        <f t="shared" si="227"/>
        <v>610526.46995000006</v>
      </c>
      <c r="AG107" s="1221">
        <f t="shared" si="228"/>
        <v>525568.56444999995</v>
      </c>
      <c r="AH107" s="1221">
        <f t="shared" si="229"/>
        <v>618661.54885999998</v>
      </c>
      <c r="AI107" s="1221">
        <f>AE107+AF107</f>
        <v>1202781.7527100001</v>
      </c>
      <c r="AJ107" s="1221">
        <f>AH107+AG107</f>
        <v>1144230.1133099999</v>
      </c>
      <c r="AK107" s="1221">
        <f>AI107+AJ107</f>
        <v>2347011.8660200001</v>
      </c>
      <c r="AM107" s="596">
        <f ca="1">SUM((INDIRECT(AM$2&amp;(ROW())):INDIRECT(AM$3&amp;(ROW()))))</f>
        <v>164832</v>
      </c>
      <c r="AN107" s="2002">
        <f ca="1">SUM(INDIRECT(AN$1&amp;AN$2&amp;$C107):INDIRECT(AN$1&amp;AN$3&amp;$C107))</f>
        <v>147770.71403176745</v>
      </c>
      <c r="AO107" s="2767">
        <f t="shared" ca="1" si="230"/>
        <v>17061.285968232551</v>
      </c>
      <c r="AP107" s="2768">
        <f t="shared" ca="1" si="231"/>
        <v>1.1154578299226783</v>
      </c>
      <c r="AQ107" s="2002">
        <f ca="1">SUM(INDIRECT(AQ$1&amp;AQ$2&amp;$A107):INDIRECT(AQ$1&amp;AQ$3&amp;$A107))+SUM(INDIRECT(AQ$1&amp;AQ$2&amp;$B107):INDIRECT(AQ$1&amp;AQ$3&amp;$B107))</f>
        <v>74186</v>
      </c>
      <c r="AR107" s="2767">
        <f t="shared" ca="1" si="232"/>
        <v>90646</v>
      </c>
      <c r="AS107" s="2768">
        <f t="shared" ca="1" si="233"/>
        <v>2.2218747472568947</v>
      </c>
      <c r="AU107" s="596">
        <f ca="1">SUM((INDIRECT(AU$2&amp;(ROW())):INDIRECT(AU$3&amp;(ROW()))))</f>
        <v>164832</v>
      </c>
      <c r="AV107" s="2002">
        <f ca="1">SUM(INDIRECT(AV$1&amp;AV$2&amp;$C107):INDIRECT(AV$1&amp;AV$3&amp;$C107))</f>
        <v>147770.71403176745</v>
      </c>
      <c r="AW107" s="2767">
        <f t="shared" ca="1" si="234"/>
        <v>17061.285968232551</v>
      </c>
      <c r="AX107" s="2768">
        <f t="shared" ca="1" si="235"/>
        <v>1.1154578299226783</v>
      </c>
      <c r="AY107" s="2002">
        <f ca="1">SUM(INDIRECT(AY$1&amp;AY$2&amp;$A107):INDIRECT(AY$1&amp;AY$3&amp;$A107))+SUM(INDIRECT(AY$1&amp;AY$2&amp;$B107):INDIRECT(AY$1&amp;AY$3&amp;$B107))</f>
        <v>74186</v>
      </c>
      <c r="AZ107" s="2767">
        <f t="shared" ca="1" si="236"/>
        <v>90646</v>
      </c>
      <c r="BA107" s="2768">
        <f t="shared" ca="1" si="237"/>
        <v>2.2218747472568947</v>
      </c>
      <c r="BC107" s="596">
        <f ca="1">SUM((INDIRECT(BC$2&amp;(ROW())):INDIRECT(BC$3&amp;(ROW()))))</f>
        <v>164832</v>
      </c>
      <c r="BD107" s="2002">
        <f ca="1">SUM(INDIRECT(BD$1&amp;BD$2&amp;$C107):INDIRECT(BD$1&amp;BD$3&amp;$C107))</f>
        <v>147770.71403176745</v>
      </c>
      <c r="BE107" s="2767">
        <f t="shared" ca="1" si="238"/>
        <v>17061.285968232551</v>
      </c>
      <c r="BF107" s="2768">
        <f t="shared" ca="1" si="239"/>
        <v>1.1154578299226783</v>
      </c>
      <c r="BG107" s="2002">
        <f ca="1">SUM(INDIRECT(BG$1&amp;BG$2&amp;$A107):INDIRECT(BG$1&amp;BG$3&amp;$A107))+SUM(INDIRECT(BG$1&amp;BG$2&amp;$B107):INDIRECT(BG$1&amp;BG$3&amp;$B107))</f>
        <v>74186</v>
      </c>
      <c r="BH107" s="2767">
        <f t="shared" ca="1" si="240"/>
        <v>90646</v>
      </c>
      <c r="BI107" s="2768">
        <f t="shared" ca="1" si="241"/>
        <v>2.2218747472568947</v>
      </c>
    </row>
    <row r="108" spans="1:61" ht="14.5">
      <c r="A108" s="1693">
        <f t="shared" si="147"/>
        <v>108</v>
      </c>
      <c r="B108" s="616">
        <v>1</v>
      </c>
      <c r="C108" s="1693">
        <f t="shared" si="127"/>
        <v>108</v>
      </c>
      <c r="D108" s="616">
        <v>1</v>
      </c>
      <c r="E108" s="709" t="s">
        <v>512</v>
      </c>
      <c r="F108" s="1572"/>
      <c r="G108" s="4"/>
      <c r="H108" s="4"/>
      <c r="I108" s="4"/>
      <c r="J108" s="27"/>
      <c r="K108" s="3"/>
      <c r="L108" s="4"/>
      <c r="M108" s="4"/>
      <c r="N108" s="3" t="s">
        <v>27</v>
      </c>
      <c r="O108" s="3"/>
      <c r="P108" s="3"/>
      <c r="Q108" s="3"/>
      <c r="R108" s="1790" t="str">
        <f>CHOOSE(2, "6722000003027", "PL (1)-1 BT Cons. Sales NH")</f>
        <v>PL (1)-1 BT Cons. Sales NH</v>
      </c>
      <c r="S108" s="1215">
        <v>114337</v>
      </c>
      <c r="T108" s="1222">
        <v>99051.599530000007</v>
      </c>
      <c r="U108" s="1222">
        <v>90658.289720000001</v>
      </c>
      <c r="V108" s="1222">
        <v>92769.971409999998</v>
      </c>
      <c r="W108" s="1222">
        <v>111167.66471000001</v>
      </c>
      <c r="X108" s="1222">
        <v>90874.798759999991</v>
      </c>
      <c r="Y108" s="1222">
        <v>101705.77107</v>
      </c>
      <c r="Z108" s="1222">
        <v>105807.08633999999</v>
      </c>
      <c r="AA108" s="1222">
        <v>115428.11193999999</v>
      </c>
      <c r="AB108" s="1222">
        <v>109216.80370999999</v>
      </c>
      <c r="AC108" s="1222">
        <v>101836.91905</v>
      </c>
      <c r="AD108" s="1222">
        <v>100394.54178</v>
      </c>
      <c r="AE108" s="1221">
        <f t="shared" si="226"/>
        <v>304046.88925000001</v>
      </c>
      <c r="AF108" s="1221">
        <f t="shared" si="227"/>
        <v>294812.43488000002</v>
      </c>
      <c r="AG108" s="1221">
        <f t="shared" si="228"/>
        <v>322940.96934999997</v>
      </c>
      <c r="AH108" s="1221">
        <f t="shared" si="229"/>
        <v>311448.26454</v>
      </c>
      <c r="AI108" s="1221">
        <f>AE108+AF108</f>
        <v>598859.32413000008</v>
      </c>
      <c r="AJ108" s="1221">
        <f>AH108+AG108</f>
        <v>634389.23389000003</v>
      </c>
      <c r="AK108" s="1221">
        <f>AI108+AJ108</f>
        <v>1233248.5580200001</v>
      </c>
      <c r="AM108" s="596">
        <f ca="1">SUM((INDIRECT(AM$2&amp;(ROW())):INDIRECT(AM$3&amp;(ROW()))))</f>
        <v>114337</v>
      </c>
      <c r="AN108" s="2002">
        <f ca="1">SUM(INDIRECT(AN$1&amp;AN$2&amp;$C108):INDIRECT(AN$1&amp;AN$3&amp;$C108))</f>
        <v>101638.74385937498</v>
      </c>
      <c r="AO108" s="2767">
        <f t="shared" ca="1" si="230"/>
        <v>12698.256140625017</v>
      </c>
      <c r="AP108" s="2768">
        <f t="shared" ca="1" si="231"/>
        <v>1.1249351935930458</v>
      </c>
      <c r="AQ108" s="2002">
        <f ca="1">SUM(INDIRECT(AQ$1&amp;AQ$2&amp;$A108):INDIRECT(AQ$1&amp;AQ$3&amp;$A108))+SUM(INDIRECT(AQ$1&amp;AQ$2&amp;$B108):INDIRECT(AQ$1&amp;AQ$3&amp;$B108))</f>
        <v>88727</v>
      </c>
      <c r="AR108" s="2767">
        <f t="shared" ca="1" si="232"/>
        <v>25610</v>
      </c>
      <c r="AS108" s="2768">
        <f t="shared" ca="1" si="233"/>
        <v>1.2886381822894948</v>
      </c>
      <c r="AU108" s="596">
        <f ca="1">SUM((INDIRECT(AU$2&amp;(ROW())):INDIRECT(AU$3&amp;(ROW()))))</f>
        <v>114337</v>
      </c>
      <c r="AV108" s="2002">
        <f ca="1">SUM(INDIRECT(AV$1&amp;AV$2&amp;$C108):INDIRECT(AV$1&amp;AV$3&amp;$C108))</f>
        <v>101638.74385937498</v>
      </c>
      <c r="AW108" s="2767">
        <f t="shared" ca="1" si="234"/>
        <v>12698.256140625017</v>
      </c>
      <c r="AX108" s="2768">
        <f t="shared" ca="1" si="235"/>
        <v>1.1249351935930458</v>
      </c>
      <c r="AY108" s="2002">
        <f ca="1">SUM(INDIRECT(AY$1&amp;AY$2&amp;$A108):INDIRECT(AY$1&amp;AY$3&amp;$A108))+SUM(INDIRECT(AY$1&amp;AY$2&amp;$B108):INDIRECT(AY$1&amp;AY$3&amp;$B108))</f>
        <v>88727</v>
      </c>
      <c r="AZ108" s="2767">
        <f t="shared" ca="1" si="236"/>
        <v>25610</v>
      </c>
      <c r="BA108" s="2768">
        <f t="shared" ca="1" si="237"/>
        <v>1.2886381822894948</v>
      </c>
      <c r="BC108" s="596">
        <f ca="1">SUM((INDIRECT(BC$2&amp;(ROW())):INDIRECT(BC$3&amp;(ROW()))))</f>
        <v>114337</v>
      </c>
      <c r="BD108" s="2002">
        <f ca="1">SUM(INDIRECT(BD$1&amp;BD$2&amp;$C108):INDIRECT(BD$1&amp;BD$3&amp;$C108))</f>
        <v>101638.74385937498</v>
      </c>
      <c r="BE108" s="2767">
        <f t="shared" ca="1" si="238"/>
        <v>12698.256140625017</v>
      </c>
      <c r="BF108" s="2768">
        <f t="shared" ca="1" si="239"/>
        <v>1.1249351935930458</v>
      </c>
      <c r="BG108" s="2002">
        <f ca="1">SUM(INDIRECT(BG$1&amp;BG$2&amp;$A108):INDIRECT(BG$1&amp;BG$3&amp;$A108))+SUM(INDIRECT(BG$1&amp;BG$2&amp;$B108):INDIRECT(BG$1&amp;BG$3&amp;$B108))</f>
        <v>88727</v>
      </c>
      <c r="BH108" s="2767">
        <f t="shared" ca="1" si="240"/>
        <v>25610</v>
      </c>
      <c r="BI108" s="2768">
        <f t="shared" ca="1" si="241"/>
        <v>1.2886381822894948</v>
      </c>
    </row>
    <row r="109" spans="1:61" ht="14.5">
      <c r="A109" s="1693">
        <f t="shared" si="147"/>
        <v>109</v>
      </c>
      <c r="B109" s="616">
        <v>1</v>
      </c>
      <c r="C109" s="1693">
        <f t="shared" si="127"/>
        <v>109</v>
      </c>
      <c r="D109" s="616">
        <v>1</v>
      </c>
      <c r="E109" s="709" t="s">
        <v>512</v>
      </c>
      <c r="F109" s="1572"/>
      <c r="G109" s="4"/>
      <c r="H109" s="4"/>
      <c r="I109" s="4"/>
      <c r="J109" s="27"/>
      <c r="K109" s="3"/>
      <c r="L109" s="4"/>
      <c r="M109" s="4"/>
      <c r="N109" s="3" t="s">
        <v>2</v>
      </c>
      <c r="O109" s="3"/>
      <c r="P109" s="3"/>
      <c r="Q109" s="3"/>
      <c r="R109" s="1790" t="str">
        <f>CHOOSE(2, "6722000003028", "PL (1)-1 BT Cons. Sales Others")</f>
        <v>PL (1)-1 BT Cons. Sales Others</v>
      </c>
      <c r="S109" s="1215"/>
      <c r="T109" s="1222"/>
      <c r="U109" s="1222"/>
      <c r="V109" s="1222"/>
      <c r="W109" s="1222"/>
      <c r="X109" s="1222"/>
      <c r="Y109" s="1222"/>
      <c r="Z109" s="1222"/>
      <c r="AA109" s="1222"/>
      <c r="AB109" s="1222">
        <v>0</v>
      </c>
      <c r="AC109" s="1222"/>
      <c r="AD109" s="1222"/>
      <c r="AE109" s="1221">
        <f t="shared" si="226"/>
        <v>0</v>
      </c>
      <c r="AF109" s="1221">
        <f t="shared" si="227"/>
        <v>0</v>
      </c>
      <c r="AG109" s="1221">
        <f t="shared" si="228"/>
        <v>0</v>
      </c>
      <c r="AH109" s="1221">
        <f t="shared" si="229"/>
        <v>0</v>
      </c>
      <c r="AI109" s="1221">
        <f>AE109+AF109</f>
        <v>0</v>
      </c>
      <c r="AJ109" s="1221">
        <f>AH109+AG109</f>
        <v>0</v>
      </c>
      <c r="AK109" s="1221">
        <f>AI109+AJ109</f>
        <v>0</v>
      </c>
      <c r="AM109" s="596">
        <f ca="1">SUM((INDIRECT(AM$2&amp;(ROW())):INDIRECT(AM$3&amp;(ROW()))))</f>
        <v>0</v>
      </c>
      <c r="AN109" s="2002">
        <f ca="1">SUM(INDIRECT(AN$1&amp;AN$2&amp;$C109):INDIRECT(AN$1&amp;AN$3&amp;$C109))</f>
        <v>0</v>
      </c>
      <c r="AO109" s="2767">
        <f t="shared" ca="1" si="230"/>
        <v>0</v>
      </c>
      <c r="AP109" s="2768">
        <f t="shared" ca="1" si="231"/>
        <v>0</v>
      </c>
      <c r="AQ109" s="2002">
        <f ca="1">SUM(INDIRECT(AQ$1&amp;AQ$2&amp;$A109):INDIRECT(AQ$1&amp;AQ$3&amp;$A109))+SUM(INDIRECT(AQ$1&amp;AQ$2&amp;$B109):INDIRECT(AQ$1&amp;AQ$3&amp;$B109))</f>
        <v>0</v>
      </c>
      <c r="AR109" s="2767">
        <f t="shared" ca="1" si="232"/>
        <v>0</v>
      </c>
      <c r="AS109" s="2768">
        <f t="shared" ca="1" si="233"/>
        <v>0</v>
      </c>
      <c r="AU109" s="596">
        <f ca="1">SUM((INDIRECT(AU$2&amp;(ROW())):INDIRECT(AU$3&amp;(ROW()))))</f>
        <v>0</v>
      </c>
      <c r="AV109" s="2002">
        <f ca="1">SUM(INDIRECT(AV$1&amp;AV$2&amp;$C109):INDIRECT(AV$1&amp;AV$3&amp;$C109))</f>
        <v>0</v>
      </c>
      <c r="AW109" s="2767">
        <f t="shared" ca="1" si="234"/>
        <v>0</v>
      </c>
      <c r="AX109" s="2768">
        <f t="shared" ca="1" si="235"/>
        <v>0</v>
      </c>
      <c r="AY109" s="2002">
        <f ca="1">SUM(INDIRECT(AY$1&amp;AY$2&amp;$A109):INDIRECT(AY$1&amp;AY$3&amp;$A109))+SUM(INDIRECT(AY$1&amp;AY$2&amp;$B109):INDIRECT(AY$1&amp;AY$3&amp;$B109))</f>
        <v>0</v>
      </c>
      <c r="AZ109" s="2767">
        <f t="shared" ca="1" si="236"/>
        <v>0</v>
      </c>
      <c r="BA109" s="2768">
        <f t="shared" ca="1" si="237"/>
        <v>0</v>
      </c>
      <c r="BC109" s="596">
        <f ca="1">SUM((INDIRECT(BC$2&amp;(ROW())):INDIRECT(BC$3&amp;(ROW()))))</f>
        <v>0</v>
      </c>
      <c r="BD109" s="2002">
        <f ca="1">SUM(INDIRECT(BD$1&amp;BD$2&amp;$C109):INDIRECT(BD$1&amp;BD$3&amp;$C109))</f>
        <v>0</v>
      </c>
      <c r="BE109" s="2767">
        <f t="shared" ca="1" si="238"/>
        <v>0</v>
      </c>
      <c r="BF109" s="2768">
        <f t="shared" ca="1" si="239"/>
        <v>0</v>
      </c>
      <c r="BG109" s="2002">
        <f ca="1">SUM(INDIRECT(BG$1&amp;BG$2&amp;$A109):INDIRECT(BG$1&amp;BG$3&amp;$A109))+SUM(INDIRECT(BG$1&amp;BG$2&amp;$B109):INDIRECT(BG$1&amp;BG$3&amp;$B109))</f>
        <v>0</v>
      </c>
      <c r="BH109" s="2767">
        <f t="shared" ca="1" si="240"/>
        <v>0</v>
      </c>
      <c r="BI109" s="2768">
        <f t="shared" ca="1" si="241"/>
        <v>0</v>
      </c>
    </row>
    <row r="110" spans="1:61" ht="14.5">
      <c r="A110" s="1693">
        <f t="shared" si="147"/>
        <v>110</v>
      </c>
      <c r="B110" s="616">
        <v>1</v>
      </c>
      <c r="C110" s="1693">
        <f t="shared" si="127"/>
        <v>110</v>
      </c>
      <c r="D110" s="616">
        <v>1</v>
      </c>
      <c r="F110" s="69"/>
      <c r="G110" s="4"/>
      <c r="H110" s="4"/>
      <c r="I110" s="4"/>
      <c r="J110" s="121" t="s">
        <v>270</v>
      </c>
      <c r="K110" s="120"/>
      <c r="L110" s="119"/>
      <c r="M110" s="119"/>
      <c r="N110" s="119"/>
      <c r="O110" s="119"/>
      <c r="P110" s="119"/>
      <c r="Q110" s="863"/>
      <c r="R110" s="1788" t="str">
        <f>CHOOSE(2, "6722000003029", "PL (1)-1 Cost of Sales")</f>
        <v>PL (1)-1 Cost of Sales</v>
      </c>
      <c r="S110" s="1258">
        <f>S111+S114+S122</f>
        <v>177748</v>
      </c>
      <c r="T110" s="1192">
        <f t="shared" ref="T110:AD110" si="246">T111+T114+T122</f>
        <v>217519.59987000003</v>
      </c>
      <c r="U110" s="1192">
        <f t="shared" si="246"/>
        <v>220152.06124083337</v>
      </c>
      <c r="V110" s="1192">
        <f t="shared" si="246"/>
        <v>181180.67055293417</v>
      </c>
      <c r="W110" s="1192">
        <f t="shared" si="246"/>
        <v>201225.81764880489</v>
      </c>
      <c r="X110" s="1192">
        <f t="shared" si="246"/>
        <v>227017.85219583346</v>
      </c>
      <c r="Y110" s="1192">
        <f t="shared" si="246"/>
        <v>156383.37821666655</v>
      </c>
      <c r="Z110" s="1192">
        <f t="shared" si="246"/>
        <v>179164.43480666674</v>
      </c>
      <c r="AA110" s="1192">
        <f t="shared" si="246"/>
        <v>208062.39210229256</v>
      </c>
      <c r="AB110" s="1192">
        <f t="shared" si="246"/>
        <v>202912.62689887651</v>
      </c>
      <c r="AC110" s="1192">
        <f t="shared" si="246"/>
        <v>195322.2846718806</v>
      </c>
      <c r="AD110" s="1192">
        <f t="shared" si="246"/>
        <v>234648.72791084962</v>
      </c>
      <c r="AE110" s="882">
        <f t="shared" ref="AE110:AK110" si="247">AE111+AE114+AE122</f>
        <v>615419.6611108334</v>
      </c>
      <c r="AF110" s="118">
        <f t="shared" si="247"/>
        <v>609424.34039757249</v>
      </c>
      <c r="AG110" s="118">
        <f t="shared" si="247"/>
        <v>543610.20512562583</v>
      </c>
      <c r="AH110" s="118">
        <f t="shared" si="247"/>
        <v>632883.63948160678</v>
      </c>
      <c r="AI110" s="118">
        <f t="shared" si="247"/>
        <v>1224844.0015084059</v>
      </c>
      <c r="AJ110" s="118">
        <f t="shared" si="247"/>
        <v>1176493.8446072326</v>
      </c>
      <c r="AK110" s="118">
        <f t="shared" si="247"/>
        <v>2401337.8461156385</v>
      </c>
      <c r="AM110" s="1999">
        <f ca="1">SUM((INDIRECT(AM$2&amp;(ROW())):INDIRECT(AM$3&amp;(ROW()))))</f>
        <v>177748</v>
      </c>
      <c r="AN110" s="2000">
        <f ca="1">SUM(INDIRECT(AN$1&amp;AN$2&amp;$C110):INDIRECT(AN$1&amp;AN$3&amp;$C110))</f>
        <v>175491.9600190635</v>
      </c>
      <c r="AO110" s="2765">
        <f t="shared" ca="1" si="230"/>
        <v>2256.0399809365044</v>
      </c>
      <c r="AP110" s="2766">
        <f t="shared" ca="1" si="231"/>
        <v>1.0128555176014413</v>
      </c>
      <c r="AQ110" s="2000">
        <f ca="1">SUM(INDIRECT(AQ$1&amp;AQ$2&amp;$A110):INDIRECT(AQ$1&amp;AQ$3&amp;$A110))+SUM(INDIRECT(AQ$1&amp;AQ$2&amp;$B110):INDIRECT(AQ$1&amp;AQ$3&amp;$B110))</f>
        <v>100749</v>
      </c>
      <c r="AR110" s="2765">
        <f t="shared" ca="1" si="232"/>
        <v>76999</v>
      </c>
      <c r="AS110" s="2766">
        <f t="shared" ca="1" si="233"/>
        <v>1.7642656502794072</v>
      </c>
      <c r="AU110" s="1999">
        <f ca="1">SUM((INDIRECT(AU$2&amp;(ROW())):INDIRECT(AU$3&amp;(ROW()))))</f>
        <v>177748</v>
      </c>
      <c r="AV110" s="2000">
        <f ca="1">SUM(INDIRECT(AV$1&amp;AV$2&amp;$C110):INDIRECT(AV$1&amp;AV$3&amp;$C110))</f>
        <v>175491.9600190635</v>
      </c>
      <c r="AW110" s="2765">
        <f t="shared" ca="1" si="234"/>
        <v>2256.0399809365044</v>
      </c>
      <c r="AX110" s="2766">
        <f t="shared" ca="1" si="235"/>
        <v>1.0128555176014413</v>
      </c>
      <c r="AY110" s="2000">
        <f ca="1">SUM(INDIRECT(AY$1&amp;AY$2&amp;$A110):INDIRECT(AY$1&amp;AY$3&amp;$A110))+SUM(INDIRECT(AY$1&amp;AY$2&amp;$B110):INDIRECT(AY$1&amp;AY$3&amp;$B110))</f>
        <v>100749</v>
      </c>
      <c r="AZ110" s="2765">
        <f t="shared" ca="1" si="236"/>
        <v>76999</v>
      </c>
      <c r="BA110" s="2766">
        <f t="shared" ca="1" si="237"/>
        <v>1.7642656502794072</v>
      </c>
      <c r="BC110" s="1999">
        <f ca="1">SUM((INDIRECT(BC$2&amp;(ROW())):INDIRECT(BC$3&amp;(ROW()))))</f>
        <v>177748</v>
      </c>
      <c r="BD110" s="2000">
        <f ca="1">SUM(INDIRECT(BD$1&amp;BD$2&amp;$C110):INDIRECT(BD$1&amp;BD$3&amp;$C110))</f>
        <v>175491.9600190635</v>
      </c>
      <c r="BE110" s="2765">
        <f t="shared" ca="1" si="238"/>
        <v>2256.0399809365044</v>
      </c>
      <c r="BF110" s="2766">
        <f t="shared" ca="1" si="239"/>
        <v>1.0128555176014413</v>
      </c>
      <c r="BG110" s="2000">
        <f ca="1">SUM(INDIRECT(BG$1&amp;BG$2&amp;$A110):INDIRECT(BG$1&amp;BG$3&amp;$A110))+SUM(INDIRECT(BG$1&amp;BG$2&amp;$B110):INDIRECT(BG$1&amp;BG$3&amp;$B110))</f>
        <v>100749</v>
      </c>
      <c r="BH110" s="2765">
        <f t="shared" ca="1" si="240"/>
        <v>76999</v>
      </c>
      <c r="BI110" s="2766">
        <f t="shared" ca="1" si="241"/>
        <v>1.7642656502794072</v>
      </c>
    </row>
    <row r="111" spans="1:61" ht="14.5">
      <c r="A111" s="1693">
        <f t="shared" si="147"/>
        <v>111</v>
      </c>
      <c r="B111" s="616">
        <v>1</v>
      </c>
      <c r="C111" s="1693">
        <f t="shared" si="127"/>
        <v>111</v>
      </c>
      <c r="D111" s="616">
        <v>1</v>
      </c>
      <c r="F111" s="69"/>
      <c r="G111" s="4"/>
      <c r="H111" s="4"/>
      <c r="I111" s="4"/>
      <c r="J111" s="27"/>
      <c r="K111" s="3"/>
      <c r="L111" s="4"/>
      <c r="M111" s="4"/>
      <c r="N111" s="212" t="s">
        <v>57</v>
      </c>
      <c r="O111" s="212"/>
      <c r="P111" s="213"/>
      <c r="Q111" s="212"/>
      <c r="R111" s="1791" t="str">
        <f>CHOOSE(2, "6722000003030", "PL (1)-1 Cost of Sales HW")</f>
        <v>PL (1)-1 Cost of Sales HW</v>
      </c>
      <c r="S111" s="1303">
        <f>SUM(S112:S113)</f>
        <v>116163</v>
      </c>
      <c r="T111" s="1238">
        <f t="shared" ref="T111:AD111" si="248">SUM(T112:T113)</f>
        <v>158018.87352000002</v>
      </c>
      <c r="U111" s="1238">
        <f t="shared" si="248"/>
        <v>168964.38487958332</v>
      </c>
      <c r="V111" s="1238">
        <f t="shared" si="248"/>
        <v>126129.02983958331</v>
      </c>
      <c r="W111" s="1238">
        <f t="shared" si="248"/>
        <v>140252.90319291476</v>
      </c>
      <c r="X111" s="1238">
        <f t="shared" si="248"/>
        <v>172826.14751958346</v>
      </c>
      <c r="Y111" s="1238">
        <f t="shared" si="248"/>
        <v>100373.78612458323</v>
      </c>
      <c r="Z111" s="1238">
        <f t="shared" si="248"/>
        <v>119104.41033458343</v>
      </c>
      <c r="AA111" s="1238">
        <f t="shared" si="248"/>
        <v>142457.78976333333</v>
      </c>
      <c r="AB111" s="1238">
        <f t="shared" si="248"/>
        <v>143068.90600333334</v>
      </c>
      <c r="AC111" s="1238">
        <f t="shared" si="248"/>
        <v>131629.37642928946</v>
      </c>
      <c r="AD111" s="1238">
        <f t="shared" si="248"/>
        <v>178895.86385333331</v>
      </c>
      <c r="AE111" s="1238">
        <f t="shared" ref="AE111:AE116" si="249">SUM(S111,T111,U111)</f>
        <v>443146.25839958334</v>
      </c>
      <c r="AF111" s="1238">
        <f t="shared" ref="AF111:AF116" si="250">SUM(V111,W111,X111)</f>
        <v>439208.08055208152</v>
      </c>
      <c r="AG111" s="1238">
        <f t="shared" ref="AG111:AG116" si="251">SUM(Y111,Z111,AA111)</f>
        <v>361935.98622249998</v>
      </c>
      <c r="AH111" s="1238">
        <f t="shared" ref="AH111:AH116" si="252">SUM(AB111,AC111,AD111)</f>
        <v>453594.14628595614</v>
      </c>
      <c r="AI111" s="1238">
        <f t="shared" ref="AI111:AI122" si="253">AE111+AF111</f>
        <v>882354.33895166486</v>
      </c>
      <c r="AJ111" s="1238">
        <f t="shared" ref="AJ111:AJ122" si="254">AH111+AG111</f>
        <v>815530.13250845612</v>
      </c>
      <c r="AK111" s="1238">
        <f t="shared" ref="AK111:AK122" si="255">AI111+AJ111</f>
        <v>1697884.471460121</v>
      </c>
      <c r="AM111" s="2006">
        <f ca="1">SUM((INDIRECT(AM$2&amp;(ROW())):INDIRECT(AM$3&amp;(ROW()))))</f>
        <v>116163</v>
      </c>
      <c r="AN111" s="2007">
        <f ca="1">SUM(INDIRECT(AN$1&amp;AN$2&amp;$C111):INDIRECT(AN$1&amp;AN$3&amp;$C111))</f>
        <v>109641.53632337366</v>
      </c>
      <c r="AO111" s="2769">
        <f t="shared" ca="1" si="230"/>
        <v>6521.4636766263429</v>
      </c>
      <c r="AP111" s="2770">
        <f t="shared" ca="1" si="231"/>
        <v>1.0594798640671372</v>
      </c>
      <c r="AQ111" s="2007">
        <f ca="1">SUM(INDIRECT(AQ$1&amp;AQ$2&amp;$A111):INDIRECT(AQ$1&amp;AQ$3&amp;$A111))+SUM(INDIRECT(AQ$1&amp;AQ$2&amp;$B111):INDIRECT(AQ$1&amp;AQ$3&amp;$B111))</f>
        <v>48660</v>
      </c>
      <c r="AR111" s="2769">
        <f t="shared" ca="1" si="232"/>
        <v>67503</v>
      </c>
      <c r="AS111" s="2770">
        <f t="shared" ca="1" si="233"/>
        <v>2.3872379778051789</v>
      </c>
      <c r="AU111" s="2006">
        <f ca="1">SUM((INDIRECT(AU$2&amp;(ROW())):INDIRECT(AU$3&amp;(ROW()))))</f>
        <v>116163</v>
      </c>
      <c r="AV111" s="2007">
        <f ca="1">SUM(INDIRECT(AV$1&amp;AV$2&amp;$C111):INDIRECT(AV$1&amp;AV$3&amp;$C111))</f>
        <v>109641.53632337366</v>
      </c>
      <c r="AW111" s="2769">
        <f t="shared" ca="1" si="234"/>
        <v>6521.4636766263429</v>
      </c>
      <c r="AX111" s="2770">
        <f t="shared" ca="1" si="235"/>
        <v>1.0594798640671372</v>
      </c>
      <c r="AY111" s="2007">
        <f ca="1">SUM(INDIRECT(AY$1&amp;AY$2&amp;$A111):INDIRECT(AY$1&amp;AY$3&amp;$A111))+SUM(INDIRECT(AY$1&amp;AY$2&amp;$B111):INDIRECT(AY$1&amp;AY$3&amp;$B111))</f>
        <v>48660</v>
      </c>
      <c r="AZ111" s="2769">
        <f t="shared" ca="1" si="236"/>
        <v>67503</v>
      </c>
      <c r="BA111" s="2770">
        <f t="shared" ca="1" si="237"/>
        <v>2.3872379778051789</v>
      </c>
      <c r="BC111" s="2006">
        <f ca="1">SUM((INDIRECT(BC$2&amp;(ROW())):INDIRECT(BC$3&amp;(ROW()))))</f>
        <v>116163</v>
      </c>
      <c r="BD111" s="2007">
        <f ca="1">SUM(INDIRECT(BD$1&amp;BD$2&amp;$C111):INDIRECT(BD$1&amp;BD$3&amp;$C111))</f>
        <v>109641.53632337366</v>
      </c>
      <c r="BE111" s="2769">
        <f t="shared" ca="1" si="238"/>
        <v>6521.4636766263429</v>
      </c>
      <c r="BF111" s="2770">
        <f t="shared" ca="1" si="239"/>
        <v>1.0594798640671372</v>
      </c>
      <c r="BG111" s="2007">
        <f ca="1">SUM(INDIRECT(BG$1&amp;BG$2&amp;$A111):INDIRECT(BG$1&amp;BG$3&amp;$A111))+SUM(INDIRECT(BG$1&amp;BG$2&amp;$B111):INDIRECT(BG$1&amp;BG$3&amp;$B111))</f>
        <v>48660</v>
      </c>
      <c r="BH111" s="2769">
        <f t="shared" ca="1" si="240"/>
        <v>67503</v>
      </c>
      <c r="BI111" s="2770">
        <f t="shared" ca="1" si="241"/>
        <v>2.3872379778051789</v>
      </c>
    </row>
    <row r="112" spans="1:61" ht="14.5">
      <c r="A112" s="1693">
        <f t="shared" si="147"/>
        <v>112</v>
      </c>
      <c r="B112" s="616">
        <v>1</v>
      </c>
      <c r="C112" s="1693">
        <f t="shared" si="127"/>
        <v>112</v>
      </c>
      <c r="D112" s="616">
        <v>1</v>
      </c>
      <c r="F112" s="69"/>
      <c r="G112" s="4"/>
      <c r="H112" s="4"/>
      <c r="I112" s="4"/>
      <c r="J112" s="27"/>
      <c r="K112" s="3"/>
      <c r="L112" s="4"/>
      <c r="M112" s="4"/>
      <c r="N112" s="3"/>
      <c r="O112" s="3"/>
      <c r="P112" s="3" t="s">
        <v>184</v>
      </c>
      <c r="Q112" s="3"/>
      <c r="R112" s="1789" t="str">
        <f>CHOOSE(2, "6722000003031", "PL (1)-1 Cost of Sales HW KMI")</f>
        <v>PL (1)-1 Cost of Sales HW KMI</v>
      </c>
      <c r="S112" s="1214">
        <f t="shared" ref="S112:AD112" si="256">S463+S479-S496-S520</f>
        <v>116163</v>
      </c>
      <c r="T112" s="1221">
        <f t="shared" si="256"/>
        <v>158018.87352000002</v>
      </c>
      <c r="U112" s="1221">
        <f t="shared" si="256"/>
        <v>168964.38487958332</v>
      </c>
      <c r="V112" s="1221">
        <f t="shared" si="256"/>
        <v>126129.02983958331</v>
      </c>
      <c r="W112" s="1221">
        <f t="shared" si="256"/>
        <v>140252.90319291476</v>
      </c>
      <c r="X112" s="1221">
        <f t="shared" si="256"/>
        <v>172826.14751958346</v>
      </c>
      <c r="Y112" s="1221">
        <f t="shared" si="256"/>
        <v>100373.78612458323</v>
      </c>
      <c r="Z112" s="1221">
        <f t="shared" si="256"/>
        <v>119104.41033458343</v>
      </c>
      <c r="AA112" s="1221">
        <f t="shared" si="256"/>
        <v>142457.78976333333</v>
      </c>
      <c r="AB112" s="1221">
        <f t="shared" si="256"/>
        <v>143068.90600333334</v>
      </c>
      <c r="AC112" s="1221">
        <f t="shared" si="256"/>
        <v>131629.37642928946</v>
      </c>
      <c r="AD112" s="1221">
        <f t="shared" si="256"/>
        <v>178895.86385333331</v>
      </c>
      <c r="AE112" s="1221">
        <f t="shared" si="249"/>
        <v>443146.25839958334</v>
      </c>
      <c r="AF112" s="1221">
        <f t="shared" si="250"/>
        <v>439208.08055208152</v>
      </c>
      <c r="AG112" s="1221">
        <f t="shared" si="251"/>
        <v>361935.98622249998</v>
      </c>
      <c r="AH112" s="1221">
        <f t="shared" si="252"/>
        <v>453594.14628595614</v>
      </c>
      <c r="AI112" s="1221">
        <f t="shared" si="253"/>
        <v>882354.33895166486</v>
      </c>
      <c r="AJ112" s="1221">
        <f t="shared" si="254"/>
        <v>815530.13250845612</v>
      </c>
      <c r="AK112" s="1221">
        <f t="shared" si="255"/>
        <v>1697884.471460121</v>
      </c>
      <c r="AM112" s="596">
        <f ca="1">SUM((INDIRECT(AM$2&amp;(ROW())):INDIRECT(AM$3&amp;(ROW()))))</f>
        <v>116163</v>
      </c>
      <c r="AN112" s="2002">
        <f ca="1">SUM(INDIRECT(AN$1&amp;AN$2&amp;$C112):INDIRECT(AN$1&amp;AN$3&amp;$C112))</f>
        <v>109641.53632337366</v>
      </c>
      <c r="AO112" s="2767">
        <f t="shared" ca="1" si="230"/>
        <v>6521.4636766263429</v>
      </c>
      <c r="AP112" s="2768">
        <f t="shared" ca="1" si="231"/>
        <v>1.0594798640671372</v>
      </c>
      <c r="AQ112" s="2002">
        <f ca="1">SUM(INDIRECT(AQ$1&amp;AQ$2&amp;$A112):INDIRECT(AQ$1&amp;AQ$3&amp;$A112))+SUM(INDIRECT(AQ$1&amp;AQ$2&amp;$B112):INDIRECT(AQ$1&amp;AQ$3&amp;$B112))</f>
        <v>48660</v>
      </c>
      <c r="AR112" s="2767">
        <f t="shared" ca="1" si="232"/>
        <v>67503</v>
      </c>
      <c r="AS112" s="2768">
        <f t="shared" ca="1" si="233"/>
        <v>2.3872379778051789</v>
      </c>
      <c r="AU112" s="596">
        <f ca="1">SUM((INDIRECT(AU$2&amp;(ROW())):INDIRECT(AU$3&amp;(ROW()))))</f>
        <v>116163</v>
      </c>
      <c r="AV112" s="2002">
        <f ca="1">SUM(INDIRECT(AV$1&amp;AV$2&amp;$C112):INDIRECT(AV$1&amp;AV$3&amp;$C112))</f>
        <v>109641.53632337366</v>
      </c>
      <c r="AW112" s="2767">
        <f t="shared" ca="1" si="234"/>
        <v>6521.4636766263429</v>
      </c>
      <c r="AX112" s="2768">
        <f t="shared" ca="1" si="235"/>
        <v>1.0594798640671372</v>
      </c>
      <c r="AY112" s="2002">
        <f ca="1">SUM(INDIRECT(AY$1&amp;AY$2&amp;$A112):INDIRECT(AY$1&amp;AY$3&amp;$A112))+SUM(INDIRECT(AY$1&amp;AY$2&amp;$B112):INDIRECT(AY$1&amp;AY$3&amp;$B112))</f>
        <v>48660</v>
      </c>
      <c r="AZ112" s="2767">
        <f t="shared" ca="1" si="236"/>
        <v>67503</v>
      </c>
      <c r="BA112" s="2768">
        <f t="shared" ca="1" si="237"/>
        <v>2.3872379778051789</v>
      </c>
      <c r="BC112" s="596">
        <f ca="1">SUM((INDIRECT(BC$2&amp;(ROW())):INDIRECT(BC$3&amp;(ROW()))))</f>
        <v>116163</v>
      </c>
      <c r="BD112" s="2002">
        <f ca="1">SUM(INDIRECT(BD$1&amp;BD$2&amp;$C112):INDIRECT(BD$1&amp;BD$3&amp;$C112))</f>
        <v>109641.53632337366</v>
      </c>
      <c r="BE112" s="2767">
        <f t="shared" ca="1" si="238"/>
        <v>6521.4636766263429</v>
      </c>
      <c r="BF112" s="2768">
        <f t="shared" ca="1" si="239"/>
        <v>1.0594798640671372</v>
      </c>
      <c r="BG112" s="2002">
        <f ca="1">SUM(INDIRECT(BG$1&amp;BG$2&amp;$A112):INDIRECT(BG$1&amp;BG$3&amp;$A112))+SUM(INDIRECT(BG$1&amp;BG$2&amp;$B112):INDIRECT(BG$1&amp;BG$3&amp;$B112))</f>
        <v>48660</v>
      </c>
      <c r="BH112" s="2767">
        <f t="shared" ca="1" si="240"/>
        <v>67503</v>
      </c>
      <c r="BI112" s="2768">
        <f t="shared" ca="1" si="241"/>
        <v>2.3872379778051789</v>
      </c>
    </row>
    <row r="113" spans="1:61" ht="14.5">
      <c r="A113" s="1693">
        <f t="shared" si="147"/>
        <v>113</v>
      </c>
      <c r="B113" s="616">
        <v>1</v>
      </c>
      <c r="C113" s="1693">
        <f t="shared" si="127"/>
        <v>113</v>
      </c>
      <c r="D113" s="616">
        <v>1</v>
      </c>
      <c r="F113" s="69"/>
      <c r="G113" s="4"/>
      <c r="H113" s="4"/>
      <c r="I113" s="4"/>
      <c r="J113" s="27"/>
      <c r="K113" s="3"/>
      <c r="L113" s="4"/>
      <c r="M113" s="4"/>
      <c r="N113" s="3"/>
      <c r="O113" s="3"/>
      <c r="P113" s="3" t="s">
        <v>66</v>
      </c>
      <c r="Q113" s="3"/>
      <c r="R113" s="1789" t="str">
        <f>CHOOSE(2, "6722000003032", "PL (1)-1 Cost of Sales HW 3rd Party")</f>
        <v>PL (1)-1 Cost of Sales HW 3rd Party</v>
      </c>
      <c r="S113" s="1214">
        <f t="shared" ref="S113:AD113" si="257">S466+S482-S499-S523</f>
        <v>0</v>
      </c>
      <c r="T113" s="1221">
        <f t="shared" si="257"/>
        <v>0</v>
      </c>
      <c r="U113" s="1221">
        <f t="shared" si="257"/>
        <v>0</v>
      </c>
      <c r="V113" s="1221">
        <f t="shared" si="257"/>
        <v>0</v>
      </c>
      <c r="W113" s="1221">
        <f t="shared" si="257"/>
        <v>0</v>
      </c>
      <c r="X113" s="1221">
        <f t="shared" si="257"/>
        <v>0</v>
      </c>
      <c r="Y113" s="1221">
        <f t="shared" si="257"/>
        <v>0</v>
      </c>
      <c r="Z113" s="1221">
        <f t="shared" si="257"/>
        <v>0</v>
      </c>
      <c r="AA113" s="1221">
        <f t="shared" si="257"/>
        <v>0</v>
      </c>
      <c r="AB113" s="1221">
        <f t="shared" si="257"/>
        <v>0</v>
      </c>
      <c r="AC113" s="1221">
        <f t="shared" si="257"/>
        <v>0</v>
      </c>
      <c r="AD113" s="1221">
        <f t="shared" si="257"/>
        <v>0</v>
      </c>
      <c r="AE113" s="1221">
        <f t="shared" si="249"/>
        <v>0</v>
      </c>
      <c r="AF113" s="1221">
        <f t="shared" si="250"/>
        <v>0</v>
      </c>
      <c r="AG113" s="1221">
        <f t="shared" si="251"/>
        <v>0</v>
      </c>
      <c r="AH113" s="1221">
        <f t="shared" si="252"/>
        <v>0</v>
      </c>
      <c r="AI113" s="1221">
        <f t="shared" si="253"/>
        <v>0</v>
      </c>
      <c r="AJ113" s="1221">
        <f t="shared" si="254"/>
        <v>0</v>
      </c>
      <c r="AK113" s="1221">
        <f t="shared" si="255"/>
        <v>0</v>
      </c>
      <c r="AM113" s="596">
        <f ca="1">SUM((INDIRECT(AM$2&amp;(ROW())):INDIRECT(AM$3&amp;(ROW()))))</f>
        <v>0</v>
      </c>
      <c r="AN113" s="2002">
        <f ca="1">SUM(INDIRECT(AN$1&amp;AN$2&amp;$C113):INDIRECT(AN$1&amp;AN$3&amp;$C113))</f>
        <v>0</v>
      </c>
      <c r="AO113" s="2767">
        <f t="shared" ca="1" si="230"/>
        <v>0</v>
      </c>
      <c r="AP113" s="2768">
        <f t="shared" ca="1" si="231"/>
        <v>0</v>
      </c>
      <c r="AQ113" s="2002">
        <f ca="1">SUM(INDIRECT(AQ$1&amp;AQ$2&amp;$A113):INDIRECT(AQ$1&amp;AQ$3&amp;$A113))+SUM(INDIRECT(AQ$1&amp;AQ$2&amp;$B113):INDIRECT(AQ$1&amp;AQ$3&amp;$B113))</f>
        <v>0</v>
      </c>
      <c r="AR113" s="2767">
        <f t="shared" ca="1" si="232"/>
        <v>0</v>
      </c>
      <c r="AS113" s="2768">
        <f t="shared" ca="1" si="233"/>
        <v>0</v>
      </c>
      <c r="AU113" s="596">
        <f ca="1">SUM((INDIRECT(AU$2&amp;(ROW())):INDIRECT(AU$3&amp;(ROW()))))</f>
        <v>0</v>
      </c>
      <c r="AV113" s="2002">
        <f ca="1">SUM(INDIRECT(AV$1&amp;AV$2&amp;$C113):INDIRECT(AV$1&amp;AV$3&amp;$C113))</f>
        <v>0</v>
      </c>
      <c r="AW113" s="2767">
        <f t="shared" ca="1" si="234"/>
        <v>0</v>
      </c>
      <c r="AX113" s="2768">
        <f t="shared" ca="1" si="235"/>
        <v>0</v>
      </c>
      <c r="AY113" s="2002">
        <f ca="1">SUM(INDIRECT(AY$1&amp;AY$2&amp;$A113):INDIRECT(AY$1&amp;AY$3&amp;$A113))+SUM(INDIRECT(AY$1&amp;AY$2&amp;$B113):INDIRECT(AY$1&amp;AY$3&amp;$B113))</f>
        <v>0</v>
      </c>
      <c r="AZ113" s="2767">
        <f t="shared" ca="1" si="236"/>
        <v>0</v>
      </c>
      <c r="BA113" s="2768">
        <f t="shared" ca="1" si="237"/>
        <v>0</v>
      </c>
      <c r="BC113" s="596">
        <f ca="1">SUM((INDIRECT(BC$2&amp;(ROW())):INDIRECT(BC$3&amp;(ROW()))))</f>
        <v>0</v>
      </c>
      <c r="BD113" s="2002">
        <f ca="1">SUM(INDIRECT(BD$1&amp;BD$2&amp;$C113):INDIRECT(BD$1&amp;BD$3&amp;$C113))</f>
        <v>0</v>
      </c>
      <c r="BE113" s="2767">
        <f t="shared" ca="1" si="238"/>
        <v>0</v>
      </c>
      <c r="BF113" s="2768">
        <f t="shared" ca="1" si="239"/>
        <v>0</v>
      </c>
      <c r="BG113" s="2002">
        <f ca="1">SUM(INDIRECT(BG$1&amp;BG$2&amp;$A113):INDIRECT(BG$1&amp;BG$3&amp;$A113))+SUM(INDIRECT(BG$1&amp;BG$2&amp;$B113):INDIRECT(BG$1&amp;BG$3&amp;$B113))</f>
        <v>0</v>
      </c>
      <c r="BH113" s="2767">
        <f t="shared" ca="1" si="240"/>
        <v>0</v>
      </c>
      <c r="BI113" s="2768">
        <f t="shared" ca="1" si="241"/>
        <v>0</v>
      </c>
    </row>
    <row r="114" spans="1:61" ht="14.5">
      <c r="A114" s="1693">
        <f t="shared" si="147"/>
        <v>114</v>
      </c>
      <c r="B114" s="616">
        <v>1</v>
      </c>
      <c r="C114" s="1693">
        <f t="shared" si="127"/>
        <v>114</v>
      </c>
      <c r="D114" s="616">
        <v>1</v>
      </c>
      <c r="F114" s="69"/>
      <c r="G114" s="4"/>
      <c r="H114" s="4"/>
      <c r="I114" s="4"/>
      <c r="J114" s="27"/>
      <c r="K114" s="3"/>
      <c r="L114" s="4"/>
      <c r="M114" s="4"/>
      <c r="N114" s="212" t="s">
        <v>27</v>
      </c>
      <c r="O114" s="212"/>
      <c r="P114" s="213"/>
      <c r="Q114" s="212"/>
      <c r="R114" s="1791" t="str">
        <f>CHOOSE(2, "6722000003033", "PL (1)-1 Cost of Sales NH")</f>
        <v>PL (1)-1 Cost of Sales NH</v>
      </c>
      <c r="S114" s="1303">
        <f t="shared" ref="S114:AD114" si="258">S104-S129</f>
        <v>61585</v>
      </c>
      <c r="T114" s="1238">
        <f t="shared" si="258"/>
        <v>59500.726350000019</v>
      </c>
      <c r="U114" s="1238">
        <f t="shared" si="258"/>
        <v>51187.676361250044</v>
      </c>
      <c r="V114" s="1238">
        <f t="shared" si="258"/>
        <v>55051.640713350876</v>
      </c>
      <c r="W114" s="1238">
        <f t="shared" si="258"/>
        <v>60972.914455890139</v>
      </c>
      <c r="X114" s="1238">
        <f t="shared" si="258"/>
        <v>54191.704676249981</v>
      </c>
      <c r="Y114" s="1238">
        <f t="shared" si="258"/>
        <v>56009.592092083309</v>
      </c>
      <c r="Z114" s="1238">
        <f t="shared" si="258"/>
        <v>60060.024472083322</v>
      </c>
      <c r="AA114" s="1238">
        <f t="shared" si="258"/>
        <v>65604.602338959245</v>
      </c>
      <c r="AB114" s="1238">
        <f t="shared" si="258"/>
        <v>59843.720895543156</v>
      </c>
      <c r="AC114" s="1238">
        <f t="shared" si="258"/>
        <v>63692.90824259114</v>
      </c>
      <c r="AD114" s="1238">
        <f t="shared" si="258"/>
        <v>55752.864057516301</v>
      </c>
      <c r="AE114" s="1238">
        <f t="shared" si="249"/>
        <v>172273.40271125006</v>
      </c>
      <c r="AF114" s="1238">
        <f t="shared" si="250"/>
        <v>170216.25984549097</v>
      </c>
      <c r="AG114" s="1238">
        <f t="shared" si="251"/>
        <v>181674.21890312587</v>
      </c>
      <c r="AH114" s="1238">
        <f t="shared" si="252"/>
        <v>179289.4931956506</v>
      </c>
      <c r="AI114" s="1238">
        <f t="shared" si="253"/>
        <v>342489.66255674104</v>
      </c>
      <c r="AJ114" s="1238">
        <f t="shared" si="254"/>
        <v>360963.71209877648</v>
      </c>
      <c r="AK114" s="1238">
        <f t="shared" si="255"/>
        <v>703453.37465551752</v>
      </c>
      <c r="AM114" s="2006">
        <f ca="1">SUM((INDIRECT(AM$2&amp;(ROW())):INDIRECT(AM$3&amp;(ROW()))))</f>
        <v>61585</v>
      </c>
      <c r="AN114" s="2007">
        <f ca="1">SUM(INDIRECT(AN$1&amp;AN$2&amp;$C114):INDIRECT(AN$1&amp;AN$3&amp;$C114))</f>
        <v>65850.423695689824</v>
      </c>
      <c r="AO114" s="2769">
        <f t="shared" ca="1" si="230"/>
        <v>-4265.4236956898239</v>
      </c>
      <c r="AP114" s="2770">
        <f t="shared" ca="1" si="231"/>
        <v>0.93522556946024615</v>
      </c>
      <c r="AQ114" s="2007">
        <f ca="1">SUM(INDIRECT(AQ$1&amp;AQ$2&amp;$A114):INDIRECT(AQ$1&amp;AQ$3&amp;$A114))+SUM(INDIRECT(AQ$1&amp;AQ$2&amp;$B114):INDIRECT(AQ$1&amp;AQ$3&amp;$B114))</f>
        <v>52089</v>
      </c>
      <c r="AR114" s="2769">
        <f t="shared" ca="1" si="232"/>
        <v>9496</v>
      </c>
      <c r="AS114" s="2770">
        <f t="shared" ca="1" si="233"/>
        <v>1.1823033653938451</v>
      </c>
      <c r="AU114" s="2006">
        <f ca="1">SUM((INDIRECT(AU$2&amp;(ROW())):INDIRECT(AU$3&amp;(ROW()))))</f>
        <v>61585</v>
      </c>
      <c r="AV114" s="2007">
        <f ca="1">SUM(INDIRECT(AV$1&amp;AV$2&amp;$C114):INDIRECT(AV$1&amp;AV$3&amp;$C114))</f>
        <v>65850.423695689824</v>
      </c>
      <c r="AW114" s="2769">
        <f t="shared" ca="1" si="234"/>
        <v>-4265.4236956898239</v>
      </c>
      <c r="AX114" s="2770">
        <f t="shared" ca="1" si="235"/>
        <v>0.93522556946024615</v>
      </c>
      <c r="AY114" s="2007">
        <f ca="1">SUM(INDIRECT(AY$1&amp;AY$2&amp;$A114):INDIRECT(AY$1&amp;AY$3&amp;$A114))+SUM(INDIRECT(AY$1&amp;AY$2&amp;$B114):INDIRECT(AY$1&amp;AY$3&amp;$B114))</f>
        <v>52089</v>
      </c>
      <c r="AZ114" s="2769">
        <f t="shared" ca="1" si="236"/>
        <v>9496</v>
      </c>
      <c r="BA114" s="2770">
        <f t="shared" ca="1" si="237"/>
        <v>1.1823033653938451</v>
      </c>
      <c r="BC114" s="2006">
        <f ca="1">SUM((INDIRECT(BC$2&amp;(ROW())):INDIRECT(BC$3&amp;(ROW()))))</f>
        <v>61585</v>
      </c>
      <c r="BD114" s="2007">
        <f ca="1">SUM(INDIRECT(BD$1&amp;BD$2&amp;$C114):INDIRECT(BD$1&amp;BD$3&amp;$C114))</f>
        <v>65850.423695689824</v>
      </c>
      <c r="BE114" s="2769">
        <f t="shared" ca="1" si="238"/>
        <v>-4265.4236956898239</v>
      </c>
      <c r="BF114" s="2770">
        <f t="shared" ca="1" si="239"/>
        <v>0.93522556946024615</v>
      </c>
      <c r="BG114" s="2007">
        <f ca="1">SUM(INDIRECT(BG$1&amp;BG$2&amp;$A114):INDIRECT(BG$1&amp;BG$3&amp;$A114))+SUM(INDIRECT(BG$1&amp;BG$2&amp;$B114):INDIRECT(BG$1&amp;BG$3&amp;$B114))</f>
        <v>52089</v>
      </c>
      <c r="BH114" s="2769">
        <f t="shared" ca="1" si="240"/>
        <v>9496</v>
      </c>
      <c r="BI114" s="2770">
        <f t="shared" ca="1" si="241"/>
        <v>1.1823033653938451</v>
      </c>
    </row>
    <row r="115" spans="1:61" ht="14.5">
      <c r="A115" s="1693">
        <f t="shared" si="147"/>
        <v>115</v>
      </c>
      <c r="B115" s="616">
        <v>1</v>
      </c>
      <c r="C115" s="1693">
        <f t="shared" si="127"/>
        <v>115</v>
      </c>
      <c r="D115" s="616">
        <v>1</v>
      </c>
      <c r="F115" s="69"/>
      <c r="G115" s="4"/>
      <c r="H115" s="4"/>
      <c r="I115" s="4"/>
      <c r="J115" s="27"/>
      <c r="K115" s="3"/>
      <c r="L115" s="4"/>
      <c r="M115" s="4"/>
      <c r="N115" s="3"/>
      <c r="O115" s="3"/>
      <c r="P115" s="294" t="s">
        <v>312</v>
      </c>
      <c r="Q115" s="723"/>
      <c r="R115" s="1790" t="str">
        <f>CHOOSE(2, "6722000003034", "PL (1)-1 Cost of Sales NH MC(T, P, C)")</f>
        <v>PL (1)-1 Cost of Sales NH MC(T, P, C)</v>
      </c>
      <c r="S115" s="1386">
        <v>54163</v>
      </c>
      <c r="T115" s="1386">
        <v>50678.108350000017</v>
      </c>
      <c r="U115" s="1386">
        <v>42992.419361250046</v>
      </c>
      <c r="V115" s="1386">
        <v>46144.398361250001</v>
      </c>
      <c r="W115" s="1386">
        <v>52381.914455890139</v>
      </c>
      <c r="X115" s="1386">
        <v>45081.322056249999</v>
      </c>
      <c r="Y115" s="1386">
        <f>47961.0476820833-117</f>
        <v>47844.047682083299</v>
      </c>
      <c r="Z115" s="1386">
        <v>50794.28408208333</v>
      </c>
      <c r="AA115" s="1386">
        <v>55393.216683021288</v>
      </c>
      <c r="AB115" s="1386">
        <v>52809.877163749981</v>
      </c>
      <c r="AC115" s="1386">
        <v>54060.60017050735</v>
      </c>
      <c r="AD115" s="1386">
        <v>48277.472118749989</v>
      </c>
      <c r="AE115" s="472">
        <f t="shared" si="249"/>
        <v>147833.52771125006</v>
      </c>
      <c r="AF115" s="472">
        <f t="shared" si="250"/>
        <v>143607.63487339014</v>
      </c>
      <c r="AG115" s="472">
        <f t="shared" si="251"/>
        <v>154031.5484471879</v>
      </c>
      <c r="AH115" s="472">
        <f t="shared" si="252"/>
        <v>155147.94945300731</v>
      </c>
      <c r="AI115" s="472">
        <f t="shared" si="253"/>
        <v>291441.1625846402</v>
      </c>
      <c r="AJ115" s="472">
        <f t="shared" si="254"/>
        <v>309179.49790019519</v>
      </c>
      <c r="AK115" s="472">
        <f t="shared" si="255"/>
        <v>600620.66048483539</v>
      </c>
      <c r="AM115" s="2771">
        <f ca="1">SUM((INDIRECT(AM$2&amp;(ROW())):INDIRECT(AM$3&amp;(ROW()))))</f>
        <v>54163</v>
      </c>
      <c r="AN115" s="2010">
        <f ca="1">SUM(INDIRECT(AN$1&amp;AN$2&amp;$C115):INDIRECT(AN$1&amp;AN$3&amp;$C115))</f>
        <v>57129.493690122828</v>
      </c>
      <c r="AO115" s="2772">
        <f t="shared" ca="1" si="230"/>
        <v>-2966.4936901228284</v>
      </c>
      <c r="AP115" s="2773">
        <f t="shared" ca="1" si="231"/>
        <v>0.94807421703729</v>
      </c>
      <c r="AQ115" s="2010">
        <f ca="1">SUM(INDIRECT(AQ$1&amp;AQ$2&amp;$A115):INDIRECT(AQ$1&amp;AQ$3&amp;$A115))+SUM(INDIRECT(AQ$1&amp;AQ$2&amp;$B115):INDIRECT(AQ$1&amp;AQ$3&amp;$B115))</f>
        <v>44542</v>
      </c>
      <c r="AR115" s="2772">
        <f t="shared" ca="1" si="232"/>
        <v>9621</v>
      </c>
      <c r="AS115" s="2773">
        <f t="shared" ca="1" si="233"/>
        <v>1.2159983835481118</v>
      </c>
      <c r="AU115" s="2771">
        <f ca="1">SUM((INDIRECT(AU$2&amp;(ROW())):INDIRECT(AU$3&amp;(ROW()))))</f>
        <v>54163</v>
      </c>
      <c r="AV115" s="2010">
        <f ca="1">SUM(INDIRECT(AV$1&amp;AV$2&amp;$C115):INDIRECT(AV$1&amp;AV$3&amp;$C115))</f>
        <v>57129.493690122828</v>
      </c>
      <c r="AW115" s="2772">
        <f t="shared" ca="1" si="234"/>
        <v>-2966.4936901228284</v>
      </c>
      <c r="AX115" s="2773">
        <f t="shared" ca="1" si="235"/>
        <v>0.94807421703729</v>
      </c>
      <c r="AY115" s="2010">
        <f ca="1">SUM(INDIRECT(AY$1&amp;AY$2&amp;$A115):INDIRECT(AY$1&amp;AY$3&amp;$A115))+SUM(INDIRECT(AY$1&amp;AY$2&amp;$B115):INDIRECT(AY$1&amp;AY$3&amp;$B115))</f>
        <v>44542</v>
      </c>
      <c r="AZ115" s="2772">
        <f t="shared" ca="1" si="236"/>
        <v>9621</v>
      </c>
      <c r="BA115" s="2773">
        <f t="shared" ca="1" si="237"/>
        <v>1.2159983835481118</v>
      </c>
      <c r="BC115" s="2771">
        <f ca="1">SUM((INDIRECT(BC$2&amp;(ROW())):INDIRECT(BC$3&amp;(ROW()))))</f>
        <v>54163</v>
      </c>
      <c r="BD115" s="2010">
        <f ca="1">SUM(INDIRECT(BD$1&amp;BD$2&amp;$C115):INDIRECT(BD$1&amp;BD$3&amp;$C115))</f>
        <v>57129.493690122828</v>
      </c>
      <c r="BE115" s="2772">
        <f t="shared" ca="1" si="238"/>
        <v>-2966.4936901228284</v>
      </c>
      <c r="BF115" s="2773">
        <f t="shared" ca="1" si="239"/>
        <v>0.94807421703729</v>
      </c>
      <c r="BG115" s="2010">
        <f ca="1">SUM(INDIRECT(BG$1&amp;BG$2&amp;$A115):INDIRECT(BG$1&amp;BG$3&amp;$A115))+SUM(INDIRECT(BG$1&amp;BG$2&amp;$B115):INDIRECT(BG$1&amp;BG$3&amp;$B115))</f>
        <v>44542</v>
      </c>
      <c r="BH115" s="2772">
        <f t="shared" ca="1" si="240"/>
        <v>9621</v>
      </c>
      <c r="BI115" s="2773">
        <f t="shared" ca="1" si="241"/>
        <v>1.2159983835481118</v>
      </c>
    </row>
    <row r="116" spans="1:61" ht="14.5">
      <c r="A116" s="1693">
        <f t="shared" si="147"/>
        <v>116</v>
      </c>
      <c r="B116" s="616">
        <v>1</v>
      </c>
      <c r="C116" s="1693">
        <f t="shared" si="127"/>
        <v>116</v>
      </c>
      <c r="D116" s="616">
        <v>1</v>
      </c>
      <c r="F116" s="69"/>
      <c r="G116" s="4"/>
      <c r="H116" s="4"/>
      <c r="I116" s="4"/>
      <c r="J116" s="27"/>
      <c r="K116" s="3"/>
      <c r="L116" s="4"/>
      <c r="M116" s="4"/>
      <c r="N116" s="3"/>
      <c r="O116" s="3"/>
      <c r="P116" s="3"/>
      <c r="Q116" s="3" t="s">
        <v>120</v>
      </c>
      <c r="R116" s="1790" t="str">
        <f>CHOOSE(2, "6722000003035", "PL (1)-1 Cost of Sales NH MC(T, P, C) Direct")</f>
        <v>PL (1)-1 Cost of Sales NH MC(T, P, C) Direct</v>
      </c>
      <c r="S116" s="1215">
        <f>S470-S503</f>
        <v>8015</v>
      </c>
      <c r="T116" s="1215">
        <f t="shared" ref="T116:AD116" si="259">T470-T503</f>
        <v>7556.4368399999985</v>
      </c>
      <c r="U116" s="1215">
        <f t="shared" si="259"/>
        <v>6461.564454657102</v>
      </c>
      <c r="V116" s="1215">
        <f t="shared" si="259"/>
        <v>7726.3470000000016</v>
      </c>
      <c r="W116" s="1215">
        <f t="shared" si="259"/>
        <v>6765.7539309253007</v>
      </c>
      <c r="X116" s="1215">
        <f t="shared" si="259"/>
        <v>6405.9197876653707</v>
      </c>
      <c r="Y116" s="1215">
        <f t="shared" si="259"/>
        <v>5881.3461485866428</v>
      </c>
      <c r="Z116" s="1215">
        <f t="shared" si="259"/>
        <v>6315.3707107526498</v>
      </c>
      <c r="AA116" s="1215">
        <f t="shared" si="259"/>
        <v>7041.5072293464036</v>
      </c>
      <c r="AB116" s="1215">
        <f t="shared" si="259"/>
        <v>7124.942568822702</v>
      </c>
      <c r="AC116" s="1215">
        <f t="shared" si="259"/>
        <v>7650.475386636841</v>
      </c>
      <c r="AD116" s="1215">
        <f t="shared" si="259"/>
        <v>6527.1802398856962</v>
      </c>
      <c r="AE116" s="1221">
        <f t="shared" si="249"/>
        <v>22033.001294657101</v>
      </c>
      <c r="AF116" s="1221">
        <f t="shared" si="250"/>
        <v>20898.020718590673</v>
      </c>
      <c r="AG116" s="1221">
        <f t="shared" si="251"/>
        <v>19238.224088685696</v>
      </c>
      <c r="AH116" s="1221">
        <f t="shared" si="252"/>
        <v>21302.598195345239</v>
      </c>
      <c r="AI116" s="1221">
        <f t="shared" si="253"/>
        <v>42931.02201324777</v>
      </c>
      <c r="AJ116" s="1221">
        <f t="shared" si="254"/>
        <v>40540.822284030932</v>
      </c>
      <c r="AK116" s="1221">
        <f t="shared" si="255"/>
        <v>83471.844297278702</v>
      </c>
      <c r="AM116" s="596">
        <f ca="1">SUM((INDIRECT(AM$2&amp;(ROW())):INDIRECT(AM$3&amp;(ROW()))))</f>
        <v>8015</v>
      </c>
      <c r="AN116" s="2002">
        <f ca="1">SUM(INDIRECT(AN$1&amp;AN$2&amp;$C116):INDIRECT(AN$1&amp;AN$3&amp;$C116))</f>
        <v>11444.273456513458</v>
      </c>
      <c r="AO116" s="2767">
        <f t="shared" ca="1" si="230"/>
        <v>-3429.2734565134579</v>
      </c>
      <c r="AP116" s="2768">
        <f t="shared" ca="1" si="231"/>
        <v>0.70035026954361157</v>
      </c>
      <c r="AQ116" s="2002">
        <f ca="1">SUM(INDIRECT(AQ$1&amp;AQ$2&amp;$A116):INDIRECT(AQ$1&amp;AQ$3&amp;$A116))+SUM(INDIRECT(AQ$1&amp;AQ$2&amp;$B116):INDIRECT(AQ$1&amp;AQ$3&amp;$B116))</f>
        <v>4050</v>
      </c>
      <c r="AR116" s="2767">
        <f t="shared" ca="1" si="232"/>
        <v>3965</v>
      </c>
      <c r="AS116" s="2768">
        <f t="shared" ca="1" si="233"/>
        <v>1.9790123456790123</v>
      </c>
      <c r="AU116" s="596">
        <f ca="1">SUM((INDIRECT(AU$2&amp;(ROW())):INDIRECT(AU$3&amp;(ROW()))))</f>
        <v>8015</v>
      </c>
      <c r="AV116" s="2002">
        <f ca="1">SUM(INDIRECT(AV$1&amp;AV$2&amp;$C116):INDIRECT(AV$1&amp;AV$3&amp;$C116))</f>
        <v>11444.273456513458</v>
      </c>
      <c r="AW116" s="2767">
        <f t="shared" ca="1" si="234"/>
        <v>-3429.2734565134579</v>
      </c>
      <c r="AX116" s="2768">
        <f t="shared" ca="1" si="235"/>
        <v>0.70035026954361157</v>
      </c>
      <c r="AY116" s="2002">
        <f ca="1">SUM(INDIRECT(AY$1&amp;AY$2&amp;$A116):INDIRECT(AY$1&amp;AY$3&amp;$A116))+SUM(INDIRECT(AY$1&amp;AY$2&amp;$B116):INDIRECT(AY$1&amp;AY$3&amp;$B116))</f>
        <v>4050</v>
      </c>
      <c r="AZ116" s="2767">
        <f t="shared" ca="1" si="236"/>
        <v>3965</v>
      </c>
      <c r="BA116" s="2768">
        <f t="shared" ca="1" si="237"/>
        <v>1.9790123456790123</v>
      </c>
      <c r="BC116" s="596">
        <f ca="1">SUM((INDIRECT(BC$2&amp;(ROW())):INDIRECT(BC$3&amp;(ROW()))))</f>
        <v>8015</v>
      </c>
      <c r="BD116" s="2002">
        <f ca="1">SUM(INDIRECT(BD$1&amp;BD$2&amp;$C116):INDIRECT(BD$1&amp;BD$3&amp;$C116))</f>
        <v>11444.273456513458</v>
      </c>
      <c r="BE116" s="2767">
        <f t="shared" ca="1" si="238"/>
        <v>-3429.2734565134579</v>
      </c>
      <c r="BF116" s="2768">
        <f t="shared" ca="1" si="239"/>
        <v>0.70035026954361157</v>
      </c>
      <c r="BG116" s="2002">
        <f ca="1">SUM(INDIRECT(BG$1&amp;BG$2&amp;$A116):INDIRECT(BG$1&amp;BG$3&amp;$A116))+SUM(INDIRECT(BG$1&amp;BG$2&amp;$B116):INDIRECT(BG$1&amp;BG$3&amp;$B116))</f>
        <v>4050</v>
      </c>
      <c r="BH116" s="2767">
        <f t="shared" ca="1" si="240"/>
        <v>3965</v>
      </c>
      <c r="BI116" s="2768">
        <f t="shared" ca="1" si="241"/>
        <v>1.9790123456790123</v>
      </c>
    </row>
    <row r="117" spans="1:61" ht="14.5">
      <c r="A117" s="1693">
        <f t="shared" si="147"/>
        <v>117</v>
      </c>
      <c r="B117" s="616">
        <v>1</v>
      </c>
      <c r="C117" s="1693">
        <f t="shared" si="127"/>
        <v>117</v>
      </c>
      <c r="D117" s="616">
        <v>1</v>
      </c>
      <c r="F117" s="69"/>
      <c r="G117" s="4"/>
      <c r="H117" s="4"/>
      <c r="I117" s="4"/>
      <c r="J117" s="27"/>
      <c r="K117" s="3"/>
      <c r="L117" s="4"/>
      <c r="M117" s="4"/>
      <c r="N117" s="3"/>
      <c r="O117" s="3"/>
      <c r="P117" s="3"/>
      <c r="Q117" s="47" t="s">
        <v>129</v>
      </c>
      <c r="R117" s="1789" t="str">
        <f>CHOOSE(2, "6722000003036", "PL (1)-1 Cost of Sales NH MC(T, P, C) Indirect")</f>
        <v>PL (1)-1 Cost of Sales NH MC(T, P, C) Indirect</v>
      </c>
      <c r="S117" s="1257">
        <f>S115-S116</f>
        <v>46148</v>
      </c>
      <c r="T117" s="1230">
        <f t="shared" ref="T117:AD117" si="260">T115-T116</f>
        <v>43121.671510000015</v>
      </c>
      <c r="U117" s="1230">
        <f t="shared" si="260"/>
        <v>36530.85490659294</v>
      </c>
      <c r="V117" s="1230">
        <f t="shared" si="260"/>
        <v>38418.05136125</v>
      </c>
      <c r="W117" s="1230">
        <f t="shared" si="260"/>
        <v>45616.160524964842</v>
      </c>
      <c r="X117" s="1230">
        <f t="shared" si="260"/>
        <v>38675.402268584628</v>
      </c>
      <c r="Y117" s="1230">
        <f t="shared" si="260"/>
        <v>41962.701533496656</v>
      </c>
      <c r="Z117" s="1230">
        <f t="shared" si="260"/>
        <v>44478.91337133068</v>
      </c>
      <c r="AA117" s="1230">
        <f t="shared" si="260"/>
        <v>48351.709453674885</v>
      </c>
      <c r="AB117" s="1230">
        <f t="shared" si="260"/>
        <v>45684.934594927283</v>
      </c>
      <c r="AC117" s="1230">
        <f t="shared" si="260"/>
        <v>46410.124783870509</v>
      </c>
      <c r="AD117" s="1230">
        <f t="shared" si="260"/>
        <v>41750.291878864293</v>
      </c>
      <c r="AE117" s="1230">
        <f t="shared" ref="AE117:AK117" si="261">AE115-AE116</f>
        <v>125800.52641659297</v>
      </c>
      <c r="AF117" s="1230">
        <f t="shared" si="261"/>
        <v>122709.61415479946</v>
      </c>
      <c r="AG117" s="1230">
        <f t="shared" si="261"/>
        <v>134793.3243585022</v>
      </c>
      <c r="AH117" s="1230">
        <f t="shared" si="261"/>
        <v>133845.35125766209</v>
      </c>
      <c r="AI117" s="1230">
        <f t="shared" si="261"/>
        <v>248510.14057139243</v>
      </c>
      <c r="AJ117" s="1230">
        <f t="shared" si="261"/>
        <v>268638.67561616423</v>
      </c>
      <c r="AK117" s="1230">
        <f t="shared" si="261"/>
        <v>517148.81618755672</v>
      </c>
      <c r="AM117" s="2011">
        <f ca="1">SUM((INDIRECT(AM$2&amp;(ROW())):INDIRECT(AM$3&amp;(ROW()))))</f>
        <v>46148</v>
      </c>
      <c r="AN117" s="2012">
        <f ca="1">SUM(INDIRECT(AN$1&amp;AN$2&amp;$C117):INDIRECT(AN$1&amp;AN$3&amp;$C117))</f>
        <v>45685.220233609369</v>
      </c>
      <c r="AO117" s="2774">
        <f t="shared" ca="1" si="230"/>
        <v>462.77976639063127</v>
      </c>
      <c r="AP117" s="2775">
        <f t="shared" ca="1" si="231"/>
        <v>1.0101297479584037</v>
      </c>
      <c r="AQ117" s="2012">
        <f ca="1">SUM(INDIRECT(AQ$1&amp;AQ$2&amp;$A117):INDIRECT(AQ$1&amp;AQ$3&amp;$A117))+SUM(INDIRECT(AQ$1&amp;AQ$2&amp;$B117):INDIRECT(AQ$1&amp;AQ$3&amp;$B117))</f>
        <v>40492</v>
      </c>
      <c r="AR117" s="2774">
        <f t="shared" ca="1" si="232"/>
        <v>5656</v>
      </c>
      <c r="AS117" s="2775">
        <f t="shared" ca="1" si="233"/>
        <v>1.1396819124765385</v>
      </c>
      <c r="AU117" s="2011">
        <f ca="1">SUM((INDIRECT(AU$2&amp;(ROW())):INDIRECT(AU$3&amp;(ROW()))))</f>
        <v>46148</v>
      </c>
      <c r="AV117" s="2012">
        <f ca="1">SUM(INDIRECT(AV$1&amp;AV$2&amp;$C117):INDIRECT(AV$1&amp;AV$3&amp;$C117))</f>
        <v>45685.220233609369</v>
      </c>
      <c r="AW117" s="2774">
        <f t="shared" ca="1" si="234"/>
        <v>462.77976639063127</v>
      </c>
      <c r="AX117" s="2775">
        <f t="shared" ca="1" si="235"/>
        <v>1.0101297479584037</v>
      </c>
      <c r="AY117" s="2012">
        <f ca="1">SUM(INDIRECT(AY$1&amp;AY$2&amp;$A117):INDIRECT(AY$1&amp;AY$3&amp;$A117))+SUM(INDIRECT(AY$1&amp;AY$2&amp;$B117):INDIRECT(AY$1&amp;AY$3&amp;$B117))</f>
        <v>40492</v>
      </c>
      <c r="AZ117" s="2774">
        <f t="shared" ca="1" si="236"/>
        <v>5656</v>
      </c>
      <c r="BA117" s="2775">
        <f t="shared" ca="1" si="237"/>
        <v>1.1396819124765385</v>
      </c>
      <c r="BC117" s="2011">
        <f ca="1">SUM((INDIRECT(BC$2&amp;(ROW())):INDIRECT(BC$3&amp;(ROW()))))</f>
        <v>46148</v>
      </c>
      <c r="BD117" s="2012">
        <f ca="1">SUM(INDIRECT(BD$1&amp;BD$2&amp;$C117):INDIRECT(BD$1&amp;BD$3&amp;$C117))</f>
        <v>45685.220233609369</v>
      </c>
      <c r="BE117" s="2774">
        <f t="shared" ca="1" si="238"/>
        <v>462.77976639063127</v>
      </c>
      <c r="BF117" s="2775">
        <f t="shared" ca="1" si="239"/>
        <v>1.0101297479584037</v>
      </c>
      <c r="BG117" s="2012">
        <f ca="1">SUM(INDIRECT(BG$1&amp;BG$2&amp;$A117):INDIRECT(BG$1&amp;BG$3&amp;$A117))+SUM(INDIRECT(BG$1&amp;BG$2&amp;$B117):INDIRECT(BG$1&amp;BG$3&amp;$B117))</f>
        <v>40492</v>
      </c>
      <c r="BH117" s="2774">
        <f t="shared" ca="1" si="240"/>
        <v>5656</v>
      </c>
      <c r="BI117" s="2775">
        <f t="shared" ca="1" si="241"/>
        <v>1.1396819124765385</v>
      </c>
    </row>
    <row r="118" spans="1:61" ht="14.5">
      <c r="A118" s="1693">
        <f t="shared" si="147"/>
        <v>118</v>
      </c>
      <c r="B118" s="616">
        <v>1</v>
      </c>
      <c r="C118" s="1693">
        <f t="shared" si="127"/>
        <v>118</v>
      </c>
      <c r="D118" s="616">
        <v>1</v>
      </c>
      <c r="F118" s="69"/>
      <c r="G118" s="4"/>
      <c r="H118" s="4"/>
      <c r="I118" s="4"/>
      <c r="J118" s="27"/>
      <c r="K118" s="3"/>
      <c r="L118" s="4"/>
      <c r="M118" s="4"/>
      <c r="N118" s="3"/>
      <c r="O118" s="3"/>
      <c r="P118" s="3" t="s">
        <v>208</v>
      </c>
      <c r="Q118" s="3"/>
      <c r="R118" s="1789" t="str">
        <f>CHOOSE(2, "6722000003037", "PL (1)-1 Cost of Sales NH Field Service Cost")</f>
        <v>PL (1)-1 Cost of Sales NH Field Service Cost</v>
      </c>
      <c r="S118" s="1214">
        <f t="shared" ref="S118:AD118" si="262">(S509+S533)*-1</f>
        <v>7390</v>
      </c>
      <c r="T118" s="1221">
        <f t="shared" si="262"/>
        <v>8790.6460000000006</v>
      </c>
      <c r="U118" s="1221">
        <f t="shared" si="262"/>
        <v>8163.2849999999999</v>
      </c>
      <c r="V118" s="1221">
        <f t="shared" si="262"/>
        <v>8874</v>
      </c>
      <c r="W118" s="1221">
        <f t="shared" si="262"/>
        <v>8559</v>
      </c>
      <c r="X118" s="1221">
        <f t="shared" si="262"/>
        <v>9073.6166199999807</v>
      </c>
      <c r="Y118" s="1221">
        <f t="shared" si="262"/>
        <v>8131.9744099999707</v>
      </c>
      <c r="Z118" s="1221">
        <f t="shared" si="262"/>
        <v>9232.170389999992</v>
      </c>
      <c r="AA118" s="1221">
        <f t="shared" si="262"/>
        <v>10176.815655937959</v>
      </c>
      <c r="AB118" s="1221">
        <f t="shared" si="262"/>
        <v>7000.2737317931751</v>
      </c>
      <c r="AC118" s="1221">
        <f t="shared" si="262"/>
        <v>9598.7380720837937</v>
      </c>
      <c r="AD118" s="1221">
        <f t="shared" si="262"/>
        <v>7448.5359387663111</v>
      </c>
      <c r="AE118" s="1221">
        <f t="shared" ref="AE118:AE123" si="263">SUM(S118,T118,U118)</f>
        <v>24343.931</v>
      </c>
      <c r="AF118" s="1221">
        <f t="shared" ref="AF118:AF123" si="264">SUM(V118,W118,X118)</f>
        <v>26506.616619999979</v>
      </c>
      <c r="AG118" s="1221">
        <f t="shared" ref="AG118:AG123" si="265">SUM(Y118,Z118,AA118)</f>
        <v>27540.960455937922</v>
      </c>
      <c r="AH118" s="1221">
        <f t="shared" ref="AH118:AH123" si="266">SUM(AB118,AC118,AD118)</f>
        <v>24047.547742643281</v>
      </c>
      <c r="AI118" s="1221">
        <f t="shared" si="253"/>
        <v>50850.547619999983</v>
      </c>
      <c r="AJ118" s="1221">
        <f t="shared" si="254"/>
        <v>51588.508198581199</v>
      </c>
      <c r="AK118" s="1221">
        <f t="shared" si="255"/>
        <v>102439.05581858118</v>
      </c>
      <c r="AM118" s="596">
        <f ca="1">SUM((INDIRECT(AM$2&amp;(ROW())):INDIRECT(AM$3&amp;(ROW()))))</f>
        <v>7390</v>
      </c>
      <c r="AN118" s="2002">
        <f ca="1">SUM(INDIRECT(AN$1&amp;AN$2&amp;$C118):INDIRECT(AN$1&amp;AN$3&amp;$C118))</f>
        <v>8990.0000000000018</v>
      </c>
      <c r="AO118" s="2767">
        <f t="shared" ca="1" si="230"/>
        <v>-1600.0000000000018</v>
      </c>
      <c r="AP118" s="2768">
        <f t="shared" ca="1" si="231"/>
        <v>0.82202447163515002</v>
      </c>
      <c r="AQ118" s="2002">
        <f ca="1">SUM(INDIRECT(AQ$1&amp;AQ$2&amp;$A118):INDIRECT(AQ$1&amp;AQ$3&amp;$A118))+SUM(INDIRECT(AQ$1&amp;AQ$2&amp;$B118):INDIRECT(AQ$1&amp;AQ$3&amp;$B118))</f>
        <v>7512</v>
      </c>
      <c r="AR118" s="2767">
        <f t="shared" ca="1" si="232"/>
        <v>-122</v>
      </c>
      <c r="AS118" s="2768">
        <f t="shared" ca="1" si="233"/>
        <v>0.98375931842385511</v>
      </c>
      <c r="AU118" s="596">
        <f ca="1">SUM((INDIRECT(AU$2&amp;(ROW())):INDIRECT(AU$3&amp;(ROW()))))</f>
        <v>7390</v>
      </c>
      <c r="AV118" s="2002">
        <f ca="1">SUM(INDIRECT(AV$1&amp;AV$2&amp;$C118):INDIRECT(AV$1&amp;AV$3&amp;$C118))</f>
        <v>8990.0000000000018</v>
      </c>
      <c r="AW118" s="2767">
        <f t="shared" ca="1" si="234"/>
        <v>-1600.0000000000018</v>
      </c>
      <c r="AX118" s="2768">
        <f t="shared" ca="1" si="235"/>
        <v>0.82202447163515002</v>
      </c>
      <c r="AY118" s="2002">
        <f ca="1">SUM(INDIRECT(AY$1&amp;AY$2&amp;$A118):INDIRECT(AY$1&amp;AY$3&amp;$A118))+SUM(INDIRECT(AY$1&amp;AY$2&amp;$B118):INDIRECT(AY$1&amp;AY$3&amp;$B118))</f>
        <v>7512</v>
      </c>
      <c r="AZ118" s="2767">
        <f t="shared" ca="1" si="236"/>
        <v>-122</v>
      </c>
      <c r="BA118" s="2768">
        <f t="shared" ca="1" si="237"/>
        <v>0.98375931842385511</v>
      </c>
      <c r="BC118" s="596">
        <f ca="1">SUM((INDIRECT(BC$2&amp;(ROW())):INDIRECT(BC$3&amp;(ROW()))))</f>
        <v>7390</v>
      </c>
      <c r="BD118" s="2002">
        <f ca="1">SUM(INDIRECT(BD$1&amp;BD$2&amp;$C118):INDIRECT(BD$1&amp;BD$3&amp;$C118))</f>
        <v>8990.0000000000018</v>
      </c>
      <c r="BE118" s="2767">
        <f t="shared" ca="1" si="238"/>
        <v>-1600.0000000000018</v>
      </c>
      <c r="BF118" s="2768">
        <f t="shared" ca="1" si="239"/>
        <v>0.82202447163515002</v>
      </c>
      <c r="BG118" s="2002">
        <f ca="1">SUM(INDIRECT(BG$1&amp;BG$2&amp;$A118):INDIRECT(BG$1&amp;BG$3&amp;$A118))+SUM(INDIRECT(BG$1&amp;BG$2&amp;$B118):INDIRECT(BG$1&amp;BG$3&amp;$B118))</f>
        <v>7512</v>
      </c>
      <c r="BH118" s="2767">
        <f t="shared" ca="1" si="240"/>
        <v>-122</v>
      </c>
      <c r="BI118" s="2768">
        <f t="shared" ca="1" si="241"/>
        <v>0.98375931842385511</v>
      </c>
    </row>
    <row r="119" spans="1:61" ht="14.5">
      <c r="A119" s="1693">
        <f t="shared" si="147"/>
        <v>119</v>
      </c>
      <c r="B119" s="616">
        <v>1</v>
      </c>
      <c r="C119" s="1693">
        <f t="shared" si="127"/>
        <v>119</v>
      </c>
      <c r="D119" s="616">
        <v>1</v>
      </c>
      <c r="F119" s="69"/>
      <c r="G119" s="4"/>
      <c r="H119" s="4"/>
      <c r="I119" s="4"/>
      <c r="J119" s="27"/>
      <c r="K119" s="3"/>
      <c r="L119" s="4"/>
      <c r="M119" s="4"/>
      <c r="N119" s="3"/>
      <c r="O119" s="3"/>
      <c r="P119" s="3" t="s">
        <v>209</v>
      </c>
      <c r="Q119" s="3"/>
      <c r="R119" s="1789" t="str">
        <f>CHOOSE(2, "6722000003038", "PL (1)-1 Cost of Sales NH Service Desk Cost")</f>
        <v>PL (1)-1 Cost of Sales NH Service Desk Cost</v>
      </c>
      <c r="S119" s="1214">
        <f t="shared" ref="S119:AD119" si="267">(S513+S537)*-1</f>
        <v>32</v>
      </c>
      <c r="T119" s="1221">
        <f t="shared" si="267"/>
        <v>31.972000000000001</v>
      </c>
      <c r="U119" s="1221">
        <f t="shared" si="267"/>
        <v>31.972000000000001</v>
      </c>
      <c r="V119" s="1221">
        <f t="shared" si="267"/>
        <v>33</v>
      </c>
      <c r="W119" s="1221">
        <f t="shared" si="267"/>
        <v>32</v>
      </c>
      <c r="X119" s="1221">
        <f t="shared" si="267"/>
        <v>36.765999999999998</v>
      </c>
      <c r="Y119" s="1221">
        <f t="shared" si="267"/>
        <v>33.57</v>
      </c>
      <c r="Z119" s="1221">
        <f t="shared" si="267"/>
        <v>33.57</v>
      </c>
      <c r="AA119" s="1221">
        <f t="shared" si="267"/>
        <v>34.57</v>
      </c>
      <c r="AB119" s="1221">
        <f t="shared" si="267"/>
        <v>33.57</v>
      </c>
      <c r="AC119" s="1221">
        <f t="shared" si="267"/>
        <v>33.57</v>
      </c>
      <c r="AD119" s="1221">
        <f t="shared" si="267"/>
        <v>26.856000000000002</v>
      </c>
      <c r="AE119" s="1221">
        <f t="shared" si="263"/>
        <v>95.944000000000003</v>
      </c>
      <c r="AF119" s="1221">
        <f t="shared" si="264"/>
        <v>101.76599999999999</v>
      </c>
      <c r="AG119" s="1221">
        <f t="shared" si="265"/>
        <v>101.71000000000001</v>
      </c>
      <c r="AH119" s="1221">
        <f t="shared" si="266"/>
        <v>93.996000000000009</v>
      </c>
      <c r="AI119" s="1221">
        <f t="shared" si="253"/>
        <v>197.70999999999998</v>
      </c>
      <c r="AJ119" s="1221">
        <f t="shared" si="254"/>
        <v>195.70600000000002</v>
      </c>
      <c r="AK119" s="1221">
        <f t="shared" si="255"/>
        <v>393.416</v>
      </c>
      <c r="AM119" s="596">
        <f ca="1">SUM((INDIRECT(AM$2&amp;(ROW())):INDIRECT(AM$3&amp;(ROW()))))</f>
        <v>32</v>
      </c>
      <c r="AN119" s="2002">
        <f ca="1">SUM(INDIRECT(AN$1&amp;AN$2&amp;$C119):INDIRECT(AN$1&amp;AN$3&amp;$C119))</f>
        <v>33</v>
      </c>
      <c r="AO119" s="2767">
        <f t="shared" ca="1" si="230"/>
        <v>-1</v>
      </c>
      <c r="AP119" s="2768">
        <f t="shared" ca="1" si="231"/>
        <v>0.96969696969696972</v>
      </c>
      <c r="AQ119" s="2002">
        <f ca="1">SUM(INDIRECT(AQ$1&amp;AQ$2&amp;$A119):INDIRECT(AQ$1&amp;AQ$3&amp;$A119))+SUM(INDIRECT(AQ$1&amp;AQ$2&amp;$B119):INDIRECT(AQ$1&amp;AQ$3&amp;$B119))</f>
        <v>35</v>
      </c>
      <c r="AR119" s="2767">
        <f t="shared" ca="1" si="232"/>
        <v>-3</v>
      </c>
      <c r="AS119" s="2768">
        <f t="shared" ca="1" si="233"/>
        <v>0.91428571428571426</v>
      </c>
      <c r="AU119" s="596">
        <f ca="1">SUM((INDIRECT(AU$2&amp;(ROW())):INDIRECT(AU$3&amp;(ROW()))))</f>
        <v>32</v>
      </c>
      <c r="AV119" s="2002">
        <f ca="1">SUM(INDIRECT(AV$1&amp;AV$2&amp;$C119):INDIRECT(AV$1&amp;AV$3&amp;$C119))</f>
        <v>33</v>
      </c>
      <c r="AW119" s="2767">
        <f t="shared" ca="1" si="234"/>
        <v>-1</v>
      </c>
      <c r="AX119" s="2768">
        <f t="shared" ca="1" si="235"/>
        <v>0.96969696969696972</v>
      </c>
      <c r="AY119" s="2002">
        <f ca="1">SUM(INDIRECT(AY$1&amp;AY$2&amp;$A119):INDIRECT(AY$1&amp;AY$3&amp;$A119))+SUM(INDIRECT(AY$1&amp;AY$2&amp;$B119):INDIRECT(AY$1&amp;AY$3&amp;$B119))</f>
        <v>35</v>
      </c>
      <c r="AZ119" s="2767">
        <f t="shared" ca="1" si="236"/>
        <v>-3</v>
      </c>
      <c r="BA119" s="2768">
        <f t="shared" ca="1" si="237"/>
        <v>0.91428571428571426</v>
      </c>
      <c r="BC119" s="596">
        <f ca="1">SUM((INDIRECT(BC$2&amp;(ROW())):INDIRECT(BC$3&amp;(ROW()))))</f>
        <v>32</v>
      </c>
      <c r="BD119" s="2002">
        <f ca="1">SUM(INDIRECT(BD$1&amp;BD$2&amp;$C119):INDIRECT(BD$1&amp;BD$3&amp;$C119))</f>
        <v>33</v>
      </c>
      <c r="BE119" s="2767">
        <f t="shared" ca="1" si="238"/>
        <v>-1</v>
      </c>
      <c r="BF119" s="2768">
        <f t="shared" ca="1" si="239"/>
        <v>0.96969696969696972</v>
      </c>
      <c r="BG119" s="2002">
        <f ca="1">SUM(INDIRECT(BG$1&amp;BG$2&amp;$A119):INDIRECT(BG$1&amp;BG$3&amp;$A119))+SUM(INDIRECT(BG$1&amp;BG$2&amp;$B119):INDIRECT(BG$1&amp;BG$3&amp;$B119))</f>
        <v>35</v>
      </c>
      <c r="BH119" s="2767">
        <f t="shared" ca="1" si="240"/>
        <v>-3</v>
      </c>
      <c r="BI119" s="2768">
        <f t="shared" ca="1" si="241"/>
        <v>0.91428571428571426</v>
      </c>
    </row>
    <row r="120" spans="1:61" ht="14.5">
      <c r="A120" s="1693">
        <f t="shared" si="147"/>
        <v>120</v>
      </c>
      <c r="B120" s="616">
        <v>1</v>
      </c>
      <c r="C120" s="1693">
        <f t="shared" si="127"/>
        <v>120</v>
      </c>
      <c r="D120" s="616">
        <v>1</v>
      </c>
      <c r="F120" s="69"/>
      <c r="G120" s="4"/>
      <c r="H120" s="4"/>
      <c r="I120" s="4"/>
      <c r="J120" s="27"/>
      <c r="K120" s="3"/>
      <c r="L120" s="4"/>
      <c r="M120" s="4"/>
      <c r="N120" s="3"/>
      <c r="O120" s="3"/>
      <c r="P120" s="3" t="s">
        <v>271</v>
      </c>
      <c r="Q120" s="3"/>
      <c r="R120" s="1789" t="str">
        <f>CHOOSE(2, "6722000003039", "PL (1)-1 Cost of Sales NH D&amp;A")</f>
        <v>PL (1)-1 Cost of Sales NH D&amp;A</v>
      </c>
      <c r="S120" s="1214">
        <f>(S516+S540)*-1</f>
        <v>0</v>
      </c>
      <c r="T120" s="1221">
        <f t="shared" ref="T120:AD120" si="268">(T516+T540)*-1</f>
        <v>0</v>
      </c>
      <c r="U120" s="1221">
        <f t="shared" si="268"/>
        <v>0</v>
      </c>
      <c r="V120" s="1221">
        <f t="shared" si="268"/>
        <v>0</v>
      </c>
      <c r="W120" s="1221">
        <f t="shared" si="268"/>
        <v>0</v>
      </c>
      <c r="X120" s="1221">
        <f t="shared" si="268"/>
        <v>0</v>
      </c>
      <c r="Y120" s="1221">
        <f t="shared" si="268"/>
        <v>0</v>
      </c>
      <c r="Z120" s="1221">
        <f t="shared" si="268"/>
        <v>0</v>
      </c>
      <c r="AA120" s="1221">
        <f t="shared" si="268"/>
        <v>0</v>
      </c>
      <c r="AB120" s="1221">
        <f t="shared" si="268"/>
        <v>0</v>
      </c>
      <c r="AC120" s="1221">
        <f t="shared" si="268"/>
        <v>0</v>
      </c>
      <c r="AD120" s="1221">
        <f t="shared" si="268"/>
        <v>0</v>
      </c>
      <c r="AE120" s="1221">
        <f t="shared" si="263"/>
        <v>0</v>
      </c>
      <c r="AF120" s="1221">
        <f t="shared" si="264"/>
        <v>0</v>
      </c>
      <c r="AG120" s="1221">
        <f t="shared" si="265"/>
        <v>0</v>
      </c>
      <c r="AH120" s="1221">
        <f t="shared" si="266"/>
        <v>0</v>
      </c>
      <c r="AI120" s="1221">
        <f>AE120+AF120</f>
        <v>0</v>
      </c>
      <c r="AJ120" s="1221">
        <f>AH120+AG120</f>
        <v>0</v>
      </c>
      <c r="AK120" s="1221">
        <f>AI120+AJ120</f>
        <v>0</v>
      </c>
      <c r="AM120" s="596">
        <f ca="1">SUM((INDIRECT(AM$2&amp;(ROW())):INDIRECT(AM$3&amp;(ROW()))))</f>
        <v>0</v>
      </c>
      <c r="AN120" s="2002">
        <f ca="1">SUM(INDIRECT(AN$1&amp;AN$2&amp;$C120):INDIRECT(AN$1&amp;AN$3&amp;$C120))</f>
        <v>0</v>
      </c>
      <c r="AO120" s="2767">
        <f t="shared" ca="1" si="230"/>
        <v>0</v>
      </c>
      <c r="AP120" s="2768">
        <f t="shared" ca="1" si="231"/>
        <v>0</v>
      </c>
      <c r="AQ120" s="2002">
        <f ca="1">SUM(INDIRECT(AQ$1&amp;AQ$2&amp;$A120):INDIRECT(AQ$1&amp;AQ$3&amp;$A120))+SUM(INDIRECT(AQ$1&amp;AQ$2&amp;$B120):INDIRECT(AQ$1&amp;AQ$3&amp;$B120))</f>
        <v>0</v>
      </c>
      <c r="AR120" s="2767">
        <f t="shared" ca="1" si="232"/>
        <v>0</v>
      </c>
      <c r="AS120" s="2768">
        <f t="shared" ca="1" si="233"/>
        <v>0</v>
      </c>
      <c r="AU120" s="596">
        <f ca="1">SUM((INDIRECT(AU$2&amp;(ROW())):INDIRECT(AU$3&amp;(ROW()))))</f>
        <v>0</v>
      </c>
      <c r="AV120" s="2002">
        <f ca="1">SUM(INDIRECT(AV$1&amp;AV$2&amp;$C120):INDIRECT(AV$1&amp;AV$3&amp;$C120))</f>
        <v>0</v>
      </c>
      <c r="AW120" s="2767">
        <f t="shared" ca="1" si="234"/>
        <v>0</v>
      </c>
      <c r="AX120" s="2768">
        <f t="shared" ca="1" si="235"/>
        <v>0</v>
      </c>
      <c r="AY120" s="2002">
        <f ca="1">SUM(INDIRECT(AY$1&amp;AY$2&amp;$A120):INDIRECT(AY$1&amp;AY$3&amp;$A120))+SUM(INDIRECT(AY$1&amp;AY$2&amp;$B120):INDIRECT(AY$1&amp;AY$3&amp;$B120))</f>
        <v>0</v>
      </c>
      <c r="AZ120" s="2767">
        <f t="shared" ca="1" si="236"/>
        <v>0</v>
      </c>
      <c r="BA120" s="2768">
        <f t="shared" ca="1" si="237"/>
        <v>0</v>
      </c>
      <c r="BC120" s="596">
        <f ca="1">SUM((INDIRECT(BC$2&amp;(ROW())):INDIRECT(BC$3&amp;(ROW()))))</f>
        <v>0</v>
      </c>
      <c r="BD120" s="2002">
        <f ca="1">SUM(INDIRECT(BD$1&amp;BD$2&amp;$C120):INDIRECT(BD$1&amp;BD$3&amp;$C120))</f>
        <v>0</v>
      </c>
      <c r="BE120" s="2767">
        <f t="shared" ca="1" si="238"/>
        <v>0</v>
      </c>
      <c r="BF120" s="2768">
        <f t="shared" ca="1" si="239"/>
        <v>0</v>
      </c>
      <c r="BG120" s="2002">
        <f ca="1">SUM(INDIRECT(BG$1&amp;BG$2&amp;$A120):INDIRECT(BG$1&amp;BG$3&amp;$A120))+SUM(INDIRECT(BG$1&amp;BG$2&amp;$B120):INDIRECT(BG$1&amp;BG$3&amp;$B120))</f>
        <v>0</v>
      </c>
      <c r="BH120" s="2767">
        <f t="shared" ca="1" si="240"/>
        <v>0</v>
      </c>
      <c r="BI120" s="2768">
        <f t="shared" ca="1" si="241"/>
        <v>0</v>
      </c>
    </row>
    <row r="121" spans="1:61" ht="14.5">
      <c r="A121" s="1693">
        <f t="shared" si="147"/>
        <v>121</v>
      </c>
      <c r="B121" s="616">
        <v>1</v>
      </c>
      <c r="C121" s="1693">
        <f t="shared" si="127"/>
        <v>121</v>
      </c>
      <c r="D121" s="616">
        <v>1</v>
      </c>
      <c r="F121" s="69"/>
      <c r="G121" s="4"/>
      <c r="H121" s="4"/>
      <c r="I121" s="4"/>
      <c r="J121" s="27"/>
      <c r="K121" s="3"/>
      <c r="L121" s="4"/>
      <c r="M121" s="4"/>
      <c r="N121" s="3"/>
      <c r="O121" s="3"/>
      <c r="P121" s="3" t="s">
        <v>51</v>
      </c>
      <c r="Q121" s="3"/>
      <c r="R121" s="1789" t="str">
        <f>CHOOSE(2, "6722000003040", "PL (1)-1 Cost of Sales NH Others")</f>
        <v>PL (1)-1 Cost of Sales NH Others</v>
      </c>
      <c r="S121" s="1214">
        <f>S114-S115-S118-S119-S120</f>
        <v>0</v>
      </c>
      <c r="T121" s="1221">
        <f t="shared" ref="T121:AD121" si="269">T114-T115-T118-T119-T120</f>
        <v>1.5702994460298214E-12</v>
      </c>
      <c r="U121" s="1221">
        <f t="shared" si="269"/>
        <v>-2.0676793610618915E-12</v>
      </c>
      <c r="V121" s="1221">
        <f t="shared" si="269"/>
        <v>0.24235210087499581</v>
      </c>
      <c r="W121" s="1221">
        <f t="shared" si="269"/>
        <v>0</v>
      </c>
      <c r="X121" s="1221">
        <f t="shared" si="269"/>
        <v>1.4424017535930034E-12</v>
      </c>
      <c r="Y121" s="1221">
        <f t="shared" si="269"/>
        <v>3.8816949654574273E-11</v>
      </c>
      <c r="Z121" s="1221">
        <f t="shared" si="269"/>
        <v>-2.9132252166164108E-13</v>
      </c>
      <c r="AA121" s="1221">
        <v>0</v>
      </c>
      <c r="AB121" s="1221">
        <f t="shared" si="269"/>
        <v>-2.9132252166164108E-13</v>
      </c>
      <c r="AC121" s="1221">
        <f t="shared" si="269"/>
        <v>-3.929301328753354E-12</v>
      </c>
      <c r="AD121" s="1221">
        <f t="shared" si="269"/>
        <v>6.7501559897209518E-13</v>
      </c>
      <c r="AE121" s="1221">
        <f t="shared" si="263"/>
        <v>-4.9737991503207013E-13</v>
      </c>
      <c r="AF121" s="1221">
        <f t="shared" si="264"/>
        <v>0.24235210087643821</v>
      </c>
      <c r="AG121" s="1221">
        <f t="shared" si="265"/>
        <v>3.8525627132912632E-11</v>
      </c>
      <c r="AH121" s="1221">
        <f t="shared" si="266"/>
        <v>-3.5456082514428999E-12</v>
      </c>
      <c r="AI121" s="1221">
        <f>AE121+AF121</f>
        <v>0.24235210087594083</v>
      </c>
      <c r="AJ121" s="1221">
        <f>AH121+AG121</f>
        <v>3.4980018881469732E-11</v>
      </c>
      <c r="AK121" s="1221">
        <f>AI121+AJ121</f>
        <v>0.24235210091092085</v>
      </c>
      <c r="AM121" s="596">
        <f ca="1">SUM((INDIRECT(AM$2&amp;(ROW())):INDIRECT(AM$3&amp;(ROW()))))</f>
        <v>0</v>
      </c>
      <c r="AN121" s="2002">
        <f ca="1">SUM(INDIRECT(AN$1&amp;AN$2&amp;$C121):INDIRECT(AN$1&amp;AN$3&amp;$C121))</f>
        <v>-302.06999443300629</v>
      </c>
      <c r="AO121" s="2767">
        <f t="shared" ca="1" si="230"/>
        <v>302.06999443300629</v>
      </c>
      <c r="AP121" s="2768">
        <f t="shared" ca="1" si="231"/>
        <v>0</v>
      </c>
      <c r="AQ121" s="2002">
        <f ca="1">SUM(INDIRECT(AQ$1&amp;AQ$2&amp;$A121):INDIRECT(AQ$1&amp;AQ$3&amp;$A121))+SUM(INDIRECT(AQ$1&amp;AQ$2&amp;$B121):INDIRECT(AQ$1&amp;AQ$3&amp;$B121))</f>
        <v>0</v>
      </c>
      <c r="AR121" s="2767">
        <f t="shared" ca="1" si="232"/>
        <v>0</v>
      </c>
      <c r="AS121" s="2768">
        <f t="shared" ca="1" si="233"/>
        <v>0</v>
      </c>
      <c r="AU121" s="596">
        <f ca="1">SUM((INDIRECT(AU$2&amp;(ROW())):INDIRECT(AU$3&amp;(ROW()))))</f>
        <v>0</v>
      </c>
      <c r="AV121" s="2002">
        <f ca="1">SUM(INDIRECT(AV$1&amp;AV$2&amp;$C121):INDIRECT(AV$1&amp;AV$3&amp;$C121))</f>
        <v>-302.06999443300629</v>
      </c>
      <c r="AW121" s="2767">
        <f t="shared" ca="1" si="234"/>
        <v>302.06999443300629</v>
      </c>
      <c r="AX121" s="2768">
        <f t="shared" ca="1" si="235"/>
        <v>0</v>
      </c>
      <c r="AY121" s="2002">
        <f ca="1">SUM(INDIRECT(AY$1&amp;AY$2&amp;$A121):INDIRECT(AY$1&amp;AY$3&amp;$A121))+SUM(INDIRECT(AY$1&amp;AY$2&amp;$B121):INDIRECT(AY$1&amp;AY$3&amp;$B121))</f>
        <v>0</v>
      </c>
      <c r="AZ121" s="2767">
        <f t="shared" ca="1" si="236"/>
        <v>0</v>
      </c>
      <c r="BA121" s="2768">
        <f t="shared" ca="1" si="237"/>
        <v>0</v>
      </c>
      <c r="BC121" s="596">
        <f ca="1">SUM((INDIRECT(BC$2&amp;(ROW())):INDIRECT(BC$3&amp;(ROW()))))</f>
        <v>0</v>
      </c>
      <c r="BD121" s="2002">
        <f ca="1">SUM(INDIRECT(BD$1&amp;BD$2&amp;$C121):INDIRECT(BD$1&amp;BD$3&amp;$C121))</f>
        <v>-302.06999443300629</v>
      </c>
      <c r="BE121" s="2767">
        <f t="shared" ca="1" si="238"/>
        <v>302.06999443300629</v>
      </c>
      <c r="BF121" s="2768">
        <f t="shared" ca="1" si="239"/>
        <v>0</v>
      </c>
      <c r="BG121" s="2002">
        <f ca="1">SUM(INDIRECT(BG$1&amp;BG$2&amp;$A121):INDIRECT(BG$1&amp;BG$3&amp;$A121))+SUM(INDIRECT(BG$1&amp;BG$2&amp;$B121):INDIRECT(BG$1&amp;BG$3&amp;$B121))</f>
        <v>0</v>
      </c>
      <c r="BH121" s="2767">
        <f t="shared" ca="1" si="240"/>
        <v>0</v>
      </c>
      <c r="BI121" s="2768">
        <f t="shared" ca="1" si="241"/>
        <v>0</v>
      </c>
    </row>
    <row r="122" spans="1:61" ht="14.5">
      <c r="A122" s="1693">
        <f t="shared" si="147"/>
        <v>122</v>
      </c>
      <c r="B122" s="616">
        <v>1</v>
      </c>
      <c r="C122" s="1693">
        <f t="shared" si="127"/>
        <v>122</v>
      </c>
      <c r="D122" s="616">
        <v>1</v>
      </c>
      <c r="F122" s="69"/>
      <c r="G122" s="4"/>
      <c r="H122" s="4"/>
      <c r="I122" s="4"/>
      <c r="J122" s="27"/>
      <c r="K122" s="3"/>
      <c r="L122" s="4"/>
      <c r="M122" s="4"/>
      <c r="N122" s="212" t="s">
        <v>2</v>
      </c>
      <c r="O122" s="212"/>
      <c r="P122" s="212" t="s">
        <v>190</v>
      </c>
      <c r="Q122" s="212"/>
      <c r="R122" s="1791" t="str">
        <f>CHOOSE(2, "6722000003041", "PL (1)-1 Cost of Sales Others For KMJ Only")</f>
        <v>PL (1)-1 Cost of Sales Others For KMJ Only</v>
      </c>
      <c r="S122" s="1303">
        <f t="shared" ref="S122:AD122" si="270">S476+S492-S517-S541</f>
        <v>0</v>
      </c>
      <c r="T122" s="1238">
        <f t="shared" si="270"/>
        <v>0</v>
      </c>
      <c r="U122" s="1238">
        <f t="shared" si="270"/>
        <v>0</v>
      </c>
      <c r="V122" s="1238">
        <f t="shared" si="270"/>
        <v>0</v>
      </c>
      <c r="W122" s="1238">
        <f t="shared" si="270"/>
        <v>0</v>
      </c>
      <c r="X122" s="1238">
        <f t="shared" si="270"/>
        <v>0</v>
      </c>
      <c r="Y122" s="1238">
        <f t="shared" si="270"/>
        <v>0</v>
      </c>
      <c r="Z122" s="1238">
        <f t="shared" si="270"/>
        <v>0</v>
      </c>
      <c r="AA122" s="1238">
        <f t="shared" si="270"/>
        <v>0</v>
      </c>
      <c r="AB122" s="1238">
        <f t="shared" si="270"/>
        <v>0</v>
      </c>
      <c r="AC122" s="1238">
        <f t="shared" si="270"/>
        <v>0</v>
      </c>
      <c r="AD122" s="1238">
        <f t="shared" si="270"/>
        <v>0</v>
      </c>
      <c r="AE122" s="1238">
        <f t="shared" si="263"/>
        <v>0</v>
      </c>
      <c r="AF122" s="1238">
        <f t="shared" si="264"/>
        <v>0</v>
      </c>
      <c r="AG122" s="1238">
        <f t="shared" si="265"/>
        <v>0</v>
      </c>
      <c r="AH122" s="1238">
        <f t="shared" si="266"/>
        <v>0</v>
      </c>
      <c r="AI122" s="1238">
        <f t="shared" si="253"/>
        <v>0</v>
      </c>
      <c r="AJ122" s="1238">
        <f t="shared" si="254"/>
        <v>0</v>
      </c>
      <c r="AK122" s="1238">
        <f t="shared" si="255"/>
        <v>0</v>
      </c>
      <c r="AM122" s="2006">
        <f ca="1">SUM((INDIRECT(AM$2&amp;(ROW())):INDIRECT(AM$3&amp;(ROW()))))</f>
        <v>0</v>
      </c>
      <c r="AN122" s="2007">
        <f ca="1">SUM(INDIRECT(AN$1&amp;AN$2&amp;$C122):INDIRECT(AN$1&amp;AN$3&amp;$C122))</f>
        <v>0</v>
      </c>
      <c r="AO122" s="2769">
        <f t="shared" ca="1" si="230"/>
        <v>0</v>
      </c>
      <c r="AP122" s="2770">
        <f t="shared" ca="1" si="231"/>
        <v>0</v>
      </c>
      <c r="AQ122" s="2007">
        <f ca="1">SUM(INDIRECT(AQ$1&amp;AQ$2&amp;$A122):INDIRECT(AQ$1&amp;AQ$3&amp;$A122))+SUM(INDIRECT(AQ$1&amp;AQ$2&amp;$B122):INDIRECT(AQ$1&amp;AQ$3&amp;$B122))</f>
        <v>0</v>
      </c>
      <c r="AR122" s="2769">
        <f t="shared" ca="1" si="232"/>
        <v>0</v>
      </c>
      <c r="AS122" s="2770">
        <f t="shared" ca="1" si="233"/>
        <v>0</v>
      </c>
      <c r="AU122" s="2006">
        <f ca="1">SUM((INDIRECT(AU$2&amp;(ROW())):INDIRECT(AU$3&amp;(ROW()))))</f>
        <v>0</v>
      </c>
      <c r="AV122" s="2007">
        <f ca="1">SUM(INDIRECT(AV$1&amp;AV$2&amp;$C122):INDIRECT(AV$1&amp;AV$3&amp;$C122))</f>
        <v>0</v>
      </c>
      <c r="AW122" s="2769">
        <f t="shared" ca="1" si="234"/>
        <v>0</v>
      </c>
      <c r="AX122" s="2770">
        <f t="shared" ca="1" si="235"/>
        <v>0</v>
      </c>
      <c r="AY122" s="2007">
        <f ca="1">SUM(INDIRECT(AY$1&amp;AY$2&amp;$A122):INDIRECT(AY$1&amp;AY$3&amp;$A122))+SUM(INDIRECT(AY$1&amp;AY$2&amp;$B122):INDIRECT(AY$1&amp;AY$3&amp;$B122))</f>
        <v>0</v>
      </c>
      <c r="AZ122" s="2769">
        <f t="shared" ca="1" si="236"/>
        <v>0</v>
      </c>
      <c r="BA122" s="2770">
        <f t="shared" ca="1" si="237"/>
        <v>0</v>
      </c>
      <c r="BC122" s="2006">
        <f ca="1">SUM((INDIRECT(BC$2&amp;(ROW())):INDIRECT(BC$3&amp;(ROW()))))</f>
        <v>0</v>
      </c>
      <c r="BD122" s="2007">
        <f ca="1">SUM(INDIRECT(BD$1&amp;BD$2&amp;$C122):INDIRECT(BD$1&amp;BD$3&amp;$C122))</f>
        <v>0</v>
      </c>
      <c r="BE122" s="2769">
        <f t="shared" ca="1" si="238"/>
        <v>0</v>
      </c>
      <c r="BF122" s="2770">
        <f t="shared" ca="1" si="239"/>
        <v>0</v>
      </c>
      <c r="BG122" s="2007">
        <f ca="1">SUM(INDIRECT(BG$1&amp;BG$2&amp;$A122):INDIRECT(BG$1&amp;BG$3&amp;$A122))+SUM(INDIRECT(BG$1&amp;BG$2&amp;$B122):INDIRECT(BG$1&amp;BG$3&amp;$B122))</f>
        <v>0</v>
      </c>
      <c r="BH122" s="2769">
        <f t="shared" ca="1" si="240"/>
        <v>0</v>
      </c>
      <c r="BI122" s="2770">
        <f t="shared" ca="1" si="241"/>
        <v>0</v>
      </c>
    </row>
    <row r="123" spans="1:61" ht="14.5">
      <c r="A123" s="1693">
        <f t="shared" si="147"/>
        <v>123</v>
      </c>
      <c r="B123" s="616">
        <v>1</v>
      </c>
      <c r="C123" s="1693">
        <f t="shared" si="127"/>
        <v>123</v>
      </c>
      <c r="D123" s="616">
        <v>1</v>
      </c>
      <c r="E123" s="709" t="s">
        <v>512</v>
      </c>
      <c r="F123" s="1572"/>
      <c r="G123" s="4"/>
      <c r="H123" s="4"/>
      <c r="I123" s="4"/>
      <c r="J123" s="121" t="s">
        <v>54</v>
      </c>
      <c r="K123" s="120"/>
      <c r="L123" s="119"/>
      <c r="M123" s="119"/>
      <c r="N123" s="119"/>
      <c r="O123" s="119"/>
      <c r="P123" s="119"/>
      <c r="Q123" s="863"/>
      <c r="R123" s="1788" t="str">
        <f>CHOOSE(2, "6722000003042", "PL (1)-1 Gross Profit")</f>
        <v>PL (1)-1 Gross Profit</v>
      </c>
      <c r="S123" s="1258">
        <f t="shared" ref="S123:AD123" si="271">SUM(S128:S130)</f>
        <v>101421</v>
      </c>
      <c r="T123" s="1192">
        <f t="shared" si="271"/>
        <v>85048.096339999989</v>
      </c>
      <c r="U123" s="1192">
        <f t="shared" si="271"/>
        <v>94413.414559166617</v>
      </c>
      <c r="V123" s="1192">
        <f t="shared" si="271"/>
        <v>86326.012467065826</v>
      </c>
      <c r="W123" s="1192">
        <f t="shared" si="271"/>
        <v>99657.807001195106</v>
      </c>
      <c r="X123" s="1192">
        <f t="shared" si="271"/>
        <v>109930.74496416654</v>
      </c>
      <c r="Y123" s="1192">
        <f t="shared" si="271"/>
        <v>93318.013853333483</v>
      </c>
      <c r="Z123" s="1192">
        <f t="shared" si="271"/>
        <v>100479.02817333324</v>
      </c>
      <c r="AA123" s="1192">
        <f t="shared" si="271"/>
        <v>111102.28664770741</v>
      </c>
      <c r="AB123" s="1192">
        <f t="shared" si="271"/>
        <v>99674.634401123505</v>
      </c>
      <c r="AC123" s="1192">
        <f t="shared" si="271"/>
        <v>103768.93369811939</v>
      </c>
      <c r="AD123" s="1192">
        <f t="shared" si="271"/>
        <v>93558.605819150369</v>
      </c>
      <c r="AE123" s="882">
        <f t="shared" si="263"/>
        <v>280882.51089916658</v>
      </c>
      <c r="AF123" s="118">
        <f t="shared" si="264"/>
        <v>295914.56443242746</v>
      </c>
      <c r="AG123" s="118">
        <f t="shared" si="265"/>
        <v>304899.32867437415</v>
      </c>
      <c r="AH123" s="118">
        <f t="shared" si="266"/>
        <v>297002.17391839327</v>
      </c>
      <c r="AI123" s="118">
        <f>SUM(AI128:AI130)</f>
        <v>576797.0753315941</v>
      </c>
      <c r="AJ123" s="118">
        <f>SUM(AJ128:AJ130)</f>
        <v>601901.50259276747</v>
      </c>
      <c r="AK123" s="118">
        <f>SUM(AK128:AK130)</f>
        <v>1178698.5779243615</v>
      </c>
      <c r="AM123" s="1999">
        <f ca="1">SUM((INDIRECT(AM$2&amp;(ROW())):INDIRECT(AM$3&amp;(ROW()))))</f>
        <v>101421</v>
      </c>
      <c r="AN123" s="2000">
        <f ca="1">SUM(INDIRECT(AN$1&amp;AN$2&amp;$C123):INDIRECT(AN$1&amp;AN$3&amp;$C123))</f>
        <v>73917.497872078937</v>
      </c>
      <c r="AO123" s="2765">
        <f t="shared" ca="1" si="230"/>
        <v>27503.502127921063</v>
      </c>
      <c r="AP123" s="2766">
        <f t="shared" ca="1" si="231"/>
        <v>1.3720837815089253</v>
      </c>
      <c r="AQ123" s="2000">
        <f ca="1">SUM(INDIRECT(AQ$1&amp;AQ$2&amp;$A123):INDIRECT(AQ$1&amp;AQ$3&amp;$A123))+SUM(INDIRECT(AQ$1&amp;AQ$2&amp;$B123):INDIRECT(AQ$1&amp;AQ$3&amp;$B123))</f>
        <v>62164</v>
      </c>
      <c r="AR123" s="2765">
        <f t="shared" ca="1" si="232"/>
        <v>39257</v>
      </c>
      <c r="AS123" s="2766">
        <f t="shared" ca="1" si="233"/>
        <v>1.6315069815327199</v>
      </c>
      <c r="AU123" s="1999">
        <f ca="1">SUM((INDIRECT(AU$2&amp;(ROW())):INDIRECT(AU$3&amp;(ROW()))))</f>
        <v>101421</v>
      </c>
      <c r="AV123" s="2000">
        <f ca="1">SUM(INDIRECT(AV$1&amp;AV$2&amp;$C123):INDIRECT(AV$1&amp;AV$3&amp;$C123))</f>
        <v>73917.497872078937</v>
      </c>
      <c r="AW123" s="2765">
        <f t="shared" ca="1" si="234"/>
        <v>27503.502127921063</v>
      </c>
      <c r="AX123" s="2766">
        <f t="shared" ca="1" si="235"/>
        <v>1.3720837815089253</v>
      </c>
      <c r="AY123" s="2000">
        <f ca="1">SUM(INDIRECT(AY$1&amp;AY$2&amp;$A123):INDIRECT(AY$1&amp;AY$3&amp;$A123))+SUM(INDIRECT(AY$1&amp;AY$2&amp;$B123):INDIRECT(AY$1&amp;AY$3&amp;$B123))</f>
        <v>62164</v>
      </c>
      <c r="AZ123" s="2765">
        <f t="shared" ca="1" si="236"/>
        <v>39257</v>
      </c>
      <c r="BA123" s="2766">
        <f t="shared" ca="1" si="237"/>
        <v>1.6315069815327199</v>
      </c>
      <c r="BC123" s="1999">
        <f ca="1">SUM((INDIRECT(BC$2&amp;(ROW())):INDIRECT(BC$3&amp;(ROW()))))</f>
        <v>101421</v>
      </c>
      <c r="BD123" s="2000">
        <f ca="1">SUM(INDIRECT(BD$1&amp;BD$2&amp;$C123):INDIRECT(BD$1&amp;BD$3&amp;$C123))</f>
        <v>73917.497872078937</v>
      </c>
      <c r="BE123" s="2765">
        <f t="shared" ca="1" si="238"/>
        <v>27503.502127921063</v>
      </c>
      <c r="BF123" s="2766">
        <f t="shared" ca="1" si="239"/>
        <v>1.3720837815089253</v>
      </c>
      <c r="BG123" s="2000">
        <f ca="1">SUM(INDIRECT(BG$1&amp;BG$2&amp;$A123):INDIRECT(BG$1&amp;BG$3&amp;$A123))+SUM(INDIRECT(BG$1&amp;BG$2&amp;$B123):INDIRECT(BG$1&amp;BG$3&amp;$B123))</f>
        <v>62164</v>
      </c>
      <c r="BH123" s="2765">
        <f t="shared" ca="1" si="240"/>
        <v>39257</v>
      </c>
      <c r="BI123" s="2766">
        <f t="shared" ca="1" si="241"/>
        <v>1.6315069815327199</v>
      </c>
    </row>
    <row r="124" spans="1:61" s="504" customFormat="1" ht="14.5">
      <c r="A124" s="1693">
        <f t="shared" si="147"/>
        <v>124</v>
      </c>
      <c r="B124" s="616">
        <v>1</v>
      </c>
      <c r="C124" s="1693">
        <f t="shared" si="127"/>
        <v>124</v>
      </c>
      <c r="D124" s="616">
        <v>1</v>
      </c>
      <c r="E124" s="709" t="s">
        <v>512</v>
      </c>
      <c r="F124" s="1572"/>
      <c r="G124" s="4"/>
      <c r="H124" s="4"/>
      <c r="I124" s="501"/>
      <c r="J124" s="502"/>
      <c r="K124" s="503" t="s">
        <v>113</v>
      </c>
      <c r="L124" s="501"/>
      <c r="M124" s="501"/>
      <c r="N124" s="501"/>
      <c r="O124" s="501"/>
      <c r="P124" s="478" t="s">
        <v>301</v>
      </c>
      <c r="Q124" s="501"/>
      <c r="R124" s="1776" t="str">
        <f>CHOOSE(2, "6722000003043", "PL (1)-1 Gross Profit (%)")</f>
        <v>PL (1)-1 Gross Profit (%)</v>
      </c>
      <c r="S124" s="1306">
        <f t="shared" ref="S124:AD124" si="272">IFERROR(S123/S102,0)</f>
        <v>0.36329606797316322</v>
      </c>
      <c r="T124" s="1306">
        <f t="shared" si="272"/>
        <v>0.28108782730384918</v>
      </c>
      <c r="U124" s="1306">
        <f t="shared" si="272"/>
        <v>0.30013915010557118</v>
      </c>
      <c r="V124" s="1306">
        <f t="shared" si="272"/>
        <v>0.32270600305193758</v>
      </c>
      <c r="W124" s="1306">
        <f t="shared" si="272"/>
        <v>0.33121711797084702</v>
      </c>
      <c r="X124" s="1306">
        <f t="shared" si="272"/>
        <v>0.32625375469946222</v>
      </c>
      <c r="Y124" s="1306">
        <f t="shared" si="272"/>
        <v>0.37371843656831993</v>
      </c>
      <c r="Z124" s="1306">
        <f t="shared" si="272"/>
        <v>0.35931119970617542</v>
      </c>
      <c r="AA124" s="1306">
        <f t="shared" si="272"/>
        <v>0.34810332735701388</v>
      </c>
      <c r="AB124" s="1306">
        <f t="shared" si="272"/>
        <v>0.3294079002959121</v>
      </c>
      <c r="AC124" s="1306">
        <f t="shared" si="272"/>
        <v>0.3469474438722866</v>
      </c>
      <c r="AD124" s="1306">
        <f t="shared" si="272"/>
        <v>0.28505946151744566</v>
      </c>
      <c r="AE124" s="1284">
        <f t="shared" ref="AE124:AK124" si="273">IFERROR(AE123/AE102,0)</f>
        <v>0.31337925944023348</v>
      </c>
      <c r="AF124" s="1306">
        <f t="shared" si="273"/>
        <v>0.32685501843974418</v>
      </c>
      <c r="AG124" s="1306">
        <f t="shared" si="273"/>
        <v>0.35933518308144458</v>
      </c>
      <c r="AH124" s="1306">
        <f t="shared" si="273"/>
        <v>0.31939639215749033</v>
      </c>
      <c r="AI124" s="1306">
        <f t="shared" si="273"/>
        <v>0.32015093502601027</v>
      </c>
      <c r="AJ124" s="1306">
        <f t="shared" si="273"/>
        <v>0.3384520227970868</v>
      </c>
      <c r="AK124" s="1306">
        <f t="shared" si="273"/>
        <v>0.32924206301628167</v>
      </c>
      <c r="AM124" s="2573">
        <f ca="1">IFERROR(AM123/AM102,0)</f>
        <v>0.36329606797316322</v>
      </c>
      <c r="AN124" s="2573">
        <f ca="1">IFERROR(AN123/AN102,0)</f>
        <v>0.29637006750698708</v>
      </c>
      <c r="AO124" s="2573">
        <f t="shared" ca="1" si="230"/>
        <v>6.6926000466176139E-2</v>
      </c>
      <c r="AP124" s="2776"/>
      <c r="AQ124" s="2573">
        <f ca="1">IFERROR(AQ123/AQ102,0)</f>
        <v>0.38157789740536358</v>
      </c>
      <c r="AR124" s="2573">
        <f t="shared" ca="1" si="232"/>
        <v>-1.8281829432200358E-2</v>
      </c>
      <c r="AS124" s="2776"/>
      <c r="AU124" s="2573">
        <f ca="1">IFERROR(AU123/AU102,0)</f>
        <v>0.36329606797316322</v>
      </c>
      <c r="AV124" s="2573">
        <f ca="1">IFERROR(AV123/AV102,0)</f>
        <v>0.29637006750698708</v>
      </c>
      <c r="AW124" s="2573">
        <f t="shared" ca="1" si="234"/>
        <v>6.6926000466176139E-2</v>
      </c>
      <c r="AX124" s="2776"/>
      <c r="AY124" s="2573">
        <f ca="1">IFERROR(AY123/AY102,0)</f>
        <v>0.38157789740536358</v>
      </c>
      <c r="AZ124" s="2573">
        <f t="shared" ca="1" si="236"/>
        <v>-1.8281829432200358E-2</v>
      </c>
      <c r="BA124" s="2776"/>
      <c r="BC124" s="2573">
        <f ca="1">IFERROR(BC123/BC102,0)</f>
        <v>0.36329606797316322</v>
      </c>
      <c r="BD124" s="2573">
        <f ca="1">IFERROR(BD123/BD102,0)</f>
        <v>0.29637006750698708</v>
      </c>
      <c r="BE124" s="2573">
        <f t="shared" ca="1" si="238"/>
        <v>6.6926000466176139E-2</v>
      </c>
      <c r="BF124" s="2776"/>
      <c r="BG124" s="2573">
        <f ca="1">IFERROR(BG123/BG102,0)</f>
        <v>0.38157789740536358</v>
      </c>
      <c r="BH124" s="2573">
        <f t="shared" ca="1" si="240"/>
        <v>-1.8281829432200358E-2</v>
      </c>
      <c r="BI124" s="2776"/>
    </row>
    <row r="125" spans="1:61" s="504" customFormat="1" ht="14.5" hidden="1" outlineLevel="1">
      <c r="A125" s="1693">
        <f t="shared" si="147"/>
        <v>125</v>
      </c>
      <c r="B125" s="616">
        <v>1</v>
      </c>
      <c r="C125" s="1693">
        <f t="shared" si="127"/>
        <v>125</v>
      </c>
      <c r="D125" s="616">
        <v>1</v>
      </c>
      <c r="E125" s="709" t="s">
        <v>512</v>
      </c>
      <c r="F125" s="1572"/>
      <c r="G125" s="4"/>
      <c r="H125" s="4"/>
      <c r="I125" s="501"/>
      <c r="J125" s="502"/>
      <c r="K125" s="505"/>
      <c r="L125" s="501"/>
      <c r="M125" s="501"/>
      <c r="N125" s="503" t="s">
        <v>327</v>
      </c>
      <c r="O125" s="505"/>
      <c r="P125" s="505"/>
      <c r="Q125" s="505"/>
      <c r="R125" s="1792" t="str">
        <f>CHOOSE(2, "6722000003044", "PL (1)-1 Gross Profit HW (%)")</f>
        <v>PL (1)-1 Gross Profit HW (%)</v>
      </c>
      <c r="S125" s="1304">
        <f t="shared" ref="S125:AD127" si="274">IFERROR(S128/S103,0)</f>
        <v>0.29526426907396625</v>
      </c>
      <c r="T125" s="1283">
        <f t="shared" si="274"/>
        <v>0.22355589509727034</v>
      </c>
      <c r="U125" s="1283">
        <f t="shared" si="274"/>
        <v>0.24538203602266748</v>
      </c>
      <c r="V125" s="1283">
        <f t="shared" si="274"/>
        <v>0.2781766998048219</v>
      </c>
      <c r="W125" s="1283">
        <f t="shared" si="274"/>
        <v>0.26072164283241395</v>
      </c>
      <c r="X125" s="1283">
        <f t="shared" si="274"/>
        <v>0.2976653806975027</v>
      </c>
      <c r="Y125" s="1283">
        <f t="shared" si="274"/>
        <v>0.32177867529889131</v>
      </c>
      <c r="Z125" s="1283">
        <f t="shared" si="274"/>
        <v>0.31484760188462568</v>
      </c>
      <c r="AA125" s="1283">
        <f t="shared" si="274"/>
        <v>0.30077456396825336</v>
      </c>
      <c r="AB125" s="1283">
        <f t="shared" si="274"/>
        <v>0.26013048846023917</v>
      </c>
      <c r="AC125" s="1283">
        <f t="shared" si="274"/>
        <v>0.33269197739639172</v>
      </c>
      <c r="AD125" s="1283">
        <f t="shared" si="274"/>
        <v>0.21472423773026272</v>
      </c>
      <c r="AE125" s="1283">
        <f t="shared" ref="AE125:AK127" si="275">IFERROR(AE128/AE103,0)</f>
        <v>0.25176478572811689</v>
      </c>
      <c r="AF125" s="1283">
        <f t="shared" si="275"/>
        <v>0.28060763591781507</v>
      </c>
      <c r="AG125" s="1283">
        <f t="shared" si="275"/>
        <v>0.31134392217452961</v>
      </c>
      <c r="AH125" s="1283">
        <f t="shared" si="275"/>
        <v>0.26654817916200074</v>
      </c>
      <c r="AI125" s="1283">
        <f t="shared" si="275"/>
        <v>0.26640528344928482</v>
      </c>
      <c r="AJ125" s="1283">
        <f t="shared" si="275"/>
        <v>0.28712781949315885</v>
      </c>
      <c r="AK125" s="1283">
        <f t="shared" si="275"/>
        <v>0.27650705202442399</v>
      </c>
      <c r="AM125" s="1304">
        <f t="shared" ref="AM125:AN127" ca="1" si="276">IFERROR(AM128/AM103,0)</f>
        <v>0.29526426907396625</v>
      </c>
      <c r="AN125" s="1283">
        <f t="shared" ca="1" si="276"/>
        <v>0.25802932575799048</v>
      </c>
      <c r="AO125" s="1283">
        <f t="shared" ca="1" si="230"/>
        <v>3.7234943315975766E-2</v>
      </c>
      <c r="AP125" s="2777"/>
      <c r="AQ125" s="1283">
        <f ca="1">IFERROR(AQ128/AQ103,0)</f>
        <v>0.34408109346777022</v>
      </c>
      <c r="AR125" s="1283">
        <f t="shared" ca="1" si="232"/>
        <v>-4.881682439380397E-2</v>
      </c>
      <c r="AS125" s="2777"/>
      <c r="AU125" s="1304">
        <f t="shared" ref="AU125:AV127" ca="1" si="277">IFERROR(AU128/AU103,0)</f>
        <v>0.29526426907396625</v>
      </c>
      <c r="AV125" s="1283">
        <f t="shared" ca="1" si="277"/>
        <v>0.25802932575799048</v>
      </c>
      <c r="AW125" s="1283">
        <f t="shared" ca="1" si="234"/>
        <v>3.7234943315975766E-2</v>
      </c>
      <c r="AX125" s="2777"/>
      <c r="AY125" s="1283">
        <f ca="1">IFERROR(AY128/AY103,0)</f>
        <v>0.34408109346777022</v>
      </c>
      <c r="AZ125" s="1283">
        <f t="shared" ca="1" si="236"/>
        <v>-4.881682439380397E-2</v>
      </c>
      <c r="BA125" s="2777"/>
      <c r="BC125" s="1304">
        <f t="shared" ref="BC125:BD127" ca="1" si="278">IFERROR(BC128/BC103,0)</f>
        <v>0.29526426907396625</v>
      </c>
      <c r="BD125" s="1283">
        <f t="shared" ca="1" si="278"/>
        <v>0.25802932575799048</v>
      </c>
      <c r="BE125" s="1283">
        <f t="shared" ca="1" si="238"/>
        <v>3.7234943315975766E-2</v>
      </c>
      <c r="BF125" s="2777"/>
      <c r="BG125" s="1283">
        <f ca="1">IFERROR(BG128/BG103,0)</f>
        <v>0.34408109346777022</v>
      </c>
      <c r="BH125" s="1283">
        <f t="shared" ca="1" si="240"/>
        <v>-4.881682439380397E-2</v>
      </c>
      <c r="BI125" s="2777"/>
    </row>
    <row r="126" spans="1:61" s="504" customFormat="1" ht="14.5" hidden="1" outlineLevel="1">
      <c r="A126" s="1693">
        <f t="shared" si="147"/>
        <v>126</v>
      </c>
      <c r="B126" s="616">
        <v>1</v>
      </c>
      <c r="C126" s="1693">
        <f t="shared" si="127"/>
        <v>126</v>
      </c>
      <c r="D126" s="616">
        <v>1</v>
      </c>
      <c r="E126" s="709" t="s">
        <v>512</v>
      </c>
      <c r="F126" s="1572"/>
      <c r="G126" s="4"/>
      <c r="H126" s="4"/>
      <c r="I126" s="501"/>
      <c r="J126" s="502"/>
      <c r="K126" s="505"/>
      <c r="L126" s="501"/>
      <c r="M126" s="501"/>
      <c r="N126" s="503" t="s">
        <v>328</v>
      </c>
      <c r="O126" s="505"/>
      <c r="P126" s="505"/>
      <c r="Q126" s="505"/>
      <c r="R126" s="1792" t="str">
        <f>CHOOSE(2, "6722000003045", "PL (1)-1 Gross Profit NH (%)")</f>
        <v>PL (1)-1 Gross Profit NH (%)</v>
      </c>
      <c r="S126" s="1304">
        <f t="shared" si="274"/>
        <v>0.46137295888470048</v>
      </c>
      <c r="T126" s="1283">
        <f t="shared" si="274"/>
        <v>0.39929565365596259</v>
      </c>
      <c r="U126" s="1283">
        <f t="shared" si="274"/>
        <v>0.43537787311734827</v>
      </c>
      <c r="V126" s="1283">
        <f t="shared" si="274"/>
        <v>0.40657909152468846</v>
      </c>
      <c r="W126" s="1283">
        <f t="shared" si="274"/>
        <v>0.45152293506435992</v>
      </c>
      <c r="X126" s="1283">
        <f t="shared" si="274"/>
        <v>0.40366630335688475</v>
      </c>
      <c r="Y126" s="1283">
        <f t="shared" si="274"/>
        <v>0.44929779792403174</v>
      </c>
      <c r="Z126" s="1283">
        <f t="shared" si="274"/>
        <v>0.43236293003016146</v>
      </c>
      <c r="AA126" s="1283">
        <f t="shared" si="274"/>
        <v>0.43164103409175758</v>
      </c>
      <c r="AB126" s="1283">
        <f t="shared" si="274"/>
        <v>0.45206489420396939</v>
      </c>
      <c r="AC126" s="1283">
        <f t="shared" si="274"/>
        <v>0.37455974869664771</v>
      </c>
      <c r="AD126" s="1283">
        <f t="shared" si="274"/>
        <v>0.44466239828365794</v>
      </c>
      <c r="AE126" s="1283">
        <f t="shared" si="275"/>
        <v>0.43339856843725277</v>
      </c>
      <c r="AF126" s="1283">
        <f t="shared" si="275"/>
        <v>0.42262862855572708</v>
      </c>
      <c r="AG126" s="1283">
        <f t="shared" si="275"/>
        <v>0.43743830561730535</v>
      </c>
      <c r="AH126" s="1283">
        <f t="shared" si="275"/>
        <v>0.42433619445445953</v>
      </c>
      <c r="AI126" s="1283">
        <f t="shared" si="275"/>
        <v>0.42809663512495694</v>
      </c>
      <c r="AJ126" s="1283">
        <f t="shared" si="275"/>
        <v>0.4310059300890251</v>
      </c>
      <c r="AK126" s="1283">
        <f t="shared" si="275"/>
        <v>0.42959319102312754</v>
      </c>
      <c r="AM126" s="1304">
        <f t="shared" ca="1" si="276"/>
        <v>0.46137295888470048</v>
      </c>
      <c r="AN126" s="1283">
        <f t="shared" ca="1" si="276"/>
        <v>0.35211297193126517</v>
      </c>
      <c r="AO126" s="1283">
        <f t="shared" ca="1" si="230"/>
        <v>0.10925998695343531</v>
      </c>
      <c r="AP126" s="2777"/>
      <c r="AQ126" s="1283">
        <f ca="1">IFERROR(AQ129/AQ104,0)</f>
        <v>0.41292954793918424</v>
      </c>
      <c r="AR126" s="1283">
        <f t="shared" ca="1" si="232"/>
        <v>4.8443410945516241E-2</v>
      </c>
      <c r="AS126" s="2777"/>
      <c r="AU126" s="1304">
        <f t="shared" ca="1" si="277"/>
        <v>0.46137295888470048</v>
      </c>
      <c r="AV126" s="1283">
        <f t="shared" ca="1" si="277"/>
        <v>0.35211297193126517</v>
      </c>
      <c r="AW126" s="1283">
        <f t="shared" ca="1" si="234"/>
        <v>0.10925998695343531</v>
      </c>
      <c r="AX126" s="2777"/>
      <c r="AY126" s="1283">
        <f ca="1">IFERROR(AY129/AY104,0)</f>
        <v>0.41292954793918424</v>
      </c>
      <c r="AZ126" s="1283">
        <f t="shared" ca="1" si="236"/>
        <v>4.8443410945516241E-2</v>
      </c>
      <c r="BA126" s="2777"/>
      <c r="BC126" s="1304">
        <f t="shared" ca="1" si="278"/>
        <v>0.46137295888470048</v>
      </c>
      <c r="BD126" s="1283">
        <f t="shared" ca="1" si="278"/>
        <v>0.35211297193126517</v>
      </c>
      <c r="BE126" s="1283">
        <f t="shared" ca="1" si="238"/>
        <v>0.10925998695343531</v>
      </c>
      <c r="BF126" s="2777"/>
      <c r="BG126" s="1283">
        <f ca="1">IFERROR(BG129/BG104,0)</f>
        <v>0.41292954793918424</v>
      </c>
      <c r="BH126" s="1283">
        <f t="shared" ca="1" si="240"/>
        <v>4.8443410945516241E-2</v>
      </c>
      <c r="BI126" s="2777"/>
    </row>
    <row r="127" spans="1:61" s="504" customFormat="1" ht="14.5" hidden="1" outlineLevel="1">
      <c r="A127" s="1693">
        <f t="shared" si="147"/>
        <v>127</v>
      </c>
      <c r="B127" s="616">
        <v>1</v>
      </c>
      <c r="C127" s="1693">
        <f t="shared" si="127"/>
        <v>127</v>
      </c>
      <c r="D127" s="616">
        <v>1</v>
      </c>
      <c r="E127" s="709" t="s">
        <v>512</v>
      </c>
      <c r="F127" s="1572"/>
      <c r="G127" s="4"/>
      <c r="H127" s="4"/>
      <c r="I127" s="501"/>
      <c r="J127" s="502"/>
      <c r="K127" s="505"/>
      <c r="L127" s="501"/>
      <c r="M127" s="501"/>
      <c r="N127" s="503" t="s">
        <v>329</v>
      </c>
      <c r="O127" s="505"/>
      <c r="P127" s="505"/>
      <c r="Q127" s="505"/>
      <c r="R127" s="1792" t="str">
        <f>CHOOSE(2, "6722000003046", "PL (1)-1 Gross Profit Others (%)")</f>
        <v>PL (1)-1 Gross Profit Others (%)</v>
      </c>
      <c r="S127" s="1304">
        <f t="shared" si="274"/>
        <v>0</v>
      </c>
      <c r="T127" s="1283">
        <f t="shared" si="274"/>
        <v>0</v>
      </c>
      <c r="U127" s="1283">
        <f t="shared" si="274"/>
        <v>0</v>
      </c>
      <c r="V127" s="1283">
        <f t="shared" si="274"/>
        <v>0</v>
      </c>
      <c r="W127" s="1283">
        <f t="shared" si="274"/>
        <v>0</v>
      </c>
      <c r="X127" s="1283">
        <f t="shared" si="274"/>
        <v>0</v>
      </c>
      <c r="Y127" s="1283">
        <f t="shared" si="274"/>
        <v>0</v>
      </c>
      <c r="Z127" s="1283">
        <f t="shared" si="274"/>
        <v>0</v>
      </c>
      <c r="AA127" s="1283">
        <f t="shared" si="274"/>
        <v>0</v>
      </c>
      <c r="AB127" s="1283">
        <f t="shared" si="274"/>
        <v>0</v>
      </c>
      <c r="AC127" s="1283">
        <f t="shared" si="274"/>
        <v>0</v>
      </c>
      <c r="AD127" s="1283">
        <f t="shared" si="274"/>
        <v>0</v>
      </c>
      <c r="AE127" s="1283">
        <f t="shared" si="275"/>
        <v>0</v>
      </c>
      <c r="AF127" s="1283">
        <f t="shared" si="275"/>
        <v>0</v>
      </c>
      <c r="AG127" s="1283">
        <f t="shared" si="275"/>
        <v>0</v>
      </c>
      <c r="AH127" s="1283">
        <f t="shared" si="275"/>
        <v>0</v>
      </c>
      <c r="AI127" s="1283">
        <f t="shared" si="275"/>
        <v>0</v>
      </c>
      <c r="AJ127" s="1283">
        <f t="shared" si="275"/>
        <v>0</v>
      </c>
      <c r="AK127" s="1283">
        <f t="shared" si="275"/>
        <v>0</v>
      </c>
      <c r="AM127" s="1304">
        <f t="shared" ca="1" si="276"/>
        <v>0</v>
      </c>
      <c r="AN127" s="1283">
        <f t="shared" ca="1" si="276"/>
        <v>0</v>
      </c>
      <c r="AO127" s="1283">
        <f t="shared" ca="1" si="230"/>
        <v>0</v>
      </c>
      <c r="AP127" s="2777"/>
      <c r="AQ127" s="1283">
        <f ca="1">IFERROR(AQ130/AQ105,0)</f>
        <v>0</v>
      </c>
      <c r="AR127" s="1283">
        <f t="shared" ca="1" si="232"/>
        <v>0</v>
      </c>
      <c r="AS127" s="2777"/>
      <c r="AU127" s="1304">
        <f t="shared" ca="1" si="277"/>
        <v>0</v>
      </c>
      <c r="AV127" s="1283">
        <f t="shared" ca="1" si="277"/>
        <v>0</v>
      </c>
      <c r="AW127" s="1283">
        <f t="shared" ca="1" si="234"/>
        <v>0</v>
      </c>
      <c r="AX127" s="2777"/>
      <c r="AY127" s="1283">
        <f ca="1">IFERROR(AY130/AY105,0)</f>
        <v>0</v>
      </c>
      <c r="AZ127" s="1283">
        <f t="shared" ca="1" si="236"/>
        <v>0</v>
      </c>
      <c r="BA127" s="2777"/>
      <c r="BC127" s="1304">
        <f t="shared" ca="1" si="278"/>
        <v>0</v>
      </c>
      <c r="BD127" s="1283">
        <f t="shared" ca="1" si="278"/>
        <v>0</v>
      </c>
      <c r="BE127" s="1283">
        <f t="shared" ca="1" si="238"/>
        <v>0</v>
      </c>
      <c r="BF127" s="2777"/>
      <c r="BG127" s="1283">
        <f ca="1">IFERROR(BG130/BG105,0)</f>
        <v>0</v>
      </c>
      <c r="BH127" s="1283">
        <f t="shared" ca="1" si="240"/>
        <v>0</v>
      </c>
      <c r="BI127" s="2777"/>
    </row>
    <row r="128" spans="1:61" ht="14.5" collapsed="1">
      <c r="A128" s="1693">
        <f t="shared" si="147"/>
        <v>128</v>
      </c>
      <c r="B128" s="616">
        <v>1</v>
      </c>
      <c r="C128" s="1693">
        <f t="shared" si="127"/>
        <v>128</v>
      </c>
      <c r="D128" s="616">
        <v>1</v>
      </c>
      <c r="E128" s="709" t="s">
        <v>512</v>
      </c>
      <c r="F128" s="1572"/>
      <c r="G128" s="4"/>
      <c r="H128" s="4"/>
      <c r="I128" s="4"/>
      <c r="J128" s="27"/>
      <c r="K128" s="3"/>
      <c r="L128" s="4"/>
      <c r="M128" s="4"/>
      <c r="N128" s="3" t="s">
        <v>57</v>
      </c>
      <c r="O128" s="3"/>
      <c r="P128" s="3"/>
      <c r="Q128" s="3"/>
      <c r="R128" s="1789" t="str">
        <f>CHOOSE(2, "6722000003047", "PL (1)-1 Gross Profit HW")</f>
        <v>PL (1)-1 Gross Profit HW</v>
      </c>
      <c r="S128" s="1214">
        <f t="shared" ref="S128:AD128" si="279">S495+S519</f>
        <v>48669</v>
      </c>
      <c r="T128" s="1221">
        <f t="shared" si="279"/>
        <v>45497.223160000009</v>
      </c>
      <c r="U128" s="1221">
        <f t="shared" si="279"/>
        <v>54942.801200416667</v>
      </c>
      <c r="V128" s="1221">
        <f t="shared" si="279"/>
        <v>48607.681770416712</v>
      </c>
      <c r="W128" s="1221">
        <f t="shared" si="279"/>
        <v>49463.056747085233</v>
      </c>
      <c r="X128" s="1221">
        <f t="shared" si="279"/>
        <v>73247.650880416535</v>
      </c>
      <c r="Y128" s="1221">
        <f t="shared" si="279"/>
        <v>47621.834875416789</v>
      </c>
      <c r="Z128" s="1221">
        <f t="shared" si="279"/>
        <v>54731.966305416558</v>
      </c>
      <c r="AA128" s="1221">
        <f t="shared" si="279"/>
        <v>61278.77704666667</v>
      </c>
      <c r="AB128" s="1221">
        <f t="shared" si="279"/>
        <v>50301.551586666668</v>
      </c>
      <c r="AC128" s="1221">
        <f t="shared" si="279"/>
        <v>65624.922890710528</v>
      </c>
      <c r="AD128" s="1221">
        <f t="shared" si="279"/>
        <v>48916.928096666677</v>
      </c>
      <c r="AE128" s="1221">
        <f t="shared" ref="AE128:AE134" si="280">SUM(S128,T128,U128)</f>
        <v>149109.02436041669</v>
      </c>
      <c r="AF128" s="1221">
        <f t="shared" ref="AF128:AF134" si="281">SUM(V128,W128,X128)</f>
        <v>171318.38939791848</v>
      </c>
      <c r="AG128" s="1221">
        <f t="shared" ref="AG128:AG134" si="282">SUM(Y128,Z128,AA128)</f>
        <v>163632.57822750002</v>
      </c>
      <c r="AH128" s="1221">
        <f t="shared" ref="AH128:AH134" si="283">SUM(AB128,AC128,AD128)</f>
        <v>164843.40257404387</v>
      </c>
      <c r="AI128" s="1221">
        <f>AE128+AF128</f>
        <v>320427.41375833517</v>
      </c>
      <c r="AJ128" s="1221">
        <f>AH128+AG128</f>
        <v>328475.98080154392</v>
      </c>
      <c r="AK128" s="1221">
        <f>AI128+AJ128</f>
        <v>648903.39455987909</v>
      </c>
      <c r="AM128" s="596">
        <f ca="1">SUM((INDIRECT(AM$2&amp;(ROW())):INDIRECT(AM$3&amp;(ROW()))))</f>
        <v>48669</v>
      </c>
      <c r="AN128" s="2002">
        <f ca="1">SUM(INDIRECT(AN$1&amp;AN$2&amp;$C128):INDIRECT(AN$1&amp;AN$3&amp;$C128))</f>
        <v>38129.177708393778</v>
      </c>
      <c r="AO128" s="2767">
        <f t="shared" ca="1" si="230"/>
        <v>10539.822291606222</v>
      </c>
      <c r="AP128" s="2768">
        <f t="shared" ca="1" si="231"/>
        <v>1.2764240648516787</v>
      </c>
      <c r="AQ128" s="2002">
        <f ca="1">SUM(INDIRECT(AQ$1&amp;AQ$2&amp;$A128):INDIRECT(AQ$1&amp;AQ$3&amp;$A128))+SUM(INDIRECT(AQ$1&amp;AQ$2&amp;$B128):INDIRECT(AQ$1&amp;AQ$3&amp;$B128))</f>
        <v>25526</v>
      </c>
      <c r="AR128" s="2767">
        <f t="shared" ca="1" si="232"/>
        <v>23143</v>
      </c>
      <c r="AS128" s="2768">
        <f t="shared" ref="AS128:AS135" ca="1" si="284">IFERROR(AM128/AQ128,0)</f>
        <v>1.906644205907702</v>
      </c>
      <c r="AU128" s="596">
        <f ca="1">SUM((INDIRECT(AU$2&amp;(ROW())):INDIRECT(AU$3&amp;(ROW()))))</f>
        <v>48669</v>
      </c>
      <c r="AV128" s="2002">
        <f ca="1">SUM(INDIRECT(AV$1&amp;AV$2&amp;$C128):INDIRECT(AV$1&amp;AV$3&amp;$C128))</f>
        <v>38129.177708393778</v>
      </c>
      <c r="AW128" s="2767">
        <f t="shared" ca="1" si="234"/>
        <v>10539.822291606222</v>
      </c>
      <c r="AX128" s="2768">
        <f t="shared" ref="AX128:AX135" ca="1" si="285">IFERROR(AU128/AV128,0)</f>
        <v>1.2764240648516787</v>
      </c>
      <c r="AY128" s="2002">
        <f ca="1">SUM(INDIRECT(AY$1&amp;AY$2&amp;$A128):INDIRECT(AY$1&amp;AY$3&amp;$A128))+SUM(INDIRECT(AY$1&amp;AY$2&amp;$B128):INDIRECT(AY$1&amp;AY$3&amp;$B128))</f>
        <v>25526</v>
      </c>
      <c r="AZ128" s="2767">
        <f t="shared" ca="1" si="236"/>
        <v>23143</v>
      </c>
      <c r="BA128" s="2768">
        <f t="shared" ref="BA128:BA135" ca="1" si="286">IFERROR(AU128/AY128,0)</f>
        <v>1.906644205907702</v>
      </c>
      <c r="BC128" s="596">
        <f ca="1">SUM((INDIRECT(BC$2&amp;(ROW())):INDIRECT(BC$3&amp;(ROW()))))</f>
        <v>48669</v>
      </c>
      <c r="BD128" s="2002">
        <f ca="1">SUM(INDIRECT(BD$1&amp;BD$2&amp;$C128):INDIRECT(BD$1&amp;BD$3&amp;$C128))</f>
        <v>38129.177708393778</v>
      </c>
      <c r="BE128" s="2767">
        <f t="shared" ca="1" si="238"/>
        <v>10539.822291606222</v>
      </c>
      <c r="BF128" s="2768">
        <f t="shared" ref="BF128:BF135" ca="1" si="287">IFERROR(BC128/BD128,0)</f>
        <v>1.2764240648516787</v>
      </c>
      <c r="BG128" s="2002">
        <f ca="1">SUM(INDIRECT(BG$1&amp;BG$2&amp;$A128):INDIRECT(BG$1&amp;BG$3&amp;$A128))+SUM(INDIRECT(BG$1&amp;BG$2&amp;$B128):INDIRECT(BG$1&amp;BG$3&amp;$B128))</f>
        <v>25526</v>
      </c>
      <c r="BH128" s="2767">
        <f t="shared" ca="1" si="240"/>
        <v>23143</v>
      </c>
      <c r="BI128" s="2768">
        <f t="shared" ref="BI128:BI135" ca="1" si="288">IFERROR(BC128/BG128,0)</f>
        <v>1.906644205907702</v>
      </c>
    </row>
    <row r="129" spans="1:61" ht="14.5">
      <c r="A129" s="1693">
        <f t="shared" si="147"/>
        <v>129</v>
      </c>
      <c r="B129" s="616">
        <v>1</v>
      </c>
      <c r="C129" s="1693">
        <f t="shared" si="127"/>
        <v>129</v>
      </c>
      <c r="D129" s="616">
        <v>1</v>
      </c>
      <c r="E129" s="709" t="s">
        <v>512</v>
      </c>
      <c r="F129" s="1572"/>
      <c r="G129" s="4"/>
      <c r="H129" s="4"/>
      <c r="I129" s="4"/>
      <c r="J129" s="27"/>
      <c r="K129" s="3"/>
      <c r="L129" s="4"/>
      <c r="M129" s="4"/>
      <c r="N129" s="3" t="s">
        <v>27</v>
      </c>
      <c r="O129" s="3"/>
      <c r="P129" s="3"/>
      <c r="Q129" s="3"/>
      <c r="R129" s="1789" t="str">
        <f>CHOOSE(2, "6722000003048", "PL (1)-1 Gross Profit NH")</f>
        <v>PL (1)-1 Gross Profit NH</v>
      </c>
      <c r="S129" s="1214">
        <f t="shared" ref="S129:AD129" si="289">S500+S524</f>
        <v>52752</v>
      </c>
      <c r="T129" s="1221">
        <f t="shared" si="289"/>
        <v>39550.873179999988</v>
      </c>
      <c r="U129" s="1221">
        <f t="shared" si="289"/>
        <v>39470.613358749957</v>
      </c>
      <c r="V129" s="1221">
        <f t="shared" si="289"/>
        <v>37718.330696649122</v>
      </c>
      <c r="W129" s="1221">
        <f t="shared" si="289"/>
        <v>50194.750254109873</v>
      </c>
      <c r="X129" s="1221">
        <f t="shared" si="289"/>
        <v>36683.094083750009</v>
      </c>
      <c r="Y129" s="1221">
        <f t="shared" si="289"/>
        <v>45696.178977916694</v>
      </c>
      <c r="Z129" s="1221">
        <f t="shared" si="289"/>
        <v>45747.061867916673</v>
      </c>
      <c r="AA129" s="1221">
        <f t="shared" si="289"/>
        <v>49823.509601040743</v>
      </c>
      <c r="AB129" s="1221">
        <f t="shared" si="289"/>
        <v>49373.082814456837</v>
      </c>
      <c r="AC129" s="1221">
        <f t="shared" si="289"/>
        <v>38144.010807408857</v>
      </c>
      <c r="AD129" s="1221">
        <f t="shared" si="289"/>
        <v>44641.677722483699</v>
      </c>
      <c r="AE129" s="1221">
        <f t="shared" si="280"/>
        <v>131773.48653874994</v>
      </c>
      <c r="AF129" s="1221">
        <f t="shared" si="281"/>
        <v>124596.17503450901</v>
      </c>
      <c r="AG129" s="1221">
        <f t="shared" si="282"/>
        <v>141266.75044687412</v>
      </c>
      <c r="AH129" s="1221">
        <f t="shared" si="283"/>
        <v>132158.7713443494</v>
      </c>
      <c r="AI129" s="1221">
        <f>AE129+AF129</f>
        <v>256369.66157325896</v>
      </c>
      <c r="AJ129" s="1221">
        <f>AH129+AG129</f>
        <v>273425.52179122355</v>
      </c>
      <c r="AK129" s="1221">
        <f>AI129+AJ129</f>
        <v>529795.18336448248</v>
      </c>
      <c r="AM129" s="596">
        <f ca="1">SUM((INDIRECT(AM$2&amp;(ROW())):INDIRECT(AM$3&amp;(ROW()))))</f>
        <v>52752</v>
      </c>
      <c r="AN129" s="2002">
        <f ca="1">SUM(INDIRECT(AN$1&amp;AN$2&amp;$C129):INDIRECT(AN$1&amp;AN$3&amp;$C129))</f>
        <v>35788.320163685152</v>
      </c>
      <c r="AO129" s="2767">
        <f t="shared" ca="1" si="230"/>
        <v>16963.679836314848</v>
      </c>
      <c r="AP129" s="2768">
        <f t="shared" ca="1" si="231"/>
        <v>1.4740004492730592</v>
      </c>
      <c r="AQ129" s="2002">
        <f ca="1">SUM(INDIRECT(AQ$1&amp;AQ$2&amp;$A129):INDIRECT(AQ$1&amp;AQ$3&amp;$A129))+SUM(INDIRECT(AQ$1&amp;AQ$2&amp;$B129):INDIRECT(AQ$1&amp;AQ$3&amp;$B129))</f>
        <v>36638</v>
      </c>
      <c r="AR129" s="2767">
        <f t="shared" ca="1" si="232"/>
        <v>16114</v>
      </c>
      <c r="AS129" s="2768">
        <f t="shared" ca="1" si="284"/>
        <v>1.4398165838746657</v>
      </c>
      <c r="AU129" s="596">
        <f ca="1">SUM((INDIRECT(AU$2&amp;(ROW())):INDIRECT(AU$3&amp;(ROW()))))</f>
        <v>52752</v>
      </c>
      <c r="AV129" s="2002">
        <f ca="1">SUM(INDIRECT(AV$1&amp;AV$2&amp;$C129):INDIRECT(AV$1&amp;AV$3&amp;$C129))</f>
        <v>35788.320163685152</v>
      </c>
      <c r="AW129" s="2767">
        <f t="shared" ca="1" si="234"/>
        <v>16963.679836314848</v>
      </c>
      <c r="AX129" s="2768">
        <f t="shared" ca="1" si="285"/>
        <v>1.4740004492730592</v>
      </c>
      <c r="AY129" s="2002">
        <f ca="1">SUM(INDIRECT(AY$1&amp;AY$2&amp;$A129):INDIRECT(AY$1&amp;AY$3&amp;$A129))+SUM(INDIRECT(AY$1&amp;AY$2&amp;$B129):INDIRECT(AY$1&amp;AY$3&amp;$B129))</f>
        <v>36638</v>
      </c>
      <c r="AZ129" s="2767">
        <f t="shared" ca="1" si="236"/>
        <v>16114</v>
      </c>
      <c r="BA129" s="2768">
        <f t="shared" ca="1" si="286"/>
        <v>1.4398165838746657</v>
      </c>
      <c r="BC129" s="596">
        <f ca="1">SUM((INDIRECT(BC$2&amp;(ROW())):INDIRECT(BC$3&amp;(ROW()))))</f>
        <v>52752</v>
      </c>
      <c r="BD129" s="2002">
        <f ca="1">SUM(INDIRECT(BD$1&amp;BD$2&amp;$C129):INDIRECT(BD$1&amp;BD$3&amp;$C129))</f>
        <v>35788.320163685152</v>
      </c>
      <c r="BE129" s="2767">
        <f t="shared" ca="1" si="238"/>
        <v>16963.679836314848</v>
      </c>
      <c r="BF129" s="2768">
        <f t="shared" ca="1" si="287"/>
        <v>1.4740004492730592</v>
      </c>
      <c r="BG129" s="2002">
        <f ca="1">SUM(INDIRECT(BG$1&amp;BG$2&amp;$A129):INDIRECT(BG$1&amp;BG$3&amp;$A129))+SUM(INDIRECT(BG$1&amp;BG$2&amp;$B129):INDIRECT(BG$1&amp;BG$3&amp;$B129))</f>
        <v>36638</v>
      </c>
      <c r="BH129" s="2767">
        <f t="shared" ca="1" si="240"/>
        <v>16114</v>
      </c>
      <c r="BI129" s="2768">
        <f t="shared" ca="1" si="288"/>
        <v>1.4398165838746657</v>
      </c>
    </row>
    <row r="130" spans="1:61" ht="14.5">
      <c r="A130" s="1693">
        <f t="shared" si="147"/>
        <v>130</v>
      </c>
      <c r="B130" s="616">
        <v>1</v>
      </c>
      <c r="C130" s="1693">
        <f t="shared" si="127"/>
        <v>130</v>
      </c>
      <c r="D130" s="616">
        <v>1</v>
      </c>
      <c r="E130" s="709" t="s">
        <v>512</v>
      </c>
      <c r="F130" s="1572"/>
      <c r="G130" s="4"/>
      <c r="H130" s="4"/>
      <c r="I130" s="4"/>
      <c r="J130" s="27"/>
      <c r="K130" s="3"/>
      <c r="L130" s="4"/>
      <c r="M130" s="4"/>
      <c r="N130" s="3" t="s">
        <v>2</v>
      </c>
      <c r="O130" s="3"/>
      <c r="P130" s="3"/>
      <c r="Q130" s="3"/>
      <c r="R130" s="1789" t="str">
        <f>CHOOSE(2, "6722000003049", "PL (1)-1 Gross Profit Others")</f>
        <v>PL (1)-1 Gross Profit Others</v>
      </c>
      <c r="S130" s="1214">
        <f t="shared" ref="S130:AD130" si="290">S517+S541</f>
        <v>0</v>
      </c>
      <c r="T130" s="1221">
        <f t="shared" si="290"/>
        <v>0</v>
      </c>
      <c r="U130" s="1221">
        <f t="shared" si="290"/>
        <v>0</v>
      </c>
      <c r="V130" s="1221">
        <f t="shared" si="290"/>
        <v>0</v>
      </c>
      <c r="W130" s="1221">
        <f t="shared" si="290"/>
        <v>0</v>
      </c>
      <c r="X130" s="1221">
        <f t="shared" si="290"/>
        <v>0</v>
      </c>
      <c r="Y130" s="1221">
        <f t="shared" si="290"/>
        <v>0</v>
      </c>
      <c r="Z130" s="1221">
        <f t="shared" si="290"/>
        <v>0</v>
      </c>
      <c r="AA130" s="1221">
        <f t="shared" si="290"/>
        <v>0</v>
      </c>
      <c r="AB130" s="1221">
        <f t="shared" si="290"/>
        <v>0</v>
      </c>
      <c r="AC130" s="1221">
        <f t="shared" si="290"/>
        <v>0</v>
      </c>
      <c r="AD130" s="1221">
        <f t="shared" si="290"/>
        <v>0</v>
      </c>
      <c r="AE130" s="1221">
        <f t="shared" si="280"/>
        <v>0</v>
      </c>
      <c r="AF130" s="1221">
        <f t="shared" si="281"/>
        <v>0</v>
      </c>
      <c r="AG130" s="1221">
        <f t="shared" si="282"/>
        <v>0</v>
      </c>
      <c r="AH130" s="1221">
        <f t="shared" si="283"/>
        <v>0</v>
      </c>
      <c r="AI130" s="1221">
        <f>AE130+AF130</f>
        <v>0</v>
      </c>
      <c r="AJ130" s="1221">
        <f>AH130+AG130</f>
        <v>0</v>
      </c>
      <c r="AK130" s="1221">
        <f>AI130+AJ130</f>
        <v>0</v>
      </c>
      <c r="AM130" s="596">
        <f ca="1">SUM((INDIRECT(AM$2&amp;(ROW())):INDIRECT(AM$3&amp;(ROW()))))</f>
        <v>0</v>
      </c>
      <c r="AN130" s="2002">
        <f ca="1">SUM(INDIRECT(AN$1&amp;AN$2&amp;$C130):INDIRECT(AN$1&amp;AN$3&amp;$C130))</f>
        <v>0</v>
      </c>
      <c r="AO130" s="2767">
        <f t="shared" ca="1" si="230"/>
        <v>0</v>
      </c>
      <c r="AP130" s="2768">
        <f t="shared" ca="1" si="231"/>
        <v>0</v>
      </c>
      <c r="AQ130" s="2002">
        <f ca="1">SUM(INDIRECT(AQ$1&amp;AQ$2&amp;$A130):INDIRECT(AQ$1&amp;AQ$3&amp;$A130))+SUM(INDIRECT(AQ$1&amp;AQ$2&amp;$B130):INDIRECT(AQ$1&amp;AQ$3&amp;$B130))</f>
        <v>0</v>
      </c>
      <c r="AR130" s="2767">
        <f t="shared" ca="1" si="232"/>
        <v>0</v>
      </c>
      <c r="AS130" s="2768">
        <f t="shared" ca="1" si="284"/>
        <v>0</v>
      </c>
      <c r="AU130" s="596">
        <f ca="1">SUM((INDIRECT(AU$2&amp;(ROW())):INDIRECT(AU$3&amp;(ROW()))))</f>
        <v>0</v>
      </c>
      <c r="AV130" s="2002">
        <f ca="1">SUM(INDIRECT(AV$1&amp;AV$2&amp;$C130):INDIRECT(AV$1&amp;AV$3&amp;$C130))</f>
        <v>0</v>
      </c>
      <c r="AW130" s="2767">
        <f t="shared" ca="1" si="234"/>
        <v>0</v>
      </c>
      <c r="AX130" s="2768">
        <f t="shared" ca="1" si="285"/>
        <v>0</v>
      </c>
      <c r="AY130" s="2002">
        <f ca="1">SUM(INDIRECT(AY$1&amp;AY$2&amp;$A130):INDIRECT(AY$1&amp;AY$3&amp;$A130))+SUM(INDIRECT(AY$1&amp;AY$2&amp;$B130):INDIRECT(AY$1&amp;AY$3&amp;$B130))</f>
        <v>0</v>
      </c>
      <c r="AZ130" s="2767">
        <f t="shared" ca="1" si="236"/>
        <v>0</v>
      </c>
      <c r="BA130" s="2768">
        <f t="shared" ca="1" si="286"/>
        <v>0</v>
      </c>
      <c r="BC130" s="596">
        <f ca="1">SUM((INDIRECT(BC$2&amp;(ROW())):INDIRECT(BC$3&amp;(ROW()))))</f>
        <v>0</v>
      </c>
      <c r="BD130" s="2002">
        <f ca="1">SUM(INDIRECT(BD$1&amp;BD$2&amp;$C130):INDIRECT(BD$1&amp;BD$3&amp;$C130))</f>
        <v>0</v>
      </c>
      <c r="BE130" s="2767">
        <f t="shared" ca="1" si="238"/>
        <v>0</v>
      </c>
      <c r="BF130" s="2768">
        <f t="shared" ca="1" si="287"/>
        <v>0</v>
      </c>
      <c r="BG130" s="2002">
        <f ca="1">SUM(INDIRECT(BG$1&amp;BG$2&amp;$A130):INDIRECT(BG$1&amp;BG$3&amp;$A130))+SUM(INDIRECT(BG$1&amp;BG$2&amp;$B130):INDIRECT(BG$1&amp;BG$3&amp;$B130))</f>
        <v>0</v>
      </c>
      <c r="BH130" s="2767">
        <f t="shared" ca="1" si="240"/>
        <v>0</v>
      </c>
      <c r="BI130" s="2768">
        <f t="shared" ca="1" si="288"/>
        <v>0</v>
      </c>
    </row>
    <row r="131" spans="1:61" ht="14.5">
      <c r="A131" s="1693">
        <f t="shared" si="147"/>
        <v>131</v>
      </c>
      <c r="B131" s="616">
        <v>1</v>
      </c>
      <c r="C131" s="1693">
        <f t="shared" si="127"/>
        <v>131</v>
      </c>
      <c r="D131" s="616">
        <v>1</v>
      </c>
      <c r="E131" s="709" t="s">
        <v>512</v>
      </c>
      <c r="F131" s="1572"/>
      <c r="G131" s="4"/>
      <c r="H131" s="4"/>
      <c r="I131" s="4"/>
      <c r="J131" s="121" t="s">
        <v>29</v>
      </c>
      <c r="K131" s="580"/>
      <c r="L131" s="119"/>
      <c r="M131" s="119"/>
      <c r="N131" s="119"/>
      <c r="O131" s="119"/>
      <c r="P131" s="119"/>
      <c r="Q131" s="863"/>
      <c r="R131" s="1788" t="str">
        <f>CHOOSE(2, "6722000003050", "PL (1)-1 SGA Expenses")</f>
        <v>PL (1)-1 SGA Expenses</v>
      </c>
      <c r="S131" s="1258">
        <f>SUM(S132:S134)</f>
        <v>93233.013372640984</v>
      </c>
      <c r="T131" s="1192">
        <f t="shared" ref="T131:AD131" si="291">SUM(T132:T134)</f>
        <v>76604.221715275533</v>
      </c>
      <c r="U131" s="1192">
        <f t="shared" si="291"/>
        <v>71491.973210448938</v>
      </c>
      <c r="V131" s="1192">
        <f t="shared" si="291"/>
        <v>73420.957459708443</v>
      </c>
      <c r="W131" s="1192">
        <f>SUM(W132:W134)</f>
        <v>81118.74060105739</v>
      </c>
      <c r="X131" s="1192">
        <f t="shared" si="291"/>
        <v>88431.951848563564</v>
      </c>
      <c r="Y131" s="1192">
        <f t="shared" si="291"/>
        <v>86873.528150445331</v>
      </c>
      <c r="Z131" s="1192">
        <f t="shared" si="291"/>
        <v>85747.288381289676</v>
      </c>
      <c r="AA131" s="1192">
        <f t="shared" si="291"/>
        <v>92880.633818799339</v>
      </c>
      <c r="AB131" s="1192">
        <f t="shared" si="291"/>
        <v>72853.259863230618</v>
      </c>
      <c r="AC131" s="1192">
        <f t="shared" si="291"/>
        <v>86997.653168225748</v>
      </c>
      <c r="AD131" s="1192">
        <f t="shared" si="291"/>
        <v>83144.946173147939</v>
      </c>
      <c r="AE131" s="882">
        <f t="shared" si="280"/>
        <v>241329.20829836547</v>
      </c>
      <c r="AF131" s="118">
        <f t="shared" si="281"/>
        <v>242971.6499093294</v>
      </c>
      <c r="AG131" s="118">
        <f t="shared" si="282"/>
        <v>265501.45035053435</v>
      </c>
      <c r="AH131" s="118">
        <f t="shared" si="283"/>
        <v>242995.85920460429</v>
      </c>
      <c r="AI131" s="118">
        <f>SUM(AI132:AI134)</f>
        <v>484300.8582076949</v>
      </c>
      <c r="AJ131" s="118">
        <f>SUM(AJ132:AJ134)</f>
        <v>508497.30955513864</v>
      </c>
      <c r="AK131" s="118">
        <f>SUM(AK132:AK134)</f>
        <v>992798.16776283341</v>
      </c>
      <c r="AM131" s="1999">
        <f ca="1">SUM((INDIRECT(AM$2&amp;(ROW())):INDIRECT(AM$3&amp;(ROW()))))</f>
        <v>93233.013372640984</v>
      </c>
      <c r="AN131" s="2000">
        <f ca="1">SUM(INDIRECT(AN$1&amp;AN$2&amp;$C131):INDIRECT(AN$1&amp;AN$3&amp;$C131))</f>
        <v>66466.386693167355</v>
      </c>
      <c r="AO131" s="2765">
        <f t="shared" ca="1" si="230"/>
        <v>26766.626679473629</v>
      </c>
      <c r="AP131" s="2766">
        <f t="shared" ca="1" si="231"/>
        <v>1.4027092190679473</v>
      </c>
      <c r="AQ131" s="2000">
        <f ca="1">SUM(INDIRECT(AQ$1&amp;AQ$2&amp;$A131):INDIRECT(AQ$1&amp;AQ$3&amp;$A131))+SUM(INDIRECT(AQ$1&amp;AQ$2&amp;$B131):INDIRECT(AQ$1&amp;AQ$3&amp;$B131))</f>
        <v>54272.654876761728</v>
      </c>
      <c r="AR131" s="2765">
        <f t="shared" ca="1" si="232"/>
        <v>38960.358495879256</v>
      </c>
      <c r="AS131" s="2766">
        <f t="shared" ca="1" si="284"/>
        <v>1.7178635094293344</v>
      </c>
      <c r="AU131" s="1999">
        <f ca="1">SUM((INDIRECT(AU$2&amp;(ROW())):INDIRECT(AU$3&amp;(ROW()))))</f>
        <v>93233.013372640984</v>
      </c>
      <c r="AV131" s="2000">
        <f ca="1">SUM(INDIRECT(AV$1&amp;AV$2&amp;$C131):INDIRECT(AV$1&amp;AV$3&amp;$C131))</f>
        <v>66466.386693167355</v>
      </c>
      <c r="AW131" s="2765">
        <f t="shared" ca="1" si="234"/>
        <v>26766.626679473629</v>
      </c>
      <c r="AX131" s="2766">
        <f t="shared" ca="1" si="285"/>
        <v>1.4027092190679473</v>
      </c>
      <c r="AY131" s="2000">
        <f ca="1">SUM(INDIRECT(AY$1&amp;AY$2&amp;$A131):INDIRECT(AY$1&amp;AY$3&amp;$A131))+SUM(INDIRECT(AY$1&amp;AY$2&amp;$B131):INDIRECT(AY$1&amp;AY$3&amp;$B131))</f>
        <v>54272.654876761728</v>
      </c>
      <c r="AZ131" s="2765">
        <f t="shared" ca="1" si="236"/>
        <v>38960.358495879256</v>
      </c>
      <c r="BA131" s="2766">
        <f t="shared" ca="1" si="286"/>
        <v>1.7178635094293344</v>
      </c>
      <c r="BC131" s="1999">
        <f ca="1">SUM((INDIRECT(BC$2&amp;(ROW())):INDIRECT(BC$3&amp;(ROW()))))</f>
        <v>93233.013372640984</v>
      </c>
      <c r="BD131" s="2000">
        <f ca="1">SUM(INDIRECT(BD$1&amp;BD$2&amp;$C131):INDIRECT(BD$1&amp;BD$3&amp;$C131))</f>
        <v>66466.386693167355</v>
      </c>
      <c r="BE131" s="2765">
        <f t="shared" ca="1" si="238"/>
        <v>26766.626679473629</v>
      </c>
      <c r="BF131" s="2766">
        <f t="shared" ca="1" si="287"/>
        <v>1.4027092190679473</v>
      </c>
      <c r="BG131" s="2000">
        <f ca="1">SUM(INDIRECT(BG$1&amp;BG$2&amp;$A131):INDIRECT(BG$1&amp;BG$3&amp;$A131))+SUM(INDIRECT(BG$1&amp;BG$2&amp;$B131):INDIRECT(BG$1&amp;BG$3&amp;$B131))</f>
        <v>54272.654876761728</v>
      </c>
      <c r="BH131" s="2765">
        <f t="shared" ca="1" si="240"/>
        <v>38960.358495879256</v>
      </c>
      <c r="BI131" s="2766">
        <f t="shared" ca="1" si="288"/>
        <v>1.7178635094293344</v>
      </c>
    </row>
    <row r="132" spans="1:61" ht="14.5">
      <c r="A132" s="1693">
        <f t="shared" si="147"/>
        <v>132</v>
      </c>
      <c r="B132" s="616">
        <v>1</v>
      </c>
      <c r="C132" s="1693">
        <f t="shared" si="127"/>
        <v>132</v>
      </c>
      <c r="D132" s="616">
        <v>1</v>
      </c>
      <c r="E132" s="709" t="s">
        <v>512</v>
      </c>
      <c r="F132" s="1572"/>
      <c r="G132" s="4"/>
      <c r="H132" s="4"/>
      <c r="I132" s="4"/>
      <c r="J132" s="27"/>
      <c r="K132" s="36" t="s">
        <v>87</v>
      </c>
      <c r="L132" s="4"/>
      <c r="M132" s="4"/>
      <c r="N132" s="3"/>
      <c r="O132" s="3"/>
      <c r="P132" s="3"/>
      <c r="Q132" s="3"/>
      <c r="R132" s="1790" t="str">
        <f>CHOOSE(2, "6722000003051", "PL (1)-1 SGA Expenses Variable Expenses")</f>
        <v>PL (1)-1 SGA Expenses Variable Expenses</v>
      </c>
      <c r="S132" s="1215">
        <v>37793.33409989909</v>
      </c>
      <c r="T132" s="1222">
        <v>13893.488503358309</v>
      </c>
      <c r="U132" s="1222">
        <v>36525.782997567381</v>
      </c>
      <c r="V132" s="1222">
        <v>25624.088414672035</v>
      </c>
      <c r="W132" s="1222">
        <v>34186.87314763527</v>
      </c>
      <c r="X132" s="1222">
        <v>43220.30749997044</v>
      </c>
      <c r="Y132" s="1222">
        <v>42759.897942179319</v>
      </c>
      <c r="Z132" s="1222">
        <v>23125.555025360223</v>
      </c>
      <c r="AA132" s="1222">
        <v>40319.599303365023</v>
      </c>
      <c r="AB132" s="1222">
        <v>15608.262615706293</v>
      </c>
      <c r="AC132" s="1222">
        <v>26576.323733781152</v>
      </c>
      <c r="AD132" s="1222">
        <v>45044.955278179492</v>
      </c>
      <c r="AE132" s="1221">
        <f t="shared" si="280"/>
        <v>88212.605600824783</v>
      </c>
      <c r="AF132" s="1221">
        <f t="shared" si="281"/>
        <v>103031.26906227774</v>
      </c>
      <c r="AG132" s="1221">
        <f t="shared" si="282"/>
        <v>106205.05227090456</v>
      </c>
      <c r="AH132" s="1221">
        <f t="shared" si="283"/>
        <v>87229.541627666942</v>
      </c>
      <c r="AI132" s="1221">
        <f>AE132+AF132</f>
        <v>191243.87466310253</v>
      </c>
      <c r="AJ132" s="1221">
        <f>AH132+AG132</f>
        <v>193434.5938985715</v>
      </c>
      <c r="AK132" s="1221">
        <f>AI132+AJ132</f>
        <v>384678.468561674</v>
      </c>
      <c r="AM132" s="596">
        <f ca="1">SUM((INDIRECT(AM$2&amp;(ROW())):INDIRECT(AM$3&amp;(ROW()))))</f>
        <v>37793.33409989909</v>
      </c>
      <c r="AN132" s="2002">
        <f ca="1">SUM(INDIRECT(AN$1&amp;AN$2&amp;$C132):INDIRECT(AN$1&amp;AN$3&amp;$C132))</f>
        <v>25492.506177936801</v>
      </c>
      <c r="AO132" s="2767">
        <f t="shared" ca="1" si="230"/>
        <v>12300.827921962289</v>
      </c>
      <c r="AP132" s="2768">
        <f t="shared" ca="1" si="231"/>
        <v>1.4825272115696644</v>
      </c>
      <c r="AQ132" s="2002">
        <f ca="1">SUM(INDIRECT(AQ$1&amp;AQ$2&amp;$A132):INDIRECT(AQ$1&amp;AQ$3&amp;$A132))+SUM(INDIRECT(AQ$1&amp;AQ$2&amp;$B132):INDIRECT(AQ$1&amp;AQ$3&amp;$B132))</f>
        <v>18484.978492826012</v>
      </c>
      <c r="AR132" s="2767">
        <f t="shared" ca="1" si="232"/>
        <v>19308.355607073077</v>
      </c>
      <c r="AS132" s="2768">
        <f t="shared" ca="1" si="284"/>
        <v>2.0445430388012955</v>
      </c>
      <c r="AU132" s="596">
        <f ca="1">SUM((INDIRECT(AU$2&amp;(ROW())):INDIRECT(AU$3&amp;(ROW()))))</f>
        <v>37793.33409989909</v>
      </c>
      <c r="AV132" s="2002">
        <f ca="1">SUM(INDIRECT(AV$1&amp;AV$2&amp;$C132):INDIRECT(AV$1&amp;AV$3&amp;$C132))</f>
        <v>25492.506177936801</v>
      </c>
      <c r="AW132" s="2767">
        <f t="shared" ca="1" si="234"/>
        <v>12300.827921962289</v>
      </c>
      <c r="AX132" s="2768">
        <f t="shared" ca="1" si="285"/>
        <v>1.4825272115696644</v>
      </c>
      <c r="AY132" s="2002">
        <f ca="1">SUM(INDIRECT(AY$1&amp;AY$2&amp;$A132):INDIRECT(AY$1&amp;AY$3&amp;$A132))+SUM(INDIRECT(AY$1&amp;AY$2&amp;$B132):INDIRECT(AY$1&amp;AY$3&amp;$B132))</f>
        <v>18484.978492826012</v>
      </c>
      <c r="AZ132" s="2767">
        <f t="shared" ca="1" si="236"/>
        <v>19308.355607073077</v>
      </c>
      <c r="BA132" s="2768">
        <f t="shared" ca="1" si="286"/>
        <v>2.0445430388012955</v>
      </c>
      <c r="BC132" s="596">
        <f ca="1">SUM((INDIRECT(BC$2&amp;(ROW())):INDIRECT(BC$3&amp;(ROW()))))</f>
        <v>37793.33409989909</v>
      </c>
      <c r="BD132" s="2002">
        <f ca="1">SUM(INDIRECT(BD$1&amp;BD$2&amp;$C132):INDIRECT(BD$1&amp;BD$3&amp;$C132))</f>
        <v>25492.506177936801</v>
      </c>
      <c r="BE132" s="2767">
        <f t="shared" ca="1" si="238"/>
        <v>12300.827921962289</v>
      </c>
      <c r="BF132" s="2768">
        <f t="shared" ca="1" si="287"/>
        <v>1.4825272115696644</v>
      </c>
      <c r="BG132" s="2002">
        <f ca="1">SUM(INDIRECT(BG$1&amp;BG$2&amp;$A132):INDIRECT(BG$1&amp;BG$3&amp;$A132))+SUM(INDIRECT(BG$1&amp;BG$2&amp;$B132):INDIRECT(BG$1&amp;BG$3&amp;$B132))</f>
        <v>18484.978492826012</v>
      </c>
      <c r="BH132" s="2767">
        <f t="shared" ca="1" si="240"/>
        <v>19308.355607073077</v>
      </c>
      <c r="BI132" s="2768">
        <f t="shared" ca="1" si="288"/>
        <v>2.0445430388012955</v>
      </c>
    </row>
    <row r="133" spans="1:61" ht="14.5">
      <c r="A133" s="1693">
        <f t="shared" si="147"/>
        <v>133</v>
      </c>
      <c r="B133" s="616">
        <v>1</v>
      </c>
      <c r="C133" s="1693">
        <f t="shared" si="127"/>
        <v>133</v>
      </c>
      <c r="D133" s="616">
        <v>1</v>
      </c>
      <c r="E133" s="709" t="s">
        <v>512</v>
      </c>
      <c r="F133" s="1572"/>
      <c r="G133" s="4"/>
      <c r="H133" s="4"/>
      <c r="I133" s="4"/>
      <c r="J133" s="27"/>
      <c r="K133" s="36" t="s">
        <v>88</v>
      </c>
      <c r="L133" s="4"/>
      <c r="M133" s="4"/>
      <c r="N133" s="3"/>
      <c r="O133" s="3"/>
      <c r="P133" s="3"/>
      <c r="Q133" s="3"/>
      <c r="R133" s="1790" t="str">
        <f>CHOOSE(2, "6722000003052", "PL (1)-1 SGA Expenses Wages &amp; Salaries")</f>
        <v>PL (1)-1 SGA Expenses Wages &amp; Salaries</v>
      </c>
      <c r="S133" s="1215">
        <v>26633.52958309825</v>
      </c>
      <c r="T133" s="1222">
        <v>29713.712482127114</v>
      </c>
      <c r="U133" s="1222">
        <v>29756.809975302425</v>
      </c>
      <c r="V133" s="1222">
        <v>29585.00875632462</v>
      </c>
      <c r="W133" s="1222">
        <v>28939.24636788747</v>
      </c>
      <c r="X133" s="1222">
        <v>25167.894423081241</v>
      </c>
      <c r="Y133" s="1222">
        <v>26445.374033784276</v>
      </c>
      <c r="Z133" s="1222">
        <v>29743.035895401008</v>
      </c>
      <c r="AA133" s="1222">
        <v>31685.591574523125</v>
      </c>
      <c r="AB133" s="1222">
        <v>31634.917466186373</v>
      </c>
      <c r="AC133" s="1222">
        <v>35955.235223278054</v>
      </c>
      <c r="AD133" s="1222">
        <v>30556.254258097615</v>
      </c>
      <c r="AE133" s="1221">
        <f t="shared" si="280"/>
        <v>86104.052040527793</v>
      </c>
      <c r="AF133" s="1221">
        <f t="shared" si="281"/>
        <v>83692.149547293331</v>
      </c>
      <c r="AG133" s="1221">
        <f t="shared" si="282"/>
        <v>87874.001503708409</v>
      </c>
      <c r="AH133" s="1221">
        <f t="shared" si="283"/>
        <v>98146.406947562034</v>
      </c>
      <c r="AI133" s="1221">
        <f>AE133+AF133</f>
        <v>169796.20158782112</v>
      </c>
      <c r="AJ133" s="1221">
        <f>AH133+AG133</f>
        <v>186020.40845127043</v>
      </c>
      <c r="AK133" s="1221">
        <f>AI133+AJ133</f>
        <v>355816.61003909155</v>
      </c>
      <c r="AM133" s="596">
        <f ca="1">SUM((INDIRECT(AM$2&amp;(ROW())):INDIRECT(AM$3&amp;(ROW()))))</f>
        <v>26633.52958309825</v>
      </c>
      <c r="AN133" s="2002">
        <f ca="1">SUM(INDIRECT(AN$1&amp;AN$2&amp;$C133):INDIRECT(AN$1&amp;AN$3&amp;$C133))</f>
        <v>27403.424862010543</v>
      </c>
      <c r="AO133" s="2767">
        <f t="shared" ca="1" si="230"/>
        <v>-769.89527891229227</v>
      </c>
      <c r="AP133" s="2768">
        <f t="shared" ca="1" si="231"/>
        <v>0.97190514387201288</v>
      </c>
      <c r="AQ133" s="2002">
        <f ca="1">SUM(INDIRECT(AQ$1&amp;AQ$2&amp;$A133):INDIRECT(AQ$1&amp;AQ$3&amp;$A133))+SUM(INDIRECT(AQ$1&amp;AQ$2&amp;$B133):INDIRECT(AQ$1&amp;AQ$3&amp;$B133))</f>
        <v>21961</v>
      </c>
      <c r="AR133" s="2767">
        <f t="shared" ca="1" si="232"/>
        <v>4672.5295830982504</v>
      </c>
      <c r="AS133" s="2768">
        <f t="shared" ca="1" si="284"/>
        <v>1.2127648824324142</v>
      </c>
      <c r="AU133" s="596">
        <f ca="1">SUM((INDIRECT(AU$2&amp;(ROW())):INDIRECT(AU$3&amp;(ROW()))))</f>
        <v>26633.52958309825</v>
      </c>
      <c r="AV133" s="2002">
        <f ca="1">SUM(INDIRECT(AV$1&amp;AV$2&amp;$C133):INDIRECT(AV$1&amp;AV$3&amp;$C133))</f>
        <v>27403.424862010543</v>
      </c>
      <c r="AW133" s="2767">
        <f t="shared" ca="1" si="234"/>
        <v>-769.89527891229227</v>
      </c>
      <c r="AX133" s="2768">
        <f t="shared" ca="1" si="285"/>
        <v>0.97190514387201288</v>
      </c>
      <c r="AY133" s="2002">
        <f ca="1">SUM(INDIRECT(AY$1&amp;AY$2&amp;$A133):INDIRECT(AY$1&amp;AY$3&amp;$A133))+SUM(INDIRECT(AY$1&amp;AY$2&amp;$B133):INDIRECT(AY$1&amp;AY$3&amp;$B133))</f>
        <v>21961</v>
      </c>
      <c r="AZ133" s="2767">
        <f t="shared" ca="1" si="236"/>
        <v>4672.5295830982504</v>
      </c>
      <c r="BA133" s="2768">
        <f t="shared" ca="1" si="286"/>
        <v>1.2127648824324142</v>
      </c>
      <c r="BC133" s="596">
        <f ca="1">SUM((INDIRECT(BC$2&amp;(ROW())):INDIRECT(BC$3&amp;(ROW()))))</f>
        <v>26633.52958309825</v>
      </c>
      <c r="BD133" s="2002">
        <f ca="1">SUM(INDIRECT(BD$1&amp;BD$2&amp;$C133):INDIRECT(BD$1&amp;BD$3&amp;$C133))</f>
        <v>27403.424862010543</v>
      </c>
      <c r="BE133" s="2767">
        <f t="shared" ca="1" si="238"/>
        <v>-769.89527891229227</v>
      </c>
      <c r="BF133" s="2768">
        <f t="shared" ca="1" si="287"/>
        <v>0.97190514387201288</v>
      </c>
      <c r="BG133" s="2002">
        <f ca="1">SUM(INDIRECT(BG$1&amp;BG$2&amp;$A133):INDIRECT(BG$1&amp;BG$3&amp;$A133))+SUM(INDIRECT(BG$1&amp;BG$2&amp;$B133):INDIRECT(BG$1&amp;BG$3&amp;$B133))</f>
        <v>21961</v>
      </c>
      <c r="BH133" s="2767">
        <f t="shared" ca="1" si="240"/>
        <v>4672.5295830982504</v>
      </c>
      <c r="BI133" s="2768">
        <f t="shared" ca="1" si="288"/>
        <v>1.2127648824324142</v>
      </c>
    </row>
    <row r="134" spans="1:61" ht="14.5">
      <c r="A134" s="1693">
        <f t="shared" si="147"/>
        <v>134</v>
      </c>
      <c r="B134" s="616">
        <v>1</v>
      </c>
      <c r="C134" s="1693">
        <f t="shared" si="127"/>
        <v>134</v>
      </c>
      <c r="D134" s="616">
        <v>1</v>
      </c>
      <c r="E134" s="709" t="s">
        <v>512</v>
      </c>
      <c r="F134" s="1572"/>
      <c r="G134" s="4"/>
      <c r="H134" s="4"/>
      <c r="I134" s="4"/>
      <c r="J134" s="27"/>
      <c r="K134" s="36" t="s">
        <v>89</v>
      </c>
      <c r="L134" s="48"/>
      <c r="M134" s="48"/>
      <c r="N134" s="47"/>
      <c r="O134" s="47"/>
      <c r="P134" s="47"/>
      <c r="Q134" s="47"/>
      <c r="R134" s="1790" t="str">
        <f>CHOOSE(2, "6722000003053", "PL (1)-1 SGA Expenses Fixed Expenses")</f>
        <v>PL (1)-1 SGA Expenses Fixed Expenses</v>
      </c>
      <c r="S134" s="1387">
        <v>28806.149689643647</v>
      </c>
      <c r="T134" s="1231">
        <v>32997.020729790107</v>
      </c>
      <c r="U134" s="1231">
        <v>5209.3802375791292</v>
      </c>
      <c r="V134" s="1231">
        <v>18211.860288711792</v>
      </c>
      <c r="W134" s="1231">
        <v>17992.621085534651</v>
      </c>
      <c r="X134" s="1231">
        <v>20043.749925511882</v>
      </c>
      <c r="Y134" s="1231">
        <v>17668.256174481732</v>
      </c>
      <c r="Z134" s="1231">
        <v>32878.697460528449</v>
      </c>
      <c r="AA134" s="1231">
        <v>20875.442940911191</v>
      </c>
      <c r="AB134" s="1231">
        <v>25610.079781337954</v>
      </c>
      <c r="AC134" s="1231">
        <v>24466.09421116655</v>
      </c>
      <c r="AD134" s="1231">
        <v>7543.7366368708317</v>
      </c>
      <c r="AE134" s="1230">
        <f t="shared" si="280"/>
        <v>67012.550657012878</v>
      </c>
      <c r="AF134" s="1230">
        <f t="shared" si="281"/>
        <v>56248.231299758329</v>
      </c>
      <c r="AG134" s="1230">
        <f t="shared" si="282"/>
        <v>71422.396575921375</v>
      </c>
      <c r="AH134" s="1230">
        <f t="shared" si="283"/>
        <v>57619.910629375336</v>
      </c>
      <c r="AI134" s="1230">
        <f>AE134+AF134</f>
        <v>123260.78195677121</v>
      </c>
      <c r="AJ134" s="1230">
        <f>AH134+AG134</f>
        <v>129042.3072052967</v>
      </c>
      <c r="AK134" s="1230">
        <f>AI134+AJ134</f>
        <v>252303.08916206792</v>
      </c>
      <c r="AM134" s="2011">
        <f ca="1">SUM((INDIRECT(AM$2&amp;(ROW())):INDIRECT(AM$3&amp;(ROW()))))</f>
        <v>28806.149689643647</v>
      </c>
      <c r="AN134" s="2012">
        <f ca="1">SUM(INDIRECT(AN$1&amp;AN$2&amp;$C134):INDIRECT(AN$1&amp;AN$3&amp;$C134))</f>
        <v>13570.455653220015</v>
      </c>
      <c r="AO134" s="2774">
        <f t="shared" ca="1" si="230"/>
        <v>15235.694036423632</v>
      </c>
      <c r="AP134" s="2775">
        <f t="shared" ca="1" si="231"/>
        <v>2.1227105725671405</v>
      </c>
      <c r="AQ134" s="2012">
        <f ca="1">SUM(INDIRECT(AQ$1&amp;AQ$2&amp;$A134):INDIRECT(AQ$1&amp;AQ$3&amp;$A134))+SUM(INDIRECT(AQ$1&amp;AQ$2&amp;$B134):INDIRECT(AQ$1&amp;AQ$3&amp;$B134))</f>
        <v>13826.676383935717</v>
      </c>
      <c r="AR134" s="2774">
        <f t="shared" ca="1" si="232"/>
        <v>14979.47330570793</v>
      </c>
      <c r="AS134" s="2775">
        <f t="shared" ca="1" si="284"/>
        <v>2.0833748393150771</v>
      </c>
      <c r="AU134" s="2011">
        <f ca="1">SUM((INDIRECT(AU$2&amp;(ROW())):INDIRECT(AU$3&amp;(ROW()))))</f>
        <v>28806.149689643647</v>
      </c>
      <c r="AV134" s="2012">
        <f ca="1">SUM(INDIRECT(AV$1&amp;AV$2&amp;$C134):INDIRECT(AV$1&amp;AV$3&amp;$C134))</f>
        <v>13570.455653220015</v>
      </c>
      <c r="AW134" s="2774">
        <f t="shared" ca="1" si="234"/>
        <v>15235.694036423632</v>
      </c>
      <c r="AX134" s="2775">
        <f t="shared" ca="1" si="285"/>
        <v>2.1227105725671405</v>
      </c>
      <c r="AY134" s="2012">
        <f ca="1">SUM(INDIRECT(AY$1&amp;AY$2&amp;$A134):INDIRECT(AY$1&amp;AY$3&amp;$A134))+SUM(INDIRECT(AY$1&amp;AY$2&amp;$B134):INDIRECT(AY$1&amp;AY$3&amp;$B134))</f>
        <v>13826.676383935717</v>
      </c>
      <c r="AZ134" s="2774">
        <f t="shared" ca="1" si="236"/>
        <v>14979.47330570793</v>
      </c>
      <c r="BA134" s="2775">
        <f t="shared" ca="1" si="286"/>
        <v>2.0833748393150771</v>
      </c>
      <c r="BC134" s="2011">
        <f ca="1">SUM((INDIRECT(BC$2&amp;(ROW())):INDIRECT(BC$3&amp;(ROW()))))</f>
        <v>28806.149689643647</v>
      </c>
      <c r="BD134" s="2012">
        <f ca="1">SUM(INDIRECT(BD$1&amp;BD$2&amp;$C134):INDIRECT(BD$1&amp;BD$3&amp;$C134))</f>
        <v>13570.455653220015</v>
      </c>
      <c r="BE134" s="2774">
        <f t="shared" ca="1" si="238"/>
        <v>15235.694036423632</v>
      </c>
      <c r="BF134" s="2775">
        <f t="shared" ca="1" si="287"/>
        <v>2.1227105725671405</v>
      </c>
      <c r="BG134" s="2012">
        <f ca="1">SUM(INDIRECT(BG$1&amp;BG$2&amp;$A134):INDIRECT(BG$1&amp;BG$3&amp;$A134))+SUM(INDIRECT(BG$1&amp;BG$2&amp;$B134):INDIRECT(BG$1&amp;BG$3&amp;$B134))</f>
        <v>13826.676383935717</v>
      </c>
      <c r="BH134" s="2774">
        <f t="shared" ca="1" si="240"/>
        <v>14979.47330570793</v>
      </c>
      <c r="BI134" s="2775">
        <f t="shared" ca="1" si="288"/>
        <v>2.0833748393150771</v>
      </c>
    </row>
    <row r="135" spans="1:61" ht="14.5">
      <c r="A135" s="1693">
        <f t="shared" si="147"/>
        <v>135</v>
      </c>
      <c r="B135" s="616">
        <v>1</v>
      </c>
      <c r="C135" s="1693">
        <f t="shared" si="127"/>
        <v>135</v>
      </c>
      <c r="D135" s="616">
        <v>1</v>
      </c>
      <c r="E135" s="709" t="s">
        <v>512</v>
      </c>
      <c r="F135" s="1572"/>
      <c r="G135" s="4"/>
      <c r="H135" s="4"/>
      <c r="I135" s="4"/>
      <c r="J135" s="121" t="s">
        <v>56</v>
      </c>
      <c r="K135" s="120"/>
      <c r="L135" s="119"/>
      <c r="M135" s="119"/>
      <c r="N135" s="120"/>
      <c r="O135" s="120"/>
      <c r="P135" s="120"/>
      <c r="Q135" s="580"/>
      <c r="R135" s="1788" t="str">
        <f>CHOOSE(2, "6722000003054", "PL (1)-1 Business Contribution Profit")</f>
        <v>PL (1)-1 Business Contribution Profit</v>
      </c>
      <c r="S135" s="1258">
        <f t="shared" ref="S135:AD135" si="292">S123-S131</f>
        <v>8187.986627359016</v>
      </c>
      <c r="T135" s="1192">
        <f t="shared" si="292"/>
        <v>8443.8746247244562</v>
      </c>
      <c r="U135" s="1192">
        <f t="shared" si="292"/>
        <v>22921.441348717679</v>
      </c>
      <c r="V135" s="1192">
        <f t="shared" si="292"/>
        <v>12905.055007357383</v>
      </c>
      <c r="W135" s="1192">
        <f t="shared" si="292"/>
        <v>18539.066400137715</v>
      </c>
      <c r="X135" s="1192">
        <f t="shared" si="292"/>
        <v>21498.793115602981</v>
      </c>
      <c r="Y135" s="1192">
        <f t="shared" si="292"/>
        <v>6444.4857028881524</v>
      </c>
      <c r="Z135" s="1192">
        <f t="shared" si="292"/>
        <v>14731.739792043561</v>
      </c>
      <c r="AA135" s="1192">
        <f t="shared" si="292"/>
        <v>18221.652828908074</v>
      </c>
      <c r="AB135" s="1192">
        <f t="shared" si="292"/>
        <v>26821.374537892887</v>
      </c>
      <c r="AC135" s="1192">
        <f t="shared" si="292"/>
        <v>16771.280529893644</v>
      </c>
      <c r="AD135" s="1192">
        <f t="shared" si="292"/>
        <v>10413.65964600243</v>
      </c>
      <c r="AE135" s="882">
        <f t="shared" ref="AE135:AK135" si="293">AE123-AE131</f>
        <v>39553.302600801107</v>
      </c>
      <c r="AF135" s="118">
        <f t="shared" si="293"/>
        <v>52942.914523098065</v>
      </c>
      <c r="AG135" s="118">
        <f t="shared" si="293"/>
        <v>39397.878323839803</v>
      </c>
      <c r="AH135" s="118">
        <f t="shared" si="293"/>
        <v>54006.314713788975</v>
      </c>
      <c r="AI135" s="118">
        <f t="shared" si="293"/>
        <v>92496.217123899201</v>
      </c>
      <c r="AJ135" s="118">
        <f t="shared" si="293"/>
        <v>93404.193037628836</v>
      </c>
      <c r="AK135" s="118">
        <f t="shared" si="293"/>
        <v>185900.41016152804</v>
      </c>
      <c r="AL135" s="221"/>
      <c r="AM135" s="2778">
        <f ca="1">SUM((INDIRECT(AM$2&amp;(ROW())):INDIRECT(AM$3&amp;(ROW()))))</f>
        <v>8187.986627359016</v>
      </c>
      <c r="AN135" s="2779">
        <f ca="1">SUM(INDIRECT(AN$1&amp;AN$2&amp;$C135):INDIRECT(AN$1&amp;AN$3&amp;$C135))</f>
        <v>7451.1111789115821</v>
      </c>
      <c r="AO135" s="2780">
        <f t="shared" ca="1" si="230"/>
        <v>736.87544844743388</v>
      </c>
      <c r="AP135" s="2781">
        <f t="shared" ca="1" si="231"/>
        <v>1.0988947058705776</v>
      </c>
      <c r="AQ135" s="2779">
        <f ca="1">SUM(INDIRECT(AQ$1&amp;AQ$2&amp;$A135):INDIRECT(AQ$1&amp;AQ$3&amp;$A135))+SUM(INDIRECT(AQ$1&amp;AQ$2&amp;$B135):INDIRECT(AQ$1&amp;AQ$3&amp;$B135))</f>
        <v>7891.3451232382722</v>
      </c>
      <c r="AR135" s="2780">
        <f t="shared" ca="1" si="232"/>
        <v>296.64150412074378</v>
      </c>
      <c r="AS135" s="2781">
        <f t="shared" ca="1" si="284"/>
        <v>1.0375907401701643</v>
      </c>
      <c r="AU135" s="2778">
        <f ca="1">SUM((INDIRECT(AU$2&amp;(ROW())):INDIRECT(AU$3&amp;(ROW()))))</f>
        <v>8187.986627359016</v>
      </c>
      <c r="AV135" s="2779">
        <f ca="1">SUM(INDIRECT(AV$1&amp;AV$2&amp;$C135):INDIRECT(AV$1&amp;AV$3&amp;$C135))</f>
        <v>7451.1111789115821</v>
      </c>
      <c r="AW135" s="2780">
        <f t="shared" ca="1" si="234"/>
        <v>736.87544844743388</v>
      </c>
      <c r="AX135" s="2781">
        <f t="shared" ca="1" si="285"/>
        <v>1.0988947058705776</v>
      </c>
      <c r="AY135" s="2779">
        <f ca="1">SUM(INDIRECT(AY$1&amp;AY$2&amp;$A135):INDIRECT(AY$1&amp;AY$3&amp;$A135))+SUM(INDIRECT(AY$1&amp;AY$2&amp;$B135):INDIRECT(AY$1&amp;AY$3&amp;$B135))</f>
        <v>7891.3451232382722</v>
      </c>
      <c r="AZ135" s="2780">
        <f t="shared" ca="1" si="236"/>
        <v>296.64150412074378</v>
      </c>
      <c r="BA135" s="2781">
        <f t="shared" ca="1" si="286"/>
        <v>1.0375907401701643</v>
      </c>
      <c r="BC135" s="2778">
        <f ca="1">SUM((INDIRECT(BC$2&amp;(ROW())):INDIRECT(BC$3&amp;(ROW()))))</f>
        <v>8187.986627359016</v>
      </c>
      <c r="BD135" s="2779">
        <f ca="1">SUM(INDIRECT(BD$1&amp;BD$2&amp;$C135):INDIRECT(BD$1&amp;BD$3&amp;$C135))</f>
        <v>7451.1111789115821</v>
      </c>
      <c r="BE135" s="2780">
        <f t="shared" ca="1" si="238"/>
        <v>736.87544844743388</v>
      </c>
      <c r="BF135" s="2781">
        <f t="shared" ca="1" si="287"/>
        <v>1.0988947058705776</v>
      </c>
      <c r="BG135" s="2779">
        <f ca="1">SUM(INDIRECT(BG$1&amp;BG$2&amp;$A135):INDIRECT(BG$1&amp;BG$3&amp;$A135))+SUM(INDIRECT(BG$1&amp;BG$2&amp;$B135):INDIRECT(BG$1&amp;BG$3&amp;$B135))</f>
        <v>7891.3451232382722</v>
      </c>
      <c r="BH135" s="2780">
        <f t="shared" ca="1" si="240"/>
        <v>296.64150412074378</v>
      </c>
      <c r="BI135" s="2781">
        <f t="shared" ca="1" si="288"/>
        <v>1.0375907401701643</v>
      </c>
    </row>
    <row r="136" spans="1:61" ht="14.5">
      <c r="A136" s="1693">
        <f t="shared" si="147"/>
        <v>136</v>
      </c>
      <c r="B136" s="616">
        <v>1</v>
      </c>
      <c r="C136" s="1693">
        <f t="shared" si="127"/>
        <v>136</v>
      </c>
      <c r="D136" s="616">
        <v>1</v>
      </c>
      <c r="E136" s="709" t="s">
        <v>512</v>
      </c>
      <c r="F136" s="1572"/>
      <c r="G136" s="4"/>
      <c r="H136" s="4"/>
      <c r="I136" s="4"/>
      <c r="J136" s="25"/>
      <c r="K136" s="511" t="s">
        <v>55</v>
      </c>
      <c r="L136" s="2"/>
      <c r="M136" s="2"/>
      <c r="N136" s="1"/>
      <c r="O136" s="1"/>
      <c r="P136" s="1"/>
      <c r="Q136" s="1"/>
      <c r="R136" s="1776" t="str">
        <f>CHOOSE(2, "6722000003055", "PL (1)-1 Business Contribution Profit (%)")</f>
        <v>PL (1)-1 Business Contribution Profit (%)</v>
      </c>
      <c r="S136" s="1313">
        <f t="shared" ref="S136:AD136" si="294">IFERROR(S135/S102,0)</f>
        <v>2.9329856206666987E-2</v>
      </c>
      <c r="T136" s="1313">
        <f t="shared" si="294"/>
        <v>2.7907389752751078E-2</v>
      </c>
      <c r="U136" s="1313">
        <f t="shared" si="294"/>
        <v>7.2866996260235115E-2</v>
      </c>
      <c r="V136" s="1313">
        <f t="shared" si="294"/>
        <v>4.8241991047350934E-2</v>
      </c>
      <c r="W136" s="1313">
        <f t="shared" si="294"/>
        <v>6.1615405031440668E-2</v>
      </c>
      <c r="X136" s="1313">
        <f t="shared" si="294"/>
        <v>6.3804370449402056E-2</v>
      </c>
      <c r="Y136" s="1313">
        <f t="shared" si="294"/>
        <v>2.5808769624646458E-2</v>
      </c>
      <c r="Z136" s="1313">
        <f t="shared" si="294"/>
        <v>5.2680436850037052E-2</v>
      </c>
      <c r="AA136" s="1313">
        <f t="shared" si="294"/>
        <v>5.7091696049427203E-2</v>
      </c>
      <c r="AB136" s="1313">
        <f t="shared" si="294"/>
        <v>8.8640131189464871E-2</v>
      </c>
      <c r="AC136" s="1313">
        <f t="shared" si="294"/>
        <v>5.6074132237296966E-2</v>
      </c>
      <c r="AD136" s="1313">
        <f t="shared" si="294"/>
        <v>3.1728906016979003E-2</v>
      </c>
      <c r="AE136" s="1288">
        <f t="shared" ref="AE136:AK136" si="295">IFERROR(AE135/AE102,0)</f>
        <v>4.4129428485151341E-2</v>
      </c>
      <c r="AF136" s="1313">
        <f t="shared" si="295"/>
        <v>5.8478558958028448E-2</v>
      </c>
      <c r="AG136" s="1313">
        <f t="shared" si="295"/>
        <v>4.6431862877720102E-2</v>
      </c>
      <c r="AH136" s="1313">
        <f t="shared" si="295"/>
        <v>5.8078437089304859E-2</v>
      </c>
      <c r="AI136" s="1313">
        <f t="shared" si="295"/>
        <v>5.1339980150837551E-2</v>
      </c>
      <c r="AJ136" s="1313">
        <f t="shared" si="295"/>
        <v>5.2521613478515534E-2</v>
      </c>
      <c r="AK136" s="1313">
        <f t="shared" si="295"/>
        <v>5.1926960550793259E-2</v>
      </c>
      <c r="AL136" s="504"/>
      <c r="AM136" s="2549">
        <f ca="1">IFERROR(AM135/AM102,0)</f>
        <v>2.9329856206666987E-2</v>
      </c>
      <c r="AN136" s="2549">
        <f ca="1">IFERROR(AN135/AN102,0)</f>
        <v>2.9875014531981797E-2</v>
      </c>
      <c r="AO136" s="2549">
        <f t="shared" ca="1" si="230"/>
        <v>-5.4515832531481026E-4</v>
      </c>
      <c r="AP136" s="2690"/>
      <c r="AQ136" s="2549">
        <f ca="1">IFERROR(AQ135/AQ102,0)</f>
        <v>4.8439014217639305E-2</v>
      </c>
      <c r="AR136" s="2549">
        <f t="shared" ca="1" si="232"/>
        <v>-1.9109158010972318E-2</v>
      </c>
      <c r="AS136" s="2690"/>
      <c r="AT136" s="504"/>
      <c r="AU136" s="2549">
        <f ca="1">IFERROR(AU135/AU102,0)</f>
        <v>2.9329856206666987E-2</v>
      </c>
      <c r="AV136" s="2549">
        <f ca="1">IFERROR(AV135/AV102,0)</f>
        <v>2.9875014531981797E-2</v>
      </c>
      <c r="AW136" s="2549">
        <f t="shared" ca="1" si="234"/>
        <v>-5.4515832531481026E-4</v>
      </c>
      <c r="AX136" s="2690"/>
      <c r="AY136" s="2549">
        <f ca="1">IFERROR(AY135/AY102,0)</f>
        <v>4.8439014217639305E-2</v>
      </c>
      <c r="AZ136" s="2549">
        <f t="shared" ca="1" si="236"/>
        <v>-1.9109158010972318E-2</v>
      </c>
      <c r="BA136" s="2690"/>
      <c r="BB136" s="504"/>
      <c r="BC136" s="2549">
        <f ca="1">IFERROR(BC135/BC102,0)</f>
        <v>2.9329856206666987E-2</v>
      </c>
      <c r="BD136" s="2549">
        <f ca="1">IFERROR(BD135/BD102,0)</f>
        <v>2.9875014531981797E-2</v>
      </c>
      <c r="BE136" s="2549">
        <f t="shared" ca="1" si="238"/>
        <v>-5.4515832531481026E-4</v>
      </c>
      <c r="BF136" s="2690"/>
      <c r="BG136" s="2549">
        <f ca="1">IFERROR(BG135/BG102,0)</f>
        <v>4.8439014217639305E-2</v>
      </c>
      <c r="BH136" s="2549">
        <f t="shared" ca="1" si="240"/>
        <v>-1.9109158010972318E-2</v>
      </c>
      <c r="BI136" s="2690"/>
    </row>
    <row r="137" spans="1:61" ht="14.5">
      <c r="A137" s="1693">
        <f t="shared" si="147"/>
        <v>137</v>
      </c>
      <c r="B137" s="616">
        <v>1</v>
      </c>
      <c r="C137" s="1693">
        <f t="shared" si="127"/>
        <v>137</v>
      </c>
      <c r="D137" s="616">
        <v>1</v>
      </c>
      <c r="E137" s="709" t="s">
        <v>512</v>
      </c>
      <c r="F137" s="1572"/>
      <c r="G137" s="4"/>
      <c r="H137" s="4"/>
      <c r="I137" s="4"/>
      <c r="J137" s="53" t="s">
        <v>91</v>
      </c>
      <c r="K137" s="51"/>
      <c r="L137" s="52"/>
      <c r="M137" s="52"/>
      <c r="N137" s="51"/>
      <c r="O137" s="51"/>
      <c r="P137" s="51"/>
      <c r="Q137" s="447"/>
      <c r="R137" s="1790" t="str">
        <f>CHOOSE(2, "6722000003056", "PL (1)-1 Other Income")</f>
        <v>PL (1)-1 Other Income</v>
      </c>
      <c r="S137" s="1388">
        <v>467</v>
      </c>
      <c r="T137" s="1197">
        <v>1138</v>
      </c>
      <c r="U137" s="1197">
        <v>466</v>
      </c>
      <c r="V137" s="1197">
        <v>697</v>
      </c>
      <c r="W137" s="1197">
        <v>462</v>
      </c>
      <c r="X137" s="1197">
        <v>443</v>
      </c>
      <c r="Y137" s="1197">
        <v>806.35002616590748</v>
      </c>
      <c r="Z137" s="1197">
        <v>871.87523087570708</v>
      </c>
      <c r="AA137" s="1197">
        <v>695.76934379990439</v>
      </c>
      <c r="AB137" s="1197">
        <v>583.12180572208649</v>
      </c>
      <c r="AC137" s="1197">
        <v>667.419198605215</v>
      </c>
      <c r="AD137" s="1197">
        <v>1986.64930988428</v>
      </c>
      <c r="AE137" s="883">
        <f>SUM(S137:W137)</f>
        <v>3230</v>
      </c>
      <c r="AF137" s="107">
        <f>SUM(V137:X137)</f>
        <v>1602</v>
      </c>
      <c r="AG137" s="107">
        <f>SUM(Y137:AA137)</f>
        <v>2373.9946008415191</v>
      </c>
      <c r="AH137" s="107">
        <f>SUM(AB137:AD137)</f>
        <v>3237.1903142115816</v>
      </c>
      <c r="AI137" s="107">
        <f>AE137+AF137</f>
        <v>4832</v>
      </c>
      <c r="AJ137" s="107">
        <f>AH137+AG137</f>
        <v>5611.1849150531007</v>
      </c>
      <c r="AK137" s="107">
        <f>AI137+AJ137</f>
        <v>10443.184915053102</v>
      </c>
      <c r="AM137" s="2471">
        <f ca="1">SUM((INDIRECT(AM$2&amp;(ROW())):INDIRECT(AM$3&amp;(ROW()))))</f>
        <v>467</v>
      </c>
      <c r="AN137" s="1978">
        <f ca="1">SUM(INDIRECT(AN$1&amp;AN$2&amp;$C137):INDIRECT(AN$1&amp;AN$3&amp;$C137))</f>
        <v>0</v>
      </c>
      <c r="AO137" s="2782">
        <f t="shared" ca="1" si="230"/>
        <v>467</v>
      </c>
      <c r="AP137" s="2783">
        <f t="shared" ca="1" si="231"/>
        <v>0</v>
      </c>
      <c r="AQ137" s="1978">
        <f ca="1">SUM(INDIRECT(AQ$1&amp;AQ$2&amp;$A137):INDIRECT(AQ$1&amp;AQ$3&amp;$A137))+SUM(INDIRECT(AQ$1&amp;AQ$2&amp;$B137):INDIRECT(AQ$1&amp;AQ$3&amp;$B137))</f>
        <v>3064</v>
      </c>
      <c r="AR137" s="2782">
        <f t="shared" ca="1" si="232"/>
        <v>-2597</v>
      </c>
      <c r="AS137" s="2783">
        <f t="shared" ref="AS137:AS139" ca="1" si="296">IFERROR(AM137/AQ137,0)</f>
        <v>0.15241514360313316</v>
      </c>
      <c r="AU137" s="2471">
        <f ca="1">SUM((INDIRECT(AU$2&amp;(ROW())):INDIRECT(AU$3&amp;(ROW()))))</f>
        <v>467</v>
      </c>
      <c r="AV137" s="1978">
        <f ca="1">SUM(INDIRECT(AV$1&amp;AV$2&amp;$C137):INDIRECT(AV$1&amp;AV$3&amp;$C137))</f>
        <v>0</v>
      </c>
      <c r="AW137" s="2782">
        <f t="shared" ca="1" si="234"/>
        <v>467</v>
      </c>
      <c r="AX137" s="2783">
        <f t="shared" ref="AX137:AX139" ca="1" si="297">IFERROR(AU137/AV137,0)</f>
        <v>0</v>
      </c>
      <c r="AY137" s="1978">
        <f ca="1">SUM(INDIRECT(AY$1&amp;AY$2&amp;$A137):INDIRECT(AY$1&amp;AY$3&amp;$A137))+SUM(INDIRECT(AY$1&amp;AY$2&amp;$B137):INDIRECT(AY$1&amp;AY$3&amp;$B137))</f>
        <v>3064</v>
      </c>
      <c r="AZ137" s="2782">
        <f t="shared" ca="1" si="236"/>
        <v>-2597</v>
      </c>
      <c r="BA137" s="2783">
        <f t="shared" ref="BA137:BA139" ca="1" si="298">IFERROR(AU137/AY137,0)</f>
        <v>0.15241514360313316</v>
      </c>
      <c r="BC137" s="2471">
        <f ca="1">SUM((INDIRECT(BC$2&amp;(ROW())):INDIRECT(BC$3&amp;(ROW()))))</f>
        <v>467</v>
      </c>
      <c r="BD137" s="1978">
        <f ca="1">SUM(INDIRECT(BD$1&amp;BD$2&amp;$C137):INDIRECT(BD$1&amp;BD$3&amp;$C137))</f>
        <v>0</v>
      </c>
      <c r="BE137" s="2782">
        <f t="shared" ca="1" si="238"/>
        <v>467</v>
      </c>
      <c r="BF137" s="2783">
        <f t="shared" ref="BF137:BF139" ca="1" si="299">IFERROR(BC137/BD137,0)</f>
        <v>0</v>
      </c>
      <c r="BG137" s="1978">
        <f ca="1">SUM(INDIRECT(BG$1&amp;BG$2&amp;$A137):INDIRECT(BG$1&amp;BG$3&amp;$A137))+SUM(INDIRECT(BG$1&amp;BG$2&amp;$B137):INDIRECT(BG$1&amp;BG$3&amp;$B137))</f>
        <v>3064</v>
      </c>
      <c r="BH137" s="2782">
        <f t="shared" ca="1" si="240"/>
        <v>-2597</v>
      </c>
      <c r="BI137" s="2783">
        <f t="shared" ref="BI137:BI139" ca="1" si="300">IFERROR(BC137/BG137,0)</f>
        <v>0.15241514360313316</v>
      </c>
    </row>
    <row r="138" spans="1:61" ht="14.5">
      <c r="A138" s="1693">
        <f t="shared" si="147"/>
        <v>138</v>
      </c>
      <c r="B138" s="616">
        <v>1</v>
      </c>
      <c r="C138" s="1693">
        <f t="shared" si="127"/>
        <v>138</v>
      </c>
      <c r="D138" s="616">
        <v>1</v>
      </c>
      <c r="E138" s="709" t="s">
        <v>512</v>
      </c>
      <c r="F138" s="1572"/>
      <c r="G138" s="4"/>
      <c r="H138" s="4"/>
      <c r="I138" s="4"/>
      <c r="J138" s="106" t="s">
        <v>73</v>
      </c>
      <c r="K138" s="104"/>
      <c r="L138" s="105"/>
      <c r="M138" s="105"/>
      <c r="N138" s="104"/>
      <c r="O138" s="104"/>
      <c r="P138" s="104"/>
      <c r="Q138" s="104"/>
      <c r="R138" s="1790" t="str">
        <f>CHOOSE(2, "6722000003057", "PL (1)-1 Other Expenses")</f>
        <v>PL (1)-1 Other Expenses</v>
      </c>
      <c r="S138" s="1213"/>
      <c r="T138" s="1216"/>
      <c r="U138" s="1216"/>
      <c r="V138" s="1216"/>
      <c r="W138" s="1216"/>
      <c r="X138" s="1216"/>
      <c r="Y138" s="1216"/>
      <c r="Z138" s="1216"/>
      <c r="AA138" s="1216"/>
      <c r="AB138" s="1216"/>
      <c r="AC138" s="1216"/>
      <c r="AD138" s="1216"/>
      <c r="AE138" s="80">
        <f>SUM(S138:U138)</f>
        <v>0</v>
      </c>
      <c r="AF138" s="80">
        <f>SUM(V138:X138)</f>
        <v>0</v>
      </c>
      <c r="AG138" s="80">
        <f>SUM(Y138:AA138)</f>
        <v>0</v>
      </c>
      <c r="AH138" s="80">
        <f>SUM(AB138:AD138)</f>
        <v>0</v>
      </c>
      <c r="AI138" s="80">
        <f>AE138+AF138</f>
        <v>0</v>
      </c>
      <c r="AJ138" s="80">
        <f>AH138+AG138</f>
        <v>0</v>
      </c>
      <c r="AK138" s="80">
        <f>AI138+AJ138</f>
        <v>0</v>
      </c>
      <c r="AM138" s="2494">
        <f ca="1">SUM((INDIRECT(AM$2&amp;(ROW())):INDIRECT(AM$3&amp;(ROW()))))</f>
        <v>0</v>
      </c>
      <c r="AN138" s="1980">
        <f ca="1">SUM(INDIRECT(AN$1&amp;AN$2&amp;$C138):INDIRECT(AN$1&amp;AN$3&amp;$C138))</f>
        <v>0</v>
      </c>
      <c r="AO138" s="2759">
        <f t="shared" ca="1" si="230"/>
        <v>0</v>
      </c>
      <c r="AP138" s="2760">
        <f t="shared" ca="1" si="231"/>
        <v>0</v>
      </c>
      <c r="AQ138" s="1980">
        <f ca="1">SUM(INDIRECT(AQ$1&amp;AQ$2&amp;$A138):INDIRECT(AQ$1&amp;AQ$3&amp;$A138))+SUM(INDIRECT(AQ$1&amp;AQ$2&amp;$B138):INDIRECT(AQ$1&amp;AQ$3&amp;$B138))</f>
        <v>0</v>
      </c>
      <c r="AR138" s="2759">
        <f t="shared" ca="1" si="232"/>
        <v>0</v>
      </c>
      <c r="AS138" s="2760">
        <f t="shared" ca="1" si="296"/>
        <v>0</v>
      </c>
      <c r="AU138" s="2494">
        <f ca="1">SUM((INDIRECT(AU$2&amp;(ROW())):INDIRECT(AU$3&amp;(ROW()))))</f>
        <v>0</v>
      </c>
      <c r="AV138" s="1980">
        <f ca="1">SUM(INDIRECT(AV$1&amp;AV$2&amp;$C138):INDIRECT(AV$1&amp;AV$3&amp;$C138))</f>
        <v>0</v>
      </c>
      <c r="AW138" s="2759">
        <f t="shared" ca="1" si="234"/>
        <v>0</v>
      </c>
      <c r="AX138" s="2760">
        <f t="shared" ca="1" si="297"/>
        <v>0</v>
      </c>
      <c r="AY138" s="1980">
        <f ca="1">SUM(INDIRECT(AY$1&amp;AY$2&amp;$A138):INDIRECT(AY$1&amp;AY$3&amp;$A138))+SUM(INDIRECT(AY$1&amp;AY$2&amp;$B138):INDIRECT(AY$1&amp;AY$3&amp;$B138))</f>
        <v>0</v>
      </c>
      <c r="AZ138" s="2759">
        <f t="shared" ca="1" si="236"/>
        <v>0</v>
      </c>
      <c r="BA138" s="2760">
        <f t="shared" ca="1" si="298"/>
        <v>0</v>
      </c>
      <c r="BC138" s="2494">
        <f ca="1">SUM((INDIRECT(BC$2&amp;(ROW())):INDIRECT(BC$3&amp;(ROW()))))</f>
        <v>0</v>
      </c>
      <c r="BD138" s="1980">
        <f ca="1">SUM(INDIRECT(BD$1&amp;BD$2&amp;$C138):INDIRECT(BD$1&amp;BD$3&amp;$C138))</f>
        <v>0</v>
      </c>
      <c r="BE138" s="2759">
        <f t="shared" ca="1" si="238"/>
        <v>0</v>
      </c>
      <c r="BF138" s="2760">
        <f t="shared" ca="1" si="299"/>
        <v>0</v>
      </c>
      <c r="BG138" s="1980">
        <f ca="1">SUM(INDIRECT(BG$1&amp;BG$2&amp;$A138):INDIRECT(BG$1&amp;BG$3&amp;$A138))+SUM(INDIRECT(BG$1&amp;BG$2&amp;$B138):INDIRECT(BG$1&amp;BG$3&amp;$B138))</f>
        <v>0</v>
      </c>
      <c r="BH138" s="2759">
        <f t="shared" ca="1" si="240"/>
        <v>0</v>
      </c>
      <c r="BI138" s="2760">
        <f t="shared" ca="1" si="300"/>
        <v>0</v>
      </c>
    </row>
    <row r="139" spans="1:61" ht="14.5">
      <c r="A139" s="1693">
        <f t="shared" si="147"/>
        <v>139</v>
      </c>
      <c r="B139" s="616">
        <v>1</v>
      </c>
      <c r="C139" s="1693">
        <f t="shared" si="127"/>
        <v>139</v>
      </c>
      <c r="D139" s="616">
        <v>1</v>
      </c>
      <c r="E139" s="709" t="s">
        <v>512</v>
      </c>
      <c r="F139" s="1572"/>
      <c r="G139" s="4"/>
      <c r="H139" s="4"/>
      <c r="I139" s="4"/>
      <c r="J139" s="121" t="s">
        <v>92</v>
      </c>
      <c r="K139" s="120"/>
      <c r="L139" s="119"/>
      <c r="M139" s="119"/>
      <c r="N139" s="119"/>
      <c r="O139" s="119"/>
      <c r="P139" s="119"/>
      <c r="Q139" s="863"/>
      <c r="R139" s="1788" t="str">
        <f>CHOOSE(2, "6722000003058", "PL (1)-1 Operating Profit")</f>
        <v>PL (1)-1 Operating Profit</v>
      </c>
      <c r="S139" s="1258">
        <f>S135+S137-S138</f>
        <v>8654.986627359016</v>
      </c>
      <c r="T139" s="1192">
        <f t="shared" ref="T139:AD139" si="301">T135+T137-T138</f>
        <v>9581.8746247244562</v>
      </c>
      <c r="U139" s="1192">
        <f t="shared" si="301"/>
        <v>23387.441348717679</v>
      </c>
      <c r="V139" s="1192">
        <f t="shared" si="301"/>
        <v>13602.055007357383</v>
      </c>
      <c r="W139" s="1192">
        <f t="shared" si="301"/>
        <v>19001.066400137715</v>
      </c>
      <c r="X139" s="1192">
        <f t="shared" si="301"/>
        <v>21941.793115602981</v>
      </c>
      <c r="Y139" s="1192">
        <f t="shared" si="301"/>
        <v>7250.8357290540598</v>
      </c>
      <c r="Z139" s="1192">
        <f t="shared" si="301"/>
        <v>15603.615022919268</v>
      </c>
      <c r="AA139" s="1192">
        <f t="shared" si="301"/>
        <v>18917.422172707978</v>
      </c>
      <c r="AB139" s="1192">
        <f t="shared" si="301"/>
        <v>27404.496343614974</v>
      </c>
      <c r="AC139" s="1192">
        <f t="shared" si="301"/>
        <v>17438.699728498857</v>
      </c>
      <c r="AD139" s="1192">
        <f t="shared" si="301"/>
        <v>12400.30895588671</v>
      </c>
      <c r="AE139" s="882">
        <f t="shared" ref="AE139:AK139" si="302">AE135+AE137-AE138</f>
        <v>42783.302600801107</v>
      </c>
      <c r="AF139" s="118">
        <f t="shared" si="302"/>
        <v>54544.914523098065</v>
      </c>
      <c r="AG139" s="118">
        <f t="shared" si="302"/>
        <v>41771.872924681324</v>
      </c>
      <c r="AH139" s="118">
        <f t="shared" si="302"/>
        <v>57243.50502800056</v>
      </c>
      <c r="AI139" s="118">
        <f t="shared" si="302"/>
        <v>97328.217123899201</v>
      </c>
      <c r="AJ139" s="118">
        <f t="shared" si="302"/>
        <v>99015.377952681942</v>
      </c>
      <c r="AK139" s="118">
        <f t="shared" si="302"/>
        <v>196343.59507658114</v>
      </c>
      <c r="AM139" s="1999">
        <f ca="1">SUM((INDIRECT(AM$2&amp;(ROW())):INDIRECT(AM$3&amp;(ROW()))))</f>
        <v>8654.986627359016</v>
      </c>
      <c r="AN139" s="2000">
        <f ca="1">SUM(INDIRECT(AN$1&amp;AN$2&amp;$C139):INDIRECT(AN$1&amp;AN$3&amp;$C139))</f>
        <v>7451.1111789115821</v>
      </c>
      <c r="AO139" s="2765">
        <f t="shared" ca="1" si="230"/>
        <v>1203.8754484474339</v>
      </c>
      <c r="AP139" s="2766">
        <f t="shared" ca="1" si="231"/>
        <v>1.161569921524549</v>
      </c>
      <c r="AQ139" s="2000">
        <f ca="1">SUM(INDIRECT(AQ$1&amp;AQ$2&amp;$A139):INDIRECT(AQ$1&amp;AQ$3&amp;$A139))+SUM(INDIRECT(AQ$1&amp;AQ$2&amp;$B139):INDIRECT(AQ$1&amp;AQ$3&amp;$B139))</f>
        <v>10955.345123238272</v>
      </c>
      <c r="AR139" s="2765">
        <f t="shared" ca="1" si="232"/>
        <v>-2300.3584958792562</v>
      </c>
      <c r="AS139" s="2766">
        <f t="shared" ca="1" si="296"/>
        <v>0.79002409600042822</v>
      </c>
      <c r="AU139" s="1999">
        <f ca="1">SUM((INDIRECT(AU$2&amp;(ROW())):INDIRECT(AU$3&amp;(ROW()))))</f>
        <v>8654.986627359016</v>
      </c>
      <c r="AV139" s="2000">
        <f ca="1">SUM(INDIRECT(AV$1&amp;AV$2&amp;$C139):INDIRECT(AV$1&amp;AV$3&amp;$C139))</f>
        <v>7451.1111789115821</v>
      </c>
      <c r="AW139" s="2765">
        <f t="shared" ca="1" si="234"/>
        <v>1203.8754484474339</v>
      </c>
      <c r="AX139" s="2766">
        <f t="shared" ca="1" si="297"/>
        <v>1.161569921524549</v>
      </c>
      <c r="AY139" s="2000">
        <f ca="1">SUM(INDIRECT(AY$1&amp;AY$2&amp;$A139):INDIRECT(AY$1&amp;AY$3&amp;$A139))+SUM(INDIRECT(AY$1&amp;AY$2&amp;$B139):INDIRECT(AY$1&amp;AY$3&amp;$B139))</f>
        <v>10955.345123238272</v>
      </c>
      <c r="AZ139" s="2765">
        <f t="shared" ca="1" si="236"/>
        <v>-2300.3584958792562</v>
      </c>
      <c r="BA139" s="2766">
        <f t="shared" ca="1" si="298"/>
        <v>0.79002409600042822</v>
      </c>
      <c r="BC139" s="1999">
        <f ca="1">SUM((INDIRECT(BC$2&amp;(ROW())):INDIRECT(BC$3&amp;(ROW()))))</f>
        <v>8654.986627359016</v>
      </c>
      <c r="BD139" s="2000">
        <f ca="1">SUM(INDIRECT(BD$1&amp;BD$2&amp;$C139):INDIRECT(BD$1&amp;BD$3&amp;$C139))</f>
        <v>7451.1111789115821</v>
      </c>
      <c r="BE139" s="2765">
        <f t="shared" ca="1" si="238"/>
        <v>1203.8754484474339</v>
      </c>
      <c r="BF139" s="2766">
        <f t="shared" ca="1" si="299"/>
        <v>1.161569921524549</v>
      </c>
      <c r="BG139" s="2000">
        <f ca="1">SUM(INDIRECT(BG$1&amp;BG$2&amp;$A139):INDIRECT(BG$1&amp;BG$3&amp;$A139))+SUM(INDIRECT(BG$1&amp;BG$2&amp;$B139):INDIRECT(BG$1&amp;BG$3&amp;$B139))</f>
        <v>10955.345123238272</v>
      </c>
      <c r="BH139" s="2765">
        <f t="shared" ca="1" si="240"/>
        <v>-2300.3584958792562</v>
      </c>
      <c r="BI139" s="2766">
        <f t="shared" ca="1" si="300"/>
        <v>0.79002409600042822</v>
      </c>
    </row>
    <row r="140" spans="1:61" ht="14.5">
      <c r="A140" s="1693">
        <f t="shared" si="147"/>
        <v>140</v>
      </c>
      <c r="B140" s="616">
        <v>1</v>
      </c>
      <c r="C140" s="1693">
        <f t="shared" si="127"/>
        <v>140</v>
      </c>
      <c r="D140" s="616">
        <v>1</v>
      </c>
      <c r="E140" s="709" t="s">
        <v>512</v>
      </c>
      <c r="F140" s="1572"/>
      <c r="G140" s="4"/>
      <c r="H140" s="4"/>
      <c r="I140" s="4"/>
      <c r="J140" s="25"/>
      <c r="K140" s="511" t="s">
        <v>55</v>
      </c>
      <c r="L140" s="2"/>
      <c r="M140" s="2"/>
      <c r="N140" s="1"/>
      <c r="O140" s="1"/>
      <c r="P140" s="1"/>
      <c r="Q140" s="1"/>
      <c r="R140" s="1776" t="str">
        <f>CHOOSE(2, "6722000003059", "PL (1)-1 Operating Profit (%)")</f>
        <v>PL (1)-1 Operating Profit (%)</v>
      </c>
      <c r="S140" s="1313">
        <f t="shared" ref="S140:AD140" si="303">IFERROR(S139/S102,0)</f>
        <v>3.1002678045768034E-2</v>
      </c>
      <c r="T140" s="1313">
        <f t="shared" si="303"/>
        <v>3.1668531521203983E-2</v>
      </c>
      <c r="U140" s="1313">
        <f t="shared" si="303"/>
        <v>7.4348404856696221E-2</v>
      </c>
      <c r="V140" s="1313">
        <f t="shared" si="303"/>
        <v>5.0847533429063646E-2</v>
      </c>
      <c r="W140" s="1313">
        <f t="shared" si="303"/>
        <v>6.3150882412562406E-2</v>
      </c>
      <c r="X140" s="1313">
        <f t="shared" si="303"/>
        <v>6.5119111047029887E-2</v>
      </c>
      <c r="Y140" s="1313">
        <f t="shared" si="303"/>
        <v>2.9038026856579951E-2</v>
      </c>
      <c r="Z140" s="1313">
        <f t="shared" si="303"/>
        <v>5.5798247012966061E-2</v>
      </c>
      <c r="AA140" s="1313">
        <f t="shared" si="303"/>
        <v>5.9271665795844211E-2</v>
      </c>
      <c r="AB140" s="1313">
        <f t="shared" si="303"/>
        <v>9.0567250669699534E-2</v>
      </c>
      <c r="AC140" s="1313">
        <f t="shared" si="303"/>
        <v>5.8305622691087425E-2</v>
      </c>
      <c r="AD140" s="1313">
        <f t="shared" si="303"/>
        <v>3.7781937456912024E-2</v>
      </c>
      <c r="AE140" s="1288">
        <f t="shared" ref="AE140:AK140" si="304">IFERROR(AE139/AE102,0)</f>
        <v>4.7733123869216486E-2</v>
      </c>
      <c r="AF140" s="1313">
        <f t="shared" si="304"/>
        <v>6.02480620595226E-2</v>
      </c>
      <c r="AG140" s="1313">
        <f t="shared" si="304"/>
        <v>4.9229703687132961E-2</v>
      </c>
      <c r="AH140" s="1313">
        <f t="shared" si="304"/>
        <v>6.1559714325243368E-2</v>
      </c>
      <c r="AI140" s="1313">
        <f t="shared" si="304"/>
        <v>5.4021979391482705E-2</v>
      </c>
      <c r="AJ140" s="1313">
        <f t="shared" si="304"/>
        <v>5.5676808932601518E-2</v>
      </c>
      <c r="AK140" s="1313">
        <f t="shared" si="304"/>
        <v>5.4844021630095961E-2</v>
      </c>
      <c r="AL140" s="504"/>
      <c r="AM140" s="2549">
        <f ca="1">IFERROR(AM139/AM102,0)</f>
        <v>3.1002678045768034E-2</v>
      </c>
      <c r="AN140" s="2549">
        <f ca="1">IFERROR(AN139/AN102,0)</f>
        <v>2.9875014531981797E-2</v>
      </c>
      <c r="AO140" s="2549">
        <f t="shared" ca="1" si="230"/>
        <v>1.1276635137862367E-3</v>
      </c>
      <c r="AP140" s="2690"/>
      <c r="AQ140" s="2549">
        <f ca="1">IFERROR(AQ139/AQ102,0)</f>
        <v>6.7246598633861468E-2</v>
      </c>
      <c r="AR140" s="2549">
        <f t="shared" ca="1" si="232"/>
        <v>-3.6243920588093434E-2</v>
      </c>
      <c r="AS140" s="2690"/>
      <c r="AT140" s="504"/>
      <c r="AU140" s="2549">
        <f ca="1">IFERROR(AU139/AU102,0)</f>
        <v>3.1002678045768034E-2</v>
      </c>
      <c r="AV140" s="2549">
        <f ca="1">IFERROR(AV139/AV102,0)</f>
        <v>2.9875014531981797E-2</v>
      </c>
      <c r="AW140" s="2549">
        <f t="shared" ca="1" si="234"/>
        <v>1.1276635137862367E-3</v>
      </c>
      <c r="AX140" s="2690"/>
      <c r="AY140" s="2549">
        <f ca="1">IFERROR(AY139/AY102,0)</f>
        <v>6.7246598633861468E-2</v>
      </c>
      <c r="AZ140" s="2549">
        <f t="shared" ca="1" si="236"/>
        <v>-3.6243920588093434E-2</v>
      </c>
      <c r="BA140" s="2690"/>
      <c r="BB140" s="504"/>
      <c r="BC140" s="2549">
        <f ca="1">IFERROR(BC139/BC102,0)</f>
        <v>3.1002678045768034E-2</v>
      </c>
      <c r="BD140" s="2549">
        <f ca="1">IFERROR(BD139/BD102,0)</f>
        <v>2.9875014531981797E-2</v>
      </c>
      <c r="BE140" s="2549">
        <f t="shared" ca="1" si="238"/>
        <v>1.1276635137862367E-3</v>
      </c>
      <c r="BF140" s="2690"/>
      <c r="BG140" s="2549">
        <f ca="1">IFERROR(BG139/BG102,0)</f>
        <v>6.7246598633861468E-2</v>
      </c>
      <c r="BH140" s="2549">
        <f t="shared" ca="1" si="240"/>
        <v>-3.6243920588093434E-2</v>
      </c>
      <c r="BI140" s="2690"/>
    </row>
    <row r="141" spans="1:61" ht="14.5">
      <c r="A141" s="1693">
        <f t="shared" si="147"/>
        <v>141</v>
      </c>
      <c r="B141" s="616">
        <v>1</v>
      </c>
      <c r="C141" s="1693">
        <f t="shared" si="127"/>
        <v>141</v>
      </c>
      <c r="D141" s="616">
        <v>1</v>
      </c>
      <c r="E141" s="709" t="s">
        <v>512</v>
      </c>
      <c r="F141" s="1572"/>
      <c r="G141" s="4"/>
      <c r="H141" s="4"/>
      <c r="I141" s="4"/>
      <c r="J141" s="4"/>
      <c r="K141" s="3"/>
      <c r="L141" s="4"/>
      <c r="M141" s="4"/>
      <c r="N141" s="3"/>
      <c r="O141" s="3"/>
      <c r="P141" s="3"/>
      <c r="Q141" s="3"/>
      <c r="R141" s="1773" t="str">
        <f>CHOOSE(2, "6722000003060", "▷ Blank 9")</f>
        <v>▷ Blank 9</v>
      </c>
      <c r="S141" s="1608"/>
      <c r="T141" s="1609"/>
      <c r="U141" s="1609"/>
      <c r="V141" s="1609"/>
      <c r="W141" s="1609"/>
      <c r="X141" s="1609"/>
      <c r="Y141" s="1366"/>
      <c r="Z141" s="1366"/>
      <c r="AA141" s="1366"/>
      <c r="AB141" s="1242"/>
      <c r="AC141" s="1242"/>
      <c r="AD141" s="1242"/>
      <c r="AE141" s="1242"/>
      <c r="AF141" s="1242"/>
      <c r="AG141" s="1242"/>
      <c r="AH141" s="1242"/>
      <c r="AI141" s="1242"/>
      <c r="AJ141" s="1242"/>
      <c r="AK141" s="608"/>
      <c r="AM141" s="2558"/>
      <c r="AN141" s="2558"/>
      <c r="AO141" s="2558"/>
      <c r="AP141" s="2558"/>
      <c r="AQ141" s="2558"/>
      <c r="AR141" s="2558"/>
      <c r="AS141" s="2558"/>
      <c r="AU141" s="2558"/>
      <c r="AV141" s="2558"/>
      <c r="AW141" s="2558"/>
      <c r="AX141" s="2558"/>
      <c r="AY141" s="2558"/>
      <c r="AZ141" s="2558"/>
      <c r="BA141" s="2558"/>
      <c r="BC141" s="2558"/>
      <c r="BD141" s="2558"/>
      <c r="BE141" s="2558"/>
      <c r="BF141" s="2558"/>
      <c r="BG141" s="2558"/>
      <c r="BH141" s="2558"/>
      <c r="BI141" s="2558"/>
    </row>
    <row r="142" spans="1:61" ht="14.5">
      <c r="A142" s="1693">
        <f t="shared" si="147"/>
        <v>142</v>
      </c>
      <c r="B142" s="616">
        <v>1</v>
      </c>
      <c r="C142" s="1693">
        <f t="shared" si="127"/>
        <v>142</v>
      </c>
      <c r="D142" s="616">
        <v>1</v>
      </c>
      <c r="E142" s="709" t="s">
        <v>512</v>
      </c>
      <c r="F142" s="1572"/>
      <c r="G142" s="4"/>
      <c r="H142" s="4"/>
      <c r="I142" s="4" t="s">
        <v>732</v>
      </c>
      <c r="J142" s="4"/>
      <c r="K142" s="3"/>
      <c r="L142" s="4"/>
      <c r="M142" s="4"/>
      <c r="N142" s="3"/>
      <c r="O142" s="3"/>
      <c r="P142" s="3"/>
      <c r="Q142" s="3"/>
      <c r="R142" s="1773" t="str">
        <f>CHOOSE(2, "6722000003061", "PL (1)-2 ""Office Solution"" only")</f>
        <v>PL (1)-2 "Office Solution" only</v>
      </c>
      <c r="S142" s="1608"/>
      <c r="T142" s="1609"/>
      <c r="U142" s="1609"/>
      <c r="V142" s="1609"/>
      <c r="W142" s="1609"/>
      <c r="X142" s="1609"/>
      <c r="Y142" s="1366"/>
      <c r="Z142" s="1366"/>
      <c r="AA142" s="1366"/>
      <c r="AB142" s="1242"/>
      <c r="AC142" s="1242"/>
      <c r="AD142" s="1242"/>
      <c r="AE142" s="1242"/>
      <c r="AF142" s="1242"/>
      <c r="AG142" s="1242"/>
      <c r="AH142" s="1242"/>
      <c r="AI142" s="1242"/>
      <c r="AJ142" s="1242"/>
      <c r="AK142" s="608"/>
      <c r="AM142" s="2558"/>
      <c r="AN142" s="2558"/>
      <c r="AO142" s="2558"/>
      <c r="AP142" s="2558"/>
      <c r="AQ142" s="2558"/>
      <c r="AR142" s="2558"/>
      <c r="AS142" s="2558"/>
      <c r="AU142" s="2558"/>
      <c r="AV142" s="2558"/>
      <c r="AW142" s="2558"/>
      <c r="AX142" s="2558"/>
      <c r="AY142" s="2558"/>
      <c r="AZ142" s="2558"/>
      <c r="BA142" s="2558"/>
      <c r="BC142" s="2558"/>
      <c r="BD142" s="2558"/>
      <c r="BE142" s="2558"/>
      <c r="BF142" s="2558"/>
      <c r="BG142" s="2558"/>
      <c r="BH142" s="2558"/>
      <c r="BI142" s="2558"/>
    </row>
    <row r="143" spans="1:61" ht="14.5">
      <c r="A143" s="1693">
        <f t="shared" si="147"/>
        <v>143</v>
      </c>
      <c r="B143" s="616">
        <v>1</v>
      </c>
      <c r="C143" s="1693">
        <f t="shared" ref="C143:C206" si="305">C142+1</f>
        <v>143</v>
      </c>
      <c r="D143" s="616">
        <v>1</v>
      </c>
      <c r="E143" s="709" t="s">
        <v>512</v>
      </c>
      <c r="F143" s="1572"/>
      <c r="G143" s="4"/>
      <c r="H143" s="4"/>
      <c r="I143" s="4"/>
      <c r="J143" s="977" t="s">
        <v>0</v>
      </c>
      <c r="K143" s="874"/>
      <c r="L143" s="874"/>
      <c r="M143" s="874"/>
      <c r="N143" s="874"/>
      <c r="O143" s="874"/>
      <c r="P143" s="874"/>
      <c r="Q143" s="978"/>
      <c r="R143" s="1784" t="str">
        <f>CHOOSE(2, "6722000003062", "PL (1)-2 Net Sales")</f>
        <v>PL (1)-2 Net Sales</v>
      </c>
      <c r="S143" s="1421">
        <f>S544</f>
        <v>3065</v>
      </c>
      <c r="T143" s="1421">
        <f t="shared" ref="T143:AD143" si="306">T544</f>
        <v>2683.5050000000001</v>
      </c>
      <c r="U143" s="1421">
        <f t="shared" si="306"/>
        <v>5116.1489999999994</v>
      </c>
      <c r="V143" s="1421">
        <f t="shared" si="306"/>
        <v>2272.982</v>
      </c>
      <c r="W143" s="1421">
        <f t="shared" si="306"/>
        <v>3073.2870000000003</v>
      </c>
      <c r="X143" s="1421">
        <f t="shared" si="306"/>
        <v>3785.8459999999995</v>
      </c>
      <c r="Y143" s="1384">
        <f t="shared" si="306"/>
        <v>1438.2670000000001</v>
      </c>
      <c r="Z143" s="1384">
        <f t="shared" si="306"/>
        <v>3162.6769999999997</v>
      </c>
      <c r="AA143" s="1384">
        <f t="shared" si="306"/>
        <v>3213.6220000000003</v>
      </c>
      <c r="AB143" s="1385">
        <f t="shared" si="306"/>
        <v>5874.3530000000001</v>
      </c>
      <c r="AC143" s="1385">
        <f t="shared" si="306"/>
        <v>2494.6910000000003</v>
      </c>
      <c r="AD143" s="1385">
        <f t="shared" si="306"/>
        <v>2863.9180000000001</v>
      </c>
      <c r="AE143" s="708">
        <f>SUM(S143,T143,U143)</f>
        <v>10864.653999999999</v>
      </c>
      <c r="AF143" s="708">
        <f>SUM(V143,W143,X143)</f>
        <v>9132.1149999999998</v>
      </c>
      <c r="AG143" s="708">
        <f>SUM(Y143,Z143,AA143)</f>
        <v>7814.5659999999998</v>
      </c>
      <c r="AH143" s="708">
        <f>SUM(AB143,AC143,AD143)</f>
        <v>11232.962</v>
      </c>
      <c r="AI143" s="708">
        <f>AE143+AF143</f>
        <v>19996.769</v>
      </c>
      <c r="AJ143" s="708">
        <f>AH143+AG143</f>
        <v>19047.527999999998</v>
      </c>
      <c r="AK143" s="708">
        <f>AI143+AJ143</f>
        <v>39044.296999999999</v>
      </c>
      <c r="AM143" s="2020">
        <f ca="1">SUM((INDIRECT(AM$2&amp;(ROW())):INDIRECT(AM$3&amp;(ROW()))))</f>
        <v>3065</v>
      </c>
      <c r="AN143" s="2020">
        <f ca="1">SUM(INDIRECT(AN$1&amp;AN$2&amp;$C143):INDIRECT(AN$1&amp;AN$3&amp;$C143))</f>
        <v>1500</v>
      </c>
      <c r="AO143" s="2784">
        <f t="shared" ref="AO143:AO151" ca="1" si="307">AM143-AN143</f>
        <v>1565</v>
      </c>
      <c r="AP143" s="2785">
        <f t="shared" ref="AP143:AP151" ca="1" si="308">IFERROR(AM143/AN143,0)</f>
        <v>2.0433333333333334</v>
      </c>
      <c r="AQ143" s="2020">
        <f ca="1">SUM(INDIRECT(AQ$1&amp;AQ$2&amp;$A143):INDIRECT(AQ$1&amp;AQ$3&amp;$A143))+SUM(INDIRECT(AQ$1&amp;AQ$2&amp;$B143):INDIRECT(AQ$1&amp;AQ$3&amp;$B143))</f>
        <v>1285</v>
      </c>
      <c r="AR143" s="2784">
        <f t="shared" ref="AR143:AR151" ca="1" si="309">AM143-AQ143</f>
        <v>1780</v>
      </c>
      <c r="AS143" s="2785">
        <f t="shared" ref="AS143:AS151" ca="1" si="310">IFERROR(AM143/AQ143,0)</f>
        <v>2.3852140077821011</v>
      </c>
      <c r="AU143" s="2020">
        <f ca="1">SUM((INDIRECT(AU$2&amp;(ROW())):INDIRECT(AU$3&amp;(ROW()))))</f>
        <v>3065</v>
      </c>
      <c r="AV143" s="2020">
        <f ca="1">SUM(INDIRECT(AV$1&amp;AV$2&amp;$C143):INDIRECT(AV$1&amp;AV$3&amp;$C143))</f>
        <v>1500</v>
      </c>
      <c r="AW143" s="2784">
        <f t="shared" ref="AW143:AW151" ca="1" si="311">AU143-AV143</f>
        <v>1565</v>
      </c>
      <c r="AX143" s="2785">
        <f t="shared" ref="AX143:AX151" ca="1" si="312">IFERROR(AU143/AV143,0)</f>
        <v>2.0433333333333334</v>
      </c>
      <c r="AY143" s="2020">
        <f ca="1">SUM(INDIRECT(AY$1&amp;AY$2&amp;$A143):INDIRECT(AY$1&amp;AY$3&amp;$A143))+SUM(INDIRECT(AY$1&amp;AY$2&amp;$B143):INDIRECT(AY$1&amp;AY$3&amp;$B143))</f>
        <v>1285</v>
      </c>
      <c r="AZ143" s="2784">
        <f t="shared" ref="AZ143:AZ151" ca="1" si="313">AU143-AY143</f>
        <v>1780</v>
      </c>
      <c r="BA143" s="2785">
        <f t="shared" ref="BA143:BA151" ca="1" si="314">IFERROR(AU143/AY143,0)</f>
        <v>2.3852140077821011</v>
      </c>
      <c r="BC143" s="2020">
        <f ca="1">SUM((INDIRECT(BC$2&amp;(ROW())):INDIRECT(BC$3&amp;(ROW()))))</f>
        <v>3065</v>
      </c>
      <c r="BD143" s="2020">
        <f ca="1">SUM(INDIRECT(BD$1&amp;BD$2&amp;$C143):INDIRECT(BD$1&amp;BD$3&amp;$C143))</f>
        <v>1500</v>
      </c>
      <c r="BE143" s="2784">
        <f t="shared" ref="BE143:BE151" ca="1" si="315">BC143-BD143</f>
        <v>1565</v>
      </c>
      <c r="BF143" s="2785">
        <f t="shared" ref="BF143:BF151" ca="1" si="316">IFERROR(BC143/BD143,0)</f>
        <v>2.0433333333333334</v>
      </c>
      <c r="BG143" s="2020">
        <f ca="1">SUM(INDIRECT(BG$1&amp;BG$2&amp;$A143):INDIRECT(BG$1&amp;BG$3&amp;$A143))+SUM(INDIRECT(BG$1&amp;BG$2&amp;$B143):INDIRECT(BG$1&amp;BG$3&amp;$B143))</f>
        <v>1285</v>
      </c>
      <c r="BH143" s="2784">
        <f t="shared" ref="BH143:BH151" ca="1" si="317">BC143-BG143</f>
        <v>1780</v>
      </c>
      <c r="BI143" s="2785">
        <f t="shared" ref="BI143:BI151" ca="1" si="318">IFERROR(BC143/BG143,0)</f>
        <v>2.3852140077821011</v>
      </c>
    </row>
    <row r="144" spans="1:61" ht="14.5">
      <c r="A144" s="1693">
        <f t="shared" ref="A144:A207" si="319">A143+1</f>
        <v>144</v>
      </c>
      <c r="B144" s="616">
        <v>1</v>
      </c>
      <c r="C144" s="1693">
        <f t="shared" si="305"/>
        <v>144</v>
      </c>
      <c r="D144" s="616">
        <v>1</v>
      </c>
      <c r="E144" s="709" t="s">
        <v>512</v>
      </c>
      <c r="F144" s="1572"/>
      <c r="G144" s="4"/>
      <c r="H144" s="4"/>
      <c r="I144" s="4"/>
      <c r="J144" s="979" t="s">
        <v>48</v>
      </c>
      <c r="K144" s="980"/>
      <c r="L144" s="980"/>
      <c r="M144" s="980"/>
      <c r="N144" s="980"/>
      <c r="O144" s="980"/>
      <c r="P144" s="980"/>
      <c r="Q144" s="981"/>
      <c r="R144" s="1790" t="str">
        <f>CHOOSE(2, "6722000003063", "PL (1)-2 BT Cons. Sales")</f>
        <v>PL (1)-2 BT Cons. Sales</v>
      </c>
      <c r="S144" s="1215">
        <v>3065</v>
      </c>
      <c r="T144" s="1215">
        <v>2684</v>
      </c>
      <c r="U144" s="1215">
        <v>5116.1489999999994</v>
      </c>
      <c r="V144" s="1215">
        <v>2273</v>
      </c>
      <c r="W144" s="1215">
        <v>3073</v>
      </c>
      <c r="X144" s="1215">
        <v>3786</v>
      </c>
      <c r="Y144" s="1217">
        <v>1438</v>
      </c>
      <c r="Z144" s="1217">
        <v>3162.6769999999997</v>
      </c>
      <c r="AA144" s="1217">
        <v>3213.6220000000003</v>
      </c>
      <c r="AB144" s="1402">
        <v>5874.3530000000001</v>
      </c>
      <c r="AC144" s="1402">
        <v>2494.6910000000003</v>
      </c>
      <c r="AD144" s="1402">
        <v>2639.9180000000001</v>
      </c>
      <c r="AE144" s="126">
        <f>SUM(S144,T144,U144)</f>
        <v>10865.148999999999</v>
      </c>
      <c r="AF144" s="126">
        <f>SUM(V144,W144,X144)</f>
        <v>9132</v>
      </c>
      <c r="AG144" s="126">
        <f>SUM(Y144,Z144,AA144)</f>
        <v>7814.299</v>
      </c>
      <c r="AH144" s="126">
        <f>SUM(AB144,AC144,AD144)</f>
        <v>11008.962</v>
      </c>
      <c r="AI144" s="126">
        <f>AE144+AF144</f>
        <v>19997.148999999998</v>
      </c>
      <c r="AJ144" s="126">
        <f>AH144+AG144</f>
        <v>18823.260999999999</v>
      </c>
      <c r="AK144" s="126">
        <f>AI144+AJ144</f>
        <v>38820.409999999996</v>
      </c>
      <c r="AM144" s="1948">
        <f ca="1">SUM((INDIRECT(AM$2&amp;(ROW())):INDIRECT(AM$3&amp;(ROW()))))</f>
        <v>3065</v>
      </c>
      <c r="AN144" s="1948">
        <f ca="1">SUM(INDIRECT(AN$1&amp;AN$2&amp;$C144):INDIRECT(AN$1&amp;AN$3&amp;$C144))</f>
        <v>1500</v>
      </c>
      <c r="AO144" s="2786">
        <f t="shared" ca="1" si="307"/>
        <v>1565</v>
      </c>
      <c r="AP144" s="2787">
        <f t="shared" ca="1" si="308"/>
        <v>2.0433333333333334</v>
      </c>
      <c r="AQ144" s="1948">
        <f ca="1">SUM(INDIRECT(AQ$1&amp;AQ$2&amp;$A144):INDIRECT(AQ$1&amp;AQ$3&amp;$A144))+SUM(INDIRECT(AQ$1&amp;AQ$2&amp;$B144):INDIRECT(AQ$1&amp;AQ$3&amp;$B144))</f>
        <v>1285</v>
      </c>
      <c r="AR144" s="2786">
        <f t="shared" ca="1" si="309"/>
        <v>1780</v>
      </c>
      <c r="AS144" s="2787">
        <f t="shared" ca="1" si="310"/>
        <v>2.3852140077821011</v>
      </c>
      <c r="AU144" s="1948">
        <f ca="1">SUM((INDIRECT(AU$2&amp;(ROW())):INDIRECT(AU$3&amp;(ROW()))))</f>
        <v>3065</v>
      </c>
      <c r="AV144" s="1948">
        <f ca="1">SUM(INDIRECT(AV$1&amp;AV$2&amp;$C144):INDIRECT(AV$1&amp;AV$3&amp;$C144))</f>
        <v>1500</v>
      </c>
      <c r="AW144" s="2786">
        <f t="shared" ca="1" si="311"/>
        <v>1565</v>
      </c>
      <c r="AX144" s="2787">
        <f t="shared" ca="1" si="312"/>
        <v>2.0433333333333334</v>
      </c>
      <c r="AY144" s="1948">
        <f ca="1">SUM(INDIRECT(AY$1&amp;AY$2&amp;$A144):INDIRECT(AY$1&amp;AY$3&amp;$A144))+SUM(INDIRECT(AY$1&amp;AY$2&amp;$B144):INDIRECT(AY$1&amp;AY$3&amp;$B144))</f>
        <v>1285</v>
      </c>
      <c r="AZ144" s="2786">
        <f t="shared" ca="1" si="313"/>
        <v>1780</v>
      </c>
      <c r="BA144" s="2787">
        <f t="shared" ca="1" si="314"/>
        <v>2.3852140077821011</v>
      </c>
      <c r="BC144" s="1948">
        <f ca="1">SUM((INDIRECT(BC$2&amp;(ROW())):INDIRECT(BC$3&amp;(ROW()))))</f>
        <v>3065</v>
      </c>
      <c r="BD144" s="1948">
        <f ca="1">SUM(INDIRECT(BD$1&amp;BD$2&amp;$C144):INDIRECT(BD$1&amp;BD$3&amp;$C144))</f>
        <v>1500</v>
      </c>
      <c r="BE144" s="2786">
        <f t="shared" ca="1" si="315"/>
        <v>1565</v>
      </c>
      <c r="BF144" s="2787">
        <f t="shared" ca="1" si="316"/>
        <v>2.0433333333333334</v>
      </c>
      <c r="BG144" s="1948">
        <f ca="1">SUM(INDIRECT(BG$1&amp;BG$2&amp;$A144):INDIRECT(BG$1&amp;BG$3&amp;$A144))+SUM(INDIRECT(BG$1&amp;BG$2&amp;$B144):INDIRECT(BG$1&amp;BG$3&amp;$B144))</f>
        <v>1285</v>
      </c>
      <c r="BH144" s="2786">
        <f t="shared" ca="1" si="317"/>
        <v>1780</v>
      </c>
      <c r="BI144" s="2787">
        <f t="shared" ca="1" si="318"/>
        <v>2.3852140077821011</v>
      </c>
    </row>
    <row r="145" spans="1:61" ht="14.5">
      <c r="A145" s="1693">
        <f t="shared" si="319"/>
        <v>145</v>
      </c>
      <c r="B145" s="616">
        <v>1</v>
      </c>
      <c r="C145" s="1693">
        <f t="shared" si="305"/>
        <v>145</v>
      </c>
      <c r="D145" s="616">
        <v>1</v>
      </c>
      <c r="E145" s="709" t="s">
        <v>512</v>
      </c>
      <c r="F145" s="1572"/>
      <c r="G145" s="4"/>
      <c r="H145" s="4"/>
      <c r="I145" s="4"/>
      <c r="J145" s="979" t="s">
        <v>54</v>
      </c>
      <c r="K145" s="980"/>
      <c r="L145" s="980"/>
      <c r="M145" s="980"/>
      <c r="N145" s="980"/>
      <c r="O145" s="980"/>
      <c r="P145" s="980"/>
      <c r="Q145" s="981"/>
      <c r="R145" s="1784" t="str">
        <f>CHOOSE(2, "6722000003064", "PL (1)-2 Gross Profit")</f>
        <v>PL (1)-2 Gross Profit</v>
      </c>
      <c r="S145" s="1289">
        <f>S551</f>
        <v>1607</v>
      </c>
      <c r="T145" s="1289">
        <f t="shared" ref="T145:AD145" si="320">T551</f>
        <v>1917.5135</v>
      </c>
      <c r="U145" s="1289">
        <f t="shared" si="320"/>
        <v>3364.56709</v>
      </c>
      <c r="V145" s="1289">
        <f t="shared" si="320"/>
        <v>1192.5053400000002</v>
      </c>
      <c r="W145" s="1289">
        <f t="shared" si="320"/>
        <v>1880.8184799999999</v>
      </c>
      <c r="X145" s="1289">
        <f t="shared" si="320"/>
        <v>2384.9223099999999</v>
      </c>
      <c r="Y145" s="1226">
        <f t="shared" si="320"/>
        <v>1012.3762300000001</v>
      </c>
      <c r="Z145" s="1226">
        <f t="shared" si="320"/>
        <v>2344.63823</v>
      </c>
      <c r="AA145" s="1226">
        <f t="shared" si="320"/>
        <v>1950.924</v>
      </c>
      <c r="AB145" s="1419">
        <f t="shared" si="320"/>
        <v>2874.9503100000002</v>
      </c>
      <c r="AC145" s="1419">
        <f t="shared" si="320"/>
        <v>1712.51233</v>
      </c>
      <c r="AD145" s="1419">
        <f t="shared" si="320"/>
        <v>2235.46245</v>
      </c>
      <c r="AE145" s="126">
        <f>SUM(S145,T145,U145)</f>
        <v>6889.0805899999996</v>
      </c>
      <c r="AF145" s="126">
        <f>SUM(V145,W145,X145)</f>
        <v>5458.2461299999995</v>
      </c>
      <c r="AG145" s="126">
        <f>SUM(Y145,Z145,AA145)</f>
        <v>5307.9384600000003</v>
      </c>
      <c r="AH145" s="126">
        <f>SUM(AB145,AC145,AD145)</f>
        <v>6822.9250899999997</v>
      </c>
      <c r="AI145" s="126">
        <f>AE145+AF145</f>
        <v>12347.326719999999</v>
      </c>
      <c r="AJ145" s="126">
        <f>AH145+AG145</f>
        <v>12130.86355</v>
      </c>
      <c r="AK145" s="126">
        <f>AI145+AJ145</f>
        <v>24478.190269999999</v>
      </c>
      <c r="AM145" s="1948">
        <f ca="1">SUM((INDIRECT(AM$2&amp;(ROW())):INDIRECT(AM$3&amp;(ROW()))))</f>
        <v>1607</v>
      </c>
      <c r="AN145" s="1948">
        <f ca="1">SUM(INDIRECT(AN$1&amp;AN$2&amp;$C145):INDIRECT(AN$1&amp;AN$3&amp;$C145))</f>
        <v>720</v>
      </c>
      <c r="AO145" s="2786">
        <f t="shared" ca="1" si="307"/>
        <v>887</v>
      </c>
      <c r="AP145" s="2787">
        <f t="shared" ca="1" si="308"/>
        <v>2.2319444444444443</v>
      </c>
      <c r="AQ145" s="1948">
        <f ca="1">SUM(INDIRECT(AQ$1&amp;AQ$2&amp;$A145):INDIRECT(AQ$1&amp;AQ$3&amp;$A145))+SUM(INDIRECT(AQ$1&amp;AQ$2&amp;$B145):INDIRECT(AQ$1&amp;AQ$3&amp;$B145))</f>
        <v>835</v>
      </c>
      <c r="AR145" s="2786">
        <f t="shared" ca="1" si="309"/>
        <v>772</v>
      </c>
      <c r="AS145" s="2787">
        <f t="shared" ca="1" si="310"/>
        <v>1.9245508982035928</v>
      </c>
      <c r="AU145" s="1948">
        <f ca="1">SUM((INDIRECT(AU$2&amp;(ROW())):INDIRECT(AU$3&amp;(ROW()))))</f>
        <v>1607</v>
      </c>
      <c r="AV145" s="1948">
        <f ca="1">SUM(INDIRECT(AV$1&amp;AV$2&amp;$C145):INDIRECT(AV$1&amp;AV$3&amp;$C145))</f>
        <v>720</v>
      </c>
      <c r="AW145" s="2786">
        <f t="shared" ca="1" si="311"/>
        <v>887</v>
      </c>
      <c r="AX145" s="2787">
        <f t="shared" ca="1" si="312"/>
        <v>2.2319444444444443</v>
      </c>
      <c r="AY145" s="1948">
        <f ca="1">SUM(INDIRECT(AY$1&amp;AY$2&amp;$A145):INDIRECT(AY$1&amp;AY$3&amp;$A145))+SUM(INDIRECT(AY$1&amp;AY$2&amp;$B145):INDIRECT(AY$1&amp;AY$3&amp;$B145))</f>
        <v>835</v>
      </c>
      <c r="AZ145" s="2786">
        <f t="shared" ca="1" si="313"/>
        <v>772</v>
      </c>
      <c r="BA145" s="2787">
        <f t="shared" ca="1" si="314"/>
        <v>1.9245508982035928</v>
      </c>
      <c r="BC145" s="1948">
        <f ca="1">SUM((INDIRECT(BC$2&amp;(ROW())):INDIRECT(BC$3&amp;(ROW()))))</f>
        <v>1607</v>
      </c>
      <c r="BD145" s="1948">
        <f ca="1">SUM(INDIRECT(BD$1&amp;BD$2&amp;$C145):INDIRECT(BD$1&amp;BD$3&amp;$C145))</f>
        <v>720</v>
      </c>
      <c r="BE145" s="2786">
        <f t="shared" ca="1" si="315"/>
        <v>887</v>
      </c>
      <c r="BF145" s="2787">
        <f t="shared" ca="1" si="316"/>
        <v>2.2319444444444443</v>
      </c>
      <c r="BG145" s="1948">
        <f ca="1">SUM(INDIRECT(BG$1&amp;BG$2&amp;$A145):INDIRECT(BG$1&amp;BG$3&amp;$A145))+SUM(INDIRECT(BG$1&amp;BG$2&amp;$B145):INDIRECT(BG$1&amp;BG$3&amp;$B145))</f>
        <v>835</v>
      </c>
      <c r="BH145" s="2786">
        <f t="shared" ca="1" si="317"/>
        <v>772</v>
      </c>
      <c r="BI145" s="2787">
        <f t="shared" ca="1" si="318"/>
        <v>1.9245508982035928</v>
      </c>
    </row>
    <row r="146" spans="1:61" ht="14.5">
      <c r="A146" s="1693">
        <f t="shared" si="319"/>
        <v>146</v>
      </c>
      <c r="B146" s="616">
        <v>1</v>
      </c>
      <c r="C146" s="1693">
        <f t="shared" si="305"/>
        <v>146</v>
      </c>
      <c r="D146" s="616">
        <v>1</v>
      </c>
      <c r="E146" s="709" t="s">
        <v>512</v>
      </c>
      <c r="F146" s="1572"/>
      <c r="G146" s="4"/>
      <c r="H146" s="4"/>
      <c r="I146" s="4"/>
      <c r="J146" s="979" t="s">
        <v>29</v>
      </c>
      <c r="K146" s="982"/>
      <c r="L146" s="982"/>
      <c r="M146" s="982"/>
      <c r="N146" s="982"/>
      <c r="O146" s="1024" t="s">
        <v>792</v>
      </c>
      <c r="P146" s="982"/>
      <c r="Q146" s="983"/>
      <c r="R146" s="1786" t="str">
        <f>CHOOSE(2, "6722000003065", "PL (1)-2 SGA Expenses *Allocation is acceptable")</f>
        <v>PL (1)-2 SGA Expenses *Allocation is acceptable</v>
      </c>
      <c r="S146" s="1255">
        <f>SUM(S147:S149)</f>
        <v>384.32980244612639</v>
      </c>
      <c r="T146" s="1255">
        <f t="shared" ref="T146:AD146" si="321">SUM(T147:T149)</f>
        <v>483.47516672047681</v>
      </c>
      <c r="U146" s="1255">
        <f t="shared" si="321"/>
        <v>408.81689147286824</v>
      </c>
      <c r="V146" s="1255">
        <f t="shared" si="321"/>
        <v>439.81689147286824</v>
      </c>
      <c r="W146" s="1255">
        <f t="shared" si="321"/>
        <v>715.89367460263759</v>
      </c>
      <c r="X146" s="1255">
        <f t="shared" si="321"/>
        <v>358.51216839826839</v>
      </c>
      <c r="Y146" s="1248">
        <f t="shared" si="321"/>
        <v>458.66906116386292</v>
      </c>
      <c r="Z146" s="1248">
        <f t="shared" si="321"/>
        <v>307.47747145554683</v>
      </c>
      <c r="AA146" s="1248">
        <f t="shared" si="321"/>
        <v>473.06722933869196</v>
      </c>
      <c r="AB146" s="1420">
        <f t="shared" si="321"/>
        <v>310.82703632704505</v>
      </c>
      <c r="AC146" s="1420">
        <f t="shared" si="321"/>
        <v>346.83390086270452</v>
      </c>
      <c r="AD146" s="1420">
        <f t="shared" si="321"/>
        <v>304.25090818390117</v>
      </c>
      <c r="AE146" s="1420">
        <f t="shared" ref="AE146:AK146" si="322">SUM(AE147:AE149)</f>
        <v>1276.6218606394714</v>
      </c>
      <c r="AF146" s="1420">
        <f t="shared" si="322"/>
        <v>1514.2227344737742</v>
      </c>
      <c r="AG146" s="1420">
        <f t="shared" si="322"/>
        <v>1239.2137619581017</v>
      </c>
      <c r="AH146" s="1420">
        <f t="shared" si="322"/>
        <v>961.91184537365075</v>
      </c>
      <c r="AI146" s="1420">
        <f t="shared" si="322"/>
        <v>2790.8445951132458</v>
      </c>
      <c r="AJ146" s="1420">
        <f t="shared" si="322"/>
        <v>2201.1256073317527</v>
      </c>
      <c r="AK146" s="1420">
        <f t="shared" si="322"/>
        <v>4991.970202444998</v>
      </c>
      <c r="AM146" s="1973">
        <f ca="1">SUM((INDIRECT(AM$2&amp;(ROW())):INDIRECT(AM$3&amp;(ROW()))))</f>
        <v>384.32980244612639</v>
      </c>
      <c r="AN146" s="1973">
        <f ca="1">SUM(INDIRECT(AN$1&amp;AN$2&amp;$C146):INDIRECT(AN$1&amp;AN$3&amp;$C146))</f>
        <v>1723.577</v>
      </c>
      <c r="AO146" s="2788">
        <f t="shared" ca="1" si="307"/>
        <v>-1339.2471975538735</v>
      </c>
      <c r="AP146" s="2789">
        <f t="shared" ca="1" si="308"/>
        <v>0.2229838309783238</v>
      </c>
      <c r="AQ146" s="1973">
        <f ca="1">SUM(INDIRECT(AQ$1&amp;AQ$2&amp;$A146):INDIRECT(AQ$1&amp;AQ$3&amp;$A146))+SUM(INDIRECT(AQ$1&amp;AQ$2&amp;$B146):INDIRECT(AQ$1&amp;AQ$3&amp;$B146))</f>
        <v>1099</v>
      </c>
      <c r="AR146" s="2788">
        <f t="shared" ca="1" si="309"/>
        <v>-714.67019755387355</v>
      </c>
      <c r="AS146" s="2789">
        <f t="shared" ca="1" si="310"/>
        <v>0.3497086464477947</v>
      </c>
      <c r="AU146" s="1973">
        <f ca="1">SUM((INDIRECT(AU$2&amp;(ROW())):INDIRECT(AU$3&amp;(ROW()))))</f>
        <v>384.32980244612639</v>
      </c>
      <c r="AV146" s="1973">
        <f ca="1">SUM(INDIRECT(AV$1&amp;AV$2&amp;$C146):INDIRECT(AV$1&amp;AV$3&amp;$C146))</f>
        <v>1723.577</v>
      </c>
      <c r="AW146" s="2788">
        <f t="shared" ca="1" si="311"/>
        <v>-1339.2471975538735</v>
      </c>
      <c r="AX146" s="2789">
        <f t="shared" ca="1" si="312"/>
        <v>0.2229838309783238</v>
      </c>
      <c r="AY146" s="1973">
        <f ca="1">SUM(INDIRECT(AY$1&amp;AY$2&amp;$A146):INDIRECT(AY$1&amp;AY$3&amp;$A146))+SUM(INDIRECT(AY$1&amp;AY$2&amp;$B146):INDIRECT(AY$1&amp;AY$3&amp;$B146))</f>
        <v>1099</v>
      </c>
      <c r="AZ146" s="2788">
        <f t="shared" ca="1" si="313"/>
        <v>-714.67019755387355</v>
      </c>
      <c r="BA146" s="2789">
        <f t="shared" ca="1" si="314"/>
        <v>0.3497086464477947</v>
      </c>
      <c r="BC146" s="1973">
        <f ca="1">SUM((INDIRECT(BC$2&amp;(ROW())):INDIRECT(BC$3&amp;(ROW()))))</f>
        <v>384.32980244612639</v>
      </c>
      <c r="BD146" s="1973">
        <f ca="1">SUM(INDIRECT(BD$1&amp;BD$2&amp;$C146):INDIRECT(BD$1&amp;BD$3&amp;$C146))</f>
        <v>1723.577</v>
      </c>
      <c r="BE146" s="2788">
        <f t="shared" ca="1" si="315"/>
        <v>-1339.2471975538735</v>
      </c>
      <c r="BF146" s="2789">
        <f t="shared" ca="1" si="316"/>
        <v>0.2229838309783238</v>
      </c>
      <c r="BG146" s="1973">
        <f ca="1">SUM(INDIRECT(BG$1&amp;BG$2&amp;$A146):INDIRECT(BG$1&amp;BG$3&amp;$A146))+SUM(INDIRECT(BG$1&amp;BG$2&amp;$B146):INDIRECT(BG$1&amp;BG$3&amp;$B146))</f>
        <v>1099</v>
      </c>
      <c r="BH146" s="2788">
        <f t="shared" ca="1" si="317"/>
        <v>-714.67019755387355</v>
      </c>
      <c r="BI146" s="2789">
        <f t="shared" ca="1" si="318"/>
        <v>0.3497086464477947</v>
      </c>
    </row>
    <row r="147" spans="1:61" ht="14.5">
      <c r="A147" s="1693">
        <f t="shared" si="319"/>
        <v>147</v>
      </c>
      <c r="B147" s="616">
        <v>1</v>
      </c>
      <c r="C147" s="1693">
        <f t="shared" si="305"/>
        <v>147</v>
      </c>
      <c r="D147" s="616">
        <v>1</v>
      </c>
      <c r="E147" s="709" t="s">
        <v>512</v>
      </c>
      <c r="F147" s="1572"/>
      <c r="G147" s="4"/>
      <c r="H147" s="4"/>
      <c r="I147" s="4"/>
      <c r="J147" s="498"/>
      <c r="K147" s="3" t="s">
        <v>63</v>
      </c>
      <c r="L147" s="3"/>
      <c r="M147" s="3"/>
      <c r="N147" s="3"/>
      <c r="O147" s="3"/>
      <c r="P147" s="3"/>
      <c r="Q147" s="26"/>
      <c r="R147" s="1790" t="str">
        <f>CHOOSE(2, "6722000003066", "PL (1)-2 SGA Expenses Variable Expenses")</f>
        <v>PL (1)-2 SGA Expenses Variable Expenses</v>
      </c>
      <c r="S147" s="1215">
        <v>0.32980244612639215</v>
      </c>
      <c r="T147" s="1215"/>
      <c r="U147" s="1215"/>
      <c r="V147" s="1215"/>
      <c r="W147" s="1215">
        <v>0</v>
      </c>
      <c r="X147" s="1215">
        <v>0</v>
      </c>
      <c r="Y147" s="1217">
        <v>0</v>
      </c>
      <c r="Z147" s="1217">
        <v>0</v>
      </c>
      <c r="AA147" s="1217">
        <v>0</v>
      </c>
      <c r="AB147" s="1402">
        <v>0</v>
      </c>
      <c r="AC147" s="1402">
        <v>0</v>
      </c>
      <c r="AD147" s="1402">
        <v>0</v>
      </c>
      <c r="AE147" s="126">
        <f>SUM(S147,T147,U147)</f>
        <v>0.32980244612639215</v>
      </c>
      <c r="AF147" s="126">
        <f>SUM(V147,W147,X147)</f>
        <v>0</v>
      </c>
      <c r="AG147" s="126">
        <f>SUM(Y147,Z147,AA147)</f>
        <v>0</v>
      </c>
      <c r="AH147" s="126">
        <f>SUM(AB147,AC147,AD147)</f>
        <v>0</v>
      </c>
      <c r="AI147" s="126">
        <f>AE147+AF147</f>
        <v>0.32980244612639215</v>
      </c>
      <c r="AJ147" s="126">
        <f>AH147+AG147</f>
        <v>0</v>
      </c>
      <c r="AK147" s="126">
        <f>AI147+AJ147</f>
        <v>0.32980244612639215</v>
      </c>
      <c r="AM147" s="1948">
        <f ca="1">SUM((INDIRECT(AM$2&amp;(ROW())):INDIRECT(AM$3&amp;(ROW()))))</f>
        <v>0.32980244612639215</v>
      </c>
      <c r="AN147" s="1948">
        <f ca="1">SUM(INDIRECT(AN$1&amp;AN$2&amp;$C147):INDIRECT(AN$1&amp;AN$3&amp;$C147))</f>
        <v>300</v>
      </c>
      <c r="AO147" s="2786">
        <f t="shared" ca="1" si="307"/>
        <v>-299.67019755387361</v>
      </c>
      <c r="AP147" s="2787">
        <f t="shared" ca="1" si="308"/>
        <v>1.0993414870879739E-3</v>
      </c>
      <c r="AQ147" s="2790">
        <f ca="1">SUM(INDIRECT(AQ$1&amp;AQ$2&amp;$A147):INDIRECT(AQ$1&amp;AQ$3&amp;$A147))+SUM(INDIRECT(AQ$1&amp;AQ$2&amp;$B147):INDIRECT(AQ$1&amp;AQ$3&amp;$B147))</f>
        <v>108</v>
      </c>
      <c r="AR147" s="2791">
        <f t="shared" ca="1" si="309"/>
        <v>-107.67019755387361</v>
      </c>
      <c r="AS147" s="2792">
        <f t="shared" ca="1" si="310"/>
        <v>3.0537263530221494E-3</v>
      </c>
      <c r="AU147" s="1948">
        <f ca="1">SUM((INDIRECT(AU$2&amp;(ROW())):INDIRECT(AU$3&amp;(ROW()))))</f>
        <v>0.32980244612639215</v>
      </c>
      <c r="AV147" s="1948">
        <f ca="1">SUM(INDIRECT(AV$1&amp;AV$2&amp;$C147):INDIRECT(AV$1&amp;AV$3&amp;$C147))</f>
        <v>300</v>
      </c>
      <c r="AW147" s="2786">
        <f t="shared" ca="1" si="311"/>
        <v>-299.67019755387361</v>
      </c>
      <c r="AX147" s="2787">
        <f t="shared" ca="1" si="312"/>
        <v>1.0993414870879739E-3</v>
      </c>
      <c r="AY147" s="2790">
        <f ca="1">SUM(INDIRECT(AY$1&amp;AY$2&amp;$A147):INDIRECT(AY$1&amp;AY$3&amp;$A147))+SUM(INDIRECT(AY$1&amp;AY$2&amp;$B147):INDIRECT(AY$1&amp;AY$3&amp;$B147))</f>
        <v>108</v>
      </c>
      <c r="AZ147" s="2791">
        <f t="shared" ca="1" si="313"/>
        <v>-107.67019755387361</v>
      </c>
      <c r="BA147" s="2792">
        <f t="shared" ca="1" si="314"/>
        <v>3.0537263530221494E-3</v>
      </c>
      <c r="BC147" s="1948">
        <f ca="1">SUM((INDIRECT(BC$2&amp;(ROW())):INDIRECT(BC$3&amp;(ROW()))))</f>
        <v>0.32980244612639215</v>
      </c>
      <c r="BD147" s="1948">
        <f ca="1">SUM(INDIRECT(BD$1&amp;BD$2&amp;$C147):INDIRECT(BD$1&amp;BD$3&amp;$C147))</f>
        <v>300</v>
      </c>
      <c r="BE147" s="2786">
        <f t="shared" ca="1" si="315"/>
        <v>-299.67019755387361</v>
      </c>
      <c r="BF147" s="2787">
        <f t="shared" ca="1" si="316"/>
        <v>1.0993414870879739E-3</v>
      </c>
      <c r="BG147" s="2790">
        <f ca="1">SUM(INDIRECT(BG$1&amp;BG$2&amp;$A147):INDIRECT(BG$1&amp;BG$3&amp;$A147))+SUM(INDIRECT(BG$1&amp;BG$2&amp;$B147):INDIRECT(BG$1&amp;BG$3&amp;$B147))</f>
        <v>108</v>
      </c>
      <c r="BH147" s="2791">
        <f t="shared" ca="1" si="317"/>
        <v>-107.67019755387361</v>
      </c>
      <c r="BI147" s="2792">
        <f t="shared" ca="1" si="318"/>
        <v>3.0537263530221494E-3</v>
      </c>
    </row>
    <row r="148" spans="1:61" ht="14.5">
      <c r="A148" s="1693">
        <f t="shared" si="319"/>
        <v>148</v>
      </c>
      <c r="B148" s="616">
        <v>1</v>
      </c>
      <c r="C148" s="1693">
        <f t="shared" si="305"/>
        <v>148</v>
      </c>
      <c r="D148" s="616">
        <v>1</v>
      </c>
      <c r="E148" s="709" t="s">
        <v>512</v>
      </c>
      <c r="F148" s="1572"/>
      <c r="G148" s="4"/>
      <c r="H148" s="4"/>
      <c r="I148" s="4"/>
      <c r="J148" s="498"/>
      <c r="K148" s="3" t="s">
        <v>28</v>
      </c>
      <c r="L148" s="3"/>
      <c r="M148" s="3"/>
      <c r="N148" s="3"/>
      <c r="O148" s="3"/>
      <c r="P148" s="3"/>
      <c r="Q148" s="26"/>
      <c r="R148" s="1790" t="str">
        <f>CHOOSE(2, "6722000003067", "PL (1)-2 SGA Expenses Wages &amp; Salaries")</f>
        <v>PL (1)-2 SGA Expenses Wages &amp; Salaries</v>
      </c>
      <c r="S148" s="1215">
        <v>384</v>
      </c>
      <c r="T148" s="1215">
        <v>442</v>
      </c>
      <c r="U148" s="1215">
        <v>390</v>
      </c>
      <c r="V148" s="1215">
        <v>421</v>
      </c>
      <c r="W148" s="1215">
        <v>684.55644008509375</v>
      </c>
      <c r="X148" s="1215">
        <v>329.29679999999996</v>
      </c>
      <c r="Y148" s="1217">
        <v>433.49343428214252</v>
      </c>
      <c r="Z148" s="1217">
        <v>277</v>
      </c>
      <c r="AA148" s="1217">
        <v>432.39299999999997</v>
      </c>
      <c r="AB148" s="1402">
        <v>270.58106184553293</v>
      </c>
      <c r="AC148" s="1402">
        <v>307.4481790197637</v>
      </c>
      <c r="AD148" s="1402">
        <v>265.26573595197613</v>
      </c>
      <c r="AE148" s="126">
        <f>SUM(S148,T148,U148)</f>
        <v>1216</v>
      </c>
      <c r="AF148" s="126">
        <f>SUM(V148,W148,X148)</f>
        <v>1434.8532400850936</v>
      </c>
      <c r="AG148" s="126">
        <f>SUM(Y148,Z148,AA148)</f>
        <v>1142.8864342821425</v>
      </c>
      <c r="AH148" s="126">
        <f>SUM(AB148,AC148,AD148)</f>
        <v>843.29497681727275</v>
      </c>
      <c r="AI148" s="126">
        <f>AE148+AF148</f>
        <v>2650.8532400850936</v>
      </c>
      <c r="AJ148" s="126">
        <f>AH148+AG148</f>
        <v>1986.1814110994153</v>
      </c>
      <c r="AK148" s="126">
        <f>AI148+AJ148</f>
        <v>4637.0346511845091</v>
      </c>
      <c r="AM148" s="1948">
        <f ca="1">SUM((INDIRECT(AM$2&amp;(ROW())):INDIRECT(AM$3&amp;(ROW()))))</f>
        <v>384</v>
      </c>
      <c r="AN148" s="1948">
        <f ca="1">SUM(INDIRECT(AN$1&amp;AN$2&amp;$C148):INDIRECT(AN$1&amp;AN$3&amp;$C148))</f>
        <v>1273.577</v>
      </c>
      <c r="AO148" s="2786">
        <f t="shared" ca="1" si="307"/>
        <v>-889.577</v>
      </c>
      <c r="AP148" s="2787">
        <f t="shared" ca="1" si="308"/>
        <v>0.30151298272503352</v>
      </c>
      <c r="AQ148" s="2790">
        <f ca="1">SUM(INDIRECT(AQ$1&amp;AQ$2&amp;$A148):INDIRECT(AQ$1&amp;AQ$3&amp;$A148))+SUM(INDIRECT(AQ$1&amp;AQ$2&amp;$B148):INDIRECT(AQ$1&amp;AQ$3&amp;$B148))</f>
        <v>886</v>
      </c>
      <c r="AR148" s="2791">
        <f t="shared" ca="1" si="309"/>
        <v>-502</v>
      </c>
      <c r="AS148" s="2792">
        <f t="shared" ca="1" si="310"/>
        <v>0.43340857787810383</v>
      </c>
      <c r="AU148" s="1948">
        <f ca="1">SUM((INDIRECT(AU$2&amp;(ROW())):INDIRECT(AU$3&amp;(ROW()))))</f>
        <v>384</v>
      </c>
      <c r="AV148" s="1948">
        <f ca="1">SUM(INDIRECT(AV$1&amp;AV$2&amp;$C148):INDIRECT(AV$1&amp;AV$3&amp;$C148))</f>
        <v>1273.577</v>
      </c>
      <c r="AW148" s="2786">
        <f t="shared" ca="1" si="311"/>
        <v>-889.577</v>
      </c>
      <c r="AX148" s="2787">
        <f t="shared" ca="1" si="312"/>
        <v>0.30151298272503352</v>
      </c>
      <c r="AY148" s="2790">
        <f ca="1">SUM(INDIRECT(AY$1&amp;AY$2&amp;$A148):INDIRECT(AY$1&amp;AY$3&amp;$A148))+SUM(INDIRECT(AY$1&amp;AY$2&amp;$B148):INDIRECT(AY$1&amp;AY$3&amp;$B148))</f>
        <v>886</v>
      </c>
      <c r="AZ148" s="2791">
        <f t="shared" ca="1" si="313"/>
        <v>-502</v>
      </c>
      <c r="BA148" s="2792">
        <f t="shared" ca="1" si="314"/>
        <v>0.43340857787810383</v>
      </c>
      <c r="BC148" s="1948">
        <f ca="1">SUM((INDIRECT(BC$2&amp;(ROW())):INDIRECT(BC$3&amp;(ROW()))))</f>
        <v>384</v>
      </c>
      <c r="BD148" s="1948">
        <f ca="1">SUM(INDIRECT(BD$1&amp;BD$2&amp;$C148):INDIRECT(BD$1&amp;BD$3&amp;$C148))</f>
        <v>1273.577</v>
      </c>
      <c r="BE148" s="2786">
        <f t="shared" ca="1" si="315"/>
        <v>-889.577</v>
      </c>
      <c r="BF148" s="2787">
        <f t="shared" ca="1" si="316"/>
        <v>0.30151298272503352</v>
      </c>
      <c r="BG148" s="2790">
        <f ca="1">SUM(INDIRECT(BG$1&amp;BG$2&amp;$A148):INDIRECT(BG$1&amp;BG$3&amp;$A148))+SUM(INDIRECT(BG$1&amp;BG$2&amp;$B148):INDIRECT(BG$1&amp;BG$3&amp;$B148))</f>
        <v>886</v>
      </c>
      <c r="BH148" s="2791">
        <f t="shared" ca="1" si="317"/>
        <v>-502</v>
      </c>
      <c r="BI148" s="2792">
        <f t="shared" ca="1" si="318"/>
        <v>0.43340857787810383</v>
      </c>
    </row>
    <row r="149" spans="1:61" ht="14.5">
      <c r="A149" s="1693">
        <f t="shared" si="319"/>
        <v>149</v>
      </c>
      <c r="B149" s="616">
        <v>1</v>
      </c>
      <c r="C149" s="1693">
        <f t="shared" si="305"/>
        <v>149</v>
      </c>
      <c r="D149" s="616">
        <v>1</v>
      </c>
      <c r="E149" s="709" t="s">
        <v>512</v>
      </c>
      <c r="F149" s="1572"/>
      <c r="G149" s="4"/>
      <c r="H149" s="4"/>
      <c r="I149" s="4"/>
      <c r="J149" s="976"/>
      <c r="K149" s="47" t="s">
        <v>62</v>
      </c>
      <c r="L149" s="47"/>
      <c r="M149" s="47"/>
      <c r="N149" s="47"/>
      <c r="O149" s="47"/>
      <c r="P149" s="47"/>
      <c r="Q149" s="46"/>
      <c r="R149" s="1790" t="str">
        <f>CHOOSE(2, "6722000003068", "PL (1)-2 SGA Expenses Fixed Expenses")</f>
        <v>PL (1)-2 SGA Expenses Fixed Expenses</v>
      </c>
      <c r="S149" s="1387"/>
      <c r="T149" s="1387">
        <v>41.475166720476807</v>
      </c>
      <c r="U149" s="1387">
        <v>18.816891472868218</v>
      </c>
      <c r="V149" s="1387">
        <v>18.816891472868218</v>
      </c>
      <c r="W149" s="1387">
        <v>31.337234517543862</v>
      </c>
      <c r="X149" s="1387">
        <v>29.215368398268399</v>
      </c>
      <c r="Y149" s="1245">
        <v>25.175626881720433</v>
      </c>
      <c r="Z149" s="1245">
        <v>30.477471455546812</v>
      </c>
      <c r="AA149" s="1245">
        <v>40.674229338692001</v>
      </c>
      <c r="AB149" s="1403">
        <v>40.245974481512107</v>
      </c>
      <c r="AC149" s="1403">
        <v>39.385721842940839</v>
      </c>
      <c r="AD149" s="1403">
        <v>38.985172231925041</v>
      </c>
      <c r="AE149" s="975">
        <f>SUM(S149,T149,U149)</f>
        <v>60.292058193345028</v>
      </c>
      <c r="AF149" s="975">
        <f>SUM(V149,W149,X149)</f>
        <v>79.369494388680479</v>
      </c>
      <c r="AG149" s="975">
        <f>SUM(Y149,Z149,AA149)</f>
        <v>96.327327675959253</v>
      </c>
      <c r="AH149" s="975">
        <f>SUM(AB149,AC149,AD149)</f>
        <v>118.61686855637799</v>
      </c>
      <c r="AI149" s="975">
        <f>AE149+AF149</f>
        <v>139.66155258202551</v>
      </c>
      <c r="AJ149" s="975">
        <f>AH149+AG149</f>
        <v>214.94419623233725</v>
      </c>
      <c r="AK149" s="975">
        <f>AI149+AJ149</f>
        <v>354.60574881436276</v>
      </c>
      <c r="AM149" s="1973">
        <f ca="1">SUM((INDIRECT(AM$2&amp;(ROW())):INDIRECT(AM$3&amp;(ROW()))))</f>
        <v>0</v>
      </c>
      <c r="AN149" s="1973">
        <f ca="1">SUM(INDIRECT(AN$1&amp;AN$2&amp;$C149):INDIRECT(AN$1&amp;AN$3&amp;$C149))</f>
        <v>150</v>
      </c>
      <c r="AO149" s="2788">
        <f t="shared" ca="1" si="307"/>
        <v>-150</v>
      </c>
      <c r="AP149" s="2789">
        <f t="shared" ca="1" si="308"/>
        <v>0</v>
      </c>
      <c r="AQ149" s="2793">
        <f ca="1">SUM(INDIRECT(AQ$1&amp;AQ$2&amp;$A149):INDIRECT(AQ$1&amp;AQ$3&amp;$A149))+SUM(INDIRECT(AQ$1&amp;AQ$2&amp;$B149):INDIRECT(AQ$1&amp;AQ$3&amp;$B149))</f>
        <v>105</v>
      </c>
      <c r="AR149" s="2794">
        <f t="shared" ca="1" si="309"/>
        <v>-105</v>
      </c>
      <c r="AS149" s="2795">
        <f t="shared" ca="1" si="310"/>
        <v>0</v>
      </c>
      <c r="AU149" s="1973">
        <f ca="1">SUM((INDIRECT(AU$2&amp;(ROW())):INDIRECT(AU$3&amp;(ROW()))))</f>
        <v>0</v>
      </c>
      <c r="AV149" s="1973">
        <f ca="1">SUM(INDIRECT(AV$1&amp;AV$2&amp;$C149):INDIRECT(AV$1&amp;AV$3&amp;$C149))</f>
        <v>150</v>
      </c>
      <c r="AW149" s="2788">
        <f t="shared" ca="1" si="311"/>
        <v>-150</v>
      </c>
      <c r="AX149" s="2789">
        <f t="shared" ca="1" si="312"/>
        <v>0</v>
      </c>
      <c r="AY149" s="2793">
        <f ca="1">SUM(INDIRECT(AY$1&amp;AY$2&amp;$A149):INDIRECT(AY$1&amp;AY$3&amp;$A149))+SUM(INDIRECT(AY$1&amp;AY$2&amp;$B149):INDIRECT(AY$1&amp;AY$3&amp;$B149))</f>
        <v>105</v>
      </c>
      <c r="AZ149" s="2794">
        <f t="shared" ca="1" si="313"/>
        <v>-105</v>
      </c>
      <c r="BA149" s="2795">
        <f t="shared" ca="1" si="314"/>
        <v>0</v>
      </c>
      <c r="BC149" s="1973">
        <f ca="1">SUM((INDIRECT(BC$2&amp;(ROW())):INDIRECT(BC$3&amp;(ROW()))))</f>
        <v>0</v>
      </c>
      <c r="BD149" s="1973">
        <f ca="1">SUM(INDIRECT(BD$1&amp;BD$2&amp;$C149):INDIRECT(BD$1&amp;BD$3&amp;$C149))</f>
        <v>150</v>
      </c>
      <c r="BE149" s="2788">
        <f t="shared" ca="1" si="315"/>
        <v>-150</v>
      </c>
      <c r="BF149" s="2789">
        <f t="shared" ca="1" si="316"/>
        <v>0</v>
      </c>
      <c r="BG149" s="2793">
        <f ca="1">SUM(INDIRECT(BG$1&amp;BG$2&amp;$A149):INDIRECT(BG$1&amp;BG$3&amp;$A149))+SUM(INDIRECT(BG$1&amp;BG$2&amp;$B149):INDIRECT(BG$1&amp;BG$3&amp;$B149))</f>
        <v>105</v>
      </c>
      <c r="BH149" s="2794">
        <f t="shared" ca="1" si="317"/>
        <v>-105</v>
      </c>
      <c r="BI149" s="2795">
        <f t="shared" ca="1" si="318"/>
        <v>0</v>
      </c>
    </row>
    <row r="150" spans="1:61" ht="14.5">
      <c r="A150" s="1693">
        <f t="shared" si="319"/>
        <v>150</v>
      </c>
      <c r="B150" s="616">
        <v>1</v>
      </c>
      <c r="C150" s="1693">
        <f t="shared" si="305"/>
        <v>150</v>
      </c>
      <c r="D150" s="616">
        <v>1</v>
      </c>
      <c r="E150" s="709" t="s">
        <v>512</v>
      </c>
      <c r="F150" s="1572"/>
      <c r="G150" s="4"/>
      <c r="H150" s="4"/>
      <c r="I150" s="4"/>
      <c r="J150" s="979" t="s">
        <v>56</v>
      </c>
      <c r="K150" s="980"/>
      <c r="L150" s="980"/>
      <c r="M150" s="980"/>
      <c r="N150" s="980"/>
      <c r="O150" s="980"/>
      <c r="P150" s="980"/>
      <c r="Q150" s="981"/>
      <c r="R150" s="1786" t="str">
        <f>CHOOSE(2, "6722000003069", "PL (1)-2 Business Contribution Profit")</f>
        <v>PL (1)-2 Business Contribution Profit</v>
      </c>
      <c r="S150" s="1289">
        <f t="shared" ref="S150:AD150" si="323">S145-S146</f>
        <v>1222.6701975538735</v>
      </c>
      <c r="T150" s="1289">
        <f t="shared" si="323"/>
        <v>1434.0383332795232</v>
      </c>
      <c r="U150" s="1289">
        <f t="shared" si="323"/>
        <v>2955.7501985271319</v>
      </c>
      <c r="V150" s="1289">
        <f t="shared" si="323"/>
        <v>752.68844852713187</v>
      </c>
      <c r="W150" s="1289">
        <f t="shared" si="323"/>
        <v>1164.9248053973624</v>
      </c>
      <c r="X150" s="1289">
        <f t="shared" si="323"/>
        <v>2026.4101416017315</v>
      </c>
      <c r="Y150" s="1226">
        <f t="shared" si="323"/>
        <v>553.70716883613716</v>
      </c>
      <c r="Z150" s="1226">
        <f t="shared" si="323"/>
        <v>2037.1607585444531</v>
      </c>
      <c r="AA150" s="1226">
        <f t="shared" si="323"/>
        <v>1477.856770661308</v>
      </c>
      <c r="AB150" s="1419">
        <f t="shared" si="323"/>
        <v>2564.1232736729553</v>
      </c>
      <c r="AC150" s="1419">
        <f t="shared" si="323"/>
        <v>1365.6784291372956</v>
      </c>
      <c r="AD150" s="1419">
        <f t="shared" si="323"/>
        <v>1931.2115418160988</v>
      </c>
      <c r="AE150" s="1419">
        <f t="shared" ref="AE150:AK150" si="324">AE145-AE146</f>
        <v>5612.4587293605282</v>
      </c>
      <c r="AF150" s="1419">
        <f t="shared" si="324"/>
        <v>3944.0233955262256</v>
      </c>
      <c r="AG150" s="1419">
        <f t="shared" si="324"/>
        <v>4068.7246980418986</v>
      </c>
      <c r="AH150" s="1419">
        <f t="shared" si="324"/>
        <v>5861.0132446263488</v>
      </c>
      <c r="AI150" s="1419">
        <f t="shared" si="324"/>
        <v>9556.4821248867538</v>
      </c>
      <c r="AJ150" s="1419">
        <f t="shared" si="324"/>
        <v>9929.7379426682473</v>
      </c>
      <c r="AK150" s="1419">
        <f t="shared" si="324"/>
        <v>19486.220067555001</v>
      </c>
      <c r="AM150" s="1948">
        <f ca="1">SUM((INDIRECT(AM$2&amp;(ROW())):INDIRECT(AM$3&amp;(ROW()))))</f>
        <v>1222.6701975538735</v>
      </c>
      <c r="AN150" s="1948">
        <f ca="1">SUM(INDIRECT(AN$1&amp;AN$2&amp;$C150):INDIRECT(AN$1&amp;AN$3&amp;$C150))</f>
        <v>-1003.577</v>
      </c>
      <c r="AO150" s="2786">
        <f t="shared" ca="1" si="307"/>
        <v>2226.2471975538738</v>
      </c>
      <c r="AP150" s="2787">
        <f t="shared" ca="1" si="308"/>
        <v>-1.218312294476531</v>
      </c>
      <c r="AQ150" s="2796">
        <f t="shared" ref="AQ150" ca="1" si="325">AQ145-AQ146</f>
        <v>-264</v>
      </c>
      <c r="AR150" s="2791">
        <f t="shared" ca="1" si="309"/>
        <v>1486.6701975538735</v>
      </c>
      <c r="AS150" s="2792">
        <f t="shared" ca="1" si="310"/>
        <v>-4.6313265058858848</v>
      </c>
      <c r="AU150" s="1948">
        <f ca="1">SUM((INDIRECT(AU$2&amp;(ROW())):INDIRECT(AU$3&amp;(ROW()))))</f>
        <v>1222.6701975538735</v>
      </c>
      <c r="AV150" s="1948">
        <f ca="1">SUM(INDIRECT(AV$1&amp;AV$2&amp;$C150):INDIRECT(AV$1&amp;AV$3&amp;$C150))</f>
        <v>-1003.577</v>
      </c>
      <c r="AW150" s="2786">
        <f t="shared" ca="1" si="311"/>
        <v>2226.2471975538738</v>
      </c>
      <c r="AX150" s="2787">
        <f t="shared" ca="1" si="312"/>
        <v>-1.218312294476531</v>
      </c>
      <c r="AY150" s="2796">
        <f t="shared" ref="AY150" ca="1" si="326">AY145-AY146</f>
        <v>-264</v>
      </c>
      <c r="AZ150" s="2791">
        <f t="shared" ca="1" si="313"/>
        <v>1486.6701975538735</v>
      </c>
      <c r="BA150" s="2792">
        <f t="shared" ca="1" si="314"/>
        <v>-4.6313265058858848</v>
      </c>
      <c r="BC150" s="1948">
        <f ca="1">SUM((INDIRECT(BC$2&amp;(ROW())):INDIRECT(BC$3&amp;(ROW()))))</f>
        <v>1222.6701975538735</v>
      </c>
      <c r="BD150" s="1948">
        <f ca="1">SUM(INDIRECT(BD$1&amp;BD$2&amp;$C150):INDIRECT(BD$1&amp;BD$3&amp;$C150))</f>
        <v>-1003.577</v>
      </c>
      <c r="BE150" s="2786">
        <f t="shared" ca="1" si="315"/>
        <v>2226.2471975538738</v>
      </c>
      <c r="BF150" s="2787">
        <f t="shared" ca="1" si="316"/>
        <v>-1.218312294476531</v>
      </c>
      <c r="BG150" s="2796">
        <f t="shared" ref="BG150" ca="1" si="327">BG145-BG146</f>
        <v>-264</v>
      </c>
      <c r="BH150" s="2791">
        <f t="shared" ca="1" si="317"/>
        <v>1486.6701975538735</v>
      </c>
      <c r="BI150" s="2792">
        <f t="shared" ca="1" si="318"/>
        <v>-4.6313265058858848</v>
      </c>
    </row>
    <row r="151" spans="1:61" ht="14.5">
      <c r="A151" s="1693">
        <f t="shared" si="319"/>
        <v>151</v>
      </c>
      <c r="B151" s="616">
        <v>1</v>
      </c>
      <c r="C151" s="1693">
        <f t="shared" si="305"/>
        <v>151</v>
      </c>
      <c r="D151" s="616">
        <v>1</v>
      </c>
      <c r="E151" s="709" t="s">
        <v>512</v>
      </c>
      <c r="F151" s="1572"/>
      <c r="G151" s="4"/>
      <c r="H151" s="4"/>
      <c r="I151" s="4"/>
      <c r="J151" s="984" t="s">
        <v>798</v>
      </c>
      <c r="K151" s="985"/>
      <c r="L151" s="985"/>
      <c r="M151" s="985"/>
      <c r="N151" s="985"/>
      <c r="O151" s="985"/>
      <c r="P151" s="985"/>
      <c r="Q151" s="986"/>
      <c r="R151" s="1786" t="str">
        <f>CHOOSE(2, "6722000003070", "PL (1)-2 Operation Profit")</f>
        <v>PL (1)-2 Operation Profit</v>
      </c>
      <c r="S151" s="1290">
        <f>S150</f>
        <v>1222.6701975538735</v>
      </c>
      <c r="T151" s="1290">
        <f t="shared" ref="T151:AD151" si="328">T150</f>
        <v>1434.0383332795232</v>
      </c>
      <c r="U151" s="1290">
        <f t="shared" si="328"/>
        <v>2955.7501985271319</v>
      </c>
      <c r="V151" s="1290">
        <f t="shared" si="328"/>
        <v>752.68844852713187</v>
      </c>
      <c r="W151" s="1290">
        <f t="shared" si="328"/>
        <v>1164.9248053973624</v>
      </c>
      <c r="X151" s="1290">
        <f t="shared" si="328"/>
        <v>2026.4101416017315</v>
      </c>
      <c r="Y151" s="1228">
        <f t="shared" si="328"/>
        <v>553.70716883613716</v>
      </c>
      <c r="Z151" s="1228">
        <f t="shared" si="328"/>
        <v>2037.1607585444531</v>
      </c>
      <c r="AA151" s="1228">
        <f t="shared" si="328"/>
        <v>1477.856770661308</v>
      </c>
      <c r="AB151" s="1605">
        <f t="shared" si="328"/>
        <v>2564.1232736729553</v>
      </c>
      <c r="AC151" s="1605">
        <f t="shared" si="328"/>
        <v>1365.6784291372956</v>
      </c>
      <c r="AD151" s="1605">
        <f t="shared" si="328"/>
        <v>1931.2115418160988</v>
      </c>
      <c r="AE151" s="1605">
        <f t="shared" ref="AE151:AK151" si="329">AE150</f>
        <v>5612.4587293605282</v>
      </c>
      <c r="AF151" s="1605">
        <f t="shared" si="329"/>
        <v>3944.0233955262256</v>
      </c>
      <c r="AG151" s="1605">
        <f t="shared" si="329"/>
        <v>4068.7246980418986</v>
      </c>
      <c r="AH151" s="1605">
        <f t="shared" si="329"/>
        <v>5861.0132446263488</v>
      </c>
      <c r="AI151" s="1605">
        <f t="shared" si="329"/>
        <v>9556.4821248867538</v>
      </c>
      <c r="AJ151" s="1605">
        <f t="shared" si="329"/>
        <v>9929.7379426682473</v>
      </c>
      <c r="AK151" s="1605">
        <f t="shared" si="329"/>
        <v>19486.220067555001</v>
      </c>
      <c r="AM151" s="1950">
        <f ca="1">SUM((INDIRECT(AM$2&amp;(ROW())):INDIRECT(AM$3&amp;(ROW()))))</f>
        <v>1222.6701975538735</v>
      </c>
      <c r="AN151" s="1950">
        <f ca="1">SUM(INDIRECT(AN$1&amp;AN$2&amp;$C151):INDIRECT(AN$1&amp;AN$3&amp;$C151))</f>
        <v>-1003.577</v>
      </c>
      <c r="AO151" s="2715">
        <f t="shared" ca="1" si="307"/>
        <v>2226.2471975538738</v>
      </c>
      <c r="AP151" s="2716">
        <f t="shared" ca="1" si="308"/>
        <v>-1.218312294476531</v>
      </c>
      <c r="AQ151" s="2797">
        <f t="shared" ref="AQ151" ca="1" si="330">AQ150</f>
        <v>-264</v>
      </c>
      <c r="AR151" s="2798">
        <f t="shared" ca="1" si="309"/>
        <v>1486.6701975538735</v>
      </c>
      <c r="AS151" s="2799">
        <f t="shared" ca="1" si="310"/>
        <v>-4.6313265058858848</v>
      </c>
      <c r="AU151" s="1950">
        <f ca="1">SUM((INDIRECT(AU$2&amp;(ROW())):INDIRECT(AU$3&amp;(ROW()))))</f>
        <v>1222.6701975538735</v>
      </c>
      <c r="AV151" s="1950">
        <f ca="1">SUM(INDIRECT(AV$1&amp;AV$2&amp;$C151):INDIRECT(AV$1&amp;AV$3&amp;$C151))</f>
        <v>-1003.577</v>
      </c>
      <c r="AW151" s="2715">
        <f t="shared" ca="1" si="311"/>
        <v>2226.2471975538738</v>
      </c>
      <c r="AX151" s="2716">
        <f t="shared" ca="1" si="312"/>
        <v>-1.218312294476531</v>
      </c>
      <c r="AY151" s="2797">
        <f t="shared" ref="AY151" ca="1" si="331">AY150</f>
        <v>-264</v>
      </c>
      <c r="AZ151" s="2798">
        <f t="shared" ca="1" si="313"/>
        <v>1486.6701975538735</v>
      </c>
      <c r="BA151" s="2799">
        <f t="shared" ca="1" si="314"/>
        <v>-4.6313265058858848</v>
      </c>
      <c r="BC151" s="1950">
        <f ca="1">SUM((INDIRECT(BC$2&amp;(ROW())):INDIRECT(BC$3&amp;(ROW()))))</f>
        <v>1222.6701975538735</v>
      </c>
      <c r="BD151" s="1950">
        <f ca="1">SUM(INDIRECT(BD$1&amp;BD$2&amp;$C151):INDIRECT(BD$1&amp;BD$3&amp;$C151))</f>
        <v>-1003.577</v>
      </c>
      <c r="BE151" s="2715">
        <f t="shared" ca="1" si="315"/>
        <v>2226.2471975538738</v>
      </c>
      <c r="BF151" s="2716">
        <f t="shared" ca="1" si="316"/>
        <v>-1.218312294476531</v>
      </c>
      <c r="BG151" s="2797">
        <f t="shared" ref="BG151" ca="1" si="332">BG150</f>
        <v>-264</v>
      </c>
      <c r="BH151" s="2798">
        <f t="shared" ca="1" si="317"/>
        <v>1486.6701975538735</v>
      </c>
      <c r="BI151" s="2799">
        <f t="shared" ca="1" si="318"/>
        <v>-4.6313265058858848</v>
      </c>
    </row>
    <row r="152" spans="1:61" ht="14.5">
      <c r="A152" s="1693">
        <f t="shared" si="319"/>
        <v>152</v>
      </c>
      <c r="B152" s="616">
        <v>1</v>
      </c>
      <c r="C152" s="1693">
        <f t="shared" si="305"/>
        <v>152</v>
      </c>
      <c r="D152" s="616">
        <v>1</v>
      </c>
      <c r="E152" s="709" t="s">
        <v>512</v>
      </c>
      <c r="F152" s="1572"/>
      <c r="G152" s="4"/>
      <c r="H152" s="4"/>
      <c r="I152" s="4"/>
      <c r="J152" s="4"/>
      <c r="K152" s="3"/>
      <c r="L152" s="4"/>
      <c r="M152" s="4"/>
      <c r="N152" s="3"/>
      <c r="O152" s="3"/>
      <c r="P152" s="3"/>
      <c r="Q152" s="3"/>
      <c r="R152" s="1773" t="str">
        <f>CHOOSE(2, "6722000003071", "▷ Blank 10")</f>
        <v>▷ Blank 10</v>
      </c>
      <c r="S152" s="1608"/>
      <c r="T152" s="1609"/>
      <c r="U152" s="1609"/>
      <c r="V152" s="1609"/>
      <c r="W152" s="1609"/>
      <c r="X152" s="1609"/>
      <c r="Y152" s="1366"/>
      <c r="Z152" s="1366"/>
      <c r="AA152" s="1366"/>
      <c r="AB152" s="1242"/>
      <c r="AC152" s="1242"/>
      <c r="AD152" s="1242"/>
      <c r="AE152" s="1242"/>
      <c r="AF152" s="1242"/>
      <c r="AG152" s="1242"/>
      <c r="AH152" s="1242"/>
      <c r="AI152" s="1242"/>
      <c r="AJ152" s="1242"/>
      <c r="AK152" s="608"/>
      <c r="AM152" s="2558"/>
      <c r="AN152" s="2558"/>
      <c r="AO152" s="2558"/>
      <c r="AP152" s="2558"/>
      <c r="AQ152" s="2558"/>
      <c r="AR152" s="2558"/>
      <c r="AS152" s="2558"/>
      <c r="AU152" s="2558"/>
      <c r="AV152" s="2558"/>
      <c r="AW152" s="2558"/>
      <c r="AX152" s="2558"/>
      <c r="AY152" s="2558"/>
      <c r="AZ152" s="2558"/>
      <c r="BA152" s="2558"/>
      <c r="BC152" s="2558"/>
      <c r="BD152" s="2558"/>
      <c r="BE152" s="2558"/>
      <c r="BF152" s="2558"/>
      <c r="BG152" s="2558"/>
      <c r="BH152" s="2558"/>
      <c r="BI152" s="2558"/>
    </row>
    <row r="153" spans="1:61" ht="14.5">
      <c r="A153" s="1693">
        <f t="shared" si="319"/>
        <v>153</v>
      </c>
      <c r="B153" s="616">
        <v>1</v>
      </c>
      <c r="C153" s="1693">
        <f t="shared" si="305"/>
        <v>153</v>
      </c>
      <c r="D153" s="616">
        <v>1</v>
      </c>
      <c r="E153" s="709" t="s">
        <v>512</v>
      </c>
      <c r="F153" s="1572"/>
      <c r="G153" s="4"/>
      <c r="H153" s="4"/>
      <c r="I153" s="4" t="s">
        <v>283</v>
      </c>
      <c r="J153" s="4"/>
      <c r="K153" s="3"/>
      <c r="L153" s="4"/>
      <c r="M153" s="4"/>
      <c r="N153" s="3"/>
      <c r="O153" s="3"/>
      <c r="P153" s="3"/>
      <c r="Q153" s="3"/>
      <c r="R153" s="1773" t="str">
        <f>CHOOSE(2, "6722000003072", "PL (2) PP")</f>
        <v>PL (2) PP</v>
      </c>
      <c r="S153" s="1608"/>
      <c r="T153" s="1609"/>
      <c r="U153" s="1609"/>
      <c r="V153" s="1609"/>
      <c r="W153" s="1609"/>
      <c r="X153" s="1609"/>
      <c r="Y153" s="1366"/>
      <c r="Z153" s="1366"/>
      <c r="AA153" s="1366"/>
      <c r="AB153" s="1366"/>
      <c r="AC153" s="1366"/>
      <c r="AD153" s="1366"/>
      <c r="AE153" s="1366"/>
      <c r="AF153" s="1366"/>
      <c r="AG153" s="1366"/>
      <c r="AH153" s="1366"/>
      <c r="AI153" s="1366"/>
      <c r="AJ153" s="1366"/>
      <c r="AK153" s="1366"/>
      <c r="AM153" s="1210"/>
      <c r="AN153" s="1210"/>
      <c r="AO153" s="1210"/>
      <c r="AP153" s="1210"/>
      <c r="AQ153" s="1210"/>
      <c r="AR153" s="1210"/>
      <c r="AS153" s="1210"/>
      <c r="AU153" s="1210"/>
      <c r="AV153" s="1210"/>
      <c r="AW153" s="1210"/>
      <c r="AX153" s="1210"/>
      <c r="AY153" s="1210"/>
      <c r="AZ153" s="1210"/>
      <c r="BA153" s="1210"/>
      <c r="BC153" s="1210"/>
      <c r="BD153" s="1210"/>
      <c r="BE153" s="1210"/>
      <c r="BF153" s="1210"/>
      <c r="BG153" s="1210"/>
      <c r="BH153" s="1210"/>
      <c r="BI153" s="1210"/>
    </row>
    <row r="154" spans="1:61" ht="14.5">
      <c r="A154" s="1693">
        <f t="shared" si="319"/>
        <v>154</v>
      </c>
      <c r="B154" s="616">
        <v>1</v>
      </c>
      <c r="C154" s="1693">
        <f t="shared" si="305"/>
        <v>154</v>
      </c>
      <c r="D154" s="616">
        <v>1</v>
      </c>
      <c r="E154" s="709" t="s">
        <v>512</v>
      </c>
      <c r="F154" s="1572"/>
      <c r="G154" s="4"/>
      <c r="H154" s="4"/>
      <c r="I154" s="4"/>
      <c r="J154" s="116" t="s">
        <v>0</v>
      </c>
      <c r="K154" s="115"/>
      <c r="L154" s="114"/>
      <c r="M154" s="114"/>
      <c r="N154" s="114"/>
      <c r="O154" s="114"/>
      <c r="P154" s="491" t="s">
        <v>302</v>
      </c>
      <c r="Q154" s="864"/>
      <c r="R154" s="1793" t="str">
        <f>CHOOSE(2, "6722000003073", "PL (2) Net Sales")</f>
        <v>PL (2) Net Sales</v>
      </c>
      <c r="S154" s="1584">
        <f>SUM(S155:S158)</f>
        <v>741421</v>
      </c>
      <c r="T154" s="1585">
        <f t="shared" ref="T154:AD154" si="333">SUM(T155:T158)</f>
        <v>670439.83007000014</v>
      </c>
      <c r="U154" s="1585">
        <f t="shared" si="333"/>
        <v>548754.72616000008</v>
      </c>
      <c r="V154" s="1585">
        <f t="shared" si="333"/>
        <v>566025.12901000003</v>
      </c>
      <c r="W154" s="1585">
        <f t="shared" si="333"/>
        <v>645300.38467000006</v>
      </c>
      <c r="X154" s="1585">
        <f t="shared" si="333"/>
        <v>660270.56619000004</v>
      </c>
      <c r="Y154" s="1585">
        <f t="shared" si="333"/>
        <v>644306.11956000002</v>
      </c>
      <c r="Z154" s="1585">
        <f t="shared" si="333"/>
        <v>565927.86107999994</v>
      </c>
      <c r="AA154" s="1585">
        <f t="shared" si="333"/>
        <v>603751.41897999996</v>
      </c>
      <c r="AB154" s="1585">
        <f t="shared" si="333"/>
        <v>656242.02197999996</v>
      </c>
      <c r="AC154" s="1585">
        <f t="shared" si="333"/>
        <v>698873.97473999998</v>
      </c>
      <c r="AD154" s="1585">
        <f t="shared" si="333"/>
        <v>600052.71788999997</v>
      </c>
      <c r="AE154" s="885">
        <f t="shared" ref="AE154:AE163" si="334">SUM(S154,T154,U154)</f>
        <v>1960615.5562300002</v>
      </c>
      <c r="AF154" s="113">
        <f t="shared" ref="AF154:AF163" si="335">SUM(V154,W154,X154)</f>
        <v>1871596.07987</v>
      </c>
      <c r="AG154" s="113">
        <f t="shared" ref="AG154:AG163" si="336">SUM(Y154,Z154,AA154)</f>
        <v>1813985.3996199998</v>
      </c>
      <c r="AH154" s="113">
        <f t="shared" ref="AH154:AH163" si="337">SUM(AB154,AC154,AD154)</f>
        <v>1955168.7146099999</v>
      </c>
      <c r="AI154" s="113">
        <f>SUM(AI155:AI158)</f>
        <v>3832211.6360999998</v>
      </c>
      <c r="AJ154" s="113">
        <f>SUM(AJ155:AJ158)</f>
        <v>3769154.1142300004</v>
      </c>
      <c r="AK154" s="113">
        <f>SUM(AK155:AK158)</f>
        <v>7601365.7503300002</v>
      </c>
      <c r="AM154" s="2268">
        <f ca="1">SUM((INDIRECT(AM$2&amp;(ROW())):INDIRECT(AM$3&amp;(ROW()))))</f>
        <v>741421</v>
      </c>
      <c r="AN154" s="2030">
        <f ca="1">SUM(INDIRECT(AN$1&amp;AN$2&amp;$C154):INDIRECT(AN$1&amp;AN$3&amp;$C154))</f>
        <v>597539.75269376347</v>
      </c>
      <c r="AO154" s="2800">
        <f t="shared" ca="1" si="230"/>
        <v>143881.24730623653</v>
      </c>
      <c r="AP154" s="2801">
        <f t="shared" ref="AP154:AP194" ca="1" si="338">IFERROR(AM154/AN154,0)</f>
        <v>1.2407894146918372</v>
      </c>
      <c r="AQ154" s="2030">
        <f ca="1">SUM(INDIRECT(AQ$1&amp;AQ$2&amp;$A154):INDIRECT(AQ$1&amp;AQ$3&amp;$A154))+SUM(INDIRECT(AQ$1&amp;AQ$2&amp;$B154):INDIRECT(AQ$1&amp;AQ$3&amp;$B154))</f>
        <v>469389</v>
      </c>
      <c r="AR154" s="2800">
        <f t="shared" ref="AR154:AR201" ca="1" si="339">AM154-AQ154</f>
        <v>272032</v>
      </c>
      <c r="AS154" s="2801">
        <f t="shared" ref="AS154:AS176" ca="1" si="340">IFERROR(AM154/AQ154,0)</f>
        <v>1.5795448977287494</v>
      </c>
      <c r="AU154" s="2268">
        <f ca="1">SUM((INDIRECT(AU$2&amp;(ROW())):INDIRECT(AU$3&amp;(ROW()))))</f>
        <v>741421</v>
      </c>
      <c r="AV154" s="2030">
        <f ca="1">SUM(INDIRECT(AV$1&amp;AV$2&amp;$C154):INDIRECT(AV$1&amp;AV$3&amp;$C154))</f>
        <v>597539.75269376347</v>
      </c>
      <c r="AW154" s="2800">
        <f t="shared" ref="AW154:AW205" ca="1" si="341">AU154-AV154</f>
        <v>143881.24730623653</v>
      </c>
      <c r="AX154" s="2801">
        <f t="shared" ref="AX154:AX176" ca="1" si="342">IFERROR(AU154/AV154,0)</f>
        <v>1.2407894146918372</v>
      </c>
      <c r="AY154" s="2030">
        <f ca="1">SUM(INDIRECT(AY$1&amp;AY$2&amp;$A154):INDIRECT(AY$1&amp;AY$3&amp;$A154))+SUM(INDIRECT(AY$1&amp;AY$2&amp;$B154):INDIRECT(AY$1&amp;AY$3&amp;$B154))</f>
        <v>469389</v>
      </c>
      <c r="AZ154" s="2800">
        <f t="shared" ref="AZ154:AZ201" ca="1" si="343">AU154-AY154</f>
        <v>272032</v>
      </c>
      <c r="BA154" s="2801">
        <f t="shared" ref="BA154:BA176" ca="1" si="344">IFERROR(AU154/AY154,0)</f>
        <v>1.5795448977287494</v>
      </c>
      <c r="BC154" s="2268">
        <f ca="1">SUM((INDIRECT(BC$2&amp;(ROW())):INDIRECT(BC$3&amp;(ROW()))))</f>
        <v>741421</v>
      </c>
      <c r="BD154" s="2030">
        <f ca="1">SUM(INDIRECT(BD$1&amp;BD$2&amp;$C154):INDIRECT(BD$1&amp;BD$3&amp;$C154))</f>
        <v>597539.75269376347</v>
      </c>
      <c r="BE154" s="2800">
        <f t="shared" ref="BE154:BE205" ca="1" si="345">BC154-BD154</f>
        <v>143881.24730623653</v>
      </c>
      <c r="BF154" s="2801">
        <f t="shared" ref="BF154:BF176" ca="1" si="346">IFERROR(BC154/BD154,0)</f>
        <v>1.2407894146918372</v>
      </c>
      <c r="BG154" s="2030">
        <f ca="1">SUM(INDIRECT(BG$1&amp;BG$2&amp;$A154):INDIRECT(BG$1&amp;BG$3&amp;$A154))+SUM(INDIRECT(BG$1&amp;BG$2&amp;$B154):INDIRECT(BG$1&amp;BG$3&amp;$B154))</f>
        <v>469389</v>
      </c>
      <c r="BH154" s="2800">
        <f t="shared" ref="BH154:BH201" ca="1" si="347">BC154-BG154</f>
        <v>272032</v>
      </c>
      <c r="BI154" s="2801">
        <f t="shared" ref="BI154:BI176" ca="1" si="348">IFERROR(BC154/BG154,0)</f>
        <v>1.5795448977287494</v>
      </c>
    </row>
    <row r="155" spans="1:61" ht="14.5">
      <c r="A155" s="1693">
        <f t="shared" si="319"/>
        <v>155</v>
      </c>
      <c r="B155" s="616">
        <v>1</v>
      </c>
      <c r="C155" s="1693">
        <f t="shared" si="305"/>
        <v>155</v>
      </c>
      <c r="D155" s="616">
        <v>1</v>
      </c>
      <c r="E155" s="709" t="s">
        <v>512</v>
      </c>
      <c r="F155" s="1572"/>
      <c r="G155" s="4"/>
      <c r="H155" s="4"/>
      <c r="I155" s="4"/>
      <c r="J155" s="27"/>
      <c r="K155" s="3"/>
      <c r="L155" s="4"/>
      <c r="M155" s="4"/>
      <c r="N155" s="3" t="s">
        <v>57</v>
      </c>
      <c r="O155" s="3"/>
      <c r="P155" s="3"/>
      <c r="Q155" s="3"/>
      <c r="R155" s="1794" t="str">
        <f>CHOOSE(2, "6722000003074", "PL (2) Net Sales HW")</f>
        <v>PL (2) Net Sales HW</v>
      </c>
      <c r="S155" s="1564">
        <f t="shared" ref="S155:AD155" si="349">S562+S577</f>
        <v>196704</v>
      </c>
      <c r="T155" s="1565">
        <f t="shared" si="349"/>
        <v>203899.04200000002</v>
      </c>
      <c r="U155" s="1565">
        <f t="shared" si="349"/>
        <v>165723.19819</v>
      </c>
      <c r="V155" s="1565">
        <f t="shared" si="349"/>
        <v>171697.24600000001</v>
      </c>
      <c r="W155" s="1565">
        <f t="shared" si="349"/>
        <v>210205.47500000001</v>
      </c>
      <c r="X155" s="1565">
        <f t="shared" si="349"/>
        <v>212318.11991000001</v>
      </c>
      <c r="Y155" s="1565">
        <f t="shared" si="349"/>
        <v>176528.96290000001</v>
      </c>
      <c r="Z155" s="1565">
        <f t="shared" si="349"/>
        <v>158480.75</v>
      </c>
      <c r="AA155" s="1565">
        <f t="shared" si="349"/>
        <v>168559.79379</v>
      </c>
      <c r="AB155" s="1565">
        <f t="shared" si="349"/>
        <v>171945.52100000001</v>
      </c>
      <c r="AC155" s="1565">
        <f t="shared" si="349"/>
        <v>212179.49667999998</v>
      </c>
      <c r="AD155" s="1565">
        <f t="shared" si="349"/>
        <v>190060.58517999999</v>
      </c>
      <c r="AE155" s="1221">
        <f t="shared" si="334"/>
        <v>566326.24019000004</v>
      </c>
      <c r="AF155" s="1221">
        <f t="shared" si="335"/>
        <v>594220.84091000003</v>
      </c>
      <c r="AG155" s="1221">
        <f t="shared" si="336"/>
        <v>503569.50669000007</v>
      </c>
      <c r="AH155" s="1221">
        <f t="shared" si="337"/>
        <v>574185.60285999998</v>
      </c>
      <c r="AI155" s="1221">
        <f>AE155+AF155</f>
        <v>1160547.0811000001</v>
      </c>
      <c r="AJ155" s="1221">
        <f>AH155+AG155</f>
        <v>1077755.1095500002</v>
      </c>
      <c r="AK155" s="1221">
        <f>AI155+AJ155</f>
        <v>2238302.1906500002</v>
      </c>
      <c r="AM155" s="596">
        <f ca="1">SUM((INDIRECT(AM$2&amp;(ROW())):INDIRECT(AM$3&amp;(ROW()))))</f>
        <v>196704</v>
      </c>
      <c r="AN155" s="2002">
        <f ca="1">SUM(INDIRECT(AN$1&amp;AN$2&amp;$C155):INDIRECT(AN$1&amp;AN$3&amp;$C155))</f>
        <v>155526.45909376343</v>
      </c>
      <c r="AO155" s="2767">
        <f t="shared" ca="1" si="230"/>
        <v>41177.540906236565</v>
      </c>
      <c r="AP155" s="2768">
        <f t="shared" ca="1" si="338"/>
        <v>1.2647622864056305</v>
      </c>
      <c r="AQ155" s="2002">
        <f ca="1">SUM(INDIRECT(AQ$1&amp;AQ$2&amp;$A155):INDIRECT(AQ$1&amp;AQ$3&amp;$A155))+SUM(INDIRECT(AQ$1&amp;AQ$2&amp;$B155):INDIRECT(AQ$1&amp;AQ$3&amp;$B155))</f>
        <v>124454</v>
      </c>
      <c r="AR155" s="2767">
        <f t="shared" ca="1" si="339"/>
        <v>72250</v>
      </c>
      <c r="AS155" s="2768">
        <f t="shared" ca="1" si="340"/>
        <v>1.5805357802882993</v>
      </c>
      <c r="AU155" s="596">
        <f ca="1">SUM((INDIRECT(AU$2&amp;(ROW())):INDIRECT(AU$3&amp;(ROW()))))</f>
        <v>196704</v>
      </c>
      <c r="AV155" s="2002">
        <f ca="1">SUM(INDIRECT(AV$1&amp;AV$2&amp;$C155):INDIRECT(AV$1&amp;AV$3&amp;$C155))</f>
        <v>155526.45909376343</v>
      </c>
      <c r="AW155" s="2767">
        <f t="shared" ca="1" si="341"/>
        <v>41177.540906236565</v>
      </c>
      <c r="AX155" s="2768">
        <f t="shared" ca="1" si="342"/>
        <v>1.2647622864056305</v>
      </c>
      <c r="AY155" s="2002">
        <f ca="1">SUM(INDIRECT(AY$1&amp;AY$2&amp;$A155):INDIRECT(AY$1&amp;AY$3&amp;$A155))+SUM(INDIRECT(AY$1&amp;AY$2&amp;$B155):INDIRECT(AY$1&amp;AY$3&amp;$B155))</f>
        <v>124454</v>
      </c>
      <c r="AZ155" s="2767">
        <f t="shared" ca="1" si="343"/>
        <v>72250</v>
      </c>
      <c r="BA155" s="2768">
        <f t="shared" ca="1" si="344"/>
        <v>1.5805357802882993</v>
      </c>
      <c r="BC155" s="596">
        <f ca="1">SUM((INDIRECT(BC$2&amp;(ROW())):INDIRECT(BC$3&amp;(ROW()))))</f>
        <v>196704</v>
      </c>
      <c r="BD155" s="2002">
        <f ca="1">SUM(INDIRECT(BD$1&amp;BD$2&amp;$C155):INDIRECT(BD$1&amp;BD$3&amp;$C155))</f>
        <v>155526.45909376343</v>
      </c>
      <c r="BE155" s="2767">
        <f t="shared" ca="1" si="345"/>
        <v>41177.540906236565</v>
      </c>
      <c r="BF155" s="2768">
        <f t="shared" ca="1" si="346"/>
        <v>1.2647622864056305</v>
      </c>
      <c r="BG155" s="2002">
        <f ca="1">SUM(INDIRECT(BG$1&amp;BG$2&amp;$A155):INDIRECT(BG$1&amp;BG$3&amp;$A155))+SUM(INDIRECT(BG$1&amp;BG$2&amp;$B155):INDIRECT(BG$1&amp;BG$3&amp;$B155))</f>
        <v>124454</v>
      </c>
      <c r="BH155" s="2767">
        <f t="shared" ca="1" si="347"/>
        <v>72250</v>
      </c>
      <c r="BI155" s="2768">
        <f t="shared" ca="1" si="348"/>
        <v>1.5805357802882993</v>
      </c>
    </row>
    <row r="156" spans="1:61" ht="14.5">
      <c r="A156" s="1693">
        <f t="shared" si="319"/>
        <v>156</v>
      </c>
      <c r="B156" s="616">
        <v>1</v>
      </c>
      <c r="C156" s="1693">
        <f t="shared" si="305"/>
        <v>156</v>
      </c>
      <c r="D156" s="616">
        <v>1</v>
      </c>
      <c r="E156" s="709" t="s">
        <v>512</v>
      </c>
      <c r="F156" s="1572"/>
      <c r="G156" s="4"/>
      <c r="H156" s="4"/>
      <c r="I156" s="4"/>
      <c r="J156" s="27"/>
      <c r="K156" s="3"/>
      <c r="L156" s="4"/>
      <c r="M156" s="4"/>
      <c r="N156" s="3" t="s">
        <v>27</v>
      </c>
      <c r="O156" s="3"/>
      <c r="P156" s="3"/>
      <c r="Q156" s="3"/>
      <c r="R156" s="1794" t="str">
        <f>CHOOSE(2, "6722000003075", "PL (2) Net Sales NH")</f>
        <v>PL (2) Net Sales NH</v>
      </c>
      <c r="S156" s="1564">
        <f t="shared" ref="S156:AD156" si="350">S565+S580</f>
        <v>544717</v>
      </c>
      <c r="T156" s="1565">
        <f t="shared" si="350"/>
        <v>466540.78807000007</v>
      </c>
      <c r="U156" s="1565">
        <f t="shared" si="350"/>
        <v>383031.52797000005</v>
      </c>
      <c r="V156" s="1565">
        <f t="shared" si="350"/>
        <v>394327.88300999999</v>
      </c>
      <c r="W156" s="1565">
        <f t="shared" si="350"/>
        <v>435094.90967000002</v>
      </c>
      <c r="X156" s="1565">
        <f t="shared" si="350"/>
        <v>447801.44628000003</v>
      </c>
      <c r="Y156" s="1565">
        <f t="shared" si="350"/>
        <v>467475.15665999998</v>
      </c>
      <c r="Z156" s="1565">
        <f t="shared" si="350"/>
        <v>407105.11107999994</v>
      </c>
      <c r="AA156" s="1565">
        <f t="shared" si="350"/>
        <v>435191.62518999999</v>
      </c>
      <c r="AB156" s="1565">
        <f t="shared" si="350"/>
        <v>484145.50097999995</v>
      </c>
      <c r="AC156" s="1565">
        <f t="shared" si="350"/>
        <v>486569.47805999999</v>
      </c>
      <c r="AD156" s="1565">
        <f t="shared" si="350"/>
        <v>409322.39270999999</v>
      </c>
      <c r="AE156" s="1221">
        <f t="shared" si="334"/>
        <v>1394289.3160399999</v>
      </c>
      <c r="AF156" s="1221">
        <f t="shared" si="335"/>
        <v>1277224.23896</v>
      </c>
      <c r="AG156" s="1221">
        <f t="shared" si="336"/>
        <v>1309771.8929299999</v>
      </c>
      <c r="AH156" s="1221">
        <f t="shared" si="337"/>
        <v>1380037.3717499999</v>
      </c>
      <c r="AI156" s="1221">
        <f>AE156+AF156</f>
        <v>2671513.5549999997</v>
      </c>
      <c r="AJ156" s="1221">
        <f>AH156+AG156</f>
        <v>2689809.26468</v>
      </c>
      <c r="AK156" s="1221">
        <f>AI156+AJ156</f>
        <v>5361322.8196799997</v>
      </c>
      <c r="AM156" s="596">
        <f ca="1">SUM((INDIRECT(AM$2&amp;(ROW())):INDIRECT(AM$3&amp;(ROW()))))</f>
        <v>544717</v>
      </c>
      <c r="AN156" s="2002">
        <f ca="1">SUM(INDIRECT(AN$1&amp;AN$2&amp;$C156):INDIRECT(AN$1&amp;AN$3&amp;$C156))</f>
        <v>441263.29359999998</v>
      </c>
      <c r="AO156" s="2767">
        <f t="shared" ca="1" si="230"/>
        <v>103453.70640000002</v>
      </c>
      <c r="AP156" s="2768">
        <f t="shared" ca="1" si="338"/>
        <v>1.234448928565945</v>
      </c>
      <c r="AQ156" s="2002">
        <f ca="1">SUM(INDIRECT(AQ$1&amp;AQ$2&amp;$A156):INDIRECT(AQ$1&amp;AQ$3&amp;$A156))+SUM(INDIRECT(AQ$1&amp;AQ$2&amp;$B156):INDIRECT(AQ$1&amp;AQ$3&amp;$B156))</f>
        <v>344935</v>
      </c>
      <c r="AR156" s="2767">
        <f t="shared" ca="1" si="339"/>
        <v>199782</v>
      </c>
      <c r="AS156" s="2768">
        <f t="shared" ca="1" si="340"/>
        <v>1.5791873831301551</v>
      </c>
      <c r="AU156" s="596">
        <f ca="1">SUM((INDIRECT(AU$2&amp;(ROW())):INDIRECT(AU$3&amp;(ROW()))))</f>
        <v>544717</v>
      </c>
      <c r="AV156" s="2002">
        <f ca="1">SUM(INDIRECT(AV$1&amp;AV$2&amp;$C156):INDIRECT(AV$1&amp;AV$3&amp;$C156))</f>
        <v>441263.29359999998</v>
      </c>
      <c r="AW156" s="2767">
        <f t="shared" ca="1" si="341"/>
        <v>103453.70640000002</v>
      </c>
      <c r="AX156" s="2768">
        <f t="shared" ca="1" si="342"/>
        <v>1.234448928565945</v>
      </c>
      <c r="AY156" s="2002">
        <f ca="1">SUM(INDIRECT(AY$1&amp;AY$2&amp;$A156):INDIRECT(AY$1&amp;AY$3&amp;$A156))+SUM(INDIRECT(AY$1&amp;AY$2&amp;$B156):INDIRECT(AY$1&amp;AY$3&amp;$B156))</f>
        <v>344935</v>
      </c>
      <c r="AZ156" s="2767">
        <f t="shared" ca="1" si="343"/>
        <v>199782</v>
      </c>
      <c r="BA156" s="2768">
        <f t="shared" ca="1" si="344"/>
        <v>1.5791873831301551</v>
      </c>
      <c r="BC156" s="596">
        <f ca="1">SUM((INDIRECT(BC$2&amp;(ROW())):INDIRECT(BC$3&amp;(ROW()))))</f>
        <v>544717</v>
      </c>
      <c r="BD156" s="2002">
        <f ca="1">SUM(INDIRECT(BD$1&amp;BD$2&amp;$C156):INDIRECT(BD$1&amp;BD$3&amp;$C156))</f>
        <v>441263.29359999998</v>
      </c>
      <c r="BE156" s="2767">
        <f t="shared" ca="1" si="345"/>
        <v>103453.70640000002</v>
      </c>
      <c r="BF156" s="2768">
        <f t="shared" ca="1" si="346"/>
        <v>1.234448928565945</v>
      </c>
      <c r="BG156" s="2002">
        <f ca="1">SUM(INDIRECT(BG$1&amp;BG$2&amp;$A156):INDIRECT(BG$1&amp;BG$3&amp;$A156))+SUM(INDIRECT(BG$1&amp;BG$2&amp;$B156):INDIRECT(BG$1&amp;BG$3&amp;$B156))</f>
        <v>344935</v>
      </c>
      <c r="BH156" s="2767">
        <f t="shared" ca="1" si="347"/>
        <v>199782</v>
      </c>
      <c r="BI156" s="2768">
        <f t="shared" ca="1" si="348"/>
        <v>1.5791873831301551</v>
      </c>
    </row>
    <row r="157" spans="1:61" ht="14.5">
      <c r="A157" s="1693">
        <f t="shared" si="319"/>
        <v>157</v>
      </c>
      <c r="B157" s="616">
        <v>1</v>
      </c>
      <c r="C157" s="1693">
        <f t="shared" si="305"/>
        <v>157</v>
      </c>
      <c r="D157" s="616">
        <v>1</v>
      </c>
      <c r="E157" s="709" t="s">
        <v>512</v>
      </c>
      <c r="F157" s="1572"/>
      <c r="G157" s="4"/>
      <c r="H157" s="4"/>
      <c r="I157" s="4"/>
      <c r="J157" s="27"/>
      <c r="K157" s="3"/>
      <c r="L157" s="4"/>
      <c r="M157" s="4"/>
      <c r="N157" s="3" t="s">
        <v>24</v>
      </c>
      <c r="O157" s="3"/>
      <c r="P157" s="3"/>
      <c r="Q157" s="3"/>
      <c r="R157" s="1794" t="str">
        <f>CHOOSE(2, "6722000003076", "PL (2) Net Sales Solution")</f>
        <v>PL (2) Net Sales Solution</v>
      </c>
      <c r="S157" s="1564">
        <f t="shared" ref="S157:AD157" si="351">S570+S585</f>
        <v>0</v>
      </c>
      <c r="T157" s="1565">
        <f t="shared" si="351"/>
        <v>0</v>
      </c>
      <c r="U157" s="1565">
        <f t="shared" si="351"/>
        <v>0</v>
      </c>
      <c r="V157" s="1565">
        <f t="shared" si="351"/>
        <v>0</v>
      </c>
      <c r="W157" s="1565">
        <f t="shared" si="351"/>
        <v>0</v>
      </c>
      <c r="X157" s="1565">
        <f t="shared" si="351"/>
        <v>151</v>
      </c>
      <c r="Y157" s="1565">
        <f t="shared" si="351"/>
        <v>302</v>
      </c>
      <c r="Z157" s="1565">
        <f t="shared" si="351"/>
        <v>342</v>
      </c>
      <c r="AA157" s="1565">
        <f t="shared" si="351"/>
        <v>0</v>
      </c>
      <c r="AB157" s="1565">
        <f t="shared" si="351"/>
        <v>151</v>
      </c>
      <c r="AC157" s="1565">
        <f t="shared" si="351"/>
        <v>125</v>
      </c>
      <c r="AD157" s="1565">
        <f t="shared" si="351"/>
        <v>669.74</v>
      </c>
      <c r="AE157" s="1221">
        <f t="shared" si="334"/>
        <v>0</v>
      </c>
      <c r="AF157" s="1221">
        <f t="shared" si="335"/>
        <v>151</v>
      </c>
      <c r="AG157" s="1221">
        <f t="shared" si="336"/>
        <v>644</v>
      </c>
      <c r="AH157" s="1221">
        <f t="shared" si="337"/>
        <v>945.74</v>
      </c>
      <c r="AI157" s="1221">
        <f>AE157+AF157</f>
        <v>151</v>
      </c>
      <c r="AJ157" s="1221">
        <f>AH157+AG157</f>
        <v>1589.74</v>
      </c>
      <c r="AK157" s="1221">
        <f>AI157+AJ157</f>
        <v>1740.74</v>
      </c>
      <c r="AM157" s="596">
        <f ca="1">SUM((INDIRECT(AM$2&amp;(ROW())):INDIRECT(AM$3&amp;(ROW()))))</f>
        <v>0</v>
      </c>
      <c r="AN157" s="2002">
        <f ca="1">SUM(INDIRECT(AN$1&amp;AN$2&amp;$C157):INDIRECT(AN$1&amp;AN$3&amp;$C157))</f>
        <v>750</v>
      </c>
      <c r="AO157" s="2767">
        <f t="shared" ca="1" si="230"/>
        <v>-750</v>
      </c>
      <c r="AP157" s="2768">
        <f t="shared" ca="1" si="338"/>
        <v>0</v>
      </c>
      <c r="AQ157" s="2002">
        <f ca="1">SUM(INDIRECT(AQ$1&amp;AQ$2&amp;$A157):INDIRECT(AQ$1&amp;AQ$3&amp;$A157))+SUM(INDIRECT(AQ$1&amp;AQ$2&amp;$B157):INDIRECT(AQ$1&amp;AQ$3&amp;$B157))</f>
        <v>0</v>
      </c>
      <c r="AR157" s="2767">
        <f t="shared" ca="1" si="339"/>
        <v>0</v>
      </c>
      <c r="AS157" s="2768">
        <f t="shared" ca="1" si="340"/>
        <v>0</v>
      </c>
      <c r="AU157" s="596">
        <f ca="1">SUM((INDIRECT(AU$2&amp;(ROW())):INDIRECT(AU$3&amp;(ROW()))))</f>
        <v>0</v>
      </c>
      <c r="AV157" s="2002">
        <f ca="1">SUM(INDIRECT(AV$1&amp;AV$2&amp;$C157):INDIRECT(AV$1&amp;AV$3&amp;$C157))</f>
        <v>750</v>
      </c>
      <c r="AW157" s="2767">
        <f t="shared" ca="1" si="341"/>
        <v>-750</v>
      </c>
      <c r="AX157" s="2768">
        <f t="shared" ca="1" si="342"/>
        <v>0</v>
      </c>
      <c r="AY157" s="2002">
        <f ca="1">SUM(INDIRECT(AY$1&amp;AY$2&amp;$A157):INDIRECT(AY$1&amp;AY$3&amp;$A157))+SUM(INDIRECT(AY$1&amp;AY$2&amp;$B157):INDIRECT(AY$1&amp;AY$3&amp;$B157))</f>
        <v>0</v>
      </c>
      <c r="AZ157" s="2767">
        <f t="shared" ca="1" si="343"/>
        <v>0</v>
      </c>
      <c r="BA157" s="2768">
        <f t="shared" ca="1" si="344"/>
        <v>0</v>
      </c>
      <c r="BC157" s="596">
        <f ca="1">SUM((INDIRECT(BC$2&amp;(ROW())):INDIRECT(BC$3&amp;(ROW()))))</f>
        <v>0</v>
      </c>
      <c r="BD157" s="2002">
        <f ca="1">SUM(INDIRECT(BD$1&amp;BD$2&amp;$C157):INDIRECT(BD$1&amp;BD$3&amp;$C157))</f>
        <v>750</v>
      </c>
      <c r="BE157" s="2767">
        <f t="shared" ca="1" si="345"/>
        <v>-750</v>
      </c>
      <c r="BF157" s="2768">
        <f t="shared" ca="1" si="346"/>
        <v>0</v>
      </c>
      <c r="BG157" s="2002">
        <f ca="1">SUM(INDIRECT(BG$1&amp;BG$2&amp;$A157):INDIRECT(BG$1&amp;BG$3&amp;$A157))+SUM(INDIRECT(BG$1&amp;BG$2&amp;$B157):INDIRECT(BG$1&amp;BG$3&amp;$B157))</f>
        <v>0</v>
      </c>
      <c r="BH157" s="2767">
        <f t="shared" ca="1" si="347"/>
        <v>0</v>
      </c>
      <c r="BI157" s="2768">
        <f t="shared" ca="1" si="348"/>
        <v>0</v>
      </c>
    </row>
    <row r="158" spans="1:61" ht="14.5">
      <c r="A158" s="1693">
        <f t="shared" si="319"/>
        <v>158</v>
      </c>
      <c r="B158" s="616">
        <v>1</v>
      </c>
      <c r="C158" s="1693">
        <f t="shared" si="305"/>
        <v>158</v>
      </c>
      <c r="D158" s="616">
        <v>1</v>
      </c>
      <c r="E158" s="709" t="s">
        <v>512</v>
      </c>
      <c r="F158" s="1572"/>
      <c r="G158" s="4"/>
      <c r="H158" s="4"/>
      <c r="I158" s="4"/>
      <c r="J158" s="27"/>
      <c r="K158" s="3"/>
      <c r="L158" s="4"/>
      <c r="M158" s="4"/>
      <c r="N158" s="3" t="s">
        <v>2</v>
      </c>
      <c r="O158" s="3"/>
      <c r="P158" s="3"/>
      <c r="Q158" s="3"/>
      <c r="R158" s="1794" t="str">
        <f>CHOOSE(2, "6722000003077", "PL (2) Net Sales Others")</f>
        <v>PL (2) Net Sales Others</v>
      </c>
      <c r="S158" s="1564">
        <f t="shared" ref="S158:AD158" si="352">S575+S590</f>
        <v>0</v>
      </c>
      <c r="T158" s="1565">
        <f t="shared" si="352"/>
        <v>0</v>
      </c>
      <c r="U158" s="1565">
        <f t="shared" si="352"/>
        <v>0</v>
      </c>
      <c r="V158" s="1565">
        <f t="shared" si="352"/>
        <v>0</v>
      </c>
      <c r="W158" s="1565">
        <f t="shared" si="352"/>
        <v>0</v>
      </c>
      <c r="X158" s="1565">
        <f t="shared" si="352"/>
        <v>0</v>
      </c>
      <c r="Y158" s="1565">
        <f t="shared" si="352"/>
        <v>0</v>
      </c>
      <c r="Z158" s="1565">
        <f t="shared" si="352"/>
        <v>0</v>
      </c>
      <c r="AA158" s="1565">
        <f t="shared" si="352"/>
        <v>0</v>
      </c>
      <c r="AB158" s="1565">
        <f t="shared" si="352"/>
        <v>0</v>
      </c>
      <c r="AC158" s="1565">
        <f t="shared" si="352"/>
        <v>0</v>
      </c>
      <c r="AD158" s="1565">
        <f t="shared" si="352"/>
        <v>0</v>
      </c>
      <c r="AE158" s="1221">
        <f t="shared" si="334"/>
        <v>0</v>
      </c>
      <c r="AF158" s="1221">
        <f t="shared" si="335"/>
        <v>0</v>
      </c>
      <c r="AG158" s="1221">
        <f t="shared" si="336"/>
        <v>0</v>
      </c>
      <c r="AH158" s="1221">
        <f t="shared" si="337"/>
        <v>0</v>
      </c>
      <c r="AI158" s="1221">
        <f>AE158+AF158</f>
        <v>0</v>
      </c>
      <c r="AJ158" s="1221">
        <f>AH158+AG158</f>
        <v>0</v>
      </c>
      <c r="AK158" s="1221">
        <f>AI158+AJ158</f>
        <v>0</v>
      </c>
      <c r="AM158" s="596">
        <f ca="1">SUM((INDIRECT(AM$2&amp;(ROW())):INDIRECT(AM$3&amp;(ROW()))))</f>
        <v>0</v>
      </c>
      <c r="AN158" s="2002">
        <f ca="1">SUM(INDIRECT(AN$1&amp;AN$2&amp;$C158):INDIRECT(AN$1&amp;AN$3&amp;$C158))</f>
        <v>0</v>
      </c>
      <c r="AO158" s="2767">
        <f t="shared" ca="1" si="230"/>
        <v>0</v>
      </c>
      <c r="AP158" s="2768">
        <f t="shared" ca="1" si="338"/>
        <v>0</v>
      </c>
      <c r="AQ158" s="2002">
        <f ca="1">SUM(INDIRECT(AQ$1&amp;AQ$2&amp;$A158):INDIRECT(AQ$1&amp;AQ$3&amp;$A158))+SUM(INDIRECT(AQ$1&amp;AQ$2&amp;$B158):INDIRECT(AQ$1&amp;AQ$3&amp;$B158))</f>
        <v>0</v>
      </c>
      <c r="AR158" s="2767">
        <f t="shared" ca="1" si="339"/>
        <v>0</v>
      </c>
      <c r="AS158" s="2768">
        <f t="shared" ca="1" si="340"/>
        <v>0</v>
      </c>
      <c r="AU158" s="596">
        <f ca="1">SUM((INDIRECT(AU$2&amp;(ROW())):INDIRECT(AU$3&amp;(ROW()))))</f>
        <v>0</v>
      </c>
      <c r="AV158" s="2002">
        <f ca="1">SUM(INDIRECT(AV$1&amp;AV$2&amp;$C158):INDIRECT(AV$1&amp;AV$3&amp;$C158))</f>
        <v>0</v>
      </c>
      <c r="AW158" s="2767">
        <f t="shared" ca="1" si="341"/>
        <v>0</v>
      </c>
      <c r="AX158" s="2768">
        <f t="shared" ca="1" si="342"/>
        <v>0</v>
      </c>
      <c r="AY158" s="2002">
        <f ca="1">SUM(INDIRECT(AY$1&amp;AY$2&amp;$A158):INDIRECT(AY$1&amp;AY$3&amp;$A158))+SUM(INDIRECT(AY$1&amp;AY$2&amp;$B158):INDIRECT(AY$1&amp;AY$3&amp;$B158))</f>
        <v>0</v>
      </c>
      <c r="AZ158" s="2767">
        <f t="shared" ca="1" si="343"/>
        <v>0</v>
      </c>
      <c r="BA158" s="2768">
        <f t="shared" ca="1" si="344"/>
        <v>0</v>
      </c>
      <c r="BC158" s="596">
        <f ca="1">SUM((INDIRECT(BC$2&amp;(ROW())):INDIRECT(BC$3&amp;(ROW()))))</f>
        <v>0</v>
      </c>
      <c r="BD158" s="2002">
        <f ca="1">SUM(INDIRECT(BD$1&amp;BD$2&amp;$C158):INDIRECT(BD$1&amp;BD$3&amp;$C158))</f>
        <v>0</v>
      </c>
      <c r="BE158" s="2767">
        <f t="shared" ca="1" si="345"/>
        <v>0</v>
      </c>
      <c r="BF158" s="2768">
        <f t="shared" ca="1" si="346"/>
        <v>0</v>
      </c>
      <c r="BG158" s="2002">
        <f ca="1">SUM(INDIRECT(BG$1&amp;BG$2&amp;$A158):INDIRECT(BG$1&amp;BG$3&amp;$A158))+SUM(INDIRECT(BG$1&amp;BG$2&amp;$B158):INDIRECT(BG$1&amp;BG$3&amp;$B158))</f>
        <v>0</v>
      </c>
      <c r="BH158" s="2767">
        <f t="shared" ca="1" si="347"/>
        <v>0</v>
      </c>
      <c r="BI158" s="2768">
        <f t="shared" ca="1" si="348"/>
        <v>0</v>
      </c>
    </row>
    <row r="159" spans="1:61" ht="14.5">
      <c r="A159" s="1693">
        <f t="shared" si="319"/>
        <v>159</v>
      </c>
      <c r="B159" s="616">
        <v>1</v>
      </c>
      <c r="C159" s="1693">
        <f t="shared" si="305"/>
        <v>159</v>
      </c>
      <c r="D159" s="616">
        <v>1</v>
      </c>
      <c r="E159" s="709" t="s">
        <v>512</v>
      </c>
      <c r="F159" s="1572"/>
      <c r="G159" s="4"/>
      <c r="H159" s="4"/>
      <c r="I159" s="4"/>
      <c r="J159" s="116" t="s">
        <v>48</v>
      </c>
      <c r="K159" s="115"/>
      <c r="L159" s="114"/>
      <c r="M159" s="114"/>
      <c r="N159" s="114"/>
      <c r="O159" s="114"/>
      <c r="P159" s="491" t="s">
        <v>304</v>
      </c>
      <c r="Q159" s="864"/>
      <c r="R159" s="1793" t="str">
        <f>CHOOSE(2, "6722000003078", "PL (2) BT Cons. Sales")</f>
        <v>PL (2) BT Cons. Sales</v>
      </c>
      <c r="S159" s="1584">
        <f>SUM(S160:S163)</f>
        <v>741421</v>
      </c>
      <c r="T159" s="1585">
        <f t="shared" ref="T159:AD159" si="353">SUM(T160:T163)</f>
        <v>670439.83007000014</v>
      </c>
      <c r="U159" s="1585">
        <f t="shared" si="353"/>
        <v>548754.72616000008</v>
      </c>
      <c r="V159" s="1585">
        <f t="shared" si="353"/>
        <v>566025.12901000003</v>
      </c>
      <c r="W159" s="1585">
        <f t="shared" si="353"/>
        <v>645300.38467000006</v>
      </c>
      <c r="X159" s="1585">
        <f t="shared" si="353"/>
        <v>660270.56619000004</v>
      </c>
      <c r="Y159" s="1585">
        <f t="shared" si="353"/>
        <v>644306.11956000002</v>
      </c>
      <c r="Z159" s="1585">
        <f>SUM(Z160:Z163)</f>
        <v>565927.86107999994</v>
      </c>
      <c r="AA159" s="1585">
        <f t="shared" si="353"/>
        <v>603751.41897999996</v>
      </c>
      <c r="AB159" s="1585">
        <f t="shared" si="353"/>
        <v>656242.02197999996</v>
      </c>
      <c r="AC159" s="1585">
        <f t="shared" si="353"/>
        <v>698873.97473999998</v>
      </c>
      <c r="AD159" s="1585">
        <f t="shared" si="353"/>
        <v>600052.71788999997</v>
      </c>
      <c r="AE159" s="885">
        <f t="shared" si="334"/>
        <v>1960615.5562300002</v>
      </c>
      <c r="AF159" s="113">
        <f t="shared" si="335"/>
        <v>1871596.07987</v>
      </c>
      <c r="AG159" s="113">
        <f t="shared" si="336"/>
        <v>1813985.3996199998</v>
      </c>
      <c r="AH159" s="113">
        <f t="shared" si="337"/>
        <v>1955168.7146099999</v>
      </c>
      <c r="AI159" s="113">
        <f>SUM(AI160:AI163)</f>
        <v>3832211.6360999998</v>
      </c>
      <c r="AJ159" s="113">
        <f>SUM(AJ160:AJ163)</f>
        <v>3769154.1142300004</v>
      </c>
      <c r="AK159" s="113">
        <f>SUM(AK160:AK163)</f>
        <v>7601365.7503300002</v>
      </c>
      <c r="AM159" s="2268">
        <f ca="1">SUM((INDIRECT(AM$2&amp;(ROW())):INDIRECT(AM$3&amp;(ROW()))))</f>
        <v>741421</v>
      </c>
      <c r="AN159" s="2030">
        <f ca="1">SUM(INDIRECT(AN$1&amp;AN$2&amp;$C159):INDIRECT(AN$1&amp;AN$3&amp;$C159))</f>
        <v>597539.75269376347</v>
      </c>
      <c r="AO159" s="2800">
        <f t="shared" ca="1" si="230"/>
        <v>143881.24730623653</v>
      </c>
      <c r="AP159" s="2801">
        <f t="shared" ca="1" si="338"/>
        <v>1.2407894146918372</v>
      </c>
      <c r="AQ159" s="2030">
        <f ca="1">SUM(INDIRECT(AQ$1&amp;AQ$2&amp;$A159):INDIRECT(AQ$1&amp;AQ$3&amp;$A159))+SUM(INDIRECT(AQ$1&amp;AQ$2&amp;$B159):INDIRECT(AQ$1&amp;AQ$3&amp;$B159))</f>
        <v>468311</v>
      </c>
      <c r="AR159" s="2800">
        <f t="shared" ca="1" si="339"/>
        <v>273110</v>
      </c>
      <c r="AS159" s="2801">
        <f t="shared" ca="1" si="340"/>
        <v>1.5831808349579659</v>
      </c>
      <c r="AU159" s="2268">
        <f ca="1">SUM((INDIRECT(AU$2&amp;(ROW())):INDIRECT(AU$3&amp;(ROW()))))</f>
        <v>741421</v>
      </c>
      <c r="AV159" s="2030">
        <f ca="1">SUM(INDIRECT(AV$1&amp;AV$2&amp;$C159):INDIRECT(AV$1&amp;AV$3&amp;$C159))</f>
        <v>597539.75269376347</v>
      </c>
      <c r="AW159" s="2800">
        <f t="shared" ca="1" si="341"/>
        <v>143881.24730623653</v>
      </c>
      <c r="AX159" s="2801">
        <f t="shared" ca="1" si="342"/>
        <v>1.2407894146918372</v>
      </c>
      <c r="AY159" s="2030">
        <f ca="1">SUM(INDIRECT(AY$1&amp;AY$2&amp;$A159):INDIRECT(AY$1&amp;AY$3&amp;$A159))+SUM(INDIRECT(AY$1&amp;AY$2&amp;$B159):INDIRECT(AY$1&amp;AY$3&amp;$B159))</f>
        <v>468311</v>
      </c>
      <c r="AZ159" s="2800">
        <f t="shared" ca="1" si="343"/>
        <v>273110</v>
      </c>
      <c r="BA159" s="2801">
        <f t="shared" ca="1" si="344"/>
        <v>1.5831808349579659</v>
      </c>
      <c r="BC159" s="2268">
        <f ca="1">SUM((INDIRECT(BC$2&amp;(ROW())):INDIRECT(BC$3&amp;(ROW()))))</f>
        <v>741421</v>
      </c>
      <c r="BD159" s="2030">
        <f ca="1">SUM(INDIRECT(BD$1&amp;BD$2&amp;$C159):INDIRECT(BD$1&amp;BD$3&amp;$C159))</f>
        <v>597539.75269376347</v>
      </c>
      <c r="BE159" s="2800">
        <f t="shared" ca="1" si="345"/>
        <v>143881.24730623653</v>
      </c>
      <c r="BF159" s="2801">
        <f t="shared" ca="1" si="346"/>
        <v>1.2407894146918372</v>
      </c>
      <c r="BG159" s="2030">
        <f ca="1">SUM(INDIRECT(BG$1&amp;BG$2&amp;$A159):INDIRECT(BG$1&amp;BG$3&amp;$A159))+SUM(INDIRECT(BG$1&amp;BG$2&amp;$B159):INDIRECT(BG$1&amp;BG$3&amp;$B159))</f>
        <v>468311</v>
      </c>
      <c r="BH159" s="2800">
        <f t="shared" ca="1" si="347"/>
        <v>273110</v>
      </c>
      <c r="BI159" s="2801">
        <f t="shared" ca="1" si="348"/>
        <v>1.5831808349579659</v>
      </c>
    </row>
    <row r="160" spans="1:61" ht="14.5">
      <c r="A160" s="1693">
        <f t="shared" si="319"/>
        <v>160</v>
      </c>
      <c r="B160" s="616">
        <v>1</v>
      </c>
      <c r="C160" s="1693">
        <f t="shared" si="305"/>
        <v>160</v>
      </c>
      <c r="D160" s="616">
        <v>1</v>
      </c>
      <c r="E160" s="709" t="s">
        <v>512</v>
      </c>
      <c r="F160" s="1572"/>
      <c r="G160" s="4"/>
      <c r="H160" s="4"/>
      <c r="I160" s="4"/>
      <c r="J160" s="27"/>
      <c r="K160" s="3"/>
      <c r="L160" s="4"/>
      <c r="M160" s="4"/>
      <c r="N160" s="3" t="s">
        <v>57</v>
      </c>
      <c r="O160" s="3"/>
      <c r="P160" s="3"/>
      <c r="Q160" s="3"/>
      <c r="R160" s="1790" t="str">
        <f>CHOOSE(2, "6722000003079", "PL (2) BT Cons. Sales HW")</f>
        <v>PL (2) BT Cons. Sales HW</v>
      </c>
      <c r="S160" s="1215">
        <v>196704</v>
      </c>
      <c r="T160" s="1222">
        <v>203899.04200000002</v>
      </c>
      <c r="U160" s="1222">
        <v>165723.19819</v>
      </c>
      <c r="V160" s="1222">
        <v>171697.24600000001</v>
      </c>
      <c r="W160" s="1222">
        <v>210205.47500000001</v>
      </c>
      <c r="X160" s="1222">
        <v>212318.11991000001</v>
      </c>
      <c r="Y160" s="1222">
        <v>176528.96290000001</v>
      </c>
      <c r="Z160" s="1222">
        <v>158480.75</v>
      </c>
      <c r="AA160" s="1222">
        <v>168559.79379</v>
      </c>
      <c r="AB160" s="1222">
        <v>171945.52100000001</v>
      </c>
      <c r="AC160" s="1222">
        <v>212179.49667999998</v>
      </c>
      <c r="AD160" s="1222">
        <v>190060.58517999999</v>
      </c>
      <c r="AE160" s="1221">
        <f t="shared" si="334"/>
        <v>566326.24019000004</v>
      </c>
      <c r="AF160" s="1221">
        <f t="shared" si="335"/>
        <v>594220.84091000003</v>
      </c>
      <c r="AG160" s="1221">
        <f t="shared" si="336"/>
        <v>503569.50669000007</v>
      </c>
      <c r="AH160" s="1221">
        <f t="shared" si="337"/>
        <v>574185.60285999998</v>
      </c>
      <c r="AI160" s="1221">
        <f>AE160+AF160</f>
        <v>1160547.0811000001</v>
      </c>
      <c r="AJ160" s="1221">
        <f>AH160+AG160</f>
        <v>1077755.1095500002</v>
      </c>
      <c r="AK160" s="1221">
        <f>AI160+AJ160</f>
        <v>2238302.1906500002</v>
      </c>
      <c r="AM160" s="596">
        <f ca="1">SUM((INDIRECT(AM$2&amp;(ROW())):INDIRECT(AM$3&amp;(ROW()))))</f>
        <v>196704</v>
      </c>
      <c r="AN160" s="2002">
        <f ca="1">SUM(INDIRECT(AN$1&amp;AN$2&amp;$C160):INDIRECT(AN$1&amp;AN$3&amp;$C160))</f>
        <v>155526.45909376343</v>
      </c>
      <c r="AO160" s="2767">
        <f t="shared" ca="1" si="230"/>
        <v>41177.540906236565</v>
      </c>
      <c r="AP160" s="2768">
        <f t="shared" ca="1" si="338"/>
        <v>1.2647622864056305</v>
      </c>
      <c r="AQ160" s="2002">
        <f ca="1">SUM(INDIRECT(AQ$1&amp;AQ$2&amp;$A160):INDIRECT(AQ$1&amp;AQ$3&amp;$A160))+SUM(INDIRECT(AQ$1&amp;AQ$2&amp;$B160):INDIRECT(AQ$1&amp;AQ$3&amp;$B160))</f>
        <v>124454</v>
      </c>
      <c r="AR160" s="2767">
        <f t="shared" ca="1" si="339"/>
        <v>72250</v>
      </c>
      <c r="AS160" s="2768">
        <f t="shared" ca="1" si="340"/>
        <v>1.5805357802882993</v>
      </c>
      <c r="AU160" s="596">
        <f ca="1">SUM((INDIRECT(AU$2&amp;(ROW())):INDIRECT(AU$3&amp;(ROW()))))</f>
        <v>196704</v>
      </c>
      <c r="AV160" s="2002">
        <f ca="1">SUM(INDIRECT(AV$1&amp;AV$2&amp;$C160):INDIRECT(AV$1&amp;AV$3&amp;$C160))</f>
        <v>155526.45909376343</v>
      </c>
      <c r="AW160" s="2767">
        <f t="shared" ca="1" si="341"/>
        <v>41177.540906236565</v>
      </c>
      <c r="AX160" s="2768">
        <f t="shared" ca="1" si="342"/>
        <v>1.2647622864056305</v>
      </c>
      <c r="AY160" s="2002">
        <f ca="1">SUM(INDIRECT(AY$1&amp;AY$2&amp;$A160):INDIRECT(AY$1&amp;AY$3&amp;$A160))+SUM(INDIRECT(AY$1&amp;AY$2&amp;$B160):INDIRECT(AY$1&amp;AY$3&amp;$B160))</f>
        <v>124454</v>
      </c>
      <c r="AZ160" s="2767">
        <f t="shared" ca="1" si="343"/>
        <v>72250</v>
      </c>
      <c r="BA160" s="2768">
        <f t="shared" ca="1" si="344"/>
        <v>1.5805357802882993</v>
      </c>
      <c r="BC160" s="596">
        <f ca="1">SUM((INDIRECT(BC$2&amp;(ROW())):INDIRECT(BC$3&amp;(ROW()))))</f>
        <v>196704</v>
      </c>
      <c r="BD160" s="2002">
        <f ca="1">SUM(INDIRECT(BD$1&amp;BD$2&amp;$C160):INDIRECT(BD$1&amp;BD$3&amp;$C160))</f>
        <v>155526.45909376343</v>
      </c>
      <c r="BE160" s="2767">
        <f t="shared" ca="1" si="345"/>
        <v>41177.540906236565</v>
      </c>
      <c r="BF160" s="2768">
        <f t="shared" ca="1" si="346"/>
        <v>1.2647622864056305</v>
      </c>
      <c r="BG160" s="2002">
        <f ca="1">SUM(INDIRECT(BG$1&amp;BG$2&amp;$A160):INDIRECT(BG$1&amp;BG$3&amp;$A160))+SUM(INDIRECT(BG$1&amp;BG$2&amp;$B160):INDIRECT(BG$1&amp;BG$3&amp;$B160))</f>
        <v>124454</v>
      </c>
      <c r="BH160" s="2767">
        <f t="shared" ca="1" si="347"/>
        <v>72250</v>
      </c>
      <c r="BI160" s="2768">
        <f t="shared" ca="1" si="348"/>
        <v>1.5805357802882993</v>
      </c>
    </row>
    <row r="161" spans="1:61" ht="14.5">
      <c r="A161" s="1693">
        <f t="shared" si="319"/>
        <v>161</v>
      </c>
      <c r="B161" s="616">
        <v>1</v>
      </c>
      <c r="C161" s="1693">
        <f t="shared" si="305"/>
        <v>161</v>
      </c>
      <c r="D161" s="616">
        <v>1</v>
      </c>
      <c r="E161" s="709" t="s">
        <v>512</v>
      </c>
      <c r="F161" s="1572"/>
      <c r="G161" s="4"/>
      <c r="H161" s="4"/>
      <c r="I161" s="4"/>
      <c r="J161" s="27"/>
      <c r="K161" s="3"/>
      <c r="L161" s="4"/>
      <c r="M161" s="4"/>
      <c r="N161" s="3" t="s">
        <v>27</v>
      </c>
      <c r="O161" s="3"/>
      <c r="P161" s="3"/>
      <c r="Q161" s="3"/>
      <c r="R161" s="1790" t="str">
        <f>CHOOSE(2, "6722000003080", "PL (2) BT Cons. Sales NH")</f>
        <v>PL (2) BT Cons. Sales NH</v>
      </c>
      <c r="S161" s="1215">
        <v>544717</v>
      </c>
      <c r="T161" s="1222">
        <v>466540.78807000007</v>
      </c>
      <c r="U161" s="1222">
        <v>383031.52797000005</v>
      </c>
      <c r="V161" s="1222">
        <v>394327.88300999999</v>
      </c>
      <c r="W161" s="1222">
        <v>435094.90967000002</v>
      </c>
      <c r="X161" s="1222">
        <v>447801.44628000003</v>
      </c>
      <c r="Y161" s="1222">
        <v>467475.15665999998</v>
      </c>
      <c r="Z161" s="1222">
        <v>407105.11107999994</v>
      </c>
      <c r="AA161" s="1222">
        <v>435191.62518999999</v>
      </c>
      <c r="AB161" s="1222">
        <v>484145.50097999995</v>
      </c>
      <c r="AC161" s="1222">
        <v>486569.47805999999</v>
      </c>
      <c r="AD161" s="1222">
        <v>409322.39270999999</v>
      </c>
      <c r="AE161" s="1221">
        <f t="shared" si="334"/>
        <v>1394289.3160399999</v>
      </c>
      <c r="AF161" s="1221">
        <f t="shared" si="335"/>
        <v>1277224.23896</v>
      </c>
      <c r="AG161" s="1221">
        <f t="shared" si="336"/>
        <v>1309771.8929299999</v>
      </c>
      <c r="AH161" s="1221">
        <f t="shared" si="337"/>
        <v>1380037.3717499999</v>
      </c>
      <c r="AI161" s="1221">
        <f>AE161+AF161</f>
        <v>2671513.5549999997</v>
      </c>
      <c r="AJ161" s="1221">
        <f>AH161+AG161</f>
        <v>2689809.26468</v>
      </c>
      <c r="AK161" s="1221">
        <f>AI161+AJ161</f>
        <v>5361322.8196799997</v>
      </c>
      <c r="AM161" s="596">
        <f ca="1">SUM((INDIRECT(AM$2&amp;(ROW())):INDIRECT(AM$3&amp;(ROW()))))</f>
        <v>544717</v>
      </c>
      <c r="AN161" s="2002">
        <f ca="1">SUM(INDIRECT(AN$1&amp;AN$2&amp;$C161):INDIRECT(AN$1&amp;AN$3&amp;$C161))</f>
        <v>441263.29359999998</v>
      </c>
      <c r="AO161" s="2767">
        <f t="shared" ca="1" si="230"/>
        <v>103453.70640000002</v>
      </c>
      <c r="AP161" s="2768">
        <f t="shared" ca="1" si="338"/>
        <v>1.234448928565945</v>
      </c>
      <c r="AQ161" s="2002">
        <f ca="1">SUM(INDIRECT(AQ$1&amp;AQ$2&amp;$A161):INDIRECT(AQ$1&amp;AQ$3&amp;$A161))+SUM(INDIRECT(AQ$1&amp;AQ$2&amp;$B161):INDIRECT(AQ$1&amp;AQ$3&amp;$B161))</f>
        <v>343857</v>
      </c>
      <c r="AR161" s="2767">
        <f t="shared" ca="1" si="339"/>
        <v>200860</v>
      </c>
      <c r="AS161" s="2768">
        <f t="shared" ca="1" si="340"/>
        <v>1.5841381737175628</v>
      </c>
      <c r="AU161" s="596">
        <f ca="1">SUM((INDIRECT(AU$2&amp;(ROW())):INDIRECT(AU$3&amp;(ROW()))))</f>
        <v>544717</v>
      </c>
      <c r="AV161" s="2002">
        <f ca="1">SUM(INDIRECT(AV$1&amp;AV$2&amp;$C161):INDIRECT(AV$1&amp;AV$3&amp;$C161))</f>
        <v>441263.29359999998</v>
      </c>
      <c r="AW161" s="2767">
        <f t="shared" ca="1" si="341"/>
        <v>103453.70640000002</v>
      </c>
      <c r="AX161" s="2768">
        <f t="shared" ca="1" si="342"/>
        <v>1.234448928565945</v>
      </c>
      <c r="AY161" s="2002">
        <f ca="1">SUM(INDIRECT(AY$1&amp;AY$2&amp;$A161):INDIRECT(AY$1&amp;AY$3&amp;$A161))+SUM(INDIRECT(AY$1&amp;AY$2&amp;$B161):INDIRECT(AY$1&amp;AY$3&amp;$B161))</f>
        <v>343857</v>
      </c>
      <c r="AZ161" s="2767">
        <f t="shared" ca="1" si="343"/>
        <v>200860</v>
      </c>
      <c r="BA161" s="2768">
        <f t="shared" ca="1" si="344"/>
        <v>1.5841381737175628</v>
      </c>
      <c r="BC161" s="596">
        <f ca="1">SUM((INDIRECT(BC$2&amp;(ROW())):INDIRECT(BC$3&amp;(ROW()))))</f>
        <v>544717</v>
      </c>
      <c r="BD161" s="2002">
        <f ca="1">SUM(INDIRECT(BD$1&amp;BD$2&amp;$C161):INDIRECT(BD$1&amp;BD$3&amp;$C161))</f>
        <v>441263.29359999998</v>
      </c>
      <c r="BE161" s="2767">
        <f t="shared" ca="1" si="345"/>
        <v>103453.70640000002</v>
      </c>
      <c r="BF161" s="2768">
        <f t="shared" ca="1" si="346"/>
        <v>1.234448928565945</v>
      </c>
      <c r="BG161" s="2002">
        <f ca="1">SUM(INDIRECT(BG$1&amp;BG$2&amp;$A161):INDIRECT(BG$1&amp;BG$3&amp;$A161))+SUM(INDIRECT(BG$1&amp;BG$2&amp;$B161):INDIRECT(BG$1&amp;BG$3&amp;$B161))</f>
        <v>343857</v>
      </c>
      <c r="BH161" s="2767">
        <f t="shared" ca="1" si="347"/>
        <v>200860</v>
      </c>
      <c r="BI161" s="2768">
        <f t="shared" ca="1" si="348"/>
        <v>1.5841381737175628</v>
      </c>
    </row>
    <row r="162" spans="1:61" ht="14.5">
      <c r="A162" s="1693">
        <f t="shared" si="319"/>
        <v>162</v>
      </c>
      <c r="B162" s="616">
        <v>1</v>
      </c>
      <c r="C162" s="1693">
        <f t="shared" si="305"/>
        <v>162</v>
      </c>
      <c r="D162" s="616">
        <v>1</v>
      </c>
      <c r="E162" s="709" t="s">
        <v>512</v>
      </c>
      <c r="F162" s="1572"/>
      <c r="G162" s="4"/>
      <c r="H162" s="4"/>
      <c r="I162" s="4"/>
      <c r="J162" s="27"/>
      <c r="K162" s="3"/>
      <c r="L162" s="4"/>
      <c r="M162" s="4"/>
      <c r="N162" s="3" t="s">
        <v>24</v>
      </c>
      <c r="O162" s="3"/>
      <c r="P162" s="3"/>
      <c r="Q162" s="3"/>
      <c r="R162" s="1790" t="str">
        <f>CHOOSE(2, "6722000003081", "PL (2) BT Cons. Sales Solution")</f>
        <v>PL (2) BT Cons. Sales Solution</v>
      </c>
      <c r="S162" s="1215"/>
      <c r="T162" s="1222"/>
      <c r="U162" s="1222"/>
      <c r="V162" s="1222"/>
      <c r="W162" s="1222"/>
      <c r="X162" s="1222">
        <v>151</v>
      </c>
      <c r="Y162" s="1222">
        <v>302</v>
      </c>
      <c r="Z162" s="1222">
        <v>342</v>
      </c>
      <c r="AA162" s="1222">
        <v>0</v>
      </c>
      <c r="AB162" s="1222">
        <v>151</v>
      </c>
      <c r="AC162" s="1222">
        <v>125</v>
      </c>
      <c r="AD162" s="1222">
        <v>669.74</v>
      </c>
      <c r="AE162" s="1221">
        <f t="shared" si="334"/>
        <v>0</v>
      </c>
      <c r="AF162" s="1221">
        <f t="shared" si="335"/>
        <v>151</v>
      </c>
      <c r="AG162" s="1221">
        <f t="shared" si="336"/>
        <v>644</v>
      </c>
      <c r="AH162" s="1221">
        <f t="shared" si="337"/>
        <v>945.74</v>
      </c>
      <c r="AI162" s="1221">
        <f>AE162+AF162</f>
        <v>151</v>
      </c>
      <c r="AJ162" s="1221">
        <f>AH162+AG162</f>
        <v>1589.74</v>
      </c>
      <c r="AK162" s="1221">
        <f>AI162+AJ162</f>
        <v>1740.74</v>
      </c>
      <c r="AM162" s="596">
        <f ca="1">SUM((INDIRECT(AM$2&amp;(ROW())):INDIRECT(AM$3&amp;(ROW()))))</f>
        <v>0</v>
      </c>
      <c r="AN162" s="2002">
        <f ca="1">SUM(INDIRECT(AN$1&amp;AN$2&amp;$C162):INDIRECT(AN$1&amp;AN$3&amp;$C162))</f>
        <v>750</v>
      </c>
      <c r="AO162" s="2767">
        <f t="shared" ca="1" si="230"/>
        <v>-750</v>
      </c>
      <c r="AP162" s="2768">
        <f t="shared" ca="1" si="338"/>
        <v>0</v>
      </c>
      <c r="AQ162" s="2002">
        <f ca="1">SUM(INDIRECT(AQ$1&amp;AQ$2&amp;$A162):INDIRECT(AQ$1&amp;AQ$3&amp;$A162))+SUM(INDIRECT(AQ$1&amp;AQ$2&amp;$B162):INDIRECT(AQ$1&amp;AQ$3&amp;$B162))</f>
        <v>0</v>
      </c>
      <c r="AR162" s="2767">
        <f t="shared" ca="1" si="339"/>
        <v>0</v>
      </c>
      <c r="AS162" s="2768">
        <f t="shared" ca="1" si="340"/>
        <v>0</v>
      </c>
      <c r="AU162" s="596">
        <f ca="1">SUM((INDIRECT(AU$2&amp;(ROW())):INDIRECT(AU$3&amp;(ROW()))))</f>
        <v>0</v>
      </c>
      <c r="AV162" s="2002">
        <f ca="1">SUM(INDIRECT(AV$1&amp;AV$2&amp;$C162):INDIRECT(AV$1&amp;AV$3&amp;$C162))</f>
        <v>750</v>
      </c>
      <c r="AW162" s="2767">
        <f t="shared" ca="1" si="341"/>
        <v>-750</v>
      </c>
      <c r="AX162" s="2768">
        <f t="shared" ca="1" si="342"/>
        <v>0</v>
      </c>
      <c r="AY162" s="2002">
        <f ca="1">SUM(INDIRECT(AY$1&amp;AY$2&amp;$A162):INDIRECT(AY$1&amp;AY$3&amp;$A162))+SUM(INDIRECT(AY$1&amp;AY$2&amp;$B162):INDIRECT(AY$1&amp;AY$3&amp;$B162))</f>
        <v>0</v>
      </c>
      <c r="AZ162" s="2767">
        <f t="shared" ca="1" si="343"/>
        <v>0</v>
      </c>
      <c r="BA162" s="2768">
        <f t="shared" ca="1" si="344"/>
        <v>0</v>
      </c>
      <c r="BC162" s="596">
        <f ca="1">SUM((INDIRECT(BC$2&amp;(ROW())):INDIRECT(BC$3&amp;(ROW()))))</f>
        <v>0</v>
      </c>
      <c r="BD162" s="2002">
        <f ca="1">SUM(INDIRECT(BD$1&amp;BD$2&amp;$C162):INDIRECT(BD$1&amp;BD$3&amp;$C162))</f>
        <v>750</v>
      </c>
      <c r="BE162" s="2767">
        <f t="shared" ca="1" si="345"/>
        <v>-750</v>
      </c>
      <c r="BF162" s="2768">
        <f t="shared" ca="1" si="346"/>
        <v>0</v>
      </c>
      <c r="BG162" s="2002">
        <f ca="1">SUM(INDIRECT(BG$1&amp;BG$2&amp;$A162):INDIRECT(BG$1&amp;BG$3&amp;$A162))+SUM(INDIRECT(BG$1&amp;BG$2&amp;$B162):INDIRECT(BG$1&amp;BG$3&amp;$B162))</f>
        <v>0</v>
      </c>
      <c r="BH162" s="2767">
        <f t="shared" ca="1" si="347"/>
        <v>0</v>
      </c>
      <c r="BI162" s="2768">
        <f t="shared" ca="1" si="348"/>
        <v>0</v>
      </c>
    </row>
    <row r="163" spans="1:61" ht="14.5">
      <c r="A163" s="1693">
        <f t="shared" si="319"/>
        <v>163</v>
      </c>
      <c r="B163" s="616">
        <v>1</v>
      </c>
      <c r="C163" s="1693">
        <f t="shared" si="305"/>
        <v>163</v>
      </c>
      <c r="D163" s="616">
        <v>1</v>
      </c>
      <c r="E163" s="709" t="s">
        <v>512</v>
      </c>
      <c r="F163" s="1572"/>
      <c r="G163" s="4"/>
      <c r="H163" s="4"/>
      <c r="I163" s="4"/>
      <c r="J163" s="27"/>
      <c r="K163" s="3"/>
      <c r="L163" s="4"/>
      <c r="M163" s="4"/>
      <c r="N163" s="3" t="s">
        <v>2</v>
      </c>
      <c r="O163" s="3"/>
      <c r="P163" s="3"/>
      <c r="Q163" s="3"/>
      <c r="R163" s="1790" t="str">
        <f>CHOOSE(2, "6722000003082", "PL (2) BT Cons. Sales Others")</f>
        <v>PL (2) BT Cons. Sales Others</v>
      </c>
      <c r="S163" s="1215"/>
      <c r="T163" s="1222"/>
      <c r="U163" s="1222"/>
      <c r="V163" s="1222"/>
      <c r="W163" s="1222"/>
      <c r="X163" s="1222"/>
      <c r="Y163" s="1222"/>
      <c r="Z163" s="1222">
        <v>0</v>
      </c>
      <c r="AA163" s="1222"/>
      <c r="AB163" s="1222">
        <v>0</v>
      </c>
      <c r="AC163" s="1222">
        <v>0</v>
      </c>
      <c r="AD163" s="1222"/>
      <c r="AE163" s="1221">
        <f t="shared" si="334"/>
        <v>0</v>
      </c>
      <c r="AF163" s="1221">
        <f t="shared" si="335"/>
        <v>0</v>
      </c>
      <c r="AG163" s="1221">
        <f t="shared" si="336"/>
        <v>0</v>
      </c>
      <c r="AH163" s="1221">
        <f t="shared" si="337"/>
        <v>0</v>
      </c>
      <c r="AI163" s="1221">
        <f>AE163+AF163</f>
        <v>0</v>
      </c>
      <c r="AJ163" s="1221">
        <f>AH163+AG163</f>
        <v>0</v>
      </c>
      <c r="AK163" s="1221">
        <f>AI163+AJ163</f>
        <v>0</v>
      </c>
      <c r="AM163" s="596">
        <f ca="1">SUM((INDIRECT(AM$2&amp;(ROW())):INDIRECT(AM$3&amp;(ROW()))))</f>
        <v>0</v>
      </c>
      <c r="AN163" s="2002">
        <f ca="1">SUM(INDIRECT(AN$1&amp;AN$2&amp;$C163):INDIRECT(AN$1&amp;AN$3&amp;$C163))</f>
        <v>0</v>
      </c>
      <c r="AO163" s="2767">
        <f t="shared" ca="1" si="230"/>
        <v>0</v>
      </c>
      <c r="AP163" s="2768">
        <f t="shared" ca="1" si="338"/>
        <v>0</v>
      </c>
      <c r="AQ163" s="2002">
        <f ca="1">SUM(INDIRECT(AQ$1&amp;AQ$2&amp;$A163):INDIRECT(AQ$1&amp;AQ$3&amp;$A163))+SUM(INDIRECT(AQ$1&amp;AQ$2&amp;$B163):INDIRECT(AQ$1&amp;AQ$3&amp;$B163))</f>
        <v>0</v>
      </c>
      <c r="AR163" s="2767">
        <f t="shared" ca="1" si="339"/>
        <v>0</v>
      </c>
      <c r="AS163" s="2768">
        <f t="shared" ca="1" si="340"/>
        <v>0</v>
      </c>
      <c r="AU163" s="596">
        <f ca="1">SUM((INDIRECT(AU$2&amp;(ROW())):INDIRECT(AU$3&amp;(ROW()))))</f>
        <v>0</v>
      </c>
      <c r="AV163" s="2002">
        <f ca="1">SUM(INDIRECT(AV$1&amp;AV$2&amp;$C163):INDIRECT(AV$1&amp;AV$3&amp;$C163))</f>
        <v>0</v>
      </c>
      <c r="AW163" s="2767">
        <f t="shared" ca="1" si="341"/>
        <v>0</v>
      </c>
      <c r="AX163" s="2768">
        <f t="shared" ca="1" si="342"/>
        <v>0</v>
      </c>
      <c r="AY163" s="2002">
        <f ca="1">SUM(INDIRECT(AY$1&amp;AY$2&amp;$A163):INDIRECT(AY$1&amp;AY$3&amp;$A163))+SUM(INDIRECT(AY$1&amp;AY$2&amp;$B163):INDIRECT(AY$1&amp;AY$3&amp;$B163))</f>
        <v>0</v>
      </c>
      <c r="AZ163" s="2767">
        <f t="shared" ca="1" si="343"/>
        <v>0</v>
      </c>
      <c r="BA163" s="2768">
        <f t="shared" ca="1" si="344"/>
        <v>0</v>
      </c>
      <c r="BC163" s="596">
        <f ca="1">SUM((INDIRECT(BC$2&amp;(ROW())):INDIRECT(BC$3&amp;(ROW()))))</f>
        <v>0</v>
      </c>
      <c r="BD163" s="2002">
        <f ca="1">SUM(INDIRECT(BD$1&amp;BD$2&amp;$C163):INDIRECT(BD$1&amp;BD$3&amp;$C163))</f>
        <v>0</v>
      </c>
      <c r="BE163" s="2767">
        <f t="shared" ca="1" si="345"/>
        <v>0</v>
      </c>
      <c r="BF163" s="2768">
        <f t="shared" ca="1" si="346"/>
        <v>0</v>
      </c>
      <c r="BG163" s="2002">
        <f ca="1">SUM(INDIRECT(BG$1&amp;BG$2&amp;$A163):INDIRECT(BG$1&amp;BG$3&amp;$A163))+SUM(INDIRECT(BG$1&amp;BG$2&amp;$B163):INDIRECT(BG$1&amp;BG$3&amp;$B163))</f>
        <v>0</v>
      </c>
      <c r="BH163" s="2767">
        <f t="shared" ca="1" si="347"/>
        <v>0</v>
      </c>
      <c r="BI163" s="2768">
        <f t="shared" ca="1" si="348"/>
        <v>0</v>
      </c>
    </row>
    <row r="164" spans="1:61" ht="14.5">
      <c r="A164" s="1693">
        <f t="shared" si="319"/>
        <v>164</v>
      </c>
      <c r="B164" s="616">
        <v>1</v>
      </c>
      <c r="C164" s="1693">
        <f t="shared" si="305"/>
        <v>164</v>
      </c>
      <c r="D164" s="616">
        <v>1</v>
      </c>
      <c r="F164" s="69"/>
      <c r="G164" s="4"/>
      <c r="H164" s="4"/>
      <c r="I164" s="4"/>
      <c r="J164" s="116" t="s">
        <v>37</v>
      </c>
      <c r="K164" s="115"/>
      <c r="L164" s="114"/>
      <c r="M164" s="114"/>
      <c r="N164" s="114"/>
      <c r="O164" s="114"/>
      <c r="P164" s="114"/>
      <c r="Q164" s="864"/>
      <c r="R164" s="1793" t="str">
        <f>CHOOSE(2, "6722000003083", "PL (2) Cost of Sales")</f>
        <v>PL (2) Cost of Sales</v>
      </c>
      <c r="S164" s="1584">
        <f>S165+S166+S174+S175</f>
        <v>440489</v>
      </c>
      <c r="T164" s="1585">
        <f t="shared" ref="T164:AD164" si="354">T165+T166+T174+T175</f>
        <v>447255.04811000009</v>
      </c>
      <c r="U164" s="1585">
        <f t="shared" si="354"/>
        <v>369266.94679125003</v>
      </c>
      <c r="V164" s="1585">
        <f t="shared" si="354"/>
        <v>392250.14345196157</v>
      </c>
      <c r="W164" s="1585">
        <f t="shared" si="354"/>
        <v>470090.58236651123</v>
      </c>
      <c r="X164" s="1585">
        <f t="shared" si="354"/>
        <v>457756.38625035802</v>
      </c>
      <c r="Y164" s="1585">
        <f t="shared" si="354"/>
        <v>464648.72080625</v>
      </c>
      <c r="Z164" s="1585">
        <f t="shared" si="354"/>
        <v>363948.17709970573</v>
      </c>
      <c r="AA164" s="1585">
        <f t="shared" si="354"/>
        <v>406386.46672281367</v>
      </c>
      <c r="AB164" s="1585">
        <f t="shared" si="354"/>
        <v>438840.70055028592</v>
      </c>
      <c r="AC164" s="1585">
        <f t="shared" si="354"/>
        <v>433625.22028658079</v>
      </c>
      <c r="AD164" s="1585">
        <f t="shared" si="354"/>
        <v>438564.07243388722</v>
      </c>
      <c r="AE164" s="885">
        <f t="shared" ref="AE164:AK164" si="355">AE165+AE166+AE174+AE175</f>
        <v>1257010.9949012501</v>
      </c>
      <c r="AF164" s="113">
        <f t="shared" si="355"/>
        <v>1320097.1120688308</v>
      </c>
      <c r="AG164" s="113">
        <f t="shared" si="355"/>
        <v>1234983.3646287695</v>
      </c>
      <c r="AH164" s="113">
        <f t="shared" si="355"/>
        <v>1311029.9932707539</v>
      </c>
      <c r="AI164" s="113">
        <f t="shared" si="355"/>
        <v>2577108.1069700811</v>
      </c>
      <c r="AJ164" s="113">
        <f t="shared" si="355"/>
        <v>2546013.3578995233</v>
      </c>
      <c r="AK164" s="113">
        <f t="shared" si="355"/>
        <v>5123121.4648696035</v>
      </c>
      <c r="AM164" s="2268">
        <f ca="1">SUM((INDIRECT(AM$2&amp;(ROW())):INDIRECT(AM$3&amp;(ROW()))))</f>
        <v>440489</v>
      </c>
      <c r="AN164" s="2030">
        <f ca="1">SUM(INDIRECT(AN$1&amp;AN$2&amp;$C164):INDIRECT(AN$1&amp;AN$3&amp;$C164))</f>
        <v>347054.45826611959</v>
      </c>
      <c r="AO164" s="2800">
        <f t="shared" ca="1" si="230"/>
        <v>93434.541733880411</v>
      </c>
      <c r="AP164" s="2801">
        <f t="shared" ca="1" si="338"/>
        <v>1.2692215573333314</v>
      </c>
      <c r="AQ164" s="2030">
        <f ca="1">SUM(INDIRECT(AQ$1&amp;AQ$2&amp;$A164):INDIRECT(AQ$1&amp;AQ$3&amp;$A164))+SUM(INDIRECT(AQ$1&amp;AQ$2&amp;$B164):INDIRECT(AQ$1&amp;AQ$3&amp;$B164))</f>
        <v>326724</v>
      </c>
      <c r="AR164" s="2800">
        <f t="shared" ca="1" si="339"/>
        <v>113765</v>
      </c>
      <c r="AS164" s="2801">
        <f t="shared" ca="1" si="340"/>
        <v>1.3481990915880071</v>
      </c>
      <c r="AU164" s="2268">
        <f ca="1">SUM((INDIRECT(AU$2&amp;(ROW())):INDIRECT(AU$3&amp;(ROW()))))</f>
        <v>440489</v>
      </c>
      <c r="AV164" s="2030">
        <f ca="1">SUM(INDIRECT(AV$1&amp;AV$2&amp;$C164):INDIRECT(AV$1&amp;AV$3&amp;$C164))</f>
        <v>347054.45826611959</v>
      </c>
      <c r="AW164" s="2800">
        <f t="shared" ca="1" si="341"/>
        <v>93434.541733880411</v>
      </c>
      <c r="AX164" s="2801">
        <f t="shared" ca="1" si="342"/>
        <v>1.2692215573333314</v>
      </c>
      <c r="AY164" s="2030">
        <f ca="1">SUM(INDIRECT(AY$1&amp;AY$2&amp;$A164):INDIRECT(AY$1&amp;AY$3&amp;$A164))+SUM(INDIRECT(AY$1&amp;AY$2&amp;$B164):INDIRECT(AY$1&amp;AY$3&amp;$B164))</f>
        <v>326724</v>
      </c>
      <c r="AZ164" s="2800">
        <f t="shared" ca="1" si="343"/>
        <v>113765</v>
      </c>
      <c r="BA164" s="2801">
        <f t="shared" ca="1" si="344"/>
        <v>1.3481990915880071</v>
      </c>
      <c r="BC164" s="2268">
        <f ca="1">SUM((INDIRECT(BC$2&amp;(ROW())):INDIRECT(BC$3&amp;(ROW()))))</f>
        <v>440489</v>
      </c>
      <c r="BD164" s="2030">
        <f ca="1">SUM(INDIRECT(BD$1&amp;BD$2&amp;$C164):INDIRECT(BD$1&amp;BD$3&amp;$C164))</f>
        <v>347054.45826611959</v>
      </c>
      <c r="BE164" s="2800">
        <f t="shared" ca="1" si="345"/>
        <v>93434.541733880411</v>
      </c>
      <c r="BF164" s="2801">
        <f t="shared" ca="1" si="346"/>
        <v>1.2692215573333314</v>
      </c>
      <c r="BG164" s="2030">
        <f ca="1">SUM(INDIRECT(BG$1&amp;BG$2&amp;$A164):INDIRECT(BG$1&amp;BG$3&amp;$A164))+SUM(INDIRECT(BG$1&amp;BG$2&amp;$B164):INDIRECT(BG$1&amp;BG$3&amp;$B164))</f>
        <v>326724</v>
      </c>
      <c r="BH164" s="2800">
        <f t="shared" ca="1" si="347"/>
        <v>113765</v>
      </c>
      <c r="BI164" s="2801">
        <f t="shared" ca="1" si="348"/>
        <v>1.3481990915880071</v>
      </c>
    </row>
    <row r="165" spans="1:61" ht="14.5">
      <c r="A165" s="1693">
        <f t="shared" si="319"/>
        <v>165</v>
      </c>
      <c r="B165" s="616">
        <v>1</v>
      </c>
      <c r="C165" s="1693">
        <f t="shared" si="305"/>
        <v>165</v>
      </c>
      <c r="D165" s="616">
        <v>1</v>
      </c>
      <c r="F165" s="69"/>
      <c r="G165" s="4"/>
      <c r="H165" s="4"/>
      <c r="I165" s="4"/>
      <c r="J165" s="27"/>
      <c r="K165" s="3"/>
      <c r="L165" s="4"/>
      <c r="M165" s="4"/>
      <c r="N165" s="3" t="s">
        <v>57</v>
      </c>
      <c r="O165" s="3"/>
      <c r="P165" s="3"/>
      <c r="Q165" s="3"/>
      <c r="R165" s="1794" t="str">
        <f>CHOOSE(2, "6722000003084", "PL (2) Cost of Sales HW")</f>
        <v>PL (2) Cost of Sales HW</v>
      </c>
      <c r="S165" s="1564">
        <f>S155-S182</f>
        <v>133451</v>
      </c>
      <c r="T165" s="1565">
        <f t="shared" ref="T165:AD166" si="356">T155-T182</f>
        <v>134891.77496000004</v>
      </c>
      <c r="U165" s="1565">
        <f t="shared" si="356"/>
        <v>107867.88189708334</v>
      </c>
      <c r="V165" s="1565">
        <f t="shared" si="356"/>
        <v>115320.42729708334</v>
      </c>
      <c r="W165" s="1565">
        <f t="shared" si="356"/>
        <v>127845.07359875001</v>
      </c>
      <c r="X165" s="1565">
        <f t="shared" si="356"/>
        <v>136131.73620115849</v>
      </c>
      <c r="Y165" s="1565">
        <f t="shared" si="356"/>
        <v>119734.48425875002</v>
      </c>
      <c r="Z165" s="1565">
        <f t="shared" si="356"/>
        <v>95846.460445107048</v>
      </c>
      <c r="AA165" s="1565">
        <f t="shared" si="356"/>
        <v>105022.14277999999</v>
      </c>
      <c r="AB165" s="1565">
        <f t="shared" si="356"/>
        <v>112456.55321500001</v>
      </c>
      <c r="AC165" s="1565">
        <f t="shared" si="356"/>
        <v>144338.10802451058</v>
      </c>
      <c r="AD165" s="1565">
        <f t="shared" si="356"/>
        <v>116224.5221211038</v>
      </c>
      <c r="AE165" s="1221">
        <f>SUM(S165,T165,U165)</f>
        <v>376210.65685708344</v>
      </c>
      <c r="AF165" s="1221">
        <f>SUM(V165,W165,X165)</f>
        <v>379297.23709699186</v>
      </c>
      <c r="AG165" s="1221">
        <f>SUM(Y165,Z165,AA165)</f>
        <v>320603.08748385706</v>
      </c>
      <c r="AH165" s="1221">
        <f>SUM(AB165,AC165,AD165)</f>
        <v>373019.18336061435</v>
      </c>
      <c r="AI165" s="1221">
        <f>AE165+AF165</f>
        <v>755507.89395407529</v>
      </c>
      <c r="AJ165" s="1221">
        <f>AH165+AG165</f>
        <v>693622.27084447141</v>
      </c>
      <c r="AK165" s="1221">
        <f>AI165+AJ165</f>
        <v>1449130.1647985466</v>
      </c>
      <c r="AM165" s="596">
        <f ca="1">SUM((INDIRECT(AM$2&amp;(ROW())):INDIRECT(AM$3&amp;(ROW()))))</f>
        <v>133451</v>
      </c>
      <c r="AN165" s="2002">
        <f ca="1">SUM(INDIRECT(AN$1&amp;AN$2&amp;$C165):INDIRECT(AN$1&amp;AN$3&amp;$C165))</f>
        <v>99213.664634261979</v>
      </c>
      <c r="AO165" s="2767">
        <f t="shared" ca="1" si="230"/>
        <v>34237.335365738021</v>
      </c>
      <c r="AP165" s="2768">
        <f t="shared" ca="1" si="338"/>
        <v>1.3450868939470124</v>
      </c>
      <c r="AQ165" s="2002">
        <f ca="1">SUM(INDIRECT(AQ$1&amp;AQ$2&amp;$A165):INDIRECT(AQ$1&amp;AQ$3&amp;$A165))+SUM(INDIRECT(AQ$1&amp;AQ$2&amp;$B165):INDIRECT(AQ$1&amp;AQ$3&amp;$B165))</f>
        <v>83490</v>
      </c>
      <c r="AR165" s="2767">
        <f t="shared" ca="1" si="339"/>
        <v>49961</v>
      </c>
      <c r="AS165" s="2768">
        <f t="shared" ca="1" si="340"/>
        <v>1.5984069948496826</v>
      </c>
      <c r="AU165" s="596">
        <f ca="1">SUM((INDIRECT(AU$2&amp;(ROW())):INDIRECT(AU$3&amp;(ROW()))))</f>
        <v>133451</v>
      </c>
      <c r="AV165" s="2002">
        <f ca="1">SUM(INDIRECT(AV$1&amp;AV$2&amp;$C165):INDIRECT(AV$1&amp;AV$3&amp;$C165))</f>
        <v>99213.664634261979</v>
      </c>
      <c r="AW165" s="2767">
        <f t="shared" ca="1" si="341"/>
        <v>34237.335365738021</v>
      </c>
      <c r="AX165" s="2768">
        <f t="shared" ca="1" si="342"/>
        <v>1.3450868939470124</v>
      </c>
      <c r="AY165" s="2002">
        <f ca="1">SUM(INDIRECT(AY$1&amp;AY$2&amp;$A165):INDIRECT(AY$1&amp;AY$3&amp;$A165))+SUM(INDIRECT(AY$1&amp;AY$2&amp;$B165):INDIRECT(AY$1&amp;AY$3&amp;$B165))</f>
        <v>83490</v>
      </c>
      <c r="AZ165" s="2767">
        <f t="shared" ca="1" si="343"/>
        <v>49961</v>
      </c>
      <c r="BA165" s="2768">
        <f t="shared" ca="1" si="344"/>
        <v>1.5984069948496826</v>
      </c>
      <c r="BC165" s="596">
        <f ca="1">SUM((INDIRECT(BC$2&amp;(ROW())):INDIRECT(BC$3&amp;(ROW()))))</f>
        <v>133451</v>
      </c>
      <c r="BD165" s="2002">
        <f ca="1">SUM(INDIRECT(BD$1&amp;BD$2&amp;$C165):INDIRECT(BD$1&amp;BD$3&amp;$C165))</f>
        <v>99213.664634261979</v>
      </c>
      <c r="BE165" s="2767">
        <f t="shared" ca="1" si="345"/>
        <v>34237.335365738021</v>
      </c>
      <c r="BF165" s="2768">
        <f t="shared" ca="1" si="346"/>
        <v>1.3450868939470124</v>
      </c>
      <c r="BG165" s="2002">
        <f ca="1">SUM(INDIRECT(BG$1&amp;BG$2&amp;$A165):INDIRECT(BG$1&amp;BG$3&amp;$A165))+SUM(INDIRECT(BG$1&amp;BG$2&amp;$B165):INDIRECT(BG$1&amp;BG$3&amp;$B165))</f>
        <v>83490</v>
      </c>
      <c r="BH165" s="2767">
        <f t="shared" ca="1" si="347"/>
        <v>49961</v>
      </c>
      <c r="BI165" s="2768">
        <f t="shared" ca="1" si="348"/>
        <v>1.5984069948496826</v>
      </c>
    </row>
    <row r="166" spans="1:61" ht="14.5">
      <c r="A166" s="1693">
        <f t="shared" si="319"/>
        <v>166</v>
      </c>
      <c r="B166" s="616">
        <v>1</v>
      </c>
      <c r="C166" s="1693">
        <f t="shared" si="305"/>
        <v>166</v>
      </c>
      <c r="D166" s="616">
        <v>1</v>
      </c>
      <c r="F166" s="69"/>
      <c r="G166" s="4"/>
      <c r="H166" s="4"/>
      <c r="I166" s="4"/>
      <c r="J166" s="27"/>
      <c r="K166" s="3"/>
      <c r="L166" s="4"/>
      <c r="M166" s="4"/>
      <c r="N166" s="3" t="s">
        <v>27</v>
      </c>
      <c r="O166" s="3"/>
      <c r="P166" s="3"/>
      <c r="Q166" s="3"/>
      <c r="R166" s="1789" t="str">
        <f>CHOOSE(2, "6722000003085", "PL (2) Cost of Sales NH")</f>
        <v>PL (2) Cost of Sales NH</v>
      </c>
      <c r="S166" s="1214">
        <f>S156-S183</f>
        <v>307038</v>
      </c>
      <c r="T166" s="1221">
        <f t="shared" si="356"/>
        <v>312363.27315000002</v>
      </c>
      <c r="U166" s="1221">
        <f t="shared" si="356"/>
        <v>261399.06489416672</v>
      </c>
      <c r="V166" s="1221">
        <f t="shared" si="356"/>
        <v>276929.7161548782</v>
      </c>
      <c r="W166" s="1221">
        <f t="shared" si="356"/>
        <v>342245.50876776123</v>
      </c>
      <c r="X166" s="1221">
        <f t="shared" si="356"/>
        <v>320424.95247919951</v>
      </c>
      <c r="Y166" s="1221">
        <f t="shared" si="356"/>
        <v>343559.61122749996</v>
      </c>
      <c r="Z166" s="1221">
        <f>Z156-Z183</f>
        <v>267896.54365459864</v>
      </c>
      <c r="AA166" s="1221">
        <f t="shared" si="356"/>
        <v>301364.32394281367</v>
      </c>
      <c r="AB166" s="1221">
        <f t="shared" si="356"/>
        <v>326320.88333528588</v>
      </c>
      <c r="AC166" s="1221">
        <f t="shared" si="356"/>
        <v>289222.84826207021</v>
      </c>
      <c r="AD166" s="1221">
        <f t="shared" si="356"/>
        <v>322004.79931278346</v>
      </c>
      <c r="AE166" s="1221">
        <f>SUM(S166,T166,U166)</f>
        <v>880800.3380441668</v>
      </c>
      <c r="AF166" s="1221">
        <f>SUM(V166,W166,X166)</f>
        <v>939600.17740183894</v>
      </c>
      <c r="AG166" s="1221">
        <f>SUM(Y166,Z166,AA166)</f>
        <v>912820.47882491222</v>
      </c>
      <c r="AH166" s="1221">
        <f>SUM(AB166,AC166,AD166)</f>
        <v>937548.53091013944</v>
      </c>
      <c r="AI166" s="1221">
        <f>AE166+AF166</f>
        <v>1820400.5154460059</v>
      </c>
      <c r="AJ166" s="1221">
        <f>AH166+AG166</f>
        <v>1850369.0097350515</v>
      </c>
      <c r="AK166" s="1221">
        <f>AI166+AJ166</f>
        <v>3670769.5251810574</v>
      </c>
      <c r="AM166" s="596">
        <f ca="1">SUM((INDIRECT(AM$2&amp;(ROW())):INDIRECT(AM$3&amp;(ROW()))))</f>
        <v>307038</v>
      </c>
      <c r="AN166" s="2002">
        <f ca="1">SUM(INDIRECT(AN$1&amp;AN$2&amp;$C166):INDIRECT(AN$1&amp;AN$3&amp;$C166))</f>
        <v>247340.54363185758</v>
      </c>
      <c r="AO166" s="2767">
        <f t="shared" ca="1" si="230"/>
        <v>59697.456368142419</v>
      </c>
      <c r="AP166" s="2768">
        <f t="shared" ca="1" si="338"/>
        <v>1.2413573427613884</v>
      </c>
      <c r="AQ166" s="2002">
        <f ca="1">SUM(INDIRECT(AQ$1&amp;AQ$2&amp;$A166):INDIRECT(AQ$1&amp;AQ$3&amp;$A166))+SUM(INDIRECT(AQ$1&amp;AQ$2&amp;$B166):INDIRECT(AQ$1&amp;AQ$3&amp;$B166))</f>
        <v>243234</v>
      </c>
      <c r="AR166" s="2767">
        <f t="shared" ca="1" si="339"/>
        <v>63804</v>
      </c>
      <c r="AS166" s="2768">
        <f t="shared" ca="1" si="340"/>
        <v>1.2623153013147832</v>
      </c>
      <c r="AU166" s="596">
        <f ca="1">SUM((INDIRECT(AU$2&amp;(ROW())):INDIRECT(AU$3&amp;(ROW()))))</f>
        <v>307038</v>
      </c>
      <c r="AV166" s="2002">
        <f ca="1">SUM(INDIRECT(AV$1&amp;AV$2&amp;$C166):INDIRECT(AV$1&amp;AV$3&amp;$C166))</f>
        <v>247340.54363185758</v>
      </c>
      <c r="AW166" s="2767">
        <f t="shared" ca="1" si="341"/>
        <v>59697.456368142419</v>
      </c>
      <c r="AX166" s="2768">
        <f t="shared" ca="1" si="342"/>
        <v>1.2413573427613884</v>
      </c>
      <c r="AY166" s="2002">
        <f ca="1">SUM(INDIRECT(AY$1&amp;AY$2&amp;$A166):INDIRECT(AY$1&amp;AY$3&amp;$A166))+SUM(INDIRECT(AY$1&amp;AY$2&amp;$B166):INDIRECT(AY$1&amp;AY$3&amp;$B166))</f>
        <v>243234</v>
      </c>
      <c r="AZ166" s="2767">
        <f t="shared" ca="1" si="343"/>
        <v>63804</v>
      </c>
      <c r="BA166" s="2768">
        <f t="shared" ca="1" si="344"/>
        <v>1.2623153013147832</v>
      </c>
      <c r="BC166" s="596">
        <f ca="1">SUM((INDIRECT(BC$2&amp;(ROW())):INDIRECT(BC$3&amp;(ROW()))))</f>
        <v>307038</v>
      </c>
      <c r="BD166" s="2002">
        <f ca="1">SUM(INDIRECT(BD$1&amp;BD$2&amp;$C166):INDIRECT(BD$1&amp;BD$3&amp;$C166))</f>
        <v>247340.54363185758</v>
      </c>
      <c r="BE166" s="2767">
        <f t="shared" ca="1" si="345"/>
        <v>59697.456368142419</v>
      </c>
      <c r="BF166" s="2768">
        <f t="shared" ca="1" si="346"/>
        <v>1.2413573427613884</v>
      </c>
      <c r="BG166" s="2002">
        <f ca="1">SUM(INDIRECT(BG$1&amp;BG$2&amp;$A166):INDIRECT(BG$1&amp;BG$3&amp;$A166))+SUM(INDIRECT(BG$1&amp;BG$2&amp;$B166):INDIRECT(BG$1&amp;BG$3&amp;$B166))</f>
        <v>243234</v>
      </c>
      <c r="BH166" s="2767">
        <f t="shared" ca="1" si="347"/>
        <v>63804</v>
      </c>
      <c r="BI166" s="2768">
        <f t="shared" ca="1" si="348"/>
        <v>1.2623153013147832</v>
      </c>
    </row>
    <row r="167" spans="1:61" ht="14.5">
      <c r="A167" s="1693">
        <f t="shared" si="319"/>
        <v>167</v>
      </c>
      <c r="B167" s="616">
        <v>1</v>
      </c>
      <c r="C167" s="1693">
        <f t="shared" si="305"/>
        <v>167</v>
      </c>
      <c r="D167" s="616">
        <v>1</v>
      </c>
      <c r="F167" s="69"/>
      <c r="G167" s="4"/>
      <c r="H167" s="4"/>
      <c r="I167" s="4"/>
      <c r="J167" s="27"/>
      <c r="K167" s="3"/>
      <c r="L167" s="4"/>
      <c r="M167" s="4"/>
      <c r="N167" s="3"/>
      <c r="O167" s="3"/>
      <c r="P167" s="294" t="s">
        <v>269</v>
      </c>
      <c r="Q167" s="723"/>
      <c r="R167" s="1790" t="str">
        <f>CHOOSE(2, "6722000003086", "PL (2) Cost of Sales NH MC(T, P, C)")</f>
        <v>PL (2) Cost of Sales NH MC(T, P, C)</v>
      </c>
      <c r="S167" s="1386">
        <v>291319</v>
      </c>
      <c r="T167" s="1279">
        <v>295149.66465000005</v>
      </c>
      <c r="U167" s="1279">
        <v>243228.91289416671</v>
      </c>
      <c r="V167" s="1279">
        <v>256614.3115741662</v>
      </c>
      <c r="W167" s="1279">
        <v>320438.66004517395</v>
      </c>
      <c r="X167" s="1279">
        <v>300073.35776416666</v>
      </c>
      <c r="Y167" s="1279">
        <v>322976.60322749999</v>
      </c>
      <c r="Z167" s="1279">
        <v>244977.62765459865</v>
      </c>
      <c r="AA167" s="1279">
        <v>278348.54827499948</v>
      </c>
      <c r="AB167" s="1279">
        <v>299850.806255</v>
      </c>
      <c r="AC167" s="1279">
        <v>265464.34081297199</v>
      </c>
      <c r="AD167" s="1279">
        <v>297586.70483</v>
      </c>
      <c r="AE167" s="472">
        <f>SUM(S167,T167,U167)</f>
        <v>829697.57754416671</v>
      </c>
      <c r="AF167" s="472">
        <f>SUM(V167,W167,X167)</f>
        <v>877126.32938350679</v>
      </c>
      <c r="AG167" s="472">
        <f>SUM(Y167,Z167,AA167)</f>
        <v>846302.77915709815</v>
      </c>
      <c r="AH167" s="472">
        <f>SUM(AB167,AC167,AD167)</f>
        <v>862901.85189797194</v>
      </c>
      <c r="AI167" s="472">
        <f>AE167+AF167</f>
        <v>1706823.9069276736</v>
      </c>
      <c r="AJ167" s="472">
        <f>AH167+AG167</f>
        <v>1709204.6310550701</v>
      </c>
      <c r="AK167" s="472">
        <f>AI167+AJ167</f>
        <v>3416028.5379827437</v>
      </c>
      <c r="AM167" s="2771">
        <f ca="1">SUM((INDIRECT(AM$2&amp;(ROW())):INDIRECT(AM$3&amp;(ROW()))))</f>
        <v>291319</v>
      </c>
      <c r="AN167" s="2010">
        <f ca="1">SUM(INDIRECT(AN$1&amp;AN$2&amp;$C167):INDIRECT(AN$1&amp;AN$3&amp;$C167))</f>
        <v>204958.06244812091</v>
      </c>
      <c r="AO167" s="2772">
        <f t="shared" ca="1" si="230"/>
        <v>86360.937551879091</v>
      </c>
      <c r="AP167" s="2773">
        <f t="shared" ca="1" si="338"/>
        <v>1.4213590649732981</v>
      </c>
      <c r="AQ167" s="2010">
        <f ca="1">SUM(INDIRECT(AQ$1&amp;AQ$2&amp;$A167):INDIRECT(AQ$1&amp;AQ$3&amp;$A167))+SUM(INDIRECT(AQ$1&amp;AQ$2&amp;$B167):INDIRECT(AQ$1&amp;AQ$3&amp;$B167))</f>
        <v>229547</v>
      </c>
      <c r="AR167" s="2772">
        <f t="shared" ca="1" si="339"/>
        <v>61772</v>
      </c>
      <c r="AS167" s="2773">
        <f t="shared" ca="1" si="340"/>
        <v>1.2691039307854164</v>
      </c>
      <c r="AU167" s="2771">
        <f ca="1">SUM((INDIRECT(AU$2&amp;(ROW())):INDIRECT(AU$3&amp;(ROW()))))</f>
        <v>291319</v>
      </c>
      <c r="AV167" s="2010">
        <f ca="1">SUM(INDIRECT(AV$1&amp;AV$2&amp;$C167):INDIRECT(AV$1&amp;AV$3&amp;$C167))</f>
        <v>204958.06244812091</v>
      </c>
      <c r="AW167" s="2772">
        <f t="shared" ca="1" si="341"/>
        <v>86360.937551879091</v>
      </c>
      <c r="AX167" s="2773">
        <f t="shared" ca="1" si="342"/>
        <v>1.4213590649732981</v>
      </c>
      <c r="AY167" s="2010">
        <f ca="1">SUM(INDIRECT(AY$1&amp;AY$2&amp;$A167):INDIRECT(AY$1&amp;AY$3&amp;$A167))+SUM(INDIRECT(AY$1&amp;AY$2&amp;$B167):INDIRECT(AY$1&amp;AY$3&amp;$B167))</f>
        <v>229547</v>
      </c>
      <c r="AZ167" s="2772">
        <f t="shared" ca="1" si="343"/>
        <v>61772</v>
      </c>
      <c r="BA167" s="2773">
        <f t="shared" ca="1" si="344"/>
        <v>1.2691039307854164</v>
      </c>
      <c r="BC167" s="2771">
        <f ca="1">SUM((INDIRECT(BC$2&amp;(ROW())):INDIRECT(BC$3&amp;(ROW()))))</f>
        <v>291319</v>
      </c>
      <c r="BD167" s="2010">
        <f ca="1">SUM(INDIRECT(BD$1&amp;BD$2&amp;$C167):INDIRECT(BD$1&amp;BD$3&amp;$C167))</f>
        <v>204958.06244812091</v>
      </c>
      <c r="BE167" s="2772">
        <f t="shared" ca="1" si="345"/>
        <v>86360.937551879091</v>
      </c>
      <c r="BF167" s="2773">
        <f t="shared" ca="1" si="346"/>
        <v>1.4213590649732981</v>
      </c>
      <c r="BG167" s="2010">
        <f ca="1">SUM(INDIRECT(BG$1&amp;BG$2&amp;$A167):INDIRECT(BG$1&amp;BG$3&amp;$A167))+SUM(INDIRECT(BG$1&amp;BG$2&amp;$B167):INDIRECT(BG$1&amp;BG$3&amp;$B167))</f>
        <v>229547</v>
      </c>
      <c r="BH167" s="2772">
        <f t="shared" ca="1" si="347"/>
        <v>61772</v>
      </c>
      <c r="BI167" s="2773">
        <f t="shared" ca="1" si="348"/>
        <v>1.2691039307854164</v>
      </c>
    </row>
    <row r="168" spans="1:61" ht="14.5">
      <c r="A168" s="1693">
        <f t="shared" si="319"/>
        <v>168</v>
      </c>
      <c r="B168" s="616">
        <v>1</v>
      </c>
      <c r="C168" s="1693">
        <f t="shared" si="305"/>
        <v>168</v>
      </c>
      <c r="D168" s="616">
        <v>1</v>
      </c>
      <c r="F168" s="69"/>
      <c r="G168" s="4"/>
      <c r="H168" s="4"/>
      <c r="I168" s="4"/>
      <c r="J168" s="27"/>
      <c r="K168" s="3"/>
      <c r="L168" s="4"/>
      <c r="M168" s="4"/>
      <c r="N168" s="3"/>
      <c r="O168" s="3"/>
      <c r="P168" s="3"/>
      <c r="Q168" s="3" t="s">
        <v>120</v>
      </c>
      <c r="R168" s="1790" t="str">
        <f>CHOOSE(2, "6722000003087", "PL (2) Cost of Sales NH MC(T, P, C) Direct")</f>
        <v>PL (2) Cost of Sales NH MC(T, P, C) Direct</v>
      </c>
      <c r="S168" s="1215">
        <f>S567-S598</f>
        <v>251746</v>
      </c>
      <c r="T168" s="1215">
        <f t="shared" ref="T168:AD168" si="357">T567-T598</f>
        <v>257607.94574000008</v>
      </c>
      <c r="U168" s="1215">
        <f t="shared" si="357"/>
        <v>210650.53878009005</v>
      </c>
      <c r="V168" s="1215">
        <f t="shared" si="357"/>
        <v>231603.87001000001</v>
      </c>
      <c r="W168" s="1215">
        <f t="shared" si="357"/>
        <v>288415.64867000002</v>
      </c>
      <c r="X168" s="1215">
        <f t="shared" si="357"/>
        <v>264952</v>
      </c>
      <c r="Y168" s="1215">
        <f t="shared" si="357"/>
        <v>285289.90345796209</v>
      </c>
      <c r="Z168" s="1215">
        <f t="shared" si="357"/>
        <v>216595.49851999996</v>
      </c>
      <c r="AA168" s="1215">
        <f t="shared" si="357"/>
        <v>248651.07553148677</v>
      </c>
      <c r="AB168" s="1215">
        <f t="shared" si="357"/>
        <v>264020.67844095605</v>
      </c>
      <c r="AC168" s="1215">
        <f t="shared" si="357"/>
        <v>229895.84719168945</v>
      </c>
      <c r="AD168" s="1215">
        <f t="shared" si="357"/>
        <v>244943.24320356603</v>
      </c>
      <c r="AE168" s="1221">
        <f>SUM(S168,T168,U168)</f>
        <v>720004.48452009016</v>
      </c>
      <c r="AF168" s="1221">
        <f>SUM(V168,W168,X168)</f>
        <v>784971.51867999998</v>
      </c>
      <c r="AG168" s="1221">
        <f>SUM(Y168,Z168,AA168)</f>
        <v>750536.47750944877</v>
      </c>
      <c r="AH168" s="1221">
        <f>SUM(AB168,AC168,AD168)</f>
        <v>738859.76883621153</v>
      </c>
      <c r="AI168" s="1221">
        <f>AE168+AF168</f>
        <v>1504976.00320009</v>
      </c>
      <c r="AJ168" s="1221">
        <f>AH168+AG168</f>
        <v>1489396.2463456602</v>
      </c>
      <c r="AK168" s="1221">
        <f>AI168+AJ168</f>
        <v>2994372.2495457502</v>
      </c>
      <c r="AM168" s="596">
        <f ca="1">SUM((INDIRECT(AM$2&amp;(ROW())):INDIRECT(AM$3&amp;(ROW()))))</f>
        <v>251746</v>
      </c>
      <c r="AN168" s="2002">
        <f ca="1">SUM(INDIRECT(AN$1&amp;AN$2&amp;$C168):INDIRECT(AN$1&amp;AN$3&amp;$C168))</f>
        <v>172647.46362723011</v>
      </c>
      <c r="AO168" s="2767">
        <f t="shared" ca="1" si="230"/>
        <v>79098.536372769886</v>
      </c>
      <c r="AP168" s="2768">
        <f t="shared" ca="1" si="338"/>
        <v>1.4581505844971729</v>
      </c>
      <c r="AQ168" s="2002">
        <f ca="1">SUM(INDIRECT(AQ$1&amp;AQ$2&amp;$A168):INDIRECT(AQ$1&amp;AQ$3&amp;$A168))+SUM(INDIRECT(AQ$1&amp;AQ$2&amp;$B168):INDIRECT(AQ$1&amp;AQ$3&amp;$B168))</f>
        <v>193807</v>
      </c>
      <c r="AR168" s="2767">
        <f t="shared" ca="1" si="339"/>
        <v>57939</v>
      </c>
      <c r="AS168" s="2768">
        <f t="shared" ca="1" si="340"/>
        <v>1.2989520502355436</v>
      </c>
      <c r="AU168" s="596">
        <f ca="1">SUM((INDIRECT(AU$2&amp;(ROW())):INDIRECT(AU$3&amp;(ROW()))))</f>
        <v>251746</v>
      </c>
      <c r="AV168" s="2002">
        <f ca="1">SUM(INDIRECT(AV$1&amp;AV$2&amp;$C168):INDIRECT(AV$1&amp;AV$3&amp;$C168))</f>
        <v>172647.46362723011</v>
      </c>
      <c r="AW168" s="2767">
        <f t="shared" ca="1" si="341"/>
        <v>79098.536372769886</v>
      </c>
      <c r="AX168" s="2768">
        <f t="shared" ca="1" si="342"/>
        <v>1.4581505844971729</v>
      </c>
      <c r="AY168" s="2002">
        <f ca="1">SUM(INDIRECT(AY$1&amp;AY$2&amp;$A168):INDIRECT(AY$1&amp;AY$3&amp;$A168))+SUM(INDIRECT(AY$1&amp;AY$2&amp;$B168):INDIRECT(AY$1&amp;AY$3&amp;$B168))</f>
        <v>193807</v>
      </c>
      <c r="AZ168" s="2767">
        <f t="shared" ca="1" si="343"/>
        <v>57939</v>
      </c>
      <c r="BA168" s="2768">
        <f t="shared" ca="1" si="344"/>
        <v>1.2989520502355436</v>
      </c>
      <c r="BC168" s="596">
        <f ca="1">SUM((INDIRECT(BC$2&amp;(ROW())):INDIRECT(BC$3&amp;(ROW()))))</f>
        <v>251746</v>
      </c>
      <c r="BD168" s="2002">
        <f ca="1">SUM(INDIRECT(BD$1&amp;BD$2&amp;$C168):INDIRECT(BD$1&amp;BD$3&amp;$C168))</f>
        <v>172647.46362723011</v>
      </c>
      <c r="BE168" s="2767">
        <f t="shared" ca="1" si="345"/>
        <v>79098.536372769886</v>
      </c>
      <c r="BF168" s="2768">
        <f t="shared" ca="1" si="346"/>
        <v>1.4581505844971729</v>
      </c>
      <c r="BG168" s="2002">
        <f ca="1">SUM(INDIRECT(BG$1&amp;BG$2&amp;$A168):INDIRECT(BG$1&amp;BG$3&amp;$A168))+SUM(INDIRECT(BG$1&amp;BG$2&amp;$B168):INDIRECT(BG$1&amp;BG$3&amp;$B168))</f>
        <v>193807</v>
      </c>
      <c r="BH168" s="2767">
        <f t="shared" ca="1" si="347"/>
        <v>57939</v>
      </c>
      <c r="BI168" s="2768">
        <f t="shared" ca="1" si="348"/>
        <v>1.2989520502355436</v>
      </c>
    </row>
    <row r="169" spans="1:61" ht="14.5">
      <c r="A169" s="1693">
        <f t="shared" si="319"/>
        <v>169</v>
      </c>
      <c r="B169" s="616">
        <v>1</v>
      </c>
      <c r="C169" s="1693">
        <f t="shared" si="305"/>
        <v>169</v>
      </c>
      <c r="D169" s="616">
        <v>1</v>
      </c>
      <c r="F169" s="69"/>
      <c r="G169" s="4"/>
      <c r="H169" s="4"/>
      <c r="I169" s="4"/>
      <c r="J169" s="27"/>
      <c r="K169" s="3"/>
      <c r="L169" s="4"/>
      <c r="M169" s="4"/>
      <c r="N169" s="3"/>
      <c r="O169" s="3"/>
      <c r="P169" s="3"/>
      <c r="Q169" s="47" t="s">
        <v>129</v>
      </c>
      <c r="R169" s="1789" t="str">
        <f>CHOOSE(2, "6722000003088", "PL (2) Cost of Sales NH MC(T, P, C) Indirect")</f>
        <v>PL (2) Cost of Sales NH MC(T, P, C) Indirect</v>
      </c>
      <c r="S169" s="1257">
        <f>S167-S168</f>
        <v>39573</v>
      </c>
      <c r="T169" s="1230">
        <f>T167-T168</f>
        <v>37541.718909999967</v>
      </c>
      <c r="U169" s="1230">
        <f t="shared" ref="U169:AD169" si="358">U167-U168</f>
        <v>32578.374114076665</v>
      </c>
      <c r="V169" s="1230">
        <f t="shared" si="358"/>
        <v>25010.441564166191</v>
      </c>
      <c r="W169" s="1230">
        <f t="shared" si="358"/>
        <v>32023.011375173926</v>
      </c>
      <c r="X169" s="1230">
        <f t="shared" si="358"/>
        <v>35121.357764166663</v>
      </c>
      <c r="Y169" s="1230">
        <f t="shared" si="358"/>
        <v>37686.699769537896</v>
      </c>
      <c r="Z169" s="1230">
        <f t="shared" si="358"/>
        <v>28382.129134598683</v>
      </c>
      <c r="AA169" s="1230">
        <f t="shared" si="358"/>
        <v>29697.472743512713</v>
      </c>
      <c r="AB169" s="1230">
        <f t="shared" si="358"/>
        <v>35830.127814043954</v>
      </c>
      <c r="AC169" s="1230">
        <f t="shared" si="358"/>
        <v>35568.493621282541</v>
      </c>
      <c r="AD169" s="1230">
        <f t="shared" si="358"/>
        <v>52643.461626433971</v>
      </c>
      <c r="AE169" s="1230">
        <f t="shared" ref="AE169:AK169" si="359">AE167-AE168</f>
        <v>109693.09302407654</v>
      </c>
      <c r="AF169" s="1230">
        <f t="shared" si="359"/>
        <v>92154.81070350681</v>
      </c>
      <c r="AG169" s="1230">
        <f t="shared" si="359"/>
        <v>95766.301647649379</v>
      </c>
      <c r="AH169" s="1230">
        <f t="shared" si="359"/>
        <v>124042.08306176041</v>
      </c>
      <c r="AI169" s="1230">
        <f t="shared" si="359"/>
        <v>201847.90372758359</v>
      </c>
      <c r="AJ169" s="1230">
        <f t="shared" si="359"/>
        <v>219808.3847094099</v>
      </c>
      <c r="AK169" s="1230">
        <f t="shared" si="359"/>
        <v>421656.28843699349</v>
      </c>
      <c r="AM169" s="2011">
        <f ca="1">SUM((INDIRECT(AM$2&amp;(ROW())):INDIRECT(AM$3&amp;(ROW()))))</f>
        <v>39573</v>
      </c>
      <c r="AN169" s="2012">
        <f ca="1">SUM(INDIRECT(AN$1&amp;AN$2&amp;$C169):INDIRECT(AN$1&amp;AN$3&amp;$C169))</f>
        <v>32310.598820890795</v>
      </c>
      <c r="AO169" s="2774">
        <f t="shared" ca="1" si="230"/>
        <v>7262.4011791092053</v>
      </c>
      <c r="AP169" s="2775">
        <f t="shared" ca="1" si="338"/>
        <v>1.2247683869731816</v>
      </c>
      <c r="AQ169" s="2012">
        <f ca="1">SUM(INDIRECT(AQ$1&amp;AQ$2&amp;$A169):INDIRECT(AQ$1&amp;AQ$3&amp;$A169))+SUM(INDIRECT(AQ$1&amp;AQ$2&amp;$B169):INDIRECT(AQ$1&amp;AQ$3&amp;$B169))</f>
        <v>35740</v>
      </c>
      <c r="AR169" s="2774">
        <f t="shared" ca="1" si="339"/>
        <v>3833</v>
      </c>
      <c r="AS169" s="2775">
        <f t="shared" ca="1" si="340"/>
        <v>1.107246782316732</v>
      </c>
      <c r="AU169" s="2011">
        <f ca="1">SUM((INDIRECT(AU$2&amp;(ROW())):INDIRECT(AU$3&amp;(ROW()))))</f>
        <v>39573</v>
      </c>
      <c r="AV169" s="2012">
        <f ca="1">SUM(INDIRECT(AV$1&amp;AV$2&amp;$C169):INDIRECT(AV$1&amp;AV$3&amp;$C169))</f>
        <v>32310.598820890795</v>
      </c>
      <c r="AW169" s="2774">
        <f t="shared" ca="1" si="341"/>
        <v>7262.4011791092053</v>
      </c>
      <c r="AX169" s="2775">
        <f t="shared" ca="1" si="342"/>
        <v>1.2247683869731816</v>
      </c>
      <c r="AY169" s="2012">
        <f ca="1">SUM(INDIRECT(AY$1&amp;AY$2&amp;$A169):INDIRECT(AY$1&amp;AY$3&amp;$A169))+SUM(INDIRECT(AY$1&amp;AY$2&amp;$B169):INDIRECT(AY$1&amp;AY$3&amp;$B169))</f>
        <v>35740</v>
      </c>
      <c r="AZ169" s="2774">
        <f t="shared" ca="1" si="343"/>
        <v>3833</v>
      </c>
      <c r="BA169" s="2775">
        <f t="shared" ca="1" si="344"/>
        <v>1.107246782316732</v>
      </c>
      <c r="BC169" s="2011">
        <f ca="1">SUM((INDIRECT(BC$2&amp;(ROW())):INDIRECT(BC$3&amp;(ROW()))))</f>
        <v>39573</v>
      </c>
      <c r="BD169" s="2012">
        <f ca="1">SUM(INDIRECT(BD$1&amp;BD$2&amp;$C169):INDIRECT(BD$1&amp;BD$3&amp;$C169))</f>
        <v>32310.598820890795</v>
      </c>
      <c r="BE169" s="2774">
        <f t="shared" ca="1" si="345"/>
        <v>7262.4011791092053</v>
      </c>
      <c r="BF169" s="2775">
        <f t="shared" ca="1" si="346"/>
        <v>1.2247683869731816</v>
      </c>
      <c r="BG169" s="2012">
        <f ca="1">SUM(INDIRECT(BG$1&amp;BG$2&amp;$A169):INDIRECT(BG$1&amp;BG$3&amp;$A169))+SUM(INDIRECT(BG$1&amp;BG$2&amp;$B169):INDIRECT(BG$1&amp;BG$3&amp;$B169))</f>
        <v>35740</v>
      </c>
      <c r="BH169" s="2774">
        <f t="shared" ca="1" si="347"/>
        <v>3833</v>
      </c>
      <c r="BI169" s="2775">
        <f t="shared" ca="1" si="348"/>
        <v>1.107246782316732</v>
      </c>
    </row>
    <row r="170" spans="1:61" ht="14.5">
      <c r="A170" s="1693">
        <f t="shared" si="319"/>
        <v>170</v>
      </c>
      <c r="B170" s="616">
        <v>1</v>
      </c>
      <c r="C170" s="1693">
        <f t="shared" si="305"/>
        <v>170</v>
      </c>
      <c r="D170" s="616">
        <v>1</v>
      </c>
      <c r="F170" s="69"/>
      <c r="G170" s="4"/>
      <c r="H170" s="4"/>
      <c r="I170" s="4"/>
      <c r="J170" s="27"/>
      <c r="K170" s="3"/>
      <c r="L170" s="4"/>
      <c r="M170" s="4"/>
      <c r="N170" s="3"/>
      <c r="O170" s="3"/>
      <c r="P170" s="3" t="s">
        <v>208</v>
      </c>
      <c r="Q170" s="3"/>
      <c r="R170" s="1789" t="str">
        <f>CHOOSE(2, "6722000003089", "PL (2) Cost of Sales NH Field Service Cost")</f>
        <v>PL (2) Cost of Sales NH Field Service Cost</v>
      </c>
      <c r="S170" s="1214">
        <f t="shared" ref="S170:AD170" si="360">(S601+S624)*-1</f>
        <v>15655</v>
      </c>
      <c r="T170" s="1221">
        <f t="shared" si="360"/>
        <v>17213.608499999998</v>
      </c>
      <c r="U170" s="1221">
        <f t="shared" si="360"/>
        <v>18170.151999999998</v>
      </c>
      <c r="V170" s="1221">
        <f t="shared" si="360"/>
        <v>20315.686000000002</v>
      </c>
      <c r="W170" s="1221">
        <f t="shared" si="360"/>
        <v>21806.8487225873</v>
      </c>
      <c r="X170" s="1221">
        <f t="shared" si="360"/>
        <v>20350.960999999999</v>
      </c>
      <c r="Y170" s="1221">
        <f t="shared" si="360"/>
        <v>20583.007999999998</v>
      </c>
      <c r="Z170" s="1221">
        <f t="shared" si="360"/>
        <v>22918.916000000001</v>
      </c>
      <c r="AA170" s="1221">
        <f t="shared" si="360"/>
        <v>23015.775667814192</v>
      </c>
      <c r="AB170" s="1221">
        <f t="shared" si="360"/>
        <v>26470.077080285879</v>
      </c>
      <c r="AC170" s="1221">
        <f t="shared" si="360"/>
        <v>23758.507449098124</v>
      </c>
      <c r="AD170" s="1221">
        <f t="shared" si="360"/>
        <v>24418.094482783476</v>
      </c>
      <c r="AE170" s="1221">
        <f t="shared" ref="AE170:AE176" si="361">SUM(S170,T170,U170)</f>
        <v>51038.760500000004</v>
      </c>
      <c r="AF170" s="1221">
        <f t="shared" ref="AF170:AF176" si="362">SUM(V170,W170,X170)</f>
        <v>62473.495722587293</v>
      </c>
      <c r="AG170" s="1221">
        <f t="shared" ref="AG170:AG176" si="363">SUM(Y170,Z170,AA170)</f>
        <v>66517.699667814188</v>
      </c>
      <c r="AH170" s="1221">
        <f t="shared" ref="AH170:AH176" si="364">SUM(AB170,AC170,AD170)</f>
        <v>74646.679012167471</v>
      </c>
      <c r="AI170" s="1221">
        <f t="shared" ref="AI170:AI175" si="365">AE170+AF170</f>
        <v>113512.2562225873</v>
      </c>
      <c r="AJ170" s="1221">
        <f t="shared" ref="AJ170:AJ175" si="366">AH170+AG170</f>
        <v>141164.37867998166</v>
      </c>
      <c r="AK170" s="1221">
        <f t="shared" ref="AK170:AK175" si="367">AI170+AJ170</f>
        <v>254676.63490256894</v>
      </c>
      <c r="AM170" s="596">
        <f ca="1">SUM((INDIRECT(AM$2&amp;(ROW())):INDIRECT(AM$3&amp;(ROW()))))</f>
        <v>15655</v>
      </c>
      <c r="AN170" s="2002">
        <f ca="1">SUM(INDIRECT(AN$1&amp;AN$2&amp;$C170):INDIRECT(AN$1&amp;AN$3&amp;$C170))</f>
        <v>17903.333333333332</v>
      </c>
      <c r="AO170" s="2767">
        <f t="shared" ca="1" si="230"/>
        <v>-2248.3333333333321</v>
      </c>
      <c r="AP170" s="2768">
        <f t="shared" ca="1" si="338"/>
        <v>0.87441817166263269</v>
      </c>
      <c r="AQ170" s="2002">
        <f ca="1">SUM(INDIRECT(AQ$1&amp;AQ$2&amp;$A170):INDIRECT(AQ$1&amp;AQ$3&amp;$A170))+SUM(INDIRECT(AQ$1&amp;AQ$2&amp;$B170):INDIRECT(AQ$1&amp;AQ$3&amp;$B170))</f>
        <v>13687</v>
      </c>
      <c r="AR170" s="2767">
        <f t="shared" ca="1" si="339"/>
        <v>1968</v>
      </c>
      <c r="AS170" s="2768">
        <f t="shared" ca="1" si="340"/>
        <v>1.1437860743771462</v>
      </c>
      <c r="AU170" s="596">
        <f ca="1">SUM((INDIRECT(AU$2&amp;(ROW())):INDIRECT(AU$3&amp;(ROW()))))</f>
        <v>15655</v>
      </c>
      <c r="AV170" s="2002">
        <f ca="1">SUM(INDIRECT(AV$1&amp;AV$2&amp;$C170):INDIRECT(AV$1&amp;AV$3&amp;$C170))</f>
        <v>17903.333333333332</v>
      </c>
      <c r="AW170" s="2767">
        <f t="shared" ca="1" si="341"/>
        <v>-2248.3333333333321</v>
      </c>
      <c r="AX170" s="2768">
        <f t="shared" ca="1" si="342"/>
        <v>0.87441817166263269</v>
      </c>
      <c r="AY170" s="2002">
        <f ca="1">SUM(INDIRECT(AY$1&amp;AY$2&amp;$A170):INDIRECT(AY$1&amp;AY$3&amp;$A170))+SUM(INDIRECT(AY$1&amp;AY$2&amp;$B170):INDIRECT(AY$1&amp;AY$3&amp;$B170))</f>
        <v>13687</v>
      </c>
      <c r="AZ170" s="2767">
        <f t="shared" ca="1" si="343"/>
        <v>1968</v>
      </c>
      <c r="BA170" s="2768">
        <f t="shared" ca="1" si="344"/>
        <v>1.1437860743771462</v>
      </c>
      <c r="BC170" s="596">
        <f ca="1">SUM((INDIRECT(BC$2&amp;(ROW())):INDIRECT(BC$3&amp;(ROW()))))</f>
        <v>15655</v>
      </c>
      <c r="BD170" s="2002">
        <f ca="1">SUM(INDIRECT(BD$1&amp;BD$2&amp;$C170):INDIRECT(BD$1&amp;BD$3&amp;$C170))</f>
        <v>17903.333333333332</v>
      </c>
      <c r="BE170" s="2767">
        <f t="shared" ca="1" si="345"/>
        <v>-2248.3333333333321</v>
      </c>
      <c r="BF170" s="2768">
        <f t="shared" ca="1" si="346"/>
        <v>0.87441817166263269</v>
      </c>
      <c r="BG170" s="2002">
        <f ca="1">SUM(INDIRECT(BG$1&amp;BG$2&amp;$A170):INDIRECT(BG$1&amp;BG$3&amp;$A170))+SUM(INDIRECT(BG$1&amp;BG$2&amp;$B170):INDIRECT(BG$1&amp;BG$3&amp;$B170))</f>
        <v>13687</v>
      </c>
      <c r="BH170" s="2767">
        <f t="shared" ca="1" si="347"/>
        <v>1968</v>
      </c>
      <c r="BI170" s="2768">
        <f t="shared" ca="1" si="348"/>
        <v>1.1437860743771462</v>
      </c>
    </row>
    <row r="171" spans="1:61" ht="14.5">
      <c r="A171" s="1693">
        <f t="shared" si="319"/>
        <v>171</v>
      </c>
      <c r="B171" s="616">
        <v>1</v>
      </c>
      <c r="C171" s="1693">
        <f t="shared" si="305"/>
        <v>171</v>
      </c>
      <c r="D171" s="616">
        <v>1</v>
      </c>
      <c r="F171" s="69"/>
      <c r="G171" s="4"/>
      <c r="H171" s="4"/>
      <c r="I171" s="4"/>
      <c r="J171" s="27"/>
      <c r="K171" s="3"/>
      <c r="L171" s="4"/>
      <c r="M171" s="4"/>
      <c r="N171" s="3"/>
      <c r="O171" s="3"/>
      <c r="P171" s="3" t="s">
        <v>209</v>
      </c>
      <c r="Q171" s="3"/>
      <c r="R171" s="1789" t="str">
        <f>CHOOSE(2, "6722000003090", "PL (2) Cost of Sales NH Service Desk Cost")</f>
        <v>PL (2) Cost of Sales NH Service Desk Cost</v>
      </c>
      <c r="S171" s="1214">
        <f t="shared" ref="S171:AD171" si="368">(S605+S628)*-1</f>
        <v>0</v>
      </c>
      <c r="T171" s="1221">
        <f t="shared" si="368"/>
        <v>0</v>
      </c>
      <c r="U171" s="1221">
        <f t="shared" si="368"/>
        <v>0</v>
      </c>
      <c r="V171" s="1221">
        <f t="shared" si="368"/>
        <v>0</v>
      </c>
      <c r="W171" s="1221">
        <f t="shared" si="368"/>
        <v>0</v>
      </c>
      <c r="X171" s="1221">
        <f t="shared" si="368"/>
        <v>0</v>
      </c>
      <c r="Y171" s="1221">
        <f t="shared" si="368"/>
        <v>0</v>
      </c>
      <c r="Z171" s="1221">
        <f t="shared" si="368"/>
        <v>0</v>
      </c>
      <c r="AA171" s="1221">
        <f t="shared" si="368"/>
        <v>0</v>
      </c>
      <c r="AB171" s="1221">
        <f t="shared" si="368"/>
        <v>0</v>
      </c>
      <c r="AC171" s="1221">
        <f t="shared" si="368"/>
        <v>0</v>
      </c>
      <c r="AD171" s="1221">
        <f t="shared" si="368"/>
        <v>0</v>
      </c>
      <c r="AE171" s="1221">
        <f t="shared" si="361"/>
        <v>0</v>
      </c>
      <c r="AF171" s="1221">
        <f t="shared" si="362"/>
        <v>0</v>
      </c>
      <c r="AG171" s="1221">
        <f t="shared" si="363"/>
        <v>0</v>
      </c>
      <c r="AH171" s="1221">
        <f t="shared" si="364"/>
        <v>0</v>
      </c>
      <c r="AI171" s="1221">
        <f t="shared" si="365"/>
        <v>0</v>
      </c>
      <c r="AJ171" s="1221">
        <f t="shared" si="366"/>
        <v>0</v>
      </c>
      <c r="AK171" s="1221">
        <f t="shared" si="367"/>
        <v>0</v>
      </c>
      <c r="AM171" s="596">
        <f ca="1">SUM((INDIRECT(AM$2&amp;(ROW())):INDIRECT(AM$3&amp;(ROW()))))</f>
        <v>0</v>
      </c>
      <c r="AN171" s="2002">
        <f ca="1">SUM(INDIRECT(AN$1&amp;AN$2&amp;$C171):INDIRECT(AN$1&amp;AN$3&amp;$C171))</f>
        <v>0</v>
      </c>
      <c r="AO171" s="2767">
        <f t="shared" ca="1" si="230"/>
        <v>0</v>
      </c>
      <c r="AP171" s="2768">
        <f t="shared" ca="1" si="338"/>
        <v>0</v>
      </c>
      <c r="AQ171" s="2002">
        <f ca="1">SUM(INDIRECT(AQ$1&amp;AQ$2&amp;$A171):INDIRECT(AQ$1&amp;AQ$3&amp;$A171))+SUM(INDIRECT(AQ$1&amp;AQ$2&amp;$B171):INDIRECT(AQ$1&amp;AQ$3&amp;$B171))</f>
        <v>0</v>
      </c>
      <c r="AR171" s="2767">
        <f t="shared" ca="1" si="339"/>
        <v>0</v>
      </c>
      <c r="AS171" s="2768">
        <f t="shared" ca="1" si="340"/>
        <v>0</v>
      </c>
      <c r="AU171" s="596">
        <f ca="1">SUM((INDIRECT(AU$2&amp;(ROW())):INDIRECT(AU$3&amp;(ROW()))))</f>
        <v>0</v>
      </c>
      <c r="AV171" s="2002">
        <f ca="1">SUM(INDIRECT(AV$1&amp;AV$2&amp;$C171):INDIRECT(AV$1&amp;AV$3&amp;$C171))</f>
        <v>0</v>
      </c>
      <c r="AW171" s="2767">
        <f t="shared" ca="1" si="341"/>
        <v>0</v>
      </c>
      <c r="AX171" s="2768">
        <f t="shared" ca="1" si="342"/>
        <v>0</v>
      </c>
      <c r="AY171" s="2002">
        <f ca="1">SUM(INDIRECT(AY$1&amp;AY$2&amp;$A171):INDIRECT(AY$1&amp;AY$3&amp;$A171))+SUM(INDIRECT(AY$1&amp;AY$2&amp;$B171):INDIRECT(AY$1&amp;AY$3&amp;$B171))</f>
        <v>0</v>
      </c>
      <c r="AZ171" s="2767">
        <f t="shared" ca="1" si="343"/>
        <v>0</v>
      </c>
      <c r="BA171" s="2768">
        <f t="shared" ca="1" si="344"/>
        <v>0</v>
      </c>
      <c r="BC171" s="596">
        <f ca="1">SUM((INDIRECT(BC$2&amp;(ROW())):INDIRECT(BC$3&amp;(ROW()))))</f>
        <v>0</v>
      </c>
      <c r="BD171" s="2002">
        <f ca="1">SUM(INDIRECT(BD$1&amp;BD$2&amp;$C171):INDIRECT(BD$1&amp;BD$3&amp;$C171))</f>
        <v>0</v>
      </c>
      <c r="BE171" s="2767">
        <f t="shared" ca="1" si="345"/>
        <v>0</v>
      </c>
      <c r="BF171" s="2768">
        <f t="shared" ca="1" si="346"/>
        <v>0</v>
      </c>
      <c r="BG171" s="2002">
        <f ca="1">SUM(INDIRECT(BG$1&amp;BG$2&amp;$A171):INDIRECT(BG$1&amp;BG$3&amp;$A171))+SUM(INDIRECT(BG$1&amp;BG$2&amp;$B171):INDIRECT(BG$1&amp;BG$3&amp;$B171))</f>
        <v>0</v>
      </c>
      <c r="BH171" s="2767">
        <f t="shared" ca="1" si="347"/>
        <v>0</v>
      </c>
      <c r="BI171" s="2768">
        <f t="shared" ca="1" si="348"/>
        <v>0</v>
      </c>
    </row>
    <row r="172" spans="1:61" ht="14.5">
      <c r="A172" s="1693">
        <f t="shared" si="319"/>
        <v>172</v>
      </c>
      <c r="B172" s="616">
        <v>1</v>
      </c>
      <c r="C172" s="1693">
        <f t="shared" si="305"/>
        <v>172</v>
      </c>
      <c r="D172" s="616">
        <v>1</v>
      </c>
      <c r="F172" s="69"/>
      <c r="G172" s="4"/>
      <c r="H172" s="4"/>
      <c r="I172" s="4"/>
      <c r="J172" s="27"/>
      <c r="K172" s="3"/>
      <c r="L172" s="4"/>
      <c r="M172" s="4"/>
      <c r="N172" s="3"/>
      <c r="O172" s="3"/>
      <c r="P172" s="3" t="s">
        <v>9</v>
      </c>
      <c r="Q172" s="3"/>
      <c r="R172" s="1789" t="str">
        <f>CHOOSE(2, "6722000003091", "PL (2) Cost of Sales NH D&amp;A")</f>
        <v>PL (2) Cost of Sales NH D&amp;A</v>
      </c>
      <c r="S172" s="1214">
        <f>(S608+S631)*-1</f>
        <v>0</v>
      </c>
      <c r="T172" s="1221">
        <f t="shared" ref="T172:AD172" si="369">(T608+T631)*-1</f>
        <v>0</v>
      </c>
      <c r="U172" s="1221">
        <f t="shared" si="369"/>
        <v>0</v>
      </c>
      <c r="V172" s="1221">
        <f t="shared" si="369"/>
        <v>0</v>
      </c>
      <c r="W172" s="1221">
        <f t="shared" si="369"/>
        <v>0</v>
      </c>
      <c r="X172" s="1221">
        <f t="shared" si="369"/>
        <v>0</v>
      </c>
      <c r="Y172" s="1221">
        <f t="shared" si="369"/>
        <v>0</v>
      </c>
      <c r="Z172" s="1221">
        <f t="shared" si="369"/>
        <v>0</v>
      </c>
      <c r="AA172" s="1221">
        <f t="shared" si="369"/>
        <v>0</v>
      </c>
      <c r="AB172" s="1221">
        <f t="shared" si="369"/>
        <v>0</v>
      </c>
      <c r="AC172" s="1221">
        <f t="shared" si="369"/>
        <v>0</v>
      </c>
      <c r="AD172" s="1221">
        <f t="shared" si="369"/>
        <v>0</v>
      </c>
      <c r="AE172" s="1221">
        <f t="shared" si="361"/>
        <v>0</v>
      </c>
      <c r="AF172" s="1221">
        <f t="shared" si="362"/>
        <v>0</v>
      </c>
      <c r="AG172" s="1221">
        <f t="shared" si="363"/>
        <v>0</v>
      </c>
      <c r="AH172" s="1221">
        <f t="shared" si="364"/>
        <v>0</v>
      </c>
      <c r="AI172" s="1221">
        <f t="shared" si="365"/>
        <v>0</v>
      </c>
      <c r="AJ172" s="1221">
        <f t="shared" si="366"/>
        <v>0</v>
      </c>
      <c r="AK172" s="1221">
        <f t="shared" si="367"/>
        <v>0</v>
      </c>
      <c r="AM172" s="596">
        <f ca="1">SUM((INDIRECT(AM$2&amp;(ROW())):INDIRECT(AM$3&amp;(ROW()))))</f>
        <v>0</v>
      </c>
      <c r="AN172" s="2002">
        <f ca="1">SUM(INDIRECT(AN$1&amp;AN$2&amp;$C172):INDIRECT(AN$1&amp;AN$3&amp;$C172))</f>
        <v>0</v>
      </c>
      <c r="AO172" s="2767">
        <f t="shared" ca="1" si="230"/>
        <v>0</v>
      </c>
      <c r="AP172" s="2768">
        <f t="shared" ca="1" si="338"/>
        <v>0</v>
      </c>
      <c r="AQ172" s="2002">
        <f ca="1">SUM(INDIRECT(AQ$1&amp;AQ$2&amp;$A172):INDIRECT(AQ$1&amp;AQ$3&amp;$A172))+SUM(INDIRECT(AQ$1&amp;AQ$2&amp;$B172):INDIRECT(AQ$1&amp;AQ$3&amp;$B172))</f>
        <v>0</v>
      </c>
      <c r="AR172" s="2767">
        <f t="shared" ca="1" si="339"/>
        <v>0</v>
      </c>
      <c r="AS172" s="2768">
        <f t="shared" ca="1" si="340"/>
        <v>0</v>
      </c>
      <c r="AU172" s="596">
        <f ca="1">SUM((INDIRECT(AU$2&amp;(ROW())):INDIRECT(AU$3&amp;(ROW()))))</f>
        <v>0</v>
      </c>
      <c r="AV172" s="2002">
        <f ca="1">SUM(INDIRECT(AV$1&amp;AV$2&amp;$C172):INDIRECT(AV$1&amp;AV$3&amp;$C172))</f>
        <v>0</v>
      </c>
      <c r="AW172" s="2767">
        <f t="shared" ca="1" si="341"/>
        <v>0</v>
      </c>
      <c r="AX172" s="2768">
        <f t="shared" ca="1" si="342"/>
        <v>0</v>
      </c>
      <c r="AY172" s="2002">
        <f ca="1">SUM(INDIRECT(AY$1&amp;AY$2&amp;$A172):INDIRECT(AY$1&amp;AY$3&amp;$A172))+SUM(INDIRECT(AY$1&amp;AY$2&amp;$B172):INDIRECT(AY$1&amp;AY$3&amp;$B172))</f>
        <v>0</v>
      </c>
      <c r="AZ172" s="2767">
        <f t="shared" ca="1" si="343"/>
        <v>0</v>
      </c>
      <c r="BA172" s="2768">
        <f t="shared" ca="1" si="344"/>
        <v>0</v>
      </c>
      <c r="BC172" s="596">
        <f ca="1">SUM((INDIRECT(BC$2&amp;(ROW())):INDIRECT(BC$3&amp;(ROW()))))</f>
        <v>0</v>
      </c>
      <c r="BD172" s="2002">
        <f ca="1">SUM(INDIRECT(BD$1&amp;BD$2&amp;$C172):INDIRECT(BD$1&amp;BD$3&amp;$C172))</f>
        <v>0</v>
      </c>
      <c r="BE172" s="2767">
        <f t="shared" ca="1" si="345"/>
        <v>0</v>
      </c>
      <c r="BF172" s="2768">
        <f t="shared" ca="1" si="346"/>
        <v>0</v>
      </c>
      <c r="BG172" s="2002">
        <f ca="1">SUM(INDIRECT(BG$1&amp;BG$2&amp;$A172):INDIRECT(BG$1&amp;BG$3&amp;$A172))+SUM(INDIRECT(BG$1&amp;BG$2&amp;$B172):INDIRECT(BG$1&amp;BG$3&amp;$B172))</f>
        <v>0</v>
      </c>
      <c r="BH172" s="2767">
        <f t="shared" ca="1" si="347"/>
        <v>0</v>
      </c>
      <c r="BI172" s="2768">
        <f t="shared" ca="1" si="348"/>
        <v>0</v>
      </c>
    </row>
    <row r="173" spans="1:61" ht="14.5">
      <c r="A173" s="1693">
        <f t="shared" si="319"/>
        <v>173</v>
      </c>
      <c r="B173" s="616">
        <v>1</v>
      </c>
      <c r="C173" s="1693">
        <f t="shared" si="305"/>
        <v>173</v>
      </c>
      <c r="D173" s="616">
        <v>1</v>
      </c>
      <c r="F173" s="69"/>
      <c r="G173" s="4"/>
      <c r="H173" s="4"/>
      <c r="I173" s="4"/>
      <c r="J173" s="27"/>
      <c r="K173" s="3"/>
      <c r="L173" s="4"/>
      <c r="M173" s="4"/>
      <c r="N173" s="3"/>
      <c r="O173" s="3"/>
      <c r="P173" s="3" t="s">
        <v>51</v>
      </c>
      <c r="Q173" s="3"/>
      <c r="R173" s="1789" t="str">
        <f>CHOOSE(2, "6722000003092", "PL (2) Cost of Sales NH Others")</f>
        <v>PL (2) Cost of Sales NH Others</v>
      </c>
      <c r="S173" s="1214">
        <f>S166-S167-S170-S171-S172</f>
        <v>64</v>
      </c>
      <c r="T173" s="1221">
        <f>T166-T167-T170-T171-T172</f>
        <v>-2.5465851649641991E-11</v>
      </c>
      <c r="U173" s="1221">
        <f t="shared" ref="U173:AD173" si="370">U166-U167-U170-U171-U172</f>
        <v>3.637978807091713E-12</v>
      </c>
      <c r="V173" s="1221">
        <f t="shared" si="370"/>
        <v>-0.28141928800323512</v>
      </c>
      <c r="W173" s="1221">
        <f t="shared" si="370"/>
        <v>-1.8189894035458565E-11</v>
      </c>
      <c r="X173" s="1221">
        <f t="shared" si="370"/>
        <v>0.63371503284361097</v>
      </c>
      <c r="Y173" s="1221">
        <f t="shared" si="370"/>
        <v>-2.5465851649641991E-11</v>
      </c>
      <c r="Z173" s="1221">
        <f t="shared" si="370"/>
        <v>-3.637978807091713E-12</v>
      </c>
      <c r="AA173" s="1221">
        <f t="shared" si="370"/>
        <v>-3.637978807091713E-12</v>
      </c>
      <c r="AB173" s="1221">
        <f t="shared" si="370"/>
        <v>-3.637978807091713E-12</v>
      </c>
      <c r="AC173" s="1221">
        <f t="shared" si="370"/>
        <v>9.822542779147625E-11</v>
      </c>
      <c r="AD173" s="1221">
        <f t="shared" si="370"/>
        <v>-1.4551915228366852E-11</v>
      </c>
      <c r="AE173" s="1221">
        <f t="shared" si="361"/>
        <v>63.999999999978172</v>
      </c>
      <c r="AF173" s="1221">
        <f t="shared" si="362"/>
        <v>0.35229574482218595</v>
      </c>
      <c r="AG173" s="1221">
        <f t="shared" si="363"/>
        <v>-3.2741809263825417E-11</v>
      </c>
      <c r="AH173" s="1221">
        <f t="shared" si="364"/>
        <v>8.0035533756017685E-11</v>
      </c>
      <c r="AI173" s="1221">
        <f t="shared" si="365"/>
        <v>64.352295744800358</v>
      </c>
      <c r="AJ173" s="1221">
        <f t="shared" si="366"/>
        <v>4.7293724492192268E-11</v>
      </c>
      <c r="AK173" s="1221">
        <f t="shared" si="367"/>
        <v>64.352295744847652</v>
      </c>
      <c r="AM173" s="596">
        <f ca="1">SUM((INDIRECT(AM$2&amp;(ROW())):INDIRECT(AM$3&amp;(ROW()))))</f>
        <v>64</v>
      </c>
      <c r="AN173" s="2002">
        <f ca="1">SUM(INDIRECT(AN$1&amp;AN$2&amp;$C173):INDIRECT(AN$1&amp;AN$3&amp;$C173))</f>
        <v>24479.14785040334</v>
      </c>
      <c r="AO173" s="2767">
        <f t="shared" ca="1" si="230"/>
        <v>-24415.14785040334</v>
      </c>
      <c r="AP173" s="2768">
        <f t="shared" ca="1" si="338"/>
        <v>2.6144700947564022E-3</v>
      </c>
      <c r="AQ173" s="2002">
        <f ca="1">SUM(INDIRECT(AQ$1&amp;AQ$2&amp;$A173):INDIRECT(AQ$1&amp;AQ$3&amp;$A173))+SUM(INDIRECT(AQ$1&amp;AQ$2&amp;$B173):INDIRECT(AQ$1&amp;AQ$3&amp;$B173))</f>
        <v>0</v>
      </c>
      <c r="AR173" s="2767">
        <f t="shared" ca="1" si="339"/>
        <v>64</v>
      </c>
      <c r="AS173" s="2768">
        <f t="shared" ca="1" si="340"/>
        <v>0</v>
      </c>
      <c r="AU173" s="596">
        <f ca="1">SUM((INDIRECT(AU$2&amp;(ROW())):INDIRECT(AU$3&amp;(ROW()))))</f>
        <v>64</v>
      </c>
      <c r="AV173" s="2002">
        <f ca="1">SUM(INDIRECT(AV$1&amp;AV$2&amp;$C173):INDIRECT(AV$1&amp;AV$3&amp;$C173))</f>
        <v>24479.14785040334</v>
      </c>
      <c r="AW173" s="2767">
        <f t="shared" ca="1" si="341"/>
        <v>-24415.14785040334</v>
      </c>
      <c r="AX173" s="2768">
        <f t="shared" ca="1" si="342"/>
        <v>2.6144700947564022E-3</v>
      </c>
      <c r="AY173" s="2002">
        <f ca="1">SUM(INDIRECT(AY$1&amp;AY$2&amp;$A173):INDIRECT(AY$1&amp;AY$3&amp;$A173))+SUM(INDIRECT(AY$1&amp;AY$2&amp;$B173):INDIRECT(AY$1&amp;AY$3&amp;$B173))</f>
        <v>0</v>
      </c>
      <c r="AZ173" s="2767">
        <f t="shared" ca="1" si="343"/>
        <v>64</v>
      </c>
      <c r="BA173" s="2768">
        <f t="shared" ca="1" si="344"/>
        <v>0</v>
      </c>
      <c r="BC173" s="596">
        <f ca="1">SUM((INDIRECT(BC$2&amp;(ROW())):INDIRECT(BC$3&amp;(ROW()))))</f>
        <v>64</v>
      </c>
      <c r="BD173" s="2002">
        <f ca="1">SUM(INDIRECT(BD$1&amp;BD$2&amp;$C173):INDIRECT(BD$1&amp;BD$3&amp;$C173))</f>
        <v>24479.14785040334</v>
      </c>
      <c r="BE173" s="2767">
        <f t="shared" ca="1" si="345"/>
        <v>-24415.14785040334</v>
      </c>
      <c r="BF173" s="2768">
        <f t="shared" ca="1" si="346"/>
        <v>2.6144700947564022E-3</v>
      </c>
      <c r="BG173" s="2002">
        <f ca="1">SUM(INDIRECT(BG$1&amp;BG$2&amp;$A173):INDIRECT(BG$1&amp;BG$3&amp;$A173))+SUM(INDIRECT(BG$1&amp;BG$2&amp;$B173):INDIRECT(BG$1&amp;BG$3&amp;$B173))</f>
        <v>0</v>
      </c>
      <c r="BH173" s="2767">
        <f t="shared" ca="1" si="347"/>
        <v>64</v>
      </c>
      <c r="BI173" s="2768">
        <f t="shared" ca="1" si="348"/>
        <v>0</v>
      </c>
    </row>
    <row r="174" spans="1:61" ht="14.5">
      <c r="A174" s="1693">
        <f t="shared" si="319"/>
        <v>174</v>
      </c>
      <c r="B174" s="616">
        <v>1</v>
      </c>
      <c r="C174" s="1693">
        <f t="shared" si="305"/>
        <v>174</v>
      </c>
      <c r="D174" s="616">
        <v>1</v>
      </c>
      <c r="F174" s="69"/>
      <c r="G174" s="4"/>
      <c r="H174" s="4"/>
      <c r="I174" s="4"/>
      <c r="J174" s="27"/>
      <c r="K174" s="3"/>
      <c r="L174" s="4"/>
      <c r="M174" s="4"/>
      <c r="N174" s="3" t="s">
        <v>24</v>
      </c>
      <c r="O174" s="3"/>
      <c r="P174" s="3"/>
      <c r="Q174" s="3"/>
      <c r="R174" s="1794" t="str">
        <f>CHOOSE(2, "6722000003093", "PL (2) Cost of Sales Solution")</f>
        <v>PL (2) Cost of Sales Solution</v>
      </c>
      <c r="S174" s="1564">
        <f>S157-S184</f>
        <v>0</v>
      </c>
      <c r="T174" s="1565">
        <f t="shared" ref="T174:AD175" si="371">T157-T184</f>
        <v>0</v>
      </c>
      <c r="U174" s="1565">
        <f t="shared" si="371"/>
        <v>0</v>
      </c>
      <c r="V174" s="1565">
        <f t="shared" si="371"/>
        <v>0</v>
      </c>
      <c r="W174" s="1565">
        <f t="shared" si="371"/>
        <v>0</v>
      </c>
      <c r="X174" s="1565">
        <f t="shared" si="371"/>
        <v>1199.6975700000003</v>
      </c>
      <c r="Y174" s="1565">
        <f t="shared" si="371"/>
        <v>1354.6253200000001</v>
      </c>
      <c r="Z174" s="1565">
        <f t="shared" si="371"/>
        <v>205.173</v>
      </c>
      <c r="AA174" s="1565">
        <f t="shared" si="371"/>
        <v>0</v>
      </c>
      <c r="AB174" s="1565">
        <f t="shared" si="371"/>
        <v>63.263999999999996</v>
      </c>
      <c r="AC174" s="1565">
        <f t="shared" si="371"/>
        <v>64.26400000000001</v>
      </c>
      <c r="AD174" s="1565">
        <f t="shared" si="371"/>
        <v>334.75100000000003</v>
      </c>
      <c r="AE174" s="1221">
        <f t="shared" si="361"/>
        <v>0</v>
      </c>
      <c r="AF174" s="1221">
        <f t="shared" si="362"/>
        <v>1199.6975700000003</v>
      </c>
      <c r="AG174" s="1221">
        <f t="shared" si="363"/>
        <v>1559.7983200000001</v>
      </c>
      <c r="AH174" s="1221">
        <f t="shared" si="364"/>
        <v>462.27900000000005</v>
      </c>
      <c r="AI174" s="1221">
        <f t="shared" si="365"/>
        <v>1199.6975700000003</v>
      </c>
      <c r="AJ174" s="1221">
        <f t="shared" si="366"/>
        <v>2022.0773200000001</v>
      </c>
      <c r="AK174" s="1221">
        <f t="shared" si="367"/>
        <v>3221.7748900000006</v>
      </c>
      <c r="AM174" s="596">
        <f ca="1">SUM((INDIRECT(AM$2&amp;(ROW())):INDIRECT(AM$3&amp;(ROW()))))</f>
        <v>0</v>
      </c>
      <c r="AN174" s="2002">
        <f ca="1">SUM(INDIRECT(AN$1&amp;AN$2&amp;$C174):INDIRECT(AN$1&amp;AN$3&amp;$C174))</f>
        <v>500.25</v>
      </c>
      <c r="AO174" s="2767">
        <f t="shared" ca="1" si="230"/>
        <v>-500.25</v>
      </c>
      <c r="AP174" s="2768">
        <f t="shared" ca="1" si="338"/>
        <v>0</v>
      </c>
      <c r="AQ174" s="2002">
        <f ca="1">SUM(INDIRECT(AQ$1&amp;AQ$2&amp;$A174):INDIRECT(AQ$1&amp;AQ$3&amp;$A174))+SUM(INDIRECT(AQ$1&amp;AQ$2&amp;$B174):INDIRECT(AQ$1&amp;AQ$3&amp;$B174))</f>
        <v>0</v>
      </c>
      <c r="AR174" s="2767">
        <f t="shared" ca="1" si="339"/>
        <v>0</v>
      </c>
      <c r="AS174" s="2768">
        <f t="shared" ca="1" si="340"/>
        <v>0</v>
      </c>
      <c r="AU174" s="596">
        <f ca="1">SUM((INDIRECT(AU$2&amp;(ROW())):INDIRECT(AU$3&amp;(ROW()))))</f>
        <v>0</v>
      </c>
      <c r="AV174" s="2002">
        <f ca="1">SUM(INDIRECT(AV$1&amp;AV$2&amp;$C174):INDIRECT(AV$1&amp;AV$3&amp;$C174))</f>
        <v>500.25</v>
      </c>
      <c r="AW174" s="2767">
        <f t="shared" ca="1" si="341"/>
        <v>-500.25</v>
      </c>
      <c r="AX174" s="2768">
        <f t="shared" ca="1" si="342"/>
        <v>0</v>
      </c>
      <c r="AY174" s="2002">
        <f ca="1">SUM(INDIRECT(AY$1&amp;AY$2&amp;$A174):INDIRECT(AY$1&amp;AY$3&amp;$A174))+SUM(INDIRECT(AY$1&amp;AY$2&amp;$B174):INDIRECT(AY$1&amp;AY$3&amp;$B174))</f>
        <v>0</v>
      </c>
      <c r="AZ174" s="2767">
        <f t="shared" ca="1" si="343"/>
        <v>0</v>
      </c>
      <c r="BA174" s="2768">
        <f t="shared" ca="1" si="344"/>
        <v>0</v>
      </c>
      <c r="BC174" s="596">
        <f ca="1">SUM((INDIRECT(BC$2&amp;(ROW())):INDIRECT(BC$3&amp;(ROW()))))</f>
        <v>0</v>
      </c>
      <c r="BD174" s="2002">
        <f ca="1">SUM(INDIRECT(BD$1&amp;BD$2&amp;$C174):INDIRECT(BD$1&amp;BD$3&amp;$C174))</f>
        <v>500.25</v>
      </c>
      <c r="BE174" s="2767">
        <f t="shared" ca="1" si="345"/>
        <v>-500.25</v>
      </c>
      <c r="BF174" s="2768">
        <f t="shared" ca="1" si="346"/>
        <v>0</v>
      </c>
      <c r="BG174" s="2002">
        <f ca="1">SUM(INDIRECT(BG$1&amp;BG$2&amp;$A174):INDIRECT(BG$1&amp;BG$3&amp;$A174))+SUM(INDIRECT(BG$1&amp;BG$2&amp;$B174):INDIRECT(BG$1&amp;BG$3&amp;$B174))</f>
        <v>0</v>
      </c>
      <c r="BH174" s="2767">
        <f t="shared" ca="1" si="347"/>
        <v>0</v>
      </c>
      <c r="BI174" s="2768">
        <f t="shared" ca="1" si="348"/>
        <v>0</v>
      </c>
    </row>
    <row r="175" spans="1:61" ht="14.5">
      <c r="A175" s="1693">
        <f t="shared" si="319"/>
        <v>175</v>
      </c>
      <c r="B175" s="616">
        <v>1</v>
      </c>
      <c r="C175" s="1693">
        <f t="shared" si="305"/>
        <v>175</v>
      </c>
      <c r="D175" s="616">
        <v>1</v>
      </c>
      <c r="F175" s="69"/>
      <c r="G175" s="4"/>
      <c r="H175" s="4"/>
      <c r="I175" s="4"/>
      <c r="J175" s="27"/>
      <c r="K175" s="3"/>
      <c r="L175" s="4"/>
      <c r="M175" s="4"/>
      <c r="N175" s="3" t="s">
        <v>2</v>
      </c>
      <c r="O175" s="3"/>
      <c r="P175" s="3"/>
      <c r="Q175" s="3"/>
      <c r="R175" s="1794" t="str">
        <f>CHOOSE(2, "6722000003094", "PL (2) Cost of Sales Others")</f>
        <v>PL (2) Cost of Sales Others</v>
      </c>
      <c r="S175" s="1564">
        <f>S158-S185</f>
        <v>0</v>
      </c>
      <c r="T175" s="1565">
        <f t="shared" si="371"/>
        <v>0</v>
      </c>
      <c r="U175" s="1565">
        <f t="shared" si="371"/>
        <v>0</v>
      </c>
      <c r="V175" s="1565">
        <f t="shared" si="371"/>
        <v>0</v>
      </c>
      <c r="W175" s="1565">
        <f t="shared" si="371"/>
        <v>0</v>
      </c>
      <c r="X175" s="1565">
        <f t="shared" si="371"/>
        <v>0</v>
      </c>
      <c r="Y175" s="1565">
        <f t="shared" si="371"/>
        <v>0</v>
      </c>
      <c r="Z175" s="1565">
        <f t="shared" si="371"/>
        <v>0</v>
      </c>
      <c r="AA175" s="1565">
        <f t="shared" si="371"/>
        <v>0</v>
      </c>
      <c r="AB175" s="1565">
        <f t="shared" si="371"/>
        <v>0</v>
      </c>
      <c r="AC175" s="1565">
        <f t="shared" si="371"/>
        <v>0</v>
      </c>
      <c r="AD175" s="1565">
        <f t="shared" si="371"/>
        <v>0</v>
      </c>
      <c r="AE175" s="1221">
        <f t="shared" si="361"/>
        <v>0</v>
      </c>
      <c r="AF175" s="1221">
        <f t="shared" si="362"/>
        <v>0</v>
      </c>
      <c r="AG175" s="1221">
        <f t="shared" si="363"/>
        <v>0</v>
      </c>
      <c r="AH175" s="1221">
        <f t="shared" si="364"/>
        <v>0</v>
      </c>
      <c r="AI175" s="1221">
        <f t="shared" si="365"/>
        <v>0</v>
      </c>
      <c r="AJ175" s="1221">
        <f t="shared" si="366"/>
        <v>0</v>
      </c>
      <c r="AK175" s="1221">
        <f t="shared" si="367"/>
        <v>0</v>
      </c>
      <c r="AM175" s="596">
        <f ca="1">SUM((INDIRECT(AM$2&amp;(ROW())):INDIRECT(AM$3&amp;(ROW()))))</f>
        <v>0</v>
      </c>
      <c r="AN175" s="2002">
        <f ca="1">SUM(INDIRECT(AN$1&amp;AN$2&amp;$C175):INDIRECT(AN$1&amp;AN$3&amp;$C175))</f>
        <v>0</v>
      </c>
      <c r="AO175" s="2767">
        <f t="shared" ca="1" si="230"/>
        <v>0</v>
      </c>
      <c r="AP175" s="2768">
        <f t="shared" ca="1" si="338"/>
        <v>0</v>
      </c>
      <c r="AQ175" s="2002">
        <f ca="1">SUM(INDIRECT(AQ$1&amp;AQ$2&amp;$A175):INDIRECT(AQ$1&amp;AQ$3&amp;$A175))+SUM(INDIRECT(AQ$1&amp;AQ$2&amp;$B175):INDIRECT(AQ$1&amp;AQ$3&amp;$B175))</f>
        <v>0</v>
      </c>
      <c r="AR175" s="2767">
        <f t="shared" ca="1" si="339"/>
        <v>0</v>
      </c>
      <c r="AS175" s="2768">
        <f t="shared" ca="1" si="340"/>
        <v>0</v>
      </c>
      <c r="AU175" s="596">
        <f ca="1">SUM((INDIRECT(AU$2&amp;(ROW())):INDIRECT(AU$3&amp;(ROW()))))</f>
        <v>0</v>
      </c>
      <c r="AV175" s="2002">
        <f ca="1">SUM(INDIRECT(AV$1&amp;AV$2&amp;$C175):INDIRECT(AV$1&amp;AV$3&amp;$C175))</f>
        <v>0</v>
      </c>
      <c r="AW175" s="2767">
        <f t="shared" ca="1" si="341"/>
        <v>0</v>
      </c>
      <c r="AX175" s="2768">
        <f t="shared" ca="1" si="342"/>
        <v>0</v>
      </c>
      <c r="AY175" s="2002">
        <f ca="1">SUM(INDIRECT(AY$1&amp;AY$2&amp;$A175):INDIRECT(AY$1&amp;AY$3&amp;$A175))+SUM(INDIRECT(AY$1&amp;AY$2&amp;$B175):INDIRECT(AY$1&amp;AY$3&amp;$B175))</f>
        <v>0</v>
      </c>
      <c r="AZ175" s="2767">
        <f t="shared" ca="1" si="343"/>
        <v>0</v>
      </c>
      <c r="BA175" s="2768">
        <f t="shared" ca="1" si="344"/>
        <v>0</v>
      </c>
      <c r="BC175" s="596">
        <f ca="1">SUM((INDIRECT(BC$2&amp;(ROW())):INDIRECT(BC$3&amp;(ROW()))))</f>
        <v>0</v>
      </c>
      <c r="BD175" s="2002">
        <f ca="1">SUM(INDIRECT(BD$1&amp;BD$2&amp;$C175):INDIRECT(BD$1&amp;BD$3&amp;$C175))</f>
        <v>0</v>
      </c>
      <c r="BE175" s="2767">
        <f t="shared" ca="1" si="345"/>
        <v>0</v>
      </c>
      <c r="BF175" s="2768">
        <f t="shared" ca="1" si="346"/>
        <v>0</v>
      </c>
      <c r="BG175" s="2002">
        <f ca="1">SUM(INDIRECT(BG$1&amp;BG$2&amp;$A175):INDIRECT(BG$1&amp;BG$3&amp;$A175))+SUM(INDIRECT(BG$1&amp;BG$2&amp;$B175):INDIRECT(BG$1&amp;BG$3&amp;$B175))</f>
        <v>0</v>
      </c>
      <c r="BH175" s="2767">
        <f t="shared" ca="1" si="347"/>
        <v>0</v>
      </c>
      <c r="BI175" s="2768">
        <f t="shared" ca="1" si="348"/>
        <v>0</v>
      </c>
    </row>
    <row r="176" spans="1:61" ht="14.5">
      <c r="A176" s="1693">
        <f t="shared" si="319"/>
        <v>176</v>
      </c>
      <c r="B176" s="616">
        <v>1</v>
      </c>
      <c r="C176" s="1693">
        <f t="shared" si="305"/>
        <v>176</v>
      </c>
      <c r="D176" s="616">
        <v>1</v>
      </c>
      <c r="E176" s="709" t="s">
        <v>512</v>
      </c>
      <c r="F176" s="1572"/>
      <c r="G176" s="4"/>
      <c r="H176" s="4"/>
      <c r="I176" s="4"/>
      <c r="J176" s="116" t="s">
        <v>54</v>
      </c>
      <c r="K176" s="115"/>
      <c r="L176" s="114"/>
      <c r="M176" s="114"/>
      <c r="N176" s="114"/>
      <c r="O176" s="114"/>
      <c r="P176" s="114"/>
      <c r="Q176" s="864"/>
      <c r="R176" s="1793" t="str">
        <f>CHOOSE(2, "6722000003095", "PL (2) Gross Profit")</f>
        <v>PL (2) Gross Profit</v>
      </c>
      <c r="S176" s="1584">
        <f>SUM(S182:S185)</f>
        <v>300932</v>
      </c>
      <c r="T176" s="1585">
        <f t="shared" ref="T176:AD176" si="372">SUM(T182:T185)</f>
        <v>223184.78195999999</v>
      </c>
      <c r="U176" s="1585">
        <f t="shared" si="372"/>
        <v>179487.77936874999</v>
      </c>
      <c r="V176" s="1585">
        <f t="shared" si="372"/>
        <v>173774.98555803846</v>
      </c>
      <c r="W176" s="1585">
        <f t="shared" si="372"/>
        <v>175209.8023034888</v>
      </c>
      <c r="X176" s="1585">
        <f t="shared" si="372"/>
        <v>202514.179939642</v>
      </c>
      <c r="Y176" s="1585">
        <f t="shared" si="372"/>
        <v>179657.39875375002</v>
      </c>
      <c r="Z176" s="1585">
        <f t="shared" si="372"/>
        <v>201979.68398029424</v>
      </c>
      <c r="AA176" s="1585">
        <f t="shared" si="372"/>
        <v>197364.95225718629</v>
      </c>
      <c r="AB176" s="1585">
        <f t="shared" si="372"/>
        <v>217401.32142971407</v>
      </c>
      <c r="AC176" s="1585">
        <f t="shared" si="372"/>
        <v>265248.75445341913</v>
      </c>
      <c r="AD176" s="1585">
        <f t="shared" si="372"/>
        <v>161488.64545611275</v>
      </c>
      <c r="AE176" s="885">
        <f t="shared" si="361"/>
        <v>703604.56132874999</v>
      </c>
      <c r="AF176" s="113">
        <f t="shared" si="362"/>
        <v>551498.96780116926</v>
      </c>
      <c r="AG176" s="113">
        <f t="shared" si="363"/>
        <v>579002.03499123058</v>
      </c>
      <c r="AH176" s="113">
        <f t="shared" si="364"/>
        <v>644138.72133924603</v>
      </c>
      <c r="AI176" s="113">
        <f>SUM(AI182:AI185)</f>
        <v>1255103.5291299191</v>
      </c>
      <c r="AJ176" s="113">
        <f>SUM(AJ182:AJ185)</f>
        <v>1223140.7563304766</v>
      </c>
      <c r="AK176" s="113">
        <f>SUM(AK182:AK185)</f>
        <v>2478244.2854603957</v>
      </c>
      <c r="AM176" s="2268">
        <f ca="1">SUM((INDIRECT(AM$2&amp;(ROW())):INDIRECT(AM$3&amp;(ROW()))))</f>
        <v>300932</v>
      </c>
      <c r="AN176" s="2030">
        <f ca="1">SUM(INDIRECT(AN$1&amp;AN$2&amp;$C176):INDIRECT(AN$1&amp;AN$3&amp;$C176))</f>
        <v>250485.29442764385</v>
      </c>
      <c r="AO176" s="2800">
        <f t="shared" ca="1" si="230"/>
        <v>50446.70557235615</v>
      </c>
      <c r="AP176" s="2801">
        <f t="shared" ca="1" si="338"/>
        <v>1.2013958771017927</v>
      </c>
      <c r="AQ176" s="2030">
        <f ca="1">SUM(INDIRECT(AQ$1&amp;AQ$2&amp;$A176):INDIRECT(AQ$1&amp;AQ$3&amp;$A176))+SUM(INDIRECT(AQ$1&amp;AQ$2&amp;$B176):INDIRECT(AQ$1&amp;AQ$3&amp;$B176))</f>
        <v>142665</v>
      </c>
      <c r="AR176" s="2800">
        <f t="shared" ca="1" si="339"/>
        <v>158267</v>
      </c>
      <c r="AS176" s="2801">
        <f t="shared" ca="1" si="340"/>
        <v>2.1093610906669471</v>
      </c>
      <c r="AU176" s="2268">
        <f ca="1">SUM((INDIRECT(AU$2&amp;(ROW())):INDIRECT(AU$3&amp;(ROW()))))</f>
        <v>300932</v>
      </c>
      <c r="AV176" s="2030">
        <f ca="1">SUM(INDIRECT(AV$1&amp;AV$2&amp;$C176):INDIRECT(AV$1&amp;AV$3&amp;$C176))</f>
        <v>250485.29442764385</v>
      </c>
      <c r="AW176" s="2800">
        <f t="shared" ca="1" si="341"/>
        <v>50446.70557235615</v>
      </c>
      <c r="AX176" s="2801">
        <f t="shared" ca="1" si="342"/>
        <v>1.2013958771017927</v>
      </c>
      <c r="AY176" s="2030">
        <f ca="1">SUM(INDIRECT(AY$1&amp;AY$2&amp;$A176):INDIRECT(AY$1&amp;AY$3&amp;$A176))+SUM(INDIRECT(AY$1&amp;AY$2&amp;$B176):INDIRECT(AY$1&amp;AY$3&amp;$B176))</f>
        <v>142665</v>
      </c>
      <c r="AZ176" s="2800">
        <f t="shared" ca="1" si="343"/>
        <v>158267</v>
      </c>
      <c r="BA176" s="2801">
        <f t="shared" ca="1" si="344"/>
        <v>2.1093610906669471</v>
      </c>
      <c r="BC176" s="2268">
        <f ca="1">SUM((INDIRECT(BC$2&amp;(ROW())):INDIRECT(BC$3&amp;(ROW()))))</f>
        <v>300932</v>
      </c>
      <c r="BD176" s="2030">
        <f ca="1">SUM(INDIRECT(BD$1&amp;BD$2&amp;$C176):INDIRECT(BD$1&amp;BD$3&amp;$C176))</f>
        <v>250485.29442764385</v>
      </c>
      <c r="BE176" s="2800">
        <f t="shared" ca="1" si="345"/>
        <v>50446.70557235615</v>
      </c>
      <c r="BF176" s="2801">
        <f t="shared" ca="1" si="346"/>
        <v>1.2013958771017927</v>
      </c>
      <c r="BG176" s="2030">
        <f ca="1">SUM(INDIRECT(BG$1&amp;BG$2&amp;$A176):INDIRECT(BG$1&amp;BG$3&amp;$A176))+SUM(INDIRECT(BG$1&amp;BG$2&amp;$B176):INDIRECT(BG$1&amp;BG$3&amp;$B176))</f>
        <v>142665</v>
      </c>
      <c r="BH176" s="2800">
        <f t="shared" ca="1" si="347"/>
        <v>158267</v>
      </c>
      <c r="BI176" s="2801">
        <f t="shared" ca="1" si="348"/>
        <v>2.1093610906669471</v>
      </c>
    </row>
    <row r="177" spans="1:61" ht="14.5">
      <c r="A177" s="1693">
        <f t="shared" si="319"/>
        <v>177</v>
      </c>
      <c r="B177" s="616">
        <v>1</v>
      </c>
      <c r="C177" s="1693">
        <f t="shared" si="305"/>
        <v>177</v>
      </c>
      <c r="D177" s="616">
        <v>1</v>
      </c>
      <c r="E177" s="709" t="s">
        <v>512</v>
      </c>
      <c r="F177" s="1572"/>
      <c r="G177" s="4"/>
      <c r="H177" s="4"/>
      <c r="I177" s="4"/>
      <c r="J177" s="502"/>
      <c r="K177" s="503" t="s">
        <v>113</v>
      </c>
      <c r="L177" s="501"/>
      <c r="M177" s="501"/>
      <c r="N177" s="501"/>
      <c r="O177" s="501"/>
      <c r="P177" s="478" t="s">
        <v>301</v>
      </c>
      <c r="Q177" s="4"/>
      <c r="R177" s="1785" t="str">
        <f>CHOOSE(2, "6722000003096", "PL (2) Gross Profit (%)")</f>
        <v>PL (2) Gross Profit (%)</v>
      </c>
      <c r="S177" s="1306">
        <f>IFERROR(S176/S154,0)</f>
        <v>0.40588545509231599</v>
      </c>
      <c r="T177" s="1284">
        <f t="shared" ref="T177:AD177" si="373">IFERROR(T176/T154,0)</f>
        <v>0.33289308294332309</v>
      </c>
      <c r="U177" s="1284">
        <f t="shared" si="373"/>
        <v>0.3270819745366837</v>
      </c>
      <c r="V177" s="1284">
        <f t="shared" si="373"/>
        <v>0.30700931222254685</v>
      </c>
      <c r="W177" s="1284">
        <f t="shared" si="373"/>
        <v>0.27151665560076998</v>
      </c>
      <c r="X177" s="1284">
        <f t="shared" si="373"/>
        <v>0.30671392957620702</v>
      </c>
      <c r="Y177" s="1284">
        <f t="shared" si="373"/>
        <v>0.27883857269032147</v>
      </c>
      <c r="Z177" s="1284">
        <f t="shared" si="373"/>
        <v>0.35690005364790173</v>
      </c>
      <c r="AA177" s="1284">
        <f t="shared" si="373"/>
        <v>0.32689770334721857</v>
      </c>
      <c r="AB177" s="1284">
        <f t="shared" si="373"/>
        <v>0.33128223147578278</v>
      </c>
      <c r="AC177" s="1284">
        <f t="shared" si="373"/>
        <v>0.37953731865905987</v>
      </c>
      <c r="AD177" s="1284">
        <f t="shared" si="373"/>
        <v>0.26912409633600959</v>
      </c>
      <c r="AE177" s="1284">
        <f t="shared" ref="AE177:AK177" si="374">IFERROR(AE176/AE154,0)</f>
        <v>0.35886921283114109</v>
      </c>
      <c r="AF177" s="1284">
        <f t="shared" si="374"/>
        <v>0.29466772971627297</v>
      </c>
      <c r="AG177" s="1284">
        <f t="shared" si="374"/>
        <v>0.31918781436307153</v>
      </c>
      <c r="AH177" s="1284">
        <f t="shared" si="374"/>
        <v>0.32945429032590329</v>
      </c>
      <c r="AI177" s="1284">
        <f t="shared" si="374"/>
        <v>0.32751414804617218</v>
      </c>
      <c r="AJ177" s="1284">
        <f t="shared" si="374"/>
        <v>0.32451333091227336</v>
      </c>
      <c r="AK177" s="1284">
        <f t="shared" si="374"/>
        <v>0.32602618619592239</v>
      </c>
      <c r="AL177" s="504"/>
      <c r="AM177" s="1306">
        <f t="shared" ref="AM177:AQ177" ca="1" si="375">IFERROR(AM176/AM154,0)</f>
        <v>0.40588545509231599</v>
      </c>
      <c r="AN177" s="1284">
        <f t="shared" ca="1" si="375"/>
        <v>0.41919436037256669</v>
      </c>
      <c r="AO177" s="1284">
        <f t="shared" ref="AO177:AO250" ca="1" si="376">AM177-AN177</f>
        <v>-1.3308905280250694E-2</v>
      </c>
      <c r="AP177" s="609"/>
      <c r="AQ177" s="1284">
        <f t="shared" ca="1" si="375"/>
        <v>0.30393767216530426</v>
      </c>
      <c r="AR177" s="1284">
        <f t="shared" ca="1" si="339"/>
        <v>0.10194778292701173</v>
      </c>
      <c r="AS177" s="609"/>
      <c r="AT177" s="504"/>
      <c r="AU177" s="1306">
        <f ca="1">IFERROR(AU176/AU154,0)</f>
        <v>0.40588545509231599</v>
      </c>
      <c r="AV177" s="1284">
        <f ca="1">IFERROR(AV176/AV154,0)</f>
        <v>0.41919436037256669</v>
      </c>
      <c r="AW177" s="1284">
        <f t="shared" ca="1" si="341"/>
        <v>-1.3308905280250694E-2</v>
      </c>
      <c r="AX177" s="609"/>
      <c r="AY177" s="1284">
        <f ca="1">IFERROR(AY176/AY154,0)</f>
        <v>0.30393767216530426</v>
      </c>
      <c r="AZ177" s="1284">
        <f t="shared" ca="1" si="343"/>
        <v>0.10194778292701173</v>
      </c>
      <c r="BA177" s="609"/>
      <c r="BB177" s="504"/>
      <c r="BC177" s="1306">
        <f ca="1">IFERROR(BC176/BC154,0)</f>
        <v>0.40588545509231599</v>
      </c>
      <c r="BD177" s="1284">
        <f ca="1">IFERROR(BD176/BD154,0)</f>
        <v>0.41919436037256669</v>
      </c>
      <c r="BE177" s="1284">
        <f t="shared" ca="1" si="345"/>
        <v>-1.3308905280250694E-2</v>
      </c>
      <c r="BF177" s="609"/>
      <c r="BG177" s="1284">
        <f ca="1">IFERROR(BG176/BG154,0)</f>
        <v>0.30393767216530426</v>
      </c>
      <c r="BH177" s="1284">
        <f t="shared" ca="1" si="347"/>
        <v>0.10194778292701173</v>
      </c>
      <c r="BI177" s="609"/>
    </row>
    <row r="178" spans="1:61" s="504" customFormat="1" ht="14.5" hidden="1" outlineLevel="1">
      <c r="A178" s="1693">
        <f t="shared" si="319"/>
        <v>178</v>
      </c>
      <c r="B178" s="616">
        <v>1</v>
      </c>
      <c r="C178" s="1693">
        <f t="shared" si="305"/>
        <v>178</v>
      </c>
      <c r="D178" s="616">
        <v>1</v>
      </c>
      <c r="E178" s="709" t="s">
        <v>512</v>
      </c>
      <c r="F178" s="1572"/>
      <c r="G178" s="4"/>
      <c r="H178" s="4"/>
      <c r="I178" s="501"/>
      <c r="J178" s="502"/>
      <c r="K178" s="505"/>
      <c r="L178" s="501"/>
      <c r="M178" s="501"/>
      <c r="N178" s="503" t="s">
        <v>327</v>
      </c>
      <c r="O178" s="505"/>
      <c r="P178" s="505"/>
      <c r="Q178" s="505"/>
      <c r="R178" s="1792" t="str">
        <f>CHOOSE(2, "6722000003097", "PL (2) Gross Profit HW (%)")</f>
        <v>PL (2) Gross Profit HW (%)</v>
      </c>
      <c r="S178" s="1304">
        <f>IFERROR(S182/S155,0)</f>
        <v>0.32156438099886125</v>
      </c>
      <c r="T178" s="1283">
        <f t="shared" ref="T178:AD178" si="377">IFERROR(T182/T155,0)</f>
        <v>0.33843840737613651</v>
      </c>
      <c r="U178" s="1283">
        <f t="shared" si="377"/>
        <v>0.34910813286734982</v>
      </c>
      <c r="V178" s="1283">
        <f t="shared" si="377"/>
        <v>0.32835016295437069</v>
      </c>
      <c r="W178" s="1283">
        <f t="shared" si="377"/>
        <v>0.39180902115537186</v>
      </c>
      <c r="X178" s="1283">
        <f t="shared" si="377"/>
        <v>0.35883128458906999</v>
      </c>
      <c r="Y178" s="1283">
        <f t="shared" si="377"/>
        <v>0.32172895432135346</v>
      </c>
      <c r="Z178" s="1283">
        <f t="shared" si="377"/>
        <v>0.39521701881706733</v>
      </c>
      <c r="AA178" s="1283">
        <f t="shared" si="377"/>
        <v>0.37694428535643737</v>
      </c>
      <c r="AB178" s="1283">
        <f t="shared" si="377"/>
        <v>0.3459756755455119</v>
      </c>
      <c r="AC178" s="1283">
        <f t="shared" si="377"/>
        <v>0.31973583554024954</v>
      </c>
      <c r="AD178" s="1283">
        <f t="shared" si="377"/>
        <v>0.38848698160625222</v>
      </c>
      <c r="AE178" s="1283">
        <f t="shared" ref="AE178:AK181" si="378">IFERROR(AE182/AE155,0)</f>
        <v>0.33569976074061775</v>
      </c>
      <c r="AF178" s="1283">
        <f t="shared" si="378"/>
        <v>0.36168977763194987</v>
      </c>
      <c r="AG178" s="1283">
        <f t="shared" si="378"/>
        <v>0.36333895673865335</v>
      </c>
      <c r="AH178" s="1283">
        <f t="shared" si="378"/>
        <v>0.35035085954329426</v>
      </c>
      <c r="AI178" s="1283">
        <f t="shared" si="378"/>
        <v>0.34900711375019522</v>
      </c>
      <c r="AJ178" s="1283">
        <f t="shared" si="378"/>
        <v>0.35641940854812298</v>
      </c>
      <c r="AK178" s="1283">
        <f t="shared" si="378"/>
        <v>0.35257617543691844</v>
      </c>
      <c r="AM178" s="1304">
        <f t="shared" ref="AM178:AQ181" ca="1" si="379">IFERROR(AM182/AM155,0)</f>
        <v>0.32156438099886125</v>
      </c>
      <c r="AN178" s="1283">
        <f t="shared" ca="1" si="379"/>
        <v>0.36207854784086435</v>
      </c>
      <c r="AO178" s="1283">
        <f t="shared" ca="1" si="376"/>
        <v>-4.0514166842003096E-2</v>
      </c>
      <c r="AP178" s="2777"/>
      <c r="AQ178" s="1283">
        <f t="shared" ca="1" si="379"/>
        <v>0.32914972600318188</v>
      </c>
      <c r="AR178" s="1283">
        <f t="shared" ca="1" si="339"/>
        <v>-7.5853450043206205E-3</v>
      </c>
      <c r="AS178" s="2777"/>
      <c r="AU178" s="1304">
        <f t="shared" ref="AU178:AV181" ca="1" si="380">IFERROR(AU182/AU155,0)</f>
        <v>0.32156438099886125</v>
      </c>
      <c r="AV178" s="1283">
        <f t="shared" ca="1" si="380"/>
        <v>0.36207854784086435</v>
      </c>
      <c r="AW178" s="1283">
        <f t="shared" ca="1" si="341"/>
        <v>-4.0514166842003096E-2</v>
      </c>
      <c r="AX178" s="2777"/>
      <c r="AY178" s="1283">
        <f ca="1">IFERROR(AY182/AY155,0)</f>
        <v>0.32914972600318188</v>
      </c>
      <c r="AZ178" s="1283">
        <f t="shared" ca="1" si="343"/>
        <v>-7.5853450043206205E-3</v>
      </c>
      <c r="BA178" s="2777"/>
      <c r="BC178" s="1304">
        <f t="shared" ref="BC178:BD181" ca="1" si="381">IFERROR(BC182/BC155,0)</f>
        <v>0.32156438099886125</v>
      </c>
      <c r="BD178" s="1283">
        <f t="shared" ca="1" si="381"/>
        <v>0.36207854784086435</v>
      </c>
      <c r="BE178" s="1283">
        <f t="shared" ca="1" si="345"/>
        <v>-4.0514166842003096E-2</v>
      </c>
      <c r="BF178" s="2777"/>
      <c r="BG178" s="1283">
        <f ca="1">IFERROR(BG182/BG155,0)</f>
        <v>0.32914972600318188</v>
      </c>
      <c r="BH178" s="1283">
        <f t="shared" ca="1" si="347"/>
        <v>-7.5853450043206205E-3</v>
      </c>
      <c r="BI178" s="2777"/>
    </row>
    <row r="179" spans="1:61" s="504" customFormat="1" ht="14.5" hidden="1" outlineLevel="1">
      <c r="A179" s="1693">
        <f t="shared" si="319"/>
        <v>179</v>
      </c>
      <c r="B179" s="616">
        <v>1</v>
      </c>
      <c r="C179" s="1693">
        <f t="shared" si="305"/>
        <v>179</v>
      </c>
      <c r="D179" s="616">
        <v>1</v>
      </c>
      <c r="E179" s="709" t="s">
        <v>512</v>
      </c>
      <c r="F179" s="1572"/>
      <c r="G179" s="4"/>
      <c r="H179" s="4"/>
      <c r="I179" s="501"/>
      <c r="J179" s="502"/>
      <c r="K179" s="505"/>
      <c r="L179" s="501"/>
      <c r="M179" s="501"/>
      <c r="N179" s="503" t="s">
        <v>328</v>
      </c>
      <c r="O179" s="505"/>
      <c r="P179" s="505"/>
      <c r="Q179" s="505"/>
      <c r="R179" s="1792" t="str">
        <f>CHOOSE(2, "6722000003098", "PL (2) Gross Profit NH (%)")</f>
        <v>PL (2) Gross Profit NH (%)</v>
      </c>
      <c r="S179" s="1304">
        <f t="shared" ref="S179:AD181" si="382">IFERROR(S183/S156,0)</f>
        <v>0.43633483074697504</v>
      </c>
      <c r="T179" s="1283">
        <f t="shared" si="382"/>
        <v>0.33046952991571471</v>
      </c>
      <c r="U179" s="1283">
        <f t="shared" si="382"/>
        <v>0.31755209217492891</v>
      </c>
      <c r="V179" s="1283">
        <f t="shared" si="382"/>
        <v>0.29771713316084381</v>
      </c>
      <c r="W179" s="1283">
        <f t="shared" si="382"/>
        <v>0.21340033826794461</v>
      </c>
      <c r="X179" s="1283">
        <f t="shared" si="382"/>
        <v>0.28444859850040521</v>
      </c>
      <c r="Y179" s="1283">
        <f t="shared" si="382"/>
        <v>0.26507407648750242</v>
      </c>
      <c r="Z179" s="1283">
        <f t="shared" si="382"/>
        <v>0.34194748146516274</v>
      </c>
      <c r="AA179" s="1283">
        <f t="shared" si="382"/>
        <v>0.30751350324988153</v>
      </c>
      <c r="AB179" s="1283">
        <f t="shared" si="382"/>
        <v>0.32598592225941969</v>
      </c>
      <c r="AC179" s="1283">
        <f t="shared" si="382"/>
        <v>0.40558777049635342</v>
      </c>
      <c r="AD179" s="1283">
        <f t="shared" si="382"/>
        <v>0.21332229790584656</v>
      </c>
      <c r="AE179" s="1283">
        <f t="shared" si="378"/>
        <v>0.36828007794983503</v>
      </c>
      <c r="AF179" s="1283">
        <f t="shared" si="378"/>
        <v>0.26434204054338717</v>
      </c>
      <c r="AG179" s="1283">
        <f t="shared" si="378"/>
        <v>0.30306911932359087</v>
      </c>
      <c r="AH179" s="1283">
        <f t="shared" si="378"/>
        <v>0.32063540444469879</v>
      </c>
      <c r="AI179" s="1283">
        <f t="shared" si="378"/>
        <v>0.31858832906202289</v>
      </c>
      <c r="AJ179" s="1283">
        <f t="shared" si="378"/>
        <v>0.31208170258303208</v>
      </c>
      <c r="AK179" s="1283">
        <f t="shared" si="378"/>
        <v>0.31532391377243091</v>
      </c>
      <c r="AM179" s="1304">
        <f t="shared" ca="1" si="379"/>
        <v>0.43633483074697504</v>
      </c>
      <c r="AN179" s="1283">
        <f t="shared" ca="1" si="379"/>
        <v>0.43947174573720854</v>
      </c>
      <c r="AO179" s="1283">
        <f t="shared" ca="1" si="376"/>
        <v>-3.136914990233497E-3</v>
      </c>
      <c r="AP179" s="2777"/>
      <c r="AQ179" s="1283">
        <f t="shared" ca="1" si="379"/>
        <v>0.29484105701074115</v>
      </c>
      <c r="AR179" s="1283">
        <f t="shared" ca="1" si="339"/>
        <v>0.1414937737362339</v>
      </c>
      <c r="AS179" s="2777"/>
      <c r="AU179" s="1304">
        <f t="shared" ca="1" si="380"/>
        <v>0.43633483074697504</v>
      </c>
      <c r="AV179" s="1283">
        <f t="shared" ca="1" si="380"/>
        <v>0.43947174573720854</v>
      </c>
      <c r="AW179" s="1283">
        <f t="shared" ca="1" si="341"/>
        <v>-3.136914990233497E-3</v>
      </c>
      <c r="AX179" s="2777"/>
      <c r="AY179" s="1283">
        <f ca="1">IFERROR(AY183/AY156,0)</f>
        <v>0.29484105701074115</v>
      </c>
      <c r="AZ179" s="1283">
        <f t="shared" ca="1" si="343"/>
        <v>0.1414937737362339</v>
      </c>
      <c r="BA179" s="2777"/>
      <c r="BC179" s="1304">
        <f t="shared" ca="1" si="381"/>
        <v>0.43633483074697504</v>
      </c>
      <c r="BD179" s="1283">
        <f t="shared" ca="1" si="381"/>
        <v>0.43947174573720854</v>
      </c>
      <c r="BE179" s="1283">
        <f t="shared" ca="1" si="345"/>
        <v>-3.136914990233497E-3</v>
      </c>
      <c r="BF179" s="2777"/>
      <c r="BG179" s="1283">
        <f ca="1">IFERROR(BG183/BG156,0)</f>
        <v>0.29484105701074115</v>
      </c>
      <c r="BH179" s="1283">
        <f t="shared" ca="1" si="347"/>
        <v>0.1414937737362339</v>
      </c>
      <c r="BI179" s="2777"/>
    </row>
    <row r="180" spans="1:61" s="504" customFormat="1" ht="14.5" hidden="1" outlineLevel="1">
      <c r="A180" s="1693">
        <f t="shared" si="319"/>
        <v>180</v>
      </c>
      <c r="B180" s="616">
        <v>1</v>
      </c>
      <c r="C180" s="1693">
        <f t="shared" si="305"/>
        <v>180</v>
      </c>
      <c r="D180" s="616">
        <v>1</v>
      </c>
      <c r="E180" s="709" t="s">
        <v>512</v>
      </c>
      <c r="F180" s="1572"/>
      <c r="G180" s="4"/>
      <c r="H180" s="4"/>
      <c r="I180" s="501"/>
      <c r="J180" s="502"/>
      <c r="K180" s="505"/>
      <c r="L180" s="501"/>
      <c r="M180" s="501"/>
      <c r="N180" s="503" t="s">
        <v>330</v>
      </c>
      <c r="O180" s="505"/>
      <c r="P180" s="505"/>
      <c r="Q180" s="505"/>
      <c r="R180" s="1792" t="str">
        <f>CHOOSE(2, "6722000003099", "PL (2) Gross Profit Solution (%)")</f>
        <v>PL (2) Gross Profit Solution (%)</v>
      </c>
      <c r="S180" s="1304">
        <f t="shared" si="382"/>
        <v>0</v>
      </c>
      <c r="T180" s="1283">
        <f t="shared" si="382"/>
        <v>0</v>
      </c>
      <c r="U180" s="1283">
        <f t="shared" si="382"/>
        <v>0</v>
      </c>
      <c r="V180" s="1283">
        <f t="shared" si="382"/>
        <v>0</v>
      </c>
      <c r="W180" s="1283">
        <f t="shared" si="382"/>
        <v>0</v>
      </c>
      <c r="X180" s="1283">
        <f t="shared" si="382"/>
        <v>-6.9450170198675512</v>
      </c>
      <c r="Y180" s="1283">
        <f t="shared" si="382"/>
        <v>-3.4855143046357617</v>
      </c>
      <c r="Z180" s="1283">
        <f t="shared" si="382"/>
        <v>0.40007894736842103</v>
      </c>
      <c r="AA180" s="1283">
        <f t="shared" si="382"/>
        <v>0</v>
      </c>
      <c r="AB180" s="1283">
        <f t="shared" si="382"/>
        <v>0.58103311258278145</v>
      </c>
      <c r="AC180" s="1283">
        <f t="shared" si="382"/>
        <v>0.48588799999999999</v>
      </c>
      <c r="AD180" s="1283">
        <f t="shared" si="382"/>
        <v>0.50017768089109205</v>
      </c>
      <c r="AE180" s="1283">
        <f t="shared" si="378"/>
        <v>0</v>
      </c>
      <c r="AF180" s="1283">
        <f t="shared" si="378"/>
        <v>-6.9450170198675512</v>
      </c>
      <c r="AG180" s="1283">
        <f t="shared" si="378"/>
        <v>-1.4220470807453418</v>
      </c>
      <c r="AH180" s="1283">
        <f t="shared" si="378"/>
        <v>0.51119863810349564</v>
      </c>
      <c r="AI180" s="1283">
        <f t="shared" si="378"/>
        <v>-6.9450170198675512</v>
      </c>
      <c r="AJ180" s="1283">
        <f t="shared" si="378"/>
        <v>-0.27195473473649784</v>
      </c>
      <c r="AK180" s="1283">
        <f t="shared" si="378"/>
        <v>-0.85080763927984671</v>
      </c>
      <c r="AM180" s="1304">
        <f t="shared" ca="1" si="379"/>
        <v>0</v>
      </c>
      <c r="AN180" s="1283">
        <f t="shared" ca="1" si="379"/>
        <v>0.33300000000000002</v>
      </c>
      <c r="AO180" s="1283">
        <f t="shared" ca="1" si="376"/>
        <v>-0.33300000000000002</v>
      </c>
      <c r="AP180" s="2777"/>
      <c r="AQ180" s="1283">
        <f t="shared" ca="1" si="379"/>
        <v>0</v>
      </c>
      <c r="AR180" s="1283">
        <f t="shared" ca="1" si="339"/>
        <v>0</v>
      </c>
      <c r="AS180" s="2777"/>
      <c r="AU180" s="1304">
        <f t="shared" ca="1" si="380"/>
        <v>0</v>
      </c>
      <c r="AV180" s="1283">
        <f t="shared" ca="1" si="380"/>
        <v>0.33300000000000002</v>
      </c>
      <c r="AW180" s="1283">
        <f t="shared" ca="1" si="341"/>
        <v>-0.33300000000000002</v>
      </c>
      <c r="AX180" s="2777"/>
      <c r="AY180" s="1283">
        <f ca="1">IFERROR(AY184/AY157,0)</f>
        <v>0</v>
      </c>
      <c r="AZ180" s="1283">
        <f t="shared" ca="1" si="343"/>
        <v>0</v>
      </c>
      <c r="BA180" s="2777"/>
      <c r="BC180" s="1304">
        <f t="shared" ca="1" si="381"/>
        <v>0</v>
      </c>
      <c r="BD180" s="1283">
        <f t="shared" ca="1" si="381"/>
        <v>0.33300000000000002</v>
      </c>
      <c r="BE180" s="1283">
        <f t="shared" ca="1" si="345"/>
        <v>-0.33300000000000002</v>
      </c>
      <c r="BF180" s="2777"/>
      <c r="BG180" s="1283">
        <f ca="1">IFERROR(BG184/BG157,0)</f>
        <v>0</v>
      </c>
      <c r="BH180" s="1283">
        <f t="shared" ca="1" si="347"/>
        <v>0</v>
      </c>
      <c r="BI180" s="2777"/>
    </row>
    <row r="181" spans="1:61" s="504" customFormat="1" ht="14.5" hidden="1" outlineLevel="1">
      <c r="A181" s="1693">
        <f t="shared" si="319"/>
        <v>181</v>
      </c>
      <c r="B181" s="616">
        <v>1</v>
      </c>
      <c r="C181" s="1693">
        <f t="shared" si="305"/>
        <v>181</v>
      </c>
      <c r="D181" s="616">
        <v>1</v>
      </c>
      <c r="E181" s="709" t="s">
        <v>512</v>
      </c>
      <c r="F181" s="1572"/>
      <c r="G181" s="4"/>
      <c r="H181" s="4"/>
      <c r="I181" s="501"/>
      <c r="J181" s="502"/>
      <c r="K181" s="505"/>
      <c r="L181" s="501"/>
      <c r="M181" s="501"/>
      <c r="N181" s="503" t="s">
        <v>329</v>
      </c>
      <c r="O181" s="505"/>
      <c r="P181" s="505"/>
      <c r="Q181" s="505"/>
      <c r="R181" s="1792" t="str">
        <f>CHOOSE(2, "6722000003100", "PL (2) Gross Profit Others (%)")</f>
        <v>PL (2) Gross Profit Others (%)</v>
      </c>
      <c r="S181" s="1304">
        <f t="shared" si="382"/>
        <v>0</v>
      </c>
      <c r="T181" s="1283">
        <f t="shared" si="382"/>
        <v>0</v>
      </c>
      <c r="U181" s="1283">
        <f t="shared" si="382"/>
        <v>0</v>
      </c>
      <c r="V181" s="1283">
        <f t="shared" si="382"/>
        <v>0</v>
      </c>
      <c r="W181" s="1283">
        <f t="shared" si="382"/>
        <v>0</v>
      </c>
      <c r="X181" s="1283">
        <f t="shared" si="382"/>
        <v>0</v>
      </c>
      <c r="Y181" s="1283">
        <f t="shared" si="382"/>
        <v>0</v>
      </c>
      <c r="Z181" s="1283">
        <f t="shared" si="382"/>
        <v>0</v>
      </c>
      <c r="AA181" s="1283">
        <f t="shared" si="382"/>
        <v>0</v>
      </c>
      <c r="AB181" s="1283">
        <f t="shared" si="382"/>
        <v>0</v>
      </c>
      <c r="AC181" s="1283">
        <f t="shared" si="382"/>
        <v>0</v>
      </c>
      <c r="AD181" s="1283">
        <f t="shared" si="382"/>
        <v>0</v>
      </c>
      <c r="AE181" s="1283">
        <f t="shared" si="378"/>
        <v>0</v>
      </c>
      <c r="AF181" s="1283">
        <f t="shared" si="378"/>
        <v>0</v>
      </c>
      <c r="AG181" s="1283">
        <f t="shared" si="378"/>
        <v>0</v>
      </c>
      <c r="AH181" s="1283">
        <f t="shared" si="378"/>
        <v>0</v>
      </c>
      <c r="AI181" s="1283">
        <f t="shared" si="378"/>
        <v>0</v>
      </c>
      <c r="AJ181" s="1283">
        <f t="shared" si="378"/>
        <v>0</v>
      </c>
      <c r="AK181" s="1283">
        <f t="shared" si="378"/>
        <v>0</v>
      </c>
      <c r="AM181" s="1304">
        <f t="shared" ca="1" si="379"/>
        <v>0</v>
      </c>
      <c r="AN181" s="1283">
        <f t="shared" ca="1" si="379"/>
        <v>0</v>
      </c>
      <c r="AO181" s="1283">
        <f t="shared" ca="1" si="376"/>
        <v>0</v>
      </c>
      <c r="AP181" s="2777"/>
      <c r="AQ181" s="1283">
        <f t="shared" ca="1" si="379"/>
        <v>0</v>
      </c>
      <c r="AR181" s="1283">
        <f t="shared" ca="1" si="339"/>
        <v>0</v>
      </c>
      <c r="AS181" s="2777"/>
      <c r="AU181" s="1304">
        <f t="shared" ca="1" si="380"/>
        <v>0</v>
      </c>
      <c r="AV181" s="1283">
        <f t="shared" ca="1" si="380"/>
        <v>0</v>
      </c>
      <c r="AW181" s="1283">
        <f t="shared" ca="1" si="341"/>
        <v>0</v>
      </c>
      <c r="AX181" s="2777"/>
      <c r="AY181" s="1283">
        <f ca="1">IFERROR(AY185/AY158,0)</f>
        <v>0</v>
      </c>
      <c r="AZ181" s="1283">
        <f t="shared" ca="1" si="343"/>
        <v>0</v>
      </c>
      <c r="BA181" s="2777"/>
      <c r="BC181" s="1304">
        <f t="shared" ca="1" si="381"/>
        <v>0</v>
      </c>
      <c r="BD181" s="1283">
        <f t="shared" ca="1" si="381"/>
        <v>0</v>
      </c>
      <c r="BE181" s="1283">
        <f t="shared" ca="1" si="345"/>
        <v>0</v>
      </c>
      <c r="BF181" s="2777"/>
      <c r="BG181" s="1283">
        <f ca="1">IFERROR(BG185/BG158,0)</f>
        <v>0</v>
      </c>
      <c r="BH181" s="1283">
        <f t="shared" ca="1" si="347"/>
        <v>0</v>
      </c>
      <c r="BI181" s="2777"/>
    </row>
    <row r="182" spans="1:61" ht="14.5" collapsed="1">
      <c r="A182" s="1693">
        <f t="shared" si="319"/>
        <v>182</v>
      </c>
      <c r="B182" s="616">
        <v>1</v>
      </c>
      <c r="C182" s="1693">
        <f t="shared" si="305"/>
        <v>182</v>
      </c>
      <c r="D182" s="616">
        <v>1</v>
      </c>
      <c r="E182" s="709" t="s">
        <v>512</v>
      </c>
      <c r="F182" s="1572"/>
      <c r="G182" s="4"/>
      <c r="H182" s="4"/>
      <c r="I182" s="4"/>
      <c r="J182" s="27"/>
      <c r="K182" s="3"/>
      <c r="L182" s="4"/>
      <c r="M182" s="4"/>
      <c r="N182" s="3" t="s">
        <v>57</v>
      </c>
      <c r="O182" s="3"/>
      <c r="P182" s="3"/>
      <c r="Q182" s="3"/>
      <c r="R182" s="1794" t="str">
        <f>CHOOSE(2, "6722000003101", "PL (2) Gross Profit HW")</f>
        <v>PL (2) Gross Profit HW</v>
      </c>
      <c r="S182" s="1564">
        <f t="shared" ref="S182:AD182" si="383">S593+S616</f>
        <v>63253</v>
      </c>
      <c r="T182" s="1565">
        <f t="shared" si="383"/>
        <v>69007.267039999977</v>
      </c>
      <c r="U182" s="1565">
        <f t="shared" si="383"/>
        <v>57855.316292916665</v>
      </c>
      <c r="V182" s="1565">
        <f t="shared" si="383"/>
        <v>56376.818702916673</v>
      </c>
      <c r="W182" s="1565">
        <f t="shared" si="383"/>
        <v>82360.401401249997</v>
      </c>
      <c r="X182" s="1565">
        <f t="shared" si="383"/>
        <v>76186.383708841502</v>
      </c>
      <c r="Y182" s="1565">
        <f t="shared" si="383"/>
        <v>56794.478641250003</v>
      </c>
      <c r="Z182" s="1565">
        <f t="shared" si="383"/>
        <v>62634.289554892945</v>
      </c>
      <c r="AA182" s="1565">
        <f t="shared" si="383"/>
        <v>63537.651010000001</v>
      </c>
      <c r="AB182" s="1565">
        <f t="shared" si="383"/>
        <v>59488.967785000001</v>
      </c>
      <c r="AC182" s="1565">
        <f t="shared" si="383"/>
        <v>67841.388655489398</v>
      </c>
      <c r="AD182" s="1565">
        <f t="shared" si="383"/>
        <v>73836.063058896194</v>
      </c>
      <c r="AE182" s="1221">
        <f t="shared" ref="AE182:AE189" si="384">SUM(S182,T182,U182)</f>
        <v>190115.58333291663</v>
      </c>
      <c r="AF182" s="1221">
        <f t="shared" ref="AF182:AF189" si="385">SUM(V182,W182,X182)</f>
        <v>214923.60381300817</v>
      </c>
      <c r="AG182" s="1221">
        <f t="shared" ref="AG182:AG189" si="386">SUM(Y182,Z182,AA182)</f>
        <v>182966.41920614295</v>
      </c>
      <c r="AH182" s="1221">
        <f t="shared" ref="AH182:AH189" si="387">SUM(AB182,AC182,AD182)</f>
        <v>201166.41949938558</v>
      </c>
      <c r="AI182" s="1221">
        <f>AE182+AF182</f>
        <v>405039.18714592478</v>
      </c>
      <c r="AJ182" s="1221">
        <f>AH182+AG182</f>
        <v>384132.83870552853</v>
      </c>
      <c r="AK182" s="1221">
        <f>AI182+AJ182</f>
        <v>789172.02585145331</v>
      </c>
      <c r="AM182" s="596">
        <f ca="1">SUM((INDIRECT(AM$2&amp;(ROW())):INDIRECT(AM$3&amp;(ROW()))))</f>
        <v>63253</v>
      </c>
      <c r="AN182" s="2002">
        <f ca="1">SUM(INDIRECT(AN$1&amp;AN$2&amp;$C182):INDIRECT(AN$1&amp;AN$3&amp;$C182))</f>
        <v>56312.794459501456</v>
      </c>
      <c r="AO182" s="2767">
        <f t="shared" ca="1" si="376"/>
        <v>6940.205540498544</v>
      </c>
      <c r="AP182" s="2768">
        <f t="shared" ca="1" si="338"/>
        <v>1.1232438490597325</v>
      </c>
      <c r="AQ182" s="2002">
        <f ca="1">SUM(INDIRECT(AQ$1&amp;AQ$2&amp;$A182):INDIRECT(AQ$1&amp;AQ$3&amp;$A182))+SUM(INDIRECT(AQ$1&amp;AQ$2&amp;$B182):INDIRECT(AQ$1&amp;AQ$3&amp;$B182))</f>
        <v>40964</v>
      </c>
      <c r="AR182" s="2767">
        <f t="shared" ca="1" si="339"/>
        <v>22289</v>
      </c>
      <c r="AS182" s="2768">
        <f t="shared" ref="AS182:AS190" ca="1" si="388">IFERROR(AM182/AQ182,0)</f>
        <v>1.5441119031344595</v>
      </c>
      <c r="AU182" s="596">
        <f ca="1">SUM((INDIRECT(AU$2&amp;(ROW())):INDIRECT(AU$3&amp;(ROW()))))</f>
        <v>63253</v>
      </c>
      <c r="AV182" s="2002">
        <f ca="1">SUM(INDIRECT(AV$1&amp;AV$2&amp;$C182):INDIRECT(AV$1&amp;AV$3&amp;$C182))</f>
        <v>56312.794459501456</v>
      </c>
      <c r="AW182" s="2767">
        <f t="shared" ca="1" si="341"/>
        <v>6940.205540498544</v>
      </c>
      <c r="AX182" s="2768">
        <f t="shared" ref="AX182:AX190" ca="1" si="389">IFERROR(AU182/AV182,0)</f>
        <v>1.1232438490597325</v>
      </c>
      <c r="AY182" s="2002">
        <f ca="1">SUM(INDIRECT(AY$1&amp;AY$2&amp;$A182):INDIRECT(AY$1&amp;AY$3&amp;$A182))+SUM(INDIRECT(AY$1&amp;AY$2&amp;$B182):INDIRECT(AY$1&amp;AY$3&amp;$B182))</f>
        <v>40964</v>
      </c>
      <c r="AZ182" s="2767">
        <f t="shared" ca="1" si="343"/>
        <v>22289</v>
      </c>
      <c r="BA182" s="2768">
        <f t="shared" ref="BA182:BA190" ca="1" si="390">IFERROR(AU182/AY182,0)</f>
        <v>1.5441119031344595</v>
      </c>
      <c r="BC182" s="596">
        <f ca="1">SUM((INDIRECT(BC$2&amp;(ROW())):INDIRECT(BC$3&amp;(ROW()))))</f>
        <v>63253</v>
      </c>
      <c r="BD182" s="2002">
        <f ca="1">SUM(INDIRECT(BD$1&amp;BD$2&amp;$C182):INDIRECT(BD$1&amp;BD$3&amp;$C182))</f>
        <v>56312.794459501456</v>
      </c>
      <c r="BE182" s="2767">
        <f t="shared" ca="1" si="345"/>
        <v>6940.205540498544</v>
      </c>
      <c r="BF182" s="2768">
        <f t="shared" ref="BF182:BF190" ca="1" si="391">IFERROR(BC182/BD182,0)</f>
        <v>1.1232438490597325</v>
      </c>
      <c r="BG182" s="2002">
        <f ca="1">SUM(INDIRECT(BG$1&amp;BG$2&amp;$A182):INDIRECT(BG$1&amp;BG$3&amp;$A182))+SUM(INDIRECT(BG$1&amp;BG$2&amp;$B182):INDIRECT(BG$1&amp;BG$3&amp;$B182))</f>
        <v>40964</v>
      </c>
      <c r="BH182" s="2767">
        <f t="shared" ca="1" si="347"/>
        <v>22289</v>
      </c>
      <c r="BI182" s="2768">
        <f t="shared" ref="BI182:BI190" ca="1" si="392">IFERROR(BC182/BG182,0)</f>
        <v>1.5441119031344595</v>
      </c>
    </row>
    <row r="183" spans="1:61" ht="14.5">
      <c r="A183" s="1693">
        <f t="shared" si="319"/>
        <v>183</v>
      </c>
      <c r="B183" s="616">
        <v>1</v>
      </c>
      <c r="C183" s="1693">
        <f t="shared" si="305"/>
        <v>183</v>
      </c>
      <c r="D183" s="616">
        <v>1</v>
      </c>
      <c r="E183" s="709" t="s">
        <v>512</v>
      </c>
      <c r="F183" s="1572"/>
      <c r="G183" s="4"/>
      <c r="H183" s="4"/>
      <c r="I183" s="4"/>
      <c r="J183" s="27"/>
      <c r="K183" s="3"/>
      <c r="L183" s="4"/>
      <c r="M183" s="4"/>
      <c r="N183" s="3" t="s">
        <v>27</v>
      </c>
      <c r="O183" s="3"/>
      <c r="P183" s="3"/>
      <c r="Q183" s="3"/>
      <c r="R183" s="1794" t="str">
        <f>CHOOSE(2, "6722000003102", "PL (2) Gross Profit NH")</f>
        <v>PL (2) Gross Profit NH</v>
      </c>
      <c r="S183" s="1564">
        <f t="shared" ref="S183:AD183" si="393">S596+S619</f>
        <v>237679</v>
      </c>
      <c r="T183" s="1565">
        <f t="shared" si="393"/>
        <v>154177.51492000002</v>
      </c>
      <c r="U183" s="1565">
        <f t="shared" si="393"/>
        <v>121632.46307583332</v>
      </c>
      <c r="V183" s="1565">
        <f t="shared" si="393"/>
        <v>117398.1668551218</v>
      </c>
      <c r="W183" s="1565">
        <f t="shared" si="393"/>
        <v>92849.400902238805</v>
      </c>
      <c r="X183" s="1565">
        <f t="shared" si="393"/>
        <v>127376.4938008005</v>
      </c>
      <c r="Y183" s="1565">
        <f t="shared" si="393"/>
        <v>123915.54543250002</v>
      </c>
      <c r="Z183" s="1565">
        <f t="shared" si="393"/>
        <v>139208.5674254013</v>
      </c>
      <c r="AA183" s="1565">
        <f t="shared" si="393"/>
        <v>133827.30124718629</v>
      </c>
      <c r="AB183" s="1565">
        <f t="shared" si="393"/>
        <v>157824.61764471408</v>
      </c>
      <c r="AC183" s="1565">
        <f t="shared" si="393"/>
        <v>197346.62979792975</v>
      </c>
      <c r="AD183" s="1565">
        <f t="shared" si="393"/>
        <v>87317.593397216537</v>
      </c>
      <c r="AE183" s="1221">
        <f t="shared" si="384"/>
        <v>513488.97799583332</v>
      </c>
      <c r="AF183" s="1221">
        <f t="shared" si="385"/>
        <v>337624.06155816111</v>
      </c>
      <c r="AG183" s="1221">
        <f t="shared" si="386"/>
        <v>396951.41410508764</v>
      </c>
      <c r="AH183" s="1221">
        <f t="shared" si="387"/>
        <v>442488.84083986038</v>
      </c>
      <c r="AI183" s="1221">
        <f>AE183+AF183</f>
        <v>851113.03955399443</v>
      </c>
      <c r="AJ183" s="1221">
        <f>AH183+AG183</f>
        <v>839440.25494494801</v>
      </c>
      <c r="AK183" s="1221">
        <f>AI183+AJ183</f>
        <v>1690553.2944989423</v>
      </c>
      <c r="AM183" s="596">
        <f ca="1">SUM((INDIRECT(AM$2&amp;(ROW())):INDIRECT(AM$3&amp;(ROW()))))</f>
        <v>237679</v>
      </c>
      <c r="AN183" s="2002">
        <f ca="1">SUM(INDIRECT(AN$1&amp;AN$2&amp;$C183):INDIRECT(AN$1&amp;AN$3&amp;$C183))</f>
        <v>193922.74996814239</v>
      </c>
      <c r="AO183" s="2767">
        <f t="shared" ca="1" si="376"/>
        <v>43756.250031857606</v>
      </c>
      <c r="AP183" s="2768">
        <f t="shared" ca="1" si="338"/>
        <v>1.225637528547042</v>
      </c>
      <c r="AQ183" s="2002">
        <f ca="1">SUM(INDIRECT(AQ$1&amp;AQ$2&amp;$A183):INDIRECT(AQ$1&amp;AQ$3&amp;$A183))+SUM(INDIRECT(AQ$1&amp;AQ$2&amp;$B183):INDIRECT(AQ$1&amp;AQ$3&amp;$B183))</f>
        <v>101701</v>
      </c>
      <c r="AR183" s="2767">
        <f t="shared" ca="1" si="339"/>
        <v>135978</v>
      </c>
      <c r="AS183" s="2768">
        <f t="shared" ca="1" si="388"/>
        <v>2.3370370006194627</v>
      </c>
      <c r="AU183" s="596">
        <f ca="1">SUM((INDIRECT(AU$2&amp;(ROW())):INDIRECT(AU$3&amp;(ROW()))))</f>
        <v>237679</v>
      </c>
      <c r="AV183" s="2002">
        <f ca="1">SUM(INDIRECT(AV$1&amp;AV$2&amp;$C183):INDIRECT(AV$1&amp;AV$3&amp;$C183))</f>
        <v>193922.74996814239</v>
      </c>
      <c r="AW183" s="2767">
        <f t="shared" ca="1" si="341"/>
        <v>43756.250031857606</v>
      </c>
      <c r="AX183" s="2768">
        <f t="shared" ca="1" si="389"/>
        <v>1.225637528547042</v>
      </c>
      <c r="AY183" s="2002">
        <f ca="1">SUM(INDIRECT(AY$1&amp;AY$2&amp;$A183):INDIRECT(AY$1&amp;AY$3&amp;$A183))+SUM(INDIRECT(AY$1&amp;AY$2&amp;$B183):INDIRECT(AY$1&amp;AY$3&amp;$B183))</f>
        <v>101701</v>
      </c>
      <c r="AZ183" s="2767">
        <f t="shared" ca="1" si="343"/>
        <v>135978</v>
      </c>
      <c r="BA183" s="2768">
        <f t="shared" ca="1" si="390"/>
        <v>2.3370370006194627</v>
      </c>
      <c r="BC183" s="596">
        <f ca="1">SUM((INDIRECT(BC$2&amp;(ROW())):INDIRECT(BC$3&amp;(ROW()))))</f>
        <v>237679</v>
      </c>
      <c r="BD183" s="2002">
        <f ca="1">SUM(INDIRECT(BD$1&amp;BD$2&amp;$C183):INDIRECT(BD$1&amp;BD$3&amp;$C183))</f>
        <v>193922.74996814239</v>
      </c>
      <c r="BE183" s="2767">
        <f t="shared" ca="1" si="345"/>
        <v>43756.250031857606</v>
      </c>
      <c r="BF183" s="2768">
        <f t="shared" ca="1" si="391"/>
        <v>1.225637528547042</v>
      </c>
      <c r="BG183" s="2002">
        <f ca="1">SUM(INDIRECT(BG$1&amp;BG$2&amp;$A183):INDIRECT(BG$1&amp;BG$3&amp;$A183))+SUM(INDIRECT(BG$1&amp;BG$2&amp;$B183):INDIRECT(BG$1&amp;BG$3&amp;$B183))</f>
        <v>101701</v>
      </c>
      <c r="BH183" s="2767">
        <f t="shared" ca="1" si="347"/>
        <v>135978</v>
      </c>
      <c r="BI183" s="2768">
        <f t="shared" ca="1" si="392"/>
        <v>2.3370370006194627</v>
      </c>
    </row>
    <row r="184" spans="1:61" ht="14.5">
      <c r="A184" s="1693">
        <f t="shared" si="319"/>
        <v>184</v>
      </c>
      <c r="B184" s="616">
        <v>1</v>
      </c>
      <c r="C184" s="1693">
        <f t="shared" si="305"/>
        <v>184</v>
      </c>
      <c r="D184" s="616">
        <v>1</v>
      </c>
      <c r="E184" s="709" t="s">
        <v>512</v>
      </c>
      <c r="F184" s="1572"/>
      <c r="G184" s="4"/>
      <c r="H184" s="4"/>
      <c r="I184" s="4"/>
      <c r="J184" s="27"/>
      <c r="K184" s="3"/>
      <c r="L184" s="4"/>
      <c r="M184" s="4"/>
      <c r="N184" s="3" t="s">
        <v>116</v>
      </c>
      <c r="O184" s="3"/>
      <c r="P184" s="3"/>
      <c r="Q184" s="3"/>
      <c r="R184" s="1794" t="str">
        <f>CHOOSE(2, "6722000003103", "PL (2) Gross Profit Solution")</f>
        <v>PL (2) Gross Profit Solution</v>
      </c>
      <c r="S184" s="1564">
        <f t="shared" ref="S184:AD184" si="394">S609+S632</f>
        <v>0</v>
      </c>
      <c r="T184" s="1565">
        <f t="shared" si="394"/>
        <v>0</v>
      </c>
      <c r="U184" s="1565">
        <f t="shared" si="394"/>
        <v>0</v>
      </c>
      <c r="V184" s="1565">
        <f t="shared" si="394"/>
        <v>0</v>
      </c>
      <c r="W184" s="1565">
        <f t="shared" si="394"/>
        <v>0</v>
      </c>
      <c r="X184" s="1565">
        <f t="shared" si="394"/>
        <v>-1048.6975700000003</v>
      </c>
      <c r="Y184" s="1565">
        <f t="shared" si="394"/>
        <v>-1052.6253200000001</v>
      </c>
      <c r="Z184" s="1565">
        <f t="shared" si="394"/>
        <v>136.827</v>
      </c>
      <c r="AA184" s="1565">
        <f t="shared" si="394"/>
        <v>0</v>
      </c>
      <c r="AB184" s="1565">
        <f t="shared" si="394"/>
        <v>87.736000000000004</v>
      </c>
      <c r="AC184" s="1565">
        <f t="shared" si="394"/>
        <v>60.735999999999997</v>
      </c>
      <c r="AD184" s="1565">
        <f t="shared" si="394"/>
        <v>334.98899999999998</v>
      </c>
      <c r="AE184" s="1221">
        <f t="shared" si="384"/>
        <v>0</v>
      </c>
      <c r="AF184" s="1221">
        <f t="shared" si="385"/>
        <v>-1048.6975700000003</v>
      </c>
      <c r="AG184" s="1221">
        <f t="shared" si="386"/>
        <v>-915.7983200000001</v>
      </c>
      <c r="AH184" s="1221">
        <f t="shared" si="387"/>
        <v>483.46100000000001</v>
      </c>
      <c r="AI184" s="1221">
        <f>AE184+AF184</f>
        <v>-1048.6975700000003</v>
      </c>
      <c r="AJ184" s="1221">
        <f>AH184+AG184</f>
        <v>-432.33732000000009</v>
      </c>
      <c r="AK184" s="1221">
        <f>AI184+AJ184</f>
        <v>-1481.0348900000004</v>
      </c>
      <c r="AM184" s="596">
        <f ca="1">SUM((INDIRECT(AM$2&amp;(ROW())):INDIRECT(AM$3&amp;(ROW()))))</f>
        <v>0</v>
      </c>
      <c r="AN184" s="2002">
        <f ca="1">SUM(INDIRECT(AN$1&amp;AN$2&amp;$C184):INDIRECT(AN$1&amp;AN$3&amp;$C184))</f>
        <v>249.75</v>
      </c>
      <c r="AO184" s="2767">
        <f t="shared" ca="1" si="376"/>
        <v>-249.75</v>
      </c>
      <c r="AP184" s="2768">
        <f t="shared" ca="1" si="338"/>
        <v>0</v>
      </c>
      <c r="AQ184" s="2002">
        <f ca="1">SUM(INDIRECT(AQ$1&amp;AQ$2&amp;$A184):INDIRECT(AQ$1&amp;AQ$3&amp;$A184))+SUM(INDIRECT(AQ$1&amp;AQ$2&amp;$B184):INDIRECT(AQ$1&amp;AQ$3&amp;$B184))</f>
        <v>0</v>
      </c>
      <c r="AR184" s="2767">
        <f t="shared" ca="1" si="339"/>
        <v>0</v>
      </c>
      <c r="AS184" s="2768">
        <f t="shared" ca="1" si="388"/>
        <v>0</v>
      </c>
      <c r="AU184" s="596">
        <f ca="1">SUM((INDIRECT(AU$2&amp;(ROW())):INDIRECT(AU$3&amp;(ROW()))))</f>
        <v>0</v>
      </c>
      <c r="AV184" s="2002">
        <f ca="1">SUM(INDIRECT(AV$1&amp;AV$2&amp;$C184):INDIRECT(AV$1&amp;AV$3&amp;$C184))</f>
        <v>249.75</v>
      </c>
      <c r="AW184" s="2767">
        <f t="shared" ca="1" si="341"/>
        <v>-249.75</v>
      </c>
      <c r="AX184" s="2768">
        <f t="shared" ca="1" si="389"/>
        <v>0</v>
      </c>
      <c r="AY184" s="2002">
        <f ca="1">SUM(INDIRECT(AY$1&amp;AY$2&amp;$A184):INDIRECT(AY$1&amp;AY$3&amp;$A184))+SUM(INDIRECT(AY$1&amp;AY$2&amp;$B184):INDIRECT(AY$1&amp;AY$3&amp;$B184))</f>
        <v>0</v>
      </c>
      <c r="AZ184" s="2767">
        <f t="shared" ca="1" si="343"/>
        <v>0</v>
      </c>
      <c r="BA184" s="2768">
        <f t="shared" ca="1" si="390"/>
        <v>0</v>
      </c>
      <c r="BC184" s="596">
        <f ca="1">SUM((INDIRECT(BC$2&amp;(ROW())):INDIRECT(BC$3&amp;(ROW()))))</f>
        <v>0</v>
      </c>
      <c r="BD184" s="2002">
        <f ca="1">SUM(INDIRECT(BD$1&amp;BD$2&amp;$C184):INDIRECT(BD$1&amp;BD$3&amp;$C184))</f>
        <v>249.75</v>
      </c>
      <c r="BE184" s="2767">
        <f t="shared" ca="1" si="345"/>
        <v>-249.75</v>
      </c>
      <c r="BF184" s="2768">
        <f t="shared" ca="1" si="391"/>
        <v>0</v>
      </c>
      <c r="BG184" s="2002">
        <f ca="1">SUM(INDIRECT(BG$1&amp;BG$2&amp;$A184):INDIRECT(BG$1&amp;BG$3&amp;$A184))+SUM(INDIRECT(BG$1&amp;BG$2&amp;$B184):INDIRECT(BG$1&amp;BG$3&amp;$B184))</f>
        <v>0</v>
      </c>
      <c r="BH184" s="2767">
        <f t="shared" ca="1" si="347"/>
        <v>0</v>
      </c>
      <c r="BI184" s="2768">
        <f t="shared" ca="1" si="392"/>
        <v>0</v>
      </c>
    </row>
    <row r="185" spans="1:61" ht="14.5">
      <c r="A185" s="1693">
        <f t="shared" si="319"/>
        <v>185</v>
      </c>
      <c r="B185" s="616">
        <v>1</v>
      </c>
      <c r="C185" s="1693">
        <f t="shared" si="305"/>
        <v>185</v>
      </c>
      <c r="D185" s="616">
        <v>1</v>
      </c>
      <c r="E185" s="709" t="s">
        <v>512</v>
      </c>
      <c r="F185" s="1572"/>
      <c r="G185" s="4"/>
      <c r="H185" s="4"/>
      <c r="I185" s="4"/>
      <c r="J185" s="27"/>
      <c r="K185" s="3"/>
      <c r="L185" s="4"/>
      <c r="M185" s="4"/>
      <c r="N185" s="3" t="s">
        <v>2</v>
      </c>
      <c r="O185" s="3"/>
      <c r="P185" s="3"/>
      <c r="Q185" s="3"/>
      <c r="R185" s="1794" t="str">
        <f>CHOOSE(2, "6722000003104", "PL (2) Gross Profit Others")</f>
        <v>PL (2) Gross Profit Others</v>
      </c>
      <c r="S185" s="1564">
        <f t="shared" ref="S185:AD185" si="395">S614+S637</f>
        <v>0</v>
      </c>
      <c r="T185" s="1565">
        <f t="shared" si="395"/>
        <v>0</v>
      </c>
      <c r="U185" s="1565">
        <f t="shared" si="395"/>
        <v>0</v>
      </c>
      <c r="V185" s="1565">
        <f t="shared" si="395"/>
        <v>0</v>
      </c>
      <c r="W185" s="1565">
        <f t="shared" si="395"/>
        <v>0</v>
      </c>
      <c r="X185" s="1565">
        <f t="shared" si="395"/>
        <v>0</v>
      </c>
      <c r="Y185" s="1565">
        <f t="shared" si="395"/>
        <v>0</v>
      </c>
      <c r="Z185" s="1565">
        <f t="shared" si="395"/>
        <v>0</v>
      </c>
      <c r="AA185" s="1565">
        <f t="shared" si="395"/>
        <v>0</v>
      </c>
      <c r="AB185" s="1565">
        <f t="shared" si="395"/>
        <v>0</v>
      </c>
      <c r="AC185" s="1565">
        <f t="shared" si="395"/>
        <v>0</v>
      </c>
      <c r="AD185" s="1565">
        <f t="shared" si="395"/>
        <v>0</v>
      </c>
      <c r="AE185" s="1221">
        <f t="shared" si="384"/>
        <v>0</v>
      </c>
      <c r="AF185" s="1221">
        <f t="shared" si="385"/>
        <v>0</v>
      </c>
      <c r="AG185" s="1221">
        <f t="shared" si="386"/>
        <v>0</v>
      </c>
      <c r="AH185" s="1221">
        <f t="shared" si="387"/>
        <v>0</v>
      </c>
      <c r="AI185" s="1221">
        <f>AE185+AF185</f>
        <v>0</v>
      </c>
      <c r="AJ185" s="1221">
        <f>AH185+AG185</f>
        <v>0</v>
      </c>
      <c r="AK185" s="1221">
        <f>AI185+AJ185</f>
        <v>0</v>
      </c>
      <c r="AM185" s="596">
        <f ca="1">SUM((INDIRECT(AM$2&amp;(ROW())):INDIRECT(AM$3&amp;(ROW()))))</f>
        <v>0</v>
      </c>
      <c r="AN185" s="2002">
        <f ca="1">SUM(INDIRECT(AN$1&amp;AN$2&amp;$C185):INDIRECT(AN$1&amp;AN$3&amp;$C185))</f>
        <v>0</v>
      </c>
      <c r="AO185" s="2767">
        <f t="shared" ca="1" si="376"/>
        <v>0</v>
      </c>
      <c r="AP185" s="2768">
        <f t="shared" ca="1" si="338"/>
        <v>0</v>
      </c>
      <c r="AQ185" s="2002">
        <f ca="1">SUM(INDIRECT(AQ$1&amp;AQ$2&amp;$A185):INDIRECT(AQ$1&amp;AQ$3&amp;$A185))+SUM(INDIRECT(AQ$1&amp;AQ$2&amp;$B185):INDIRECT(AQ$1&amp;AQ$3&amp;$B185))</f>
        <v>0</v>
      </c>
      <c r="AR185" s="2767">
        <f t="shared" ca="1" si="339"/>
        <v>0</v>
      </c>
      <c r="AS185" s="2768">
        <f t="shared" ca="1" si="388"/>
        <v>0</v>
      </c>
      <c r="AU185" s="596">
        <f ca="1">SUM((INDIRECT(AU$2&amp;(ROW())):INDIRECT(AU$3&amp;(ROW()))))</f>
        <v>0</v>
      </c>
      <c r="AV185" s="2002">
        <f ca="1">SUM(INDIRECT(AV$1&amp;AV$2&amp;$C185):INDIRECT(AV$1&amp;AV$3&amp;$C185))</f>
        <v>0</v>
      </c>
      <c r="AW185" s="2767">
        <f t="shared" ca="1" si="341"/>
        <v>0</v>
      </c>
      <c r="AX185" s="2768">
        <f t="shared" ca="1" si="389"/>
        <v>0</v>
      </c>
      <c r="AY185" s="2002">
        <f ca="1">SUM(INDIRECT(AY$1&amp;AY$2&amp;$A185):INDIRECT(AY$1&amp;AY$3&amp;$A185))+SUM(INDIRECT(AY$1&amp;AY$2&amp;$B185):INDIRECT(AY$1&amp;AY$3&amp;$B185))</f>
        <v>0</v>
      </c>
      <c r="AZ185" s="2767">
        <f t="shared" ca="1" si="343"/>
        <v>0</v>
      </c>
      <c r="BA185" s="2768">
        <f t="shared" ca="1" si="390"/>
        <v>0</v>
      </c>
      <c r="BC185" s="596">
        <f ca="1">SUM((INDIRECT(BC$2&amp;(ROW())):INDIRECT(BC$3&amp;(ROW()))))</f>
        <v>0</v>
      </c>
      <c r="BD185" s="2002">
        <f ca="1">SUM(INDIRECT(BD$1&amp;BD$2&amp;$C185):INDIRECT(BD$1&amp;BD$3&amp;$C185))</f>
        <v>0</v>
      </c>
      <c r="BE185" s="2767">
        <f t="shared" ca="1" si="345"/>
        <v>0</v>
      </c>
      <c r="BF185" s="2768">
        <f t="shared" ca="1" si="391"/>
        <v>0</v>
      </c>
      <c r="BG185" s="2002">
        <f ca="1">SUM(INDIRECT(BG$1&amp;BG$2&amp;$A185):INDIRECT(BG$1&amp;BG$3&amp;$A185))+SUM(INDIRECT(BG$1&amp;BG$2&amp;$B185):INDIRECT(BG$1&amp;BG$3&amp;$B185))</f>
        <v>0</v>
      </c>
      <c r="BH185" s="2767">
        <f t="shared" ca="1" si="347"/>
        <v>0</v>
      </c>
      <c r="BI185" s="2768">
        <f t="shared" ca="1" si="392"/>
        <v>0</v>
      </c>
    </row>
    <row r="186" spans="1:61" ht="14.5">
      <c r="A186" s="1693">
        <f t="shared" si="319"/>
        <v>186</v>
      </c>
      <c r="B186" s="616">
        <v>1</v>
      </c>
      <c r="C186" s="1693">
        <f t="shared" si="305"/>
        <v>186</v>
      </c>
      <c r="D186" s="616">
        <v>1</v>
      </c>
      <c r="E186" s="709" t="s">
        <v>512</v>
      </c>
      <c r="F186" s="1572"/>
      <c r="G186" s="4"/>
      <c r="H186" s="4"/>
      <c r="I186" s="4"/>
      <c r="J186" s="116" t="s">
        <v>29</v>
      </c>
      <c r="K186" s="115"/>
      <c r="L186" s="114"/>
      <c r="M186" s="114"/>
      <c r="N186" s="114"/>
      <c r="O186" s="114"/>
      <c r="P186" s="114"/>
      <c r="Q186" s="864"/>
      <c r="R186" s="1793" t="str">
        <f>CHOOSE(2, "6722000003105", "PL (2) SGA Expenses")</f>
        <v>PL (2) SGA Expenses</v>
      </c>
      <c r="S186" s="1584">
        <f>SUM(S187:S189)</f>
        <v>164085.53125290858</v>
      </c>
      <c r="T186" s="1585">
        <f t="shared" ref="T186:AD186" si="396">SUM(T187:T189)</f>
        <v>146246.31666252727</v>
      </c>
      <c r="U186" s="1585">
        <f t="shared" si="396"/>
        <v>120725.77601180086</v>
      </c>
      <c r="V186" s="1585">
        <f t="shared" si="396"/>
        <v>111831.87761914435</v>
      </c>
      <c r="W186" s="1585">
        <f t="shared" si="396"/>
        <v>122736.31191181456</v>
      </c>
      <c r="X186" s="1585">
        <f t="shared" si="396"/>
        <v>133236.81746244099</v>
      </c>
      <c r="Y186" s="1585">
        <f t="shared" si="396"/>
        <v>93232.09119985794</v>
      </c>
      <c r="Z186" s="1585">
        <f t="shared" si="396"/>
        <v>151230.48342129306</v>
      </c>
      <c r="AA186" s="1585">
        <f t="shared" si="396"/>
        <v>138609.51397422503</v>
      </c>
      <c r="AB186" s="1585">
        <f t="shared" si="396"/>
        <v>150066.68274601878</v>
      </c>
      <c r="AC186" s="1585">
        <f t="shared" si="396"/>
        <v>201979.92367385473</v>
      </c>
      <c r="AD186" s="1585">
        <f t="shared" si="396"/>
        <v>99760.957015500142</v>
      </c>
      <c r="AE186" s="885">
        <f t="shared" si="384"/>
        <v>431057.62392723671</v>
      </c>
      <c r="AF186" s="113">
        <f t="shared" si="385"/>
        <v>367805.00699339987</v>
      </c>
      <c r="AG186" s="113">
        <f t="shared" si="386"/>
        <v>383072.088595376</v>
      </c>
      <c r="AH186" s="113">
        <f t="shared" si="387"/>
        <v>451807.56343537371</v>
      </c>
      <c r="AI186" s="113">
        <f>SUM(AI187:AI189)</f>
        <v>798862.6309206367</v>
      </c>
      <c r="AJ186" s="113">
        <f>SUM(AJ187:AJ189)</f>
        <v>834879.6520307496</v>
      </c>
      <c r="AK186" s="113">
        <f>SUM(AK187:AK189)</f>
        <v>1633742.2829513862</v>
      </c>
      <c r="AM186" s="2268">
        <f ca="1">SUM((INDIRECT(AM$2&amp;(ROW())):INDIRECT(AM$3&amp;(ROW()))))</f>
        <v>164085.53125290858</v>
      </c>
      <c r="AN186" s="2030">
        <f ca="1">SUM(INDIRECT(AN$1&amp;AN$2&amp;$C186):INDIRECT(AN$1&amp;AN$3&amp;$C186))</f>
        <v>123052.51485796104</v>
      </c>
      <c r="AO186" s="2800">
        <f t="shared" ca="1" si="376"/>
        <v>41033.016394947539</v>
      </c>
      <c r="AP186" s="2801">
        <f t="shared" ca="1" si="338"/>
        <v>1.3334593888008852</v>
      </c>
      <c r="AQ186" s="2030">
        <f ca="1">SUM(INDIRECT(AQ$1&amp;AQ$2&amp;$A186):INDIRECT(AQ$1&amp;AQ$3&amp;$A186))+SUM(INDIRECT(AQ$1&amp;AQ$2&amp;$B186):INDIRECT(AQ$1&amp;AQ$3&amp;$B186))</f>
        <v>102832.43428717848</v>
      </c>
      <c r="AR186" s="2800">
        <f t="shared" ca="1" si="339"/>
        <v>61253.096965730103</v>
      </c>
      <c r="AS186" s="2801">
        <f t="shared" ca="1" si="388"/>
        <v>1.595659311095073</v>
      </c>
      <c r="AU186" s="2268">
        <f ca="1">SUM((INDIRECT(AU$2&amp;(ROW())):INDIRECT(AU$3&amp;(ROW()))))</f>
        <v>164085.53125290858</v>
      </c>
      <c r="AV186" s="2030">
        <f ca="1">SUM(INDIRECT(AV$1&amp;AV$2&amp;$C186):INDIRECT(AV$1&amp;AV$3&amp;$C186))</f>
        <v>123052.51485796104</v>
      </c>
      <c r="AW186" s="2800">
        <f t="shared" ca="1" si="341"/>
        <v>41033.016394947539</v>
      </c>
      <c r="AX186" s="2801">
        <f t="shared" ca="1" si="389"/>
        <v>1.3334593888008852</v>
      </c>
      <c r="AY186" s="2030">
        <f ca="1">SUM(INDIRECT(AY$1&amp;AY$2&amp;$A186):INDIRECT(AY$1&amp;AY$3&amp;$A186))+SUM(INDIRECT(AY$1&amp;AY$2&amp;$B186):INDIRECT(AY$1&amp;AY$3&amp;$B186))</f>
        <v>102832.43428717848</v>
      </c>
      <c r="AZ186" s="2800">
        <f t="shared" ca="1" si="343"/>
        <v>61253.096965730103</v>
      </c>
      <c r="BA186" s="2801">
        <f t="shared" ca="1" si="390"/>
        <v>1.595659311095073</v>
      </c>
      <c r="BC186" s="2268">
        <f ca="1">SUM((INDIRECT(BC$2&amp;(ROW())):INDIRECT(BC$3&amp;(ROW()))))</f>
        <v>164085.53125290858</v>
      </c>
      <c r="BD186" s="2030">
        <f ca="1">SUM(INDIRECT(BD$1&amp;BD$2&amp;$C186):INDIRECT(BD$1&amp;BD$3&amp;$C186))</f>
        <v>123052.51485796104</v>
      </c>
      <c r="BE186" s="2800">
        <f t="shared" ca="1" si="345"/>
        <v>41033.016394947539</v>
      </c>
      <c r="BF186" s="2801">
        <f t="shared" ca="1" si="391"/>
        <v>1.3334593888008852</v>
      </c>
      <c r="BG186" s="2030">
        <f ca="1">SUM(INDIRECT(BG$1&amp;BG$2&amp;$A186):INDIRECT(BG$1&amp;BG$3&amp;$A186))+SUM(INDIRECT(BG$1&amp;BG$2&amp;$B186):INDIRECT(BG$1&amp;BG$3&amp;$B186))</f>
        <v>102832.43428717848</v>
      </c>
      <c r="BH186" s="2800">
        <f t="shared" ca="1" si="347"/>
        <v>61253.096965730103</v>
      </c>
      <c r="BI186" s="2801">
        <f t="shared" ca="1" si="392"/>
        <v>1.595659311095073</v>
      </c>
    </row>
    <row r="187" spans="1:61" ht="14.5">
      <c r="A187" s="1693">
        <f t="shared" si="319"/>
        <v>187</v>
      </c>
      <c r="B187" s="616">
        <v>1</v>
      </c>
      <c r="C187" s="1693">
        <f t="shared" si="305"/>
        <v>187</v>
      </c>
      <c r="D187" s="616">
        <v>1</v>
      </c>
      <c r="E187" s="709" t="s">
        <v>512</v>
      </c>
      <c r="F187" s="1572"/>
      <c r="G187" s="4"/>
      <c r="H187" s="4"/>
      <c r="I187" s="4"/>
      <c r="J187" s="27"/>
      <c r="K187" s="108" t="s">
        <v>87</v>
      </c>
      <c r="L187" s="4"/>
      <c r="M187" s="4"/>
      <c r="N187" s="3"/>
      <c r="O187" s="3"/>
      <c r="P187" s="3"/>
      <c r="Q187" s="3"/>
      <c r="R187" s="1790" t="str">
        <f>CHOOSE(2, "6722000003106", "PL (2) SGA Expenses Variable Expenses")</f>
        <v>PL (2) SGA Expenses Variable Expenses</v>
      </c>
      <c r="S187" s="1215">
        <v>48707.410571893852</v>
      </c>
      <c r="T187" s="1222">
        <v>44306.807304692884</v>
      </c>
      <c r="U187" s="1222">
        <v>72725.743390310323</v>
      </c>
      <c r="V187" s="1222">
        <v>42289.350180869791</v>
      </c>
      <c r="W187" s="1222">
        <v>51857.755870602836</v>
      </c>
      <c r="X187" s="1222">
        <v>57843.779388908435</v>
      </c>
      <c r="Y187" s="1222">
        <v>22902.401122287178</v>
      </c>
      <c r="Z187" s="1222">
        <v>61576.805754612615</v>
      </c>
      <c r="AA187" s="1222">
        <v>8787.8429363400537</v>
      </c>
      <c r="AB187" s="1222">
        <v>46628.195356042823</v>
      </c>
      <c r="AC187" s="1222">
        <v>94297.924915495561</v>
      </c>
      <c r="AD187" s="1222">
        <v>53903.022222797648</v>
      </c>
      <c r="AE187" s="1221">
        <f t="shared" si="384"/>
        <v>165739.96126689707</v>
      </c>
      <c r="AF187" s="1221">
        <f t="shared" si="385"/>
        <v>151990.88544038107</v>
      </c>
      <c r="AG187" s="1221">
        <f t="shared" si="386"/>
        <v>93267.049813239835</v>
      </c>
      <c r="AH187" s="1221">
        <f t="shared" si="387"/>
        <v>194829.14249433603</v>
      </c>
      <c r="AI187" s="1221">
        <f>AE187+AF187</f>
        <v>317730.84670727816</v>
      </c>
      <c r="AJ187" s="1221">
        <f>AH187+AG187</f>
        <v>288096.19230757584</v>
      </c>
      <c r="AK187" s="1221">
        <f>AI187+AJ187</f>
        <v>605827.039014854</v>
      </c>
      <c r="AM187" s="596">
        <f ca="1">SUM((INDIRECT(AM$2&amp;(ROW())):INDIRECT(AM$3&amp;(ROW()))))</f>
        <v>48707.410571893852</v>
      </c>
      <c r="AN187" s="2002">
        <f ca="1">SUM(INDIRECT(AN$1&amp;AN$2&amp;$C187):INDIRECT(AN$1&amp;AN$3&amp;$C187))</f>
        <v>50980.303446144899</v>
      </c>
      <c r="AO187" s="2767">
        <f t="shared" ca="1" si="376"/>
        <v>-2272.892874251047</v>
      </c>
      <c r="AP187" s="2768">
        <f t="shared" ca="1" si="338"/>
        <v>0.95541625450205281</v>
      </c>
      <c r="AQ187" s="2002">
        <f ca="1">SUM(INDIRECT(AQ$1&amp;AQ$2&amp;$A187):INDIRECT(AQ$1&amp;AQ$3&amp;$A187))+SUM(INDIRECT(AQ$1&amp;AQ$2&amp;$B187):INDIRECT(AQ$1&amp;AQ$3&amp;$B187))</f>
        <v>42870.097436612115</v>
      </c>
      <c r="AR187" s="2767">
        <f t="shared" ca="1" si="339"/>
        <v>5837.3131352817363</v>
      </c>
      <c r="AS187" s="2768">
        <f t="shared" ca="1" si="388"/>
        <v>1.1361628147431391</v>
      </c>
      <c r="AU187" s="596">
        <f ca="1">SUM((INDIRECT(AU$2&amp;(ROW())):INDIRECT(AU$3&amp;(ROW()))))</f>
        <v>48707.410571893852</v>
      </c>
      <c r="AV187" s="2002">
        <f ca="1">SUM(INDIRECT(AV$1&amp;AV$2&amp;$C187):INDIRECT(AV$1&amp;AV$3&amp;$C187))</f>
        <v>50980.303446144899</v>
      </c>
      <c r="AW187" s="2767">
        <f t="shared" ca="1" si="341"/>
        <v>-2272.892874251047</v>
      </c>
      <c r="AX187" s="2768">
        <f t="shared" ca="1" si="389"/>
        <v>0.95541625450205281</v>
      </c>
      <c r="AY187" s="2002">
        <f ca="1">SUM(INDIRECT(AY$1&amp;AY$2&amp;$A187):INDIRECT(AY$1&amp;AY$3&amp;$A187))+SUM(INDIRECT(AY$1&amp;AY$2&amp;$B187):INDIRECT(AY$1&amp;AY$3&amp;$B187))</f>
        <v>42870.097436612115</v>
      </c>
      <c r="AZ187" s="2767">
        <f t="shared" ca="1" si="343"/>
        <v>5837.3131352817363</v>
      </c>
      <c r="BA187" s="2768">
        <f t="shared" ca="1" si="390"/>
        <v>1.1361628147431391</v>
      </c>
      <c r="BC187" s="596">
        <f ca="1">SUM((INDIRECT(BC$2&amp;(ROW())):INDIRECT(BC$3&amp;(ROW()))))</f>
        <v>48707.410571893852</v>
      </c>
      <c r="BD187" s="2002">
        <f ca="1">SUM(INDIRECT(BD$1&amp;BD$2&amp;$C187):INDIRECT(BD$1&amp;BD$3&amp;$C187))</f>
        <v>50980.303446144899</v>
      </c>
      <c r="BE187" s="2767">
        <f t="shared" ca="1" si="345"/>
        <v>-2272.892874251047</v>
      </c>
      <c r="BF187" s="2768">
        <f t="shared" ca="1" si="391"/>
        <v>0.95541625450205281</v>
      </c>
      <c r="BG187" s="2002">
        <f ca="1">SUM(INDIRECT(BG$1&amp;BG$2&amp;$A187):INDIRECT(BG$1&amp;BG$3&amp;$A187))+SUM(INDIRECT(BG$1&amp;BG$2&amp;$B187):INDIRECT(BG$1&amp;BG$3&amp;$B187))</f>
        <v>42870.097436612115</v>
      </c>
      <c r="BH187" s="2767">
        <f t="shared" ca="1" si="347"/>
        <v>5837.3131352817363</v>
      </c>
      <c r="BI187" s="2768">
        <f t="shared" ca="1" si="392"/>
        <v>1.1361628147431391</v>
      </c>
    </row>
    <row r="188" spans="1:61" ht="14.5">
      <c r="A188" s="1693">
        <f t="shared" si="319"/>
        <v>188</v>
      </c>
      <c r="B188" s="616">
        <v>1</v>
      </c>
      <c r="C188" s="1693">
        <f t="shared" si="305"/>
        <v>188</v>
      </c>
      <c r="D188" s="616">
        <v>1</v>
      </c>
      <c r="E188" s="709" t="s">
        <v>512</v>
      </c>
      <c r="F188" s="1572"/>
      <c r="G188" s="4"/>
      <c r="H188" s="4"/>
      <c r="I188" s="4"/>
      <c r="J188" s="27"/>
      <c r="K188" s="36" t="s">
        <v>88</v>
      </c>
      <c r="L188" s="4"/>
      <c r="M188" s="4"/>
      <c r="N188" s="3"/>
      <c r="O188" s="3"/>
      <c r="P188" s="3"/>
      <c r="Q188" s="3"/>
      <c r="R188" s="1790" t="str">
        <f>CHOOSE(2, "6722000003107", "PL (2) SGA Expenses Wages &amp; Salaries")</f>
        <v>PL (2) SGA Expenses Wages &amp; Salaries</v>
      </c>
      <c r="S188" s="1215">
        <v>34383.130782136228</v>
      </c>
      <c r="T188" s="1222">
        <v>38073.625159778639</v>
      </c>
      <c r="U188" s="1222">
        <v>37988.828273201361</v>
      </c>
      <c r="V188" s="1222">
        <v>33332.49746377836</v>
      </c>
      <c r="W188" s="1222">
        <v>33072.053824503077</v>
      </c>
      <c r="X188" s="1222">
        <v>34231.7537777213</v>
      </c>
      <c r="Y188" s="1222">
        <v>34449.877101371676</v>
      </c>
      <c r="Z188" s="1222">
        <v>39520.781283120457</v>
      </c>
      <c r="AA188" s="1222">
        <v>43466.084191201189</v>
      </c>
      <c r="AB188" s="1222">
        <v>42517.283956087689</v>
      </c>
      <c r="AC188" s="1222">
        <v>48505.015423160694</v>
      </c>
      <c r="AD188" s="1222">
        <v>39205.343633649318</v>
      </c>
      <c r="AE188" s="1221">
        <f t="shared" si="384"/>
        <v>110445.58421511622</v>
      </c>
      <c r="AF188" s="1221">
        <f t="shared" si="385"/>
        <v>100636.30506600274</v>
      </c>
      <c r="AG188" s="1221">
        <f t="shared" si="386"/>
        <v>117436.74257569332</v>
      </c>
      <c r="AH188" s="1221">
        <f t="shared" si="387"/>
        <v>130227.64301289769</v>
      </c>
      <c r="AI188" s="1221">
        <f>AE188+AF188</f>
        <v>211081.88928111896</v>
      </c>
      <c r="AJ188" s="1221">
        <f>AH188+AG188</f>
        <v>247664.38558859102</v>
      </c>
      <c r="AK188" s="1221">
        <f>AI188+AJ188</f>
        <v>458746.27486970997</v>
      </c>
      <c r="AM188" s="596">
        <f ca="1">SUM((INDIRECT(AM$2&amp;(ROW())):INDIRECT(AM$3&amp;(ROW()))))</f>
        <v>34383.130782136228</v>
      </c>
      <c r="AN188" s="2002">
        <f ca="1">SUM(INDIRECT(AN$1&amp;AN$2&amp;$C188):INDIRECT(AN$1&amp;AN$3&amp;$C188))</f>
        <v>34826.591312369434</v>
      </c>
      <c r="AO188" s="2767">
        <f t="shared" ca="1" si="376"/>
        <v>-443.46053023320565</v>
      </c>
      <c r="AP188" s="2768">
        <f t="shared" ca="1" si="338"/>
        <v>0.9872666111289593</v>
      </c>
      <c r="AQ188" s="2002">
        <f ca="1">SUM(INDIRECT(AQ$1&amp;AQ$2&amp;$A188):INDIRECT(AQ$1&amp;AQ$3&amp;$A188))+SUM(INDIRECT(AQ$1&amp;AQ$2&amp;$B188):INDIRECT(AQ$1&amp;AQ$3&amp;$B188))</f>
        <v>30636</v>
      </c>
      <c r="AR188" s="2767">
        <f t="shared" ca="1" si="339"/>
        <v>3747.1307821362279</v>
      </c>
      <c r="AS188" s="2768">
        <f t="shared" ca="1" si="388"/>
        <v>1.1223113586021749</v>
      </c>
      <c r="AU188" s="596">
        <f ca="1">SUM((INDIRECT(AU$2&amp;(ROW())):INDIRECT(AU$3&amp;(ROW()))))</f>
        <v>34383.130782136228</v>
      </c>
      <c r="AV188" s="2002">
        <f ca="1">SUM(INDIRECT(AV$1&amp;AV$2&amp;$C188):INDIRECT(AV$1&amp;AV$3&amp;$C188))</f>
        <v>34826.591312369434</v>
      </c>
      <c r="AW188" s="2767">
        <f t="shared" ca="1" si="341"/>
        <v>-443.46053023320565</v>
      </c>
      <c r="AX188" s="2768">
        <f t="shared" ca="1" si="389"/>
        <v>0.9872666111289593</v>
      </c>
      <c r="AY188" s="2002">
        <f ca="1">SUM(INDIRECT(AY$1&amp;AY$2&amp;$A188):INDIRECT(AY$1&amp;AY$3&amp;$A188))+SUM(INDIRECT(AY$1&amp;AY$2&amp;$B188):INDIRECT(AY$1&amp;AY$3&amp;$B188))</f>
        <v>30636</v>
      </c>
      <c r="AZ188" s="2767">
        <f t="shared" ca="1" si="343"/>
        <v>3747.1307821362279</v>
      </c>
      <c r="BA188" s="2768">
        <f t="shared" ca="1" si="390"/>
        <v>1.1223113586021749</v>
      </c>
      <c r="BC188" s="596">
        <f ca="1">SUM((INDIRECT(BC$2&amp;(ROW())):INDIRECT(BC$3&amp;(ROW()))))</f>
        <v>34383.130782136228</v>
      </c>
      <c r="BD188" s="2002">
        <f ca="1">SUM(INDIRECT(BD$1&amp;BD$2&amp;$C188):INDIRECT(BD$1&amp;BD$3&amp;$C188))</f>
        <v>34826.591312369434</v>
      </c>
      <c r="BE188" s="2767">
        <f t="shared" ca="1" si="345"/>
        <v>-443.46053023320565</v>
      </c>
      <c r="BF188" s="2768">
        <f t="shared" ca="1" si="391"/>
        <v>0.9872666111289593</v>
      </c>
      <c r="BG188" s="2002">
        <f ca="1">SUM(INDIRECT(BG$1&amp;BG$2&amp;$A188):INDIRECT(BG$1&amp;BG$3&amp;$A188))+SUM(INDIRECT(BG$1&amp;BG$2&amp;$B188):INDIRECT(BG$1&amp;BG$3&amp;$B188))</f>
        <v>30636</v>
      </c>
      <c r="BH188" s="2767">
        <f t="shared" ca="1" si="347"/>
        <v>3747.1307821362279</v>
      </c>
      <c r="BI188" s="2768">
        <f t="shared" ca="1" si="392"/>
        <v>1.1223113586021749</v>
      </c>
    </row>
    <row r="189" spans="1:61" ht="14.5">
      <c r="A189" s="1693">
        <f t="shared" si="319"/>
        <v>189</v>
      </c>
      <c r="B189" s="616">
        <v>1</v>
      </c>
      <c r="C189" s="1693">
        <f t="shared" si="305"/>
        <v>189</v>
      </c>
      <c r="D189" s="616">
        <v>1</v>
      </c>
      <c r="E189" s="709" t="s">
        <v>512</v>
      </c>
      <c r="F189" s="1572"/>
      <c r="G189" s="4"/>
      <c r="H189" s="4"/>
      <c r="I189" s="4"/>
      <c r="J189" s="27"/>
      <c r="K189" s="36" t="s">
        <v>89</v>
      </c>
      <c r="L189" s="4"/>
      <c r="M189" s="4"/>
      <c r="N189" s="3"/>
      <c r="O189" s="3"/>
      <c r="P189" s="3"/>
      <c r="Q189" s="3"/>
      <c r="R189" s="1790" t="str">
        <f>CHOOSE(2, "6722000003108", "PL (2) SGA Expenses Fixed Expenses")</f>
        <v>PL (2) SGA Expenses Fixed Expenses</v>
      </c>
      <c r="S189" s="1215">
        <v>80994.989898878499</v>
      </c>
      <c r="T189" s="1222">
        <v>63865.884198055763</v>
      </c>
      <c r="U189" s="1222">
        <v>10011.204348289168</v>
      </c>
      <c r="V189" s="1222">
        <v>36210.029974496196</v>
      </c>
      <c r="W189" s="1222">
        <v>37806.502216708635</v>
      </c>
      <c r="X189" s="1222">
        <v>41161.28429581126</v>
      </c>
      <c r="Y189" s="1222">
        <v>35879.812976199093</v>
      </c>
      <c r="Z189" s="1222">
        <v>50132.896383559979</v>
      </c>
      <c r="AA189" s="1222">
        <v>86355.586846683786</v>
      </c>
      <c r="AB189" s="1222">
        <v>60921.203433888273</v>
      </c>
      <c r="AC189" s="1222">
        <v>59176.983335198471</v>
      </c>
      <c r="AD189" s="1222">
        <v>6652.5911590531741</v>
      </c>
      <c r="AE189" s="1221">
        <f t="shared" si="384"/>
        <v>154872.07844522345</v>
      </c>
      <c r="AF189" s="1221">
        <f t="shared" si="385"/>
        <v>115177.8164870161</v>
      </c>
      <c r="AG189" s="1221">
        <f t="shared" si="386"/>
        <v>172368.29620644287</v>
      </c>
      <c r="AH189" s="1221">
        <f t="shared" si="387"/>
        <v>126750.77792813993</v>
      </c>
      <c r="AI189" s="1221">
        <f>AE189+AF189</f>
        <v>270049.89493223955</v>
      </c>
      <c r="AJ189" s="1221">
        <f>AH189+AG189</f>
        <v>299119.07413458277</v>
      </c>
      <c r="AK189" s="1221">
        <f>AI189+AJ189</f>
        <v>569168.96906682232</v>
      </c>
      <c r="AM189" s="596">
        <f ca="1">SUM((INDIRECT(AM$2&amp;(ROW())):INDIRECT(AM$3&amp;(ROW()))))</f>
        <v>80994.989898878499</v>
      </c>
      <c r="AN189" s="2002">
        <f ca="1">SUM(INDIRECT(AN$1&amp;AN$2&amp;$C189):INDIRECT(AN$1&amp;AN$3&amp;$C189))</f>
        <v>37245.620099446707</v>
      </c>
      <c r="AO189" s="2767">
        <f t="shared" ca="1" si="376"/>
        <v>43749.369799431792</v>
      </c>
      <c r="AP189" s="2768">
        <f t="shared" ca="1" si="338"/>
        <v>2.1746178391612201</v>
      </c>
      <c r="AQ189" s="2002">
        <f ca="1">SUM(INDIRECT(AQ$1&amp;AQ$2&amp;$A189):INDIRECT(AQ$1&amp;AQ$3&amp;$A189))+SUM(INDIRECT(AQ$1&amp;AQ$2&amp;$B189):INDIRECT(AQ$1&amp;AQ$3&amp;$B189))</f>
        <v>29326.336850566349</v>
      </c>
      <c r="AR189" s="2767">
        <f t="shared" ca="1" si="339"/>
        <v>51668.653048312146</v>
      </c>
      <c r="AS189" s="2768">
        <f t="shared" ca="1" si="388"/>
        <v>2.7618515845191327</v>
      </c>
      <c r="AU189" s="596">
        <f ca="1">SUM((INDIRECT(AU$2&amp;(ROW())):INDIRECT(AU$3&amp;(ROW()))))</f>
        <v>80994.989898878499</v>
      </c>
      <c r="AV189" s="2002">
        <f ca="1">SUM(INDIRECT(AV$1&amp;AV$2&amp;$C189):INDIRECT(AV$1&amp;AV$3&amp;$C189))</f>
        <v>37245.620099446707</v>
      </c>
      <c r="AW189" s="2767">
        <f t="shared" ca="1" si="341"/>
        <v>43749.369799431792</v>
      </c>
      <c r="AX189" s="2768">
        <f t="shared" ca="1" si="389"/>
        <v>2.1746178391612201</v>
      </c>
      <c r="AY189" s="2002">
        <f ca="1">SUM(INDIRECT(AY$1&amp;AY$2&amp;$A189):INDIRECT(AY$1&amp;AY$3&amp;$A189))+SUM(INDIRECT(AY$1&amp;AY$2&amp;$B189):INDIRECT(AY$1&amp;AY$3&amp;$B189))</f>
        <v>29326.336850566349</v>
      </c>
      <c r="AZ189" s="2767">
        <f t="shared" ca="1" si="343"/>
        <v>51668.653048312146</v>
      </c>
      <c r="BA189" s="2768">
        <f t="shared" ca="1" si="390"/>
        <v>2.7618515845191327</v>
      </c>
      <c r="BC189" s="596">
        <f ca="1">SUM((INDIRECT(BC$2&amp;(ROW())):INDIRECT(BC$3&amp;(ROW()))))</f>
        <v>80994.989898878499</v>
      </c>
      <c r="BD189" s="2002">
        <f ca="1">SUM(INDIRECT(BD$1&amp;BD$2&amp;$C189):INDIRECT(BD$1&amp;BD$3&amp;$C189))</f>
        <v>37245.620099446707</v>
      </c>
      <c r="BE189" s="2767">
        <f t="shared" ca="1" si="345"/>
        <v>43749.369799431792</v>
      </c>
      <c r="BF189" s="2768">
        <f t="shared" ca="1" si="391"/>
        <v>2.1746178391612201</v>
      </c>
      <c r="BG189" s="2002">
        <f ca="1">SUM(INDIRECT(BG$1&amp;BG$2&amp;$A189):INDIRECT(BG$1&amp;BG$3&amp;$A189))+SUM(INDIRECT(BG$1&amp;BG$2&amp;$B189):INDIRECT(BG$1&amp;BG$3&amp;$B189))</f>
        <v>29326.336850566349</v>
      </c>
      <c r="BH189" s="2767">
        <f t="shared" ca="1" si="347"/>
        <v>51668.653048312146</v>
      </c>
      <c r="BI189" s="2768">
        <f t="shared" ca="1" si="392"/>
        <v>2.7618515845191327</v>
      </c>
    </row>
    <row r="190" spans="1:61" ht="14.5">
      <c r="A190" s="1693">
        <f t="shared" si="319"/>
        <v>190</v>
      </c>
      <c r="B190" s="616">
        <v>1</v>
      </c>
      <c r="C190" s="1693">
        <f t="shared" si="305"/>
        <v>190</v>
      </c>
      <c r="D190" s="616">
        <v>1</v>
      </c>
      <c r="E190" s="709" t="s">
        <v>512</v>
      </c>
      <c r="F190" s="1572"/>
      <c r="G190" s="4"/>
      <c r="H190" s="4"/>
      <c r="I190" s="4"/>
      <c r="J190" s="116" t="s">
        <v>56</v>
      </c>
      <c r="K190" s="115"/>
      <c r="L190" s="114"/>
      <c r="M190" s="114"/>
      <c r="N190" s="114"/>
      <c r="O190" s="114"/>
      <c r="P190" s="114"/>
      <c r="Q190" s="864"/>
      <c r="R190" s="1793" t="str">
        <f>CHOOSE(2, "6722000003109", "PL (2) Business Contribution Profit")</f>
        <v>PL (2) Business Contribution Profit</v>
      </c>
      <c r="S190" s="1584">
        <f>S176-S186</f>
        <v>136846.46874709142</v>
      </c>
      <c r="T190" s="1585">
        <f t="shared" ref="T190:AD190" si="397">T176-T186</f>
        <v>76938.465297472721</v>
      </c>
      <c r="U190" s="1585">
        <f t="shared" si="397"/>
        <v>58762.003356949135</v>
      </c>
      <c r="V190" s="1585">
        <f t="shared" si="397"/>
        <v>61943.107938894114</v>
      </c>
      <c r="W190" s="1585">
        <f t="shared" si="397"/>
        <v>52473.490391674248</v>
      </c>
      <c r="X190" s="1585">
        <f t="shared" si="397"/>
        <v>69277.362477201008</v>
      </c>
      <c r="Y190" s="1585">
        <f t="shared" si="397"/>
        <v>86425.307553892082</v>
      </c>
      <c r="Z190" s="1585">
        <f t="shared" si="397"/>
        <v>50749.200559001183</v>
      </c>
      <c r="AA190" s="1585">
        <f t="shared" si="397"/>
        <v>58755.438282961259</v>
      </c>
      <c r="AB190" s="1585">
        <f t="shared" si="397"/>
        <v>67334.638683695288</v>
      </c>
      <c r="AC190" s="1585">
        <f t="shared" si="397"/>
        <v>63268.830779564392</v>
      </c>
      <c r="AD190" s="1585">
        <f t="shared" si="397"/>
        <v>61727.688440612605</v>
      </c>
      <c r="AE190" s="885">
        <f t="shared" ref="AE190:AK190" si="398">AE176-AE186</f>
        <v>272546.93740151328</v>
      </c>
      <c r="AF190" s="113">
        <f t="shared" si="398"/>
        <v>183693.96080776938</v>
      </c>
      <c r="AG190" s="113">
        <f t="shared" si="398"/>
        <v>195929.94639585458</v>
      </c>
      <c r="AH190" s="113">
        <f t="shared" si="398"/>
        <v>192331.15790387231</v>
      </c>
      <c r="AI190" s="113">
        <f t="shared" si="398"/>
        <v>456240.89820928243</v>
      </c>
      <c r="AJ190" s="113">
        <f t="shared" si="398"/>
        <v>388261.10429972701</v>
      </c>
      <c r="AK190" s="113">
        <f t="shared" si="398"/>
        <v>844502.00250900956</v>
      </c>
      <c r="AM190" s="2268">
        <f ca="1">SUM((INDIRECT(AM$2&amp;(ROW())):INDIRECT(AM$3&amp;(ROW()))))</f>
        <v>136846.46874709142</v>
      </c>
      <c r="AN190" s="2030">
        <f ca="1">SUM(INDIRECT(AN$1&amp;AN$2&amp;$C190):INDIRECT(AN$1&amp;AN$3&amp;$C190))</f>
        <v>127432.77956968281</v>
      </c>
      <c r="AO190" s="2800">
        <f t="shared" ca="1" si="376"/>
        <v>9413.6891774086107</v>
      </c>
      <c r="AP190" s="2801">
        <f t="shared" ca="1" si="338"/>
        <v>1.0738718029159917</v>
      </c>
      <c r="AQ190" s="2030">
        <f ca="1">SUM(INDIRECT(AQ$1&amp;AQ$2&amp;$A190):INDIRECT(AQ$1&amp;AQ$3&amp;$A190))+SUM(INDIRECT(AQ$1&amp;AQ$2&amp;$B190):INDIRECT(AQ$1&amp;AQ$3&amp;$B190))</f>
        <v>39832.565712821524</v>
      </c>
      <c r="AR190" s="2800">
        <f t="shared" ca="1" si="339"/>
        <v>97013.903034269897</v>
      </c>
      <c r="AS190" s="2801">
        <f t="shared" ca="1" si="388"/>
        <v>3.435542408533391</v>
      </c>
      <c r="AU190" s="2268">
        <f ca="1">SUM((INDIRECT(AU$2&amp;(ROW())):INDIRECT(AU$3&amp;(ROW()))))</f>
        <v>136846.46874709142</v>
      </c>
      <c r="AV190" s="2030">
        <f ca="1">SUM(INDIRECT(AV$1&amp;AV$2&amp;$C190):INDIRECT(AV$1&amp;AV$3&amp;$C190))</f>
        <v>127432.77956968281</v>
      </c>
      <c r="AW190" s="2800">
        <f t="shared" ca="1" si="341"/>
        <v>9413.6891774086107</v>
      </c>
      <c r="AX190" s="2801">
        <f t="shared" ca="1" si="389"/>
        <v>1.0738718029159917</v>
      </c>
      <c r="AY190" s="2030">
        <f ca="1">SUM(INDIRECT(AY$1&amp;AY$2&amp;$A190):INDIRECT(AY$1&amp;AY$3&amp;$A190))+SUM(INDIRECT(AY$1&amp;AY$2&amp;$B190):INDIRECT(AY$1&amp;AY$3&amp;$B190))</f>
        <v>39832.565712821524</v>
      </c>
      <c r="AZ190" s="2800">
        <f t="shared" ca="1" si="343"/>
        <v>97013.903034269897</v>
      </c>
      <c r="BA190" s="2801">
        <f t="shared" ca="1" si="390"/>
        <v>3.435542408533391</v>
      </c>
      <c r="BC190" s="2268">
        <f ca="1">SUM((INDIRECT(BC$2&amp;(ROW())):INDIRECT(BC$3&amp;(ROW()))))</f>
        <v>136846.46874709142</v>
      </c>
      <c r="BD190" s="2030">
        <f ca="1">SUM(INDIRECT(BD$1&amp;BD$2&amp;$C190):INDIRECT(BD$1&amp;BD$3&amp;$C190))</f>
        <v>127432.77956968281</v>
      </c>
      <c r="BE190" s="2800">
        <f t="shared" ca="1" si="345"/>
        <v>9413.6891774086107</v>
      </c>
      <c r="BF190" s="2801">
        <f t="shared" ca="1" si="391"/>
        <v>1.0738718029159917</v>
      </c>
      <c r="BG190" s="2030">
        <f ca="1">SUM(INDIRECT(BG$1&amp;BG$2&amp;$A190):INDIRECT(BG$1&amp;BG$3&amp;$A190))+SUM(INDIRECT(BG$1&amp;BG$2&amp;$B190):INDIRECT(BG$1&amp;BG$3&amp;$B190))</f>
        <v>39832.565712821524</v>
      </c>
      <c r="BH190" s="2800">
        <f t="shared" ca="1" si="347"/>
        <v>97013.903034269897</v>
      </c>
      <c r="BI190" s="2801">
        <f t="shared" ca="1" si="392"/>
        <v>3.435542408533391</v>
      </c>
    </row>
    <row r="191" spans="1:61" ht="14.5">
      <c r="A191" s="1693">
        <f t="shared" si="319"/>
        <v>191</v>
      </c>
      <c r="B191" s="616">
        <v>1</v>
      </c>
      <c r="C191" s="1693">
        <f t="shared" si="305"/>
        <v>191</v>
      </c>
      <c r="D191" s="616">
        <v>1</v>
      </c>
      <c r="E191" s="709" t="s">
        <v>512</v>
      </c>
      <c r="F191" s="1572"/>
      <c r="G191" s="4"/>
      <c r="H191" s="4"/>
      <c r="I191" s="4"/>
      <c r="J191" s="25"/>
      <c r="K191" s="511" t="s">
        <v>55</v>
      </c>
      <c r="L191" s="2"/>
      <c r="M191" s="2"/>
      <c r="N191" s="1"/>
      <c r="O191" s="1"/>
      <c r="P191" s="1"/>
      <c r="Q191" s="1"/>
      <c r="R191" s="1792" t="str">
        <f>CHOOSE(2, "6722000003110", "PL (2) Business Contribution Profit (%)")</f>
        <v>PL (2) Business Contribution Profit (%)</v>
      </c>
      <c r="S191" s="3439">
        <f t="shared" ref="S191:AD191" si="399">IFERROR(S190/S154,0)</f>
        <v>0.18457322998281869</v>
      </c>
      <c r="T191" s="1586">
        <f t="shared" si="399"/>
        <v>0.1147581958092192</v>
      </c>
      <c r="U191" s="1586">
        <f t="shared" si="399"/>
        <v>0.10708245515832866</v>
      </c>
      <c r="V191" s="1586">
        <f t="shared" si="399"/>
        <v>0.10943526137653115</v>
      </c>
      <c r="W191" s="1586">
        <f t="shared" si="399"/>
        <v>8.1316378601740097E-2</v>
      </c>
      <c r="X191" s="1586">
        <f t="shared" si="399"/>
        <v>0.10492268779593864</v>
      </c>
      <c r="Y191" s="1586">
        <f t="shared" si="399"/>
        <v>0.13413702730762883</v>
      </c>
      <c r="Z191" s="1586">
        <f t="shared" si="399"/>
        <v>8.9674327858948161E-2</v>
      </c>
      <c r="AA191" s="1586">
        <f t="shared" si="399"/>
        <v>9.731726739826943E-2</v>
      </c>
      <c r="AB191" s="1586">
        <f t="shared" si="399"/>
        <v>0.10260641109286875</v>
      </c>
      <c r="AC191" s="1586">
        <f t="shared" si="399"/>
        <v>9.0529670679326851E-2</v>
      </c>
      <c r="AD191" s="1586">
        <f t="shared" si="399"/>
        <v>0.1028704422132596</v>
      </c>
      <c r="AE191" s="1586">
        <f t="shared" ref="AE191:AK191" si="400">IFERROR(AE190/AE154,0)</f>
        <v>0.13901090223194207</v>
      </c>
      <c r="AF191" s="1586">
        <f t="shared" si="400"/>
        <v>9.8148293204658066E-2</v>
      </c>
      <c r="AG191" s="1586">
        <f t="shared" si="400"/>
        <v>0.10801076262074584</v>
      </c>
      <c r="AH191" s="1586">
        <f t="shared" si="400"/>
        <v>9.8370619612863877E-2</v>
      </c>
      <c r="AI191" s="1586">
        <f t="shared" si="400"/>
        <v>0.11905420199433292</v>
      </c>
      <c r="AJ191" s="1586">
        <f t="shared" si="400"/>
        <v>0.10301014300102312</v>
      </c>
      <c r="AK191" s="1586">
        <f t="shared" si="400"/>
        <v>0.11109871965736512</v>
      </c>
      <c r="AL191" s="504"/>
      <c r="AM191" s="1323">
        <f t="shared" ref="AM191:AQ191" ca="1" si="401">IFERROR(AM190/AM154,0)</f>
        <v>0.18457322998281869</v>
      </c>
      <c r="AN191" s="1322">
        <f t="shared" ca="1" si="401"/>
        <v>0.21326242981358859</v>
      </c>
      <c r="AO191" s="1322">
        <f t="shared" ca="1" si="376"/>
        <v>-2.8689199830769896E-2</v>
      </c>
      <c r="AP191" s="2802"/>
      <c r="AQ191" s="1322">
        <f t="shared" ca="1" si="401"/>
        <v>8.4860458410447467E-2</v>
      </c>
      <c r="AR191" s="1322">
        <f t="shared" ca="1" si="339"/>
        <v>9.9712771572371225E-2</v>
      </c>
      <c r="AS191" s="2802"/>
      <c r="AT191" s="504"/>
      <c r="AU191" s="1323">
        <f ca="1">IFERROR(AU190/AU154,0)</f>
        <v>0.18457322998281869</v>
      </c>
      <c r="AV191" s="1322">
        <f ca="1">IFERROR(AV190/AV154,0)</f>
        <v>0.21326242981358859</v>
      </c>
      <c r="AW191" s="1322">
        <f t="shared" ca="1" si="341"/>
        <v>-2.8689199830769896E-2</v>
      </c>
      <c r="AX191" s="2802"/>
      <c r="AY191" s="1322">
        <f ca="1">IFERROR(AY190/AY154,0)</f>
        <v>8.4860458410447467E-2</v>
      </c>
      <c r="AZ191" s="1322">
        <f t="shared" ca="1" si="343"/>
        <v>9.9712771572371225E-2</v>
      </c>
      <c r="BA191" s="2802"/>
      <c r="BB191" s="504"/>
      <c r="BC191" s="1323">
        <f ca="1">IFERROR(BC190/BC154,0)</f>
        <v>0.18457322998281869</v>
      </c>
      <c r="BD191" s="1322">
        <f ca="1">IFERROR(BD190/BD154,0)</f>
        <v>0.21326242981358859</v>
      </c>
      <c r="BE191" s="1322">
        <f t="shared" ca="1" si="345"/>
        <v>-2.8689199830769896E-2</v>
      </c>
      <c r="BF191" s="2802"/>
      <c r="BG191" s="1322">
        <f ca="1">IFERROR(BG190/BG154,0)</f>
        <v>8.4860458410447467E-2</v>
      </c>
      <c r="BH191" s="1322">
        <f t="shared" ca="1" si="347"/>
        <v>9.9712771572371225E-2</v>
      </c>
      <c r="BI191" s="2802"/>
    </row>
    <row r="192" spans="1:61" ht="14.5">
      <c r="A192" s="1693">
        <f t="shared" si="319"/>
        <v>192</v>
      </c>
      <c r="B192" s="616">
        <v>1</v>
      </c>
      <c r="C192" s="1693">
        <f t="shared" si="305"/>
        <v>192</v>
      </c>
      <c r="D192" s="616">
        <v>1</v>
      </c>
      <c r="E192" s="709" t="s">
        <v>512</v>
      </c>
      <c r="F192" s="1572"/>
      <c r="G192" s="4"/>
      <c r="H192" s="4"/>
      <c r="I192" s="4"/>
      <c r="J192" s="53" t="s">
        <v>91</v>
      </c>
      <c r="K192" s="51"/>
      <c r="L192" s="52"/>
      <c r="M192" s="52"/>
      <c r="N192" s="51"/>
      <c r="O192" s="51"/>
      <c r="P192" s="51"/>
      <c r="Q192" s="447"/>
      <c r="R192" s="1790" t="str">
        <f>CHOOSE(2, "6722000003111", "PL (2) Other Income")</f>
        <v>PL (2) Other Income</v>
      </c>
      <c r="S192" s="1388">
        <v>998</v>
      </c>
      <c r="T192" s="1197">
        <v>2432</v>
      </c>
      <c r="U192" s="1197">
        <v>997</v>
      </c>
      <c r="V192" s="1197">
        <v>1491</v>
      </c>
      <c r="W192" s="1197">
        <v>988</v>
      </c>
      <c r="X192" s="1197">
        <v>946</v>
      </c>
      <c r="Y192" s="1197">
        <v>1724.2247838340925</v>
      </c>
      <c r="Z192" s="1197">
        <v>1864.3378591242929</v>
      </c>
      <c r="AA192" s="1197">
        <v>1487.7692162000953</v>
      </c>
      <c r="AB192" s="1197">
        <v>1246.8940742779134</v>
      </c>
      <c r="AC192" s="1197">
        <v>1427.1478713947799</v>
      </c>
      <c r="AD192" s="1197">
        <v>4248.0682901157197</v>
      </c>
      <c r="AE192" s="883">
        <f>SUM(S192,T192,U192)</f>
        <v>4427</v>
      </c>
      <c r="AF192" s="107">
        <f>SUM(V192,W192,X192)</f>
        <v>3425</v>
      </c>
      <c r="AG192" s="107">
        <f>SUM(Y192,Z192,AA192)</f>
        <v>5076.3318591584812</v>
      </c>
      <c r="AH192" s="107">
        <f>SUM(AB192,AC192,AD192)</f>
        <v>6922.1102357884129</v>
      </c>
      <c r="AI192" s="107">
        <f>AE192+AF192</f>
        <v>7852</v>
      </c>
      <c r="AJ192" s="107">
        <f>AH192+AG192</f>
        <v>11998.442094946895</v>
      </c>
      <c r="AK192" s="107">
        <f>AI192+AJ192</f>
        <v>19850.442094946895</v>
      </c>
      <c r="AM192" s="2471">
        <f ca="1">SUM((INDIRECT(AM$2&amp;(ROW())):INDIRECT(AM$3&amp;(ROW()))))</f>
        <v>998</v>
      </c>
      <c r="AN192" s="1978">
        <f ca="1">SUM(INDIRECT(AN$1&amp;AN$2&amp;$C192):INDIRECT(AN$1&amp;AN$3&amp;$C192))</f>
        <v>0</v>
      </c>
      <c r="AO192" s="2782">
        <f t="shared" ca="1" si="376"/>
        <v>998</v>
      </c>
      <c r="AP192" s="2783">
        <f t="shared" ca="1" si="338"/>
        <v>0</v>
      </c>
      <c r="AQ192" s="1978">
        <f ca="1">SUM(INDIRECT(AQ$1&amp;AQ$2&amp;$A192):INDIRECT(AQ$1&amp;AQ$3&amp;$A192))+SUM(INDIRECT(AQ$1&amp;AQ$2&amp;$B192):INDIRECT(AQ$1&amp;AQ$3&amp;$B192))</f>
        <v>6887</v>
      </c>
      <c r="AR192" s="2782">
        <f t="shared" ca="1" si="339"/>
        <v>-5889</v>
      </c>
      <c r="AS192" s="2783">
        <f t="shared" ref="AS192:AS194" ca="1" si="402">IFERROR(AM192/AQ192,0)</f>
        <v>0.14491070132133005</v>
      </c>
      <c r="AU192" s="2471">
        <f ca="1">SUM((INDIRECT(AU$2&amp;(ROW())):INDIRECT(AU$3&amp;(ROW()))))</f>
        <v>998</v>
      </c>
      <c r="AV192" s="1978">
        <f ca="1">SUM(INDIRECT(AV$1&amp;AV$2&amp;$C192):INDIRECT(AV$1&amp;AV$3&amp;$C192))</f>
        <v>0</v>
      </c>
      <c r="AW192" s="2782">
        <f t="shared" ca="1" si="341"/>
        <v>998</v>
      </c>
      <c r="AX192" s="2783">
        <f t="shared" ref="AX192:AX194" ca="1" si="403">IFERROR(AU192/AV192,0)</f>
        <v>0</v>
      </c>
      <c r="AY192" s="1978">
        <f ca="1">SUM(INDIRECT(AY$1&amp;AY$2&amp;$A192):INDIRECT(AY$1&amp;AY$3&amp;$A192))+SUM(INDIRECT(AY$1&amp;AY$2&amp;$B192):INDIRECT(AY$1&amp;AY$3&amp;$B192))</f>
        <v>6887</v>
      </c>
      <c r="AZ192" s="2782">
        <f t="shared" ca="1" si="343"/>
        <v>-5889</v>
      </c>
      <c r="BA192" s="2783">
        <f t="shared" ref="BA192:BA194" ca="1" si="404">IFERROR(AU192/AY192,0)</f>
        <v>0.14491070132133005</v>
      </c>
      <c r="BC192" s="2471">
        <f ca="1">SUM((INDIRECT(BC$2&amp;(ROW())):INDIRECT(BC$3&amp;(ROW()))))</f>
        <v>998</v>
      </c>
      <c r="BD192" s="1978">
        <f ca="1">SUM(INDIRECT(BD$1&amp;BD$2&amp;$C192):INDIRECT(BD$1&amp;BD$3&amp;$C192))</f>
        <v>0</v>
      </c>
      <c r="BE192" s="2782">
        <f t="shared" ca="1" si="345"/>
        <v>998</v>
      </c>
      <c r="BF192" s="2783">
        <f t="shared" ref="BF192:BF194" ca="1" si="405">IFERROR(BC192/BD192,0)</f>
        <v>0</v>
      </c>
      <c r="BG192" s="1978">
        <f ca="1">SUM(INDIRECT(BG$1&amp;BG$2&amp;$A192):INDIRECT(BG$1&amp;BG$3&amp;$A192))+SUM(INDIRECT(BG$1&amp;BG$2&amp;$B192):INDIRECT(BG$1&amp;BG$3&amp;$B192))</f>
        <v>6887</v>
      </c>
      <c r="BH192" s="2782">
        <f t="shared" ca="1" si="347"/>
        <v>-5889</v>
      </c>
      <c r="BI192" s="2783">
        <f t="shared" ref="BI192:BI194" ca="1" si="406">IFERROR(BC192/BG192,0)</f>
        <v>0.14491070132133005</v>
      </c>
    </row>
    <row r="193" spans="1:61" ht="14.5">
      <c r="A193" s="1693">
        <f t="shared" si="319"/>
        <v>193</v>
      </c>
      <c r="B193" s="616">
        <v>1</v>
      </c>
      <c r="C193" s="1693">
        <f t="shared" si="305"/>
        <v>193</v>
      </c>
      <c r="D193" s="616">
        <v>1</v>
      </c>
      <c r="E193" s="709" t="s">
        <v>512</v>
      </c>
      <c r="F193" s="1572"/>
      <c r="G193" s="4"/>
      <c r="H193" s="4"/>
      <c r="I193" s="4"/>
      <c r="J193" s="106" t="s">
        <v>73</v>
      </c>
      <c r="K193" s="104"/>
      <c r="L193" s="105"/>
      <c r="M193" s="105"/>
      <c r="N193" s="104"/>
      <c r="O193" s="104"/>
      <c r="P193" s="104"/>
      <c r="Q193" s="104"/>
      <c r="R193" s="1790" t="str">
        <f>CHOOSE(2, "6722000003112", "PL (2) Other Expenses")</f>
        <v>PL (2) Other Expenses</v>
      </c>
      <c r="S193" s="1213"/>
      <c r="T193" s="1216"/>
      <c r="U193" s="1216"/>
      <c r="V193" s="1216"/>
      <c r="W193" s="1216"/>
      <c r="X193" s="1216"/>
      <c r="Y193" s="1216"/>
      <c r="Z193" s="1216"/>
      <c r="AA193" s="1216"/>
      <c r="AB193" s="1216"/>
      <c r="AC193" s="1216"/>
      <c r="AD193" s="1216"/>
      <c r="AE193" s="80">
        <f>SUM(S193,T193,U193)</f>
        <v>0</v>
      </c>
      <c r="AF193" s="80">
        <f>SUM(V193,W193,X193)</f>
        <v>0</v>
      </c>
      <c r="AG193" s="80">
        <f>SUM(Y193,Z193,AA193)</f>
        <v>0</v>
      </c>
      <c r="AH193" s="80">
        <f>SUM(AB193,AC193,AD193)</f>
        <v>0</v>
      </c>
      <c r="AI193" s="80">
        <f>AE193+AF193</f>
        <v>0</v>
      </c>
      <c r="AJ193" s="80">
        <f>AH193+AG193</f>
        <v>0</v>
      </c>
      <c r="AK193" s="80">
        <f>AI193+AJ193</f>
        <v>0</v>
      </c>
      <c r="AM193" s="2494">
        <f ca="1">SUM((INDIRECT(AM$2&amp;(ROW())):INDIRECT(AM$3&amp;(ROW()))))</f>
        <v>0</v>
      </c>
      <c r="AN193" s="1980">
        <f ca="1">SUM(INDIRECT(AN$1&amp;AN$2&amp;$C193):INDIRECT(AN$1&amp;AN$3&amp;$C193))</f>
        <v>0</v>
      </c>
      <c r="AO193" s="2759">
        <f t="shared" ca="1" si="376"/>
        <v>0</v>
      </c>
      <c r="AP193" s="2760">
        <f t="shared" ca="1" si="338"/>
        <v>0</v>
      </c>
      <c r="AQ193" s="1980">
        <f ca="1">SUM(INDIRECT(AQ$1&amp;AQ$2&amp;$A193):INDIRECT(AQ$1&amp;AQ$3&amp;$A193))+SUM(INDIRECT(AQ$1&amp;AQ$2&amp;$B193):INDIRECT(AQ$1&amp;AQ$3&amp;$B193))</f>
        <v>0</v>
      </c>
      <c r="AR193" s="2759">
        <f t="shared" ca="1" si="339"/>
        <v>0</v>
      </c>
      <c r="AS193" s="2760">
        <f t="shared" ca="1" si="402"/>
        <v>0</v>
      </c>
      <c r="AU193" s="2494">
        <f ca="1">SUM((INDIRECT(AU$2&amp;(ROW())):INDIRECT(AU$3&amp;(ROW()))))</f>
        <v>0</v>
      </c>
      <c r="AV193" s="1980">
        <f ca="1">SUM(INDIRECT(AV$1&amp;AV$2&amp;$C193):INDIRECT(AV$1&amp;AV$3&amp;$C193))</f>
        <v>0</v>
      </c>
      <c r="AW193" s="2759">
        <f t="shared" ca="1" si="341"/>
        <v>0</v>
      </c>
      <c r="AX193" s="2760">
        <f t="shared" ca="1" si="403"/>
        <v>0</v>
      </c>
      <c r="AY193" s="1980">
        <f ca="1">SUM(INDIRECT(AY$1&amp;AY$2&amp;$A193):INDIRECT(AY$1&amp;AY$3&amp;$A193))+SUM(INDIRECT(AY$1&amp;AY$2&amp;$B193):INDIRECT(AY$1&amp;AY$3&amp;$B193))</f>
        <v>0</v>
      </c>
      <c r="AZ193" s="2759">
        <f t="shared" ca="1" si="343"/>
        <v>0</v>
      </c>
      <c r="BA193" s="2760">
        <f t="shared" ca="1" si="404"/>
        <v>0</v>
      </c>
      <c r="BC193" s="2494">
        <f ca="1">SUM((INDIRECT(BC$2&amp;(ROW())):INDIRECT(BC$3&amp;(ROW()))))</f>
        <v>0</v>
      </c>
      <c r="BD193" s="1980">
        <f ca="1">SUM(INDIRECT(BD$1&amp;BD$2&amp;$C193):INDIRECT(BD$1&amp;BD$3&amp;$C193))</f>
        <v>0</v>
      </c>
      <c r="BE193" s="2759">
        <f t="shared" ca="1" si="345"/>
        <v>0</v>
      </c>
      <c r="BF193" s="2760">
        <f t="shared" ca="1" si="405"/>
        <v>0</v>
      </c>
      <c r="BG193" s="1980">
        <f ca="1">SUM(INDIRECT(BG$1&amp;BG$2&amp;$A193):INDIRECT(BG$1&amp;BG$3&amp;$A193))+SUM(INDIRECT(BG$1&amp;BG$2&amp;$B193):INDIRECT(BG$1&amp;BG$3&amp;$B193))</f>
        <v>0</v>
      </c>
      <c r="BH193" s="2759">
        <f t="shared" ca="1" si="347"/>
        <v>0</v>
      </c>
      <c r="BI193" s="2760">
        <f t="shared" ca="1" si="406"/>
        <v>0</v>
      </c>
    </row>
    <row r="194" spans="1:61" ht="14.5">
      <c r="A194" s="1693">
        <f t="shared" si="319"/>
        <v>194</v>
      </c>
      <c r="B194" s="616">
        <v>1</v>
      </c>
      <c r="C194" s="1693">
        <f t="shared" si="305"/>
        <v>194</v>
      </c>
      <c r="D194" s="616">
        <v>1</v>
      </c>
      <c r="E194" s="709" t="s">
        <v>512</v>
      </c>
      <c r="F194" s="1572"/>
      <c r="G194" s="4"/>
      <c r="H194" s="4"/>
      <c r="I194" s="4"/>
      <c r="J194" s="116" t="s">
        <v>92</v>
      </c>
      <c r="K194" s="115"/>
      <c r="L194" s="114"/>
      <c r="M194" s="114"/>
      <c r="N194" s="114"/>
      <c r="O194" s="114"/>
      <c r="P194" s="114"/>
      <c r="Q194" s="864"/>
      <c r="R194" s="1793" t="str">
        <f>CHOOSE(2, "6722000003113", "PL (2) Operating Profit")</f>
        <v>PL (2) Operating Profit</v>
      </c>
      <c r="S194" s="1584">
        <f>S190+S192-S193</f>
        <v>137844.46874709142</v>
      </c>
      <c r="T194" s="1585">
        <f t="shared" ref="T194:AD194" si="407">T190+T192-T193</f>
        <v>79370.465297472721</v>
      </c>
      <c r="U194" s="1585">
        <f t="shared" si="407"/>
        <v>59759.003356949135</v>
      </c>
      <c r="V194" s="1585">
        <f t="shared" si="407"/>
        <v>63434.107938894114</v>
      </c>
      <c r="W194" s="1585">
        <f t="shared" si="407"/>
        <v>53461.490391674248</v>
      </c>
      <c r="X194" s="1585">
        <f t="shared" si="407"/>
        <v>70223.362477201008</v>
      </c>
      <c r="Y194" s="1585">
        <f t="shared" si="407"/>
        <v>88149.532337726181</v>
      </c>
      <c r="Z194" s="1585">
        <f t="shared" si="407"/>
        <v>52613.538418125478</v>
      </c>
      <c r="AA194" s="1585">
        <f t="shared" si="407"/>
        <v>60243.207499161355</v>
      </c>
      <c r="AB194" s="1585">
        <f t="shared" si="407"/>
        <v>68581.532757973197</v>
      </c>
      <c r="AC194" s="1585">
        <f t="shared" si="407"/>
        <v>64695.978650959172</v>
      </c>
      <c r="AD194" s="1585">
        <f t="shared" si="407"/>
        <v>65975.756730728317</v>
      </c>
      <c r="AE194" s="885">
        <f t="shared" ref="AE194:AK194" si="408">AE190+AE192-AE193</f>
        <v>276973.93740151328</v>
      </c>
      <c r="AF194" s="113">
        <f t="shared" si="408"/>
        <v>187118.96080776938</v>
      </c>
      <c r="AG194" s="113">
        <f t="shared" si="408"/>
        <v>201006.27825501305</v>
      </c>
      <c r="AH194" s="113">
        <f t="shared" si="408"/>
        <v>199253.26813966074</v>
      </c>
      <c r="AI194" s="113">
        <f t="shared" si="408"/>
        <v>464092.89820928243</v>
      </c>
      <c r="AJ194" s="113">
        <f t="shared" si="408"/>
        <v>400259.54639467393</v>
      </c>
      <c r="AK194" s="113">
        <f t="shared" si="408"/>
        <v>864352.44460395642</v>
      </c>
      <c r="AM194" s="2268">
        <f ca="1">SUM((INDIRECT(AM$2&amp;(ROW())):INDIRECT(AM$3&amp;(ROW()))))</f>
        <v>137844.46874709142</v>
      </c>
      <c r="AN194" s="2030">
        <f ca="1">SUM(INDIRECT(AN$1&amp;AN$2&amp;$C194):INDIRECT(AN$1&amp;AN$3&amp;$C194))</f>
        <v>127432.77956968281</v>
      </c>
      <c r="AO194" s="2800">
        <f t="shared" ca="1" si="376"/>
        <v>10411.689177408611</v>
      </c>
      <c r="AP194" s="2801">
        <f t="shared" ca="1" si="338"/>
        <v>1.0817033828546077</v>
      </c>
      <c r="AQ194" s="2030">
        <f ca="1">SUM(INDIRECT(AQ$1&amp;AQ$2&amp;$A194):INDIRECT(AQ$1&amp;AQ$3&amp;$A194))+SUM(INDIRECT(AQ$1&amp;AQ$2&amp;$B194):INDIRECT(AQ$1&amp;AQ$3&amp;$B194))</f>
        <v>46719.565712821524</v>
      </c>
      <c r="AR194" s="2800">
        <f t="shared" ca="1" si="339"/>
        <v>91124.903034269897</v>
      </c>
      <c r="AS194" s="2801">
        <f t="shared" ca="1" si="402"/>
        <v>2.9504655414479153</v>
      </c>
      <c r="AU194" s="2268">
        <f ca="1">SUM((INDIRECT(AU$2&amp;(ROW())):INDIRECT(AU$3&amp;(ROW()))))</f>
        <v>137844.46874709142</v>
      </c>
      <c r="AV194" s="2030">
        <f ca="1">SUM(INDIRECT(AV$1&amp;AV$2&amp;$C194):INDIRECT(AV$1&amp;AV$3&amp;$C194))</f>
        <v>127432.77956968281</v>
      </c>
      <c r="AW194" s="2800">
        <f t="shared" ca="1" si="341"/>
        <v>10411.689177408611</v>
      </c>
      <c r="AX194" s="2801">
        <f t="shared" ca="1" si="403"/>
        <v>1.0817033828546077</v>
      </c>
      <c r="AY194" s="2030">
        <f ca="1">SUM(INDIRECT(AY$1&amp;AY$2&amp;$A194):INDIRECT(AY$1&amp;AY$3&amp;$A194))+SUM(INDIRECT(AY$1&amp;AY$2&amp;$B194):INDIRECT(AY$1&amp;AY$3&amp;$B194))</f>
        <v>46719.565712821524</v>
      </c>
      <c r="AZ194" s="2800">
        <f t="shared" ca="1" si="343"/>
        <v>91124.903034269897</v>
      </c>
      <c r="BA194" s="2801">
        <f t="shared" ca="1" si="404"/>
        <v>2.9504655414479153</v>
      </c>
      <c r="BC194" s="2268">
        <f ca="1">SUM((INDIRECT(BC$2&amp;(ROW())):INDIRECT(BC$3&amp;(ROW()))))</f>
        <v>137844.46874709142</v>
      </c>
      <c r="BD194" s="2030">
        <f ca="1">SUM(INDIRECT(BD$1&amp;BD$2&amp;$C194):INDIRECT(BD$1&amp;BD$3&amp;$C194))</f>
        <v>127432.77956968281</v>
      </c>
      <c r="BE194" s="2800">
        <f t="shared" ca="1" si="345"/>
        <v>10411.689177408611</v>
      </c>
      <c r="BF194" s="2801">
        <f t="shared" ca="1" si="405"/>
        <v>1.0817033828546077</v>
      </c>
      <c r="BG194" s="2030">
        <f ca="1">SUM(INDIRECT(BG$1&amp;BG$2&amp;$A194):INDIRECT(BG$1&amp;BG$3&amp;$A194))+SUM(INDIRECT(BG$1&amp;BG$2&amp;$B194):INDIRECT(BG$1&amp;BG$3&amp;$B194))</f>
        <v>46719.565712821524</v>
      </c>
      <c r="BH194" s="2800">
        <f t="shared" ca="1" si="347"/>
        <v>91124.903034269897</v>
      </c>
      <c r="BI194" s="2801">
        <f t="shared" ca="1" si="406"/>
        <v>2.9504655414479153</v>
      </c>
    </row>
    <row r="195" spans="1:61" ht="14.5">
      <c r="A195" s="1693">
        <f t="shared" si="319"/>
        <v>195</v>
      </c>
      <c r="B195" s="616">
        <v>1</v>
      </c>
      <c r="C195" s="1693">
        <f t="shared" si="305"/>
        <v>195</v>
      </c>
      <c r="D195" s="616">
        <v>1</v>
      </c>
      <c r="E195" s="709" t="s">
        <v>512</v>
      </c>
      <c r="F195" s="1572"/>
      <c r="G195" s="4"/>
      <c r="H195" s="4"/>
      <c r="I195" s="4"/>
      <c r="J195" s="25"/>
      <c r="K195" s="511" t="s">
        <v>55</v>
      </c>
      <c r="L195" s="2"/>
      <c r="M195" s="2"/>
      <c r="N195" s="1"/>
      <c r="O195" s="1"/>
      <c r="P195" s="1"/>
      <c r="Q195" s="1"/>
      <c r="R195" s="1792" t="str">
        <f>CHOOSE(2, "6722000003114", "PL (2) Operating Profit (%)")</f>
        <v>PL (2) Operating Profit (%)</v>
      </c>
      <c r="S195" s="1323">
        <f t="shared" ref="S195:AD195" si="409">IFERROR(S194/S154,0)</f>
        <v>0.18591929382508915</v>
      </c>
      <c r="T195" s="1322">
        <f t="shared" si="409"/>
        <v>0.11838566525676988</v>
      </c>
      <c r="U195" s="1322">
        <f t="shared" si="409"/>
        <v>0.10889929600264661</v>
      </c>
      <c r="V195" s="1322">
        <f t="shared" si="409"/>
        <v>0.11206942004472988</v>
      </c>
      <c r="W195" s="1322">
        <f t="shared" si="409"/>
        <v>8.2847448508827248E-2</v>
      </c>
      <c r="X195" s="1322">
        <f t="shared" si="409"/>
        <v>0.10635543377681547</v>
      </c>
      <c r="Y195" s="1322">
        <f t="shared" si="409"/>
        <v>0.13681312292660505</v>
      </c>
      <c r="Z195" s="1322">
        <f t="shared" si="409"/>
        <v>9.2968630874117705E-2</v>
      </c>
      <c r="AA195" s="1322">
        <f t="shared" si="409"/>
        <v>9.9781475629388106E-2</v>
      </c>
      <c r="AB195" s="1322">
        <f t="shared" si="409"/>
        <v>0.10450646325733669</v>
      </c>
      <c r="AC195" s="1322">
        <f t="shared" si="409"/>
        <v>9.257173823796748E-2</v>
      </c>
      <c r="AD195" s="1322">
        <f t="shared" si="409"/>
        <v>0.10994993400367001</v>
      </c>
      <c r="AE195" s="1322">
        <f t="shared" ref="AE195:AK195" si="410">IFERROR(AE194/AE154,0)</f>
        <v>0.14126886656662915</v>
      </c>
      <c r="AF195" s="1322">
        <f t="shared" si="410"/>
        <v>9.9978282077170494E-2</v>
      </c>
      <c r="AG195" s="1322">
        <f t="shared" si="410"/>
        <v>0.11080920403059505</v>
      </c>
      <c r="AH195" s="1322">
        <f t="shared" si="410"/>
        <v>0.10191103542663123</v>
      </c>
      <c r="AI195" s="1322">
        <f t="shared" si="410"/>
        <v>0.12110314937657898</v>
      </c>
      <c r="AJ195" s="1322">
        <f t="shared" si="410"/>
        <v>0.10619346788807092</v>
      </c>
      <c r="AK195" s="1322">
        <f t="shared" si="410"/>
        <v>0.11371015064844525</v>
      </c>
      <c r="AL195" s="504"/>
      <c r="AM195" s="1323">
        <f t="shared" ref="AM195:AQ195" ca="1" si="411">IFERROR(AM194/AM154,0)</f>
        <v>0.18591929382508915</v>
      </c>
      <c r="AN195" s="1322">
        <f t="shared" ca="1" si="411"/>
        <v>0.21326242981358859</v>
      </c>
      <c r="AO195" s="1322">
        <f t="shared" ca="1" si="376"/>
        <v>-2.734313598849944E-2</v>
      </c>
      <c r="AP195" s="2802"/>
      <c r="AQ195" s="1322">
        <f t="shared" ca="1" si="411"/>
        <v>9.9532723844873924E-2</v>
      </c>
      <c r="AR195" s="1322">
        <f t="shared" ca="1" si="339"/>
        <v>8.6386569980215225E-2</v>
      </c>
      <c r="AS195" s="2802"/>
      <c r="AT195" s="504"/>
      <c r="AU195" s="1323">
        <f ca="1">IFERROR(AU194/AU154,0)</f>
        <v>0.18591929382508915</v>
      </c>
      <c r="AV195" s="1322">
        <f ca="1">IFERROR(AV194/AV154,0)</f>
        <v>0.21326242981358859</v>
      </c>
      <c r="AW195" s="1322">
        <f t="shared" ca="1" si="341"/>
        <v>-2.734313598849944E-2</v>
      </c>
      <c r="AX195" s="2802"/>
      <c r="AY195" s="1322">
        <f ca="1">IFERROR(AY194/AY154,0)</f>
        <v>9.9532723844873924E-2</v>
      </c>
      <c r="AZ195" s="1322">
        <f t="shared" ca="1" si="343"/>
        <v>8.6386569980215225E-2</v>
      </c>
      <c r="BA195" s="2802"/>
      <c r="BB195" s="504"/>
      <c r="BC195" s="1323">
        <f ca="1">IFERROR(BC194/BC154,0)</f>
        <v>0.18591929382508915</v>
      </c>
      <c r="BD195" s="1322">
        <f ca="1">IFERROR(BD194/BD154,0)</f>
        <v>0.21326242981358859</v>
      </c>
      <c r="BE195" s="1322">
        <f t="shared" ca="1" si="345"/>
        <v>-2.734313598849944E-2</v>
      </c>
      <c r="BF195" s="2802"/>
      <c r="BG195" s="1322">
        <f ca="1">IFERROR(BG194/BG154,0)</f>
        <v>9.9532723844873924E-2</v>
      </c>
      <c r="BH195" s="1322">
        <f t="shared" ca="1" si="347"/>
        <v>8.6386569980215225E-2</v>
      </c>
      <c r="BI195" s="2802"/>
    </row>
    <row r="196" spans="1:61" ht="14.5">
      <c r="A196" s="1693">
        <f t="shared" si="319"/>
        <v>196</v>
      </c>
      <c r="B196" s="616">
        <v>1</v>
      </c>
      <c r="C196" s="1693">
        <f t="shared" si="305"/>
        <v>196</v>
      </c>
      <c r="D196" s="616">
        <v>1</v>
      </c>
      <c r="E196" s="709" t="s">
        <v>512</v>
      </c>
      <c r="F196" s="69"/>
      <c r="G196" s="8"/>
      <c r="H196" s="737"/>
      <c r="I196" s="4"/>
      <c r="J196" s="4"/>
      <c r="K196" s="3"/>
      <c r="L196" s="742" t="s">
        <v>514</v>
      </c>
      <c r="M196" s="707"/>
      <c r="N196" s="586"/>
      <c r="O196" s="586"/>
      <c r="P196" s="586"/>
      <c r="Q196" s="586"/>
      <c r="R196" s="1785" t="str">
        <f>CHOOSE(2, "6722000003115", "PL (2) CAI (%)")</f>
        <v>PL (2) CAI (%)</v>
      </c>
      <c r="S196" s="1368">
        <f>S443</f>
        <v>0.72179223249464008</v>
      </c>
      <c r="T196" s="1368">
        <f t="shared" ref="T196:AD196" si="412">T443</f>
        <v>0.68442069467864353</v>
      </c>
      <c r="U196" s="1368">
        <f t="shared" si="412"/>
        <v>0.70206428878921046</v>
      </c>
      <c r="V196" s="1368">
        <f t="shared" si="412"/>
        <v>0.6614260911564247</v>
      </c>
      <c r="W196" s="1368">
        <f t="shared" si="412"/>
        <v>0.67384906502541975</v>
      </c>
      <c r="X196" s="1368">
        <f t="shared" si="412"/>
        <v>0.67834872612010055</v>
      </c>
      <c r="Y196" s="1368">
        <f t="shared" si="412"/>
        <v>0.67418512014805909</v>
      </c>
      <c r="Z196" s="1368">
        <f t="shared" si="412"/>
        <v>0.68336452388450852</v>
      </c>
      <c r="AA196" s="1368">
        <f t="shared" si="412"/>
        <v>0.67522303179665932</v>
      </c>
      <c r="AB196" s="1368">
        <f t="shared" si="412"/>
        <v>0.67798919170053085</v>
      </c>
      <c r="AC196" s="1368">
        <f t="shared" si="412"/>
        <v>0.67931445398420232</v>
      </c>
      <c r="AD196" s="1368">
        <f t="shared" si="412"/>
        <v>0.67765730906668942</v>
      </c>
      <c r="AE196" s="884">
        <f t="shared" ref="AE196:AK196" si="413">AE443</f>
        <v>0.70332355490305731</v>
      </c>
      <c r="AF196" s="744">
        <f t="shared" si="413"/>
        <v>0.67175157660115226</v>
      </c>
      <c r="AG196" s="744">
        <f t="shared" si="413"/>
        <v>0.67839431523485194</v>
      </c>
      <c r="AH196" s="744">
        <f t="shared" si="413"/>
        <v>0.67856645203032029</v>
      </c>
      <c r="AI196" s="744">
        <f t="shared" si="413"/>
        <v>0.68790891790337705</v>
      </c>
      <c r="AJ196" s="744">
        <f t="shared" si="413"/>
        <v>0.67849388468263794</v>
      </c>
      <c r="AK196" s="744">
        <f t="shared" si="413"/>
        <v>0.6834197210429841</v>
      </c>
      <c r="AM196" s="2746">
        <f t="shared" ref="AM196:AN196" ca="1" si="414">AM443</f>
        <v>274.1256587701514</v>
      </c>
      <c r="AN196" s="2746">
        <f t="shared" ca="1" si="414"/>
        <v>112.64377057874962</v>
      </c>
      <c r="AO196" s="2746">
        <f t="shared" ca="1" si="376"/>
        <v>161.48188819140177</v>
      </c>
      <c r="AP196" s="2747"/>
      <c r="AQ196" s="2746">
        <f t="shared" ref="AQ196" ca="1" si="415">AQ443</f>
        <v>186.14431757121392</v>
      </c>
      <c r="AR196" s="2746">
        <f t="shared" ca="1" si="339"/>
        <v>87.981341198937486</v>
      </c>
      <c r="AS196" s="2748"/>
      <c r="AU196" s="2746">
        <f t="shared" ref="AU196:AV196" ca="1" si="416">AU443</f>
        <v>274.1256587701514</v>
      </c>
      <c r="AV196" s="2746">
        <f t="shared" ca="1" si="416"/>
        <v>112.64377057874962</v>
      </c>
      <c r="AW196" s="2746">
        <f t="shared" ca="1" si="341"/>
        <v>161.48188819140177</v>
      </c>
      <c r="AX196" s="2747"/>
      <c r="AY196" s="2746">
        <f t="shared" ref="AY196" ca="1" si="417">AY443</f>
        <v>186.14431757121392</v>
      </c>
      <c r="AZ196" s="2746">
        <f t="shared" ca="1" si="343"/>
        <v>87.981341198937486</v>
      </c>
      <c r="BA196" s="2748"/>
      <c r="BB196" s="69"/>
      <c r="BC196" s="2746">
        <f t="shared" ref="BC196:BD196" ca="1" si="418">BC443</f>
        <v>274.1256587701514</v>
      </c>
      <c r="BD196" s="2746">
        <f t="shared" ca="1" si="418"/>
        <v>112.64377057874962</v>
      </c>
      <c r="BE196" s="2746">
        <f t="shared" ca="1" si="345"/>
        <v>161.48188819140177</v>
      </c>
      <c r="BF196" s="2749"/>
      <c r="BG196" s="2746">
        <f t="shared" ref="BG196" ca="1" si="419">BG443</f>
        <v>186.14431757121392</v>
      </c>
      <c r="BH196" s="2746">
        <f t="shared" ca="1" si="347"/>
        <v>87.981341198937486</v>
      </c>
      <c r="BI196" s="2748"/>
    </row>
    <row r="197" spans="1:61" ht="14.5">
      <c r="A197" s="1693">
        <f t="shared" si="319"/>
        <v>197</v>
      </c>
      <c r="B197" s="616">
        <v>1</v>
      </c>
      <c r="C197" s="1693">
        <f t="shared" si="305"/>
        <v>197</v>
      </c>
      <c r="D197" s="616">
        <v>1</v>
      </c>
      <c r="E197" s="709" t="s">
        <v>512</v>
      </c>
      <c r="F197" s="69"/>
      <c r="G197" s="8"/>
      <c r="H197" s="737"/>
      <c r="I197" s="4"/>
      <c r="J197" s="4"/>
      <c r="K197" s="3"/>
      <c r="L197" s="27"/>
      <c r="M197" s="572" t="s">
        <v>509</v>
      </c>
      <c r="N197" s="251"/>
      <c r="O197" s="251"/>
      <c r="P197" s="251"/>
      <c r="Q197" s="251"/>
      <c r="R197" s="1786" t="str">
        <f>CHOOSE(2, "6722000003116", "PL (2) CAI Directly assigned")</f>
        <v>PL (2) CAI Directly assigned</v>
      </c>
      <c r="S197" s="1380">
        <f>SUM(S198:S200)</f>
        <v>48538.925534187001</v>
      </c>
      <c r="T197" s="1380">
        <f t="shared" ref="T197:AD197" si="420">SUM(T198:T200)</f>
        <v>44641.225980182317</v>
      </c>
      <c r="U197" s="1380">
        <f t="shared" si="420"/>
        <v>36924.164229933187</v>
      </c>
      <c r="V197" s="1380">
        <f t="shared" si="420"/>
        <v>28920.585199928468</v>
      </c>
      <c r="W197" s="1380">
        <f t="shared" si="420"/>
        <v>37094.423814647438</v>
      </c>
      <c r="X197" s="1380">
        <f t="shared" si="420"/>
        <v>27559.307957882684</v>
      </c>
      <c r="Y197" s="1249">
        <f t="shared" si="420"/>
        <v>36088.613844462321</v>
      </c>
      <c r="Z197" s="1249">
        <f t="shared" si="420"/>
        <v>58336.672708987375</v>
      </c>
      <c r="AA197" s="1249">
        <f t="shared" si="420"/>
        <v>70718.185283740822</v>
      </c>
      <c r="AB197" s="1614">
        <f t="shared" si="420"/>
        <v>70315.871433087465</v>
      </c>
      <c r="AC197" s="1614">
        <f t="shared" si="420"/>
        <v>53712.683925076351</v>
      </c>
      <c r="AD197" s="1614">
        <f t="shared" si="420"/>
        <v>28683.909997964143</v>
      </c>
      <c r="AE197" s="1615">
        <f t="shared" ref="AE197:AK197" si="421">SUM(AE198:AE200)</f>
        <v>130104.31574430251</v>
      </c>
      <c r="AF197" s="1614">
        <f t="shared" si="421"/>
        <v>93574.31697245859</v>
      </c>
      <c r="AG197" s="1614">
        <f t="shared" si="421"/>
        <v>165143.4718371905</v>
      </c>
      <c r="AH197" s="1614">
        <f t="shared" si="421"/>
        <v>152712.46535612794</v>
      </c>
      <c r="AI197" s="1614">
        <f t="shared" si="421"/>
        <v>223678.63271676109</v>
      </c>
      <c r="AJ197" s="1614">
        <f t="shared" si="421"/>
        <v>317855.9371933185</v>
      </c>
      <c r="AK197" s="1614">
        <f t="shared" si="421"/>
        <v>541534.56991007959</v>
      </c>
      <c r="AM197" s="2252">
        <f ca="1">SUM((INDIRECT(AM$2&amp;(ROW())):INDIRECT(AM$3&amp;(ROW()))))</f>
        <v>48538.925534187001</v>
      </c>
      <c r="AN197" s="2251">
        <f ca="1">SUM(INDIRECT(AN$1&amp;AN$2&amp;$C197):INDIRECT(AN$1&amp;AN$3&amp;$C197))</f>
        <v>56000</v>
      </c>
      <c r="AO197" s="2750">
        <f t="shared" ca="1" si="376"/>
        <v>-7461.0744658129988</v>
      </c>
      <c r="AP197" s="2751">
        <f t="shared" ref="AP197:AP201" ca="1" si="422">IFERROR(AM197/AN197,0)</f>
        <v>0.86676652739619642</v>
      </c>
      <c r="AQ197" s="2262">
        <f ca="1">SUM(INDIRECT(AQ$1&amp;AQ$2&amp;$A197):INDIRECT(AQ$1&amp;AQ$3&amp;$A197))+SUM(INDIRECT(AQ$1&amp;AQ$2&amp;$B197):INDIRECT(AQ$1&amp;AQ$3&amp;$B197))</f>
        <v>25906.751600110965</v>
      </c>
      <c r="AR197" s="2752">
        <f t="shared" ca="1" si="339"/>
        <v>22632.173934076036</v>
      </c>
      <c r="AS197" s="2753">
        <f t="shared" ref="AS197:AS201" ca="1" si="423">IFERROR(AM197/AQ197,0)</f>
        <v>1.8736013794172133</v>
      </c>
      <c r="AU197" s="2252">
        <f ca="1">SUM((INDIRECT(AU$2&amp;(ROW())):INDIRECT(AU$3&amp;(ROW()))))</f>
        <v>48538.925534187001</v>
      </c>
      <c r="AV197" s="2251">
        <f ca="1">SUM(INDIRECT(AV$1&amp;AV$2&amp;$C197):INDIRECT(AV$1&amp;AV$3&amp;$C197))</f>
        <v>56000</v>
      </c>
      <c r="AW197" s="2750">
        <f t="shared" ca="1" si="341"/>
        <v>-7461.0744658129988</v>
      </c>
      <c r="AX197" s="2751">
        <f t="shared" ref="AX197:AX201" ca="1" si="424">IFERROR(AU197/AV197,0)</f>
        <v>0.86676652739619642</v>
      </c>
      <c r="AY197" s="2262">
        <f ca="1">SUM(INDIRECT(AY$1&amp;AY$2&amp;$A197):INDIRECT(AY$1&amp;AY$3&amp;$A197))+SUM(INDIRECT(AY$1&amp;AY$2&amp;$B197):INDIRECT(AY$1&amp;AY$3&amp;$B197))</f>
        <v>25906.751600110965</v>
      </c>
      <c r="AZ197" s="2752">
        <f t="shared" ca="1" si="343"/>
        <v>22632.173934076036</v>
      </c>
      <c r="BA197" s="2753">
        <f t="shared" ref="BA197:BA201" ca="1" si="425">IFERROR(AU197/AY197,0)</f>
        <v>1.8736013794172133</v>
      </c>
      <c r="BB197" s="69"/>
      <c r="BC197" s="1986">
        <f ca="1">SUM((INDIRECT(BC$2&amp;(ROW())):INDIRECT(BC$3&amp;(ROW()))))</f>
        <v>48538.925534187001</v>
      </c>
      <c r="BD197" s="2262">
        <f ca="1">SUM(INDIRECT(BD$1&amp;BD$2&amp;$C197):INDIRECT(BD$1&amp;BD$3&amp;$C197))</f>
        <v>56000</v>
      </c>
      <c r="BE197" s="2752">
        <f t="shared" ca="1" si="345"/>
        <v>-7461.0744658129988</v>
      </c>
      <c r="BF197" s="2753">
        <f t="shared" ref="BF197:BF201" ca="1" si="426">IFERROR(BC197/BD197,0)</f>
        <v>0.86676652739619642</v>
      </c>
      <c r="BG197" s="2262">
        <f ca="1">SUM(INDIRECT(BG$1&amp;BG$2&amp;$A197):INDIRECT(BG$1&amp;BG$3&amp;$A197))+SUM(INDIRECT(BG$1&amp;BG$2&amp;$B197):INDIRECT(BG$1&amp;BG$3&amp;$B197))</f>
        <v>25906.751600110965</v>
      </c>
      <c r="BH197" s="2752">
        <f t="shared" ca="1" si="347"/>
        <v>22632.173934076036</v>
      </c>
      <c r="BI197" s="2753">
        <f t="shared" ref="BI197:BI201" ca="1" si="427">IFERROR(BC197/BG197,0)</f>
        <v>1.8736013794172133</v>
      </c>
    </row>
    <row r="198" spans="1:61" ht="14.5">
      <c r="A198" s="1693">
        <f t="shared" si="319"/>
        <v>198</v>
      </c>
      <c r="B198" s="616">
        <v>1</v>
      </c>
      <c r="C198" s="1693">
        <f t="shared" si="305"/>
        <v>198</v>
      </c>
      <c r="D198" s="616">
        <v>1</v>
      </c>
      <c r="E198" s="709" t="s">
        <v>512</v>
      </c>
      <c r="F198" s="69"/>
      <c r="G198" s="8"/>
      <c r="H198" s="737"/>
      <c r="I198" s="4"/>
      <c r="J198" s="4"/>
      <c r="K198" s="3"/>
      <c r="L198" s="27"/>
      <c r="M198" s="27"/>
      <c r="N198" s="36" t="s">
        <v>87</v>
      </c>
      <c r="O198" s="3"/>
      <c r="P198" s="3"/>
      <c r="Q198" s="3"/>
      <c r="R198" s="1787" t="str">
        <f>CHOOSE(2, "6722000003117", "PL (2) CAI Directly assigned Variable Expenses")</f>
        <v>PL (2) CAI Directly assigned Variable Expenses</v>
      </c>
      <c r="S198" s="1350">
        <v>22635.967487929971</v>
      </c>
      <c r="T198" s="1350">
        <v>14598.248448051196</v>
      </c>
      <c r="U198" s="1350">
        <v>12228.275807877679</v>
      </c>
      <c r="V198" s="1350">
        <v>5245.0579655417687</v>
      </c>
      <c r="W198" s="1350">
        <v>6448.3167382381007</v>
      </c>
      <c r="X198" s="1350">
        <v>4263.4622488788709</v>
      </c>
      <c r="Y198" s="1281">
        <v>10991.152544466499</v>
      </c>
      <c r="Z198" s="1281">
        <v>31977.430788848953</v>
      </c>
      <c r="AA198" s="1281">
        <v>2737.2405996718221</v>
      </c>
      <c r="AB198" s="1351">
        <v>30678.148375976994</v>
      </c>
      <c r="AC198" s="1351">
        <v>16389.52028927669</v>
      </c>
      <c r="AD198" s="1351">
        <v>10395.681125962848</v>
      </c>
      <c r="AE198" s="125">
        <f>SUM(S198,T198,U198)</f>
        <v>49462.491743858845</v>
      </c>
      <c r="AF198" s="126">
        <f>SUM(V198,W198,X198)</f>
        <v>15956.836952658741</v>
      </c>
      <c r="AG198" s="126">
        <f>SUM(Y198,Z198,AA198)</f>
        <v>45705.823932987274</v>
      </c>
      <c r="AH198" s="126">
        <f>SUM(AB198,AC198,AD198)</f>
        <v>57463.349791216533</v>
      </c>
      <c r="AI198" s="126">
        <f>AE198+AF198</f>
        <v>65419.328696517587</v>
      </c>
      <c r="AJ198" s="126">
        <f>AH198+AG198</f>
        <v>103169.17372420381</v>
      </c>
      <c r="AK198" s="126">
        <f>AI198+AJ198</f>
        <v>168588.5024207214</v>
      </c>
      <c r="AM198" s="2470">
        <f ca="1">SUM((INDIRECT(AM$2&amp;(ROW())):INDIRECT(AM$3&amp;(ROW()))))</f>
        <v>22635.967487929971</v>
      </c>
      <c r="AN198" s="2754">
        <f ca="1">SUM(INDIRECT(AN$1&amp;AN$2&amp;$C198):INDIRECT(AN$1&amp;AN$3&amp;$C198))</f>
        <v>15000</v>
      </c>
      <c r="AO198" s="2755">
        <f t="shared" ca="1" si="376"/>
        <v>7635.967487929971</v>
      </c>
      <c r="AP198" s="2756">
        <f t="shared" ca="1" si="422"/>
        <v>1.5090644991953315</v>
      </c>
      <c r="AQ198" s="2043">
        <f ca="1">SUM(INDIRECT(AQ$1&amp;AQ$2&amp;$A198):INDIRECT(AQ$1&amp;AQ$3&amp;$A198))+SUM(INDIRECT(AQ$1&amp;AQ$2&amp;$B198):INDIRECT(AQ$1&amp;AQ$3&amp;$B198))</f>
        <v>4214.538715222171</v>
      </c>
      <c r="AR198" s="2757">
        <f t="shared" ca="1" si="339"/>
        <v>18421.428772707801</v>
      </c>
      <c r="AS198" s="2758">
        <f t="shared" ca="1" si="423"/>
        <v>5.3709240838559262</v>
      </c>
      <c r="AU198" s="2470">
        <f ca="1">SUM((INDIRECT(AU$2&amp;(ROW())):INDIRECT(AU$3&amp;(ROW()))))</f>
        <v>22635.967487929971</v>
      </c>
      <c r="AV198" s="2754">
        <f ca="1">SUM(INDIRECT(AV$1&amp;AV$2&amp;$C198):INDIRECT(AV$1&amp;AV$3&amp;$C198))</f>
        <v>15000</v>
      </c>
      <c r="AW198" s="2755">
        <f t="shared" ca="1" si="341"/>
        <v>7635.967487929971</v>
      </c>
      <c r="AX198" s="2756">
        <f t="shared" ca="1" si="424"/>
        <v>1.5090644991953315</v>
      </c>
      <c r="AY198" s="2043">
        <f ca="1">SUM(INDIRECT(AY$1&amp;AY$2&amp;$A198):INDIRECT(AY$1&amp;AY$3&amp;$A198))+SUM(INDIRECT(AY$1&amp;AY$2&amp;$B198):INDIRECT(AY$1&amp;AY$3&amp;$B198))</f>
        <v>4214.538715222171</v>
      </c>
      <c r="AZ198" s="2757">
        <f t="shared" ca="1" si="343"/>
        <v>18421.428772707801</v>
      </c>
      <c r="BA198" s="2758">
        <f t="shared" ca="1" si="425"/>
        <v>5.3709240838559262</v>
      </c>
      <c r="BB198" s="69"/>
      <c r="BC198" s="1378">
        <f ca="1">SUM((INDIRECT(BC$2&amp;(ROW())):INDIRECT(BC$3&amp;(ROW()))))</f>
        <v>22635.967487929971</v>
      </c>
      <c r="BD198" s="2043">
        <f ca="1">SUM(INDIRECT(BD$1&amp;BD$2&amp;$C198):INDIRECT(BD$1&amp;BD$3&amp;$C198))</f>
        <v>15000</v>
      </c>
      <c r="BE198" s="2757">
        <f t="shared" ca="1" si="345"/>
        <v>7635.967487929971</v>
      </c>
      <c r="BF198" s="2758">
        <f t="shared" ca="1" si="426"/>
        <v>1.5090644991953315</v>
      </c>
      <c r="BG198" s="2043">
        <f ca="1">SUM(INDIRECT(BG$1&amp;BG$2&amp;$A198):INDIRECT(BG$1&amp;BG$3&amp;$A198))+SUM(INDIRECT(BG$1&amp;BG$2&amp;$B198):INDIRECT(BG$1&amp;BG$3&amp;$B198))</f>
        <v>4214.538715222171</v>
      </c>
      <c r="BH198" s="2757">
        <f t="shared" ca="1" si="347"/>
        <v>18421.428772707801</v>
      </c>
      <c r="BI198" s="2758">
        <f t="shared" ca="1" si="427"/>
        <v>5.3709240838559262</v>
      </c>
    </row>
    <row r="199" spans="1:61" ht="14.5">
      <c r="A199" s="1693">
        <f t="shared" si="319"/>
        <v>199</v>
      </c>
      <c r="B199" s="616">
        <v>1</v>
      </c>
      <c r="C199" s="1693">
        <f t="shared" si="305"/>
        <v>199</v>
      </c>
      <c r="D199" s="616">
        <v>1</v>
      </c>
      <c r="E199" s="709" t="s">
        <v>512</v>
      </c>
      <c r="F199" s="69"/>
      <c r="G199" s="8"/>
      <c r="H199" s="737"/>
      <c r="I199" s="4"/>
      <c r="J199" s="4"/>
      <c r="K199" s="3"/>
      <c r="L199" s="27"/>
      <c r="M199" s="27"/>
      <c r="N199" s="36" t="s">
        <v>88</v>
      </c>
      <c r="O199" s="3"/>
      <c r="P199" s="3"/>
      <c r="Q199" s="3"/>
      <c r="R199" s="1787" t="str">
        <f>CHOOSE(2, "6722000003118", "PL (2) CAI Directly assigned Wages &amp; Salaries")</f>
        <v>PL (2) CAI Directly assigned Wages &amp; Salaries</v>
      </c>
      <c r="S199" s="1350">
        <v>17005.179182917804</v>
      </c>
      <c r="T199" s="1350">
        <v>19322</v>
      </c>
      <c r="U199" s="1350">
        <v>18478.393469648501</v>
      </c>
      <c r="V199" s="1350">
        <v>17465.213052949297</v>
      </c>
      <c r="W199" s="1350">
        <v>23603.912111306916</v>
      </c>
      <c r="X199" s="1350">
        <v>16423.244415951223</v>
      </c>
      <c r="Y199" s="1281">
        <v>18649.622671267323</v>
      </c>
      <c r="Z199" s="1281">
        <v>17772.268470937994</v>
      </c>
      <c r="AA199" s="1281">
        <v>20022.200011944431</v>
      </c>
      <c r="AB199" s="1351">
        <v>19658.703340229255</v>
      </c>
      <c r="AC199" s="1351">
        <v>20831.449307953382</v>
      </c>
      <c r="AD199" s="1351">
        <v>17769.936127167046</v>
      </c>
      <c r="AE199" s="125">
        <f>SUM(S199,T199,U199)</f>
        <v>54805.572652566305</v>
      </c>
      <c r="AF199" s="126">
        <f>SUM(V199,W199,X199)</f>
        <v>57492.369580207436</v>
      </c>
      <c r="AG199" s="126">
        <f>SUM(Y199,Z199,AA199)</f>
        <v>56444.091154149748</v>
      </c>
      <c r="AH199" s="126">
        <f>SUM(AB199,AC199,AD199)</f>
        <v>58260.088775349679</v>
      </c>
      <c r="AI199" s="126">
        <f>AE199+AF199</f>
        <v>112297.94223277374</v>
      </c>
      <c r="AJ199" s="126">
        <f>AH199+AG199</f>
        <v>114704.17992949943</v>
      </c>
      <c r="AK199" s="126">
        <f>AI199+AJ199</f>
        <v>227002.12216227315</v>
      </c>
      <c r="AM199" s="2470">
        <f ca="1">SUM((INDIRECT(AM$2&amp;(ROW())):INDIRECT(AM$3&amp;(ROW()))))</f>
        <v>17005.179182917804</v>
      </c>
      <c r="AN199" s="2754">
        <f ca="1">SUM(INDIRECT(AN$1&amp;AN$2&amp;$C199):INDIRECT(AN$1&amp;AN$3&amp;$C199))</f>
        <v>22000</v>
      </c>
      <c r="AO199" s="2755">
        <f t="shared" ca="1" si="376"/>
        <v>-4994.8208170821963</v>
      </c>
      <c r="AP199" s="2756">
        <f t="shared" ca="1" si="422"/>
        <v>0.77296269013262742</v>
      </c>
      <c r="AQ199" s="2043">
        <f ca="1">SUM(INDIRECT(AQ$1&amp;AQ$2&amp;$A199):INDIRECT(AQ$1&amp;AQ$3&amp;$A199))+SUM(INDIRECT(AQ$1&amp;AQ$2&amp;$B199):INDIRECT(AQ$1&amp;AQ$3&amp;$B199))</f>
        <v>14715.978325090638</v>
      </c>
      <c r="AR199" s="2757">
        <f t="shared" ca="1" si="339"/>
        <v>2289.2008578271652</v>
      </c>
      <c r="AS199" s="2758">
        <f t="shared" ca="1" si="423"/>
        <v>1.155558863111676</v>
      </c>
      <c r="AU199" s="2470">
        <f ca="1">SUM((INDIRECT(AU$2&amp;(ROW())):INDIRECT(AU$3&amp;(ROW()))))</f>
        <v>17005.179182917804</v>
      </c>
      <c r="AV199" s="2754">
        <f ca="1">SUM(INDIRECT(AV$1&amp;AV$2&amp;$C199):INDIRECT(AV$1&amp;AV$3&amp;$C199))</f>
        <v>22000</v>
      </c>
      <c r="AW199" s="2755">
        <f t="shared" ca="1" si="341"/>
        <v>-4994.8208170821963</v>
      </c>
      <c r="AX199" s="2756">
        <f t="shared" ca="1" si="424"/>
        <v>0.77296269013262742</v>
      </c>
      <c r="AY199" s="2043">
        <f ca="1">SUM(INDIRECT(AY$1&amp;AY$2&amp;$A199):INDIRECT(AY$1&amp;AY$3&amp;$A199))+SUM(INDIRECT(AY$1&amp;AY$2&amp;$B199):INDIRECT(AY$1&amp;AY$3&amp;$B199))</f>
        <v>14715.978325090638</v>
      </c>
      <c r="AZ199" s="2757">
        <f t="shared" ca="1" si="343"/>
        <v>2289.2008578271652</v>
      </c>
      <c r="BA199" s="2758">
        <f t="shared" ca="1" si="425"/>
        <v>1.155558863111676</v>
      </c>
      <c r="BB199" s="69"/>
      <c r="BC199" s="1378">
        <f ca="1">SUM((INDIRECT(BC$2&amp;(ROW())):INDIRECT(BC$3&amp;(ROW()))))</f>
        <v>17005.179182917804</v>
      </c>
      <c r="BD199" s="2043">
        <f ca="1">SUM(INDIRECT(BD$1&amp;BD$2&amp;$C199):INDIRECT(BD$1&amp;BD$3&amp;$C199))</f>
        <v>22000</v>
      </c>
      <c r="BE199" s="2757">
        <f t="shared" ca="1" si="345"/>
        <v>-4994.8208170821963</v>
      </c>
      <c r="BF199" s="2758">
        <f t="shared" ca="1" si="426"/>
        <v>0.77296269013262742</v>
      </c>
      <c r="BG199" s="2043">
        <f ca="1">SUM(INDIRECT(BG$1&amp;BG$2&amp;$A199):INDIRECT(BG$1&amp;BG$3&amp;$A199))+SUM(INDIRECT(BG$1&amp;BG$2&amp;$B199):INDIRECT(BG$1&amp;BG$3&amp;$B199))</f>
        <v>14715.978325090638</v>
      </c>
      <c r="BH199" s="2757">
        <f t="shared" ca="1" si="347"/>
        <v>2289.2008578271652</v>
      </c>
      <c r="BI199" s="2758">
        <f t="shared" ca="1" si="427"/>
        <v>1.155558863111676</v>
      </c>
    </row>
    <row r="200" spans="1:61" ht="14.5">
      <c r="A200" s="1693">
        <f t="shared" si="319"/>
        <v>200</v>
      </c>
      <c r="B200" s="616">
        <v>1</v>
      </c>
      <c r="C200" s="1693">
        <f t="shared" si="305"/>
        <v>200</v>
      </c>
      <c r="D200" s="616">
        <v>1</v>
      </c>
      <c r="E200" s="709" t="s">
        <v>512</v>
      </c>
      <c r="F200" s="69"/>
      <c r="G200" s="8"/>
      <c r="H200" s="737"/>
      <c r="I200" s="4"/>
      <c r="J200" s="4"/>
      <c r="K200" s="3"/>
      <c r="L200" s="27"/>
      <c r="M200" s="25"/>
      <c r="N200" s="104" t="s">
        <v>89</v>
      </c>
      <c r="O200" s="1"/>
      <c r="P200" s="1"/>
      <c r="Q200" s="1"/>
      <c r="R200" s="1787" t="str">
        <f>CHOOSE(2, "6722000003119", "PL (2) CAI Directly assigned Fixed Expenses")</f>
        <v>PL (2) CAI Directly assigned Fixed Expenses</v>
      </c>
      <c r="S200" s="1352">
        <v>8897.7788633392265</v>
      </c>
      <c r="T200" s="1352">
        <v>10720.977532131126</v>
      </c>
      <c r="U200" s="1352">
        <v>6217.4949524070107</v>
      </c>
      <c r="V200" s="1352">
        <v>6210.3141814374039</v>
      </c>
      <c r="W200" s="1352">
        <v>7042.1949651024242</v>
      </c>
      <c r="X200" s="1352">
        <v>6872.6012930525903</v>
      </c>
      <c r="Y200" s="1282">
        <v>6447.8386287284993</v>
      </c>
      <c r="Z200" s="1282">
        <v>8586.9734492004245</v>
      </c>
      <c r="AA200" s="1282">
        <v>47958.744672124572</v>
      </c>
      <c r="AB200" s="1353">
        <v>19979.019716881216</v>
      </c>
      <c r="AC200" s="1353">
        <v>16491.714327846283</v>
      </c>
      <c r="AD200" s="1353">
        <v>518.29274483424797</v>
      </c>
      <c r="AE200" s="122">
        <f>SUM(S200,T200,U200)</f>
        <v>25836.251347877362</v>
      </c>
      <c r="AF200" s="123">
        <f>SUM(V200,W200,X200)</f>
        <v>20125.110439592419</v>
      </c>
      <c r="AG200" s="123">
        <f>SUM(Y200,Z200,AA200)</f>
        <v>62993.556750053496</v>
      </c>
      <c r="AH200" s="123">
        <f>SUM(AB200,AC200,AD200)</f>
        <v>36989.026789561743</v>
      </c>
      <c r="AI200" s="123">
        <f>AE200+AF200</f>
        <v>45961.361787469781</v>
      </c>
      <c r="AJ200" s="123">
        <f>AH200+AG200</f>
        <v>99982.58353961524</v>
      </c>
      <c r="AK200" s="123">
        <f>AI200+AJ200</f>
        <v>145943.94532708504</v>
      </c>
      <c r="AM200" s="2494">
        <f ca="1">SUM((INDIRECT(AM$2&amp;(ROW())):INDIRECT(AM$3&amp;(ROW()))))</f>
        <v>8897.7788633392265</v>
      </c>
      <c r="AN200" s="1980">
        <f ca="1">SUM(INDIRECT(AN$1&amp;AN$2&amp;$C200):INDIRECT(AN$1&amp;AN$3&amp;$C200))</f>
        <v>19000</v>
      </c>
      <c r="AO200" s="2759">
        <f t="shared" ca="1" si="376"/>
        <v>-10102.221136660773</v>
      </c>
      <c r="AP200" s="2760">
        <f t="shared" ca="1" si="422"/>
        <v>0.46830415070206455</v>
      </c>
      <c r="AQ200" s="1979">
        <f ca="1">SUM(INDIRECT(AQ$1&amp;AQ$2&amp;$A200):INDIRECT(AQ$1&amp;AQ$3&amp;$A200))+SUM(INDIRECT(AQ$1&amp;AQ$2&amp;$B200):INDIRECT(AQ$1&amp;AQ$3&amp;$B200))</f>
        <v>6976.2345597981548</v>
      </c>
      <c r="AR200" s="2742">
        <f t="shared" ca="1" si="339"/>
        <v>1921.5443035410717</v>
      </c>
      <c r="AS200" s="2743">
        <f t="shared" ca="1" si="423"/>
        <v>1.2754414701899972</v>
      </c>
      <c r="AU200" s="2494">
        <f ca="1">SUM((INDIRECT(AU$2&amp;(ROW())):INDIRECT(AU$3&amp;(ROW()))))</f>
        <v>8897.7788633392265</v>
      </c>
      <c r="AV200" s="1980">
        <f ca="1">SUM(INDIRECT(AV$1&amp;AV$2&amp;$C200):INDIRECT(AV$1&amp;AV$3&amp;$C200))</f>
        <v>19000</v>
      </c>
      <c r="AW200" s="2759">
        <f t="shared" ca="1" si="341"/>
        <v>-10102.221136660773</v>
      </c>
      <c r="AX200" s="2760">
        <f t="shared" ca="1" si="424"/>
        <v>0.46830415070206455</v>
      </c>
      <c r="AY200" s="1979">
        <f ca="1">SUM(INDIRECT(AY$1&amp;AY$2&amp;$A200):INDIRECT(AY$1&amp;AY$3&amp;$A200))+SUM(INDIRECT(AY$1&amp;AY$2&amp;$B200):INDIRECT(AY$1&amp;AY$3&amp;$B200))</f>
        <v>6976.2345597981548</v>
      </c>
      <c r="AZ200" s="2742">
        <f t="shared" ca="1" si="343"/>
        <v>1921.5443035410717</v>
      </c>
      <c r="BA200" s="2743">
        <f t="shared" ca="1" si="425"/>
        <v>1.2754414701899972</v>
      </c>
      <c r="BB200" s="69"/>
      <c r="BC200" s="1379">
        <f ca="1">SUM((INDIRECT(BC$2&amp;(ROW())):INDIRECT(BC$3&amp;(ROW()))))</f>
        <v>8897.7788633392265</v>
      </c>
      <c r="BD200" s="1979">
        <f ca="1">SUM(INDIRECT(BD$1&amp;BD$2&amp;$C200):INDIRECT(BD$1&amp;BD$3&amp;$C200))</f>
        <v>19000</v>
      </c>
      <c r="BE200" s="2742">
        <f t="shared" ca="1" si="345"/>
        <v>-10102.221136660773</v>
      </c>
      <c r="BF200" s="2743">
        <f t="shared" ca="1" si="426"/>
        <v>0.46830415070206455</v>
      </c>
      <c r="BG200" s="1979">
        <f ca="1">SUM(INDIRECT(BG$1&amp;BG$2&amp;$A200):INDIRECT(BG$1&amp;BG$3&amp;$A200))+SUM(INDIRECT(BG$1&amp;BG$2&amp;$B200):INDIRECT(BG$1&amp;BG$3&amp;$B200))</f>
        <v>6976.2345597981548</v>
      </c>
      <c r="BH200" s="2742">
        <f t="shared" ca="1" si="347"/>
        <v>1921.5443035410717</v>
      </c>
      <c r="BI200" s="2743">
        <f t="shared" ca="1" si="427"/>
        <v>1.2754414701899972</v>
      </c>
    </row>
    <row r="201" spans="1:61" ht="14.5">
      <c r="A201" s="1693">
        <f t="shared" si="319"/>
        <v>201</v>
      </c>
      <c r="B201" s="616">
        <v>1</v>
      </c>
      <c r="C201" s="1693">
        <f t="shared" si="305"/>
        <v>201</v>
      </c>
      <c r="D201" s="616">
        <v>1</v>
      </c>
      <c r="E201" s="709" t="s">
        <v>512</v>
      </c>
      <c r="F201" s="69"/>
      <c r="G201" s="8"/>
      <c r="H201" s="737"/>
      <c r="I201" s="4"/>
      <c r="J201" s="4"/>
      <c r="K201" s="3"/>
      <c r="L201" s="27"/>
      <c r="M201" s="572" t="s">
        <v>510</v>
      </c>
      <c r="N201" s="586"/>
      <c r="O201" s="586"/>
      <c r="P201" s="586"/>
      <c r="Q201" s="586"/>
      <c r="R201" s="1786" t="str">
        <f>CHOOSE(2, "6722000003120", "PL (2) CAI Allocation")</f>
        <v>PL (2) CAI Allocation</v>
      </c>
      <c r="S201" s="1421">
        <f>SUM(S203:S205)</f>
        <v>115546.60571872158</v>
      </c>
      <c r="T201" s="1421">
        <f t="shared" ref="T201:AD201" si="428">SUM(T203:T205)</f>
        <v>101605.09068234498</v>
      </c>
      <c r="U201" s="1421">
        <f t="shared" si="428"/>
        <v>83801.611781867658</v>
      </c>
      <c r="V201" s="1421">
        <f t="shared" si="428"/>
        <v>82911.292419215868</v>
      </c>
      <c r="W201" s="1421">
        <f t="shared" si="428"/>
        <v>85641.888097167102</v>
      </c>
      <c r="X201" s="1421">
        <f t="shared" si="428"/>
        <v>105677.5095045583</v>
      </c>
      <c r="Y201" s="1384">
        <f t="shared" si="428"/>
        <v>57143.477355395626</v>
      </c>
      <c r="Z201" s="1384">
        <f t="shared" si="428"/>
        <v>92893.810712305683</v>
      </c>
      <c r="AA201" s="1384">
        <f t="shared" si="428"/>
        <v>67891.328690484195</v>
      </c>
      <c r="AB201" s="1385">
        <f t="shared" si="428"/>
        <v>79750.811312931328</v>
      </c>
      <c r="AC201" s="1385">
        <f t="shared" si="428"/>
        <v>148267.23974877837</v>
      </c>
      <c r="AD201" s="1385">
        <f t="shared" si="428"/>
        <v>71077.047017535995</v>
      </c>
      <c r="AE201" s="881">
        <f t="shared" ref="AE201:AK201" si="429">SUM(AE203:AE205)</f>
        <v>300953.30818293418</v>
      </c>
      <c r="AF201" s="1616">
        <f t="shared" si="429"/>
        <v>274230.69002094131</v>
      </c>
      <c r="AG201" s="1616">
        <f t="shared" si="429"/>
        <v>217928.6167581855</v>
      </c>
      <c r="AH201" s="1616">
        <f t="shared" si="429"/>
        <v>299095.09807924571</v>
      </c>
      <c r="AI201" s="1616">
        <f t="shared" si="429"/>
        <v>575183.9982038755</v>
      </c>
      <c r="AJ201" s="1616">
        <f t="shared" si="429"/>
        <v>517023.71483743121</v>
      </c>
      <c r="AK201" s="1616">
        <f t="shared" si="429"/>
        <v>1092207.7130413067</v>
      </c>
      <c r="AM201" s="2470">
        <f ca="1">SUM((INDIRECT(AM$2&amp;(ROW())):INDIRECT(AM$3&amp;(ROW()))))</f>
        <v>115546.60571872158</v>
      </c>
      <c r="AN201" s="2754">
        <f ca="1">SUM(INDIRECT(AN$1&amp;AN$2&amp;$C201):INDIRECT(AN$1&amp;AN$3&amp;$C201))</f>
        <v>67052.51485796104</v>
      </c>
      <c r="AO201" s="2755">
        <f t="shared" ca="1" si="376"/>
        <v>48494.090860760538</v>
      </c>
      <c r="AP201" s="2756">
        <f t="shared" ca="1" si="422"/>
        <v>1.7232255339488272</v>
      </c>
      <c r="AQ201" s="2043">
        <f ca="1">SUM(INDIRECT(AQ$1&amp;AQ$2&amp;$A201):INDIRECT(AQ$1&amp;AQ$3&amp;$A201))+SUM(INDIRECT(AQ$1&amp;AQ$2&amp;$B201):INDIRECT(AQ$1&amp;AQ$3&amp;$B201))</f>
        <v>76925.6826870675</v>
      </c>
      <c r="AR201" s="2757">
        <f t="shared" ca="1" si="339"/>
        <v>38620.923031654078</v>
      </c>
      <c r="AS201" s="2758">
        <f t="shared" ca="1" si="423"/>
        <v>1.502054992332839</v>
      </c>
      <c r="AU201" s="2470">
        <f ca="1">SUM((INDIRECT(AU$2&amp;(ROW())):INDIRECT(AU$3&amp;(ROW()))))</f>
        <v>115546.60571872158</v>
      </c>
      <c r="AV201" s="2754">
        <f ca="1">SUM(INDIRECT(AV$1&amp;AV$2&amp;$C201):INDIRECT(AV$1&amp;AV$3&amp;$C201))</f>
        <v>67052.51485796104</v>
      </c>
      <c r="AW201" s="2755">
        <f t="shared" ca="1" si="341"/>
        <v>48494.090860760538</v>
      </c>
      <c r="AX201" s="2756">
        <f t="shared" ca="1" si="424"/>
        <v>1.7232255339488272</v>
      </c>
      <c r="AY201" s="2043">
        <f ca="1">SUM(INDIRECT(AY$1&amp;AY$2&amp;$A201):INDIRECT(AY$1&amp;AY$3&amp;$A201))+SUM(INDIRECT(AY$1&amp;AY$2&amp;$B201):INDIRECT(AY$1&amp;AY$3&amp;$B201))</f>
        <v>76925.6826870675</v>
      </c>
      <c r="AZ201" s="2757">
        <f t="shared" ca="1" si="343"/>
        <v>38620.923031654078</v>
      </c>
      <c r="BA201" s="2758">
        <f t="shared" ca="1" si="425"/>
        <v>1.502054992332839</v>
      </c>
      <c r="BB201" s="69"/>
      <c r="BC201" s="1378">
        <f ca="1">SUM((INDIRECT(BC$2&amp;(ROW())):INDIRECT(BC$3&amp;(ROW()))))</f>
        <v>115546.60571872158</v>
      </c>
      <c r="BD201" s="2043">
        <f ca="1">SUM(INDIRECT(BD$1&amp;BD$2&amp;$C201):INDIRECT(BD$1&amp;BD$3&amp;$C201))</f>
        <v>67052.51485796104</v>
      </c>
      <c r="BE201" s="2757">
        <f t="shared" ca="1" si="345"/>
        <v>48494.090860760538</v>
      </c>
      <c r="BF201" s="2758">
        <f t="shared" ca="1" si="426"/>
        <v>1.7232255339488272</v>
      </c>
      <c r="BG201" s="2043">
        <f ca="1">SUM(INDIRECT(BG$1&amp;BG$2&amp;$A201):INDIRECT(BG$1&amp;BG$3&amp;$A201))+SUM(INDIRECT(BG$1&amp;BG$2&amp;$B201):INDIRECT(BG$1&amp;BG$3&amp;$B201))</f>
        <v>76925.6826870675</v>
      </c>
      <c r="BH201" s="2757">
        <f t="shared" ca="1" si="347"/>
        <v>38620.923031654078</v>
      </c>
      <c r="BI201" s="2758">
        <f t="shared" ca="1" si="427"/>
        <v>1.502054992332839</v>
      </c>
    </row>
    <row r="202" spans="1:61" ht="14.5">
      <c r="A202" s="1693">
        <f t="shared" si="319"/>
        <v>202</v>
      </c>
      <c r="B202" s="616">
        <v>1</v>
      </c>
      <c r="C202" s="1693">
        <f t="shared" si="305"/>
        <v>202</v>
      </c>
      <c r="D202" s="616">
        <v>1</v>
      </c>
      <c r="E202" s="709" t="s">
        <v>512</v>
      </c>
      <c r="F202" s="69"/>
      <c r="G202" s="8"/>
      <c r="H202" s="737"/>
      <c r="I202" s="4"/>
      <c r="J202" s="4"/>
      <c r="K202" s="3"/>
      <c r="L202" s="27"/>
      <c r="M202" s="498"/>
      <c r="N202" s="553" t="s">
        <v>513</v>
      </c>
      <c r="O202" s="47"/>
      <c r="P202" s="47"/>
      <c r="Q202" s="47"/>
      <c r="R202" s="1776" t="str">
        <f>CHOOSE(2, "6722000003121", "PL (2) CAI Allocation SGA (%)")</f>
        <v>PL (2) CAI Allocation SGA (%)</v>
      </c>
      <c r="S202" s="1334">
        <f>IFERROR(S201/S186,0)</f>
        <v>0.70418521874806317</v>
      </c>
      <c r="T202" s="1334">
        <f t="shared" ref="T202:AD202" si="430">IFERROR(T201/T186,0)</f>
        <v>0.69475316029192868</v>
      </c>
      <c r="U202" s="1334">
        <f t="shared" si="430"/>
        <v>0.69414846232735017</v>
      </c>
      <c r="V202" s="1334">
        <f t="shared" si="430"/>
        <v>0.74139229515200766</v>
      </c>
      <c r="W202" s="1334">
        <f t="shared" si="430"/>
        <v>0.6977713992147685</v>
      </c>
      <c r="X202" s="1334">
        <f t="shared" si="430"/>
        <v>0.7931554619604182</v>
      </c>
      <c r="Y202" s="1334">
        <f t="shared" si="430"/>
        <v>0.61291639627496308</v>
      </c>
      <c r="Z202" s="1334">
        <f t="shared" si="430"/>
        <v>0.61425321542830136</v>
      </c>
      <c r="AA202" s="1334">
        <f t="shared" si="430"/>
        <v>0.48980280461201853</v>
      </c>
      <c r="AB202" s="1334">
        <f t="shared" si="430"/>
        <v>0.53143582475202744</v>
      </c>
      <c r="AC202" s="1334">
        <f t="shared" si="430"/>
        <v>0.73406919386795877</v>
      </c>
      <c r="AD202" s="1334">
        <f t="shared" si="430"/>
        <v>0.71247358830461649</v>
      </c>
      <c r="AE202" s="1332">
        <f t="shared" ref="AE202:AK202" si="431">IFERROR(AE201/AE186,0)</f>
        <v>0.69817419174967577</v>
      </c>
      <c r="AF202" s="1334">
        <f t="shared" si="431"/>
        <v>0.7455871584311039</v>
      </c>
      <c r="AG202" s="1334">
        <f t="shared" si="431"/>
        <v>0.56889714298233551</v>
      </c>
      <c r="AH202" s="1334">
        <f t="shared" si="431"/>
        <v>0.66199666027066872</v>
      </c>
      <c r="AI202" s="1334">
        <f t="shared" si="431"/>
        <v>0.72000363509432619</v>
      </c>
      <c r="AJ202" s="1334">
        <f t="shared" si="431"/>
        <v>0.61927933394930634</v>
      </c>
      <c r="AK202" s="1334">
        <f t="shared" si="431"/>
        <v>0.66853121476920641</v>
      </c>
      <c r="AM202" s="2761">
        <f t="shared" ref="AM202:AN202" ca="1" si="432">IFERROR(AM201/AM186,0)</f>
        <v>0.70418521874806317</v>
      </c>
      <c r="AN202" s="2761">
        <f t="shared" ca="1" si="432"/>
        <v>0.54490974796703229</v>
      </c>
      <c r="AO202" s="2761">
        <f t="shared" ca="1" si="376"/>
        <v>0.15927547078103088</v>
      </c>
      <c r="AP202" s="2762"/>
      <c r="AQ202" s="2761">
        <f t="shared" ref="AQ202" ca="1" si="433">IFERROR(AQ201/AQ186,0)</f>
        <v>0.74806828429480132</v>
      </c>
      <c r="AR202" s="2761">
        <f t="shared" ref="AR202" ca="1" si="434">IFERROR(AR201/AR182,0)</f>
        <v>1.7327346687448553</v>
      </c>
      <c r="AS202" s="2763"/>
      <c r="AU202" s="2761">
        <f t="shared" ref="AU202:AV202" ca="1" si="435">IFERROR(AU201/AU186,0)</f>
        <v>0.70418521874806317</v>
      </c>
      <c r="AV202" s="2761">
        <f t="shared" ca="1" si="435"/>
        <v>0.54490974796703229</v>
      </c>
      <c r="AW202" s="2761">
        <f t="shared" ca="1" si="341"/>
        <v>0.15927547078103088</v>
      </c>
      <c r="AX202" s="2762"/>
      <c r="AY202" s="2761">
        <f t="shared" ref="AY202" ca="1" si="436">IFERROR(AY201/AY186,0)</f>
        <v>0.74806828429480132</v>
      </c>
      <c r="AZ202" s="2761">
        <f t="shared" ref="AZ202" ca="1" si="437">IFERROR(AZ201/AZ182,0)</f>
        <v>1.7327346687448553</v>
      </c>
      <c r="BA202" s="2763"/>
      <c r="BB202" s="69"/>
      <c r="BC202" s="2761">
        <f t="shared" ref="BC202:BD202" ca="1" si="438">IFERROR(BC201/BC186,0)</f>
        <v>0.70418521874806317</v>
      </c>
      <c r="BD202" s="2761">
        <f t="shared" ca="1" si="438"/>
        <v>0.54490974796703229</v>
      </c>
      <c r="BE202" s="2761">
        <f t="shared" ca="1" si="345"/>
        <v>0.15927547078103088</v>
      </c>
      <c r="BF202" s="2764"/>
      <c r="BG202" s="2761">
        <f t="shared" ref="BG202" ca="1" si="439">IFERROR(BG201/BG186,0)</f>
        <v>0.74806828429480132</v>
      </c>
      <c r="BH202" s="2761">
        <f t="shared" ref="BH202" ca="1" si="440">IFERROR(BH201/BH182,0)</f>
        <v>1.7327346687448553</v>
      </c>
      <c r="BI202" s="2763"/>
    </row>
    <row r="203" spans="1:61" ht="14.5">
      <c r="A203" s="1693">
        <f t="shared" si="319"/>
        <v>203</v>
      </c>
      <c r="B203" s="616">
        <v>1</v>
      </c>
      <c r="C203" s="1693">
        <f t="shared" si="305"/>
        <v>203</v>
      </c>
      <c r="D203" s="616">
        <v>1</v>
      </c>
      <c r="E203" s="709" t="s">
        <v>512</v>
      </c>
      <c r="F203" s="69"/>
      <c r="G203" s="8"/>
      <c r="H203" s="737"/>
      <c r="I203" s="4"/>
      <c r="J203" s="4"/>
      <c r="K203" s="3"/>
      <c r="L203" s="27"/>
      <c r="M203" s="27"/>
      <c r="N203" s="36" t="s">
        <v>87</v>
      </c>
      <c r="O203" s="3"/>
      <c r="P203" s="3"/>
      <c r="Q203" s="3"/>
      <c r="R203" s="1786" t="str">
        <f>CHOOSE(2, "6722000003122", "PL (2) CAI Allocation Variable Expenses")</f>
        <v>PL (2) CAI Allocation Variable Expenses</v>
      </c>
      <c r="S203" s="1289">
        <f>S187-S198</f>
        <v>26071.443083963881</v>
      </c>
      <c r="T203" s="1289">
        <f t="shared" ref="T203:AD203" si="441">T187-T198</f>
        <v>29708.558856641688</v>
      </c>
      <c r="U203" s="1289">
        <f t="shared" si="441"/>
        <v>60497.46758243264</v>
      </c>
      <c r="V203" s="1289">
        <f t="shared" si="441"/>
        <v>37044.292215328023</v>
      </c>
      <c r="W203" s="1289">
        <f t="shared" si="441"/>
        <v>45409.439132364736</v>
      </c>
      <c r="X203" s="1289">
        <f t="shared" si="441"/>
        <v>53580.317140029561</v>
      </c>
      <c r="Y203" s="1226">
        <f t="shared" si="441"/>
        <v>11911.248577820679</v>
      </c>
      <c r="Z203" s="1226">
        <f t="shared" si="441"/>
        <v>29599.374965763662</v>
      </c>
      <c r="AA203" s="1226">
        <f t="shared" si="441"/>
        <v>6050.6023366682311</v>
      </c>
      <c r="AB203" s="1419">
        <f t="shared" si="441"/>
        <v>15950.046980065828</v>
      </c>
      <c r="AC203" s="1419">
        <f t="shared" si="441"/>
        <v>77908.404626218864</v>
      </c>
      <c r="AD203" s="1419">
        <f t="shared" si="441"/>
        <v>43507.341096834803</v>
      </c>
      <c r="AE203" s="1617">
        <f>SUM(S203,T203,U203)</f>
        <v>116277.46952303821</v>
      </c>
      <c r="AF203" s="1419">
        <f>SUM(V203,W203,X203)</f>
        <v>136034.04848772232</v>
      </c>
      <c r="AG203" s="1419">
        <f>SUM(Y203,Z203,AA203)</f>
        <v>47561.225880252576</v>
      </c>
      <c r="AH203" s="1419">
        <f>SUM(AB203,AC203,AD203)</f>
        <v>137365.79270311951</v>
      </c>
      <c r="AI203" s="1419">
        <f>AE203+AF203</f>
        <v>252311.51801076054</v>
      </c>
      <c r="AJ203" s="1419">
        <f>AH203+AG203</f>
        <v>184927.01858337209</v>
      </c>
      <c r="AK203" s="1419">
        <f>AI203+AJ203</f>
        <v>437238.53659413266</v>
      </c>
      <c r="AM203" s="2470">
        <f ca="1">SUM((INDIRECT(AM$2&amp;(ROW())):INDIRECT(AM$3&amp;(ROW()))))</f>
        <v>26071.443083963881</v>
      </c>
      <c r="AN203" s="2754">
        <f ca="1">SUM(INDIRECT(AN$1&amp;AN$2&amp;$C203):INDIRECT(AN$1&amp;AN$3&amp;$C203))</f>
        <v>35980.303446144899</v>
      </c>
      <c r="AO203" s="2755">
        <f t="shared" ca="1" si="376"/>
        <v>-9908.860362181018</v>
      </c>
      <c r="AP203" s="2756">
        <f t="shared" ref="AP203:AP205" ca="1" si="442">IFERROR(AM203/AN203,0)</f>
        <v>0.72460320194318151</v>
      </c>
      <c r="AQ203" s="2043">
        <f ca="1">SUM(INDIRECT(AQ$1&amp;AQ$2&amp;$A203):INDIRECT(AQ$1&amp;AQ$3&amp;$A203))+SUM(INDIRECT(AQ$1&amp;AQ$2&amp;$B203):INDIRECT(AQ$1&amp;AQ$3&amp;$B203))</f>
        <v>38655.558721389942</v>
      </c>
      <c r="AR203" s="2757">
        <f t="shared" ref="AR203:AR205" ca="1" si="443">AM203-AQ203</f>
        <v>-12584.115637426061</v>
      </c>
      <c r="AS203" s="2758">
        <f t="shared" ref="AS203:AS205" ca="1" si="444">IFERROR(AM203/AQ203,0)</f>
        <v>0.67445521281619258</v>
      </c>
      <c r="AU203" s="2470">
        <f ca="1">SUM((INDIRECT(AU$2&amp;(ROW())):INDIRECT(AU$3&amp;(ROW()))))</f>
        <v>26071.443083963881</v>
      </c>
      <c r="AV203" s="2754">
        <f ca="1">SUM(INDIRECT(AV$1&amp;AV$2&amp;$C203):INDIRECT(AV$1&amp;AV$3&amp;$C203))</f>
        <v>35980.303446144899</v>
      </c>
      <c r="AW203" s="2755">
        <f t="shared" ca="1" si="341"/>
        <v>-9908.860362181018</v>
      </c>
      <c r="AX203" s="2756">
        <f t="shared" ref="AX203:AX205" ca="1" si="445">IFERROR(AU203/AV203,0)</f>
        <v>0.72460320194318151</v>
      </c>
      <c r="AY203" s="2043">
        <f ca="1">SUM(INDIRECT(AY$1&amp;AY$2&amp;$A203):INDIRECT(AY$1&amp;AY$3&amp;$A203))+SUM(INDIRECT(AY$1&amp;AY$2&amp;$B203):INDIRECT(AY$1&amp;AY$3&amp;$B203))</f>
        <v>38655.558721389942</v>
      </c>
      <c r="AZ203" s="2757">
        <f t="shared" ref="AZ203:AZ205" ca="1" si="446">AU203-AY203</f>
        <v>-12584.115637426061</v>
      </c>
      <c r="BA203" s="2758">
        <f t="shared" ref="BA203:BA205" ca="1" si="447">IFERROR(AU203/AY203,0)</f>
        <v>0.67445521281619258</v>
      </c>
      <c r="BB203" s="69"/>
      <c r="BC203" s="1378">
        <f ca="1">SUM((INDIRECT(BC$2&amp;(ROW())):INDIRECT(BC$3&amp;(ROW()))))</f>
        <v>26071.443083963881</v>
      </c>
      <c r="BD203" s="2043">
        <f ca="1">SUM(INDIRECT(BD$1&amp;BD$2&amp;$C203):INDIRECT(BD$1&amp;BD$3&amp;$C203))</f>
        <v>35980.303446144899</v>
      </c>
      <c r="BE203" s="2757">
        <f t="shared" ca="1" si="345"/>
        <v>-9908.860362181018</v>
      </c>
      <c r="BF203" s="2758">
        <f t="shared" ref="BF203:BF205" ca="1" si="448">IFERROR(BC203/BD203,0)</f>
        <v>0.72460320194318151</v>
      </c>
      <c r="BG203" s="2043">
        <f ca="1">SUM(INDIRECT(BG$1&amp;BG$2&amp;$A203):INDIRECT(BG$1&amp;BG$3&amp;$A203))+SUM(INDIRECT(BG$1&amp;BG$2&amp;$B203):INDIRECT(BG$1&amp;BG$3&amp;$B203))</f>
        <v>38655.558721389942</v>
      </c>
      <c r="BH203" s="2757">
        <f t="shared" ref="BH203:BH205" ca="1" si="449">BC203-BG203</f>
        <v>-12584.115637426061</v>
      </c>
      <c r="BI203" s="2758">
        <f t="shared" ref="BI203:BI205" ca="1" si="450">IFERROR(BC203/BG203,0)</f>
        <v>0.67445521281619258</v>
      </c>
    </row>
    <row r="204" spans="1:61" ht="14.5">
      <c r="A204" s="1693">
        <f t="shared" si="319"/>
        <v>204</v>
      </c>
      <c r="B204" s="616">
        <v>1</v>
      </c>
      <c r="C204" s="1693">
        <f t="shared" si="305"/>
        <v>204</v>
      </c>
      <c r="D204" s="616">
        <v>1</v>
      </c>
      <c r="E204" s="709" t="s">
        <v>512</v>
      </c>
      <c r="F204" s="69"/>
      <c r="G204" s="8"/>
      <c r="H204" s="737"/>
      <c r="I204" s="4"/>
      <c r="J204" s="4"/>
      <c r="K204" s="3"/>
      <c r="L204" s="27"/>
      <c r="M204" s="27"/>
      <c r="N204" s="36" t="s">
        <v>88</v>
      </c>
      <c r="O204" s="3"/>
      <c r="P204" s="3"/>
      <c r="Q204" s="3"/>
      <c r="R204" s="1786" t="str">
        <f>CHOOSE(2, "6722000003123", "PL (2) CAI Allocation Wages &amp; Salaries")</f>
        <v>PL (2) CAI Allocation Wages &amp; Salaries</v>
      </c>
      <c r="S204" s="1289">
        <f t="shared" ref="S204:AD205" si="451">S188-S199</f>
        <v>17377.951599218424</v>
      </c>
      <c r="T204" s="1289">
        <f t="shared" si="451"/>
        <v>18751.625159778639</v>
      </c>
      <c r="U204" s="1289">
        <f t="shared" si="451"/>
        <v>19510.43480355286</v>
      </c>
      <c r="V204" s="1289">
        <f t="shared" si="451"/>
        <v>15867.284410829063</v>
      </c>
      <c r="W204" s="1289">
        <f t="shared" si="451"/>
        <v>9468.1417131961607</v>
      </c>
      <c r="X204" s="1289">
        <f t="shared" si="451"/>
        <v>17808.509361770077</v>
      </c>
      <c r="Y204" s="1226">
        <f t="shared" si="451"/>
        <v>15800.254430104353</v>
      </c>
      <c r="Z204" s="1226">
        <f t="shared" si="451"/>
        <v>21748.512812182464</v>
      </c>
      <c r="AA204" s="1226">
        <f t="shared" si="451"/>
        <v>23443.884179256758</v>
      </c>
      <c r="AB204" s="1419">
        <f t="shared" si="451"/>
        <v>22858.580615858435</v>
      </c>
      <c r="AC204" s="1419">
        <f t="shared" si="451"/>
        <v>27673.566115207312</v>
      </c>
      <c r="AD204" s="1419">
        <f t="shared" si="451"/>
        <v>21435.407506482272</v>
      </c>
      <c r="AE204" s="1617">
        <f>SUM(S204,T204,U204)</f>
        <v>55640.011562549924</v>
      </c>
      <c r="AF204" s="1419">
        <f>SUM(V204,W204,X204)</f>
        <v>43143.9354857953</v>
      </c>
      <c r="AG204" s="1419">
        <f>SUM(Y204,Z204,AA204)</f>
        <v>60992.651421543575</v>
      </c>
      <c r="AH204" s="1419">
        <f>SUM(AB204,AC204,AD204)</f>
        <v>71967.554237548014</v>
      </c>
      <c r="AI204" s="1419">
        <f>AE204+AF204</f>
        <v>98783.947048345231</v>
      </c>
      <c r="AJ204" s="1419">
        <f>AH204+AG204</f>
        <v>132960.20565909159</v>
      </c>
      <c r="AK204" s="1419">
        <f>AI204+AJ204</f>
        <v>231744.15270743682</v>
      </c>
      <c r="AM204" s="2470">
        <f ca="1">SUM((INDIRECT(AM$2&amp;(ROW())):INDIRECT(AM$3&amp;(ROW()))))</f>
        <v>17377.951599218424</v>
      </c>
      <c r="AN204" s="2754">
        <f ca="1">SUM(INDIRECT(AN$1&amp;AN$2&amp;$C204):INDIRECT(AN$1&amp;AN$3&amp;$C204))</f>
        <v>12826.591312369434</v>
      </c>
      <c r="AO204" s="2755">
        <f t="shared" ca="1" si="376"/>
        <v>4551.3602868489907</v>
      </c>
      <c r="AP204" s="2756">
        <f t="shared" ca="1" si="442"/>
        <v>1.3548378658061591</v>
      </c>
      <c r="AQ204" s="2043">
        <f ca="1">SUM(INDIRECT(AQ$1&amp;AQ$2&amp;$A204):INDIRECT(AQ$1&amp;AQ$3&amp;$A204))+SUM(INDIRECT(AQ$1&amp;AQ$2&amp;$B204):INDIRECT(AQ$1&amp;AQ$3&amp;$B204))</f>
        <v>15920.021674909362</v>
      </c>
      <c r="AR204" s="2757">
        <f t="shared" ca="1" si="443"/>
        <v>1457.9299243090627</v>
      </c>
      <c r="AS204" s="2758">
        <f t="shared" ca="1" si="444"/>
        <v>1.0915783881504899</v>
      </c>
      <c r="AU204" s="2470">
        <f ca="1">SUM((INDIRECT(AU$2&amp;(ROW())):INDIRECT(AU$3&amp;(ROW()))))</f>
        <v>17377.951599218424</v>
      </c>
      <c r="AV204" s="2754">
        <f ca="1">SUM(INDIRECT(AV$1&amp;AV$2&amp;$C204):INDIRECT(AV$1&amp;AV$3&amp;$C204))</f>
        <v>12826.591312369434</v>
      </c>
      <c r="AW204" s="2755">
        <f t="shared" ca="1" si="341"/>
        <v>4551.3602868489907</v>
      </c>
      <c r="AX204" s="2756">
        <f t="shared" ca="1" si="445"/>
        <v>1.3548378658061591</v>
      </c>
      <c r="AY204" s="2043">
        <f ca="1">SUM(INDIRECT(AY$1&amp;AY$2&amp;$A204):INDIRECT(AY$1&amp;AY$3&amp;$A204))+SUM(INDIRECT(AY$1&amp;AY$2&amp;$B204):INDIRECT(AY$1&amp;AY$3&amp;$B204))</f>
        <v>15920.021674909362</v>
      </c>
      <c r="AZ204" s="2757">
        <f t="shared" ca="1" si="446"/>
        <v>1457.9299243090627</v>
      </c>
      <c r="BA204" s="2758">
        <f t="shared" ca="1" si="447"/>
        <v>1.0915783881504899</v>
      </c>
      <c r="BB204" s="69"/>
      <c r="BC204" s="1378">
        <f ca="1">SUM((INDIRECT(BC$2&amp;(ROW())):INDIRECT(BC$3&amp;(ROW()))))</f>
        <v>17377.951599218424</v>
      </c>
      <c r="BD204" s="2043">
        <f ca="1">SUM(INDIRECT(BD$1&amp;BD$2&amp;$C204):INDIRECT(BD$1&amp;BD$3&amp;$C204))</f>
        <v>12826.591312369434</v>
      </c>
      <c r="BE204" s="2757">
        <f t="shared" ca="1" si="345"/>
        <v>4551.3602868489907</v>
      </c>
      <c r="BF204" s="2758">
        <f t="shared" ca="1" si="448"/>
        <v>1.3548378658061591</v>
      </c>
      <c r="BG204" s="2043">
        <f ca="1">SUM(INDIRECT(BG$1&amp;BG$2&amp;$A204):INDIRECT(BG$1&amp;BG$3&amp;$A204))+SUM(INDIRECT(BG$1&amp;BG$2&amp;$B204):INDIRECT(BG$1&amp;BG$3&amp;$B204))</f>
        <v>15920.021674909362</v>
      </c>
      <c r="BH204" s="2757">
        <f t="shared" ca="1" si="449"/>
        <v>1457.9299243090627</v>
      </c>
      <c r="BI204" s="2758">
        <f t="shared" ca="1" si="450"/>
        <v>1.0915783881504899</v>
      </c>
    </row>
    <row r="205" spans="1:61" ht="14.5">
      <c r="A205" s="1693">
        <f t="shared" si="319"/>
        <v>205</v>
      </c>
      <c r="B205" s="616">
        <v>1</v>
      </c>
      <c r="C205" s="1693">
        <f t="shared" si="305"/>
        <v>205</v>
      </c>
      <c r="D205" s="616">
        <v>1</v>
      </c>
      <c r="E205" s="709" t="s">
        <v>512</v>
      </c>
      <c r="F205" s="69"/>
      <c r="G205" s="8"/>
      <c r="H205" s="737"/>
      <c r="I205" s="4"/>
      <c r="J205" s="4"/>
      <c r="K205" s="3"/>
      <c r="L205" s="25"/>
      <c r="M205" s="25"/>
      <c r="N205" s="104" t="s">
        <v>89</v>
      </c>
      <c r="O205" s="1"/>
      <c r="P205" s="1"/>
      <c r="Q205" s="1"/>
      <c r="R205" s="1786" t="str">
        <f>CHOOSE(2, "6722000003124", "PL (2) CAI Allocation Fixed Expenses")</f>
        <v>PL (2) CAI Allocation Fixed Expenses</v>
      </c>
      <c r="S205" s="1290">
        <f t="shared" si="451"/>
        <v>72097.21103553928</v>
      </c>
      <c r="T205" s="1290">
        <f t="shared" si="451"/>
        <v>53144.906665924638</v>
      </c>
      <c r="U205" s="1290">
        <f t="shared" si="451"/>
        <v>3793.709395882157</v>
      </c>
      <c r="V205" s="1290">
        <f t="shared" si="451"/>
        <v>29999.715793058793</v>
      </c>
      <c r="W205" s="1290">
        <f t="shared" si="451"/>
        <v>30764.307251606209</v>
      </c>
      <c r="X205" s="1290">
        <f t="shared" si="451"/>
        <v>34288.683002758669</v>
      </c>
      <c r="Y205" s="1228">
        <f t="shared" si="451"/>
        <v>29431.974347470594</v>
      </c>
      <c r="Z205" s="1228">
        <f t="shared" si="451"/>
        <v>41545.922934359551</v>
      </c>
      <c r="AA205" s="1228">
        <f t="shared" si="451"/>
        <v>38396.842174559213</v>
      </c>
      <c r="AB205" s="1605">
        <f t="shared" si="451"/>
        <v>40942.183717007058</v>
      </c>
      <c r="AC205" s="1605">
        <f t="shared" si="451"/>
        <v>42685.269007352188</v>
      </c>
      <c r="AD205" s="1605">
        <f t="shared" si="451"/>
        <v>6134.2984142189262</v>
      </c>
      <c r="AE205" s="1606">
        <f>SUM(S205,T205,U205)</f>
        <v>129035.82709734607</v>
      </c>
      <c r="AF205" s="1605">
        <f>SUM(V205,W205,X205)</f>
        <v>95052.706047423679</v>
      </c>
      <c r="AG205" s="1605">
        <f>SUM(Y205,Z205,AA205)</f>
        <v>109374.73945638936</v>
      </c>
      <c r="AH205" s="1605">
        <f>SUM(AB205,AC205,AD205)</f>
        <v>89761.751138578169</v>
      </c>
      <c r="AI205" s="1605">
        <f>AE205+AF205</f>
        <v>224088.53314476975</v>
      </c>
      <c r="AJ205" s="1605">
        <f>AH205+AG205</f>
        <v>199136.49059496753</v>
      </c>
      <c r="AK205" s="1605">
        <f>AI205+AJ205</f>
        <v>423225.02373973728</v>
      </c>
      <c r="AM205" s="2494">
        <f ca="1">SUM((INDIRECT(AM$2&amp;(ROW())):INDIRECT(AM$3&amp;(ROW()))))</f>
        <v>72097.21103553928</v>
      </c>
      <c r="AN205" s="1980">
        <f ca="1">SUM(INDIRECT(AN$1&amp;AN$2&amp;$C205):INDIRECT(AN$1&amp;AN$3&amp;$C205))</f>
        <v>18245.620099446707</v>
      </c>
      <c r="AO205" s="2759">
        <f t="shared" ca="1" si="376"/>
        <v>53851.590936092573</v>
      </c>
      <c r="AP205" s="2760">
        <f t="shared" ca="1" si="442"/>
        <v>3.9514804453111245</v>
      </c>
      <c r="AQ205" s="1979">
        <f ca="1">SUM(INDIRECT(AQ$1&amp;AQ$2&amp;$A205):INDIRECT(AQ$1&amp;AQ$3&amp;$A205))+SUM(INDIRECT(AQ$1&amp;AQ$2&amp;$B205):INDIRECT(AQ$1&amp;AQ$3&amp;$B205))</f>
        <v>22350.102290768195</v>
      </c>
      <c r="AR205" s="2742">
        <f t="shared" ca="1" si="443"/>
        <v>49747.108744771089</v>
      </c>
      <c r="AS205" s="2743">
        <f t="shared" ca="1" si="444"/>
        <v>3.2258112333257349</v>
      </c>
      <c r="AU205" s="2494">
        <f ca="1">SUM((INDIRECT(AU$2&amp;(ROW())):INDIRECT(AU$3&amp;(ROW()))))</f>
        <v>72097.21103553928</v>
      </c>
      <c r="AV205" s="1980">
        <f ca="1">SUM(INDIRECT(AV$1&amp;AV$2&amp;$C205):INDIRECT(AV$1&amp;AV$3&amp;$C205))</f>
        <v>18245.620099446707</v>
      </c>
      <c r="AW205" s="2759">
        <f t="shared" ca="1" si="341"/>
        <v>53851.590936092573</v>
      </c>
      <c r="AX205" s="2760">
        <f t="shared" ca="1" si="445"/>
        <v>3.9514804453111245</v>
      </c>
      <c r="AY205" s="1979">
        <f ca="1">SUM(INDIRECT(AY$1&amp;AY$2&amp;$A205):INDIRECT(AY$1&amp;AY$3&amp;$A205))+SUM(INDIRECT(AY$1&amp;AY$2&amp;$B205):INDIRECT(AY$1&amp;AY$3&amp;$B205))</f>
        <v>22350.102290768195</v>
      </c>
      <c r="AZ205" s="2742">
        <f t="shared" ca="1" si="446"/>
        <v>49747.108744771089</v>
      </c>
      <c r="BA205" s="2743">
        <f t="shared" ca="1" si="447"/>
        <v>3.2258112333257349</v>
      </c>
      <c r="BB205" s="69"/>
      <c r="BC205" s="1379">
        <f ca="1">SUM((INDIRECT(BC$2&amp;(ROW())):INDIRECT(BC$3&amp;(ROW()))))</f>
        <v>72097.21103553928</v>
      </c>
      <c r="BD205" s="1979">
        <f ca="1">SUM(INDIRECT(BD$1&amp;BD$2&amp;$C205):INDIRECT(BD$1&amp;BD$3&amp;$C205))</f>
        <v>18245.620099446707</v>
      </c>
      <c r="BE205" s="2742">
        <f t="shared" ca="1" si="345"/>
        <v>53851.590936092573</v>
      </c>
      <c r="BF205" s="2743">
        <f t="shared" ca="1" si="448"/>
        <v>3.9514804453111245</v>
      </c>
      <c r="BG205" s="1979">
        <f ca="1">SUM(INDIRECT(BG$1&amp;BG$2&amp;$A205):INDIRECT(BG$1&amp;BG$3&amp;$A205))+SUM(INDIRECT(BG$1&amp;BG$2&amp;$B205):INDIRECT(BG$1&amp;BG$3&amp;$B205))</f>
        <v>22350.102290768195</v>
      </c>
      <c r="BH205" s="2742">
        <f t="shared" ca="1" si="449"/>
        <v>49747.108744771089</v>
      </c>
      <c r="BI205" s="2743">
        <f t="shared" ca="1" si="450"/>
        <v>3.2258112333257349</v>
      </c>
    </row>
    <row r="206" spans="1:61" ht="14.5">
      <c r="A206" s="1693">
        <f t="shared" si="319"/>
        <v>206</v>
      </c>
      <c r="B206" s="616">
        <v>1</v>
      </c>
      <c r="C206" s="1693">
        <f t="shared" si="305"/>
        <v>206</v>
      </c>
      <c r="D206" s="616">
        <v>1</v>
      </c>
      <c r="E206" s="709" t="s">
        <v>512</v>
      </c>
      <c r="F206" s="1572"/>
      <c r="G206" s="4"/>
      <c r="H206" s="4"/>
      <c r="I206" s="4"/>
      <c r="J206" s="4"/>
      <c r="K206" s="3"/>
      <c r="L206" s="4"/>
      <c r="M206" s="4"/>
      <c r="N206" s="3"/>
      <c r="O206" s="3"/>
      <c r="P206" s="3"/>
      <c r="Q206" s="3"/>
      <c r="R206" s="1773" t="str">
        <f>CHOOSE(2, "6722000003125", "▷ Blank 11")</f>
        <v>▷ Blank 11</v>
      </c>
      <c r="S206" s="1608"/>
      <c r="T206" s="1609"/>
      <c r="U206" s="1609"/>
      <c r="V206" s="1609"/>
      <c r="W206" s="1609"/>
      <c r="X206" s="1609"/>
      <c r="Y206" s="1366"/>
      <c r="Z206" s="1366"/>
      <c r="AA206" s="1366"/>
      <c r="AB206" s="1242"/>
      <c r="AC206" s="1242"/>
      <c r="AD206" s="1242"/>
      <c r="AE206" s="1242"/>
      <c r="AF206" s="1242"/>
      <c r="AG206" s="1242"/>
      <c r="AH206" s="1242"/>
      <c r="AI206" s="1242"/>
      <c r="AJ206" s="1242"/>
      <c r="AK206" s="608"/>
      <c r="AM206" s="2558"/>
      <c r="AN206" s="2558"/>
      <c r="AO206" s="2558"/>
      <c r="AP206" s="2558"/>
      <c r="AQ206" s="2558"/>
      <c r="AR206" s="2558"/>
      <c r="AS206" s="2558"/>
      <c r="AU206" s="2558"/>
      <c r="AV206" s="2558"/>
      <c r="AW206" s="2558"/>
      <c r="AX206" s="2558"/>
      <c r="AY206" s="2558"/>
      <c r="AZ206" s="2558"/>
      <c r="BA206" s="2558"/>
      <c r="BC206" s="2558"/>
      <c r="BD206" s="2558"/>
      <c r="BE206" s="2558"/>
      <c r="BF206" s="2558"/>
      <c r="BG206" s="2558"/>
      <c r="BH206" s="2558"/>
      <c r="BI206" s="2558"/>
    </row>
    <row r="207" spans="1:61" ht="14.5">
      <c r="A207" s="1693">
        <f t="shared" si="319"/>
        <v>207</v>
      </c>
      <c r="B207" s="616">
        <v>1</v>
      </c>
      <c r="C207" s="1693">
        <f t="shared" ref="C207:C270" si="452">C206+1</f>
        <v>207</v>
      </c>
      <c r="D207" s="616">
        <v>1</v>
      </c>
      <c r="E207" s="709" t="s">
        <v>512</v>
      </c>
      <c r="F207" s="1572"/>
      <c r="G207" s="4"/>
      <c r="H207" s="4"/>
      <c r="I207" s="4" t="s">
        <v>284</v>
      </c>
      <c r="J207" s="4"/>
      <c r="K207" s="3"/>
      <c r="L207" s="4"/>
      <c r="M207" s="4"/>
      <c r="N207" s="3"/>
      <c r="O207" s="3"/>
      <c r="P207" s="3"/>
      <c r="Q207" s="3"/>
      <c r="R207" s="1773" t="str">
        <f>CHOOSE(2, "6722000003126", "PL (3) IP")</f>
        <v>PL (3) IP</v>
      </c>
      <c r="S207" s="1608"/>
      <c r="T207" s="1609"/>
      <c r="U207" s="1609"/>
      <c r="V207" s="1609"/>
      <c r="W207" s="1609"/>
      <c r="X207" s="1609"/>
      <c r="Y207" s="1366"/>
      <c r="Z207" s="1366"/>
      <c r="AA207" s="1366"/>
      <c r="AB207" s="1366"/>
      <c r="AC207" s="1366"/>
      <c r="AD207" s="1366"/>
      <c r="AE207" s="1366"/>
      <c r="AF207" s="1366"/>
      <c r="AG207" s="1366"/>
      <c r="AH207" s="1366"/>
      <c r="AI207" s="1366"/>
      <c r="AJ207" s="1366"/>
      <c r="AK207" s="1366"/>
      <c r="AM207" s="1210"/>
      <c r="AN207" s="1210"/>
      <c r="AO207" s="1210"/>
      <c r="AP207" s="1210"/>
      <c r="AQ207" s="1210"/>
      <c r="AR207" s="1210"/>
      <c r="AS207" s="1210"/>
      <c r="AU207" s="1210"/>
      <c r="AV207" s="1210"/>
      <c r="AW207" s="1210"/>
      <c r="AX207" s="1210"/>
      <c r="AY207" s="1210"/>
      <c r="AZ207" s="1210"/>
      <c r="BA207" s="1210"/>
      <c r="BC207" s="1210"/>
      <c r="BD207" s="1210"/>
      <c r="BE207" s="1210"/>
      <c r="BF207" s="1210"/>
      <c r="BG207" s="1210"/>
      <c r="BH207" s="1210"/>
      <c r="BI207" s="1210"/>
    </row>
    <row r="208" spans="1:61" ht="14.5">
      <c r="A208" s="1693">
        <f t="shared" ref="A208:A271" si="453">A207+1</f>
        <v>208</v>
      </c>
      <c r="B208" s="616">
        <v>1</v>
      </c>
      <c r="C208" s="1693">
        <f t="shared" si="452"/>
        <v>208</v>
      </c>
      <c r="D208" s="616">
        <v>1</v>
      </c>
      <c r="E208" s="709" t="s">
        <v>512</v>
      </c>
      <c r="F208" s="1572"/>
      <c r="G208" s="4"/>
      <c r="H208" s="4"/>
      <c r="I208" s="4"/>
      <c r="J208" s="365" t="s">
        <v>0</v>
      </c>
      <c r="K208" s="357"/>
      <c r="L208" s="356"/>
      <c r="M208" s="356"/>
      <c r="N208" s="357"/>
      <c r="O208" s="357"/>
      <c r="P208" s="492" t="s">
        <v>302</v>
      </c>
      <c r="Q208" s="489"/>
      <c r="R208" s="1795" t="str">
        <f>CHOOSE(2, "6722000003127", "PL (3) Net Sales")</f>
        <v>PL (3) Net Sales</v>
      </c>
      <c r="S208" s="1307">
        <f t="shared" ref="S208:AD208" si="454">S209+S216</f>
        <v>86686</v>
      </c>
      <c r="T208" s="1196">
        <f t="shared" si="454"/>
        <v>17939.617999999999</v>
      </c>
      <c r="U208" s="1196">
        <f t="shared" si="454"/>
        <v>37506.743000000002</v>
      </c>
      <c r="V208" s="1196">
        <f t="shared" si="454"/>
        <v>7925.893</v>
      </c>
      <c r="W208" s="1196">
        <f t="shared" si="454"/>
        <v>36041.862000000001</v>
      </c>
      <c r="X208" s="1196">
        <f t="shared" si="454"/>
        <v>69002.597000000009</v>
      </c>
      <c r="Y208" s="1196">
        <f t="shared" si="454"/>
        <v>11993.526000000002</v>
      </c>
      <c r="Z208" s="1196">
        <f t="shared" si="454"/>
        <v>49334.861000000004</v>
      </c>
      <c r="AA208" s="1196">
        <f t="shared" si="454"/>
        <v>30765.53</v>
      </c>
      <c r="AB208" s="1196">
        <f t="shared" si="454"/>
        <v>18618.551100000001</v>
      </c>
      <c r="AC208" s="1196">
        <f t="shared" si="454"/>
        <v>19432.557000000001</v>
      </c>
      <c r="AD208" s="1196">
        <f t="shared" si="454"/>
        <v>68984.304000000004</v>
      </c>
      <c r="AE208" s="886">
        <f t="shared" ref="AE208:AK208" si="455">AE209+AE216</f>
        <v>142132.361</v>
      </c>
      <c r="AF208" s="362">
        <f t="shared" si="455"/>
        <v>112970.352</v>
      </c>
      <c r="AG208" s="362">
        <f t="shared" si="455"/>
        <v>92093.917000000001</v>
      </c>
      <c r="AH208" s="362">
        <f t="shared" si="455"/>
        <v>107035.4121</v>
      </c>
      <c r="AI208" s="362">
        <f t="shared" si="455"/>
        <v>255102.71299999999</v>
      </c>
      <c r="AJ208" s="362">
        <f t="shared" si="455"/>
        <v>199129.3291</v>
      </c>
      <c r="AK208" s="362">
        <f t="shared" si="455"/>
        <v>454232.04209999996</v>
      </c>
      <c r="AM208" s="2038">
        <f ca="1">SUM((INDIRECT(AM$2&amp;(ROW())):INDIRECT(AM$3&amp;(ROW()))))</f>
        <v>86686</v>
      </c>
      <c r="AN208" s="2039">
        <f ca="1">SUM(INDIRECT(AN$1&amp;AN$2&amp;$C208):INDIRECT(AN$1&amp;AN$3&amp;$C208))</f>
        <v>91600</v>
      </c>
      <c r="AO208" s="2803">
        <f t="shared" ca="1" si="376"/>
        <v>-4914</v>
      </c>
      <c r="AP208" s="2804">
        <f t="shared" ref="AP208:AP271" ca="1" si="456">IFERROR(AM208/AN208,0)</f>
        <v>0.94635371179039296</v>
      </c>
      <c r="AQ208" s="2039">
        <f ca="1">SUM(INDIRECT(AQ$1&amp;AQ$2&amp;$A208):INDIRECT(AQ$1&amp;AQ$3&amp;$A208))+SUM(INDIRECT(AQ$1&amp;AQ$2&amp;$B208):INDIRECT(AQ$1&amp;AQ$3&amp;$B208))</f>
        <v>15308</v>
      </c>
      <c r="AR208" s="2803">
        <f t="shared" ref="AR208:AR271" ca="1" si="457">AM208-AQ208</f>
        <v>71378</v>
      </c>
      <c r="AS208" s="2804">
        <f t="shared" ref="AS208:AS238" ca="1" si="458">IFERROR(AM208/AQ208,0)</f>
        <v>5.6627906976744189</v>
      </c>
      <c r="AU208" s="2038">
        <f ca="1">SUM((INDIRECT(AU$2&amp;(ROW())):INDIRECT(AU$3&amp;(ROW()))))</f>
        <v>86686</v>
      </c>
      <c r="AV208" s="2039">
        <f ca="1">SUM(INDIRECT(AV$1&amp;AV$2&amp;$C208):INDIRECT(AV$1&amp;AV$3&amp;$C208))</f>
        <v>91600</v>
      </c>
      <c r="AW208" s="2803">
        <f t="shared" ref="AW208:AW271" ca="1" si="459">AU208-AV208</f>
        <v>-4914</v>
      </c>
      <c r="AX208" s="2804">
        <f t="shared" ref="AX208:AX238" ca="1" si="460">IFERROR(AU208/AV208,0)</f>
        <v>0.94635371179039296</v>
      </c>
      <c r="AY208" s="2039">
        <f ca="1">SUM(INDIRECT(AY$1&amp;AY$2&amp;$A208):INDIRECT(AY$1&amp;AY$3&amp;$A208))+SUM(INDIRECT(AY$1&amp;AY$2&amp;$B208):INDIRECT(AY$1&amp;AY$3&amp;$B208))</f>
        <v>15308</v>
      </c>
      <c r="AZ208" s="2803">
        <f t="shared" ref="AZ208:AZ271" ca="1" si="461">AU208-AY208</f>
        <v>71378</v>
      </c>
      <c r="BA208" s="2804">
        <f t="shared" ref="BA208:BA238" ca="1" si="462">IFERROR(AU208/AY208,0)</f>
        <v>5.6627906976744189</v>
      </c>
      <c r="BC208" s="2038">
        <f ca="1">SUM((INDIRECT(BC$2&amp;(ROW())):INDIRECT(BC$3&amp;(ROW()))))</f>
        <v>86686</v>
      </c>
      <c r="BD208" s="2039">
        <f ca="1">SUM(INDIRECT(BD$1&amp;BD$2&amp;$C208):INDIRECT(BD$1&amp;BD$3&amp;$C208))</f>
        <v>91600</v>
      </c>
      <c r="BE208" s="2803">
        <f t="shared" ref="BE208:BE271" ca="1" si="463">BC208-BD208</f>
        <v>-4914</v>
      </c>
      <c r="BF208" s="2804">
        <f t="shared" ref="BF208:BF238" ca="1" si="464">IFERROR(BC208/BD208,0)</f>
        <v>0.94635371179039296</v>
      </c>
      <c r="BG208" s="2039">
        <f ca="1">SUM(INDIRECT(BG$1&amp;BG$2&amp;$A208):INDIRECT(BG$1&amp;BG$3&amp;$A208))+SUM(INDIRECT(BG$1&amp;BG$2&amp;$B208):INDIRECT(BG$1&amp;BG$3&amp;$B208))</f>
        <v>15308</v>
      </c>
      <c r="BH208" s="2803">
        <f t="shared" ref="BH208:BH271" ca="1" si="465">BC208-BG208</f>
        <v>71378</v>
      </c>
      <c r="BI208" s="2804">
        <f t="shared" ref="BI208:BI238" ca="1" si="466">IFERROR(BC208/BG208,0)</f>
        <v>5.6627906976744189</v>
      </c>
    </row>
    <row r="209" spans="1:61" s="69" customFormat="1" ht="14.5">
      <c r="A209" s="1693">
        <f t="shared" si="453"/>
        <v>209</v>
      </c>
      <c r="B209" s="616">
        <v>1</v>
      </c>
      <c r="C209" s="1693">
        <f t="shared" si="452"/>
        <v>209</v>
      </c>
      <c r="D209" s="616">
        <v>1</v>
      </c>
      <c r="E209" s="709" t="s">
        <v>512</v>
      </c>
      <c r="F209" s="1572"/>
      <c r="G209" s="4"/>
      <c r="H209" s="4"/>
      <c r="I209" s="4"/>
      <c r="J209" s="27"/>
      <c r="K209" s="3"/>
      <c r="L209" s="4"/>
      <c r="M209" s="4"/>
      <c r="N209" s="301" t="s">
        <v>188</v>
      </c>
      <c r="O209" s="301"/>
      <c r="P209" s="301"/>
      <c r="Q209" s="301"/>
      <c r="R209" s="1796" t="str">
        <f>CHOOSE(2, "6722000003128", "PL (3) Net Sales HW &amp; Solution")</f>
        <v>PL (3) Net Sales HW &amp; Solution</v>
      </c>
      <c r="S209" s="1308">
        <f>SUM(S210:S215)</f>
        <v>78751</v>
      </c>
      <c r="T209" s="1252">
        <f t="shared" ref="T209:AD209" si="467">SUM(T210:T215)</f>
        <v>9852</v>
      </c>
      <c r="U209" s="1252">
        <f t="shared" si="467"/>
        <v>29570</v>
      </c>
      <c r="V209" s="1252">
        <f t="shared" si="467"/>
        <v>0</v>
      </c>
      <c r="W209" s="1252">
        <f t="shared" si="467"/>
        <v>26500</v>
      </c>
      <c r="X209" s="1252">
        <f t="shared" si="467"/>
        <v>57338</v>
      </c>
      <c r="Y209" s="1252">
        <f t="shared" si="467"/>
        <v>0</v>
      </c>
      <c r="Z209" s="1252">
        <f t="shared" si="467"/>
        <v>40400</v>
      </c>
      <c r="AA209" s="1252">
        <f t="shared" si="467"/>
        <v>21068.915999999997</v>
      </c>
      <c r="AB209" s="1252">
        <f t="shared" si="467"/>
        <v>9000</v>
      </c>
      <c r="AC209" s="1252">
        <f t="shared" si="467"/>
        <v>9000</v>
      </c>
      <c r="AD209" s="1252">
        <f t="shared" si="467"/>
        <v>60500</v>
      </c>
      <c r="AE209" s="1252">
        <f t="shared" ref="AE209:AE222" si="468">SUM(S209,T209,U209)</f>
        <v>118173</v>
      </c>
      <c r="AF209" s="1252">
        <f t="shared" ref="AF209:AF222" si="469">SUM(V209,W209,X209)</f>
        <v>83838</v>
      </c>
      <c r="AG209" s="1252">
        <f t="shared" ref="AG209:AG222" si="470">SUM(Y209,Z209,AA209)</f>
        <v>61468.915999999997</v>
      </c>
      <c r="AH209" s="1252">
        <f t="shared" ref="AH209:AH222" si="471">SUM(AB209,AC209,AD209)</f>
        <v>78500</v>
      </c>
      <c r="AI209" s="1252">
        <f>AE209+AF209</f>
        <v>202011</v>
      </c>
      <c r="AJ209" s="1252">
        <f>AH209+AG209</f>
        <v>139968.916</v>
      </c>
      <c r="AK209" s="1252">
        <f>AI209+AJ209</f>
        <v>341979.91599999997</v>
      </c>
      <c r="AM209" s="2041">
        <f ca="1">SUM((INDIRECT(AM$2&amp;(ROW())):INDIRECT(AM$3&amp;(ROW()))))</f>
        <v>78751</v>
      </c>
      <c r="AN209" s="2042">
        <f ca="1">SUM(INDIRECT(AN$1&amp;AN$2&amp;$C209):INDIRECT(AN$1&amp;AN$3&amp;$C209))</f>
        <v>84900</v>
      </c>
      <c r="AO209" s="2805">
        <f t="shared" ca="1" si="376"/>
        <v>-6149</v>
      </c>
      <c r="AP209" s="2806">
        <f t="shared" ca="1" si="456"/>
        <v>0.92757361601884569</v>
      </c>
      <c r="AQ209" s="2042">
        <f ca="1">SUM(INDIRECT(AQ$1&amp;AQ$2&amp;$A209):INDIRECT(AQ$1&amp;AQ$3&amp;$A209))+SUM(INDIRECT(AQ$1&amp;AQ$2&amp;$B209):INDIRECT(AQ$1&amp;AQ$3&amp;$B209))</f>
        <v>9502</v>
      </c>
      <c r="AR209" s="2805">
        <f t="shared" ca="1" si="457"/>
        <v>69249</v>
      </c>
      <c r="AS209" s="2806">
        <f t="shared" ca="1" si="458"/>
        <v>8.2878341401810154</v>
      </c>
      <c r="AU209" s="2041">
        <f ca="1">SUM((INDIRECT(AU$2&amp;(ROW())):INDIRECT(AU$3&amp;(ROW()))))</f>
        <v>78751</v>
      </c>
      <c r="AV209" s="2042">
        <f ca="1">SUM(INDIRECT(AV$1&amp;AV$2&amp;$C209):INDIRECT(AV$1&amp;AV$3&amp;$C209))</f>
        <v>84900</v>
      </c>
      <c r="AW209" s="2805">
        <f t="shared" ca="1" si="459"/>
        <v>-6149</v>
      </c>
      <c r="AX209" s="2806">
        <f t="shared" ca="1" si="460"/>
        <v>0.92757361601884569</v>
      </c>
      <c r="AY209" s="2042">
        <f ca="1">SUM(INDIRECT(AY$1&amp;AY$2&amp;$A209):INDIRECT(AY$1&amp;AY$3&amp;$A209))+SUM(INDIRECT(AY$1&amp;AY$2&amp;$B209):INDIRECT(AY$1&amp;AY$3&amp;$B209))</f>
        <v>9502</v>
      </c>
      <c r="AZ209" s="2805">
        <f t="shared" ca="1" si="461"/>
        <v>69249</v>
      </c>
      <c r="BA209" s="2806">
        <f t="shared" ca="1" si="462"/>
        <v>8.2878341401810154</v>
      </c>
      <c r="BC209" s="2041">
        <f ca="1">SUM((INDIRECT(BC$2&amp;(ROW())):INDIRECT(BC$3&amp;(ROW()))))</f>
        <v>78751</v>
      </c>
      <c r="BD209" s="2042">
        <f ca="1">SUM(INDIRECT(BD$1&amp;BD$2&amp;$C209):INDIRECT(BD$1&amp;BD$3&amp;$C209))</f>
        <v>84900</v>
      </c>
      <c r="BE209" s="2805">
        <f t="shared" ca="1" si="463"/>
        <v>-6149</v>
      </c>
      <c r="BF209" s="2806">
        <f t="shared" ca="1" si="464"/>
        <v>0.92757361601884569</v>
      </c>
      <c r="BG209" s="2042">
        <f ca="1">SUM(INDIRECT(BG$1&amp;BG$2&amp;$A209):INDIRECT(BG$1&amp;BG$3&amp;$A209))+SUM(INDIRECT(BG$1&amp;BG$2&amp;$B209):INDIRECT(BG$1&amp;BG$3&amp;$B209))</f>
        <v>9502</v>
      </c>
      <c r="BH209" s="2805">
        <f t="shared" ca="1" si="465"/>
        <v>69249</v>
      </c>
      <c r="BI209" s="2806">
        <f t="shared" ca="1" si="466"/>
        <v>8.2878341401810154</v>
      </c>
    </row>
    <row r="210" spans="1:61" s="69" customFormat="1" ht="14.5">
      <c r="A210" s="1693">
        <f t="shared" si="453"/>
        <v>210</v>
      </c>
      <c r="B210" s="616">
        <v>1</v>
      </c>
      <c r="C210" s="1693">
        <f t="shared" si="452"/>
        <v>210</v>
      </c>
      <c r="D210" s="616">
        <v>1</v>
      </c>
      <c r="E210" s="709" t="s">
        <v>512</v>
      </c>
      <c r="F210" s="1572"/>
      <c r="G210" s="4"/>
      <c r="H210" s="4"/>
      <c r="I210" s="4"/>
      <c r="J210" s="27"/>
      <c r="K210" s="3"/>
      <c r="L210" s="4"/>
      <c r="M210" s="4"/>
      <c r="N210" s="4"/>
      <c r="O210" s="3" t="s">
        <v>587</v>
      </c>
      <c r="P210" s="3"/>
      <c r="Q210" s="3"/>
      <c r="R210" s="1784" t="str">
        <f>CHOOSE(2, "6722000003129", "PL (3) Net Sales HW &amp; Solution KM-1/KM-1e")</f>
        <v>PL (3) Net Sales HW &amp; Solution KM-1/KM-1e</v>
      </c>
      <c r="S210" s="1289">
        <f t="shared" ref="S210:AD215" si="472">S643+S658</f>
        <v>77500</v>
      </c>
      <c r="T210" s="1232">
        <f t="shared" si="472"/>
        <v>0</v>
      </c>
      <c r="U210" s="1232">
        <f t="shared" si="472"/>
        <v>0</v>
      </c>
      <c r="V210" s="1232">
        <f t="shared" si="472"/>
        <v>0</v>
      </c>
      <c r="W210" s="1232">
        <f t="shared" si="472"/>
        <v>0</v>
      </c>
      <c r="X210" s="1232">
        <f t="shared" si="472"/>
        <v>0</v>
      </c>
      <c r="Y210" s="1232">
        <f t="shared" si="472"/>
        <v>0</v>
      </c>
      <c r="Z210" s="1232">
        <f t="shared" si="472"/>
        <v>0</v>
      </c>
      <c r="AA210" s="1232">
        <f t="shared" si="472"/>
        <v>0</v>
      </c>
      <c r="AB210" s="1232">
        <f t="shared" si="472"/>
        <v>0</v>
      </c>
      <c r="AC210" s="1232">
        <f t="shared" si="472"/>
        <v>0</v>
      </c>
      <c r="AD210" s="1232">
        <f t="shared" si="472"/>
        <v>0</v>
      </c>
      <c r="AE210" s="1232">
        <f t="shared" si="468"/>
        <v>77500</v>
      </c>
      <c r="AF210" s="1232">
        <f t="shared" si="469"/>
        <v>0</v>
      </c>
      <c r="AG210" s="1232">
        <f t="shared" si="470"/>
        <v>0</v>
      </c>
      <c r="AH210" s="1232">
        <f t="shared" si="471"/>
        <v>0</v>
      </c>
      <c r="AI210" s="1232">
        <f t="shared" ref="AI210:AI222" si="473">AE210+AF210</f>
        <v>77500</v>
      </c>
      <c r="AJ210" s="1232">
        <f t="shared" ref="AJ210:AJ222" si="474">AH210+AG210</f>
        <v>0</v>
      </c>
      <c r="AK210" s="1232">
        <f t="shared" ref="AK210:AK222" si="475">AI210+AJ210</f>
        <v>77500</v>
      </c>
      <c r="AM210" s="1378">
        <f ca="1">SUM((INDIRECT(AM$2&amp;(ROW())):INDIRECT(AM$3&amp;(ROW()))))</f>
        <v>77500</v>
      </c>
      <c r="AN210" s="2043">
        <f ca="1">SUM(INDIRECT(AN$1&amp;AN$2&amp;$C210):INDIRECT(AN$1&amp;AN$3&amp;$C210))</f>
        <v>75200</v>
      </c>
      <c r="AO210" s="2757">
        <f t="shared" ca="1" si="376"/>
        <v>2300</v>
      </c>
      <c r="AP210" s="2758">
        <f t="shared" ca="1" si="456"/>
        <v>1.0305851063829787</v>
      </c>
      <c r="AQ210" s="2043">
        <f ca="1">SUM(INDIRECT(AQ$1&amp;AQ$2&amp;$A210):INDIRECT(AQ$1&amp;AQ$3&amp;$A210))+SUM(INDIRECT(AQ$1&amp;AQ$2&amp;$B210):INDIRECT(AQ$1&amp;AQ$3&amp;$B210))</f>
        <v>0</v>
      </c>
      <c r="AR210" s="2757">
        <f t="shared" ca="1" si="457"/>
        <v>77500</v>
      </c>
      <c r="AS210" s="2758">
        <f t="shared" ca="1" si="458"/>
        <v>0</v>
      </c>
      <c r="AU210" s="1378">
        <f ca="1">SUM((INDIRECT(AU$2&amp;(ROW())):INDIRECT(AU$3&amp;(ROW()))))</f>
        <v>77500</v>
      </c>
      <c r="AV210" s="2043">
        <f ca="1">SUM(INDIRECT(AV$1&amp;AV$2&amp;$C210):INDIRECT(AV$1&amp;AV$3&amp;$C210))</f>
        <v>75200</v>
      </c>
      <c r="AW210" s="2757">
        <f t="shared" ca="1" si="459"/>
        <v>2300</v>
      </c>
      <c r="AX210" s="2758">
        <f t="shared" ca="1" si="460"/>
        <v>1.0305851063829787</v>
      </c>
      <c r="AY210" s="2043">
        <f ca="1">SUM(INDIRECT(AY$1&amp;AY$2&amp;$A210):INDIRECT(AY$1&amp;AY$3&amp;$A210))+SUM(INDIRECT(AY$1&amp;AY$2&amp;$B210):INDIRECT(AY$1&amp;AY$3&amp;$B210))</f>
        <v>0</v>
      </c>
      <c r="AZ210" s="2757">
        <f t="shared" ca="1" si="461"/>
        <v>77500</v>
      </c>
      <c r="BA210" s="2758">
        <f t="shared" ca="1" si="462"/>
        <v>0</v>
      </c>
      <c r="BC210" s="1378">
        <f ca="1">SUM((INDIRECT(BC$2&amp;(ROW())):INDIRECT(BC$3&amp;(ROW()))))</f>
        <v>77500</v>
      </c>
      <c r="BD210" s="2043">
        <f ca="1">SUM(INDIRECT(BD$1&amp;BD$2&amp;$C210):INDIRECT(BD$1&amp;BD$3&amp;$C210))</f>
        <v>75200</v>
      </c>
      <c r="BE210" s="2757">
        <f t="shared" ca="1" si="463"/>
        <v>2300</v>
      </c>
      <c r="BF210" s="2758">
        <f t="shared" ca="1" si="464"/>
        <v>1.0305851063829787</v>
      </c>
      <c r="BG210" s="2043">
        <f ca="1">SUM(INDIRECT(BG$1&amp;BG$2&amp;$A210):INDIRECT(BG$1&amp;BG$3&amp;$A210))+SUM(INDIRECT(BG$1&amp;BG$2&amp;$B210):INDIRECT(BG$1&amp;BG$3&amp;$B210))</f>
        <v>0</v>
      </c>
      <c r="BH210" s="2757">
        <f t="shared" ca="1" si="465"/>
        <v>77500</v>
      </c>
      <c r="BI210" s="2758">
        <f t="shared" ca="1" si="466"/>
        <v>0</v>
      </c>
    </row>
    <row r="211" spans="1:61" s="69" customFormat="1" ht="14.5">
      <c r="A211" s="1693">
        <f t="shared" si="453"/>
        <v>211</v>
      </c>
      <c r="B211" s="616">
        <v>1</v>
      </c>
      <c r="C211" s="1693">
        <f t="shared" si="452"/>
        <v>211</v>
      </c>
      <c r="D211" s="616">
        <v>1</v>
      </c>
      <c r="E211" s="709" t="s">
        <v>512</v>
      </c>
      <c r="F211" s="1572"/>
      <c r="G211" s="4"/>
      <c r="H211" s="4"/>
      <c r="I211" s="4"/>
      <c r="J211" s="27"/>
      <c r="K211" s="3"/>
      <c r="L211" s="4"/>
      <c r="M211" s="4"/>
      <c r="N211" s="4"/>
      <c r="O211" s="3" t="s">
        <v>117</v>
      </c>
      <c r="P211" s="3"/>
      <c r="Q211" s="3"/>
      <c r="R211" s="1784" t="str">
        <f>CHOOSE(2, "6722000003130", "PL (3) Net Sales HW &amp; Solution Label Printer")</f>
        <v>PL (3) Net Sales HW &amp; Solution Label Printer</v>
      </c>
      <c r="S211" s="1289">
        <f t="shared" si="472"/>
        <v>999</v>
      </c>
      <c r="T211" s="1232">
        <f t="shared" si="472"/>
        <v>0</v>
      </c>
      <c r="U211" s="1232">
        <f t="shared" si="472"/>
        <v>8100</v>
      </c>
      <c r="V211" s="1232">
        <f t="shared" si="472"/>
        <v>0</v>
      </c>
      <c r="W211" s="1232">
        <f t="shared" si="472"/>
        <v>0</v>
      </c>
      <c r="X211" s="1232">
        <f t="shared" si="472"/>
        <v>45638</v>
      </c>
      <c r="Y211" s="1232">
        <f t="shared" si="472"/>
        <v>0</v>
      </c>
      <c r="Z211" s="1232">
        <f t="shared" si="472"/>
        <v>9900</v>
      </c>
      <c r="AA211" s="1232">
        <f t="shared" si="472"/>
        <v>8568.9159999999993</v>
      </c>
      <c r="AB211" s="1232">
        <f t="shared" si="472"/>
        <v>9000</v>
      </c>
      <c r="AC211" s="1232">
        <f t="shared" si="472"/>
        <v>9000</v>
      </c>
      <c r="AD211" s="1232">
        <f t="shared" si="472"/>
        <v>29000</v>
      </c>
      <c r="AE211" s="1232">
        <f t="shared" si="468"/>
        <v>9099</v>
      </c>
      <c r="AF211" s="1232">
        <f t="shared" si="469"/>
        <v>45638</v>
      </c>
      <c r="AG211" s="1232">
        <f t="shared" si="470"/>
        <v>18468.915999999997</v>
      </c>
      <c r="AH211" s="1232">
        <f t="shared" si="471"/>
        <v>47000</v>
      </c>
      <c r="AI211" s="1232">
        <f t="shared" si="473"/>
        <v>54737</v>
      </c>
      <c r="AJ211" s="1232">
        <f t="shared" si="474"/>
        <v>65468.915999999997</v>
      </c>
      <c r="AK211" s="1232">
        <f t="shared" si="475"/>
        <v>120205.916</v>
      </c>
      <c r="AM211" s="1378">
        <f ca="1">SUM((INDIRECT(AM$2&amp;(ROW())):INDIRECT(AM$3&amp;(ROW()))))</f>
        <v>999</v>
      </c>
      <c r="AN211" s="2043">
        <f ca="1">SUM(INDIRECT(AN$1&amp;AN$2&amp;$C211):INDIRECT(AN$1&amp;AN$3&amp;$C211))</f>
        <v>0</v>
      </c>
      <c r="AO211" s="2757">
        <f t="shared" ca="1" si="376"/>
        <v>999</v>
      </c>
      <c r="AP211" s="2758">
        <f t="shared" ca="1" si="456"/>
        <v>0</v>
      </c>
      <c r="AQ211" s="2043">
        <f ca="1">SUM(INDIRECT(AQ$1&amp;AQ$2&amp;$A211):INDIRECT(AQ$1&amp;AQ$3&amp;$A211))+SUM(INDIRECT(AQ$1&amp;AQ$2&amp;$B211):INDIRECT(AQ$1&amp;AQ$3&amp;$B211))</f>
        <v>0</v>
      </c>
      <c r="AR211" s="2757">
        <f t="shared" ca="1" si="457"/>
        <v>999</v>
      </c>
      <c r="AS211" s="2758">
        <f t="shared" ca="1" si="458"/>
        <v>0</v>
      </c>
      <c r="AU211" s="1378">
        <f ca="1">SUM((INDIRECT(AU$2&amp;(ROW())):INDIRECT(AU$3&amp;(ROW()))))</f>
        <v>999</v>
      </c>
      <c r="AV211" s="2043">
        <f ca="1">SUM(INDIRECT(AV$1&amp;AV$2&amp;$C211):INDIRECT(AV$1&amp;AV$3&amp;$C211))</f>
        <v>0</v>
      </c>
      <c r="AW211" s="2757">
        <f t="shared" ca="1" si="459"/>
        <v>999</v>
      </c>
      <c r="AX211" s="2758">
        <f t="shared" ca="1" si="460"/>
        <v>0</v>
      </c>
      <c r="AY211" s="2043">
        <f ca="1">SUM(INDIRECT(AY$1&amp;AY$2&amp;$A211):INDIRECT(AY$1&amp;AY$3&amp;$A211))+SUM(INDIRECT(AY$1&amp;AY$2&amp;$B211):INDIRECT(AY$1&amp;AY$3&amp;$B211))</f>
        <v>0</v>
      </c>
      <c r="AZ211" s="2757">
        <f t="shared" ca="1" si="461"/>
        <v>999</v>
      </c>
      <c r="BA211" s="2758">
        <f t="shared" ca="1" si="462"/>
        <v>0</v>
      </c>
      <c r="BC211" s="1378">
        <f ca="1">SUM((INDIRECT(BC$2&amp;(ROW())):INDIRECT(BC$3&amp;(ROW()))))</f>
        <v>999</v>
      </c>
      <c r="BD211" s="2043">
        <f ca="1">SUM(INDIRECT(BD$1&amp;BD$2&amp;$C211):INDIRECT(BD$1&amp;BD$3&amp;$C211))</f>
        <v>0</v>
      </c>
      <c r="BE211" s="2757">
        <f t="shared" ca="1" si="463"/>
        <v>999</v>
      </c>
      <c r="BF211" s="2758">
        <f t="shared" ca="1" si="464"/>
        <v>0</v>
      </c>
      <c r="BG211" s="2043">
        <f ca="1">SUM(INDIRECT(BG$1&amp;BG$2&amp;$A211):INDIRECT(BG$1&amp;BG$3&amp;$A211))+SUM(INDIRECT(BG$1&amp;BG$2&amp;$B211):INDIRECT(BG$1&amp;BG$3&amp;$B211))</f>
        <v>0</v>
      </c>
      <c r="BH211" s="2757">
        <f t="shared" ca="1" si="465"/>
        <v>999</v>
      </c>
      <c r="BI211" s="2758">
        <f t="shared" ca="1" si="466"/>
        <v>0</v>
      </c>
    </row>
    <row r="212" spans="1:61" s="69" customFormat="1" ht="14.5">
      <c r="A212" s="1693">
        <f t="shared" si="453"/>
        <v>212</v>
      </c>
      <c r="B212" s="616">
        <v>1</v>
      </c>
      <c r="C212" s="1693">
        <f t="shared" si="452"/>
        <v>212</v>
      </c>
      <c r="D212" s="616">
        <v>1</v>
      </c>
      <c r="E212" s="709" t="s">
        <v>512</v>
      </c>
      <c r="F212" s="1572"/>
      <c r="G212" s="4"/>
      <c r="H212" s="4"/>
      <c r="I212" s="4"/>
      <c r="J212" s="27"/>
      <c r="K212" s="3"/>
      <c r="L212" s="4"/>
      <c r="M212" s="4"/>
      <c r="N212" s="4"/>
      <c r="O212" s="3" t="s">
        <v>52</v>
      </c>
      <c r="P212" s="3"/>
      <c r="Q212" s="3"/>
      <c r="R212" s="1784" t="str">
        <f>CHOOSE(2, "6722000003131", "PL (3) Net Sales HW &amp; Solution MGI")</f>
        <v>PL (3) Net Sales HW &amp; Solution MGI</v>
      </c>
      <c r="S212" s="1289">
        <f t="shared" si="472"/>
        <v>252</v>
      </c>
      <c r="T212" s="1232">
        <f t="shared" si="472"/>
        <v>9852</v>
      </c>
      <c r="U212" s="1232">
        <f t="shared" si="472"/>
        <v>21470</v>
      </c>
      <c r="V212" s="1232">
        <f t="shared" si="472"/>
        <v>0</v>
      </c>
      <c r="W212" s="1232">
        <f t="shared" si="472"/>
        <v>26500</v>
      </c>
      <c r="X212" s="1232">
        <f t="shared" si="472"/>
        <v>11700</v>
      </c>
      <c r="Y212" s="1232">
        <f t="shared" si="472"/>
        <v>0</v>
      </c>
      <c r="Z212" s="1232">
        <f t="shared" si="472"/>
        <v>30500</v>
      </c>
      <c r="AA212" s="1232">
        <f t="shared" si="472"/>
        <v>12500</v>
      </c>
      <c r="AB212" s="1232">
        <f t="shared" si="472"/>
        <v>0</v>
      </c>
      <c r="AC212" s="1232">
        <f t="shared" si="472"/>
        <v>0</v>
      </c>
      <c r="AD212" s="1232">
        <f t="shared" si="472"/>
        <v>31500</v>
      </c>
      <c r="AE212" s="1232">
        <f t="shared" si="468"/>
        <v>31574</v>
      </c>
      <c r="AF212" s="1232">
        <f t="shared" si="469"/>
        <v>38200</v>
      </c>
      <c r="AG212" s="1232">
        <f t="shared" si="470"/>
        <v>43000</v>
      </c>
      <c r="AH212" s="1232">
        <f t="shared" si="471"/>
        <v>31500</v>
      </c>
      <c r="AI212" s="1232">
        <f t="shared" si="473"/>
        <v>69774</v>
      </c>
      <c r="AJ212" s="1232">
        <f t="shared" si="474"/>
        <v>74500</v>
      </c>
      <c r="AK212" s="1232">
        <f t="shared" si="475"/>
        <v>144274</v>
      </c>
      <c r="AM212" s="1378">
        <f ca="1">SUM((INDIRECT(AM$2&amp;(ROW())):INDIRECT(AM$3&amp;(ROW()))))</f>
        <v>252</v>
      </c>
      <c r="AN212" s="2043">
        <f ca="1">SUM(INDIRECT(AN$1&amp;AN$2&amp;$C212):INDIRECT(AN$1&amp;AN$3&amp;$C212))</f>
        <v>9700</v>
      </c>
      <c r="AO212" s="2757">
        <f t="shared" ca="1" si="376"/>
        <v>-9448</v>
      </c>
      <c r="AP212" s="2758">
        <f t="shared" ca="1" si="456"/>
        <v>2.597938144329897E-2</v>
      </c>
      <c r="AQ212" s="2043">
        <f ca="1">SUM(INDIRECT(AQ$1&amp;AQ$2&amp;$A212):INDIRECT(AQ$1&amp;AQ$3&amp;$A212))+SUM(INDIRECT(AQ$1&amp;AQ$2&amp;$B212):INDIRECT(AQ$1&amp;AQ$3&amp;$B212))</f>
        <v>9502</v>
      </c>
      <c r="AR212" s="2757">
        <f t="shared" ca="1" si="457"/>
        <v>-9250</v>
      </c>
      <c r="AS212" s="2758">
        <f t="shared" ca="1" si="458"/>
        <v>2.6520732477373184E-2</v>
      </c>
      <c r="AU212" s="1378">
        <f ca="1">SUM((INDIRECT(AU$2&amp;(ROW())):INDIRECT(AU$3&amp;(ROW()))))</f>
        <v>252</v>
      </c>
      <c r="AV212" s="2043">
        <f ca="1">SUM(INDIRECT(AV$1&amp;AV$2&amp;$C212):INDIRECT(AV$1&amp;AV$3&amp;$C212))</f>
        <v>9700</v>
      </c>
      <c r="AW212" s="2757">
        <f t="shared" ca="1" si="459"/>
        <v>-9448</v>
      </c>
      <c r="AX212" s="2758">
        <f t="shared" ca="1" si="460"/>
        <v>2.597938144329897E-2</v>
      </c>
      <c r="AY212" s="2043">
        <f ca="1">SUM(INDIRECT(AY$1&amp;AY$2&amp;$A212):INDIRECT(AY$1&amp;AY$3&amp;$A212))+SUM(INDIRECT(AY$1&amp;AY$2&amp;$B212):INDIRECT(AY$1&amp;AY$3&amp;$B212))</f>
        <v>9502</v>
      </c>
      <c r="AZ212" s="2757">
        <f t="shared" ca="1" si="461"/>
        <v>-9250</v>
      </c>
      <c r="BA212" s="2758">
        <f t="shared" ca="1" si="462"/>
        <v>2.6520732477373184E-2</v>
      </c>
      <c r="BC212" s="1378">
        <f ca="1">SUM((INDIRECT(BC$2&amp;(ROW())):INDIRECT(BC$3&amp;(ROW()))))</f>
        <v>252</v>
      </c>
      <c r="BD212" s="2043">
        <f ca="1">SUM(INDIRECT(BD$1&amp;BD$2&amp;$C212):INDIRECT(BD$1&amp;BD$3&amp;$C212))</f>
        <v>9700</v>
      </c>
      <c r="BE212" s="2757">
        <f t="shared" ca="1" si="463"/>
        <v>-9448</v>
      </c>
      <c r="BF212" s="2758">
        <f t="shared" ca="1" si="464"/>
        <v>2.597938144329897E-2</v>
      </c>
      <c r="BG212" s="2043">
        <f ca="1">SUM(INDIRECT(BG$1&amp;BG$2&amp;$A212):INDIRECT(BG$1&amp;BG$3&amp;$A212))+SUM(INDIRECT(BG$1&amp;BG$2&amp;$B212):INDIRECT(BG$1&amp;BG$3&amp;$B212))</f>
        <v>9502</v>
      </c>
      <c r="BH212" s="2757">
        <f t="shared" ca="1" si="465"/>
        <v>-9250</v>
      </c>
      <c r="BI212" s="2758">
        <f t="shared" ca="1" si="466"/>
        <v>2.6520732477373184E-2</v>
      </c>
    </row>
    <row r="213" spans="1:61" s="69" customFormat="1" ht="14.5">
      <c r="A213" s="1693">
        <f t="shared" si="453"/>
        <v>213</v>
      </c>
      <c r="B213" s="616">
        <v>1</v>
      </c>
      <c r="C213" s="1693">
        <f t="shared" si="452"/>
        <v>213</v>
      </c>
      <c r="D213" s="616">
        <v>1</v>
      </c>
      <c r="E213" s="709" t="s">
        <v>512</v>
      </c>
      <c r="F213" s="1572"/>
      <c r="G213" s="4"/>
      <c r="H213" s="4"/>
      <c r="I213" s="4"/>
      <c r="J213" s="27"/>
      <c r="K213" s="3"/>
      <c r="L213" s="4"/>
      <c r="M213" s="4"/>
      <c r="N213" s="4"/>
      <c r="O213" s="3" t="s">
        <v>118</v>
      </c>
      <c r="P213" s="3"/>
      <c r="Q213" s="3"/>
      <c r="R213" s="1784" t="str">
        <f>CHOOSE(2, "6722000003132", "PL (3) Net Sales HW &amp; Solution EFI/LF")</f>
        <v>PL (3) Net Sales HW &amp; Solution EFI/LF</v>
      </c>
      <c r="S213" s="1289">
        <f t="shared" si="472"/>
        <v>0</v>
      </c>
      <c r="T213" s="1232">
        <f t="shared" si="472"/>
        <v>0</v>
      </c>
      <c r="U213" s="1232">
        <f t="shared" si="472"/>
        <v>0</v>
      </c>
      <c r="V213" s="1232">
        <f t="shared" si="472"/>
        <v>0</v>
      </c>
      <c r="W213" s="1232">
        <f t="shared" si="472"/>
        <v>0</v>
      </c>
      <c r="X213" s="1232">
        <f t="shared" si="472"/>
        <v>0</v>
      </c>
      <c r="Y213" s="1232">
        <f t="shared" si="472"/>
        <v>0</v>
      </c>
      <c r="Z213" s="1232">
        <f t="shared" si="472"/>
        <v>0</v>
      </c>
      <c r="AA213" s="1232">
        <f t="shared" si="472"/>
        <v>0</v>
      </c>
      <c r="AB213" s="1232">
        <f t="shared" si="472"/>
        <v>0</v>
      </c>
      <c r="AC213" s="1232">
        <f t="shared" si="472"/>
        <v>0</v>
      </c>
      <c r="AD213" s="1232">
        <f t="shared" si="472"/>
        <v>0</v>
      </c>
      <c r="AE213" s="1232">
        <f t="shared" si="468"/>
        <v>0</v>
      </c>
      <c r="AF213" s="1232">
        <f t="shared" si="469"/>
        <v>0</v>
      </c>
      <c r="AG213" s="1232">
        <f t="shared" si="470"/>
        <v>0</v>
      </c>
      <c r="AH213" s="1232">
        <f t="shared" si="471"/>
        <v>0</v>
      </c>
      <c r="AI213" s="1232">
        <f t="shared" si="473"/>
        <v>0</v>
      </c>
      <c r="AJ213" s="1232">
        <f t="shared" si="474"/>
        <v>0</v>
      </c>
      <c r="AK213" s="1232">
        <f t="shared" si="475"/>
        <v>0</v>
      </c>
      <c r="AM213" s="1378">
        <f ca="1">SUM((INDIRECT(AM$2&amp;(ROW())):INDIRECT(AM$3&amp;(ROW()))))</f>
        <v>0</v>
      </c>
      <c r="AN213" s="2043">
        <f ca="1">SUM(INDIRECT(AN$1&amp;AN$2&amp;$C213):INDIRECT(AN$1&amp;AN$3&amp;$C213))</f>
        <v>0</v>
      </c>
      <c r="AO213" s="2757">
        <f t="shared" ca="1" si="376"/>
        <v>0</v>
      </c>
      <c r="AP213" s="2758">
        <f t="shared" ca="1" si="456"/>
        <v>0</v>
      </c>
      <c r="AQ213" s="2043">
        <f ca="1">SUM(INDIRECT(AQ$1&amp;AQ$2&amp;$A213):INDIRECT(AQ$1&amp;AQ$3&amp;$A213))+SUM(INDIRECT(AQ$1&amp;AQ$2&amp;$B213):INDIRECT(AQ$1&amp;AQ$3&amp;$B213))</f>
        <v>0</v>
      </c>
      <c r="AR213" s="2757">
        <f t="shared" ca="1" si="457"/>
        <v>0</v>
      </c>
      <c r="AS213" s="2758">
        <f t="shared" ca="1" si="458"/>
        <v>0</v>
      </c>
      <c r="AU213" s="1378">
        <f ca="1">SUM((INDIRECT(AU$2&amp;(ROW())):INDIRECT(AU$3&amp;(ROW()))))</f>
        <v>0</v>
      </c>
      <c r="AV213" s="2043">
        <f ca="1">SUM(INDIRECT(AV$1&amp;AV$2&amp;$C213):INDIRECT(AV$1&amp;AV$3&amp;$C213))</f>
        <v>0</v>
      </c>
      <c r="AW213" s="2757">
        <f t="shared" ca="1" si="459"/>
        <v>0</v>
      </c>
      <c r="AX213" s="2758">
        <f t="shared" ca="1" si="460"/>
        <v>0</v>
      </c>
      <c r="AY213" s="2043">
        <f ca="1">SUM(INDIRECT(AY$1&amp;AY$2&amp;$A213):INDIRECT(AY$1&amp;AY$3&amp;$A213))+SUM(INDIRECT(AY$1&amp;AY$2&amp;$B213):INDIRECT(AY$1&amp;AY$3&amp;$B213))</f>
        <v>0</v>
      </c>
      <c r="AZ213" s="2757">
        <f t="shared" ca="1" si="461"/>
        <v>0</v>
      </c>
      <c r="BA213" s="2758">
        <f t="shared" ca="1" si="462"/>
        <v>0</v>
      </c>
      <c r="BC213" s="1378">
        <f ca="1">SUM((INDIRECT(BC$2&amp;(ROW())):INDIRECT(BC$3&amp;(ROW()))))</f>
        <v>0</v>
      </c>
      <c r="BD213" s="2043">
        <f ca="1">SUM(INDIRECT(BD$1&amp;BD$2&amp;$C213):INDIRECT(BD$1&amp;BD$3&amp;$C213))</f>
        <v>0</v>
      </c>
      <c r="BE213" s="2757">
        <f t="shared" ca="1" si="463"/>
        <v>0</v>
      </c>
      <c r="BF213" s="2758">
        <f t="shared" ca="1" si="464"/>
        <v>0</v>
      </c>
      <c r="BG213" s="2043">
        <f ca="1">SUM(INDIRECT(BG$1&amp;BG$2&amp;$A213):INDIRECT(BG$1&amp;BG$3&amp;$A213))+SUM(INDIRECT(BG$1&amp;BG$2&amp;$B213):INDIRECT(BG$1&amp;BG$3&amp;$B213))</f>
        <v>0</v>
      </c>
      <c r="BH213" s="2757">
        <f t="shared" ca="1" si="465"/>
        <v>0</v>
      </c>
      <c r="BI213" s="2758">
        <f t="shared" ca="1" si="466"/>
        <v>0</v>
      </c>
    </row>
    <row r="214" spans="1:61" s="69" customFormat="1" ht="14.5">
      <c r="A214" s="1693">
        <f t="shared" si="453"/>
        <v>214</v>
      </c>
      <c r="B214" s="616">
        <v>1</v>
      </c>
      <c r="C214" s="1693">
        <f t="shared" si="452"/>
        <v>214</v>
      </c>
      <c r="D214" s="616">
        <v>1</v>
      </c>
      <c r="E214" s="709" t="s">
        <v>512</v>
      </c>
      <c r="F214" s="1572"/>
      <c r="G214" s="4"/>
      <c r="H214" s="4"/>
      <c r="I214" s="4"/>
      <c r="J214" s="27"/>
      <c r="K214" s="3"/>
      <c r="L214" s="4"/>
      <c r="M214" s="4"/>
      <c r="N214" s="4"/>
      <c r="O214" s="3" t="s">
        <v>180</v>
      </c>
      <c r="P214" s="3"/>
      <c r="Q214" s="3"/>
      <c r="R214" s="1784" t="str">
        <f>CHOOSE(2, "6722000003133", "PL (3) Net Sales HW &amp; Solution Textile Printer")</f>
        <v>PL (3) Net Sales HW &amp; Solution Textile Printer</v>
      </c>
      <c r="S214" s="1289">
        <f t="shared" si="472"/>
        <v>0</v>
      </c>
      <c r="T214" s="1232">
        <f t="shared" si="472"/>
        <v>0</v>
      </c>
      <c r="U214" s="1232">
        <f t="shared" si="472"/>
        <v>0</v>
      </c>
      <c r="V214" s="1232">
        <f t="shared" si="472"/>
        <v>0</v>
      </c>
      <c r="W214" s="1232">
        <f t="shared" si="472"/>
        <v>0</v>
      </c>
      <c r="X214" s="1232">
        <f t="shared" si="472"/>
        <v>0</v>
      </c>
      <c r="Y214" s="1232">
        <f t="shared" si="472"/>
        <v>0</v>
      </c>
      <c r="Z214" s="1232">
        <f t="shared" si="472"/>
        <v>0</v>
      </c>
      <c r="AA214" s="1232">
        <f t="shared" si="472"/>
        <v>0</v>
      </c>
      <c r="AB214" s="1232">
        <f t="shared" si="472"/>
        <v>0</v>
      </c>
      <c r="AC214" s="1232">
        <f t="shared" si="472"/>
        <v>0</v>
      </c>
      <c r="AD214" s="1232">
        <f t="shared" si="472"/>
        <v>0</v>
      </c>
      <c r="AE214" s="1232">
        <f t="shared" si="468"/>
        <v>0</v>
      </c>
      <c r="AF214" s="1232">
        <f t="shared" si="469"/>
        <v>0</v>
      </c>
      <c r="AG214" s="1232">
        <f t="shared" si="470"/>
        <v>0</v>
      </c>
      <c r="AH214" s="1232">
        <f t="shared" si="471"/>
        <v>0</v>
      </c>
      <c r="AI214" s="1232">
        <f t="shared" si="473"/>
        <v>0</v>
      </c>
      <c r="AJ214" s="1232">
        <f t="shared" si="474"/>
        <v>0</v>
      </c>
      <c r="AK214" s="1232">
        <f t="shared" si="475"/>
        <v>0</v>
      </c>
      <c r="AM214" s="1378">
        <f ca="1">SUM((INDIRECT(AM$2&amp;(ROW())):INDIRECT(AM$3&amp;(ROW()))))</f>
        <v>0</v>
      </c>
      <c r="AN214" s="2043">
        <f ca="1">SUM(INDIRECT(AN$1&amp;AN$2&amp;$C214):INDIRECT(AN$1&amp;AN$3&amp;$C214))</f>
        <v>0</v>
      </c>
      <c r="AO214" s="2757">
        <f t="shared" ca="1" si="376"/>
        <v>0</v>
      </c>
      <c r="AP214" s="2758">
        <f t="shared" ca="1" si="456"/>
        <v>0</v>
      </c>
      <c r="AQ214" s="2043">
        <f ca="1">SUM(INDIRECT(AQ$1&amp;AQ$2&amp;$A214):INDIRECT(AQ$1&amp;AQ$3&amp;$A214))+SUM(INDIRECT(AQ$1&amp;AQ$2&amp;$B214):INDIRECT(AQ$1&amp;AQ$3&amp;$B214))</f>
        <v>0</v>
      </c>
      <c r="AR214" s="2757">
        <f t="shared" ca="1" si="457"/>
        <v>0</v>
      </c>
      <c r="AS214" s="2758">
        <f t="shared" ca="1" si="458"/>
        <v>0</v>
      </c>
      <c r="AU214" s="1378">
        <f ca="1">SUM((INDIRECT(AU$2&amp;(ROW())):INDIRECT(AU$3&amp;(ROW()))))</f>
        <v>0</v>
      </c>
      <c r="AV214" s="2043">
        <f ca="1">SUM(INDIRECT(AV$1&amp;AV$2&amp;$C214):INDIRECT(AV$1&amp;AV$3&amp;$C214))</f>
        <v>0</v>
      </c>
      <c r="AW214" s="2757">
        <f t="shared" ca="1" si="459"/>
        <v>0</v>
      </c>
      <c r="AX214" s="2758">
        <f t="shared" ca="1" si="460"/>
        <v>0</v>
      </c>
      <c r="AY214" s="2043">
        <f ca="1">SUM(INDIRECT(AY$1&amp;AY$2&amp;$A214):INDIRECT(AY$1&amp;AY$3&amp;$A214))+SUM(INDIRECT(AY$1&amp;AY$2&amp;$B214):INDIRECT(AY$1&amp;AY$3&amp;$B214))</f>
        <v>0</v>
      </c>
      <c r="AZ214" s="2757">
        <f t="shared" ca="1" si="461"/>
        <v>0</v>
      </c>
      <c r="BA214" s="2758">
        <f t="shared" ca="1" si="462"/>
        <v>0</v>
      </c>
      <c r="BC214" s="1378">
        <f ca="1">SUM((INDIRECT(BC$2&amp;(ROW())):INDIRECT(BC$3&amp;(ROW()))))</f>
        <v>0</v>
      </c>
      <c r="BD214" s="2043">
        <f ca="1">SUM(INDIRECT(BD$1&amp;BD$2&amp;$C214):INDIRECT(BD$1&amp;BD$3&amp;$C214))</f>
        <v>0</v>
      </c>
      <c r="BE214" s="2757">
        <f t="shared" ca="1" si="463"/>
        <v>0</v>
      </c>
      <c r="BF214" s="2758">
        <f t="shared" ca="1" si="464"/>
        <v>0</v>
      </c>
      <c r="BG214" s="2043">
        <f ca="1">SUM(INDIRECT(BG$1&amp;BG$2&amp;$A214):INDIRECT(BG$1&amp;BG$3&amp;$A214))+SUM(INDIRECT(BG$1&amp;BG$2&amp;$B214):INDIRECT(BG$1&amp;BG$3&amp;$B214))</f>
        <v>0</v>
      </c>
      <c r="BH214" s="2757">
        <f t="shared" ca="1" si="465"/>
        <v>0</v>
      </c>
      <c r="BI214" s="2758">
        <f t="shared" ca="1" si="466"/>
        <v>0</v>
      </c>
    </row>
    <row r="215" spans="1:61" s="69" customFormat="1" ht="14.5">
      <c r="A215" s="1693">
        <f t="shared" si="453"/>
        <v>215</v>
      </c>
      <c r="B215" s="616">
        <v>1</v>
      </c>
      <c r="C215" s="1693">
        <f t="shared" si="452"/>
        <v>215</v>
      </c>
      <c r="D215" s="616">
        <v>1</v>
      </c>
      <c r="E215" s="709" t="s">
        <v>512</v>
      </c>
      <c r="F215" s="1572"/>
      <c r="G215" s="4"/>
      <c r="H215" s="4"/>
      <c r="I215" s="4"/>
      <c r="J215" s="27"/>
      <c r="K215" s="3"/>
      <c r="L215" s="4"/>
      <c r="M215" s="4"/>
      <c r="N215" s="47"/>
      <c r="O215" s="47" t="s">
        <v>51</v>
      </c>
      <c r="P215" s="47"/>
      <c r="Q215" s="47"/>
      <c r="R215" s="1784" t="str">
        <f>CHOOSE(2, "6722000003134", "PL (3) Net Sales HW &amp; Solution Others")</f>
        <v>PL (3) Net Sales HW &amp; Solution Others</v>
      </c>
      <c r="S215" s="1255">
        <f t="shared" si="472"/>
        <v>0</v>
      </c>
      <c r="T215" s="1240">
        <f t="shared" si="472"/>
        <v>0</v>
      </c>
      <c r="U215" s="1240">
        <f t="shared" si="472"/>
        <v>0</v>
      </c>
      <c r="V215" s="1240">
        <f t="shared" si="472"/>
        <v>0</v>
      </c>
      <c r="W215" s="1240">
        <f t="shared" si="472"/>
        <v>0</v>
      </c>
      <c r="X215" s="1240">
        <f t="shared" si="472"/>
        <v>0</v>
      </c>
      <c r="Y215" s="1240">
        <f t="shared" si="472"/>
        <v>0</v>
      </c>
      <c r="Z215" s="1240">
        <f t="shared" si="472"/>
        <v>0</v>
      </c>
      <c r="AA215" s="1240">
        <f t="shared" si="472"/>
        <v>0</v>
      </c>
      <c r="AB215" s="1240">
        <f t="shared" si="472"/>
        <v>0</v>
      </c>
      <c r="AC215" s="1240">
        <f t="shared" si="472"/>
        <v>0</v>
      </c>
      <c r="AD215" s="1240">
        <f t="shared" si="472"/>
        <v>0</v>
      </c>
      <c r="AE215" s="1240">
        <f t="shared" si="468"/>
        <v>0</v>
      </c>
      <c r="AF215" s="3447">
        <f t="shared" si="469"/>
        <v>0</v>
      </c>
      <c r="AG215" s="1240">
        <f t="shared" si="470"/>
        <v>0</v>
      </c>
      <c r="AH215" s="1240">
        <f t="shared" si="471"/>
        <v>0</v>
      </c>
      <c r="AI215" s="1240">
        <f t="shared" si="473"/>
        <v>0</v>
      </c>
      <c r="AJ215" s="1240">
        <f t="shared" si="474"/>
        <v>0</v>
      </c>
      <c r="AK215" s="1240">
        <f t="shared" si="475"/>
        <v>0</v>
      </c>
      <c r="AM215" s="1970">
        <f ca="1">SUM((INDIRECT(AM$2&amp;(ROW())):INDIRECT(AM$3&amp;(ROW()))))</f>
        <v>0</v>
      </c>
      <c r="AN215" s="2044">
        <f ca="1">SUM(INDIRECT(AN$1&amp;AN$2&amp;$C215):INDIRECT(AN$1&amp;AN$3&amp;$C215))</f>
        <v>0</v>
      </c>
      <c r="AO215" s="2807">
        <f t="shared" ca="1" si="376"/>
        <v>0</v>
      </c>
      <c r="AP215" s="2808">
        <f t="shared" ca="1" si="456"/>
        <v>0</v>
      </c>
      <c r="AQ215" s="2044">
        <f ca="1">SUM(INDIRECT(AQ$1&amp;AQ$2&amp;$A215):INDIRECT(AQ$1&amp;AQ$3&amp;$A215))+SUM(INDIRECT(AQ$1&amp;AQ$2&amp;$B215):INDIRECT(AQ$1&amp;AQ$3&amp;$B215))</f>
        <v>0</v>
      </c>
      <c r="AR215" s="2807">
        <f t="shared" ca="1" si="457"/>
        <v>0</v>
      </c>
      <c r="AS215" s="2808">
        <f t="shared" ca="1" si="458"/>
        <v>0</v>
      </c>
      <c r="AU215" s="1970">
        <f ca="1">SUM((INDIRECT(AU$2&amp;(ROW())):INDIRECT(AU$3&amp;(ROW()))))</f>
        <v>0</v>
      </c>
      <c r="AV215" s="2044">
        <f ca="1">SUM(INDIRECT(AV$1&amp;AV$2&amp;$C215):INDIRECT(AV$1&amp;AV$3&amp;$C215))</f>
        <v>0</v>
      </c>
      <c r="AW215" s="2807">
        <f t="shared" ca="1" si="459"/>
        <v>0</v>
      </c>
      <c r="AX215" s="2808">
        <f t="shared" ca="1" si="460"/>
        <v>0</v>
      </c>
      <c r="AY215" s="2044">
        <f ca="1">SUM(INDIRECT(AY$1&amp;AY$2&amp;$A215):INDIRECT(AY$1&amp;AY$3&amp;$A215))+SUM(INDIRECT(AY$1&amp;AY$2&amp;$B215):INDIRECT(AY$1&amp;AY$3&amp;$B215))</f>
        <v>0</v>
      </c>
      <c r="AZ215" s="2807">
        <f t="shared" ca="1" si="461"/>
        <v>0</v>
      </c>
      <c r="BA215" s="2808">
        <f t="shared" ca="1" si="462"/>
        <v>0</v>
      </c>
      <c r="BC215" s="1970">
        <f ca="1">SUM((INDIRECT(BC$2&amp;(ROW())):INDIRECT(BC$3&amp;(ROW()))))</f>
        <v>0</v>
      </c>
      <c r="BD215" s="2044">
        <f ca="1">SUM(INDIRECT(BD$1&amp;BD$2&amp;$C215):INDIRECT(BD$1&amp;BD$3&amp;$C215))</f>
        <v>0</v>
      </c>
      <c r="BE215" s="2807">
        <f t="shared" ca="1" si="463"/>
        <v>0</v>
      </c>
      <c r="BF215" s="2808">
        <f t="shared" ca="1" si="464"/>
        <v>0</v>
      </c>
      <c r="BG215" s="2044">
        <f ca="1">SUM(INDIRECT(BG$1&amp;BG$2&amp;$A215):INDIRECT(BG$1&amp;BG$3&amp;$A215))+SUM(INDIRECT(BG$1&amp;BG$2&amp;$B215):INDIRECT(BG$1&amp;BG$3&amp;$B215))</f>
        <v>0</v>
      </c>
      <c r="BH215" s="2807">
        <f t="shared" ca="1" si="465"/>
        <v>0</v>
      </c>
      <c r="BI215" s="2808">
        <f t="shared" ca="1" si="466"/>
        <v>0</v>
      </c>
    </row>
    <row r="216" spans="1:61" s="69" customFormat="1" ht="14.5">
      <c r="A216" s="1693">
        <f t="shared" si="453"/>
        <v>216</v>
      </c>
      <c r="B216" s="616">
        <v>1</v>
      </c>
      <c r="C216" s="1693">
        <f t="shared" si="452"/>
        <v>216</v>
      </c>
      <c r="D216" s="616">
        <v>1</v>
      </c>
      <c r="E216" s="709" t="s">
        <v>512</v>
      </c>
      <c r="F216" s="1572"/>
      <c r="G216" s="4"/>
      <c r="H216" s="4"/>
      <c r="I216" s="4"/>
      <c r="J216" s="27"/>
      <c r="K216" s="3"/>
      <c r="L216" s="4"/>
      <c r="M216" s="4"/>
      <c r="N216" s="300" t="s">
        <v>126</v>
      </c>
      <c r="O216" s="300"/>
      <c r="P216" s="300"/>
      <c r="Q216" s="300"/>
      <c r="R216" s="1796" t="str">
        <f>CHOOSE(2, "6722000003135", "PL (3) Net Sales NH")</f>
        <v>PL (3) Net Sales NH</v>
      </c>
      <c r="S216" s="1309">
        <f>SUM(S217:S222)</f>
        <v>7935</v>
      </c>
      <c r="T216" s="1251">
        <f t="shared" ref="T216:AD216" si="476">SUM(T217:T222)</f>
        <v>8087.6179999999995</v>
      </c>
      <c r="U216" s="1251">
        <f t="shared" si="476"/>
        <v>7936.7429999999995</v>
      </c>
      <c r="V216" s="1251">
        <f t="shared" si="476"/>
        <v>7925.893</v>
      </c>
      <c r="W216" s="1251">
        <f t="shared" si="476"/>
        <v>9541.862000000001</v>
      </c>
      <c r="X216" s="1251">
        <f t="shared" si="476"/>
        <v>11664.597000000002</v>
      </c>
      <c r="Y216" s="1251">
        <f t="shared" si="476"/>
        <v>11993.526000000002</v>
      </c>
      <c r="Z216" s="1251">
        <f t="shared" si="476"/>
        <v>8934.8610000000008</v>
      </c>
      <c r="AA216" s="1251">
        <f t="shared" si="476"/>
        <v>9696.6139999999996</v>
      </c>
      <c r="AB216" s="1251">
        <f t="shared" si="476"/>
        <v>9618.5511000000006</v>
      </c>
      <c r="AC216" s="1251">
        <f t="shared" si="476"/>
        <v>10432.557000000001</v>
      </c>
      <c r="AD216" s="1251">
        <f t="shared" si="476"/>
        <v>8484.3040000000001</v>
      </c>
      <c r="AE216" s="1251">
        <f t="shared" si="468"/>
        <v>23959.360999999997</v>
      </c>
      <c r="AF216" s="1251">
        <f t="shared" si="469"/>
        <v>29132.352000000003</v>
      </c>
      <c r="AG216" s="1251">
        <f t="shared" si="470"/>
        <v>30625.001000000004</v>
      </c>
      <c r="AH216" s="1251">
        <f t="shared" si="471"/>
        <v>28535.412100000001</v>
      </c>
      <c r="AI216" s="1251">
        <f t="shared" si="473"/>
        <v>53091.713000000003</v>
      </c>
      <c r="AJ216" s="1251">
        <f t="shared" si="474"/>
        <v>59160.413100000005</v>
      </c>
      <c r="AK216" s="1251">
        <f t="shared" si="475"/>
        <v>112252.12610000001</v>
      </c>
      <c r="AM216" s="2045">
        <f ca="1">SUM((INDIRECT(AM$2&amp;(ROW())):INDIRECT(AM$3&amp;(ROW()))))</f>
        <v>7935</v>
      </c>
      <c r="AN216" s="2046">
        <f ca="1">SUM(INDIRECT(AN$1&amp;AN$2&amp;$C216):INDIRECT(AN$1&amp;AN$3&amp;$C216))</f>
        <v>6700</v>
      </c>
      <c r="AO216" s="2809">
        <f t="shared" ca="1" si="376"/>
        <v>1235</v>
      </c>
      <c r="AP216" s="2810">
        <f t="shared" ca="1" si="456"/>
        <v>1.1843283582089552</v>
      </c>
      <c r="AQ216" s="2046">
        <f ca="1">SUM(INDIRECT(AQ$1&amp;AQ$2&amp;$A216):INDIRECT(AQ$1&amp;AQ$3&amp;$A216))+SUM(INDIRECT(AQ$1&amp;AQ$2&amp;$B216):INDIRECT(AQ$1&amp;AQ$3&amp;$B216))</f>
        <v>5806</v>
      </c>
      <c r="AR216" s="2809">
        <f t="shared" ca="1" si="457"/>
        <v>2129</v>
      </c>
      <c r="AS216" s="2810">
        <f t="shared" ca="1" si="458"/>
        <v>1.3666896314157768</v>
      </c>
      <c r="AU216" s="2045">
        <f ca="1">SUM((INDIRECT(AU$2&amp;(ROW())):INDIRECT(AU$3&amp;(ROW()))))</f>
        <v>7935</v>
      </c>
      <c r="AV216" s="2046">
        <f ca="1">SUM(INDIRECT(AV$1&amp;AV$2&amp;$C216):INDIRECT(AV$1&amp;AV$3&amp;$C216))</f>
        <v>6700</v>
      </c>
      <c r="AW216" s="2809">
        <f t="shared" ca="1" si="459"/>
        <v>1235</v>
      </c>
      <c r="AX216" s="2810">
        <f t="shared" ca="1" si="460"/>
        <v>1.1843283582089552</v>
      </c>
      <c r="AY216" s="2046">
        <f ca="1">SUM(INDIRECT(AY$1&amp;AY$2&amp;$A216):INDIRECT(AY$1&amp;AY$3&amp;$A216))+SUM(INDIRECT(AY$1&amp;AY$2&amp;$B216):INDIRECT(AY$1&amp;AY$3&amp;$B216))</f>
        <v>5806</v>
      </c>
      <c r="AZ216" s="2809">
        <f t="shared" ca="1" si="461"/>
        <v>2129</v>
      </c>
      <c r="BA216" s="2810">
        <f t="shared" ca="1" si="462"/>
        <v>1.3666896314157768</v>
      </c>
      <c r="BC216" s="2045">
        <f ca="1">SUM((INDIRECT(BC$2&amp;(ROW())):INDIRECT(BC$3&amp;(ROW()))))</f>
        <v>7935</v>
      </c>
      <c r="BD216" s="2046">
        <f ca="1">SUM(INDIRECT(BD$1&amp;BD$2&amp;$C216):INDIRECT(BD$1&amp;BD$3&amp;$C216))</f>
        <v>6700</v>
      </c>
      <c r="BE216" s="2809">
        <f t="shared" ca="1" si="463"/>
        <v>1235</v>
      </c>
      <c r="BF216" s="2810">
        <f t="shared" ca="1" si="464"/>
        <v>1.1843283582089552</v>
      </c>
      <c r="BG216" s="2046">
        <f ca="1">SUM(INDIRECT(BG$1&amp;BG$2&amp;$A216):INDIRECT(BG$1&amp;BG$3&amp;$A216))+SUM(INDIRECT(BG$1&amp;BG$2&amp;$B216):INDIRECT(BG$1&amp;BG$3&amp;$B216))</f>
        <v>5806</v>
      </c>
      <c r="BH216" s="2809">
        <f t="shared" ca="1" si="465"/>
        <v>2129</v>
      </c>
      <c r="BI216" s="2810">
        <f t="shared" ca="1" si="466"/>
        <v>1.3666896314157768</v>
      </c>
    </row>
    <row r="217" spans="1:61" s="69" customFormat="1" ht="14.5">
      <c r="A217" s="1693">
        <f t="shared" si="453"/>
        <v>217</v>
      </c>
      <c r="B217" s="616">
        <v>1</v>
      </c>
      <c r="C217" s="1693">
        <f t="shared" si="452"/>
        <v>217</v>
      </c>
      <c r="D217" s="616">
        <v>1</v>
      </c>
      <c r="E217" s="709" t="s">
        <v>512</v>
      </c>
      <c r="F217" s="1572"/>
      <c r="G217" s="4"/>
      <c r="H217" s="4"/>
      <c r="I217" s="4"/>
      <c r="J217" s="27"/>
      <c r="K217" s="3"/>
      <c r="L217" s="4"/>
      <c r="M217" s="4"/>
      <c r="N217" s="4"/>
      <c r="O217" s="3" t="s">
        <v>587</v>
      </c>
      <c r="P217" s="3"/>
      <c r="Q217" s="3"/>
      <c r="R217" s="1784" t="str">
        <f>CHOOSE(2, "6722000003136", "PL (3) Net Sales NH KM-1/KM-1e")</f>
        <v>PL (3) Net Sales NH KM-1/KM-1e</v>
      </c>
      <c r="S217" s="1289">
        <f t="shared" ref="S217:AD222" si="477">S650+S665</f>
        <v>425</v>
      </c>
      <c r="T217" s="1232">
        <f t="shared" si="477"/>
        <v>684.94100000000003</v>
      </c>
      <c r="U217" s="1232">
        <f t="shared" si="477"/>
        <v>287.15499999999997</v>
      </c>
      <c r="V217" s="1232">
        <f t="shared" si="477"/>
        <v>560.71199999999999</v>
      </c>
      <c r="W217" s="1232">
        <f t="shared" si="477"/>
        <v>1428.527</v>
      </c>
      <c r="X217" s="1232">
        <f t="shared" si="477"/>
        <v>401.71100000000001</v>
      </c>
      <c r="Y217" s="1232">
        <f t="shared" si="477"/>
        <v>1263.796</v>
      </c>
      <c r="Z217" s="1232">
        <f t="shared" si="477"/>
        <v>514.04600000000005</v>
      </c>
      <c r="AA217" s="1232">
        <f t="shared" si="477"/>
        <v>1344.1289999999999</v>
      </c>
      <c r="AB217" s="1232">
        <f t="shared" si="477"/>
        <v>1143.8309999999999</v>
      </c>
      <c r="AC217" s="1232">
        <f t="shared" si="477"/>
        <v>577.62900000000002</v>
      </c>
      <c r="AD217" s="1232">
        <f t="shared" si="477"/>
        <v>1222.3430000000001</v>
      </c>
      <c r="AE217" s="1232">
        <f t="shared" si="468"/>
        <v>1397.096</v>
      </c>
      <c r="AF217" s="1232">
        <f t="shared" si="469"/>
        <v>2390.9499999999998</v>
      </c>
      <c r="AG217" s="1232">
        <f t="shared" si="470"/>
        <v>3121.971</v>
      </c>
      <c r="AH217" s="1232">
        <f t="shared" si="471"/>
        <v>2943.8029999999999</v>
      </c>
      <c r="AI217" s="1232">
        <f t="shared" si="473"/>
        <v>3788.0459999999998</v>
      </c>
      <c r="AJ217" s="1232">
        <f t="shared" si="474"/>
        <v>6065.7739999999994</v>
      </c>
      <c r="AK217" s="1232">
        <f t="shared" si="475"/>
        <v>9853.82</v>
      </c>
      <c r="AM217" s="1378">
        <f ca="1">SUM((INDIRECT(AM$2&amp;(ROW())):INDIRECT(AM$3&amp;(ROW()))))</f>
        <v>425</v>
      </c>
      <c r="AN217" s="2043">
        <f ca="1">SUM(INDIRECT(AN$1&amp;AN$2&amp;$C217):INDIRECT(AN$1&amp;AN$3&amp;$C217))</f>
        <v>700</v>
      </c>
      <c r="AO217" s="2757">
        <f t="shared" ca="1" si="376"/>
        <v>-275</v>
      </c>
      <c r="AP217" s="2758">
        <f t="shared" ca="1" si="456"/>
        <v>0.6071428571428571</v>
      </c>
      <c r="AQ217" s="2043">
        <f ca="1">SUM(INDIRECT(AQ$1&amp;AQ$2&amp;$A217):INDIRECT(AQ$1&amp;AQ$3&amp;$A217))+SUM(INDIRECT(AQ$1&amp;AQ$2&amp;$B217):INDIRECT(AQ$1&amp;AQ$3&amp;$B217))</f>
        <v>938</v>
      </c>
      <c r="AR217" s="2757">
        <f t="shared" ca="1" si="457"/>
        <v>-513</v>
      </c>
      <c r="AS217" s="2758">
        <f t="shared" ca="1" si="458"/>
        <v>0.453091684434968</v>
      </c>
      <c r="AU217" s="1378">
        <f ca="1">SUM((INDIRECT(AU$2&amp;(ROW())):INDIRECT(AU$3&amp;(ROW()))))</f>
        <v>425</v>
      </c>
      <c r="AV217" s="2043">
        <f ca="1">SUM(INDIRECT(AV$1&amp;AV$2&amp;$C217):INDIRECT(AV$1&amp;AV$3&amp;$C217))</f>
        <v>700</v>
      </c>
      <c r="AW217" s="2757">
        <f t="shared" ca="1" si="459"/>
        <v>-275</v>
      </c>
      <c r="AX217" s="2758">
        <f t="shared" ca="1" si="460"/>
        <v>0.6071428571428571</v>
      </c>
      <c r="AY217" s="2043">
        <f ca="1">SUM(INDIRECT(AY$1&amp;AY$2&amp;$A217):INDIRECT(AY$1&amp;AY$3&amp;$A217))+SUM(INDIRECT(AY$1&amp;AY$2&amp;$B217):INDIRECT(AY$1&amp;AY$3&amp;$B217))</f>
        <v>938</v>
      </c>
      <c r="AZ217" s="2757">
        <f t="shared" ca="1" si="461"/>
        <v>-513</v>
      </c>
      <c r="BA217" s="2758">
        <f t="shared" ca="1" si="462"/>
        <v>0.453091684434968</v>
      </c>
      <c r="BC217" s="1378">
        <f ca="1">SUM((INDIRECT(BC$2&amp;(ROW())):INDIRECT(BC$3&amp;(ROW()))))</f>
        <v>425</v>
      </c>
      <c r="BD217" s="2043">
        <f ca="1">SUM(INDIRECT(BD$1&amp;BD$2&amp;$C217):INDIRECT(BD$1&amp;BD$3&amp;$C217))</f>
        <v>700</v>
      </c>
      <c r="BE217" s="2757">
        <f t="shared" ca="1" si="463"/>
        <v>-275</v>
      </c>
      <c r="BF217" s="2758">
        <f t="shared" ca="1" si="464"/>
        <v>0.6071428571428571</v>
      </c>
      <c r="BG217" s="2043">
        <f ca="1">SUM(INDIRECT(BG$1&amp;BG$2&amp;$A217):INDIRECT(BG$1&amp;BG$3&amp;$A217))+SUM(INDIRECT(BG$1&amp;BG$2&amp;$B217):INDIRECT(BG$1&amp;BG$3&amp;$B217))</f>
        <v>938</v>
      </c>
      <c r="BH217" s="2757">
        <f t="shared" ca="1" si="465"/>
        <v>-513</v>
      </c>
      <c r="BI217" s="2758">
        <f t="shared" ca="1" si="466"/>
        <v>0.453091684434968</v>
      </c>
    </row>
    <row r="218" spans="1:61" s="69" customFormat="1" ht="14.5">
      <c r="A218" s="1693">
        <f t="shared" si="453"/>
        <v>218</v>
      </c>
      <c r="B218" s="616">
        <v>1</v>
      </c>
      <c r="C218" s="1693">
        <f t="shared" si="452"/>
        <v>218</v>
      </c>
      <c r="D218" s="616">
        <v>1</v>
      </c>
      <c r="E218" s="709" t="s">
        <v>512</v>
      </c>
      <c r="F218" s="1572"/>
      <c r="G218" s="4"/>
      <c r="H218" s="4"/>
      <c r="I218" s="4"/>
      <c r="J218" s="27"/>
      <c r="K218" s="3"/>
      <c r="L218" s="4"/>
      <c r="M218" s="4"/>
      <c r="N218" s="4"/>
      <c r="O218" s="3" t="s">
        <v>117</v>
      </c>
      <c r="P218" s="3"/>
      <c r="Q218" s="3"/>
      <c r="R218" s="1784" t="str">
        <f>CHOOSE(2, "6722000003137", "PL (3) Net Sales NH Label Printer")</f>
        <v>PL (3) Net Sales NH Label Printer</v>
      </c>
      <c r="S218" s="1289">
        <f t="shared" si="477"/>
        <v>3783</v>
      </c>
      <c r="T218" s="1232">
        <f t="shared" si="477"/>
        <v>2497.3389999999999</v>
      </c>
      <c r="U218" s="1232">
        <f t="shared" si="477"/>
        <v>2325.1509999999998</v>
      </c>
      <c r="V218" s="1232">
        <f t="shared" si="477"/>
        <v>2858.1590000000001</v>
      </c>
      <c r="W218" s="1232">
        <f t="shared" si="477"/>
        <v>2608.8040000000001</v>
      </c>
      <c r="X218" s="1232">
        <f t="shared" si="477"/>
        <v>3916.6840000000002</v>
      </c>
      <c r="Y218" s="1232">
        <f t="shared" si="477"/>
        <v>2882.4740000000002</v>
      </c>
      <c r="Z218" s="1232">
        <f t="shared" si="477"/>
        <v>3210.85</v>
      </c>
      <c r="AA218" s="1232">
        <f t="shared" si="477"/>
        <v>3861.44</v>
      </c>
      <c r="AB218" s="1232">
        <f t="shared" si="477"/>
        <v>4224.6949999999997</v>
      </c>
      <c r="AC218" s="1232">
        <f t="shared" si="477"/>
        <v>4620.3329999999996</v>
      </c>
      <c r="AD218" s="1232">
        <f t="shared" si="477"/>
        <v>3922.1</v>
      </c>
      <c r="AE218" s="1232">
        <f t="shared" si="468"/>
        <v>8605.49</v>
      </c>
      <c r="AF218" s="1232">
        <f t="shared" si="469"/>
        <v>9383.6470000000008</v>
      </c>
      <c r="AG218" s="1232">
        <f t="shared" si="470"/>
        <v>9954.764000000001</v>
      </c>
      <c r="AH218" s="1232">
        <f t="shared" si="471"/>
        <v>12767.127999999999</v>
      </c>
      <c r="AI218" s="1232">
        <f t="shared" si="473"/>
        <v>17989.137000000002</v>
      </c>
      <c r="AJ218" s="1232">
        <f t="shared" si="474"/>
        <v>22721.892</v>
      </c>
      <c r="AK218" s="1232">
        <f t="shared" si="475"/>
        <v>40711.029000000002</v>
      </c>
      <c r="AM218" s="1378">
        <f ca="1">SUM((INDIRECT(AM$2&amp;(ROW())):INDIRECT(AM$3&amp;(ROW()))))</f>
        <v>3783</v>
      </c>
      <c r="AN218" s="2043">
        <f ca="1">SUM(INDIRECT(AN$1&amp;AN$2&amp;$C218):INDIRECT(AN$1&amp;AN$3&amp;$C218))</f>
        <v>3200</v>
      </c>
      <c r="AO218" s="2757">
        <f t="shared" ca="1" si="376"/>
        <v>583</v>
      </c>
      <c r="AP218" s="2758">
        <f t="shared" ca="1" si="456"/>
        <v>1.1821874999999999</v>
      </c>
      <c r="AQ218" s="2043">
        <f ca="1">SUM(INDIRECT(AQ$1&amp;AQ$2&amp;$A218):INDIRECT(AQ$1&amp;AQ$3&amp;$A218))+SUM(INDIRECT(AQ$1&amp;AQ$2&amp;$B218):INDIRECT(AQ$1&amp;AQ$3&amp;$B218))</f>
        <v>2340</v>
      </c>
      <c r="AR218" s="2757">
        <f t="shared" ca="1" si="457"/>
        <v>1443</v>
      </c>
      <c r="AS218" s="2758">
        <f t="shared" ca="1" si="458"/>
        <v>1.6166666666666667</v>
      </c>
      <c r="AU218" s="1378">
        <f ca="1">SUM((INDIRECT(AU$2&amp;(ROW())):INDIRECT(AU$3&amp;(ROW()))))</f>
        <v>3783</v>
      </c>
      <c r="AV218" s="2043">
        <f ca="1">SUM(INDIRECT(AV$1&amp;AV$2&amp;$C218):INDIRECT(AV$1&amp;AV$3&amp;$C218))</f>
        <v>3200</v>
      </c>
      <c r="AW218" s="2757">
        <f t="shared" ca="1" si="459"/>
        <v>583</v>
      </c>
      <c r="AX218" s="2758">
        <f t="shared" ca="1" si="460"/>
        <v>1.1821874999999999</v>
      </c>
      <c r="AY218" s="2043">
        <f ca="1">SUM(INDIRECT(AY$1&amp;AY$2&amp;$A218):INDIRECT(AY$1&amp;AY$3&amp;$A218))+SUM(INDIRECT(AY$1&amp;AY$2&amp;$B218):INDIRECT(AY$1&amp;AY$3&amp;$B218))</f>
        <v>2340</v>
      </c>
      <c r="AZ218" s="2757">
        <f t="shared" ca="1" si="461"/>
        <v>1443</v>
      </c>
      <c r="BA218" s="2758">
        <f t="shared" ca="1" si="462"/>
        <v>1.6166666666666667</v>
      </c>
      <c r="BC218" s="1378">
        <f ca="1">SUM((INDIRECT(BC$2&amp;(ROW())):INDIRECT(BC$3&amp;(ROW()))))</f>
        <v>3783</v>
      </c>
      <c r="BD218" s="2043">
        <f ca="1">SUM(INDIRECT(BD$1&amp;BD$2&amp;$C218):INDIRECT(BD$1&amp;BD$3&amp;$C218))</f>
        <v>3200</v>
      </c>
      <c r="BE218" s="2757">
        <f t="shared" ca="1" si="463"/>
        <v>583</v>
      </c>
      <c r="BF218" s="2758">
        <f t="shared" ca="1" si="464"/>
        <v>1.1821874999999999</v>
      </c>
      <c r="BG218" s="2043">
        <f ca="1">SUM(INDIRECT(BG$1&amp;BG$2&amp;$A218):INDIRECT(BG$1&amp;BG$3&amp;$A218))+SUM(INDIRECT(BG$1&amp;BG$2&amp;$B218):INDIRECT(BG$1&amp;BG$3&amp;$B218))</f>
        <v>2340</v>
      </c>
      <c r="BH218" s="2757">
        <f t="shared" ca="1" si="465"/>
        <v>1443</v>
      </c>
      <c r="BI218" s="2758">
        <f t="shared" ca="1" si="466"/>
        <v>1.6166666666666667</v>
      </c>
    </row>
    <row r="219" spans="1:61" s="69" customFormat="1" ht="14.5">
      <c r="A219" s="1693">
        <f t="shared" si="453"/>
        <v>219</v>
      </c>
      <c r="B219" s="616">
        <v>1</v>
      </c>
      <c r="C219" s="1693">
        <f t="shared" si="452"/>
        <v>219</v>
      </c>
      <c r="D219" s="616">
        <v>1</v>
      </c>
      <c r="E219" s="709" t="s">
        <v>512</v>
      </c>
      <c r="F219" s="1572"/>
      <c r="G219" s="4"/>
      <c r="H219" s="4"/>
      <c r="I219" s="4"/>
      <c r="J219" s="27"/>
      <c r="K219" s="3"/>
      <c r="L219" s="4"/>
      <c r="M219" s="4"/>
      <c r="N219" s="4"/>
      <c r="O219" s="3" t="s">
        <v>52</v>
      </c>
      <c r="P219" s="3"/>
      <c r="Q219" s="865"/>
      <c r="R219" s="1784" t="str">
        <f>CHOOSE(2, "6722000003138", "PL (3) Net Sales NH MGI")</f>
        <v>PL (3) Net Sales NH MGI</v>
      </c>
      <c r="S219" s="1289">
        <f t="shared" si="477"/>
        <v>3727</v>
      </c>
      <c r="T219" s="1232">
        <f t="shared" si="477"/>
        <v>4905.3379999999997</v>
      </c>
      <c r="U219" s="1232">
        <f t="shared" si="477"/>
        <v>5324.4369999999999</v>
      </c>
      <c r="V219" s="1232">
        <f t="shared" si="477"/>
        <v>4507.0219999999999</v>
      </c>
      <c r="W219" s="1232">
        <f t="shared" si="477"/>
        <v>5504.5309999999999</v>
      </c>
      <c r="X219" s="1232">
        <f t="shared" si="477"/>
        <v>7346.2020000000002</v>
      </c>
      <c r="Y219" s="1232">
        <f t="shared" si="477"/>
        <v>7847.2560000000003</v>
      </c>
      <c r="Z219" s="1232">
        <f t="shared" si="477"/>
        <v>5209.9650000000001</v>
      </c>
      <c r="AA219" s="1232">
        <f t="shared" si="477"/>
        <v>4491.0450000000001</v>
      </c>
      <c r="AB219" s="1232">
        <f t="shared" si="477"/>
        <v>4250.0250999999998</v>
      </c>
      <c r="AC219" s="1232">
        <f t="shared" si="477"/>
        <v>5234.5950000000003</v>
      </c>
      <c r="AD219" s="1232">
        <f t="shared" si="477"/>
        <v>3339.8609999999999</v>
      </c>
      <c r="AE219" s="1232">
        <f t="shared" si="468"/>
        <v>13956.775</v>
      </c>
      <c r="AF219" s="1232">
        <f t="shared" si="469"/>
        <v>17357.755000000001</v>
      </c>
      <c r="AG219" s="1232">
        <f t="shared" si="470"/>
        <v>17548.266000000003</v>
      </c>
      <c r="AH219" s="1232">
        <f t="shared" si="471"/>
        <v>12824.481100000001</v>
      </c>
      <c r="AI219" s="1232">
        <f t="shared" si="473"/>
        <v>31314.53</v>
      </c>
      <c r="AJ219" s="1232">
        <f t="shared" si="474"/>
        <v>30372.747100000004</v>
      </c>
      <c r="AK219" s="1232">
        <f t="shared" si="475"/>
        <v>61687.277100000007</v>
      </c>
      <c r="AM219" s="1378">
        <f ca="1">SUM((INDIRECT(AM$2&amp;(ROW())):INDIRECT(AM$3&amp;(ROW()))))</f>
        <v>3727</v>
      </c>
      <c r="AN219" s="2043">
        <f ca="1">SUM(INDIRECT(AN$1&amp;AN$2&amp;$C219):INDIRECT(AN$1&amp;AN$3&amp;$C219))</f>
        <v>2800</v>
      </c>
      <c r="AO219" s="2757">
        <f t="shared" ca="1" si="376"/>
        <v>927</v>
      </c>
      <c r="AP219" s="2758">
        <f t="shared" ca="1" si="456"/>
        <v>1.3310714285714285</v>
      </c>
      <c r="AQ219" s="2043">
        <f ca="1">SUM(INDIRECT(AQ$1&amp;AQ$2&amp;$A219):INDIRECT(AQ$1&amp;AQ$3&amp;$A219))+SUM(INDIRECT(AQ$1&amp;AQ$2&amp;$B219):INDIRECT(AQ$1&amp;AQ$3&amp;$B219))</f>
        <v>2528</v>
      </c>
      <c r="AR219" s="2757">
        <f t="shared" ca="1" si="457"/>
        <v>1199</v>
      </c>
      <c r="AS219" s="2758">
        <f t="shared" ca="1" si="458"/>
        <v>1.4742879746835442</v>
      </c>
      <c r="AU219" s="1378">
        <f ca="1">SUM((INDIRECT(AU$2&amp;(ROW())):INDIRECT(AU$3&amp;(ROW()))))</f>
        <v>3727</v>
      </c>
      <c r="AV219" s="2043">
        <f ca="1">SUM(INDIRECT(AV$1&amp;AV$2&amp;$C219):INDIRECT(AV$1&amp;AV$3&amp;$C219))</f>
        <v>2800</v>
      </c>
      <c r="AW219" s="2757">
        <f t="shared" ca="1" si="459"/>
        <v>927</v>
      </c>
      <c r="AX219" s="2758">
        <f t="shared" ca="1" si="460"/>
        <v>1.3310714285714285</v>
      </c>
      <c r="AY219" s="2043">
        <f ca="1">SUM(INDIRECT(AY$1&amp;AY$2&amp;$A219):INDIRECT(AY$1&amp;AY$3&amp;$A219))+SUM(INDIRECT(AY$1&amp;AY$2&amp;$B219):INDIRECT(AY$1&amp;AY$3&amp;$B219))</f>
        <v>2528</v>
      </c>
      <c r="AZ219" s="2757">
        <f t="shared" ca="1" si="461"/>
        <v>1199</v>
      </c>
      <c r="BA219" s="2758">
        <f t="shared" ca="1" si="462"/>
        <v>1.4742879746835442</v>
      </c>
      <c r="BC219" s="1378">
        <f ca="1">SUM((INDIRECT(BC$2&amp;(ROW())):INDIRECT(BC$3&amp;(ROW()))))</f>
        <v>3727</v>
      </c>
      <c r="BD219" s="2043">
        <f ca="1">SUM(INDIRECT(BD$1&amp;BD$2&amp;$C219):INDIRECT(BD$1&amp;BD$3&amp;$C219))</f>
        <v>2800</v>
      </c>
      <c r="BE219" s="2757">
        <f t="shared" ca="1" si="463"/>
        <v>927</v>
      </c>
      <c r="BF219" s="2758">
        <f t="shared" ca="1" si="464"/>
        <v>1.3310714285714285</v>
      </c>
      <c r="BG219" s="2043">
        <f ca="1">SUM(INDIRECT(BG$1&amp;BG$2&amp;$A219):INDIRECT(BG$1&amp;BG$3&amp;$A219))+SUM(INDIRECT(BG$1&amp;BG$2&amp;$B219):INDIRECT(BG$1&amp;BG$3&amp;$B219))</f>
        <v>2528</v>
      </c>
      <c r="BH219" s="2757">
        <f t="shared" ca="1" si="465"/>
        <v>1199</v>
      </c>
      <c r="BI219" s="2758">
        <f t="shared" ca="1" si="466"/>
        <v>1.4742879746835442</v>
      </c>
    </row>
    <row r="220" spans="1:61" s="69" customFormat="1" ht="14.5">
      <c r="A220" s="1693">
        <f t="shared" si="453"/>
        <v>220</v>
      </c>
      <c r="B220" s="616">
        <v>1</v>
      </c>
      <c r="C220" s="1693">
        <f t="shared" si="452"/>
        <v>220</v>
      </c>
      <c r="D220" s="616">
        <v>1</v>
      </c>
      <c r="E220" s="709" t="s">
        <v>512</v>
      </c>
      <c r="F220" s="1572"/>
      <c r="G220" s="4"/>
      <c r="H220" s="4"/>
      <c r="I220" s="4"/>
      <c r="J220" s="27"/>
      <c r="K220" s="3"/>
      <c r="L220" s="4"/>
      <c r="M220" s="4"/>
      <c r="N220" s="4"/>
      <c r="O220" s="3" t="s">
        <v>118</v>
      </c>
      <c r="P220" s="3"/>
      <c r="Q220" s="3"/>
      <c r="R220" s="1784" t="str">
        <f>CHOOSE(2, "6722000003139", "PL (3) Net Sales NH EFI/LF")</f>
        <v>PL (3) Net Sales NH EFI/LF</v>
      </c>
      <c r="S220" s="1289">
        <f t="shared" si="477"/>
        <v>0</v>
      </c>
      <c r="T220" s="1232">
        <f t="shared" si="477"/>
        <v>0</v>
      </c>
      <c r="U220" s="1232">
        <f t="shared" si="477"/>
        <v>0</v>
      </c>
      <c r="V220" s="1232">
        <f t="shared" si="477"/>
        <v>0</v>
      </c>
      <c r="W220" s="1232">
        <f t="shared" si="477"/>
        <v>0</v>
      </c>
      <c r="X220" s="1232">
        <f t="shared" si="477"/>
        <v>0</v>
      </c>
      <c r="Y220" s="1232">
        <f t="shared" si="477"/>
        <v>0</v>
      </c>
      <c r="Z220" s="1232">
        <f t="shared" si="477"/>
        <v>0</v>
      </c>
      <c r="AA220" s="1232">
        <f t="shared" si="477"/>
        <v>0</v>
      </c>
      <c r="AB220" s="1232">
        <f t="shared" si="477"/>
        <v>0</v>
      </c>
      <c r="AC220" s="1232">
        <f t="shared" si="477"/>
        <v>0</v>
      </c>
      <c r="AD220" s="1232">
        <f t="shared" si="477"/>
        <v>0</v>
      </c>
      <c r="AE220" s="1232">
        <f t="shared" si="468"/>
        <v>0</v>
      </c>
      <c r="AF220" s="1232">
        <f t="shared" si="469"/>
        <v>0</v>
      </c>
      <c r="AG220" s="1232">
        <f t="shared" si="470"/>
        <v>0</v>
      </c>
      <c r="AH220" s="1232">
        <f t="shared" si="471"/>
        <v>0</v>
      </c>
      <c r="AI220" s="1232">
        <f t="shared" si="473"/>
        <v>0</v>
      </c>
      <c r="AJ220" s="1232">
        <f t="shared" si="474"/>
        <v>0</v>
      </c>
      <c r="AK220" s="1232">
        <f t="shared" si="475"/>
        <v>0</v>
      </c>
      <c r="AM220" s="1378">
        <f ca="1">SUM((INDIRECT(AM$2&amp;(ROW())):INDIRECT(AM$3&amp;(ROW()))))</f>
        <v>0</v>
      </c>
      <c r="AN220" s="2043">
        <f ca="1">SUM(INDIRECT(AN$1&amp;AN$2&amp;$C220):INDIRECT(AN$1&amp;AN$3&amp;$C220))</f>
        <v>0</v>
      </c>
      <c r="AO220" s="2757">
        <f t="shared" ca="1" si="376"/>
        <v>0</v>
      </c>
      <c r="AP220" s="2758">
        <f t="shared" ca="1" si="456"/>
        <v>0</v>
      </c>
      <c r="AQ220" s="2043">
        <f ca="1">SUM(INDIRECT(AQ$1&amp;AQ$2&amp;$A220):INDIRECT(AQ$1&amp;AQ$3&amp;$A220))+SUM(INDIRECT(AQ$1&amp;AQ$2&amp;$B220):INDIRECT(AQ$1&amp;AQ$3&amp;$B220))</f>
        <v>0</v>
      </c>
      <c r="AR220" s="2757">
        <f t="shared" ca="1" si="457"/>
        <v>0</v>
      </c>
      <c r="AS220" s="2758">
        <f t="shared" ca="1" si="458"/>
        <v>0</v>
      </c>
      <c r="AU220" s="1378">
        <f ca="1">SUM((INDIRECT(AU$2&amp;(ROW())):INDIRECT(AU$3&amp;(ROW()))))</f>
        <v>0</v>
      </c>
      <c r="AV220" s="2043">
        <f ca="1">SUM(INDIRECT(AV$1&amp;AV$2&amp;$C220):INDIRECT(AV$1&amp;AV$3&amp;$C220))</f>
        <v>0</v>
      </c>
      <c r="AW220" s="2757">
        <f t="shared" ca="1" si="459"/>
        <v>0</v>
      </c>
      <c r="AX220" s="2758">
        <f t="shared" ca="1" si="460"/>
        <v>0</v>
      </c>
      <c r="AY220" s="2043">
        <f ca="1">SUM(INDIRECT(AY$1&amp;AY$2&amp;$A220):INDIRECT(AY$1&amp;AY$3&amp;$A220))+SUM(INDIRECT(AY$1&amp;AY$2&amp;$B220):INDIRECT(AY$1&amp;AY$3&amp;$B220))</f>
        <v>0</v>
      </c>
      <c r="AZ220" s="2757">
        <f t="shared" ca="1" si="461"/>
        <v>0</v>
      </c>
      <c r="BA220" s="2758">
        <f t="shared" ca="1" si="462"/>
        <v>0</v>
      </c>
      <c r="BC220" s="1378">
        <f ca="1">SUM((INDIRECT(BC$2&amp;(ROW())):INDIRECT(BC$3&amp;(ROW()))))</f>
        <v>0</v>
      </c>
      <c r="BD220" s="2043">
        <f ca="1">SUM(INDIRECT(BD$1&amp;BD$2&amp;$C220):INDIRECT(BD$1&amp;BD$3&amp;$C220))</f>
        <v>0</v>
      </c>
      <c r="BE220" s="2757">
        <f t="shared" ca="1" si="463"/>
        <v>0</v>
      </c>
      <c r="BF220" s="2758">
        <f t="shared" ca="1" si="464"/>
        <v>0</v>
      </c>
      <c r="BG220" s="2043">
        <f ca="1">SUM(INDIRECT(BG$1&amp;BG$2&amp;$A220):INDIRECT(BG$1&amp;BG$3&amp;$A220))+SUM(INDIRECT(BG$1&amp;BG$2&amp;$B220):INDIRECT(BG$1&amp;BG$3&amp;$B220))</f>
        <v>0</v>
      </c>
      <c r="BH220" s="2757">
        <f t="shared" ca="1" si="465"/>
        <v>0</v>
      </c>
      <c r="BI220" s="2758">
        <f t="shared" ca="1" si="466"/>
        <v>0</v>
      </c>
    </row>
    <row r="221" spans="1:61" s="69" customFormat="1" ht="14.5">
      <c r="A221" s="1693">
        <f t="shared" si="453"/>
        <v>221</v>
      </c>
      <c r="B221" s="616">
        <v>1</v>
      </c>
      <c r="C221" s="1693">
        <f t="shared" si="452"/>
        <v>221</v>
      </c>
      <c r="D221" s="616">
        <v>1</v>
      </c>
      <c r="E221" s="709" t="s">
        <v>512</v>
      </c>
      <c r="F221" s="1572"/>
      <c r="G221" s="4"/>
      <c r="H221" s="4"/>
      <c r="I221" s="4"/>
      <c r="J221" s="27"/>
      <c r="K221" s="3"/>
      <c r="L221" s="4"/>
      <c r="M221" s="4"/>
      <c r="N221" s="4"/>
      <c r="O221" s="3" t="s">
        <v>180</v>
      </c>
      <c r="P221" s="3"/>
      <c r="Q221" s="3"/>
      <c r="R221" s="1784" t="str">
        <f>CHOOSE(2, "6722000003140", "PL (3) Net Sales NH Textile Printer")</f>
        <v>PL (3) Net Sales NH Textile Printer</v>
      </c>
      <c r="S221" s="1289">
        <f t="shared" si="477"/>
        <v>0</v>
      </c>
      <c r="T221" s="1232">
        <f t="shared" si="477"/>
        <v>0</v>
      </c>
      <c r="U221" s="1232">
        <f t="shared" si="477"/>
        <v>0</v>
      </c>
      <c r="V221" s="1232">
        <f t="shared" si="477"/>
        <v>0</v>
      </c>
      <c r="W221" s="1232">
        <f t="shared" si="477"/>
        <v>0</v>
      </c>
      <c r="X221" s="1232">
        <f t="shared" si="477"/>
        <v>0</v>
      </c>
      <c r="Y221" s="1232">
        <f t="shared" si="477"/>
        <v>0</v>
      </c>
      <c r="Z221" s="1232">
        <f t="shared" si="477"/>
        <v>0</v>
      </c>
      <c r="AA221" s="1232">
        <f t="shared" si="477"/>
        <v>0</v>
      </c>
      <c r="AB221" s="1232">
        <f t="shared" si="477"/>
        <v>0</v>
      </c>
      <c r="AC221" s="1232">
        <f t="shared" si="477"/>
        <v>0</v>
      </c>
      <c r="AD221" s="1232">
        <f t="shared" si="477"/>
        <v>0</v>
      </c>
      <c r="AE221" s="1232">
        <f t="shared" si="468"/>
        <v>0</v>
      </c>
      <c r="AF221" s="1232">
        <f t="shared" si="469"/>
        <v>0</v>
      </c>
      <c r="AG221" s="1232">
        <f t="shared" si="470"/>
        <v>0</v>
      </c>
      <c r="AH221" s="1232">
        <f t="shared" si="471"/>
        <v>0</v>
      </c>
      <c r="AI221" s="1232">
        <f t="shared" si="473"/>
        <v>0</v>
      </c>
      <c r="AJ221" s="1232">
        <f t="shared" si="474"/>
        <v>0</v>
      </c>
      <c r="AK221" s="1232">
        <f t="shared" si="475"/>
        <v>0</v>
      </c>
      <c r="AM221" s="1378">
        <f ca="1">SUM((INDIRECT(AM$2&amp;(ROW())):INDIRECT(AM$3&amp;(ROW()))))</f>
        <v>0</v>
      </c>
      <c r="AN221" s="2043">
        <f ca="1">SUM(INDIRECT(AN$1&amp;AN$2&amp;$C221):INDIRECT(AN$1&amp;AN$3&amp;$C221))</f>
        <v>0</v>
      </c>
      <c r="AO221" s="2757">
        <f t="shared" ca="1" si="376"/>
        <v>0</v>
      </c>
      <c r="AP221" s="2758">
        <f t="shared" ca="1" si="456"/>
        <v>0</v>
      </c>
      <c r="AQ221" s="2043">
        <f ca="1">SUM(INDIRECT(AQ$1&amp;AQ$2&amp;$A221):INDIRECT(AQ$1&amp;AQ$3&amp;$A221))+SUM(INDIRECT(AQ$1&amp;AQ$2&amp;$B221):INDIRECT(AQ$1&amp;AQ$3&amp;$B221))</f>
        <v>0</v>
      </c>
      <c r="AR221" s="2757">
        <f t="shared" ca="1" si="457"/>
        <v>0</v>
      </c>
      <c r="AS221" s="2758">
        <f t="shared" ca="1" si="458"/>
        <v>0</v>
      </c>
      <c r="AU221" s="1378">
        <f ca="1">SUM((INDIRECT(AU$2&amp;(ROW())):INDIRECT(AU$3&amp;(ROW()))))</f>
        <v>0</v>
      </c>
      <c r="AV221" s="2043">
        <f ca="1">SUM(INDIRECT(AV$1&amp;AV$2&amp;$C221):INDIRECT(AV$1&amp;AV$3&amp;$C221))</f>
        <v>0</v>
      </c>
      <c r="AW221" s="2757">
        <f t="shared" ca="1" si="459"/>
        <v>0</v>
      </c>
      <c r="AX221" s="2758">
        <f t="shared" ca="1" si="460"/>
        <v>0</v>
      </c>
      <c r="AY221" s="2043">
        <f ca="1">SUM(INDIRECT(AY$1&amp;AY$2&amp;$A221):INDIRECT(AY$1&amp;AY$3&amp;$A221))+SUM(INDIRECT(AY$1&amp;AY$2&amp;$B221):INDIRECT(AY$1&amp;AY$3&amp;$B221))</f>
        <v>0</v>
      </c>
      <c r="AZ221" s="2757">
        <f t="shared" ca="1" si="461"/>
        <v>0</v>
      </c>
      <c r="BA221" s="2758">
        <f t="shared" ca="1" si="462"/>
        <v>0</v>
      </c>
      <c r="BC221" s="1378">
        <f ca="1">SUM((INDIRECT(BC$2&amp;(ROW())):INDIRECT(BC$3&amp;(ROW()))))</f>
        <v>0</v>
      </c>
      <c r="BD221" s="2043">
        <f ca="1">SUM(INDIRECT(BD$1&amp;BD$2&amp;$C221):INDIRECT(BD$1&amp;BD$3&amp;$C221))</f>
        <v>0</v>
      </c>
      <c r="BE221" s="2757">
        <f t="shared" ca="1" si="463"/>
        <v>0</v>
      </c>
      <c r="BF221" s="2758">
        <f t="shared" ca="1" si="464"/>
        <v>0</v>
      </c>
      <c r="BG221" s="2043">
        <f ca="1">SUM(INDIRECT(BG$1&amp;BG$2&amp;$A221):INDIRECT(BG$1&amp;BG$3&amp;$A221))+SUM(INDIRECT(BG$1&amp;BG$2&amp;$B221):INDIRECT(BG$1&amp;BG$3&amp;$B221))</f>
        <v>0</v>
      </c>
      <c r="BH221" s="2757">
        <f t="shared" ca="1" si="465"/>
        <v>0</v>
      </c>
      <c r="BI221" s="2758">
        <f t="shared" ca="1" si="466"/>
        <v>0</v>
      </c>
    </row>
    <row r="222" spans="1:61" s="69" customFormat="1" ht="14.5">
      <c r="A222" s="1693">
        <f t="shared" si="453"/>
        <v>222</v>
      </c>
      <c r="B222" s="616">
        <v>1</v>
      </c>
      <c r="C222" s="1693">
        <f t="shared" si="452"/>
        <v>222</v>
      </c>
      <c r="D222" s="616">
        <v>1</v>
      </c>
      <c r="E222" s="709" t="s">
        <v>512</v>
      </c>
      <c r="F222" s="1572"/>
      <c r="G222" s="4"/>
      <c r="H222" s="4"/>
      <c r="I222" s="4"/>
      <c r="J222" s="25"/>
      <c r="K222" s="1"/>
      <c r="L222" s="2"/>
      <c r="M222" s="2"/>
      <c r="N222" s="2"/>
      <c r="O222" s="1" t="s">
        <v>51</v>
      </c>
      <c r="P222" s="1"/>
      <c r="Q222" s="1"/>
      <c r="R222" s="1784" t="str">
        <f>CHOOSE(2, "6722000003141", "PL (3) Net Sales NH Others")</f>
        <v>PL (3) Net Sales NH Others</v>
      </c>
      <c r="S222" s="1290">
        <f t="shared" si="477"/>
        <v>0</v>
      </c>
      <c r="T222" s="1241">
        <f t="shared" si="477"/>
        <v>0</v>
      </c>
      <c r="U222" s="1241">
        <f t="shared" si="477"/>
        <v>0</v>
      </c>
      <c r="V222" s="1241">
        <f t="shared" si="477"/>
        <v>0</v>
      </c>
      <c r="W222" s="1241">
        <f t="shared" si="477"/>
        <v>0</v>
      </c>
      <c r="X222" s="1241">
        <f t="shared" si="477"/>
        <v>0</v>
      </c>
      <c r="Y222" s="1241">
        <f t="shared" si="477"/>
        <v>0</v>
      </c>
      <c r="Z222" s="1241">
        <f t="shared" si="477"/>
        <v>0</v>
      </c>
      <c r="AA222" s="1241">
        <f t="shared" si="477"/>
        <v>0</v>
      </c>
      <c r="AB222" s="1241">
        <f t="shared" si="477"/>
        <v>0</v>
      </c>
      <c r="AC222" s="1241">
        <f t="shared" si="477"/>
        <v>0</v>
      </c>
      <c r="AD222" s="1241">
        <f t="shared" si="477"/>
        <v>0</v>
      </c>
      <c r="AE222" s="1241">
        <f t="shared" si="468"/>
        <v>0</v>
      </c>
      <c r="AF222" s="1241">
        <f t="shared" si="469"/>
        <v>0</v>
      </c>
      <c r="AG222" s="1241">
        <f t="shared" si="470"/>
        <v>0</v>
      </c>
      <c r="AH222" s="1241">
        <f t="shared" si="471"/>
        <v>0</v>
      </c>
      <c r="AI222" s="1241">
        <f t="shared" si="473"/>
        <v>0</v>
      </c>
      <c r="AJ222" s="1241">
        <f t="shared" si="474"/>
        <v>0</v>
      </c>
      <c r="AK222" s="1241">
        <f t="shared" si="475"/>
        <v>0</v>
      </c>
      <c r="AM222" s="1379">
        <f ca="1">SUM((INDIRECT(AM$2&amp;(ROW())):INDIRECT(AM$3&amp;(ROW()))))</f>
        <v>0</v>
      </c>
      <c r="AN222" s="1979">
        <f ca="1">SUM(INDIRECT(AN$1&amp;AN$2&amp;$C222):INDIRECT(AN$1&amp;AN$3&amp;$C222))</f>
        <v>0</v>
      </c>
      <c r="AO222" s="2742">
        <f t="shared" ca="1" si="376"/>
        <v>0</v>
      </c>
      <c r="AP222" s="2743">
        <f t="shared" ca="1" si="456"/>
        <v>0</v>
      </c>
      <c r="AQ222" s="1979">
        <f ca="1">SUM(INDIRECT(AQ$1&amp;AQ$2&amp;$A222):INDIRECT(AQ$1&amp;AQ$3&amp;$A222))+SUM(INDIRECT(AQ$1&amp;AQ$2&amp;$B222):INDIRECT(AQ$1&amp;AQ$3&amp;$B222))</f>
        <v>0</v>
      </c>
      <c r="AR222" s="2742">
        <f t="shared" ca="1" si="457"/>
        <v>0</v>
      </c>
      <c r="AS222" s="2743">
        <f t="shared" ca="1" si="458"/>
        <v>0</v>
      </c>
      <c r="AU222" s="1379">
        <f ca="1">SUM((INDIRECT(AU$2&amp;(ROW())):INDIRECT(AU$3&amp;(ROW()))))</f>
        <v>0</v>
      </c>
      <c r="AV222" s="1979">
        <f ca="1">SUM(INDIRECT(AV$1&amp;AV$2&amp;$C222):INDIRECT(AV$1&amp;AV$3&amp;$C222))</f>
        <v>0</v>
      </c>
      <c r="AW222" s="2742">
        <f t="shared" ca="1" si="459"/>
        <v>0</v>
      </c>
      <c r="AX222" s="2743">
        <f t="shared" ca="1" si="460"/>
        <v>0</v>
      </c>
      <c r="AY222" s="1979">
        <f ca="1">SUM(INDIRECT(AY$1&amp;AY$2&amp;$A222):INDIRECT(AY$1&amp;AY$3&amp;$A222))+SUM(INDIRECT(AY$1&amp;AY$2&amp;$B222):INDIRECT(AY$1&amp;AY$3&amp;$B222))</f>
        <v>0</v>
      </c>
      <c r="AZ222" s="2742">
        <f t="shared" ca="1" si="461"/>
        <v>0</v>
      </c>
      <c r="BA222" s="2743">
        <f t="shared" ca="1" si="462"/>
        <v>0</v>
      </c>
      <c r="BC222" s="1379">
        <f ca="1">SUM((INDIRECT(BC$2&amp;(ROW())):INDIRECT(BC$3&amp;(ROW()))))</f>
        <v>0</v>
      </c>
      <c r="BD222" s="1979">
        <f ca="1">SUM(INDIRECT(BD$1&amp;BD$2&amp;$C222):INDIRECT(BD$1&amp;BD$3&amp;$C222))</f>
        <v>0</v>
      </c>
      <c r="BE222" s="2742">
        <f t="shared" ca="1" si="463"/>
        <v>0</v>
      </c>
      <c r="BF222" s="2743">
        <f t="shared" ca="1" si="464"/>
        <v>0</v>
      </c>
      <c r="BG222" s="1979">
        <f ca="1">SUM(INDIRECT(BG$1&amp;BG$2&amp;$A222):INDIRECT(BG$1&amp;BG$3&amp;$A222))+SUM(INDIRECT(BG$1&amp;BG$2&amp;$B222):INDIRECT(BG$1&amp;BG$3&amp;$B222))</f>
        <v>0</v>
      </c>
      <c r="BH222" s="2742">
        <f t="shared" ca="1" si="465"/>
        <v>0</v>
      </c>
      <c r="BI222" s="2743">
        <f t="shared" ca="1" si="466"/>
        <v>0</v>
      </c>
    </row>
    <row r="223" spans="1:61" ht="14.5">
      <c r="A223" s="1693">
        <f t="shared" si="453"/>
        <v>223</v>
      </c>
      <c r="B223" s="616">
        <v>1</v>
      </c>
      <c r="C223" s="1693">
        <f t="shared" si="452"/>
        <v>223</v>
      </c>
      <c r="D223" s="616">
        <v>1</v>
      </c>
      <c r="E223" s="709" t="s">
        <v>512</v>
      </c>
      <c r="F223" s="1572"/>
      <c r="G223" s="4"/>
      <c r="H223" s="4"/>
      <c r="I223" s="4"/>
      <c r="J223" s="365" t="s">
        <v>48</v>
      </c>
      <c r="K223" s="357"/>
      <c r="L223" s="356"/>
      <c r="M223" s="356"/>
      <c r="N223" s="357"/>
      <c r="O223" s="357"/>
      <c r="P223" s="492" t="s">
        <v>304</v>
      </c>
      <c r="Q223" s="489"/>
      <c r="R223" s="1795" t="str">
        <f>CHOOSE(2, "6722000003142", "PL (3) BT Cons. Sales")</f>
        <v>PL (3) BT Cons. Sales</v>
      </c>
      <c r="S223" s="1307">
        <f t="shared" ref="S223:AD223" si="478">S224+S231</f>
        <v>86686</v>
      </c>
      <c r="T223" s="1196">
        <f t="shared" si="478"/>
        <v>17939.617999999999</v>
      </c>
      <c r="U223" s="1196">
        <f t="shared" si="478"/>
        <v>37506.743000000002</v>
      </c>
      <c r="V223" s="1196">
        <f t="shared" si="478"/>
        <v>7925.893</v>
      </c>
      <c r="W223" s="1196">
        <f t="shared" si="478"/>
        <v>36041.862000000001</v>
      </c>
      <c r="X223" s="1196">
        <f t="shared" si="478"/>
        <v>69002.597000000009</v>
      </c>
      <c r="Y223" s="1196">
        <f t="shared" si="478"/>
        <v>11993.526000000002</v>
      </c>
      <c r="Z223" s="1196">
        <f t="shared" si="478"/>
        <v>49334.861000000004</v>
      </c>
      <c r="AA223" s="1196">
        <f t="shared" si="478"/>
        <v>30765.53</v>
      </c>
      <c r="AB223" s="1196">
        <f t="shared" si="478"/>
        <v>18618.551100000001</v>
      </c>
      <c r="AC223" s="1196">
        <f t="shared" si="478"/>
        <v>19432.557000000001</v>
      </c>
      <c r="AD223" s="1196">
        <f t="shared" si="478"/>
        <v>68984.304000000004</v>
      </c>
      <c r="AE223" s="886">
        <f t="shared" ref="AE223:AK223" si="479">AE224+AE231</f>
        <v>142132.361</v>
      </c>
      <c r="AF223" s="362">
        <f t="shared" si="479"/>
        <v>112970.352</v>
      </c>
      <c r="AG223" s="362">
        <f t="shared" si="479"/>
        <v>92093.917000000001</v>
      </c>
      <c r="AH223" s="362">
        <f t="shared" si="479"/>
        <v>107035.4121</v>
      </c>
      <c r="AI223" s="362">
        <f t="shared" si="479"/>
        <v>255102.71299999999</v>
      </c>
      <c r="AJ223" s="362">
        <f t="shared" si="479"/>
        <v>199129.3291</v>
      </c>
      <c r="AK223" s="362">
        <f t="shared" si="479"/>
        <v>454232.04209999996</v>
      </c>
      <c r="AM223" s="2038">
        <f ca="1">SUM((INDIRECT(AM$2&amp;(ROW())):INDIRECT(AM$3&amp;(ROW()))))</f>
        <v>86686</v>
      </c>
      <c r="AN223" s="2039">
        <f ca="1">SUM(INDIRECT(AN$1&amp;AN$2&amp;$C223):INDIRECT(AN$1&amp;AN$3&amp;$C223))</f>
        <v>91600</v>
      </c>
      <c r="AO223" s="2803">
        <f t="shared" ca="1" si="376"/>
        <v>-4914</v>
      </c>
      <c r="AP223" s="2804">
        <f t="shared" ca="1" si="456"/>
        <v>0.94635371179039296</v>
      </c>
      <c r="AQ223" s="2039">
        <f ca="1">SUM(INDIRECT(AQ$1&amp;AQ$2&amp;$A223):INDIRECT(AQ$1&amp;AQ$3&amp;$A223))+SUM(INDIRECT(AQ$1&amp;AQ$2&amp;$B223):INDIRECT(AQ$1&amp;AQ$3&amp;$B223))</f>
        <v>15204</v>
      </c>
      <c r="AR223" s="2803">
        <f t="shared" ca="1" si="457"/>
        <v>71482</v>
      </c>
      <c r="AS223" s="2804">
        <f t="shared" ca="1" si="458"/>
        <v>5.7015259142330965</v>
      </c>
      <c r="AU223" s="2038">
        <f ca="1">SUM((INDIRECT(AU$2&amp;(ROW())):INDIRECT(AU$3&amp;(ROW()))))</f>
        <v>86686</v>
      </c>
      <c r="AV223" s="2039">
        <f ca="1">SUM(INDIRECT(AV$1&amp;AV$2&amp;$C223):INDIRECT(AV$1&amp;AV$3&amp;$C223))</f>
        <v>91600</v>
      </c>
      <c r="AW223" s="2803">
        <f t="shared" ca="1" si="459"/>
        <v>-4914</v>
      </c>
      <c r="AX223" s="2804">
        <f t="shared" ca="1" si="460"/>
        <v>0.94635371179039296</v>
      </c>
      <c r="AY223" s="2039">
        <f ca="1">SUM(INDIRECT(AY$1&amp;AY$2&amp;$A223):INDIRECT(AY$1&amp;AY$3&amp;$A223))+SUM(INDIRECT(AY$1&amp;AY$2&amp;$B223):INDIRECT(AY$1&amp;AY$3&amp;$B223))</f>
        <v>15204</v>
      </c>
      <c r="AZ223" s="2803">
        <f t="shared" ca="1" si="461"/>
        <v>71482</v>
      </c>
      <c r="BA223" s="2804">
        <f t="shared" ca="1" si="462"/>
        <v>5.7015259142330965</v>
      </c>
      <c r="BC223" s="2038">
        <f ca="1">SUM((INDIRECT(BC$2&amp;(ROW())):INDIRECT(BC$3&amp;(ROW()))))</f>
        <v>86686</v>
      </c>
      <c r="BD223" s="2039">
        <f ca="1">SUM(INDIRECT(BD$1&amp;BD$2&amp;$C223):INDIRECT(BD$1&amp;BD$3&amp;$C223))</f>
        <v>91600</v>
      </c>
      <c r="BE223" s="2803">
        <f t="shared" ca="1" si="463"/>
        <v>-4914</v>
      </c>
      <c r="BF223" s="2804">
        <f t="shared" ca="1" si="464"/>
        <v>0.94635371179039296</v>
      </c>
      <c r="BG223" s="2039">
        <f ca="1">SUM(INDIRECT(BG$1&amp;BG$2&amp;$A223):INDIRECT(BG$1&amp;BG$3&amp;$A223))+SUM(INDIRECT(BG$1&amp;BG$2&amp;$B223):INDIRECT(BG$1&amp;BG$3&amp;$B223))</f>
        <v>15204</v>
      </c>
      <c r="BH223" s="2803">
        <f t="shared" ca="1" si="465"/>
        <v>71482</v>
      </c>
      <c r="BI223" s="2804">
        <f t="shared" ca="1" si="466"/>
        <v>5.7015259142330965</v>
      </c>
    </row>
    <row r="224" spans="1:61" s="69" customFormat="1" ht="14.5">
      <c r="A224" s="1693">
        <f t="shared" si="453"/>
        <v>224</v>
      </c>
      <c r="B224" s="616">
        <v>1</v>
      </c>
      <c r="C224" s="1693">
        <f t="shared" si="452"/>
        <v>224</v>
      </c>
      <c r="D224" s="616">
        <v>1</v>
      </c>
      <c r="E224" s="709" t="s">
        <v>512</v>
      </c>
      <c r="F224" s="1572"/>
      <c r="G224" s="4"/>
      <c r="H224" s="4"/>
      <c r="I224" s="4"/>
      <c r="J224" s="27"/>
      <c r="K224" s="3"/>
      <c r="L224" s="4"/>
      <c r="M224" s="4"/>
      <c r="N224" s="301" t="s">
        <v>188</v>
      </c>
      <c r="O224" s="301"/>
      <c r="P224" s="301"/>
      <c r="Q224" s="301"/>
      <c r="R224" s="1796" t="str">
        <f>CHOOSE(2, "6722000003143", "PL (3) BT Cons. Sales HW &amp; Solution")</f>
        <v>PL (3) BT Cons. Sales HW &amp; Solution</v>
      </c>
      <c r="S224" s="1308">
        <f>SUM(S225:S230)</f>
        <v>78751</v>
      </c>
      <c r="T224" s="1252">
        <f t="shared" ref="T224:AD224" si="480">SUM(T225:T230)</f>
        <v>9852</v>
      </c>
      <c r="U224" s="1252">
        <f t="shared" si="480"/>
        <v>29570</v>
      </c>
      <c r="V224" s="1252">
        <f t="shared" si="480"/>
        <v>0</v>
      </c>
      <c r="W224" s="1252">
        <f t="shared" si="480"/>
        <v>26500</v>
      </c>
      <c r="X224" s="1252">
        <f t="shared" si="480"/>
        <v>57338</v>
      </c>
      <c r="Y224" s="1252">
        <f t="shared" si="480"/>
        <v>0</v>
      </c>
      <c r="Z224" s="1252">
        <f t="shared" si="480"/>
        <v>40400</v>
      </c>
      <c r="AA224" s="1252">
        <f t="shared" si="480"/>
        <v>21068.915999999997</v>
      </c>
      <c r="AB224" s="1252">
        <f t="shared" si="480"/>
        <v>9000</v>
      </c>
      <c r="AC224" s="1252">
        <f t="shared" si="480"/>
        <v>9000</v>
      </c>
      <c r="AD224" s="1252">
        <f t="shared" si="480"/>
        <v>60500</v>
      </c>
      <c r="AE224" s="1252">
        <f t="shared" ref="AE224:AE237" si="481">SUM(S224,T224,U224)</f>
        <v>118173</v>
      </c>
      <c r="AF224" s="1252">
        <f t="shared" ref="AF224:AF237" si="482">SUM(V224,W224,X224)</f>
        <v>83838</v>
      </c>
      <c r="AG224" s="1252">
        <f t="shared" ref="AG224:AG237" si="483">SUM(Y224,Z224,AA224)</f>
        <v>61468.915999999997</v>
      </c>
      <c r="AH224" s="1252">
        <f t="shared" ref="AH224:AH237" si="484">SUM(AB224,AC224,AD224)</f>
        <v>78500</v>
      </c>
      <c r="AI224" s="1252">
        <f>AE224+AF224</f>
        <v>202011</v>
      </c>
      <c r="AJ224" s="1252">
        <f>AH224+AG224</f>
        <v>139968.916</v>
      </c>
      <c r="AK224" s="1252">
        <f>AI224+AJ224</f>
        <v>341979.91599999997</v>
      </c>
      <c r="AM224" s="2041">
        <f ca="1">SUM((INDIRECT(AM$2&amp;(ROW())):INDIRECT(AM$3&amp;(ROW()))))</f>
        <v>78751</v>
      </c>
      <c r="AN224" s="2042">
        <f ca="1">SUM(INDIRECT(AN$1&amp;AN$2&amp;$C224):INDIRECT(AN$1&amp;AN$3&amp;$C224))</f>
        <v>84900</v>
      </c>
      <c r="AO224" s="2805">
        <f t="shared" ca="1" si="376"/>
        <v>-6149</v>
      </c>
      <c r="AP224" s="2806">
        <f t="shared" ca="1" si="456"/>
        <v>0.92757361601884569</v>
      </c>
      <c r="AQ224" s="2042">
        <f ca="1">SUM(INDIRECT(AQ$1&amp;AQ$2&amp;$A224):INDIRECT(AQ$1&amp;AQ$3&amp;$A224))+SUM(INDIRECT(AQ$1&amp;AQ$2&amp;$B224):INDIRECT(AQ$1&amp;AQ$3&amp;$B224))</f>
        <v>9502</v>
      </c>
      <c r="AR224" s="2805">
        <f t="shared" ca="1" si="457"/>
        <v>69249</v>
      </c>
      <c r="AS224" s="2806">
        <f t="shared" ca="1" si="458"/>
        <v>8.2878341401810154</v>
      </c>
      <c r="AU224" s="2041">
        <f ca="1">SUM((INDIRECT(AU$2&amp;(ROW())):INDIRECT(AU$3&amp;(ROW()))))</f>
        <v>78751</v>
      </c>
      <c r="AV224" s="2042">
        <f ca="1">SUM(INDIRECT(AV$1&amp;AV$2&amp;$C224):INDIRECT(AV$1&amp;AV$3&amp;$C224))</f>
        <v>84900</v>
      </c>
      <c r="AW224" s="2805">
        <f t="shared" ca="1" si="459"/>
        <v>-6149</v>
      </c>
      <c r="AX224" s="2806">
        <f t="shared" ca="1" si="460"/>
        <v>0.92757361601884569</v>
      </c>
      <c r="AY224" s="2042">
        <f ca="1">SUM(INDIRECT(AY$1&amp;AY$2&amp;$A224):INDIRECT(AY$1&amp;AY$3&amp;$A224))+SUM(INDIRECT(AY$1&amp;AY$2&amp;$B224):INDIRECT(AY$1&amp;AY$3&amp;$B224))</f>
        <v>9502</v>
      </c>
      <c r="AZ224" s="2805">
        <f t="shared" ca="1" si="461"/>
        <v>69249</v>
      </c>
      <c r="BA224" s="2806">
        <f t="shared" ca="1" si="462"/>
        <v>8.2878341401810154</v>
      </c>
      <c r="BC224" s="2041">
        <f ca="1">SUM((INDIRECT(BC$2&amp;(ROW())):INDIRECT(BC$3&amp;(ROW()))))</f>
        <v>78751</v>
      </c>
      <c r="BD224" s="2042">
        <f ca="1">SUM(INDIRECT(BD$1&amp;BD$2&amp;$C224):INDIRECT(BD$1&amp;BD$3&amp;$C224))</f>
        <v>84900</v>
      </c>
      <c r="BE224" s="2805">
        <f t="shared" ca="1" si="463"/>
        <v>-6149</v>
      </c>
      <c r="BF224" s="2806">
        <f t="shared" ca="1" si="464"/>
        <v>0.92757361601884569</v>
      </c>
      <c r="BG224" s="2042">
        <f ca="1">SUM(INDIRECT(BG$1&amp;BG$2&amp;$A224):INDIRECT(BG$1&amp;BG$3&amp;$A224))+SUM(INDIRECT(BG$1&amp;BG$2&amp;$B224):INDIRECT(BG$1&amp;BG$3&amp;$B224))</f>
        <v>9502</v>
      </c>
      <c r="BH224" s="2805">
        <f t="shared" ca="1" si="465"/>
        <v>69249</v>
      </c>
      <c r="BI224" s="2806">
        <f t="shared" ca="1" si="466"/>
        <v>8.2878341401810154</v>
      </c>
    </row>
    <row r="225" spans="1:61" s="69" customFormat="1" ht="14.5">
      <c r="A225" s="1693">
        <f t="shared" si="453"/>
        <v>225</v>
      </c>
      <c r="B225" s="616">
        <v>1</v>
      </c>
      <c r="C225" s="1693">
        <f t="shared" si="452"/>
        <v>225</v>
      </c>
      <c r="D225" s="616">
        <v>1</v>
      </c>
      <c r="E225" s="709" t="s">
        <v>512</v>
      </c>
      <c r="F225" s="1572"/>
      <c r="G225" s="4"/>
      <c r="H225" s="4"/>
      <c r="I225" s="4"/>
      <c r="J225" s="27"/>
      <c r="K225" s="3"/>
      <c r="L225" s="4"/>
      <c r="M225" s="4"/>
      <c r="N225" s="4"/>
      <c r="O225" s="3" t="s">
        <v>587</v>
      </c>
      <c r="P225" s="3"/>
      <c r="Q225" s="3"/>
      <c r="R225" s="1790" t="str">
        <f>CHOOSE(2, "6722000003144", "PL (3) BT Cons. Sales HW &amp; Solution KM-1/KM-1e")</f>
        <v>PL (3) BT Cons. Sales HW &amp; Solution KM-1/KM-1e</v>
      </c>
      <c r="S225" s="1215">
        <v>77500</v>
      </c>
      <c r="T225" s="1222"/>
      <c r="U225" s="1222"/>
      <c r="V225" s="1222"/>
      <c r="W225" s="1222"/>
      <c r="X225" s="1222">
        <v>0</v>
      </c>
      <c r="Y225" s="1222"/>
      <c r="Z225" s="1222">
        <v>0</v>
      </c>
      <c r="AA225" s="1222">
        <v>0</v>
      </c>
      <c r="AB225" s="1222">
        <v>0</v>
      </c>
      <c r="AC225" s="1222"/>
      <c r="AD225" s="1222">
        <v>0</v>
      </c>
      <c r="AE225" s="1232">
        <f t="shared" si="481"/>
        <v>77500</v>
      </c>
      <c r="AF225" s="1232">
        <f t="shared" si="482"/>
        <v>0</v>
      </c>
      <c r="AG225" s="1232">
        <f t="shared" si="483"/>
        <v>0</v>
      </c>
      <c r="AH225" s="1232">
        <f t="shared" si="484"/>
        <v>0</v>
      </c>
      <c r="AI225" s="1232">
        <f t="shared" ref="AI225:AI237" si="485">AE225+AF225</f>
        <v>77500</v>
      </c>
      <c r="AJ225" s="1232">
        <f t="shared" ref="AJ225:AJ237" si="486">AH225+AG225</f>
        <v>0</v>
      </c>
      <c r="AK225" s="1232">
        <f t="shared" ref="AK225:AK237" si="487">AI225+AJ225</f>
        <v>77500</v>
      </c>
      <c r="AM225" s="1378">
        <f ca="1">SUM((INDIRECT(AM$2&amp;(ROW())):INDIRECT(AM$3&amp;(ROW()))))</f>
        <v>77500</v>
      </c>
      <c r="AN225" s="2043">
        <f ca="1">SUM(INDIRECT(AN$1&amp;AN$2&amp;$C225):INDIRECT(AN$1&amp;AN$3&amp;$C225))</f>
        <v>75200</v>
      </c>
      <c r="AO225" s="2757">
        <f t="shared" ca="1" si="376"/>
        <v>2300</v>
      </c>
      <c r="AP225" s="2758">
        <f t="shared" ca="1" si="456"/>
        <v>1.0305851063829787</v>
      </c>
      <c r="AQ225" s="2043">
        <f ca="1">SUM(INDIRECT(AQ$1&amp;AQ$2&amp;$A225):INDIRECT(AQ$1&amp;AQ$3&amp;$A225))+SUM(INDIRECT(AQ$1&amp;AQ$2&amp;$B225):INDIRECT(AQ$1&amp;AQ$3&amp;$B225))</f>
        <v>0</v>
      </c>
      <c r="AR225" s="2757">
        <f t="shared" ca="1" si="457"/>
        <v>77500</v>
      </c>
      <c r="AS225" s="2758">
        <f t="shared" ca="1" si="458"/>
        <v>0</v>
      </c>
      <c r="AU225" s="1378">
        <f ca="1">SUM((INDIRECT(AU$2&amp;(ROW())):INDIRECT(AU$3&amp;(ROW()))))</f>
        <v>77500</v>
      </c>
      <c r="AV225" s="2043">
        <f ca="1">SUM(INDIRECT(AV$1&amp;AV$2&amp;$C225):INDIRECT(AV$1&amp;AV$3&amp;$C225))</f>
        <v>75200</v>
      </c>
      <c r="AW225" s="2757">
        <f t="shared" ca="1" si="459"/>
        <v>2300</v>
      </c>
      <c r="AX225" s="2758">
        <f t="shared" ca="1" si="460"/>
        <v>1.0305851063829787</v>
      </c>
      <c r="AY225" s="2043">
        <f ca="1">SUM(INDIRECT(AY$1&amp;AY$2&amp;$A225):INDIRECT(AY$1&amp;AY$3&amp;$A225))+SUM(INDIRECT(AY$1&amp;AY$2&amp;$B225):INDIRECT(AY$1&amp;AY$3&amp;$B225))</f>
        <v>0</v>
      </c>
      <c r="AZ225" s="2757">
        <f t="shared" ca="1" si="461"/>
        <v>77500</v>
      </c>
      <c r="BA225" s="2758">
        <f t="shared" ca="1" si="462"/>
        <v>0</v>
      </c>
      <c r="BC225" s="1378">
        <f ca="1">SUM((INDIRECT(BC$2&amp;(ROW())):INDIRECT(BC$3&amp;(ROW()))))</f>
        <v>77500</v>
      </c>
      <c r="BD225" s="2043">
        <f ca="1">SUM(INDIRECT(BD$1&amp;BD$2&amp;$C225):INDIRECT(BD$1&amp;BD$3&amp;$C225))</f>
        <v>75200</v>
      </c>
      <c r="BE225" s="2757">
        <f t="shared" ca="1" si="463"/>
        <v>2300</v>
      </c>
      <c r="BF225" s="2758">
        <f t="shared" ca="1" si="464"/>
        <v>1.0305851063829787</v>
      </c>
      <c r="BG225" s="2043">
        <f ca="1">SUM(INDIRECT(BG$1&amp;BG$2&amp;$A225):INDIRECT(BG$1&amp;BG$3&amp;$A225))+SUM(INDIRECT(BG$1&amp;BG$2&amp;$B225):INDIRECT(BG$1&amp;BG$3&amp;$B225))</f>
        <v>0</v>
      </c>
      <c r="BH225" s="2757">
        <f t="shared" ca="1" si="465"/>
        <v>77500</v>
      </c>
      <c r="BI225" s="2758">
        <f t="shared" ca="1" si="466"/>
        <v>0</v>
      </c>
    </row>
    <row r="226" spans="1:61" s="69" customFormat="1" ht="14.5">
      <c r="A226" s="1693">
        <f t="shared" si="453"/>
        <v>226</v>
      </c>
      <c r="B226" s="616">
        <v>1</v>
      </c>
      <c r="C226" s="1693">
        <f t="shared" si="452"/>
        <v>226</v>
      </c>
      <c r="D226" s="616">
        <v>1</v>
      </c>
      <c r="E226" s="709" t="s">
        <v>512</v>
      </c>
      <c r="F226" s="1572"/>
      <c r="G226" s="4"/>
      <c r="H226" s="4"/>
      <c r="I226" s="4"/>
      <c r="J226" s="27"/>
      <c r="K226" s="3"/>
      <c r="L226" s="4"/>
      <c r="M226" s="4"/>
      <c r="N226" s="4"/>
      <c r="O226" s="3" t="s">
        <v>117</v>
      </c>
      <c r="P226" s="3"/>
      <c r="Q226" s="3"/>
      <c r="R226" s="1790" t="str">
        <f>CHOOSE(2, "6722000003145", "PL (3) BT Cons. Sales HW &amp; Solution Label Printer")</f>
        <v>PL (3) BT Cons. Sales HW &amp; Solution Label Printer</v>
      </c>
      <c r="S226" s="1215">
        <v>999</v>
      </c>
      <c r="T226" s="1222"/>
      <c r="U226" s="1222">
        <v>8100</v>
      </c>
      <c r="V226" s="1222"/>
      <c r="W226" s="1222"/>
      <c r="X226" s="1222">
        <v>45638</v>
      </c>
      <c r="Y226" s="1222"/>
      <c r="Z226" s="1222">
        <v>9900</v>
      </c>
      <c r="AA226" s="1222">
        <v>8568.9159999999993</v>
      </c>
      <c r="AB226" s="1222">
        <v>9000</v>
      </c>
      <c r="AC226" s="1222">
        <v>9000</v>
      </c>
      <c r="AD226" s="1222">
        <v>29000</v>
      </c>
      <c r="AE226" s="1232">
        <f t="shared" si="481"/>
        <v>9099</v>
      </c>
      <c r="AF226" s="1232">
        <f t="shared" si="482"/>
        <v>45638</v>
      </c>
      <c r="AG226" s="1232">
        <f t="shared" si="483"/>
        <v>18468.915999999997</v>
      </c>
      <c r="AH226" s="1232">
        <f t="shared" si="484"/>
        <v>47000</v>
      </c>
      <c r="AI226" s="1232">
        <f t="shared" si="485"/>
        <v>54737</v>
      </c>
      <c r="AJ226" s="1232">
        <f t="shared" si="486"/>
        <v>65468.915999999997</v>
      </c>
      <c r="AK226" s="1232">
        <f t="shared" si="487"/>
        <v>120205.916</v>
      </c>
      <c r="AM226" s="1378">
        <f ca="1">SUM((INDIRECT(AM$2&amp;(ROW())):INDIRECT(AM$3&amp;(ROW()))))</f>
        <v>999</v>
      </c>
      <c r="AN226" s="2043">
        <f ca="1">SUM(INDIRECT(AN$1&amp;AN$2&amp;$C226):INDIRECT(AN$1&amp;AN$3&amp;$C226))</f>
        <v>0</v>
      </c>
      <c r="AO226" s="2757">
        <f t="shared" ca="1" si="376"/>
        <v>999</v>
      </c>
      <c r="AP226" s="2758">
        <f t="shared" ca="1" si="456"/>
        <v>0</v>
      </c>
      <c r="AQ226" s="2043">
        <f ca="1">SUM(INDIRECT(AQ$1&amp;AQ$2&amp;$A226):INDIRECT(AQ$1&amp;AQ$3&amp;$A226))+SUM(INDIRECT(AQ$1&amp;AQ$2&amp;$B226):INDIRECT(AQ$1&amp;AQ$3&amp;$B226))</f>
        <v>0</v>
      </c>
      <c r="AR226" s="2757">
        <f t="shared" ca="1" si="457"/>
        <v>999</v>
      </c>
      <c r="AS226" s="2758">
        <f t="shared" ca="1" si="458"/>
        <v>0</v>
      </c>
      <c r="AU226" s="1378">
        <f ca="1">SUM((INDIRECT(AU$2&amp;(ROW())):INDIRECT(AU$3&amp;(ROW()))))</f>
        <v>999</v>
      </c>
      <c r="AV226" s="2043">
        <f ca="1">SUM(INDIRECT(AV$1&amp;AV$2&amp;$C226):INDIRECT(AV$1&amp;AV$3&amp;$C226))</f>
        <v>0</v>
      </c>
      <c r="AW226" s="2757">
        <f t="shared" ca="1" si="459"/>
        <v>999</v>
      </c>
      <c r="AX226" s="2758">
        <f t="shared" ca="1" si="460"/>
        <v>0</v>
      </c>
      <c r="AY226" s="2043">
        <f ca="1">SUM(INDIRECT(AY$1&amp;AY$2&amp;$A226):INDIRECT(AY$1&amp;AY$3&amp;$A226))+SUM(INDIRECT(AY$1&amp;AY$2&amp;$B226):INDIRECT(AY$1&amp;AY$3&amp;$B226))</f>
        <v>0</v>
      </c>
      <c r="AZ226" s="2757">
        <f t="shared" ca="1" si="461"/>
        <v>999</v>
      </c>
      <c r="BA226" s="2758">
        <f t="shared" ca="1" si="462"/>
        <v>0</v>
      </c>
      <c r="BC226" s="1378">
        <f ca="1">SUM((INDIRECT(BC$2&amp;(ROW())):INDIRECT(BC$3&amp;(ROW()))))</f>
        <v>999</v>
      </c>
      <c r="BD226" s="2043">
        <f ca="1">SUM(INDIRECT(BD$1&amp;BD$2&amp;$C226):INDIRECT(BD$1&amp;BD$3&amp;$C226))</f>
        <v>0</v>
      </c>
      <c r="BE226" s="2757">
        <f t="shared" ca="1" si="463"/>
        <v>999</v>
      </c>
      <c r="BF226" s="2758">
        <f t="shared" ca="1" si="464"/>
        <v>0</v>
      </c>
      <c r="BG226" s="2043">
        <f ca="1">SUM(INDIRECT(BG$1&amp;BG$2&amp;$A226):INDIRECT(BG$1&amp;BG$3&amp;$A226))+SUM(INDIRECT(BG$1&amp;BG$2&amp;$B226):INDIRECT(BG$1&amp;BG$3&amp;$B226))</f>
        <v>0</v>
      </c>
      <c r="BH226" s="2757">
        <f t="shared" ca="1" si="465"/>
        <v>999</v>
      </c>
      <c r="BI226" s="2758">
        <f t="shared" ca="1" si="466"/>
        <v>0</v>
      </c>
    </row>
    <row r="227" spans="1:61" s="69" customFormat="1" ht="14.5">
      <c r="A227" s="1693">
        <f t="shared" si="453"/>
        <v>227</v>
      </c>
      <c r="B227" s="616">
        <v>1</v>
      </c>
      <c r="C227" s="1693">
        <f t="shared" si="452"/>
        <v>227</v>
      </c>
      <c r="D227" s="616">
        <v>1</v>
      </c>
      <c r="E227" s="709" t="s">
        <v>512</v>
      </c>
      <c r="F227" s="1572"/>
      <c r="G227" s="4"/>
      <c r="H227" s="4"/>
      <c r="I227" s="4"/>
      <c r="J227" s="27"/>
      <c r="K227" s="3"/>
      <c r="L227" s="4"/>
      <c r="M227" s="4"/>
      <c r="N227" s="4"/>
      <c r="O227" s="3" t="s">
        <v>52</v>
      </c>
      <c r="P227" s="3"/>
      <c r="Q227" s="3"/>
      <c r="R227" s="1790" t="str">
        <f>CHOOSE(2, "6722000003146", "PL (3) BT Cons. Sales HW &amp; Solution MGI")</f>
        <v>PL (3) BT Cons. Sales HW &amp; Solution MGI</v>
      </c>
      <c r="S227" s="1215">
        <v>252</v>
      </c>
      <c r="T227" s="1222">
        <v>9852</v>
      </c>
      <c r="U227" s="1222">
        <v>21470</v>
      </c>
      <c r="V227" s="1222"/>
      <c r="W227" s="1222">
        <v>26500</v>
      </c>
      <c r="X227" s="1222">
        <v>11700</v>
      </c>
      <c r="Y227" s="1222"/>
      <c r="Z227" s="1222">
        <v>30500</v>
      </c>
      <c r="AA227" s="1222">
        <v>12500</v>
      </c>
      <c r="AB227" s="1222">
        <v>0</v>
      </c>
      <c r="AC227" s="1222"/>
      <c r="AD227" s="1222">
        <v>31500</v>
      </c>
      <c r="AE227" s="1232">
        <f t="shared" si="481"/>
        <v>31574</v>
      </c>
      <c r="AF227" s="1232">
        <f t="shared" si="482"/>
        <v>38200</v>
      </c>
      <c r="AG227" s="1232">
        <f t="shared" si="483"/>
        <v>43000</v>
      </c>
      <c r="AH227" s="1232">
        <f t="shared" si="484"/>
        <v>31500</v>
      </c>
      <c r="AI227" s="1232">
        <f t="shared" si="485"/>
        <v>69774</v>
      </c>
      <c r="AJ227" s="1232">
        <f t="shared" si="486"/>
        <v>74500</v>
      </c>
      <c r="AK227" s="1232">
        <f t="shared" si="487"/>
        <v>144274</v>
      </c>
      <c r="AM227" s="1378">
        <f ca="1">SUM((INDIRECT(AM$2&amp;(ROW())):INDIRECT(AM$3&amp;(ROW()))))</f>
        <v>252</v>
      </c>
      <c r="AN227" s="2043">
        <f ca="1">SUM(INDIRECT(AN$1&amp;AN$2&amp;$C227):INDIRECT(AN$1&amp;AN$3&amp;$C227))</f>
        <v>9700</v>
      </c>
      <c r="AO227" s="2757">
        <f t="shared" ca="1" si="376"/>
        <v>-9448</v>
      </c>
      <c r="AP227" s="2758">
        <f t="shared" ca="1" si="456"/>
        <v>2.597938144329897E-2</v>
      </c>
      <c r="AQ227" s="2043">
        <f ca="1">SUM(INDIRECT(AQ$1&amp;AQ$2&amp;$A227):INDIRECT(AQ$1&amp;AQ$3&amp;$A227))+SUM(INDIRECT(AQ$1&amp;AQ$2&amp;$B227):INDIRECT(AQ$1&amp;AQ$3&amp;$B227))</f>
        <v>9502</v>
      </c>
      <c r="AR227" s="2757">
        <f t="shared" ca="1" si="457"/>
        <v>-9250</v>
      </c>
      <c r="AS227" s="2758">
        <f t="shared" ca="1" si="458"/>
        <v>2.6520732477373184E-2</v>
      </c>
      <c r="AU227" s="1378">
        <f ca="1">SUM((INDIRECT(AU$2&amp;(ROW())):INDIRECT(AU$3&amp;(ROW()))))</f>
        <v>252</v>
      </c>
      <c r="AV227" s="2043">
        <f ca="1">SUM(INDIRECT(AV$1&amp;AV$2&amp;$C227):INDIRECT(AV$1&amp;AV$3&amp;$C227))</f>
        <v>9700</v>
      </c>
      <c r="AW227" s="2757">
        <f t="shared" ca="1" si="459"/>
        <v>-9448</v>
      </c>
      <c r="AX227" s="2758">
        <f t="shared" ca="1" si="460"/>
        <v>2.597938144329897E-2</v>
      </c>
      <c r="AY227" s="2043">
        <f ca="1">SUM(INDIRECT(AY$1&amp;AY$2&amp;$A227):INDIRECT(AY$1&amp;AY$3&amp;$A227))+SUM(INDIRECT(AY$1&amp;AY$2&amp;$B227):INDIRECT(AY$1&amp;AY$3&amp;$B227))</f>
        <v>9502</v>
      </c>
      <c r="AZ227" s="2757">
        <f t="shared" ca="1" si="461"/>
        <v>-9250</v>
      </c>
      <c r="BA227" s="2758">
        <f t="shared" ca="1" si="462"/>
        <v>2.6520732477373184E-2</v>
      </c>
      <c r="BC227" s="1378">
        <f ca="1">SUM((INDIRECT(BC$2&amp;(ROW())):INDIRECT(BC$3&amp;(ROW()))))</f>
        <v>252</v>
      </c>
      <c r="BD227" s="2043">
        <f ca="1">SUM(INDIRECT(BD$1&amp;BD$2&amp;$C227):INDIRECT(BD$1&amp;BD$3&amp;$C227))</f>
        <v>9700</v>
      </c>
      <c r="BE227" s="2757">
        <f t="shared" ca="1" si="463"/>
        <v>-9448</v>
      </c>
      <c r="BF227" s="2758">
        <f t="shared" ca="1" si="464"/>
        <v>2.597938144329897E-2</v>
      </c>
      <c r="BG227" s="2043">
        <f ca="1">SUM(INDIRECT(BG$1&amp;BG$2&amp;$A227):INDIRECT(BG$1&amp;BG$3&amp;$A227))+SUM(INDIRECT(BG$1&amp;BG$2&amp;$B227):INDIRECT(BG$1&amp;BG$3&amp;$B227))</f>
        <v>9502</v>
      </c>
      <c r="BH227" s="2757">
        <f t="shared" ca="1" si="465"/>
        <v>-9250</v>
      </c>
      <c r="BI227" s="2758">
        <f t="shared" ca="1" si="466"/>
        <v>2.6520732477373184E-2</v>
      </c>
    </row>
    <row r="228" spans="1:61" s="69" customFormat="1" ht="14.5">
      <c r="A228" s="1693">
        <f t="shared" si="453"/>
        <v>228</v>
      </c>
      <c r="B228" s="616">
        <v>1</v>
      </c>
      <c r="C228" s="1693">
        <f t="shared" si="452"/>
        <v>228</v>
      </c>
      <c r="D228" s="616">
        <v>1</v>
      </c>
      <c r="E228" s="709" t="s">
        <v>512</v>
      </c>
      <c r="F228" s="1572"/>
      <c r="G228" s="4"/>
      <c r="H228" s="4"/>
      <c r="I228" s="4"/>
      <c r="J228" s="27"/>
      <c r="K228" s="3"/>
      <c r="L228" s="4"/>
      <c r="M228" s="4"/>
      <c r="N228" s="4"/>
      <c r="O228" s="3" t="s">
        <v>118</v>
      </c>
      <c r="P228" s="3"/>
      <c r="Q228" s="3"/>
      <c r="R228" s="1790" t="str">
        <f>CHOOSE(2, "6722000003147", "PL (3) BT Cons. Sales HW &amp; Solution EFI/LF")</f>
        <v>PL (3) BT Cons. Sales HW &amp; Solution EFI/LF</v>
      </c>
      <c r="S228" s="1215"/>
      <c r="T228" s="1222"/>
      <c r="U228" s="1222"/>
      <c r="V228" s="1222"/>
      <c r="W228" s="1222"/>
      <c r="X228" s="1222"/>
      <c r="Y228" s="1222"/>
      <c r="Z228" s="1222">
        <v>0</v>
      </c>
      <c r="AA228" s="1222"/>
      <c r="AB228" s="1222">
        <v>0</v>
      </c>
      <c r="AC228" s="1222"/>
      <c r="AD228" s="1222">
        <v>0</v>
      </c>
      <c r="AE228" s="1232">
        <f t="shared" si="481"/>
        <v>0</v>
      </c>
      <c r="AF228" s="1232">
        <f t="shared" si="482"/>
        <v>0</v>
      </c>
      <c r="AG228" s="1232">
        <f t="shared" si="483"/>
        <v>0</v>
      </c>
      <c r="AH228" s="1232">
        <f t="shared" si="484"/>
        <v>0</v>
      </c>
      <c r="AI228" s="1232">
        <f t="shared" si="485"/>
        <v>0</v>
      </c>
      <c r="AJ228" s="1232">
        <f t="shared" si="486"/>
        <v>0</v>
      </c>
      <c r="AK228" s="1232">
        <f t="shared" si="487"/>
        <v>0</v>
      </c>
      <c r="AM228" s="1378">
        <f ca="1">SUM((INDIRECT(AM$2&amp;(ROW())):INDIRECT(AM$3&amp;(ROW()))))</f>
        <v>0</v>
      </c>
      <c r="AN228" s="2043">
        <f ca="1">SUM(INDIRECT(AN$1&amp;AN$2&amp;$C228):INDIRECT(AN$1&amp;AN$3&amp;$C228))</f>
        <v>0</v>
      </c>
      <c r="AO228" s="2757">
        <f t="shared" ca="1" si="376"/>
        <v>0</v>
      </c>
      <c r="AP228" s="2758">
        <f t="shared" ca="1" si="456"/>
        <v>0</v>
      </c>
      <c r="AQ228" s="2043">
        <f ca="1">SUM(INDIRECT(AQ$1&amp;AQ$2&amp;$A228):INDIRECT(AQ$1&amp;AQ$3&amp;$A228))+SUM(INDIRECT(AQ$1&amp;AQ$2&amp;$B228):INDIRECT(AQ$1&amp;AQ$3&amp;$B228))</f>
        <v>0</v>
      </c>
      <c r="AR228" s="2757">
        <f t="shared" ca="1" si="457"/>
        <v>0</v>
      </c>
      <c r="AS228" s="2758">
        <f t="shared" ca="1" si="458"/>
        <v>0</v>
      </c>
      <c r="AU228" s="1378">
        <f ca="1">SUM((INDIRECT(AU$2&amp;(ROW())):INDIRECT(AU$3&amp;(ROW()))))</f>
        <v>0</v>
      </c>
      <c r="AV228" s="2043">
        <f ca="1">SUM(INDIRECT(AV$1&amp;AV$2&amp;$C228):INDIRECT(AV$1&amp;AV$3&amp;$C228))</f>
        <v>0</v>
      </c>
      <c r="AW228" s="2757">
        <f t="shared" ca="1" si="459"/>
        <v>0</v>
      </c>
      <c r="AX228" s="2758">
        <f t="shared" ca="1" si="460"/>
        <v>0</v>
      </c>
      <c r="AY228" s="2043">
        <f ca="1">SUM(INDIRECT(AY$1&amp;AY$2&amp;$A228):INDIRECT(AY$1&amp;AY$3&amp;$A228))+SUM(INDIRECT(AY$1&amp;AY$2&amp;$B228):INDIRECT(AY$1&amp;AY$3&amp;$B228))</f>
        <v>0</v>
      </c>
      <c r="AZ228" s="2757">
        <f t="shared" ca="1" si="461"/>
        <v>0</v>
      </c>
      <c r="BA228" s="2758">
        <f t="shared" ca="1" si="462"/>
        <v>0</v>
      </c>
      <c r="BC228" s="1378">
        <f ca="1">SUM((INDIRECT(BC$2&amp;(ROW())):INDIRECT(BC$3&amp;(ROW()))))</f>
        <v>0</v>
      </c>
      <c r="BD228" s="2043">
        <f ca="1">SUM(INDIRECT(BD$1&amp;BD$2&amp;$C228):INDIRECT(BD$1&amp;BD$3&amp;$C228))</f>
        <v>0</v>
      </c>
      <c r="BE228" s="2757">
        <f t="shared" ca="1" si="463"/>
        <v>0</v>
      </c>
      <c r="BF228" s="2758">
        <f t="shared" ca="1" si="464"/>
        <v>0</v>
      </c>
      <c r="BG228" s="2043">
        <f ca="1">SUM(INDIRECT(BG$1&amp;BG$2&amp;$A228):INDIRECT(BG$1&amp;BG$3&amp;$A228))+SUM(INDIRECT(BG$1&amp;BG$2&amp;$B228):INDIRECT(BG$1&amp;BG$3&amp;$B228))</f>
        <v>0</v>
      </c>
      <c r="BH228" s="2757">
        <f t="shared" ca="1" si="465"/>
        <v>0</v>
      </c>
      <c r="BI228" s="2758">
        <f t="shared" ca="1" si="466"/>
        <v>0</v>
      </c>
    </row>
    <row r="229" spans="1:61" s="69" customFormat="1" ht="14.5">
      <c r="A229" s="1693">
        <f t="shared" si="453"/>
        <v>229</v>
      </c>
      <c r="B229" s="616">
        <v>1</v>
      </c>
      <c r="C229" s="1693">
        <f t="shared" si="452"/>
        <v>229</v>
      </c>
      <c r="D229" s="616">
        <v>1</v>
      </c>
      <c r="E229" s="709" t="s">
        <v>512</v>
      </c>
      <c r="F229" s="1572"/>
      <c r="G229" s="4"/>
      <c r="H229" s="4"/>
      <c r="I229" s="4"/>
      <c r="J229" s="27"/>
      <c r="K229" s="3"/>
      <c r="L229" s="4"/>
      <c r="M229" s="4"/>
      <c r="N229" s="4"/>
      <c r="O229" s="3" t="s">
        <v>180</v>
      </c>
      <c r="P229" s="3"/>
      <c r="Q229" s="3"/>
      <c r="R229" s="1790" t="str">
        <f>CHOOSE(2, "6722000003148", "PL (3) BT Cons. Sales HW &amp; Solution Textile Printer")</f>
        <v>PL (3) BT Cons. Sales HW &amp; Solution Textile Printer</v>
      </c>
      <c r="S229" s="1215"/>
      <c r="T229" s="1222"/>
      <c r="U229" s="1222"/>
      <c r="V229" s="1222"/>
      <c r="W229" s="1222"/>
      <c r="X229" s="1222"/>
      <c r="Y229" s="1222"/>
      <c r="Z229" s="1222">
        <v>0</v>
      </c>
      <c r="AA229" s="1222"/>
      <c r="AB229" s="1222">
        <v>0</v>
      </c>
      <c r="AC229" s="1222"/>
      <c r="AD229" s="1222">
        <v>0</v>
      </c>
      <c r="AE229" s="1232">
        <f t="shared" si="481"/>
        <v>0</v>
      </c>
      <c r="AF229" s="1232">
        <f t="shared" si="482"/>
        <v>0</v>
      </c>
      <c r="AG229" s="1232">
        <f t="shared" si="483"/>
        <v>0</v>
      </c>
      <c r="AH229" s="1232">
        <f t="shared" si="484"/>
        <v>0</v>
      </c>
      <c r="AI229" s="1232">
        <f t="shared" si="485"/>
        <v>0</v>
      </c>
      <c r="AJ229" s="1232">
        <f t="shared" si="486"/>
        <v>0</v>
      </c>
      <c r="AK229" s="1232">
        <f t="shared" si="487"/>
        <v>0</v>
      </c>
      <c r="AM229" s="1378">
        <f ca="1">SUM((INDIRECT(AM$2&amp;(ROW())):INDIRECT(AM$3&amp;(ROW()))))</f>
        <v>0</v>
      </c>
      <c r="AN229" s="2043">
        <f ca="1">SUM(INDIRECT(AN$1&amp;AN$2&amp;$C229):INDIRECT(AN$1&amp;AN$3&amp;$C229))</f>
        <v>0</v>
      </c>
      <c r="AO229" s="2757">
        <f t="shared" ca="1" si="376"/>
        <v>0</v>
      </c>
      <c r="AP229" s="2758">
        <f t="shared" ca="1" si="456"/>
        <v>0</v>
      </c>
      <c r="AQ229" s="2043">
        <f ca="1">SUM(INDIRECT(AQ$1&amp;AQ$2&amp;$A229):INDIRECT(AQ$1&amp;AQ$3&amp;$A229))+SUM(INDIRECT(AQ$1&amp;AQ$2&amp;$B229):INDIRECT(AQ$1&amp;AQ$3&amp;$B229))</f>
        <v>0</v>
      </c>
      <c r="AR229" s="2757">
        <f t="shared" ca="1" si="457"/>
        <v>0</v>
      </c>
      <c r="AS229" s="2758">
        <f t="shared" ca="1" si="458"/>
        <v>0</v>
      </c>
      <c r="AU229" s="1378">
        <f ca="1">SUM((INDIRECT(AU$2&amp;(ROW())):INDIRECT(AU$3&amp;(ROW()))))</f>
        <v>0</v>
      </c>
      <c r="AV229" s="2043">
        <f ca="1">SUM(INDIRECT(AV$1&amp;AV$2&amp;$C229):INDIRECT(AV$1&amp;AV$3&amp;$C229))</f>
        <v>0</v>
      </c>
      <c r="AW229" s="2757">
        <f t="shared" ca="1" si="459"/>
        <v>0</v>
      </c>
      <c r="AX229" s="2758">
        <f t="shared" ca="1" si="460"/>
        <v>0</v>
      </c>
      <c r="AY229" s="2043">
        <f ca="1">SUM(INDIRECT(AY$1&amp;AY$2&amp;$A229):INDIRECT(AY$1&amp;AY$3&amp;$A229))+SUM(INDIRECT(AY$1&amp;AY$2&amp;$B229):INDIRECT(AY$1&amp;AY$3&amp;$B229))</f>
        <v>0</v>
      </c>
      <c r="AZ229" s="2757">
        <f t="shared" ca="1" si="461"/>
        <v>0</v>
      </c>
      <c r="BA229" s="2758">
        <f t="shared" ca="1" si="462"/>
        <v>0</v>
      </c>
      <c r="BC229" s="1378">
        <f ca="1">SUM((INDIRECT(BC$2&amp;(ROW())):INDIRECT(BC$3&amp;(ROW()))))</f>
        <v>0</v>
      </c>
      <c r="BD229" s="2043">
        <f ca="1">SUM(INDIRECT(BD$1&amp;BD$2&amp;$C229):INDIRECT(BD$1&amp;BD$3&amp;$C229))</f>
        <v>0</v>
      </c>
      <c r="BE229" s="2757">
        <f t="shared" ca="1" si="463"/>
        <v>0</v>
      </c>
      <c r="BF229" s="2758">
        <f t="shared" ca="1" si="464"/>
        <v>0</v>
      </c>
      <c r="BG229" s="2043">
        <f ca="1">SUM(INDIRECT(BG$1&amp;BG$2&amp;$A229):INDIRECT(BG$1&amp;BG$3&amp;$A229))+SUM(INDIRECT(BG$1&amp;BG$2&amp;$B229):INDIRECT(BG$1&amp;BG$3&amp;$B229))</f>
        <v>0</v>
      </c>
      <c r="BH229" s="2757">
        <f t="shared" ca="1" si="465"/>
        <v>0</v>
      </c>
      <c r="BI229" s="2758">
        <f t="shared" ca="1" si="466"/>
        <v>0</v>
      </c>
    </row>
    <row r="230" spans="1:61" s="69" customFormat="1" ht="14.5">
      <c r="A230" s="1693">
        <f t="shared" si="453"/>
        <v>230</v>
      </c>
      <c r="B230" s="616">
        <v>1</v>
      </c>
      <c r="C230" s="1693">
        <f t="shared" si="452"/>
        <v>230</v>
      </c>
      <c r="D230" s="616">
        <v>1</v>
      </c>
      <c r="E230" s="709" t="s">
        <v>512</v>
      </c>
      <c r="F230" s="1572"/>
      <c r="G230" s="4"/>
      <c r="H230" s="4"/>
      <c r="I230" s="4"/>
      <c r="J230" s="27"/>
      <c r="K230" s="3"/>
      <c r="L230" s="4"/>
      <c r="M230" s="4"/>
      <c r="N230" s="47"/>
      <c r="O230" s="47" t="s">
        <v>51</v>
      </c>
      <c r="P230" s="47"/>
      <c r="Q230" s="47"/>
      <c r="R230" s="1790" t="str">
        <f>CHOOSE(2, "6722000003149", "PL (3) BT Cons. Sales HW &amp; Solution Others")</f>
        <v>PL (3) BT Cons. Sales HW &amp; Solution Others</v>
      </c>
      <c r="S230" s="1387"/>
      <c r="T230" s="1231"/>
      <c r="U230" s="1231"/>
      <c r="V230" s="1231"/>
      <c r="W230" s="1231"/>
      <c r="X230" s="1231"/>
      <c r="Y230" s="1231"/>
      <c r="Z230" s="1231">
        <v>0</v>
      </c>
      <c r="AA230" s="1231"/>
      <c r="AB230" s="1231">
        <v>0</v>
      </c>
      <c r="AC230" s="1231"/>
      <c r="AD230" s="1231">
        <v>0</v>
      </c>
      <c r="AE230" s="1240">
        <f t="shared" si="481"/>
        <v>0</v>
      </c>
      <c r="AF230" s="1240">
        <f t="shared" si="482"/>
        <v>0</v>
      </c>
      <c r="AG230" s="1240">
        <f t="shared" si="483"/>
        <v>0</v>
      </c>
      <c r="AH230" s="1240">
        <f t="shared" si="484"/>
        <v>0</v>
      </c>
      <c r="AI230" s="1240">
        <f t="shared" si="485"/>
        <v>0</v>
      </c>
      <c r="AJ230" s="1240">
        <f t="shared" si="486"/>
        <v>0</v>
      </c>
      <c r="AK230" s="1240">
        <f t="shared" si="487"/>
        <v>0</v>
      </c>
      <c r="AM230" s="1970">
        <f ca="1">SUM((INDIRECT(AM$2&amp;(ROW())):INDIRECT(AM$3&amp;(ROW()))))</f>
        <v>0</v>
      </c>
      <c r="AN230" s="2044">
        <f ca="1">SUM(INDIRECT(AN$1&amp;AN$2&amp;$C230):INDIRECT(AN$1&amp;AN$3&amp;$C230))</f>
        <v>0</v>
      </c>
      <c r="AO230" s="2807">
        <f t="shared" ca="1" si="376"/>
        <v>0</v>
      </c>
      <c r="AP230" s="2808">
        <f t="shared" ca="1" si="456"/>
        <v>0</v>
      </c>
      <c r="AQ230" s="2044">
        <f ca="1">SUM(INDIRECT(AQ$1&amp;AQ$2&amp;$A230):INDIRECT(AQ$1&amp;AQ$3&amp;$A230))+SUM(INDIRECT(AQ$1&amp;AQ$2&amp;$B230):INDIRECT(AQ$1&amp;AQ$3&amp;$B230))</f>
        <v>0</v>
      </c>
      <c r="AR230" s="2807">
        <f t="shared" ca="1" si="457"/>
        <v>0</v>
      </c>
      <c r="AS230" s="2808">
        <f t="shared" ca="1" si="458"/>
        <v>0</v>
      </c>
      <c r="AU230" s="1970">
        <f ca="1">SUM((INDIRECT(AU$2&amp;(ROW())):INDIRECT(AU$3&amp;(ROW()))))</f>
        <v>0</v>
      </c>
      <c r="AV230" s="2044">
        <f ca="1">SUM(INDIRECT(AV$1&amp;AV$2&amp;$C230):INDIRECT(AV$1&amp;AV$3&amp;$C230))</f>
        <v>0</v>
      </c>
      <c r="AW230" s="2807">
        <f t="shared" ca="1" si="459"/>
        <v>0</v>
      </c>
      <c r="AX230" s="2808">
        <f t="shared" ca="1" si="460"/>
        <v>0</v>
      </c>
      <c r="AY230" s="2044">
        <f ca="1">SUM(INDIRECT(AY$1&amp;AY$2&amp;$A230):INDIRECT(AY$1&amp;AY$3&amp;$A230))+SUM(INDIRECT(AY$1&amp;AY$2&amp;$B230):INDIRECT(AY$1&amp;AY$3&amp;$B230))</f>
        <v>0</v>
      </c>
      <c r="AZ230" s="2807">
        <f t="shared" ca="1" si="461"/>
        <v>0</v>
      </c>
      <c r="BA230" s="2808">
        <f t="shared" ca="1" si="462"/>
        <v>0</v>
      </c>
      <c r="BC230" s="1970">
        <f ca="1">SUM((INDIRECT(BC$2&amp;(ROW())):INDIRECT(BC$3&amp;(ROW()))))</f>
        <v>0</v>
      </c>
      <c r="BD230" s="2044">
        <f ca="1">SUM(INDIRECT(BD$1&amp;BD$2&amp;$C230):INDIRECT(BD$1&amp;BD$3&amp;$C230))</f>
        <v>0</v>
      </c>
      <c r="BE230" s="2807">
        <f t="shared" ca="1" si="463"/>
        <v>0</v>
      </c>
      <c r="BF230" s="2808">
        <f t="shared" ca="1" si="464"/>
        <v>0</v>
      </c>
      <c r="BG230" s="2044">
        <f ca="1">SUM(INDIRECT(BG$1&amp;BG$2&amp;$A230):INDIRECT(BG$1&amp;BG$3&amp;$A230))+SUM(INDIRECT(BG$1&amp;BG$2&amp;$B230):INDIRECT(BG$1&amp;BG$3&amp;$B230))</f>
        <v>0</v>
      </c>
      <c r="BH230" s="2807">
        <f t="shared" ca="1" si="465"/>
        <v>0</v>
      </c>
      <c r="BI230" s="2808">
        <f t="shared" ca="1" si="466"/>
        <v>0</v>
      </c>
    </row>
    <row r="231" spans="1:61" s="69" customFormat="1" ht="14.5">
      <c r="A231" s="1693">
        <f t="shared" si="453"/>
        <v>231</v>
      </c>
      <c r="B231" s="616">
        <v>1</v>
      </c>
      <c r="C231" s="1693">
        <f t="shared" si="452"/>
        <v>231</v>
      </c>
      <c r="D231" s="616">
        <v>1</v>
      </c>
      <c r="E231" s="709" t="s">
        <v>512</v>
      </c>
      <c r="F231" s="1572"/>
      <c r="G231" s="4"/>
      <c r="H231" s="4"/>
      <c r="I231" s="4"/>
      <c r="J231" s="27"/>
      <c r="K231" s="3"/>
      <c r="L231" s="4"/>
      <c r="M231" s="4"/>
      <c r="N231" s="300" t="s">
        <v>126</v>
      </c>
      <c r="O231" s="300"/>
      <c r="P231" s="300"/>
      <c r="Q231" s="300"/>
      <c r="R231" s="1796" t="str">
        <f>CHOOSE(2, "6722000003150", "PL (3) BT Cons. Sales NH")</f>
        <v>PL (3) BT Cons. Sales NH</v>
      </c>
      <c r="S231" s="1309">
        <f>SUM(S232:S237)</f>
        <v>7935</v>
      </c>
      <c r="T231" s="1251">
        <f t="shared" ref="T231:AD231" si="488">SUM(T232:T237)</f>
        <v>8087.6179999999995</v>
      </c>
      <c r="U231" s="1251">
        <f t="shared" si="488"/>
        <v>7936.7429999999995</v>
      </c>
      <c r="V231" s="1251">
        <f t="shared" si="488"/>
        <v>7925.893</v>
      </c>
      <c r="W231" s="1251">
        <f t="shared" si="488"/>
        <v>9541.862000000001</v>
      </c>
      <c r="X231" s="1251">
        <f t="shared" si="488"/>
        <v>11664.597000000002</v>
      </c>
      <c r="Y231" s="1251">
        <f t="shared" si="488"/>
        <v>11993.526000000002</v>
      </c>
      <c r="Z231" s="1251">
        <f t="shared" si="488"/>
        <v>8934.8610000000008</v>
      </c>
      <c r="AA231" s="1251">
        <f t="shared" si="488"/>
        <v>9696.6139999999996</v>
      </c>
      <c r="AB231" s="1251">
        <f t="shared" si="488"/>
        <v>9618.5511000000006</v>
      </c>
      <c r="AC231" s="1251">
        <f t="shared" si="488"/>
        <v>10432.557000000001</v>
      </c>
      <c r="AD231" s="1251">
        <f t="shared" si="488"/>
        <v>8484.3040000000001</v>
      </c>
      <c r="AE231" s="1251">
        <f t="shared" si="481"/>
        <v>23959.360999999997</v>
      </c>
      <c r="AF231" s="1251">
        <f t="shared" si="482"/>
        <v>29132.352000000003</v>
      </c>
      <c r="AG231" s="1251">
        <f t="shared" si="483"/>
        <v>30625.001000000004</v>
      </c>
      <c r="AH231" s="1251">
        <f t="shared" si="484"/>
        <v>28535.412100000001</v>
      </c>
      <c r="AI231" s="1251">
        <f t="shared" si="485"/>
        <v>53091.713000000003</v>
      </c>
      <c r="AJ231" s="1251">
        <f t="shared" si="486"/>
        <v>59160.413100000005</v>
      </c>
      <c r="AK231" s="1251">
        <f t="shared" si="487"/>
        <v>112252.12610000001</v>
      </c>
      <c r="AM231" s="2045">
        <f ca="1">SUM((INDIRECT(AM$2&amp;(ROW())):INDIRECT(AM$3&amp;(ROW()))))</f>
        <v>7935</v>
      </c>
      <c r="AN231" s="2046">
        <f ca="1">SUM(INDIRECT(AN$1&amp;AN$2&amp;$C231):INDIRECT(AN$1&amp;AN$3&amp;$C231))</f>
        <v>6700</v>
      </c>
      <c r="AO231" s="2809">
        <f t="shared" ca="1" si="376"/>
        <v>1235</v>
      </c>
      <c r="AP231" s="2810">
        <f t="shared" ca="1" si="456"/>
        <v>1.1843283582089552</v>
      </c>
      <c r="AQ231" s="2046">
        <f ca="1">SUM(INDIRECT(AQ$1&amp;AQ$2&amp;$A231):INDIRECT(AQ$1&amp;AQ$3&amp;$A231))+SUM(INDIRECT(AQ$1&amp;AQ$2&amp;$B231):INDIRECT(AQ$1&amp;AQ$3&amp;$B231))</f>
        <v>5702</v>
      </c>
      <c r="AR231" s="2809">
        <f t="shared" ca="1" si="457"/>
        <v>2233</v>
      </c>
      <c r="AS231" s="2810">
        <f t="shared" ca="1" si="458"/>
        <v>1.3916169764994739</v>
      </c>
      <c r="AU231" s="2045">
        <f ca="1">SUM((INDIRECT(AU$2&amp;(ROW())):INDIRECT(AU$3&amp;(ROW()))))</f>
        <v>7935</v>
      </c>
      <c r="AV231" s="2046">
        <f ca="1">SUM(INDIRECT(AV$1&amp;AV$2&amp;$C231):INDIRECT(AV$1&amp;AV$3&amp;$C231))</f>
        <v>6700</v>
      </c>
      <c r="AW231" s="2809">
        <f t="shared" ca="1" si="459"/>
        <v>1235</v>
      </c>
      <c r="AX231" s="2810">
        <f t="shared" ca="1" si="460"/>
        <v>1.1843283582089552</v>
      </c>
      <c r="AY231" s="2046">
        <f ca="1">SUM(INDIRECT(AY$1&amp;AY$2&amp;$A231):INDIRECT(AY$1&amp;AY$3&amp;$A231))+SUM(INDIRECT(AY$1&amp;AY$2&amp;$B231):INDIRECT(AY$1&amp;AY$3&amp;$B231))</f>
        <v>5702</v>
      </c>
      <c r="AZ231" s="2809">
        <f t="shared" ca="1" si="461"/>
        <v>2233</v>
      </c>
      <c r="BA231" s="2810">
        <f t="shared" ca="1" si="462"/>
        <v>1.3916169764994739</v>
      </c>
      <c r="BC231" s="2045">
        <f ca="1">SUM((INDIRECT(BC$2&amp;(ROW())):INDIRECT(BC$3&amp;(ROW()))))</f>
        <v>7935</v>
      </c>
      <c r="BD231" s="2046">
        <f ca="1">SUM(INDIRECT(BD$1&amp;BD$2&amp;$C231):INDIRECT(BD$1&amp;BD$3&amp;$C231))</f>
        <v>6700</v>
      </c>
      <c r="BE231" s="2809">
        <f t="shared" ca="1" si="463"/>
        <v>1235</v>
      </c>
      <c r="BF231" s="2810">
        <f t="shared" ca="1" si="464"/>
        <v>1.1843283582089552</v>
      </c>
      <c r="BG231" s="2046">
        <f ca="1">SUM(INDIRECT(BG$1&amp;BG$2&amp;$A231):INDIRECT(BG$1&amp;BG$3&amp;$A231))+SUM(INDIRECT(BG$1&amp;BG$2&amp;$B231):INDIRECT(BG$1&amp;BG$3&amp;$B231))</f>
        <v>5702</v>
      </c>
      <c r="BH231" s="2809">
        <f t="shared" ca="1" si="465"/>
        <v>2233</v>
      </c>
      <c r="BI231" s="2810">
        <f t="shared" ca="1" si="466"/>
        <v>1.3916169764994739</v>
      </c>
    </row>
    <row r="232" spans="1:61" s="69" customFormat="1" ht="14.5">
      <c r="A232" s="1693">
        <f t="shared" si="453"/>
        <v>232</v>
      </c>
      <c r="B232" s="616">
        <v>1</v>
      </c>
      <c r="C232" s="1693">
        <f t="shared" si="452"/>
        <v>232</v>
      </c>
      <c r="D232" s="616">
        <v>1</v>
      </c>
      <c r="E232" s="709" t="s">
        <v>512</v>
      </c>
      <c r="F232" s="1572"/>
      <c r="G232" s="4"/>
      <c r="H232" s="4"/>
      <c r="I232" s="4"/>
      <c r="J232" s="27"/>
      <c r="K232" s="3"/>
      <c r="L232" s="4"/>
      <c r="M232" s="4"/>
      <c r="N232" s="4"/>
      <c r="O232" s="3" t="s">
        <v>587</v>
      </c>
      <c r="P232" s="3"/>
      <c r="Q232" s="3"/>
      <c r="R232" s="1790" t="str">
        <f>CHOOSE(2, "6722000003151", "PL (3) BT Cons. Sales NH KM-1/KM-1e")</f>
        <v>PL (3) BT Cons. Sales NH KM-1/KM-1e</v>
      </c>
      <c r="S232" s="1215">
        <v>425</v>
      </c>
      <c r="T232" s="1222">
        <v>684.94100000000003</v>
      </c>
      <c r="U232" s="1222">
        <v>287.15499999999997</v>
      </c>
      <c r="V232" s="1222">
        <v>560.71199999999999</v>
      </c>
      <c r="W232" s="1222">
        <v>1428.527</v>
      </c>
      <c r="X232" s="1222">
        <v>401.71100000000001</v>
      </c>
      <c r="Y232" s="1222">
        <v>1263.796</v>
      </c>
      <c r="Z232" s="1222">
        <v>514.04600000000005</v>
      </c>
      <c r="AA232" s="1222">
        <v>1344.1289999999999</v>
      </c>
      <c r="AB232" s="1222">
        <v>1143.8309999999999</v>
      </c>
      <c r="AC232" s="1222">
        <v>577.62900000000002</v>
      </c>
      <c r="AD232" s="1222">
        <v>1222.3430000000001</v>
      </c>
      <c r="AE232" s="1232">
        <f t="shared" si="481"/>
        <v>1397.096</v>
      </c>
      <c r="AF232" s="1232">
        <f t="shared" si="482"/>
        <v>2390.9499999999998</v>
      </c>
      <c r="AG232" s="1232">
        <f t="shared" si="483"/>
        <v>3121.971</v>
      </c>
      <c r="AH232" s="1232">
        <f t="shared" si="484"/>
        <v>2943.8029999999999</v>
      </c>
      <c r="AI232" s="1232">
        <f t="shared" si="485"/>
        <v>3788.0459999999998</v>
      </c>
      <c r="AJ232" s="1232">
        <f t="shared" si="486"/>
        <v>6065.7739999999994</v>
      </c>
      <c r="AK232" s="1232">
        <f t="shared" si="487"/>
        <v>9853.82</v>
      </c>
      <c r="AM232" s="1378">
        <f ca="1">SUM((INDIRECT(AM$2&amp;(ROW())):INDIRECT(AM$3&amp;(ROW()))))</f>
        <v>425</v>
      </c>
      <c r="AN232" s="2043">
        <f ca="1">SUM(INDIRECT(AN$1&amp;AN$2&amp;$C232):INDIRECT(AN$1&amp;AN$3&amp;$C232))</f>
        <v>700</v>
      </c>
      <c r="AO232" s="2757">
        <f t="shared" ca="1" si="376"/>
        <v>-275</v>
      </c>
      <c r="AP232" s="2758">
        <f t="shared" ca="1" si="456"/>
        <v>0.6071428571428571</v>
      </c>
      <c r="AQ232" s="2043">
        <f ca="1">SUM(INDIRECT(AQ$1&amp;AQ$2&amp;$A232):INDIRECT(AQ$1&amp;AQ$3&amp;$A232))+SUM(INDIRECT(AQ$1&amp;AQ$2&amp;$B232):INDIRECT(AQ$1&amp;AQ$3&amp;$B232))</f>
        <v>938</v>
      </c>
      <c r="AR232" s="2757">
        <f t="shared" ca="1" si="457"/>
        <v>-513</v>
      </c>
      <c r="AS232" s="2758">
        <f t="shared" ca="1" si="458"/>
        <v>0.453091684434968</v>
      </c>
      <c r="AU232" s="1378">
        <f ca="1">SUM((INDIRECT(AU$2&amp;(ROW())):INDIRECT(AU$3&amp;(ROW()))))</f>
        <v>425</v>
      </c>
      <c r="AV232" s="2043">
        <f ca="1">SUM(INDIRECT(AV$1&amp;AV$2&amp;$C232):INDIRECT(AV$1&amp;AV$3&amp;$C232))</f>
        <v>700</v>
      </c>
      <c r="AW232" s="2757">
        <f t="shared" ca="1" si="459"/>
        <v>-275</v>
      </c>
      <c r="AX232" s="2758">
        <f t="shared" ca="1" si="460"/>
        <v>0.6071428571428571</v>
      </c>
      <c r="AY232" s="2043">
        <f ca="1">SUM(INDIRECT(AY$1&amp;AY$2&amp;$A232):INDIRECT(AY$1&amp;AY$3&amp;$A232))+SUM(INDIRECT(AY$1&amp;AY$2&amp;$B232):INDIRECT(AY$1&amp;AY$3&amp;$B232))</f>
        <v>938</v>
      </c>
      <c r="AZ232" s="2757">
        <f t="shared" ca="1" si="461"/>
        <v>-513</v>
      </c>
      <c r="BA232" s="2758">
        <f t="shared" ca="1" si="462"/>
        <v>0.453091684434968</v>
      </c>
      <c r="BC232" s="1378">
        <f ca="1">SUM((INDIRECT(BC$2&amp;(ROW())):INDIRECT(BC$3&amp;(ROW()))))</f>
        <v>425</v>
      </c>
      <c r="BD232" s="2043">
        <f ca="1">SUM(INDIRECT(BD$1&amp;BD$2&amp;$C232):INDIRECT(BD$1&amp;BD$3&amp;$C232))</f>
        <v>700</v>
      </c>
      <c r="BE232" s="2757">
        <f t="shared" ca="1" si="463"/>
        <v>-275</v>
      </c>
      <c r="BF232" s="2758">
        <f t="shared" ca="1" si="464"/>
        <v>0.6071428571428571</v>
      </c>
      <c r="BG232" s="2043">
        <f ca="1">SUM(INDIRECT(BG$1&amp;BG$2&amp;$A232):INDIRECT(BG$1&amp;BG$3&amp;$A232))+SUM(INDIRECT(BG$1&amp;BG$2&amp;$B232):INDIRECT(BG$1&amp;BG$3&amp;$B232))</f>
        <v>938</v>
      </c>
      <c r="BH232" s="2757">
        <f t="shared" ca="1" si="465"/>
        <v>-513</v>
      </c>
      <c r="BI232" s="2758">
        <f t="shared" ca="1" si="466"/>
        <v>0.453091684434968</v>
      </c>
    </row>
    <row r="233" spans="1:61" s="69" customFormat="1" ht="14.5">
      <c r="A233" s="1693">
        <f t="shared" si="453"/>
        <v>233</v>
      </c>
      <c r="B233" s="616">
        <v>1</v>
      </c>
      <c r="C233" s="1693">
        <f t="shared" si="452"/>
        <v>233</v>
      </c>
      <c r="D233" s="616">
        <v>1</v>
      </c>
      <c r="E233" s="709" t="s">
        <v>512</v>
      </c>
      <c r="F233" s="1572"/>
      <c r="G233" s="4"/>
      <c r="H233" s="4"/>
      <c r="I233" s="4"/>
      <c r="J233" s="27"/>
      <c r="K233" s="3"/>
      <c r="L233" s="4"/>
      <c r="M233" s="4"/>
      <c r="N233" s="4"/>
      <c r="O233" s="3" t="s">
        <v>117</v>
      </c>
      <c r="P233" s="3"/>
      <c r="Q233" s="3"/>
      <c r="R233" s="1790" t="str">
        <f>CHOOSE(2, "6722000003152", "PL (3) BT Cons. Sales NH Label Printer")</f>
        <v>PL (3) BT Cons. Sales NH Label Printer</v>
      </c>
      <c r="S233" s="1215">
        <v>3783</v>
      </c>
      <c r="T233" s="1222">
        <v>2497.3389999999999</v>
      </c>
      <c r="U233" s="1222">
        <v>2325.1509999999998</v>
      </c>
      <c r="V233" s="1222">
        <v>2858.1590000000001</v>
      </c>
      <c r="W233" s="1222">
        <v>2608.8040000000001</v>
      </c>
      <c r="X233" s="1222">
        <v>3916.6840000000002</v>
      </c>
      <c r="Y233" s="1222">
        <v>2882.4740000000002</v>
      </c>
      <c r="Z233" s="1222">
        <v>3210.85</v>
      </c>
      <c r="AA233" s="1222">
        <v>3861.44</v>
      </c>
      <c r="AB233" s="1222">
        <v>4224.6949999999997</v>
      </c>
      <c r="AC233" s="1222">
        <v>4620.3329999999996</v>
      </c>
      <c r="AD233" s="1222">
        <v>3922.1</v>
      </c>
      <c r="AE233" s="1232">
        <f t="shared" si="481"/>
        <v>8605.49</v>
      </c>
      <c r="AF233" s="1232">
        <f t="shared" si="482"/>
        <v>9383.6470000000008</v>
      </c>
      <c r="AG233" s="1232">
        <f t="shared" si="483"/>
        <v>9954.764000000001</v>
      </c>
      <c r="AH233" s="1232">
        <f t="shared" si="484"/>
        <v>12767.127999999999</v>
      </c>
      <c r="AI233" s="1232">
        <f t="shared" si="485"/>
        <v>17989.137000000002</v>
      </c>
      <c r="AJ233" s="1232">
        <f t="shared" si="486"/>
        <v>22721.892</v>
      </c>
      <c r="AK233" s="1232">
        <f t="shared" si="487"/>
        <v>40711.029000000002</v>
      </c>
      <c r="AM233" s="1378">
        <f ca="1">SUM((INDIRECT(AM$2&amp;(ROW())):INDIRECT(AM$3&amp;(ROW()))))</f>
        <v>3783</v>
      </c>
      <c r="AN233" s="2043">
        <f ca="1">SUM(INDIRECT(AN$1&amp;AN$2&amp;$C233):INDIRECT(AN$1&amp;AN$3&amp;$C233))</f>
        <v>3200</v>
      </c>
      <c r="AO233" s="2757">
        <f t="shared" ca="1" si="376"/>
        <v>583</v>
      </c>
      <c r="AP233" s="2758">
        <f t="shared" ca="1" si="456"/>
        <v>1.1821874999999999</v>
      </c>
      <c r="AQ233" s="2043">
        <f ca="1">SUM(INDIRECT(AQ$1&amp;AQ$2&amp;$A233):INDIRECT(AQ$1&amp;AQ$3&amp;$A233))+SUM(INDIRECT(AQ$1&amp;AQ$2&amp;$B233):INDIRECT(AQ$1&amp;AQ$3&amp;$B233))</f>
        <v>2340</v>
      </c>
      <c r="AR233" s="2757">
        <f t="shared" ca="1" si="457"/>
        <v>1443</v>
      </c>
      <c r="AS233" s="2758">
        <f t="shared" ca="1" si="458"/>
        <v>1.6166666666666667</v>
      </c>
      <c r="AU233" s="1378">
        <f ca="1">SUM((INDIRECT(AU$2&amp;(ROW())):INDIRECT(AU$3&amp;(ROW()))))</f>
        <v>3783</v>
      </c>
      <c r="AV233" s="2043">
        <f ca="1">SUM(INDIRECT(AV$1&amp;AV$2&amp;$C233):INDIRECT(AV$1&amp;AV$3&amp;$C233))</f>
        <v>3200</v>
      </c>
      <c r="AW233" s="2757">
        <f t="shared" ca="1" si="459"/>
        <v>583</v>
      </c>
      <c r="AX233" s="2758">
        <f t="shared" ca="1" si="460"/>
        <v>1.1821874999999999</v>
      </c>
      <c r="AY233" s="2043">
        <f ca="1">SUM(INDIRECT(AY$1&amp;AY$2&amp;$A233):INDIRECT(AY$1&amp;AY$3&amp;$A233))+SUM(INDIRECT(AY$1&amp;AY$2&amp;$B233):INDIRECT(AY$1&amp;AY$3&amp;$B233))</f>
        <v>2340</v>
      </c>
      <c r="AZ233" s="2757">
        <f t="shared" ca="1" si="461"/>
        <v>1443</v>
      </c>
      <c r="BA233" s="2758">
        <f t="shared" ca="1" si="462"/>
        <v>1.6166666666666667</v>
      </c>
      <c r="BC233" s="1378">
        <f ca="1">SUM((INDIRECT(BC$2&amp;(ROW())):INDIRECT(BC$3&amp;(ROW()))))</f>
        <v>3783</v>
      </c>
      <c r="BD233" s="2043">
        <f ca="1">SUM(INDIRECT(BD$1&amp;BD$2&amp;$C233):INDIRECT(BD$1&amp;BD$3&amp;$C233))</f>
        <v>3200</v>
      </c>
      <c r="BE233" s="2757">
        <f t="shared" ca="1" si="463"/>
        <v>583</v>
      </c>
      <c r="BF233" s="2758">
        <f t="shared" ca="1" si="464"/>
        <v>1.1821874999999999</v>
      </c>
      <c r="BG233" s="2043">
        <f ca="1">SUM(INDIRECT(BG$1&amp;BG$2&amp;$A233):INDIRECT(BG$1&amp;BG$3&amp;$A233))+SUM(INDIRECT(BG$1&amp;BG$2&amp;$B233):INDIRECT(BG$1&amp;BG$3&amp;$B233))</f>
        <v>2340</v>
      </c>
      <c r="BH233" s="2757">
        <f t="shared" ca="1" si="465"/>
        <v>1443</v>
      </c>
      <c r="BI233" s="2758">
        <f t="shared" ca="1" si="466"/>
        <v>1.6166666666666667</v>
      </c>
    </row>
    <row r="234" spans="1:61" s="69" customFormat="1" ht="14.5">
      <c r="A234" s="1693">
        <f t="shared" si="453"/>
        <v>234</v>
      </c>
      <c r="B234" s="616">
        <v>1</v>
      </c>
      <c r="C234" s="1693">
        <f t="shared" si="452"/>
        <v>234</v>
      </c>
      <c r="D234" s="616">
        <v>1</v>
      </c>
      <c r="E234" s="709" t="s">
        <v>512</v>
      </c>
      <c r="F234" s="1572"/>
      <c r="G234" s="4"/>
      <c r="H234" s="4"/>
      <c r="I234" s="4"/>
      <c r="J234" s="27"/>
      <c r="K234" s="3"/>
      <c r="L234" s="4"/>
      <c r="M234" s="4"/>
      <c r="N234" s="4"/>
      <c r="O234" s="3" t="s">
        <v>52</v>
      </c>
      <c r="P234" s="3"/>
      <c r="Q234" s="865"/>
      <c r="R234" s="1790" t="str">
        <f>CHOOSE(2, "6722000003153", "PL (3) BT Cons. Sales NH MGI")</f>
        <v>PL (3) BT Cons. Sales NH MGI</v>
      </c>
      <c r="S234" s="1215">
        <v>3727</v>
      </c>
      <c r="T234" s="1222">
        <v>4905.3379999999997</v>
      </c>
      <c r="U234" s="1222">
        <v>5324.4369999999999</v>
      </c>
      <c r="V234" s="1222">
        <v>4507.0219999999999</v>
      </c>
      <c r="W234" s="1222">
        <v>5504.5309999999999</v>
      </c>
      <c r="X234" s="1222">
        <v>7346.2020000000002</v>
      </c>
      <c r="Y234" s="1222">
        <v>7847.2560000000003</v>
      </c>
      <c r="Z234" s="1222">
        <v>5209.9650000000001</v>
      </c>
      <c r="AA234" s="1222">
        <v>4491.0450000000001</v>
      </c>
      <c r="AB234" s="1222">
        <v>4250.0250999999998</v>
      </c>
      <c r="AC234" s="1222">
        <v>5234.5950000000003</v>
      </c>
      <c r="AD234" s="1222">
        <v>3339.8609999999999</v>
      </c>
      <c r="AE234" s="1232">
        <f t="shared" si="481"/>
        <v>13956.775</v>
      </c>
      <c r="AF234" s="1232">
        <f t="shared" si="482"/>
        <v>17357.755000000001</v>
      </c>
      <c r="AG234" s="1232">
        <f t="shared" si="483"/>
        <v>17548.266000000003</v>
      </c>
      <c r="AH234" s="1232">
        <f t="shared" si="484"/>
        <v>12824.481100000001</v>
      </c>
      <c r="AI234" s="1232">
        <f t="shared" si="485"/>
        <v>31314.53</v>
      </c>
      <c r="AJ234" s="1232">
        <f t="shared" si="486"/>
        <v>30372.747100000004</v>
      </c>
      <c r="AK234" s="1232">
        <f t="shared" si="487"/>
        <v>61687.277100000007</v>
      </c>
      <c r="AM234" s="1378">
        <f ca="1">SUM((INDIRECT(AM$2&amp;(ROW())):INDIRECT(AM$3&amp;(ROW()))))</f>
        <v>3727</v>
      </c>
      <c r="AN234" s="2043">
        <f ca="1">SUM(INDIRECT(AN$1&amp;AN$2&amp;$C234):INDIRECT(AN$1&amp;AN$3&amp;$C234))</f>
        <v>2800</v>
      </c>
      <c r="AO234" s="2757">
        <f t="shared" ca="1" si="376"/>
        <v>927</v>
      </c>
      <c r="AP234" s="2758">
        <f t="shared" ca="1" si="456"/>
        <v>1.3310714285714285</v>
      </c>
      <c r="AQ234" s="2043">
        <f ca="1">SUM(INDIRECT(AQ$1&amp;AQ$2&amp;$A234):INDIRECT(AQ$1&amp;AQ$3&amp;$A234))+SUM(INDIRECT(AQ$1&amp;AQ$2&amp;$B234):INDIRECT(AQ$1&amp;AQ$3&amp;$B234))</f>
        <v>2424</v>
      </c>
      <c r="AR234" s="2757">
        <f t="shared" ca="1" si="457"/>
        <v>1303</v>
      </c>
      <c r="AS234" s="2758">
        <f t="shared" ca="1" si="458"/>
        <v>1.5375412541254125</v>
      </c>
      <c r="AU234" s="1378">
        <f ca="1">SUM((INDIRECT(AU$2&amp;(ROW())):INDIRECT(AU$3&amp;(ROW()))))</f>
        <v>3727</v>
      </c>
      <c r="AV234" s="2043">
        <f ca="1">SUM(INDIRECT(AV$1&amp;AV$2&amp;$C234):INDIRECT(AV$1&amp;AV$3&amp;$C234))</f>
        <v>2800</v>
      </c>
      <c r="AW234" s="2757">
        <f t="shared" ca="1" si="459"/>
        <v>927</v>
      </c>
      <c r="AX234" s="2758">
        <f t="shared" ca="1" si="460"/>
        <v>1.3310714285714285</v>
      </c>
      <c r="AY234" s="2043">
        <f ca="1">SUM(INDIRECT(AY$1&amp;AY$2&amp;$A234):INDIRECT(AY$1&amp;AY$3&amp;$A234))+SUM(INDIRECT(AY$1&amp;AY$2&amp;$B234):INDIRECT(AY$1&amp;AY$3&amp;$B234))</f>
        <v>2424</v>
      </c>
      <c r="AZ234" s="2757">
        <f t="shared" ca="1" si="461"/>
        <v>1303</v>
      </c>
      <c r="BA234" s="2758">
        <f t="shared" ca="1" si="462"/>
        <v>1.5375412541254125</v>
      </c>
      <c r="BC234" s="1378">
        <f ca="1">SUM((INDIRECT(BC$2&amp;(ROW())):INDIRECT(BC$3&amp;(ROW()))))</f>
        <v>3727</v>
      </c>
      <c r="BD234" s="2043">
        <f ca="1">SUM(INDIRECT(BD$1&amp;BD$2&amp;$C234):INDIRECT(BD$1&amp;BD$3&amp;$C234))</f>
        <v>2800</v>
      </c>
      <c r="BE234" s="2757">
        <f t="shared" ca="1" si="463"/>
        <v>927</v>
      </c>
      <c r="BF234" s="2758">
        <f t="shared" ca="1" si="464"/>
        <v>1.3310714285714285</v>
      </c>
      <c r="BG234" s="2043">
        <f ca="1">SUM(INDIRECT(BG$1&amp;BG$2&amp;$A234):INDIRECT(BG$1&amp;BG$3&amp;$A234))+SUM(INDIRECT(BG$1&amp;BG$2&amp;$B234):INDIRECT(BG$1&amp;BG$3&amp;$B234))</f>
        <v>2424</v>
      </c>
      <c r="BH234" s="2757">
        <f t="shared" ca="1" si="465"/>
        <v>1303</v>
      </c>
      <c r="BI234" s="2758">
        <f t="shared" ca="1" si="466"/>
        <v>1.5375412541254125</v>
      </c>
    </row>
    <row r="235" spans="1:61" s="69" customFormat="1" ht="14.5">
      <c r="A235" s="1693">
        <f t="shared" si="453"/>
        <v>235</v>
      </c>
      <c r="B235" s="616">
        <v>1</v>
      </c>
      <c r="C235" s="1693">
        <f t="shared" si="452"/>
        <v>235</v>
      </c>
      <c r="D235" s="616">
        <v>1</v>
      </c>
      <c r="E235" s="709" t="s">
        <v>512</v>
      </c>
      <c r="F235" s="1572"/>
      <c r="G235" s="4"/>
      <c r="H235" s="4"/>
      <c r="I235" s="4"/>
      <c r="J235" s="27"/>
      <c r="K235" s="3"/>
      <c r="L235" s="4"/>
      <c r="M235" s="4"/>
      <c r="N235" s="4"/>
      <c r="O235" s="3" t="s">
        <v>118</v>
      </c>
      <c r="P235" s="3"/>
      <c r="Q235" s="3"/>
      <c r="R235" s="1790" t="str">
        <f>CHOOSE(2, "6722000003154", "PL (3) BT Cons. Sales NH EFI/LF")</f>
        <v>PL (3) BT Cons. Sales NH EFI/LF</v>
      </c>
      <c r="S235" s="1215"/>
      <c r="T235" s="1222"/>
      <c r="U235" s="1222"/>
      <c r="V235" s="1222"/>
      <c r="W235" s="1222"/>
      <c r="X235" s="1222"/>
      <c r="Y235" s="1222"/>
      <c r="Z235" s="1222">
        <v>0</v>
      </c>
      <c r="AA235" s="1222"/>
      <c r="AB235" s="1222">
        <v>0</v>
      </c>
      <c r="AC235" s="1222"/>
      <c r="AD235" s="1222">
        <v>0</v>
      </c>
      <c r="AE235" s="1232">
        <f t="shared" si="481"/>
        <v>0</v>
      </c>
      <c r="AF235" s="1232">
        <f t="shared" si="482"/>
        <v>0</v>
      </c>
      <c r="AG235" s="1232">
        <f t="shared" si="483"/>
        <v>0</v>
      </c>
      <c r="AH235" s="1232">
        <f t="shared" si="484"/>
        <v>0</v>
      </c>
      <c r="AI235" s="1232">
        <f t="shared" si="485"/>
        <v>0</v>
      </c>
      <c r="AJ235" s="1232">
        <f t="shared" si="486"/>
        <v>0</v>
      </c>
      <c r="AK235" s="1232">
        <f t="shared" si="487"/>
        <v>0</v>
      </c>
      <c r="AM235" s="1378">
        <f ca="1">SUM((INDIRECT(AM$2&amp;(ROW())):INDIRECT(AM$3&amp;(ROW()))))</f>
        <v>0</v>
      </c>
      <c r="AN235" s="2043">
        <f ca="1">SUM(INDIRECT(AN$1&amp;AN$2&amp;$C235):INDIRECT(AN$1&amp;AN$3&amp;$C235))</f>
        <v>0</v>
      </c>
      <c r="AO235" s="2757">
        <f t="shared" ca="1" si="376"/>
        <v>0</v>
      </c>
      <c r="AP235" s="2758">
        <f t="shared" ca="1" si="456"/>
        <v>0</v>
      </c>
      <c r="AQ235" s="2043">
        <f ca="1">SUM(INDIRECT(AQ$1&amp;AQ$2&amp;$A235):INDIRECT(AQ$1&amp;AQ$3&amp;$A235))+SUM(INDIRECT(AQ$1&amp;AQ$2&amp;$B235):INDIRECT(AQ$1&amp;AQ$3&amp;$B235))</f>
        <v>0</v>
      </c>
      <c r="AR235" s="2757">
        <f t="shared" ca="1" si="457"/>
        <v>0</v>
      </c>
      <c r="AS235" s="2758">
        <f t="shared" ca="1" si="458"/>
        <v>0</v>
      </c>
      <c r="AU235" s="1378">
        <f ca="1">SUM((INDIRECT(AU$2&amp;(ROW())):INDIRECT(AU$3&amp;(ROW()))))</f>
        <v>0</v>
      </c>
      <c r="AV235" s="2043">
        <f ca="1">SUM(INDIRECT(AV$1&amp;AV$2&amp;$C235):INDIRECT(AV$1&amp;AV$3&amp;$C235))</f>
        <v>0</v>
      </c>
      <c r="AW235" s="2757">
        <f t="shared" ca="1" si="459"/>
        <v>0</v>
      </c>
      <c r="AX235" s="2758">
        <f t="shared" ca="1" si="460"/>
        <v>0</v>
      </c>
      <c r="AY235" s="2043">
        <f ca="1">SUM(INDIRECT(AY$1&amp;AY$2&amp;$A235):INDIRECT(AY$1&amp;AY$3&amp;$A235))+SUM(INDIRECT(AY$1&amp;AY$2&amp;$B235):INDIRECT(AY$1&amp;AY$3&amp;$B235))</f>
        <v>0</v>
      </c>
      <c r="AZ235" s="2757">
        <f t="shared" ca="1" si="461"/>
        <v>0</v>
      </c>
      <c r="BA235" s="2758">
        <f t="shared" ca="1" si="462"/>
        <v>0</v>
      </c>
      <c r="BC235" s="1378">
        <f ca="1">SUM((INDIRECT(BC$2&amp;(ROW())):INDIRECT(BC$3&amp;(ROW()))))</f>
        <v>0</v>
      </c>
      <c r="BD235" s="2043">
        <f ca="1">SUM(INDIRECT(BD$1&amp;BD$2&amp;$C235):INDIRECT(BD$1&amp;BD$3&amp;$C235))</f>
        <v>0</v>
      </c>
      <c r="BE235" s="2757">
        <f t="shared" ca="1" si="463"/>
        <v>0</v>
      </c>
      <c r="BF235" s="2758">
        <f t="shared" ca="1" si="464"/>
        <v>0</v>
      </c>
      <c r="BG235" s="2043">
        <f ca="1">SUM(INDIRECT(BG$1&amp;BG$2&amp;$A235):INDIRECT(BG$1&amp;BG$3&amp;$A235))+SUM(INDIRECT(BG$1&amp;BG$2&amp;$B235):INDIRECT(BG$1&amp;BG$3&amp;$B235))</f>
        <v>0</v>
      </c>
      <c r="BH235" s="2757">
        <f t="shared" ca="1" si="465"/>
        <v>0</v>
      </c>
      <c r="BI235" s="2758">
        <f t="shared" ca="1" si="466"/>
        <v>0</v>
      </c>
    </row>
    <row r="236" spans="1:61" s="69" customFormat="1" ht="14.5">
      <c r="A236" s="1693">
        <f t="shared" si="453"/>
        <v>236</v>
      </c>
      <c r="B236" s="616">
        <v>1</v>
      </c>
      <c r="C236" s="1693">
        <f t="shared" si="452"/>
        <v>236</v>
      </c>
      <c r="D236" s="616">
        <v>1</v>
      </c>
      <c r="E236" s="709" t="s">
        <v>512</v>
      </c>
      <c r="F236" s="1572"/>
      <c r="G236" s="4"/>
      <c r="H236" s="4"/>
      <c r="I236" s="4"/>
      <c r="J236" s="27"/>
      <c r="K236" s="3"/>
      <c r="L236" s="4"/>
      <c r="M236" s="4"/>
      <c r="N236" s="4"/>
      <c r="O236" s="3" t="s">
        <v>180</v>
      </c>
      <c r="P236" s="3"/>
      <c r="Q236" s="3"/>
      <c r="R236" s="1790" t="str">
        <f>CHOOSE(2, "6722000003155", "PL (3) BT Cons. Sales NH Textile Printer")</f>
        <v>PL (3) BT Cons. Sales NH Textile Printer</v>
      </c>
      <c r="S236" s="1215"/>
      <c r="T236" s="1222"/>
      <c r="U236" s="1222"/>
      <c r="V236" s="1222"/>
      <c r="W236" s="1222"/>
      <c r="X236" s="1222"/>
      <c r="Y236" s="1222"/>
      <c r="Z236" s="1222">
        <v>0</v>
      </c>
      <c r="AA236" s="1222"/>
      <c r="AB236" s="1222">
        <v>0</v>
      </c>
      <c r="AC236" s="1222"/>
      <c r="AD236" s="1222">
        <v>0</v>
      </c>
      <c r="AE236" s="1232">
        <f t="shared" si="481"/>
        <v>0</v>
      </c>
      <c r="AF236" s="1232">
        <f t="shared" si="482"/>
        <v>0</v>
      </c>
      <c r="AG236" s="1232">
        <f t="shared" si="483"/>
        <v>0</v>
      </c>
      <c r="AH236" s="1232">
        <f t="shared" si="484"/>
        <v>0</v>
      </c>
      <c r="AI236" s="1232">
        <f t="shared" si="485"/>
        <v>0</v>
      </c>
      <c r="AJ236" s="1232">
        <f t="shared" si="486"/>
        <v>0</v>
      </c>
      <c r="AK236" s="1232">
        <f t="shared" si="487"/>
        <v>0</v>
      </c>
      <c r="AM236" s="1378">
        <f ca="1">SUM((INDIRECT(AM$2&amp;(ROW())):INDIRECT(AM$3&amp;(ROW()))))</f>
        <v>0</v>
      </c>
      <c r="AN236" s="2043">
        <f ca="1">SUM(INDIRECT(AN$1&amp;AN$2&amp;$C236):INDIRECT(AN$1&amp;AN$3&amp;$C236))</f>
        <v>0</v>
      </c>
      <c r="AO236" s="2757">
        <f t="shared" ca="1" si="376"/>
        <v>0</v>
      </c>
      <c r="AP236" s="2758">
        <f t="shared" ca="1" si="456"/>
        <v>0</v>
      </c>
      <c r="AQ236" s="2043">
        <f ca="1">SUM(INDIRECT(AQ$1&amp;AQ$2&amp;$A236):INDIRECT(AQ$1&amp;AQ$3&amp;$A236))+SUM(INDIRECT(AQ$1&amp;AQ$2&amp;$B236):INDIRECT(AQ$1&amp;AQ$3&amp;$B236))</f>
        <v>0</v>
      </c>
      <c r="AR236" s="2757">
        <f t="shared" ca="1" si="457"/>
        <v>0</v>
      </c>
      <c r="AS236" s="2758">
        <f t="shared" ca="1" si="458"/>
        <v>0</v>
      </c>
      <c r="AU236" s="1378">
        <f ca="1">SUM((INDIRECT(AU$2&amp;(ROW())):INDIRECT(AU$3&amp;(ROW()))))</f>
        <v>0</v>
      </c>
      <c r="AV236" s="2043">
        <f ca="1">SUM(INDIRECT(AV$1&amp;AV$2&amp;$C236):INDIRECT(AV$1&amp;AV$3&amp;$C236))</f>
        <v>0</v>
      </c>
      <c r="AW236" s="2757">
        <f t="shared" ca="1" si="459"/>
        <v>0</v>
      </c>
      <c r="AX236" s="2758">
        <f t="shared" ca="1" si="460"/>
        <v>0</v>
      </c>
      <c r="AY236" s="2043">
        <f ca="1">SUM(INDIRECT(AY$1&amp;AY$2&amp;$A236):INDIRECT(AY$1&amp;AY$3&amp;$A236))+SUM(INDIRECT(AY$1&amp;AY$2&amp;$B236):INDIRECT(AY$1&amp;AY$3&amp;$B236))</f>
        <v>0</v>
      </c>
      <c r="AZ236" s="2757">
        <f t="shared" ca="1" si="461"/>
        <v>0</v>
      </c>
      <c r="BA236" s="2758">
        <f t="shared" ca="1" si="462"/>
        <v>0</v>
      </c>
      <c r="BC236" s="1378">
        <f ca="1">SUM((INDIRECT(BC$2&amp;(ROW())):INDIRECT(BC$3&amp;(ROW()))))</f>
        <v>0</v>
      </c>
      <c r="BD236" s="2043">
        <f ca="1">SUM(INDIRECT(BD$1&amp;BD$2&amp;$C236):INDIRECT(BD$1&amp;BD$3&amp;$C236))</f>
        <v>0</v>
      </c>
      <c r="BE236" s="2757">
        <f t="shared" ca="1" si="463"/>
        <v>0</v>
      </c>
      <c r="BF236" s="2758">
        <f t="shared" ca="1" si="464"/>
        <v>0</v>
      </c>
      <c r="BG236" s="2043">
        <f ca="1">SUM(INDIRECT(BG$1&amp;BG$2&amp;$A236):INDIRECT(BG$1&amp;BG$3&amp;$A236))+SUM(INDIRECT(BG$1&amp;BG$2&amp;$B236):INDIRECT(BG$1&amp;BG$3&amp;$B236))</f>
        <v>0</v>
      </c>
      <c r="BH236" s="2757">
        <f t="shared" ca="1" si="465"/>
        <v>0</v>
      </c>
      <c r="BI236" s="2758">
        <f t="shared" ca="1" si="466"/>
        <v>0</v>
      </c>
    </row>
    <row r="237" spans="1:61" s="69" customFormat="1" ht="14.5">
      <c r="A237" s="1693">
        <f t="shared" si="453"/>
        <v>237</v>
      </c>
      <c r="B237" s="616">
        <v>1</v>
      </c>
      <c r="C237" s="1693">
        <f t="shared" si="452"/>
        <v>237</v>
      </c>
      <c r="D237" s="616">
        <v>1</v>
      </c>
      <c r="E237" s="709" t="s">
        <v>512</v>
      </c>
      <c r="F237" s="1572"/>
      <c r="G237" s="4"/>
      <c r="H237" s="4"/>
      <c r="I237" s="4"/>
      <c r="J237" s="25"/>
      <c r="K237" s="1"/>
      <c r="L237" s="2"/>
      <c r="M237" s="2"/>
      <c r="N237" s="2"/>
      <c r="O237" s="1" t="s">
        <v>51</v>
      </c>
      <c r="P237" s="1"/>
      <c r="Q237" s="1"/>
      <c r="R237" s="1790" t="str">
        <f>CHOOSE(2, "6722000003156", "PL (3) BT Cons. Sales NH Others")</f>
        <v>PL (3) BT Cons. Sales NH Others</v>
      </c>
      <c r="S237" s="1387"/>
      <c r="T237" s="1231"/>
      <c r="U237" s="1231"/>
      <c r="V237" s="1231"/>
      <c r="W237" s="1231"/>
      <c r="X237" s="1231"/>
      <c r="Y237" s="1231"/>
      <c r="Z237" s="1231">
        <v>0</v>
      </c>
      <c r="AA237" s="1231"/>
      <c r="AB237" s="1231">
        <v>0</v>
      </c>
      <c r="AC237" s="1231"/>
      <c r="AD237" s="1231">
        <v>0</v>
      </c>
      <c r="AE237" s="1241">
        <f t="shared" si="481"/>
        <v>0</v>
      </c>
      <c r="AF237" s="1241">
        <f t="shared" si="482"/>
        <v>0</v>
      </c>
      <c r="AG237" s="1241">
        <f t="shared" si="483"/>
        <v>0</v>
      </c>
      <c r="AH237" s="1241">
        <f t="shared" si="484"/>
        <v>0</v>
      </c>
      <c r="AI237" s="1241">
        <f t="shared" si="485"/>
        <v>0</v>
      </c>
      <c r="AJ237" s="1241">
        <f t="shared" si="486"/>
        <v>0</v>
      </c>
      <c r="AK237" s="1241">
        <f t="shared" si="487"/>
        <v>0</v>
      </c>
      <c r="AM237" s="1379">
        <f ca="1">SUM((INDIRECT(AM$2&amp;(ROW())):INDIRECT(AM$3&amp;(ROW()))))</f>
        <v>0</v>
      </c>
      <c r="AN237" s="1979">
        <f ca="1">SUM(INDIRECT(AN$1&amp;AN$2&amp;$C237):INDIRECT(AN$1&amp;AN$3&amp;$C237))</f>
        <v>0</v>
      </c>
      <c r="AO237" s="2742">
        <f t="shared" ca="1" si="376"/>
        <v>0</v>
      </c>
      <c r="AP237" s="2743">
        <f t="shared" ca="1" si="456"/>
        <v>0</v>
      </c>
      <c r="AQ237" s="1979">
        <f ca="1">SUM(INDIRECT(AQ$1&amp;AQ$2&amp;$A237):INDIRECT(AQ$1&amp;AQ$3&amp;$A237))+SUM(INDIRECT(AQ$1&amp;AQ$2&amp;$B237):INDIRECT(AQ$1&amp;AQ$3&amp;$B237))</f>
        <v>0</v>
      </c>
      <c r="AR237" s="2742">
        <f t="shared" ca="1" si="457"/>
        <v>0</v>
      </c>
      <c r="AS237" s="2743">
        <f t="shared" ca="1" si="458"/>
        <v>0</v>
      </c>
      <c r="AU237" s="1379">
        <f ca="1">SUM((INDIRECT(AU$2&amp;(ROW())):INDIRECT(AU$3&amp;(ROW()))))</f>
        <v>0</v>
      </c>
      <c r="AV237" s="1979">
        <f ca="1">SUM(INDIRECT(AV$1&amp;AV$2&amp;$C237):INDIRECT(AV$1&amp;AV$3&amp;$C237))</f>
        <v>0</v>
      </c>
      <c r="AW237" s="2742">
        <f t="shared" ca="1" si="459"/>
        <v>0</v>
      </c>
      <c r="AX237" s="2743">
        <f t="shared" ca="1" si="460"/>
        <v>0</v>
      </c>
      <c r="AY237" s="1979">
        <f ca="1">SUM(INDIRECT(AY$1&amp;AY$2&amp;$A237):INDIRECT(AY$1&amp;AY$3&amp;$A237))+SUM(INDIRECT(AY$1&amp;AY$2&amp;$B237):INDIRECT(AY$1&amp;AY$3&amp;$B237))</f>
        <v>0</v>
      </c>
      <c r="AZ237" s="2742">
        <f t="shared" ca="1" si="461"/>
        <v>0</v>
      </c>
      <c r="BA237" s="2743">
        <f t="shared" ca="1" si="462"/>
        <v>0</v>
      </c>
      <c r="BC237" s="1379">
        <f ca="1">SUM((INDIRECT(BC$2&amp;(ROW())):INDIRECT(BC$3&amp;(ROW()))))</f>
        <v>0</v>
      </c>
      <c r="BD237" s="1979">
        <f ca="1">SUM(INDIRECT(BD$1&amp;BD$2&amp;$C237):INDIRECT(BD$1&amp;BD$3&amp;$C237))</f>
        <v>0</v>
      </c>
      <c r="BE237" s="2742">
        <f t="shared" ca="1" si="463"/>
        <v>0</v>
      </c>
      <c r="BF237" s="2743">
        <f t="shared" ca="1" si="464"/>
        <v>0</v>
      </c>
      <c r="BG237" s="1979">
        <f ca="1">SUM(INDIRECT(BG$1&amp;BG$2&amp;$A237):INDIRECT(BG$1&amp;BG$3&amp;$A237))+SUM(INDIRECT(BG$1&amp;BG$2&amp;$B237):INDIRECT(BG$1&amp;BG$3&amp;$B237))</f>
        <v>0</v>
      </c>
      <c r="BH237" s="2742">
        <f t="shared" ca="1" si="465"/>
        <v>0</v>
      </c>
      <c r="BI237" s="2743">
        <f t="shared" ca="1" si="466"/>
        <v>0</v>
      </c>
    </row>
    <row r="238" spans="1:61" ht="14.5">
      <c r="A238" s="1693">
        <f t="shared" si="453"/>
        <v>238</v>
      </c>
      <c r="B238" s="616">
        <v>1</v>
      </c>
      <c r="C238" s="1693">
        <f t="shared" si="452"/>
        <v>238</v>
      </c>
      <c r="D238" s="616">
        <v>1</v>
      </c>
      <c r="E238" s="709" t="s">
        <v>512</v>
      </c>
      <c r="F238" s="1572"/>
      <c r="G238" s="4"/>
      <c r="H238" s="4"/>
      <c r="I238" s="4"/>
      <c r="J238" s="365" t="s">
        <v>54</v>
      </c>
      <c r="K238" s="357"/>
      <c r="L238" s="356"/>
      <c r="M238" s="356"/>
      <c r="N238" s="357"/>
      <c r="O238" s="357"/>
      <c r="P238" s="357"/>
      <c r="Q238" s="489"/>
      <c r="R238" s="1795" t="str">
        <f>CHOOSE(2, "6722000003157", "PL (3) Gross Profit")</f>
        <v>PL (3) Gross Profit</v>
      </c>
      <c r="S238" s="1307">
        <f>S254+S261</f>
        <v>1316</v>
      </c>
      <c r="T238" s="1196">
        <f t="shared" ref="T238:AD238" si="489">T254+T261</f>
        <v>-34.608975833333147</v>
      </c>
      <c r="U238" s="1196">
        <f t="shared" si="489"/>
        <v>6589.2438141666671</v>
      </c>
      <c r="V238" s="1196">
        <f t="shared" si="489"/>
        <v>861.52477791666718</v>
      </c>
      <c r="W238" s="1196">
        <f t="shared" si="489"/>
        <v>12801.757513477411</v>
      </c>
      <c r="X238" s="1196">
        <f t="shared" si="489"/>
        <v>22258.179317916667</v>
      </c>
      <c r="Y238" s="1196">
        <f t="shared" si="489"/>
        <v>-729.15434208333397</v>
      </c>
      <c r="Z238" s="1196">
        <f t="shared" si="489"/>
        <v>13286.160767916668</v>
      </c>
      <c r="AA238" s="1196">
        <f t="shared" si="489"/>
        <v>2208.8905891688482</v>
      </c>
      <c r="AB238" s="1196">
        <f t="shared" si="489"/>
        <v>1444.7169499957645</v>
      </c>
      <c r="AC238" s="1196">
        <f t="shared" si="489"/>
        <v>8161.3898490986066</v>
      </c>
      <c r="AD238" s="1196">
        <f t="shared" si="489"/>
        <v>20079.505278896271</v>
      </c>
      <c r="AE238" s="886">
        <f t="shared" ref="AE238:AK238" si="490">AE254+AE261</f>
        <v>7870.6348383333334</v>
      </c>
      <c r="AF238" s="362">
        <f t="shared" si="490"/>
        <v>35921.461609310747</v>
      </c>
      <c r="AG238" s="362">
        <f t="shared" si="490"/>
        <v>14765.897015002183</v>
      </c>
      <c r="AH238" s="362">
        <f t="shared" si="490"/>
        <v>29685.612077990641</v>
      </c>
      <c r="AI238" s="362">
        <f t="shared" si="490"/>
        <v>43792.096447644071</v>
      </c>
      <c r="AJ238" s="362">
        <f t="shared" si="490"/>
        <v>44451.509092992826</v>
      </c>
      <c r="AK238" s="362">
        <f t="shared" si="490"/>
        <v>88243.605540636898</v>
      </c>
      <c r="AM238" s="2038">
        <f ca="1">SUM((INDIRECT(AM$2&amp;(ROW())):INDIRECT(AM$3&amp;(ROW()))))</f>
        <v>1316</v>
      </c>
      <c r="AN238" s="2039">
        <f ca="1">SUM(INDIRECT(AN$1&amp;AN$2&amp;$C238):INDIRECT(AN$1&amp;AN$3&amp;$C238))</f>
        <v>12930.734</v>
      </c>
      <c r="AO238" s="2803">
        <f t="shared" ca="1" si="376"/>
        <v>-11614.734</v>
      </c>
      <c r="AP238" s="2804">
        <f t="shared" ca="1" si="456"/>
        <v>0.10177303160052631</v>
      </c>
      <c r="AQ238" s="2039">
        <f ca="1">SUM(INDIRECT(AQ$1&amp;AQ$2&amp;$A238):INDIRECT(AQ$1&amp;AQ$3&amp;$A238))+SUM(INDIRECT(AQ$1&amp;AQ$2&amp;$B238):INDIRECT(AQ$1&amp;AQ$3&amp;$B238))</f>
        <v>1055</v>
      </c>
      <c r="AR238" s="2803">
        <f t="shared" ca="1" si="457"/>
        <v>261</v>
      </c>
      <c r="AS238" s="2804">
        <f t="shared" ca="1" si="458"/>
        <v>1.24739336492891</v>
      </c>
      <c r="AU238" s="2038">
        <f ca="1">SUM((INDIRECT(AU$2&amp;(ROW())):INDIRECT(AU$3&amp;(ROW()))))</f>
        <v>1316</v>
      </c>
      <c r="AV238" s="2039">
        <f ca="1">SUM(INDIRECT(AV$1&amp;AV$2&amp;$C238):INDIRECT(AV$1&amp;AV$3&amp;$C238))</f>
        <v>12930.734</v>
      </c>
      <c r="AW238" s="2803">
        <f t="shared" ca="1" si="459"/>
        <v>-11614.734</v>
      </c>
      <c r="AX238" s="2804">
        <f t="shared" ca="1" si="460"/>
        <v>0.10177303160052631</v>
      </c>
      <c r="AY238" s="2039">
        <f ca="1">SUM(INDIRECT(AY$1&amp;AY$2&amp;$A238):INDIRECT(AY$1&amp;AY$3&amp;$A238))+SUM(INDIRECT(AY$1&amp;AY$2&amp;$B238):INDIRECT(AY$1&amp;AY$3&amp;$B238))</f>
        <v>1055</v>
      </c>
      <c r="AZ238" s="2803">
        <f t="shared" ca="1" si="461"/>
        <v>261</v>
      </c>
      <c r="BA238" s="2804">
        <f t="shared" ca="1" si="462"/>
        <v>1.24739336492891</v>
      </c>
      <c r="BC238" s="2038">
        <f ca="1">SUM((INDIRECT(BC$2&amp;(ROW())):INDIRECT(BC$3&amp;(ROW()))))</f>
        <v>1316</v>
      </c>
      <c r="BD238" s="2039">
        <f ca="1">SUM(INDIRECT(BD$1&amp;BD$2&amp;$C238):INDIRECT(BD$1&amp;BD$3&amp;$C238))</f>
        <v>12930.734</v>
      </c>
      <c r="BE238" s="2803">
        <f t="shared" ca="1" si="463"/>
        <v>-11614.734</v>
      </c>
      <c r="BF238" s="2804">
        <f t="shared" ca="1" si="464"/>
        <v>0.10177303160052631</v>
      </c>
      <c r="BG238" s="2039">
        <f ca="1">SUM(INDIRECT(BG$1&amp;BG$2&amp;$A238):INDIRECT(BG$1&amp;BG$3&amp;$A238))+SUM(INDIRECT(BG$1&amp;BG$2&amp;$B238):INDIRECT(BG$1&amp;BG$3&amp;$B238))</f>
        <v>1055</v>
      </c>
      <c r="BH238" s="2803">
        <f t="shared" ca="1" si="465"/>
        <v>261</v>
      </c>
      <c r="BI238" s="2804">
        <f t="shared" ca="1" si="466"/>
        <v>1.24739336492891</v>
      </c>
    </row>
    <row r="239" spans="1:61" s="504" customFormat="1" ht="14.5">
      <c r="A239" s="1693">
        <f t="shared" si="453"/>
        <v>239</v>
      </c>
      <c r="B239" s="616">
        <v>1</v>
      </c>
      <c r="C239" s="1693">
        <f t="shared" si="452"/>
        <v>239</v>
      </c>
      <c r="D239" s="616">
        <v>1</v>
      </c>
      <c r="E239" s="709" t="s">
        <v>512</v>
      </c>
      <c r="F239" s="1572"/>
      <c r="G239" s="4"/>
      <c r="H239" s="4"/>
      <c r="I239" s="501"/>
      <c r="J239" s="502"/>
      <c r="K239" s="503" t="s">
        <v>113</v>
      </c>
      <c r="L239" s="501"/>
      <c r="M239" s="501"/>
      <c r="N239" s="501"/>
      <c r="O239" s="501"/>
      <c r="P239" s="478" t="s">
        <v>301</v>
      </c>
      <c r="Q239" s="501"/>
      <c r="R239" s="1785" t="str">
        <f>CHOOSE(2, "6722000003158", "PL (3) Gross Profit (%)")</f>
        <v>PL (3) Gross Profit (%)</v>
      </c>
      <c r="S239" s="1306">
        <f>IFERROR(S238/S208,0)</f>
        <v>1.5181228802805528E-2</v>
      </c>
      <c r="T239" s="1284">
        <f t="shared" ref="T239:AD239" si="491">IFERROR(T238/T208,0)</f>
        <v>-1.9291924629238565E-3</v>
      </c>
      <c r="U239" s="1284">
        <f t="shared" si="491"/>
        <v>0.17568157848754468</v>
      </c>
      <c r="V239" s="1284">
        <f t="shared" si="491"/>
        <v>0.10869750297116895</v>
      </c>
      <c r="W239" s="1284">
        <f t="shared" si="491"/>
        <v>0.3551913470363271</v>
      </c>
      <c r="X239" s="1284">
        <f t="shared" si="491"/>
        <v>0.32257016816217315</v>
      </c>
      <c r="Y239" s="1284">
        <f t="shared" si="491"/>
        <v>-6.079566109944097E-2</v>
      </c>
      <c r="Z239" s="1284">
        <f t="shared" si="491"/>
        <v>0.26930573024046156</v>
      </c>
      <c r="AA239" s="1284">
        <f t="shared" si="491"/>
        <v>7.179757960187419E-2</v>
      </c>
      <c r="AB239" s="1284">
        <f t="shared" si="491"/>
        <v>7.759556273934573E-2</v>
      </c>
      <c r="AC239" s="1284">
        <f t="shared" si="491"/>
        <v>0.41998538067319735</v>
      </c>
      <c r="AD239" s="1284">
        <f t="shared" si="491"/>
        <v>0.29107353578425998</v>
      </c>
      <c r="AE239" s="1284">
        <f t="shared" ref="AE239:AK239" si="492">IFERROR(AE238/AE208,0)</f>
        <v>5.5375389411376437E-2</v>
      </c>
      <c r="AF239" s="1284">
        <f t="shared" si="492"/>
        <v>0.31797246776137111</v>
      </c>
      <c r="AG239" s="1284">
        <f t="shared" si="492"/>
        <v>0.16033520449566915</v>
      </c>
      <c r="AH239" s="1284">
        <f t="shared" si="492"/>
        <v>0.27734383878726282</v>
      </c>
      <c r="AI239" s="1284">
        <f t="shared" si="492"/>
        <v>0.1716645657455006</v>
      </c>
      <c r="AJ239" s="1284">
        <f t="shared" si="492"/>
        <v>0.22322934192516608</v>
      </c>
      <c r="AK239" s="1284">
        <f t="shared" si="492"/>
        <v>0.19426988270723958</v>
      </c>
      <c r="AM239" s="1306">
        <f t="shared" ref="AM239:AQ239" ca="1" si="493">IFERROR(AM238/AM208,0)</f>
        <v>1.5181228802805528E-2</v>
      </c>
      <c r="AN239" s="1284">
        <f t="shared" ca="1" si="493"/>
        <v>0.14116521834061135</v>
      </c>
      <c r="AO239" s="1284">
        <f t="shared" ca="1" si="376"/>
        <v>-0.12598398953780582</v>
      </c>
      <c r="AP239" s="609"/>
      <c r="AQ239" s="1284">
        <f t="shared" ca="1" si="493"/>
        <v>6.8918212699242226E-2</v>
      </c>
      <c r="AR239" s="1284">
        <f t="shared" ca="1" si="457"/>
        <v>-5.3736983896436698E-2</v>
      </c>
      <c r="AS239" s="609"/>
      <c r="AU239" s="1306">
        <f ca="1">IFERROR(AU238/AU208,0)</f>
        <v>1.5181228802805528E-2</v>
      </c>
      <c r="AV239" s="1284">
        <f ca="1">IFERROR(AV238/AV208,0)</f>
        <v>0.14116521834061135</v>
      </c>
      <c r="AW239" s="1284">
        <f t="shared" ca="1" si="459"/>
        <v>-0.12598398953780582</v>
      </c>
      <c r="AX239" s="609"/>
      <c r="AY239" s="1284">
        <f ca="1">IFERROR(AY238/AY208,0)</f>
        <v>6.8918212699242226E-2</v>
      </c>
      <c r="AZ239" s="1284">
        <f t="shared" ca="1" si="461"/>
        <v>-5.3736983896436698E-2</v>
      </c>
      <c r="BA239" s="609"/>
      <c r="BC239" s="1306">
        <f ca="1">IFERROR(BC238/BC208,0)</f>
        <v>1.5181228802805528E-2</v>
      </c>
      <c r="BD239" s="1284">
        <f ca="1">IFERROR(BD238/BD208,0)</f>
        <v>0.14116521834061135</v>
      </c>
      <c r="BE239" s="1284">
        <f t="shared" ca="1" si="463"/>
        <v>-0.12598398953780582</v>
      </c>
      <c r="BF239" s="609"/>
      <c r="BG239" s="1284">
        <f ca="1">IFERROR(BG238/BG208,0)</f>
        <v>6.8918212699242226E-2</v>
      </c>
      <c r="BH239" s="1284">
        <f t="shared" ca="1" si="465"/>
        <v>-5.3736983896436698E-2</v>
      </c>
      <c r="BI239" s="609"/>
    </row>
    <row r="240" spans="1:61" s="509" customFormat="1" ht="14.5" hidden="1" outlineLevel="1">
      <c r="A240" s="1693">
        <f t="shared" si="453"/>
        <v>240</v>
      </c>
      <c r="B240" s="616">
        <v>1</v>
      </c>
      <c r="C240" s="1693">
        <f t="shared" si="452"/>
        <v>240</v>
      </c>
      <c r="D240" s="616">
        <v>1</v>
      </c>
      <c r="E240" s="709" t="s">
        <v>512</v>
      </c>
      <c r="F240" s="1572"/>
      <c r="G240" s="4"/>
      <c r="H240" s="4"/>
      <c r="I240" s="506"/>
      <c r="J240" s="507"/>
      <c r="K240" s="503"/>
      <c r="L240" s="506"/>
      <c r="M240" s="506"/>
      <c r="N240" s="508" t="s">
        <v>331</v>
      </c>
      <c r="O240" s="508"/>
      <c r="P240" s="508"/>
      <c r="Q240" s="508"/>
      <c r="R240" s="1797" t="str">
        <f>CHOOSE(2, "6722000003159", "PL (3) Gross Profit HW &amp; Solution (%)")</f>
        <v>PL (3) Gross Profit HW &amp; Solution (%)</v>
      </c>
      <c r="S240" s="1310">
        <f>IFERROR(S254/S209,0)</f>
        <v>3.9389976000304756E-2</v>
      </c>
      <c r="T240" s="1286">
        <f t="shared" ref="T240:AD240" si="494">IFERROR(T254/T209,0)</f>
        <v>1.3827649208282585E-2</v>
      </c>
      <c r="U240" s="1286">
        <f t="shared" si="494"/>
        <v>0.20703415623943186</v>
      </c>
      <c r="V240" s="1286">
        <f t="shared" si="494"/>
        <v>0</v>
      </c>
      <c r="W240" s="1286">
        <f t="shared" si="494"/>
        <v>0.42950943396226415</v>
      </c>
      <c r="X240" s="1286">
        <f t="shared" si="494"/>
        <v>0.35174474683019985</v>
      </c>
      <c r="Y240" s="1286">
        <f t="shared" si="494"/>
        <v>0</v>
      </c>
      <c r="Z240" s="1286">
        <f t="shared" si="494"/>
        <v>0.27354018301361388</v>
      </c>
      <c r="AA240" s="1286">
        <f t="shared" si="494"/>
        <v>-3.704764052645141E-2</v>
      </c>
      <c r="AB240" s="1286">
        <f t="shared" si="494"/>
        <v>-7.8501721805555563E-2</v>
      </c>
      <c r="AC240" s="1286">
        <f t="shared" si="494"/>
        <v>0.47159463597222223</v>
      </c>
      <c r="AD240" s="1286">
        <f t="shared" si="494"/>
        <v>0.32026296561983475</v>
      </c>
      <c r="AE240" s="1286">
        <f t="shared" ref="AE240:AK253" si="495">IFERROR(AE254/AE209,0)</f>
        <v>7.9207856278506933E-2</v>
      </c>
      <c r="AF240" s="1286">
        <f t="shared" si="495"/>
        <v>0.36876253712516999</v>
      </c>
      <c r="AG240" s="1286">
        <f t="shared" si="495"/>
        <v>0.14761468367605507</v>
      </c>
      <c r="AH240" s="1286">
        <f t="shared" si="495"/>
        <v>0.29189484901273888</v>
      </c>
      <c r="AI240" s="1286">
        <f t="shared" si="495"/>
        <v>0.19937797242476893</v>
      </c>
      <c r="AJ240" s="1286">
        <f t="shared" si="495"/>
        <v>0.22853259961483166</v>
      </c>
      <c r="AK240" s="1286">
        <f t="shared" si="495"/>
        <v>0.21131066605165785</v>
      </c>
      <c r="AM240" s="1310">
        <f t="shared" ref="AM240:AQ246" ca="1" si="496">IFERROR(AM254/AM209,0)</f>
        <v>3.9389976000304756E-2</v>
      </c>
      <c r="AN240" s="1286">
        <f t="shared" ca="1" si="496"/>
        <v>0.12606989399293286</v>
      </c>
      <c r="AO240" s="1286">
        <f t="shared" ca="1" si="376"/>
        <v>-8.6679917992628114E-2</v>
      </c>
      <c r="AP240" s="2811"/>
      <c r="AQ240" s="1286">
        <f t="shared" ca="1" si="496"/>
        <v>4.9042306882761524E-2</v>
      </c>
      <c r="AR240" s="1286">
        <f t="shared" ca="1" si="457"/>
        <v>-9.652330882456768E-3</v>
      </c>
      <c r="AS240" s="2811"/>
      <c r="AU240" s="1310">
        <f t="shared" ref="AU240:AV246" ca="1" si="497">IFERROR(AU254/AU209,0)</f>
        <v>3.9389976000304756E-2</v>
      </c>
      <c r="AV240" s="1286">
        <f t="shared" ca="1" si="497"/>
        <v>0.12606989399293286</v>
      </c>
      <c r="AW240" s="1286">
        <f t="shared" ca="1" si="459"/>
        <v>-8.6679917992628114E-2</v>
      </c>
      <c r="AX240" s="2811"/>
      <c r="AY240" s="1286">
        <f t="shared" ref="AY240:AY246" ca="1" si="498">IFERROR(AY254/AY209,0)</f>
        <v>4.9042306882761524E-2</v>
      </c>
      <c r="AZ240" s="1286">
        <f t="shared" ca="1" si="461"/>
        <v>-9.652330882456768E-3</v>
      </c>
      <c r="BA240" s="2811"/>
      <c r="BC240" s="1310">
        <f t="shared" ref="BC240:BD246" ca="1" si="499">IFERROR(BC254/BC209,0)</f>
        <v>3.9389976000304756E-2</v>
      </c>
      <c r="BD240" s="1286">
        <f t="shared" ca="1" si="499"/>
        <v>0.12606989399293286</v>
      </c>
      <c r="BE240" s="1286">
        <f t="shared" ca="1" si="463"/>
        <v>-8.6679917992628114E-2</v>
      </c>
      <c r="BF240" s="2811"/>
      <c r="BG240" s="1286">
        <f t="shared" ref="BG240:BG246" ca="1" si="500">IFERROR(BG254/BG209,0)</f>
        <v>4.9042306882761524E-2</v>
      </c>
      <c r="BH240" s="1286">
        <f t="shared" ca="1" si="465"/>
        <v>-9.652330882456768E-3</v>
      </c>
      <c r="BI240" s="2811"/>
    </row>
    <row r="241" spans="1:61" s="509" customFormat="1" ht="14.5" hidden="1" outlineLevel="1">
      <c r="A241" s="1693">
        <f t="shared" si="453"/>
        <v>241</v>
      </c>
      <c r="B241" s="616">
        <v>1</v>
      </c>
      <c r="C241" s="1693">
        <f t="shared" si="452"/>
        <v>241</v>
      </c>
      <c r="D241" s="616">
        <v>1</v>
      </c>
      <c r="E241" s="709" t="s">
        <v>512</v>
      </c>
      <c r="F241" s="1572"/>
      <c r="G241" s="4"/>
      <c r="H241" s="4"/>
      <c r="I241" s="506"/>
      <c r="J241" s="507"/>
      <c r="K241" s="503"/>
      <c r="L241" s="506"/>
      <c r="M241" s="506"/>
      <c r="N241" s="506"/>
      <c r="O241" s="503" t="s">
        <v>588</v>
      </c>
      <c r="P241" s="503"/>
      <c r="Q241" s="503"/>
      <c r="R241" s="1785" t="str">
        <f>CHOOSE(2, "6722000003160", "PL (3) Gross Profit HW &amp; Solution (%) KM-1/KM-1e (%)")</f>
        <v>PL (3) Gross Profit HW &amp; Solution (%) KM-1/KM-1e (%)</v>
      </c>
      <c r="S241" s="1311">
        <f t="shared" ref="S241:AD253" si="501">IFERROR(S255/S210,0)</f>
        <v>0.1625290322580645</v>
      </c>
      <c r="T241" s="1285">
        <f t="shared" si="501"/>
        <v>0</v>
      </c>
      <c r="U241" s="1285">
        <f t="shared" si="501"/>
        <v>0</v>
      </c>
      <c r="V241" s="1285">
        <f t="shared" si="501"/>
        <v>0</v>
      </c>
      <c r="W241" s="1285">
        <f t="shared" si="501"/>
        <v>0</v>
      </c>
      <c r="X241" s="1285">
        <f t="shared" si="501"/>
        <v>0</v>
      </c>
      <c r="Y241" s="1285">
        <f t="shared" si="501"/>
        <v>0</v>
      </c>
      <c r="Z241" s="1285">
        <f t="shared" si="501"/>
        <v>0</v>
      </c>
      <c r="AA241" s="1285">
        <f t="shared" si="501"/>
        <v>0</v>
      </c>
      <c r="AB241" s="1285">
        <f t="shared" si="501"/>
        <v>0</v>
      </c>
      <c r="AC241" s="1285">
        <f t="shared" si="501"/>
        <v>0</v>
      </c>
      <c r="AD241" s="1285">
        <f t="shared" si="501"/>
        <v>0</v>
      </c>
      <c r="AE241" s="1285">
        <f t="shared" si="495"/>
        <v>0.1625290322580645</v>
      </c>
      <c r="AF241" s="1285">
        <f t="shared" si="495"/>
        <v>0</v>
      </c>
      <c r="AG241" s="1285">
        <f t="shared" si="495"/>
        <v>0</v>
      </c>
      <c r="AH241" s="1285">
        <f t="shared" si="495"/>
        <v>0</v>
      </c>
      <c r="AI241" s="1285">
        <f t="shared" si="495"/>
        <v>0.1625290322580645</v>
      </c>
      <c r="AJ241" s="1285">
        <f t="shared" si="495"/>
        <v>0</v>
      </c>
      <c r="AK241" s="1285">
        <f t="shared" si="495"/>
        <v>0.1625290322580645</v>
      </c>
      <c r="AM241" s="1311">
        <f t="shared" ca="1" si="496"/>
        <v>0.1625290322580645</v>
      </c>
      <c r="AN241" s="1285">
        <f t="shared" ca="1" si="496"/>
        <v>0.13297872340425532</v>
      </c>
      <c r="AO241" s="1285">
        <f t="shared" ca="1" si="376"/>
        <v>2.9550308853809187E-2</v>
      </c>
      <c r="AP241" s="2812"/>
      <c r="AQ241" s="1285">
        <f t="shared" ca="1" si="496"/>
        <v>0</v>
      </c>
      <c r="AR241" s="1285">
        <f t="shared" ca="1" si="457"/>
        <v>0.1625290322580645</v>
      </c>
      <c r="AS241" s="2812"/>
      <c r="AU241" s="1311">
        <f t="shared" ca="1" si="497"/>
        <v>0.1625290322580645</v>
      </c>
      <c r="AV241" s="1285">
        <f t="shared" ca="1" si="497"/>
        <v>0.13297872340425532</v>
      </c>
      <c r="AW241" s="1285">
        <f t="shared" ca="1" si="459"/>
        <v>2.9550308853809187E-2</v>
      </c>
      <c r="AX241" s="2812"/>
      <c r="AY241" s="1285">
        <f t="shared" ca="1" si="498"/>
        <v>0</v>
      </c>
      <c r="AZ241" s="1285">
        <f t="shared" ca="1" si="461"/>
        <v>0.1625290322580645</v>
      </c>
      <c r="BA241" s="2812"/>
      <c r="BC241" s="1311">
        <f t="shared" ca="1" si="499"/>
        <v>0.1625290322580645</v>
      </c>
      <c r="BD241" s="1285">
        <f t="shared" ca="1" si="499"/>
        <v>0.13297872340425532</v>
      </c>
      <c r="BE241" s="1285">
        <f t="shared" ca="1" si="463"/>
        <v>2.9550308853809187E-2</v>
      </c>
      <c r="BF241" s="2812"/>
      <c r="BG241" s="1285">
        <f t="shared" ca="1" si="500"/>
        <v>0</v>
      </c>
      <c r="BH241" s="1285">
        <f t="shared" ca="1" si="465"/>
        <v>0.1625290322580645</v>
      </c>
      <c r="BI241" s="2812"/>
    </row>
    <row r="242" spans="1:61" s="509" customFormat="1" ht="14.5" hidden="1" outlineLevel="1">
      <c r="A242" s="1693">
        <f t="shared" si="453"/>
        <v>242</v>
      </c>
      <c r="B242" s="616">
        <v>1</v>
      </c>
      <c r="C242" s="1693">
        <f t="shared" si="452"/>
        <v>242</v>
      </c>
      <c r="D242" s="616">
        <v>1</v>
      </c>
      <c r="E242" s="709" t="s">
        <v>512</v>
      </c>
      <c r="F242" s="1572"/>
      <c r="G242" s="4"/>
      <c r="H242" s="4"/>
      <c r="I242" s="506"/>
      <c r="J242" s="507"/>
      <c r="K242" s="503"/>
      <c r="L242" s="506"/>
      <c r="M242" s="506"/>
      <c r="N242" s="506"/>
      <c r="O242" s="503" t="s">
        <v>332</v>
      </c>
      <c r="P242" s="503"/>
      <c r="Q242" s="503"/>
      <c r="R242" s="1785" t="str">
        <f>CHOOSE(2, "6722000003161", "PL (3) Gross Profit HW &amp; Solution (%) Label Printer (%)")</f>
        <v>PL (3) Gross Profit HW &amp; Solution (%) Label Printer (%)</v>
      </c>
      <c r="S242" s="1311">
        <f t="shared" si="501"/>
        <v>-9.7557557557557555</v>
      </c>
      <c r="T242" s="1285">
        <f t="shared" si="501"/>
        <v>0</v>
      </c>
      <c r="U242" s="1285">
        <f t="shared" si="501"/>
        <v>0.69086419753086414</v>
      </c>
      <c r="V242" s="1285">
        <f t="shared" si="501"/>
        <v>0</v>
      </c>
      <c r="W242" s="1285">
        <f t="shared" si="501"/>
        <v>0</v>
      </c>
      <c r="X242" s="1285">
        <f t="shared" si="501"/>
        <v>0.42048293089092426</v>
      </c>
      <c r="Y242" s="1285">
        <f t="shared" si="501"/>
        <v>0</v>
      </c>
      <c r="Z242" s="1285">
        <f t="shared" si="501"/>
        <v>0.57692503838383846</v>
      </c>
      <c r="AA242" s="1285">
        <f t="shared" si="501"/>
        <v>0.47150359275315573</v>
      </c>
      <c r="AB242" s="1285">
        <f t="shared" si="501"/>
        <v>0.51915862777777788</v>
      </c>
      <c r="AC242" s="1285">
        <f t="shared" si="501"/>
        <v>0.52492749444444442</v>
      </c>
      <c r="AD242" s="1285">
        <f t="shared" si="501"/>
        <v>0.34063444827586203</v>
      </c>
      <c r="AE242" s="1285">
        <f t="shared" si="495"/>
        <v>-0.5381044070777008</v>
      </c>
      <c r="AF242" s="1285">
        <f t="shared" si="495"/>
        <v>0.42048293089092426</v>
      </c>
      <c r="AG242" s="1285">
        <f t="shared" si="495"/>
        <v>0.51261910606989602</v>
      </c>
      <c r="AH242" s="1285">
        <f t="shared" si="495"/>
        <v>0.41011008723404258</v>
      </c>
      <c r="AI242" s="1285">
        <f t="shared" si="495"/>
        <v>0.26113575826223578</v>
      </c>
      <c r="AJ242" s="1285">
        <f t="shared" si="495"/>
        <v>0.43902809250729002</v>
      </c>
      <c r="AK242" s="1285">
        <f t="shared" si="495"/>
        <v>0.35802298873542965</v>
      </c>
      <c r="AM242" s="1311">
        <f t="shared" ca="1" si="496"/>
        <v>-9.7557557557557555</v>
      </c>
      <c r="AN242" s="1285">
        <f t="shared" ca="1" si="496"/>
        <v>0</v>
      </c>
      <c r="AO242" s="1285">
        <f t="shared" ca="1" si="376"/>
        <v>-9.7557557557557555</v>
      </c>
      <c r="AP242" s="2812"/>
      <c r="AQ242" s="1285">
        <f t="shared" ca="1" si="496"/>
        <v>0</v>
      </c>
      <c r="AR242" s="1285">
        <f t="shared" ca="1" si="457"/>
        <v>-9.7557557557557555</v>
      </c>
      <c r="AS242" s="2812"/>
      <c r="AU242" s="1311">
        <f t="shared" ca="1" si="497"/>
        <v>-9.7557557557557555</v>
      </c>
      <c r="AV242" s="1285">
        <f t="shared" ca="1" si="497"/>
        <v>0</v>
      </c>
      <c r="AW242" s="1285">
        <f t="shared" ca="1" si="459"/>
        <v>-9.7557557557557555</v>
      </c>
      <c r="AX242" s="2812"/>
      <c r="AY242" s="1285">
        <f t="shared" ca="1" si="498"/>
        <v>0</v>
      </c>
      <c r="AZ242" s="1285">
        <f t="shared" ca="1" si="461"/>
        <v>-9.7557557557557555</v>
      </c>
      <c r="BA242" s="2812"/>
      <c r="BC242" s="1311">
        <f t="shared" ca="1" si="499"/>
        <v>-9.7557557557557555</v>
      </c>
      <c r="BD242" s="1285">
        <f t="shared" ca="1" si="499"/>
        <v>0</v>
      </c>
      <c r="BE242" s="1285">
        <f t="shared" ca="1" si="463"/>
        <v>-9.7557557557557555</v>
      </c>
      <c r="BF242" s="2812"/>
      <c r="BG242" s="1285">
        <f t="shared" ca="1" si="500"/>
        <v>0</v>
      </c>
      <c r="BH242" s="1285">
        <f t="shared" ca="1" si="465"/>
        <v>-9.7557557557557555</v>
      </c>
      <c r="BI242" s="2812"/>
    </row>
    <row r="243" spans="1:61" s="509" customFormat="1" ht="14.5" hidden="1" outlineLevel="1">
      <c r="A243" s="1693">
        <f t="shared" si="453"/>
        <v>243</v>
      </c>
      <c r="B243" s="616">
        <v>1</v>
      </c>
      <c r="C243" s="1693">
        <f t="shared" si="452"/>
        <v>243</v>
      </c>
      <c r="D243" s="616">
        <v>1</v>
      </c>
      <c r="E243" s="709" t="s">
        <v>512</v>
      </c>
      <c r="F243" s="1572"/>
      <c r="G243" s="4"/>
      <c r="H243" s="4"/>
      <c r="I243" s="506"/>
      <c r="J243" s="507"/>
      <c r="K243" s="503"/>
      <c r="L243" s="506"/>
      <c r="M243" s="506"/>
      <c r="N243" s="506"/>
      <c r="O243" s="503" t="s">
        <v>333</v>
      </c>
      <c r="P243" s="503"/>
      <c r="Q243" s="503"/>
      <c r="R243" s="1785" t="str">
        <f>CHOOSE(2, "6722000003162", "PL (3) Gross Profit HW &amp; Solution (%) MGI (%)")</f>
        <v>PL (3) Gross Profit HW &amp; Solution (%) MGI (%)</v>
      </c>
      <c r="S243" s="1311">
        <f t="shared" si="501"/>
        <v>1</v>
      </c>
      <c r="T243" s="1285">
        <f t="shared" si="501"/>
        <v>8.9569833536337795E-2</v>
      </c>
      <c r="U243" s="1285">
        <f t="shared" si="501"/>
        <v>2.4499301350721939E-2</v>
      </c>
      <c r="V243" s="1285">
        <f t="shared" si="501"/>
        <v>0</v>
      </c>
      <c r="W243" s="1285">
        <f t="shared" si="501"/>
        <v>0.42950943396226415</v>
      </c>
      <c r="X243" s="1285">
        <f t="shared" si="501"/>
        <v>8.3618828525641037E-2</v>
      </c>
      <c r="Y243" s="1285">
        <f t="shared" si="501"/>
        <v>0</v>
      </c>
      <c r="Z243" s="1285">
        <f t="shared" si="501"/>
        <v>0.1750644430737705</v>
      </c>
      <c r="AA243" s="1285">
        <f t="shared" si="501"/>
        <v>-0.38566626450000002</v>
      </c>
      <c r="AB243" s="1285">
        <f t="shared" si="501"/>
        <v>0</v>
      </c>
      <c r="AC243" s="1285">
        <f t="shared" si="501"/>
        <v>0</v>
      </c>
      <c r="AD243" s="1285">
        <f t="shared" si="501"/>
        <v>0.30150826730158736</v>
      </c>
      <c r="AE243" s="1285">
        <f t="shared" si="495"/>
        <v>5.2588902261354278E-2</v>
      </c>
      <c r="AF243" s="1285">
        <f t="shared" si="495"/>
        <v>0.30697155988219893</v>
      </c>
      <c r="AG243" s="1285">
        <f t="shared" si="495"/>
        <v>-9.1582469476744269E-3</v>
      </c>
      <c r="AH243" s="1285">
        <f t="shared" si="495"/>
        <v>0.1155102078571429</v>
      </c>
      <c r="AI243" s="1285">
        <f t="shared" si="495"/>
        <v>0.19185879536073608</v>
      </c>
      <c r="AJ243" s="1285">
        <f t="shared" si="495"/>
        <v>4.3553918506711427E-2</v>
      </c>
      <c r="AK243" s="1285">
        <f t="shared" si="495"/>
        <v>0.11527733698552753</v>
      </c>
      <c r="AM243" s="1311">
        <f t="shared" ca="1" si="496"/>
        <v>1</v>
      </c>
      <c r="AN243" s="1285">
        <f t="shared" ca="1" si="496"/>
        <v>7.2508659793814434E-2</v>
      </c>
      <c r="AO243" s="1285">
        <f t="shared" ca="1" si="376"/>
        <v>0.92749134020618551</v>
      </c>
      <c r="AP243" s="2812"/>
      <c r="AQ243" s="1285">
        <f t="shared" ca="1" si="496"/>
        <v>4.9042306882761524E-2</v>
      </c>
      <c r="AR243" s="1285">
        <f t="shared" ca="1" si="457"/>
        <v>0.95095769311723843</v>
      </c>
      <c r="AS243" s="2812"/>
      <c r="AU243" s="1311">
        <f t="shared" ca="1" si="497"/>
        <v>1</v>
      </c>
      <c r="AV243" s="1285">
        <f t="shared" ca="1" si="497"/>
        <v>7.2508659793814434E-2</v>
      </c>
      <c r="AW243" s="1285">
        <f t="shared" ca="1" si="459"/>
        <v>0.92749134020618551</v>
      </c>
      <c r="AX243" s="2812"/>
      <c r="AY243" s="1285">
        <f t="shared" ca="1" si="498"/>
        <v>4.9042306882761524E-2</v>
      </c>
      <c r="AZ243" s="1285">
        <f t="shared" ca="1" si="461"/>
        <v>0.95095769311723843</v>
      </c>
      <c r="BA243" s="2812"/>
      <c r="BC243" s="1311">
        <f t="shared" ca="1" si="499"/>
        <v>1</v>
      </c>
      <c r="BD243" s="1285">
        <f t="shared" ca="1" si="499"/>
        <v>7.2508659793814434E-2</v>
      </c>
      <c r="BE243" s="1285">
        <f t="shared" ca="1" si="463"/>
        <v>0.92749134020618551</v>
      </c>
      <c r="BF243" s="2812"/>
      <c r="BG243" s="1285">
        <f t="shared" ca="1" si="500"/>
        <v>4.9042306882761524E-2</v>
      </c>
      <c r="BH243" s="1285">
        <f t="shared" ca="1" si="465"/>
        <v>0.95095769311723843</v>
      </c>
      <c r="BI243" s="2812"/>
    </row>
    <row r="244" spans="1:61" s="509" customFormat="1" ht="14.5" hidden="1" outlineLevel="1">
      <c r="A244" s="1693">
        <f t="shared" si="453"/>
        <v>244</v>
      </c>
      <c r="B244" s="616">
        <v>1</v>
      </c>
      <c r="C244" s="1693">
        <f t="shared" si="452"/>
        <v>244</v>
      </c>
      <c r="D244" s="616">
        <v>1</v>
      </c>
      <c r="E244" s="709" t="s">
        <v>512</v>
      </c>
      <c r="F244" s="1572"/>
      <c r="G244" s="4"/>
      <c r="H244" s="4"/>
      <c r="I244" s="506"/>
      <c r="J244" s="507"/>
      <c r="K244" s="503"/>
      <c r="L244" s="506"/>
      <c r="M244" s="506"/>
      <c r="N244" s="506"/>
      <c r="O244" s="503" t="s">
        <v>334</v>
      </c>
      <c r="P244" s="503"/>
      <c r="Q244" s="503"/>
      <c r="R244" s="1785" t="str">
        <f>CHOOSE(2, "6722000003163", "PL (3) Gross Profit HW &amp; Solution (%) EFI/LF (%)")</f>
        <v>PL (3) Gross Profit HW &amp; Solution (%) EFI/LF (%)</v>
      </c>
      <c r="S244" s="1311">
        <f t="shared" si="501"/>
        <v>0</v>
      </c>
      <c r="T244" s="1285">
        <f t="shared" si="501"/>
        <v>0</v>
      </c>
      <c r="U244" s="1285">
        <f t="shared" si="501"/>
        <v>0</v>
      </c>
      <c r="V244" s="1285">
        <f t="shared" si="501"/>
        <v>0</v>
      </c>
      <c r="W244" s="1285">
        <f t="shared" si="501"/>
        <v>0</v>
      </c>
      <c r="X244" s="1285">
        <f t="shared" si="501"/>
        <v>0</v>
      </c>
      <c r="Y244" s="1285">
        <f t="shared" si="501"/>
        <v>0</v>
      </c>
      <c r="Z244" s="1285">
        <f t="shared" si="501"/>
        <v>0</v>
      </c>
      <c r="AA244" s="1285">
        <f t="shared" si="501"/>
        <v>0</v>
      </c>
      <c r="AB244" s="1285">
        <f t="shared" si="501"/>
        <v>0</v>
      </c>
      <c r="AC244" s="1285">
        <f t="shared" si="501"/>
        <v>0</v>
      </c>
      <c r="AD244" s="1285">
        <f t="shared" si="501"/>
        <v>0</v>
      </c>
      <c r="AE244" s="1285">
        <f t="shared" si="495"/>
        <v>0</v>
      </c>
      <c r="AF244" s="1285">
        <f t="shared" si="495"/>
        <v>0</v>
      </c>
      <c r="AG244" s="1285">
        <f t="shared" si="495"/>
        <v>0</v>
      </c>
      <c r="AH244" s="1285">
        <f t="shared" si="495"/>
        <v>0</v>
      </c>
      <c r="AI244" s="1285">
        <f>IFERROR(AI258/AI213,0)</f>
        <v>0</v>
      </c>
      <c r="AJ244" s="1285">
        <f t="shared" si="495"/>
        <v>0</v>
      </c>
      <c r="AK244" s="1285">
        <f t="shared" si="495"/>
        <v>0</v>
      </c>
      <c r="AM244" s="1311">
        <f t="shared" ca="1" si="496"/>
        <v>0</v>
      </c>
      <c r="AN244" s="1285">
        <f t="shared" ca="1" si="496"/>
        <v>0</v>
      </c>
      <c r="AO244" s="1285">
        <f t="shared" ca="1" si="376"/>
        <v>0</v>
      </c>
      <c r="AP244" s="2812"/>
      <c r="AQ244" s="1285">
        <f t="shared" ca="1" si="496"/>
        <v>0</v>
      </c>
      <c r="AR244" s="1285">
        <f t="shared" ca="1" si="457"/>
        <v>0</v>
      </c>
      <c r="AS244" s="2812"/>
      <c r="AU244" s="1311">
        <f t="shared" ca="1" si="497"/>
        <v>0</v>
      </c>
      <c r="AV244" s="1285">
        <f t="shared" ca="1" si="497"/>
        <v>0</v>
      </c>
      <c r="AW244" s="1285">
        <f t="shared" ca="1" si="459"/>
        <v>0</v>
      </c>
      <c r="AX244" s="2812"/>
      <c r="AY244" s="1285">
        <f t="shared" ca="1" si="498"/>
        <v>0</v>
      </c>
      <c r="AZ244" s="1285">
        <f t="shared" ca="1" si="461"/>
        <v>0</v>
      </c>
      <c r="BA244" s="2812"/>
      <c r="BC244" s="1311">
        <f t="shared" ca="1" si="499"/>
        <v>0</v>
      </c>
      <c r="BD244" s="1285">
        <f t="shared" ca="1" si="499"/>
        <v>0</v>
      </c>
      <c r="BE244" s="1285">
        <f t="shared" ca="1" si="463"/>
        <v>0</v>
      </c>
      <c r="BF244" s="2812"/>
      <c r="BG244" s="1285">
        <f t="shared" ca="1" si="500"/>
        <v>0</v>
      </c>
      <c r="BH244" s="1285">
        <f t="shared" ca="1" si="465"/>
        <v>0</v>
      </c>
      <c r="BI244" s="2812"/>
    </row>
    <row r="245" spans="1:61" s="509" customFormat="1" ht="14.5" hidden="1" outlineLevel="1">
      <c r="A245" s="1693">
        <f t="shared" si="453"/>
        <v>245</v>
      </c>
      <c r="B245" s="616">
        <v>1</v>
      </c>
      <c r="C245" s="1693">
        <f t="shared" si="452"/>
        <v>245</v>
      </c>
      <c r="D245" s="616">
        <v>1</v>
      </c>
      <c r="E245" s="709" t="s">
        <v>512</v>
      </c>
      <c r="F245" s="1572"/>
      <c r="G245" s="4"/>
      <c r="H245" s="4"/>
      <c r="I245" s="506"/>
      <c r="J245" s="507"/>
      <c r="K245" s="503"/>
      <c r="L245" s="506"/>
      <c r="M245" s="506"/>
      <c r="N245" s="506"/>
      <c r="O245" s="503" t="s">
        <v>335</v>
      </c>
      <c r="P245" s="503"/>
      <c r="Q245" s="503"/>
      <c r="R245" s="1785" t="str">
        <f>CHOOSE(2, "6722000003164", "PL (3) Gross Profit HW &amp; Solution (%) Textile Printer (%)")</f>
        <v>PL (3) Gross Profit HW &amp; Solution (%) Textile Printer (%)</v>
      </c>
      <c r="S245" s="1311">
        <f t="shared" si="501"/>
        <v>0</v>
      </c>
      <c r="T245" s="1285">
        <f t="shared" si="501"/>
        <v>0</v>
      </c>
      <c r="U245" s="1285">
        <f t="shared" si="501"/>
        <v>0</v>
      </c>
      <c r="V245" s="1285">
        <f t="shared" si="501"/>
        <v>0</v>
      </c>
      <c r="W245" s="1285">
        <f t="shared" si="501"/>
        <v>0</v>
      </c>
      <c r="X245" s="1285">
        <f t="shared" si="501"/>
        <v>0</v>
      </c>
      <c r="Y245" s="1285">
        <f t="shared" si="501"/>
        <v>0</v>
      </c>
      <c r="Z245" s="1285">
        <f t="shared" si="501"/>
        <v>0</v>
      </c>
      <c r="AA245" s="1285">
        <f t="shared" si="501"/>
        <v>0</v>
      </c>
      <c r="AB245" s="1285">
        <f t="shared" si="501"/>
        <v>0</v>
      </c>
      <c r="AC245" s="1285">
        <f t="shared" si="501"/>
        <v>0</v>
      </c>
      <c r="AD245" s="1285">
        <f t="shared" si="501"/>
        <v>0</v>
      </c>
      <c r="AE245" s="1285">
        <f t="shared" si="495"/>
        <v>0</v>
      </c>
      <c r="AF245" s="1285">
        <f t="shared" si="495"/>
        <v>0</v>
      </c>
      <c r="AG245" s="1285">
        <f t="shared" si="495"/>
        <v>0</v>
      </c>
      <c r="AH245" s="1285">
        <f t="shared" si="495"/>
        <v>0</v>
      </c>
      <c r="AI245" s="1285">
        <f t="shared" si="495"/>
        <v>0</v>
      </c>
      <c r="AJ245" s="1285">
        <f t="shared" si="495"/>
        <v>0</v>
      </c>
      <c r="AK245" s="1285">
        <f t="shared" si="495"/>
        <v>0</v>
      </c>
      <c r="AM245" s="1311">
        <f t="shared" ca="1" si="496"/>
        <v>0</v>
      </c>
      <c r="AN245" s="1285">
        <f t="shared" ca="1" si="496"/>
        <v>0</v>
      </c>
      <c r="AO245" s="1285">
        <f t="shared" ca="1" si="376"/>
        <v>0</v>
      </c>
      <c r="AP245" s="2812"/>
      <c r="AQ245" s="1285">
        <f t="shared" ca="1" si="496"/>
        <v>0</v>
      </c>
      <c r="AR245" s="1285">
        <f t="shared" ca="1" si="457"/>
        <v>0</v>
      </c>
      <c r="AS245" s="2812"/>
      <c r="AU245" s="1311">
        <f t="shared" ca="1" si="497"/>
        <v>0</v>
      </c>
      <c r="AV245" s="1285">
        <f t="shared" ca="1" si="497"/>
        <v>0</v>
      </c>
      <c r="AW245" s="1285">
        <f t="shared" ca="1" si="459"/>
        <v>0</v>
      </c>
      <c r="AX245" s="2812"/>
      <c r="AY245" s="1285">
        <f t="shared" ca="1" si="498"/>
        <v>0</v>
      </c>
      <c r="AZ245" s="1285">
        <f t="shared" ca="1" si="461"/>
        <v>0</v>
      </c>
      <c r="BA245" s="2812"/>
      <c r="BC245" s="1311">
        <f t="shared" ca="1" si="499"/>
        <v>0</v>
      </c>
      <c r="BD245" s="1285">
        <f t="shared" ca="1" si="499"/>
        <v>0</v>
      </c>
      <c r="BE245" s="1285">
        <f t="shared" ca="1" si="463"/>
        <v>0</v>
      </c>
      <c r="BF245" s="2812"/>
      <c r="BG245" s="1285">
        <f t="shared" ca="1" si="500"/>
        <v>0</v>
      </c>
      <c r="BH245" s="1285">
        <f t="shared" ca="1" si="465"/>
        <v>0</v>
      </c>
      <c r="BI245" s="2812"/>
    </row>
    <row r="246" spans="1:61" s="509" customFormat="1" ht="14.5" hidden="1" outlineLevel="1">
      <c r="A246" s="1693">
        <f t="shared" si="453"/>
        <v>246</v>
      </c>
      <c r="B246" s="616">
        <v>1</v>
      </c>
      <c r="C246" s="1693">
        <f t="shared" si="452"/>
        <v>246</v>
      </c>
      <c r="D246" s="616">
        <v>1</v>
      </c>
      <c r="E246" s="709" t="s">
        <v>512</v>
      </c>
      <c r="F246" s="1572"/>
      <c r="G246" s="4"/>
      <c r="H246" s="4"/>
      <c r="I246" s="506"/>
      <c r="J246" s="507"/>
      <c r="K246" s="503"/>
      <c r="L246" s="506"/>
      <c r="M246" s="506"/>
      <c r="N246" s="510"/>
      <c r="O246" s="510" t="s">
        <v>329</v>
      </c>
      <c r="P246" s="510"/>
      <c r="Q246" s="510"/>
      <c r="R246" s="1785" t="str">
        <f>CHOOSE(2, "6722000003165", "PL (3) Gross Profit HW &amp; Solution (%) Others (%)")</f>
        <v>PL (3) Gross Profit HW &amp; Solution (%) Others (%)</v>
      </c>
      <c r="S246" s="1312">
        <f t="shared" si="501"/>
        <v>0</v>
      </c>
      <c r="T246" s="1287">
        <f t="shared" si="501"/>
        <v>0</v>
      </c>
      <c r="U246" s="1287">
        <f t="shared" si="501"/>
        <v>0</v>
      </c>
      <c r="V246" s="1287">
        <f t="shared" si="501"/>
        <v>0</v>
      </c>
      <c r="W246" s="1287">
        <f t="shared" si="501"/>
        <v>0</v>
      </c>
      <c r="X246" s="1287">
        <f t="shared" si="501"/>
        <v>0</v>
      </c>
      <c r="Y246" s="1287">
        <f t="shared" si="501"/>
        <v>0</v>
      </c>
      <c r="Z246" s="1287">
        <f t="shared" si="501"/>
        <v>0</v>
      </c>
      <c r="AA246" s="1287">
        <f t="shared" si="501"/>
        <v>0</v>
      </c>
      <c r="AB246" s="1287">
        <f t="shared" si="501"/>
        <v>0</v>
      </c>
      <c r="AC246" s="1287">
        <f t="shared" si="501"/>
        <v>0</v>
      </c>
      <c r="AD246" s="1287">
        <f t="shared" si="501"/>
        <v>0</v>
      </c>
      <c r="AE246" s="1287">
        <f t="shared" si="495"/>
        <v>0</v>
      </c>
      <c r="AF246" s="1287">
        <f t="shared" si="495"/>
        <v>0</v>
      </c>
      <c r="AG246" s="1287">
        <f t="shared" si="495"/>
        <v>0</v>
      </c>
      <c r="AH246" s="1287">
        <f t="shared" si="495"/>
        <v>0</v>
      </c>
      <c r="AI246" s="1287">
        <f t="shared" si="495"/>
        <v>0</v>
      </c>
      <c r="AJ246" s="1287">
        <f t="shared" si="495"/>
        <v>0</v>
      </c>
      <c r="AK246" s="1287">
        <f t="shared" si="495"/>
        <v>0</v>
      </c>
      <c r="AM246" s="1312">
        <f t="shared" ca="1" si="496"/>
        <v>0</v>
      </c>
      <c r="AN246" s="1287">
        <f t="shared" ca="1" si="496"/>
        <v>0</v>
      </c>
      <c r="AO246" s="1287">
        <f t="shared" ca="1" si="376"/>
        <v>0</v>
      </c>
      <c r="AP246" s="2813"/>
      <c r="AQ246" s="1287">
        <f t="shared" ca="1" si="496"/>
        <v>0</v>
      </c>
      <c r="AR246" s="1287">
        <f t="shared" ca="1" si="457"/>
        <v>0</v>
      </c>
      <c r="AS246" s="2813"/>
      <c r="AU246" s="1312">
        <f t="shared" ca="1" si="497"/>
        <v>0</v>
      </c>
      <c r="AV246" s="1287">
        <f t="shared" ca="1" si="497"/>
        <v>0</v>
      </c>
      <c r="AW246" s="1287">
        <f t="shared" ca="1" si="459"/>
        <v>0</v>
      </c>
      <c r="AX246" s="2813"/>
      <c r="AY246" s="1287">
        <f t="shared" ca="1" si="498"/>
        <v>0</v>
      </c>
      <c r="AZ246" s="1287">
        <f t="shared" ca="1" si="461"/>
        <v>0</v>
      </c>
      <c r="BA246" s="2813"/>
      <c r="BC246" s="1312">
        <f t="shared" ca="1" si="499"/>
        <v>0</v>
      </c>
      <c r="BD246" s="1287">
        <f t="shared" ca="1" si="499"/>
        <v>0</v>
      </c>
      <c r="BE246" s="1287">
        <f t="shared" ca="1" si="463"/>
        <v>0</v>
      </c>
      <c r="BF246" s="2813"/>
      <c r="BG246" s="1287">
        <f t="shared" ca="1" si="500"/>
        <v>0</v>
      </c>
      <c r="BH246" s="1287">
        <f t="shared" ca="1" si="465"/>
        <v>0</v>
      </c>
      <c r="BI246" s="2813"/>
    </row>
    <row r="247" spans="1:61" s="509" customFormat="1" ht="14.5" hidden="1" outlineLevel="1">
      <c r="A247" s="1693">
        <f t="shared" si="453"/>
        <v>247</v>
      </c>
      <c r="B247" s="616">
        <v>1</v>
      </c>
      <c r="C247" s="1693">
        <f t="shared" si="452"/>
        <v>247</v>
      </c>
      <c r="D247" s="616">
        <v>1</v>
      </c>
      <c r="E247" s="709" t="s">
        <v>512</v>
      </c>
      <c r="F247" s="1572"/>
      <c r="G247" s="4"/>
      <c r="H247" s="4"/>
      <c r="I247" s="506"/>
      <c r="J247" s="507"/>
      <c r="K247" s="503"/>
      <c r="L247" s="506"/>
      <c r="M247" s="506"/>
      <c r="N247" s="508" t="s">
        <v>328</v>
      </c>
      <c r="O247" s="508"/>
      <c r="P247" s="508"/>
      <c r="Q247" s="508"/>
      <c r="R247" s="1797" t="str">
        <f>CHOOSE(2, "6722000003166", "PL (3) Gross Profit NH (%)")</f>
        <v>PL (3) Gross Profit NH (%)</v>
      </c>
      <c r="S247" s="1310">
        <f t="shared" si="501"/>
        <v>-0.2250787649653434</v>
      </c>
      <c r="T247" s="1286">
        <f t="shared" si="501"/>
        <v>-2.1123521886584305E-2</v>
      </c>
      <c r="U247" s="1286">
        <f t="shared" si="501"/>
        <v>5.8870976944404907E-2</v>
      </c>
      <c r="V247" s="1286">
        <f t="shared" si="501"/>
        <v>0.18869185896991889</v>
      </c>
      <c r="W247" s="1286">
        <f t="shared" si="501"/>
        <v>0.14879250124110058</v>
      </c>
      <c r="X247" s="1286">
        <f t="shared" si="501"/>
        <v>0.17916084234771817</v>
      </c>
      <c r="Y247" s="1286">
        <f t="shared" si="501"/>
        <v>3.8987770082515104E-2</v>
      </c>
      <c r="Z247" s="1286">
        <f t="shared" si="501"/>
        <v>0.25015916578519432</v>
      </c>
      <c r="AA247" s="1286">
        <f t="shared" si="501"/>
        <v>0.30829774346167116</v>
      </c>
      <c r="AB247" s="1286">
        <f t="shared" si="501"/>
        <v>0.22365452175492048</v>
      </c>
      <c r="AC247" s="1286">
        <f t="shared" si="501"/>
        <v>0.37546290188959491</v>
      </c>
      <c r="AD247" s="1286">
        <f t="shared" si="501"/>
        <v>8.2929119335689611E-2</v>
      </c>
      <c r="AE247" s="1286">
        <f t="shared" si="495"/>
        <v>-6.2171739958618528E-2</v>
      </c>
      <c r="AF247" s="1286">
        <f t="shared" si="495"/>
        <v>0.17180720670307512</v>
      </c>
      <c r="AG247" s="1286">
        <f t="shared" si="495"/>
        <v>0.18586717511461248</v>
      </c>
      <c r="AH247" s="1286">
        <f t="shared" si="495"/>
        <v>0.23731447812140199</v>
      </c>
      <c r="AI247" s="1286">
        <f t="shared" si="495"/>
        <v>6.6216602582479828E-2</v>
      </c>
      <c r="AJ247" s="1286">
        <f t="shared" si="495"/>
        <v>0.21068224850246731</v>
      </c>
      <c r="AK247" s="1286">
        <f t="shared" si="495"/>
        <v>0.14235455727717303</v>
      </c>
      <c r="AM247" s="1310">
        <f ca="1">SUM((INDIRECT(AM$2&amp;(ROW())):INDIRECT(AM$3&amp;(ROW()))))</f>
        <v>-0.2250787649653434</v>
      </c>
      <c r="AN247" s="1286">
        <f ca="1">SUM(INDIRECT(AN$1&amp;AN$2&amp;$C247):INDIRECT(AN$1&amp;AN$3&amp;$C247))</f>
        <v>0.33244776119402986</v>
      </c>
      <c r="AO247" s="1286">
        <f t="shared" ca="1" si="376"/>
        <v>-0.55752652615937326</v>
      </c>
      <c r="AP247" s="2811"/>
      <c r="AQ247" s="1286">
        <f ca="1">SUM(INDIRECT(AQ$1&amp;AQ$2&amp;$A247):INDIRECT(AQ$1&amp;AQ$3&amp;$A247))</f>
        <v>0.10144677919393731</v>
      </c>
      <c r="AR247" s="1286">
        <f t="shared" ca="1" si="457"/>
        <v>-0.3265255441592807</v>
      </c>
      <c r="AS247" s="2811"/>
      <c r="AU247" s="1310">
        <f ca="1">SUM((INDIRECT(AU$2&amp;(ROW())):INDIRECT(AU$3&amp;(ROW()))))</f>
        <v>-0.2250787649653434</v>
      </c>
      <c r="AV247" s="1286">
        <f ca="1">SUM(INDIRECT(AV$1&amp;AV$2&amp;$C247):INDIRECT(AV$1&amp;AV$3&amp;$C247))</f>
        <v>0.33244776119402986</v>
      </c>
      <c r="AW247" s="1286">
        <f t="shared" ca="1" si="459"/>
        <v>-0.55752652615937326</v>
      </c>
      <c r="AX247" s="2811"/>
      <c r="AY247" s="1286">
        <f ca="1">SUM(INDIRECT(AY$1&amp;AY$2&amp;$A247):INDIRECT(AY$1&amp;AY$3&amp;$A247))</f>
        <v>0.10144677919393731</v>
      </c>
      <c r="AZ247" s="1286">
        <f t="shared" ca="1" si="461"/>
        <v>-0.3265255441592807</v>
      </c>
      <c r="BA247" s="2811"/>
      <c r="BC247" s="1310">
        <f ca="1">SUM((INDIRECT(BC$2&amp;(ROW())):INDIRECT(BC$3&amp;(ROW()))))</f>
        <v>-0.2250787649653434</v>
      </c>
      <c r="BD247" s="1286">
        <f ca="1">SUM(INDIRECT(BD$1&amp;BD$2&amp;$C247):INDIRECT(BD$1&amp;BD$3&amp;$C247))</f>
        <v>0.33244776119402986</v>
      </c>
      <c r="BE247" s="1286">
        <f t="shared" ca="1" si="463"/>
        <v>-0.55752652615937326</v>
      </c>
      <c r="BF247" s="2811"/>
      <c r="BG247" s="1286">
        <f ca="1">SUM(INDIRECT(BG$1&amp;BG$2&amp;$A247):INDIRECT(BG$1&amp;BG$3&amp;$A247))</f>
        <v>0.10144677919393731</v>
      </c>
      <c r="BH247" s="1286">
        <f t="shared" ca="1" si="465"/>
        <v>-0.3265255441592807</v>
      </c>
      <c r="BI247" s="2811"/>
    </row>
    <row r="248" spans="1:61" s="509" customFormat="1" ht="14.5" hidden="1" outlineLevel="1">
      <c r="A248" s="1693">
        <f t="shared" si="453"/>
        <v>248</v>
      </c>
      <c r="B248" s="616">
        <v>1</v>
      </c>
      <c r="C248" s="1693">
        <f t="shared" si="452"/>
        <v>248</v>
      </c>
      <c r="D248" s="616">
        <v>1</v>
      </c>
      <c r="E248" s="709" t="s">
        <v>512</v>
      </c>
      <c r="F248" s="1572"/>
      <c r="G248" s="4"/>
      <c r="H248" s="4"/>
      <c r="I248" s="506"/>
      <c r="J248" s="507"/>
      <c r="K248" s="503"/>
      <c r="L248" s="506"/>
      <c r="M248" s="506"/>
      <c r="N248" s="506"/>
      <c r="O248" s="503" t="s">
        <v>588</v>
      </c>
      <c r="P248" s="503"/>
      <c r="Q248" s="503"/>
      <c r="R248" s="1785" t="str">
        <f>CHOOSE(2, "6722000003167", "PL (3) Gross Profit NH (%) KM-1/KM-1e (%)")</f>
        <v>PL (3) Gross Profit NH (%) KM-1/KM-1e (%)</v>
      </c>
      <c r="S248" s="1311">
        <f t="shared" si="501"/>
        <v>-6.8376470588235296</v>
      </c>
      <c r="T248" s="1285">
        <f t="shared" si="501"/>
        <v>-0.51912295610959425</v>
      </c>
      <c r="U248" s="1285">
        <f t="shared" si="501"/>
        <v>-3.5928656875680036</v>
      </c>
      <c r="V248" s="1285">
        <f t="shared" si="501"/>
        <v>-0.40293937218921155</v>
      </c>
      <c r="W248" s="1285">
        <f t="shared" si="501"/>
        <v>5.061397243264705E-2</v>
      </c>
      <c r="X248" s="1285">
        <f t="shared" si="501"/>
        <v>-2.893832798331772</v>
      </c>
      <c r="Y248" s="1285">
        <f t="shared" si="501"/>
        <v>-0.91654133044467179</v>
      </c>
      <c r="Z248" s="1285">
        <f t="shared" si="501"/>
        <v>-4.5314956029431301E-2</v>
      </c>
      <c r="AA248" s="1285">
        <f t="shared" si="501"/>
        <v>0.40822357399474413</v>
      </c>
      <c r="AB248" s="1285">
        <f t="shared" si="501"/>
        <v>-0.91123114229536439</v>
      </c>
      <c r="AC248" s="1285">
        <f t="shared" si="501"/>
        <v>0.25302595641464537</v>
      </c>
      <c r="AD248" s="1285">
        <f t="shared" si="501"/>
        <v>0.11121689865511807</v>
      </c>
      <c r="AE248" s="1285">
        <f t="shared" si="495"/>
        <v>-3.0730013851548144</v>
      </c>
      <c r="AF248" s="1285">
        <f t="shared" si="495"/>
        <v>-0.5504565057037244</v>
      </c>
      <c r="AG248" s="1285">
        <f t="shared" si="495"/>
        <v>-0.20272773028570035</v>
      </c>
      <c r="AH248" s="1285">
        <f t="shared" si="495"/>
        <v>-0.25823538497386567</v>
      </c>
      <c r="AI248" s="1285">
        <f t="shared" si="495"/>
        <v>-1.4808140992761363</v>
      </c>
      <c r="AJ248" s="1285">
        <f t="shared" si="495"/>
        <v>-0.22966635351729209</v>
      </c>
      <c r="AK248" s="1285">
        <f t="shared" si="495"/>
        <v>-0.71063771424143818</v>
      </c>
      <c r="AM248" s="1311">
        <f t="shared" ref="AM248:AQ253" ca="1" si="502">IFERROR(AM262/AM217,0)</f>
        <v>-6.8376470588235296</v>
      </c>
      <c r="AN248" s="1285">
        <f t="shared" ca="1" si="502"/>
        <v>-0.2857142857142857</v>
      </c>
      <c r="AO248" s="1285">
        <f t="shared" ca="1" si="376"/>
        <v>-6.551932773109244</v>
      </c>
      <c r="AP248" s="2812"/>
      <c r="AQ248" s="1285">
        <f t="shared" ca="1" si="502"/>
        <v>-0.38379530916844351</v>
      </c>
      <c r="AR248" s="1285">
        <f t="shared" ca="1" si="457"/>
        <v>-6.4538517496550858</v>
      </c>
      <c r="AS248" s="2812"/>
      <c r="AU248" s="1311">
        <f t="shared" ref="AU248:AV253" ca="1" si="503">IFERROR(AU262/AU217,0)</f>
        <v>-6.8376470588235296</v>
      </c>
      <c r="AV248" s="1285">
        <f t="shared" ca="1" si="503"/>
        <v>-0.2857142857142857</v>
      </c>
      <c r="AW248" s="1285">
        <f t="shared" ca="1" si="459"/>
        <v>-6.551932773109244</v>
      </c>
      <c r="AX248" s="2812"/>
      <c r="AY248" s="1285">
        <f t="shared" ref="AY248:AY253" ca="1" si="504">IFERROR(AY262/AY217,0)</f>
        <v>-0.38379530916844351</v>
      </c>
      <c r="AZ248" s="1285">
        <f t="shared" ca="1" si="461"/>
        <v>-6.4538517496550858</v>
      </c>
      <c r="BA248" s="2812"/>
      <c r="BC248" s="1311">
        <f t="shared" ref="BC248:BD253" ca="1" si="505">IFERROR(BC262/BC217,0)</f>
        <v>-6.8376470588235296</v>
      </c>
      <c r="BD248" s="1285">
        <f t="shared" ca="1" si="505"/>
        <v>-0.2857142857142857</v>
      </c>
      <c r="BE248" s="1285">
        <f t="shared" ca="1" si="463"/>
        <v>-6.551932773109244</v>
      </c>
      <c r="BF248" s="2812"/>
      <c r="BG248" s="1285">
        <f t="shared" ref="BG248:BG253" ca="1" si="506">IFERROR(BG262/BG217,0)</f>
        <v>-0.38379530916844351</v>
      </c>
      <c r="BH248" s="1285">
        <f t="shared" ca="1" si="465"/>
        <v>-6.4538517496550858</v>
      </c>
      <c r="BI248" s="2812"/>
    </row>
    <row r="249" spans="1:61" s="509" customFormat="1" ht="14.5" hidden="1" outlineLevel="1">
      <c r="A249" s="1693">
        <f t="shared" si="453"/>
        <v>249</v>
      </c>
      <c r="B249" s="616">
        <v>1</v>
      </c>
      <c r="C249" s="1693">
        <f t="shared" si="452"/>
        <v>249</v>
      </c>
      <c r="D249" s="616">
        <v>1</v>
      </c>
      <c r="E249" s="709" t="s">
        <v>512</v>
      </c>
      <c r="F249" s="1572"/>
      <c r="G249" s="4"/>
      <c r="H249" s="4"/>
      <c r="I249" s="506"/>
      <c r="J249" s="507"/>
      <c r="K249" s="503"/>
      <c r="L249" s="506"/>
      <c r="M249" s="506"/>
      <c r="N249" s="506"/>
      <c r="O249" s="503" t="s">
        <v>332</v>
      </c>
      <c r="P249" s="503"/>
      <c r="Q249" s="503"/>
      <c r="R249" s="1785" t="str">
        <f>CHOOSE(2, "6722000003168", "PL (3) Gross Profit NH (%) Label Printer (%)")</f>
        <v>PL (3) Gross Profit NH (%) Label Printer (%)</v>
      </c>
      <c r="S249" s="1311">
        <f t="shared" si="501"/>
        <v>0.74649748876553002</v>
      </c>
      <c r="T249" s="1285">
        <f t="shared" si="501"/>
        <v>0.14698061266319717</v>
      </c>
      <c r="U249" s="1285">
        <f t="shared" si="501"/>
        <v>0.70232977403715857</v>
      </c>
      <c r="V249" s="1285">
        <f t="shared" si="501"/>
        <v>0.3330529612767284</v>
      </c>
      <c r="W249" s="1285">
        <f t="shared" si="501"/>
        <v>0.58707761214232745</v>
      </c>
      <c r="X249" s="1285">
        <f t="shared" si="501"/>
        <v>0.67182933938040734</v>
      </c>
      <c r="Y249" s="1285">
        <f t="shared" si="501"/>
        <v>0.40987985122565268</v>
      </c>
      <c r="Z249" s="1285">
        <f t="shared" si="501"/>
        <v>0.63150369710071708</v>
      </c>
      <c r="AA249" s="1285">
        <f t="shared" si="501"/>
        <v>0.67093239367838131</v>
      </c>
      <c r="AB249" s="1285">
        <f t="shared" si="501"/>
        <v>0.67649167275390676</v>
      </c>
      <c r="AC249" s="1285">
        <f t="shared" si="501"/>
        <v>0.71395608546505396</v>
      </c>
      <c r="AD249" s="1285">
        <f t="shared" si="501"/>
        <v>0.31505599587904143</v>
      </c>
      <c r="AE249" s="1285">
        <f t="shared" si="495"/>
        <v>0.56058204619143936</v>
      </c>
      <c r="AF249" s="1285">
        <f t="shared" si="495"/>
        <v>0.54507932426474437</v>
      </c>
      <c r="AG249" s="1285">
        <f t="shared" si="495"/>
        <v>0.58262524780729075</v>
      </c>
      <c r="AH249" s="1285">
        <f t="shared" si="495"/>
        <v>0.57901565419311718</v>
      </c>
      <c r="AI249" s="1285">
        <f t="shared" si="495"/>
        <v>0.55249538421875743</v>
      </c>
      <c r="AJ249" s="1285">
        <f t="shared" si="495"/>
        <v>0.58059706530822175</v>
      </c>
      <c r="AK249" s="1285">
        <f t="shared" si="495"/>
        <v>0.56817966875829218</v>
      </c>
      <c r="AM249" s="1311">
        <f t="shared" ca="1" si="502"/>
        <v>0.74649748876553002</v>
      </c>
      <c r="AN249" s="1285">
        <f t="shared" ca="1" si="502"/>
        <v>0.75856250000000003</v>
      </c>
      <c r="AO249" s="1285">
        <f t="shared" ca="1" si="376"/>
        <v>-1.2065011234470013E-2</v>
      </c>
      <c r="AP249" s="2812"/>
      <c r="AQ249" s="1285">
        <f t="shared" ca="1" si="502"/>
        <v>0.77179487179487183</v>
      </c>
      <c r="AR249" s="1285">
        <f t="shared" ca="1" si="457"/>
        <v>-2.5297383029341813E-2</v>
      </c>
      <c r="AS249" s="2812"/>
      <c r="AU249" s="1311">
        <f t="shared" ca="1" si="503"/>
        <v>0.74649748876553002</v>
      </c>
      <c r="AV249" s="1285">
        <f t="shared" ca="1" si="503"/>
        <v>0.75856250000000003</v>
      </c>
      <c r="AW249" s="1285">
        <f t="shared" ca="1" si="459"/>
        <v>-1.2065011234470013E-2</v>
      </c>
      <c r="AX249" s="2812"/>
      <c r="AY249" s="1285">
        <f t="shared" ca="1" si="504"/>
        <v>0.77179487179487183</v>
      </c>
      <c r="AZ249" s="1285">
        <f t="shared" ca="1" si="461"/>
        <v>-2.5297383029341813E-2</v>
      </c>
      <c r="BA249" s="2812"/>
      <c r="BC249" s="1311">
        <f t="shared" ca="1" si="505"/>
        <v>0.74649748876553002</v>
      </c>
      <c r="BD249" s="1285">
        <f t="shared" ca="1" si="505"/>
        <v>0.75856250000000003</v>
      </c>
      <c r="BE249" s="1285">
        <f t="shared" ca="1" si="463"/>
        <v>-1.2065011234470013E-2</v>
      </c>
      <c r="BF249" s="2812"/>
      <c r="BG249" s="1285">
        <f t="shared" ca="1" si="506"/>
        <v>0.77179487179487183</v>
      </c>
      <c r="BH249" s="1285">
        <f t="shared" ca="1" si="465"/>
        <v>-2.5297383029341813E-2</v>
      </c>
      <c r="BI249" s="2812"/>
    </row>
    <row r="250" spans="1:61" s="509" customFormat="1" ht="14.5" hidden="1" outlineLevel="1">
      <c r="A250" s="1693">
        <f t="shared" si="453"/>
        <v>250</v>
      </c>
      <c r="B250" s="616">
        <v>1</v>
      </c>
      <c r="C250" s="1693">
        <f t="shared" si="452"/>
        <v>250</v>
      </c>
      <c r="D250" s="616">
        <v>1</v>
      </c>
      <c r="E250" s="709" t="s">
        <v>512</v>
      </c>
      <c r="F250" s="1572"/>
      <c r="G250" s="4"/>
      <c r="H250" s="4"/>
      <c r="I250" s="506"/>
      <c r="J250" s="507"/>
      <c r="K250" s="503"/>
      <c r="L250" s="506"/>
      <c r="M250" s="506"/>
      <c r="N250" s="506"/>
      <c r="O250" s="503" t="s">
        <v>333</v>
      </c>
      <c r="P250" s="503"/>
      <c r="Q250" s="866"/>
      <c r="R250" s="1785" t="str">
        <f>CHOOSE(2, "6722000003169", "PL (3) Gross Profit NH (%) MGI (%)")</f>
        <v>PL (3) Gross Profit NH (%) MGI (%)</v>
      </c>
      <c r="S250" s="1311">
        <f t="shared" si="501"/>
        <v>-0.45720418567212234</v>
      </c>
      <c r="T250" s="1285">
        <f t="shared" si="501"/>
        <v>-3.716987400264115E-2</v>
      </c>
      <c r="U250" s="1285">
        <f t="shared" si="501"/>
        <v>-2.5180054858760913E-2</v>
      </c>
      <c r="V250" s="1285">
        <f t="shared" si="501"/>
        <v>0.17074824721864942</v>
      </c>
      <c r="W250" s="1285">
        <f t="shared" si="501"/>
        <v>-3.3448142191811428E-2</v>
      </c>
      <c r="X250" s="1285">
        <f t="shared" si="501"/>
        <v>8.4530791167396382E-2</v>
      </c>
      <c r="Y250" s="1285">
        <f t="shared" si="501"/>
        <v>5.6638153150032275E-2</v>
      </c>
      <c r="Z250" s="1285">
        <f t="shared" si="501"/>
        <v>4.4293522167218935E-2</v>
      </c>
      <c r="AA250" s="1285">
        <f t="shared" si="501"/>
        <v>-3.3405612973502009E-2</v>
      </c>
      <c r="AB250" s="1285">
        <f t="shared" si="501"/>
        <v>7.8953860188625213E-2</v>
      </c>
      <c r="AC250" s="1285">
        <f t="shared" si="501"/>
        <v>9.0201464095266637E-2</v>
      </c>
      <c r="AD250" s="1285">
        <f t="shared" si="501"/>
        <v>-0.20001744386778747</v>
      </c>
      <c r="AE250" s="1285">
        <f t="shared" si="495"/>
        <v>-0.14476126548951201</v>
      </c>
      <c r="AF250" s="1285">
        <f t="shared" si="495"/>
        <v>6.9503806121480993E-2</v>
      </c>
      <c r="AG250" s="1285">
        <f t="shared" si="495"/>
        <v>2.9928636609273137E-2</v>
      </c>
      <c r="AH250" s="1285">
        <f t="shared" si="495"/>
        <v>1.0892726131086716E-2</v>
      </c>
      <c r="AI250" s="1285">
        <f t="shared" si="495"/>
        <v>-2.5993376650654397E-2</v>
      </c>
      <c r="AJ250" s="1285">
        <f t="shared" si="495"/>
        <v>2.1890981228776005E-2</v>
      </c>
      <c r="AK250" s="1285">
        <f t="shared" si="495"/>
        <v>-2.4167242145261706E-3</v>
      </c>
      <c r="AM250" s="1311">
        <f t="shared" ca="1" si="502"/>
        <v>-0.45720418567212234</v>
      </c>
      <c r="AN250" s="1285">
        <f t="shared" ca="1" si="502"/>
        <v>0</v>
      </c>
      <c r="AO250" s="1285">
        <f t="shared" ca="1" si="376"/>
        <v>-0.45720418567212234</v>
      </c>
      <c r="AP250" s="2812"/>
      <c r="AQ250" s="1285">
        <f t="shared" ca="1" si="502"/>
        <v>-0.339003164556962</v>
      </c>
      <c r="AR250" s="1285">
        <f t="shared" ca="1" si="457"/>
        <v>-0.11820102111516034</v>
      </c>
      <c r="AS250" s="2812"/>
      <c r="AU250" s="1311">
        <f t="shared" ca="1" si="503"/>
        <v>-0.45720418567212234</v>
      </c>
      <c r="AV250" s="1285">
        <f t="shared" ca="1" si="503"/>
        <v>0</v>
      </c>
      <c r="AW250" s="1285">
        <f t="shared" ca="1" si="459"/>
        <v>-0.45720418567212234</v>
      </c>
      <c r="AX250" s="2812"/>
      <c r="AY250" s="1285">
        <f t="shared" ca="1" si="504"/>
        <v>-0.339003164556962</v>
      </c>
      <c r="AZ250" s="1285">
        <f t="shared" ca="1" si="461"/>
        <v>-0.11820102111516034</v>
      </c>
      <c r="BA250" s="2812"/>
      <c r="BC250" s="1311">
        <f t="shared" ca="1" si="505"/>
        <v>-0.45720418567212234</v>
      </c>
      <c r="BD250" s="1285">
        <f t="shared" ca="1" si="505"/>
        <v>0</v>
      </c>
      <c r="BE250" s="1285">
        <f t="shared" ca="1" si="463"/>
        <v>-0.45720418567212234</v>
      </c>
      <c r="BF250" s="2812"/>
      <c r="BG250" s="1285">
        <f t="shared" ca="1" si="506"/>
        <v>-0.339003164556962</v>
      </c>
      <c r="BH250" s="1285">
        <f t="shared" ca="1" si="465"/>
        <v>-0.11820102111516034</v>
      </c>
      <c r="BI250" s="2812"/>
    </row>
    <row r="251" spans="1:61" s="509" customFormat="1" ht="14.5" hidden="1" outlineLevel="1">
      <c r="A251" s="1693">
        <f t="shared" si="453"/>
        <v>251</v>
      </c>
      <c r="B251" s="616">
        <v>1</v>
      </c>
      <c r="C251" s="1693">
        <f t="shared" si="452"/>
        <v>251</v>
      </c>
      <c r="D251" s="616">
        <v>1</v>
      </c>
      <c r="E251" s="709" t="s">
        <v>512</v>
      </c>
      <c r="F251" s="1572"/>
      <c r="G251" s="4"/>
      <c r="H251" s="4"/>
      <c r="I251" s="506"/>
      <c r="J251" s="507"/>
      <c r="K251" s="503"/>
      <c r="L251" s="506"/>
      <c r="M251" s="506"/>
      <c r="N251" s="506"/>
      <c r="O251" s="503" t="s">
        <v>334</v>
      </c>
      <c r="P251" s="503"/>
      <c r="Q251" s="503"/>
      <c r="R251" s="1785" t="str">
        <f>CHOOSE(2, "6722000003170", "PL (3) Gross Profit NH (%) EFI/LF (%)")</f>
        <v>PL (3) Gross Profit NH (%) EFI/LF (%)</v>
      </c>
      <c r="S251" s="1311">
        <f t="shared" si="501"/>
        <v>0</v>
      </c>
      <c r="T251" s="1285">
        <f t="shared" si="501"/>
        <v>0</v>
      </c>
      <c r="U251" s="1285">
        <f t="shared" si="501"/>
        <v>0</v>
      </c>
      <c r="V251" s="1285">
        <f t="shared" si="501"/>
        <v>0</v>
      </c>
      <c r="W251" s="1285">
        <f t="shared" si="501"/>
        <v>0</v>
      </c>
      <c r="X251" s="1285">
        <f t="shared" si="501"/>
        <v>0</v>
      </c>
      <c r="Y251" s="1285">
        <f t="shared" si="501"/>
        <v>0</v>
      </c>
      <c r="Z251" s="1285">
        <f t="shared" si="501"/>
        <v>0</v>
      </c>
      <c r="AA251" s="1285">
        <f t="shared" si="501"/>
        <v>0</v>
      </c>
      <c r="AB251" s="1285">
        <f t="shared" si="501"/>
        <v>0</v>
      </c>
      <c r="AC251" s="1285">
        <f t="shared" si="501"/>
        <v>0</v>
      </c>
      <c r="AD251" s="1285">
        <f t="shared" si="501"/>
        <v>0</v>
      </c>
      <c r="AE251" s="1285">
        <f t="shared" si="495"/>
        <v>0</v>
      </c>
      <c r="AF251" s="1285">
        <f t="shared" si="495"/>
        <v>0</v>
      </c>
      <c r="AG251" s="1285">
        <f t="shared" si="495"/>
        <v>0</v>
      </c>
      <c r="AH251" s="1285">
        <f t="shared" si="495"/>
        <v>0</v>
      </c>
      <c r="AI251" s="1285">
        <f t="shared" si="495"/>
        <v>0</v>
      </c>
      <c r="AJ251" s="1285">
        <f t="shared" si="495"/>
        <v>0</v>
      </c>
      <c r="AK251" s="1285">
        <f t="shared" si="495"/>
        <v>0</v>
      </c>
      <c r="AM251" s="1311">
        <f t="shared" ca="1" si="502"/>
        <v>0</v>
      </c>
      <c r="AN251" s="1285">
        <f t="shared" ca="1" si="502"/>
        <v>0</v>
      </c>
      <c r="AO251" s="1285">
        <f t="shared" ref="AO251:AO324" ca="1" si="507">AM251-AN251</f>
        <v>0</v>
      </c>
      <c r="AP251" s="2812"/>
      <c r="AQ251" s="1285">
        <f t="shared" ca="1" si="502"/>
        <v>0</v>
      </c>
      <c r="AR251" s="1285">
        <f t="shared" ca="1" si="457"/>
        <v>0</v>
      </c>
      <c r="AS251" s="2812"/>
      <c r="AU251" s="1311">
        <f t="shared" ca="1" si="503"/>
        <v>0</v>
      </c>
      <c r="AV251" s="1285">
        <f t="shared" ca="1" si="503"/>
        <v>0</v>
      </c>
      <c r="AW251" s="1285">
        <f t="shared" ca="1" si="459"/>
        <v>0</v>
      </c>
      <c r="AX251" s="2812"/>
      <c r="AY251" s="1285">
        <f t="shared" ca="1" si="504"/>
        <v>0</v>
      </c>
      <c r="AZ251" s="1285">
        <f t="shared" ca="1" si="461"/>
        <v>0</v>
      </c>
      <c r="BA251" s="2812"/>
      <c r="BC251" s="1311">
        <f t="shared" ca="1" si="505"/>
        <v>0</v>
      </c>
      <c r="BD251" s="1285">
        <f t="shared" ca="1" si="505"/>
        <v>0</v>
      </c>
      <c r="BE251" s="1285">
        <f t="shared" ca="1" si="463"/>
        <v>0</v>
      </c>
      <c r="BF251" s="2812"/>
      <c r="BG251" s="1285">
        <f t="shared" ca="1" si="506"/>
        <v>0</v>
      </c>
      <c r="BH251" s="1285">
        <f t="shared" ca="1" si="465"/>
        <v>0</v>
      </c>
      <c r="BI251" s="2812"/>
    </row>
    <row r="252" spans="1:61" s="509" customFormat="1" ht="14.5" hidden="1" outlineLevel="1">
      <c r="A252" s="1693">
        <f t="shared" si="453"/>
        <v>252</v>
      </c>
      <c r="B252" s="616">
        <v>1</v>
      </c>
      <c r="C252" s="1693">
        <f t="shared" si="452"/>
        <v>252</v>
      </c>
      <c r="D252" s="616">
        <v>1</v>
      </c>
      <c r="E252" s="709" t="s">
        <v>512</v>
      </c>
      <c r="F252" s="1572"/>
      <c r="G252" s="4"/>
      <c r="H252" s="4"/>
      <c r="I252" s="506"/>
      <c r="J252" s="507"/>
      <c r="K252" s="503"/>
      <c r="L252" s="506"/>
      <c r="M252" s="506"/>
      <c r="N252" s="506"/>
      <c r="O252" s="503" t="s">
        <v>335</v>
      </c>
      <c r="P252" s="503"/>
      <c r="Q252" s="503"/>
      <c r="R252" s="1785" t="str">
        <f>CHOOSE(2, "6722000003171", "PL (3) Gross Profit NH (%) Textile Printer (%)")</f>
        <v>PL (3) Gross Profit NH (%) Textile Printer (%)</v>
      </c>
      <c r="S252" s="1311">
        <f t="shared" si="501"/>
        <v>0</v>
      </c>
      <c r="T252" s="1285">
        <f t="shared" si="501"/>
        <v>0</v>
      </c>
      <c r="U252" s="1285">
        <f t="shared" si="501"/>
        <v>0</v>
      </c>
      <c r="V252" s="1285">
        <f t="shared" si="501"/>
        <v>0</v>
      </c>
      <c r="W252" s="1285">
        <f t="shared" si="501"/>
        <v>0</v>
      </c>
      <c r="X252" s="1285">
        <f t="shared" si="501"/>
        <v>0</v>
      </c>
      <c r="Y252" s="1285">
        <f t="shared" si="501"/>
        <v>0</v>
      </c>
      <c r="Z252" s="1285">
        <f t="shared" si="501"/>
        <v>0</v>
      </c>
      <c r="AA252" s="1285">
        <f t="shared" si="501"/>
        <v>0</v>
      </c>
      <c r="AB252" s="1285">
        <f t="shared" si="501"/>
        <v>0</v>
      </c>
      <c r="AC252" s="1285">
        <f t="shared" si="501"/>
        <v>0</v>
      </c>
      <c r="AD252" s="1285">
        <f t="shared" si="501"/>
        <v>0</v>
      </c>
      <c r="AE252" s="1285">
        <f t="shared" si="495"/>
        <v>0</v>
      </c>
      <c r="AF252" s="1285">
        <f t="shared" si="495"/>
        <v>0</v>
      </c>
      <c r="AG252" s="1285">
        <f t="shared" si="495"/>
        <v>0</v>
      </c>
      <c r="AH252" s="1285">
        <f t="shared" si="495"/>
        <v>0</v>
      </c>
      <c r="AI252" s="1285">
        <f t="shared" si="495"/>
        <v>0</v>
      </c>
      <c r="AJ252" s="1285">
        <f t="shared" si="495"/>
        <v>0</v>
      </c>
      <c r="AK252" s="1285">
        <f t="shared" si="495"/>
        <v>0</v>
      </c>
      <c r="AM252" s="1311">
        <f t="shared" ca="1" si="502"/>
        <v>0</v>
      </c>
      <c r="AN252" s="1285">
        <f t="shared" ca="1" si="502"/>
        <v>0</v>
      </c>
      <c r="AO252" s="1285">
        <f t="shared" ca="1" si="507"/>
        <v>0</v>
      </c>
      <c r="AP252" s="2812"/>
      <c r="AQ252" s="1285">
        <f t="shared" ca="1" si="502"/>
        <v>0</v>
      </c>
      <c r="AR252" s="1285">
        <f t="shared" ca="1" si="457"/>
        <v>0</v>
      </c>
      <c r="AS252" s="2812"/>
      <c r="AU252" s="1311">
        <f t="shared" ca="1" si="503"/>
        <v>0</v>
      </c>
      <c r="AV252" s="1285">
        <f t="shared" ca="1" si="503"/>
        <v>0</v>
      </c>
      <c r="AW252" s="1285">
        <f t="shared" ca="1" si="459"/>
        <v>0</v>
      </c>
      <c r="AX252" s="2812"/>
      <c r="AY252" s="1285">
        <f t="shared" ca="1" si="504"/>
        <v>0</v>
      </c>
      <c r="AZ252" s="1285">
        <f t="shared" ca="1" si="461"/>
        <v>0</v>
      </c>
      <c r="BA252" s="2812"/>
      <c r="BC252" s="1311">
        <f t="shared" ca="1" si="505"/>
        <v>0</v>
      </c>
      <c r="BD252" s="1285">
        <f t="shared" ca="1" si="505"/>
        <v>0</v>
      </c>
      <c r="BE252" s="1285">
        <f t="shared" ca="1" si="463"/>
        <v>0</v>
      </c>
      <c r="BF252" s="2812"/>
      <c r="BG252" s="1285">
        <f t="shared" ca="1" si="506"/>
        <v>0</v>
      </c>
      <c r="BH252" s="1285">
        <f t="shared" ca="1" si="465"/>
        <v>0</v>
      </c>
      <c r="BI252" s="2812"/>
    </row>
    <row r="253" spans="1:61" s="509" customFormat="1" ht="14.5" hidden="1" outlineLevel="1">
      <c r="A253" s="1693">
        <f t="shared" si="453"/>
        <v>253</v>
      </c>
      <c r="B253" s="616">
        <v>1</v>
      </c>
      <c r="C253" s="1693">
        <f t="shared" si="452"/>
        <v>253</v>
      </c>
      <c r="D253" s="616">
        <v>1</v>
      </c>
      <c r="E253" s="709" t="s">
        <v>512</v>
      </c>
      <c r="F253" s="1572"/>
      <c r="G253" s="4"/>
      <c r="H253" s="4"/>
      <c r="I253" s="506"/>
      <c r="J253" s="507"/>
      <c r="K253" s="503"/>
      <c r="L253" s="506"/>
      <c r="M253" s="506"/>
      <c r="N253" s="512"/>
      <c r="O253" s="511" t="s">
        <v>329</v>
      </c>
      <c r="P253" s="511"/>
      <c r="Q253" s="511"/>
      <c r="R253" s="1785" t="str">
        <f>CHOOSE(2, "6722000003172", "PL (3) Gross Profit NH (%) Others (%)")</f>
        <v>PL (3) Gross Profit NH (%) Others (%)</v>
      </c>
      <c r="S253" s="1313">
        <f t="shared" si="501"/>
        <v>0</v>
      </c>
      <c r="T253" s="1288">
        <f t="shared" si="501"/>
        <v>0</v>
      </c>
      <c r="U253" s="1288">
        <f t="shared" si="501"/>
        <v>0</v>
      </c>
      <c r="V253" s="1288">
        <f t="shared" si="501"/>
        <v>0</v>
      </c>
      <c r="W253" s="1288">
        <f t="shared" si="501"/>
        <v>0</v>
      </c>
      <c r="X253" s="1288">
        <f t="shared" si="501"/>
        <v>0</v>
      </c>
      <c r="Y253" s="1288">
        <f t="shared" si="501"/>
        <v>0</v>
      </c>
      <c r="Z253" s="1288">
        <f t="shared" si="501"/>
        <v>0</v>
      </c>
      <c r="AA253" s="1288">
        <f t="shared" si="501"/>
        <v>0</v>
      </c>
      <c r="AB253" s="1288">
        <f t="shared" si="501"/>
        <v>0</v>
      </c>
      <c r="AC253" s="1288">
        <f t="shared" si="501"/>
        <v>0</v>
      </c>
      <c r="AD253" s="1288">
        <f t="shared" si="501"/>
        <v>0</v>
      </c>
      <c r="AE253" s="1288">
        <f t="shared" si="495"/>
        <v>0</v>
      </c>
      <c r="AF253" s="1288">
        <f t="shared" si="495"/>
        <v>0</v>
      </c>
      <c r="AG253" s="1288">
        <f t="shared" si="495"/>
        <v>0</v>
      </c>
      <c r="AH253" s="1288">
        <f t="shared" si="495"/>
        <v>0</v>
      </c>
      <c r="AI253" s="1288">
        <f t="shared" si="495"/>
        <v>0</v>
      </c>
      <c r="AJ253" s="1288">
        <f t="shared" si="495"/>
        <v>0</v>
      </c>
      <c r="AK253" s="1288">
        <f t="shared" si="495"/>
        <v>0</v>
      </c>
      <c r="AM253" s="1313">
        <f t="shared" ca="1" si="502"/>
        <v>0</v>
      </c>
      <c r="AN253" s="1288">
        <f t="shared" ca="1" si="502"/>
        <v>0</v>
      </c>
      <c r="AO253" s="1288">
        <f t="shared" ca="1" si="507"/>
        <v>0</v>
      </c>
      <c r="AP253" s="2814"/>
      <c r="AQ253" s="1288">
        <f t="shared" ca="1" si="502"/>
        <v>0</v>
      </c>
      <c r="AR253" s="1288">
        <f t="shared" ca="1" si="457"/>
        <v>0</v>
      </c>
      <c r="AS253" s="2814"/>
      <c r="AU253" s="1313">
        <f t="shared" ca="1" si="503"/>
        <v>0</v>
      </c>
      <c r="AV253" s="1288">
        <f t="shared" ca="1" si="503"/>
        <v>0</v>
      </c>
      <c r="AW253" s="1288">
        <f t="shared" ca="1" si="459"/>
        <v>0</v>
      </c>
      <c r="AX253" s="2814"/>
      <c r="AY253" s="1288">
        <f t="shared" ca="1" si="504"/>
        <v>0</v>
      </c>
      <c r="AZ253" s="1288">
        <f t="shared" ca="1" si="461"/>
        <v>0</v>
      </c>
      <c r="BA253" s="2814"/>
      <c r="BC253" s="1313">
        <f t="shared" ca="1" si="505"/>
        <v>0</v>
      </c>
      <c r="BD253" s="1288">
        <f t="shared" ca="1" si="505"/>
        <v>0</v>
      </c>
      <c r="BE253" s="1288">
        <f t="shared" ca="1" si="463"/>
        <v>0</v>
      </c>
      <c r="BF253" s="2814"/>
      <c r="BG253" s="1288">
        <f t="shared" ca="1" si="506"/>
        <v>0</v>
      </c>
      <c r="BH253" s="1288">
        <f t="shared" ca="1" si="465"/>
        <v>0</v>
      </c>
      <c r="BI253" s="2814"/>
    </row>
    <row r="254" spans="1:61" s="69" customFormat="1" ht="14.5" collapsed="1">
      <c r="A254" s="1693">
        <f t="shared" si="453"/>
        <v>254</v>
      </c>
      <c r="B254" s="616">
        <v>1</v>
      </c>
      <c r="C254" s="1693">
        <f t="shared" si="452"/>
        <v>254</v>
      </c>
      <c r="D254" s="616">
        <v>1</v>
      </c>
      <c r="E254" s="709" t="s">
        <v>512</v>
      </c>
      <c r="F254" s="1572"/>
      <c r="G254" s="4"/>
      <c r="H254" s="4"/>
      <c r="I254" s="4"/>
      <c r="J254" s="507"/>
      <c r="K254" s="503"/>
      <c r="L254" s="506"/>
      <c r="M254" s="506"/>
      <c r="N254" s="300" t="s">
        <v>188</v>
      </c>
      <c r="O254" s="301"/>
      <c r="P254" s="300"/>
      <c r="Q254" s="300"/>
      <c r="R254" s="1796" t="str">
        <f>CHOOSE(2, "6722000003173", "PL (3) Gross Profit HW &amp; Solution")</f>
        <v>PL (3) Gross Profit HW &amp; Solution</v>
      </c>
      <c r="S254" s="1309">
        <f>SUM(S255:S260)</f>
        <v>3102</v>
      </c>
      <c r="T254" s="1251">
        <f t="shared" ref="T254:AD254" si="508">SUM(T255:T260)</f>
        <v>136.23000000000002</v>
      </c>
      <c r="U254" s="1251">
        <f t="shared" si="508"/>
        <v>6122</v>
      </c>
      <c r="V254" s="1251">
        <f t="shared" si="508"/>
        <v>-634.02670625000007</v>
      </c>
      <c r="W254" s="1251">
        <f t="shared" si="508"/>
        <v>11382</v>
      </c>
      <c r="X254" s="1251">
        <f t="shared" si="508"/>
        <v>20168.34029375</v>
      </c>
      <c r="Y254" s="1251">
        <f t="shared" si="508"/>
        <v>-1196.7551762500011</v>
      </c>
      <c r="Z254" s="1251">
        <f t="shared" si="508"/>
        <v>11051.023393750002</v>
      </c>
      <c r="AA254" s="1251">
        <f t="shared" si="508"/>
        <v>-780.55362625000043</v>
      </c>
      <c r="AB254" s="1251">
        <f t="shared" si="508"/>
        <v>-706.51549625000007</v>
      </c>
      <c r="AC254" s="1251">
        <f t="shared" si="508"/>
        <v>4244.35172375</v>
      </c>
      <c r="AD254" s="1251">
        <f t="shared" si="508"/>
        <v>19375.909420000004</v>
      </c>
      <c r="AE254" s="1251">
        <f t="shared" ref="AE254:AE267" si="509">SUM(S254,T254,U254)</f>
        <v>9360.23</v>
      </c>
      <c r="AF254" s="1251">
        <f t="shared" ref="AF254:AF267" si="510">SUM(V254,W254,X254)</f>
        <v>30916.313587500001</v>
      </c>
      <c r="AG254" s="1251">
        <f t="shared" ref="AG254:AG267" si="511">SUM(Y254,Z254,AA254)</f>
        <v>9073.71459125</v>
      </c>
      <c r="AH254" s="1251">
        <f t="shared" ref="AH254:AH267" si="512">SUM(AB254,AC254,AD254)</f>
        <v>22913.745647500004</v>
      </c>
      <c r="AI254" s="1251">
        <f>AE254+AF254</f>
        <v>40276.543587499997</v>
      </c>
      <c r="AJ254" s="1251">
        <f>AH254+AG254</f>
        <v>31987.460238750005</v>
      </c>
      <c r="AK254" s="1251">
        <f>AI254+AJ254</f>
        <v>72264.003826250002</v>
      </c>
      <c r="AM254" s="2045">
        <f ca="1">SUM((INDIRECT(AM$2&amp;(ROW())):INDIRECT(AM$3&amp;(ROW()))))</f>
        <v>3102</v>
      </c>
      <c r="AN254" s="2046">
        <f ca="1">SUM(INDIRECT(AN$1&amp;AN$2&amp;$C254):INDIRECT(AN$1&amp;AN$3&amp;$C254))</f>
        <v>10703.334000000001</v>
      </c>
      <c r="AO254" s="2809">
        <f t="shared" ca="1" si="507"/>
        <v>-7601.3340000000007</v>
      </c>
      <c r="AP254" s="2810">
        <f t="shared" ca="1" si="456"/>
        <v>0.28981623856641303</v>
      </c>
      <c r="AQ254" s="2046">
        <f ca="1">SUM(INDIRECT(AQ$1&amp;AQ$2&amp;$A254):INDIRECT(AQ$1&amp;AQ$3&amp;$A254))+SUM(INDIRECT(AQ$1&amp;AQ$2&amp;$B254):INDIRECT(AQ$1&amp;AQ$3&amp;$B254))</f>
        <v>466</v>
      </c>
      <c r="AR254" s="2809">
        <f t="shared" ca="1" si="457"/>
        <v>2636</v>
      </c>
      <c r="AS254" s="2810">
        <f t="shared" ref="AS254:AS272" ca="1" si="513">IFERROR(AM254/AQ254,0)</f>
        <v>6.6566523605150216</v>
      </c>
      <c r="AU254" s="2045">
        <f ca="1">SUM((INDIRECT(AU$2&amp;(ROW())):INDIRECT(AU$3&amp;(ROW()))))</f>
        <v>3102</v>
      </c>
      <c r="AV254" s="2046">
        <f ca="1">SUM(INDIRECT(AV$1&amp;AV$2&amp;$C254):INDIRECT(AV$1&amp;AV$3&amp;$C254))</f>
        <v>10703.334000000001</v>
      </c>
      <c r="AW254" s="2809">
        <f t="shared" ca="1" si="459"/>
        <v>-7601.3340000000007</v>
      </c>
      <c r="AX254" s="2810">
        <f t="shared" ref="AX254:AX272" ca="1" si="514">IFERROR(AU254/AV254,0)</f>
        <v>0.28981623856641303</v>
      </c>
      <c r="AY254" s="2046">
        <f ca="1">SUM(INDIRECT(AY$1&amp;AY$2&amp;$A254):INDIRECT(AY$1&amp;AY$3&amp;$A254))+SUM(INDIRECT(AY$1&amp;AY$2&amp;$B254):INDIRECT(AY$1&amp;AY$3&amp;$B254))</f>
        <v>466</v>
      </c>
      <c r="AZ254" s="2809">
        <f t="shared" ca="1" si="461"/>
        <v>2636</v>
      </c>
      <c r="BA254" s="2810">
        <f t="shared" ref="BA254:BA272" ca="1" si="515">IFERROR(AU254/AY254,0)</f>
        <v>6.6566523605150216</v>
      </c>
      <c r="BC254" s="2045">
        <f ca="1">SUM((INDIRECT(BC$2&amp;(ROW())):INDIRECT(BC$3&amp;(ROW()))))</f>
        <v>3102</v>
      </c>
      <c r="BD254" s="2046">
        <f ca="1">SUM(INDIRECT(BD$1&amp;BD$2&amp;$C254):INDIRECT(BD$1&amp;BD$3&amp;$C254))</f>
        <v>10703.334000000001</v>
      </c>
      <c r="BE254" s="2809">
        <f t="shared" ca="1" si="463"/>
        <v>-7601.3340000000007</v>
      </c>
      <c r="BF254" s="2810">
        <f t="shared" ref="BF254:BF272" ca="1" si="516">IFERROR(BC254/BD254,0)</f>
        <v>0.28981623856641303</v>
      </c>
      <c r="BG254" s="2046">
        <f ca="1">SUM(INDIRECT(BG$1&amp;BG$2&amp;$A254):INDIRECT(BG$1&amp;BG$3&amp;$A254))+SUM(INDIRECT(BG$1&amp;BG$2&amp;$B254):INDIRECT(BG$1&amp;BG$3&amp;$B254))</f>
        <v>466</v>
      </c>
      <c r="BH254" s="2809">
        <f t="shared" ca="1" si="465"/>
        <v>2636</v>
      </c>
      <c r="BI254" s="2810">
        <f t="shared" ref="BI254:BI272" ca="1" si="517">IFERROR(BC254/BG254,0)</f>
        <v>6.6566523605150216</v>
      </c>
    </row>
    <row r="255" spans="1:61" s="69" customFormat="1" ht="14.5">
      <c r="A255" s="1693">
        <f t="shared" si="453"/>
        <v>255</v>
      </c>
      <c r="B255" s="616">
        <v>1</v>
      </c>
      <c r="C255" s="1693">
        <f t="shared" si="452"/>
        <v>255</v>
      </c>
      <c r="D255" s="616">
        <v>1</v>
      </c>
      <c r="E255" s="709" t="s">
        <v>512</v>
      </c>
      <c r="F255" s="1572"/>
      <c r="G255" s="4"/>
      <c r="H255" s="4"/>
      <c r="I255" s="4"/>
      <c r="J255" s="507"/>
      <c r="K255" s="503"/>
      <c r="L255" s="506"/>
      <c r="M255" s="506"/>
      <c r="N255" s="4"/>
      <c r="O255" s="3" t="s">
        <v>587</v>
      </c>
      <c r="P255" s="3"/>
      <c r="Q255" s="3"/>
      <c r="R255" s="1784" t="str">
        <f>CHOOSE(2, "6722000003174", "PL (3) Gross Profit HW &amp; Solution KM-1/KM-1e")</f>
        <v>PL (3) Gross Profit HW &amp; Solution KM-1/KM-1e</v>
      </c>
      <c r="S255" s="1289">
        <f t="shared" ref="S255:AD260" si="518">S674+S718</f>
        <v>12596</v>
      </c>
      <c r="T255" s="1232">
        <f t="shared" si="518"/>
        <v>0</v>
      </c>
      <c r="U255" s="1232">
        <f t="shared" si="518"/>
        <v>0</v>
      </c>
      <c r="V255" s="1232">
        <f t="shared" si="518"/>
        <v>0</v>
      </c>
      <c r="W255" s="1232">
        <f t="shared" si="518"/>
        <v>0</v>
      </c>
      <c r="X255" s="1232">
        <f t="shared" si="518"/>
        <v>0</v>
      </c>
      <c r="Y255" s="1232">
        <f t="shared" si="518"/>
        <v>0</v>
      </c>
      <c r="Z255" s="1232">
        <f t="shared" si="518"/>
        <v>0</v>
      </c>
      <c r="AA255" s="1232">
        <f t="shared" si="518"/>
        <v>0</v>
      </c>
      <c r="AB255" s="1232">
        <f t="shared" si="518"/>
        <v>0</v>
      </c>
      <c r="AC255" s="1232">
        <f t="shared" si="518"/>
        <v>0</v>
      </c>
      <c r="AD255" s="1232">
        <f t="shared" si="518"/>
        <v>0</v>
      </c>
      <c r="AE255" s="1232">
        <f t="shared" si="509"/>
        <v>12596</v>
      </c>
      <c r="AF255" s="1232">
        <f t="shared" si="510"/>
        <v>0</v>
      </c>
      <c r="AG255" s="1232">
        <f t="shared" si="511"/>
        <v>0</v>
      </c>
      <c r="AH255" s="1232">
        <f t="shared" si="512"/>
        <v>0</v>
      </c>
      <c r="AI255" s="1232">
        <f t="shared" ref="AI255:AI267" si="519">AE255+AF255</f>
        <v>12596</v>
      </c>
      <c r="AJ255" s="1232">
        <f t="shared" ref="AJ255:AJ267" si="520">AH255+AG255</f>
        <v>0</v>
      </c>
      <c r="AK255" s="1232">
        <f t="shared" ref="AK255:AK267" si="521">AI255+AJ255</f>
        <v>12596</v>
      </c>
      <c r="AM255" s="1378">
        <f ca="1">SUM((INDIRECT(AM$2&amp;(ROW())):INDIRECT(AM$3&amp;(ROW()))))</f>
        <v>12596</v>
      </c>
      <c r="AN255" s="2043">
        <f ca="1">SUM(INDIRECT(AN$1&amp;AN$2&amp;$C255):INDIRECT(AN$1&amp;AN$3&amp;$C255))</f>
        <v>10000</v>
      </c>
      <c r="AO255" s="2757">
        <f t="shared" ca="1" si="507"/>
        <v>2596</v>
      </c>
      <c r="AP255" s="2758">
        <f t="shared" ca="1" si="456"/>
        <v>1.2596000000000001</v>
      </c>
      <c r="AQ255" s="2043">
        <f ca="1">SUM(INDIRECT(AQ$1&amp;AQ$2&amp;$A255):INDIRECT(AQ$1&amp;AQ$3&amp;$A255))+SUM(INDIRECT(AQ$1&amp;AQ$2&amp;$B255):INDIRECT(AQ$1&amp;AQ$3&amp;$B255))</f>
        <v>0</v>
      </c>
      <c r="AR255" s="2757">
        <f t="shared" ca="1" si="457"/>
        <v>12596</v>
      </c>
      <c r="AS255" s="2758">
        <f t="shared" ca="1" si="513"/>
        <v>0</v>
      </c>
      <c r="AU255" s="1378">
        <f ca="1">SUM((INDIRECT(AU$2&amp;(ROW())):INDIRECT(AU$3&amp;(ROW()))))</f>
        <v>12596</v>
      </c>
      <c r="AV255" s="2043">
        <f ca="1">SUM(INDIRECT(AV$1&amp;AV$2&amp;$C255):INDIRECT(AV$1&amp;AV$3&amp;$C255))</f>
        <v>10000</v>
      </c>
      <c r="AW255" s="2757">
        <f t="shared" ca="1" si="459"/>
        <v>2596</v>
      </c>
      <c r="AX255" s="2758">
        <f t="shared" ca="1" si="514"/>
        <v>1.2596000000000001</v>
      </c>
      <c r="AY255" s="2043">
        <f ca="1">SUM(INDIRECT(AY$1&amp;AY$2&amp;$A255):INDIRECT(AY$1&amp;AY$3&amp;$A255))+SUM(INDIRECT(AY$1&amp;AY$2&amp;$B255):INDIRECT(AY$1&amp;AY$3&amp;$B255))</f>
        <v>0</v>
      </c>
      <c r="AZ255" s="2757">
        <f t="shared" ca="1" si="461"/>
        <v>12596</v>
      </c>
      <c r="BA255" s="2758">
        <f t="shared" ca="1" si="515"/>
        <v>0</v>
      </c>
      <c r="BC255" s="1378">
        <f ca="1">SUM((INDIRECT(BC$2&amp;(ROW())):INDIRECT(BC$3&amp;(ROW()))))</f>
        <v>12596</v>
      </c>
      <c r="BD255" s="2043">
        <f ca="1">SUM(INDIRECT(BD$1&amp;BD$2&amp;$C255):INDIRECT(BD$1&amp;BD$3&amp;$C255))</f>
        <v>10000</v>
      </c>
      <c r="BE255" s="2757">
        <f t="shared" ca="1" si="463"/>
        <v>2596</v>
      </c>
      <c r="BF255" s="2758">
        <f t="shared" ca="1" si="516"/>
        <v>1.2596000000000001</v>
      </c>
      <c r="BG255" s="2043">
        <f ca="1">SUM(INDIRECT(BG$1&amp;BG$2&amp;$A255):INDIRECT(BG$1&amp;BG$3&amp;$A255))+SUM(INDIRECT(BG$1&amp;BG$2&amp;$B255):INDIRECT(BG$1&amp;BG$3&amp;$B255))</f>
        <v>0</v>
      </c>
      <c r="BH255" s="2757">
        <f t="shared" ca="1" si="465"/>
        <v>12596</v>
      </c>
      <c r="BI255" s="2758">
        <f t="shared" ca="1" si="517"/>
        <v>0</v>
      </c>
    </row>
    <row r="256" spans="1:61" s="69" customFormat="1" ht="14.5">
      <c r="A256" s="1693">
        <f t="shared" si="453"/>
        <v>256</v>
      </c>
      <c r="B256" s="616">
        <v>1</v>
      </c>
      <c r="C256" s="1693">
        <f t="shared" si="452"/>
        <v>256</v>
      </c>
      <c r="D256" s="616">
        <v>1</v>
      </c>
      <c r="E256" s="709" t="s">
        <v>512</v>
      </c>
      <c r="F256" s="1572"/>
      <c r="G256" s="4"/>
      <c r="H256" s="4"/>
      <c r="I256" s="4"/>
      <c r="J256" s="507"/>
      <c r="K256" s="503"/>
      <c r="L256" s="506"/>
      <c r="M256" s="506"/>
      <c r="N256" s="4"/>
      <c r="O256" s="3" t="s">
        <v>117</v>
      </c>
      <c r="P256" s="3"/>
      <c r="Q256" s="3"/>
      <c r="R256" s="1784" t="str">
        <f>CHOOSE(2, "6722000003175", "PL (3) Gross Profit HW &amp; Solution Label Printer")</f>
        <v>PL (3) Gross Profit HW &amp; Solution Label Printer</v>
      </c>
      <c r="S256" s="1289">
        <f t="shared" si="518"/>
        <v>-9746</v>
      </c>
      <c r="T256" s="1232">
        <f t="shared" si="518"/>
        <v>-746.21199999999999</v>
      </c>
      <c r="U256" s="1232">
        <f t="shared" si="518"/>
        <v>5596</v>
      </c>
      <c r="V256" s="1232">
        <f t="shared" si="518"/>
        <v>0</v>
      </c>
      <c r="W256" s="1232">
        <f t="shared" si="518"/>
        <v>0</v>
      </c>
      <c r="X256" s="1232">
        <f t="shared" si="518"/>
        <v>19190</v>
      </c>
      <c r="Y256" s="1232">
        <f t="shared" si="518"/>
        <v>-284.31335000000121</v>
      </c>
      <c r="Z256" s="1232">
        <f t="shared" si="518"/>
        <v>5711.5578800000003</v>
      </c>
      <c r="AA256" s="1232">
        <f t="shared" si="518"/>
        <v>4040.27468</v>
      </c>
      <c r="AB256" s="1232">
        <f t="shared" si="518"/>
        <v>4672.4276500000005</v>
      </c>
      <c r="AC256" s="1232">
        <f t="shared" si="518"/>
        <v>4724.3474500000002</v>
      </c>
      <c r="AD256" s="1232">
        <f t="shared" si="518"/>
        <v>9878.3989999999994</v>
      </c>
      <c r="AE256" s="1232">
        <f t="shared" si="509"/>
        <v>-4896.2119999999995</v>
      </c>
      <c r="AF256" s="1232">
        <f t="shared" si="510"/>
        <v>19190</v>
      </c>
      <c r="AG256" s="1232">
        <f t="shared" si="511"/>
        <v>9467.5192099999986</v>
      </c>
      <c r="AH256" s="1232">
        <f t="shared" si="512"/>
        <v>19275.1741</v>
      </c>
      <c r="AI256" s="1232">
        <f t="shared" si="519"/>
        <v>14293.788</v>
      </c>
      <c r="AJ256" s="1232">
        <f t="shared" si="520"/>
        <v>28742.693309999999</v>
      </c>
      <c r="AK256" s="1232">
        <f t="shared" si="521"/>
        <v>43036.481310000003</v>
      </c>
      <c r="AM256" s="1378">
        <f ca="1">SUM((INDIRECT(AM$2&amp;(ROW())):INDIRECT(AM$3&amp;(ROW()))))</f>
        <v>-9746</v>
      </c>
      <c r="AN256" s="2043">
        <f ca="1">SUM(INDIRECT(AN$1&amp;AN$2&amp;$C256):INDIRECT(AN$1&amp;AN$3&amp;$C256))</f>
        <v>0</v>
      </c>
      <c r="AO256" s="2757">
        <f t="shared" ca="1" si="507"/>
        <v>-9746</v>
      </c>
      <c r="AP256" s="2758">
        <f t="shared" ca="1" si="456"/>
        <v>0</v>
      </c>
      <c r="AQ256" s="2043">
        <f ca="1">SUM(INDIRECT(AQ$1&amp;AQ$2&amp;$A256):INDIRECT(AQ$1&amp;AQ$3&amp;$A256))+SUM(INDIRECT(AQ$1&amp;AQ$2&amp;$B256):INDIRECT(AQ$1&amp;AQ$3&amp;$B256))</f>
        <v>0</v>
      </c>
      <c r="AR256" s="2757">
        <f t="shared" ca="1" si="457"/>
        <v>-9746</v>
      </c>
      <c r="AS256" s="2758">
        <f t="shared" ca="1" si="513"/>
        <v>0</v>
      </c>
      <c r="AU256" s="1378">
        <f ca="1">SUM((INDIRECT(AU$2&amp;(ROW())):INDIRECT(AU$3&amp;(ROW()))))</f>
        <v>-9746</v>
      </c>
      <c r="AV256" s="2043">
        <f ca="1">SUM(INDIRECT(AV$1&amp;AV$2&amp;$C256):INDIRECT(AV$1&amp;AV$3&amp;$C256))</f>
        <v>0</v>
      </c>
      <c r="AW256" s="2757">
        <f t="shared" ca="1" si="459"/>
        <v>-9746</v>
      </c>
      <c r="AX256" s="2758">
        <f t="shared" ca="1" si="514"/>
        <v>0</v>
      </c>
      <c r="AY256" s="2043">
        <f ca="1">SUM(INDIRECT(AY$1&amp;AY$2&amp;$A256):INDIRECT(AY$1&amp;AY$3&amp;$A256))+SUM(INDIRECT(AY$1&amp;AY$2&amp;$B256):INDIRECT(AY$1&amp;AY$3&amp;$B256))</f>
        <v>0</v>
      </c>
      <c r="AZ256" s="2757">
        <f t="shared" ca="1" si="461"/>
        <v>-9746</v>
      </c>
      <c r="BA256" s="2758">
        <f t="shared" ca="1" si="515"/>
        <v>0</v>
      </c>
      <c r="BC256" s="1378">
        <f ca="1">SUM((INDIRECT(BC$2&amp;(ROW())):INDIRECT(BC$3&amp;(ROW()))))</f>
        <v>-9746</v>
      </c>
      <c r="BD256" s="2043">
        <f ca="1">SUM(INDIRECT(BD$1&amp;BD$2&amp;$C256):INDIRECT(BD$1&amp;BD$3&amp;$C256))</f>
        <v>0</v>
      </c>
      <c r="BE256" s="2757">
        <f t="shared" ca="1" si="463"/>
        <v>-9746</v>
      </c>
      <c r="BF256" s="2758">
        <f t="shared" ca="1" si="516"/>
        <v>0</v>
      </c>
      <c r="BG256" s="2043">
        <f ca="1">SUM(INDIRECT(BG$1&amp;BG$2&amp;$A256):INDIRECT(BG$1&amp;BG$3&amp;$A256))+SUM(INDIRECT(BG$1&amp;BG$2&amp;$B256):INDIRECT(BG$1&amp;BG$3&amp;$B256))</f>
        <v>0</v>
      </c>
      <c r="BH256" s="2757">
        <f t="shared" ca="1" si="465"/>
        <v>-9746</v>
      </c>
      <c r="BI256" s="2758">
        <f t="shared" ca="1" si="517"/>
        <v>0</v>
      </c>
    </row>
    <row r="257" spans="1:61" s="69" customFormat="1" ht="14.5">
      <c r="A257" s="1693">
        <f t="shared" si="453"/>
        <v>257</v>
      </c>
      <c r="B257" s="616">
        <v>1</v>
      </c>
      <c r="C257" s="1693">
        <f t="shared" si="452"/>
        <v>257</v>
      </c>
      <c r="D257" s="616">
        <v>1</v>
      </c>
      <c r="E257" s="709" t="s">
        <v>512</v>
      </c>
      <c r="F257" s="1572"/>
      <c r="G257" s="4"/>
      <c r="H257" s="4"/>
      <c r="I257" s="4"/>
      <c r="J257" s="507"/>
      <c r="K257" s="503"/>
      <c r="L257" s="506"/>
      <c r="M257" s="506"/>
      <c r="N257" s="4"/>
      <c r="O257" s="3" t="s">
        <v>52</v>
      </c>
      <c r="P257" s="3"/>
      <c r="Q257" s="3"/>
      <c r="R257" s="1784" t="str">
        <f>CHOOSE(2, "6722000003176", "PL (3) Gross Profit HW &amp; Solution MGI")</f>
        <v>PL (3) Gross Profit HW &amp; Solution MGI</v>
      </c>
      <c r="S257" s="1289">
        <f t="shared" si="518"/>
        <v>252</v>
      </c>
      <c r="T257" s="1232">
        <f t="shared" si="518"/>
        <v>882.44200000000001</v>
      </c>
      <c r="U257" s="1232">
        <f t="shared" si="518"/>
        <v>526</v>
      </c>
      <c r="V257" s="1232">
        <f t="shared" si="518"/>
        <v>-634.02670625000007</v>
      </c>
      <c r="W257" s="1232">
        <f t="shared" si="518"/>
        <v>11382</v>
      </c>
      <c r="X257" s="1232">
        <f t="shared" si="518"/>
        <v>978.34029375000011</v>
      </c>
      <c r="Y257" s="1232">
        <f t="shared" si="518"/>
        <v>-912.44182624999996</v>
      </c>
      <c r="Z257" s="1232">
        <f t="shared" si="518"/>
        <v>5339.4655137500004</v>
      </c>
      <c r="AA257" s="1232">
        <f t="shared" si="518"/>
        <v>-4820.8283062500004</v>
      </c>
      <c r="AB257" s="1232">
        <f t="shared" si="518"/>
        <v>-5378.9431462500006</v>
      </c>
      <c r="AC257" s="1232">
        <f t="shared" si="518"/>
        <v>-479.99572624999996</v>
      </c>
      <c r="AD257" s="1232">
        <f t="shared" si="518"/>
        <v>9497.5104200000023</v>
      </c>
      <c r="AE257" s="1232">
        <f t="shared" si="509"/>
        <v>1660.442</v>
      </c>
      <c r="AF257" s="1232">
        <f t="shared" si="510"/>
        <v>11726.313587499999</v>
      </c>
      <c r="AG257" s="1232">
        <f t="shared" si="511"/>
        <v>-393.80461875000037</v>
      </c>
      <c r="AH257" s="1232">
        <f t="shared" si="512"/>
        <v>3638.5715475000015</v>
      </c>
      <c r="AI257" s="1232">
        <f t="shared" si="519"/>
        <v>13386.7555875</v>
      </c>
      <c r="AJ257" s="1232">
        <f t="shared" si="520"/>
        <v>3244.7669287500012</v>
      </c>
      <c r="AK257" s="1232">
        <f t="shared" si="521"/>
        <v>16631.522516249999</v>
      </c>
      <c r="AM257" s="1378">
        <f ca="1">SUM((INDIRECT(AM$2&amp;(ROW())):INDIRECT(AM$3&amp;(ROW()))))</f>
        <v>252</v>
      </c>
      <c r="AN257" s="2043">
        <f ca="1">SUM(INDIRECT(AN$1&amp;AN$2&amp;$C257):INDIRECT(AN$1&amp;AN$3&amp;$C257))</f>
        <v>703.33399999999995</v>
      </c>
      <c r="AO257" s="2757">
        <f t="shared" ca="1" si="507"/>
        <v>-451.33399999999995</v>
      </c>
      <c r="AP257" s="2758">
        <f t="shared" ca="1" si="456"/>
        <v>0.35829349924786802</v>
      </c>
      <c r="AQ257" s="2043">
        <f ca="1">SUM(INDIRECT(AQ$1&amp;AQ$2&amp;$A257):INDIRECT(AQ$1&amp;AQ$3&amp;$A257))+SUM(INDIRECT(AQ$1&amp;AQ$2&amp;$B257):INDIRECT(AQ$1&amp;AQ$3&amp;$B257))</f>
        <v>466</v>
      </c>
      <c r="AR257" s="2757">
        <f t="shared" ca="1" si="457"/>
        <v>-214</v>
      </c>
      <c r="AS257" s="2758">
        <f t="shared" ca="1" si="513"/>
        <v>0.54077253218884125</v>
      </c>
      <c r="AU257" s="1378">
        <f ca="1">SUM((INDIRECT(AU$2&amp;(ROW())):INDIRECT(AU$3&amp;(ROW()))))</f>
        <v>252</v>
      </c>
      <c r="AV257" s="2043">
        <f ca="1">SUM(INDIRECT(AV$1&amp;AV$2&amp;$C257):INDIRECT(AV$1&amp;AV$3&amp;$C257))</f>
        <v>703.33399999999995</v>
      </c>
      <c r="AW257" s="2757">
        <f t="shared" ca="1" si="459"/>
        <v>-451.33399999999995</v>
      </c>
      <c r="AX257" s="2758">
        <f t="shared" ca="1" si="514"/>
        <v>0.35829349924786802</v>
      </c>
      <c r="AY257" s="2043">
        <f ca="1">SUM(INDIRECT(AY$1&amp;AY$2&amp;$A257):INDIRECT(AY$1&amp;AY$3&amp;$A257))+SUM(INDIRECT(AY$1&amp;AY$2&amp;$B257):INDIRECT(AY$1&amp;AY$3&amp;$B257))</f>
        <v>466</v>
      </c>
      <c r="AZ257" s="2757">
        <f t="shared" ca="1" si="461"/>
        <v>-214</v>
      </c>
      <c r="BA257" s="2758">
        <f t="shared" ca="1" si="515"/>
        <v>0.54077253218884125</v>
      </c>
      <c r="BC257" s="1378">
        <f ca="1">SUM((INDIRECT(BC$2&amp;(ROW())):INDIRECT(BC$3&amp;(ROW()))))</f>
        <v>252</v>
      </c>
      <c r="BD257" s="2043">
        <f ca="1">SUM(INDIRECT(BD$1&amp;BD$2&amp;$C257):INDIRECT(BD$1&amp;BD$3&amp;$C257))</f>
        <v>703.33399999999995</v>
      </c>
      <c r="BE257" s="2757">
        <f t="shared" ca="1" si="463"/>
        <v>-451.33399999999995</v>
      </c>
      <c r="BF257" s="2758">
        <f t="shared" ca="1" si="516"/>
        <v>0.35829349924786802</v>
      </c>
      <c r="BG257" s="2043">
        <f ca="1">SUM(INDIRECT(BG$1&amp;BG$2&amp;$A257):INDIRECT(BG$1&amp;BG$3&amp;$A257))+SUM(INDIRECT(BG$1&amp;BG$2&amp;$B257):INDIRECT(BG$1&amp;BG$3&amp;$B257))</f>
        <v>466</v>
      </c>
      <c r="BH257" s="2757">
        <f t="shared" ca="1" si="465"/>
        <v>-214</v>
      </c>
      <c r="BI257" s="2758">
        <f t="shared" ca="1" si="517"/>
        <v>0.54077253218884125</v>
      </c>
    </row>
    <row r="258" spans="1:61" s="69" customFormat="1" ht="14.5">
      <c r="A258" s="1693">
        <f t="shared" si="453"/>
        <v>258</v>
      </c>
      <c r="B258" s="616">
        <v>1</v>
      </c>
      <c r="C258" s="1693">
        <f t="shared" si="452"/>
        <v>258</v>
      </c>
      <c r="D258" s="616">
        <v>1</v>
      </c>
      <c r="E258" s="709" t="s">
        <v>512</v>
      </c>
      <c r="F258" s="1572"/>
      <c r="G258" s="4"/>
      <c r="H258" s="4"/>
      <c r="I258" s="4"/>
      <c r="J258" s="27"/>
      <c r="K258" s="3"/>
      <c r="L258" s="4"/>
      <c r="M258" s="4"/>
      <c r="N258" s="4"/>
      <c r="O258" s="3" t="s">
        <v>118</v>
      </c>
      <c r="P258" s="3"/>
      <c r="Q258" s="3"/>
      <c r="R258" s="1784" t="str">
        <f>CHOOSE(2, "6722000003177", "PL (3) Gross Profit HW &amp; Solution EFI/LF")</f>
        <v>PL (3) Gross Profit HW &amp; Solution EFI/LF</v>
      </c>
      <c r="S258" s="1289">
        <f t="shared" si="518"/>
        <v>0</v>
      </c>
      <c r="T258" s="1232">
        <f t="shared" si="518"/>
        <v>0</v>
      </c>
      <c r="U258" s="1232">
        <f t="shared" si="518"/>
        <v>0</v>
      </c>
      <c r="V258" s="1232">
        <f t="shared" si="518"/>
        <v>0</v>
      </c>
      <c r="W258" s="1232">
        <f t="shared" si="518"/>
        <v>0</v>
      </c>
      <c r="X258" s="1232">
        <f t="shared" si="518"/>
        <v>0</v>
      </c>
      <c r="Y258" s="1232">
        <f t="shared" si="518"/>
        <v>0</v>
      </c>
      <c r="Z258" s="1232">
        <f t="shared" si="518"/>
        <v>0</v>
      </c>
      <c r="AA258" s="1232">
        <f t="shared" si="518"/>
        <v>0</v>
      </c>
      <c r="AB258" s="1232">
        <f t="shared" si="518"/>
        <v>0</v>
      </c>
      <c r="AC258" s="1232">
        <f t="shared" si="518"/>
        <v>0</v>
      </c>
      <c r="AD258" s="1232">
        <f t="shared" si="518"/>
        <v>0</v>
      </c>
      <c r="AE258" s="1232">
        <f t="shared" si="509"/>
        <v>0</v>
      </c>
      <c r="AF258" s="1232">
        <f t="shared" si="510"/>
        <v>0</v>
      </c>
      <c r="AG258" s="1232">
        <f t="shared" si="511"/>
        <v>0</v>
      </c>
      <c r="AH258" s="1232">
        <f t="shared" si="512"/>
        <v>0</v>
      </c>
      <c r="AI258" s="1232">
        <f t="shared" si="519"/>
        <v>0</v>
      </c>
      <c r="AJ258" s="1232">
        <f t="shared" si="520"/>
        <v>0</v>
      </c>
      <c r="AK258" s="1232">
        <f t="shared" si="521"/>
        <v>0</v>
      </c>
      <c r="AM258" s="1378">
        <f ca="1">SUM((INDIRECT(AM$2&amp;(ROW())):INDIRECT(AM$3&amp;(ROW()))))</f>
        <v>0</v>
      </c>
      <c r="AN258" s="2043">
        <f ca="1">SUM(INDIRECT(AN$1&amp;AN$2&amp;$C258):INDIRECT(AN$1&amp;AN$3&amp;$C258))</f>
        <v>0</v>
      </c>
      <c r="AO258" s="2757">
        <f t="shared" ca="1" si="507"/>
        <v>0</v>
      </c>
      <c r="AP258" s="2758">
        <f t="shared" ca="1" si="456"/>
        <v>0</v>
      </c>
      <c r="AQ258" s="2043">
        <f ca="1">SUM(INDIRECT(AQ$1&amp;AQ$2&amp;$A258):INDIRECT(AQ$1&amp;AQ$3&amp;$A258))+SUM(INDIRECT(AQ$1&amp;AQ$2&amp;$B258):INDIRECT(AQ$1&amp;AQ$3&amp;$B258))</f>
        <v>0</v>
      </c>
      <c r="AR258" s="2757">
        <f t="shared" ca="1" si="457"/>
        <v>0</v>
      </c>
      <c r="AS258" s="2758">
        <f t="shared" ca="1" si="513"/>
        <v>0</v>
      </c>
      <c r="AU258" s="1378">
        <f ca="1">SUM((INDIRECT(AU$2&amp;(ROW())):INDIRECT(AU$3&amp;(ROW()))))</f>
        <v>0</v>
      </c>
      <c r="AV258" s="2043">
        <f ca="1">SUM(INDIRECT(AV$1&amp;AV$2&amp;$C258):INDIRECT(AV$1&amp;AV$3&amp;$C258))</f>
        <v>0</v>
      </c>
      <c r="AW258" s="2757">
        <f t="shared" ca="1" si="459"/>
        <v>0</v>
      </c>
      <c r="AX258" s="2758">
        <f t="shared" ca="1" si="514"/>
        <v>0</v>
      </c>
      <c r="AY258" s="2043">
        <f ca="1">SUM(INDIRECT(AY$1&amp;AY$2&amp;$A258):INDIRECT(AY$1&amp;AY$3&amp;$A258))+SUM(INDIRECT(AY$1&amp;AY$2&amp;$B258):INDIRECT(AY$1&amp;AY$3&amp;$B258))</f>
        <v>0</v>
      </c>
      <c r="AZ258" s="2757">
        <f t="shared" ca="1" si="461"/>
        <v>0</v>
      </c>
      <c r="BA258" s="2758">
        <f t="shared" ca="1" si="515"/>
        <v>0</v>
      </c>
      <c r="BC258" s="1378">
        <f ca="1">SUM((INDIRECT(BC$2&amp;(ROW())):INDIRECT(BC$3&amp;(ROW()))))</f>
        <v>0</v>
      </c>
      <c r="BD258" s="2043">
        <f ca="1">SUM(INDIRECT(BD$1&amp;BD$2&amp;$C258):INDIRECT(BD$1&amp;BD$3&amp;$C258))</f>
        <v>0</v>
      </c>
      <c r="BE258" s="2757">
        <f t="shared" ca="1" si="463"/>
        <v>0</v>
      </c>
      <c r="BF258" s="2758">
        <f t="shared" ca="1" si="516"/>
        <v>0</v>
      </c>
      <c r="BG258" s="2043">
        <f ca="1">SUM(INDIRECT(BG$1&amp;BG$2&amp;$A258):INDIRECT(BG$1&amp;BG$3&amp;$A258))+SUM(INDIRECT(BG$1&amp;BG$2&amp;$B258):INDIRECT(BG$1&amp;BG$3&amp;$B258))</f>
        <v>0</v>
      </c>
      <c r="BH258" s="2757">
        <f t="shared" ca="1" si="465"/>
        <v>0</v>
      </c>
      <c r="BI258" s="2758">
        <f t="shared" ca="1" si="517"/>
        <v>0</v>
      </c>
    </row>
    <row r="259" spans="1:61" s="69" customFormat="1" ht="14.5">
      <c r="A259" s="1693">
        <f t="shared" si="453"/>
        <v>259</v>
      </c>
      <c r="B259" s="616">
        <v>1</v>
      </c>
      <c r="C259" s="1693">
        <f t="shared" si="452"/>
        <v>259</v>
      </c>
      <c r="D259" s="616">
        <v>1</v>
      </c>
      <c r="E259" s="709" t="s">
        <v>512</v>
      </c>
      <c r="F259" s="1572"/>
      <c r="G259" s="4"/>
      <c r="H259" s="4"/>
      <c r="I259" s="4"/>
      <c r="J259" s="27"/>
      <c r="K259" s="3"/>
      <c r="L259" s="4"/>
      <c r="M259" s="4"/>
      <c r="N259" s="4"/>
      <c r="O259" s="3" t="s">
        <v>180</v>
      </c>
      <c r="P259" s="3"/>
      <c r="Q259" s="3"/>
      <c r="R259" s="1784" t="str">
        <f>CHOOSE(2, "6722000003178", "PL (3) Gross Profit HW &amp; Solution Textile Printer")</f>
        <v>PL (3) Gross Profit HW &amp; Solution Textile Printer</v>
      </c>
      <c r="S259" s="1289">
        <f t="shared" si="518"/>
        <v>0</v>
      </c>
      <c r="T259" s="1232">
        <f t="shared" si="518"/>
        <v>0</v>
      </c>
      <c r="U259" s="1232">
        <f t="shared" si="518"/>
        <v>0</v>
      </c>
      <c r="V259" s="1232">
        <f t="shared" si="518"/>
        <v>0</v>
      </c>
      <c r="W259" s="1232">
        <f t="shared" si="518"/>
        <v>0</v>
      </c>
      <c r="X259" s="1232">
        <f t="shared" si="518"/>
        <v>0</v>
      </c>
      <c r="Y259" s="1232">
        <f t="shared" si="518"/>
        <v>0</v>
      </c>
      <c r="Z259" s="1232">
        <f t="shared" si="518"/>
        <v>0</v>
      </c>
      <c r="AA259" s="1232">
        <f t="shared" si="518"/>
        <v>0</v>
      </c>
      <c r="AB259" s="1232">
        <f t="shared" si="518"/>
        <v>0</v>
      </c>
      <c r="AC259" s="1232">
        <f t="shared" si="518"/>
        <v>0</v>
      </c>
      <c r="AD259" s="1232">
        <f t="shared" si="518"/>
        <v>0</v>
      </c>
      <c r="AE259" s="1232">
        <f t="shared" si="509"/>
        <v>0</v>
      </c>
      <c r="AF259" s="1232">
        <f t="shared" si="510"/>
        <v>0</v>
      </c>
      <c r="AG259" s="1232">
        <f t="shared" si="511"/>
        <v>0</v>
      </c>
      <c r="AH259" s="1232">
        <f t="shared" si="512"/>
        <v>0</v>
      </c>
      <c r="AI259" s="1232">
        <f t="shared" si="519"/>
        <v>0</v>
      </c>
      <c r="AJ259" s="1232">
        <f t="shared" si="520"/>
        <v>0</v>
      </c>
      <c r="AK259" s="1232">
        <f t="shared" si="521"/>
        <v>0</v>
      </c>
      <c r="AM259" s="1378">
        <f ca="1">SUM((INDIRECT(AM$2&amp;(ROW())):INDIRECT(AM$3&amp;(ROW()))))</f>
        <v>0</v>
      </c>
      <c r="AN259" s="2043">
        <f ca="1">SUM(INDIRECT(AN$1&amp;AN$2&amp;$C259):INDIRECT(AN$1&amp;AN$3&amp;$C259))</f>
        <v>0</v>
      </c>
      <c r="AO259" s="2757">
        <f t="shared" ca="1" si="507"/>
        <v>0</v>
      </c>
      <c r="AP259" s="2758">
        <f t="shared" ca="1" si="456"/>
        <v>0</v>
      </c>
      <c r="AQ259" s="2043">
        <f ca="1">SUM(INDIRECT(AQ$1&amp;AQ$2&amp;$A259):INDIRECT(AQ$1&amp;AQ$3&amp;$A259))+SUM(INDIRECT(AQ$1&amp;AQ$2&amp;$B259):INDIRECT(AQ$1&amp;AQ$3&amp;$B259))</f>
        <v>0</v>
      </c>
      <c r="AR259" s="2757">
        <f t="shared" ca="1" si="457"/>
        <v>0</v>
      </c>
      <c r="AS259" s="2758">
        <f t="shared" ca="1" si="513"/>
        <v>0</v>
      </c>
      <c r="AU259" s="1378">
        <f ca="1">SUM((INDIRECT(AU$2&amp;(ROW())):INDIRECT(AU$3&amp;(ROW()))))</f>
        <v>0</v>
      </c>
      <c r="AV259" s="2043">
        <f ca="1">SUM(INDIRECT(AV$1&amp;AV$2&amp;$C259):INDIRECT(AV$1&amp;AV$3&amp;$C259))</f>
        <v>0</v>
      </c>
      <c r="AW259" s="2757">
        <f t="shared" ca="1" si="459"/>
        <v>0</v>
      </c>
      <c r="AX259" s="2758">
        <f t="shared" ca="1" si="514"/>
        <v>0</v>
      </c>
      <c r="AY259" s="2043">
        <f ca="1">SUM(INDIRECT(AY$1&amp;AY$2&amp;$A259):INDIRECT(AY$1&amp;AY$3&amp;$A259))+SUM(INDIRECT(AY$1&amp;AY$2&amp;$B259):INDIRECT(AY$1&amp;AY$3&amp;$B259))</f>
        <v>0</v>
      </c>
      <c r="AZ259" s="2757">
        <f t="shared" ca="1" si="461"/>
        <v>0</v>
      </c>
      <c r="BA259" s="2758">
        <f t="shared" ca="1" si="515"/>
        <v>0</v>
      </c>
      <c r="BC259" s="1378">
        <f ca="1">SUM((INDIRECT(BC$2&amp;(ROW())):INDIRECT(BC$3&amp;(ROW()))))</f>
        <v>0</v>
      </c>
      <c r="BD259" s="2043">
        <f ca="1">SUM(INDIRECT(BD$1&amp;BD$2&amp;$C259):INDIRECT(BD$1&amp;BD$3&amp;$C259))</f>
        <v>0</v>
      </c>
      <c r="BE259" s="2757">
        <f t="shared" ca="1" si="463"/>
        <v>0</v>
      </c>
      <c r="BF259" s="2758">
        <f t="shared" ca="1" si="516"/>
        <v>0</v>
      </c>
      <c r="BG259" s="2043">
        <f ca="1">SUM(INDIRECT(BG$1&amp;BG$2&amp;$A259):INDIRECT(BG$1&amp;BG$3&amp;$A259))+SUM(INDIRECT(BG$1&amp;BG$2&amp;$B259):INDIRECT(BG$1&amp;BG$3&amp;$B259))</f>
        <v>0</v>
      </c>
      <c r="BH259" s="2757">
        <f t="shared" ca="1" si="465"/>
        <v>0</v>
      </c>
      <c r="BI259" s="2758">
        <f t="shared" ca="1" si="517"/>
        <v>0</v>
      </c>
    </row>
    <row r="260" spans="1:61" s="69" customFormat="1" ht="14.5">
      <c r="A260" s="1693">
        <f t="shared" si="453"/>
        <v>260</v>
      </c>
      <c r="B260" s="616">
        <v>1</v>
      </c>
      <c r="C260" s="1693">
        <f t="shared" si="452"/>
        <v>260</v>
      </c>
      <c r="D260" s="616">
        <v>1</v>
      </c>
      <c r="E260" s="709" t="s">
        <v>512</v>
      </c>
      <c r="F260" s="1572"/>
      <c r="G260" s="4"/>
      <c r="H260" s="4"/>
      <c r="I260" s="4"/>
      <c r="J260" s="27"/>
      <c r="K260" s="3"/>
      <c r="L260" s="4"/>
      <c r="M260" s="4"/>
      <c r="N260" s="47"/>
      <c r="O260" s="47" t="s">
        <v>51</v>
      </c>
      <c r="P260" s="47"/>
      <c r="Q260" s="47"/>
      <c r="R260" s="1784" t="str">
        <f>CHOOSE(2, "6722000003179", "PL (3) Gross Profit HW &amp; Solution Others")</f>
        <v>PL (3) Gross Profit HW &amp; Solution Others</v>
      </c>
      <c r="S260" s="1255">
        <f t="shared" si="518"/>
        <v>0</v>
      </c>
      <c r="T260" s="1240">
        <f t="shared" si="518"/>
        <v>0</v>
      </c>
      <c r="U260" s="1240">
        <f t="shared" si="518"/>
        <v>0</v>
      </c>
      <c r="V260" s="1240">
        <f t="shared" si="518"/>
        <v>0</v>
      </c>
      <c r="W260" s="1240">
        <f t="shared" si="518"/>
        <v>0</v>
      </c>
      <c r="X260" s="1240">
        <f t="shared" si="518"/>
        <v>0</v>
      </c>
      <c r="Y260" s="1240">
        <f t="shared" si="518"/>
        <v>0</v>
      </c>
      <c r="Z260" s="1240">
        <f t="shared" si="518"/>
        <v>0</v>
      </c>
      <c r="AA260" s="1240">
        <f t="shared" si="518"/>
        <v>0</v>
      </c>
      <c r="AB260" s="1240">
        <f t="shared" si="518"/>
        <v>0</v>
      </c>
      <c r="AC260" s="1240">
        <f t="shared" si="518"/>
        <v>0</v>
      </c>
      <c r="AD260" s="1240">
        <f t="shared" si="518"/>
        <v>0</v>
      </c>
      <c r="AE260" s="1240">
        <f t="shared" si="509"/>
        <v>0</v>
      </c>
      <c r="AF260" s="1240">
        <f t="shared" si="510"/>
        <v>0</v>
      </c>
      <c r="AG260" s="1240">
        <f t="shared" si="511"/>
        <v>0</v>
      </c>
      <c r="AH260" s="1240">
        <f t="shared" si="512"/>
        <v>0</v>
      </c>
      <c r="AI260" s="1240">
        <f t="shared" si="519"/>
        <v>0</v>
      </c>
      <c r="AJ260" s="1240">
        <f t="shared" si="520"/>
        <v>0</v>
      </c>
      <c r="AK260" s="1240">
        <f t="shared" si="521"/>
        <v>0</v>
      </c>
      <c r="AM260" s="1970">
        <f ca="1">SUM((INDIRECT(AM$2&amp;(ROW())):INDIRECT(AM$3&amp;(ROW()))))</f>
        <v>0</v>
      </c>
      <c r="AN260" s="2044">
        <f ca="1">SUM(INDIRECT(AN$1&amp;AN$2&amp;$C260):INDIRECT(AN$1&amp;AN$3&amp;$C260))</f>
        <v>0</v>
      </c>
      <c r="AO260" s="2807">
        <f t="shared" ca="1" si="507"/>
        <v>0</v>
      </c>
      <c r="AP260" s="2808">
        <f t="shared" ca="1" si="456"/>
        <v>0</v>
      </c>
      <c r="AQ260" s="2044">
        <f ca="1">SUM(INDIRECT(AQ$1&amp;AQ$2&amp;$A260):INDIRECT(AQ$1&amp;AQ$3&amp;$A260))+SUM(INDIRECT(AQ$1&amp;AQ$2&amp;$B260):INDIRECT(AQ$1&amp;AQ$3&amp;$B260))</f>
        <v>0</v>
      </c>
      <c r="AR260" s="2807">
        <f t="shared" ca="1" si="457"/>
        <v>0</v>
      </c>
      <c r="AS260" s="2808">
        <f t="shared" ca="1" si="513"/>
        <v>0</v>
      </c>
      <c r="AU260" s="1970">
        <f ca="1">SUM((INDIRECT(AU$2&amp;(ROW())):INDIRECT(AU$3&amp;(ROW()))))</f>
        <v>0</v>
      </c>
      <c r="AV260" s="2044">
        <f ca="1">SUM(INDIRECT(AV$1&amp;AV$2&amp;$C260):INDIRECT(AV$1&amp;AV$3&amp;$C260))</f>
        <v>0</v>
      </c>
      <c r="AW260" s="2807">
        <f t="shared" ca="1" si="459"/>
        <v>0</v>
      </c>
      <c r="AX260" s="2808">
        <f t="shared" ca="1" si="514"/>
        <v>0</v>
      </c>
      <c r="AY260" s="2044">
        <f ca="1">SUM(INDIRECT(AY$1&amp;AY$2&amp;$A260):INDIRECT(AY$1&amp;AY$3&amp;$A260))+SUM(INDIRECT(AY$1&amp;AY$2&amp;$B260):INDIRECT(AY$1&amp;AY$3&amp;$B260))</f>
        <v>0</v>
      </c>
      <c r="AZ260" s="2807">
        <f t="shared" ca="1" si="461"/>
        <v>0</v>
      </c>
      <c r="BA260" s="2808">
        <f t="shared" ca="1" si="515"/>
        <v>0</v>
      </c>
      <c r="BC260" s="1970">
        <f ca="1">SUM((INDIRECT(BC$2&amp;(ROW())):INDIRECT(BC$3&amp;(ROW()))))</f>
        <v>0</v>
      </c>
      <c r="BD260" s="2044">
        <f ca="1">SUM(INDIRECT(BD$1&amp;BD$2&amp;$C260):INDIRECT(BD$1&amp;BD$3&amp;$C260))</f>
        <v>0</v>
      </c>
      <c r="BE260" s="2807">
        <f t="shared" ca="1" si="463"/>
        <v>0</v>
      </c>
      <c r="BF260" s="2808">
        <f t="shared" ca="1" si="516"/>
        <v>0</v>
      </c>
      <c r="BG260" s="2044">
        <f ca="1">SUM(INDIRECT(BG$1&amp;BG$2&amp;$A260):INDIRECT(BG$1&amp;BG$3&amp;$A260))+SUM(INDIRECT(BG$1&amp;BG$2&amp;$B260):INDIRECT(BG$1&amp;BG$3&amp;$B260))</f>
        <v>0</v>
      </c>
      <c r="BH260" s="2807">
        <f t="shared" ca="1" si="465"/>
        <v>0</v>
      </c>
      <c r="BI260" s="2808">
        <f t="shared" ca="1" si="517"/>
        <v>0</v>
      </c>
    </row>
    <row r="261" spans="1:61" s="69" customFormat="1" ht="14.5">
      <c r="A261" s="1693">
        <f t="shared" si="453"/>
        <v>261</v>
      </c>
      <c r="B261" s="616">
        <v>1</v>
      </c>
      <c r="C261" s="1693">
        <f t="shared" si="452"/>
        <v>261</v>
      </c>
      <c r="D261" s="616">
        <v>1</v>
      </c>
      <c r="E261" s="709" t="s">
        <v>512</v>
      </c>
      <c r="F261" s="1572"/>
      <c r="G261" s="4"/>
      <c r="H261" s="4"/>
      <c r="I261" s="4"/>
      <c r="J261" s="27"/>
      <c r="K261" s="3"/>
      <c r="L261" s="4"/>
      <c r="M261" s="4"/>
      <c r="N261" s="300" t="s">
        <v>126</v>
      </c>
      <c r="O261" s="300"/>
      <c r="P261" s="300"/>
      <c r="Q261" s="300"/>
      <c r="R261" s="1796" t="str">
        <f>CHOOSE(2, "6722000003180", "PL (3) Gross Profit NH")</f>
        <v>PL (3) Gross Profit NH</v>
      </c>
      <c r="S261" s="1309">
        <f>SUM(S262:S267)</f>
        <v>-1786</v>
      </c>
      <c r="T261" s="1251">
        <f t="shared" ref="T261:AD261" si="522">SUM(T262:T267)</f>
        <v>-170.83897583333317</v>
      </c>
      <c r="U261" s="1251">
        <f t="shared" si="522"/>
        <v>467.24381416666699</v>
      </c>
      <c r="V261" s="1251">
        <f t="shared" si="522"/>
        <v>1495.5514841666673</v>
      </c>
      <c r="W261" s="1251">
        <f t="shared" si="522"/>
        <v>1419.7575134774106</v>
      </c>
      <c r="X261" s="1251">
        <f t="shared" si="522"/>
        <v>2089.8390241666666</v>
      </c>
      <c r="Y261" s="1251">
        <f t="shared" si="522"/>
        <v>467.60083416666714</v>
      </c>
      <c r="Z261" s="1251">
        <f t="shared" si="522"/>
        <v>2235.1373741666671</v>
      </c>
      <c r="AA261" s="1251">
        <f t="shared" si="522"/>
        <v>2989.4442154188487</v>
      </c>
      <c r="AB261" s="1251">
        <f t="shared" si="522"/>
        <v>2151.2324462457645</v>
      </c>
      <c r="AC261" s="1251">
        <f t="shared" si="522"/>
        <v>3917.0381253486066</v>
      </c>
      <c r="AD261" s="1251">
        <f t="shared" si="522"/>
        <v>703.59585889626874</v>
      </c>
      <c r="AE261" s="1251">
        <f t="shared" si="509"/>
        <v>-1489.5951616666662</v>
      </c>
      <c r="AF261" s="1251">
        <f t="shared" si="510"/>
        <v>5005.1480218107445</v>
      </c>
      <c r="AG261" s="1251">
        <f t="shared" si="511"/>
        <v>5692.1824237521832</v>
      </c>
      <c r="AH261" s="1251">
        <f t="shared" si="512"/>
        <v>6771.8664304906397</v>
      </c>
      <c r="AI261" s="1251">
        <f t="shared" si="519"/>
        <v>3515.5528601440783</v>
      </c>
      <c r="AJ261" s="1251">
        <f t="shared" si="520"/>
        <v>12464.048854242823</v>
      </c>
      <c r="AK261" s="1251">
        <f t="shared" si="521"/>
        <v>15979.601714386901</v>
      </c>
      <c r="AM261" s="2045">
        <f ca="1">SUM((INDIRECT(AM$2&amp;(ROW())):INDIRECT(AM$3&amp;(ROW()))))</f>
        <v>-1786</v>
      </c>
      <c r="AN261" s="2046">
        <f ca="1">SUM(INDIRECT(AN$1&amp;AN$2&amp;$C261):INDIRECT(AN$1&amp;AN$3&amp;$C261))</f>
        <v>2227.4</v>
      </c>
      <c r="AO261" s="2809">
        <f t="shared" ca="1" si="507"/>
        <v>-4013.4</v>
      </c>
      <c r="AP261" s="2810">
        <f t="shared" ca="1" si="456"/>
        <v>-0.80183173206429015</v>
      </c>
      <c r="AQ261" s="2046">
        <f ca="1">SUM(INDIRECT(AQ$1&amp;AQ$2&amp;$A261):INDIRECT(AQ$1&amp;AQ$3&amp;$A261))+SUM(INDIRECT(AQ$1&amp;AQ$2&amp;$B261):INDIRECT(AQ$1&amp;AQ$3&amp;$B261))</f>
        <v>589</v>
      </c>
      <c r="AR261" s="2809">
        <f t="shared" ca="1" si="457"/>
        <v>-2375</v>
      </c>
      <c r="AS261" s="2810">
        <f t="shared" ca="1" si="513"/>
        <v>-3.032258064516129</v>
      </c>
      <c r="AU261" s="2045">
        <f ca="1">SUM((INDIRECT(AU$2&amp;(ROW())):INDIRECT(AU$3&amp;(ROW()))))</f>
        <v>-1786</v>
      </c>
      <c r="AV261" s="2046">
        <f ca="1">SUM(INDIRECT(AV$1&amp;AV$2&amp;$C261):INDIRECT(AV$1&amp;AV$3&amp;$C261))</f>
        <v>2227.4</v>
      </c>
      <c r="AW261" s="2809">
        <f t="shared" ca="1" si="459"/>
        <v>-4013.4</v>
      </c>
      <c r="AX261" s="2810">
        <f t="shared" ca="1" si="514"/>
        <v>-0.80183173206429015</v>
      </c>
      <c r="AY261" s="2046">
        <f ca="1">SUM(INDIRECT(AY$1&amp;AY$2&amp;$A261):INDIRECT(AY$1&amp;AY$3&amp;$A261))+SUM(INDIRECT(AY$1&amp;AY$2&amp;$B261):INDIRECT(AY$1&amp;AY$3&amp;$B261))</f>
        <v>589</v>
      </c>
      <c r="AZ261" s="2809">
        <f t="shared" ca="1" si="461"/>
        <v>-2375</v>
      </c>
      <c r="BA261" s="2810">
        <f t="shared" ca="1" si="515"/>
        <v>-3.032258064516129</v>
      </c>
      <c r="BC261" s="2045">
        <f ca="1">SUM((INDIRECT(BC$2&amp;(ROW())):INDIRECT(BC$3&amp;(ROW()))))</f>
        <v>-1786</v>
      </c>
      <c r="BD261" s="2046">
        <f ca="1">SUM(INDIRECT(BD$1&amp;BD$2&amp;$C261):INDIRECT(BD$1&amp;BD$3&amp;$C261))</f>
        <v>2227.4</v>
      </c>
      <c r="BE261" s="2809">
        <f t="shared" ca="1" si="463"/>
        <v>-4013.4</v>
      </c>
      <c r="BF261" s="2810">
        <f t="shared" ca="1" si="516"/>
        <v>-0.80183173206429015</v>
      </c>
      <c r="BG261" s="2046">
        <f ca="1">SUM(INDIRECT(BG$1&amp;BG$2&amp;$A261):INDIRECT(BG$1&amp;BG$3&amp;$A261))+SUM(INDIRECT(BG$1&amp;BG$2&amp;$B261):INDIRECT(BG$1&amp;BG$3&amp;$B261))</f>
        <v>589</v>
      </c>
      <c r="BH261" s="2809">
        <f t="shared" ca="1" si="465"/>
        <v>-2375</v>
      </c>
      <c r="BI261" s="2810">
        <f t="shared" ca="1" si="517"/>
        <v>-3.032258064516129</v>
      </c>
    </row>
    <row r="262" spans="1:61" s="69" customFormat="1" ht="14.5">
      <c r="A262" s="1693">
        <f t="shared" si="453"/>
        <v>262</v>
      </c>
      <c r="B262" s="616">
        <v>1</v>
      </c>
      <c r="C262" s="1693">
        <f t="shared" si="452"/>
        <v>262</v>
      </c>
      <c r="D262" s="616">
        <v>1</v>
      </c>
      <c r="E262" s="709" t="s">
        <v>512</v>
      </c>
      <c r="F262" s="1572"/>
      <c r="G262" s="4"/>
      <c r="H262" s="4"/>
      <c r="I262" s="4"/>
      <c r="J262" s="27"/>
      <c r="K262" s="3"/>
      <c r="L262" s="4"/>
      <c r="M262" s="4"/>
      <c r="N262" s="4"/>
      <c r="O262" s="3" t="s">
        <v>587</v>
      </c>
      <c r="P262" s="3"/>
      <c r="Q262" s="3"/>
      <c r="R262" s="1784" t="str">
        <f>CHOOSE(2, "6722000003181", "PL (3) Gross Profit NH KM-1/KM-1e")</f>
        <v>PL (3) Gross Profit NH KM-1/KM-1e</v>
      </c>
      <c r="S262" s="1289">
        <f t="shared" ref="S262:AD262" si="523">S681+S725</f>
        <v>-2906</v>
      </c>
      <c r="T262" s="1232">
        <f t="shared" si="523"/>
        <v>-355.56859668066159</v>
      </c>
      <c r="U262" s="1232">
        <f t="shared" si="523"/>
        <v>-1031.7093465135899</v>
      </c>
      <c r="V262" s="1232">
        <f t="shared" si="523"/>
        <v>-225.93294125895719</v>
      </c>
      <c r="W262" s="1232">
        <f t="shared" si="523"/>
        <v>72.303426197291998</v>
      </c>
      <c r="X262" s="1232">
        <f t="shared" si="523"/>
        <v>-1162.4844672506545</v>
      </c>
      <c r="Y262" s="1232">
        <f t="shared" si="523"/>
        <v>-1158.3212672506545</v>
      </c>
      <c r="Z262" s="1232">
        <f t="shared" si="523"/>
        <v>-23.293971887105045</v>
      </c>
      <c r="AA262" s="1232">
        <f t="shared" si="523"/>
        <v>548.70514428998138</v>
      </c>
      <c r="AB262" s="1232">
        <f t="shared" si="523"/>
        <v>-1042.2944287228488</v>
      </c>
      <c r="AC262" s="1232">
        <f t="shared" si="523"/>
        <v>146.15513017783519</v>
      </c>
      <c r="AD262" s="1232">
        <f t="shared" si="523"/>
        <v>135.94519755279299</v>
      </c>
      <c r="AE262" s="1232">
        <f t="shared" si="509"/>
        <v>-4293.2779431942508</v>
      </c>
      <c r="AF262" s="1232">
        <f t="shared" si="510"/>
        <v>-1316.1139823123196</v>
      </c>
      <c r="AG262" s="1232">
        <f t="shared" si="511"/>
        <v>-632.91009484777817</v>
      </c>
      <c r="AH262" s="1232">
        <f t="shared" si="512"/>
        <v>-760.19410099222068</v>
      </c>
      <c r="AI262" s="1232">
        <f t="shared" si="519"/>
        <v>-5609.3919255065703</v>
      </c>
      <c r="AJ262" s="1232">
        <f t="shared" si="520"/>
        <v>-1393.1041958399987</v>
      </c>
      <c r="AK262" s="1232">
        <f t="shared" si="521"/>
        <v>-7002.4961213465685</v>
      </c>
      <c r="AM262" s="1378">
        <f ca="1">SUM((INDIRECT(AM$2&amp;(ROW())):INDIRECT(AM$3&amp;(ROW()))))</f>
        <v>-2906</v>
      </c>
      <c r="AN262" s="2043">
        <f ca="1">SUM(INDIRECT(AN$1&amp;AN$2&amp;$C262):INDIRECT(AN$1&amp;AN$3&amp;$C262))</f>
        <v>-200</v>
      </c>
      <c r="AO262" s="2757">
        <f t="shared" ca="1" si="507"/>
        <v>-2706</v>
      </c>
      <c r="AP262" s="2758">
        <f t="shared" ca="1" si="456"/>
        <v>14.53</v>
      </c>
      <c r="AQ262" s="2043">
        <f ca="1">SUM(INDIRECT(AQ$1&amp;AQ$2&amp;$A262):INDIRECT(AQ$1&amp;AQ$3&amp;$A262))+SUM(INDIRECT(AQ$1&amp;AQ$2&amp;$B262):INDIRECT(AQ$1&amp;AQ$3&amp;$B262))</f>
        <v>-360</v>
      </c>
      <c r="AR262" s="2757">
        <f t="shared" ca="1" si="457"/>
        <v>-2546</v>
      </c>
      <c r="AS262" s="2758">
        <f t="shared" ca="1" si="513"/>
        <v>8.0722222222222229</v>
      </c>
      <c r="AU262" s="1378">
        <f ca="1">SUM((INDIRECT(AU$2&amp;(ROW())):INDIRECT(AU$3&amp;(ROW()))))</f>
        <v>-2906</v>
      </c>
      <c r="AV262" s="2043">
        <f ca="1">SUM(INDIRECT(AV$1&amp;AV$2&amp;$C262):INDIRECT(AV$1&amp;AV$3&amp;$C262))</f>
        <v>-200</v>
      </c>
      <c r="AW262" s="2757">
        <f t="shared" ca="1" si="459"/>
        <v>-2706</v>
      </c>
      <c r="AX262" s="2758">
        <f t="shared" ca="1" si="514"/>
        <v>14.53</v>
      </c>
      <c r="AY262" s="2043">
        <f ca="1">SUM(INDIRECT(AY$1&amp;AY$2&amp;$A262):INDIRECT(AY$1&amp;AY$3&amp;$A262))+SUM(INDIRECT(AY$1&amp;AY$2&amp;$B262):INDIRECT(AY$1&amp;AY$3&amp;$B262))</f>
        <v>-360</v>
      </c>
      <c r="AZ262" s="2757">
        <f t="shared" ca="1" si="461"/>
        <v>-2546</v>
      </c>
      <c r="BA262" s="2758">
        <f t="shared" ca="1" si="515"/>
        <v>8.0722222222222229</v>
      </c>
      <c r="BC262" s="1378">
        <f ca="1">SUM((INDIRECT(BC$2&amp;(ROW())):INDIRECT(BC$3&amp;(ROW()))))</f>
        <v>-2906</v>
      </c>
      <c r="BD262" s="2043">
        <f ca="1">SUM(INDIRECT(BD$1&amp;BD$2&amp;$C262):INDIRECT(BD$1&amp;BD$3&amp;$C262))</f>
        <v>-200</v>
      </c>
      <c r="BE262" s="2757">
        <f t="shared" ca="1" si="463"/>
        <v>-2706</v>
      </c>
      <c r="BF262" s="2758">
        <f t="shared" ca="1" si="516"/>
        <v>14.53</v>
      </c>
      <c r="BG262" s="2043">
        <f ca="1">SUM(INDIRECT(BG$1&amp;BG$2&amp;$A262):INDIRECT(BG$1&amp;BG$3&amp;$A262))+SUM(INDIRECT(BG$1&amp;BG$2&amp;$B262):INDIRECT(BG$1&amp;BG$3&amp;$B262))</f>
        <v>-360</v>
      </c>
      <c r="BH262" s="2757">
        <f t="shared" ca="1" si="465"/>
        <v>-2546</v>
      </c>
      <c r="BI262" s="2758">
        <f t="shared" ca="1" si="517"/>
        <v>8.0722222222222229</v>
      </c>
    </row>
    <row r="263" spans="1:61" s="69" customFormat="1" ht="14.5">
      <c r="A263" s="1693">
        <f t="shared" si="453"/>
        <v>263</v>
      </c>
      <c r="B263" s="616">
        <v>1</v>
      </c>
      <c r="C263" s="1693">
        <f t="shared" si="452"/>
        <v>263</v>
      </c>
      <c r="D263" s="616">
        <v>1</v>
      </c>
      <c r="E263" s="709" t="s">
        <v>512</v>
      </c>
      <c r="F263" s="1572"/>
      <c r="G263" s="4"/>
      <c r="H263" s="4"/>
      <c r="I263" s="4"/>
      <c r="J263" s="27"/>
      <c r="K263" s="3"/>
      <c r="L263" s="4"/>
      <c r="M263" s="4"/>
      <c r="N263" s="4"/>
      <c r="O263" s="3" t="s">
        <v>117</v>
      </c>
      <c r="P263" s="3"/>
      <c r="Q263" s="3"/>
      <c r="R263" s="1784" t="str">
        <f>CHOOSE(2, "6722000003182", "PL (3) Gross Profit NH Label Printer")</f>
        <v>PL (3) Gross Profit NH Label Printer</v>
      </c>
      <c r="S263" s="1289">
        <f t="shared" ref="S263:AD263" si="524">S687+S731</f>
        <v>2824</v>
      </c>
      <c r="T263" s="1232">
        <f t="shared" si="524"/>
        <v>367.06041624769614</v>
      </c>
      <c r="U263" s="1232">
        <f t="shared" si="524"/>
        <v>1633.0227764322733</v>
      </c>
      <c r="V263" s="1232">
        <f t="shared" si="524"/>
        <v>951.91831874973275</v>
      </c>
      <c r="W263" s="1232">
        <f t="shared" si="524"/>
        <v>1531.5704228673526</v>
      </c>
      <c r="X263" s="1232">
        <f t="shared" si="524"/>
        <v>2631.3432242818117</v>
      </c>
      <c r="Y263" s="1232">
        <f t="shared" si="524"/>
        <v>1181.468014281812</v>
      </c>
      <c r="Z263" s="1232">
        <f t="shared" si="524"/>
        <v>2027.6636458358373</v>
      </c>
      <c r="AA263" s="1232">
        <f t="shared" si="524"/>
        <v>2590.7651822454486</v>
      </c>
      <c r="AB263" s="1232">
        <f t="shared" si="524"/>
        <v>2857.9709874250657</v>
      </c>
      <c r="AC263" s="1232">
        <f t="shared" si="524"/>
        <v>3298.7148622250088</v>
      </c>
      <c r="AD263" s="1232">
        <f t="shared" si="524"/>
        <v>1235.6811214371883</v>
      </c>
      <c r="AE263" s="1232">
        <f t="shared" si="509"/>
        <v>4824.0831926799692</v>
      </c>
      <c r="AF263" s="1232">
        <f t="shared" si="510"/>
        <v>5114.8319658988967</v>
      </c>
      <c r="AG263" s="1232">
        <f t="shared" si="511"/>
        <v>5799.8968423630977</v>
      </c>
      <c r="AH263" s="1232">
        <f t="shared" si="512"/>
        <v>7392.3669710872628</v>
      </c>
      <c r="AI263" s="1232">
        <f t="shared" si="519"/>
        <v>9938.9151585788659</v>
      </c>
      <c r="AJ263" s="1232">
        <f t="shared" si="520"/>
        <v>13192.263813450361</v>
      </c>
      <c r="AK263" s="1232">
        <f t="shared" si="521"/>
        <v>23131.178972029229</v>
      </c>
      <c r="AM263" s="1378">
        <f ca="1">SUM((INDIRECT(AM$2&amp;(ROW())):INDIRECT(AM$3&amp;(ROW()))))</f>
        <v>2824</v>
      </c>
      <c r="AN263" s="2043">
        <f ca="1">SUM(INDIRECT(AN$1&amp;AN$2&amp;$C263):INDIRECT(AN$1&amp;AN$3&amp;$C263))</f>
        <v>2427.4</v>
      </c>
      <c r="AO263" s="2757">
        <f t="shared" ca="1" si="507"/>
        <v>396.59999999999991</v>
      </c>
      <c r="AP263" s="2758">
        <f t="shared" ca="1" si="456"/>
        <v>1.1633846914394002</v>
      </c>
      <c r="AQ263" s="2043">
        <f ca="1">SUM(INDIRECT(AQ$1&amp;AQ$2&amp;$A263):INDIRECT(AQ$1&amp;AQ$3&amp;$A263))+SUM(INDIRECT(AQ$1&amp;AQ$2&amp;$B263):INDIRECT(AQ$1&amp;AQ$3&amp;$B263))</f>
        <v>1806</v>
      </c>
      <c r="AR263" s="2757">
        <f t="shared" ca="1" si="457"/>
        <v>1018</v>
      </c>
      <c r="AS263" s="2758">
        <f t="shared" ca="1" si="513"/>
        <v>1.5636766334440753</v>
      </c>
      <c r="AU263" s="1378">
        <f ca="1">SUM((INDIRECT(AU$2&amp;(ROW())):INDIRECT(AU$3&amp;(ROW()))))</f>
        <v>2824</v>
      </c>
      <c r="AV263" s="2043">
        <f ca="1">SUM(INDIRECT(AV$1&amp;AV$2&amp;$C263):INDIRECT(AV$1&amp;AV$3&amp;$C263))</f>
        <v>2427.4</v>
      </c>
      <c r="AW263" s="2757">
        <f t="shared" ca="1" si="459"/>
        <v>396.59999999999991</v>
      </c>
      <c r="AX263" s="2758">
        <f t="shared" ca="1" si="514"/>
        <v>1.1633846914394002</v>
      </c>
      <c r="AY263" s="2043">
        <f ca="1">SUM(INDIRECT(AY$1&amp;AY$2&amp;$A263):INDIRECT(AY$1&amp;AY$3&amp;$A263))+SUM(INDIRECT(AY$1&amp;AY$2&amp;$B263):INDIRECT(AY$1&amp;AY$3&amp;$B263))</f>
        <v>1806</v>
      </c>
      <c r="AZ263" s="2757">
        <f t="shared" ca="1" si="461"/>
        <v>1018</v>
      </c>
      <c r="BA263" s="2758">
        <f t="shared" ca="1" si="515"/>
        <v>1.5636766334440753</v>
      </c>
      <c r="BC263" s="1378">
        <f ca="1">SUM((INDIRECT(BC$2&amp;(ROW())):INDIRECT(BC$3&amp;(ROW()))))</f>
        <v>2824</v>
      </c>
      <c r="BD263" s="2043">
        <f ca="1">SUM(INDIRECT(BD$1&amp;BD$2&amp;$C263):INDIRECT(BD$1&amp;BD$3&amp;$C263))</f>
        <v>2427.4</v>
      </c>
      <c r="BE263" s="2757">
        <f t="shared" ca="1" si="463"/>
        <v>396.59999999999991</v>
      </c>
      <c r="BF263" s="2758">
        <f t="shared" ca="1" si="516"/>
        <v>1.1633846914394002</v>
      </c>
      <c r="BG263" s="2043">
        <f ca="1">SUM(INDIRECT(BG$1&amp;BG$2&amp;$A263):INDIRECT(BG$1&amp;BG$3&amp;$A263))+SUM(INDIRECT(BG$1&amp;BG$2&amp;$B263):INDIRECT(BG$1&amp;BG$3&amp;$B263))</f>
        <v>1806</v>
      </c>
      <c r="BH263" s="2757">
        <f t="shared" ca="1" si="465"/>
        <v>1018</v>
      </c>
      <c r="BI263" s="2758">
        <f t="shared" ca="1" si="517"/>
        <v>1.5636766334440753</v>
      </c>
    </row>
    <row r="264" spans="1:61" s="69" customFormat="1" ht="14.5">
      <c r="A264" s="1693">
        <f t="shared" si="453"/>
        <v>264</v>
      </c>
      <c r="B264" s="616">
        <v>1</v>
      </c>
      <c r="C264" s="1693">
        <f t="shared" si="452"/>
        <v>264</v>
      </c>
      <c r="D264" s="616">
        <v>1</v>
      </c>
      <c r="E264" s="709" t="s">
        <v>512</v>
      </c>
      <c r="F264" s="1572"/>
      <c r="G264" s="4"/>
      <c r="H264" s="4"/>
      <c r="I264" s="4"/>
      <c r="J264" s="27"/>
      <c r="K264" s="3"/>
      <c r="L264" s="4"/>
      <c r="M264" s="4"/>
      <c r="N264" s="4"/>
      <c r="O264" s="3" t="s">
        <v>52</v>
      </c>
      <c r="P264" s="3"/>
      <c r="Q264" s="865"/>
      <c r="R264" s="1784" t="str">
        <f>CHOOSE(2, "6722000003183", "PL (3) Gross Profit NH MGI")</f>
        <v>PL (3) Gross Profit NH MGI</v>
      </c>
      <c r="S264" s="1289">
        <f t="shared" ref="S264:AD264" si="525">S693+S737</f>
        <v>-1704</v>
      </c>
      <c r="T264" s="1232">
        <f t="shared" si="525"/>
        <v>-182.33079540036772</v>
      </c>
      <c r="U264" s="1232">
        <f t="shared" si="525"/>
        <v>-134.06961575201638</v>
      </c>
      <c r="V264" s="1232">
        <f t="shared" si="525"/>
        <v>769.56610667589177</v>
      </c>
      <c r="W264" s="1232">
        <f t="shared" si="525"/>
        <v>-184.11633558723395</v>
      </c>
      <c r="X264" s="1232">
        <f t="shared" si="525"/>
        <v>620.98026713550962</v>
      </c>
      <c r="Y264" s="1232">
        <f t="shared" si="525"/>
        <v>444.45408713550967</v>
      </c>
      <c r="Z264" s="1232">
        <f t="shared" si="525"/>
        <v>230.76770021793482</v>
      </c>
      <c r="AA264" s="1232">
        <f t="shared" si="525"/>
        <v>-150.02611111658132</v>
      </c>
      <c r="AB264" s="1232">
        <f t="shared" si="525"/>
        <v>335.5558875435479</v>
      </c>
      <c r="AC264" s="1232">
        <f t="shared" si="525"/>
        <v>472.1681329457623</v>
      </c>
      <c r="AD264" s="1232">
        <f t="shared" si="525"/>
        <v>-668.03046009371246</v>
      </c>
      <c r="AE264" s="1232">
        <f t="shared" si="509"/>
        <v>-2020.4004111523841</v>
      </c>
      <c r="AF264" s="1232">
        <f t="shared" si="510"/>
        <v>1206.4300382241674</v>
      </c>
      <c r="AG264" s="1232">
        <f t="shared" si="511"/>
        <v>525.19567623686316</v>
      </c>
      <c r="AH264" s="1232">
        <f t="shared" si="512"/>
        <v>139.69356039559773</v>
      </c>
      <c r="AI264" s="1232">
        <f t="shared" si="519"/>
        <v>-813.97037292821665</v>
      </c>
      <c r="AJ264" s="1232">
        <f t="shared" si="520"/>
        <v>664.88923663246089</v>
      </c>
      <c r="AK264" s="1232">
        <f t="shared" si="521"/>
        <v>-149.08113629575575</v>
      </c>
      <c r="AM264" s="1378">
        <f ca="1">SUM((INDIRECT(AM$2&amp;(ROW())):INDIRECT(AM$3&amp;(ROW()))))</f>
        <v>-1704</v>
      </c>
      <c r="AN264" s="2043">
        <f ca="1">SUM(INDIRECT(AN$1&amp;AN$2&amp;$C264):INDIRECT(AN$1&amp;AN$3&amp;$C264))</f>
        <v>0</v>
      </c>
      <c r="AO264" s="2757">
        <f t="shared" ca="1" si="507"/>
        <v>-1704</v>
      </c>
      <c r="AP264" s="2758">
        <f t="shared" ca="1" si="456"/>
        <v>0</v>
      </c>
      <c r="AQ264" s="2043">
        <f ca="1">SUM(INDIRECT(AQ$1&amp;AQ$2&amp;$A264):INDIRECT(AQ$1&amp;AQ$3&amp;$A264))+SUM(INDIRECT(AQ$1&amp;AQ$2&amp;$B264):INDIRECT(AQ$1&amp;AQ$3&amp;$B264))</f>
        <v>-857</v>
      </c>
      <c r="AR264" s="2757">
        <f t="shared" ca="1" si="457"/>
        <v>-847</v>
      </c>
      <c r="AS264" s="2758">
        <f t="shared" ca="1" si="513"/>
        <v>1.9883313885647609</v>
      </c>
      <c r="AU264" s="1378">
        <f ca="1">SUM((INDIRECT(AU$2&amp;(ROW())):INDIRECT(AU$3&amp;(ROW()))))</f>
        <v>-1704</v>
      </c>
      <c r="AV264" s="2043">
        <f ca="1">SUM(INDIRECT(AV$1&amp;AV$2&amp;$C264):INDIRECT(AV$1&amp;AV$3&amp;$C264))</f>
        <v>0</v>
      </c>
      <c r="AW264" s="2757">
        <f t="shared" ca="1" si="459"/>
        <v>-1704</v>
      </c>
      <c r="AX264" s="2758">
        <f t="shared" ca="1" si="514"/>
        <v>0</v>
      </c>
      <c r="AY264" s="2043">
        <f ca="1">SUM(INDIRECT(AY$1&amp;AY$2&amp;$A264):INDIRECT(AY$1&amp;AY$3&amp;$A264))+SUM(INDIRECT(AY$1&amp;AY$2&amp;$B264):INDIRECT(AY$1&amp;AY$3&amp;$B264))</f>
        <v>-857</v>
      </c>
      <c r="AZ264" s="2757">
        <f t="shared" ca="1" si="461"/>
        <v>-847</v>
      </c>
      <c r="BA264" s="2758">
        <f t="shared" ca="1" si="515"/>
        <v>1.9883313885647609</v>
      </c>
      <c r="BC264" s="1378">
        <f ca="1">SUM((INDIRECT(BC$2&amp;(ROW())):INDIRECT(BC$3&amp;(ROW()))))</f>
        <v>-1704</v>
      </c>
      <c r="BD264" s="2043">
        <f ca="1">SUM(INDIRECT(BD$1&amp;BD$2&amp;$C264):INDIRECT(BD$1&amp;BD$3&amp;$C264))</f>
        <v>0</v>
      </c>
      <c r="BE264" s="2757">
        <f t="shared" ca="1" si="463"/>
        <v>-1704</v>
      </c>
      <c r="BF264" s="2758">
        <f t="shared" ca="1" si="516"/>
        <v>0</v>
      </c>
      <c r="BG264" s="2043">
        <f ca="1">SUM(INDIRECT(BG$1&amp;BG$2&amp;$A264):INDIRECT(BG$1&amp;BG$3&amp;$A264))+SUM(INDIRECT(BG$1&amp;BG$2&amp;$B264):INDIRECT(BG$1&amp;BG$3&amp;$B264))</f>
        <v>-857</v>
      </c>
      <c r="BH264" s="2757">
        <f t="shared" ca="1" si="465"/>
        <v>-847</v>
      </c>
      <c r="BI264" s="2758">
        <f t="shared" ca="1" si="517"/>
        <v>1.9883313885647609</v>
      </c>
    </row>
    <row r="265" spans="1:61" s="69" customFormat="1" ht="14.5">
      <c r="A265" s="1693">
        <f t="shared" si="453"/>
        <v>265</v>
      </c>
      <c r="B265" s="616">
        <v>1</v>
      </c>
      <c r="C265" s="1693">
        <f t="shared" si="452"/>
        <v>265</v>
      </c>
      <c r="D265" s="616">
        <v>1</v>
      </c>
      <c r="E265" s="709" t="s">
        <v>512</v>
      </c>
      <c r="F265" s="1572"/>
      <c r="G265" s="4"/>
      <c r="H265" s="4"/>
      <c r="I265" s="4"/>
      <c r="J265" s="27"/>
      <c r="K265" s="3"/>
      <c r="L265" s="4"/>
      <c r="M265" s="4"/>
      <c r="N265" s="4"/>
      <c r="O265" s="3" t="s">
        <v>118</v>
      </c>
      <c r="P265" s="3"/>
      <c r="Q265" s="3"/>
      <c r="R265" s="1784" t="str">
        <f>CHOOSE(2, "6722000003184", "PL (3) Gross Profit NH EFI/LF")</f>
        <v>PL (3) Gross Profit NH EFI/LF</v>
      </c>
      <c r="S265" s="1289">
        <f t="shared" ref="S265:AD265" si="526">S699+S743</f>
        <v>0</v>
      </c>
      <c r="T265" s="1232">
        <f t="shared" si="526"/>
        <v>0</v>
      </c>
      <c r="U265" s="1232">
        <f t="shared" si="526"/>
        <v>0</v>
      </c>
      <c r="V265" s="1232">
        <f t="shared" si="526"/>
        <v>0</v>
      </c>
      <c r="W265" s="1232">
        <f t="shared" si="526"/>
        <v>0</v>
      </c>
      <c r="X265" s="1232">
        <f t="shared" si="526"/>
        <v>0</v>
      </c>
      <c r="Y265" s="1232">
        <f t="shared" si="526"/>
        <v>0</v>
      </c>
      <c r="Z265" s="1232">
        <f t="shared" si="526"/>
        <v>0</v>
      </c>
      <c r="AA265" s="1232">
        <f t="shared" si="526"/>
        <v>0</v>
      </c>
      <c r="AB265" s="1232">
        <f t="shared" si="526"/>
        <v>0</v>
      </c>
      <c r="AC265" s="1232">
        <f t="shared" si="526"/>
        <v>0</v>
      </c>
      <c r="AD265" s="1232">
        <f t="shared" si="526"/>
        <v>0</v>
      </c>
      <c r="AE265" s="1232">
        <f t="shared" si="509"/>
        <v>0</v>
      </c>
      <c r="AF265" s="1232">
        <f t="shared" si="510"/>
        <v>0</v>
      </c>
      <c r="AG265" s="1232">
        <f t="shared" si="511"/>
        <v>0</v>
      </c>
      <c r="AH265" s="1232">
        <f t="shared" si="512"/>
        <v>0</v>
      </c>
      <c r="AI265" s="1232">
        <f t="shared" si="519"/>
        <v>0</v>
      </c>
      <c r="AJ265" s="1232">
        <f t="shared" si="520"/>
        <v>0</v>
      </c>
      <c r="AK265" s="1232">
        <f t="shared" si="521"/>
        <v>0</v>
      </c>
      <c r="AM265" s="1378">
        <f ca="1">SUM((INDIRECT(AM$2&amp;(ROW())):INDIRECT(AM$3&amp;(ROW()))))</f>
        <v>0</v>
      </c>
      <c r="AN265" s="2043">
        <f ca="1">SUM(INDIRECT(AN$1&amp;AN$2&amp;$C265):INDIRECT(AN$1&amp;AN$3&amp;$C265))</f>
        <v>0</v>
      </c>
      <c r="AO265" s="2757">
        <f t="shared" ca="1" si="507"/>
        <v>0</v>
      </c>
      <c r="AP265" s="2758">
        <f t="shared" ca="1" si="456"/>
        <v>0</v>
      </c>
      <c r="AQ265" s="2043">
        <f ca="1">SUM(INDIRECT(AQ$1&amp;AQ$2&amp;$A265):INDIRECT(AQ$1&amp;AQ$3&amp;$A265))+SUM(INDIRECT(AQ$1&amp;AQ$2&amp;$B265):INDIRECT(AQ$1&amp;AQ$3&amp;$B265))</f>
        <v>0</v>
      </c>
      <c r="AR265" s="2757">
        <f t="shared" ca="1" si="457"/>
        <v>0</v>
      </c>
      <c r="AS265" s="2758">
        <f t="shared" ca="1" si="513"/>
        <v>0</v>
      </c>
      <c r="AU265" s="1378">
        <f ca="1">SUM((INDIRECT(AU$2&amp;(ROW())):INDIRECT(AU$3&amp;(ROW()))))</f>
        <v>0</v>
      </c>
      <c r="AV265" s="2043">
        <f ca="1">SUM(INDIRECT(AV$1&amp;AV$2&amp;$C265):INDIRECT(AV$1&amp;AV$3&amp;$C265))</f>
        <v>0</v>
      </c>
      <c r="AW265" s="2757">
        <f t="shared" ca="1" si="459"/>
        <v>0</v>
      </c>
      <c r="AX265" s="2758">
        <f t="shared" ca="1" si="514"/>
        <v>0</v>
      </c>
      <c r="AY265" s="2043">
        <f ca="1">SUM(INDIRECT(AY$1&amp;AY$2&amp;$A265):INDIRECT(AY$1&amp;AY$3&amp;$A265))+SUM(INDIRECT(AY$1&amp;AY$2&amp;$B265):INDIRECT(AY$1&amp;AY$3&amp;$B265))</f>
        <v>0</v>
      </c>
      <c r="AZ265" s="2757">
        <f t="shared" ca="1" si="461"/>
        <v>0</v>
      </c>
      <c r="BA265" s="2758">
        <f t="shared" ca="1" si="515"/>
        <v>0</v>
      </c>
      <c r="BC265" s="1378">
        <f ca="1">SUM((INDIRECT(BC$2&amp;(ROW())):INDIRECT(BC$3&amp;(ROW()))))</f>
        <v>0</v>
      </c>
      <c r="BD265" s="2043">
        <f ca="1">SUM(INDIRECT(BD$1&amp;BD$2&amp;$C265):INDIRECT(BD$1&amp;BD$3&amp;$C265))</f>
        <v>0</v>
      </c>
      <c r="BE265" s="2757">
        <f t="shared" ca="1" si="463"/>
        <v>0</v>
      </c>
      <c r="BF265" s="2758">
        <f t="shared" ca="1" si="516"/>
        <v>0</v>
      </c>
      <c r="BG265" s="2043">
        <f ca="1">SUM(INDIRECT(BG$1&amp;BG$2&amp;$A265):INDIRECT(BG$1&amp;BG$3&amp;$A265))+SUM(INDIRECT(BG$1&amp;BG$2&amp;$B265):INDIRECT(BG$1&amp;BG$3&amp;$B265))</f>
        <v>0</v>
      </c>
      <c r="BH265" s="2757">
        <f t="shared" ca="1" si="465"/>
        <v>0</v>
      </c>
      <c r="BI265" s="2758">
        <f t="shared" ca="1" si="517"/>
        <v>0</v>
      </c>
    </row>
    <row r="266" spans="1:61" s="69" customFormat="1" ht="14.5">
      <c r="A266" s="1693">
        <f t="shared" si="453"/>
        <v>266</v>
      </c>
      <c r="B266" s="616">
        <v>1</v>
      </c>
      <c r="C266" s="1693">
        <f t="shared" si="452"/>
        <v>266</v>
      </c>
      <c r="D266" s="616">
        <v>1</v>
      </c>
      <c r="E266" s="709" t="s">
        <v>512</v>
      </c>
      <c r="F266" s="1572"/>
      <c r="G266" s="4"/>
      <c r="H266" s="4"/>
      <c r="I266" s="4"/>
      <c r="J266" s="27"/>
      <c r="K266" s="3"/>
      <c r="L266" s="4"/>
      <c r="M266" s="4"/>
      <c r="N266" s="4"/>
      <c r="O266" s="3" t="s">
        <v>180</v>
      </c>
      <c r="P266" s="3"/>
      <c r="Q266" s="3"/>
      <c r="R266" s="1784" t="str">
        <f>CHOOSE(2, "6722000003185", "PL (3) Gross Profit NH Textile Printer")</f>
        <v>PL (3) Gross Profit NH Textile Printer</v>
      </c>
      <c r="S266" s="1289">
        <f t="shared" ref="S266:AD266" si="527">S705+S749</f>
        <v>0</v>
      </c>
      <c r="T266" s="1232">
        <f t="shared" si="527"/>
        <v>0</v>
      </c>
      <c r="U266" s="1232">
        <f t="shared" si="527"/>
        <v>0</v>
      </c>
      <c r="V266" s="1232">
        <f t="shared" si="527"/>
        <v>0</v>
      </c>
      <c r="W266" s="1232">
        <f t="shared" si="527"/>
        <v>0</v>
      </c>
      <c r="X266" s="1232">
        <f t="shared" si="527"/>
        <v>0</v>
      </c>
      <c r="Y266" s="1232">
        <f t="shared" si="527"/>
        <v>0</v>
      </c>
      <c r="Z266" s="1232">
        <f t="shared" si="527"/>
        <v>0</v>
      </c>
      <c r="AA266" s="1232">
        <f t="shared" si="527"/>
        <v>0</v>
      </c>
      <c r="AB266" s="1232">
        <f t="shared" si="527"/>
        <v>0</v>
      </c>
      <c r="AC266" s="1232">
        <f t="shared" si="527"/>
        <v>0</v>
      </c>
      <c r="AD266" s="1232">
        <f t="shared" si="527"/>
        <v>0</v>
      </c>
      <c r="AE266" s="1232">
        <f t="shared" si="509"/>
        <v>0</v>
      </c>
      <c r="AF266" s="1232">
        <f t="shared" si="510"/>
        <v>0</v>
      </c>
      <c r="AG266" s="1232">
        <f t="shared" si="511"/>
        <v>0</v>
      </c>
      <c r="AH266" s="1232">
        <f t="shared" si="512"/>
        <v>0</v>
      </c>
      <c r="AI266" s="1232">
        <f t="shared" si="519"/>
        <v>0</v>
      </c>
      <c r="AJ266" s="1232">
        <f t="shared" si="520"/>
        <v>0</v>
      </c>
      <c r="AK266" s="1232">
        <f t="shared" si="521"/>
        <v>0</v>
      </c>
      <c r="AM266" s="1378">
        <f ca="1">SUM((INDIRECT(AM$2&amp;(ROW())):INDIRECT(AM$3&amp;(ROW()))))</f>
        <v>0</v>
      </c>
      <c r="AN266" s="2043">
        <f ca="1">SUM(INDIRECT(AN$1&amp;AN$2&amp;$C266):INDIRECT(AN$1&amp;AN$3&amp;$C266))</f>
        <v>0</v>
      </c>
      <c r="AO266" s="2757">
        <f t="shared" ca="1" si="507"/>
        <v>0</v>
      </c>
      <c r="AP266" s="2758">
        <f t="shared" ca="1" si="456"/>
        <v>0</v>
      </c>
      <c r="AQ266" s="2043">
        <f ca="1">SUM(INDIRECT(AQ$1&amp;AQ$2&amp;$A266):INDIRECT(AQ$1&amp;AQ$3&amp;$A266))+SUM(INDIRECT(AQ$1&amp;AQ$2&amp;$B266):INDIRECT(AQ$1&amp;AQ$3&amp;$B266))</f>
        <v>0</v>
      </c>
      <c r="AR266" s="2757">
        <f t="shared" ca="1" si="457"/>
        <v>0</v>
      </c>
      <c r="AS266" s="2758">
        <f t="shared" ca="1" si="513"/>
        <v>0</v>
      </c>
      <c r="AU266" s="1378">
        <f ca="1">SUM((INDIRECT(AU$2&amp;(ROW())):INDIRECT(AU$3&amp;(ROW()))))</f>
        <v>0</v>
      </c>
      <c r="AV266" s="2043">
        <f ca="1">SUM(INDIRECT(AV$1&amp;AV$2&amp;$C266):INDIRECT(AV$1&amp;AV$3&amp;$C266))</f>
        <v>0</v>
      </c>
      <c r="AW266" s="2757">
        <f t="shared" ca="1" si="459"/>
        <v>0</v>
      </c>
      <c r="AX266" s="2758">
        <f t="shared" ca="1" si="514"/>
        <v>0</v>
      </c>
      <c r="AY266" s="2043">
        <f ca="1">SUM(INDIRECT(AY$1&amp;AY$2&amp;$A266):INDIRECT(AY$1&amp;AY$3&amp;$A266))+SUM(INDIRECT(AY$1&amp;AY$2&amp;$B266):INDIRECT(AY$1&amp;AY$3&amp;$B266))</f>
        <v>0</v>
      </c>
      <c r="AZ266" s="2757">
        <f t="shared" ca="1" si="461"/>
        <v>0</v>
      </c>
      <c r="BA266" s="2758">
        <f t="shared" ca="1" si="515"/>
        <v>0</v>
      </c>
      <c r="BC266" s="1378">
        <f ca="1">SUM((INDIRECT(BC$2&amp;(ROW())):INDIRECT(BC$3&amp;(ROW()))))</f>
        <v>0</v>
      </c>
      <c r="BD266" s="2043">
        <f ca="1">SUM(INDIRECT(BD$1&amp;BD$2&amp;$C266):INDIRECT(BD$1&amp;BD$3&amp;$C266))</f>
        <v>0</v>
      </c>
      <c r="BE266" s="2757">
        <f t="shared" ca="1" si="463"/>
        <v>0</v>
      </c>
      <c r="BF266" s="2758">
        <f t="shared" ca="1" si="516"/>
        <v>0</v>
      </c>
      <c r="BG266" s="2043">
        <f ca="1">SUM(INDIRECT(BG$1&amp;BG$2&amp;$A266):INDIRECT(BG$1&amp;BG$3&amp;$A266))+SUM(INDIRECT(BG$1&amp;BG$2&amp;$B266):INDIRECT(BG$1&amp;BG$3&amp;$B266))</f>
        <v>0</v>
      </c>
      <c r="BH266" s="2757">
        <f t="shared" ca="1" si="465"/>
        <v>0</v>
      </c>
      <c r="BI266" s="2758">
        <f t="shared" ca="1" si="517"/>
        <v>0</v>
      </c>
    </row>
    <row r="267" spans="1:61" s="69" customFormat="1" ht="14.5">
      <c r="A267" s="1693">
        <f t="shared" si="453"/>
        <v>267</v>
      </c>
      <c r="B267" s="616">
        <v>1</v>
      </c>
      <c r="C267" s="1693">
        <f t="shared" si="452"/>
        <v>267</v>
      </c>
      <c r="D267" s="616">
        <v>1</v>
      </c>
      <c r="E267" s="709" t="s">
        <v>512</v>
      </c>
      <c r="F267" s="1572"/>
      <c r="G267" s="4"/>
      <c r="H267" s="4"/>
      <c r="I267" s="4"/>
      <c r="J267" s="25"/>
      <c r="K267" s="1"/>
      <c r="L267" s="2"/>
      <c r="M267" s="2"/>
      <c r="N267" s="2"/>
      <c r="O267" s="1" t="s">
        <v>51</v>
      </c>
      <c r="P267" s="1"/>
      <c r="Q267" s="1"/>
      <c r="R267" s="1784" t="str">
        <f>CHOOSE(2, "6722000003186", "PL (3) Gross Profit NH Others")</f>
        <v>PL (3) Gross Profit NH Others</v>
      </c>
      <c r="S267" s="1290">
        <f>S711+S714+S715+S755+S758+S759</f>
        <v>0</v>
      </c>
      <c r="T267" s="1241">
        <f t="shared" ref="T267:AD267" si="528">T711+T714+T715+T755+T758+T759</f>
        <v>0</v>
      </c>
      <c r="U267" s="1241">
        <f t="shared" si="528"/>
        <v>0</v>
      </c>
      <c r="V267" s="1241">
        <f t="shared" si="528"/>
        <v>0</v>
      </c>
      <c r="W267" s="1241">
        <f t="shared" si="528"/>
        <v>0</v>
      </c>
      <c r="X267" s="1241">
        <f t="shared" si="528"/>
        <v>0</v>
      </c>
      <c r="Y267" s="1241">
        <f t="shared" si="528"/>
        <v>0</v>
      </c>
      <c r="Z267" s="1241">
        <f t="shared" si="528"/>
        <v>0</v>
      </c>
      <c r="AA267" s="1241">
        <f t="shared" si="528"/>
        <v>0</v>
      </c>
      <c r="AB267" s="1241">
        <f t="shared" si="528"/>
        <v>0</v>
      </c>
      <c r="AC267" s="1241">
        <f t="shared" si="528"/>
        <v>0</v>
      </c>
      <c r="AD267" s="1241">
        <f t="shared" si="528"/>
        <v>0</v>
      </c>
      <c r="AE267" s="1241">
        <f t="shared" si="509"/>
        <v>0</v>
      </c>
      <c r="AF267" s="1241">
        <f t="shared" si="510"/>
        <v>0</v>
      </c>
      <c r="AG267" s="1241">
        <f t="shared" si="511"/>
        <v>0</v>
      </c>
      <c r="AH267" s="1241">
        <f t="shared" si="512"/>
        <v>0</v>
      </c>
      <c r="AI267" s="1241">
        <f t="shared" si="519"/>
        <v>0</v>
      </c>
      <c r="AJ267" s="1241">
        <f t="shared" si="520"/>
        <v>0</v>
      </c>
      <c r="AK267" s="1241">
        <f t="shared" si="521"/>
        <v>0</v>
      </c>
      <c r="AM267" s="1379">
        <f ca="1">SUM((INDIRECT(AM$2&amp;(ROW())):INDIRECT(AM$3&amp;(ROW()))))</f>
        <v>0</v>
      </c>
      <c r="AN267" s="1979">
        <f ca="1">SUM(INDIRECT(AN$1&amp;AN$2&amp;$C267):INDIRECT(AN$1&amp;AN$3&amp;$C267))</f>
        <v>0</v>
      </c>
      <c r="AO267" s="2742">
        <f t="shared" ca="1" si="507"/>
        <v>0</v>
      </c>
      <c r="AP267" s="2743">
        <f t="shared" ca="1" si="456"/>
        <v>0</v>
      </c>
      <c r="AQ267" s="1979">
        <f ca="1">SUM(INDIRECT(AQ$1&amp;AQ$2&amp;$A267):INDIRECT(AQ$1&amp;AQ$3&amp;$A267))+SUM(INDIRECT(AQ$1&amp;AQ$2&amp;$B267):INDIRECT(AQ$1&amp;AQ$3&amp;$B267))</f>
        <v>0</v>
      </c>
      <c r="AR267" s="2742">
        <f t="shared" ca="1" si="457"/>
        <v>0</v>
      </c>
      <c r="AS267" s="2743">
        <f t="shared" ca="1" si="513"/>
        <v>0</v>
      </c>
      <c r="AU267" s="1379">
        <f ca="1">SUM((INDIRECT(AU$2&amp;(ROW())):INDIRECT(AU$3&amp;(ROW()))))</f>
        <v>0</v>
      </c>
      <c r="AV267" s="1979">
        <f ca="1">SUM(INDIRECT(AV$1&amp;AV$2&amp;$C267):INDIRECT(AV$1&amp;AV$3&amp;$C267))</f>
        <v>0</v>
      </c>
      <c r="AW267" s="2742">
        <f t="shared" ca="1" si="459"/>
        <v>0</v>
      </c>
      <c r="AX267" s="2743">
        <f t="shared" ca="1" si="514"/>
        <v>0</v>
      </c>
      <c r="AY267" s="1979">
        <f ca="1">SUM(INDIRECT(AY$1&amp;AY$2&amp;$A267):INDIRECT(AY$1&amp;AY$3&amp;$A267))+SUM(INDIRECT(AY$1&amp;AY$2&amp;$B267):INDIRECT(AY$1&amp;AY$3&amp;$B267))</f>
        <v>0</v>
      </c>
      <c r="AZ267" s="2742">
        <f t="shared" ca="1" si="461"/>
        <v>0</v>
      </c>
      <c r="BA267" s="2743">
        <f t="shared" ca="1" si="515"/>
        <v>0</v>
      </c>
      <c r="BC267" s="1379">
        <f ca="1">SUM((INDIRECT(BC$2&amp;(ROW())):INDIRECT(BC$3&amp;(ROW()))))</f>
        <v>0</v>
      </c>
      <c r="BD267" s="1979">
        <f ca="1">SUM(INDIRECT(BD$1&amp;BD$2&amp;$C267):INDIRECT(BD$1&amp;BD$3&amp;$C267))</f>
        <v>0</v>
      </c>
      <c r="BE267" s="2742">
        <f t="shared" ca="1" si="463"/>
        <v>0</v>
      </c>
      <c r="BF267" s="2743">
        <f t="shared" ca="1" si="516"/>
        <v>0</v>
      </c>
      <c r="BG267" s="1979">
        <f ca="1">SUM(INDIRECT(BG$1&amp;BG$2&amp;$A267):INDIRECT(BG$1&amp;BG$3&amp;$A267))+SUM(INDIRECT(BG$1&amp;BG$2&amp;$B267):INDIRECT(BG$1&amp;BG$3&amp;$B267))</f>
        <v>0</v>
      </c>
      <c r="BH267" s="2742">
        <f t="shared" ca="1" si="465"/>
        <v>0</v>
      </c>
      <c r="BI267" s="2743">
        <f t="shared" ca="1" si="517"/>
        <v>0</v>
      </c>
    </row>
    <row r="268" spans="1:61" ht="14.5">
      <c r="A268" s="1693">
        <f t="shared" si="453"/>
        <v>268</v>
      </c>
      <c r="B268" s="616">
        <v>1</v>
      </c>
      <c r="C268" s="1693">
        <f t="shared" si="452"/>
        <v>268</v>
      </c>
      <c r="D268" s="616">
        <v>1</v>
      </c>
      <c r="E268" s="709" t="s">
        <v>512</v>
      </c>
      <c r="F268" s="1572"/>
      <c r="G268" s="4"/>
      <c r="H268" s="4"/>
      <c r="I268" s="4"/>
      <c r="J268" s="365" t="s">
        <v>29</v>
      </c>
      <c r="K268" s="357"/>
      <c r="L268" s="356"/>
      <c r="M268" s="356"/>
      <c r="N268" s="357"/>
      <c r="O268" s="357"/>
      <c r="P268" s="357"/>
      <c r="Q268" s="489"/>
      <c r="R268" s="1795" t="str">
        <f>CHOOSE(2, "6722000003187", "PL (3) SGA Expenses")</f>
        <v>PL (3) SGA Expenses</v>
      </c>
      <c r="S268" s="1307">
        <f>SUM(S269:S271)</f>
        <v>2430.2347537777923</v>
      </c>
      <c r="T268" s="1196">
        <f t="shared" ref="T268:AD268" si="529">SUM(T269:T271)</f>
        <v>2625.4218628167091</v>
      </c>
      <c r="U268" s="1196">
        <f t="shared" si="529"/>
        <v>4411.9916419877682</v>
      </c>
      <c r="V268" s="1196">
        <f t="shared" si="529"/>
        <v>2050.1845203610555</v>
      </c>
      <c r="W268" s="1196">
        <f t="shared" si="529"/>
        <v>2538.1319927357026</v>
      </c>
      <c r="X268" s="1196">
        <f t="shared" si="529"/>
        <v>3879.2740496177103</v>
      </c>
      <c r="Y268" s="1196">
        <f t="shared" si="529"/>
        <v>2313.5685622147016</v>
      </c>
      <c r="Z268" s="1196">
        <f t="shared" si="529"/>
        <v>2555.1347182678728</v>
      </c>
      <c r="AA268" s="1196">
        <f t="shared" si="529"/>
        <v>2943.6653051853427</v>
      </c>
      <c r="AB268" s="1196">
        <f t="shared" si="529"/>
        <v>3032.6755779677756</v>
      </c>
      <c r="AC268" s="1196">
        <f t="shared" si="529"/>
        <v>2618.4847945634906</v>
      </c>
      <c r="AD268" s="1196">
        <f t="shared" si="529"/>
        <v>1724.8250912974311</v>
      </c>
      <c r="AE268" s="886">
        <f t="shared" ref="AE268:AK268" si="530">SUM(AE269:AE271)</f>
        <v>9467.6482585822705</v>
      </c>
      <c r="AF268" s="362">
        <f t="shared" si="530"/>
        <v>8467.5905627144675</v>
      </c>
      <c r="AG268" s="362">
        <f t="shared" si="530"/>
        <v>7812.3685856679167</v>
      </c>
      <c r="AH268" s="362">
        <f t="shared" si="530"/>
        <v>7375.9854638286961</v>
      </c>
      <c r="AI268" s="362">
        <f t="shared" si="530"/>
        <v>17935.238821296738</v>
      </c>
      <c r="AJ268" s="362">
        <f t="shared" si="530"/>
        <v>15188.354049496615</v>
      </c>
      <c r="AK268" s="362">
        <f t="shared" si="530"/>
        <v>33123.592870793349</v>
      </c>
      <c r="AM268" s="2038">
        <f ca="1">SUM((INDIRECT(AM$2&amp;(ROW())):INDIRECT(AM$3&amp;(ROW()))))</f>
        <v>2430.2347537777923</v>
      </c>
      <c r="AN268" s="2039">
        <f ca="1">SUM(INDIRECT(AN$1&amp;AN$2&amp;$C268):INDIRECT(AN$1&amp;AN$3&amp;$C268))</f>
        <v>3631.9919619008415</v>
      </c>
      <c r="AO268" s="2803">
        <f t="shared" ca="1" si="507"/>
        <v>-1201.7572081230492</v>
      </c>
      <c r="AP268" s="2804">
        <f t="shared" ca="1" si="456"/>
        <v>0.66911897913614959</v>
      </c>
      <c r="AQ268" s="2039">
        <f ca="1">SUM(INDIRECT(AQ$1&amp;AQ$2&amp;$A268):INDIRECT(AQ$1&amp;AQ$3&amp;$A268))+SUM(INDIRECT(AQ$1&amp;AQ$2&amp;$B268):INDIRECT(AQ$1&amp;AQ$3&amp;$B268))</f>
        <v>2598.9108360598129</v>
      </c>
      <c r="AR268" s="2803">
        <f t="shared" ca="1" si="457"/>
        <v>-168.67608228202062</v>
      </c>
      <c r="AS268" s="2804">
        <f t="shared" ca="1" si="513"/>
        <v>0.93509739543902592</v>
      </c>
      <c r="AU268" s="2038">
        <f ca="1">SUM((INDIRECT(AU$2&amp;(ROW())):INDIRECT(AU$3&amp;(ROW()))))</f>
        <v>2430.2347537777923</v>
      </c>
      <c r="AV268" s="2039">
        <f ca="1">SUM(INDIRECT(AV$1&amp;AV$2&amp;$C268):INDIRECT(AV$1&amp;AV$3&amp;$C268))</f>
        <v>3631.9919619008415</v>
      </c>
      <c r="AW268" s="2803">
        <f t="shared" ca="1" si="459"/>
        <v>-1201.7572081230492</v>
      </c>
      <c r="AX268" s="2804">
        <f t="shared" ca="1" si="514"/>
        <v>0.66911897913614959</v>
      </c>
      <c r="AY268" s="2039">
        <f ca="1">SUM(INDIRECT(AY$1&amp;AY$2&amp;$A268):INDIRECT(AY$1&amp;AY$3&amp;$A268))+SUM(INDIRECT(AY$1&amp;AY$2&amp;$B268):INDIRECT(AY$1&amp;AY$3&amp;$B268))</f>
        <v>2598.9108360598129</v>
      </c>
      <c r="AZ268" s="2803">
        <f t="shared" ca="1" si="461"/>
        <v>-168.67608228202062</v>
      </c>
      <c r="BA268" s="2804">
        <f t="shared" ca="1" si="515"/>
        <v>0.93509739543902592</v>
      </c>
      <c r="BC268" s="2038">
        <f ca="1">SUM((INDIRECT(BC$2&amp;(ROW())):INDIRECT(BC$3&amp;(ROW()))))</f>
        <v>2430.2347537777923</v>
      </c>
      <c r="BD268" s="2039">
        <f ca="1">SUM(INDIRECT(BD$1&amp;BD$2&amp;$C268):INDIRECT(BD$1&amp;BD$3&amp;$C268))</f>
        <v>3631.9919619008415</v>
      </c>
      <c r="BE268" s="2803">
        <f t="shared" ca="1" si="463"/>
        <v>-1201.7572081230492</v>
      </c>
      <c r="BF268" s="2804">
        <f t="shared" ca="1" si="516"/>
        <v>0.66911897913614959</v>
      </c>
      <c r="BG268" s="2039">
        <f ca="1">SUM(INDIRECT(BG$1&amp;BG$2&amp;$A268):INDIRECT(BG$1&amp;BG$3&amp;$A268))+SUM(INDIRECT(BG$1&amp;BG$2&amp;$B268):INDIRECT(BG$1&amp;BG$3&amp;$B268))</f>
        <v>2598.9108360598129</v>
      </c>
      <c r="BH268" s="2803">
        <f t="shared" ca="1" si="465"/>
        <v>-168.67608228202062</v>
      </c>
      <c r="BI268" s="2804">
        <f t="shared" ca="1" si="517"/>
        <v>0.93509739543902592</v>
      </c>
    </row>
    <row r="269" spans="1:61" ht="14.5">
      <c r="A269" s="1693">
        <f t="shared" si="453"/>
        <v>269</v>
      </c>
      <c r="B269" s="616">
        <v>1</v>
      </c>
      <c r="C269" s="1693">
        <f t="shared" si="452"/>
        <v>269</v>
      </c>
      <c r="D269" s="616">
        <v>1</v>
      </c>
      <c r="E269" s="709" t="s">
        <v>512</v>
      </c>
      <c r="F269" s="1572"/>
      <c r="G269" s="4"/>
      <c r="H269" s="4"/>
      <c r="I269" s="4"/>
      <c r="J269" s="27"/>
      <c r="K269" s="108" t="s">
        <v>87</v>
      </c>
      <c r="L269" s="4"/>
      <c r="M269" s="4"/>
      <c r="N269" s="3"/>
      <c r="O269" s="3"/>
      <c r="P269" s="3"/>
      <c r="Q269" s="3"/>
      <c r="R269" s="1790" t="str">
        <f>CHOOSE(2, "6722000003188", "PL (3) SGA Expenses Variable Expenses")</f>
        <v>PL (3) SGA Expenses Variable Expenses</v>
      </c>
      <c r="S269" s="1215">
        <v>465.25532820705712</v>
      </c>
      <c r="T269" s="1222">
        <v>435.46990194880368</v>
      </c>
      <c r="U269" s="1222">
        <v>2496.1007321223187</v>
      </c>
      <c r="V269" s="1222">
        <v>-22.520135541770642</v>
      </c>
      <c r="W269" s="1222">
        <v>192.35512176190082</v>
      </c>
      <c r="X269" s="1222">
        <f>127.180291121128+2000</f>
        <v>2127.180291121128</v>
      </c>
      <c r="Y269" s="1222">
        <v>327.86920553349864</v>
      </c>
      <c r="Z269" s="1222">
        <v>624.9144924517168</v>
      </c>
      <c r="AA269" s="1222">
        <v>300</v>
      </c>
      <c r="AB269" s="1222">
        <v>590.74132825084052</v>
      </c>
      <c r="AC269" s="1222">
        <v>164.50751072330581</v>
      </c>
      <c r="AD269" s="1222">
        <v>-39.94475097714394</v>
      </c>
      <c r="AE269" s="1221">
        <f>SUM(S269,T269,U269)</f>
        <v>3396.8259622781798</v>
      </c>
      <c r="AF269" s="1221">
        <f>SUM(V269,W269,X269)</f>
        <v>2297.0152773412583</v>
      </c>
      <c r="AG269" s="1221">
        <f>SUM(Y269,Z269,AA269)</f>
        <v>1252.7836979852154</v>
      </c>
      <c r="AH269" s="1221">
        <f>SUM(AB269,AC269,AD269)</f>
        <v>715.3040879970024</v>
      </c>
      <c r="AI269" s="1221">
        <f>AE269+AF269</f>
        <v>5693.8412396194381</v>
      </c>
      <c r="AJ269" s="1221">
        <f>AH269+AG269</f>
        <v>1968.0877859822178</v>
      </c>
      <c r="AK269" s="1221">
        <f>AI269+AJ269</f>
        <v>7661.9290256016557</v>
      </c>
      <c r="AM269" s="596">
        <f ca="1">SUM((INDIRECT(AM$2&amp;(ROW())):INDIRECT(AM$3&amp;(ROW()))))</f>
        <v>465.25532820705712</v>
      </c>
      <c r="AN269" s="2002">
        <f ca="1">SUM(INDIRECT(AN$1&amp;AN$2&amp;$C269):INDIRECT(AN$1&amp;AN$3&amp;$C269))</f>
        <v>1537.1226546492157</v>
      </c>
      <c r="AO269" s="2767">
        <f t="shared" ca="1" si="507"/>
        <v>-1071.8673264421586</v>
      </c>
      <c r="AP269" s="2768">
        <f t="shared" ca="1" si="456"/>
        <v>0.30267937747182072</v>
      </c>
      <c r="AQ269" s="2002">
        <f ca="1">SUM(INDIRECT(AQ$1&amp;AQ$2&amp;$A269):INDIRECT(AQ$1&amp;AQ$3&amp;$A269))+SUM(INDIRECT(AQ$1&amp;AQ$2&amp;$B269):INDIRECT(AQ$1&amp;AQ$3&amp;$B269))</f>
        <v>169.92407056187767</v>
      </c>
      <c r="AR269" s="2767">
        <f t="shared" ca="1" si="457"/>
        <v>295.33125764517945</v>
      </c>
      <c r="AS269" s="2768">
        <f t="shared" ca="1" si="513"/>
        <v>2.7380189673459765</v>
      </c>
      <c r="AU269" s="596">
        <f ca="1">SUM((INDIRECT(AU$2&amp;(ROW())):INDIRECT(AU$3&amp;(ROW()))))</f>
        <v>465.25532820705712</v>
      </c>
      <c r="AV269" s="2002">
        <f ca="1">SUM(INDIRECT(AV$1&amp;AV$2&amp;$C269):INDIRECT(AV$1&amp;AV$3&amp;$C269))</f>
        <v>1537.1226546492157</v>
      </c>
      <c r="AW269" s="2767">
        <f t="shared" ca="1" si="459"/>
        <v>-1071.8673264421586</v>
      </c>
      <c r="AX269" s="2768">
        <f t="shared" ca="1" si="514"/>
        <v>0.30267937747182072</v>
      </c>
      <c r="AY269" s="2002">
        <f ca="1">SUM(INDIRECT(AY$1&amp;AY$2&amp;$A269):INDIRECT(AY$1&amp;AY$3&amp;$A269))+SUM(INDIRECT(AY$1&amp;AY$2&amp;$B269):INDIRECT(AY$1&amp;AY$3&amp;$B269))</f>
        <v>169.92407056187767</v>
      </c>
      <c r="AZ269" s="2767">
        <f t="shared" ca="1" si="461"/>
        <v>295.33125764517945</v>
      </c>
      <c r="BA269" s="2768">
        <f t="shared" ca="1" si="515"/>
        <v>2.7380189673459765</v>
      </c>
      <c r="BC269" s="596">
        <f ca="1">SUM((INDIRECT(BC$2&amp;(ROW())):INDIRECT(BC$3&amp;(ROW()))))</f>
        <v>465.25532820705712</v>
      </c>
      <c r="BD269" s="2002">
        <f ca="1">SUM(INDIRECT(BD$1&amp;BD$2&amp;$C269):INDIRECT(BD$1&amp;BD$3&amp;$C269))</f>
        <v>1537.1226546492157</v>
      </c>
      <c r="BE269" s="2767">
        <f t="shared" ca="1" si="463"/>
        <v>-1071.8673264421586</v>
      </c>
      <c r="BF269" s="2768">
        <f t="shared" ca="1" si="516"/>
        <v>0.30267937747182072</v>
      </c>
      <c r="BG269" s="2002">
        <f ca="1">SUM(INDIRECT(BG$1&amp;BG$2&amp;$A269):INDIRECT(BG$1&amp;BG$3&amp;$A269))+SUM(INDIRECT(BG$1&amp;BG$2&amp;$B269):INDIRECT(BG$1&amp;BG$3&amp;$B269))</f>
        <v>169.92407056187767</v>
      </c>
      <c r="BH269" s="2767">
        <f t="shared" ca="1" si="465"/>
        <v>295.33125764517945</v>
      </c>
      <c r="BI269" s="2768">
        <f t="shared" ca="1" si="517"/>
        <v>2.7380189673459765</v>
      </c>
    </row>
    <row r="270" spans="1:61" ht="14.5">
      <c r="A270" s="1693">
        <f t="shared" si="453"/>
        <v>270</v>
      </c>
      <c r="B270" s="616">
        <v>1</v>
      </c>
      <c r="C270" s="1693">
        <f t="shared" si="452"/>
        <v>270</v>
      </c>
      <c r="D270" s="616">
        <v>1</v>
      </c>
      <c r="E270" s="709" t="s">
        <v>512</v>
      </c>
      <c r="F270" s="1572"/>
      <c r="G270" s="4"/>
      <c r="H270" s="4"/>
      <c r="I270" s="4"/>
      <c r="J270" s="27"/>
      <c r="K270" s="36" t="s">
        <v>88</v>
      </c>
      <c r="L270" s="4"/>
      <c r="M270" s="4"/>
      <c r="N270" s="3"/>
      <c r="O270" s="3"/>
      <c r="P270" s="3"/>
      <c r="Q270" s="3"/>
      <c r="R270" s="1790" t="str">
        <f>CHOOSE(2, "6722000003189", "PL (3) SGA Expenses Wages &amp; Salaries")</f>
        <v>PL (3) SGA Expenses Wages &amp; Salaries</v>
      </c>
      <c r="S270" s="1215">
        <v>1498.1545540928967</v>
      </c>
      <c r="T270" s="1222">
        <v>1673</v>
      </c>
      <c r="U270" s="1222">
        <v>1545.1594705097291</v>
      </c>
      <c r="V270" s="1222">
        <v>1696.8142347978519</v>
      </c>
      <c r="W270" s="1222">
        <v>1997.303488211242</v>
      </c>
      <c r="X270" s="1222">
        <v>1403.7429404258799</v>
      </c>
      <c r="Y270" s="1222">
        <v>1655.4366425232276</v>
      </c>
      <c r="Z270" s="1222">
        <v>1615.9988936924499</v>
      </c>
      <c r="AA270" s="1222">
        <v>1886.6653051853427</v>
      </c>
      <c r="AB270" s="1222">
        <v>1767.505447239389</v>
      </c>
      <c r="AC270" s="1222">
        <v>1835.8113134994271</v>
      </c>
      <c r="AD270" s="1222">
        <v>1596.2953418580876</v>
      </c>
      <c r="AE270" s="1221">
        <f>SUM(S270,T270,U270)</f>
        <v>4716.3140246026251</v>
      </c>
      <c r="AF270" s="1221">
        <f>SUM(V270,W270,X270)</f>
        <v>5097.8606634349735</v>
      </c>
      <c r="AG270" s="1221">
        <f>SUM(Y270,Z270,AA270)</f>
        <v>5158.1008414010203</v>
      </c>
      <c r="AH270" s="1221">
        <f>SUM(AB270,AC270,AD270)</f>
        <v>5199.6121025969032</v>
      </c>
      <c r="AI270" s="1221">
        <f>AE270+AF270</f>
        <v>9814.1746880375977</v>
      </c>
      <c r="AJ270" s="1221">
        <f>AH270+AG270</f>
        <v>10357.712943997924</v>
      </c>
      <c r="AK270" s="1221">
        <f>AI270+AJ270</f>
        <v>20171.887632035519</v>
      </c>
      <c r="AM270" s="596">
        <f ca="1">SUM((INDIRECT(AM$2&amp;(ROW())):INDIRECT(AM$3&amp;(ROW()))))</f>
        <v>1498.1545540928967</v>
      </c>
      <c r="AN270" s="2002">
        <f ca="1">SUM(INDIRECT(AN$1&amp;AN$2&amp;$C270):INDIRECT(AN$1&amp;AN$3&amp;$C270))</f>
        <v>1833.112108967302</v>
      </c>
      <c r="AO270" s="2767">
        <f t="shared" ca="1" si="507"/>
        <v>-334.95755487440533</v>
      </c>
      <c r="AP270" s="2768">
        <f t="shared" ca="1" si="456"/>
        <v>0.81727382998789622</v>
      </c>
      <c r="AQ270" s="2002">
        <f ca="1">SUM(INDIRECT(AQ$1&amp;AQ$2&amp;$A270):INDIRECT(AQ$1&amp;AQ$3&amp;$A270))+SUM(INDIRECT(AQ$1&amp;AQ$2&amp;$B270):INDIRECT(AQ$1&amp;AQ$3&amp;$B270))</f>
        <v>1965</v>
      </c>
      <c r="AR270" s="2767">
        <f t="shared" ca="1" si="457"/>
        <v>-466.84544590710334</v>
      </c>
      <c r="AS270" s="2768">
        <f t="shared" ca="1" si="513"/>
        <v>0.76241962040350975</v>
      </c>
      <c r="AU270" s="596">
        <f ca="1">SUM((INDIRECT(AU$2&amp;(ROW())):INDIRECT(AU$3&amp;(ROW()))))</f>
        <v>1498.1545540928967</v>
      </c>
      <c r="AV270" s="2002">
        <f ca="1">SUM(INDIRECT(AV$1&amp;AV$2&amp;$C270):INDIRECT(AV$1&amp;AV$3&amp;$C270))</f>
        <v>1833.112108967302</v>
      </c>
      <c r="AW270" s="2767">
        <f t="shared" ca="1" si="459"/>
        <v>-334.95755487440533</v>
      </c>
      <c r="AX270" s="2768">
        <f t="shared" ca="1" si="514"/>
        <v>0.81727382998789622</v>
      </c>
      <c r="AY270" s="2002">
        <f ca="1">SUM(INDIRECT(AY$1&amp;AY$2&amp;$A270):INDIRECT(AY$1&amp;AY$3&amp;$A270))+SUM(INDIRECT(AY$1&amp;AY$2&amp;$B270):INDIRECT(AY$1&amp;AY$3&amp;$B270))</f>
        <v>1965</v>
      </c>
      <c r="AZ270" s="2767">
        <f t="shared" ca="1" si="461"/>
        <v>-466.84544590710334</v>
      </c>
      <c r="BA270" s="2768">
        <f t="shared" ca="1" si="515"/>
        <v>0.76241962040350975</v>
      </c>
      <c r="BC270" s="596">
        <f ca="1">SUM((INDIRECT(BC$2&amp;(ROW())):INDIRECT(BC$3&amp;(ROW()))))</f>
        <v>1498.1545540928967</v>
      </c>
      <c r="BD270" s="2002">
        <f ca="1">SUM(INDIRECT(BD$1&amp;BD$2&amp;$C270):INDIRECT(BD$1&amp;BD$3&amp;$C270))</f>
        <v>1833.112108967302</v>
      </c>
      <c r="BE270" s="2767">
        <f t="shared" ca="1" si="463"/>
        <v>-334.95755487440533</v>
      </c>
      <c r="BF270" s="2768">
        <f t="shared" ca="1" si="516"/>
        <v>0.81727382998789622</v>
      </c>
      <c r="BG270" s="2002">
        <f ca="1">SUM(INDIRECT(BG$1&amp;BG$2&amp;$A270):INDIRECT(BG$1&amp;BG$3&amp;$A270))+SUM(INDIRECT(BG$1&amp;BG$2&amp;$B270):INDIRECT(BG$1&amp;BG$3&amp;$B270))</f>
        <v>1965</v>
      </c>
      <c r="BH270" s="2767">
        <f t="shared" ca="1" si="465"/>
        <v>-466.84544590710334</v>
      </c>
      <c r="BI270" s="2768">
        <f t="shared" ca="1" si="517"/>
        <v>0.76241962040350975</v>
      </c>
    </row>
    <row r="271" spans="1:61" ht="14.5">
      <c r="A271" s="1693">
        <f t="shared" si="453"/>
        <v>271</v>
      </c>
      <c r="B271" s="616">
        <v>1</v>
      </c>
      <c r="C271" s="1693">
        <f t="shared" ref="C271:C334" si="531">C270+1</f>
        <v>271</v>
      </c>
      <c r="D271" s="616">
        <v>1</v>
      </c>
      <c r="E271" s="709" t="s">
        <v>512</v>
      </c>
      <c r="F271" s="1572"/>
      <c r="G271" s="4"/>
      <c r="H271" s="4"/>
      <c r="I271" s="4"/>
      <c r="J271" s="27"/>
      <c r="K271" s="36" t="s">
        <v>89</v>
      </c>
      <c r="L271" s="4"/>
      <c r="M271" s="4"/>
      <c r="N271" s="3"/>
      <c r="O271" s="3"/>
      <c r="P271" s="3"/>
      <c r="Q271" s="3"/>
      <c r="R271" s="1790" t="str">
        <f>CHOOSE(2, "6722000003190", "PL (3) SGA Expenses Fixed Expenses")</f>
        <v>PL (3) SGA Expenses Fixed Expenses</v>
      </c>
      <c r="S271" s="1215">
        <v>466.82487147783866</v>
      </c>
      <c r="T271" s="1222">
        <v>516.95196086790588</v>
      </c>
      <c r="U271" s="1222">
        <v>370.73143935572057</v>
      </c>
      <c r="V271" s="1222">
        <v>375.89042110497451</v>
      </c>
      <c r="W271" s="1222">
        <v>348.47338276255977</v>
      </c>
      <c r="X271" s="1222">
        <v>348.35081807070196</v>
      </c>
      <c r="Y271" s="1222">
        <v>330.26271415797549</v>
      </c>
      <c r="Z271" s="1222">
        <v>314.22133212370568</v>
      </c>
      <c r="AA271" s="1222">
        <v>757</v>
      </c>
      <c r="AB271" s="1222">
        <v>674.42880247754601</v>
      </c>
      <c r="AC271" s="1222">
        <v>618.16597034075767</v>
      </c>
      <c r="AD271" s="1222">
        <v>168.47450041648739</v>
      </c>
      <c r="AE271" s="1221">
        <f>SUM(S271,T271,U271)</f>
        <v>1354.5082717014652</v>
      </c>
      <c r="AF271" s="1221">
        <f>SUM(V271,W271,X271)</f>
        <v>1072.7146219382362</v>
      </c>
      <c r="AG271" s="1221">
        <f>SUM(Y271,Z271,AA271)</f>
        <v>1401.4840462816812</v>
      </c>
      <c r="AH271" s="1221">
        <f>SUM(AB271,AC271,AD271)</f>
        <v>1461.0692732347911</v>
      </c>
      <c r="AI271" s="1221">
        <f>AE271+AF271</f>
        <v>2427.2228936397014</v>
      </c>
      <c r="AJ271" s="1221">
        <f>AH271+AG271</f>
        <v>2862.5533195164726</v>
      </c>
      <c r="AK271" s="1221">
        <f>AI271+AJ271</f>
        <v>5289.776213156174</v>
      </c>
      <c r="AM271" s="596">
        <f ca="1">SUM((INDIRECT(AM$2&amp;(ROW())):INDIRECT(AM$3&amp;(ROW()))))</f>
        <v>466.82487147783866</v>
      </c>
      <c r="AN271" s="2002">
        <f ca="1">SUM(INDIRECT(AN$1&amp;AN$2&amp;$C271):INDIRECT(AN$1&amp;AN$3&amp;$C271))</f>
        <v>261.75719828432398</v>
      </c>
      <c r="AO271" s="2767">
        <f t="shared" ca="1" si="507"/>
        <v>205.06767319351468</v>
      </c>
      <c r="AP271" s="2768">
        <f t="shared" ca="1" si="456"/>
        <v>1.7834270634680602</v>
      </c>
      <c r="AQ271" s="2002">
        <f ca="1">SUM(INDIRECT(AQ$1&amp;AQ$2&amp;$A271):INDIRECT(AQ$1&amp;AQ$3&amp;$A271))+SUM(INDIRECT(AQ$1&amp;AQ$2&amp;$B271):INDIRECT(AQ$1&amp;AQ$3&amp;$B271))</f>
        <v>463.98676549793532</v>
      </c>
      <c r="AR271" s="2767">
        <f t="shared" ca="1" si="457"/>
        <v>2.8381059799033324</v>
      </c>
      <c r="AS271" s="2768">
        <f t="shared" ca="1" si="513"/>
        <v>1.0061167821820469</v>
      </c>
      <c r="AU271" s="596">
        <f ca="1">SUM((INDIRECT(AU$2&amp;(ROW())):INDIRECT(AU$3&amp;(ROW()))))</f>
        <v>466.82487147783866</v>
      </c>
      <c r="AV271" s="2002">
        <f ca="1">SUM(INDIRECT(AV$1&amp;AV$2&amp;$C271):INDIRECT(AV$1&amp;AV$3&amp;$C271))</f>
        <v>261.75719828432398</v>
      </c>
      <c r="AW271" s="2767">
        <f t="shared" ca="1" si="459"/>
        <v>205.06767319351468</v>
      </c>
      <c r="AX271" s="2768">
        <f t="shared" ca="1" si="514"/>
        <v>1.7834270634680602</v>
      </c>
      <c r="AY271" s="2002">
        <f ca="1">SUM(INDIRECT(AY$1&amp;AY$2&amp;$A271):INDIRECT(AY$1&amp;AY$3&amp;$A271))+SUM(INDIRECT(AY$1&amp;AY$2&amp;$B271):INDIRECT(AY$1&amp;AY$3&amp;$B271))</f>
        <v>463.98676549793532</v>
      </c>
      <c r="AZ271" s="2767">
        <f t="shared" ca="1" si="461"/>
        <v>2.8381059799033324</v>
      </c>
      <c r="BA271" s="2768">
        <f t="shared" ca="1" si="515"/>
        <v>1.0061167821820469</v>
      </c>
      <c r="BC271" s="596">
        <f ca="1">SUM((INDIRECT(BC$2&amp;(ROW())):INDIRECT(BC$3&amp;(ROW()))))</f>
        <v>466.82487147783866</v>
      </c>
      <c r="BD271" s="2002">
        <f ca="1">SUM(INDIRECT(BD$1&amp;BD$2&amp;$C271):INDIRECT(BD$1&amp;BD$3&amp;$C271))</f>
        <v>261.75719828432398</v>
      </c>
      <c r="BE271" s="2767">
        <f t="shared" ca="1" si="463"/>
        <v>205.06767319351468</v>
      </c>
      <c r="BF271" s="2768">
        <f t="shared" ca="1" si="516"/>
        <v>1.7834270634680602</v>
      </c>
      <c r="BG271" s="2002">
        <f ca="1">SUM(INDIRECT(BG$1&amp;BG$2&amp;$A271):INDIRECT(BG$1&amp;BG$3&amp;$A271))+SUM(INDIRECT(BG$1&amp;BG$2&amp;$B271):INDIRECT(BG$1&amp;BG$3&amp;$B271))</f>
        <v>463.98676549793532</v>
      </c>
      <c r="BH271" s="2767">
        <f t="shared" ca="1" si="465"/>
        <v>2.8381059799033324</v>
      </c>
      <c r="BI271" s="2768">
        <f t="shared" ca="1" si="517"/>
        <v>1.0061167821820469</v>
      </c>
    </row>
    <row r="272" spans="1:61" ht="14.5">
      <c r="A272" s="1693">
        <f t="shared" ref="A272:A335" si="532">A271+1</f>
        <v>272</v>
      </c>
      <c r="B272" s="616">
        <v>1</v>
      </c>
      <c r="C272" s="1693">
        <f t="shared" si="531"/>
        <v>272</v>
      </c>
      <c r="D272" s="616">
        <v>1</v>
      </c>
      <c r="E272" s="709" t="s">
        <v>512</v>
      </c>
      <c r="F272" s="1572"/>
      <c r="G272" s="4"/>
      <c r="H272" s="4"/>
      <c r="I272" s="4"/>
      <c r="J272" s="365" t="s">
        <v>56</v>
      </c>
      <c r="K272" s="357"/>
      <c r="L272" s="356"/>
      <c r="M272" s="356"/>
      <c r="N272" s="356"/>
      <c r="O272" s="356"/>
      <c r="P272" s="356"/>
      <c r="Q272" s="581"/>
      <c r="R272" s="1795" t="str">
        <f>CHOOSE(2, "6722000003191", "PL (3) Business Contribution Profit")</f>
        <v>PL (3) Business Contribution Profit</v>
      </c>
      <c r="S272" s="1307">
        <f t="shared" ref="S272:AD272" si="533">S238-S268</f>
        <v>-1114.2347537777923</v>
      </c>
      <c r="T272" s="1196">
        <f t="shared" si="533"/>
        <v>-2660.0308386500424</v>
      </c>
      <c r="U272" s="1196">
        <f t="shared" si="533"/>
        <v>2177.2521721788989</v>
      </c>
      <c r="V272" s="1196">
        <f t="shared" si="533"/>
        <v>-1188.6597424443885</v>
      </c>
      <c r="W272" s="1196">
        <f t="shared" si="533"/>
        <v>10263.625520741709</v>
      </c>
      <c r="X272" s="1196">
        <f t="shared" si="533"/>
        <v>18378.905268298957</v>
      </c>
      <c r="Y272" s="1196">
        <f t="shared" si="533"/>
        <v>-3042.7229042980357</v>
      </c>
      <c r="Z272" s="1196">
        <f t="shared" si="533"/>
        <v>10731.026049648795</v>
      </c>
      <c r="AA272" s="1196">
        <f t="shared" si="533"/>
        <v>-734.77471601649449</v>
      </c>
      <c r="AB272" s="1196">
        <f t="shared" si="533"/>
        <v>-1587.9586279720111</v>
      </c>
      <c r="AC272" s="1196">
        <f t="shared" si="533"/>
        <v>5542.9050545351165</v>
      </c>
      <c r="AD272" s="1196">
        <f t="shared" si="533"/>
        <v>18354.680187598839</v>
      </c>
      <c r="AE272" s="886">
        <f t="shared" ref="AE272:AK272" si="534">AE238-AE268</f>
        <v>-1597.0134202489371</v>
      </c>
      <c r="AF272" s="362">
        <f t="shared" si="534"/>
        <v>27453.871046596279</v>
      </c>
      <c r="AG272" s="362">
        <f t="shared" si="534"/>
        <v>6953.5284293342665</v>
      </c>
      <c r="AH272" s="362">
        <f t="shared" si="534"/>
        <v>22309.626614161945</v>
      </c>
      <c r="AI272" s="362">
        <f t="shared" si="534"/>
        <v>25856.857626347333</v>
      </c>
      <c r="AJ272" s="362">
        <f t="shared" si="534"/>
        <v>29263.155043496212</v>
      </c>
      <c r="AK272" s="362">
        <f t="shared" si="534"/>
        <v>55120.012669843549</v>
      </c>
      <c r="AM272" s="2038">
        <f ca="1">SUM((INDIRECT(AM$2&amp;(ROW())):INDIRECT(AM$3&amp;(ROW()))))</f>
        <v>-1114.2347537777923</v>
      </c>
      <c r="AN272" s="2039">
        <f ca="1">SUM(INDIRECT(AN$1&amp;AN$2&amp;$C272):INDIRECT(AN$1&amp;AN$3&amp;$C272))</f>
        <v>9298.7420380991589</v>
      </c>
      <c r="AO272" s="2803">
        <f t="shared" ca="1" si="507"/>
        <v>-10412.97679187695</v>
      </c>
      <c r="AP272" s="2804">
        <f ca="1">IFERROR(AM272/AN272,0)</f>
        <v>-0.11982639686233981</v>
      </c>
      <c r="AQ272" s="2039">
        <f ca="1">SUM(INDIRECT(AQ$1&amp;AQ$2&amp;$A272):INDIRECT(AQ$1&amp;AQ$3&amp;$A272))+SUM(INDIRECT(AQ$1&amp;AQ$2&amp;$B272):INDIRECT(AQ$1&amp;AQ$3&amp;$B272))</f>
        <v>-1543.9108360598129</v>
      </c>
      <c r="AR272" s="2803">
        <f t="shared" ref="AR272:AR345" ca="1" si="535">AM272-AQ272</f>
        <v>429.67608228202062</v>
      </c>
      <c r="AS272" s="2804">
        <f t="shared" ca="1" si="513"/>
        <v>0.72169631027489312</v>
      </c>
      <c r="AU272" s="2038">
        <f ca="1">SUM((INDIRECT(AU$2&amp;(ROW())):INDIRECT(AU$3&amp;(ROW()))))</f>
        <v>-1114.2347537777923</v>
      </c>
      <c r="AV272" s="2039">
        <f ca="1">SUM(INDIRECT(AV$1&amp;AV$2&amp;$C272):INDIRECT(AV$1&amp;AV$3&amp;$C272))</f>
        <v>9298.7420380991589</v>
      </c>
      <c r="AW272" s="2803">
        <f t="shared" ref="AW272:AW287" ca="1" si="536">AU272-AV272</f>
        <v>-10412.97679187695</v>
      </c>
      <c r="AX272" s="2804">
        <f t="shared" ca="1" si="514"/>
        <v>-0.11982639686233981</v>
      </c>
      <c r="AY272" s="2039">
        <f ca="1">SUM(INDIRECT(AY$1&amp;AY$2&amp;$A272):INDIRECT(AY$1&amp;AY$3&amp;$A272))+SUM(INDIRECT(AY$1&amp;AY$2&amp;$B272):INDIRECT(AY$1&amp;AY$3&amp;$B272))</f>
        <v>-1543.9108360598129</v>
      </c>
      <c r="AZ272" s="2803">
        <f t="shared" ref="AZ272:AZ283" ca="1" si="537">AU272-AY272</f>
        <v>429.67608228202062</v>
      </c>
      <c r="BA272" s="2804">
        <f t="shared" ca="1" si="515"/>
        <v>0.72169631027489312</v>
      </c>
      <c r="BC272" s="2038">
        <f ca="1">SUM((INDIRECT(BC$2&amp;(ROW())):INDIRECT(BC$3&amp;(ROW()))))</f>
        <v>-1114.2347537777923</v>
      </c>
      <c r="BD272" s="2039">
        <f ca="1">SUM(INDIRECT(BD$1&amp;BD$2&amp;$C272):INDIRECT(BD$1&amp;BD$3&amp;$C272))</f>
        <v>9298.7420380991589</v>
      </c>
      <c r="BE272" s="2803">
        <f t="shared" ref="BE272:BE287" ca="1" si="538">BC272-BD272</f>
        <v>-10412.97679187695</v>
      </c>
      <c r="BF272" s="2804">
        <f t="shared" ca="1" si="516"/>
        <v>-0.11982639686233981</v>
      </c>
      <c r="BG272" s="2039">
        <f ca="1">SUM(INDIRECT(BG$1&amp;BG$2&amp;$A272):INDIRECT(BG$1&amp;BG$3&amp;$A272))+SUM(INDIRECT(BG$1&amp;BG$2&amp;$B272):INDIRECT(BG$1&amp;BG$3&amp;$B272))</f>
        <v>-1543.9108360598129</v>
      </c>
      <c r="BH272" s="2803">
        <f t="shared" ref="BH272:BH283" ca="1" si="539">BC272-BG272</f>
        <v>429.67608228202062</v>
      </c>
      <c r="BI272" s="2804">
        <f t="shared" ca="1" si="517"/>
        <v>0.72169631027489312</v>
      </c>
    </row>
    <row r="273" spans="1:61" ht="14.5">
      <c r="A273" s="1693">
        <f t="shared" si="532"/>
        <v>273</v>
      </c>
      <c r="B273" s="616">
        <v>1</v>
      </c>
      <c r="C273" s="1693">
        <f t="shared" si="531"/>
        <v>273</v>
      </c>
      <c r="D273" s="616">
        <v>1</v>
      </c>
      <c r="E273" s="709" t="s">
        <v>512</v>
      </c>
      <c r="F273" s="1572"/>
      <c r="G273" s="4"/>
      <c r="H273" s="4"/>
      <c r="I273" s="4"/>
      <c r="J273" s="25"/>
      <c r="K273" s="511" t="s">
        <v>55</v>
      </c>
      <c r="L273" s="2"/>
      <c r="M273" s="2"/>
      <c r="N273" s="1"/>
      <c r="O273" s="1"/>
      <c r="P273" s="1"/>
      <c r="Q273" s="1"/>
      <c r="R273" s="1792" t="str">
        <f>CHOOSE(2, "6722000003192", "PL (3) Business Contribution Profit (%)")</f>
        <v>PL (3) Business Contribution Profit (%)</v>
      </c>
      <c r="S273" s="1323">
        <f t="shared" ref="S273:AD273" si="540">IFERROR(S272/S208,0)</f>
        <v>-1.2853687490226707E-2</v>
      </c>
      <c r="T273" s="1322">
        <f t="shared" si="540"/>
        <v>-0.14827689411502756</v>
      </c>
      <c r="U273" s="1322">
        <f t="shared" si="540"/>
        <v>5.8049619829130428E-2</v>
      </c>
      <c r="V273" s="1322">
        <f t="shared" si="540"/>
        <v>-0.14997171201331994</v>
      </c>
      <c r="W273" s="1322">
        <f t="shared" si="540"/>
        <v>0.28476956936191888</v>
      </c>
      <c r="X273" s="1322">
        <f t="shared" si="540"/>
        <v>0.26635092108633179</v>
      </c>
      <c r="Y273" s="1322">
        <f t="shared" si="540"/>
        <v>-0.25369711161655339</v>
      </c>
      <c r="Z273" s="1322">
        <f t="shared" si="540"/>
        <v>0.21751406271619564</v>
      </c>
      <c r="AA273" s="1322">
        <f t="shared" si="540"/>
        <v>-2.3883050804471579E-2</v>
      </c>
      <c r="AB273" s="1322">
        <f t="shared" si="540"/>
        <v>-8.5289054956162028E-2</v>
      </c>
      <c r="AC273" s="1322">
        <f t="shared" si="540"/>
        <v>0.28523807003551394</v>
      </c>
      <c r="AD273" s="1322">
        <f t="shared" si="540"/>
        <v>0.26607038301928565</v>
      </c>
      <c r="AE273" s="1322">
        <f t="shared" ref="AE273:AK273" si="541">IFERROR(AE272/AE208,0)</f>
        <v>-1.1236099991675626E-2</v>
      </c>
      <c r="AF273" s="1322">
        <f t="shared" si="541"/>
        <v>0.2430183721707469</v>
      </c>
      <c r="AG273" s="1322">
        <f t="shared" si="541"/>
        <v>7.5504752711672216E-2</v>
      </c>
      <c r="AH273" s="1322">
        <f t="shared" si="541"/>
        <v>0.20843220179615626</v>
      </c>
      <c r="AI273" s="1322">
        <f t="shared" si="541"/>
        <v>0.10135861481938585</v>
      </c>
      <c r="AJ273" s="1322">
        <f t="shared" si="541"/>
        <v>0.14695552471228715</v>
      </c>
      <c r="AK273" s="1322">
        <f t="shared" si="541"/>
        <v>0.12134769800697764</v>
      </c>
      <c r="AL273" s="504"/>
      <c r="AM273" s="1323">
        <f t="shared" ref="AM273:AQ273" ca="1" si="542">IFERROR(AM272/AM208,0)</f>
        <v>-1.2853687490226707E-2</v>
      </c>
      <c r="AN273" s="1322">
        <f t="shared" ca="1" si="542"/>
        <v>0.10151465107095152</v>
      </c>
      <c r="AO273" s="1322">
        <f t="shared" ca="1" si="507"/>
        <v>-0.11436833856117823</v>
      </c>
      <c r="AP273" s="2802"/>
      <c r="AQ273" s="1322">
        <f t="shared" ca="1" si="542"/>
        <v>-0.10085646956230813</v>
      </c>
      <c r="AR273" s="1322">
        <f t="shared" ca="1" si="535"/>
        <v>8.8002782072081426E-2</v>
      </c>
      <c r="AS273" s="2802"/>
      <c r="AT273" s="504"/>
      <c r="AU273" s="1323">
        <f ca="1">IFERROR(AU272/AU208,0)</f>
        <v>-1.2853687490226707E-2</v>
      </c>
      <c r="AV273" s="1322">
        <f ca="1">IFERROR(AV272/AV208,0)</f>
        <v>0.10151465107095152</v>
      </c>
      <c r="AW273" s="1322">
        <f t="shared" ca="1" si="536"/>
        <v>-0.11436833856117823</v>
      </c>
      <c r="AX273" s="2802"/>
      <c r="AY273" s="1322">
        <f ca="1">IFERROR(AY272/AY208,0)</f>
        <v>-0.10085646956230813</v>
      </c>
      <c r="AZ273" s="1322">
        <f t="shared" ca="1" si="537"/>
        <v>8.8002782072081426E-2</v>
      </c>
      <c r="BA273" s="2802"/>
      <c r="BB273" s="504"/>
      <c r="BC273" s="1323">
        <f ca="1">IFERROR(BC272/BC208,0)</f>
        <v>-1.2853687490226707E-2</v>
      </c>
      <c r="BD273" s="1322">
        <f ca="1">IFERROR(BD272/BD208,0)</f>
        <v>0.10151465107095152</v>
      </c>
      <c r="BE273" s="1322">
        <f t="shared" ca="1" si="538"/>
        <v>-0.11436833856117823</v>
      </c>
      <c r="BF273" s="2802"/>
      <c r="BG273" s="1322">
        <f ca="1">IFERROR(BG272/BG208,0)</f>
        <v>-0.10085646956230813</v>
      </c>
      <c r="BH273" s="1322">
        <f t="shared" ca="1" si="539"/>
        <v>8.8002782072081426E-2</v>
      </c>
      <c r="BI273" s="2802"/>
    </row>
    <row r="274" spans="1:61" ht="14.5">
      <c r="A274" s="1693">
        <f t="shared" si="532"/>
        <v>274</v>
      </c>
      <c r="B274" s="616">
        <v>1</v>
      </c>
      <c r="C274" s="1693">
        <f t="shared" si="531"/>
        <v>274</v>
      </c>
      <c r="D274" s="616">
        <v>1</v>
      </c>
      <c r="E274" s="709" t="s">
        <v>512</v>
      </c>
      <c r="F274" s="1572"/>
      <c r="G274" s="4"/>
      <c r="H274" s="4"/>
      <c r="I274" s="4"/>
      <c r="J274" s="198" t="s">
        <v>91</v>
      </c>
      <c r="K274" s="325"/>
      <c r="L274" s="326"/>
      <c r="M274" s="326"/>
      <c r="N274" s="325"/>
      <c r="O274" s="325"/>
      <c r="P274" s="325"/>
      <c r="Q274" s="447"/>
      <c r="R274" s="1790" t="str">
        <f>CHOOSE(2, "6722000003193", "PL (3) Other Income")</f>
        <v>PL (3) Other Income</v>
      </c>
      <c r="S274" s="1388"/>
      <c r="T274" s="1197"/>
      <c r="U274" s="1197"/>
      <c r="V274" s="1197"/>
      <c r="W274" s="1197"/>
      <c r="X274" s="1197"/>
      <c r="Y274" s="1197"/>
      <c r="Z274" s="1197"/>
      <c r="AA274" s="1197"/>
      <c r="AB274" s="1197"/>
      <c r="AC274" s="1197"/>
      <c r="AD274" s="1197"/>
      <c r="AE274" s="883">
        <f>SUM(S274,T274,U274)</f>
        <v>0</v>
      </c>
      <c r="AF274" s="107">
        <f>SUM(V274,W274,X274)</f>
        <v>0</v>
      </c>
      <c r="AG274" s="107">
        <f>SUM(Y274,Z274,AA274)</f>
        <v>0</v>
      </c>
      <c r="AH274" s="107">
        <f>SUM(AB274,AC274,AD274)</f>
        <v>0</v>
      </c>
      <c r="AI274" s="107">
        <f>AE274+AF274</f>
        <v>0</v>
      </c>
      <c r="AJ274" s="107">
        <f>AH274+AG274</f>
        <v>0</v>
      </c>
      <c r="AK274" s="107">
        <f>AI274+AJ274</f>
        <v>0</v>
      </c>
      <c r="AM274" s="2471">
        <f ca="1">SUM((INDIRECT(AM$2&amp;(ROW())):INDIRECT(AM$3&amp;(ROW()))))</f>
        <v>0</v>
      </c>
      <c r="AN274" s="1978">
        <f ca="1">SUM(INDIRECT(AN$1&amp;AN$2&amp;$C274):INDIRECT(AN$1&amp;AN$3&amp;$C274))</f>
        <v>0</v>
      </c>
      <c r="AO274" s="2782">
        <f t="shared" ca="1" si="507"/>
        <v>0</v>
      </c>
      <c r="AP274" s="2783">
        <f ca="1">IFERROR(AM274/AN274,0)</f>
        <v>0</v>
      </c>
      <c r="AQ274" s="1978">
        <f ca="1">SUM(INDIRECT(AQ$1&amp;AQ$2&amp;$A274):INDIRECT(AQ$1&amp;AQ$3&amp;$A274))+SUM(INDIRECT(AQ$1&amp;AQ$2&amp;$B274):INDIRECT(AQ$1&amp;AQ$3&amp;$B274))</f>
        <v>0</v>
      </c>
      <c r="AR274" s="2782">
        <f t="shared" ca="1" si="535"/>
        <v>0</v>
      </c>
      <c r="AS274" s="2783">
        <f t="shared" ref="AS274:AS276" ca="1" si="543">IFERROR(AM274/AQ274,0)</f>
        <v>0</v>
      </c>
      <c r="AU274" s="2471">
        <f ca="1">SUM((INDIRECT(AU$2&amp;(ROW())):INDIRECT(AU$3&amp;(ROW()))))</f>
        <v>0</v>
      </c>
      <c r="AV274" s="1978">
        <f ca="1">SUM(INDIRECT(AV$1&amp;AV$2&amp;$C274):INDIRECT(AV$1&amp;AV$3&amp;$C274))</f>
        <v>0</v>
      </c>
      <c r="AW274" s="2782">
        <f t="shared" ca="1" si="536"/>
        <v>0</v>
      </c>
      <c r="AX274" s="2783">
        <f t="shared" ref="AX274:AX276" ca="1" si="544">IFERROR(AU274/AV274,0)</f>
        <v>0</v>
      </c>
      <c r="AY274" s="1978">
        <f ca="1">SUM(INDIRECT(AY$1&amp;AY$2&amp;$A274):INDIRECT(AY$1&amp;AY$3&amp;$A274))+SUM(INDIRECT(AY$1&amp;AY$2&amp;$B274):INDIRECT(AY$1&amp;AY$3&amp;$B274))</f>
        <v>0</v>
      </c>
      <c r="AZ274" s="2782">
        <f t="shared" ca="1" si="537"/>
        <v>0</v>
      </c>
      <c r="BA274" s="2783">
        <f t="shared" ref="BA274:BA276" ca="1" si="545">IFERROR(AU274/AY274,0)</f>
        <v>0</v>
      </c>
      <c r="BC274" s="2471">
        <f ca="1">SUM((INDIRECT(BC$2&amp;(ROW())):INDIRECT(BC$3&amp;(ROW()))))</f>
        <v>0</v>
      </c>
      <c r="BD274" s="1978">
        <f ca="1">SUM(INDIRECT(BD$1&amp;BD$2&amp;$C274):INDIRECT(BD$1&amp;BD$3&amp;$C274))</f>
        <v>0</v>
      </c>
      <c r="BE274" s="2782">
        <f t="shared" ca="1" si="538"/>
        <v>0</v>
      </c>
      <c r="BF274" s="2783">
        <f t="shared" ref="BF274:BF276" ca="1" si="546">IFERROR(BC274/BD274,0)</f>
        <v>0</v>
      </c>
      <c r="BG274" s="1978">
        <f ca="1">SUM(INDIRECT(BG$1&amp;BG$2&amp;$A274):INDIRECT(BG$1&amp;BG$3&amp;$A274))+SUM(INDIRECT(BG$1&amp;BG$2&amp;$B274):INDIRECT(BG$1&amp;BG$3&amp;$B274))</f>
        <v>0</v>
      </c>
      <c r="BH274" s="2782">
        <f t="shared" ca="1" si="539"/>
        <v>0</v>
      </c>
      <c r="BI274" s="2783">
        <f t="shared" ref="BI274:BI276" ca="1" si="547">IFERROR(BC274/BG274,0)</f>
        <v>0</v>
      </c>
    </row>
    <row r="275" spans="1:61" ht="14.5">
      <c r="A275" s="1693">
        <f t="shared" si="532"/>
        <v>275</v>
      </c>
      <c r="B275" s="616">
        <v>1</v>
      </c>
      <c r="C275" s="1693">
        <f t="shared" si="531"/>
        <v>275</v>
      </c>
      <c r="D275" s="616">
        <v>1</v>
      </c>
      <c r="E275" s="709" t="s">
        <v>512</v>
      </c>
      <c r="F275" s="1572"/>
      <c r="G275" s="4"/>
      <c r="H275" s="4"/>
      <c r="I275" s="4"/>
      <c r="J275" s="106" t="s">
        <v>73</v>
      </c>
      <c r="K275" s="104"/>
      <c r="L275" s="105"/>
      <c r="M275" s="105"/>
      <c r="N275" s="104"/>
      <c r="O275" s="104"/>
      <c r="P275" s="104"/>
      <c r="Q275" s="104"/>
      <c r="R275" s="1790" t="str">
        <f>CHOOSE(2, "6722000003194", "PL (3) Other Expenses")</f>
        <v>PL (3) Other Expenses</v>
      </c>
      <c r="S275" s="1213"/>
      <c r="T275" s="1216"/>
      <c r="U275" s="1216"/>
      <c r="V275" s="1216"/>
      <c r="W275" s="1216"/>
      <c r="X275" s="1216"/>
      <c r="Y275" s="1216"/>
      <c r="Z275" s="1216"/>
      <c r="AA275" s="1216"/>
      <c r="AB275" s="1216"/>
      <c r="AC275" s="1216"/>
      <c r="AD275" s="1216"/>
      <c r="AE275" s="80">
        <f>SUM(S275,T275,U275)</f>
        <v>0</v>
      </c>
      <c r="AF275" s="80">
        <f>SUM(V275,W275,X275)</f>
        <v>0</v>
      </c>
      <c r="AG275" s="80">
        <f>SUM(Y275,Z275,AA275)</f>
        <v>0</v>
      </c>
      <c r="AH275" s="80">
        <f>SUM(AB275,AC275,AD275)</f>
        <v>0</v>
      </c>
      <c r="AI275" s="80">
        <f>AE275+AF275</f>
        <v>0</v>
      </c>
      <c r="AJ275" s="80">
        <f>AH275+AG275</f>
        <v>0</v>
      </c>
      <c r="AK275" s="80">
        <f>AI275+AJ275</f>
        <v>0</v>
      </c>
      <c r="AM275" s="2494">
        <f ca="1">SUM((INDIRECT(AM$2&amp;(ROW())):INDIRECT(AM$3&amp;(ROW()))))</f>
        <v>0</v>
      </c>
      <c r="AN275" s="1980">
        <f ca="1">SUM(INDIRECT(AN$1&amp;AN$2&amp;$C275):INDIRECT(AN$1&amp;AN$3&amp;$C275))</f>
        <v>0</v>
      </c>
      <c r="AO275" s="2759">
        <f t="shared" ca="1" si="507"/>
        <v>0</v>
      </c>
      <c r="AP275" s="2760">
        <f ca="1">IFERROR(AM275/AN275,0)</f>
        <v>0</v>
      </c>
      <c r="AQ275" s="1980">
        <f ca="1">SUM(INDIRECT(AQ$1&amp;AQ$2&amp;$A275):INDIRECT(AQ$1&amp;AQ$3&amp;$A275))+SUM(INDIRECT(AQ$1&amp;AQ$2&amp;$B275):INDIRECT(AQ$1&amp;AQ$3&amp;$B275))</f>
        <v>0</v>
      </c>
      <c r="AR275" s="2759">
        <f t="shared" ca="1" si="535"/>
        <v>0</v>
      </c>
      <c r="AS275" s="2760">
        <f t="shared" ca="1" si="543"/>
        <v>0</v>
      </c>
      <c r="AU275" s="2494">
        <f ca="1">SUM((INDIRECT(AU$2&amp;(ROW())):INDIRECT(AU$3&amp;(ROW()))))</f>
        <v>0</v>
      </c>
      <c r="AV275" s="1980">
        <f ca="1">SUM(INDIRECT(AV$1&amp;AV$2&amp;$C275):INDIRECT(AV$1&amp;AV$3&amp;$C275))</f>
        <v>0</v>
      </c>
      <c r="AW275" s="2759">
        <f t="shared" ca="1" si="536"/>
        <v>0</v>
      </c>
      <c r="AX275" s="2760">
        <f t="shared" ca="1" si="544"/>
        <v>0</v>
      </c>
      <c r="AY275" s="1980">
        <f ca="1">SUM(INDIRECT(AY$1&amp;AY$2&amp;$A275):INDIRECT(AY$1&amp;AY$3&amp;$A275))+SUM(INDIRECT(AY$1&amp;AY$2&amp;$B275):INDIRECT(AY$1&amp;AY$3&amp;$B275))</f>
        <v>0</v>
      </c>
      <c r="AZ275" s="2759">
        <f t="shared" ca="1" si="537"/>
        <v>0</v>
      </c>
      <c r="BA275" s="2760">
        <f t="shared" ca="1" si="545"/>
        <v>0</v>
      </c>
      <c r="BC275" s="2494">
        <f ca="1">SUM((INDIRECT(BC$2&amp;(ROW())):INDIRECT(BC$3&amp;(ROW()))))</f>
        <v>0</v>
      </c>
      <c r="BD275" s="1980">
        <f ca="1">SUM(INDIRECT(BD$1&amp;BD$2&amp;$C275):INDIRECT(BD$1&amp;BD$3&amp;$C275))</f>
        <v>0</v>
      </c>
      <c r="BE275" s="2759">
        <f t="shared" ca="1" si="538"/>
        <v>0</v>
      </c>
      <c r="BF275" s="2760">
        <f t="shared" ca="1" si="546"/>
        <v>0</v>
      </c>
      <c r="BG275" s="1980">
        <f ca="1">SUM(INDIRECT(BG$1&amp;BG$2&amp;$A275):INDIRECT(BG$1&amp;BG$3&amp;$A275))+SUM(INDIRECT(BG$1&amp;BG$2&amp;$B275):INDIRECT(BG$1&amp;BG$3&amp;$B275))</f>
        <v>0</v>
      </c>
      <c r="BH275" s="2759">
        <f t="shared" ca="1" si="539"/>
        <v>0</v>
      </c>
      <c r="BI275" s="2760">
        <f t="shared" ca="1" si="547"/>
        <v>0</v>
      </c>
    </row>
    <row r="276" spans="1:61" ht="14.5">
      <c r="A276" s="1693">
        <f t="shared" si="532"/>
        <v>276</v>
      </c>
      <c r="B276" s="616">
        <v>1</v>
      </c>
      <c r="C276" s="1693">
        <f t="shared" si="531"/>
        <v>276</v>
      </c>
      <c r="D276" s="616">
        <v>1</v>
      </c>
      <c r="E276" s="709" t="s">
        <v>512</v>
      </c>
      <c r="F276" s="1572"/>
      <c r="G276" s="4"/>
      <c r="H276" s="4"/>
      <c r="I276" s="4"/>
      <c r="J276" s="365" t="s">
        <v>92</v>
      </c>
      <c r="K276" s="357"/>
      <c r="L276" s="356"/>
      <c r="M276" s="356"/>
      <c r="N276" s="356"/>
      <c r="O276" s="356"/>
      <c r="P276" s="356"/>
      <c r="Q276" s="581"/>
      <c r="R276" s="1795" t="str">
        <f>CHOOSE(2, "6722000003195", "PL (3) Operating Profit")</f>
        <v>PL (3) Operating Profit</v>
      </c>
      <c r="S276" s="1307">
        <f>S272+S274-S275</f>
        <v>-1114.2347537777923</v>
      </c>
      <c r="T276" s="1196">
        <f t="shared" ref="T276:AD276" si="548">T272+T274-T275</f>
        <v>-2660.0308386500424</v>
      </c>
      <c r="U276" s="1196">
        <f t="shared" si="548"/>
        <v>2177.2521721788989</v>
      </c>
      <c r="V276" s="1196">
        <f t="shared" si="548"/>
        <v>-1188.6597424443885</v>
      </c>
      <c r="W276" s="1196">
        <f t="shared" si="548"/>
        <v>10263.625520741709</v>
      </c>
      <c r="X276" s="1196">
        <f t="shared" si="548"/>
        <v>18378.905268298957</v>
      </c>
      <c r="Y276" s="1196">
        <f t="shared" si="548"/>
        <v>-3042.7229042980357</v>
      </c>
      <c r="Z276" s="1196">
        <f t="shared" si="548"/>
        <v>10731.026049648795</v>
      </c>
      <c r="AA276" s="1196">
        <f t="shared" si="548"/>
        <v>-734.77471601649449</v>
      </c>
      <c r="AB276" s="1196">
        <f t="shared" si="548"/>
        <v>-1587.9586279720111</v>
      </c>
      <c r="AC276" s="1196">
        <f t="shared" si="548"/>
        <v>5542.9050545351165</v>
      </c>
      <c r="AD276" s="1196">
        <f t="shared" si="548"/>
        <v>18354.680187598839</v>
      </c>
      <c r="AE276" s="886">
        <f t="shared" ref="AE276:AK276" si="549">AE272+AE274-AE275</f>
        <v>-1597.0134202489371</v>
      </c>
      <c r="AF276" s="362">
        <f t="shared" si="549"/>
        <v>27453.871046596279</v>
      </c>
      <c r="AG276" s="362">
        <f t="shared" si="549"/>
        <v>6953.5284293342665</v>
      </c>
      <c r="AH276" s="362">
        <f t="shared" si="549"/>
        <v>22309.626614161945</v>
      </c>
      <c r="AI276" s="362">
        <f t="shared" si="549"/>
        <v>25856.857626347333</v>
      </c>
      <c r="AJ276" s="362">
        <f t="shared" si="549"/>
        <v>29263.155043496212</v>
      </c>
      <c r="AK276" s="362">
        <f t="shared" si="549"/>
        <v>55120.012669843549</v>
      </c>
      <c r="AM276" s="2038">
        <f ca="1">SUM((INDIRECT(AM$2&amp;(ROW())):INDIRECT(AM$3&amp;(ROW()))))</f>
        <v>-1114.2347537777923</v>
      </c>
      <c r="AN276" s="2039">
        <f ca="1">SUM(INDIRECT(AN$1&amp;AN$2&amp;$C276):INDIRECT(AN$1&amp;AN$3&amp;$C276))</f>
        <v>9298.7420380991589</v>
      </c>
      <c r="AO276" s="2803">
        <f t="shared" ca="1" si="507"/>
        <v>-10412.97679187695</v>
      </c>
      <c r="AP276" s="2804">
        <f ca="1">IFERROR(AM276/AN276,0)</f>
        <v>-0.11982639686233981</v>
      </c>
      <c r="AQ276" s="2039">
        <f ca="1">SUM(INDIRECT(AQ$1&amp;AQ$2&amp;$A276):INDIRECT(AQ$1&amp;AQ$3&amp;$A276))+SUM(INDIRECT(AQ$1&amp;AQ$2&amp;$B276):INDIRECT(AQ$1&amp;AQ$3&amp;$B276))</f>
        <v>-1543.9108360598129</v>
      </c>
      <c r="AR276" s="2803">
        <f t="shared" ca="1" si="535"/>
        <v>429.67608228202062</v>
      </c>
      <c r="AS276" s="2804">
        <f t="shared" ca="1" si="543"/>
        <v>0.72169631027489312</v>
      </c>
      <c r="AU276" s="2038">
        <f ca="1">SUM((INDIRECT(AU$2&amp;(ROW())):INDIRECT(AU$3&amp;(ROW()))))</f>
        <v>-1114.2347537777923</v>
      </c>
      <c r="AV276" s="2039">
        <f ca="1">SUM(INDIRECT(AV$1&amp;AV$2&amp;$C276):INDIRECT(AV$1&amp;AV$3&amp;$C276))</f>
        <v>9298.7420380991589</v>
      </c>
      <c r="AW276" s="2803">
        <f t="shared" ca="1" si="536"/>
        <v>-10412.97679187695</v>
      </c>
      <c r="AX276" s="2804">
        <f t="shared" ca="1" si="544"/>
        <v>-0.11982639686233981</v>
      </c>
      <c r="AY276" s="2039">
        <f ca="1">SUM(INDIRECT(AY$1&amp;AY$2&amp;$A276):INDIRECT(AY$1&amp;AY$3&amp;$A276))+SUM(INDIRECT(AY$1&amp;AY$2&amp;$B276):INDIRECT(AY$1&amp;AY$3&amp;$B276))</f>
        <v>-1543.9108360598129</v>
      </c>
      <c r="AZ276" s="2803">
        <f t="shared" ca="1" si="537"/>
        <v>429.67608228202062</v>
      </c>
      <c r="BA276" s="2804">
        <f t="shared" ca="1" si="545"/>
        <v>0.72169631027489312</v>
      </c>
      <c r="BC276" s="2038">
        <f ca="1">SUM((INDIRECT(BC$2&amp;(ROW())):INDIRECT(BC$3&amp;(ROW()))))</f>
        <v>-1114.2347537777923</v>
      </c>
      <c r="BD276" s="2039">
        <f ca="1">SUM(INDIRECT(BD$1&amp;BD$2&amp;$C276):INDIRECT(BD$1&amp;BD$3&amp;$C276))</f>
        <v>9298.7420380991589</v>
      </c>
      <c r="BE276" s="2803">
        <f t="shared" ca="1" si="538"/>
        <v>-10412.97679187695</v>
      </c>
      <c r="BF276" s="2804">
        <f t="shared" ca="1" si="546"/>
        <v>-0.11982639686233981</v>
      </c>
      <c r="BG276" s="2039">
        <f ca="1">SUM(INDIRECT(BG$1&amp;BG$2&amp;$A276):INDIRECT(BG$1&amp;BG$3&amp;$A276))+SUM(INDIRECT(BG$1&amp;BG$2&amp;$B276):INDIRECT(BG$1&amp;BG$3&amp;$B276))</f>
        <v>-1543.9108360598129</v>
      </c>
      <c r="BH276" s="2803">
        <f t="shared" ca="1" si="539"/>
        <v>429.67608228202062</v>
      </c>
      <c r="BI276" s="2804">
        <f t="shared" ca="1" si="547"/>
        <v>0.72169631027489312</v>
      </c>
    </row>
    <row r="277" spans="1:61" ht="14.5">
      <c r="A277" s="1693">
        <f t="shared" si="532"/>
        <v>277</v>
      </c>
      <c r="B277" s="616">
        <v>1</v>
      </c>
      <c r="C277" s="1693">
        <f t="shared" si="531"/>
        <v>277</v>
      </c>
      <c r="D277" s="616">
        <v>1</v>
      </c>
      <c r="E277" s="709" t="s">
        <v>512</v>
      </c>
      <c r="F277" s="1572"/>
      <c r="G277" s="4"/>
      <c r="H277" s="4"/>
      <c r="I277" s="4"/>
      <c r="J277" s="25"/>
      <c r="K277" s="511" t="s">
        <v>55</v>
      </c>
      <c r="L277" s="2"/>
      <c r="M277" s="2"/>
      <c r="N277" s="1"/>
      <c r="O277" s="1"/>
      <c r="P277" s="1"/>
      <c r="Q277" s="1"/>
      <c r="R277" s="1792" t="str">
        <f>CHOOSE(2, "6722000003196", "PL (3) Operating Profit (%)")</f>
        <v>PL (3) Operating Profit (%)</v>
      </c>
      <c r="S277" s="1323">
        <f t="shared" ref="S277:AD277" si="550">IFERROR(S276/S208,0)</f>
        <v>-1.2853687490226707E-2</v>
      </c>
      <c r="T277" s="1322">
        <f t="shared" si="550"/>
        <v>-0.14827689411502756</v>
      </c>
      <c r="U277" s="1322">
        <f t="shared" si="550"/>
        <v>5.8049619829130428E-2</v>
      </c>
      <c r="V277" s="1322">
        <f t="shared" si="550"/>
        <v>-0.14997171201331994</v>
      </c>
      <c r="W277" s="1322">
        <f t="shared" si="550"/>
        <v>0.28476956936191888</v>
      </c>
      <c r="X277" s="1322">
        <f t="shared" si="550"/>
        <v>0.26635092108633179</v>
      </c>
      <c r="Y277" s="1322">
        <f t="shared" si="550"/>
        <v>-0.25369711161655339</v>
      </c>
      <c r="Z277" s="1322">
        <f t="shared" si="550"/>
        <v>0.21751406271619564</v>
      </c>
      <c r="AA277" s="1322">
        <f t="shared" si="550"/>
        <v>-2.3883050804471579E-2</v>
      </c>
      <c r="AB277" s="1322">
        <f t="shared" si="550"/>
        <v>-8.5289054956162028E-2</v>
      </c>
      <c r="AC277" s="1322">
        <f t="shared" si="550"/>
        <v>0.28523807003551394</v>
      </c>
      <c r="AD277" s="1322">
        <f t="shared" si="550"/>
        <v>0.26607038301928565</v>
      </c>
      <c r="AE277" s="1322">
        <f t="shared" ref="AE277:AK277" si="551">IFERROR(AE276/AE208,0)</f>
        <v>-1.1236099991675626E-2</v>
      </c>
      <c r="AF277" s="1322">
        <f t="shared" si="551"/>
        <v>0.2430183721707469</v>
      </c>
      <c r="AG277" s="1322">
        <f t="shared" si="551"/>
        <v>7.5504752711672216E-2</v>
      </c>
      <c r="AH277" s="1322">
        <f t="shared" si="551"/>
        <v>0.20843220179615626</v>
      </c>
      <c r="AI277" s="1322">
        <f t="shared" si="551"/>
        <v>0.10135861481938585</v>
      </c>
      <c r="AJ277" s="1322">
        <f t="shared" si="551"/>
        <v>0.14695552471228715</v>
      </c>
      <c r="AK277" s="1322">
        <f t="shared" si="551"/>
        <v>0.12134769800697764</v>
      </c>
      <c r="AL277" s="504"/>
      <c r="AM277" s="1323">
        <f t="shared" ref="AM277:AQ277" ca="1" si="552">IFERROR(AM276/AM208,0)</f>
        <v>-1.2853687490226707E-2</v>
      </c>
      <c r="AN277" s="1322">
        <f t="shared" ca="1" si="552"/>
        <v>0.10151465107095152</v>
      </c>
      <c r="AO277" s="1322">
        <f t="shared" ca="1" si="507"/>
        <v>-0.11436833856117823</v>
      </c>
      <c r="AP277" s="2802"/>
      <c r="AQ277" s="1322">
        <f t="shared" ca="1" si="552"/>
        <v>-0.10085646956230813</v>
      </c>
      <c r="AR277" s="1322">
        <f t="shared" ca="1" si="535"/>
        <v>8.8002782072081426E-2</v>
      </c>
      <c r="AS277" s="2802"/>
      <c r="AT277" s="504"/>
      <c r="AU277" s="1323">
        <f ca="1">IFERROR(AU276/AU208,0)</f>
        <v>-1.2853687490226707E-2</v>
      </c>
      <c r="AV277" s="1322">
        <f ca="1">IFERROR(AV276/AV208,0)</f>
        <v>0.10151465107095152</v>
      </c>
      <c r="AW277" s="1322">
        <f t="shared" ca="1" si="536"/>
        <v>-0.11436833856117823</v>
      </c>
      <c r="AX277" s="2802"/>
      <c r="AY277" s="1322">
        <f ca="1">IFERROR(AY276/AY208,0)</f>
        <v>-0.10085646956230813</v>
      </c>
      <c r="AZ277" s="1322">
        <f t="shared" ca="1" si="537"/>
        <v>8.8002782072081426E-2</v>
      </c>
      <c r="BA277" s="2802"/>
      <c r="BB277" s="504"/>
      <c r="BC277" s="1323">
        <f ca="1">IFERROR(BC276/BC208,0)</f>
        <v>-1.2853687490226707E-2</v>
      </c>
      <c r="BD277" s="1322">
        <f ca="1">IFERROR(BD276/BD208,0)</f>
        <v>0.10151465107095152</v>
      </c>
      <c r="BE277" s="1322">
        <f t="shared" ca="1" si="538"/>
        <v>-0.11436833856117823</v>
      </c>
      <c r="BF277" s="2802"/>
      <c r="BG277" s="1322">
        <f ca="1">IFERROR(BG276/BG208,0)</f>
        <v>-0.10085646956230813</v>
      </c>
      <c r="BH277" s="1322">
        <f t="shared" ca="1" si="539"/>
        <v>8.8002782072081426E-2</v>
      </c>
      <c r="BI277" s="2802"/>
    </row>
    <row r="278" spans="1:61" ht="14.5">
      <c r="A278" s="1693">
        <f t="shared" si="532"/>
        <v>278</v>
      </c>
      <c r="B278" s="616">
        <v>1</v>
      </c>
      <c r="C278" s="1693">
        <f t="shared" si="531"/>
        <v>278</v>
      </c>
      <c r="D278" s="616">
        <v>1</v>
      </c>
      <c r="E278" s="709" t="s">
        <v>512</v>
      </c>
      <c r="F278" s="69"/>
      <c r="G278" s="8"/>
      <c r="H278" s="737"/>
      <c r="I278" s="4"/>
      <c r="J278" s="4"/>
      <c r="K278" s="3"/>
      <c r="L278" s="742" t="s">
        <v>515</v>
      </c>
      <c r="M278" s="707"/>
      <c r="N278" s="586"/>
      <c r="O278" s="586"/>
      <c r="P278" s="586"/>
      <c r="Q278" s="586"/>
      <c r="R278" s="1785" t="str">
        <f>CHOOSE(2, "6722000003197", "PL (3) CAI (%)")</f>
        <v>PL (3) CAI (%)</v>
      </c>
      <c r="S278" s="1368">
        <f>S447</f>
        <v>-2.261328115506223E-3</v>
      </c>
      <c r="T278" s="1368">
        <f t="shared" ref="T278:AD278" si="553">T447</f>
        <v>0</v>
      </c>
      <c r="U278" s="1368">
        <f t="shared" si="553"/>
        <v>0</v>
      </c>
      <c r="V278" s="1368">
        <f t="shared" si="553"/>
        <v>0</v>
      </c>
      <c r="W278" s="1368">
        <f t="shared" si="553"/>
        <v>0</v>
      </c>
      <c r="X278" s="1368">
        <f t="shared" si="553"/>
        <v>0</v>
      </c>
      <c r="Y278" s="1368">
        <f t="shared" si="553"/>
        <v>0</v>
      </c>
      <c r="Z278" s="1368">
        <f t="shared" si="553"/>
        <v>0</v>
      </c>
      <c r="AA278" s="1368">
        <f t="shared" si="553"/>
        <v>-2.8539153691085575E-6</v>
      </c>
      <c r="AB278" s="1368">
        <f t="shared" si="553"/>
        <v>0</v>
      </c>
      <c r="AC278" s="1368">
        <f t="shared" si="553"/>
        <v>0</v>
      </c>
      <c r="AD278" s="1368">
        <f t="shared" si="553"/>
        <v>0</v>
      </c>
      <c r="AE278" s="884">
        <f t="shared" ref="AE278:AK278" si="554">AE447</f>
        <v>-8.4598879610967449E-4</v>
      </c>
      <c r="AF278" s="744">
        <f t="shared" si="554"/>
        <v>0</v>
      </c>
      <c r="AG278" s="744">
        <f t="shared" si="554"/>
        <v>-8.9325630146357771E-7</v>
      </c>
      <c r="AH278" s="744">
        <f t="shared" si="554"/>
        <v>0</v>
      </c>
      <c r="AI278" s="744">
        <f t="shared" si="554"/>
        <v>-4.3294498640199176E-4</v>
      </c>
      <c r="AJ278" s="744">
        <f t="shared" si="554"/>
        <v>-3.7656818474793742E-7</v>
      </c>
      <c r="AK278" s="744">
        <f t="shared" si="554"/>
        <v>-2.2669135569907892E-4</v>
      </c>
      <c r="AM278" s="2746">
        <f t="shared" ref="AM278:AN278" ca="1" si="555">AM447</f>
        <v>-0.85881785845237901</v>
      </c>
      <c r="AN278" s="2746">
        <f t="shared" ca="1" si="555"/>
        <v>0.86546044444886228</v>
      </c>
      <c r="AO278" s="2746">
        <f t="shared" ca="1" si="507"/>
        <v>-1.7242783029012414</v>
      </c>
      <c r="AP278" s="2747"/>
      <c r="AQ278" s="2746">
        <f t="shared" ref="AQ278" ca="1" si="556">AQ447</f>
        <v>0</v>
      </c>
      <c r="AR278" s="2746">
        <f t="shared" ca="1" si="535"/>
        <v>-0.85881785845237901</v>
      </c>
      <c r="AS278" s="2748"/>
      <c r="AU278" s="2746">
        <f t="shared" ref="AU278:AV278" ca="1" si="557">AU447</f>
        <v>-0.85881785845237901</v>
      </c>
      <c r="AV278" s="2746">
        <f t="shared" ca="1" si="557"/>
        <v>0.86546044444886228</v>
      </c>
      <c r="AW278" s="2746">
        <f t="shared" ca="1" si="536"/>
        <v>-1.7242783029012414</v>
      </c>
      <c r="AX278" s="2747"/>
      <c r="AY278" s="2746">
        <f t="shared" ref="AY278" ca="1" si="558">AY447</f>
        <v>0</v>
      </c>
      <c r="AZ278" s="2746">
        <f t="shared" ca="1" si="537"/>
        <v>-0.85881785845237901</v>
      </c>
      <c r="BA278" s="2748"/>
      <c r="BB278" s="69"/>
      <c r="BC278" s="2746">
        <f t="shared" ref="BC278:BD278" ca="1" si="559">BC447</f>
        <v>-0.85881785845237901</v>
      </c>
      <c r="BD278" s="2746">
        <f t="shared" ca="1" si="559"/>
        <v>0.86546044444886228</v>
      </c>
      <c r="BE278" s="2746">
        <f t="shared" ca="1" si="538"/>
        <v>-1.7242783029012414</v>
      </c>
      <c r="BF278" s="2749"/>
      <c r="BG278" s="2746">
        <f t="shared" ref="BG278" ca="1" si="560">BG447</f>
        <v>0</v>
      </c>
      <c r="BH278" s="2746">
        <f t="shared" ca="1" si="539"/>
        <v>-0.85881785845237901</v>
      </c>
      <c r="BI278" s="2748"/>
    </row>
    <row r="279" spans="1:61" ht="14.5">
      <c r="A279" s="1693">
        <f t="shared" si="532"/>
        <v>279</v>
      </c>
      <c r="B279" s="616">
        <v>1</v>
      </c>
      <c r="C279" s="1693">
        <f t="shared" si="531"/>
        <v>279</v>
      </c>
      <c r="D279" s="616">
        <v>1</v>
      </c>
      <c r="E279" s="709" t="s">
        <v>512</v>
      </c>
      <c r="F279" s="69"/>
      <c r="G279" s="8"/>
      <c r="H279" s="737"/>
      <c r="I279" s="4"/>
      <c r="J279" s="4"/>
      <c r="K279" s="3"/>
      <c r="L279" s="27"/>
      <c r="M279" s="572" t="s">
        <v>509</v>
      </c>
      <c r="N279" s="251"/>
      <c r="O279" s="251"/>
      <c r="P279" s="251"/>
      <c r="Q279" s="251"/>
      <c r="R279" s="1786" t="str">
        <f>CHOOSE(2, "6722000003198", "PL (3) CAI Directly assigned")</f>
        <v>PL (3) CAI Directly assigned</v>
      </c>
      <c r="S279" s="1380">
        <f>SUM(S280:S282)</f>
        <v>2792.2347537777891</v>
      </c>
      <c r="T279" s="1380">
        <f t="shared" ref="T279:AD279" si="561">SUM(T280:T282)</f>
        <v>2625.4218628167091</v>
      </c>
      <c r="U279" s="1380">
        <f t="shared" si="561"/>
        <v>4411.9916419877682</v>
      </c>
      <c r="V279" s="1380">
        <f t="shared" si="561"/>
        <v>2050.1845203610555</v>
      </c>
      <c r="W279" s="1380">
        <f t="shared" si="561"/>
        <v>2538.1319927357026</v>
      </c>
      <c r="X279" s="1380">
        <f t="shared" si="561"/>
        <v>3879.2740496177103</v>
      </c>
      <c r="Y279" s="1249">
        <f t="shared" si="561"/>
        <v>2313.5685622147016</v>
      </c>
      <c r="Z279" s="1249">
        <f t="shared" si="561"/>
        <v>2555.1347182678728</v>
      </c>
      <c r="AA279" s="1249">
        <f t="shared" si="561"/>
        <v>2943.9522564551526</v>
      </c>
      <c r="AB279" s="1614">
        <f t="shared" si="561"/>
        <v>3032.6755779677756</v>
      </c>
      <c r="AC279" s="1614">
        <f t="shared" si="561"/>
        <v>2618.4847945634906</v>
      </c>
      <c r="AD279" s="1614">
        <f t="shared" si="561"/>
        <v>1724.8250912974311</v>
      </c>
      <c r="AE279" s="1615">
        <f t="shared" ref="AE279:AK279" si="562">SUM(AE280:AE282)</f>
        <v>9829.6482585822669</v>
      </c>
      <c r="AF279" s="1614">
        <f t="shared" si="562"/>
        <v>8467.5905627144675</v>
      </c>
      <c r="AG279" s="1614">
        <f t="shared" si="562"/>
        <v>7812.6555369377265</v>
      </c>
      <c r="AH279" s="1614">
        <f t="shared" si="562"/>
        <v>7375.9854638286961</v>
      </c>
      <c r="AI279" s="1614">
        <f t="shared" si="562"/>
        <v>18297.238821296734</v>
      </c>
      <c r="AJ279" s="1614">
        <f t="shared" si="562"/>
        <v>15188.641000766424</v>
      </c>
      <c r="AK279" s="1614">
        <f t="shared" si="562"/>
        <v>33485.879822063158</v>
      </c>
      <c r="AM279" s="2252">
        <f ca="1">SUM((INDIRECT(AM$2&amp;(ROW())):INDIRECT(AM$3&amp;(ROW()))))</f>
        <v>2792.2347537777891</v>
      </c>
      <c r="AN279" s="2251">
        <f ca="1">SUM(INDIRECT(AN$1&amp;AN$2&amp;$C279):INDIRECT(AN$1&amp;AN$3&amp;$C279))</f>
        <v>3116.8165641648875</v>
      </c>
      <c r="AO279" s="2750">
        <f t="shared" ca="1" si="507"/>
        <v>-324.58181038709836</v>
      </c>
      <c r="AP279" s="2751">
        <f t="shared" ref="AP279:AP283" ca="1" si="563">IFERROR(AM279/AN279,0)</f>
        <v>0.89586111222619669</v>
      </c>
      <c r="AQ279" s="2262">
        <f ca="1">SUM(INDIRECT(AQ$1&amp;AQ$2&amp;$A279):INDIRECT(AQ$1&amp;AQ$3&amp;$A279))+SUM(INDIRECT(AQ$1&amp;AQ$2&amp;$B279):INDIRECT(AQ$1&amp;AQ$3&amp;$B279))</f>
        <v>2598.9108360598129</v>
      </c>
      <c r="AR279" s="2752">
        <f t="shared" ca="1" si="535"/>
        <v>193.3239177179762</v>
      </c>
      <c r="AS279" s="2753">
        <f t="shared" ref="AS279:AS283" ca="1" si="564">IFERROR(AM279/AQ279,0)</f>
        <v>1.0743865141641693</v>
      </c>
      <c r="AU279" s="2252">
        <f ca="1">SUM((INDIRECT(AU$2&amp;(ROW())):INDIRECT(AU$3&amp;(ROW()))))</f>
        <v>2792.2347537777891</v>
      </c>
      <c r="AV279" s="2251">
        <f ca="1">SUM(INDIRECT(AV$1&amp;AV$2&amp;$C279):INDIRECT(AV$1&amp;AV$3&amp;$C279))</f>
        <v>3116.8165641648875</v>
      </c>
      <c r="AW279" s="2750">
        <f t="shared" ca="1" si="536"/>
        <v>-324.58181038709836</v>
      </c>
      <c r="AX279" s="2751">
        <f t="shared" ref="AX279:AX283" ca="1" si="565">IFERROR(AU279/AV279,0)</f>
        <v>0.89586111222619669</v>
      </c>
      <c r="AY279" s="2262">
        <f ca="1">SUM(INDIRECT(AY$1&amp;AY$2&amp;$A279):INDIRECT(AY$1&amp;AY$3&amp;$A279))+SUM(INDIRECT(AY$1&amp;AY$2&amp;$B279):INDIRECT(AY$1&amp;AY$3&amp;$B279))</f>
        <v>2598.9108360598129</v>
      </c>
      <c r="AZ279" s="2752">
        <f t="shared" ca="1" si="537"/>
        <v>193.3239177179762</v>
      </c>
      <c r="BA279" s="2753">
        <f t="shared" ref="BA279:BA283" ca="1" si="566">IFERROR(AU279/AY279,0)</f>
        <v>1.0743865141641693</v>
      </c>
      <c r="BB279" s="69"/>
      <c r="BC279" s="1986">
        <f ca="1">SUM((INDIRECT(BC$2&amp;(ROW())):INDIRECT(BC$3&amp;(ROW()))))</f>
        <v>2792.2347537777891</v>
      </c>
      <c r="BD279" s="2262">
        <f ca="1">SUM(INDIRECT(BD$1&amp;BD$2&amp;$C279):INDIRECT(BD$1&amp;BD$3&amp;$C279))</f>
        <v>3116.8165641648875</v>
      </c>
      <c r="BE279" s="2752">
        <f t="shared" ca="1" si="538"/>
        <v>-324.58181038709836</v>
      </c>
      <c r="BF279" s="2753">
        <f t="shared" ref="BF279:BF283" ca="1" si="567">IFERROR(BC279/BD279,0)</f>
        <v>0.89586111222619669</v>
      </c>
      <c r="BG279" s="2262">
        <f ca="1">SUM(INDIRECT(BG$1&amp;BG$2&amp;$A279):INDIRECT(BG$1&amp;BG$3&amp;$A279))+SUM(INDIRECT(BG$1&amp;BG$2&amp;$B279):INDIRECT(BG$1&amp;BG$3&amp;$B279))</f>
        <v>2598.9108360598129</v>
      </c>
      <c r="BH279" s="2752">
        <f t="shared" ca="1" si="539"/>
        <v>193.3239177179762</v>
      </c>
      <c r="BI279" s="2753">
        <f t="shared" ref="BI279:BI283" ca="1" si="568">IFERROR(BC279/BG279,0)</f>
        <v>1.0743865141641693</v>
      </c>
    </row>
    <row r="280" spans="1:61" ht="14.5">
      <c r="A280" s="1693">
        <f t="shared" si="532"/>
        <v>280</v>
      </c>
      <c r="B280" s="616">
        <v>1</v>
      </c>
      <c r="C280" s="1693">
        <f t="shared" si="531"/>
        <v>280</v>
      </c>
      <c r="D280" s="616">
        <v>1</v>
      </c>
      <c r="E280" s="709" t="s">
        <v>512</v>
      </c>
      <c r="F280" s="69"/>
      <c r="G280" s="8"/>
      <c r="H280" s="737"/>
      <c r="I280" s="4"/>
      <c r="J280" s="4"/>
      <c r="K280" s="3"/>
      <c r="L280" s="27"/>
      <c r="M280" s="27"/>
      <c r="N280" s="36" t="s">
        <v>87</v>
      </c>
      <c r="O280" s="3"/>
      <c r="P280" s="3"/>
      <c r="Q280" s="3"/>
      <c r="R280" s="1787" t="str">
        <f>CHOOSE(2, "6722000003199", "PL (3) CAI Directly assigned Variable Expenses")</f>
        <v>PL (3) CAI Directly assigned Variable Expenses</v>
      </c>
      <c r="S280" s="1350">
        <v>465.25532820705712</v>
      </c>
      <c r="T280" s="1350">
        <v>435.46990194880368</v>
      </c>
      <c r="U280" s="1350">
        <v>2496.1007321223187</v>
      </c>
      <c r="V280" s="1350">
        <v>-22.520135541770642</v>
      </c>
      <c r="W280" s="1350">
        <v>192.35512176190082</v>
      </c>
      <c r="X280" s="1350">
        <v>2127.180291121128</v>
      </c>
      <c r="Y280" s="1281">
        <v>327.86920553349864</v>
      </c>
      <c r="Z280" s="1281">
        <v>624.9144924517168</v>
      </c>
      <c r="AA280" s="1281">
        <f>-244.04919970513+544</f>
        <v>299.95080029486996</v>
      </c>
      <c r="AB280" s="1351">
        <v>590.74132825084052</v>
      </c>
      <c r="AC280" s="1351">
        <v>164.50751072330581</v>
      </c>
      <c r="AD280" s="1351">
        <v>-39.94475097714394</v>
      </c>
      <c r="AE280" s="125">
        <f>SUM(S280,T280,U280)</f>
        <v>3396.8259622781798</v>
      </c>
      <c r="AF280" s="126">
        <f>SUM(V280,W280,X280)</f>
        <v>2297.0152773412583</v>
      </c>
      <c r="AG280" s="126">
        <f>SUM(Y280,Z280,AA280)</f>
        <v>1252.7344982800855</v>
      </c>
      <c r="AH280" s="126">
        <f>SUM(AB280,AC280,AD280)</f>
        <v>715.3040879970024</v>
      </c>
      <c r="AI280" s="126">
        <f>AE280+AF280</f>
        <v>5693.8412396194381</v>
      </c>
      <c r="AJ280" s="126">
        <f>AH280+AG280</f>
        <v>1968.0385862770879</v>
      </c>
      <c r="AK280" s="126">
        <f>AI280+AJ280</f>
        <v>7661.8798258965262</v>
      </c>
      <c r="AM280" s="2470">
        <f ca="1">SUM((INDIRECT(AM$2&amp;(ROW())):INDIRECT(AM$3&amp;(ROW()))))</f>
        <v>465.25532820705712</v>
      </c>
      <c r="AN280" s="2754">
        <f ca="1">SUM(INDIRECT(AN$1&amp;AN$2&amp;$C280):INDIRECT(AN$1&amp;AN$3&amp;$C280))</f>
        <v>1021.943976583972</v>
      </c>
      <c r="AO280" s="2755">
        <f t="shared" ca="1" si="507"/>
        <v>-556.6886483769149</v>
      </c>
      <c r="AP280" s="2756">
        <f t="shared" ca="1" si="563"/>
        <v>0.45526500362794359</v>
      </c>
      <c r="AQ280" s="2043">
        <f ca="1">SUM(INDIRECT(AQ$1&amp;AQ$2&amp;$A280):INDIRECT(AQ$1&amp;AQ$3&amp;$A280))+SUM(INDIRECT(AQ$1&amp;AQ$2&amp;$B280):INDIRECT(AQ$1&amp;AQ$3&amp;$B280))</f>
        <v>169.92407056187767</v>
      </c>
      <c r="AR280" s="2757">
        <f t="shared" ca="1" si="535"/>
        <v>295.33125764517945</v>
      </c>
      <c r="AS280" s="2758">
        <f t="shared" ca="1" si="564"/>
        <v>2.7380189673459765</v>
      </c>
      <c r="AU280" s="2470">
        <f ca="1">SUM((INDIRECT(AU$2&amp;(ROW())):INDIRECT(AU$3&amp;(ROW()))))</f>
        <v>465.25532820705712</v>
      </c>
      <c r="AV280" s="2754">
        <f ca="1">SUM(INDIRECT(AV$1&amp;AV$2&amp;$C280):INDIRECT(AV$1&amp;AV$3&amp;$C280))</f>
        <v>1021.943976583972</v>
      </c>
      <c r="AW280" s="2755">
        <f t="shared" ca="1" si="536"/>
        <v>-556.6886483769149</v>
      </c>
      <c r="AX280" s="2756">
        <f t="shared" ca="1" si="565"/>
        <v>0.45526500362794359</v>
      </c>
      <c r="AY280" s="2043">
        <f ca="1">SUM(INDIRECT(AY$1&amp;AY$2&amp;$A280):INDIRECT(AY$1&amp;AY$3&amp;$A280))+SUM(INDIRECT(AY$1&amp;AY$2&amp;$B280):INDIRECT(AY$1&amp;AY$3&amp;$B280))</f>
        <v>169.92407056187767</v>
      </c>
      <c r="AZ280" s="2757">
        <f t="shared" ca="1" si="537"/>
        <v>295.33125764517945</v>
      </c>
      <c r="BA280" s="2758">
        <f t="shared" ca="1" si="566"/>
        <v>2.7380189673459765</v>
      </c>
      <c r="BB280" s="69"/>
      <c r="BC280" s="1378">
        <f ca="1">SUM((INDIRECT(BC$2&amp;(ROW())):INDIRECT(BC$3&amp;(ROW()))))</f>
        <v>465.25532820705712</v>
      </c>
      <c r="BD280" s="2043">
        <f ca="1">SUM(INDIRECT(BD$1&amp;BD$2&amp;$C280):INDIRECT(BD$1&amp;BD$3&amp;$C280))</f>
        <v>1021.943976583972</v>
      </c>
      <c r="BE280" s="2757">
        <f t="shared" ca="1" si="538"/>
        <v>-556.6886483769149</v>
      </c>
      <c r="BF280" s="2758">
        <f t="shared" ca="1" si="567"/>
        <v>0.45526500362794359</v>
      </c>
      <c r="BG280" s="2043">
        <f ca="1">SUM(INDIRECT(BG$1&amp;BG$2&amp;$A280):INDIRECT(BG$1&amp;BG$3&amp;$A280))+SUM(INDIRECT(BG$1&amp;BG$2&amp;$B280):INDIRECT(BG$1&amp;BG$3&amp;$B280))</f>
        <v>169.92407056187767</v>
      </c>
      <c r="BH280" s="2757">
        <f t="shared" ca="1" si="539"/>
        <v>295.33125764517945</v>
      </c>
      <c r="BI280" s="2758">
        <f t="shared" ca="1" si="568"/>
        <v>2.7380189673459765</v>
      </c>
    </row>
    <row r="281" spans="1:61" ht="14.5">
      <c r="A281" s="1693">
        <f t="shared" si="532"/>
        <v>281</v>
      </c>
      <c r="B281" s="616">
        <v>1</v>
      </c>
      <c r="C281" s="1693">
        <f t="shared" si="531"/>
        <v>281</v>
      </c>
      <c r="D281" s="616">
        <v>1</v>
      </c>
      <c r="E281" s="709" t="s">
        <v>512</v>
      </c>
      <c r="F281" s="69"/>
      <c r="G281" s="8"/>
      <c r="H281" s="737"/>
      <c r="I281" s="4"/>
      <c r="J281" s="4"/>
      <c r="K281" s="3"/>
      <c r="L281" s="27"/>
      <c r="M281" s="27"/>
      <c r="N281" s="36" t="s">
        <v>88</v>
      </c>
      <c r="O281" s="3"/>
      <c r="P281" s="3"/>
      <c r="Q281" s="3"/>
      <c r="R281" s="1787" t="str">
        <f>CHOOSE(2, "6722000003200", "PL (3) CAI Directly assigned Wages &amp; Salaries")</f>
        <v>PL (3) CAI Directly assigned Wages &amp; Salaries</v>
      </c>
      <c r="S281" s="1350">
        <v>1860.1545540928932</v>
      </c>
      <c r="T281" s="1350">
        <v>1673</v>
      </c>
      <c r="U281" s="1350">
        <v>1545.1594705097291</v>
      </c>
      <c r="V281" s="1350">
        <v>1696.8142347978519</v>
      </c>
      <c r="W281" s="1350">
        <v>1997.303488211242</v>
      </c>
      <c r="X281" s="1350">
        <v>1403.7429404258799</v>
      </c>
      <c r="Y281" s="1281">
        <v>1655.4366425232276</v>
      </c>
      <c r="Z281" s="1281">
        <v>1615.9988936924499</v>
      </c>
      <c r="AA281" s="1281">
        <v>1886.6653051853427</v>
      </c>
      <c r="AB281" s="1351">
        <v>1767.505447239389</v>
      </c>
      <c r="AC281" s="1351">
        <v>1835.8113134994271</v>
      </c>
      <c r="AD281" s="1351">
        <v>1596.2953418580876</v>
      </c>
      <c r="AE281" s="125">
        <f>SUM(S281,T281,U281)</f>
        <v>5078.3140246026223</v>
      </c>
      <c r="AF281" s="126">
        <f>SUM(V281,W281,X281)</f>
        <v>5097.8606634349735</v>
      </c>
      <c r="AG281" s="126">
        <f>SUM(Y281,Z281,AA281)</f>
        <v>5158.1008414010203</v>
      </c>
      <c r="AH281" s="126">
        <f>SUM(AB281,AC281,AD281)</f>
        <v>5199.6121025969032</v>
      </c>
      <c r="AI281" s="126">
        <f>AE281+AF281</f>
        <v>10176.174688037596</v>
      </c>
      <c r="AJ281" s="126">
        <f>AH281+AG281</f>
        <v>10357.712943997924</v>
      </c>
      <c r="AK281" s="126">
        <f>AI281+AJ281</f>
        <v>20533.887632035519</v>
      </c>
      <c r="AM281" s="2470">
        <f ca="1">SUM((INDIRECT(AM$2&amp;(ROW())):INDIRECT(AM$3&amp;(ROW()))))</f>
        <v>1860.1545540928932</v>
      </c>
      <c r="AN281" s="2754">
        <f ca="1">SUM(INDIRECT(AN$1&amp;AN$2&amp;$C281):INDIRECT(AN$1&amp;AN$3&amp;$C281))</f>
        <v>1833.112108967302</v>
      </c>
      <c r="AO281" s="2755">
        <f t="shared" ca="1" si="507"/>
        <v>27.042445125591257</v>
      </c>
      <c r="AP281" s="2756">
        <f t="shared" ca="1" si="563"/>
        <v>1.0147522047305801</v>
      </c>
      <c r="AQ281" s="2043">
        <f ca="1">SUM(INDIRECT(AQ$1&amp;AQ$2&amp;$A281):INDIRECT(AQ$1&amp;AQ$3&amp;$A281))+SUM(INDIRECT(AQ$1&amp;AQ$2&amp;$B281):INDIRECT(AQ$1&amp;AQ$3&amp;$B281))</f>
        <v>1965</v>
      </c>
      <c r="AR281" s="2757">
        <f t="shared" ca="1" si="535"/>
        <v>-104.84544590710675</v>
      </c>
      <c r="AS281" s="2758">
        <f t="shared" ca="1" si="564"/>
        <v>0.94664353897857167</v>
      </c>
      <c r="AU281" s="2470">
        <f ca="1">SUM((INDIRECT(AU$2&amp;(ROW())):INDIRECT(AU$3&amp;(ROW()))))</f>
        <v>1860.1545540928932</v>
      </c>
      <c r="AV281" s="2754">
        <f ca="1">SUM(INDIRECT(AV$1&amp;AV$2&amp;$C281):INDIRECT(AV$1&amp;AV$3&amp;$C281))</f>
        <v>1833.112108967302</v>
      </c>
      <c r="AW281" s="2755">
        <f t="shared" ca="1" si="536"/>
        <v>27.042445125591257</v>
      </c>
      <c r="AX281" s="2756">
        <f t="shared" ca="1" si="565"/>
        <v>1.0147522047305801</v>
      </c>
      <c r="AY281" s="2043">
        <f ca="1">SUM(INDIRECT(AY$1&amp;AY$2&amp;$A281):INDIRECT(AY$1&amp;AY$3&amp;$A281))+SUM(INDIRECT(AY$1&amp;AY$2&amp;$B281):INDIRECT(AY$1&amp;AY$3&amp;$B281))</f>
        <v>1965</v>
      </c>
      <c r="AZ281" s="2757">
        <f t="shared" ca="1" si="537"/>
        <v>-104.84544590710675</v>
      </c>
      <c r="BA281" s="2758">
        <f t="shared" ca="1" si="566"/>
        <v>0.94664353897857167</v>
      </c>
      <c r="BB281" s="69"/>
      <c r="BC281" s="1378">
        <f ca="1">SUM((INDIRECT(BC$2&amp;(ROW())):INDIRECT(BC$3&amp;(ROW()))))</f>
        <v>1860.1545540928932</v>
      </c>
      <c r="BD281" s="2043">
        <f ca="1">SUM(INDIRECT(BD$1&amp;BD$2&amp;$C281):INDIRECT(BD$1&amp;BD$3&amp;$C281))</f>
        <v>1833.112108967302</v>
      </c>
      <c r="BE281" s="2757">
        <f t="shared" ca="1" si="538"/>
        <v>27.042445125591257</v>
      </c>
      <c r="BF281" s="2758">
        <f t="shared" ca="1" si="567"/>
        <v>1.0147522047305801</v>
      </c>
      <c r="BG281" s="2043">
        <f ca="1">SUM(INDIRECT(BG$1&amp;BG$2&amp;$A281):INDIRECT(BG$1&amp;BG$3&amp;$A281))+SUM(INDIRECT(BG$1&amp;BG$2&amp;$B281):INDIRECT(BG$1&amp;BG$3&amp;$B281))</f>
        <v>1965</v>
      </c>
      <c r="BH281" s="2757">
        <f t="shared" ca="1" si="539"/>
        <v>-104.84544590710675</v>
      </c>
      <c r="BI281" s="2758">
        <f t="shared" ca="1" si="568"/>
        <v>0.94664353897857167</v>
      </c>
    </row>
    <row r="282" spans="1:61" ht="14.5">
      <c r="A282" s="1693">
        <f t="shared" si="532"/>
        <v>282</v>
      </c>
      <c r="B282" s="616">
        <v>1</v>
      </c>
      <c r="C282" s="1693">
        <f t="shared" si="531"/>
        <v>282</v>
      </c>
      <c r="D282" s="616">
        <v>1</v>
      </c>
      <c r="E282" s="709" t="s">
        <v>512</v>
      </c>
      <c r="F282" s="69"/>
      <c r="G282" s="8"/>
      <c r="H282" s="737"/>
      <c r="I282" s="4"/>
      <c r="J282" s="4"/>
      <c r="K282" s="3"/>
      <c r="L282" s="27"/>
      <c r="M282" s="25"/>
      <c r="N282" s="104" t="s">
        <v>89</v>
      </c>
      <c r="O282" s="1"/>
      <c r="P282" s="1"/>
      <c r="Q282" s="1"/>
      <c r="R282" s="1787" t="str">
        <f>CHOOSE(2, "6722000003201", "PL (3) CAI Directly assigned Fixed Expenses")</f>
        <v>PL (3) CAI Directly assigned Fixed Expenses</v>
      </c>
      <c r="S282" s="1352">
        <v>466.82487147783866</v>
      </c>
      <c r="T282" s="1352">
        <v>516.95196086790588</v>
      </c>
      <c r="U282" s="1352">
        <v>370.73143935572057</v>
      </c>
      <c r="V282" s="1352">
        <v>375.89042110497451</v>
      </c>
      <c r="W282" s="1352">
        <v>348.47338276255977</v>
      </c>
      <c r="X282" s="1352">
        <v>348.35081807070196</v>
      </c>
      <c r="Y282" s="1282">
        <v>330.26271415797549</v>
      </c>
      <c r="Z282" s="1282">
        <v>314.22133212370568</v>
      </c>
      <c r="AA282" s="1282">
        <f>1301.33615097494-544</f>
        <v>757.33615097493998</v>
      </c>
      <c r="AB282" s="1353">
        <v>674.42880247754601</v>
      </c>
      <c r="AC282" s="1353">
        <v>618.16597034075767</v>
      </c>
      <c r="AD282" s="1353">
        <v>168.47450041648739</v>
      </c>
      <c r="AE282" s="122">
        <f>SUM(S282,T282,U282)</f>
        <v>1354.5082717014652</v>
      </c>
      <c r="AF282" s="123">
        <f>SUM(V282,W282,X282)</f>
        <v>1072.7146219382362</v>
      </c>
      <c r="AG282" s="123">
        <f>SUM(Y282,Z282,AA282)</f>
        <v>1401.8201972566212</v>
      </c>
      <c r="AH282" s="123">
        <f>SUM(AB282,AC282,AD282)</f>
        <v>1461.0692732347911</v>
      </c>
      <c r="AI282" s="123">
        <f>AE282+AF282</f>
        <v>2427.2228936397014</v>
      </c>
      <c r="AJ282" s="123">
        <f>AH282+AG282</f>
        <v>2862.8894704914123</v>
      </c>
      <c r="AK282" s="123">
        <f>AI282+AJ282</f>
        <v>5290.1123641311133</v>
      </c>
      <c r="AM282" s="2494">
        <f ca="1">SUM((INDIRECT(AM$2&amp;(ROW())):INDIRECT(AM$3&amp;(ROW()))))</f>
        <v>466.82487147783866</v>
      </c>
      <c r="AN282" s="1980">
        <f ca="1">SUM(INDIRECT(AN$1&amp;AN$2&amp;$C282):INDIRECT(AN$1&amp;AN$3&amp;$C282))</f>
        <v>261.7604786136136</v>
      </c>
      <c r="AO282" s="2759">
        <f t="shared" ca="1" si="507"/>
        <v>205.06439286422506</v>
      </c>
      <c r="AP282" s="2760">
        <f t="shared" ca="1" si="563"/>
        <v>1.7834047139213938</v>
      </c>
      <c r="AQ282" s="1979">
        <f ca="1">SUM(INDIRECT(AQ$1&amp;AQ$2&amp;$A282):INDIRECT(AQ$1&amp;AQ$3&amp;$A282))+SUM(INDIRECT(AQ$1&amp;AQ$2&amp;$B282):INDIRECT(AQ$1&amp;AQ$3&amp;$B282))</f>
        <v>463.98676549793532</v>
      </c>
      <c r="AR282" s="2742">
        <f t="shared" ca="1" si="535"/>
        <v>2.8381059799033324</v>
      </c>
      <c r="AS282" s="2743">
        <f t="shared" ca="1" si="564"/>
        <v>1.0061167821820469</v>
      </c>
      <c r="AU282" s="2494">
        <f ca="1">SUM((INDIRECT(AU$2&amp;(ROW())):INDIRECT(AU$3&amp;(ROW()))))</f>
        <v>466.82487147783866</v>
      </c>
      <c r="AV282" s="1980">
        <f ca="1">SUM(INDIRECT(AV$1&amp;AV$2&amp;$C282):INDIRECT(AV$1&amp;AV$3&amp;$C282))</f>
        <v>261.7604786136136</v>
      </c>
      <c r="AW282" s="2759">
        <f t="shared" ca="1" si="536"/>
        <v>205.06439286422506</v>
      </c>
      <c r="AX282" s="2760">
        <f t="shared" ca="1" si="565"/>
        <v>1.7834047139213938</v>
      </c>
      <c r="AY282" s="1979">
        <f ca="1">SUM(INDIRECT(AY$1&amp;AY$2&amp;$A282):INDIRECT(AY$1&amp;AY$3&amp;$A282))+SUM(INDIRECT(AY$1&amp;AY$2&amp;$B282):INDIRECT(AY$1&amp;AY$3&amp;$B282))</f>
        <v>463.98676549793532</v>
      </c>
      <c r="AZ282" s="2742">
        <f t="shared" ca="1" si="537"/>
        <v>2.8381059799033324</v>
      </c>
      <c r="BA282" s="2743">
        <f t="shared" ca="1" si="566"/>
        <v>1.0061167821820469</v>
      </c>
      <c r="BB282" s="69"/>
      <c r="BC282" s="1379">
        <f ca="1">SUM((INDIRECT(BC$2&amp;(ROW())):INDIRECT(BC$3&amp;(ROW()))))</f>
        <v>466.82487147783866</v>
      </c>
      <c r="BD282" s="1979">
        <f ca="1">SUM(INDIRECT(BD$1&amp;BD$2&amp;$C282):INDIRECT(BD$1&amp;BD$3&amp;$C282))</f>
        <v>261.7604786136136</v>
      </c>
      <c r="BE282" s="2742">
        <f t="shared" ca="1" si="538"/>
        <v>205.06439286422506</v>
      </c>
      <c r="BF282" s="2743">
        <f t="shared" ca="1" si="567"/>
        <v>1.7834047139213938</v>
      </c>
      <c r="BG282" s="1979">
        <f ca="1">SUM(INDIRECT(BG$1&amp;BG$2&amp;$A282):INDIRECT(BG$1&amp;BG$3&amp;$A282))+SUM(INDIRECT(BG$1&amp;BG$2&amp;$B282):INDIRECT(BG$1&amp;BG$3&amp;$B282))</f>
        <v>463.98676549793532</v>
      </c>
      <c r="BH282" s="2742">
        <f t="shared" ca="1" si="539"/>
        <v>2.8381059799033324</v>
      </c>
      <c r="BI282" s="2743">
        <f t="shared" ca="1" si="568"/>
        <v>1.0061167821820469</v>
      </c>
    </row>
    <row r="283" spans="1:61" ht="14.5">
      <c r="A283" s="1693">
        <f t="shared" si="532"/>
        <v>283</v>
      </c>
      <c r="B283" s="616">
        <v>1</v>
      </c>
      <c r="C283" s="1693">
        <f t="shared" si="531"/>
        <v>283</v>
      </c>
      <c r="D283" s="616">
        <v>1</v>
      </c>
      <c r="E283" s="709" t="s">
        <v>512</v>
      </c>
      <c r="F283" s="69"/>
      <c r="G283" s="8"/>
      <c r="H283" s="737"/>
      <c r="I283" s="4"/>
      <c r="J283" s="4"/>
      <c r="K283" s="3"/>
      <c r="L283" s="27"/>
      <c r="M283" s="572" t="s">
        <v>510</v>
      </c>
      <c r="N283" s="586"/>
      <c r="O283" s="586"/>
      <c r="P283" s="586"/>
      <c r="Q283" s="586"/>
      <c r="R283" s="1786" t="str">
        <f>CHOOSE(2, "6722000003202", "PL (3) CAI Allocation")</f>
        <v>PL (3) CAI Allocation</v>
      </c>
      <c r="S283" s="1421">
        <f>SUM(S285:S287)</f>
        <v>-361.99999999999659</v>
      </c>
      <c r="T283" s="1421">
        <f t="shared" ref="T283:AD283" si="569">SUM(T285:T287)</f>
        <v>0</v>
      </c>
      <c r="U283" s="1421">
        <f t="shared" si="569"/>
        <v>0</v>
      </c>
      <c r="V283" s="1421">
        <f t="shared" si="569"/>
        <v>0</v>
      </c>
      <c r="W283" s="1421">
        <f t="shared" si="569"/>
        <v>0</v>
      </c>
      <c r="X283" s="1421">
        <f t="shared" si="569"/>
        <v>0</v>
      </c>
      <c r="Y283" s="1384">
        <f t="shared" si="569"/>
        <v>0</v>
      </c>
      <c r="Z283" s="1384">
        <f t="shared" si="569"/>
        <v>0</v>
      </c>
      <c r="AA283" s="1384">
        <f t="shared" si="569"/>
        <v>-0.28695126980994701</v>
      </c>
      <c r="AB283" s="1385">
        <f t="shared" si="569"/>
        <v>0</v>
      </c>
      <c r="AC283" s="1385">
        <f t="shared" si="569"/>
        <v>0</v>
      </c>
      <c r="AD283" s="1385">
        <f t="shared" si="569"/>
        <v>0</v>
      </c>
      <c r="AE283" s="881">
        <f t="shared" ref="AE283:AK283" si="570">SUM(AE285:AE287)</f>
        <v>-361.99999999999659</v>
      </c>
      <c r="AF283" s="1616">
        <f t="shared" si="570"/>
        <v>0</v>
      </c>
      <c r="AG283" s="1616">
        <f t="shared" si="570"/>
        <v>-0.28695126980994701</v>
      </c>
      <c r="AH283" s="1616">
        <f t="shared" si="570"/>
        <v>0</v>
      </c>
      <c r="AI283" s="1616">
        <f t="shared" si="570"/>
        <v>-361.99999999999659</v>
      </c>
      <c r="AJ283" s="1616">
        <f t="shared" si="570"/>
        <v>-0.28695126980994701</v>
      </c>
      <c r="AK283" s="1616">
        <f t="shared" si="570"/>
        <v>-362.28695126980654</v>
      </c>
      <c r="AM283" s="2470">
        <f ca="1">SUM((INDIRECT(AM$2&amp;(ROW())):INDIRECT(AM$3&amp;(ROW()))))</f>
        <v>-361.99999999999659</v>
      </c>
      <c r="AN283" s="2754">
        <f ca="1">SUM(INDIRECT(AN$1&amp;AN$2&amp;$C283):INDIRECT(AN$1&amp;AN$3&amp;$C283))</f>
        <v>515.17539773595411</v>
      </c>
      <c r="AO283" s="2755">
        <f t="shared" ca="1" si="507"/>
        <v>-877.1753977359507</v>
      </c>
      <c r="AP283" s="2756">
        <f t="shared" ca="1" si="563"/>
        <v>-0.70267330619994894</v>
      </c>
      <c r="AQ283" s="2043">
        <f ca="1">SUM(INDIRECT(AQ$1&amp;AQ$2&amp;$A283):INDIRECT(AQ$1&amp;AQ$3&amp;$A283))+SUM(INDIRECT(AQ$1&amp;AQ$2&amp;$B283):INDIRECT(AQ$1&amp;AQ$3&amp;$B283))</f>
        <v>0</v>
      </c>
      <c r="AR283" s="2757">
        <f t="shared" ca="1" si="535"/>
        <v>-361.99999999999659</v>
      </c>
      <c r="AS283" s="2758">
        <f t="shared" ca="1" si="564"/>
        <v>0</v>
      </c>
      <c r="AU283" s="2470">
        <f ca="1">SUM((INDIRECT(AU$2&amp;(ROW())):INDIRECT(AU$3&amp;(ROW()))))</f>
        <v>-361.99999999999659</v>
      </c>
      <c r="AV283" s="2754">
        <f ca="1">SUM(INDIRECT(AV$1&amp;AV$2&amp;$C283):INDIRECT(AV$1&amp;AV$3&amp;$C283))</f>
        <v>515.17539773595411</v>
      </c>
      <c r="AW283" s="2755">
        <f t="shared" ca="1" si="536"/>
        <v>-877.1753977359507</v>
      </c>
      <c r="AX283" s="2756">
        <f t="shared" ca="1" si="565"/>
        <v>-0.70267330619994894</v>
      </c>
      <c r="AY283" s="2043">
        <f ca="1">SUM(INDIRECT(AY$1&amp;AY$2&amp;$A283):INDIRECT(AY$1&amp;AY$3&amp;$A283))+SUM(INDIRECT(AY$1&amp;AY$2&amp;$B283):INDIRECT(AY$1&amp;AY$3&amp;$B283))</f>
        <v>0</v>
      </c>
      <c r="AZ283" s="2757">
        <f t="shared" ca="1" si="537"/>
        <v>-361.99999999999659</v>
      </c>
      <c r="BA283" s="2758">
        <f t="shared" ca="1" si="566"/>
        <v>0</v>
      </c>
      <c r="BB283" s="69"/>
      <c r="BC283" s="1378">
        <f ca="1">SUM((INDIRECT(BC$2&amp;(ROW())):INDIRECT(BC$3&amp;(ROW()))))</f>
        <v>-361.99999999999659</v>
      </c>
      <c r="BD283" s="2043">
        <f ca="1">SUM(INDIRECT(BD$1&amp;BD$2&amp;$C283):INDIRECT(BD$1&amp;BD$3&amp;$C283))</f>
        <v>515.17539773595411</v>
      </c>
      <c r="BE283" s="2757">
        <f t="shared" ca="1" si="538"/>
        <v>-877.1753977359507</v>
      </c>
      <c r="BF283" s="2758">
        <f t="shared" ca="1" si="567"/>
        <v>-0.70267330619994894</v>
      </c>
      <c r="BG283" s="2043">
        <f ca="1">SUM(INDIRECT(BG$1&amp;BG$2&amp;$A283):INDIRECT(BG$1&amp;BG$3&amp;$A283))+SUM(INDIRECT(BG$1&amp;BG$2&amp;$B283):INDIRECT(BG$1&amp;BG$3&amp;$B283))</f>
        <v>0</v>
      </c>
      <c r="BH283" s="2757">
        <f t="shared" ca="1" si="539"/>
        <v>-361.99999999999659</v>
      </c>
      <c r="BI283" s="2758">
        <f t="shared" ca="1" si="568"/>
        <v>0</v>
      </c>
    </row>
    <row r="284" spans="1:61" ht="14.5">
      <c r="A284" s="1693">
        <f t="shared" si="532"/>
        <v>284</v>
      </c>
      <c r="B284" s="616">
        <v>1</v>
      </c>
      <c r="C284" s="1693">
        <f t="shared" si="531"/>
        <v>284</v>
      </c>
      <c r="D284" s="616">
        <v>1</v>
      </c>
      <c r="E284" s="709" t="s">
        <v>512</v>
      </c>
      <c r="F284" s="69"/>
      <c r="G284" s="8"/>
      <c r="H284" s="737"/>
      <c r="I284" s="4"/>
      <c r="J284" s="4"/>
      <c r="K284" s="3"/>
      <c r="L284" s="27"/>
      <c r="M284" s="498"/>
      <c r="N284" s="553" t="s">
        <v>513</v>
      </c>
      <c r="O284" s="47"/>
      <c r="P284" s="47"/>
      <c r="Q284" s="47"/>
      <c r="R284" s="1776" t="str">
        <f>CHOOSE(2, "6722000003203", "PL (3) CAI Allocation SGA (%)")</f>
        <v>PL (3) CAI Allocation SGA (%)</v>
      </c>
      <c r="S284" s="1334">
        <f>IFERROR(S283/S268,0)</f>
        <v>-0.14895680322128088</v>
      </c>
      <c r="T284" s="1334">
        <f t="shared" ref="T284:AD284" si="571">IFERROR(T283/T268,0)</f>
        <v>0</v>
      </c>
      <c r="U284" s="1334">
        <f t="shared" si="571"/>
        <v>0</v>
      </c>
      <c r="V284" s="1334">
        <f t="shared" si="571"/>
        <v>0</v>
      </c>
      <c r="W284" s="1334">
        <f t="shared" si="571"/>
        <v>0</v>
      </c>
      <c r="X284" s="1334">
        <f t="shared" si="571"/>
        <v>0</v>
      </c>
      <c r="Y284" s="1334">
        <f t="shared" si="571"/>
        <v>0</v>
      </c>
      <c r="Z284" s="1334">
        <f t="shared" si="571"/>
        <v>0</v>
      </c>
      <c r="AA284" s="1334">
        <f t="shared" si="571"/>
        <v>-9.7480942994597551E-5</v>
      </c>
      <c r="AB284" s="1334">
        <f t="shared" si="571"/>
        <v>0</v>
      </c>
      <c r="AC284" s="1334">
        <f t="shared" si="571"/>
        <v>0</v>
      </c>
      <c r="AD284" s="1334">
        <f t="shared" si="571"/>
        <v>0</v>
      </c>
      <c r="AE284" s="1332">
        <f t="shared" ref="AE284:AK284" si="572">IFERROR(AE283/AE268,0)</f>
        <v>-3.8235472010892405E-2</v>
      </c>
      <c r="AF284" s="1334">
        <f t="shared" si="572"/>
        <v>0</v>
      </c>
      <c r="AG284" s="1334">
        <f t="shared" si="572"/>
        <v>-3.6730380378669008E-5</v>
      </c>
      <c r="AH284" s="1334">
        <f t="shared" si="572"/>
        <v>0</v>
      </c>
      <c r="AI284" s="1334">
        <f t="shared" si="572"/>
        <v>-2.0183729004497504E-2</v>
      </c>
      <c r="AJ284" s="1334">
        <f t="shared" si="572"/>
        <v>-1.8892848354391461E-5</v>
      </c>
      <c r="AK284" s="1334">
        <f t="shared" si="572"/>
        <v>-1.0937429181761627E-2</v>
      </c>
      <c r="AM284" s="2761">
        <f t="shared" ref="AM284:AN284" ca="1" si="573">IFERROR(AM283/AM268,0)</f>
        <v>-0.14895680322128088</v>
      </c>
      <c r="AN284" s="2761">
        <f t="shared" ca="1" si="573"/>
        <v>0.14184376043231428</v>
      </c>
      <c r="AO284" s="2761">
        <f t="shared" ca="1" si="507"/>
        <v>-0.29080056365359519</v>
      </c>
      <c r="AP284" s="2762"/>
      <c r="AQ284" s="2761">
        <f t="shared" ref="AQ284" ca="1" si="574">IFERROR(AQ283/AQ268,0)</f>
        <v>0</v>
      </c>
      <c r="AR284" s="2761">
        <f t="shared" ref="AR284" ca="1" si="575">IFERROR(AR283/AR264,0)</f>
        <v>0.42739079102715066</v>
      </c>
      <c r="AS284" s="2763"/>
      <c r="AU284" s="2761">
        <f t="shared" ref="AU284:AV284" ca="1" si="576">IFERROR(AU283/AU268,0)</f>
        <v>-0.14895680322128088</v>
      </c>
      <c r="AV284" s="2761">
        <f t="shared" ca="1" si="576"/>
        <v>0.14184376043231428</v>
      </c>
      <c r="AW284" s="2761">
        <f t="shared" ca="1" si="536"/>
        <v>-0.29080056365359519</v>
      </c>
      <c r="AX284" s="2762"/>
      <c r="AY284" s="2761">
        <f t="shared" ref="AY284" ca="1" si="577">IFERROR(AY283/AY268,0)</f>
        <v>0</v>
      </c>
      <c r="AZ284" s="2761">
        <f t="shared" ref="AZ284" ca="1" si="578">IFERROR(AZ283/AZ264,0)</f>
        <v>0.42739079102715066</v>
      </c>
      <c r="BA284" s="2763"/>
      <c r="BB284" s="69"/>
      <c r="BC284" s="2761">
        <f t="shared" ref="BC284:BD284" ca="1" si="579">IFERROR(BC283/BC268,0)</f>
        <v>-0.14895680322128088</v>
      </c>
      <c r="BD284" s="2761">
        <f t="shared" ca="1" si="579"/>
        <v>0.14184376043231428</v>
      </c>
      <c r="BE284" s="2761">
        <f t="shared" ca="1" si="538"/>
        <v>-0.29080056365359519</v>
      </c>
      <c r="BF284" s="2764"/>
      <c r="BG284" s="2761">
        <f t="shared" ref="BG284" ca="1" si="580">IFERROR(BG283/BG268,0)</f>
        <v>0</v>
      </c>
      <c r="BH284" s="2761">
        <f t="shared" ref="BH284" ca="1" si="581">IFERROR(BH283/BH264,0)</f>
        <v>0.42739079102715066</v>
      </c>
      <c r="BI284" s="2763"/>
    </row>
    <row r="285" spans="1:61" ht="14.5">
      <c r="A285" s="1693">
        <f t="shared" si="532"/>
        <v>285</v>
      </c>
      <c r="B285" s="616">
        <v>1</v>
      </c>
      <c r="C285" s="1693">
        <f t="shared" si="531"/>
        <v>285</v>
      </c>
      <c r="D285" s="616">
        <v>1</v>
      </c>
      <c r="E285" s="709" t="s">
        <v>512</v>
      </c>
      <c r="F285" s="69"/>
      <c r="G285" s="8"/>
      <c r="H285" s="737"/>
      <c r="I285" s="4"/>
      <c r="J285" s="4"/>
      <c r="K285" s="3"/>
      <c r="L285" s="27"/>
      <c r="M285" s="27"/>
      <c r="N285" s="36" t="s">
        <v>87</v>
      </c>
      <c r="O285" s="3"/>
      <c r="P285" s="3"/>
      <c r="Q285" s="3"/>
      <c r="R285" s="1786" t="str">
        <f>CHOOSE(2, "6722000003204", "PL (3) CAI Allocation Variable Expenses")</f>
        <v>PL (3) CAI Allocation Variable Expenses</v>
      </c>
      <c r="S285" s="1289">
        <f>S269-S280</f>
        <v>0</v>
      </c>
      <c r="T285" s="1289">
        <f t="shared" ref="T285:AD285" si="582">T269-T280</f>
        <v>0</v>
      </c>
      <c r="U285" s="1289">
        <f t="shared" si="582"/>
        <v>0</v>
      </c>
      <c r="V285" s="1289">
        <f t="shared" si="582"/>
        <v>0</v>
      </c>
      <c r="W285" s="1289">
        <f t="shared" si="582"/>
        <v>0</v>
      </c>
      <c r="X285" s="1289">
        <f t="shared" si="582"/>
        <v>0</v>
      </c>
      <c r="Y285" s="1226">
        <f t="shared" si="582"/>
        <v>0</v>
      </c>
      <c r="Z285" s="1226">
        <f t="shared" si="582"/>
        <v>0</v>
      </c>
      <c r="AA285" s="1226">
        <f t="shared" si="582"/>
        <v>4.9199705130035909E-2</v>
      </c>
      <c r="AB285" s="1419">
        <f t="shared" si="582"/>
        <v>0</v>
      </c>
      <c r="AC285" s="1419">
        <f t="shared" si="582"/>
        <v>0</v>
      </c>
      <c r="AD285" s="1419">
        <f t="shared" si="582"/>
        <v>0</v>
      </c>
      <c r="AE285" s="1617">
        <f>SUM(S285,T285,U285)</f>
        <v>0</v>
      </c>
      <c r="AF285" s="1419">
        <f>SUM(V285,W285,X285)</f>
        <v>0</v>
      </c>
      <c r="AG285" s="1419">
        <f>SUM(Y285,Z285,AA285)</f>
        <v>4.9199705130035909E-2</v>
      </c>
      <c r="AH285" s="1419">
        <f>SUM(AB285,AC285,AD285)</f>
        <v>0</v>
      </c>
      <c r="AI285" s="1419">
        <f>AE285+AF285</f>
        <v>0</v>
      </c>
      <c r="AJ285" s="1419">
        <f>AH285+AG285</f>
        <v>4.9199705130035909E-2</v>
      </c>
      <c r="AK285" s="1419">
        <f>AI285+AJ285</f>
        <v>4.9199705130035909E-2</v>
      </c>
      <c r="AM285" s="2470">
        <f ca="1">SUM((INDIRECT(AM$2&amp;(ROW())):INDIRECT(AM$3&amp;(ROW()))))</f>
        <v>0</v>
      </c>
      <c r="AN285" s="2754">
        <f ca="1">SUM(INDIRECT(AN$1&amp;AN$2&amp;$C285):INDIRECT(AN$1&amp;AN$3&amp;$C285))</f>
        <v>515.17867806524373</v>
      </c>
      <c r="AO285" s="2755">
        <f t="shared" ca="1" si="507"/>
        <v>-515.17867806524373</v>
      </c>
      <c r="AP285" s="2756">
        <f t="shared" ref="AP285:AP287" ca="1" si="583">IFERROR(AM285/AN285,0)</f>
        <v>0</v>
      </c>
      <c r="AQ285" s="2043">
        <f ca="1">SUM(INDIRECT(AQ$1&amp;AQ$2&amp;$A285):INDIRECT(AQ$1&amp;AQ$3&amp;$A285))+SUM(INDIRECT(AQ$1&amp;AQ$2&amp;$B285):INDIRECT(AQ$1&amp;AQ$3&amp;$B285))</f>
        <v>0</v>
      </c>
      <c r="AR285" s="2757">
        <f t="shared" ref="AR285:AR287" ca="1" si="584">AM285-AQ285</f>
        <v>0</v>
      </c>
      <c r="AS285" s="2758">
        <f t="shared" ref="AS285:AS287" ca="1" si="585">IFERROR(AM285/AQ285,0)</f>
        <v>0</v>
      </c>
      <c r="AU285" s="2470">
        <f ca="1">SUM((INDIRECT(AU$2&amp;(ROW())):INDIRECT(AU$3&amp;(ROW()))))</f>
        <v>0</v>
      </c>
      <c r="AV285" s="2754">
        <f ca="1">SUM(INDIRECT(AV$1&amp;AV$2&amp;$C285):INDIRECT(AV$1&amp;AV$3&amp;$C285))</f>
        <v>515.17867806524373</v>
      </c>
      <c r="AW285" s="2755">
        <f t="shared" ca="1" si="536"/>
        <v>-515.17867806524373</v>
      </c>
      <c r="AX285" s="2756">
        <f t="shared" ref="AX285:AX287" ca="1" si="586">IFERROR(AU285/AV285,0)</f>
        <v>0</v>
      </c>
      <c r="AY285" s="2043">
        <f ca="1">SUM(INDIRECT(AY$1&amp;AY$2&amp;$A285):INDIRECT(AY$1&amp;AY$3&amp;$A285))+SUM(INDIRECT(AY$1&amp;AY$2&amp;$B285):INDIRECT(AY$1&amp;AY$3&amp;$B285))</f>
        <v>0</v>
      </c>
      <c r="AZ285" s="2757">
        <f t="shared" ref="AZ285:AZ287" ca="1" si="587">AU285-AY285</f>
        <v>0</v>
      </c>
      <c r="BA285" s="2758">
        <f t="shared" ref="BA285:BA287" ca="1" si="588">IFERROR(AU285/AY285,0)</f>
        <v>0</v>
      </c>
      <c r="BB285" s="69"/>
      <c r="BC285" s="1378">
        <f ca="1">SUM((INDIRECT(BC$2&amp;(ROW())):INDIRECT(BC$3&amp;(ROW()))))</f>
        <v>0</v>
      </c>
      <c r="BD285" s="2043">
        <f ca="1">SUM(INDIRECT(BD$1&amp;BD$2&amp;$C285):INDIRECT(BD$1&amp;BD$3&amp;$C285))</f>
        <v>515.17867806524373</v>
      </c>
      <c r="BE285" s="2757">
        <f t="shared" ca="1" si="538"/>
        <v>-515.17867806524373</v>
      </c>
      <c r="BF285" s="2758">
        <f t="shared" ref="BF285:BF287" ca="1" si="589">IFERROR(BC285/BD285,0)</f>
        <v>0</v>
      </c>
      <c r="BG285" s="2043">
        <f ca="1">SUM(INDIRECT(BG$1&amp;BG$2&amp;$A285):INDIRECT(BG$1&amp;BG$3&amp;$A285))+SUM(INDIRECT(BG$1&amp;BG$2&amp;$B285):INDIRECT(BG$1&amp;BG$3&amp;$B285))</f>
        <v>0</v>
      </c>
      <c r="BH285" s="2757">
        <f t="shared" ref="BH285:BH287" ca="1" si="590">BC285-BG285</f>
        <v>0</v>
      </c>
      <c r="BI285" s="2758">
        <f t="shared" ref="BI285:BI287" ca="1" si="591">IFERROR(BC285/BG285,0)</f>
        <v>0</v>
      </c>
    </row>
    <row r="286" spans="1:61" ht="14.5">
      <c r="A286" s="1693">
        <f t="shared" si="532"/>
        <v>286</v>
      </c>
      <c r="B286" s="616">
        <v>1</v>
      </c>
      <c r="C286" s="1693">
        <f t="shared" si="531"/>
        <v>286</v>
      </c>
      <c r="D286" s="616">
        <v>1</v>
      </c>
      <c r="E286" s="709" t="s">
        <v>512</v>
      </c>
      <c r="F286" s="69"/>
      <c r="G286" s="8"/>
      <c r="H286" s="737"/>
      <c r="I286" s="4"/>
      <c r="J286" s="4"/>
      <c r="K286" s="3"/>
      <c r="L286" s="27"/>
      <c r="M286" s="27"/>
      <c r="N286" s="36" t="s">
        <v>88</v>
      </c>
      <c r="O286" s="3"/>
      <c r="P286" s="3"/>
      <c r="Q286" s="3"/>
      <c r="R286" s="1786" t="str">
        <f>CHOOSE(2, "6722000003205", "PL (3) CAI Allocation Wages &amp; Salaries")</f>
        <v>PL (3) CAI Allocation Wages &amp; Salaries</v>
      </c>
      <c r="S286" s="1289">
        <f t="shared" ref="S286:AD287" si="592">S270-S281</f>
        <v>-361.99999999999659</v>
      </c>
      <c r="T286" s="1289">
        <f t="shared" si="592"/>
        <v>0</v>
      </c>
      <c r="U286" s="1289">
        <f t="shared" si="592"/>
        <v>0</v>
      </c>
      <c r="V286" s="1289">
        <f t="shared" si="592"/>
        <v>0</v>
      </c>
      <c r="W286" s="1289">
        <f t="shared" si="592"/>
        <v>0</v>
      </c>
      <c r="X286" s="1289">
        <f t="shared" si="592"/>
        <v>0</v>
      </c>
      <c r="Y286" s="1226">
        <f t="shared" si="592"/>
        <v>0</v>
      </c>
      <c r="Z286" s="1226">
        <f t="shared" si="592"/>
        <v>0</v>
      </c>
      <c r="AA286" s="1226">
        <f t="shared" si="592"/>
        <v>0</v>
      </c>
      <c r="AB286" s="1419">
        <f t="shared" si="592"/>
        <v>0</v>
      </c>
      <c r="AC286" s="1419">
        <f t="shared" si="592"/>
        <v>0</v>
      </c>
      <c r="AD286" s="1419">
        <f t="shared" si="592"/>
        <v>0</v>
      </c>
      <c r="AE286" s="1617">
        <f>SUM(S286,T286,U286)</f>
        <v>-361.99999999999659</v>
      </c>
      <c r="AF286" s="1419">
        <f>SUM(V286,W286,X286)</f>
        <v>0</v>
      </c>
      <c r="AG286" s="1419">
        <f>SUM(Y286,Z286,AA286)</f>
        <v>0</v>
      </c>
      <c r="AH286" s="1419">
        <f>SUM(AB286,AC286,AD286)</f>
        <v>0</v>
      </c>
      <c r="AI286" s="1419">
        <f>AE286+AF286</f>
        <v>-361.99999999999659</v>
      </c>
      <c r="AJ286" s="1419">
        <f>AH286+AG286</f>
        <v>0</v>
      </c>
      <c r="AK286" s="1419">
        <f>AI286+AJ286</f>
        <v>-361.99999999999659</v>
      </c>
      <c r="AM286" s="2470">
        <f ca="1">SUM((INDIRECT(AM$2&amp;(ROW())):INDIRECT(AM$3&amp;(ROW()))))</f>
        <v>-361.99999999999659</v>
      </c>
      <c r="AN286" s="2754">
        <f ca="1">SUM(INDIRECT(AN$1&amp;AN$2&amp;$C286):INDIRECT(AN$1&amp;AN$3&amp;$C286))</f>
        <v>0</v>
      </c>
      <c r="AO286" s="2755">
        <f t="shared" ca="1" si="507"/>
        <v>-361.99999999999659</v>
      </c>
      <c r="AP286" s="2756">
        <f t="shared" ca="1" si="583"/>
        <v>0</v>
      </c>
      <c r="AQ286" s="2043">
        <f ca="1">SUM(INDIRECT(AQ$1&amp;AQ$2&amp;$A286):INDIRECT(AQ$1&amp;AQ$3&amp;$A286))+SUM(INDIRECT(AQ$1&amp;AQ$2&amp;$B286):INDIRECT(AQ$1&amp;AQ$3&amp;$B286))</f>
        <v>0</v>
      </c>
      <c r="AR286" s="2757">
        <f t="shared" ca="1" si="584"/>
        <v>-361.99999999999659</v>
      </c>
      <c r="AS286" s="2758">
        <f t="shared" ca="1" si="585"/>
        <v>0</v>
      </c>
      <c r="AU286" s="2470">
        <f ca="1">SUM((INDIRECT(AU$2&amp;(ROW())):INDIRECT(AU$3&amp;(ROW()))))</f>
        <v>-361.99999999999659</v>
      </c>
      <c r="AV286" s="2754">
        <f ca="1">SUM(INDIRECT(AV$1&amp;AV$2&amp;$C286):INDIRECT(AV$1&amp;AV$3&amp;$C286))</f>
        <v>0</v>
      </c>
      <c r="AW286" s="2755">
        <f t="shared" ca="1" si="536"/>
        <v>-361.99999999999659</v>
      </c>
      <c r="AX286" s="2756">
        <f t="shared" ca="1" si="586"/>
        <v>0</v>
      </c>
      <c r="AY286" s="2043">
        <f ca="1">SUM(INDIRECT(AY$1&amp;AY$2&amp;$A286):INDIRECT(AY$1&amp;AY$3&amp;$A286))+SUM(INDIRECT(AY$1&amp;AY$2&amp;$B286):INDIRECT(AY$1&amp;AY$3&amp;$B286))</f>
        <v>0</v>
      </c>
      <c r="AZ286" s="2757">
        <f t="shared" ca="1" si="587"/>
        <v>-361.99999999999659</v>
      </c>
      <c r="BA286" s="2758">
        <f t="shared" ca="1" si="588"/>
        <v>0</v>
      </c>
      <c r="BB286" s="69"/>
      <c r="BC286" s="1378">
        <f ca="1">SUM((INDIRECT(BC$2&amp;(ROW())):INDIRECT(BC$3&amp;(ROW()))))</f>
        <v>-361.99999999999659</v>
      </c>
      <c r="BD286" s="2043">
        <f ca="1">SUM(INDIRECT(BD$1&amp;BD$2&amp;$C286):INDIRECT(BD$1&amp;BD$3&amp;$C286))</f>
        <v>0</v>
      </c>
      <c r="BE286" s="2757">
        <f t="shared" ca="1" si="538"/>
        <v>-361.99999999999659</v>
      </c>
      <c r="BF286" s="2758">
        <f t="shared" ca="1" si="589"/>
        <v>0</v>
      </c>
      <c r="BG286" s="2043">
        <f ca="1">SUM(INDIRECT(BG$1&amp;BG$2&amp;$A286):INDIRECT(BG$1&amp;BG$3&amp;$A286))+SUM(INDIRECT(BG$1&amp;BG$2&amp;$B286):INDIRECT(BG$1&amp;BG$3&amp;$B286))</f>
        <v>0</v>
      </c>
      <c r="BH286" s="2757">
        <f t="shared" ca="1" si="590"/>
        <v>-361.99999999999659</v>
      </c>
      <c r="BI286" s="2758">
        <f t="shared" ca="1" si="591"/>
        <v>0</v>
      </c>
    </row>
    <row r="287" spans="1:61" ht="14.5">
      <c r="A287" s="1693">
        <f t="shared" si="532"/>
        <v>287</v>
      </c>
      <c r="B287" s="616">
        <v>1</v>
      </c>
      <c r="C287" s="1693">
        <f t="shared" si="531"/>
        <v>287</v>
      </c>
      <c r="D287" s="616">
        <v>1</v>
      </c>
      <c r="E287" s="709" t="s">
        <v>512</v>
      </c>
      <c r="F287" s="69"/>
      <c r="G287" s="8"/>
      <c r="H287" s="737"/>
      <c r="I287" s="4"/>
      <c r="J287" s="4"/>
      <c r="K287" s="3"/>
      <c r="L287" s="25"/>
      <c r="M287" s="25"/>
      <c r="N287" s="104" t="s">
        <v>89</v>
      </c>
      <c r="O287" s="1"/>
      <c r="P287" s="1"/>
      <c r="Q287" s="1"/>
      <c r="R287" s="1786" t="str">
        <f>CHOOSE(2, "6722000003206", "PL (3) CAI Allocation Fixed Expenses")</f>
        <v>PL (3) CAI Allocation Fixed Expenses</v>
      </c>
      <c r="S287" s="1290">
        <f t="shared" si="592"/>
        <v>0</v>
      </c>
      <c r="T287" s="1290">
        <f t="shared" si="592"/>
        <v>0</v>
      </c>
      <c r="U287" s="1290">
        <f t="shared" si="592"/>
        <v>0</v>
      </c>
      <c r="V287" s="1290">
        <f t="shared" si="592"/>
        <v>0</v>
      </c>
      <c r="W287" s="1290">
        <f t="shared" si="592"/>
        <v>0</v>
      </c>
      <c r="X287" s="1290">
        <f t="shared" si="592"/>
        <v>0</v>
      </c>
      <c r="Y287" s="1228">
        <f t="shared" si="592"/>
        <v>0</v>
      </c>
      <c r="Z287" s="1228">
        <f t="shared" si="592"/>
        <v>0</v>
      </c>
      <c r="AA287" s="1228">
        <f t="shared" si="592"/>
        <v>-0.33615097493998292</v>
      </c>
      <c r="AB287" s="1605">
        <f t="shared" si="592"/>
        <v>0</v>
      </c>
      <c r="AC287" s="1605">
        <f t="shared" si="592"/>
        <v>0</v>
      </c>
      <c r="AD287" s="1605">
        <f t="shared" si="592"/>
        <v>0</v>
      </c>
      <c r="AE287" s="1606">
        <f>SUM(S287,T287,U287)</f>
        <v>0</v>
      </c>
      <c r="AF287" s="1605">
        <f>SUM(V287,W287,X287)</f>
        <v>0</v>
      </c>
      <c r="AG287" s="1605">
        <f>SUM(Y287,Z287,AA287)</f>
        <v>-0.33615097493998292</v>
      </c>
      <c r="AH287" s="1605">
        <f>SUM(AB287,AC287,AD287)</f>
        <v>0</v>
      </c>
      <c r="AI287" s="1605">
        <f>AE287+AF287</f>
        <v>0</v>
      </c>
      <c r="AJ287" s="1605">
        <f>AH287+AG287</f>
        <v>-0.33615097493998292</v>
      </c>
      <c r="AK287" s="1605">
        <f>AI287+AJ287</f>
        <v>-0.33615097493998292</v>
      </c>
      <c r="AM287" s="2494">
        <f ca="1">SUM((INDIRECT(AM$2&amp;(ROW())):INDIRECT(AM$3&amp;(ROW()))))</f>
        <v>0</v>
      </c>
      <c r="AN287" s="1980">
        <f ca="1">SUM(INDIRECT(AN$1&amp;AN$2&amp;$C287):INDIRECT(AN$1&amp;AN$3&amp;$C287))</f>
        <v>-3.2803292896232961E-3</v>
      </c>
      <c r="AO287" s="2759">
        <f t="shared" ca="1" si="507"/>
        <v>3.2803292896232961E-3</v>
      </c>
      <c r="AP287" s="2760">
        <f t="shared" ca="1" si="583"/>
        <v>0</v>
      </c>
      <c r="AQ287" s="1979">
        <f ca="1">SUM(INDIRECT(AQ$1&amp;AQ$2&amp;$A287):INDIRECT(AQ$1&amp;AQ$3&amp;$A287))+SUM(INDIRECT(AQ$1&amp;AQ$2&amp;$B287):INDIRECT(AQ$1&amp;AQ$3&amp;$B287))</f>
        <v>0</v>
      </c>
      <c r="AR287" s="2742">
        <f t="shared" ca="1" si="584"/>
        <v>0</v>
      </c>
      <c r="AS287" s="2743">
        <f t="shared" ca="1" si="585"/>
        <v>0</v>
      </c>
      <c r="AU287" s="2494">
        <f ca="1">SUM((INDIRECT(AU$2&amp;(ROW())):INDIRECT(AU$3&amp;(ROW()))))</f>
        <v>0</v>
      </c>
      <c r="AV287" s="1980">
        <f ca="1">SUM(INDIRECT(AV$1&amp;AV$2&amp;$C287):INDIRECT(AV$1&amp;AV$3&amp;$C287))</f>
        <v>-3.2803292896232961E-3</v>
      </c>
      <c r="AW287" s="2759">
        <f t="shared" ca="1" si="536"/>
        <v>3.2803292896232961E-3</v>
      </c>
      <c r="AX287" s="2760">
        <f t="shared" ca="1" si="586"/>
        <v>0</v>
      </c>
      <c r="AY287" s="1979">
        <f ca="1">SUM(INDIRECT(AY$1&amp;AY$2&amp;$A287):INDIRECT(AY$1&amp;AY$3&amp;$A287))+SUM(INDIRECT(AY$1&amp;AY$2&amp;$B287):INDIRECT(AY$1&amp;AY$3&amp;$B287))</f>
        <v>0</v>
      </c>
      <c r="AZ287" s="2742">
        <f t="shared" ca="1" si="587"/>
        <v>0</v>
      </c>
      <c r="BA287" s="2743">
        <f t="shared" ca="1" si="588"/>
        <v>0</v>
      </c>
      <c r="BB287" s="69"/>
      <c r="BC287" s="1379">
        <f ca="1">SUM((INDIRECT(BC$2&amp;(ROW())):INDIRECT(BC$3&amp;(ROW()))))</f>
        <v>0</v>
      </c>
      <c r="BD287" s="1979">
        <f ca="1">SUM(INDIRECT(BD$1&amp;BD$2&amp;$C287):INDIRECT(BD$1&amp;BD$3&amp;$C287))</f>
        <v>-3.2803292896232961E-3</v>
      </c>
      <c r="BE287" s="2742">
        <f t="shared" ca="1" si="538"/>
        <v>3.2803292896232961E-3</v>
      </c>
      <c r="BF287" s="2743">
        <f t="shared" ca="1" si="589"/>
        <v>0</v>
      </c>
      <c r="BG287" s="1979">
        <f ca="1">SUM(INDIRECT(BG$1&amp;BG$2&amp;$A287):INDIRECT(BG$1&amp;BG$3&amp;$A287))+SUM(INDIRECT(BG$1&amp;BG$2&amp;$B287):INDIRECT(BG$1&amp;BG$3&amp;$B287))</f>
        <v>0</v>
      </c>
      <c r="BH287" s="2742">
        <f t="shared" ca="1" si="590"/>
        <v>0</v>
      </c>
      <c r="BI287" s="2743">
        <f t="shared" ca="1" si="591"/>
        <v>0</v>
      </c>
    </row>
    <row r="288" spans="1:61" ht="14.5">
      <c r="A288" s="1693">
        <f t="shared" si="532"/>
        <v>288</v>
      </c>
      <c r="B288" s="616">
        <v>1</v>
      </c>
      <c r="C288" s="1693">
        <f t="shared" si="531"/>
        <v>288</v>
      </c>
      <c r="D288" s="616">
        <v>1</v>
      </c>
      <c r="E288" s="709" t="s">
        <v>512</v>
      </c>
      <c r="F288" s="1572"/>
      <c r="G288" s="4"/>
      <c r="H288" s="4"/>
      <c r="I288" s="4"/>
      <c r="J288" s="4"/>
      <c r="K288" s="3"/>
      <c r="L288" s="4"/>
      <c r="M288" s="4"/>
      <c r="N288" s="3"/>
      <c r="O288" s="3"/>
      <c r="P288" s="3"/>
      <c r="Q288" s="3"/>
      <c r="R288" s="1773" t="str">
        <f>CHOOSE(2, "6722000003207", "▷ Blank 13")</f>
        <v>▷ Blank 13</v>
      </c>
      <c r="S288" s="1608"/>
      <c r="T288" s="1609"/>
      <c r="U288" s="1609"/>
      <c r="V288" s="1609"/>
      <c r="W288" s="1609"/>
      <c r="X288" s="1609"/>
      <c r="Y288" s="1366"/>
      <c r="Z288" s="1366"/>
      <c r="AA288" s="1366"/>
      <c r="AB288" s="1242"/>
      <c r="AC288" s="1242"/>
      <c r="AD288" s="1242"/>
      <c r="AE288" s="1242"/>
      <c r="AF288" s="1242"/>
      <c r="AG288" s="1242"/>
      <c r="AH288" s="1242"/>
      <c r="AI288" s="1242"/>
      <c r="AJ288" s="1242"/>
      <c r="AK288" s="608"/>
      <c r="AM288" s="2558"/>
      <c r="AN288" s="2558"/>
      <c r="AO288" s="2558"/>
      <c r="AP288" s="2558"/>
      <c r="AQ288" s="2558"/>
      <c r="AR288" s="2558"/>
      <c r="AS288" s="2558"/>
      <c r="AU288" s="2558"/>
      <c r="AV288" s="2558"/>
      <c r="AW288" s="2558"/>
      <c r="AX288" s="2558"/>
      <c r="AY288" s="2558"/>
      <c r="AZ288" s="2558"/>
      <c r="BA288" s="2558"/>
      <c r="BC288" s="2558"/>
      <c r="BD288" s="2558"/>
      <c r="BE288" s="2558"/>
      <c r="BF288" s="2558"/>
      <c r="BG288" s="2558"/>
      <c r="BH288" s="2558"/>
      <c r="BI288" s="2558"/>
    </row>
    <row r="289" spans="1:61" ht="14.5">
      <c r="A289" s="1693">
        <f t="shared" si="532"/>
        <v>289</v>
      </c>
      <c r="B289" s="616">
        <v>1</v>
      </c>
      <c r="C289" s="1693">
        <f t="shared" si="531"/>
        <v>289</v>
      </c>
      <c r="D289" s="616">
        <v>1</v>
      </c>
      <c r="E289" s="709" t="s">
        <v>512</v>
      </c>
      <c r="F289" s="1572"/>
      <c r="G289" s="4"/>
      <c r="H289" s="4"/>
      <c r="I289" s="4" t="s">
        <v>285</v>
      </c>
      <c r="J289" s="4"/>
      <c r="K289" s="3"/>
      <c r="L289" s="4"/>
      <c r="M289" s="4"/>
      <c r="N289" s="3"/>
      <c r="O289" s="3"/>
      <c r="P289" s="3"/>
      <c r="Q289" s="3"/>
      <c r="R289" s="1773" t="str">
        <f>CHOOSE(2, "6722000003208", "PL (4) MS (Marketing Service)")</f>
        <v>PL (4) MS (Marketing Service)</v>
      </c>
      <c r="S289" s="1608"/>
      <c r="T289" s="1609"/>
      <c r="U289" s="1609"/>
      <c r="V289" s="1609"/>
      <c r="W289" s="1609"/>
      <c r="X289" s="1609"/>
      <c r="Y289" s="1366"/>
      <c r="Z289" s="1366"/>
      <c r="AA289" s="1366"/>
      <c r="AB289" s="1366"/>
      <c r="AC289" s="1366"/>
      <c r="AD289" s="1366"/>
      <c r="AE289" s="1366"/>
      <c r="AF289" s="1366"/>
      <c r="AG289" s="1366"/>
      <c r="AH289" s="1366"/>
      <c r="AI289" s="1366"/>
      <c r="AJ289" s="1366"/>
      <c r="AK289" s="1366"/>
      <c r="AM289" s="1210"/>
      <c r="AN289" s="1210"/>
      <c r="AO289" s="1210"/>
      <c r="AP289" s="1210"/>
      <c r="AQ289" s="1210"/>
      <c r="AR289" s="1210"/>
      <c r="AS289" s="1210"/>
      <c r="AU289" s="1210"/>
      <c r="AV289" s="1210"/>
      <c r="AW289" s="1210"/>
      <c r="AX289" s="1210"/>
      <c r="AY289" s="1210"/>
      <c r="AZ289" s="1210"/>
      <c r="BA289" s="1210"/>
      <c r="BC289" s="1210"/>
      <c r="BD289" s="1210"/>
      <c r="BE289" s="1210"/>
      <c r="BF289" s="1210"/>
      <c r="BG289" s="1210"/>
      <c r="BH289" s="1210"/>
      <c r="BI289" s="1210"/>
    </row>
    <row r="290" spans="1:61" ht="14.5">
      <c r="A290" s="1693">
        <f t="shared" si="532"/>
        <v>290</v>
      </c>
      <c r="B290" s="616">
        <v>1</v>
      </c>
      <c r="C290" s="1693">
        <f t="shared" si="531"/>
        <v>290</v>
      </c>
      <c r="D290" s="616">
        <v>1</v>
      </c>
      <c r="E290" s="709" t="s">
        <v>512</v>
      </c>
      <c r="F290" s="1572"/>
      <c r="G290" s="4"/>
      <c r="H290" s="4"/>
      <c r="I290" s="4"/>
      <c r="J290" s="253" t="s">
        <v>0</v>
      </c>
      <c r="K290" s="254"/>
      <c r="L290" s="255"/>
      <c r="M290" s="255"/>
      <c r="N290" s="254"/>
      <c r="O290" s="254"/>
      <c r="P290" s="493" t="s">
        <v>302</v>
      </c>
      <c r="Q290" s="595"/>
      <c r="R290" s="1798" t="str">
        <f>CHOOSE(2, "6722000003209", "PL (4) Net Sales")</f>
        <v>PL (4) Net Sales</v>
      </c>
      <c r="S290" s="1560">
        <f>SUM(S291,S295)</f>
        <v>0</v>
      </c>
      <c r="T290" s="1561">
        <f t="shared" ref="T290:AD290" si="593">SUM(T291,T295)</f>
        <v>0</v>
      </c>
      <c r="U290" s="1561">
        <f t="shared" si="593"/>
        <v>0</v>
      </c>
      <c r="V290" s="1561">
        <f t="shared" si="593"/>
        <v>0</v>
      </c>
      <c r="W290" s="1561">
        <f t="shared" si="593"/>
        <v>0</v>
      </c>
      <c r="X290" s="1561">
        <f t="shared" si="593"/>
        <v>0</v>
      </c>
      <c r="Y290" s="1561">
        <f t="shared" si="593"/>
        <v>0</v>
      </c>
      <c r="Z290" s="1561">
        <f t="shared" si="593"/>
        <v>0</v>
      </c>
      <c r="AA290" s="1561">
        <f t="shared" si="593"/>
        <v>0</v>
      </c>
      <c r="AB290" s="1561">
        <f t="shared" si="593"/>
        <v>0</v>
      </c>
      <c r="AC290" s="1561">
        <f t="shared" si="593"/>
        <v>0</v>
      </c>
      <c r="AD290" s="1561">
        <f t="shared" si="593"/>
        <v>0</v>
      </c>
      <c r="AE290" s="550">
        <f t="shared" ref="AE290:AK290" si="594">SUM(AE291,AE295)</f>
        <v>0</v>
      </c>
      <c r="AF290" s="550">
        <f t="shared" si="594"/>
        <v>0</v>
      </c>
      <c r="AG290" s="550">
        <f t="shared" si="594"/>
        <v>0</v>
      </c>
      <c r="AH290" s="550">
        <f t="shared" si="594"/>
        <v>0</v>
      </c>
      <c r="AI290" s="550">
        <f t="shared" si="594"/>
        <v>0</v>
      </c>
      <c r="AJ290" s="550">
        <f t="shared" si="594"/>
        <v>0</v>
      </c>
      <c r="AK290" s="550">
        <f t="shared" si="594"/>
        <v>0</v>
      </c>
      <c r="AM290" s="2272">
        <f ca="1">SUM((INDIRECT(AM$2&amp;(ROW())):INDIRECT(AM$3&amp;(ROW()))))</f>
        <v>0</v>
      </c>
      <c r="AN290" s="2050">
        <f ca="1">SUM(INDIRECT(AN$1&amp;AN$2&amp;$C290):INDIRECT(AN$1&amp;AN$3&amp;$C290))</f>
        <v>0</v>
      </c>
      <c r="AO290" s="2815">
        <f t="shared" ca="1" si="507"/>
        <v>0</v>
      </c>
      <c r="AP290" s="2816">
        <f t="shared" ref="AP290:AP339" ca="1" si="595">IFERROR(AM290/AN290,0)</f>
        <v>0</v>
      </c>
      <c r="AQ290" s="2050">
        <f ca="1">SUM(INDIRECT(AQ$1&amp;AQ$2&amp;$A290):INDIRECT(AQ$1&amp;AQ$3&amp;$A290))+SUM(INDIRECT(AQ$1&amp;AQ$2&amp;$B290):INDIRECT(AQ$1&amp;AQ$3&amp;$B290))</f>
        <v>0</v>
      </c>
      <c r="AR290" s="2815">
        <f t="shared" ref="AR290:AR310" ca="1" si="596">AM290-AQ290</f>
        <v>0</v>
      </c>
      <c r="AS290" s="2816">
        <f t="shared" ref="AS290:AS310" ca="1" si="597">IFERROR(AM290/AQ290,0)</f>
        <v>0</v>
      </c>
      <c r="AU290" s="2272">
        <f ca="1">SUM((INDIRECT(AU$2&amp;(ROW())):INDIRECT(AU$3&amp;(ROW()))))</f>
        <v>0</v>
      </c>
      <c r="AV290" s="2050">
        <f ca="1">SUM(INDIRECT(AV$1&amp;AV$2&amp;$C290):INDIRECT(AV$1&amp;AV$3&amp;$C290))</f>
        <v>0</v>
      </c>
      <c r="AW290" s="2815">
        <f t="shared" ref="AW290:AW350" ca="1" si="598">AU290-AV290</f>
        <v>0</v>
      </c>
      <c r="AX290" s="2816">
        <f t="shared" ref="AX290:AX310" ca="1" si="599">IFERROR(AU290/AV290,0)</f>
        <v>0</v>
      </c>
      <c r="AY290" s="2050">
        <f ca="1">SUM(INDIRECT(AY$1&amp;AY$2&amp;$A290):INDIRECT(AY$1&amp;AY$3&amp;$A290))+SUM(INDIRECT(AY$1&amp;AY$2&amp;$B290):INDIRECT(AY$1&amp;AY$3&amp;$B290))</f>
        <v>0</v>
      </c>
      <c r="AZ290" s="2815">
        <f t="shared" ref="AZ290:AZ346" ca="1" si="600">AU290-AY290</f>
        <v>0</v>
      </c>
      <c r="BA290" s="2816">
        <f t="shared" ref="BA290:BA310" ca="1" si="601">IFERROR(AU290/AY290,0)</f>
        <v>0</v>
      </c>
      <c r="BC290" s="2272">
        <f ca="1">SUM((INDIRECT(BC$2&amp;(ROW())):INDIRECT(BC$3&amp;(ROW()))))</f>
        <v>0</v>
      </c>
      <c r="BD290" s="2050">
        <f ca="1">SUM(INDIRECT(BD$1&amp;BD$2&amp;$C290):INDIRECT(BD$1&amp;BD$3&amp;$C290))</f>
        <v>0</v>
      </c>
      <c r="BE290" s="2815">
        <f t="shared" ref="BE290:BE350" ca="1" si="602">BC290-BD290</f>
        <v>0</v>
      </c>
      <c r="BF290" s="2816">
        <f t="shared" ref="BF290:BF310" ca="1" si="603">IFERROR(BC290/BD290,0)</f>
        <v>0</v>
      </c>
      <c r="BG290" s="2050">
        <f ca="1">SUM(INDIRECT(BG$1&amp;BG$2&amp;$A290):INDIRECT(BG$1&amp;BG$3&amp;$A290))+SUM(INDIRECT(BG$1&amp;BG$2&amp;$B290):INDIRECT(BG$1&amp;BG$3&amp;$B290))</f>
        <v>0</v>
      </c>
      <c r="BH290" s="2815">
        <f t="shared" ref="BH290:BH346" ca="1" si="604">BC290-BG290</f>
        <v>0</v>
      </c>
      <c r="BI290" s="2816">
        <f t="shared" ref="BI290:BI310" ca="1" si="605">IFERROR(BC290/BG290,0)</f>
        <v>0</v>
      </c>
    </row>
    <row r="291" spans="1:61" ht="14.5">
      <c r="A291" s="1693">
        <f t="shared" si="532"/>
        <v>291</v>
      </c>
      <c r="B291" s="616">
        <v>1</v>
      </c>
      <c r="C291" s="1693">
        <f t="shared" si="531"/>
        <v>291</v>
      </c>
      <c r="D291" s="616">
        <v>1</v>
      </c>
      <c r="E291" s="709" t="s">
        <v>512</v>
      </c>
      <c r="F291" s="1572"/>
      <c r="G291" s="4"/>
      <c r="H291" s="4"/>
      <c r="I291" s="4"/>
      <c r="J291" s="27"/>
      <c r="K291" s="3"/>
      <c r="L291" s="4"/>
      <c r="M291" s="301" t="s">
        <v>372</v>
      </c>
      <c r="N291" s="301"/>
      <c r="O291" s="301"/>
      <c r="P291" s="301"/>
      <c r="Q291" s="301"/>
      <c r="R291" s="1799" t="str">
        <f>CHOOSE(2, "6722000003210", "PL (4) Net Sales MPM")</f>
        <v>PL (4) Net Sales MPM</v>
      </c>
      <c r="S291" s="1562">
        <f>SUM(S292:S294)</f>
        <v>0</v>
      </c>
      <c r="T291" s="1563">
        <f t="shared" ref="T291:AD291" si="606">SUM(T292:T294)</f>
        <v>0</v>
      </c>
      <c r="U291" s="1563">
        <f t="shared" si="606"/>
        <v>0</v>
      </c>
      <c r="V291" s="1563">
        <f t="shared" si="606"/>
        <v>0</v>
      </c>
      <c r="W291" s="1563">
        <f t="shared" si="606"/>
        <v>0</v>
      </c>
      <c r="X291" s="1563">
        <f t="shared" si="606"/>
        <v>0</v>
      </c>
      <c r="Y291" s="1563">
        <f t="shared" si="606"/>
        <v>0</v>
      </c>
      <c r="Z291" s="1563">
        <f t="shared" si="606"/>
        <v>0</v>
      </c>
      <c r="AA291" s="1563">
        <f t="shared" si="606"/>
        <v>0</v>
      </c>
      <c r="AB291" s="1563">
        <f t="shared" si="606"/>
        <v>0</v>
      </c>
      <c r="AC291" s="1563">
        <f t="shared" si="606"/>
        <v>0</v>
      </c>
      <c r="AD291" s="1563">
        <f t="shared" si="606"/>
        <v>0</v>
      </c>
      <c r="AE291" s="1252">
        <f t="shared" ref="AE291:AE299" si="607">SUM(S291,T291,U291)</f>
        <v>0</v>
      </c>
      <c r="AF291" s="1252">
        <f t="shared" ref="AF291:AF299" si="608">SUM(V291,W291,X291)</f>
        <v>0</v>
      </c>
      <c r="AG291" s="1252">
        <f t="shared" ref="AG291:AG299" si="609">SUM(Y291,Z291,AA291)</f>
        <v>0</v>
      </c>
      <c r="AH291" s="1252">
        <f t="shared" ref="AH291:AH299" si="610">SUM(AB291,AC291,AD291)</f>
        <v>0</v>
      </c>
      <c r="AI291" s="1252">
        <f t="shared" ref="AI291:AI299" si="611">AE291+AF291</f>
        <v>0</v>
      </c>
      <c r="AJ291" s="1252">
        <f t="shared" ref="AJ291:AJ299" si="612">AH291+AG291</f>
        <v>0</v>
      </c>
      <c r="AK291" s="1252">
        <f t="shared" ref="AK291:AK299" si="613">AI291+AJ291</f>
        <v>0</v>
      </c>
      <c r="AM291" s="2041">
        <f ca="1">SUM((INDIRECT(AM$2&amp;(ROW())):INDIRECT(AM$3&amp;(ROW()))))</f>
        <v>0</v>
      </c>
      <c r="AN291" s="2042">
        <f ca="1">SUM(INDIRECT(AN$1&amp;AN$2&amp;$C291):INDIRECT(AN$1&amp;AN$3&amp;$C291))</f>
        <v>0</v>
      </c>
      <c r="AO291" s="2805">
        <f t="shared" ca="1" si="507"/>
        <v>0</v>
      </c>
      <c r="AP291" s="2806">
        <f t="shared" ca="1" si="595"/>
        <v>0</v>
      </c>
      <c r="AQ291" s="2042">
        <f ca="1">SUM(INDIRECT(AQ$1&amp;AQ$2&amp;$A291):INDIRECT(AQ$1&amp;AQ$3&amp;$A291))+SUM(INDIRECT(AQ$1&amp;AQ$2&amp;$B291):INDIRECT(AQ$1&amp;AQ$3&amp;$B291))</f>
        <v>0</v>
      </c>
      <c r="AR291" s="2805">
        <f t="shared" ca="1" si="596"/>
        <v>0</v>
      </c>
      <c r="AS291" s="2806">
        <f t="shared" ca="1" si="597"/>
        <v>0</v>
      </c>
      <c r="AU291" s="2041">
        <f ca="1">SUM((INDIRECT(AU$2&amp;(ROW())):INDIRECT(AU$3&amp;(ROW()))))</f>
        <v>0</v>
      </c>
      <c r="AV291" s="2042">
        <f ca="1">SUM(INDIRECT(AV$1&amp;AV$2&amp;$C291):INDIRECT(AV$1&amp;AV$3&amp;$C291))</f>
        <v>0</v>
      </c>
      <c r="AW291" s="2805">
        <f t="shared" ca="1" si="598"/>
        <v>0</v>
      </c>
      <c r="AX291" s="2806">
        <f t="shared" ca="1" si="599"/>
        <v>0</v>
      </c>
      <c r="AY291" s="2042">
        <f ca="1">SUM(INDIRECT(AY$1&amp;AY$2&amp;$A291):INDIRECT(AY$1&amp;AY$3&amp;$A291))+SUM(INDIRECT(AY$1&amp;AY$2&amp;$B291):INDIRECT(AY$1&amp;AY$3&amp;$B291))</f>
        <v>0</v>
      </c>
      <c r="AZ291" s="2805">
        <f t="shared" ca="1" si="600"/>
        <v>0</v>
      </c>
      <c r="BA291" s="2806">
        <f t="shared" ca="1" si="601"/>
        <v>0</v>
      </c>
      <c r="BC291" s="2041">
        <f ca="1">SUM((INDIRECT(BC$2&amp;(ROW())):INDIRECT(BC$3&amp;(ROW()))))</f>
        <v>0</v>
      </c>
      <c r="BD291" s="2042">
        <f ca="1">SUM(INDIRECT(BD$1&amp;BD$2&amp;$C291):INDIRECT(BD$1&amp;BD$3&amp;$C291))</f>
        <v>0</v>
      </c>
      <c r="BE291" s="2805">
        <f t="shared" ca="1" si="602"/>
        <v>0</v>
      </c>
      <c r="BF291" s="2806">
        <f t="shared" ca="1" si="603"/>
        <v>0</v>
      </c>
      <c r="BG291" s="2042">
        <f ca="1">SUM(INDIRECT(BG$1&amp;BG$2&amp;$A291):INDIRECT(BG$1&amp;BG$3&amp;$A291))+SUM(INDIRECT(BG$1&amp;BG$2&amp;$B291):INDIRECT(BG$1&amp;BG$3&amp;$B291))</f>
        <v>0</v>
      </c>
      <c r="BH291" s="2805">
        <f t="shared" ca="1" si="604"/>
        <v>0</v>
      </c>
      <c r="BI291" s="2806">
        <f t="shared" ca="1" si="605"/>
        <v>0</v>
      </c>
    </row>
    <row r="292" spans="1:61" ht="15" customHeight="1">
      <c r="A292" s="1693">
        <f t="shared" si="532"/>
        <v>292</v>
      </c>
      <c r="B292" s="616">
        <v>1</v>
      </c>
      <c r="C292" s="1693">
        <f t="shared" si="531"/>
        <v>292</v>
      </c>
      <c r="D292" s="616">
        <v>1</v>
      </c>
      <c r="E292" s="709" t="s">
        <v>512</v>
      </c>
      <c r="F292" s="1572"/>
      <c r="G292" s="4"/>
      <c r="H292" s="4"/>
      <c r="I292" s="4"/>
      <c r="J292" s="27"/>
      <c r="K292" s="3"/>
      <c r="L292" s="4"/>
      <c r="M292" s="4"/>
      <c r="N292" s="3" t="s">
        <v>114</v>
      </c>
      <c r="O292" s="3"/>
      <c r="P292" s="3"/>
      <c r="Q292" s="3"/>
      <c r="R292" s="1800" t="str">
        <f>CHOOSE(2, "6722000003211", "PL (4) Net Sales MPM Procurement")</f>
        <v>PL (4) Net Sales MPM Procurement</v>
      </c>
      <c r="S292" s="1553"/>
      <c r="T292" s="1222"/>
      <c r="U292" s="1222"/>
      <c r="V292" s="1222"/>
      <c r="W292" s="1222"/>
      <c r="X292" s="1222"/>
      <c r="Y292" s="1222"/>
      <c r="Z292" s="1222"/>
      <c r="AA292" s="1222"/>
      <c r="AB292" s="1222"/>
      <c r="AC292" s="1222"/>
      <c r="AD292" s="1222"/>
      <c r="AE292" s="1221">
        <f t="shared" si="607"/>
        <v>0</v>
      </c>
      <c r="AF292" s="1221">
        <f t="shared" si="608"/>
        <v>0</v>
      </c>
      <c r="AG292" s="1221">
        <f t="shared" si="609"/>
        <v>0</v>
      </c>
      <c r="AH292" s="1221">
        <f t="shared" si="610"/>
        <v>0</v>
      </c>
      <c r="AI292" s="1221">
        <f t="shared" si="611"/>
        <v>0</v>
      </c>
      <c r="AJ292" s="1221">
        <f t="shared" si="612"/>
        <v>0</v>
      </c>
      <c r="AK292" s="1221">
        <f t="shared" si="613"/>
        <v>0</v>
      </c>
      <c r="AM292" s="596">
        <f ca="1">SUM((INDIRECT(AM$2&amp;(ROW())):INDIRECT(AM$3&amp;(ROW()))))</f>
        <v>0</v>
      </c>
      <c r="AN292" s="2002">
        <f ca="1">SUM(INDIRECT(AN$1&amp;AN$2&amp;$C292):INDIRECT(AN$1&amp;AN$3&amp;$C292))</f>
        <v>0</v>
      </c>
      <c r="AO292" s="2767">
        <f t="shared" ca="1" si="507"/>
        <v>0</v>
      </c>
      <c r="AP292" s="2768">
        <f t="shared" ca="1" si="595"/>
        <v>0</v>
      </c>
      <c r="AQ292" s="2002">
        <f ca="1">SUM(INDIRECT(AQ$1&amp;AQ$2&amp;$A292):INDIRECT(AQ$1&amp;AQ$3&amp;$A292))+SUM(INDIRECT(AQ$1&amp;AQ$2&amp;$B292):INDIRECT(AQ$1&amp;AQ$3&amp;$B292))</f>
        <v>0</v>
      </c>
      <c r="AR292" s="2767">
        <f t="shared" ca="1" si="596"/>
        <v>0</v>
      </c>
      <c r="AS292" s="2768">
        <f t="shared" ca="1" si="597"/>
        <v>0</v>
      </c>
      <c r="AU292" s="596">
        <f ca="1">SUM((INDIRECT(AU$2&amp;(ROW())):INDIRECT(AU$3&amp;(ROW()))))</f>
        <v>0</v>
      </c>
      <c r="AV292" s="2002">
        <f ca="1">SUM(INDIRECT(AV$1&amp;AV$2&amp;$C292):INDIRECT(AV$1&amp;AV$3&amp;$C292))</f>
        <v>0</v>
      </c>
      <c r="AW292" s="2767">
        <f t="shared" ca="1" si="598"/>
        <v>0</v>
      </c>
      <c r="AX292" s="2768">
        <f t="shared" ca="1" si="599"/>
        <v>0</v>
      </c>
      <c r="AY292" s="2002">
        <f ca="1">SUM(INDIRECT(AY$1&amp;AY$2&amp;$A292):INDIRECT(AY$1&amp;AY$3&amp;$A292))+SUM(INDIRECT(AY$1&amp;AY$2&amp;$B292):INDIRECT(AY$1&amp;AY$3&amp;$B292))</f>
        <v>0</v>
      </c>
      <c r="AZ292" s="2767">
        <f t="shared" ca="1" si="600"/>
        <v>0</v>
      </c>
      <c r="BA292" s="2768">
        <f t="shared" ca="1" si="601"/>
        <v>0</v>
      </c>
      <c r="BC292" s="596">
        <f ca="1">SUM((INDIRECT(BC$2&amp;(ROW())):INDIRECT(BC$3&amp;(ROW()))))</f>
        <v>0</v>
      </c>
      <c r="BD292" s="2002">
        <f ca="1">SUM(INDIRECT(BD$1&amp;BD$2&amp;$C292):INDIRECT(BD$1&amp;BD$3&amp;$C292))</f>
        <v>0</v>
      </c>
      <c r="BE292" s="2767">
        <f t="shared" ca="1" si="602"/>
        <v>0</v>
      </c>
      <c r="BF292" s="2768">
        <f t="shared" ca="1" si="603"/>
        <v>0</v>
      </c>
      <c r="BG292" s="2002">
        <f ca="1">SUM(INDIRECT(BG$1&amp;BG$2&amp;$A292):INDIRECT(BG$1&amp;BG$3&amp;$A292))+SUM(INDIRECT(BG$1&amp;BG$2&amp;$B292):INDIRECT(BG$1&amp;BG$3&amp;$B292))</f>
        <v>0</v>
      </c>
      <c r="BH292" s="2767">
        <f t="shared" ca="1" si="604"/>
        <v>0</v>
      </c>
      <c r="BI292" s="2768">
        <f t="shared" ca="1" si="605"/>
        <v>0</v>
      </c>
    </row>
    <row r="293" spans="1:61" ht="15" customHeight="1">
      <c r="A293" s="1693">
        <f t="shared" si="532"/>
        <v>293</v>
      </c>
      <c r="B293" s="616">
        <v>1</v>
      </c>
      <c r="C293" s="1693">
        <f t="shared" si="531"/>
        <v>293</v>
      </c>
      <c r="D293" s="616">
        <v>1</v>
      </c>
      <c r="E293" s="709" t="s">
        <v>512</v>
      </c>
      <c r="F293" s="1572"/>
      <c r="G293" s="4"/>
      <c r="H293" s="4"/>
      <c r="I293" s="4"/>
      <c r="J293" s="27"/>
      <c r="K293" s="3"/>
      <c r="L293" s="4"/>
      <c r="M293" s="4"/>
      <c r="N293" s="3" t="s">
        <v>115</v>
      </c>
      <c r="O293" s="3"/>
      <c r="P293" s="3"/>
      <c r="Q293" s="3"/>
      <c r="R293" s="1800" t="str">
        <f>CHOOSE(2, "6722000003212", "PL (4) Net Sales MPM Production")</f>
        <v>PL (4) Net Sales MPM Production</v>
      </c>
      <c r="S293" s="1553"/>
      <c r="T293" s="1222"/>
      <c r="U293" s="1222"/>
      <c r="V293" s="1222"/>
      <c r="W293" s="1222"/>
      <c r="X293" s="1222"/>
      <c r="Y293" s="1222"/>
      <c r="Z293" s="1222"/>
      <c r="AA293" s="1222"/>
      <c r="AB293" s="1222"/>
      <c r="AC293" s="1222"/>
      <c r="AD293" s="1222"/>
      <c r="AE293" s="1221">
        <f t="shared" si="607"/>
        <v>0</v>
      </c>
      <c r="AF293" s="1221">
        <f t="shared" si="608"/>
        <v>0</v>
      </c>
      <c r="AG293" s="1221">
        <f t="shared" si="609"/>
        <v>0</v>
      </c>
      <c r="AH293" s="1221">
        <f t="shared" si="610"/>
        <v>0</v>
      </c>
      <c r="AI293" s="1221">
        <f t="shared" si="611"/>
        <v>0</v>
      </c>
      <c r="AJ293" s="1221">
        <f t="shared" si="612"/>
        <v>0</v>
      </c>
      <c r="AK293" s="1221">
        <f t="shared" si="613"/>
        <v>0</v>
      </c>
      <c r="AM293" s="596">
        <f ca="1">SUM((INDIRECT(AM$2&amp;(ROW())):INDIRECT(AM$3&amp;(ROW()))))</f>
        <v>0</v>
      </c>
      <c r="AN293" s="2002">
        <f ca="1">SUM(INDIRECT(AN$1&amp;AN$2&amp;$C293):INDIRECT(AN$1&amp;AN$3&amp;$C293))</f>
        <v>0</v>
      </c>
      <c r="AO293" s="2767">
        <f t="shared" ca="1" si="507"/>
        <v>0</v>
      </c>
      <c r="AP293" s="2768">
        <f t="shared" ca="1" si="595"/>
        <v>0</v>
      </c>
      <c r="AQ293" s="2002">
        <f ca="1">SUM(INDIRECT(AQ$1&amp;AQ$2&amp;$A293):INDIRECT(AQ$1&amp;AQ$3&amp;$A293))+SUM(INDIRECT(AQ$1&amp;AQ$2&amp;$B293):INDIRECT(AQ$1&amp;AQ$3&amp;$B293))</f>
        <v>0</v>
      </c>
      <c r="AR293" s="2767">
        <f t="shared" ca="1" si="596"/>
        <v>0</v>
      </c>
      <c r="AS293" s="2768">
        <f t="shared" ca="1" si="597"/>
        <v>0</v>
      </c>
      <c r="AU293" s="596">
        <f ca="1">SUM((INDIRECT(AU$2&amp;(ROW())):INDIRECT(AU$3&amp;(ROW()))))</f>
        <v>0</v>
      </c>
      <c r="AV293" s="2002">
        <f ca="1">SUM(INDIRECT(AV$1&amp;AV$2&amp;$C293):INDIRECT(AV$1&amp;AV$3&amp;$C293))</f>
        <v>0</v>
      </c>
      <c r="AW293" s="2767">
        <f t="shared" ca="1" si="598"/>
        <v>0</v>
      </c>
      <c r="AX293" s="2768">
        <f t="shared" ca="1" si="599"/>
        <v>0</v>
      </c>
      <c r="AY293" s="2002">
        <f ca="1">SUM(INDIRECT(AY$1&amp;AY$2&amp;$A293):INDIRECT(AY$1&amp;AY$3&amp;$A293))+SUM(INDIRECT(AY$1&amp;AY$2&amp;$B293):INDIRECT(AY$1&amp;AY$3&amp;$B293))</f>
        <v>0</v>
      </c>
      <c r="AZ293" s="2767">
        <f t="shared" ca="1" si="600"/>
        <v>0</v>
      </c>
      <c r="BA293" s="2768">
        <f t="shared" ca="1" si="601"/>
        <v>0</v>
      </c>
      <c r="BC293" s="596">
        <f ca="1">SUM((INDIRECT(BC$2&amp;(ROW())):INDIRECT(BC$3&amp;(ROW()))))</f>
        <v>0</v>
      </c>
      <c r="BD293" s="2002">
        <f ca="1">SUM(INDIRECT(BD$1&amp;BD$2&amp;$C293):INDIRECT(BD$1&amp;BD$3&amp;$C293))</f>
        <v>0</v>
      </c>
      <c r="BE293" s="2767">
        <f t="shared" ca="1" si="602"/>
        <v>0</v>
      </c>
      <c r="BF293" s="2768">
        <f t="shared" ca="1" si="603"/>
        <v>0</v>
      </c>
      <c r="BG293" s="2002">
        <f ca="1">SUM(INDIRECT(BG$1&amp;BG$2&amp;$A293):INDIRECT(BG$1&amp;BG$3&amp;$A293))+SUM(INDIRECT(BG$1&amp;BG$2&amp;$B293):INDIRECT(BG$1&amp;BG$3&amp;$B293))</f>
        <v>0</v>
      </c>
      <c r="BH293" s="2767">
        <f t="shared" ca="1" si="604"/>
        <v>0</v>
      </c>
      <c r="BI293" s="2768">
        <f t="shared" ca="1" si="605"/>
        <v>0</v>
      </c>
    </row>
    <row r="294" spans="1:61" ht="15" customHeight="1">
      <c r="A294" s="1693">
        <f t="shared" si="532"/>
        <v>294</v>
      </c>
      <c r="B294" s="616">
        <v>1</v>
      </c>
      <c r="C294" s="1693">
        <f t="shared" si="531"/>
        <v>294</v>
      </c>
      <c r="D294" s="616">
        <v>1</v>
      </c>
      <c r="E294" s="709" t="s">
        <v>512</v>
      </c>
      <c r="F294" s="1572"/>
      <c r="G294" s="4"/>
      <c r="H294" s="4"/>
      <c r="I294" s="4"/>
      <c r="J294" s="27"/>
      <c r="K294" s="3"/>
      <c r="L294" s="4"/>
      <c r="M294" s="48"/>
      <c r="N294" s="47" t="s">
        <v>116</v>
      </c>
      <c r="O294" s="47"/>
      <c r="P294" s="47"/>
      <c r="Q294" s="47"/>
      <c r="R294" s="1800" t="str">
        <f>CHOOSE(2, "6722000003213", "PL (4) Net Sales MPM Solution")</f>
        <v>PL (4) Net Sales MPM Solution</v>
      </c>
      <c r="S294" s="1554"/>
      <c r="T294" s="1231"/>
      <c r="U294" s="1231"/>
      <c r="V294" s="1231"/>
      <c r="W294" s="1231"/>
      <c r="X294" s="1231"/>
      <c r="Y294" s="1231"/>
      <c r="Z294" s="1231"/>
      <c r="AA294" s="1231"/>
      <c r="AB294" s="1231"/>
      <c r="AC294" s="1231"/>
      <c r="AD294" s="1231"/>
      <c r="AE294" s="1230">
        <f t="shared" si="607"/>
        <v>0</v>
      </c>
      <c r="AF294" s="1230">
        <f t="shared" si="608"/>
        <v>0</v>
      </c>
      <c r="AG294" s="1230">
        <f t="shared" si="609"/>
        <v>0</v>
      </c>
      <c r="AH294" s="1230">
        <f t="shared" si="610"/>
        <v>0</v>
      </c>
      <c r="AI294" s="1230">
        <f t="shared" si="611"/>
        <v>0</v>
      </c>
      <c r="AJ294" s="1230">
        <f t="shared" si="612"/>
        <v>0</v>
      </c>
      <c r="AK294" s="1230">
        <f t="shared" si="613"/>
        <v>0</v>
      </c>
      <c r="AM294" s="2011">
        <f ca="1">SUM((INDIRECT(AM$2&amp;(ROW())):INDIRECT(AM$3&amp;(ROW()))))</f>
        <v>0</v>
      </c>
      <c r="AN294" s="2012">
        <f ca="1">SUM(INDIRECT(AN$1&amp;AN$2&amp;$C294):INDIRECT(AN$1&amp;AN$3&amp;$C294))</f>
        <v>0</v>
      </c>
      <c r="AO294" s="2774">
        <f t="shared" ca="1" si="507"/>
        <v>0</v>
      </c>
      <c r="AP294" s="2775">
        <f t="shared" ca="1" si="595"/>
        <v>0</v>
      </c>
      <c r="AQ294" s="2012">
        <f ca="1">SUM(INDIRECT(AQ$1&amp;AQ$2&amp;$A294):INDIRECT(AQ$1&amp;AQ$3&amp;$A294))+SUM(INDIRECT(AQ$1&amp;AQ$2&amp;$B294):INDIRECT(AQ$1&amp;AQ$3&amp;$B294))</f>
        <v>0</v>
      </c>
      <c r="AR294" s="2774">
        <f t="shared" ca="1" si="596"/>
        <v>0</v>
      </c>
      <c r="AS294" s="2775">
        <f t="shared" ca="1" si="597"/>
        <v>0</v>
      </c>
      <c r="AU294" s="2011">
        <f ca="1">SUM((INDIRECT(AU$2&amp;(ROW())):INDIRECT(AU$3&amp;(ROW()))))</f>
        <v>0</v>
      </c>
      <c r="AV294" s="2012">
        <f ca="1">SUM(INDIRECT(AV$1&amp;AV$2&amp;$C294):INDIRECT(AV$1&amp;AV$3&amp;$C294))</f>
        <v>0</v>
      </c>
      <c r="AW294" s="2774">
        <f t="shared" ca="1" si="598"/>
        <v>0</v>
      </c>
      <c r="AX294" s="2775">
        <f t="shared" ca="1" si="599"/>
        <v>0</v>
      </c>
      <c r="AY294" s="2012">
        <f ca="1">SUM(INDIRECT(AY$1&amp;AY$2&amp;$A294):INDIRECT(AY$1&amp;AY$3&amp;$A294))+SUM(INDIRECT(AY$1&amp;AY$2&amp;$B294):INDIRECT(AY$1&amp;AY$3&amp;$B294))</f>
        <v>0</v>
      </c>
      <c r="AZ294" s="2774">
        <f t="shared" ca="1" si="600"/>
        <v>0</v>
      </c>
      <c r="BA294" s="2775">
        <f t="shared" ca="1" si="601"/>
        <v>0</v>
      </c>
      <c r="BC294" s="2011">
        <f ca="1">SUM((INDIRECT(BC$2&amp;(ROW())):INDIRECT(BC$3&amp;(ROW()))))</f>
        <v>0</v>
      </c>
      <c r="BD294" s="2012">
        <f ca="1">SUM(INDIRECT(BD$1&amp;BD$2&amp;$C294):INDIRECT(BD$1&amp;BD$3&amp;$C294))</f>
        <v>0</v>
      </c>
      <c r="BE294" s="2774">
        <f t="shared" ca="1" si="602"/>
        <v>0</v>
      </c>
      <c r="BF294" s="2775">
        <f t="shared" ca="1" si="603"/>
        <v>0</v>
      </c>
      <c r="BG294" s="2012">
        <f ca="1">SUM(INDIRECT(BG$1&amp;BG$2&amp;$A294):INDIRECT(BG$1&amp;BG$3&amp;$A294))+SUM(INDIRECT(BG$1&amp;BG$2&amp;$B294):INDIRECT(BG$1&amp;BG$3&amp;$B294))</f>
        <v>0</v>
      </c>
      <c r="BH294" s="2774">
        <f t="shared" ca="1" si="604"/>
        <v>0</v>
      </c>
      <c r="BI294" s="2775">
        <f t="shared" ca="1" si="605"/>
        <v>0</v>
      </c>
    </row>
    <row r="295" spans="1:61" ht="15" customHeight="1">
      <c r="A295" s="1693">
        <f t="shared" si="532"/>
        <v>295</v>
      </c>
      <c r="B295" s="616">
        <v>1</v>
      </c>
      <c r="C295" s="1693">
        <f t="shared" si="531"/>
        <v>295</v>
      </c>
      <c r="D295" s="616">
        <v>1</v>
      </c>
      <c r="E295" s="709" t="s">
        <v>512</v>
      </c>
      <c r="F295" s="1572"/>
      <c r="G295" s="4"/>
      <c r="H295" s="4"/>
      <c r="I295" s="4"/>
      <c r="J295" s="27"/>
      <c r="K295" s="3"/>
      <c r="L295" s="4"/>
      <c r="M295" s="301" t="s">
        <v>373</v>
      </c>
      <c r="N295" s="301"/>
      <c r="O295" s="301"/>
      <c r="P295" s="301"/>
      <c r="Q295" s="301"/>
      <c r="R295" s="1799" t="str">
        <f>CHOOSE(2, "6722000003214", "PL (4) Net Sales ODP")</f>
        <v>PL (4) Net Sales ODP</v>
      </c>
      <c r="S295" s="1562">
        <f>SUM(S296:S299)</f>
        <v>0</v>
      </c>
      <c r="T295" s="1563">
        <f t="shared" ref="T295:AD295" si="614">SUM(T296:T299)</f>
        <v>0</v>
      </c>
      <c r="U295" s="1563">
        <f t="shared" si="614"/>
        <v>0</v>
      </c>
      <c r="V295" s="1563">
        <f t="shared" si="614"/>
        <v>0</v>
      </c>
      <c r="W295" s="1563">
        <f t="shared" si="614"/>
        <v>0</v>
      </c>
      <c r="X295" s="1563">
        <f t="shared" si="614"/>
        <v>0</v>
      </c>
      <c r="Y295" s="1563">
        <f t="shared" si="614"/>
        <v>0</v>
      </c>
      <c r="Z295" s="1563">
        <f t="shared" si="614"/>
        <v>0</v>
      </c>
      <c r="AA295" s="1563">
        <f t="shared" si="614"/>
        <v>0</v>
      </c>
      <c r="AB295" s="1563">
        <f t="shared" si="614"/>
        <v>0</v>
      </c>
      <c r="AC295" s="1563">
        <f t="shared" si="614"/>
        <v>0</v>
      </c>
      <c r="AD295" s="1563">
        <f t="shared" si="614"/>
        <v>0</v>
      </c>
      <c r="AE295" s="1252">
        <f t="shared" si="607"/>
        <v>0</v>
      </c>
      <c r="AF295" s="1252">
        <f t="shared" si="608"/>
        <v>0</v>
      </c>
      <c r="AG295" s="1252">
        <f t="shared" si="609"/>
        <v>0</v>
      </c>
      <c r="AH295" s="1252">
        <f t="shared" si="610"/>
        <v>0</v>
      </c>
      <c r="AI295" s="1252">
        <f t="shared" si="611"/>
        <v>0</v>
      </c>
      <c r="AJ295" s="1252">
        <f t="shared" si="612"/>
        <v>0</v>
      </c>
      <c r="AK295" s="1252">
        <f t="shared" si="613"/>
        <v>0</v>
      </c>
      <c r="AM295" s="2041">
        <f ca="1">SUM((INDIRECT(AM$2&amp;(ROW())):INDIRECT(AM$3&amp;(ROW()))))</f>
        <v>0</v>
      </c>
      <c r="AN295" s="2042">
        <f ca="1">SUM(INDIRECT(AN$1&amp;AN$2&amp;$C295):INDIRECT(AN$1&amp;AN$3&amp;$C295))</f>
        <v>0</v>
      </c>
      <c r="AO295" s="2805">
        <f t="shared" ca="1" si="507"/>
        <v>0</v>
      </c>
      <c r="AP295" s="2806">
        <f t="shared" ca="1" si="595"/>
        <v>0</v>
      </c>
      <c r="AQ295" s="2042">
        <f ca="1">SUM(INDIRECT(AQ$1&amp;AQ$2&amp;$A295):INDIRECT(AQ$1&amp;AQ$3&amp;$A295))+SUM(INDIRECT(AQ$1&amp;AQ$2&amp;$B295):INDIRECT(AQ$1&amp;AQ$3&amp;$B295))</f>
        <v>0</v>
      </c>
      <c r="AR295" s="2805">
        <f t="shared" ca="1" si="596"/>
        <v>0</v>
      </c>
      <c r="AS295" s="2806">
        <f t="shared" ca="1" si="597"/>
        <v>0</v>
      </c>
      <c r="AU295" s="2041">
        <f ca="1">SUM((INDIRECT(AU$2&amp;(ROW())):INDIRECT(AU$3&amp;(ROW()))))</f>
        <v>0</v>
      </c>
      <c r="AV295" s="2042">
        <f ca="1">SUM(INDIRECT(AV$1&amp;AV$2&amp;$C295):INDIRECT(AV$1&amp;AV$3&amp;$C295))</f>
        <v>0</v>
      </c>
      <c r="AW295" s="2805">
        <f t="shared" ca="1" si="598"/>
        <v>0</v>
      </c>
      <c r="AX295" s="2806">
        <f t="shared" ca="1" si="599"/>
        <v>0</v>
      </c>
      <c r="AY295" s="2042">
        <f ca="1">SUM(INDIRECT(AY$1&amp;AY$2&amp;$A295):INDIRECT(AY$1&amp;AY$3&amp;$A295))+SUM(INDIRECT(AY$1&amp;AY$2&amp;$B295):INDIRECT(AY$1&amp;AY$3&amp;$B295))</f>
        <v>0</v>
      </c>
      <c r="AZ295" s="2805">
        <f t="shared" ca="1" si="600"/>
        <v>0</v>
      </c>
      <c r="BA295" s="2806">
        <f t="shared" ca="1" si="601"/>
        <v>0</v>
      </c>
      <c r="BC295" s="2041">
        <f ca="1">SUM((INDIRECT(BC$2&amp;(ROW())):INDIRECT(BC$3&amp;(ROW()))))</f>
        <v>0</v>
      </c>
      <c r="BD295" s="2042">
        <f ca="1">SUM(INDIRECT(BD$1&amp;BD$2&amp;$C295):INDIRECT(BD$1&amp;BD$3&amp;$C295))</f>
        <v>0</v>
      </c>
      <c r="BE295" s="2805">
        <f t="shared" ca="1" si="602"/>
        <v>0</v>
      </c>
      <c r="BF295" s="2806">
        <f t="shared" ca="1" si="603"/>
        <v>0</v>
      </c>
      <c r="BG295" s="2042">
        <f ca="1">SUM(INDIRECT(BG$1&amp;BG$2&amp;$A295):INDIRECT(BG$1&amp;BG$3&amp;$A295))+SUM(INDIRECT(BG$1&amp;BG$2&amp;$B295):INDIRECT(BG$1&amp;BG$3&amp;$B295))</f>
        <v>0</v>
      </c>
      <c r="BH295" s="2805">
        <f t="shared" ca="1" si="604"/>
        <v>0</v>
      </c>
      <c r="BI295" s="2806">
        <f t="shared" ca="1" si="605"/>
        <v>0</v>
      </c>
    </row>
    <row r="296" spans="1:61" ht="15" customHeight="1">
      <c r="A296" s="1693">
        <f t="shared" si="532"/>
        <v>296</v>
      </c>
      <c r="B296" s="616">
        <v>1</v>
      </c>
      <c r="C296" s="1693">
        <f t="shared" si="531"/>
        <v>296</v>
      </c>
      <c r="D296" s="616">
        <v>1</v>
      </c>
      <c r="E296" s="709" t="s">
        <v>512</v>
      </c>
      <c r="F296" s="1572"/>
      <c r="G296" s="4"/>
      <c r="H296" s="4"/>
      <c r="I296" s="4"/>
      <c r="J296" s="27"/>
      <c r="K296" s="3"/>
      <c r="L296" s="4"/>
      <c r="M296" s="4"/>
      <c r="N296" s="3" t="s">
        <v>13</v>
      </c>
      <c r="O296" s="3"/>
      <c r="P296" s="3"/>
      <c r="Q296" s="3"/>
      <c r="R296" s="1800" t="str">
        <f>CHOOSE(2, "6722000003215", "PL (4) Net Sales ODP On Demand Printing")</f>
        <v>PL (4) Net Sales ODP On Demand Printing</v>
      </c>
      <c r="S296" s="1553"/>
      <c r="T296" s="1222"/>
      <c r="U296" s="1222"/>
      <c r="V296" s="1222"/>
      <c r="W296" s="1222"/>
      <c r="X296" s="1222"/>
      <c r="Y296" s="1222"/>
      <c r="Z296" s="1222"/>
      <c r="AA296" s="1222"/>
      <c r="AB296" s="1222"/>
      <c r="AC296" s="1222"/>
      <c r="AD296" s="1222"/>
      <c r="AE296" s="1221">
        <f t="shared" si="607"/>
        <v>0</v>
      </c>
      <c r="AF296" s="1221">
        <f t="shared" si="608"/>
        <v>0</v>
      </c>
      <c r="AG296" s="1221">
        <f t="shared" si="609"/>
        <v>0</v>
      </c>
      <c r="AH296" s="1221">
        <f t="shared" si="610"/>
        <v>0</v>
      </c>
      <c r="AI296" s="1221">
        <f t="shared" si="611"/>
        <v>0</v>
      </c>
      <c r="AJ296" s="1221">
        <f t="shared" si="612"/>
        <v>0</v>
      </c>
      <c r="AK296" s="1221">
        <f t="shared" si="613"/>
        <v>0</v>
      </c>
      <c r="AM296" s="596">
        <f ca="1">SUM((INDIRECT(AM$2&amp;(ROW())):INDIRECT(AM$3&amp;(ROW()))))</f>
        <v>0</v>
      </c>
      <c r="AN296" s="2002">
        <f ca="1">SUM(INDIRECT(AN$1&amp;AN$2&amp;$C296):INDIRECT(AN$1&amp;AN$3&amp;$C296))</f>
        <v>0</v>
      </c>
      <c r="AO296" s="2767">
        <f t="shared" ca="1" si="507"/>
        <v>0</v>
      </c>
      <c r="AP296" s="2768">
        <f t="shared" ca="1" si="595"/>
        <v>0</v>
      </c>
      <c r="AQ296" s="2002">
        <f ca="1">SUM(INDIRECT(AQ$1&amp;AQ$2&amp;$A296):INDIRECT(AQ$1&amp;AQ$3&amp;$A296))+SUM(INDIRECT(AQ$1&amp;AQ$2&amp;$B296):INDIRECT(AQ$1&amp;AQ$3&amp;$B296))</f>
        <v>0</v>
      </c>
      <c r="AR296" s="2767">
        <f t="shared" ca="1" si="596"/>
        <v>0</v>
      </c>
      <c r="AS296" s="2768">
        <f t="shared" ca="1" si="597"/>
        <v>0</v>
      </c>
      <c r="AU296" s="596">
        <f ca="1">SUM((INDIRECT(AU$2&amp;(ROW())):INDIRECT(AU$3&amp;(ROW()))))</f>
        <v>0</v>
      </c>
      <c r="AV296" s="2002">
        <f ca="1">SUM(INDIRECT(AV$1&amp;AV$2&amp;$C296):INDIRECT(AV$1&amp;AV$3&amp;$C296))</f>
        <v>0</v>
      </c>
      <c r="AW296" s="2767">
        <f t="shared" ca="1" si="598"/>
        <v>0</v>
      </c>
      <c r="AX296" s="2768">
        <f t="shared" ca="1" si="599"/>
        <v>0</v>
      </c>
      <c r="AY296" s="2002">
        <f ca="1">SUM(INDIRECT(AY$1&amp;AY$2&amp;$A296):INDIRECT(AY$1&amp;AY$3&amp;$A296))+SUM(INDIRECT(AY$1&amp;AY$2&amp;$B296):INDIRECT(AY$1&amp;AY$3&amp;$B296))</f>
        <v>0</v>
      </c>
      <c r="AZ296" s="2767">
        <f t="shared" ca="1" si="600"/>
        <v>0</v>
      </c>
      <c r="BA296" s="2768">
        <f t="shared" ca="1" si="601"/>
        <v>0</v>
      </c>
      <c r="BC296" s="596">
        <f ca="1">SUM((INDIRECT(BC$2&amp;(ROW())):INDIRECT(BC$3&amp;(ROW()))))</f>
        <v>0</v>
      </c>
      <c r="BD296" s="2002">
        <f ca="1">SUM(INDIRECT(BD$1&amp;BD$2&amp;$C296):INDIRECT(BD$1&amp;BD$3&amp;$C296))</f>
        <v>0</v>
      </c>
      <c r="BE296" s="2767">
        <f t="shared" ca="1" si="602"/>
        <v>0</v>
      </c>
      <c r="BF296" s="2768">
        <f t="shared" ca="1" si="603"/>
        <v>0</v>
      </c>
      <c r="BG296" s="2002">
        <f ca="1">SUM(INDIRECT(BG$1&amp;BG$2&amp;$A296):INDIRECT(BG$1&amp;BG$3&amp;$A296))+SUM(INDIRECT(BG$1&amp;BG$2&amp;$B296):INDIRECT(BG$1&amp;BG$3&amp;$B296))</f>
        <v>0</v>
      </c>
      <c r="BH296" s="2767">
        <f t="shared" ca="1" si="604"/>
        <v>0</v>
      </c>
      <c r="BI296" s="2768">
        <f t="shared" ca="1" si="605"/>
        <v>0</v>
      </c>
    </row>
    <row r="297" spans="1:61" ht="15" customHeight="1">
      <c r="A297" s="1693">
        <f t="shared" si="532"/>
        <v>297</v>
      </c>
      <c r="B297" s="616">
        <v>1</v>
      </c>
      <c r="C297" s="1693">
        <f t="shared" si="531"/>
        <v>297</v>
      </c>
      <c r="D297" s="616">
        <v>1</v>
      </c>
      <c r="E297" s="709" t="s">
        <v>512</v>
      </c>
      <c r="F297" s="1572"/>
      <c r="G297" s="330"/>
      <c r="H297" s="244"/>
      <c r="I297" s="4"/>
      <c r="J297" s="27"/>
      <c r="K297" s="3"/>
      <c r="L297" s="4"/>
      <c r="M297" s="4"/>
      <c r="N297" s="3" t="s">
        <v>374</v>
      </c>
      <c r="O297" s="3"/>
      <c r="P297" s="3"/>
      <c r="Q297" s="3"/>
      <c r="R297" s="1800" t="str">
        <f>CHOOSE(2, "6722000003216", "PL (4) Net Sales ODP Marketing Service")</f>
        <v>PL (4) Net Sales ODP Marketing Service</v>
      </c>
      <c r="S297" s="1553"/>
      <c r="T297" s="1222"/>
      <c r="U297" s="1222"/>
      <c r="V297" s="1222"/>
      <c r="W297" s="1222"/>
      <c r="X297" s="1222"/>
      <c r="Y297" s="1222"/>
      <c r="Z297" s="1222"/>
      <c r="AA297" s="1222"/>
      <c r="AB297" s="1222"/>
      <c r="AC297" s="1222"/>
      <c r="AD297" s="1222"/>
      <c r="AE297" s="1221">
        <f t="shared" si="607"/>
        <v>0</v>
      </c>
      <c r="AF297" s="1221">
        <f t="shared" si="608"/>
        <v>0</v>
      </c>
      <c r="AG297" s="1221">
        <f t="shared" si="609"/>
        <v>0</v>
      </c>
      <c r="AH297" s="1221">
        <f t="shared" si="610"/>
        <v>0</v>
      </c>
      <c r="AI297" s="1221">
        <f t="shared" si="611"/>
        <v>0</v>
      </c>
      <c r="AJ297" s="1221">
        <f t="shared" si="612"/>
        <v>0</v>
      </c>
      <c r="AK297" s="1221">
        <f t="shared" si="613"/>
        <v>0</v>
      </c>
      <c r="AM297" s="596">
        <f ca="1">SUM((INDIRECT(AM$2&amp;(ROW())):INDIRECT(AM$3&amp;(ROW()))))</f>
        <v>0</v>
      </c>
      <c r="AN297" s="2002">
        <f ca="1">SUM(INDIRECT(AN$1&amp;AN$2&amp;$C297):INDIRECT(AN$1&amp;AN$3&amp;$C297))</f>
        <v>0</v>
      </c>
      <c r="AO297" s="2767">
        <f t="shared" ca="1" si="507"/>
        <v>0</v>
      </c>
      <c r="AP297" s="2768">
        <f t="shared" ca="1" si="595"/>
        <v>0</v>
      </c>
      <c r="AQ297" s="2002">
        <f ca="1">SUM(INDIRECT(AQ$1&amp;AQ$2&amp;$A297):INDIRECT(AQ$1&amp;AQ$3&amp;$A297))+SUM(INDIRECT(AQ$1&amp;AQ$2&amp;$B297):INDIRECT(AQ$1&amp;AQ$3&amp;$B297))</f>
        <v>0</v>
      </c>
      <c r="AR297" s="2767">
        <f t="shared" ca="1" si="596"/>
        <v>0</v>
      </c>
      <c r="AS297" s="2768">
        <f t="shared" ca="1" si="597"/>
        <v>0</v>
      </c>
      <c r="AU297" s="596">
        <f ca="1">SUM((INDIRECT(AU$2&amp;(ROW())):INDIRECT(AU$3&amp;(ROW()))))</f>
        <v>0</v>
      </c>
      <c r="AV297" s="2002">
        <f ca="1">SUM(INDIRECT(AV$1&amp;AV$2&amp;$C297):INDIRECT(AV$1&amp;AV$3&amp;$C297))</f>
        <v>0</v>
      </c>
      <c r="AW297" s="2767">
        <f t="shared" ca="1" si="598"/>
        <v>0</v>
      </c>
      <c r="AX297" s="2768">
        <f t="shared" ca="1" si="599"/>
        <v>0</v>
      </c>
      <c r="AY297" s="2002">
        <f ca="1">SUM(INDIRECT(AY$1&amp;AY$2&amp;$A297):INDIRECT(AY$1&amp;AY$3&amp;$A297))+SUM(INDIRECT(AY$1&amp;AY$2&amp;$B297):INDIRECT(AY$1&amp;AY$3&amp;$B297))</f>
        <v>0</v>
      </c>
      <c r="AZ297" s="2767">
        <f t="shared" ca="1" si="600"/>
        <v>0</v>
      </c>
      <c r="BA297" s="2768">
        <f t="shared" ca="1" si="601"/>
        <v>0</v>
      </c>
      <c r="BC297" s="596">
        <f ca="1">SUM((INDIRECT(BC$2&amp;(ROW())):INDIRECT(BC$3&amp;(ROW()))))</f>
        <v>0</v>
      </c>
      <c r="BD297" s="2002">
        <f ca="1">SUM(INDIRECT(BD$1&amp;BD$2&amp;$C297):INDIRECT(BD$1&amp;BD$3&amp;$C297))</f>
        <v>0</v>
      </c>
      <c r="BE297" s="2767">
        <f t="shared" ca="1" si="602"/>
        <v>0</v>
      </c>
      <c r="BF297" s="2768">
        <f t="shared" ca="1" si="603"/>
        <v>0</v>
      </c>
      <c r="BG297" s="2002">
        <f ca="1">SUM(INDIRECT(BG$1&amp;BG$2&amp;$A297):INDIRECT(BG$1&amp;BG$3&amp;$A297))+SUM(INDIRECT(BG$1&amp;BG$2&amp;$B297):INDIRECT(BG$1&amp;BG$3&amp;$B297))</f>
        <v>0</v>
      </c>
      <c r="BH297" s="2767">
        <f t="shared" ca="1" si="604"/>
        <v>0</v>
      </c>
      <c r="BI297" s="2768">
        <f t="shared" ca="1" si="605"/>
        <v>0</v>
      </c>
    </row>
    <row r="298" spans="1:61" ht="15" customHeight="1">
      <c r="A298" s="1693">
        <f t="shared" si="532"/>
        <v>298</v>
      </c>
      <c r="B298" s="616">
        <v>1</v>
      </c>
      <c r="C298" s="1693">
        <f t="shared" si="531"/>
        <v>298</v>
      </c>
      <c r="D298" s="616">
        <v>1</v>
      </c>
      <c r="E298" s="709" t="s">
        <v>512</v>
      </c>
      <c r="F298" s="1572"/>
      <c r="G298" s="330"/>
      <c r="H298" s="244"/>
      <c r="I298" s="4"/>
      <c r="J298" s="27"/>
      <c r="K298" s="3"/>
      <c r="L298" s="4"/>
      <c r="M298" s="4"/>
      <c r="N298" s="3" t="s">
        <v>375</v>
      </c>
      <c r="O298" s="3"/>
      <c r="P298" s="3"/>
      <c r="Q298" s="3"/>
      <c r="R298" s="1800" t="str">
        <f>CHOOSE(2, "6722000003217", "PL (4) Net Sales ODP Digital Solution")</f>
        <v>PL (4) Net Sales ODP Digital Solution</v>
      </c>
      <c r="S298" s="1553"/>
      <c r="T298" s="1222"/>
      <c r="U298" s="1222"/>
      <c r="V298" s="1222"/>
      <c r="W298" s="1222"/>
      <c r="X298" s="1222"/>
      <c r="Y298" s="1222"/>
      <c r="Z298" s="1222"/>
      <c r="AA298" s="1222"/>
      <c r="AB298" s="1222"/>
      <c r="AC298" s="1222"/>
      <c r="AD298" s="1222"/>
      <c r="AE298" s="1221">
        <f t="shared" si="607"/>
        <v>0</v>
      </c>
      <c r="AF298" s="1221">
        <f t="shared" si="608"/>
        <v>0</v>
      </c>
      <c r="AG298" s="1221">
        <f t="shared" si="609"/>
        <v>0</v>
      </c>
      <c r="AH298" s="1221">
        <f t="shared" si="610"/>
        <v>0</v>
      </c>
      <c r="AI298" s="1221">
        <f t="shared" si="611"/>
        <v>0</v>
      </c>
      <c r="AJ298" s="1221">
        <f t="shared" si="612"/>
        <v>0</v>
      </c>
      <c r="AK298" s="1221">
        <f t="shared" si="613"/>
        <v>0</v>
      </c>
      <c r="AM298" s="596">
        <f ca="1">SUM((INDIRECT(AM$2&amp;(ROW())):INDIRECT(AM$3&amp;(ROW()))))</f>
        <v>0</v>
      </c>
      <c r="AN298" s="2002">
        <f ca="1">SUM(INDIRECT(AN$1&amp;AN$2&amp;$C298):INDIRECT(AN$1&amp;AN$3&amp;$C298))</f>
        <v>0</v>
      </c>
      <c r="AO298" s="2767">
        <f t="shared" ca="1" si="507"/>
        <v>0</v>
      </c>
      <c r="AP298" s="2768">
        <f t="shared" ca="1" si="595"/>
        <v>0</v>
      </c>
      <c r="AQ298" s="2002">
        <f ca="1">SUM(INDIRECT(AQ$1&amp;AQ$2&amp;$A298):INDIRECT(AQ$1&amp;AQ$3&amp;$A298))+SUM(INDIRECT(AQ$1&amp;AQ$2&amp;$B298):INDIRECT(AQ$1&amp;AQ$3&amp;$B298))</f>
        <v>0</v>
      </c>
      <c r="AR298" s="2767">
        <f t="shared" ca="1" si="596"/>
        <v>0</v>
      </c>
      <c r="AS298" s="2768">
        <f t="shared" ca="1" si="597"/>
        <v>0</v>
      </c>
      <c r="AU298" s="596">
        <f ca="1">SUM((INDIRECT(AU$2&amp;(ROW())):INDIRECT(AU$3&amp;(ROW()))))</f>
        <v>0</v>
      </c>
      <c r="AV298" s="2002">
        <f ca="1">SUM(INDIRECT(AV$1&amp;AV$2&amp;$C298):INDIRECT(AV$1&amp;AV$3&amp;$C298))</f>
        <v>0</v>
      </c>
      <c r="AW298" s="2767">
        <f t="shared" ca="1" si="598"/>
        <v>0</v>
      </c>
      <c r="AX298" s="2768">
        <f t="shared" ca="1" si="599"/>
        <v>0</v>
      </c>
      <c r="AY298" s="2002">
        <f ca="1">SUM(INDIRECT(AY$1&amp;AY$2&amp;$A298):INDIRECT(AY$1&amp;AY$3&amp;$A298))+SUM(INDIRECT(AY$1&amp;AY$2&amp;$B298):INDIRECT(AY$1&amp;AY$3&amp;$B298))</f>
        <v>0</v>
      </c>
      <c r="AZ298" s="2767">
        <f t="shared" ca="1" si="600"/>
        <v>0</v>
      </c>
      <c r="BA298" s="2768">
        <f t="shared" ca="1" si="601"/>
        <v>0</v>
      </c>
      <c r="BC298" s="596">
        <f ca="1">SUM((INDIRECT(BC$2&amp;(ROW())):INDIRECT(BC$3&amp;(ROW()))))</f>
        <v>0</v>
      </c>
      <c r="BD298" s="2002">
        <f ca="1">SUM(INDIRECT(BD$1&amp;BD$2&amp;$C298):INDIRECT(BD$1&amp;BD$3&amp;$C298))</f>
        <v>0</v>
      </c>
      <c r="BE298" s="2767">
        <f t="shared" ca="1" si="602"/>
        <v>0</v>
      </c>
      <c r="BF298" s="2768">
        <f t="shared" ca="1" si="603"/>
        <v>0</v>
      </c>
      <c r="BG298" s="2002">
        <f ca="1">SUM(INDIRECT(BG$1&amp;BG$2&amp;$A298):INDIRECT(BG$1&amp;BG$3&amp;$A298))+SUM(INDIRECT(BG$1&amp;BG$2&amp;$B298):INDIRECT(BG$1&amp;BG$3&amp;$B298))</f>
        <v>0</v>
      </c>
      <c r="BH298" s="2767">
        <f t="shared" ca="1" si="604"/>
        <v>0</v>
      </c>
      <c r="BI298" s="2768">
        <f t="shared" ca="1" si="605"/>
        <v>0</v>
      </c>
    </row>
    <row r="299" spans="1:61" ht="15" customHeight="1">
      <c r="A299" s="1693">
        <f t="shared" si="532"/>
        <v>299</v>
      </c>
      <c r="B299" s="616">
        <v>1</v>
      </c>
      <c r="C299" s="1693">
        <f t="shared" si="531"/>
        <v>299</v>
      </c>
      <c r="D299" s="616">
        <v>1</v>
      </c>
      <c r="E299" s="709" t="s">
        <v>512</v>
      </c>
      <c r="F299" s="1572"/>
      <c r="G299" s="330"/>
      <c r="H299" s="244"/>
      <c r="I299" s="4"/>
      <c r="J299" s="27"/>
      <c r="K299" s="3"/>
      <c r="L299" s="4"/>
      <c r="M299" s="4"/>
      <c r="N299" s="3" t="s">
        <v>376</v>
      </c>
      <c r="O299" s="3"/>
      <c r="P299" s="3"/>
      <c r="Q299" s="3"/>
      <c r="R299" s="1800" t="str">
        <f>CHOOSE(2, "6722000003218", "PL (4) Net Sales ODP ODP New Business")</f>
        <v>PL (4) Net Sales ODP ODP New Business</v>
      </c>
      <c r="S299" s="1553"/>
      <c r="T299" s="1222"/>
      <c r="U299" s="1222"/>
      <c r="V299" s="1222"/>
      <c r="W299" s="1222"/>
      <c r="X299" s="1222"/>
      <c r="Y299" s="1222"/>
      <c r="Z299" s="1222"/>
      <c r="AA299" s="1222"/>
      <c r="AB299" s="1222"/>
      <c r="AC299" s="1222"/>
      <c r="AD299" s="1222"/>
      <c r="AE299" s="1221">
        <f t="shared" si="607"/>
        <v>0</v>
      </c>
      <c r="AF299" s="1221">
        <f t="shared" si="608"/>
        <v>0</v>
      </c>
      <c r="AG299" s="1221">
        <f t="shared" si="609"/>
        <v>0</v>
      </c>
      <c r="AH299" s="1221">
        <f t="shared" si="610"/>
        <v>0</v>
      </c>
      <c r="AI299" s="1221">
        <f t="shared" si="611"/>
        <v>0</v>
      </c>
      <c r="AJ299" s="1221">
        <f t="shared" si="612"/>
        <v>0</v>
      </c>
      <c r="AK299" s="1221">
        <f t="shared" si="613"/>
        <v>0</v>
      </c>
      <c r="AM299" s="596">
        <f ca="1">SUM((INDIRECT(AM$2&amp;(ROW())):INDIRECT(AM$3&amp;(ROW()))))</f>
        <v>0</v>
      </c>
      <c r="AN299" s="2002">
        <f ca="1">SUM(INDIRECT(AN$1&amp;AN$2&amp;$C299):INDIRECT(AN$1&amp;AN$3&amp;$C299))</f>
        <v>0</v>
      </c>
      <c r="AO299" s="2767">
        <f t="shared" ca="1" si="507"/>
        <v>0</v>
      </c>
      <c r="AP299" s="2768">
        <f t="shared" ca="1" si="595"/>
        <v>0</v>
      </c>
      <c r="AQ299" s="2002">
        <f ca="1">SUM(INDIRECT(AQ$1&amp;AQ$2&amp;$A299):INDIRECT(AQ$1&amp;AQ$3&amp;$A299))+SUM(INDIRECT(AQ$1&amp;AQ$2&amp;$B299):INDIRECT(AQ$1&amp;AQ$3&amp;$B299))</f>
        <v>0</v>
      </c>
      <c r="AR299" s="2767">
        <f t="shared" ca="1" si="596"/>
        <v>0</v>
      </c>
      <c r="AS299" s="2768">
        <f t="shared" ca="1" si="597"/>
        <v>0</v>
      </c>
      <c r="AU299" s="596">
        <f ca="1">SUM((INDIRECT(AU$2&amp;(ROW())):INDIRECT(AU$3&amp;(ROW()))))</f>
        <v>0</v>
      </c>
      <c r="AV299" s="2002">
        <f ca="1">SUM(INDIRECT(AV$1&amp;AV$2&amp;$C299):INDIRECT(AV$1&amp;AV$3&amp;$C299))</f>
        <v>0</v>
      </c>
      <c r="AW299" s="2767">
        <f t="shared" ca="1" si="598"/>
        <v>0</v>
      </c>
      <c r="AX299" s="2768">
        <f t="shared" ca="1" si="599"/>
        <v>0</v>
      </c>
      <c r="AY299" s="2002">
        <f ca="1">SUM(INDIRECT(AY$1&amp;AY$2&amp;$A299):INDIRECT(AY$1&amp;AY$3&amp;$A299))+SUM(INDIRECT(AY$1&amp;AY$2&amp;$B299):INDIRECT(AY$1&amp;AY$3&amp;$B299))</f>
        <v>0</v>
      </c>
      <c r="AZ299" s="2767">
        <f t="shared" ca="1" si="600"/>
        <v>0</v>
      </c>
      <c r="BA299" s="2768">
        <f t="shared" ca="1" si="601"/>
        <v>0</v>
      </c>
      <c r="BC299" s="596">
        <f ca="1">SUM((INDIRECT(BC$2&amp;(ROW())):INDIRECT(BC$3&amp;(ROW()))))</f>
        <v>0</v>
      </c>
      <c r="BD299" s="2002">
        <f ca="1">SUM(INDIRECT(BD$1&amp;BD$2&amp;$C299):INDIRECT(BD$1&amp;BD$3&amp;$C299))</f>
        <v>0</v>
      </c>
      <c r="BE299" s="2767">
        <f t="shared" ca="1" si="602"/>
        <v>0</v>
      </c>
      <c r="BF299" s="2768">
        <f t="shared" ca="1" si="603"/>
        <v>0</v>
      </c>
      <c r="BG299" s="2002">
        <f ca="1">SUM(INDIRECT(BG$1&amp;BG$2&amp;$A299):INDIRECT(BG$1&amp;BG$3&amp;$A299))+SUM(INDIRECT(BG$1&amp;BG$2&amp;$B299):INDIRECT(BG$1&amp;BG$3&amp;$B299))</f>
        <v>0</v>
      </c>
      <c r="BH299" s="2767">
        <f t="shared" ca="1" si="604"/>
        <v>0</v>
      </c>
      <c r="BI299" s="2768">
        <f t="shared" ca="1" si="605"/>
        <v>0</v>
      </c>
    </row>
    <row r="300" spans="1:61" ht="14.5">
      <c r="A300" s="1693">
        <f t="shared" si="532"/>
        <v>300</v>
      </c>
      <c r="B300" s="616">
        <v>1</v>
      </c>
      <c r="C300" s="1693">
        <f t="shared" si="531"/>
        <v>300</v>
      </c>
      <c r="D300" s="616">
        <v>1</v>
      </c>
      <c r="E300" s="709" t="s">
        <v>512</v>
      </c>
      <c r="F300" s="1572"/>
      <c r="G300" s="4"/>
      <c r="H300" s="4"/>
      <c r="I300" s="4"/>
      <c r="J300" s="253" t="s">
        <v>48</v>
      </c>
      <c r="K300" s="254"/>
      <c r="L300" s="255"/>
      <c r="M300" s="255"/>
      <c r="N300" s="254"/>
      <c r="O300" s="254"/>
      <c r="P300" s="493" t="s">
        <v>304</v>
      </c>
      <c r="Q300" s="595"/>
      <c r="R300" s="1798" t="str">
        <f>CHOOSE(2, "6722000003219", "PL (4) BT Cons. Sales")</f>
        <v>PL (4) BT Cons. Sales</v>
      </c>
      <c r="S300" s="1560">
        <f>SUM(S301,S305)</f>
        <v>0</v>
      </c>
      <c r="T300" s="1561">
        <f t="shared" ref="T300:AD300" si="615">SUM(T301,T305)</f>
        <v>0</v>
      </c>
      <c r="U300" s="1561">
        <f t="shared" si="615"/>
        <v>0</v>
      </c>
      <c r="V300" s="1561">
        <f t="shared" si="615"/>
        <v>0</v>
      </c>
      <c r="W300" s="1561">
        <f t="shared" si="615"/>
        <v>0</v>
      </c>
      <c r="X300" s="1561">
        <f t="shared" si="615"/>
        <v>0</v>
      </c>
      <c r="Y300" s="1561">
        <f t="shared" si="615"/>
        <v>0</v>
      </c>
      <c r="Z300" s="1561">
        <f t="shared" si="615"/>
        <v>0</v>
      </c>
      <c r="AA300" s="1561">
        <f t="shared" si="615"/>
        <v>0</v>
      </c>
      <c r="AB300" s="1561">
        <f t="shared" si="615"/>
        <v>0</v>
      </c>
      <c r="AC300" s="1561">
        <f t="shared" si="615"/>
        <v>0</v>
      </c>
      <c r="AD300" s="1561">
        <f t="shared" si="615"/>
        <v>0</v>
      </c>
      <c r="AE300" s="550">
        <f t="shared" ref="AE300:AK300" si="616">SUM(AE301,AE305)</f>
        <v>0</v>
      </c>
      <c r="AF300" s="550">
        <f t="shared" si="616"/>
        <v>0</v>
      </c>
      <c r="AG300" s="550">
        <f t="shared" si="616"/>
        <v>0</v>
      </c>
      <c r="AH300" s="550">
        <f t="shared" si="616"/>
        <v>0</v>
      </c>
      <c r="AI300" s="550">
        <f t="shared" si="616"/>
        <v>0</v>
      </c>
      <c r="AJ300" s="550">
        <f t="shared" si="616"/>
        <v>0</v>
      </c>
      <c r="AK300" s="550">
        <f t="shared" si="616"/>
        <v>0</v>
      </c>
      <c r="AM300" s="2272">
        <f ca="1">SUM((INDIRECT(AM$2&amp;(ROW())):INDIRECT(AM$3&amp;(ROW()))))</f>
        <v>0</v>
      </c>
      <c r="AN300" s="2050">
        <f ca="1">SUM(INDIRECT(AN$1&amp;AN$2&amp;$C300):INDIRECT(AN$1&amp;AN$3&amp;$C300))</f>
        <v>0</v>
      </c>
      <c r="AO300" s="2815">
        <f t="shared" ca="1" si="507"/>
        <v>0</v>
      </c>
      <c r="AP300" s="2816">
        <f t="shared" ca="1" si="595"/>
        <v>0</v>
      </c>
      <c r="AQ300" s="2050">
        <f ca="1">SUM(INDIRECT(AQ$1&amp;AQ$2&amp;$A300):INDIRECT(AQ$1&amp;AQ$3&amp;$A300))+SUM(INDIRECT(AQ$1&amp;AQ$2&amp;$B300):INDIRECT(AQ$1&amp;AQ$3&amp;$B300))</f>
        <v>0</v>
      </c>
      <c r="AR300" s="2815">
        <f t="shared" ca="1" si="596"/>
        <v>0</v>
      </c>
      <c r="AS300" s="2816">
        <f t="shared" ca="1" si="597"/>
        <v>0</v>
      </c>
      <c r="AU300" s="2272">
        <f ca="1">SUM((INDIRECT(AU$2&amp;(ROW())):INDIRECT(AU$3&amp;(ROW()))))</f>
        <v>0</v>
      </c>
      <c r="AV300" s="2050">
        <f ca="1">SUM(INDIRECT(AV$1&amp;AV$2&amp;$C300):INDIRECT(AV$1&amp;AV$3&amp;$C300))</f>
        <v>0</v>
      </c>
      <c r="AW300" s="2815">
        <f t="shared" ca="1" si="598"/>
        <v>0</v>
      </c>
      <c r="AX300" s="2816">
        <f t="shared" ca="1" si="599"/>
        <v>0</v>
      </c>
      <c r="AY300" s="2050">
        <f ca="1">SUM(INDIRECT(AY$1&amp;AY$2&amp;$A300):INDIRECT(AY$1&amp;AY$3&amp;$A300))+SUM(INDIRECT(AY$1&amp;AY$2&amp;$B300):INDIRECT(AY$1&amp;AY$3&amp;$B300))</f>
        <v>0</v>
      </c>
      <c r="AZ300" s="2815">
        <f t="shared" ca="1" si="600"/>
        <v>0</v>
      </c>
      <c r="BA300" s="2816">
        <f t="shared" ca="1" si="601"/>
        <v>0</v>
      </c>
      <c r="BC300" s="2272">
        <f ca="1">SUM((INDIRECT(BC$2&amp;(ROW())):INDIRECT(BC$3&amp;(ROW()))))</f>
        <v>0</v>
      </c>
      <c r="BD300" s="2050">
        <f ca="1">SUM(INDIRECT(BD$1&amp;BD$2&amp;$C300):INDIRECT(BD$1&amp;BD$3&amp;$C300))</f>
        <v>0</v>
      </c>
      <c r="BE300" s="2815">
        <f t="shared" ca="1" si="602"/>
        <v>0</v>
      </c>
      <c r="BF300" s="2816">
        <f t="shared" ca="1" si="603"/>
        <v>0</v>
      </c>
      <c r="BG300" s="2050">
        <f ca="1">SUM(INDIRECT(BG$1&amp;BG$2&amp;$A300):INDIRECT(BG$1&amp;BG$3&amp;$A300))+SUM(INDIRECT(BG$1&amp;BG$2&amp;$B300):INDIRECT(BG$1&amp;BG$3&amp;$B300))</f>
        <v>0</v>
      </c>
      <c r="BH300" s="2815">
        <f t="shared" ca="1" si="604"/>
        <v>0</v>
      </c>
      <c r="BI300" s="2816">
        <f t="shared" ca="1" si="605"/>
        <v>0</v>
      </c>
    </row>
    <row r="301" spans="1:61" ht="14.5">
      <c r="A301" s="1693">
        <f t="shared" si="532"/>
        <v>301</v>
      </c>
      <c r="B301" s="616">
        <v>1</v>
      </c>
      <c r="C301" s="1693">
        <f t="shared" si="531"/>
        <v>301</v>
      </c>
      <c r="D301" s="616">
        <v>1</v>
      </c>
      <c r="E301" s="709" t="s">
        <v>512</v>
      </c>
      <c r="F301" s="1572"/>
      <c r="G301" s="4"/>
      <c r="H301" s="4"/>
      <c r="I301" s="4"/>
      <c r="J301" s="27"/>
      <c r="K301" s="3"/>
      <c r="L301" s="4"/>
      <c r="M301" s="301" t="s">
        <v>372</v>
      </c>
      <c r="N301" s="301"/>
      <c r="O301" s="301"/>
      <c r="P301" s="301"/>
      <c r="Q301" s="301"/>
      <c r="R301" s="1799" t="str">
        <f>CHOOSE(2, "6722000003220", "PL (4) BT Cons. Sales MPM")</f>
        <v>PL (4) BT Cons. Sales MPM</v>
      </c>
      <c r="S301" s="1562">
        <f>SUM(S302:S304)</f>
        <v>0</v>
      </c>
      <c r="T301" s="1563">
        <f t="shared" ref="T301:AD301" si="617">SUM(T302:T304)</f>
        <v>0</v>
      </c>
      <c r="U301" s="1563">
        <f t="shared" si="617"/>
        <v>0</v>
      </c>
      <c r="V301" s="1563">
        <f t="shared" si="617"/>
        <v>0</v>
      </c>
      <c r="W301" s="1563">
        <f t="shared" si="617"/>
        <v>0</v>
      </c>
      <c r="X301" s="1563">
        <f t="shared" si="617"/>
        <v>0</v>
      </c>
      <c r="Y301" s="1563">
        <f t="shared" si="617"/>
        <v>0</v>
      </c>
      <c r="Z301" s="1563">
        <f t="shared" si="617"/>
        <v>0</v>
      </c>
      <c r="AA301" s="1563">
        <f t="shared" si="617"/>
        <v>0</v>
      </c>
      <c r="AB301" s="1563">
        <f t="shared" si="617"/>
        <v>0</v>
      </c>
      <c r="AC301" s="1563">
        <f t="shared" si="617"/>
        <v>0</v>
      </c>
      <c r="AD301" s="1563">
        <f t="shared" si="617"/>
        <v>0</v>
      </c>
      <c r="AE301" s="1252">
        <f t="shared" ref="AE301:AE309" si="618">SUM(S301,T301,U301)</f>
        <v>0</v>
      </c>
      <c r="AF301" s="1252">
        <f t="shared" ref="AF301:AF309" si="619">SUM(V301,W301,X301)</f>
        <v>0</v>
      </c>
      <c r="AG301" s="1252">
        <f t="shared" ref="AG301:AG309" si="620">SUM(Y301,Z301,AA301)</f>
        <v>0</v>
      </c>
      <c r="AH301" s="1252">
        <f t="shared" ref="AH301:AH309" si="621">SUM(AB301,AC301,AD301)</f>
        <v>0</v>
      </c>
      <c r="AI301" s="1252">
        <f t="shared" ref="AI301:AI309" si="622">AE301+AF301</f>
        <v>0</v>
      </c>
      <c r="AJ301" s="1252">
        <f t="shared" ref="AJ301:AJ309" si="623">AH301+AG301</f>
        <v>0</v>
      </c>
      <c r="AK301" s="1252">
        <f t="shared" ref="AK301:AK309" si="624">AI301+AJ301</f>
        <v>0</v>
      </c>
      <c r="AM301" s="2041">
        <f ca="1">SUM((INDIRECT(AM$2&amp;(ROW())):INDIRECT(AM$3&amp;(ROW()))))</f>
        <v>0</v>
      </c>
      <c r="AN301" s="2042">
        <f ca="1">SUM(INDIRECT(AN$1&amp;AN$2&amp;$C301):INDIRECT(AN$1&amp;AN$3&amp;$C301))</f>
        <v>0</v>
      </c>
      <c r="AO301" s="2805">
        <f t="shared" ca="1" si="507"/>
        <v>0</v>
      </c>
      <c r="AP301" s="2806">
        <f t="shared" ca="1" si="595"/>
        <v>0</v>
      </c>
      <c r="AQ301" s="2042">
        <f ca="1">SUM(INDIRECT(AQ$1&amp;AQ$2&amp;$A301):INDIRECT(AQ$1&amp;AQ$3&amp;$A301))+SUM(INDIRECT(AQ$1&amp;AQ$2&amp;$B301):INDIRECT(AQ$1&amp;AQ$3&amp;$B301))</f>
        <v>0</v>
      </c>
      <c r="AR301" s="2805">
        <f t="shared" ca="1" si="596"/>
        <v>0</v>
      </c>
      <c r="AS301" s="2806">
        <f t="shared" ca="1" si="597"/>
        <v>0</v>
      </c>
      <c r="AU301" s="2041">
        <f ca="1">SUM((INDIRECT(AU$2&amp;(ROW())):INDIRECT(AU$3&amp;(ROW()))))</f>
        <v>0</v>
      </c>
      <c r="AV301" s="2042">
        <f ca="1">SUM(INDIRECT(AV$1&amp;AV$2&amp;$C301):INDIRECT(AV$1&amp;AV$3&amp;$C301))</f>
        <v>0</v>
      </c>
      <c r="AW301" s="2805">
        <f t="shared" ca="1" si="598"/>
        <v>0</v>
      </c>
      <c r="AX301" s="2806">
        <f t="shared" ca="1" si="599"/>
        <v>0</v>
      </c>
      <c r="AY301" s="2042">
        <f ca="1">SUM(INDIRECT(AY$1&amp;AY$2&amp;$A301):INDIRECT(AY$1&amp;AY$3&amp;$A301))+SUM(INDIRECT(AY$1&amp;AY$2&amp;$B301):INDIRECT(AY$1&amp;AY$3&amp;$B301))</f>
        <v>0</v>
      </c>
      <c r="AZ301" s="2805">
        <f t="shared" ca="1" si="600"/>
        <v>0</v>
      </c>
      <c r="BA301" s="2806">
        <f t="shared" ca="1" si="601"/>
        <v>0</v>
      </c>
      <c r="BC301" s="2041">
        <f ca="1">SUM((INDIRECT(BC$2&amp;(ROW())):INDIRECT(BC$3&amp;(ROW()))))</f>
        <v>0</v>
      </c>
      <c r="BD301" s="2042">
        <f ca="1">SUM(INDIRECT(BD$1&amp;BD$2&amp;$C301):INDIRECT(BD$1&amp;BD$3&amp;$C301))</f>
        <v>0</v>
      </c>
      <c r="BE301" s="2805">
        <f t="shared" ca="1" si="602"/>
        <v>0</v>
      </c>
      <c r="BF301" s="2806">
        <f t="shared" ca="1" si="603"/>
        <v>0</v>
      </c>
      <c r="BG301" s="2042">
        <f ca="1">SUM(INDIRECT(BG$1&amp;BG$2&amp;$A301):INDIRECT(BG$1&amp;BG$3&amp;$A301))+SUM(INDIRECT(BG$1&amp;BG$2&amp;$B301):INDIRECT(BG$1&amp;BG$3&amp;$B301))</f>
        <v>0</v>
      </c>
      <c r="BH301" s="2805">
        <f t="shared" ca="1" si="604"/>
        <v>0</v>
      </c>
      <c r="BI301" s="2806">
        <f t="shared" ca="1" si="605"/>
        <v>0</v>
      </c>
    </row>
    <row r="302" spans="1:61" ht="15" customHeight="1">
      <c r="A302" s="1693">
        <f t="shared" si="532"/>
        <v>302</v>
      </c>
      <c r="B302" s="616">
        <v>1</v>
      </c>
      <c r="C302" s="1693">
        <f t="shared" si="531"/>
        <v>302</v>
      </c>
      <c r="D302" s="616">
        <v>1</v>
      </c>
      <c r="E302" s="709" t="s">
        <v>512</v>
      </c>
      <c r="F302" s="1572"/>
      <c r="G302" s="4"/>
      <c r="H302" s="4"/>
      <c r="I302" s="4"/>
      <c r="J302" s="27"/>
      <c r="K302" s="3"/>
      <c r="L302" s="4"/>
      <c r="M302" s="4"/>
      <c r="N302" s="3" t="s">
        <v>114</v>
      </c>
      <c r="O302" s="3"/>
      <c r="P302" s="3"/>
      <c r="Q302" s="3"/>
      <c r="R302" s="1800" t="str">
        <f>CHOOSE(2, "6722000003221", "PL (4) BT Cons. Sales MPM Procurement")</f>
        <v>PL (4) BT Cons. Sales MPM Procurement</v>
      </c>
      <c r="S302" s="1553"/>
      <c r="T302" s="1222"/>
      <c r="U302" s="1222"/>
      <c r="V302" s="1222"/>
      <c r="W302" s="1222"/>
      <c r="X302" s="1222"/>
      <c r="Y302" s="1222"/>
      <c r="Z302" s="1222"/>
      <c r="AA302" s="1222"/>
      <c r="AB302" s="1222"/>
      <c r="AC302" s="1222"/>
      <c r="AD302" s="1222"/>
      <c r="AE302" s="1221">
        <f t="shared" si="618"/>
        <v>0</v>
      </c>
      <c r="AF302" s="1221">
        <f t="shared" si="619"/>
        <v>0</v>
      </c>
      <c r="AG302" s="1221">
        <f t="shared" si="620"/>
        <v>0</v>
      </c>
      <c r="AH302" s="1221">
        <f t="shared" si="621"/>
        <v>0</v>
      </c>
      <c r="AI302" s="1221">
        <f t="shared" si="622"/>
        <v>0</v>
      </c>
      <c r="AJ302" s="1221">
        <f t="shared" si="623"/>
        <v>0</v>
      </c>
      <c r="AK302" s="1221">
        <f t="shared" si="624"/>
        <v>0</v>
      </c>
      <c r="AM302" s="596">
        <f ca="1">SUM((INDIRECT(AM$2&amp;(ROW())):INDIRECT(AM$3&amp;(ROW()))))</f>
        <v>0</v>
      </c>
      <c r="AN302" s="2002">
        <f ca="1">SUM(INDIRECT(AN$1&amp;AN$2&amp;$C302):INDIRECT(AN$1&amp;AN$3&amp;$C302))</f>
        <v>0</v>
      </c>
      <c r="AO302" s="2767">
        <f t="shared" ca="1" si="507"/>
        <v>0</v>
      </c>
      <c r="AP302" s="2768">
        <f t="shared" ca="1" si="595"/>
        <v>0</v>
      </c>
      <c r="AQ302" s="2002">
        <f ca="1">SUM(INDIRECT(AQ$1&amp;AQ$2&amp;$A302):INDIRECT(AQ$1&amp;AQ$3&amp;$A302))+SUM(INDIRECT(AQ$1&amp;AQ$2&amp;$B302):INDIRECT(AQ$1&amp;AQ$3&amp;$B302))</f>
        <v>0</v>
      </c>
      <c r="AR302" s="2767">
        <f t="shared" ca="1" si="596"/>
        <v>0</v>
      </c>
      <c r="AS302" s="2768">
        <f t="shared" ca="1" si="597"/>
        <v>0</v>
      </c>
      <c r="AU302" s="596">
        <f ca="1">SUM((INDIRECT(AU$2&amp;(ROW())):INDIRECT(AU$3&amp;(ROW()))))</f>
        <v>0</v>
      </c>
      <c r="AV302" s="2002">
        <f ca="1">SUM(INDIRECT(AV$1&amp;AV$2&amp;$C302):INDIRECT(AV$1&amp;AV$3&amp;$C302))</f>
        <v>0</v>
      </c>
      <c r="AW302" s="2767">
        <f t="shared" ca="1" si="598"/>
        <v>0</v>
      </c>
      <c r="AX302" s="2768">
        <f t="shared" ca="1" si="599"/>
        <v>0</v>
      </c>
      <c r="AY302" s="2002">
        <f ca="1">SUM(INDIRECT(AY$1&amp;AY$2&amp;$A302):INDIRECT(AY$1&amp;AY$3&amp;$A302))+SUM(INDIRECT(AY$1&amp;AY$2&amp;$B302):INDIRECT(AY$1&amp;AY$3&amp;$B302))</f>
        <v>0</v>
      </c>
      <c r="AZ302" s="2767">
        <f t="shared" ca="1" si="600"/>
        <v>0</v>
      </c>
      <c r="BA302" s="2768">
        <f t="shared" ca="1" si="601"/>
        <v>0</v>
      </c>
      <c r="BC302" s="596">
        <f ca="1">SUM((INDIRECT(BC$2&amp;(ROW())):INDIRECT(BC$3&amp;(ROW()))))</f>
        <v>0</v>
      </c>
      <c r="BD302" s="2002">
        <f ca="1">SUM(INDIRECT(BD$1&amp;BD$2&amp;$C302):INDIRECT(BD$1&amp;BD$3&amp;$C302))</f>
        <v>0</v>
      </c>
      <c r="BE302" s="2767">
        <f t="shared" ca="1" si="602"/>
        <v>0</v>
      </c>
      <c r="BF302" s="2768">
        <f t="shared" ca="1" si="603"/>
        <v>0</v>
      </c>
      <c r="BG302" s="2002">
        <f ca="1">SUM(INDIRECT(BG$1&amp;BG$2&amp;$A302):INDIRECT(BG$1&amp;BG$3&amp;$A302))+SUM(INDIRECT(BG$1&amp;BG$2&amp;$B302):INDIRECT(BG$1&amp;BG$3&amp;$B302))</f>
        <v>0</v>
      </c>
      <c r="BH302" s="2767">
        <f t="shared" ca="1" si="604"/>
        <v>0</v>
      </c>
      <c r="BI302" s="2768">
        <f t="shared" ca="1" si="605"/>
        <v>0</v>
      </c>
    </row>
    <row r="303" spans="1:61" ht="15" customHeight="1">
      <c r="A303" s="1693">
        <f t="shared" si="532"/>
        <v>303</v>
      </c>
      <c r="B303" s="616">
        <v>1</v>
      </c>
      <c r="C303" s="1693">
        <f t="shared" si="531"/>
        <v>303</v>
      </c>
      <c r="D303" s="616">
        <v>1</v>
      </c>
      <c r="E303" s="709" t="s">
        <v>512</v>
      </c>
      <c r="F303" s="1572"/>
      <c r="G303" s="4"/>
      <c r="H303" s="4"/>
      <c r="I303" s="4"/>
      <c r="J303" s="27"/>
      <c r="K303" s="3"/>
      <c r="L303" s="4"/>
      <c r="M303" s="4"/>
      <c r="N303" s="3" t="s">
        <v>115</v>
      </c>
      <c r="O303" s="3"/>
      <c r="P303" s="3"/>
      <c r="Q303" s="3"/>
      <c r="R303" s="1800" t="str">
        <f>CHOOSE(2, "6722000003222", "PL (4) BT Cons. Sales MPM Production")</f>
        <v>PL (4) BT Cons. Sales MPM Production</v>
      </c>
      <c r="S303" s="1553"/>
      <c r="T303" s="1222"/>
      <c r="U303" s="1222"/>
      <c r="V303" s="1222"/>
      <c r="W303" s="1222"/>
      <c r="X303" s="1222"/>
      <c r="Y303" s="1222"/>
      <c r="Z303" s="1222"/>
      <c r="AA303" s="1222"/>
      <c r="AB303" s="1222"/>
      <c r="AC303" s="1222"/>
      <c r="AD303" s="1222"/>
      <c r="AE303" s="1221">
        <f t="shared" si="618"/>
        <v>0</v>
      </c>
      <c r="AF303" s="1221">
        <f t="shared" si="619"/>
        <v>0</v>
      </c>
      <c r="AG303" s="1221">
        <f t="shared" si="620"/>
        <v>0</v>
      </c>
      <c r="AH303" s="1221">
        <f t="shared" si="621"/>
        <v>0</v>
      </c>
      <c r="AI303" s="1221">
        <f t="shared" si="622"/>
        <v>0</v>
      </c>
      <c r="AJ303" s="1221">
        <f t="shared" si="623"/>
        <v>0</v>
      </c>
      <c r="AK303" s="1221">
        <f t="shared" si="624"/>
        <v>0</v>
      </c>
      <c r="AM303" s="596">
        <f ca="1">SUM((INDIRECT(AM$2&amp;(ROW())):INDIRECT(AM$3&amp;(ROW()))))</f>
        <v>0</v>
      </c>
      <c r="AN303" s="2002">
        <f ca="1">SUM(INDIRECT(AN$1&amp;AN$2&amp;$C303):INDIRECT(AN$1&amp;AN$3&amp;$C303))</f>
        <v>0</v>
      </c>
      <c r="AO303" s="2767">
        <f t="shared" ca="1" si="507"/>
        <v>0</v>
      </c>
      <c r="AP303" s="2768">
        <f t="shared" ca="1" si="595"/>
        <v>0</v>
      </c>
      <c r="AQ303" s="2002">
        <f ca="1">SUM(INDIRECT(AQ$1&amp;AQ$2&amp;$A303):INDIRECT(AQ$1&amp;AQ$3&amp;$A303))+SUM(INDIRECT(AQ$1&amp;AQ$2&amp;$B303):INDIRECT(AQ$1&amp;AQ$3&amp;$B303))</f>
        <v>0</v>
      </c>
      <c r="AR303" s="2767">
        <f t="shared" ca="1" si="596"/>
        <v>0</v>
      </c>
      <c r="AS303" s="2768">
        <f t="shared" ca="1" si="597"/>
        <v>0</v>
      </c>
      <c r="AU303" s="596">
        <f ca="1">SUM((INDIRECT(AU$2&amp;(ROW())):INDIRECT(AU$3&amp;(ROW()))))</f>
        <v>0</v>
      </c>
      <c r="AV303" s="2002">
        <f ca="1">SUM(INDIRECT(AV$1&amp;AV$2&amp;$C303):INDIRECT(AV$1&amp;AV$3&amp;$C303))</f>
        <v>0</v>
      </c>
      <c r="AW303" s="2767">
        <f t="shared" ca="1" si="598"/>
        <v>0</v>
      </c>
      <c r="AX303" s="2768">
        <f t="shared" ca="1" si="599"/>
        <v>0</v>
      </c>
      <c r="AY303" s="2002">
        <f ca="1">SUM(INDIRECT(AY$1&amp;AY$2&amp;$A303):INDIRECT(AY$1&amp;AY$3&amp;$A303))+SUM(INDIRECT(AY$1&amp;AY$2&amp;$B303):INDIRECT(AY$1&amp;AY$3&amp;$B303))</f>
        <v>0</v>
      </c>
      <c r="AZ303" s="2767">
        <f t="shared" ca="1" si="600"/>
        <v>0</v>
      </c>
      <c r="BA303" s="2768">
        <f t="shared" ca="1" si="601"/>
        <v>0</v>
      </c>
      <c r="BC303" s="596">
        <f ca="1">SUM((INDIRECT(BC$2&amp;(ROW())):INDIRECT(BC$3&amp;(ROW()))))</f>
        <v>0</v>
      </c>
      <c r="BD303" s="2002">
        <f ca="1">SUM(INDIRECT(BD$1&amp;BD$2&amp;$C303):INDIRECT(BD$1&amp;BD$3&amp;$C303))</f>
        <v>0</v>
      </c>
      <c r="BE303" s="2767">
        <f t="shared" ca="1" si="602"/>
        <v>0</v>
      </c>
      <c r="BF303" s="2768">
        <f t="shared" ca="1" si="603"/>
        <v>0</v>
      </c>
      <c r="BG303" s="2002">
        <f ca="1">SUM(INDIRECT(BG$1&amp;BG$2&amp;$A303):INDIRECT(BG$1&amp;BG$3&amp;$A303))+SUM(INDIRECT(BG$1&amp;BG$2&amp;$B303):INDIRECT(BG$1&amp;BG$3&amp;$B303))</f>
        <v>0</v>
      </c>
      <c r="BH303" s="2767">
        <f t="shared" ca="1" si="604"/>
        <v>0</v>
      </c>
      <c r="BI303" s="2768">
        <f t="shared" ca="1" si="605"/>
        <v>0</v>
      </c>
    </row>
    <row r="304" spans="1:61" ht="15" customHeight="1">
      <c r="A304" s="1693">
        <f t="shared" si="532"/>
        <v>304</v>
      </c>
      <c r="B304" s="616">
        <v>1</v>
      </c>
      <c r="C304" s="1693">
        <f t="shared" si="531"/>
        <v>304</v>
      </c>
      <c r="D304" s="616">
        <v>1</v>
      </c>
      <c r="E304" s="709" t="s">
        <v>512</v>
      </c>
      <c r="F304" s="1572"/>
      <c r="G304" s="4"/>
      <c r="H304" s="4"/>
      <c r="I304" s="4"/>
      <c r="J304" s="27"/>
      <c r="K304" s="3"/>
      <c r="L304" s="4"/>
      <c r="M304" s="48"/>
      <c r="N304" s="47" t="s">
        <v>116</v>
      </c>
      <c r="O304" s="47"/>
      <c r="P304" s="47"/>
      <c r="Q304" s="47"/>
      <c r="R304" s="1800" t="str">
        <f>CHOOSE(2, "6722000003223", "PL (4) BT Cons. Sales MPM Solution")</f>
        <v>PL (4) BT Cons. Sales MPM Solution</v>
      </c>
      <c r="S304" s="1554"/>
      <c r="T304" s="1231"/>
      <c r="U304" s="1231"/>
      <c r="V304" s="1231"/>
      <c r="W304" s="1231"/>
      <c r="X304" s="1231"/>
      <c r="Y304" s="1231"/>
      <c r="Z304" s="1231"/>
      <c r="AA304" s="1231"/>
      <c r="AB304" s="1231"/>
      <c r="AC304" s="1231"/>
      <c r="AD304" s="1231"/>
      <c r="AE304" s="1230">
        <f t="shared" si="618"/>
        <v>0</v>
      </c>
      <c r="AF304" s="1230">
        <f t="shared" si="619"/>
        <v>0</v>
      </c>
      <c r="AG304" s="1230">
        <f t="shared" si="620"/>
        <v>0</v>
      </c>
      <c r="AH304" s="1230">
        <f t="shared" si="621"/>
        <v>0</v>
      </c>
      <c r="AI304" s="1230">
        <f t="shared" si="622"/>
        <v>0</v>
      </c>
      <c r="AJ304" s="1230">
        <f t="shared" si="623"/>
        <v>0</v>
      </c>
      <c r="AK304" s="1230">
        <f t="shared" si="624"/>
        <v>0</v>
      </c>
      <c r="AM304" s="2011">
        <f ca="1">SUM((INDIRECT(AM$2&amp;(ROW())):INDIRECT(AM$3&amp;(ROW()))))</f>
        <v>0</v>
      </c>
      <c r="AN304" s="2012">
        <f ca="1">SUM(INDIRECT(AN$1&amp;AN$2&amp;$C304):INDIRECT(AN$1&amp;AN$3&amp;$C304))</f>
        <v>0</v>
      </c>
      <c r="AO304" s="2774">
        <f t="shared" ca="1" si="507"/>
        <v>0</v>
      </c>
      <c r="AP304" s="2775">
        <f t="shared" ca="1" si="595"/>
        <v>0</v>
      </c>
      <c r="AQ304" s="2012">
        <f ca="1">SUM(INDIRECT(AQ$1&amp;AQ$2&amp;$A304):INDIRECT(AQ$1&amp;AQ$3&amp;$A304))+SUM(INDIRECT(AQ$1&amp;AQ$2&amp;$B304):INDIRECT(AQ$1&amp;AQ$3&amp;$B304))</f>
        <v>0</v>
      </c>
      <c r="AR304" s="2774">
        <f t="shared" ca="1" si="596"/>
        <v>0</v>
      </c>
      <c r="AS304" s="2775">
        <f t="shared" ca="1" si="597"/>
        <v>0</v>
      </c>
      <c r="AU304" s="2011">
        <f ca="1">SUM((INDIRECT(AU$2&amp;(ROW())):INDIRECT(AU$3&amp;(ROW()))))</f>
        <v>0</v>
      </c>
      <c r="AV304" s="2012">
        <f ca="1">SUM(INDIRECT(AV$1&amp;AV$2&amp;$C304):INDIRECT(AV$1&amp;AV$3&amp;$C304))</f>
        <v>0</v>
      </c>
      <c r="AW304" s="2774">
        <f t="shared" ca="1" si="598"/>
        <v>0</v>
      </c>
      <c r="AX304" s="2775">
        <f t="shared" ca="1" si="599"/>
        <v>0</v>
      </c>
      <c r="AY304" s="2012">
        <f ca="1">SUM(INDIRECT(AY$1&amp;AY$2&amp;$A304):INDIRECT(AY$1&amp;AY$3&amp;$A304))+SUM(INDIRECT(AY$1&amp;AY$2&amp;$B304):INDIRECT(AY$1&amp;AY$3&amp;$B304))</f>
        <v>0</v>
      </c>
      <c r="AZ304" s="2774">
        <f t="shared" ca="1" si="600"/>
        <v>0</v>
      </c>
      <c r="BA304" s="2775">
        <f t="shared" ca="1" si="601"/>
        <v>0</v>
      </c>
      <c r="BC304" s="2011">
        <f ca="1">SUM((INDIRECT(BC$2&amp;(ROW())):INDIRECT(BC$3&amp;(ROW()))))</f>
        <v>0</v>
      </c>
      <c r="BD304" s="2012">
        <f ca="1">SUM(INDIRECT(BD$1&amp;BD$2&amp;$C304):INDIRECT(BD$1&amp;BD$3&amp;$C304))</f>
        <v>0</v>
      </c>
      <c r="BE304" s="2774">
        <f t="shared" ca="1" si="602"/>
        <v>0</v>
      </c>
      <c r="BF304" s="2775">
        <f t="shared" ca="1" si="603"/>
        <v>0</v>
      </c>
      <c r="BG304" s="2012">
        <f ca="1">SUM(INDIRECT(BG$1&amp;BG$2&amp;$A304):INDIRECT(BG$1&amp;BG$3&amp;$A304))+SUM(INDIRECT(BG$1&amp;BG$2&amp;$B304):INDIRECT(BG$1&amp;BG$3&amp;$B304))</f>
        <v>0</v>
      </c>
      <c r="BH304" s="2774">
        <f t="shared" ca="1" si="604"/>
        <v>0</v>
      </c>
      <c r="BI304" s="2775">
        <f t="shared" ca="1" si="605"/>
        <v>0</v>
      </c>
    </row>
    <row r="305" spans="1:61" ht="15" customHeight="1">
      <c r="A305" s="1693">
        <f t="shared" si="532"/>
        <v>305</v>
      </c>
      <c r="B305" s="616">
        <v>1</v>
      </c>
      <c r="C305" s="1693">
        <f t="shared" si="531"/>
        <v>305</v>
      </c>
      <c r="D305" s="616">
        <v>1</v>
      </c>
      <c r="E305" s="709" t="s">
        <v>512</v>
      </c>
      <c r="F305" s="1572"/>
      <c r="G305" s="4"/>
      <c r="H305" s="4"/>
      <c r="I305" s="4"/>
      <c r="J305" s="27"/>
      <c r="K305" s="3"/>
      <c r="L305" s="4"/>
      <c r="M305" s="301" t="s">
        <v>373</v>
      </c>
      <c r="N305" s="301"/>
      <c r="O305" s="301"/>
      <c r="P305" s="301"/>
      <c r="Q305" s="301"/>
      <c r="R305" s="1799" t="str">
        <f>CHOOSE(2, "6722000003224", "PL (4) BT Cons. Sales ODP")</f>
        <v>PL (4) BT Cons. Sales ODP</v>
      </c>
      <c r="S305" s="1562">
        <f>SUM(S306:S309)</f>
        <v>0</v>
      </c>
      <c r="T305" s="1563">
        <f t="shared" ref="T305:AD305" si="625">SUM(T306:T309)</f>
        <v>0</v>
      </c>
      <c r="U305" s="1563">
        <f t="shared" si="625"/>
        <v>0</v>
      </c>
      <c r="V305" s="1563">
        <f t="shared" si="625"/>
        <v>0</v>
      </c>
      <c r="W305" s="1563">
        <f t="shared" si="625"/>
        <v>0</v>
      </c>
      <c r="X305" s="1563">
        <f t="shared" si="625"/>
        <v>0</v>
      </c>
      <c r="Y305" s="1563">
        <f t="shared" si="625"/>
        <v>0</v>
      </c>
      <c r="Z305" s="1563">
        <f t="shared" si="625"/>
        <v>0</v>
      </c>
      <c r="AA305" s="1563">
        <f t="shared" si="625"/>
        <v>0</v>
      </c>
      <c r="AB305" s="1563">
        <f t="shared" si="625"/>
        <v>0</v>
      </c>
      <c r="AC305" s="1563">
        <f t="shared" si="625"/>
        <v>0</v>
      </c>
      <c r="AD305" s="1563">
        <f t="shared" si="625"/>
        <v>0</v>
      </c>
      <c r="AE305" s="1252">
        <f t="shared" si="618"/>
        <v>0</v>
      </c>
      <c r="AF305" s="1252">
        <f t="shared" si="619"/>
        <v>0</v>
      </c>
      <c r="AG305" s="1252">
        <f t="shared" si="620"/>
        <v>0</v>
      </c>
      <c r="AH305" s="1252">
        <f t="shared" si="621"/>
        <v>0</v>
      </c>
      <c r="AI305" s="1252">
        <f t="shared" si="622"/>
        <v>0</v>
      </c>
      <c r="AJ305" s="1252">
        <f t="shared" si="623"/>
        <v>0</v>
      </c>
      <c r="AK305" s="1252">
        <f t="shared" si="624"/>
        <v>0</v>
      </c>
      <c r="AM305" s="2041">
        <f ca="1">SUM((INDIRECT(AM$2&amp;(ROW())):INDIRECT(AM$3&amp;(ROW()))))</f>
        <v>0</v>
      </c>
      <c r="AN305" s="2042">
        <f ca="1">SUM(INDIRECT(AN$1&amp;AN$2&amp;$C305):INDIRECT(AN$1&amp;AN$3&amp;$C305))</f>
        <v>0</v>
      </c>
      <c r="AO305" s="2805">
        <f t="shared" ca="1" si="507"/>
        <v>0</v>
      </c>
      <c r="AP305" s="2806">
        <f t="shared" ca="1" si="595"/>
        <v>0</v>
      </c>
      <c r="AQ305" s="2042">
        <f ca="1">SUM(INDIRECT(AQ$1&amp;AQ$2&amp;$A305):INDIRECT(AQ$1&amp;AQ$3&amp;$A305))+SUM(INDIRECT(AQ$1&amp;AQ$2&amp;$B305):INDIRECT(AQ$1&amp;AQ$3&amp;$B305))</f>
        <v>0</v>
      </c>
      <c r="AR305" s="2805">
        <f t="shared" ca="1" si="596"/>
        <v>0</v>
      </c>
      <c r="AS305" s="2806">
        <f t="shared" ca="1" si="597"/>
        <v>0</v>
      </c>
      <c r="AU305" s="2041">
        <f ca="1">SUM((INDIRECT(AU$2&amp;(ROW())):INDIRECT(AU$3&amp;(ROW()))))</f>
        <v>0</v>
      </c>
      <c r="AV305" s="2042">
        <f ca="1">SUM(INDIRECT(AV$1&amp;AV$2&amp;$C305):INDIRECT(AV$1&amp;AV$3&amp;$C305))</f>
        <v>0</v>
      </c>
      <c r="AW305" s="2805">
        <f t="shared" ca="1" si="598"/>
        <v>0</v>
      </c>
      <c r="AX305" s="2806">
        <f t="shared" ca="1" si="599"/>
        <v>0</v>
      </c>
      <c r="AY305" s="2042">
        <f ca="1">SUM(INDIRECT(AY$1&amp;AY$2&amp;$A305):INDIRECT(AY$1&amp;AY$3&amp;$A305))+SUM(INDIRECT(AY$1&amp;AY$2&amp;$B305):INDIRECT(AY$1&amp;AY$3&amp;$B305))</f>
        <v>0</v>
      </c>
      <c r="AZ305" s="2805">
        <f t="shared" ca="1" si="600"/>
        <v>0</v>
      </c>
      <c r="BA305" s="2806">
        <f t="shared" ca="1" si="601"/>
        <v>0</v>
      </c>
      <c r="BC305" s="2041">
        <f ca="1">SUM((INDIRECT(BC$2&amp;(ROW())):INDIRECT(BC$3&amp;(ROW()))))</f>
        <v>0</v>
      </c>
      <c r="BD305" s="2042">
        <f ca="1">SUM(INDIRECT(BD$1&amp;BD$2&amp;$C305):INDIRECT(BD$1&amp;BD$3&amp;$C305))</f>
        <v>0</v>
      </c>
      <c r="BE305" s="2805">
        <f t="shared" ca="1" si="602"/>
        <v>0</v>
      </c>
      <c r="BF305" s="2806">
        <f t="shared" ca="1" si="603"/>
        <v>0</v>
      </c>
      <c r="BG305" s="2042">
        <f ca="1">SUM(INDIRECT(BG$1&amp;BG$2&amp;$A305):INDIRECT(BG$1&amp;BG$3&amp;$A305))+SUM(INDIRECT(BG$1&amp;BG$2&amp;$B305):INDIRECT(BG$1&amp;BG$3&amp;$B305))</f>
        <v>0</v>
      </c>
      <c r="BH305" s="2805">
        <f t="shared" ca="1" si="604"/>
        <v>0</v>
      </c>
      <c r="BI305" s="2806">
        <f t="shared" ca="1" si="605"/>
        <v>0</v>
      </c>
    </row>
    <row r="306" spans="1:61" ht="15" customHeight="1">
      <c r="A306" s="1693">
        <f t="shared" si="532"/>
        <v>306</v>
      </c>
      <c r="B306" s="616">
        <v>1</v>
      </c>
      <c r="C306" s="1693">
        <f t="shared" si="531"/>
        <v>306</v>
      </c>
      <c r="D306" s="616">
        <v>1</v>
      </c>
      <c r="E306" s="709" t="s">
        <v>512</v>
      </c>
      <c r="F306" s="1572"/>
      <c r="G306" s="4"/>
      <c r="H306" s="4"/>
      <c r="I306" s="4"/>
      <c r="J306" s="27"/>
      <c r="K306" s="3"/>
      <c r="L306" s="4"/>
      <c r="M306" s="4"/>
      <c r="N306" s="3" t="s">
        <v>13</v>
      </c>
      <c r="O306" s="3"/>
      <c r="P306" s="3"/>
      <c r="Q306" s="3"/>
      <c r="R306" s="1800" t="str">
        <f>CHOOSE(2, "6722000003225", "PL (4) BT Cons. Sales ODP On Demand Printing")</f>
        <v>PL (4) BT Cons. Sales ODP On Demand Printing</v>
      </c>
      <c r="S306" s="1553"/>
      <c r="T306" s="1222"/>
      <c r="U306" s="1222"/>
      <c r="V306" s="1222"/>
      <c r="W306" s="1222"/>
      <c r="X306" s="1222"/>
      <c r="Y306" s="1222"/>
      <c r="Z306" s="1222"/>
      <c r="AA306" s="1222"/>
      <c r="AB306" s="1222"/>
      <c r="AC306" s="1222"/>
      <c r="AD306" s="1222"/>
      <c r="AE306" s="1221">
        <f t="shared" si="618"/>
        <v>0</v>
      </c>
      <c r="AF306" s="1221">
        <f t="shared" si="619"/>
        <v>0</v>
      </c>
      <c r="AG306" s="1221">
        <f t="shared" si="620"/>
        <v>0</v>
      </c>
      <c r="AH306" s="1221">
        <f t="shared" si="621"/>
        <v>0</v>
      </c>
      <c r="AI306" s="1221">
        <f t="shared" si="622"/>
        <v>0</v>
      </c>
      <c r="AJ306" s="1221">
        <f t="shared" si="623"/>
        <v>0</v>
      </c>
      <c r="AK306" s="1221">
        <f t="shared" si="624"/>
        <v>0</v>
      </c>
      <c r="AM306" s="596">
        <f ca="1">SUM((INDIRECT(AM$2&amp;(ROW())):INDIRECT(AM$3&amp;(ROW()))))</f>
        <v>0</v>
      </c>
      <c r="AN306" s="2002">
        <f ca="1">SUM(INDIRECT(AN$1&amp;AN$2&amp;$C306):INDIRECT(AN$1&amp;AN$3&amp;$C306))</f>
        <v>0</v>
      </c>
      <c r="AO306" s="2767">
        <f t="shared" ca="1" si="507"/>
        <v>0</v>
      </c>
      <c r="AP306" s="2768">
        <f t="shared" ca="1" si="595"/>
        <v>0</v>
      </c>
      <c r="AQ306" s="2002">
        <f ca="1">SUM(INDIRECT(AQ$1&amp;AQ$2&amp;$A306):INDIRECT(AQ$1&amp;AQ$3&amp;$A306))+SUM(INDIRECT(AQ$1&amp;AQ$2&amp;$B306):INDIRECT(AQ$1&amp;AQ$3&amp;$B306))</f>
        <v>0</v>
      </c>
      <c r="AR306" s="2767">
        <f t="shared" ca="1" si="596"/>
        <v>0</v>
      </c>
      <c r="AS306" s="2768">
        <f t="shared" ca="1" si="597"/>
        <v>0</v>
      </c>
      <c r="AU306" s="596">
        <f ca="1">SUM((INDIRECT(AU$2&amp;(ROW())):INDIRECT(AU$3&amp;(ROW()))))</f>
        <v>0</v>
      </c>
      <c r="AV306" s="2002">
        <f ca="1">SUM(INDIRECT(AV$1&amp;AV$2&amp;$C306):INDIRECT(AV$1&amp;AV$3&amp;$C306))</f>
        <v>0</v>
      </c>
      <c r="AW306" s="2767">
        <f t="shared" ca="1" si="598"/>
        <v>0</v>
      </c>
      <c r="AX306" s="2768">
        <f t="shared" ca="1" si="599"/>
        <v>0</v>
      </c>
      <c r="AY306" s="2002">
        <f ca="1">SUM(INDIRECT(AY$1&amp;AY$2&amp;$A306):INDIRECT(AY$1&amp;AY$3&amp;$A306))+SUM(INDIRECT(AY$1&amp;AY$2&amp;$B306):INDIRECT(AY$1&amp;AY$3&amp;$B306))</f>
        <v>0</v>
      </c>
      <c r="AZ306" s="2767">
        <f t="shared" ca="1" si="600"/>
        <v>0</v>
      </c>
      <c r="BA306" s="2768">
        <f t="shared" ca="1" si="601"/>
        <v>0</v>
      </c>
      <c r="BC306" s="596">
        <f ca="1">SUM((INDIRECT(BC$2&amp;(ROW())):INDIRECT(BC$3&amp;(ROW()))))</f>
        <v>0</v>
      </c>
      <c r="BD306" s="2002">
        <f ca="1">SUM(INDIRECT(BD$1&amp;BD$2&amp;$C306):INDIRECT(BD$1&amp;BD$3&amp;$C306))</f>
        <v>0</v>
      </c>
      <c r="BE306" s="2767">
        <f t="shared" ca="1" si="602"/>
        <v>0</v>
      </c>
      <c r="BF306" s="2768">
        <f t="shared" ca="1" si="603"/>
        <v>0</v>
      </c>
      <c r="BG306" s="2002">
        <f ca="1">SUM(INDIRECT(BG$1&amp;BG$2&amp;$A306):INDIRECT(BG$1&amp;BG$3&amp;$A306))+SUM(INDIRECT(BG$1&amp;BG$2&amp;$B306):INDIRECT(BG$1&amp;BG$3&amp;$B306))</f>
        <v>0</v>
      </c>
      <c r="BH306" s="2767">
        <f t="shared" ca="1" si="604"/>
        <v>0</v>
      </c>
      <c r="BI306" s="2768">
        <f t="shared" ca="1" si="605"/>
        <v>0</v>
      </c>
    </row>
    <row r="307" spans="1:61" ht="15" customHeight="1">
      <c r="A307" s="1693">
        <f t="shared" si="532"/>
        <v>307</v>
      </c>
      <c r="B307" s="616">
        <v>1</v>
      </c>
      <c r="C307" s="1693">
        <f t="shared" si="531"/>
        <v>307</v>
      </c>
      <c r="D307" s="616">
        <v>1</v>
      </c>
      <c r="E307" s="709" t="s">
        <v>512</v>
      </c>
      <c r="F307" s="1572"/>
      <c r="G307" s="330"/>
      <c r="H307" s="244"/>
      <c r="I307" s="4"/>
      <c r="J307" s="27"/>
      <c r="K307" s="3"/>
      <c r="L307" s="4"/>
      <c r="M307" s="4"/>
      <c r="N307" s="3" t="s">
        <v>374</v>
      </c>
      <c r="O307" s="3"/>
      <c r="P307" s="3"/>
      <c r="Q307" s="3"/>
      <c r="R307" s="1800" t="str">
        <f>CHOOSE(2, "6722000003226", "PL (4) BT Cons. Sales ODP Marketing Service")</f>
        <v>PL (4) BT Cons. Sales ODP Marketing Service</v>
      </c>
      <c r="S307" s="1553"/>
      <c r="T307" s="1222"/>
      <c r="U307" s="1222"/>
      <c r="V307" s="1222"/>
      <c r="W307" s="1222"/>
      <c r="X307" s="1222"/>
      <c r="Y307" s="1222"/>
      <c r="Z307" s="1222"/>
      <c r="AA307" s="1222"/>
      <c r="AB307" s="1222"/>
      <c r="AC307" s="1222"/>
      <c r="AD307" s="1222"/>
      <c r="AE307" s="1221">
        <f t="shared" si="618"/>
        <v>0</v>
      </c>
      <c r="AF307" s="1221">
        <f t="shared" si="619"/>
        <v>0</v>
      </c>
      <c r="AG307" s="1221">
        <f t="shared" si="620"/>
        <v>0</v>
      </c>
      <c r="AH307" s="1221">
        <f t="shared" si="621"/>
        <v>0</v>
      </c>
      <c r="AI307" s="1221">
        <f t="shared" si="622"/>
        <v>0</v>
      </c>
      <c r="AJ307" s="1221">
        <f t="shared" si="623"/>
        <v>0</v>
      </c>
      <c r="AK307" s="1221">
        <f t="shared" si="624"/>
        <v>0</v>
      </c>
      <c r="AM307" s="596">
        <f ca="1">SUM((INDIRECT(AM$2&amp;(ROW())):INDIRECT(AM$3&amp;(ROW()))))</f>
        <v>0</v>
      </c>
      <c r="AN307" s="2002">
        <f ca="1">SUM(INDIRECT(AN$1&amp;AN$2&amp;$C307):INDIRECT(AN$1&amp;AN$3&amp;$C307))</f>
        <v>0</v>
      </c>
      <c r="AO307" s="2767">
        <f t="shared" ca="1" si="507"/>
        <v>0</v>
      </c>
      <c r="AP307" s="2768">
        <f t="shared" ca="1" si="595"/>
        <v>0</v>
      </c>
      <c r="AQ307" s="2002">
        <f ca="1">SUM(INDIRECT(AQ$1&amp;AQ$2&amp;$A307):INDIRECT(AQ$1&amp;AQ$3&amp;$A307))+SUM(INDIRECT(AQ$1&amp;AQ$2&amp;$B307):INDIRECT(AQ$1&amp;AQ$3&amp;$B307))</f>
        <v>0</v>
      </c>
      <c r="AR307" s="2767">
        <f t="shared" ca="1" si="596"/>
        <v>0</v>
      </c>
      <c r="AS307" s="2768">
        <f t="shared" ca="1" si="597"/>
        <v>0</v>
      </c>
      <c r="AU307" s="596">
        <f ca="1">SUM((INDIRECT(AU$2&amp;(ROW())):INDIRECT(AU$3&amp;(ROW()))))</f>
        <v>0</v>
      </c>
      <c r="AV307" s="2002">
        <f ca="1">SUM(INDIRECT(AV$1&amp;AV$2&amp;$C307):INDIRECT(AV$1&amp;AV$3&amp;$C307))</f>
        <v>0</v>
      </c>
      <c r="AW307" s="2767">
        <f t="shared" ca="1" si="598"/>
        <v>0</v>
      </c>
      <c r="AX307" s="2768">
        <f t="shared" ca="1" si="599"/>
        <v>0</v>
      </c>
      <c r="AY307" s="2002">
        <f ca="1">SUM(INDIRECT(AY$1&amp;AY$2&amp;$A307):INDIRECT(AY$1&amp;AY$3&amp;$A307))+SUM(INDIRECT(AY$1&amp;AY$2&amp;$B307):INDIRECT(AY$1&amp;AY$3&amp;$B307))</f>
        <v>0</v>
      </c>
      <c r="AZ307" s="2767">
        <f t="shared" ca="1" si="600"/>
        <v>0</v>
      </c>
      <c r="BA307" s="2768">
        <f t="shared" ca="1" si="601"/>
        <v>0</v>
      </c>
      <c r="BC307" s="596">
        <f ca="1">SUM((INDIRECT(BC$2&amp;(ROW())):INDIRECT(BC$3&amp;(ROW()))))</f>
        <v>0</v>
      </c>
      <c r="BD307" s="2002">
        <f ca="1">SUM(INDIRECT(BD$1&amp;BD$2&amp;$C307):INDIRECT(BD$1&amp;BD$3&amp;$C307))</f>
        <v>0</v>
      </c>
      <c r="BE307" s="2767">
        <f t="shared" ca="1" si="602"/>
        <v>0</v>
      </c>
      <c r="BF307" s="2768">
        <f t="shared" ca="1" si="603"/>
        <v>0</v>
      </c>
      <c r="BG307" s="2002">
        <f ca="1">SUM(INDIRECT(BG$1&amp;BG$2&amp;$A307):INDIRECT(BG$1&amp;BG$3&amp;$A307))+SUM(INDIRECT(BG$1&amp;BG$2&amp;$B307):INDIRECT(BG$1&amp;BG$3&amp;$B307))</f>
        <v>0</v>
      </c>
      <c r="BH307" s="2767">
        <f t="shared" ca="1" si="604"/>
        <v>0</v>
      </c>
      <c r="BI307" s="2768">
        <f t="shared" ca="1" si="605"/>
        <v>0</v>
      </c>
    </row>
    <row r="308" spans="1:61" ht="15" customHeight="1">
      <c r="A308" s="1693">
        <f t="shared" si="532"/>
        <v>308</v>
      </c>
      <c r="B308" s="616">
        <v>1</v>
      </c>
      <c r="C308" s="1693">
        <f t="shared" si="531"/>
        <v>308</v>
      </c>
      <c r="D308" s="616">
        <v>1</v>
      </c>
      <c r="E308" s="709" t="s">
        <v>512</v>
      </c>
      <c r="F308" s="1572"/>
      <c r="G308" s="330"/>
      <c r="H308" s="244"/>
      <c r="I308" s="4"/>
      <c r="J308" s="27"/>
      <c r="K308" s="3"/>
      <c r="L308" s="4"/>
      <c r="M308" s="4"/>
      <c r="N308" s="3" t="s">
        <v>375</v>
      </c>
      <c r="O308" s="3"/>
      <c r="P308" s="3"/>
      <c r="Q308" s="3"/>
      <c r="R308" s="1800" t="str">
        <f>CHOOSE(2, "6722000003227", "PL (4) BT Cons. Sales ODP Digital Solution")</f>
        <v>PL (4) BT Cons. Sales ODP Digital Solution</v>
      </c>
      <c r="S308" s="1553"/>
      <c r="T308" s="1222"/>
      <c r="U308" s="1222"/>
      <c r="V308" s="1222"/>
      <c r="W308" s="1222"/>
      <c r="X308" s="1222"/>
      <c r="Y308" s="1222"/>
      <c r="Z308" s="1222"/>
      <c r="AA308" s="1222"/>
      <c r="AB308" s="1222"/>
      <c r="AC308" s="1222"/>
      <c r="AD308" s="1222"/>
      <c r="AE308" s="1221">
        <f t="shared" si="618"/>
        <v>0</v>
      </c>
      <c r="AF308" s="1221">
        <f t="shared" si="619"/>
        <v>0</v>
      </c>
      <c r="AG308" s="1221">
        <f t="shared" si="620"/>
        <v>0</v>
      </c>
      <c r="AH308" s="1221">
        <f t="shared" si="621"/>
        <v>0</v>
      </c>
      <c r="AI308" s="1221">
        <f t="shared" si="622"/>
        <v>0</v>
      </c>
      <c r="AJ308" s="1221">
        <f t="shared" si="623"/>
        <v>0</v>
      </c>
      <c r="AK308" s="1221">
        <f t="shared" si="624"/>
        <v>0</v>
      </c>
      <c r="AM308" s="596">
        <f ca="1">SUM((INDIRECT(AM$2&amp;(ROW())):INDIRECT(AM$3&amp;(ROW()))))</f>
        <v>0</v>
      </c>
      <c r="AN308" s="2002">
        <f ca="1">SUM(INDIRECT(AN$1&amp;AN$2&amp;$C308):INDIRECT(AN$1&amp;AN$3&amp;$C308))</f>
        <v>0</v>
      </c>
      <c r="AO308" s="2767">
        <f t="shared" ca="1" si="507"/>
        <v>0</v>
      </c>
      <c r="AP308" s="2768">
        <f t="shared" ca="1" si="595"/>
        <v>0</v>
      </c>
      <c r="AQ308" s="2002">
        <f ca="1">SUM(INDIRECT(AQ$1&amp;AQ$2&amp;$A308):INDIRECT(AQ$1&amp;AQ$3&amp;$A308))+SUM(INDIRECT(AQ$1&amp;AQ$2&amp;$B308):INDIRECT(AQ$1&amp;AQ$3&amp;$B308))</f>
        <v>0</v>
      </c>
      <c r="AR308" s="2767">
        <f t="shared" ca="1" si="596"/>
        <v>0</v>
      </c>
      <c r="AS308" s="2768">
        <f t="shared" ca="1" si="597"/>
        <v>0</v>
      </c>
      <c r="AU308" s="596">
        <f ca="1">SUM((INDIRECT(AU$2&amp;(ROW())):INDIRECT(AU$3&amp;(ROW()))))</f>
        <v>0</v>
      </c>
      <c r="AV308" s="2002">
        <f ca="1">SUM(INDIRECT(AV$1&amp;AV$2&amp;$C308):INDIRECT(AV$1&amp;AV$3&amp;$C308))</f>
        <v>0</v>
      </c>
      <c r="AW308" s="2767">
        <f t="shared" ca="1" si="598"/>
        <v>0</v>
      </c>
      <c r="AX308" s="2768">
        <f t="shared" ca="1" si="599"/>
        <v>0</v>
      </c>
      <c r="AY308" s="2002">
        <f ca="1">SUM(INDIRECT(AY$1&amp;AY$2&amp;$A308):INDIRECT(AY$1&amp;AY$3&amp;$A308))+SUM(INDIRECT(AY$1&amp;AY$2&amp;$B308):INDIRECT(AY$1&amp;AY$3&amp;$B308))</f>
        <v>0</v>
      </c>
      <c r="AZ308" s="2767">
        <f t="shared" ca="1" si="600"/>
        <v>0</v>
      </c>
      <c r="BA308" s="2768">
        <f t="shared" ca="1" si="601"/>
        <v>0</v>
      </c>
      <c r="BC308" s="596">
        <f ca="1">SUM((INDIRECT(BC$2&amp;(ROW())):INDIRECT(BC$3&amp;(ROW()))))</f>
        <v>0</v>
      </c>
      <c r="BD308" s="2002">
        <f ca="1">SUM(INDIRECT(BD$1&amp;BD$2&amp;$C308):INDIRECT(BD$1&amp;BD$3&amp;$C308))</f>
        <v>0</v>
      </c>
      <c r="BE308" s="2767">
        <f t="shared" ca="1" si="602"/>
        <v>0</v>
      </c>
      <c r="BF308" s="2768">
        <f t="shared" ca="1" si="603"/>
        <v>0</v>
      </c>
      <c r="BG308" s="2002">
        <f ca="1">SUM(INDIRECT(BG$1&amp;BG$2&amp;$A308):INDIRECT(BG$1&amp;BG$3&amp;$A308))+SUM(INDIRECT(BG$1&amp;BG$2&amp;$B308):INDIRECT(BG$1&amp;BG$3&amp;$B308))</f>
        <v>0</v>
      </c>
      <c r="BH308" s="2767">
        <f t="shared" ca="1" si="604"/>
        <v>0</v>
      </c>
      <c r="BI308" s="2768">
        <f t="shared" ca="1" si="605"/>
        <v>0</v>
      </c>
    </row>
    <row r="309" spans="1:61" ht="15" customHeight="1">
      <c r="A309" s="1693">
        <f t="shared" si="532"/>
        <v>309</v>
      </c>
      <c r="B309" s="616">
        <v>1</v>
      </c>
      <c r="C309" s="1693">
        <f t="shared" si="531"/>
        <v>309</v>
      </c>
      <c r="D309" s="616">
        <v>1</v>
      </c>
      <c r="E309" s="709" t="s">
        <v>512</v>
      </c>
      <c r="F309" s="1572"/>
      <c r="G309" s="330"/>
      <c r="H309" s="244"/>
      <c r="I309" s="4"/>
      <c r="J309" s="27"/>
      <c r="K309" s="3"/>
      <c r="L309" s="4"/>
      <c r="M309" s="4"/>
      <c r="N309" s="3" t="s">
        <v>376</v>
      </c>
      <c r="O309" s="3"/>
      <c r="P309" s="3"/>
      <c r="Q309" s="3"/>
      <c r="R309" s="1800" t="str">
        <f>CHOOSE(2, "6722000003228", "PL (4) BT Cons. Sales ODP ODP New Business")</f>
        <v>PL (4) BT Cons. Sales ODP ODP New Business</v>
      </c>
      <c r="S309" s="1553"/>
      <c r="T309" s="1222"/>
      <c r="U309" s="1222"/>
      <c r="V309" s="1222"/>
      <c r="W309" s="1222"/>
      <c r="X309" s="1222"/>
      <c r="Y309" s="1222"/>
      <c r="Z309" s="1222"/>
      <c r="AA309" s="1222"/>
      <c r="AB309" s="1222"/>
      <c r="AC309" s="1222"/>
      <c r="AD309" s="1222"/>
      <c r="AE309" s="1221">
        <f t="shared" si="618"/>
        <v>0</v>
      </c>
      <c r="AF309" s="1221">
        <f t="shared" si="619"/>
        <v>0</v>
      </c>
      <c r="AG309" s="1221">
        <f t="shared" si="620"/>
        <v>0</v>
      </c>
      <c r="AH309" s="1221">
        <f t="shared" si="621"/>
        <v>0</v>
      </c>
      <c r="AI309" s="1221">
        <f t="shared" si="622"/>
        <v>0</v>
      </c>
      <c r="AJ309" s="1221">
        <f t="shared" si="623"/>
        <v>0</v>
      </c>
      <c r="AK309" s="1221">
        <f t="shared" si="624"/>
        <v>0</v>
      </c>
      <c r="AM309" s="596">
        <f ca="1">SUM((INDIRECT(AM$2&amp;(ROW())):INDIRECT(AM$3&amp;(ROW()))))</f>
        <v>0</v>
      </c>
      <c r="AN309" s="2002">
        <f ca="1">SUM(INDIRECT(AN$1&amp;AN$2&amp;$C309):INDIRECT(AN$1&amp;AN$3&amp;$C309))</f>
        <v>0</v>
      </c>
      <c r="AO309" s="2767">
        <f t="shared" ca="1" si="507"/>
        <v>0</v>
      </c>
      <c r="AP309" s="2768">
        <f t="shared" ca="1" si="595"/>
        <v>0</v>
      </c>
      <c r="AQ309" s="2002">
        <f ca="1">SUM(INDIRECT(AQ$1&amp;AQ$2&amp;$A309):INDIRECT(AQ$1&amp;AQ$3&amp;$A309))+SUM(INDIRECT(AQ$1&amp;AQ$2&amp;$B309):INDIRECT(AQ$1&amp;AQ$3&amp;$B309))</f>
        <v>0</v>
      </c>
      <c r="AR309" s="2767">
        <f t="shared" ca="1" si="596"/>
        <v>0</v>
      </c>
      <c r="AS309" s="2768">
        <f t="shared" ca="1" si="597"/>
        <v>0</v>
      </c>
      <c r="AU309" s="596">
        <f ca="1">SUM((INDIRECT(AU$2&amp;(ROW())):INDIRECT(AU$3&amp;(ROW()))))</f>
        <v>0</v>
      </c>
      <c r="AV309" s="2002">
        <f ca="1">SUM(INDIRECT(AV$1&amp;AV$2&amp;$C309):INDIRECT(AV$1&amp;AV$3&amp;$C309))</f>
        <v>0</v>
      </c>
      <c r="AW309" s="2767">
        <f t="shared" ca="1" si="598"/>
        <v>0</v>
      </c>
      <c r="AX309" s="2768">
        <f t="shared" ca="1" si="599"/>
        <v>0</v>
      </c>
      <c r="AY309" s="2002">
        <f ca="1">SUM(INDIRECT(AY$1&amp;AY$2&amp;$A309):INDIRECT(AY$1&amp;AY$3&amp;$A309))+SUM(INDIRECT(AY$1&amp;AY$2&amp;$B309):INDIRECT(AY$1&amp;AY$3&amp;$B309))</f>
        <v>0</v>
      </c>
      <c r="AZ309" s="2767">
        <f t="shared" ca="1" si="600"/>
        <v>0</v>
      </c>
      <c r="BA309" s="2768">
        <f t="shared" ca="1" si="601"/>
        <v>0</v>
      </c>
      <c r="BC309" s="596">
        <f ca="1">SUM((INDIRECT(BC$2&amp;(ROW())):INDIRECT(BC$3&amp;(ROW()))))</f>
        <v>0</v>
      </c>
      <c r="BD309" s="2002">
        <f ca="1">SUM(INDIRECT(BD$1&amp;BD$2&amp;$C309):INDIRECT(BD$1&amp;BD$3&amp;$C309))</f>
        <v>0</v>
      </c>
      <c r="BE309" s="2767">
        <f t="shared" ca="1" si="602"/>
        <v>0</v>
      </c>
      <c r="BF309" s="2768">
        <f t="shared" ca="1" si="603"/>
        <v>0</v>
      </c>
      <c r="BG309" s="2002">
        <f ca="1">SUM(INDIRECT(BG$1&amp;BG$2&amp;$A309):INDIRECT(BG$1&amp;BG$3&amp;$A309))+SUM(INDIRECT(BG$1&amp;BG$2&amp;$B309):INDIRECT(BG$1&amp;BG$3&amp;$B309))</f>
        <v>0</v>
      </c>
      <c r="BH309" s="2767">
        <f t="shared" ca="1" si="604"/>
        <v>0</v>
      </c>
      <c r="BI309" s="2768">
        <f t="shared" ca="1" si="605"/>
        <v>0</v>
      </c>
    </row>
    <row r="310" spans="1:61" ht="14.5">
      <c r="A310" s="1693">
        <f t="shared" si="532"/>
        <v>310</v>
      </c>
      <c r="B310" s="616">
        <v>1</v>
      </c>
      <c r="C310" s="1693">
        <f t="shared" si="531"/>
        <v>310</v>
      </c>
      <c r="D310" s="616">
        <v>1</v>
      </c>
      <c r="E310" s="709" t="s">
        <v>512</v>
      </c>
      <c r="F310" s="1572"/>
      <c r="G310" s="4"/>
      <c r="H310" s="4"/>
      <c r="I310" s="4"/>
      <c r="J310" s="253" t="s">
        <v>54</v>
      </c>
      <c r="K310" s="254"/>
      <c r="L310" s="255"/>
      <c r="M310" s="255"/>
      <c r="N310" s="254"/>
      <c r="O310" s="254"/>
      <c r="P310" s="254"/>
      <c r="Q310" s="595"/>
      <c r="R310" s="1798" t="str">
        <f>CHOOSE(2, "6722000003229", "PL (4) Gross Profit")</f>
        <v>PL (4) Gross Profit</v>
      </c>
      <c r="S310" s="1560">
        <f>SUM(S321,S325)</f>
        <v>0</v>
      </c>
      <c r="T310" s="1561">
        <f t="shared" ref="T310:AD310" si="626">SUM(T321,T325)</f>
        <v>0</v>
      </c>
      <c r="U310" s="1561">
        <f t="shared" si="626"/>
        <v>0</v>
      </c>
      <c r="V310" s="1561">
        <f t="shared" si="626"/>
        <v>0</v>
      </c>
      <c r="W310" s="1561">
        <f t="shared" si="626"/>
        <v>0</v>
      </c>
      <c r="X310" s="1561">
        <f t="shared" si="626"/>
        <v>0</v>
      </c>
      <c r="Y310" s="1561">
        <f t="shared" si="626"/>
        <v>0</v>
      </c>
      <c r="Z310" s="1561">
        <f t="shared" si="626"/>
        <v>0</v>
      </c>
      <c r="AA310" s="1561">
        <f t="shared" si="626"/>
        <v>0</v>
      </c>
      <c r="AB310" s="1561">
        <f t="shared" si="626"/>
        <v>0</v>
      </c>
      <c r="AC310" s="1561">
        <f t="shared" si="626"/>
        <v>0</v>
      </c>
      <c r="AD310" s="1561">
        <f t="shared" si="626"/>
        <v>0</v>
      </c>
      <c r="AE310" s="550">
        <f t="shared" ref="AE310:AK310" si="627">SUM(AE321,AE325)</f>
        <v>0</v>
      </c>
      <c r="AF310" s="550">
        <f t="shared" si="627"/>
        <v>0</v>
      </c>
      <c r="AG310" s="550">
        <f t="shared" si="627"/>
        <v>0</v>
      </c>
      <c r="AH310" s="550">
        <f t="shared" si="627"/>
        <v>0</v>
      </c>
      <c r="AI310" s="550">
        <f t="shared" si="627"/>
        <v>0</v>
      </c>
      <c r="AJ310" s="550">
        <f t="shared" si="627"/>
        <v>0</v>
      </c>
      <c r="AK310" s="550">
        <f t="shared" si="627"/>
        <v>0</v>
      </c>
      <c r="AM310" s="2272">
        <f ca="1">SUM((INDIRECT(AM$2&amp;(ROW())):INDIRECT(AM$3&amp;(ROW()))))</f>
        <v>0</v>
      </c>
      <c r="AN310" s="2050">
        <f ca="1">SUM(INDIRECT(AN$1&amp;AN$2&amp;$C310):INDIRECT(AN$1&amp;AN$3&amp;$C310))</f>
        <v>0</v>
      </c>
      <c r="AO310" s="2815">
        <f t="shared" ca="1" si="507"/>
        <v>0</v>
      </c>
      <c r="AP310" s="2816">
        <f t="shared" ca="1" si="595"/>
        <v>0</v>
      </c>
      <c r="AQ310" s="2050">
        <f ca="1">SUM(INDIRECT(AQ$1&amp;AQ$2&amp;$A310):INDIRECT(AQ$1&amp;AQ$3&amp;$A310))+SUM(INDIRECT(AQ$1&amp;AQ$2&amp;$B310):INDIRECT(AQ$1&amp;AQ$3&amp;$B310))</f>
        <v>0</v>
      </c>
      <c r="AR310" s="2815">
        <f t="shared" ca="1" si="596"/>
        <v>0</v>
      </c>
      <c r="AS310" s="2816">
        <f t="shared" ca="1" si="597"/>
        <v>0</v>
      </c>
      <c r="AU310" s="2272">
        <f ca="1">SUM((INDIRECT(AU$2&amp;(ROW())):INDIRECT(AU$3&amp;(ROW()))))</f>
        <v>0</v>
      </c>
      <c r="AV310" s="2050">
        <f ca="1">SUM(INDIRECT(AV$1&amp;AV$2&amp;$C310):INDIRECT(AV$1&amp;AV$3&amp;$C310))</f>
        <v>0</v>
      </c>
      <c r="AW310" s="2815">
        <f t="shared" ca="1" si="598"/>
        <v>0</v>
      </c>
      <c r="AX310" s="2816">
        <f t="shared" ca="1" si="599"/>
        <v>0</v>
      </c>
      <c r="AY310" s="2050">
        <f ca="1">SUM(INDIRECT(AY$1&amp;AY$2&amp;$A310):INDIRECT(AY$1&amp;AY$3&amp;$A310))+SUM(INDIRECT(AY$1&amp;AY$2&amp;$B310):INDIRECT(AY$1&amp;AY$3&amp;$B310))</f>
        <v>0</v>
      </c>
      <c r="AZ310" s="2815">
        <f t="shared" ca="1" si="600"/>
        <v>0</v>
      </c>
      <c r="BA310" s="2816">
        <f t="shared" ca="1" si="601"/>
        <v>0</v>
      </c>
      <c r="BC310" s="2272">
        <f ca="1">SUM((INDIRECT(BC$2&amp;(ROW())):INDIRECT(BC$3&amp;(ROW()))))</f>
        <v>0</v>
      </c>
      <c r="BD310" s="2050">
        <f ca="1">SUM(INDIRECT(BD$1&amp;BD$2&amp;$C310):INDIRECT(BD$1&amp;BD$3&amp;$C310))</f>
        <v>0</v>
      </c>
      <c r="BE310" s="2815">
        <f t="shared" ca="1" si="602"/>
        <v>0</v>
      </c>
      <c r="BF310" s="2816">
        <f t="shared" ca="1" si="603"/>
        <v>0</v>
      </c>
      <c r="BG310" s="2050">
        <f ca="1">SUM(INDIRECT(BG$1&amp;BG$2&amp;$A310):INDIRECT(BG$1&amp;BG$3&amp;$A310))+SUM(INDIRECT(BG$1&amp;BG$2&amp;$B310):INDIRECT(BG$1&amp;BG$3&amp;$B310))</f>
        <v>0</v>
      </c>
      <c r="BH310" s="2815">
        <f t="shared" ca="1" si="604"/>
        <v>0</v>
      </c>
      <c r="BI310" s="2816">
        <f t="shared" ca="1" si="605"/>
        <v>0</v>
      </c>
    </row>
    <row r="311" spans="1:61" ht="14.5">
      <c r="A311" s="1693">
        <f t="shared" si="532"/>
        <v>311</v>
      </c>
      <c r="B311" s="616">
        <v>1</v>
      </c>
      <c r="C311" s="1693">
        <f t="shared" si="531"/>
        <v>311</v>
      </c>
      <c r="D311" s="616">
        <v>1</v>
      </c>
      <c r="E311" s="709" t="s">
        <v>512</v>
      </c>
      <c r="F311" s="1572"/>
      <c r="G311" s="4"/>
      <c r="H311" s="4"/>
      <c r="I311" s="4"/>
      <c r="J311" s="507"/>
      <c r="K311" s="503" t="s">
        <v>113</v>
      </c>
      <c r="L311" s="4"/>
      <c r="M311" s="48"/>
      <c r="N311" s="48"/>
      <c r="O311" s="48"/>
      <c r="P311" s="551" t="s">
        <v>301</v>
      </c>
      <c r="Q311" s="48"/>
      <c r="R311" s="1785" t="str">
        <f>CHOOSE(2, "6722000003230", "PL (4) Gross Profit (%)")</f>
        <v>PL (4) Gross Profit (%)</v>
      </c>
      <c r="S311" s="1325">
        <f>IFERROR(S310/S290,0)</f>
        <v>0</v>
      </c>
      <c r="T311" s="1324">
        <f t="shared" ref="T311:AD311" si="628">IFERROR(T310/T290,0)</f>
        <v>0</v>
      </c>
      <c r="U311" s="1324">
        <f t="shared" si="628"/>
        <v>0</v>
      </c>
      <c r="V311" s="1324">
        <f t="shared" si="628"/>
        <v>0</v>
      </c>
      <c r="W311" s="1324">
        <f t="shared" si="628"/>
        <v>0</v>
      </c>
      <c r="X311" s="1324">
        <f t="shared" si="628"/>
        <v>0</v>
      </c>
      <c r="Y311" s="1324">
        <f t="shared" si="628"/>
        <v>0</v>
      </c>
      <c r="Z311" s="1324">
        <f t="shared" si="628"/>
        <v>0</v>
      </c>
      <c r="AA311" s="1324">
        <f t="shared" si="628"/>
        <v>0</v>
      </c>
      <c r="AB311" s="1324">
        <f t="shared" si="628"/>
        <v>0</v>
      </c>
      <c r="AC311" s="1324">
        <f t="shared" si="628"/>
        <v>0</v>
      </c>
      <c r="AD311" s="1324">
        <f t="shared" si="628"/>
        <v>0</v>
      </c>
      <c r="AE311" s="1324">
        <f t="shared" ref="AE311:AK311" si="629">IFERROR(AE310/AE290,0)</f>
        <v>0</v>
      </c>
      <c r="AF311" s="1324">
        <f t="shared" si="629"/>
        <v>0</v>
      </c>
      <c r="AG311" s="1324">
        <f t="shared" si="629"/>
        <v>0</v>
      </c>
      <c r="AH311" s="1324">
        <f t="shared" si="629"/>
        <v>0</v>
      </c>
      <c r="AI311" s="1324">
        <f t="shared" si="629"/>
        <v>0</v>
      </c>
      <c r="AJ311" s="1324">
        <f t="shared" si="629"/>
        <v>0</v>
      </c>
      <c r="AK311" s="1324">
        <f t="shared" si="629"/>
        <v>0</v>
      </c>
      <c r="AL311" s="504"/>
      <c r="AM311" s="1325">
        <f t="shared" ref="AM311:AQ311" ca="1" si="630">IFERROR(AM310/AM290,0)</f>
        <v>0</v>
      </c>
      <c r="AN311" s="1324">
        <f t="shared" ca="1" si="630"/>
        <v>0</v>
      </c>
      <c r="AO311" s="1324">
        <f t="shared" ca="1" si="507"/>
        <v>0</v>
      </c>
      <c r="AP311" s="2817"/>
      <c r="AQ311" s="1324">
        <f t="shared" ca="1" si="630"/>
        <v>0</v>
      </c>
      <c r="AR311" s="1324">
        <f t="shared" ca="1" si="535"/>
        <v>0</v>
      </c>
      <c r="AS311" s="2817"/>
      <c r="AT311" s="504"/>
      <c r="AU311" s="1325">
        <f ca="1">IFERROR(AU310/AU290,0)</f>
        <v>0</v>
      </c>
      <c r="AV311" s="1324">
        <f ca="1">IFERROR(AV310/AV290,0)</f>
        <v>0</v>
      </c>
      <c r="AW311" s="1324">
        <f t="shared" ca="1" si="598"/>
        <v>0</v>
      </c>
      <c r="AX311" s="2817"/>
      <c r="AY311" s="1324">
        <f ca="1">IFERROR(AY310/AY290,0)</f>
        <v>0</v>
      </c>
      <c r="AZ311" s="1324">
        <f t="shared" ca="1" si="600"/>
        <v>0</v>
      </c>
      <c r="BA311" s="2817"/>
      <c r="BB311" s="504"/>
      <c r="BC311" s="1325">
        <f ca="1">IFERROR(BC310/BC290,0)</f>
        <v>0</v>
      </c>
      <c r="BD311" s="1324">
        <f ca="1">IFERROR(BD310/BD290,0)</f>
        <v>0</v>
      </c>
      <c r="BE311" s="1324">
        <f t="shared" ca="1" si="602"/>
        <v>0</v>
      </c>
      <c r="BF311" s="2817"/>
      <c r="BG311" s="1324">
        <f ca="1">IFERROR(BG310/BG290,0)</f>
        <v>0</v>
      </c>
      <c r="BH311" s="1324">
        <f t="shared" ca="1" si="604"/>
        <v>0</v>
      </c>
      <c r="BI311" s="2817"/>
    </row>
    <row r="312" spans="1:61" s="504" customFormat="1" ht="14.5" hidden="1" outlineLevel="1">
      <c r="A312" s="1693">
        <f t="shared" si="532"/>
        <v>312</v>
      </c>
      <c r="B312" s="616">
        <v>1</v>
      </c>
      <c r="C312" s="1693">
        <f t="shared" si="531"/>
        <v>312</v>
      </c>
      <c r="D312" s="616">
        <v>1</v>
      </c>
      <c r="E312" s="709" t="s">
        <v>512</v>
      </c>
      <c r="F312" s="1572"/>
      <c r="G312" s="4"/>
      <c r="H312" s="4"/>
      <c r="I312" s="501"/>
      <c r="J312" s="502"/>
      <c r="K312" s="505"/>
      <c r="L312" s="501"/>
      <c r="M312" s="503" t="s">
        <v>377</v>
      </c>
      <c r="N312" s="503"/>
      <c r="O312" s="505"/>
      <c r="P312" s="505"/>
      <c r="Q312" s="505"/>
      <c r="R312" s="1792" t="str">
        <f>CHOOSE(2, "6722000003231", "PL (4) Gross Profit MPM(%)")</f>
        <v>PL (4) Gross Profit MPM(%)</v>
      </c>
      <c r="S312" s="1304">
        <f t="shared" ref="S312:AD320" si="631">IFERROR(S321/S291,0)</f>
        <v>0</v>
      </c>
      <c r="T312" s="1283">
        <f t="shared" si="631"/>
        <v>0</v>
      </c>
      <c r="U312" s="1283">
        <f t="shared" si="631"/>
        <v>0</v>
      </c>
      <c r="V312" s="1283">
        <f t="shared" si="631"/>
        <v>0</v>
      </c>
      <c r="W312" s="1283">
        <f t="shared" si="631"/>
        <v>0</v>
      </c>
      <c r="X312" s="1283">
        <f t="shared" si="631"/>
        <v>0</v>
      </c>
      <c r="Y312" s="1283">
        <f t="shared" si="631"/>
        <v>0</v>
      </c>
      <c r="Z312" s="1283">
        <f t="shared" si="631"/>
        <v>0</v>
      </c>
      <c r="AA312" s="1283">
        <f t="shared" si="631"/>
        <v>0</v>
      </c>
      <c r="AB312" s="1283">
        <f t="shared" si="631"/>
        <v>0</v>
      </c>
      <c r="AC312" s="1283">
        <f t="shared" si="631"/>
        <v>0</v>
      </c>
      <c r="AD312" s="1283">
        <f t="shared" si="631"/>
        <v>0</v>
      </c>
      <c r="AE312" s="1283">
        <f t="shared" ref="AE312:AK320" si="632">IFERROR(AE321/AE291,0)</f>
        <v>0</v>
      </c>
      <c r="AF312" s="1283">
        <f t="shared" si="632"/>
        <v>0</v>
      </c>
      <c r="AG312" s="1283">
        <f t="shared" si="632"/>
        <v>0</v>
      </c>
      <c r="AH312" s="1283">
        <f t="shared" si="632"/>
        <v>0</v>
      </c>
      <c r="AI312" s="1283">
        <f t="shared" si="632"/>
        <v>0</v>
      </c>
      <c r="AJ312" s="1283">
        <f t="shared" si="632"/>
        <v>0</v>
      </c>
      <c r="AK312" s="1283">
        <f t="shared" si="632"/>
        <v>0</v>
      </c>
      <c r="AM312" s="1304">
        <f t="shared" ref="AM312:AN320" ca="1" si="633">IFERROR(AM321/AM291,0)</f>
        <v>0</v>
      </c>
      <c r="AN312" s="1283">
        <f t="shared" ca="1" si="633"/>
        <v>0</v>
      </c>
      <c r="AO312" s="1283">
        <f t="shared" ca="1" si="507"/>
        <v>0</v>
      </c>
      <c r="AP312" s="2777"/>
      <c r="AQ312" s="1283">
        <f t="shared" ref="AQ312:AQ320" ca="1" si="634">IFERROR(AQ321/AQ291,0)</f>
        <v>0</v>
      </c>
      <c r="AR312" s="1283">
        <f t="shared" ca="1" si="535"/>
        <v>0</v>
      </c>
      <c r="AS312" s="2777"/>
      <c r="AU312" s="1304">
        <f t="shared" ref="AU312:AV320" ca="1" si="635">IFERROR(AU321/AU291,0)</f>
        <v>0</v>
      </c>
      <c r="AV312" s="1283">
        <f t="shared" ca="1" si="635"/>
        <v>0</v>
      </c>
      <c r="AW312" s="1283">
        <f t="shared" ca="1" si="598"/>
        <v>0</v>
      </c>
      <c r="AX312" s="2777"/>
      <c r="AY312" s="1283">
        <f t="shared" ref="AY312:AY320" ca="1" si="636">IFERROR(AY321/AY291,0)</f>
        <v>0</v>
      </c>
      <c r="AZ312" s="1283">
        <f t="shared" ca="1" si="600"/>
        <v>0</v>
      </c>
      <c r="BA312" s="2777"/>
      <c r="BC312" s="1304">
        <f t="shared" ref="BC312:BD320" ca="1" si="637">IFERROR(BC321/BC291,0)</f>
        <v>0</v>
      </c>
      <c r="BD312" s="1283">
        <f t="shared" ca="1" si="637"/>
        <v>0</v>
      </c>
      <c r="BE312" s="1283">
        <f t="shared" ca="1" si="602"/>
        <v>0</v>
      </c>
      <c r="BF312" s="2777"/>
      <c r="BG312" s="1283">
        <f t="shared" ref="BG312:BG320" ca="1" si="638">IFERROR(BG321/BG291,0)</f>
        <v>0</v>
      </c>
      <c r="BH312" s="1283">
        <f t="shared" ca="1" si="604"/>
        <v>0</v>
      </c>
      <c r="BI312" s="2777"/>
    </row>
    <row r="313" spans="1:61" s="504" customFormat="1" ht="14.5" hidden="1" outlineLevel="1">
      <c r="A313" s="1693">
        <f t="shared" si="532"/>
        <v>313</v>
      </c>
      <c r="B313" s="616">
        <v>1</v>
      </c>
      <c r="C313" s="1693">
        <f t="shared" si="531"/>
        <v>313</v>
      </c>
      <c r="D313" s="616">
        <v>1</v>
      </c>
      <c r="E313" s="709" t="s">
        <v>512</v>
      </c>
      <c r="F313" s="1572"/>
      <c r="G313" s="4"/>
      <c r="H313" s="4"/>
      <c r="I313" s="501"/>
      <c r="J313" s="502"/>
      <c r="K313" s="505"/>
      <c r="L313" s="501"/>
      <c r="M313" s="501"/>
      <c r="N313" s="503" t="s">
        <v>336</v>
      </c>
      <c r="O313" s="505"/>
      <c r="P313" s="505"/>
      <c r="Q313" s="505"/>
      <c r="R313" s="1792" t="str">
        <f>CHOOSE(2, "6722000003232", "PL (4) Gross Profit MPM(%) Procurement (%)")</f>
        <v>PL (4) Gross Profit MPM(%) Procurement (%)</v>
      </c>
      <c r="S313" s="1304">
        <f t="shared" si="631"/>
        <v>0</v>
      </c>
      <c r="T313" s="1283">
        <f t="shared" si="631"/>
        <v>0</v>
      </c>
      <c r="U313" s="1283">
        <f t="shared" si="631"/>
        <v>0</v>
      </c>
      <c r="V313" s="1283">
        <f t="shared" si="631"/>
        <v>0</v>
      </c>
      <c r="W313" s="1283">
        <f t="shared" si="631"/>
        <v>0</v>
      </c>
      <c r="X313" s="1283">
        <f t="shared" si="631"/>
        <v>0</v>
      </c>
      <c r="Y313" s="1283">
        <f t="shared" si="631"/>
        <v>0</v>
      </c>
      <c r="Z313" s="1283">
        <f t="shared" si="631"/>
        <v>0</v>
      </c>
      <c r="AA313" s="1283">
        <f t="shared" si="631"/>
        <v>0</v>
      </c>
      <c r="AB313" s="1283">
        <f t="shared" si="631"/>
        <v>0</v>
      </c>
      <c r="AC313" s="1283">
        <f t="shared" si="631"/>
        <v>0</v>
      </c>
      <c r="AD313" s="1283">
        <f t="shared" si="631"/>
        <v>0</v>
      </c>
      <c r="AE313" s="1283">
        <f t="shared" si="632"/>
        <v>0</v>
      </c>
      <c r="AF313" s="1283">
        <f t="shared" si="632"/>
        <v>0</v>
      </c>
      <c r="AG313" s="1283">
        <f t="shared" si="632"/>
        <v>0</v>
      </c>
      <c r="AH313" s="1283">
        <f t="shared" si="632"/>
        <v>0</v>
      </c>
      <c r="AI313" s="1283">
        <f t="shared" si="632"/>
        <v>0</v>
      </c>
      <c r="AJ313" s="1283">
        <f t="shared" si="632"/>
        <v>0</v>
      </c>
      <c r="AK313" s="1283">
        <f t="shared" si="632"/>
        <v>0</v>
      </c>
      <c r="AM313" s="1304">
        <f t="shared" ca="1" si="633"/>
        <v>0</v>
      </c>
      <c r="AN313" s="1283">
        <f t="shared" ca="1" si="633"/>
        <v>0</v>
      </c>
      <c r="AO313" s="1283">
        <f t="shared" ca="1" si="507"/>
        <v>0</v>
      </c>
      <c r="AP313" s="2777"/>
      <c r="AQ313" s="1283">
        <f t="shared" ca="1" si="634"/>
        <v>0</v>
      </c>
      <c r="AR313" s="1283">
        <f t="shared" ca="1" si="535"/>
        <v>0</v>
      </c>
      <c r="AS313" s="2777"/>
      <c r="AU313" s="1304">
        <f t="shared" ca="1" si="635"/>
        <v>0</v>
      </c>
      <c r="AV313" s="1283">
        <f t="shared" ca="1" si="635"/>
        <v>0</v>
      </c>
      <c r="AW313" s="1283">
        <f t="shared" ca="1" si="598"/>
        <v>0</v>
      </c>
      <c r="AX313" s="2777"/>
      <c r="AY313" s="1283">
        <f t="shared" ca="1" si="636"/>
        <v>0</v>
      </c>
      <c r="AZ313" s="1283">
        <f t="shared" ca="1" si="600"/>
        <v>0</v>
      </c>
      <c r="BA313" s="2777"/>
      <c r="BC313" s="1304">
        <f t="shared" ca="1" si="637"/>
        <v>0</v>
      </c>
      <c r="BD313" s="1283">
        <f t="shared" ca="1" si="637"/>
        <v>0</v>
      </c>
      <c r="BE313" s="1283">
        <f t="shared" ca="1" si="602"/>
        <v>0</v>
      </c>
      <c r="BF313" s="2777"/>
      <c r="BG313" s="1283">
        <f t="shared" ca="1" si="638"/>
        <v>0</v>
      </c>
      <c r="BH313" s="1283">
        <f t="shared" ca="1" si="604"/>
        <v>0</v>
      </c>
      <c r="BI313" s="2777"/>
    </row>
    <row r="314" spans="1:61" s="504" customFormat="1" ht="14.5" hidden="1" outlineLevel="1">
      <c r="A314" s="1693">
        <f t="shared" si="532"/>
        <v>314</v>
      </c>
      <c r="B314" s="616">
        <v>1</v>
      </c>
      <c r="C314" s="1693">
        <f t="shared" si="531"/>
        <v>314</v>
      </c>
      <c r="D314" s="616">
        <v>1</v>
      </c>
      <c r="E314" s="709" t="s">
        <v>512</v>
      </c>
      <c r="F314" s="1572"/>
      <c r="G314" s="4"/>
      <c r="H314" s="4"/>
      <c r="I314" s="501"/>
      <c r="J314" s="502"/>
      <c r="K314" s="505"/>
      <c r="L314" s="501"/>
      <c r="M314" s="501"/>
      <c r="N314" s="503" t="s">
        <v>337</v>
      </c>
      <c r="O314" s="505"/>
      <c r="P314" s="505"/>
      <c r="Q314" s="505"/>
      <c r="R314" s="1792" t="str">
        <f>CHOOSE(2, "6722000003233", "PL (4) Gross Profit MPM(%) Production (%)")</f>
        <v>PL (4) Gross Profit MPM(%) Production (%)</v>
      </c>
      <c r="S314" s="1304">
        <f t="shared" si="631"/>
        <v>0</v>
      </c>
      <c r="T314" s="1283">
        <f t="shared" si="631"/>
        <v>0</v>
      </c>
      <c r="U314" s="1283">
        <f t="shared" si="631"/>
        <v>0</v>
      </c>
      <c r="V314" s="1283">
        <f t="shared" si="631"/>
        <v>0</v>
      </c>
      <c r="W314" s="1283">
        <f t="shared" si="631"/>
        <v>0</v>
      </c>
      <c r="X314" s="1283">
        <f t="shared" si="631"/>
        <v>0</v>
      </c>
      <c r="Y314" s="1283">
        <f t="shared" si="631"/>
        <v>0</v>
      </c>
      <c r="Z314" s="1283">
        <f t="shared" si="631"/>
        <v>0</v>
      </c>
      <c r="AA314" s="1283">
        <f t="shared" si="631"/>
        <v>0</v>
      </c>
      <c r="AB314" s="1283">
        <f t="shared" si="631"/>
        <v>0</v>
      </c>
      <c r="AC314" s="1283">
        <f t="shared" si="631"/>
        <v>0</v>
      </c>
      <c r="AD314" s="1283">
        <f t="shared" si="631"/>
        <v>0</v>
      </c>
      <c r="AE314" s="1283">
        <f t="shared" si="632"/>
        <v>0</v>
      </c>
      <c r="AF314" s="1283">
        <f t="shared" si="632"/>
        <v>0</v>
      </c>
      <c r="AG314" s="1283">
        <f t="shared" si="632"/>
        <v>0</v>
      </c>
      <c r="AH314" s="1283">
        <f t="shared" si="632"/>
        <v>0</v>
      </c>
      <c r="AI314" s="1283">
        <f t="shared" si="632"/>
        <v>0</v>
      </c>
      <c r="AJ314" s="1283">
        <f t="shared" si="632"/>
        <v>0</v>
      </c>
      <c r="AK314" s="1283">
        <f t="shared" si="632"/>
        <v>0</v>
      </c>
      <c r="AM314" s="1304">
        <f t="shared" ca="1" si="633"/>
        <v>0</v>
      </c>
      <c r="AN314" s="1283">
        <f t="shared" ca="1" si="633"/>
        <v>0</v>
      </c>
      <c r="AO314" s="1283">
        <f t="shared" ca="1" si="507"/>
        <v>0</v>
      </c>
      <c r="AP314" s="2777"/>
      <c r="AQ314" s="1283">
        <f t="shared" ca="1" si="634"/>
        <v>0</v>
      </c>
      <c r="AR314" s="1283">
        <f t="shared" ca="1" si="535"/>
        <v>0</v>
      </c>
      <c r="AS314" s="2777"/>
      <c r="AU314" s="1304">
        <f t="shared" ca="1" si="635"/>
        <v>0</v>
      </c>
      <c r="AV314" s="1283">
        <f t="shared" ca="1" si="635"/>
        <v>0</v>
      </c>
      <c r="AW314" s="1283">
        <f t="shared" ca="1" si="598"/>
        <v>0</v>
      </c>
      <c r="AX314" s="2777"/>
      <c r="AY314" s="1283">
        <f t="shared" ca="1" si="636"/>
        <v>0</v>
      </c>
      <c r="AZ314" s="1283">
        <f t="shared" ca="1" si="600"/>
        <v>0</v>
      </c>
      <c r="BA314" s="2777"/>
      <c r="BC314" s="1304">
        <f t="shared" ca="1" si="637"/>
        <v>0</v>
      </c>
      <c r="BD314" s="1283">
        <f t="shared" ca="1" si="637"/>
        <v>0</v>
      </c>
      <c r="BE314" s="1283">
        <f t="shared" ca="1" si="602"/>
        <v>0</v>
      </c>
      <c r="BF314" s="2777"/>
      <c r="BG314" s="1283">
        <f t="shared" ca="1" si="638"/>
        <v>0</v>
      </c>
      <c r="BH314" s="1283">
        <f t="shared" ca="1" si="604"/>
        <v>0</v>
      </c>
      <c r="BI314" s="2777"/>
    </row>
    <row r="315" spans="1:61" s="504" customFormat="1" ht="14.5" hidden="1" outlineLevel="1">
      <c r="A315" s="1693">
        <f t="shared" si="532"/>
        <v>315</v>
      </c>
      <c r="B315" s="616">
        <v>1</v>
      </c>
      <c r="C315" s="1693">
        <f t="shared" si="531"/>
        <v>315</v>
      </c>
      <c r="D315" s="616">
        <v>1</v>
      </c>
      <c r="E315" s="709" t="s">
        <v>512</v>
      </c>
      <c r="F315" s="1572"/>
      <c r="G315" s="4"/>
      <c r="H315" s="4"/>
      <c r="I315" s="501"/>
      <c r="J315" s="502"/>
      <c r="K315" s="505"/>
      <c r="L315" s="501"/>
      <c r="M315" s="552"/>
      <c r="N315" s="510" t="s">
        <v>330</v>
      </c>
      <c r="O315" s="553"/>
      <c r="P315" s="553"/>
      <c r="Q315" s="553"/>
      <c r="R315" s="1792" t="str">
        <f>CHOOSE(2, "6722000003234", "PL (4) Gross Profit MPM(%) Solution (%)")</f>
        <v>PL (4) Gross Profit MPM(%) Solution (%)</v>
      </c>
      <c r="S315" s="1315">
        <f t="shared" si="631"/>
        <v>0</v>
      </c>
      <c r="T315" s="1295">
        <f t="shared" si="631"/>
        <v>0</v>
      </c>
      <c r="U315" s="1295">
        <f t="shared" si="631"/>
        <v>0</v>
      </c>
      <c r="V315" s="1295">
        <f t="shared" si="631"/>
        <v>0</v>
      </c>
      <c r="W315" s="1295">
        <f t="shared" si="631"/>
        <v>0</v>
      </c>
      <c r="X315" s="1295">
        <f t="shared" si="631"/>
        <v>0</v>
      </c>
      <c r="Y315" s="1295">
        <f t="shared" si="631"/>
        <v>0</v>
      </c>
      <c r="Z315" s="1295">
        <f t="shared" si="631"/>
        <v>0</v>
      </c>
      <c r="AA315" s="1295">
        <f t="shared" si="631"/>
        <v>0</v>
      </c>
      <c r="AB315" s="1295">
        <f t="shared" si="631"/>
        <v>0</v>
      </c>
      <c r="AC315" s="1295">
        <f t="shared" si="631"/>
        <v>0</v>
      </c>
      <c r="AD315" s="1295">
        <f t="shared" si="631"/>
        <v>0</v>
      </c>
      <c r="AE315" s="1295">
        <f t="shared" si="632"/>
        <v>0</v>
      </c>
      <c r="AF315" s="1295">
        <f t="shared" si="632"/>
        <v>0</v>
      </c>
      <c r="AG315" s="1295">
        <f t="shared" si="632"/>
        <v>0</v>
      </c>
      <c r="AH315" s="1295">
        <f t="shared" si="632"/>
        <v>0</v>
      </c>
      <c r="AI315" s="1295">
        <f t="shared" si="632"/>
        <v>0</v>
      </c>
      <c r="AJ315" s="1295">
        <f t="shared" si="632"/>
        <v>0</v>
      </c>
      <c r="AK315" s="1295">
        <f t="shared" si="632"/>
        <v>0</v>
      </c>
      <c r="AM315" s="1315">
        <f t="shared" ca="1" si="633"/>
        <v>0</v>
      </c>
      <c r="AN315" s="1295">
        <f t="shared" ca="1" si="633"/>
        <v>0</v>
      </c>
      <c r="AO315" s="1295">
        <f t="shared" ca="1" si="507"/>
        <v>0</v>
      </c>
      <c r="AP315" s="2818"/>
      <c r="AQ315" s="1295">
        <f t="shared" ca="1" si="634"/>
        <v>0</v>
      </c>
      <c r="AR315" s="1295">
        <f t="shared" ca="1" si="535"/>
        <v>0</v>
      </c>
      <c r="AS315" s="2818"/>
      <c r="AU315" s="1315">
        <f t="shared" ca="1" si="635"/>
        <v>0</v>
      </c>
      <c r="AV315" s="1295">
        <f t="shared" ca="1" si="635"/>
        <v>0</v>
      </c>
      <c r="AW315" s="1295">
        <f t="shared" ca="1" si="598"/>
        <v>0</v>
      </c>
      <c r="AX315" s="2818"/>
      <c r="AY315" s="1295">
        <f t="shared" ca="1" si="636"/>
        <v>0</v>
      </c>
      <c r="AZ315" s="1295">
        <f t="shared" ca="1" si="600"/>
        <v>0</v>
      </c>
      <c r="BA315" s="2818"/>
      <c r="BC315" s="1315">
        <f t="shared" ca="1" si="637"/>
        <v>0</v>
      </c>
      <c r="BD315" s="1295">
        <f t="shared" ca="1" si="637"/>
        <v>0</v>
      </c>
      <c r="BE315" s="1295">
        <f t="shared" ca="1" si="602"/>
        <v>0</v>
      </c>
      <c r="BF315" s="2818"/>
      <c r="BG315" s="1295">
        <f t="shared" ca="1" si="638"/>
        <v>0</v>
      </c>
      <c r="BH315" s="1295">
        <f t="shared" ca="1" si="604"/>
        <v>0</v>
      </c>
      <c r="BI315" s="2818"/>
    </row>
    <row r="316" spans="1:61" s="504" customFormat="1" ht="14.5" hidden="1" outlineLevel="1">
      <c r="A316" s="1693">
        <f t="shared" si="532"/>
        <v>316</v>
      </c>
      <c r="B316" s="616">
        <v>1</v>
      </c>
      <c r="C316" s="1693">
        <f t="shared" si="531"/>
        <v>316</v>
      </c>
      <c r="D316" s="616">
        <v>1</v>
      </c>
      <c r="E316" s="709" t="s">
        <v>512</v>
      </c>
      <c r="F316" s="1572"/>
      <c r="G316" s="4"/>
      <c r="H316" s="4"/>
      <c r="I316" s="501"/>
      <c r="J316" s="502"/>
      <c r="K316" s="505"/>
      <c r="L316" s="501"/>
      <c r="M316" s="503" t="s">
        <v>378</v>
      </c>
      <c r="N316" s="503"/>
      <c r="O316" s="505"/>
      <c r="P316" s="505"/>
      <c r="Q316" s="505"/>
      <c r="R316" s="1792" t="str">
        <f>CHOOSE(2, "6722000003235", "PL (4) Gross Profit ODP(%)")</f>
        <v>PL (4) Gross Profit ODP(%)</v>
      </c>
      <c r="S316" s="1304">
        <f t="shared" si="631"/>
        <v>0</v>
      </c>
      <c r="T316" s="1283">
        <f t="shared" si="631"/>
        <v>0</v>
      </c>
      <c r="U316" s="1283">
        <f t="shared" si="631"/>
        <v>0</v>
      </c>
      <c r="V316" s="1283">
        <f t="shared" si="631"/>
        <v>0</v>
      </c>
      <c r="W316" s="1283">
        <f t="shared" si="631"/>
        <v>0</v>
      </c>
      <c r="X316" s="1283">
        <f t="shared" si="631"/>
        <v>0</v>
      </c>
      <c r="Y316" s="1283">
        <f t="shared" si="631"/>
        <v>0</v>
      </c>
      <c r="Z316" s="1283">
        <f t="shared" si="631"/>
        <v>0</v>
      </c>
      <c r="AA316" s="1283">
        <f t="shared" si="631"/>
        <v>0</v>
      </c>
      <c r="AB316" s="1283">
        <f t="shared" si="631"/>
        <v>0</v>
      </c>
      <c r="AC316" s="1283">
        <f t="shared" si="631"/>
        <v>0</v>
      </c>
      <c r="AD316" s="1283">
        <f t="shared" si="631"/>
        <v>0</v>
      </c>
      <c r="AE316" s="1283">
        <f t="shared" si="632"/>
        <v>0</v>
      </c>
      <c r="AF316" s="1283">
        <f t="shared" si="632"/>
        <v>0</v>
      </c>
      <c r="AG316" s="1283">
        <f t="shared" si="632"/>
        <v>0</v>
      </c>
      <c r="AH316" s="1283">
        <f t="shared" si="632"/>
        <v>0</v>
      </c>
      <c r="AI316" s="1283">
        <f t="shared" si="632"/>
        <v>0</v>
      </c>
      <c r="AJ316" s="1283">
        <f t="shared" si="632"/>
        <v>0</v>
      </c>
      <c r="AK316" s="1283">
        <f t="shared" si="632"/>
        <v>0</v>
      </c>
      <c r="AM316" s="1304">
        <f t="shared" ca="1" si="633"/>
        <v>0</v>
      </c>
      <c r="AN316" s="1283">
        <f t="shared" ca="1" si="633"/>
        <v>0</v>
      </c>
      <c r="AO316" s="1283">
        <f t="shared" ca="1" si="507"/>
        <v>0</v>
      </c>
      <c r="AP316" s="2777"/>
      <c r="AQ316" s="1283">
        <f t="shared" ca="1" si="634"/>
        <v>0</v>
      </c>
      <c r="AR316" s="1283">
        <f t="shared" ca="1" si="535"/>
        <v>0</v>
      </c>
      <c r="AS316" s="2777"/>
      <c r="AU316" s="1304">
        <f t="shared" ca="1" si="635"/>
        <v>0</v>
      </c>
      <c r="AV316" s="1283">
        <f t="shared" ca="1" si="635"/>
        <v>0</v>
      </c>
      <c r="AW316" s="1283">
        <f t="shared" ca="1" si="598"/>
        <v>0</v>
      </c>
      <c r="AX316" s="2777"/>
      <c r="AY316" s="1283">
        <f t="shared" ca="1" si="636"/>
        <v>0</v>
      </c>
      <c r="AZ316" s="1283">
        <f t="shared" ca="1" si="600"/>
        <v>0</v>
      </c>
      <c r="BA316" s="2777"/>
      <c r="BC316" s="1304">
        <f t="shared" ca="1" si="637"/>
        <v>0</v>
      </c>
      <c r="BD316" s="1283">
        <f t="shared" ca="1" si="637"/>
        <v>0</v>
      </c>
      <c r="BE316" s="1283">
        <f t="shared" ca="1" si="602"/>
        <v>0</v>
      </c>
      <c r="BF316" s="2777"/>
      <c r="BG316" s="1283">
        <f t="shared" ca="1" si="638"/>
        <v>0</v>
      </c>
      <c r="BH316" s="1283">
        <f t="shared" ca="1" si="604"/>
        <v>0</v>
      </c>
      <c r="BI316" s="2777"/>
    </row>
    <row r="317" spans="1:61" s="504" customFormat="1" ht="14.5" hidden="1" outlineLevel="1">
      <c r="A317" s="1693">
        <f t="shared" si="532"/>
        <v>317</v>
      </c>
      <c r="B317" s="616">
        <v>1</v>
      </c>
      <c r="C317" s="1693">
        <f t="shared" si="531"/>
        <v>317</v>
      </c>
      <c r="D317" s="616">
        <v>1</v>
      </c>
      <c r="E317" s="709" t="s">
        <v>512</v>
      </c>
      <c r="F317" s="1572"/>
      <c r="G317" s="4"/>
      <c r="H317" s="4"/>
      <c r="I317" s="501"/>
      <c r="J317" s="502"/>
      <c r="K317" s="505"/>
      <c r="L317" s="501"/>
      <c r="M317" s="501"/>
      <c r="N317" s="503" t="s">
        <v>338</v>
      </c>
      <c r="O317" s="505"/>
      <c r="P317" s="505"/>
      <c r="Q317" s="505"/>
      <c r="R317" s="1792" t="str">
        <f>CHOOSE(2, "6722000003236", "PL (4) Gross Profit ODP(%) On Demand Printing (%)")</f>
        <v>PL (4) Gross Profit ODP(%) On Demand Printing (%)</v>
      </c>
      <c r="S317" s="1304">
        <f t="shared" si="631"/>
        <v>0</v>
      </c>
      <c r="T317" s="1283">
        <f t="shared" si="631"/>
        <v>0</v>
      </c>
      <c r="U317" s="1283">
        <f t="shared" si="631"/>
        <v>0</v>
      </c>
      <c r="V317" s="1283">
        <f t="shared" si="631"/>
        <v>0</v>
      </c>
      <c r="W317" s="1283">
        <f t="shared" si="631"/>
        <v>0</v>
      </c>
      <c r="X317" s="1283">
        <f t="shared" si="631"/>
        <v>0</v>
      </c>
      <c r="Y317" s="1283">
        <f t="shared" si="631"/>
        <v>0</v>
      </c>
      <c r="Z317" s="1283">
        <f t="shared" si="631"/>
        <v>0</v>
      </c>
      <c r="AA317" s="1283">
        <f t="shared" si="631"/>
        <v>0</v>
      </c>
      <c r="AB317" s="1283">
        <f t="shared" si="631"/>
        <v>0</v>
      </c>
      <c r="AC317" s="1283">
        <f t="shared" si="631"/>
        <v>0</v>
      </c>
      <c r="AD317" s="1283">
        <f t="shared" si="631"/>
        <v>0</v>
      </c>
      <c r="AE317" s="1283">
        <f t="shared" si="632"/>
        <v>0</v>
      </c>
      <c r="AF317" s="1283">
        <f t="shared" si="632"/>
        <v>0</v>
      </c>
      <c r="AG317" s="1283">
        <f t="shared" si="632"/>
        <v>0</v>
      </c>
      <c r="AH317" s="1283">
        <f t="shared" si="632"/>
        <v>0</v>
      </c>
      <c r="AI317" s="1283">
        <f t="shared" si="632"/>
        <v>0</v>
      </c>
      <c r="AJ317" s="1283">
        <f t="shared" si="632"/>
        <v>0</v>
      </c>
      <c r="AK317" s="1283">
        <f t="shared" si="632"/>
        <v>0</v>
      </c>
      <c r="AM317" s="1304">
        <f t="shared" ca="1" si="633"/>
        <v>0</v>
      </c>
      <c r="AN317" s="1283">
        <f t="shared" ca="1" si="633"/>
        <v>0</v>
      </c>
      <c r="AO317" s="1283">
        <f t="shared" ca="1" si="507"/>
        <v>0</v>
      </c>
      <c r="AP317" s="2777"/>
      <c r="AQ317" s="1283">
        <f t="shared" ca="1" si="634"/>
        <v>0</v>
      </c>
      <c r="AR317" s="1283">
        <f t="shared" ca="1" si="535"/>
        <v>0</v>
      </c>
      <c r="AS317" s="2777"/>
      <c r="AU317" s="1304">
        <f t="shared" ca="1" si="635"/>
        <v>0</v>
      </c>
      <c r="AV317" s="1283">
        <f t="shared" ca="1" si="635"/>
        <v>0</v>
      </c>
      <c r="AW317" s="1283">
        <f t="shared" ca="1" si="598"/>
        <v>0</v>
      </c>
      <c r="AX317" s="2777"/>
      <c r="AY317" s="1283">
        <f t="shared" ca="1" si="636"/>
        <v>0</v>
      </c>
      <c r="AZ317" s="1283">
        <f t="shared" ca="1" si="600"/>
        <v>0</v>
      </c>
      <c r="BA317" s="2777"/>
      <c r="BC317" s="1304">
        <f t="shared" ca="1" si="637"/>
        <v>0</v>
      </c>
      <c r="BD317" s="1283">
        <f t="shared" ca="1" si="637"/>
        <v>0</v>
      </c>
      <c r="BE317" s="1283">
        <f t="shared" ca="1" si="602"/>
        <v>0</v>
      </c>
      <c r="BF317" s="2777"/>
      <c r="BG317" s="1283">
        <f t="shared" ca="1" si="638"/>
        <v>0</v>
      </c>
      <c r="BH317" s="1283">
        <f t="shared" ca="1" si="604"/>
        <v>0</v>
      </c>
      <c r="BI317" s="2777"/>
    </row>
    <row r="318" spans="1:61" s="504" customFormat="1" ht="14.5" hidden="1" outlineLevel="1">
      <c r="A318" s="1693">
        <f t="shared" si="532"/>
        <v>318</v>
      </c>
      <c r="B318" s="616">
        <v>1</v>
      </c>
      <c r="C318" s="1693">
        <f t="shared" si="531"/>
        <v>318</v>
      </c>
      <c r="D318" s="616">
        <v>1</v>
      </c>
      <c r="E318" s="709" t="s">
        <v>512</v>
      </c>
      <c r="F318" s="1572"/>
      <c r="G318" s="4"/>
      <c r="H318" s="4"/>
      <c r="I318" s="501"/>
      <c r="J318" s="502"/>
      <c r="K318" s="505"/>
      <c r="L318" s="501"/>
      <c r="M318" s="501"/>
      <c r="N318" s="503" t="s">
        <v>379</v>
      </c>
      <c r="O318" s="505"/>
      <c r="P318" s="505"/>
      <c r="Q318" s="505"/>
      <c r="R318" s="1792" t="str">
        <f>CHOOSE(2, "6722000003237", "PL (4) Gross Profit ODP(%) Marketing Service (%)")</f>
        <v>PL (4) Gross Profit ODP(%) Marketing Service (%)</v>
      </c>
      <c r="S318" s="1304">
        <f t="shared" si="631"/>
        <v>0</v>
      </c>
      <c r="T318" s="1283">
        <f t="shared" si="631"/>
        <v>0</v>
      </c>
      <c r="U318" s="1283">
        <f t="shared" si="631"/>
        <v>0</v>
      </c>
      <c r="V318" s="1283">
        <f t="shared" si="631"/>
        <v>0</v>
      </c>
      <c r="W318" s="1283">
        <f t="shared" si="631"/>
        <v>0</v>
      </c>
      <c r="X318" s="1283">
        <f t="shared" si="631"/>
        <v>0</v>
      </c>
      <c r="Y318" s="1283">
        <f t="shared" si="631"/>
        <v>0</v>
      </c>
      <c r="Z318" s="1283">
        <f t="shared" si="631"/>
        <v>0</v>
      </c>
      <c r="AA318" s="1283">
        <f t="shared" si="631"/>
        <v>0</v>
      </c>
      <c r="AB318" s="1283">
        <f t="shared" si="631"/>
        <v>0</v>
      </c>
      <c r="AC318" s="1283">
        <f t="shared" si="631"/>
        <v>0</v>
      </c>
      <c r="AD318" s="1283">
        <f t="shared" si="631"/>
        <v>0</v>
      </c>
      <c r="AE318" s="1283">
        <f t="shared" si="632"/>
        <v>0</v>
      </c>
      <c r="AF318" s="1283">
        <f t="shared" si="632"/>
        <v>0</v>
      </c>
      <c r="AG318" s="1283">
        <f t="shared" si="632"/>
        <v>0</v>
      </c>
      <c r="AH318" s="1283">
        <f t="shared" si="632"/>
        <v>0</v>
      </c>
      <c r="AI318" s="1283">
        <f t="shared" si="632"/>
        <v>0</v>
      </c>
      <c r="AJ318" s="1283">
        <f t="shared" si="632"/>
        <v>0</v>
      </c>
      <c r="AK318" s="1283">
        <f t="shared" si="632"/>
        <v>0</v>
      </c>
      <c r="AM318" s="1304">
        <f t="shared" ca="1" si="633"/>
        <v>0</v>
      </c>
      <c r="AN318" s="1283">
        <f t="shared" ca="1" si="633"/>
        <v>0</v>
      </c>
      <c r="AO318" s="1283">
        <f t="shared" ca="1" si="507"/>
        <v>0</v>
      </c>
      <c r="AP318" s="2777"/>
      <c r="AQ318" s="1283">
        <f t="shared" ca="1" si="634"/>
        <v>0</v>
      </c>
      <c r="AR318" s="1283">
        <f t="shared" ca="1" si="535"/>
        <v>0</v>
      </c>
      <c r="AS318" s="2777"/>
      <c r="AU318" s="1304">
        <f t="shared" ca="1" si="635"/>
        <v>0</v>
      </c>
      <c r="AV318" s="1283">
        <f t="shared" ca="1" si="635"/>
        <v>0</v>
      </c>
      <c r="AW318" s="1283">
        <f t="shared" ca="1" si="598"/>
        <v>0</v>
      </c>
      <c r="AX318" s="2777"/>
      <c r="AY318" s="1283">
        <f t="shared" ca="1" si="636"/>
        <v>0</v>
      </c>
      <c r="AZ318" s="1283">
        <f t="shared" ca="1" si="600"/>
        <v>0</v>
      </c>
      <c r="BA318" s="2777"/>
      <c r="BC318" s="1304">
        <f t="shared" ca="1" si="637"/>
        <v>0</v>
      </c>
      <c r="BD318" s="1283">
        <f t="shared" ca="1" si="637"/>
        <v>0</v>
      </c>
      <c r="BE318" s="1283">
        <f t="shared" ca="1" si="602"/>
        <v>0</v>
      </c>
      <c r="BF318" s="2777"/>
      <c r="BG318" s="1283">
        <f t="shared" ca="1" si="638"/>
        <v>0</v>
      </c>
      <c r="BH318" s="1283">
        <f t="shared" ca="1" si="604"/>
        <v>0</v>
      </c>
      <c r="BI318" s="2777"/>
    </row>
    <row r="319" spans="1:61" s="504" customFormat="1" ht="14.5" hidden="1" outlineLevel="1">
      <c r="A319" s="1693">
        <f t="shared" si="532"/>
        <v>319</v>
      </c>
      <c r="B319" s="616">
        <v>1</v>
      </c>
      <c r="C319" s="1693">
        <f t="shared" si="531"/>
        <v>319</v>
      </c>
      <c r="D319" s="616">
        <v>1</v>
      </c>
      <c r="E319" s="709" t="s">
        <v>512</v>
      </c>
      <c r="F319" s="1572"/>
      <c r="G319" s="4"/>
      <c r="H319" s="4"/>
      <c r="I319" s="501"/>
      <c r="J319" s="502"/>
      <c r="K319" s="505"/>
      <c r="L319" s="501"/>
      <c r="M319" s="501"/>
      <c r="N319" s="503" t="s">
        <v>380</v>
      </c>
      <c r="O319" s="505"/>
      <c r="P319" s="505"/>
      <c r="Q319" s="505"/>
      <c r="R319" s="1792" t="str">
        <f>CHOOSE(2, "6722000003238", "PL (4) Gross Profit ODP(%) Digital Solution (%)")</f>
        <v>PL (4) Gross Profit ODP(%) Digital Solution (%)</v>
      </c>
      <c r="S319" s="1304">
        <f t="shared" si="631"/>
        <v>0</v>
      </c>
      <c r="T319" s="1283">
        <f t="shared" si="631"/>
        <v>0</v>
      </c>
      <c r="U319" s="1283">
        <f t="shared" si="631"/>
        <v>0</v>
      </c>
      <c r="V319" s="1283">
        <f t="shared" si="631"/>
        <v>0</v>
      </c>
      <c r="W319" s="1283">
        <f t="shared" si="631"/>
        <v>0</v>
      </c>
      <c r="X319" s="1283">
        <f t="shared" si="631"/>
        <v>0</v>
      </c>
      <c r="Y319" s="1283">
        <f t="shared" si="631"/>
        <v>0</v>
      </c>
      <c r="Z319" s="1283">
        <f t="shared" si="631"/>
        <v>0</v>
      </c>
      <c r="AA319" s="1283">
        <f t="shared" si="631"/>
        <v>0</v>
      </c>
      <c r="AB319" s="1283">
        <f t="shared" si="631"/>
        <v>0</v>
      </c>
      <c r="AC319" s="1283">
        <f t="shared" si="631"/>
        <v>0</v>
      </c>
      <c r="AD319" s="1283">
        <f t="shared" si="631"/>
        <v>0</v>
      </c>
      <c r="AE319" s="1283">
        <f t="shared" si="632"/>
        <v>0</v>
      </c>
      <c r="AF319" s="1283">
        <f t="shared" si="632"/>
        <v>0</v>
      </c>
      <c r="AG319" s="1283">
        <f t="shared" si="632"/>
        <v>0</v>
      </c>
      <c r="AH319" s="1283">
        <f t="shared" si="632"/>
        <v>0</v>
      </c>
      <c r="AI319" s="1283">
        <f t="shared" si="632"/>
        <v>0</v>
      </c>
      <c r="AJ319" s="1283">
        <f t="shared" si="632"/>
        <v>0</v>
      </c>
      <c r="AK319" s="1283">
        <f t="shared" si="632"/>
        <v>0</v>
      </c>
      <c r="AM319" s="1304">
        <f t="shared" ca="1" si="633"/>
        <v>0</v>
      </c>
      <c r="AN319" s="1283">
        <f t="shared" ca="1" si="633"/>
        <v>0</v>
      </c>
      <c r="AO319" s="1283">
        <f t="shared" ca="1" si="507"/>
        <v>0</v>
      </c>
      <c r="AP319" s="2777"/>
      <c r="AQ319" s="1283">
        <f t="shared" ca="1" si="634"/>
        <v>0</v>
      </c>
      <c r="AR319" s="1283">
        <f t="shared" ca="1" si="535"/>
        <v>0</v>
      </c>
      <c r="AS319" s="2777"/>
      <c r="AU319" s="1304">
        <f t="shared" ca="1" si="635"/>
        <v>0</v>
      </c>
      <c r="AV319" s="1283">
        <f t="shared" ca="1" si="635"/>
        <v>0</v>
      </c>
      <c r="AW319" s="1283">
        <f t="shared" ca="1" si="598"/>
        <v>0</v>
      </c>
      <c r="AX319" s="2777"/>
      <c r="AY319" s="1283">
        <f t="shared" ca="1" si="636"/>
        <v>0</v>
      </c>
      <c r="AZ319" s="1283">
        <f t="shared" ca="1" si="600"/>
        <v>0</v>
      </c>
      <c r="BA319" s="2777"/>
      <c r="BC319" s="1304">
        <f t="shared" ca="1" si="637"/>
        <v>0</v>
      </c>
      <c r="BD319" s="1283">
        <f t="shared" ca="1" si="637"/>
        <v>0</v>
      </c>
      <c r="BE319" s="1283">
        <f t="shared" ca="1" si="602"/>
        <v>0</v>
      </c>
      <c r="BF319" s="2777"/>
      <c r="BG319" s="1283">
        <f t="shared" ca="1" si="638"/>
        <v>0</v>
      </c>
      <c r="BH319" s="1283">
        <f t="shared" ca="1" si="604"/>
        <v>0</v>
      </c>
      <c r="BI319" s="2777"/>
    </row>
    <row r="320" spans="1:61" s="504" customFormat="1" ht="14.5" hidden="1" outlineLevel="1">
      <c r="A320" s="1693">
        <f t="shared" si="532"/>
        <v>320</v>
      </c>
      <c r="B320" s="616">
        <v>1</v>
      </c>
      <c r="C320" s="1693">
        <f t="shared" si="531"/>
        <v>320</v>
      </c>
      <c r="D320" s="616">
        <v>1</v>
      </c>
      <c r="E320" s="709" t="s">
        <v>512</v>
      </c>
      <c r="F320" s="1572"/>
      <c r="G320" s="4"/>
      <c r="H320" s="4"/>
      <c r="I320" s="501"/>
      <c r="J320" s="502"/>
      <c r="K320" s="505"/>
      <c r="L320" s="501"/>
      <c r="M320" s="501"/>
      <c r="N320" s="503" t="s">
        <v>381</v>
      </c>
      <c r="O320" s="505"/>
      <c r="P320" s="505"/>
      <c r="Q320" s="505"/>
      <c r="R320" s="1792" t="str">
        <f>CHOOSE(2, "6722000003239", "PL (4) Gross Profit ODP(%) ODP New Business (%)")</f>
        <v>PL (4) Gross Profit ODP(%) ODP New Business (%)</v>
      </c>
      <c r="S320" s="1304">
        <f t="shared" si="631"/>
        <v>0</v>
      </c>
      <c r="T320" s="1283">
        <f t="shared" si="631"/>
        <v>0</v>
      </c>
      <c r="U320" s="1283">
        <f t="shared" si="631"/>
        <v>0</v>
      </c>
      <c r="V320" s="1283">
        <f t="shared" si="631"/>
        <v>0</v>
      </c>
      <c r="W320" s="1283">
        <f t="shared" si="631"/>
        <v>0</v>
      </c>
      <c r="X320" s="1283">
        <f t="shared" si="631"/>
        <v>0</v>
      </c>
      <c r="Y320" s="1283">
        <f t="shared" si="631"/>
        <v>0</v>
      </c>
      <c r="Z320" s="1283">
        <f t="shared" si="631"/>
        <v>0</v>
      </c>
      <c r="AA320" s="1283">
        <f t="shared" si="631"/>
        <v>0</v>
      </c>
      <c r="AB320" s="1283">
        <f t="shared" si="631"/>
        <v>0</v>
      </c>
      <c r="AC320" s="1283">
        <f t="shared" si="631"/>
        <v>0</v>
      </c>
      <c r="AD320" s="1283">
        <f t="shared" si="631"/>
        <v>0</v>
      </c>
      <c r="AE320" s="1283">
        <f t="shared" si="632"/>
        <v>0</v>
      </c>
      <c r="AF320" s="1283">
        <f t="shared" si="632"/>
        <v>0</v>
      </c>
      <c r="AG320" s="1283">
        <f t="shared" si="632"/>
        <v>0</v>
      </c>
      <c r="AH320" s="1283">
        <f t="shared" si="632"/>
        <v>0</v>
      </c>
      <c r="AI320" s="1283">
        <f t="shared" si="632"/>
        <v>0</v>
      </c>
      <c r="AJ320" s="1283">
        <f t="shared" si="632"/>
        <v>0</v>
      </c>
      <c r="AK320" s="1283">
        <f t="shared" si="632"/>
        <v>0</v>
      </c>
      <c r="AM320" s="1304">
        <f t="shared" ca="1" si="633"/>
        <v>0</v>
      </c>
      <c r="AN320" s="1283">
        <f t="shared" ca="1" si="633"/>
        <v>0</v>
      </c>
      <c r="AO320" s="1283">
        <f t="shared" ca="1" si="507"/>
        <v>0</v>
      </c>
      <c r="AP320" s="2777"/>
      <c r="AQ320" s="1283">
        <f t="shared" ca="1" si="634"/>
        <v>0</v>
      </c>
      <c r="AR320" s="1283">
        <f t="shared" ca="1" si="535"/>
        <v>0</v>
      </c>
      <c r="AS320" s="2777"/>
      <c r="AU320" s="1304">
        <f t="shared" ca="1" si="635"/>
        <v>0</v>
      </c>
      <c r="AV320" s="1283">
        <f t="shared" ca="1" si="635"/>
        <v>0</v>
      </c>
      <c r="AW320" s="1283">
        <f t="shared" ca="1" si="598"/>
        <v>0</v>
      </c>
      <c r="AX320" s="2777"/>
      <c r="AY320" s="1283">
        <f t="shared" ca="1" si="636"/>
        <v>0</v>
      </c>
      <c r="AZ320" s="1283">
        <f t="shared" ca="1" si="600"/>
        <v>0</v>
      </c>
      <c r="BA320" s="2777"/>
      <c r="BC320" s="1304">
        <f t="shared" ca="1" si="637"/>
        <v>0</v>
      </c>
      <c r="BD320" s="1283">
        <f t="shared" ca="1" si="637"/>
        <v>0</v>
      </c>
      <c r="BE320" s="1283">
        <f t="shared" ca="1" si="602"/>
        <v>0</v>
      </c>
      <c r="BF320" s="2777"/>
      <c r="BG320" s="1283">
        <f t="shared" ca="1" si="638"/>
        <v>0</v>
      </c>
      <c r="BH320" s="1283">
        <f t="shared" ca="1" si="604"/>
        <v>0</v>
      </c>
      <c r="BI320" s="2777"/>
    </row>
    <row r="321" spans="1:61" ht="14.5" collapsed="1">
      <c r="A321" s="1693">
        <f t="shared" si="532"/>
        <v>321</v>
      </c>
      <c r="B321" s="616">
        <v>1</v>
      </c>
      <c r="C321" s="1693">
        <f t="shared" si="531"/>
        <v>321</v>
      </c>
      <c r="D321" s="616">
        <v>1</v>
      </c>
      <c r="E321" s="709" t="s">
        <v>512</v>
      </c>
      <c r="F321" s="1572"/>
      <c r="G321" s="4"/>
      <c r="H321" s="4"/>
      <c r="I321" s="4"/>
      <c r="J321" s="27"/>
      <c r="K321" s="3"/>
      <c r="L321" s="4"/>
      <c r="M321" s="301" t="s">
        <v>372</v>
      </c>
      <c r="N321" s="301"/>
      <c r="O321" s="301"/>
      <c r="P321" s="301"/>
      <c r="Q321" s="301"/>
      <c r="R321" s="1799" t="str">
        <f>CHOOSE(2, "6722000003240", "PL (4) Gross Profit MPM")</f>
        <v>PL (4) Gross Profit MPM</v>
      </c>
      <c r="S321" s="1562">
        <f>SUM(S322:S324)</f>
        <v>0</v>
      </c>
      <c r="T321" s="1563">
        <f t="shared" ref="T321:AD321" si="639">SUM(T322:T324)</f>
        <v>0</v>
      </c>
      <c r="U321" s="1563">
        <f t="shared" si="639"/>
        <v>0</v>
      </c>
      <c r="V321" s="1563">
        <f t="shared" si="639"/>
        <v>0</v>
      </c>
      <c r="W321" s="1563">
        <f t="shared" si="639"/>
        <v>0</v>
      </c>
      <c r="X321" s="1563">
        <f t="shared" si="639"/>
        <v>0</v>
      </c>
      <c r="Y321" s="1563">
        <f t="shared" si="639"/>
        <v>0</v>
      </c>
      <c r="Z321" s="1563">
        <f t="shared" si="639"/>
        <v>0</v>
      </c>
      <c r="AA321" s="1563">
        <f t="shared" si="639"/>
        <v>0</v>
      </c>
      <c r="AB321" s="1563">
        <f t="shared" si="639"/>
        <v>0</v>
      </c>
      <c r="AC321" s="1563">
        <f t="shared" si="639"/>
        <v>0</v>
      </c>
      <c r="AD321" s="1563">
        <f t="shared" si="639"/>
        <v>0</v>
      </c>
      <c r="AE321" s="1252">
        <f t="shared" ref="AE321:AE330" si="640">SUM(S321,T321,U321)</f>
        <v>0</v>
      </c>
      <c r="AF321" s="1252">
        <f t="shared" ref="AF321:AF330" si="641">SUM(V321,W321,X321)</f>
        <v>0</v>
      </c>
      <c r="AG321" s="1252">
        <f t="shared" ref="AG321:AG330" si="642">SUM(Y321,Z321,AA321)</f>
        <v>0</v>
      </c>
      <c r="AH321" s="1252">
        <f t="shared" ref="AH321:AH330" si="643">SUM(AB321,AC321,AD321)</f>
        <v>0</v>
      </c>
      <c r="AI321" s="1252">
        <f t="shared" ref="AI321:AI330" si="644">AE321+AF321</f>
        <v>0</v>
      </c>
      <c r="AJ321" s="1252">
        <f t="shared" ref="AJ321:AJ330" si="645">AH321+AG321</f>
        <v>0</v>
      </c>
      <c r="AK321" s="1252">
        <f t="shared" ref="AK321:AK330" si="646">AI321+AJ321</f>
        <v>0</v>
      </c>
      <c r="AM321" s="2041">
        <f ca="1">SUM((INDIRECT(AM$2&amp;(ROW())):INDIRECT(AM$3&amp;(ROW()))))</f>
        <v>0</v>
      </c>
      <c r="AN321" s="2042">
        <f ca="1">SUM(INDIRECT(AN$1&amp;AN$2&amp;$C321):INDIRECT(AN$1&amp;AN$3&amp;$C321))</f>
        <v>0</v>
      </c>
      <c r="AO321" s="2805">
        <f t="shared" ca="1" si="507"/>
        <v>0</v>
      </c>
      <c r="AP321" s="2806">
        <f t="shared" ca="1" si="595"/>
        <v>0</v>
      </c>
      <c r="AQ321" s="2042">
        <f ca="1">SUM(INDIRECT(AQ$1&amp;AQ$2&amp;$A321):INDIRECT(AQ$1&amp;AQ$3&amp;$A321))+SUM(INDIRECT(AQ$1&amp;AQ$2&amp;$B321):INDIRECT(AQ$1&amp;AQ$3&amp;$B321))</f>
        <v>0</v>
      </c>
      <c r="AR321" s="2805">
        <f t="shared" ca="1" si="535"/>
        <v>0</v>
      </c>
      <c r="AS321" s="2806">
        <f t="shared" ref="AS321:AS335" ca="1" si="647">IFERROR(AM321/AQ321,0)</f>
        <v>0</v>
      </c>
      <c r="AU321" s="2041">
        <f ca="1">SUM((INDIRECT(AU$2&amp;(ROW())):INDIRECT(AU$3&amp;(ROW()))))</f>
        <v>0</v>
      </c>
      <c r="AV321" s="2042">
        <f ca="1">SUM(INDIRECT(AV$1&amp;AV$2&amp;$C321):INDIRECT(AV$1&amp;AV$3&amp;$C321))</f>
        <v>0</v>
      </c>
      <c r="AW321" s="2805">
        <f t="shared" ca="1" si="598"/>
        <v>0</v>
      </c>
      <c r="AX321" s="2806">
        <f t="shared" ref="AX321:AX335" ca="1" si="648">IFERROR(AU321/AV321,0)</f>
        <v>0</v>
      </c>
      <c r="AY321" s="2042">
        <f ca="1">SUM(INDIRECT(AY$1&amp;AY$2&amp;$A321):INDIRECT(AY$1&amp;AY$3&amp;$A321))+SUM(INDIRECT(AY$1&amp;AY$2&amp;$B321):INDIRECT(AY$1&amp;AY$3&amp;$B321))</f>
        <v>0</v>
      </c>
      <c r="AZ321" s="2805">
        <f t="shared" ca="1" si="600"/>
        <v>0</v>
      </c>
      <c r="BA321" s="2806">
        <f t="shared" ref="BA321:BA335" ca="1" si="649">IFERROR(AU321/AY321,0)</f>
        <v>0</v>
      </c>
      <c r="BC321" s="2041">
        <f ca="1">SUM((INDIRECT(BC$2&amp;(ROW())):INDIRECT(BC$3&amp;(ROW()))))</f>
        <v>0</v>
      </c>
      <c r="BD321" s="2042">
        <f ca="1">SUM(INDIRECT(BD$1&amp;BD$2&amp;$C321):INDIRECT(BD$1&amp;BD$3&amp;$C321))</f>
        <v>0</v>
      </c>
      <c r="BE321" s="2805">
        <f t="shared" ca="1" si="602"/>
        <v>0</v>
      </c>
      <c r="BF321" s="2806">
        <f t="shared" ref="BF321:BF335" ca="1" si="650">IFERROR(BC321/BD321,0)</f>
        <v>0</v>
      </c>
      <c r="BG321" s="2042">
        <f ca="1">SUM(INDIRECT(BG$1&amp;BG$2&amp;$A321):INDIRECT(BG$1&amp;BG$3&amp;$A321))+SUM(INDIRECT(BG$1&amp;BG$2&amp;$B321):INDIRECT(BG$1&amp;BG$3&amp;$B321))</f>
        <v>0</v>
      </c>
      <c r="BH321" s="2805">
        <f t="shared" ca="1" si="604"/>
        <v>0</v>
      </c>
      <c r="BI321" s="2806">
        <f t="shared" ref="BI321:BI335" ca="1" si="651">IFERROR(BC321/BG321,0)</f>
        <v>0</v>
      </c>
    </row>
    <row r="322" spans="1:61" ht="15" customHeight="1">
      <c r="A322" s="1693">
        <f t="shared" si="532"/>
        <v>322</v>
      </c>
      <c r="B322" s="616">
        <v>1</v>
      </c>
      <c r="C322" s="1693">
        <f t="shared" si="531"/>
        <v>322</v>
      </c>
      <c r="D322" s="616">
        <v>1</v>
      </c>
      <c r="E322" s="709" t="s">
        <v>512</v>
      </c>
      <c r="F322" s="1572"/>
      <c r="G322" s="4"/>
      <c r="H322" s="4"/>
      <c r="I322" s="4"/>
      <c r="J322" s="27"/>
      <c r="K322" s="3"/>
      <c r="L322" s="4"/>
      <c r="M322" s="4"/>
      <c r="N322" s="3" t="s">
        <v>114</v>
      </c>
      <c r="O322" s="3"/>
      <c r="P322" s="3"/>
      <c r="Q322" s="3"/>
      <c r="R322" s="1800" t="str">
        <f>CHOOSE(2, "6722000003241", "PL (4) Gross Profit MPM Procurement")</f>
        <v>PL (4) Gross Profit MPM Procurement</v>
      </c>
      <c r="S322" s="1553"/>
      <c r="T322" s="1222"/>
      <c r="U322" s="1222"/>
      <c r="V322" s="1222"/>
      <c r="W322" s="1222"/>
      <c r="X322" s="1222"/>
      <c r="Y322" s="1222"/>
      <c r="Z322" s="1222"/>
      <c r="AA322" s="1222"/>
      <c r="AB322" s="1222"/>
      <c r="AC322" s="1222"/>
      <c r="AD322" s="1222"/>
      <c r="AE322" s="1221">
        <f t="shared" si="640"/>
        <v>0</v>
      </c>
      <c r="AF322" s="1221">
        <f t="shared" si="641"/>
        <v>0</v>
      </c>
      <c r="AG322" s="1221">
        <f t="shared" si="642"/>
        <v>0</v>
      </c>
      <c r="AH322" s="1221">
        <f t="shared" si="643"/>
        <v>0</v>
      </c>
      <c r="AI322" s="1221">
        <f t="shared" si="644"/>
        <v>0</v>
      </c>
      <c r="AJ322" s="1221">
        <f t="shared" si="645"/>
        <v>0</v>
      </c>
      <c r="AK322" s="1221">
        <f t="shared" si="646"/>
        <v>0</v>
      </c>
      <c r="AM322" s="596">
        <f ca="1">SUM((INDIRECT(AM$2&amp;(ROW())):INDIRECT(AM$3&amp;(ROW()))))</f>
        <v>0</v>
      </c>
      <c r="AN322" s="2002">
        <f ca="1">SUM(INDIRECT(AN$1&amp;AN$2&amp;$C322):INDIRECT(AN$1&amp;AN$3&amp;$C322))</f>
        <v>0</v>
      </c>
      <c r="AO322" s="2767">
        <f t="shared" ca="1" si="507"/>
        <v>0</v>
      </c>
      <c r="AP322" s="2768">
        <f t="shared" ca="1" si="595"/>
        <v>0</v>
      </c>
      <c r="AQ322" s="2002">
        <f ca="1">SUM(INDIRECT(AQ$1&amp;AQ$2&amp;$A322):INDIRECT(AQ$1&amp;AQ$3&amp;$A322))+SUM(INDIRECT(AQ$1&amp;AQ$2&amp;$B322):INDIRECT(AQ$1&amp;AQ$3&amp;$B322))</f>
        <v>0</v>
      </c>
      <c r="AR322" s="2767">
        <f t="shared" ca="1" si="535"/>
        <v>0</v>
      </c>
      <c r="AS322" s="2768">
        <f t="shared" ca="1" si="647"/>
        <v>0</v>
      </c>
      <c r="AU322" s="596">
        <f ca="1">SUM((INDIRECT(AU$2&amp;(ROW())):INDIRECT(AU$3&amp;(ROW()))))</f>
        <v>0</v>
      </c>
      <c r="AV322" s="2002">
        <f ca="1">SUM(INDIRECT(AV$1&amp;AV$2&amp;$C322):INDIRECT(AV$1&amp;AV$3&amp;$C322))</f>
        <v>0</v>
      </c>
      <c r="AW322" s="2767">
        <f t="shared" ca="1" si="598"/>
        <v>0</v>
      </c>
      <c r="AX322" s="2768">
        <f t="shared" ca="1" si="648"/>
        <v>0</v>
      </c>
      <c r="AY322" s="2002">
        <f ca="1">SUM(INDIRECT(AY$1&amp;AY$2&amp;$A322):INDIRECT(AY$1&amp;AY$3&amp;$A322))+SUM(INDIRECT(AY$1&amp;AY$2&amp;$B322):INDIRECT(AY$1&amp;AY$3&amp;$B322))</f>
        <v>0</v>
      </c>
      <c r="AZ322" s="2767">
        <f t="shared" ca="1" si="600"/>
        <v>0</v>
      </c>
      <c r="BA322" s="2768">
        <f t="shared" ca="1" si="649"/>
        <v>0</v>
      </c>
      <c r="BC322" s="596">
        <f ca="1">SUM((INDIRECT(BC$2&amp;(ROW())):INDIRECT(BC$3&amp;(ROW()))))</f>
        <v>0</v>
      </c>
      <c r="BD322" s="2002">
        <f ca="1">SUM(INDIRECT(BD$1&amp;BD$2&amp;$C322):INDIRECT(BD$1&amp;BD$3&amp;$C322))</f>
        <v>0</v>
      </c>
      <c r="BE322" s="2767">
        <f t="shared" ca="1" si="602"/>
        <v>0</v>
      </c>
      <c r="BF322" s="2768">
        <f t="shared" ca="1" si="650"/>
        <v>0</v>
      </c>
      <c r="BG322" s="2002">
        <f ca="1">SUM(INDIRECT(BG$1&amp;BG$2&amp;$A322):INDIRECT(BG$1&amp;BG$3&amp;$A322))+SUM(INDIRECT(BG$1&amp;BG$2&amp;$B322):INDIRECT(BG$1&amp;BG$3&amp;$B322))</f>
        <v>0</v>
      </c>
      <c r="BH322" s="2767">
        <f t="shared" ca="1" si="604"/>
        <v>0</v>
      </c>
      <c r="BI322" s="2768">
        <f t="shared" ca="1" si="651"/>
        <v>0</v>
      </c>
    </row>
    <row r="323" spans="1:61" ht="15" customHeight="1">
      <c r="A323" s="1693">
        <f t="shared" si="532"/>
        <v>323</v>
      </c>
      <c r="B323" s="616">
        <v>1</v>
      </c>
      <c r="C323" s="1693">
        <f t="shared" si="531"/>
        <v>323</v>
      </c>
      <c r="D323" s="616">
        <v>1</v>
      </c>
      <c r="E323" s="709" t="s">
        <v>512</v>
      </c>
      <c r="F323" s="1572"/>
      <c r="G323" s="4"/>
      <c r="H323" s="4"/>
      <c r="I323" s="4"/>
      <c r="J323" s="27"/>
      <c r="K323" s="3"/>
      <c r="L323" s="4"/>
      <c r="M323" s="4"/>
      <c r="N323" s="3" t="s">
        <v>115</v>
      </c>
      <c r="O323" s="3"/>
      <c r="P323" s="3"/>
      <c r="Q323" s="3"/>
      <c r="R323" s="1800" t="str">
        <f>CHOOSE(2, "6722000003242", "PL (4) Gross Profit MPM Production")</f>
        <v>PL (4) Gross Profit MPM Production</v>
      </c>
      <c r="S323" s="1553"/>
      <c r="T323" s="1222"/>
      <c r="U323" s="1222"/>
      <c r="V323" s="1222"/>
      <c r="W323" s="1222"/>
      <c r="X323" s="1222"/>
      <c r="Y323" s="1222"/>
      <c r="Z323" s="1222"/>
      <c r="AA323" s="1222"/>
      <c r="AB323" s="1222"/>
      <c r="AC323" s="1222"/>
      <c r="AD323" s="1222"/>
      <c r="AE323" s="1221">
        <f t="shared" si="640"/>
        <v>0</v>
      </c>
      <c r="AF323" s="1221">
        <f t="shared" si="641"/>
        <v>0</v>
      </c>
      <c r="AG323" s="1221">
        <f t="shared" si="642"/>
        <v>0</v>
      </c>
      <c r="AH323" s="1221">
        <f t="shared" si="643"/>
        <v>0</v>
      </c>
      <c r="AI323" s="1221">
        <f t="shared" si="644"/>
        <v>0</v>
      </c>
      <c r="AJ323" s="1221">
        <f t="shared" si="645"/>
        <v>0</v>
      </c>
      <c r="AK323" s="1221">
        <f t="shared" si="646"/>
        <v>0</v>
      </c>
      <c r="AM323" s="596">
        <f ca="1">SUM((INDIRECT(AM$2&amp;(ROW())):INDIRECT(AM$3&amp;(ROW()))))</f>
        <v>0</v>
      </c>
      <c r="AN323" s="2002">
        <f ca="1">SUM(INDIRECT(AN$1&amp;AN$2&amp;$C323):INDIRECT(AN$1&amp;AN$3&amp;$C323))</f>
        <v>0</v>
      </c>
      <c r="AO323" s="2767">
        <f t="shared" ca="1" si="507"/>
        <v>0</v>
      </c>
      <c r="AP323" s="2768">
        <f t="shared" ca="1" si="595"/>
        <v>0</v>
      </c>
      <c r="AQ323" s="2002">
        <f ca="1">SUM(INDIRECT(AQ$1&amp;AQ$2&amp;$A323):INDIRECT(AQ$1&amp;AQ$3&amp;$A323))+SUM(INDIRECT(AQ$1&amp;AQ$2&amp;$B323):INDIRECT(AQ$1&amp;AQ$3&amp;$B323))</f>
        <v>0</v>
      </c>
      <c r="AR323" s="2767">
        <f t="shared" ca="1" si="535"/>
        <v>0</v>
      </c>
      <c r="AS323" s="2768">
        <f t="shared" ca="1" si="647"/>
        <v>0</v>
      </c>
      <c r="AU323" s="596">
        <f ca="1">SUM((INDIRECT(AU$2&amp;(ROW())):INDIRECT(AU$3&amp;(ROW()))))</f>
        <v>0</v>
      </c>
      <c r="AV323" s="2002">
        <f ca="1">SUM(INDIRECT(AV$1&amp;AV$2&amp;$C323):INDIRECT(AV$1&amp;AV$3&amp;$C323))</f>
        <v>0</v>
      </c>
      <c r="AW323" s="2767">
        <f t="shared" ca="1" si="598"/>
        <v>0</v>
      </c>
      <c r="AX323" s="2768">
        <f t="shared" ca="1" si="648"/>
        <v>0</v>
      </c>
      <c r="AY323" s="2002">
        <f ca="1">SUM(INDIRECT(AY$1&amp;AY$2&amp;$A323):INDIRECT(AY$1&amp;AY$3&amp;$A323))+SUM(INDIRECT(AY$1&amp;AY$2&amp;$B323):INDIRECT(AY$1&amp;AY$3&amp;$B323))</f>
        <v>0</v>
      </c>
      <c r="AZ323" s="2767">
        <f t="shared" ca="1" si="600"/>
        <v>0</v>
      </c>
      <c r="BA323" s="2768">
        <f t="shared" ca="1" si="649"/>
        <v>0</v>
      </c>
      <c r="BC323" s="596">
        <f ca="1">SUM((INDIRECT(BC$2&amp;(ROW())):INDIRECT(BC$3&amp;(ROW()))))</f>
        <v>0</v>
      </c>
      <c r="BD323" s="2002">
        <f ca="1">SUM(INDIRECT(BD$1&amp;BD$2&amp;$C323):INDIRECT(BD$1&amp;BD$3&amp;$C323))</f>
        <v>0</v>
      </c>
      <c r="BE323" s="2767">
        <f t="shared" ca="1" si="602"/>
        <v>0</v>
      </c>
      <c r="BF323" s="2768">
        <f t="shared" ca="1" si="650"/>
        <v>0</v>
      </c>
      <c r="BG323" s="2002">
        <f ca="1">SUM(INDIRECT(BG$1&amp;BG$2&amp;$A323):INDIRECT(BG$1&amp;BG$3&amp;$A323))+SUM(INDIRECT(BG$1&amp;BG$2&amp;$B323):INDIRECT(BG$1&amp;BG$3&amp;$B323))</f>
        <v>0</v>
      </c>
      <c r="BH323" s="2767">
        <f t="shared" ca="1" si="604"/>
        <v>0</v>
      </c>
      <c r="BI323" s="2768">
        <f t="shared" ca="1" si="651"/>
        <v>0</v>
      </c>
    </row>
    <row r="324" spans="1:61" ht="15" customHeight="1">
      <c r="A324" s="1693">
        <f t="shared" si="532"/>
        <v>324</v>
      </c>
      <c r="B324" s="616">
        <v>1</v>
      </c>
      <c r="C324" s="1693">
        <f t="shared" si="531"/>
        <v>324</v>
      </c>
      <c r="D324" s="616">
        <v>1</v>
      </c>
      <c r="E324" s="709" t="s">
        <v>512</v>
      </c>
      <c r="F324" s="1572"/>
      <c r="G324" s="4"/>
      <c r="H324" s="4"/>
      <c r="I324" s="4"/>
      <c r="J324" s="27"/>
      <c r="K324" s="3"/>
      <c r="L324" s="4"/>
      <c r="M324" s="48"/>
      <c r="N324" s="47" t="s">
        <v>116</v>
      </c>
      <c r="O324" s="47"/>
      <c r="P324" s="47"/>
      <c r="Q324" s="47"/>
      <c r="R324" s="1800" t="str">
        <f>CHOOSE(2, "6722000003243", "PL (4) Gross Profit MPM Solution")</f>
        <v>PL (4) Gross Profit MPM Solution</v>
      </c>
      <c r="S324" s="1554"/>
      <c r="T324" s="1231"/>
      <c r="U324" s="1231"/>
      <c r="V324" s="1231"/>
      <c r="W324" s="1231"/>
      <c r="X324" s="1231"/>
      <c r="Y324" s="1231"/>
      <c r="Z324" s="1231"/>
      <c r="AA324" s="1231"/>
      <c r="AB324" s="1231"/>
      <c r="AC324" s="1231"/>
      <c r="AD324" s="1231"/>
      <c r="AE324" s="1230">
        <f t="shared" si="640"/>
        <v>0</v>
      </c>
      <c r="AF324" s="1230">
        <f t="shared" si="641"/>
        <v>0</v>
      </c>
      <c r="AG324" s="1230">
        <f t="shared" si="642"/>
        <v>0</v>
      </c>
      <c r="AH324" s="1230">
        <f t="shared" si="643"/>
        <v>0</v>
      </c>
      <c r="AI324" s="1230">
        <f t="shared" si="644"/>
        <v>0</v>
      </c>
      <c r="AJ324" s="1230">
        <f t="shared" si="645"/>
        <v>0</v>
      </c>
      <c r="AK324" s="1230">
        <f t="shared" si="646"/>
        <v>0</v>
      </c>
      <c r="AM324" s="2011">
        <f ca="1">SUM((INDIRECT(AM$2&amp;(ROW())):INDIRECT(AM$3&amp;(ROW()))))</f>
        <v>0</v>
      </c>
      <c r="AN324" s="2012">
        <f ca="1">SUM(INDIRECT(AN$1&amp;AN$2&amp;$C324):INDIRECT(AN$1&amp;AN$3&amp;$C324))</f>
        <v>0</v>
      </c>
      <c r="AO324" s="2774">
        <f t="shared" ca="1" si="507"/>
        <v>0</v>
      </c>
      <c r="AP324" s="2775">
        <f t="shared" ca="1" si="595"/>
        <v>0</v>
      </c>
      <c r="AQ324" s="2012">
        <f ca="1">SUM(INDIRECT(AQ$1&amp;AQ$2&amp;$A324):INDIRECT(AQ$1&amp;AQ$3&amp;$A324))+SUM(INDIRECT(AQ$1&amp;AQ$2&amp;$B324):INDIRECT(AQ$1&amp;AQ$3&amp;$B324))</f>
        <v>0</v>
      </c>
      <c r="AR324" s="2774">
        <f t="shared" ca="1" si="535"/>
        <v>0</v>
      </c>
      <c r="AS324" s="2775">
        <f t="shared" ca="1" si="647"/>
        <v>0</v>
      </c>
      <c r="AU324" s="2011">
        <f ca="1">SUM((INDIRECT(AU$2&amp;(ROW())):INDIRECT(AU$3&amp;(ROW()))))</f>
        <v>0</v>
      </c>
      <c r="AV324" s="2012">
        <f ca="1">SUM(INDIRECT(AV$1&amp;AV$2&amp;$C324):INDIRECT(AV$1&amp;AV$3&amp;$C324))</f>
        <v>0</v>
      </c>
      <c r="AW324" s="2774">
        <f t="shared" ca="1" si="598"/>
        <v>0</v>
      </c>
      <c r="AX324" s="2775">
        <f t="shared" ca="1" si="648"/>
        <v>0</v>
      </c>
      <c r="AY324" s="2012">
        <f ca="1">SUM(INDIRECT(AY$1&amp;AY$2&amp;$A324):INDIRECT(AY$1&amp;AY$3&amp;$A324))+SUM(INDIRECT(AY$1&amp;AY$2&amp;$B324):INDIRECT(AY$1&amp;AY$3&amp;$B324))</f>
        <v>0</v>
      </c>
      <c r="AZ324" s="2774">
        <f t="shared" ca="1" si="600"/>
        <v>0</v>
      </c>
      <c r="BA324" s="2775">
        <f t="shared" ca="1" si="649"/>
        <v>0</v>
      </c>
      <c r="BC324" s="2011">
        <f ca="1">SUM((INDIRECT(BC$2&amp;(ROW())):INDIRECT(BC$3&amp;(ROW()))))</f>
        <v>0</v>
      </c>
      <c r="BD324" s="2012">
        <f ca="1">SUM(INDIRECT(BD$1&amp;BD$2&amp;$C324):INDIRECT(BD$1&amp;BD$3&amp;$C324))</f>
        <v>0</v>
      </c>
      <c r="BE324" s="2774">
        <f t="shared" ca="1" si="602"/>
        <v>0</v>
      </c>
      <c r="BF324" s="2775">
        <f t="shared" ca="1" si="650"/>
        <v>0</v>
      </c>
      <c r="BG324" s="2012">
        <f ca="1">SUM(INDIRECT(BG$1&amp;BG$2&amp;$A324):INDIRECT(BG$1&amp;BG$3&amp;$A324))+SUM(INDIRECT(BG$1&amp;BG$2&amp;$B324):INDIRECT(BG$1&amp;BG$3&amp;$B324))</f>
        <v>0</v>
      </c>
      <c r="BH324" s="2774">
        <f t="shared" ca="1" si="604"/>
        <v>0</v>
      </c>
      <c r="BI324" s="2775">
        <f t="shared" ca="1" si="651"/>
        <v>0</v>
      </c>
    </row>
    <row r="325" spans="1:61" ht="15" customHeight="1">
      <c r="A325" s="1693">
        <f t="shared" si="532"/>
        <v>325</v>
      </c>
      <c r="B325" s="616">
        <v>1</v>
      </c>
      <c r="C325" s="1693">
        <f t="shared" si="531"/>
        <v>325</v>
      </c>
      <c r="D325" s="616">
        <v>1</v>
      </c>
      <c r="E325" s="709" t="s">
        <v>512</v>
      </c>
      <c r="F325" s="1572"/>
      <c r="G325" s="4"/>
      <c r="H325" s="4"/>
      <c r="I325" s="4"/>
      <c r="J325" s="27"/>
      <c r="K325" s="3"/>
      <c r="L325" s="4"/>
      <c r="M325" s="301" t="s">
        <v>373</v>
      </c>
      <c r="N325" s="301"/>
      <c r="O325" s="301"/>
      <c r="P325" s="301"/>
      <c r="Q325" s="301"/>
      <c r="R325" s="1799" t="str">
        <f>CHOOSE(2, "6722000003244", "PL (4) Gross Profit ODP")</f>
        <v>PL (4) Gross Profit ODP</v>
      </c>
      <c r="S325" s="1562">
        <f>SUM(S326:S330)</f>
        <v>0</v>
      </c>
      <c r="T325" s="1563">
        <f t="shared" ref="T325:AD325" si="652">SUM(T326:T330)</f>
        <v>0</v>
      </c>
      <c r="U325" s="1563">
        <f t="shared" si="652"/>
        <v>0</v>
      </c>
      <c r="V325" s="1563">
        <f t="shared" si="652"/>
        <v>0</v>
      </c>
      <c r="W325" s="1563">
        <f t="shared" si="652"/>
        <v>0</v>
      </c>
      <c r="X325" s="1563">
        <f t="shared" si="652"/>
        <v>0</v>
      </c>
      <c r="Y325" s="1563">
        <f t="shared" si="652"/>
        <v>0</v>
      </c>
      <c r="Z325" s="1563">
        <f t="shared" si="652"/>
        <v>0</v>
      </c>
      <c r="AA325" s="1563">
        <f t="shared" si="652"/>
        <v>0</v>
      </c>
      <c r="AB325" s="1563">
        <f t="shared" si="652"/>
        <v>0</v>
      </c>
      <c r="AC325" s="1563">
        <f t="shared" si="652"/>
        <v>0</v>
      </c>
      <c r="AD325" s="1563">
        <f t="shared" si="652"/>
        <v>0</v>
      </c>
      <c r="AE325" s="1252">
        <f t="shared" si="640"/>
        <v>0</v>
      </c>
      <c r="AF325" s="1252">
        <f t="shared" si="641"/>
        <v>0</v>
      </c>
      <c r="AG325" s="1252">
        <f t="shared" si="642"/>
        <v>0</v>
      </c>
      <c r="AH325" s="1252">
        <f t="shared" si="643"/>
        <v>0</v>
      </c>
      <c r="AI325" s="1252">
        <f t="shared" si="644"/>
        <v>0</v>
      </c>
      <c r="AJ325" s="1252">
        <f t="shared" si="645"/>
        <v>0</v>
      </c>
      <c r="AK325" s="1252">
        <f t="shared" si="646"/>
        <v>0</v>
      </c>
      <c r="AM325" s="2041">
        <f ca="1">SUM((INDIRECT(AM$2&amp;(ROW())):INDIRECT(AM$3&amp;(ROW()))))</f>
        <v>0</v>
      </c>
      <c r="AN325" s="2042">
        <f ca="1">SUM(INDIRECT(AN$1&amp;AN$2&amp;$C325):INDIRECT(AN$1&amp;AN$3&amp;$C325))</f>
        <v>0</v>
      </c>
      <c r="AO325" s="2805">
        <f t="shared" ref="AO325:AO388" ca="1" si="653">AM325-AN325</f>
        <v>0</v>
      </c>
      <c r="AP325" s="2806">
        <f t="shared" ca="1" si="595"/>
        <v>0</v>
      </c>
      <c r="AQ325" s="2042">
        <f ca="1">SUM(INDIRECT(AQ$1&amp;AQ$2&amp;$A325):INDIRECT(AQ$1&amp;AQ$3&amp;$A325))+SUM(INDIRECT(AQ$1&amp;AQ$2&amp;$B325):INDIRECT(AQ$1&amp;AQ$3&amp;$B325))</f>
        <v>0</v>
      </c>
      <c r="AR325" s="2805">
        <f t="shared" ca="1" si="535"/>
        <v>0</v>
      </c>
      <c r="AS325" s="2806">
        <f t="shared" ca="1" si="647"/>
        <v>0</v>
      </c>
      <c r="AU325" s="2041">
        <f ca="1">SUM((INDIRECT(AU$2&amp;(ROW())):INDIRECT(AU$3&amp;(ROW()))))</f>
        <v>0</v>
      </c>
      <c r="AV325" s="2042">
        <f ca="1">SUM(INDIRECT(AV$1&amp;AV$2&amp;$C325):INDIRECT(AV$1&amp;AV$3&amp;$C325))</f>
        <v>0</v>
      </c>
      <c r="AW325" s="2805">
        <f t="shared" ca="1" si="598"/>
        <v>0</v>
      </c>
      <c r="AX325" s="2806">
        <f t="shared" ca="1" si="648"/>
        <v>0</v>
      </c>
      <c r="AY325" s="2042">
        <f ca="1">SUM(INDIRECT(AY$1&amp;AY$2&amp;$A325):INDIRECT(AY$1&amp;AY$3&amp;$A325))+SUM(INDIRECT(AY$1&amp;AY$2&amp;$B325):INDIRECT(AY$1&amp;AY$3&amp;$B325))</f>
        <v>0</v>
      </c>
      <c r="AZ325" s="2805">
        <f t="shared" ca="1" si="600"/>
        <v>0</v>
      </c>
      <c r="BA325" s="2806">
        <f t="shared" ca="1" si="649"/>
        <v>0</v>
      </c>
      <c r="BC325" s="2041">
        <f ca="1">SUM((INDIRECT(BC$2&amp;(ROW())):INDIRECT(BC$3&amp;(ROW()))))</f>
        <v>0</v>
      </c>
      <c r="BD325" s="2042">
        <f ca="1">SUM(INDIRECT(BD$1&amp;BD$2&amp;$C325):INDIRECT(BD$1&amp;BD$3&amp;$C325))</f>
        <v>0</v>
      </c>
      <c r="BE325" s="2805">
        <f t="shared" ca="1" si="602"/>
        <v>0</v>
      </c>
      <c r="BF325" s="2806">
        <f t="shared" ca="1" si="650"/>
        <v>0</v>
      </c>
      <c r="BG325" s="2042">
        <f ca="1">SUM(INDIRECT(BG$1&amp;BG$2&amp;$A325):INDIRECT(BG$1&amp;BG$3&amp;$A325))+SUM(INDIRECT(BG$1&amp;BG$2&amp;$B325):INDIRECT(BG$1&amp;BG$3&amp;$B325))</f>
        <v>0</v>
      </c>
      <c r="BH325" s="2805">
        <f t="shared" ca="1" si="604"/>
        <v>0</v>
      </c>
      <c r="BI325" s="2806">
        <f t="shared" ca="1" si="651"/>
        <v>0</v>
      </c>
    </row>
    <row r="326" spans="1:61" ht="15" customHeight="1">
      <c r="A326" s="1693">
        <f t="shared" si="532"/>
        <v>326</v>
      </c>
      <c r="B326" s="616">
        <v>1</v>
      </c>
      <c r="C326" s="1693">
        <f t="shared" si="531"/>
        <v>326</v>
      </c>
      <c r="D326" s="616">
        <v>1</v>
      </c>
      <c r="E326" s="709" t="s">
        <v>512</v>
      </c>
      <c r="F326" s="1572"/>
      <c r="G326" s="4"/>
      <c r="H326" s="4"/>
      <c r="I326" s="4"/>
      <c r="J326" s="27"/>
      <c r="K326" s="3"/>
      <c r="L326" s="4"/>
      <c r="M326" s="4"/>
      <c r="N326" s="3" t="s">
        <v>13</v>
      </c>
      <c r="O326" s="3"/>
      <c r="P326" s="3"/>
      <c r="Q326" s="3"/>
      <c r="R326" s="1800" t="str">
        <f>CHOOSE(2, "6722000003245", "PL (4) Gross Profit ODP On Demand Printing")</f>
        <v>PL (4) Gross Profit ODP On Demand Printing</v>
      </c>
      <c r="S326" s="1553"/>
      <c r="T326" s="1222"/>
      <c r="U326" s="1222"/>
      <c r="V326" s="1222"/>
      <c r="W326" s="1222"/>
      <c r="X326" s="1222"/>
      <c r="Y326" s="1222"/>
      <c r="Z326" s="1222"/>
      <c r="AA326" s="1222"/>
      <c r="AB326" s="1222"/>
      <c r="AC326" s="1222"/>
      <c r="AD326" s="1222"/>
      <c r="AE326" s="1221">
        <f t="shared" si="640"/>
        <v>0</v>
      </c>
      <c r="AF326" s="1221">
        <f t="shared" si="641"/>
        <v>0</v>
      </c>
      <c r="AG326" s="1221">
        <f t="shared" si="642"/>
        <v>0</v>
      </c>
      <c r="AH326" s="1221">
        <f t="shared" si="643"/>
        <v>0</v>
      </c>
      <c r="AI326" s="1221">
        <f t="shared" si="644"/>
        <v>0</v>
      </c>
      <c r="AJ326" s="1221">
        <f t="shared" si="645"/>
        <v>0</v>
      </c>
      <c r="AK326" s="1221">
        <f t="shared" si="646"/>
        <v>0</v>
      </c>
      <c r="AM326" s="596">
        <f ca="1">SUM((INDIRECT(AM$2&amp;(ROW())):INDIRECT(AM$3&amp;(ROW()))))</f>
        <v>0</v>
      </c>
      <c r="AN326" s="2002">
        <f ca="1">SUM(INDIRECT(AN$1&amp;AN$2&amp;$C326):INDIRECT(AN$1&amp;AN$3&amp;$C326))</f>
        <v>0</v>
      </c>
      <c r="AO326" s="2767">
        <f t="shared" ca="1" si="653"/>
        <v>0</v>
      </c>
      <c r="AP326" s="2768">
        <f t="shared" ca="1" si="595"/>
        <v>0</v>
      </c>
      <c r="AQ326" s="2002">
        <f ca="1">SUM(INDIRECT(AQ$1&amp;AQ$2&amp;$A326):INDIRECT(AQ$1&amp;AQ$3&amp;$A326))+SUM(INDIRECT(AQ$1&amp;AQ$2&amp;$B326):INDIRECT(AQ$1&amp;AQ$3&amp;$B326))</f>
        <v>0</v>
      </c>
      <c r="AR326" s="2767">
        <f t="shared" ca="1" si="535"/>
        <v>0</v>
      </c>
      <c r="AS326" s="2768">
        <f t="shared" ca="1" si="647"/>
        <v>0</v>
      </c>
      <c r="AU326" s="596">
        <f ca="1">SUM((INDIRECT(AU$2&amp;(ROW())):INDIRECT(AU$3&amp;(ROW()))))</f>
        <v>0</v>
      </c>
      <c r="AV326" s="2002">
        <f ca="1">SUM(INDIRECT(AV$1&amp;AV$2&amp;$C326):INDIRECT(AV$1&amp;AV$3&amp;$C326))</f>
        <v>0</v>
      </c>
      <c r="AW326" s="2767">
        <f t="shared" ca="1" si="598"/>
        <v>0</v>
      </c>
      <c r="AX326" s="2768">
        <f t="shared" ca="1" si="648"/>
        <v>0</v>
      </c>
      <c r="AY326" s="2002">
        <f ca="1">SUM(INDIRECT(AY$1&amp;AY$2&amp;$A326):INDIRECT(AY$1&amp;AY$3&amp;$A326))+SUM(INDIRECT(AY$1&amp;AY$2&amp;$B326):INDIRECT(AY$1&amp;AY$3&amp;$B326))</f>
        <v>0</v>
      </c>
      <c r="AZ326" s="2767">
        <f t="shared" ca="1" si="600"/>
        <v>0</v>
      </c>
      <c r="BA326" s="2768">
        <f t="shared" ca="1" si="649"/>
        <v>0</v>
      </c>
      <c r="BC326" s="596">
        <f ca="1">SUM((INDIRECT(BC$2&amp;(ROW())):INDIRECT(BC$3&amp;(ROW()))))</f>
        <v>0</v>
      </c>
      <c r="BD326" s="2002">
        <f ca="1">SUM(INDIRECT(BD$1&amp;BD$2&amp;$C326):INDIRECT(BD$1&amp;BD$3&amp;$C326))</f>
        <v>0</v>
      </c>
      <c r="BE326" s="2767">
        <f t="shared" ca="1" si="602"/>
        <v>0</v>
      </c>
      <c r="BF326" s="2768">
        <f t="shared" ca="1" si="650"/>
        <v>0</v>
      </c>
      <c r="BG326" s="2002">
        <f ca="1">SUM(INDIRECT(BG$1&amp;BG$2&amp;$A326):INDIRECT(BG$1&amp;BG$3&amp;$A326))+SUM(INDIRECT(BG$1&amp;BG$2&amp;$B326):INDIRECT(BG$1&amp;BG$3&amp;$B326))</f>
        <v>0</v>
      </c>
      <c r="BH326" s="2767">
        <f t="shared" ca="1" si="604"/>
        <v>0</v>
      </c>
      <c r="BI326" s="2768">
        <f t="shared" ca="1" si="651"/>
        <v>0</v>
      </c>
    </row>
    <row r="327" spans="1:61" ht="15" customHeight="1">
      <c r="A327" s="1693">
        <f t="shared" si="532"/>
        <v>327</v>
      </c>
      <c r="B327" s="616">
        <v>1</v>
      </c>
      <c r="C327" s="1693">
        <f t="shared" si="531"/>
        <v>327</v>
      </c>
      <c r="D327" s="616">
        <v>1</v>
      </c>
      <c r="E327" s="709" t="s">
        <v>512</v>
      </c>
      <c r="F327" s="1572"/>
      <c r="G327" s="330"/>
      <c r="H327" s="244"/>
      <c r="I327" s="4"/>
      <c r="J327" s="27"/>
      <c r="K327" s="3"/>
      <c r="L327" s="4"/>
      <c r="M327" s="4"/>
      <c r="N327" s="3" t="s">
        <v>374</v>
      </c>
      <c r="O327" s="3"/>
      <c r="P327" s="3"/>
      <c r="Q327" s="3"/>
      <c r="R327" s="1800" t="str">
        <f>CHOOSE(2, "6722000003246", "PL (4) Gross Profit ODP Marketing Service")</f>
        <v>PL (4) Gross Profit ODP Marketing Service</v>
      </c>
      <c r="S327" s="1553"/>
      <c r="T327" s="1222"/>
      <c r="U327" s="1222"/>
      <c r="V327" s="1222"/>
      <c r="W327" s="1222"/>
      <c r="X327" s="1222"/>
      <c r="Y327" s="1222"/>
      <c r="Z327" s="1222"/>
      <c r="AA327" s="1222"/>
      <c r="AB327" s="1222"/>
      <c r="AC327" s="1222"/>
      <c r="AD327" s="1222"/>
      <c r="AE327" s="1221">
        <f t="shared" si="640"/>
        <v>0</v>
      </c>
      <c r="AF327" s="1221">
        <f t="shared" si="641"/>
        <v>0</v>
      </c>
      <c r="AG327" s="1221">
        <f t="shared" si="642"/>
        <v>0</v>
      </c>
      <c r="AH327" s="1221">
        <f t="shared" si="643"/>
        <v>0</v>
      </c>
      <c r="AI327" s="1221">
        <f t="shared" si="644"/>
        <v>0</v>
      </c>
      <c r="AJ327" s="1221">
        <f t="shared" si="645"/>
        <v>0</v>
      </c>
      <c r="AK327" s="1221">
        <f t="shared" si="646"/>
        <v>0</v>
      </c>
      <c r="AM327" s="596">
        <f ca="1">SUM((INDIRECT(AM$2&amp;(ROW())):INDIRECT(AM$3&amp;(ROW()))))</f>
        <v>0</v>
      </c>
      <c r="AN327" s="2002">
        <f ca="1">SUM(INDIRECT(AN$1&amp;AN$2&amp;$C327):INDIRECT(AN$1&amp;AN$3&amp;$C327))</f>
        <v>0</v>
      </c>
      <c r="AO327" s="2767">
        <f t="shared" ca="1" si="653"/>
        <v>0</v>
      </c>
      <c r="AP327" s="2768">
        <f t="shared" ca="1" si="595"/>
        <v>0</v>
      </c>
      <c r="AQ327" s="2002">
        <f ca="1">SUM(INDIRECT(AQ$1&amp;AQ$2&amp;$A327):INDIRECT(AQ$1&amp;AQ$3&amp;$A327))+SUM(INDIRECT(AQ$1&amp;AQ$2&amp;$B327):INDIRECT(AQ$1&amp;AQ$3&amp;$B327))</f>
        <v>0</v>
      </c>
      <c r="AR327" s="2767">
        <f t="shared" ca="1" si="535"/>
        <v>0</v>
      </c>
      <c r="AS327" s="2768">
        <f t="shared" ca="1" si="647"/>
        <v>0</v>
      </c>
      <c r="AU327" s="596">
        <f ca="1">SUM((INDIRECT(AU$2&amp;(ROW())):INDIRECT(AU$3&amp;(ROW()))))</f>
        <v>0</v>
      </c>
      <c r="AV327" s="2002">
        <f ca="1">SUM(INDIRECT(AV$1&amp;AV$2&amp;$C327):INDIRECT(AV$1&amp;AV$3&amp;$C327))</f>
        <v>0</v>
      </c>
      <c r="AW327" s="2767">
        <f t="shared" ca="1" si="598"/>
        <v>0</v>
      </c>
      <c r="AX327" s="2768">
        <f t="shared" ca="1" si="648"/>
        <v>0</v>
      </c>
      <c r="AY327" s="2002">
        <f ca="1">SUM(INDIRECT(AY$1&amp;AY$2&amp;$A327):INDIRECT(AY$1&amp;AY$3&amp;$A327))+SUM(INDIRECT(AY$1&amp;AY$2&amp;$B327):INDIRECT(AY$1&amp;AY$3&amp;$B327))</f>
        <v>0</v>
      </c>
      <c r="AZ327" s="2767">
        <f t="shared" ca="1" si="600"/>
        <v>0</v>
      </c>
      <c r="BA327" s="2768">
        <f t="shared" ca="1" si="649"/>
        <v>0</v>
      </c>
      <c r="BC327" s="596">
        <f ca="1">SUM((INDIRECT(BC$2&amp;(ROW())):INDIRECT(BC$3&amp;(ROW()))))</f>
        <v>0</v>
      </c>
      <c r="BD327" s="2002">
        <f ca="1">SUM(INDIRECT(BD$1&amp;BD$2&amp;$C327):INDIRECT(BD$1&amp;BD$3&amp;$C327))</f>
        <v>0</v>
      </c>
      <c r="BE327" s="2767">
        <f t="shared" ca="1" si="602"/>
        <v>0</v>
      </c>
      <c r="BF327" s="2768">
        <f t="shared" ca="1" si="650"/>
        <v>0</v>
      </c>
      <c r="BG327" s="2002">
        <f ca="1">SUM(INDIRECT(BG$1&amp;BG$2&amp;$A327):INDIRECT(BG$1&amp;BG$3&amp;$A327))+SUM(INDIRECT(BG$1&amp;BG$2&amp;$B327):INDIRECT(BG$1&amp;BG$3&amp;$B327))</f>
        <v>0</v>
      </c>
      <c r="BH327" s="2767">
        <f t="shared" ca="1" si="604"/>
        <v>0</v>
      </c>
      <c r="BI327" s="2768">
        <f t="shared" ca="1" si="651"/>
        <v>0</v>
      </c>
    </row>
    <row r="328" spans="1:61" ht="15" customHeight="1">
      <c r="A328" s="1693">
        <f t="shared" si="532"/>
        <v>328</v>
      </c>
      <c r="B328" s="616">
        <v>1</v>
      </c>
      <c r="C328" s="1693">
        <f t="shared" si="531"/>
        <v>328</v>
      </c>
      <c r="D328" s="616">
        <v>1</v>
      </c>
      <c r="E328" s="709" t="s">
        <v>512</v>
      </c>
      <c r="F328" s="1572"/>
      <c r="G328" s="330"/>
      <c r="H328" s="244"/>
      <c r="I328" s="4"/>
      <c r="J328" s="27"/>
      <c r="K328" s="3"/>
      <c r="L328" s="4"/>
      <c r="M328" s="4"/>
      <c r="N328" s="3" t="s">
        <v>375</v>
      </c>
      <c r="O328" s="3"/>
      <c r="P328" s="3"/>
      <c r="Q328" s="3"/>
      <c r="R328" s="1800" t="str">
        <f>CHOOSE(2, "6722000003247", "PL (4) Gross Profit ODP Digital Solution")</f>
        <v>PL (4) Gross Profit ODP Digital Solution</v>
      </c>
      <c r="S328" s="1553"/>
      <c r="T328" s="1222"/>
      <c r="U328" s="1222"/>
      <c r="V328" s="1222"/>
      <c r="W328" s="1222"/>
      <c r="X328" s="1222"/>
      <c r="Y328" s="1222"/>
      <c r="Z328" s="1222"/>
      <c r="AA328" s="1222"/>
      <c r="AB328" s="1222"/>
      <c r="AC328" s="1222"/>
      <c r="AD328" s="1222"/>
      <c r="AE328" s="1221">
        <f t="shared" si="640"/>
        <v>0</v>
      </c>
      <c r="AF328" s="1221">
        <f t="shared" si="641"/>
        <v>0</v>
      </c>
      <c r="AG328" s="1221">
        <f t="shared" si="642"/>
        <v>0</v>
      </c>
      <c r="AH328" s="1221">
        <f t="shared" si="643"/>
        <v>0</v>
      </c>
      <c r="AI328" s="1221">
        <f t="shared" si="644"/>
        <v>0</v>
      </c>
      <c r="AJ328" s="1221">
        <f t="shared" si="645"/>
        <v>0</v>
      </c>
      <c r="AK328" s="1221">
        <f t="shared" si="646"/>
        <v>0</v>
      </c>
      <c r="AM328" s="596">
        <f ca="1">SUM((INDIRECT(AM$2&amp;(ROW())):INDIRECT(AM$3&amp;(ROW()))))</f>
        <v>0</v>
      </c>
      <c r="AN328" s="2002">
        <f ca="1">SUM(INDIRECT(AN$1&amp;AN$2&amp;$C328):INDIRECT(AN$1&amp;AN$3&amp;$C328))</f>
        <v>0</v>
      </c>
      <c r="AO328" s="2767">
        <f t="shared" ca="1" si="653"/>
        <v>0</v>
      </c>
      <c r="AP328" s="2768">
        <f t="shared" ca="1" si="595"/>
        <v>0</v>
      </c>
      <c r="AQ328" s="2002">
        <f ca="1">SUM(INDIRECT(AQ$1&amp;AQ$2&amp;$A328):INDIRECT(AQ$1&amp;AQ$3&amp;$A328))+SUM(INDIRECT(AQ$1&amp;AQ$2&amp;$B328):INDIRECT(AQ$1&amp;AQ$3&amp;$B328))</f>
        <v>0</v>
      </c>
      <c r="AR328" s="2767">
        <f t="shared" ca="1" si="535"/>
        <v>0</v>
      </c>
      <c r="AS328" s="2768">
        <f t="shared" ca="1" si="647"/>
        <v>0</v>
      </c>
      <c r="AU328" s="596">
        <f ca="1">SUM((INDIRECT(AU$2&amp;(ROW())):INDIRECT(AU$3&amp;(ROW()))))</f>
        <v>0</v>
      </c>
      <c r="AV328" s="2002">
        <f ca="1">SUM(INDIRECT(AV$1&amp;AV$2&amp;$C328):INDIRECT(AV$1&amp;AV$3&amp;$C328))</f>
        <v>0</v>
      </c>
      <c r="AW328" s="2767">
        <f t="shared" ca="1" si="598"/>
        <v>0</v>
      </c>
      <c r="AX328" s="2768">
        <f t="shared" ca="1" si="648"/>
        <v>0</v>
      </c>
      <c r="AY328" s="2002">
        <f ca="1">SUM(INDIRECT(AY$1&amp;AY$2&amp;$A328):INDIRECT(AY$1&amp;AY$3&amp;$A328))+SUM(INDIRECT(AY$1&amp;AY$2&amp;$B328):INDIRECT(AY$1&amp;AY$3&amp;$B328))</f>
        <v>0</v>
      </c>
      <c r="AZ328" s="2767">
        <f t="shared" ca="1" si="600"/>
        <v>0</v>
      </c>
      <c r="BA328" s="2768">
        <f t="shared" ca="1" si="649"/>
        <v>0</v>
      </c>
      <c r="BC328" s="596">
        <f ca="1">SUM((INDIRECT(BC$2&amp;(ROW())):INDIRECT(BC$3&amp;(ROW()))))</f>
        <v>0</v>
      </c>
      <c r="BD328" s="2002">
        <f ca="1">SUM(INDIRECT(BD$1&amp;BD$2&amp;$C328):INDIRECT(BD$1&amp;BD$3&amp;$C328))</f>
        <v>0</v>
      </c>
      <c r="BE328" s="2767">
        <f t="shared" ca="1" si="602"/>
        <v>0</v>
      </c>
      <c r="BF328" s="2768">
        <f t="shared" ca="1" si="650"/>
        <v>0</v>
      </c>
      <c r="BG328" s="2002">
        <f ca="1">SUM(INDIRECT(BG$1&amp;BG$2&amp;$A328):INDIRECT(BG$1&amp;BG$3&amp;$A328))+SUM(INDIRECT(BG$1&amp;BG$2&amp;$B328):INDIRECT(BG$1&amp;BG$3&amp;$B328))</f>
        <v>0</v>
      </c>
      <c r="BH328" s="2767">
        <f t="shared" ca="1" si="604"/>
        <v>0</v>
      </c>
      <c r="BI328" s="2768">
        <f t="shared" ca="1" si="651"/>
        <v>0</v>
      </c>
    </row>
    <row r="329" spans="1:61" ht="15" customHeight="1">
      <c r="A329" s="1693">
        <f t="shared" si="532"/>
        <v>329</v>
      </c>
      <c r="B329" s="616">
        <v>1</v>
      </c>
      <c r="C329" s="1693">
        <f t="shared" si="531"/>
        <v>329</v>
      </c>
      <c r="D329" s="616">
        <v>1</v>
      </c>
      <c r="E329" s="709" t="s">
        <v>512</v>
      </c>
      <c r="F329" s="1572"/>
      <c r="G329" s="330"/>
      <c r="H329" s="244"/>
      <c r="I329" s="4"/>
      <c r="J329" s="27"/>
      <c r="K329" s="3"/>
      <c r="L329" s="4"/>
      <c r="M329" s="4"/>
      <c r="N329" s="3" t="s">
        <v>376</v>
      </c>
      <c r="O329" s="3"/>
      <c r="P329" s="3"/>
      <c r="Q329" s="3"/>
      <c r="R329" s="1800" t="str">
        <f>CHOOSE(2, "6722000003248", "PL (4) Gross Profit ODP ODP New Business")</f>
        <v>PL (4) Gross Profit ODP ODP New Business</v>
      </c>
      <c r="S329" s="1553"/>
      <c r="T329" s="1222"/>
      <c r="U329" s="1222"/>
      <c r="V329" s="1222"/>
      <c r="W329" s="1222"/>
      <c r="X329" s="1222"/>
      <c r="Y329" s="1222"/>
      <c r="Z329" s="1222"/>
      <c r="AA329" s="1222"/>
      <c r="AB329" s="1222"/>
      <c r="AC329" s="1222"/>
      <c r="AD329" s="1222"/>
      <c r="AE329" s="1221">
        <f t="shared" si="640"/>
        <v>0</v>
      </c>
      <c r="AF329" s="1221">
        <f t="shared" si="641"/>
        <v>0</v>
      </c>
      <c r="AG329" s="1221">
        <f t="shared" si="642"/>
        <v>0</v>
      </c>
      <c r="AH329" s="1221">
        <f t="shared" si="643"/>
        <v>0</v>
      </c>
      <c r="AI329" s="1221">
        <f t="shared" si="644"/>
        <v>0</v>
      </c>
      <c r="AJ329" s="1221">
        <f t="shared" si="645"/>
        <v>0</v>
      </c>
      <c r="AK329" s="1221">
        <f t="shared" si="646"/>
        <v>0</v>
      </c>
      <c r="AM329" s="596">
        <f ca="1">SUM((INDIRECT(AM$2&amp;(ROW())):INDIRECT(AM$3&amp;(ROW()))))</f>
        <v>0</v>
      </c>
      <c r="AN329" s="2002">
        <f ca="1">SUM(INDIRECT(AN$1&amp;AN$2&amp;$C329):INDIRECT(AN$1&amp;AN$3&amp;$C329))</f>
        <v>0</v>
      </c>
      <c r="AO329" s="2767">
        <f t="shared" ca="1" si="653"/>
        <v>0</v>
      </c>
      <c r="AP329" s="2768">
        <f t="shared" ca="1" si="595"/>
        <v>0</v>
      </c>
      <c r="AQ329" s="2002">
        <f ca="1">SUM(INDIRECT(AQ$1&amp;AQ$2&amp;$A329):INDIRECT(AQ$1&amp;AQ$3&amp;$A329))+SUM(INDIRECT(AQ$1&amp;AQ$2&amp;$B329):INDIRECT(AQ$1&amp;AQ$3&amp;$B329))</f>
        <v>0</v>
      </c>
      <c r="AR329" s="2767">
        <f t="shared" ca="1" si="535"/>
        <v>0</v>
      </c>
      <c r="AS329" s="2768">
        <f t="shared" ca="1" si="647"/>
        <v>0</v>
      </c>
      <c r="AU329" s="596">
        <f ca="1">SUM((INDIRECT(AU$2&amp;(ROW())):INDIRECT(AU$3&amp;(ROW()))))</f>
        <v>0</v>
      </c>
      <c r="AV329" s="2002">
        <f ca="1">SUM(INDIRECT(AV$1&amp;AV$2&amp;$C329):INDIRECT(AV$1&amp;AV$3&amp;$C329))</f>
        <v>0</v>
      </c>
      <c r="AW329" s="2767">
        <f t="shared" ca="1" si="598"/>
        <v>0</v>
      </c>
      <c r="AX329" s="2768">
        <f t="shared" ca="1" si="648"/>
        <v>0</v>
      </c>
      <c r="AY329" s="2002">
        <f ca="1">SUM(INDIRECT(AY$1&amp;AY$2&amp;$A329):INDIRECT(AY$1&amp;AY$3&amp;$A329))+SUM(INDIRECT(AY$1&amp;AY$2&amp;$B329):INDIRECT(AY$1&amp;AY$3&amp;$B329))</f>
        <v>0</v>
      </c>
      <c r="AZ329" s="2767">
        <f t="shared" ca="1" si="600"/>
        <v>0</v>
      </c>
      <c r="BA329" s="2768">
        <f t="shared" ca="1" si="649"/>
        <v>0</v>
      </c>
      <c r="BC329" s="596">
        <f ca="1">SUM((INDIRECT(BC$2&amp;(ROW())):INDIRECT(BC$3&amp;(ROW()))))</f>
        <v>0</v>
      </c>
      <c r="BD329" s="2002">
        <f ca="1">SUM(INDIRECT(BD$1&amp;BD$2&amp;$C329):INDIRECT(BD$1&amp;BD$3&amp;$C329))</f>
        <v>0</v>
      </c>
      <c r="BE329" s="2767">
        <f t="shared" ca="1" si="602"/>
        <v>0</v>
      </c>
      <c r="BF329" s="2768">
        <f t="shared" ca="1" si="650"/>
        <v>0</v>
      </c>
      <c r="BG329" s="2002">
        <f ca="1">SUM(INDIRECT(BG$1&amp;BG$2&amp;$A329):INDIRECT(BG$1&amp;BG$3&amp;$A329))+SUM(INDIRECT(BG$1&amp;BG$2&amp;$B329):INDIRECT(BG$1&amp;BG$3&amp;$B329))</f>
        <v>0</v>
      </c>
      <c r="BH329" s="2767">
        <f t="shared" ca="1" si="604"/>
        <v>0</v>
      </c>
      <c r="BI329" s="2768">
        <f t="shared" ca="1" si="651"/>
        <v>0</v>
      </c>
    </row>
    <row r="330" spans="1:61" ht="15" customHeight="1">
      <c r="A330" s="1693">
        <f t="shared" si="532"/>
        <v>330</v>
      </c>
      <c r="B330" s="616">
        <v>1</v>
      </c>
      <c r="C330" s="1693">
        <f t="shared" si="531"/>
        <v>330</v>
      </c>
      <c r="D330" s="616">
        <v>1</v>
      </c>
      <c r="E330" s="709" t="s">
        <v>512</v>
      </c>
      <c r="F330" s="1572"/>
      <c r="G330" s="8"/>
      <c r="H330" s="8"/>
      <c r="I330" s="4"/>
      <c r="J330" s="27"/>
      <c r="K330" s="3"/>
      <c r="L330" s="4"/>
      <c r="M330" s="4"/>
      <c r="N330" s="3" t="s">
        <v>251</v>
      </c>
      <c r="O330" s="3"/>
      <c r="P330" s="3"/>
      <c r="Q330" s="3"/>
      <c r="R330" s="1794" t="str">
        <f>CHOOSE(2, "6722000003249", "PL (4) Gross Profit ODP Fixed Cost in COGS")</f>
        <v>PL (4) Gross Profit ODP Fixed Cost in COGS</v>
      </c>
      <c r="S330" s="1564">
        <f>-S872</f>
        <v>0</v>
      </c>
      <c r="T330" s="1565">
        <f t="shared" ref="T330:AD330" si="654">-T872</f>
        <v>0</v>
      </c>
      <c r="U330" s="1565">
        <f t="shared" si="654"/>
        <v>0</v>
      </c>
      <c r="V330" s="1565">
        <f t="shared" si="654"/>
        <v>0</v>
      </c>
      <c r="W330" s="1565">
        <f t="shared" si="654"/>
        <v>0</v>
      </c>
      <c r="X330" s="1565">
        <f t="shared" si="654"/>
        <v>0</v>
      </c>
      <c r="Y330" s="1565">
        <f t="shared" si="654"/>
        <v>0</v>
      </c>
      <c r="Z330" s="1565">
        <f t="shared" si="654"/>
        <v>0</v>
      </c>
      <c r="AA330" s="1565">
        <f t="shared" si="654"/>
        <v>0</v>
      </c>
      <c r="AB330" s="1565">
        <f t="shared" si="654"/>
        <v>0</v>
      </c>
      <c r="AC330" s="1565">
        <f t="shared" si="654"/>
        <v>0</v>
      </c>
      <c r="AD330" s="1565">
        <f t="shared" si="654"/>
        <v>0</v>
      </c>
      <c r="AE330" s="1221">
        <f t="shared" si="640"/>
        <v>0</v>
      </c>
      <c r="AF330" s="1221">
        <f t="shared" si="641"/>
        <v>0</v>
      </c>
      <c r="AG330" s="1221">
        <f t="shared" si="642"/>
        <v>0</v>
      </c>
      <c r="AH330" s="1221">
        <f t="shared" si="643"/>
        <v>0</v>
      </c>
      <c r="AI330" s="1221">
        <f t="shared" si="644"/>
        <v>0</v>
      </c>
      <c r="AJ330" s="1221">
        <f t="shared" si="645"/>
        <v>0</v>
      </c>
      <c r="AK330" s="1221">
        <f t="shared" si="646"/>
        <v>0</v>
      </c>
      <c r="AM330" s="596">
        <f ca="1">SUM((INDIRECT(AM$2&amp;(ROW())):INDIRECT(AM$3&amp;(ROW()))))</f>
        <v>0</v>
      </c>
      <c r="AN330" s="2002">
        <f ca="1">SUM(INDIRECT(AN$1&amp;AN$2&amp;$C330):INDIRECT(AN$1&amp;AN$3&amp;$C330))</f>
        <v>0</v>
      </c>
      <c r="AO330" s="2767">
        <f t="shared" ca="1" si="653"/>
        <v>0</v>
      </c>
      <c r="AP330" s="2768">
        <f t="shared" ca="1" si="595"/>
        <v>0</v>
      </c>
      <c r="AQ330" s="2002">
        <f ca="1">SUM(INDIRECT(AQ$1&amp;AQ$2&amp;$A330):INDIRECT(AQ$1&amp;AQ$3&amp;$A330))+SUM(INDIRECT(AQ$1&amp;AQ$2&amp;$B330):INDIRECT(AQ$1&amp;AQ$3&amp;$B330))</f>
        <v>0</v>
      </c>
      <c r="AR330" s="2767">
        <f t="shared" ca="1" si="535"/>
        <v>0</v>
      </c>
      <c r="AS330" s="2768">
        <f t="shared" ca="1" si="647"/>
        <v>0</v>
      </c>
      <c r="AU330" s="596">
        <f ca="1">SUM((INDIRECT(AU$2&amp;(ROW())):INDIRECT(AU$3&amp;(ROW()))))</f>
        <v>0</v>
      </c>
      <c r="AV330" s="2002">
        <f ca="1">SUM(INDIRECT(AV$1&amp;AV$2&amp;$C330):INDIRECT(AV$1&amp;AV$3&amp;$C330))</f>
        <v>0</v>
      </c>
      <c r="AW330" s="2767">
        <f t="shared" ca="1" si="598"/>
        <v>0</v>
      </c>
      <c r="AX330" s="2768">
        <f t="shared" ca="1" si="648"/>
        <v>0</v>
      </c>
      <c r="AY330" s="2002">
        <f ca="1">SUM(INDIRECT(AY$1&amp;AY$2&amp;$A330):INDIRECT(AY$1&amp;AY$3&amp;$A330))+SUM(INDIRECT(AY$1&amp;AY$2&amp;$B330):INDIRECT(AY$1&amp;AY$3&amp;$B330))</f>
        <v>0</v>
      </c>
      <c r="AZ330" s="2767">
        <f t="shared" ca="1" si="600"/>
        <v>0</v>
      </c>
      <c r="BA330" s="2768">
        <f t="shared" ca="1" si="649"/>
        <v>0</v>
      </c>
      <c r="BC330" s="596">
        <f ca="1">SUM((INDIRECT(BC$2&amp;(ROW())):INDIRECT(BC$3&amp;(ROW()))))</f>
        <v>0</v>
      </c>
      <c r="BD330" s="2002">
        <f ca="1">SUM(INDIRECT(BD$1&amp;BD$2&amp;$C330):INDIRECT(BD$1&amp;BD$3&amp;$C330))</f>
        <v>0</v>
      </c>
      <c r="BE330" s="2767">
        <f t="shared" ca="1" si="602"/>
        <v>0</v>
      </c>
      <c r="BF330" s="2768">
        <f t="shared" ca="1" si="650"/>
        <v>0</v>
      </c>
      <c r="BG330" s="2002">
        <f ca="1">SUM(INDIRECT(BG$1&amp;BG$2&amp;$A330):INDIRECT(BG$1&amp;BG$3&amp;$A330))+SUM(INDIRECT(BG$1&amp;BG$2&amp;$B330):INDIRECT(BG$1&amp;BG$3&amp;$B330))</f>
        <v>0</v>
      </c>
      <c r="BH330" s="2767">
        <f t="shared" ca="1" si="604"/>
        <v>0</v>
      </c>
      <c r="BI330" s="2768">
        <f t="shared" ca="1" si="651"/>
        <v>0</v>
      </c>
    </row>
    <row r="331" spans="1:61" ht="14.5">
      <c r="A331" s="1693">
        <f t="shared" si="532"/>
        <v>331</v>
      </c>
      <c r="B331" s="616">
        <v>1</v>
      </c>
      <c r="C331" s="1693">
        <f t="shared" si="531"/>
        <v>331</v>
      </c>
      <c r="D331" s="616">
        <v>1</v>
      </c>
      <c r="E331" s="709" t="s">
        <v>512</v>
      </c>
      <c r="F331" s="1572"/>
      <c r="G331" s="4"/>
      <c r="H331" s="4"/>
      <c r="I331" s="4"/>
      <c r="J331" s="253" t="s">
        <v>29</v>
      </c>
      <c r="K331" s="254"/>
      <c r="L331" s="255"/>
      <c r="M331" s="255"/>
      <c r="N331" s="254"/>
      <c r="O331" s="254"/>
      <c r="P331" s="254"/>
      <c r="Q331" s="595"/>
      <c r="R331" s="1798" t="str">
        <f>CHOOSE(2, "6722000003250", "PL (4) SGA Expenses")</f>
        <v>PL (4) SGA Expenses</v>
      </c>
      <c r="S331" s="1560">
        <f>SUM(S332:S334)</f>
        <v>0</v>
      </c>
      <c r="T331" s="1561">
        <f t="shared" ref="T331:AD331" si="655">SUM(T332:T334)</f>
        <v>0</v>
      </c>
      <c r="U331" s="1561">
        <f t="shared" si="655"/>
        <v>0</v>
      </c>
      <c r="V331" s="1561">
        <f t="shared" si="655"/>
        <v>0</v>
      </c>
      <c r="W331" s="1561">
        <f t="shared" si="655"/>
        <v>0</v>
      </c>
      <c r="X331" s="1561">
        <f t="shared" si="655"/>
        <v>0</v>
      </c>
      <c r="Y331" s="1561">
        <f t="shared" si="655"/>
        <v>0</v>
      </c>
      <c r="Z331" s="1561">
        <f t="shared" si="655"/>
        <v>0</v>
      </c>
      <c r="AA331" s="1561">
        <f t="shared" si="655"/>
        <v>0</v>
      </c>
      <c r="AB331" s="1561">
        <f t="shared" si="655"/>
        <v>0</v>
      </c>
      <c r="AC331" s="1561">
        <f t="shared" si="655"/>
        <v>0</v>
      </c>
      <c r="AD331" s="1561">
        <f t="shared" si="655"/>
        <v>0</v>
      </c>
      <c r="AE331" s="550">
        <f t="shared" ref="AE331:AK331" si="656">SUM(AE332:AE334)</f>
        <v>0</v>
      </c>
      <c r="AF331" s="109">
        <f t="shared" si="656"/>
        <v>0</v>
      </c>
      <c r="AG331" s="109">
        <f t="shared" si="656"/>
        <v>0</v>
      </c>
      <c r="AH331" s="109">
        <f t="shared" si="656"/>
        <v>0</v>
      </c>
      <c r="AI331" s="109">
        <f t="shared" si="656"/>
        <v>0</v>
      </c>
      <c r="AJ331" s="109">
        <f t="shared" si="656"/>
        <v>0</v>
      </c>
      <c r="AK331" s="109">
        <f t="shared" si="656"/>
        <v>0</v>
      </c>
      <c r="AM331" s="2272">
        <f ca="1">SUM((INDIRECT(AM$2&amp;(ROW())):INDIRECT(AM$3&amp;(ROW()))))</f>
        <v>0</v>
      </c>
      <c r="AN331" s="2050">
        <f ca="1">SUM(INDIRECT(AN$1&amp;AN$2&amp;$C331):INDIRECT(AN$1&amp;AN$3&amp;$C331))</f>
        <v>0</v>
      </c>
      <c r="AO331" s="2815">
        <f t="shared" ca="1" si="653"/>
        <v>0</v>
      </c>
      <c r="AP331" s="2816">
        <f t="shared" ca="1" si="595"/>
        <v>0</v>
      </c>
      <c r="AQ331" s="2050">
        <f ca="1">SUM(INDIRECT(AQ$1&amp;AQ$2&amp;$A331):INDIRECT(AQ$1&amp;AQ$3&amp;$A331))+SUM(INDIRECT(AQ$1&amp;AQ$2&amp;$B331):INDIRECT(AQ$1&amp;AQ$3&amp;$B331))</f>
        <v>0</v>
      </c>
      <c r="AR331" s="2815">
        <f t="shared" ca="1" si="535"/>
        <v>0</v>
      </c>
      <c r="AS331" s="2816">
        <f t="shared" ca="1" si="647"/>
        <v>0</v>
      </c>
      <c r="AU331" s="2272">
        <f ca="1">SUM((INDIRECT(AU$2&amp;(ROW())):INDIRECT(AU$3&amp;(ROW()))))</f>
        <v>0</v>
      </c>
      <c r="AV331" s="2050">
        <f ca="1">SUM(INDIRECT(AV$1&amp;AV$2&amp;$C331):INDIRECT(AV$1&amp;AV$3&amp;$C331))</f>
        <v>0</v>
      </c>
      <c r="AW331" s="2815">
        <f t="shared" ca="1" si="598"/>
        <v>0</v>
      </c>
      <c r="AX331" s="2816">
        <f t="shared" ca="1" si="648"/>
        <v>0</v>
      </c>
      <c r="AY331" s="2050">
        <f ca="1">SUM(INDIRECT(AY$1&amp;AY$2&amp;$A331):INDIRECT(AY$1&amp;AY$3&amp;$A331))+SUM(INDIRECT(AY$1&amp;AY$2&amp;$B331):INDIRECT(AY$1&amp;AY$3&amp;$B331))</f>
        <v>0</v>
      </c>
      <c r="AZ331" s="2815">
        <f t="shared" ca="1" si="600"/>
        <v>0</v>
      </c>
      <c r="BA331" s="2816">
        <f t="shared" ca="1" si="649"/>
        <v>0</v>
      </c>
      <c r="BC331" s="2272">
        <f ca="1">SUM((INDIRECT(BC$2&amp;(ROW())):INDIRECT(BC$3&amp;(ROW()))))</f>
        <v>0</v>
      </c>
      <c r="BD331" s="2050">
        <f ca="1">SUM(INDIRECT(BD$1&amp;BD$2&amp;$C331):INDIRECT(BD$1&amp;BD$3&amp;$C331))</f>
        <v>0</v>
      </c>
      <c r="BE331" s="2815">
        <f t="shared" ca="1" si="602"/>
        <v>0</v>
      </c>
      <c r="BF331" s="2816">
        <f t="shared" ca="1" si="650"/>
        <v>0</v>
      </c>
      <c r="BG331" s="2050">
        <f ca="1">SUM(INDIRECT(BG$1&amp;BG$2&amp;$A331):INDIRECT(BG$1&amp;BG$3&amp;$A331))+SUM(INDIRECT(BG$1&amp;BG$2&amp;$B331):INDIRECT(BG$1&amp;BG$3&amp;$B331))</f>
        <v>0</v>
      </c>
      <c r="BH331" s="2815">
        <f t="shared" ca="1" si="604"/>
        <v>0</v>
      </c>
      <c r="BI331" s="2816">
        <f t="shared" ca="1" si="651"/>
        <v>0</v>
      </c>
    </row>
    <row r="332" spans="1:61" ht="14.5">
      <c r="A332" s="1693">
        <f t="shared" si="532"/>
        <v>332</v>
      </c>
      <c r="B332" s="616">
        <v>1</v>
      </c>
      <c r="C332" s="1693">
        <f t="shared" si="531"/>
        <v>332</v>
      </c>
      <c r="D332" s="616">
        <v>1</v>
      </c>
      <c r="E332" s="709" t="s">
        <v>512</v>
      </c>
      <c r="F332" s="1572"/>
      <c r="G332" s="4"/>
      <c r="H332" s="4"/>
      <c r="I332" s="4"/>
      <c r="J332" s="27"/>
      <c r="K332" s="36" t="s">
        <v>87</v>
      </c>
      <c r="L332" s="4"/>
      <c r="M332" s="4"/>
      <c r="N332" s="3"/>
      <c r="O332" s="3"/>
      <c r="P332" s="3"/>
      <c r="Q332" s="3"/>
      <c r="R332" s="1800" t="str">
        <f>CHOOSE(2, "6722000003251", "PL (4) SGA Expenses Variable Expenses")</f>
        <v>PL (4) SGA Expenses Variable Expenses</v>
      </c>
      <c r="S332" s="1553"/>
      <c r="T332" s="1222"/>
      <c r="U332" s="1222"/>
      <c r="V332" s="1222"/>
      <c r="W332" s="1222"/>
      <c r="X332" s="1222"/>
      <c r="Y332" s="1222"/>
      <c r="Z332" s="1222"/>
      <c r="AA332" s="1222"/>
      <c r="AB332" s="1222"/>
      <c r="AC332" s="1222"/>
      <c r="AD332" s="1222"/>
      <c r="AE332" s="1221">
        <f>SUM(S332,T332,U332)</f>
        <v>0</v>
      </c>
      <c r="AF332" s="1221">
        <f>SUM(V332,W332,X332)</f>
        <v>0</v>
      </c>
      <c r="AG332" s="1221">
        <f>SUM(Y332,Z332,AA332)</f>
        <v>0</v>
      </c>
      <c r="AH332" s="1221">
        <f>SUM(AB332,AC332,AD332)</f>
        <v>0</v>
      </c>
      <c r="AI332" s="1221">
        <f>AE332+AF332</f>
        <v>0</v>
      </c>
      <c r="AJ332" s="1221">
        <f>AH332+AG332</f>
        <v>0</v>
      </c>
      <c r="AK332" s="1221">
        <f>AI332+AJ332</f>
        <v>0</v>
      </c>
      <c r="AM332" s="596">
        <f ca="1">SUM((INDIRECT(AM$2&amp;(ROW())):INDIRECT(AM$3&amp;(ROW()))))</f>
        <v>0</v>
      </c>
      <c r="AN332" s="2002">
        <f ca="1">SUM(INDIRECT(AN$1&amp;AN$2&amp;$C332):INDIRECT(AN$1&amp;AN$3&amp;$C332))</f>
        <v>0</v>
      </c>
      <c r="AO332" s="2767">
        <f t="shared" ca="1" si="653"/>
        <v>0</v>
      </c>
      <c r="AP332" s="2768">
        <f t="shared" ca="1" si="595"/>
        <v>0</v>
      </c>
      <c r="AQ332" s="2002">
        <f ca="1">SUM(INDIRECT(AQ$1&amp;AQ$2&amp;$A332):INDIRECT(AQ$1&amp;AQ$3&amp;$A332))+SUM(INDIRECT(AQ$1&amp;AQ$2&amp;$B332):INDIRECT(AQ$1&amp;AQ$3&amp;$B332))</f>
        <v>0</v>
      </c>
      <c r="AR332" s="2767">
        <f t="shared" ca="1" si="535"/>
        <v>0</v>
      </c>
      <c r="AS332" s="2768">
        <f t="shared" ca="1" si="647"/>
        <v>0</v>
      </c>
      <c r="AU332" s="596">
        <f ca="1">SUM((INDIRECT(AU$2&amp;(ROW())):INDIRECT(AU$3&amp;(ROW()))))</f>
        <v>0</v>
      </c>
      <c r="AV332" s="2002">
        <f ca="1">SUM(INDIRECT(AV$1&amp;AV$2&amp;$C332):INDIRECT(AV$1&amp;AV$3&amp;$C332))</f>
        <v>0</v>
      </c>
      <c r="AW332" s="2767">
        <f t="shared" ca="1" si="598"/>
        <v>0</v>
      </c>
      <c r="AX332" s="2768">
        <f t="shared" ca="1" si="648"/>
        <v>0</v>
      </c>
      <c r="AY332" s="2002">
        <f ca="1">SUM(INDIRECT(AY$1&amp;AY$2&amp;$A332):INDIRECT(AY$1&amp;AY$3&amp;$A332))+SUM(INDIRECT(AY$1&amp;AY$2&amp;$B332):INDIRECT(AY$1&amp;AY$3&amp;$B332))</f>
        <v>0</v>
      </c>
      <c r="AZ332" s="2767">
        <f t="shared" ca="1" si="600"/>
        <v>0</v>
      </c>
      <c r="BA332" s="2768">
        <f t="shared" ca="1" si="649"/>
        <v>0</v>
      </c>
      <c r="BC332" s="596">
        <f ca="1">SUM((INDIRECT(BC$2&amp;(ROW())):INDIRECT(BC$3&amp;(ROW()))))</f>
        <v>0</v>
      </c>
      <c r="BD332" s="2002">
        <f ca="1">SUM(INDIRECT(BD$1&amp;BD$2&amp;$C332):INDIRECT(BD$1&amp;BD$3&amp;$C332))</f>
        <v>0</v>
      </c>
      <c r="BE332" s="2767">
        <f t="shared" ca="1" si="602"/>
        <v>0</v>
      </c>
      <c r="BF332" s="2768">
        <f t="shared" ca="1" si="650"/>
        <v>0</v>
      </c>
      <c r="BG332" s="2002">
        <f ca="1">SUM(INDIRECT(BG$1&amp;BG$2&amp;$A332):INDIRECT(BG$1&amp;BG$3&amp;$A332))+SUM(INDIRECT(BG$1&amp;BG$2&amp;$B332):INDIRECT(BG$1&amp;BG$3&amp;$B332))</f>
        <v>0</v>
      </c>
      <c r="BH332" s="2767">
        <f t="shared" ca="1" si="604"/>
        <v>0</v>
      </c>
      <c r="BI332" s="2768">
        <f t="shared" ca="1" si="651"/>
        <v>0</v>
      </c>
    </row>
    <row r="333" spans="1:61" ht="14.5">
      <c r="A333" s="1693">
        <f t="shared" si="532"/>
        <v>333</v>
      </c>
      <c r="B333" s="616">
        <v>1</v>
      </c>
      <c r="C333" s="1693">
        <f t="shared" si="531"/>
        <v>333</v>
      </c>
      <c r="D333" s="616">
        <v>1</v>
      </c>
      <c r="E333" s="709" t="s">
        <v>512</v>
      </c>
      <c r="F333" s="1572"/>
      <c r="G333" s="4"/>
      <c r="H333" s="4"/>
      <c r="I333" s="4"/>
      <c r="J333" s="27"/>
      <c r="K333" s="36" t="s">
        <v>88</v>
      </c>
      <c r="L333" s="4"/>
      <c r="M333" s="4"/>
      <c r="N333" s="3"/>
      <c r="O333" s="3"/>
      <c r="P333" s="3"/>
      <c r="Q333" s="3"/>
      <c r="R333" s="1800" t="str">
        <f>CHOOSE(2, "6722000003252", "PL (4) SGA Expenses Wages &amp; Salaries")</f>
        <v>PL (4) SGA Expenses Wages &amp; Salaries</v>
      </c>
      <c r="S333" s="1553"/>
      <c r="T333" s="1222"/>
      <c r="U333" s="1222"/>
      <c r="V333" s="1222"/>
      <c r="W333" s="1222"/>
      <c r="X333" s="1222"/>
      <c r="Y333" s="1222"/>
      <c r="Z333" s="1222"/>
      <c r="AA333" s="1222"/>
      <c r="AB333" s="1222"/>
      <c r="AC333" s="1222"/>
      <c r="AD333" s="1222"/>
      <c r="AE333" s="1221">
        <f>SUM(S333,T333,U333)</f>
        <v>0</v>
      </c>
      <c r="AF333" s="1221">
        <f>SUM(V333,W333,X333)</f>
        <v>0</v>
      </c>
      <c r="AG333" s="1221">
        <f>SUM(Y333,Z333,AA333)</f>
        <v>0</v>
      </c>
      <c r="AH333" s="1221">
        <f>SUM(AB333,AC333,AD333)</f>
        <v>0</v>
      </c>
      <c r="AI333" s="1221">
        <f>AE333+AF333</f>
        <v>0</v>
      </c>
      <c r="AJ333" s="1221">
        <f>AH333+AG333</f>
        <v>0</v>
      </c>
      <c r="AK333" s="1221">
        <f>AI333+AJ333</f>
        <v>0</v>
      </c>
      <c r="AM333" s="596">
        <f ca="1">SUM((INDIRECT(AM$2&amp;(ROW())):INDIRECT(AM$3&amp;(ROW()))))</f>
        <v>0</v>
      </c>
      <c r="AN333" s="2002">
        <f ca="1">SUM(INDIRECT(AN$1&amp;AN$2&amp;$C333):INDIRECT(AN$1&amp;AN$3&amp;$C333))</f>
        <v>0</v>
      </c>
      <c r="AO333" s="2767">
        <f t="shared" ca="1" si="653"/>
        <v>0</v>
      </c>
      <c r="AP333" s="2768">
        <f t="shared" ca="1" si="595"/>
        <v>0</v>
      </c>
      <c r="AQ333" s="2002">
        <f ca="1">SUM(INDIRECT(AQ$1&amp;AQ$2&amp;$A333):INDIRECT(AQ$1&amp;AQ$3&amp;$A333))+SUM(INDIRECT(AQ$1&amp;AQ$2&amp;$B333):INDIRECT(AQ$1&amp;AQ$3&amp;$B333))</f>
        <v>0</v>
      </c>
      <c r="AR333" s="2767">
        <f t="shared" ca="1" si="535"/>
        <v>0</v>
      </c>
      <c r="AS333" s="2768">
        <f t="shared" ca="1" si="647"/>
        <v>0</v>
      </c>
      <c r="AU333" s="596">
        <f ca="1">SUM((INDIRECT(AU$2&amp;(ROW())):INDIRECT(AU$3&amp;(ROW()))))</f>
        <v>0</v>
      </c>
      <c r="AV333" s="2002">
        <f ca="1">SUM(INDIRECT(AV$1&amp;AV$2&amp;$C333):INDIRECT(AV$1&amp;AV$3&amp;$C333))</f>
        <v>0</v>
      </c>
      <c r="AW333" s="2767">
        <f t="shared" ca="1" si="598"/>
        <v>0</v>
      </c>
      <c r="AX333" s="2768">
        <f t="shared" ca="1" si="648"/>
        <v>0</v>
      </c>
      <c r="AY333" s="2002">
        <f ca="1">SUM(INDIRECT(AY$1&amp;AY$2&amp;$A333):INDIRECT(AY$1&amp;AY$3&amp;$A333))+SUM(INDIRECT(AY$1&amp;AY$2&amp;$B333):INDIRECT(AY$1&amp;AY$3&amp;$B333))</f>
        <v>0</v>
      </c>
      <c r="AZ333" s="2767">
        <f t="shared" ca="1" si="600"/>
        <v>0</v>
      </c>
      <c r="BA333" s="2768">
        <f t="shared" ca="1" si="649"/>
        <v>0</v>
      </c>
      <c r="BC333" s="596">
        <f ca="1">SUM((INDIRECT(BC$2&amp;(ROW())):INDIRECT(BC$3&amp;(ROW()))))</f>
        <v>0</v>
      </c>
      <c r="BD333" s="2002">
        <f ca="1">SUM(INDIRECT(BD$1&amp;BD$2&amp;$C333):INDIRECT(BD$1&amp;BD$3&amp;$C333))</f>
        <v>0</v>
      </c>
      <c r="BE333" s="2767">
        <f t="shared" ca="1" si="602"/>
        <v>0</v>
      </c>
      <c r="BF333" s="2768">
        <f t="shared" ca="1" si="650"/>
        <v>0</v>
      </c>
      <c r="BG333" s="2002">
        <f ca="1">SUM(INDIRECT(BG$1&amp;BG$2&amp;$A333):INDIRECT(BG$1&amp;BG$3&amp;$A333))+SUM(INDIRECT(BG$1&amp;BG$2&amp;$B333):INDIRECT(BG$1&amp;BG$3&amp;$B333))</f>
        <v>0</v>
      </c>
      <c r="BH333" s="2767">
        <f t="shared" ca="1" si="604"/>
        <v>0</v>
      </c>
      <c r="BI333" s="2768">
        <f t="shared" ca="1" si="651"/>
        <v>0</v>
      </c>
    </row>
    <row r="334" spans="1:61" ht="14.5">
      <c r="A334" s="1693">
        <f t="shared" si="532"/>
        <v>334</v>
      </c>
      <c r="B334" s="616">
        <v>1</v>
      </c>
      <c r="C334" s="1693">
        <f t="shared" si="531"/>
        <v>334</v>
      </c>
      <c r="D334" s="616">
        <v>1</v>
      </c>
      <c r="E334" s="709" t="s">
        <v>512</v>
      </c>
      <c r="F334" s="1572"/>
      <c r="G334" s="4"/>
      <c r="H334" s="4"/>
      <c r="I334" s="4"/>
      <c r="J334" s="27"/>
      <c r="K334" s="36" t="s">
        <v>89</v>
      </c>
      <c r="L334" s="4"/>
      <c r="M334" s="4"/>
      <c r="N334" s="3"/>
      <c r="O334" s="3"/>
      <c r="P334" s="3"/>
      <c r="Q334" s="3"/>
      <c r="R334" s="1800" t="str">
        <f>CHOOSE(2, "6722000003253", "PL (4) SGA Expenses Fixed Expenses")</f>
        <v>PL (4) SGA Expenses Fixed Expenses</v>
      </c>
      <c r="S334" s="1553"/>
      <c r="T334" s="1222"/>
      <c r="U334" s="1222"/>
      <c r="V334" s="1222"/>
      <c r="W334" s="1222"/>
      <c r="X334" s="1222"/>
      <c r="Y334" s="1222"/>
      <c r="Z334" s="1222"/>
      <c r="AA334" s="1222"/>
      <c r="AB334" s="1222"/>
      <c r="AC334" s="1222"/>
      <c r="AD334" s="1222"/>
      <c r="AE334" s="1221">
        <f>SUM(S334,T334,U334)</f>
        <v>0</v>
      </c>
      <c r="AF334" s="1221">
        <f>SUM(V334,W334,X334)</f>
        <v>0</v>
      </c>
      <c r="AG334" s="1221">
        <f>SUM(Y334,Z334,AA334)</f>
        <v>0</v>
      </c>
      <c r="AH334" s="1221">
        <f>SUM(AB334,AC334,AD334)</f>
        <v>0</v>
      </c>
      <c r="AI334" s="1221">
        <f>AE334+AF334</f>
        <v>0</v>
      </c>
      <c r="AJ334" s="1221">
        <f>AH334+AG334</f>
        <v>0</v>
      </c>
      <c r="AK334" s="1221">
        <f>AI334+AJ334</f>
        <v>0</v>
      </c>
      <c r="AM334" s="596">
        <f ca="1">SUM((INDIRECT(AM$2&amp;(ROW())):INDIRECT(AM$3&amp;(ROW()))))</f>
        <v>0</v>
      </c>
      <c r="AN334" s="2002">
        <f ca="1">SUM(INDIRECT(AN$1&amp;AN$2&amp;$C334):INDIRECT(AN$1&amp;AN$3&amp;$C334))</f>
        <v>0</v>
      </c>
      <c r="AO334" s="2767">
        <f t="shared" ca="1" si="653"/>
        <v>0</v>
      </c>
      <c r="AP334" s="2768">
        <f t="shared" ca="1" si="595"/>
        <v>0</v>
      </c>
      <c r="AQ334" s="2002">
        <f ca="1">SUM(INDIRECT(AQ$1&amp;AQ$2&amp;$A334):INDIRECT(AQ$1&amp;AQ$3&amp;$A334))+SUM(INDIRECT(AQ$1&amp;AQ$2&amp;$B334):INDIRECT(AQ$1&amp;AQ$3&amp;$B334))</f>
        <v>0</v>
      </c>
      <c r="AR334" s="2767">
        <f t="shared" ca="1" si="535"/>
        <v>0</v>
      </c>
      <c r="AS334" s="2768">
        <f t="shared" ca="1" si="647"/>
        <v>0</v>
      </c>
      <c r="AU334" s="596">
        <f ca="1">SUM((INDIRECT(AU$2&amp;(ROW())):INDIRECT(AU$3&amp;(ROW()))))</f>
        <v>0</v>
      </c>
      <c r="AV334" s="2002">
        <f ca="1">SUM(INDIRECT(AV$1&amp;AV$2&amp;$C334):INDIRECT(AV$1&amp;AV$3&amp;$C334))</f>
        <v>0</v>
      </c>
      <c r="AW334" s="2767">
        <f t="shared" ca="1" si="598"/>
        <v>0</v>
      </c>
      <c r="AX334" s="2768">
        <f t="shared" ca="1" si="648"/>
        <v>0</v>
      </c>
      <c r="AY334" s="2002">
        <f ca="1">SUM(INDIRECT(AY$1&amp;AY$2&amp;$A334):INDIRECT(AY$1&amp;AY$3&amp;$A334))+SUM(INDIRECT(AY$1&amp;AY$2&amp;$B334):INDIRECT(AY$1&amp;AY$3&amp;$B334))</f>
        <v>0</v>
      </c>
      <c r="AZ334" s="2767">
        <f t="shared" ca="1" si="600"/>
        <v>0</v>
      </c>
      <c r="BA334" s="2768">
        <f t="shared" ca="1" si="649"/>
        <v>0</v>
      </c>
      <c r="BC334" s="596">
        <f ca="1">SUM((INDIRECT(BC$2&amp;(ROW())):INDIRECT(BC$3&amp;(ROW()))))</f>
        <v>0</v>
      </c>
      <c r="BD334" s="2002">
        <f ca="1">SUM(INDIRECT(BD$1&amp;BD$2&amp;$C334):INDIRECT(BD$1&amp;BD$3&amp;$C334))</f>
        <v>0</v>
      </c>
      <c r="BE334" s="2767">
        <f t="shared" ca="1" si="602"/>
        <v>0</v>
      </c>
      <c r="BF334" s="2768">
        <f t="shared" ca="1" si="650"/>
        <v>0</v>
      </c>
      <c r="BG334" s="2002">
        <f ca="1">SUM(INDIRECT(BG$1&amp;BG$2&amp;$A334):INDIRECT(BG$1&amp;BG$3&amp;$A334))+SUM(INDIRECT(BG$1&amp;BG$2&amp;$B334):INDIRECT(BG$1&amp;BG$3&amp;$B334))</f>
        <v>0</v>
      </c>
      <c r="BH334" s="2767">
        <f t="shared" ca="1" si="604"/>
        <v>0</v>
      </c>
      <c r="BI334" s="2768">
        <f t="shared" ca="1" si="651"/>
        <v>0</v>
      </c>
    </row>
    <row r="335" spans="1:61" ht="14.5">
      <c r="A335" s="1693">
        <f t="shared" si="532"/>
        <v>335</v>
      </c>
      <c r="B335" s="616">
        <v>1</v>
      </c>
      <c r="C335" s="1693">
        <f t="shared" ref="C335:C398" si="657">C334+1</f>
        <v>335</v>
      </c>
      <c r="D335" s="616">
        <v>1</v>
      </c>
      <c r="E335" s="709" t="s">
        <v>512</v>
      </c>
      <c r="F335" s="1572"/>
      <c r="G335" s="4"/>
      <c r="H335" s="4"/>
      <c r="I335" s="4"/>
      <c r="J335" s="112" t="s">
        <v>56</v>
      </c>
      <c r="K335" s="111"/>
      <c r="L335" s="110"/>
      <c r="M335" s="110"/>
      <c r="N335" s="110"/>
      <c r="O335" s="110"/>
      <c r="P335" s="110"/>
      <c r="Q335" s="867"/>
      <c r="R335" s="1798" t="str">
        <f>CHOOSE(2, "6722000003254", "PL (4) Business Contribution Profit")</f>
        <v>PL (4) Business Contribution Profit</v>
      </c>
      <c r="S335" s="1560">
        <f t="shared" ref="S335:AD335" si="658">S310-S331</f>
        <v>0</v>
      </c>
      <c r="T335" s="1561">
        <f t="shared" si="658"/>
        <v>0</v>
      </c>
      <c r="U335" s="1561">
        <f t="shared" si="658"/>
        <v>0</v>
      </c>
      <c r="V335" s="1561">
        <f t="shared" si="658"/>
        <v>0</v>
      </c>
      <c r="W335" s="1561">
        <f t="shared" si="658"/>
        <v>0</v>
      </c>
      <c r="X335" s="1561">
        <f t="shared" si="658"/>
        <v>0</v>
      </c>
      <c r="Y335" s="1561">
        <f t="shared" si="658"/>
        <v>0</v>
      </c>
      <c r="Z335" s="1561">
        <f t="shared" si="658"/>
        <v>0</v>
      </c>
      <c r="AA335" s="1561">
        <f t="shared" si="658"/>
        <v>0</v>
      </c>
      <c r="AB335" s="1561">
        <f t="shared" si="658"/>
        <v>0</v>
      </c>
      <c r="AC335" s="1561">
        <f t="shared" si="658"/>
        <v>0</v>
      </c>
      <c r="AD335" s="1561">
        <f t="shared" si="658"/>
        <v>0</v>
      </c>
      <c r="AE335" s="550">
        <f t="shared" ref="AE335:AK335" si="659">AE310-AE331</f>
        <v>0</v>
      </c>
      <c r="AF335" s="109">
        <f t="shared" si="659"/>
        <v>0</v>
      </c>
      <c r="AG335" s="109">
        <f t="shared" si="659"/>
        <v>0</v>
      </c>
      <c r="AH335" s="109">
        <f t="shared" si="659"/>
        <v>0</v>
      </c>
      <c r="AI335" s="109">
        <f t="shared" si="659"/>
        <v>0</v>
      </c>
      <c r="AJ335" s="109">
        <f t="shared" si="659"/>
        <v>0</v>
      </c>
      <c r="AK335" s="109">
        <f t="shared" si="659"/>
        <v>0</v>
      </c>
      <c r="AM335" s="2272">
        <f ca="1">SUM((INDIRECT(AM$2&amp;(ROW())):INDIRECT(AM$3&amp;(ROW()))))</f>
        <v>0</v>
      </c>
      <c r="AN335" s="2050">
        <f ca="1">SUM(INDIRECT(AN$1&amp;AN$2&amp;$C335):INDIRECT(AN$1&amp;AN$3&amp;$C335))</f>
        <v>0</v>
      </c>
      <c r="AO335" s="2815">
        <f t="shared" ca="1" si="653"/>
        <v>0</v>
      </c>
      <c r="AP335" s="2816">
        <f t="shared" ca="1" si="595"/>
        <v>0</v>
      </c>
      <c r="AQ335" s="2050">
        <f ca="1">SUM(INDIRECT(AQ$1&amp;AQ$2&amp;$A335):INDIRECT(AQ$1&amp;AQ$3&amp;$A335))+SUM(INDIRECT(AQ$1&amp;AQ$2&amp;$B335):INDIRECT(AQ$1&amp;AQ$3&amp;$B335))</f>
        <v>0</v>
      </c>
      <c r="AR335" s="2815">
        <f t="shared" ca="1" si="535"/>
        <v>0</v>
      </c>
      <c r="AS335" s="2816">
        <f t="shared" ca="1" si="647"/>
        <v>0</v>
      </c>
      <c r="AU335" s="2272">
        <f ca="1">SUM((INDIRECT(AU$2&amp;(ROW())):INDIRECT(AU$3&amp;(ROW()))))</f>
        <v>0</v>
      </c>
      <c r="AV335" s="2050">
        <f ca="1">SUM(INDIRECT(AV$1&amp;AV$2&amp;$C335):INDIRECT(AV$1&amp;AV$3&amp;$C335))</f>
        <v>0</v>
      </c>
      <c r="AW335" s="2815">
        <f t="shared" ca="1" si="598"/>
        <v>0</v>
      </c>
      <c r="AX335" s="2816">
        <f t="shared" ca="1" si="648"/>
        <v>0</v>
      </c>
      <c r="AY335" s="2050">
        <f ca="1">SUM(INDIRECT(AY$1&amp;AY$2&amp;$A335):INDIRECT(AY$1&amp;AY$3&amp;$A335))+SUM(INDIRECT(AY$1&amp;AY$2&amp;$B335):INDIRECT(AY$1&amp;AY$3&amp;$B335))</f>
        <v>0</v>
      </c>
      <c r="AZ335" s="2815">
        <f t="shared" ca="1" si="600"/>
        <v>0</v>
      </c>
      <c r="BA335" s="2816">
        <f t="shared" ca="1" si="649"/>
        <v>0</v>
      </c>
      <c r="BC335" s="2272">
        <f ca="1">SUM((INDIRECT(BC$2&amp;(ROW())):INDIRECT(BC$3&amp;(ROW()))))</f>
        <v>0</v>
      </c>
      <c r="BD335" s="2050">
        <f ca="1">SUM(INDIRECT(BD$1&amp;BD$2&amp;$C335):INDIRECT(BD$1&amp;BD$3&amp;$C335))</f>
        <v>0</v>
      </c>
      <c r="BE335" s="2815">
        <f t="shared" ca="1" si="602"/>
        <v>0</v>
      </c>
      <c r="BF335" s="2816">
        <f t="shared" ca="1" si="650"/>
        <v>0</v>
      </c>
      <c r="BG335" s="2050">
        <f ca="1">SUM(INDIRECT(BG$1&amp;BG$2&amp;$A335):INDIRECT(BG$1&amp;BG$3&amp;$A335))+SUM(INDIRECT(BG$1&amp;BG$2&amp;$B335):INDIRECT(BG$1&amp;BG$3&amp;$B335))</f>
        <v>0</v>
      </c>
      <c r="BH335" s="2815">
        <f t="shared" ca="1" si="604"/>
        <v>0</v>
      </c>
      <c r="BI335" s="2816">
        <f t="shared" ca="1" si="651"/>
        <v>0</v>
      </c>
    </row>
    <row r="336" spans="1:61" ht="14.5">
      <c r="A336" s="1693">
        <f t="shared" ref="A336:A399" si="660">A335+1</f>
        <v>336</v>
      </c>
      <c r="B336" s="616">
        <v>1</v>
      </c>
      <c r="C336" s="1693">
        <f t="shared" si="657"/>
        <v>336</v>
      </c>
      <c r="D336" s="616">
        <v>1</v>
      </c>
      <c r="E336" s="709" t="s">
        <v>512</v>
      </c>
      <c r="F336" s="1572"/>
      <c r="G336" s="4"/>
      <c r="H336" s="4"/>
      <c r="I336" s="4"/>
      <c r="J336" s="25"/>
      <c r="K336" s="511" t="s">
        <v>55</v>
      </c>
      <c r="L336" s="2"/>
      <c r="M336" s="2"/>
      <c r="N336" s="1"/>
      <c r="O336" s="1"/>
      <c r="P336" s="1"/>
      <c r="Q336" s="1"/>
      <c r="R336" s="1792" t="str">
        <f>CHOOSE(2, "6722000003255", "PL (4) Business Contribution Profit (%)")</f>
        <v>PL (4) Business Contribution Profit (%)</v>
      </c>
      <c r="S336" s="1323">
        <f t="shared" ref="S336:AD336" si="661">IFERROR(S335/S290,0)</f>
        <v>0</v>
      </c>
      <c r="T336" s="1322">
        <f t="shared" si="661"/>
        <v>0</v>
      </c>
      <c r="U336" s="1322">
        <f t="shared" si="661"/>
        <v>0</v>
      </c>
      <c r="V336" s="1322">
        <f t="shared" si="661"/>
        <v>0</v>
      </c>
      <c r="W336" s="1322">
        <f t="shared" si="661"/>
        <v>0</v>
      </c>
      <c r="X336" s="1322">
        <f t="shared" si="661"/>
        <v>0</v>
      </c>
      <c r="Y336" s="1322">
        <f t="shared" si="661"/>
        <v>0</v>
      </c>
      <c r="Z336" s="1322">
        <f t="shared" si="661"/>
        <v>0</v>
      </c>
      <c r="AA336" s="1322">
        <f t="shared" si="661"/>
        <v>0</v>
      </c>
      <c r="AB336" s="1322">
        <f t="shared" si="661"/>
        <v>0</v>
      </c>
      <c r="AC336" s="1322">
        <f t="shared" si="661"/>
        <v>0</v>
      </c>
      <c r="AD336" s="1322">
        <f t="shared" si="661"/>
        <v>0</v>
      </c>
      <c r="AE336" s="1322">
        <f t="shared" ref="AE336:AK336" si="662">IFERROR(AE335/AE290,0)</f>
        <v>0</v>
      </c>
      <c r="AF336" s="1322">
        <f t="shared" si="662"/>
        <v>0</v>
      </c>
      <c r="AG336" s="1322">
        <f t="shared" si="662"/>
        <v>0</v>
      </c>
      <c r="AH336" s="1322">
        <f t="shared" si="662"/>
        <v>0</v>
      </c>
      <c r="AI336" s="1322">
        <f t="shared" si="662"/>
        <v>0</v>
      </c>
      <c r="AJ336" s="1322">
        <f t="shared" si="662"/>
        <v>0</v>
      </c>
      <c r="AK336" s="1322">
        <f t="shared" si="662"/>
        <v>0</v>
      </c>
      <c r="AL336" s="504"/>
      <c r="AM336" s="1323">
        <f t="shared" ref="AM336:AQ336" ca="1" si="663">IFERROR(AM335/AM290,0)</f>
        <v>0</v>
      </c>
      <c r="AN336" s="1322">
        <f t="shared" ca="1" si="663"/>
        <v>0</v>
      </c>
      <c r="AO336" s="1322">
        <f t="shared" ca="1" si="653"/>
        <v>0</v>
      </c>
      <c r="AP336" s="2802"/>
      <c r="AQ336" s="1322">
        <f t="shared" ca="1" si="663"/>
        <v>0</v>
      </c>
      <c r="AR336" s="1322">
        <f t="shared" ca="1" si="535"/>
        <v>0</v>
      </c>
      <c r="AS336" s="2802"/>
      <c r="AT336" s="504"/>
      <c r="AU336" s="1323">
        <f ca="1">IFERROR(AU335/AU290,0)</f>
        <v>0</v>
      </c>
      <c r="AV336" s="1322">
        <f ca="1">IFERROR(AV335/AV290,0)</f>
        <v>0</v>
      </c>
      <c r="AW336" s="1322">
        <f t="shared" ca="1" si="598"/>
        <v>0</v>
      </c>
      <c r="AX336" s="2802"/>
      <c r="AY336" s="1322">
        <f ca="1">IFERROR(AY335/AY290,0)</f>
        <v>0</v>
      </c>
      <c r="AZ336" s="1322">
        <f t="shared" ca="1" si="600"/>
        <v>0</v>
      </c>
      <c r="BA336" s="2802"/>
      <c r="BB336" s="504"/>
      <c r="BC336" s="1323">
        <f ca="1">IFERROR(BC335/BC290,0)</f>
        <v>0</v>
      </c>
      <c r="BD336" s="1322">
        <f ca="1">IFERROR(BD335/BD290,0)</f>
        <v>0</v>
      </c>
      <c r="BE336" s="1322">
        <f t="shared" ca="1" si="602"/>
        <v>0</v>
      </c>
      <c r="BF336" s="2802"/>
      <c r="BG336" s="1322">
        <f ca="1">IFERROR(BG335/BG290,0)</f>
        <v>0</v>
      </c>
      <c r="BH336" s="1322">
        <f t="shared" ca="1" si="604"/>
        <v>0</v>
      </c>
      <c r="BI336" s="2802"/>
    </row>
    <row r="337" spans="1:61" ht="14.5">
      <c r="A337" s="1693">
        <f t="shared" si="660"/>
        <v>337</v>
      </c>
      <c r="B337" s="616">
        <v>1</v>
      </c>
      <c r="C337" s="1693">
        <f t="shared" si="657"/>
        <v>337</v>
      </c>
      <c r="D337" s="616">
        <v>1</v>
      </c>
      <c r="E337" s="709" t="s">
        <v>512</v>
      </c>
      <c r="F337" s="1572"/>
      <c r="G337" s="4"/>
      <c r="H337" s="4"/>
      <c r="I337" s="4"/>
      <c r="J337" s="53" t="s">
        <v>91</v>
      </c>
      <c r="K337" s="51"/>
      <c r="L337" s="52"/>
      <c r="M337" s="52"/>
      <c r="N337" s="51"/>
      <c r="O337" s="51"/>
      <c r="P337" s="51"/>
      <c r="Q337" s="447"/>
      <c r="R337" s="1800" t="str">
        <f>CHOOSE(2, "6722000003256", "PL (4) Other Income")</f>
        <v>PL (4) Other Income</v>
      </c>
      <c r="S337" s="1383"/>
      <c r="T337" s="1197"/>
      <c r="U337" s="1197"/>
      <c r="V337" s="1197"/>
      <c r="W337" s="1197"/>
      <c r="X337" s="1197"/>
      <c r="Y337" s="1197"/>
      <c r="Z337" s="1197"/>
      <c r="AA337" s="1197"/>
      <c r="AB337" s="1197"/>
      <c r="AC337" s="1197"/>
      <c r="AD337" s="1197"/>
      <c r="AE337" s="883">
        <f>SUM(S337,T337,U337)</f>
        <v>0</v>
      </c>
      <c r="AF337" s="107">
        <f>SUM(V337,W337,X337)</f>
        <v>0</v>
      </c>
      <c r="AG337" s="107">
        <f>SUM(Y337,Z337,AA337)</f>
        <v>0</v>
      </c>
      <c r="AH337" s="107">
        <f>SUM(AB337,AC337,AD337)</f>
        <v>0</v>
      </c>
      <c r="AI337" s="107">
        <f>AE337+AF337</f>
        <v>0</v>
      </c>
      <c r="AJ337" s="107">
        <f>AH337+AG337</f>
        <v>0</v>
      </c>
      <c r="AK337" s="107">
        <f>AI337+AJ337</f>
        <v>0</v>
      </c>
      <c r="AM337" s="2471">
        <f ca="1">SUM((INDIRECT(AM$2&amp;(ROW())):INDIRECT(AM$3&amp;(ROW()))))</f>
        <v>0</v>
      </c>
      <c r="AN337" s="1978">
        <f ca="1">SUM(INDIRECT(AN$1&amp;AN$2&amp;$C337):INDIRECT(AN$1&amp;AN$3&amp;$C337))</f>
        <v>0</v>
      </c>
      <c r="AO337" s="2782">
        <f t="shared" ca="1" si="653"/>
        <v>0</v>
      </c>
      <c r="AP337" s="2783">
        <f t="shared" ca="1" si="595"/>
        <v>0</v>
      </c>
      <c r="AQ337" s="1978">
        <f ca="1">SUM(INDIRECT(AQ$1&amp;AQ$2&amp;$A337):INDIRECT(AQ$1&amp;AQ$3&amp;$A337))+SUM(INDIRECT(AQ$1&amp;AQ$2&amp;$B337):INDIRECT(AQ$1&amp;AQ$3&amp;$B337))</f>
        <v>0</v>
      </c>
      <c r="AR337" s="2782">
        <f t="shared" ca="1" si="535"/>
        <v>0</v>
      </c>
      <c r="AS337" s="2783">
        <f t="shared" ref="AS337:AS339" ca="1" si="664">IFERROR(AM337/AQ337,0)</f>
        <v>0</v>
      </c>
      <c r="AU337" s="2471">
        <f ca="1">SUM((INDIRECT(AU$2&amp;(ROW())):INDIRECT(AU$3&amp;(ROW()))))</f>
        <v>0</v>
      </c>
      <c r="AV337" s="1978">
        <f ca="1">SUM(INDIRECT(AV$1&amp;AV$2&amp;$C337):INDIRECT(AV$1&amp;AV$3&amp;$C337))</f>
        <v>0</v>
      </c>
      <c r="AW337" s="2782">
        <f t="shared" ca="1" si="598"/>
        <v>0</v>
      </c>
      <c r="AX337" s="2783">
        <f t="shared" ref="AX337:AX339" ca="1" si="665">IFERROR(AU337/AV337,0)</f>
        <v>0</v>
      </c>
      <c r="AY337" s="1978">
        <f ca="1">SUM(INDIRECT(AY$1&amp;AY$2&amp;$A337):INDIRECT(AY$1&amp;AY$3&amp;$A337))+SUM(INDIRECT(AY$1&amp;AY$2&amp;$B337):INDIRECT(AY$1&amp;AY$3&amp;$B337))</f>
        <v>0</v>
      </c>
      <c r="AZ337" s="2782">
        <f t="shared" ca="1" si="600"/>
        <v>0</v>
      </c>
      <c r="BA337" s="2783">
        <f t="shared" ref="BA337:BA339" ca="1" si="666">IFERROR(AU337/AY337,0)</f>
        <v>0</v>
      </c>
      <c r="BC337" s="2471">
        <f ca="1">SUM((INDIRECT(BC$2&amp;(ROW())):INDIRECT(BC$3&amp;(ROW()))))</f>
        <v>0</v>
      </c>
      <c r="BD337" s="1978">
        <f ca="1">SUM(INDIRECT(BD$1&amp;BD$2&amp;$C337):INDIRECT(BD$1&amp;BD$3&amp;$C337))</f>
        <v>0</v>
      </c>
      <c r="BE337" s="2782">
        <f t="shared" ca="1" si="602"/>
        <v>0</v>
      </c>
      <c r="BF337" s="2783">
        <f t="shared" ref="BF337:BF339" ca="1" si="667">IFERROR(BC337/BD337,0)</f>
        <v>0</v>
      </c>
      <c r="BG337" s="1978">
        <f ca="1">SUM(INDIRECT(BG$1&amp;BG$2&amp;$A337):INDIRECT(BG$1&amp;BG$3&amp;$A337))+SUM(INDIRECT(BG$1&amp;BG$2&amp;$B337):INDIRECT(BG$1&amp;BG$3&amp;$B337))</f>
        <v>0</v>
      </c>
      <c r="BH337" s="2782">
        <f t="shared" ca="1" si="604"/>
        <v>0</v>
      </c>
      <c r="BI337" s="2783">
        <f t="shared" ref="BI337:BI339" ca="1" si="668">IFERROR(BC337/BG337,0)</f>
        <v>0</v>
      </c>
    </row>
    <row r="338" spans="1:61" ht="14.5">
      <c r="A338" s="1693">
        <f t="shared" si="660"/>
        <v>338</v>
      </c>
      <c r="B338" s="616">
        <v>1</v>
      </c>
      <c r="C338" s="1693">
        <f t="shared" si="657"/>
        <v>338</v>
      </c>
      <c r="D338" s="616">
        <v>1</v>
      </c>
      <c r="E338" s="709" t="s">
        <v>512</v>
      </c>
      <c r="F338" s="1572"/>
      <c r="G338" s="4"/>
      <c r="H338" s="4"/>
      <c r="I338" s="4"/>
      <c r="J338" s="106" t="s">
        <v>73</v>
      </c>
      <c r="K338" s="104"/>
      <c r="L338" s="105"/>
      <c r="M338" s="105"/>
      <c r="N338" s="104"/>
      <c r="O338" s="104"/>
      <c r="P338" s="104"/>
      <c r="Q338" s="104"/>
      <c r="R338" s="1800" t="str">
        <f>CHOOSE(2, "6722000003257", "PL (4) Other Expenses")</f>
        <v>PL (4) Other Expenses</v>
      </c>
      <c r="S338" s="1555"/>
      <c r="T338" s="1216"/>
      <c r="U338" s="1216"/>
      <c r="V338" s="1216"/>
      <c r="W338" s="1216"/>
      <c r="X338" s="1216"/>
      <c r="Y338" s="1216"/>
      <c r="Z338" s="1216"/>
      <c r="AA338" s="1216"/>
      <c r="AB338" s="1216"/>
      <c r="AC338" s="1216"/>
      <c r="AD338" s="1216"/>
      <c r="AE338" s="80">
        <f>SUM(S338,T338,U338)</f>
        <v>0</v>
      </c>
      <c r="AF338" s="80">
        <f>SUM(V338,W338,X338)</f>
        <v>0</v>
      </c>
      <c r="AG338" s="80">
        <f>SUM(Y338,Z338,AA338)</f>
        <v>0</v>
      </c>
      <c r="AH338" s="80">
        <f>SUM(AB338,AC338,AD338)</f>
        <v>0</v>
      </c>
      <c r="AI338" s="80">
        <f>AE338+AF338</f>
        <v>0</v>
      </c>
      <c r="AJ338" s="80">
        <f>AH338+AG338</f>
        <v>0</v>
      </c>
      <c r="AK338" s="80">
        <f>AI338+AJ338</f>
        <v>0</v>
      </c>
      <c r="AM338" s="2494">
        <f ca="1">SUM((INDIRECT(AM$2&amp;(ROW())):INDIRECT(AM$3&amp;(ROW()))))</f>
        <v>0</v>
      </c>
      <c r="AN338" s="1980">
        <f ca="1">SUM(INDIRECT(AN$1&amp;AN$2&amp;$C338):INDIRECT(AN$1&amp;AN$3&amp;$C338))</f>
        <v>0</v>
      </c>
      <c r="AO338" s="2759">
        <f t="shared" ca="1" si="653"/>
        <v>0</v>
      </c>
      <c r="AP338" s="2760">
        <f t="shared" ca="1" si="595"/>
        <v>0</v>
      </c>
      <c r="AQ338" s="1980">
        <f ca="1">SUM(INDIRECT(AQ$1&amp;AQ$2&amp;$A338):INDIRECT(AQ$1&amp;AQ$3&amp;$A338))+SUM(INDIRECT(AQ$1&amp;AQ$2&amp;$B338):INDIRECT(AQ$1&amp;AQ$3&amp;$B338))</f>
        <v>0</v>
      </c>
      <c r="AR338" s="2759">
        <f t="shared" ca="1" si="535"/>
        <v>0</v>
      </c>
      <c r="AS338" s="2760">
        <f t="shared" ca="1" si="664"/>
        <v>0</v>
      </c>
      <c r="AU338" s="2494">
        <f ca="1">SUM((INDIRECT(AU$2&amp;(ROW())):INDIRECT(AU$3&amp;(ROW()))))</f>
        <v>0</v>
      </c>
      <c r="AV338" s="1980">
        <f ca="1">SUM(INDIRECT(AV$1&amp;AV$2&amp;$C338):INDIRECT(AV$1&amp;AV$3&amp;$C338))</f>
        <v>0</v>
      </c>
      <c r="AW338" s="2759">
        <f t="shared" ca="1" si="598"/>
        <v>0</v>
      </c>
      <c r="AX338" s="2760">
        <f t="shared" ca="1" si="665"/>
        <v>0</v>
      </c>
      <c r="AY338" s="1980">
        <f ca="1">SUM(INDIRECT(AY$1&amp;AY$2&amp;$A338):INDIRECT(AY$1&amp;AY$3&amp;$A338))+SUM(INDIRECT(AY$1&amp;AY$2&amp;$B338):INDIRECT(AY$1&amp;AY$3&amp;$B338))</f>
        <v>0</v>
      </c>
      <c r="AZ338" s="2759">
        <f t="shared" ca="1" si="600"/>
        <v>0</v>
      </c>
      <c r="BA338" s="2760">
        <f t="shared" ca="1" si="666"/>
        <v>0</v>
      </c>
      <c r="BC338" s="2494">
        <f ca="1">SUM((INDIRECT(BC$2&amp;(ROW())):INDIRECT(BC$3&amp;(ROW()))))</f>
        <v>0</v>
      </c>
      <c r="BD338" s="1980">
        <f ca="1">SUM(INDIRECT(BD$1&amp;BD$2&amp;$C338):INDIRECT(BD$1&amp;BD$3&amp;$C338))</f>
        <v>0</v>
      </c>
      <c r="BE338" s="2759">
        <f t="shared" ca="1" si="602"/>
        <v>0</v>
      </c>
      <c r="BF338" s="2760">
        <f t="shared" ca="1" si="667"/>
        <v>0</v>
      </c>
      <c r="BG338" s="1980">
        <f ca="1">SUM(INDIRECT(BG$1&amp;BG$2&amp;$A338):INDIRECT(BG$1&amp;BG$3&amp;$A338))+SUM(INDIRECT(BG$1&amp;BG$2&amp;$B338):INDIRECT(BG$1&amp;BG$3&amp;$B338))</f>
        <v>0</v>
      </c>
      <c r="BH338" s="2759">
        <f t="shared" ca="1" si="604"/>
        <v>0</v>
      </c>
      <c r="BI338" s="2760">
        <f t="shared" ca="1" si="668"/>
        <v>0</v>
      </c>
    </row>
    <row r="339" spans="1:61" ht="14.5">
      <c r="A339" s="1693">
        <f t="shared" si="660"/>
        <v>339</v>
      </c>
      <c r="B339" s="616">
        <v>1</v>
      </c>
      <c r="C339" s="1693">
        <f t="shared" si="657"/>
        <v>339</v>
      </c>
      <c r="D339" s="616">
        <v>1</v>
      </c>
      <c r="E339" s="709" t="s">
        <v>512</v>
      </c>
      <c r="F339" s="1572"/>
      <c r="G339" s="4"/>
      <c r="H339" s="4"/>
      <c r="I339" s="4"/>
      <c r="J339" s="112" t="s">
        <v>92</v>
      </c>
      <c r="K339" s="111"/>
      <c r="L339" s="110"/>
      <c r="M339" s="110"/>
      <c r="N339" s="110"/>
      <c r="O339" s="110"/>
      <c r="P339" s="110"/>
      <c r="Q339" s="867"/>
      <c r="R339" s="1798" t="str">
        <f>CHOOSE(2, "6722000003258", "PL (4) Operating Profit")</f>
        <v>PL (4) Operating Profit</v>
      </c>
      <c r="S339" s="1560">
        <f>S335+S337-S338</f>
        <v>0</v>
      </c>
      <c r="T339" s="1561">
        <f t="shared" ref="T339:AD339" si="669">T335+T337-T338</f>
        <v>0</v>
      </c>
      <c r="U339" s="1561">
        <f t="shared" si="669"/>
        <v>0</v>
      </c>
      <c r="V339" s="1561">
        <f t="shared" si="669"/>
        <v>0</v>
      </c>
      <c r="W339" s="1561">
        <f t="shared" si="669"/>
        <v>0</v>
      </c>
      <c r="X339" s="1561">
        <f t="shared" si="669"/>
        <v>0</v>
      </c>
      <c r="Y339" s="1561">
        <f t="shared" si="669"/>
        <v>0</v>
      </c>
      <c r="Z339" s="1561">
        <f t="shared" si="669"/>
        <v>0</v>
      </c>
      <c r="AA339" s="1561">
        <f t="shared" si="669"/>
        <v>0</v>
      </c>
      <c r="AB339" s="1561">
        <f t="shared" si="669"/>
        <v>0</v>
      </c>
      <c r="AC339" s="1561">
        <f t="shared" si="669"/>
        <v>0</v>
      </c>
      <c r="AD339" s="1561">
        <f t="shared" si="669"/>
        <v>0</v>
      </c>
      <c r="AE339" s="550">
        <f t="shared" ref="AE339:AK339" si="670">AE335+AE337-AE338</f>
        <v>0</v>
      </c>
      <c r="AF339" s="109">
        <f t="shared" si="670"/>
        <v>0</v>
      </c>
      <c r="AG339" s="109">
        <f t="shared" si="670"/>
        <v>0</v>
      </c>
      <c r="AH339" s="109">
        <f t="shared" si="670"/>
        <v>0</v>
      </c>
      <c r="AI339" s="109">
        <f t="shared" si="670"/>
        <v>0</v>
      </c>
      <c r="AJ339" s="109">
        <f t="shared" si="670"/>
        <v>0</v>
      </c>
      <c r="AK339" s="109">
        <f t="shared" si="670"/>
        <v>0</v>
      </c>
      <c r="AM339" s="2272">
        <f ca="1">SUM((INDIRECT(AM$2&amp;(ROW())):INDIRECT(AM$3&amp;(ROW()))))</f>
        <v>0</v>
      </c>
      <c r="AN339" s="2050">
        <f ca="1">SUM(INDIRECT(AN$1&amp;AN$2&amp;$C339):INDIRECT(AN$1&amp;AN$3&amp;$C339))</f>
        <v>0</v>
      </c>
      <c r="AO339" s="2815">
        <f t="shared" ca="1" si="653"/>
        <v>0</v>
      </c>
      <c r="AP339" s="2816">
        <f t="shared" ca="1" si="595"/>
        <v>0</v>
      </c>
      <c r="AQ339" s="2050">
        <f ca="1">SUM(INDIRECT(AQ$1&amp;AQ$2&amp;$A339):INDIRECT(AQ$1&amp;AQ$3&amp;$A339))+SUM(INDIRECT(AQ$1&amp;AQ$2&amp;$B339):INDIRECT(AQ$1&amp;AQ$3&amp;$B339))</f>
        <v>0</v>
      </c>
      <c r="AR339" s="2815">
        <f t="shared" ca="1" si="535"/>
        <v>0</v>
      </c>
      <c r="AS339" s="2816">
        <f t="shared" ca="1" si="664"/>
        <v>0</v>
      </c>
      <c r="AU339" s="2272">
        <f ca="1">SUM((INDIRECT(AU$2&amp;(ROW())):INDIRECT(AU$3&amp;(ROW()))))</f>
        <v>0</v>
      </c>
      <c r="AV339" s="2050">
        <f ca="1">SUM(INDIRECT(AV$1&amp;AV$2&amp;$C339):INDIRECT(AV$1&amp;AV$3&amp;$C339))</f>
        <v>0</v>
      </c>
      <c r="AW339" s="2815">
        <f t="shared" ca="1" si="598"/>
        <v>0</v>
      </c>
      <c r="AX339" s="2816">
        <f t="shared" ca="1" si="665"/>
        <v>0</v>
      </c>
      <c r="AY339" s="2050">
        <f ca="1">SUM(INDIRECT(AY$1&amp;AY$2&amp;$A339):INDIRECT(AY$1&amp;AY$3&amp;$A339))+SUM(INDIRECT(AY$1&amp;AY$2&amp;$B339):INDIRECT(AY$1&amp;AY$3&amp;$B339))</f>
        <v>0</v>
      </c>
      <c r="AZ339" s="2815">
        <f t="shared" ca="1" si="600"/>
        <v>0</v>
      </c>
      <c r="BA339" s="2816">
        <f t="shared" ca="1" si="666"/>
        <v>0</v>
      </c>
      <c r="BC339" s="2272">
        <f ca="1">SUM((INDIRECT(BC$2&amp;(ROW())):INDIRECT(BC$3&amp;(ROW()))))</f>
        <v>0</v>
      </c>
      <c r="BD339" s="2050">
        <f ca="1">SUM(INDIRECT(BD$1&amp;BD$2&amp;$C339):INDIRECT(BD$1&amp;BD$3&amp;$C339))</f>
        <v>0</v>
      </c>
      <c r="BE339" s="2815">
        <f t="shared" ca="1" si="602"/>
        <v>0</v>
      </c>
      <c r="BF339" s="2816">
        <f t="shared" ca="1" si="667"/>
        <v>0</v>
      </c>
      <c r="BG339" s="2050">
        <f ca="1">SUM(INDIRECT(BG$1&amp;BG$2&amp;$A339):INDIRECT(BG$1&amp;BG$3&amp;$A339))+SUM(INDIRECT(BG$1&amp;BG$2&amp;$B339):INDIRECT(BG$1&amp;BG$3&amp;$B339))</f>
        <v>0</v>
      </c>
      <c r="BH339" s="2815">
        <f t="shared" ca="1" si="604"/>
        <v>0</v>
      </c>
      <c r="BI339" s="2816">
        <f t="shared" ca="1" si="668"/>
        <v>0</v>
      </c>
    </row>
    <row r="340" spans="1:61" ht="14.5">
      <c r="A340" s="1693">
        <f t="shared" si="660"/>
        <v>340</v>
      </c>
      <c r="B340" s="616">
        <v>1</v>
      </c>
      <c r="C340" s="1693">
        <f t="shared" si="657"/>
        <v>340</v>
      </c>
      <c r="D340" s="616">
        <v>1</v>
      </c>
      <c r="E340" s="709" t="s">
        <v>512</v>
      </c>
      <c r="F340" s="1572"/>
      <c r="G340" s="4"/>
      <c r="H340" s="4"/>
      <c r="I340" s="4"/>
      <c r="J340" s="25"/>
      <c r="K340" s="511" t="s">
        <v>55</v>
      </c>
      <c r="L340" s="2"/>
      <c r="M340" s="2"/>
      <c r="N340" s="1"/>
      <c r="O340" s="1"/>
      <c r="P340" s="1"/>
      <c r="Q340" s="1"/>
      <c r="R340" s="1792" t="str">
        <f>CHOOSE(2, "6722000003259", "PL (4) Operating Profit (%)")</f>
        <v>PL (4) Operating Profit (%)</v>
      </c>
      <c r="S340" s="1323">
        <f t="shared" ref="S340:AD340" si="671">IFERROR(S339/S290,0)</f>
        <v>0</v>
      </c>
      <c r="T340" s="1322">
        <f t="shared" si="671"/>
        <v>0</v>
      </c>
      <c r="U340" s="1322">
        <f t="shared" si="671"/>
        <v>0</v>
      </c>
      <c r="V340" s="1322">
        <f t="shared" si="671"/>
        <v>0</v>
      </c>
      <c r="W340" s="1322">
        <f t="shared" si="671"/>
        <v>0</v>
      </c>
      <c r="X340" s="1322">
        <f t="shared" si="671"/>
        <v>0</v>
      </c>
      <c r="Y340" s="1322">
        <f t="shared" si="671"/>
        <v>0</v>
      </c>
      <c r="Z340" s="1322">
        <f t="shared" si="671"/>
        <v>0</v>
      </c>
      <c r="AA340" s="1322">
        <f t="shared" si="671"/>
        <v>0</v>
      </c>
      <c r="AB340" s="1322">
        <f t="shared" si="671"/>
        <v>0</v>
      </c>
      <c r="AC340" s="1322">
        <f t="shared" si="671"/>
        <v>0</v>
      </c>
      <c r="AD340" s="1322">
        <f t="shared" si="671"/>
        <v>0</v>
      </c>
      <c r="AE340" s="1322">
        <f t="shared" ref="AE340:AK340" si="672">IFERROR(AE339/AE290,0)</f>
        <v>0</v>
      </c>
      <c r="AF340" s="1322">
        <f t="shared" si="672"/>
        <v>0</v>
      </c>
      <c r="AG340" s="1322">
        <f t="shared" si="672"/>
        <v>0</v>
      </c>
      <c r="AH340" s="1322">
        <f t="shared" si="672"/>
        <v>0</v>
      </c>
      <c r="AI340" s="1322">
        <f t="shared" si="672"/>
        <v>0</v>
      </c>
      <c r="AJ340" s="1322">
        <f t="shared" si="672"/>
        <v>0</v>
      </c>
      <c r="AK340" s="1322">
        <f t="shared" si="672"/>
        <v>0</v>
      </c>
      <c r="AL340" s="504"/>
      <c r="AM340" s="1323">
        <f t="shared" ref="AM340:AQ340" ca="1" si="673">IFERROR(AM339/AM290,0)</f>
        <v>0</v>
      </c>
      <c r="AN340" s="1322">
        <f t="shared" ca="1" si="673"/>
        <v>0</v>
      </c>
      <c r="AO340" s="1322">
        <f t="shared" ca="1" si="653"/>
        <v>0</v>
      </c>
      <c r="AP340" s="2802"/>
      <c r="AQ340" s="1288">
        <f t="shared" ca="1" si="673"/>
        <v>0</v>
      </c>
      <c r="AR340" s="1288">
        <f t="shared" ca="1" si="535"/>
        <v>0</v>
      </c>
      <c r="AS340" s="2814"/>
      <c r="AT340" s="504"/>
      <c r="AU340" s="1323">
        <f ca="1">IFERROR(AU339/AU290,0)</f>
        <v>0</v>
      </c>
      <c r="AV340" s="1322">
        <f ca="1">IFERROR(AV339/AV290,0)</f>
        <v>0</v>
      </c>
      <c r="AW340" s="1322">
        <f t="shared" ca="1" si="598"/>
        <v>0</v>
      </c>
      <c r="AX340" s="2802"/>
      <c r="AY340" s="1322">
        <f ca="1">IFERROR(AY339/AY290,0)</f>
        <v>0</v>
      </c>
      <c r="AZ340" s="1322">
        <f t="shared" ca="1" si="600"/>
        <v>0</v>
      </c>
      <c r="BA340" s="2802"/>
      <c r="BB340" s="504"/>
      <c r="BC340" s="1323">
        <f ca="1">IFERROR(BC339/BC290,0)</f>
        <v>0</v>
      </c>
      <c r="BD340" s="1322">
        <f ca="1">IFERROR(BD339/BD290,0)</f>
        <v>0</v>
      </c>
      <c r="BE340" s="1322">
        <f t="shared" ca="1" si="602"/>
        <v>0</v>
      </c>
      <c r="BF340" s="2802"/>
      <c r="BG340" s="1322">
        <f ca="1">IFERROR(BG339/BG290,0)</f>
        <v>0</v>
      </c>
      <c r="BH340" s="1322">
        <f t="shared" ca="1" si="604"/>
        <v>0</v>
      </c>
      <c r="BI340" s="2802"/>
    </row>
    <row r="341" spans="1:61" ht="14.5">
      <c r="A341" s="1693">
        <f t="shared" si="660"/>
        <v>341</v>
      </c>
      <c r="B341" s="616">
        <v>1</v>
      </c>
      <c r="C341" s="1693">
        <f t="shared" si="657"/>
        <v>341</v>
      </c>
      <c r="D341" s="616">
        <v>1</v>
      </c>
      <c r="E341" s="709" t="s">
        <v>512</v>
      </c>
      <c r="F341" s="69"/>
      <c r="G341" s="8"/>
      <c r="H341" s="737"/>
      <c r="I341" s="4"/>
      <c r="J341" s="4"/>
      <c r="K341" s="3"/>
      <c r="L341" s="742" t="s">
        <v>516</v>
      </c>
      <c r="M341" s="707"/>
      <c r="N341" s="586"/>
      <c r="O341" s="586"/>
      <c r="P341" s="586"/>
      <c r="Q341" s="586"/>
      <c r="R341" s="1785" t="str">
        <f>CHOOSE(2, "6722000003260", "PL (4) CAI (%)")</f>
        <v>PL (4) CAI (%)</v>
      </c>
      <c r="S341" s="1368">
        <f>S451</f>
        <v>0</v>
      </c>
      <c r="T341" s="1368">
        <f t="shared" ref="T341:AD341" si="674">T451</f>
        <v>0</v>
      </c>
      <c r="U341" s="1368">
        <f t="shared" si="674"/>
        <v>0</v>
      </c>
      <c r="V341" s="1368">
        <f t="shared" si="674"/>
        <v>0</v>
      </c>
      <c r="W341" s="1368">
        <f t="shared" si="674"/>
        <v>0</v>
      </c>
      <c r="X341" s="1368">
        <f t="shared" si="674"/>
        <v>0</v>
      </c>
      <c r="Y341" s="1368">
        <f t="shared" si="674"/>
        <v>0</v>
      </c>
      <c r="Z341" s="1368">
        <f t="shared" si="674"/>
        <v>0</v>
      </c>
      <c r="AA341" s="1368">
        <f t="shared" si="674"/>
        <v>0</v>
      </c>
      <c r="AB341" s="1368">
        <f t="shared" si="674"/>
        <v>0</v>
      </c>
      <c r="AC341" s="1368">
        <f t="shared" si="674"/>
        <v>0</v>
      </c>
      <c r="AD341" s="1368">
        <f t="shared" si="674"/>
        <v>0</v>
      </c>
      <c r="AE341" s="884">
        <f t="shared" ref="AE341:AK341" si="675">AE451</f>
        <v>0</v>
      </c>
      <c r="AF341" s="744">
        <f t="shared" si="675"/>
        <v>0</v>
      </c>
      <c r="AG341" s="744">
        <f t="shared" si="675"/>
        <v>0</v>
      </c>
      <c r="AH341" s="744">
        <f t="shared" si="675"/>
        <v>0</v>
      </c>
      <c r="AI341" s="744">
        <f t="shared" si="675"/>
        <v>0</v>
      </c>
      <c r="AJ341" s="744">
        <f t="shared" si="675"/>
        <v>0</v>
      </c>
      <c r="AK341" s="744">
        <f t="shared" si="675"/>
        <v>0</v>
      </c>
      <c r="AM341" s="2746">
        <f t="shared" ref="AM341:AN341" ca="1" si="676">AM451</f>
        <v>0</v>
      </c>
      <c r="AN341" s="2746">
        <f t="shared" ca="1" si="676"/>
        <v>0</v>
      </c>
      <c r="AO341" s="2746">
        <f t="shared" ca="1" si="653"/>
        <v>0</v>
      </c>
      <c r="AP341" s="2747"/>
      <c r="AQ341" s="2746">
        <f t="shared" ref="AQ341" ca="1" si="677">AQ451</f>
        <v>0</v>
      </c>
      <c r="AR341" s="2746">
        <f t="shared" ca="1" si="535"/>
        <v>0</v>
      </c>
      <c r="AS341" s="2748"/>
      <c r="AU341" s="2746">
        <f t="shared" ref="AU341:AV341" ca="1" si="678">AU451</f>
        <v>0</v>
      </c>
      <c r="AV341" s="2746">
        <f t="shared" ca="1" si="678"/>
        <v>0</v>
      </c>
      <c r="AW341" s="2746">
        <f t="shared" ca="1" si="598"/>
        <v>0</v>
      </c>
      <c r="AX341" s="2747"/>
      <c r="AY341" s="2746">
        <f t="shared" ref="AY341" ca="1" si="679">AY451</f>
        <v>0</v>
      </c>
      <c r="AZ341" s="2746">
        <f t="shared" ca="1" si="600"/>
        <v>0</v>
      </c>
      <c r="BA341" s="2748"/>
      <c r="BB341" s="69"/>
      <c r="BC341" s="2746">
        <f t="shared" ref="BC341:BD341" ca="1" si="680">BC451</f>
        <v>0</v>
      </c>
      <c r="BD341" s="2746">
        <f t="shared" ca="1" si="680"/>
        <v>0</v>
      </c>
      <c r="BE341" s="2746">
        <f t="shared" ca="1" si="602"/>
        <v>0</v>
      </c>
      <c r="BF341" s="2749"/>
      <c r="BG341" s="2746">
        <f t="shared" ref="BG341" ca="1" si="681">BG451</f>
        <v>0</v>
      </c>
      <c r="BH341" s="2746">
        <f t="shared" ca="1" si="604"/>
        <v>0</v>
      </c>
      <c r="BI341" s="2748"/>
    </row>
    <row r="342" spans="1:61" ht="14.5">
      <c r="A342" s="1693">
        <f t="shared" si="660"/>
        <v>342</v>
      </c>
      <c r="B342" s="616">
        <v>1</v>
      </c>
      <c r="C342" s="1693">
        <f t="shared" si="657"/>
        <v>342</v>
      </c>
      <c r="D342" s="616">
        <v>1</v>
      </c>
      <c r="E342" s="709" t="s">
        <v>512</v>
      </c>
      <c r="F342" s="69"/>
      <c r="G342" s="8"/>
      <c r="H342" s="737"/>
      <c r="I342" s="4"/>
      <c r="J342" s="4"/>
      <c r="K342" s="3"/>
      <c r="L342" s="27"/>
      <c r="M342" s="572" t="s">
        <v>509</v>
      </c>
      <c r="N342" s="251"/>
      <c r="O342" s="251"/>
      <c r="P342" s="251"/>
      <c r="Q342" s="251"/>
      <c r="R342" s="1786" t="str">
        <f>CHOOSE(2, "6722000003261", "PL (4) CAI Directly assigned")</f>
        <v>PL (4) CAI Directly assigned</v>
      </c>
      <c r="S342" s="1380">
        <f>SUM(S343:S345)</f>
        <v>0</v>
      </c>
      <c r="T342" s="1380">
        <f t="shared" ref="T342:AD342" si="682">SUM(T343:T345)</f>
        <v>0</v>
      </c>
      <c r="U342" s="1380">
        <f t="shared" si="682"/>
        <v>0</v>
      </c>
      <c r="V342" s="1380">
        <f t="shared" si="682"/>
        <v>0</v>
      </c>
      <c r="W342" s="1380">
        <f t="shared" si="682"/>
        <v>0</v>
      </c>
      <c r="X342" s="1380">
        <f t="shared" si="682"/>
        <v>0</v>
      </c>
      <c r="Y342" s="1249">
        <f t="shared" si="682"/>
        <v>0</v>
      </c>
      <c r="Z342" s="1249">
        <f t="shared" si="682"/>
        <v>0</v>
      </c>
      <c r="AA342" s="1249">
        <f t="shared" si="682"/>
        <v>0</v>
      </c>
      <c r="AB342" s="1614">
        <f t="shared" si="682"/>
        <v>0</v>
      </c>
      <c r="AC342" s="1614">
        <f t="shared" si="682"/>
        <v>0</v>
      </c>
      <c r="AD342" s="1614">
        <f t="shared" si="682"/>
        <v>0</v>
      </c>
      <c r="AE342" s="1615">
        <f t="shared" ref="AE342:AK342" si="683">SUM(AE343:AE345)</f>
        <v>0</v>
      </c>
      <c r="AF342" s="1614">
        <f t="shared" si="683"/>
        <v>0</v>
      </c>
      <c r="AG342" s="1614">
        <f t="shared" si="683"/>
        <v>0</v>
      </c>
      <c r="AH342" s="1614">
        <f t="shared" si="683"/>
        <v>0</v>
      </c>
      <c r="AI342" s="1614">
        <f t="shared" si="683"/>
        <v>0</v>
      </c>
      <c r="AJ342" s="1614">
        <f t="shared" si="683"/>
        <v>0</v>
      </c>
      <c r="AK342" s="1614">
        <f t="shared" si="683"/>
        <v>0</v>
      </c>
      <c r="AM342" s="2252">
        <f ca="1">SUM((INDIRECT(AM$2&amp;(ROW())):INDIRECT(AM$3&amp;(ROW()))))</f>
        <v>0</v>
      </c>
      <c r="AN342" s="2251">
        <f ca="1">SUM(INDIRECT(AN$1&amp;AN$2&amp;$C342):INDIRECT(AN$1&amp;AN$3&amp;$C342))</f>
        <v>0</v>
      </c>
      <c r="AO342" s="2750">
        <f t="shared" ca="1" si="653"/>
        <v>0</v>
      </c>
      <c r="AP342" s="2751">
        <f t="shared" ref="AP342:AP346" ca="1" si="684">IFERROR(AM342/AN342,0)</f>
        <v>0</v>
      </c>
      <c r="AQ342" s="2262">
        <f ca="1">SUM(INDIRECT(AQ$1&amp;AQ$2&amp;$A342):INDIRECT(AQ$1&amp;AQ$3&amp;$A342))+SUM(INDIRECT(AQ$1&amp;AQ$2&amp;$B342):INDIRECT(AQ$1&amp;AQ$3&amp;$B342))</f>
        <v>0</v>
      </c>
      <c r="AR342" s="2752">
        <f t="shared" ca="1" si="535"/>
        <v>0</v>
      </c>
      <c r="AS342" s="2753">
        <f t="shared" ref="AS342:AS346" ca="1" si="685">IFERROR(AM342/AQ342,0)</f>
        <v>0</v>
      </c>
      <c r="AU342" s="2252">
        <f ca="1">SUM((INDIRECT(AU$2&amp;(ROW())):INDIRECT(AU$3&amp;(ROW()))))</f>
        <v>0</v>
      </c>
      <c r="AV342" s="2251">
        <f ca="1">SUM(INDIRECT(AV$1&amp;AV$2&amp;$C342):INDIRECT(AV$1&amp;AV$3&amp;$C342))</f>
        <v>0</v>
      </c>
      <c r="AW342" s="2750">
        <f t="shared" ca="1" si="598"/>
        <v>0</v>
      </c>
      <c r="AX342" s="2751">
        <f t="shared" ref="AX342:AX346" ca="1" si="686">IFERROR(AU342/AV342,0)</f>
        <v>0</v>
      </c>
      <c r="AY342" s="2262">
        <f ca="1">SUM(INDIRECT(AY$1&amp;AY$2&amp;$A342):INDIRECT(AY$1&amp;AY$3&amp;$A342))+SUM(INDIRECT(AY$1&amp;AY$2&amp;$B342):INDIRECT(AY$1&amp;AY$3&amp;$B342))</f>
        <v>0</v>
      </c>
      <c r="AZ342" s="2752">
        <f t="shared" ca="1" si="600"/>
        <v>0</v>
      </c>
      <c r="BA342" s="2753">
        <f t="shared" ref="BA342:BA346" ca="1" si="687">IFERROR(AU342/AY342,0)</f>
        <v>0</v>
      </c>
      <c r="BB342" s="69"/>
      <c r="BC342" s="1986">
        <f ca="1">SUM((INDIRECT(BC$2&amp;(ROW())):INDIRECT(BC$3&amp;(ROW()))))</f>
        <v>0</v>
      </c>
      <c r="BD342" s="2262">
        <f ca="1">SUM(INDIRECT(BD$1&amp;BD$2&amp;$C342):INDIRECT(BD$1&amp;BD$3&amp;$C342))</f>
        <v>0</v>
      </c>
      <c r="BE342" s="2752">
        <f t="shared" ca="1" si="602"/>
        <v>0</v>
      </c>
      <c r="BF342" s="2753">
        <f t="shared" ref="BF342:BF346" ca="1" si="688">IFERROR(BC342/BD342,0)</f>
        <v>0</v>
      </c>
      <c r="BG342" s="2262">
        <f ca="1">SUM(INDIRECT(BG$1&amp;BG$2&amp;$A342):INDIRECT(BG$1&amp;BG$3&amp;$A342))+SUM(INDIRECT(BG$1&amp;BG$2&amp;$B342):INDIRECT(BG$1&amp;BG$3&amp;$B342))</f>
        <v>0</v>
      </c>
      <c r="BH342" s="2752">
        <f t="shared" ca="1" si="604"/>
        <v>0</v>
      </c>
      <c r="BI342" s="2753">
        <f t="shared" ref="BI342:BI346" ca="1" si="689">IFERROR(BC342/BG342,0)</f>
        <v>0</v>
      </c>
    </row>
    <row r="343" spans="1:61" ht="14.5">
      <c r="A343" s="1693">
        <f t="shared" si="660"/>
        <v>343</v>
      </c>
      <c r="B343" s="616">
        <v>1</v>
      </c>
      <c r="C343" s="1693">
        <f t="shared" si="657"/>
        <v>343</v>
      </c>
      <c r="D343" s="616">
        <v>1</v>
      </c>
      <c r="E343" s="709" t="s">
        <v>512</v>
      </c>
      <c r="F343" s="69"/>
      <c r="G343" s="8"/>
      <c r="H343" s="737"/>
      <c r="I343" s="4"/>
      <c r="J343" s="4"/>
      <c r="K343" s="3"/>
      <c r="L343" s="27"/>
      <c r="M343" s="27"/>
      <c r="N343" s="36" t="s">
        <v>87</v>
      </c>
      <c r="O343" s="3"/>
      <c r="P343" s="3"/>
      <c r="Q343" s="3"/>
      <c r="R343" s="1787" t="str">
        <f>CHOOSE(2, "6722000003262", "PL (4) CAI Directly assigned Variable Expenses")</f>
        <v>PL (4) CAI Directly assigned Variable Expenses</v>
      </c>
      <c r="S343" s="1350"/>
      <c r="T343" s="1350"/>
      <c r="U343" s="1350"/>
      <c r="V343" s="1350"/>
      <c r="W343" s="1350"/>
      <c r="X343" s="1350"/>
      <c r="Y343" s="1281"/>
      <c r="Z343" s="1281"/>
      <c r="AA343" s="1281"/>
      <c r="AB343" s="1351"/>
      <c r="AC343" s="1351"/>
      <c r="AD343" s="1351"/>
      <c r="AE343" s="125">
        <f>SUM(S343,T343,U343)</f>
        <v>0</v>
      </c>
      <c r="AF343" s="126">
        <f>SUM(V343,W343,X343)</f>
        <v>0</v>
      </c>
      <c r="AG343" s="126">
        <f>SUM(Y343,Z343,AA343)</f>
        <v>0</v>
      </c>
      <c r="AH343" s="126">
        <f>SUM(AB343,AC343,AD343)</f>
        <v>0</v>
      </c>
      <c r="AI343" s="126">
        <f>AE343+AF343</f>
        <v>0</v>
      </c>
      <c r="AJ343" s="126">
        <f>AH343+AG343</f>
        <v>0</v>
      </c>
      <c r="AK343" s="126">
        <f>AI343+AJ343</f>
        <v>0</v>
      </c>
      <c r="AM343" s="2470">
        <f ca="1">SUM((INDIRECT(AM$2&amp;(ROW())):INDIRECT(AM$3&amp;(ROW()))))</f>
        <v>0</v>
      </c>
      <c r="AN343" s="2754">
        <f ca="1">SUM(INDIRECT(AN$1&amp;AN$2&amp;$C343):INDIRECT(AN$1&amp;AN$3&amp;$C343))</f>
        <v>0</v>
      </c>
      <c r="AO343" s="2755">
        <f t="shared" ca="1" si="653"/>
        <v>0</v>
      </c>
      <c r="AP343" s="2756">
        <f t="shared" ca="1" si="684"/>
        <v>0</v>
      </c>
      <c r="AQ343" s="2043">
        <f ca="1">SUM(INDIRECT(AQ$1&amp;AQ$2&amp;$A343):INDIRECT(AQ$1&amp;AQ$3&amp;$A343))+SUM(INDIRECT(AQ$1&amp;AQ$2&amp;$B343):INDIRECT(AQ$1&amp;AQ$3&amp;$B343))</f>
        <v>0</v>
      </c>
      <c r="AR343" s="2757">
        <f t="shared" ca="1" si="535"/>
        <v>0</v>
      </c>
      <c r="AS343" s="2758">
        <f t="shared" ca="1" si="685"/>
        <v>0</v>
      </c>
      <c r="AU343" s="2470">
        <f ca="1">SUM((INDIRECT(AU$2&amp;(ROW())):INDIRECT(AU$3&amp;(ROW()))))</f>
        <v>0</v>
      </c>
      <c r="AV343" s="2754">
        <f ca="1">SUM(INDIRECT(AV$1&amp;AV$2&amp;$C343):INDIRECT(AV$1&amp;AV$3&amp;$C343))</f>
        <v>0</v>
      </c>
      <c r="AW343" s="2755">
        <f t="shared" ca="1" si="598"/>
        <v>0</v>
      </c>
      <c r="AX343" s="2756">
        <f t="shared" ca="1" si="686"/>
        <v>0</v>
      </c>
      <c r="AY343" s="2043">
        <f ca="1">SUM(INDIRECT(AY$1&amp;AY$2&amp;$A343):INDIRECT(AY$1&amp;AY$3&amp;$A343))+SUM(INDIRECT(AY$1&amp;AY$2&amp;$B343):INDIRECT(AY$1&amp;AY$3&amp;$B343))</f>
        <v>0</v>
      </c>
      <c r="AZ343" s="2757">
        <f t="shared" ca="1" si="600"/>
        <v>0</v>
      </c>
      <c r="BA343" s="2758">
        <f t="shared" ca="1" si="687"/>
        <v>0</v>
      </c>
      <c r="BB343" s="69"/>
      <c r="BC343" s="1378">
        <f ca="1">SUM((INDIRECT(BC$2&amp;(ROW())):INDIRECT(BC$3&amp;(ROW()))))</f>
        <v>0</v>
      </c>
      <c r="BD343" s="2043">
        <f ca="1">SUM(INDIRECT(BD$1&amp;BD$2&amp;$C343):INDIRECT(BD$1&amp;BD$3&amp;$C343))</f>
        <v>0</v>
      </c>
      <c r="BE343" s="2757">
        <f t="shared" ca="1" si="602"/>
        <v>0</v>
      </c>
      <c r="BF343" s="2758">
        <f t="shared" ca="1" si="688"/>
        <v>0</v>
      </c>
      <c r="BG343" s="2043">
        <f ca="1">SUM(INDIRECT(BG$1&amp;BG$2&amp;$A343):INDIRECT(BG$1&amp;BG$3&amp;$A343))+SUM(INDIRECT(BG$1&amp;BG$2&amp;$B343):INDIRECT(BG$1&amp;BG$3&amp;$B343))</f>
        <v>0</v>
      </c>
      <c r="BH343" s="2757">
        <f t="shared" ca="1" si="604"/>
        <v>0</v>
      </c>
      <c r="BI343" s="2758">
        <f t="shared" ca="1" si="689"/>
        <v>0</v>
      </c>
    </row>
    <row r="344" spans="1:61" ht="14.5">
      <c r="A344" s="1693">
        <f t="shared" si="660"/>
        <v>344</v>
      </c>
      <c r="B344" s="616">
        <v>1</v>
      </c>
      <c r="C344" s="1693">
        <f t="shared" si="657"/>
        <v>344</v>
      </c>
      <c r="D344" s="616">
        <v>1</v>
      </c>
      <c r="E344" s="709" t="s">
        <v>512</v>
      </c>
      <c r="F344" s="69"/>
      <c r="G344" s="8"/>
      <c r="H344" s="737"/>
      <c r="I344" s="4"/>
      <c r="J344" s="4"/>
      <c r="K344" s="3"/>
      <c r="L344" s="27"/>
      <c r="M344" s="27"/>
      <c r="N344" s="36" t="s">
        <v>88</v>
      </c>
      <c r="O344" s="3"/>
      <c r="P344" s="3"/>
      <c r="Q344" s="3"/>
      <c r="R344" s="1787" t="str">
        <f>CHOOSE(2, "6722000003263", "PL (4) CAI Directly assigned Wages &amp; Salaries")</f>
        <v>PL (4) CAI Directly assigned Wages &amp; Salaries</v>
      </c>
      <c r="S344" s="1350"/>
      <c r="T344" s="1350"/>
      <c r="U344" s="1350"/>
      <c r="V344" s="1350"/>
      <c r="W344" s="1350"/>
      <c r="X344" s="1350"/>
      <c r="Y344" s="1281"/>
      <c r="Z344" s="1281"/>
      <c r="AA344" s="1281"/>
      <c r="AB344" s="1351"/>
      <c r="AC344" s="1351"/>
      <c r="AD344" s="1351"/>
      <c r="AE344" s="125">
        <f>SUM(S344,T344,U344)</f>
        <v>0</v>
      </c>
      <c r="AF344" s="126">
        <f>SUM(V344,W344,X344)</f>
        <v>0</v>
      </c>
      <c r="AG344" s="126">
        <f>SUM(Y344,Z344,AA344)</f>
        <v>0</v>
      </c>
      <c r="AH344" s="126">
        <f>SUM(AB344,AC344,AD344)</f>
        <v>0</v>
      </c>
      <c r="AI344" s="126">
        <f>AE344+AF344</f>
        <v>0</v>
      </c>
      <c r="AJ344" s="126">
        <f>AH344+AG344</f>
        <v>0</v>
      </c>
      <c r="AK344" s="126">
        <f>AI344+AJ344</f>
        <v>0</v>
      </c>
      <c r="AM344" s="2470">
        <f ca="1">SUM((INDIRECT(AM$2&amp;(ROW())):INDIRECT(AM$3&amp;(ROW()))))</f>
        <v>0</v>
      </c>
      <c r="AN344" s="2754">
        <f ca="1">SUM(INDIRECT(AN$1&amp;AN$2&amp;$C344):INDIRECT(AN$1&amp;AN$3&amp;$C344))</f>
        <v>0</v>
      </c>
      <c r="AO344" s="2755">
        <f t="shared" ca="1" si="653"/>
        <v>0</v>
      </c>
      <c r="AP344" s="2756">
        <f t="shared" ca="1" si="684"/>
        <v>0</v>
      </c>
      <c r="AQ344" s="2043">
        <f ca="1">SUM(INDIRECT(AQ$1&amp;AQ$2&amp;$A344):INDIRECT(AQ$1&amp;AQ$3&amp;$A344))+SUM(INDIRECT(AQ$1&amp;AQ$2&amp;$B344):INDIRECT(AQ$1&amp;AQ$3&amp;$B344))</f>
        <v>0</v>
      </c>
      <c r="AR344" s="2757">
        <f t="shared" ca="1" si="535"/>
        <v>0</v>
      </c>
      <c r="AS344" s="2758">
        <f t="shared" ca="1" si="685"/>
        <v>0</v>
      </c>
      <c r="AU344" s="2470">
        <f ca="1">SUM((INDIRECT(AU$2&amp;(ROW())):INDIRECT(AU$3&amp;(ROW()))))</f>
        <v>0</v>
      </c>
      <c r="AV344" s="2754">
        <f ca="1">SUM(INDIRECT(AV$1&amp;AV$2&amp;$C344):INDIRECT(AV$1&amp;AV$3&amp;$C344))</f>
        <v>0</v>
      </c>
      <c r="AW344" s="2755">
        <f t="shared" ca="1" si="598"/>
        <v>0</v>
      </c>
      <c r="AX344" s="2756">
        <f t="shared" ca="1" si="686"/>
        <v>0</v>
      </c>
      <c r="AY344" s="2043">
        <f ca="1">SUM(INDIRECT(AY$1&amp;AY$2&amp;$A344):INDIRECT(AY$1&amp;AY$3&amp;$A344))+SUM(INDIRECT(AY$1&amp;AY$2&amp;$B344):INDIRECT(AY$1&amp;AY$3&amp;$B344))</f>
        <v>0</v>
      </c>
      <c r="AZ344" s="2757">
        <f t="shared" ca="1" si="600"/>
        <v>0</v>
      </c>
      <c r="BA344" s="2758">
        <f t="shared" ca="1" si="687"/>
        <v>0</v>
      </c>
      <c r="BB344" s="69"/>
      <c r="BC344" s="1378">
        <f ca="1">SUM((INDIRECT(BC$2&amp;(ROW())):INDIRECT(BC$3&amp;(ROW()))))</f>
        <v>0</v>
      </c>
      <c r="BD344" s="2043">
        <f ca="1">SUM(INDIRECT(BD$1&amp;BD$2&amp;$C344):INDIRECT(BD$1&amp;BD$3&amp;$C344))</f>
        <v>0</v>
      </c>
      <c r="BE344" s="2757">
        <f t="shared" ca="1" si="602"/>
        <v>0</v>
      </c>
      <c r="BF344" s="2758">
        <f t="shared" ca="1" si="688"/>
        <v>0</v>
      </c>
      <c r="BG344" s="2043">
        <f ca="1">SUM(INDIRECT(BG$1&amp;BG$2&amp;$A344):INDIRECT(BG$1&amp;BG$3&amp;$A344))+SUM(INDIRECT(BG$1&amp;BG$2&amp;$B344):INDIRECT(BG$1&amp;BG$3&amp;$B344))</f>
        <v>0</v>
      </c>
      <c r="BH344" s="2757">
        <f t="shared" ca="1" si="604"/>
        <v>0</v>
      </c>
      <c r="BI344" s="2758">
        <f t="shared" ca="1" si="689"/>
        <v>0</v>
      </c>
    </row>
    <row r="345" spans="1:61" ht="14.5">
      <c r="A345" s="1693">
        <f t="shared" si="660"/>
        <v>345</v>
      </c>
      <c r="B345" s="616">
        <v>1</v>
      </c>
      <c r="C345" s="1693">
        <f t="shared" si="657"/>
        <v>345</v>
      </c>
      <c r="D345" s="616">
        <v>1</v>
      </c>
      <c r="E345" s="709" t="s">
        <v>512</v>
      </c>
      <c r="F345" s="69"/>
      <c r="G345" s="8"/>
      <c r="H345" s="737"/>
      <c r="I345" s="4"/>
      <c r="J345" s="4"/>
      <c r="K345" s="3"/>
      <c r="L345" s="27"/>
      <c r="M345" s="25"/>
      <c r="N345" s="104" t="s">
        <v>89</v>
      </c>
      <c r="O345" s="1"/>
      <c r="P345" s="1"/>
      <c r="Q345" s="1"/>
      <c r="R345" s="1787" t="str">
        <f>CHOOSE(2, "6722000003264", "PL (4) CAI Directly assigned Fixed Expenses")</f>
        <v>PL (4) CAI Directly assigned Fixed Expenses</v>
      </c>
      <c r="S345" s="1352"/>
      <c r="T345" s="1352"/>
      <c r="U345" s="1352"/>
      <c r="V345" s="1352"/>
      <c r="W345" s="1352"/>
      <c r="X345" s="1352"/>
      <c r="Y345" s="1282"/>
      <c r="Z345" s="1282"/>
      <c r="AA345" s="1282"/>
      <c r="AB345" s="1353"/>
      <c r="AC345" s="1353"/>
      <c r="AD345" s="1353"/>
      <c r="AE345" s="122">
        <f>SUM(S345,T345,U345)</f>
        <v>0</v>
      </c>
      <c r="AF345" s="123">
        <f>SUM(V345,W345,X345)</f>
        <v>0</v>
      </c>
      <c r="AG345" s="123">
        <f>SUM(Y345,Z345,AA345)</f>
        <v>0</v>
      </c>
      <c r="AH345" s="123">
        <f>SUM(AB345,AC345,AD345)</f>
        <v>0</v>
      </c>
      <c r="AI345" s="123">
        <f>AE345+AF345</f>
        <v>0</v>
      </c>
      <c r="AJ345" s="123">
        <f>AH345+AG345</f>
        <v>0</v>
      </c>
      <c r="AK345" s="123">
        <f>AI345+AJ345</f>
        <v>0</v>
      </c>
      <c r="AM345" s="2494">
        <f ca="1">SUM((INDIRECT(AM$2&amp;(ROW())):INDIRECT(AM$3&amp;(ROW()))))</f>
        <v>0</v>
      </c>
      <c r="AN345" s="1980">
        <f ca="1">SUM(INDIRECT(AN$1&amp;AN$2&amp;$C345):INDIRECT(AN$1&amp;AN$3&amp;$C345))</f>
        <v>0</v>
      </c>
      <c r="AO345" s="2759">
        <f t="shared" ca="1" si="653"/>
        <v>0</v>
      </c>
      <c r="AP345" s="2760">
        <f t="shared" ca="1" si="684"/>
        <v>0</v>
      </c>
      <c r="AQ345" s="1979">
        <f ca="1">SUM(INDIRECT(AQ$1&amp;AQ$2&amp;$A345):INDIRECT(AQ$1&amp;AQ$3&amp;$A345))+SUM(INDIRECT(AQ$1&amp;AQ$2&amp;$B345):INDIRECT(AQ$1&amp;AQ$3&amp;$B345))</f>
        <v>0</v>
      </c>
      <c r="AR345" s="2742">
        <f t="shared" ca="1" si="535"/>
        <v>0</v>
      </c>
      <c r="AS345" s="2743">
        <f t="shared" ca="1" si="685"/>
        <v>0</v>
      </c>
      <c r="AU345" s="2494">
        <f ca="1">SUM((INDIRECT(AU$2&amp;(ROW())):INDIRECT(AU$3&amp;(ROW()))))</f>
        <v>0</v>
      </c>
      <c r="AV345" s="1980">
        <f ca="1">SUM(INDIRECT(AV$1&amp;AV$2&amp;$C345):INDIRECT(AV$1&amp;AV$3&amp;$C345))</f>
        <v>0</v>
      </c>
      <c r="AW345" s="2759">
        <f t="shared" ca="1" si="598"/>
        <v>0</v>
      </c>
      <c r="AX345" s="2760">
        <f t="shared" ca="1" si="686"/>
        <v>0</v>
      </c>
      <c r="AY345" s="1979">
        <f ca="1">SUM(INDIRECT(AY$1&amp;AY$2&amp;$A345):INDIRECT(AY$1&amp;AY$3&amp;$A345))+SUM(INDIRECT(AY$1&amp;AY$2&amp;$B345):INDIRECT(AY$1&amp;AY$3&amp;$B345))</f>
        <v>0</v>
      </c>
      <c r="AZ345" s="2742">
        <f t="shared" ca="1" si="600"/>
        <v>0</v>
      </c>
      <c r="BA345" s="2743">
        <f t="shared" ca="1" si="687"/>
        <v>0</v>
      </c>
      <c r="BB345" s="69"/>
      <c r="BC345" s="1379">
        <f ca="1">SUM((INDIRECT(BC$2&amp;(ROW())):INDIRECT(BC$3&amp;(ROW()))))</f>
        <v>0</v>
      </c>
      <c r="BD345" s="1979">
        <f ca="1">SUM(INDIRECT(BD$1&amp;BD$2&amp;$C345):INDIRECT(BD$1&amp;BD$3&amp;$C345))</f>
        <v>0</v>
      </c>
      <c r="BE345" s="2742">
        <f t="shared" ca="1" si="602"/>
        <v>0</v>
      </c>
      <c r="BF345" s="2743">
        <f t="shared" ca="1" si="688"/>
        <v>0</v>
      </c>
      <c r="BG345" s="1979">
        <f ca="1">SUM(INDIRECT(BG$1&amp;BG$2&amp;$A345):INDIRECT(BG$1&amp;BG$3&amp;$A345))+SUM(INDIRECT(BG$1&amp;BG$2&amp;$B345):INDIRECT(BG$1&amp;BG$3&amp;$B345))</f>
        <v>0</v>
      </c>
      <c r="BH345" s="2742">
        <f t="shared" ca="1" si="604"/>
        <v>0</v>
      </c>
      <c r="BI345" s="2743">
        <f t="shared" ca="1" si="689"/>
        <v>0</v>
      </c>
    </row>
    <row r="346" spans="1:61" ht="14.5">
      <c r="A346" s="1693">
        <f t="shared" si="660"/>
        <v>346</v>
      </c>
      <c r="B346" s="616">
        <v>1</v>
      </c>
      <c r="C346" s="1693">
        <f t="shared" si="657"/>
        <v>346</v>
      </c>
      <c r="D346" s="616">
        <v>1</v>
      </c>
      <c r="E346" s="709" t="s">
        <v>512</v>
      </c>
      <c r="F346" s="69"/>
      <c r="G346" s="8"/>
      <c r="H346" s="737"/>
      <c r="I346" s="4"/>
      <c r="J346" s="4"/>
      <c r="K346" s="3"/>
      <c r="L346" s="27"/>
      <c r="M346" s="572" t="s">
        <v>510</v>
      </c>
      <c r="N346" s="586"/>
      <c r="O346" s="586"/>
      <c r="P346" s="586"/>
      <c r="Q346" s="586"/>
      <c r="R346" s="1786" t="str">
        <f>CHOOSE(2, "6722000003265", "PL (4) CAI Allocation")</f>
        <v>PL (4) CAI Allocation</v>
      </c>
      <c r="S346" s="1421">
        <f>SUM(S348:S350)</f>
        <v>0</v>
      </c>
      <c r="T346" s="1421">
        <f t="shared" ref="T346:AD346" si="690">SUM(T348:T350)</f>
        <v>0</v>
      </c>
      <c r="U346" s="1421">
        <f t="shared" si="690"/>
        <v>0</v>
      </c>
      <c r="V346" s="1421">
        <f t="shared" si="690"/>
        <v>0</v>
      </c>
      <c r="W346" s="1421">
        <f t="shared" si="690"/>
        <v>0</v>
      </c>
      <c r="X346" s="1421">
        <f t="shared" si="690"/>
        <v>0</v>
      </c>
      <c r="Y346" s="1384">
        <f t="shared" si="690"/>
        <v>0</v>
      </c>
      <c r="Z346" s="1384">
        <f t="shared" si="690"/>
        <v>0</v>
      </c>
      <c r="AA346" s="1384">
        <f t="shared" si="690"/>
        <v>0</v>
      </c>
      <c r="AB346" s="1385">
        <f t="shared" si="690"/>
        <v>0</v>
      </c>
      <c r="AC346" s="1385">
        <f t="shared" si="690"/>
        <v>0</v>
      </c>
      <c r="AD346" s="1385">
        <f t="shared" si="690"/>
        <v>0</v>
      </c>
      <c r="AE346" s="881">
        <f t="shared" ref="AE346:AK346" si="691">SUM(AE348:AE350)</f>
        <v>0</v>
      </c>
      <c r="AF346" s="1616">
        <f t="shared" si="691"/>
        <v>0</v>
      </c>
      <c r="AG346" s="1616">
        <f t="shared" si="691"/>
        <v>0</v>
      </c>
      <c r="AH346" s="1616">
        <f t="shared" si="691"/>
        <v>0</v>
      </c>
      <c r="AI346" s="1616">
        <f t="shared" si="691"/>
        <v>0</v>
      </c>
      <c r="AJ346" s="1616">
        <f t="shared" si="691"/>
        <v>0</v>
      </c>
      <c r="AK346" s="1616">
        <f t="shared" si="691"/>
        <v>0</v>
      </c>
      <c r="AM346" s="2470">
        <f ca="1">SUM((INDIRECT(AM$2&amp;(ROW())):INDIRECT(AM$3&amp;(ROW()))))</f>
        <v>0</v>
      </c>
      <c r="AN346" s="2754">
        <f ca="1">SUM(INDIRECT(AN$1&amp;AN$2&amp;$C346):INDIRECT(AN$1&amp;AN$3&amp;$C346))</f>
        <v>0</v>
      </c>
      <c r="AO346" s="2755">
        <f t="shared" ca="1" si="653"/>
        <v>0</v>
      </c>
      <c r="AP346" s="2756">
        <f t="shared" ca="1" si="684"/>
        <v>0</v>
      </c>
      <c r="AQ346" s="2043">
        <f ca="1">SUM(INDIRECT(AQ$1&amp;AQ$2&amp;$A346):INDIRECT(AQ$1&amp;AQ$3&amp;$A346))+SUM(INDIRECT(AQ$1&amp;AQ$2&amp;$B346):INDIRECT(AQ$1&amp;AQ$3&amp;$B346))</f>
        <v>0</v>
      </c>
      <c r="AR346" s="2757">
        <f t="shared" ref="AR346:AR408" ca="1" si="692">AM346-AQ346</f>
        <v>0</v>
      </c>
      <c r="AS346" s="2758">
        <f t="shared" ca="1" si="685"/>
        <v>0</v>
      </c>
      <c r="AU346" s="2470">
        <f ca="1">SUM((INDIRECT(AU$2&amp;(ROW())):INDIRECT(AU$3&amp;(ROW()))))</f>
        <v>0</v>
      </c>
      <c r="AV346" s="2754">
        <f ca="1">SUM(INDIRECT(AV$1&amp;AV$2&amp;$C346):INDIRECT(AV$1&amp;AV$3&amp;$C346))</f>
        <v>0</v>
      </c>
      <c r="AW346" s="2755">
        <f t="shared" ca="1" si="598"/>
        <v>0</v>
      </c>
      <c r="AX346" s="2756">
        <f t="shared" ca="1" si="686"/>
        <v>0</v>
      </c>
      <c r="AY346" s="2043">
        <f ca="1">SUM(INDIRECT(AY$1&amp;AY$2&amp;$A346):INDIRECT(AY$1&amp;AY$3&amp;$A346))+SUM(INDIRECT(AY$1&amp;AY$2&amp;$B346):INDIRECT(AY$1&amp;AY$3&amp;$B346))</f>
        <v>0</v>
      </c>
      <c r="AZ346" s="2757">
        <f t="shared" ca="1" si="600"/>
        <v>0</v>
      </c>
      <c r="BA346" s="2758">
        <f t="shared" ca="1" si="687"/>
        <v>0</v>
      </c>
      <c r="BB346" s="69"/>
      <c r="BC346" s="1378">
        <f ca="1">SUM((INDIRECT(BC$2&amp;(ROW())):INDIRECT(BC$3&amp;(ROW()))))</f>
        <v>0</v>
      </c>
      <c r="BD346" s="2043">
        <f ca="1">SUM(INDIRECT(BD$1&amp;BD$2&amp;$C346):INDIRECT(BD$1&amp;BD$3&amp;$C346))</f>
        <v>0</v>
      </c>
      <c r="BE346" s="2757">
        <f t="shared" ca="1" si="602"/>
        <v>0</v>
      </c>
      <c r="BF346" s="2758">
        <f t="shared" ca="1" si="688"/>
        <v>0</v>
      </c>
      <c r="BG346" s="2043">
        <f ca="1">SUM(INDIRECT(BG$1&amp;BG$2&amp;$A346):INDIRECT(BG$1&amp;BG$3&amp;$A346))+SUM(INDIRECT(BG$1&amp;BG$2&amp;$B346):INDIRECT(BG$1&amp;BG$3&amp;$B346))</f>
        <v>0</v>
      </c>
      <c r="BH346" s="2757">
        <f t="shared" ca="1" si="604"/>
        <v>0</v>
      </c>
      <c r="BI346" s="2758">
        <f t="shared" ca="1" si="689"/>
        <v>0</v>
      </c>
    </row>
    <row r="347" spans="1:61" ht="14.5">
      <c r="A347" s="1693">
        <f t="shared" si="660"/>
        <v>347</v>
      </c>
      <c r="B347" s="616">
        <v>1</v>
      </c>
      <c r="C347" s="1693">
        <f t="shared" si="657"/>
        <v>347</v>
      </c>
      <c r="D347" s="616">
        <v>1</v>
      </c>
      <c r="E347" s="709" t="s">
        <v>512</v>
      </c>
      <c r="F347" s="69"/>
      <c r="G347" s="8"/>
      <c r="H347" s="737"/>
      <c r="I347" s="4"/>
      <c r="J347" s="4"/>
      <c r="K347" s="3"/>
      <c r="L347" s="27"/>
      <c r="M347" s="498"/>
      <c r="N347" s="553" t="s">
        <v>513</v>
      </c>
      <c r="O347" s="47"/>
      <c r="P347" s="47"/>
      <c r="Q347" s="47"/>
      <c r="R347" s="1776" t="str">
        <f>CHOOSE(2, "6722000003266", "PL (4) CAI Allocation SGA (%)")</f>
        <v>PL (4) CAI Allocation SGA (%)</v>
      </c>
      <c r="S347" s="1334">
        <f>IFERROR(S346/S331,0)</f>
        <v>0</v>
      </c>
      <c r="T347" s="1334">
        <f t="shared" ref="T347:AD347" si="693">IFERROR(T346/T331,0)</f>
        <v>0</v>
      </c>
      <c r="U347" s="1334">
        <f t="shared" si="693"/>
        <v>0</v>
      </c>
      <c r="V347" s="1334">
        <f t="shared" si="693"/>
        <v>0</v>
      </c>
      <c r="W347" s="1334">
        <f t="shared" si="693"/>
        <v>0</v>
      </c>
      <c r="X347" s="1334">
        <f t="shared" si="693"/>
        <v>0</v>
      </c>
      <c r="Y347" s="1334">
        <f t="shared" si="693"/>
        <v>0</v>
      </c>
      <c r="Z347" s="1334">
        <f t="shared" si="693"/>
        <v>0</v>
      </c>
      <c r="AA347" s="1334">
        <f t="shared" si="693"/>
        <v>0</v>
      </c>
      <c r="AB347" s="1334">
        <f t="shared" si="693"/>
        <v>0</v>
      </c>
      <c r="AC347" s="1334">
        <f t="shared" si="693"/>
        <v>0</v>
      </c>
      <c r="AD347" s="1334">
        <f t="shared" si="693"/>
        <v>0</v>
      </c>
      <c r="AE347" s="1332">
        <f t="shared" ref="AE347:AK347" si="694">IFERROR(AE346/AE331,0)</f>
        <v>0</v>
      </c>
      <c r="AF347" s="1334">
        <f t="shared" si="694"/>
        <v>0</v>
      </c>
      <c r="AG347" s="1334">
        <f t="shared" si="694"/>
        <v>0</v>
      </c>
      <c r="AH347" s="1334">
        <f t="shared" si="694"/>
        <v>0</v>
      </c>
      <c r="AI347" s="1334">
        <f t="shared" si="694"/>
        <v>0</v>
      </c>
      <c r="AJ347" s="1334">
        <f t="shared" si="694"/>
        <v>0</v>
      </c>
      <c r="AK347" s="1334">
        <f t="shared" si="694"/>
        <v>0</v>
      </c>
      <c r="AM347" s="2761">
        <f ca="1">IFERROR(AM346/AM331,0)</f>
        <v>0</v>
      </c>
      <c r="AN347" s="2761">
        <f ca="1">IFERROR(AN346/AN331,0)</f>
        <v>0</v>
      </c>
      <c r="AO347" s="2761">
        <f t="shared" ca="1" si="653"/>
        <v>0</v>
      </c>
      <c r="AP347" s="2762"/>
      <c r="AQ347" s="2761">
        <f ca="1">IFERROR(AQ346/AQ331,0)</f>
        <v>0</v>
      </c>
      <c r="AR347" s="2761">
        <f t="shared" ref="AR347" ca="1" si="695">IFERROR(AR346/AR327,0)</f>
        <v>0</v>
      </c>
      <c r="AS347" s="2763"/>
      <c r="AU347" s="2761">
        <f ca="1">IFERROR(AU346/AU331,0)</f>
        <v>0</v>
      </c>
      <c r="AV347" s="2761">
        <f ca="1">IFERROR(AV346/AV331,0)</f>
        <v>0</v>
      </c>
      <c r="AW347" s="2761">
        <f t="shared" ca="1" si="598"/>
        <v>0</v>
      </c>
      <c r="AX347" s="2762"/>
      <c r="AY347" s="2761">
        <f ca="1">IFERROR(AY346/AY331,0)</f>
        <v>0</v>
      </c>
      <c r="AZ347" s="2761">
        <f t="shared" ref="AZ347" ca="1" si="696">IFERROR(AZ346/AZ327,0)</f>
        <v>0</v>
      </c>
      <c r="BA347" s="2763"/>
      <c r="BB347" s="69"/>
      <c r="BC347" s="2761">
        <f ca="1">IFERROR(BC346/BC331,0)</f>
        <v>0</v>
      </c>
      <c r="BD347" s="2761">
        <f ca="1">IFERROR(BD346/BD331,0)</f>
        <v>0</v>
      </c>
      <c r="BE347" s="2761">
        <f t="shared" ca="1" si="602"/>
        <v>0</v>
      </c>
      <c r="BF347" s="2764"/>
      <c r="BG347" s="2761">
        <f ca="1">IFERROR(BG346/BG331,0)</f>
        <v>0</v>
      </c>
      <c r="BH347" s="2761">
        <f t="shared" ref="BH347" ca="1" si="697">IFERROR(BH346/BH327,0)</f>
        <v>0</v>
      </c>
      <c r="BI347" s="2763"/>
    </row>
    <row r="348" spans="1:61" ht="14.5">
      <c r="A348" s="1693">
        <f t="shared" si="660"/>
        <v>348</v>
      </c>
      <c r="B348" s="616">
        <v>1</v>
      </c>
      <c r="C348" s="1693">
        <f t="shared" si="657"/>
        <v>348</v>
      </c>
      <c r="D348" s="616">
        <v>1</v>
      </c>
      <c r="E348" s="709" t="s">
        <v>512</v>
      </c>
      <c r="F348" s="69"/>
      <c r="G348" s="8"/>
      <c r="H348" s="737"/>
      <c r="I348" s="4"/>
      <c r="J348" s="4"/>
      <c r="K348" s="3"/>
      <c r="L348" s="27"/>
      <c r="M348" s="27"/>
      <c r="N348" s="36" t="s">
        <v>87</v>
      </c>
      <c r="O348" s="3"/>
      <c r="P348" s="3"/>
      <c r="Q348" s="3"/>
      <c r="R348" s="1786" t="str">
        <f>CHOOSE(2, "6722000003267", "PL (4) CAI Allocation Variable Expenses")</f>
        <v>PL (4) CAI Allocation Variable Expenses</v>
      </c>
      <c r="S348" s="1289">
        <f>S332-S343</f>
        <v>0</v>
      </c>
      <c r="T348" s="1289">
        <f t="shared" ref="T348:AD348" si="698">T332-T343</f>
        <v>0</v>
      </c>
      <c r="U348" s="1289">
        <f t="shared" si="698"/>
        <v>0</v>
      </c>
      <c r="V348" s="1289">
        <f t="shared" si="698"/>
        <v>0</v>
      </c>
      <c r="W348" s="1289">
        <f t="shared" si="698"/>
        <v>0</v>
      </c>
      <c r="X348" s="1289">
        <f t="shared" si="698"/>
        <v>0</v>
      </c>
      <c r="Y348" s="1226">
        <f t="shared" si="698"/>
        <v>0</v>
      </c>
      <c r="Z348" s="1226">
        <f t="shared" si="698"/>
        <v>0</v>
      </c>
      <c r="AA348" s="1226">
        <f t="shared" si="698"/>
        <v>0</v>
      </c>
      <c r="AB348" s="1419">
        <f t="shared" si="698"/>
        <v>0</v>
      </c>
      <c r="AC348" s="1419">
        <f t="shared" si="698"/>
        <v>0</v>
      </c>
      <c r="AD348" s="1419">
        <f t="shared" si="698"/>
        <v>0</v>
      </c>
      <c r="AE348" s="1617">
        <f>SUM(S348,T348,U348)</f>
        <v>0</v>
      </c>
      <c r="AF348" s="1419">
        <f>SUM(V348,W348,X348)</f>
        <v>0</v>
      </c>
      <c r="AG348" s="1419">
        <f>SUM(Y348,Z348,AA348)</f>
        <v>0</v>
      </c>
      <c r="AH348" s="1419">
        <f>SUM(AB348,AC348,AD348)</f>
        <v>0</v>
      </c>
      <c r="AI348" s="1419">
        <f>AE348+AF348</f>
        <v>0</v>
      </c>
      <c r="AJ348" s="1419">
        <f>AH348+AG348</f>
        <v>0</v>
      </c>
      <c r="AK348" s="1419">
        <f>AI348+AJ348</f>
        <v>0</v>
      </c>
      <c r="AM348" s="2470">
        <f ca="1">SUM((INDIRECT(AM$2&amp;(ROW())):INDIRECT(AM$3&amp;(ROW()))))</f>
        <v>0</v>
      </c>
      <c r="AN348" s="2754">
        <f ca="1">SUM(INDIRECT(AN$1&amp;AN$2&amp;$C348):INDIRECT(AN$1&amp;AN$3&amp;$C348))</f>
        <v>0</v>
      </c>
      <c r="AO348" s="2755">
        <f t="shared" ca="1" si="653"/>
        <v>0</v>
      </c>
      <c r="AP348" s="2756">
        <f t="shared" ref="AP348:AP350" ca="1" si="699">IFERROR(AM348/AN348,0)</f>
        <v>0</v>
      </c>
      <c r="AQ348" s="2043">
        <f ca="1">SUM(INDIRECT(AQ$1&amp;AQ$2&amp;$A348):INDIRECT(AQ$1&amp;AQ$3&amp;$A348))+SUM(INDIRECT(AQ$1&amp;AQ$2&amp;$B348):INDIRECT(AQ$1&amp;AQ$3&amp;$B348))</f>
        <v>0</v>
      </c>
      <c r="AR348" s="2757">
        <f t="shared" ref="AR348:AR350" ca="1" si="700">AM348-AQ348</f>
        <v>0</v>
      </c>
      <c r="AS348" s="2758">
        <f t="shared" ref="AS348:AS350" ca="1" si="701">IFERROR(AM348/AQ348,0)</f>
        <v>0</v>
      </c>
      <c r="AU348" s="2470">
        <f ca="1">SUM((INDIRECT(AU$2&amp;(ROW())):INDIRECT(AU$3&amp;(ROW()))))</f>
        <v>0</v>
      </c>
      <c r="AV348" s="2754">
        <f ca="1">SUM(INDIRECT(AV$1&amp;AV$2&amp;$C348):INDIRECT(AV$1&amp;AV$3&amp;$C348))</f>
        <v>0</v>
      </c>
      <c r="AW348" s="2755">
        <f t="shared" ca="1" si="598"/>
        <v>0</v>
      </c>
      <c r="AX348" s="2756">
        <f t="shared" ref="AX348:AX350" ca="1" si="702">IFERROR(AU348/AV348,0)</f>
        <v>0</v>
      </c>
      <c r="AY348" s="2043">
        <f ca="1">SUM(INDIRECT(AY$1&amp;AY$2&amp;$A348):INDIRECT(AY$1&amp;AY$3&amp;$A348))+SUM(INDIRECT(AY$1&amp;AY$2&amp;$B348):INDIRECT(AY$1&amp;AY$3&amp;$B348))</f>
        <v>0</v>
      </c>
      <c r="AZ348" s="2757">
        <f t="shared" ref="AZ348:AZ350" ca="1" si="703">AU348-AY348</f>
        <v>0</v>
      </c>
      <c r="BA348" s="2758">
        <f t="shared" ref="BA348:BA350" ca="1" si="704">IFERROR(AU348/AY348,0)</f>
        <v>0</v>
      </c>
      <c r="BB348" s="69"/>
      <c r="BC348" s="1378">
        <f ca="1">SUM((INDIRECT(BC$2&amp;(ROW())):INDIRECT(BC$3&amp;(ROW()))))</f>
        <v>0</v>
      </c>
      <c r="BD348" s="2043">
        <f ca="1">SUM(INDIRECT(BD$1&amp;BD$2&amp;$C348):INDIRECT(BD$1&amp;BD$3&amp;$C348))</f>
        <v>0</v>
      </c>
      <c r="BE348" s="2757">
        <f t="shared" ca="1" si="602"/>
        <v>0</v>
      </c>
      <c r="BF348" s="2758">
        <f t="shared" ref="BF348:BF350" ca="1" si="705">IFERROR(BC348/BD348,0)</f>
        <v>0</v>
      </c>
      <c r="BG348" s="2043">
        <f ca="1">SUM(INDIRECT(BG$1&amp;BG$2&amp;$A348):INDIRECT(BG$1&amp;BG$3&amp;$A348))+SUM(INDIRECT(BG$1&amp;BG$2&amp;$B348):INDIRECT(BG$1&amp;BG$3&amp;$B348))</f>
        <v>0</v>
      </c>
      <c r="BH348" s="2757">
        <f t="shared" ref="BH348:BH350" ca="1" si="706">BC348-BG348</f>
        <v>0</v>
      </c>
      <c r="BI348" s="2758">
        <f t="shared" ref="BI348:BI350" ca="1" si="707">IFERROR(BC348/BG348,0)</f>
        <v>0</v>
      </c>
    </row>
    <row r="349" spans="1:61" ht="14.5">
      <c r="A349" s="1693">
        <f t="shared" si="660"/>
        <v>349</v>
      </c>
      <c r="B349" s="616">
        <v>1</v>
      </c>
      <c r="C349" s="1693">
        <f t="shared" si="657"/>
        <v>349</v>
      </c>
      <c r="D349" s="616">
        <v>1</v>
      </c>
      <c r="E349" s="709" t="s">
        <v>512</v>
      </c>
      <c r="F349" s="69"/>
      <c r="G349" s="8"/>
      <c r="H349" s="737"/>
      <c r="I349" s="4"/>
      <c r="J349" s="4"/>
      <c r="K349" s="3"/>
      <c r="L349" s="27"/>
      <c r="M349" s="27"/>
      <c r="N349" s="36" t="s">
        <v>88</v>
      </c>
      <c r="O349" s="3"/>
      <c r="P349" s="3"/>
      <c r="Q349" s="3"/>
      <c r="R349" s="1786" t="str">
        <f>CHOOSE(2, "6722000003268", "PL (4) CAI Allocation Wages &amp; Salaries")</f>
        <v>PL (4) CAI Allocation Wages &amp; Salaries</v>
      </c>
      <c r="S349" s="1289">
        <f t="shared" ref="S349:AD350" si="708">S333-S344</f>
        <v>0</v>
      </c>
      <c r="T349" s="1289">
        <f t="shared" si="708"/>
        <v>0</v>
      </c>
      <c r="U349" s="1289">
        <f t="shared" si="708"/>
        <v>0</v>
      </c>
      <c r="V349" s="1289">
        <f t="shared" si="708"/>
        <v>0</v>
      </c>
      <c r="W349" s="1289">
        <f t="shared" si="708"/>
        <v>0</v>
      </c>
      <c r="X349" s="1289">
        <f t="shared" si="708"/>
        <v>0</v>
      </c>
      <c r="Y349" s="1226">
        <f t="shared" si="708"/>
        <v>0</v>
      </c>
      <c r="Z349" s="1226">
        <f t="shared" si="708"/>
        <v>0</v>
      </c>
      <c r="AA349" s="1226">
        <f t="shared" si="708"/>
        <v>0</v>
      </c>
      <c r="AB349" s="1419">
        <f t="shared" si="708"/>
        <v>0</v>
      </c>
      <c r="AC349" s="1419">
        <f t="shared" si="708"/>
        <v>0</v>
      </c>
      <c r="AD349" s="1419">
        <f t="shared" si="708"/>
        <v>0</v>
      </c>
      <c r="AE349" s="1617">
        <f>SUM(S349,T349,U349)</f>
        <v>0</v>
      </c>
      <c r="AF349" s="1419">
        <f>SUM(V349,W349,X349)</f>
        <v>0</v>
      </c>
      <c r="AG349" s="1419">
        <f>SUM(Y349,Z349,AA349)</f>
        <v>0</v>
      </c>
      <c r="AH349" s="1419">
        <f>SUM(AB349,AC349,AD349)</f>
        <v>0</v>
      </c>
      <c r="AI349" s="1419">
        <f>AE349+AF349</f>
        <v>0</v>
      </c>
      <c r="AJ349" s="1419">
        <f>AH349+AG349</f>
        <v>0</v>
      </c>
      <c r="AK349" s="1419">
        <f>AI349+AJ349</f>
        <v>0</v>
      </c>
      <c r="AM349" s="2470">
        <f ca="1">SUM((INDIRECT(AM$2&amp;(ROW())):INDIRECT(AM$3&amp;(ROW()))))</f>
        <v>0</v>
      </c>
      <c r="AN349" s="2754">
        <f ca="1">SUM(INDIRECT(AN$1&amp;AN$2&amp;$C349):INDIRECT(AN$1&amp;AN$3&amp;$C349))</f>
        <v>0</v>
      </c>
      <c r="AO349" s="2755">
        <f t="shared" ca="1" si="653"/>
        <v>0</v>
      </c>
      <c r="AP349" s="2756">
        <f t="shared" ca="1" si="699"/>
        <v>0</v>
      </c>
      <c r="AQ349" s="2043">
        <f ca="1">SUM(INDIRECT(AQ$1&amp;AQ$2&amp;$A349):INDIRECT(AQ$1&amp;AQ$3&amp;$A349))+SUM(INDIRECT(AQ$1&amp;AQ$2&amp;$B349):INDIRECT(AQ$1&amp;AQ$3&amp;$B349))</f>
        <v>0</v>
      </c>
      <c r="AR349" s="2757">
        <f t="shared" ca="1" si="700"/>
        <v>0</v>
      </c>
      <c r="AS349" s="2758">
        <f t="shared" ca="1" si="701"/>
        <v>0</v>
      </c>
      <c r="AU349" s="2470">
        <f ca="1">SUM((INDIRECT(AU$2&amp;(ROW())):INDIRECT(AU$3&amp;(ROW()))))</f>
        <v>0</v>
      </c>
      <c r="AV349" s="2754">
        <f ca="1">SUM(INDIRECT(AV$1&amp;AV$2&amp;$C349):INDIRECT(AV$1&amp;AV$3&amp;$C349))</f>
        <v>0</v>
      </c>
      <c r="AW349" s="2755">
        <f t="shared" ca="1" si="598"/>
        <v>0</v>
      </c>
      <c r="AX349" s="2756">
        <f t="shared" ca="1" si="702"/>
        <v>0</v>
      </c>
      <c r="AY349" s="2043">
        <f ca="1">SUM(INDIRECT(AY$1&amp;AY$2&amp;$A349):INDIRECT(AY$1&amp;AY$3&amp;$A349))+SUM(INDIRECT(AY$1&amp;AY$2&amp;$B349):INDIRECT(AY$1&amp;AY$3&amp;$B349))</f>
        <v>0</v>
      </c>
      <c r="AZ349" s="2757">
        <f t="shared" ca="1" si="703"/>
        <v>0</v>
      </c>
      <c r="BA349" s="2758">
        <f t="shared" ca="1" si="704"/>
        <v>0</v>
      </c>
      <c r="BB349" s="69"/>
      <c r="BC349" s="1378">
        <f ca="1">SUM((INDIRECT(BC$2&amp;(ROW())):INDIRECT(BC$3&amp;(ROW()))))</f>
        <v>0</v>
      </c>
      <c r="BD349" s="2043">
        <f ca="1">SUM(INDIRECT(BD$1&amp;BD$2&amp;$C349):INDIRECT(BD$1&amp;BD$3&amp;$C349))</f>
        <v>0</v>
      </c>
      <c r="BE349" s="2757">
        <f t="shared" ca="1" si="602"/>
        <v>0</v>
      </c>
      <c r="BF349" s="2758">
        <f t="shared" ca="1" si="705"/>
        <v>0</v>
      </c>
      <c r="BG349" s="2043">
        <f ca="1">SUM(INDIRECT(BG$1&amp;BG$2&amp;$A349):INDIRECT(BG$1&amp;BG$3&amp;$A349))+SUM(INDIRECT(BG$1&amp;BG$2&amp;$B349):INDIRECT(BG$1&amp;BG$3&amp;$B349))</f>
        <v>0</v>
      </c>
      <c r="BH349" s="2757">
        <f t="shared" ca="1" si="706"/>
        <v>0</v>
      </c>
      <c r="BI349" s="2758">
        <f t="shared" ca="1" si="707"/>
        <v>0</v>
      </c>
    </row>
    <row r="350" spans="1:61" ht="14.5">
      <c r="A350" s="1693">
        <f t="shared" si="660"/>
        <v>350</v>
      </c>
      <c r="B350" s="616">
        <v>1</v>
      </c>
      <c r="C350" s="1693">
        <f t="shared" si="657"/>
        <v>350</v>
      </c>
      <c r="D350" s="616">
        <v>1</v>
      </c>
      <c r="E350" s="709" t="s">
        <v>512</v>
      </c>
      <c r="F350" s="69"/>
      <c r="G350" s="8"/>
      <c r="H350" s="737"/>
      <c r="I350" s="4"/>
      <c r="J350" s="4"/>
      <c r="K350" s="3"/>
      <c r="L350" s="25"/>
      <c r="M350" s="25"/>
      <c r="N350" s="104" t="s">
        <v>89</v>
      </c>
      <c r="O350" s="1"/>
      <c r="P350" s="1"/>
      <c r="Q350" s="1"/>
      <c r="R350" s="1786" t="str">
        <f>CHOOSE(2, "6722000003269", "PL (4) CAI Allocation Fixed Expenses")</f>
        <v>PL (4) CAI Allocation Fixed Expenses</v>
      </c>
      <c r="S350" s="1290">
        <f t="shared" si="708"/>
        <v>0</v>
      </c>
      <c r="T350" s="1290">
        <f t="shared" si="708"/>
        <v>0</v>
      </c>
      <c r="U350" s="1290">
        <f t="shared" si="708"/>
        <v>0</v>
      </c>
      <c r="V350" s="1290">
        <f t="shared" si="708"/>
        <v>0</v>
      </c>
      <c r="W350" s="1290">
        <f t="shared" si="708"/>
        <v>0</v>
      </c>
      <c r="X350" s="1290">
        <f t="shared" si="708"/>
        <v>0</v>
      </c>
      <c r="Y350" s="1228">
        <f t="shared" si="708"/>
        <v>0</v>
      </c>
      <c r="Z350" s="1228">
        <f t="shared" si="708"/>
        <v>0</v>
      </c>
      <c r="AA350" s="1228">
        <f t="shared" si="708"/>
        <v>0</v>
      </c>
      <c r="AB350" s="1605">
        <f t="shared" si="708"/>
        <v>0</v>
      </c>
      <c r="AC350" s="1605">
        <f t="shared" si="708"/>
        <v>0</v>
      </c>
      <c r="AD350" s="1605">
        <f t="shared" si="708"/>
        <v>0</v>
      </c>
      <c r="AE350" s="1606">
        <f>SUM(S350,T350,U350)</f>
        <v>0</v>
      </c>
      <c r="AF350" s="1605">
        <f>SUM(V350,W350,X350)</f>
        <v>0</v>
      </c>
      <c r="AG350" s="1605">
        <f>SUM(Y350,Z350,AA350)</f>
        <v>0</v>
      </c>
      <c r="AH350" s="1605">
        <f>SUM(AB350,AC350,AD350)</f>
        <v>0</v>
      </c>
      <c r="AI350" s="1605">
        <f>AE350+AF350</f>
        <v>0</v>
      </c>
      <c r="AJ350" s="1605">
        <f>AH350+AG350</f>
        <v>0</v>
      </c>
      <c r="AK350" s="1605">
        <f>AI350+AJ350</f>
        <v>0</v>
      </c>
      <c r="AM350" s="2494">
        <f ca="1">SUM((INDIRECT(AM$2&amp;(ROW())):INDIRECT(AM$3&amp;(ROW()))))</f>
        <v>0</v>
      </c>
      <c r="AN350" s="1980">
        <f ca="1">SUM(INDIRECT(AN$1&amp;AN$2&amp;$C350):INDIRECT(AN$1&amp;AN$3&amp;$C350))</f>
        <v>0</v>
      </c>
      <c r="AO350" s="2759">
        <f t="shared" ca="1" si="653"/>
        <v>0</v>
      </c>
      <c r="AP350" s="2760">
        <f t="shared" ca="1" si="699"/>
        <v>0</v>
      </c>
      <c r="AQ350" s="1979">
        <f ca="1">SUM(INDIRECT(AQ$1&amp;AQ$2&amp;$A350):INDIRECT(AQ$1&amp;AQ$3&amp;$A350))+SUM(INDIRECT(AQ$1&amp;AQ$2&amp;$B350):INDIRECT(AQ$1&amp;AQ$3&amp;$B350))</f>
        <v>0</v>
      </c>
      <c r="AR350" s="2742">
        <f t="shared" ca="1" si="700"/>
        <v>0</v>
      </c>
      <c r="AS350" s="2743">
        <f t="shared" ca="1" si="701"/>
        <v>0</v>
      </c>
      <c r="AU350" s="2494">
        <f ca="1">SUM((INDIRECT(AU$2&amp;(ROW())):INDIRECT(AU$3&amp;(ROW()))))</f>
        <v>0</v>
      </c>
      <c r="AV350" s="1980">
        <f ca="1">SUM(INDIRECT(AV$1&amp;AV$2&amp;$C350):INDIRECT(AV$1&amp;AV$3&amp;$C350))</f>
        <v>0</v>
      </c>
      <c r="AW350" s="2759">
        <f t="shared" ca="1" si="598"/>
        <v>0</v>
      </c>
      <c r="AX350" s="2760">
        <f t="shared" ca="1" si="702"/>
        <v>0</v>
      </c>
      <c r="AY350" s="1979">
        <f ca="1">SUM(INDIRECT(AY$1&amp;AY$2&amp;$A350):INDIRECT(AY$1&amp;AY$3&amp;$A350))+SUM(INDIRECT(AY$1&amp;AY$2&amp;$B350):INDIRECT(AY$1&amp;AY$3&amp;$B350))</f>
        <v>0</v>
      </c>
      <c r="AZ350" s="2742">
        <f t="shared" ca="1" si="703"/>
        <v>0</v>
      </c>
      <c r="BA350" s="2743">
        <f t="shared" ca="1" si="704"/>
        <v>0</v>
      </c>
      <c r="BB350" s="69"/>
      <c r="BC350" s="1379">
        <f ca="1">SUM((INDIRECT(BC$2&amp;(ROW())):INDIRECT(BC$3&amp;(ROW()))))</f>
        <v>0</v>
      </c>
      <c r="BD350" s="1979">
        <f ca="1">SUM(INDIRECT(BD$1&amp;BD$2&amp;$C350):INDIRECT(BD$1&amp;BD$3&amp;$C350))</f>
        <v>0</v>
      </c>
      <c r="BE350" s="2742">
        <f t="shared" ca="1" si="602"/>
        <v>0</v>
      </c>
      <c r="BF350" s="2743">
        <f t="shared" ca="1" si="705"/>
        <v>0</v>
      </c>
      <c r="BG350" s="1979">
        <f ca="1">SUM(INDIRECT(BG$1&amp;BG$2&amp;$A350):INDIRECT(BG$1&amp;BG$3&amp;$A350))+SUM(INDIRECT(BG$1&amp;BG$2&amp;$B350):INDIRECT(BG$1&amp;BG$3&amp;$B350))</f>
        <v>0</v>
      </c>
      <c r="BH350" s="2742">
        <f t="shared" ca="1" si="706"/>
        <v>0</v>
      </c>
      <c r="BI350" s="2743">
        <f t="shared" ca="1" si="707"/>
        <v>0</v>
      </c>
    </row>
    <row r="351" spans="1:61" ht="14.5">
      <c r="A351" s="1693">
        <f t="shared" si="660"/>
        <v>351</v>
      </c>
      <c r="B351" s="616">
        <v>1</v>
      </c>
      <c r="C351" s="1693">
        <f t="shared" si="657"/>
        <v>351</v>
      </c>
      <c r="D351" s="616">
        <v>1</v>
      </c>
      <c r="E351" s="709" t="s">
        <v>512</v>
      </c>
      <c r="F351" s="1572"/>
      <c r="G351" s="4"/>
      <c r="H351" s="4"/>
      <c r="I351" s="4"/>
      <c r="J351" s="4"/>
      <c r="K351" s="3"/>
      <c r="L351" s="4"/>
      <c r="M351" s="4"/>
      <c r="N351" s="3"/>
      <c r="O351" s="3"/>
      <c r="P351" s="3"/>
      <c r="Q351" s="3"/>
      <c r="R351" s="1773" t="str">
        <f>CHOOSE(2, "6722000003270", "▷ Blank 15")</f>
        <v>▷ Blank 15</v>
      </c>
      <c r="S351" s="1608"/>
      <c r="T351" s="1609"/>
      <c r="U351" s="1609"/>
      <c r="V351" s="1609"/>
      <c r="W351" s="1609"/>
      <c r="X351" s="1609"/>
      <c r="Y351" s="1366"/>
      <c r="Z351" s="1366"/>
      <c r="AA351" s="1366"/>
      <c r="AB351" s="1242"/>
      <c r="AC351" s="1242"/>
      <c r="AD351" s="1242"/>
      <c r="AE351" s="1242"/>
      <c r="AF351" s="1242"/>
      <c r="AG351" s="1242"/>
      <c r="AH351" s="1242"/>
      <c r="AI351" s="1242"/>
      <c r="AJ351" s="1242"/>
      <c r="AK351" s="608"/>
      <c r="AM351" s="2558"/>
      <c r="AN351" s="2558"/>
      <c r="AO351" s="2558"/>
      <c r="AP351" s="2558"/>
      <c r="AQ351" s="2558"/>
      <c r="AR351" s="2558"/>
      <c r="AS351" s="2558"/>
      <c r="AU351" s="2558"/>
      <c r="AV351" s="2558"/>
      <c r="AW351" s="2558"/>
      <c r="AX351" s="2558"/>
      <c r="AY351" s="2558"/>
      <c r="AZ351" s="2558"/>
      <c r="BA351" s="2558"/>
      <c r="BC351" s="2558"/>
      <c r="BD351" s="2558"/>
      <c r="BE351" s="2558"/>
      <c r="BF351" s="2558"/>
      <c r="BG351" s="2558"/>
      <c r="BH351" s="2558"/>
      <c r="BI351" s="2558"/>
    </row>
    <row r="352" spans="1:61" ht="14.5">
      <c r="A352" s="1693">
        <f t="shared" si="660"/>
        <v>352</v>
      </c>
      <c r="B352" s="616">
        <v>1</v>
      </c>
      <c r="C352" s="1693">
        <f t="shared" si="657"/>
        <v>352</v>
      </c>
      <c r="D352" s="616">
        <v>1</v>
      </c>
      <c r="E352" s="709" t="s">
        <v>512</v>
      </c>
      <c r="F352" s="1572"/>
      <c r="G352" s="8"/>
      <c r="H352" s="4"/>
      <c r="I352" s="4" t="s">
        <v>539</v>
      </c>
      <c r="J352" s="4"/>
      <c r="K352" s="3"/>
      <c r="L352" s="4"/>
      <c r="M352" s="4"/>
      <c r="N352" s="3"/>
      <c r="O352" s="3"/>
      <c r="P352" s="3"/>
      <c r="Q352" s="3"/>
      <c r="R352" s="1773" t="str">
        <f>CHOOSE(2, "6722000003271", "PL (5) DW-DX")</f>
        <v>PL (5) DW-DX</v>
      </c>
      <c r="S352" s="1608"/>
      <c r="T352" s="1609"/>
      <c r="U352" s="1609"/>
      <c r="V352" s="1609"/>
      <c r="W352" s="1609"/>
      <c r="X352" s="1609"/>
      <c r="Y352" s="1366"/>
      <c r="Z352" s="1366"/>
      <c r="AA352" s="1366"/>
      <c r="AB352" s="1366"/>
      <c r="AC352" s="1366"/>
      <c r="AD352" s="1366"/>
      <c r="AE352" s="1366"/>
      <c r="AF352" s="1366"/>
      <c r="AG352" s="1366"/>
      <c r="AH352" s="1366"/>
      <c r="AI352" s="1366"/>
      <c r="AJ352" s="1366"/>
      <c r="AK352" s="1366"/>
      <c r="AM352" s="1210"/>
      <c r="AN352" s="1210"/>
      <c r="AO352" s="1210"/>
      <c r="AP352" s="1210"/>
      <c r="AQ352" s="1210"/>
      <c r="AR352" s="1210"/>
      <c r="AS352" s="1210"/>
      <c r="AU352" s="1210"/>
      <c r="AV352" s="1210"/>
      <c r="AW352" s="1210"/>
      <c r="AX352" s="1210"/>
      <c r="AY352" s="1210"/>
      <c r="AZ352" s="1210"/>
      <c r="BA352" s="1210"/>
      <c r="BC352" s="1210"/>
      <c r="BD352" s="1210"/>
      <c r="BE352" s="1210"/>
      <c r="BF352" s="1210"/>
      <c r="BG352" s="1210"/>
      <c r="BH352" s="1210"/>
      <c r="BI352" s="1210"/>
    </row>
    <row r="353" spans="1:61" ht="14.5">
      <c r="A353" s="1693">
        <f t="shared" si="660"/>
        <v>353</v>
      </c>
      <c r="B353" s="616">
        <v>1</v>
      </c>
      <c r="C353" s="1693">
        <f t="shared" si="657"/>
        <v>353</v>
      </c>
      <c r="D353" s="616">
        <v>1</v>
      </c>
      <c r="E353" s="709" t="s">
        <v>512</v>
      </c>
      <c r="F353" s="1572"/>
      <c r="G353" s="4"/>
      <c r="H353" s="4"/>
      <c r="I353" s="4"/>
      <c r="J353" s="316" t="s">
        <v>0</v>
      </c>
      <c r="K353" s="324"/>
      <c r="L353" s="313"/>
      <c r="M353" s="313"/>
      <c r="N353" s="313"/>
      <c r="O353" s="313"/>
      <c r="P353" s="513" t="s">
        <v>302</v>
      </c>
      <c r="Q353" s="471"/>
      <c r="R353" s="1801" t="str">
        <f>CHOOSE(2, "6722000003272", "PL (5) Net Sales")</f>
        <v>PL (5) Net Sales</v>
      </c>
      <c r="S353" s="1260">
        <f>SUM(S354,S359)</f>
        <v>121</v>
      </c>
      <c r="T353" s="1186">
        <f t="shared" ref="T353:AD353" si="709">SUM(T354,T359)</f>
        <v>1708.8130000000001</v>
      </c>
      <c r="U353" s="1186">
        <f t="shared" si="709"/>
        <v>170.2</v>
      </c>
      <c r="V353" s="1186">
        <f t="shared" si="709"/>
        <v>776.61400000000003</v>
      </c>
      <c r="W353" s="1186">
        <f t="shared" si="709"/>
        <v>1010.1</v>
      </c>
      <c r="X353" s="1186">
        <f t="shared" si="709"/>
        <v>1791</v>
      </c>
      <c r="Y353" s="1186">
        <f t="shared" si="709"/>
        <v>85.1</v>
      </c>
      <c r="Z353" s="1186">
        <f t="shared" si="709"/>
        <v>1875</v>
      </c>
      <c r="AA353" s="1186">
        <f t="shared" si="709"/>
        <v>95.39</v>
      </c>
      <c r="AB353" s="1186">
        <f t="shared" si="709"/>
        <v>3166</v>
      </c>
      <c r="AC353" s="1186">
        <f t="shared" si="709"/>
        <v>3288.5439999999999</v>
      </c>
      <c r="AD353" s="1186">
        <f t="shared" si="709"/>
        <v>4094.8540000000003</v>
      </c>
      <c r="AE353" s="554">
        <f t="shared" ref="AE353:AK353" si="710">SUM(AE354,AE359)</f>
        <v>2000.0130000000001</v>
      </c>
      <c r="AF353" s="89">
        <f t="shared" si="710"/>
        <v>3577.7139999999999</v>
      </c>
      <c r="AG353" s="89">
        <f t="shared" si="710"/>
        <v>2055.4899999999998</v>
      </c>
      <c r="AH353" s="89">
        <f t="shared" si="710"/>
        <v>10549.398000000001</v>
      </c>
      <c r="AI353" s="89">
        <f t="shared" si="710"/>
        <v>5577.7269999999999</v>
      </c>
      <c r="AJ353" s="89">
        <f t="shared" si="710"/>
        <v>12604.887999999999</v>
      </c>
      <c r="AK353" s="89">
        <f t="shared" si="710"/>
        <v>18182.614999999998</v>
      </c>
      <c r="AM353" s="2059">
        <f ca="1">SUM((INDIRECT(AM$2&amp;(ROW())):INDIRECT(AM$3&amp;(ROW()))))</f>
        <v>121</v>
      </c>
      <c r="AN353" s="2060">
        <f ca="1">SUM(INDIRECT(AN$1&amp;AN$2&amp;$C353):INDIRECT(AN$1&amp;AN$3&amp;$C353))</f>
        <v>1000</v>
      </c>
      <c r="AO353" s="2819">
        <f t="shared" ca="1" si="653"/>
        <v>-879</v>
      </c>
      <c r="AP353" s="2820">
        <f t="shared" ref="AP353:AP419" ca="1" si="711">IFERROR(AM353/AN353,0)</f>
        <v>0.121</v>
      </c>
      <c r="AQ353" s="2821">
        <f ca="1">SUM(AQ354,AQ359)</f>
        <v>360</v>
      </c>
      <c r="AR353" s="2819">
        <f t="shared" ca="1" si="692"/>
        <v>-239</v>
      </c>
      <c r="AS353" s="2820">
        <f t="shared" ref="AS353:AS373" ca="1" si="712">IFERROR(AM353/AQ353,0)</f>
        <v>0.33611111111111114</v>
      </c>
      <c r="AU353" s="2059">
        <f ca="1">SUM((INDIRECT(AU$2&amp;(ROW())):INDIRECT(AU$3&amp;(ROW()))))</f>
        <v>121</v>
      </c>
      <c r="AV353" s="2060">
        <f ca="1">SUM(INDIRECT(AV$1&amp;AV$2&amp;$C353):INDIRECT(AV$1&amp;AV$3&amp;$C353))</f>
        <v>1000</v>
      </c>
      <c r="AW353" s="2819">
        <f t="shared" ref="AW353:AW427" ca="1" si="713">AU353-AV353</f>
        <v>-879</v>
      </c>
      <c r="AX353" s="2820">
        <f t="shared" ref="AX353:AX419" ca="1" si="714">IFERROR(AU353/AV353,0)</f>
        <v>0.121</v>
      </c>
      <c r="AY353" s="2821">
        <f ca="1">SUM(AY354,AY359)</f>
        <v>360</v>
      </c>
      <c r="AZ353" s="2819">
        <f t="shared" ref="AZ353:AZ424" ca="1" si="715">AU353-AY353</f>
        <v>-239</v>
      </c>
      <c r="BA353" s="2820">
        <f t="shared" ref="BA353:BA373" ca="1" si="716">IFERROR(AU353/AY353,0)</f>
        <v>0.33611111111111114</v>
      </c>
      <c r="BC353" s="2059">
        <f ca="1">SUM((INDIRECT(BC$2&amp;(ROW())):INDIRECT(BC$3&amp;(ROW()))))</f>
        <v>121</v>
      </c>
      <c r="BD353" s="2060">
        <f ca="1">SUM(INDIRECT(BD$1&amp;BD$2&amp;$C353):INDIRECT(BD$1&amp;BD$3&amp;$C353))</f>
        <v>1000</v>
      </c>
      <c r="BE353" s="2819">
        <f t="shared" ref="BE353:BE427" ca="1" si="717">BC353-BD353</f>
        <v>-879</v>
      </c>
      <c r="BF353" s="2820">
        <f t="shared" ref="BF353:BF419" ca="1" si="718">IFERROR(BC353/BD353,0)</f>
        <v>0.121</v>
      </c>
      <c r="BG353" s="2821">
        <f ca="1">SUM(BG354,BG359)</f>
        <v>360</v>
      </c>
      <c r="BH353" s="2819">
        <f t="shared" ref="BH353:BH424" ca="1" si="719">BC353-BG353</f>
        <v>-239</v>
      </c>
      <c r="BI353" s="2820">
        <f t="shared" ref="BI353:BI373" ca="1" si="720">IFERROR(BC353/BG353,0)</f>
        <v>0.33611111111111114</v>
      </c>
    </row>
    <row r="354" spans="1:61" s="69" customFormat="1" ht="14.5">
      <c r="A354" s="1693">
        <f t="shared" si="660"/>
        <v>354</v>
      </c>
      <c r="B354" s="616">
        <v>1</v>
      </c>
      <c r="C354" s="1693">
        <f t="shared" si="657"/>
        <v>354</v>
      </c>
      <c r="D354" s="616">
        <v>1</v>
      </c>
      <c r="E354" s="709" t="s">
        <v>512</v>
      </c>
      <c r="F354" s="1572"/>
      <c r="G354" s="1567"/>
      <c r="H354" s="4"/>
      <c r="I354" s="4"/>
      <c r="J354" s="762"/>
      <c r="K354" s="1071" t="s">
        <v>809</v>
      </c>
      <c r="L354" s="1071"/>
      <c r="M354" s="1072"/>
      <c r="N354" s="1072"/>
      <c r="O354" s="1072"/>
      <c r="P354" s="1073"/>
      <c r="Q354" s="1072"/>
      <c r="R354" s="1802" t="str">
        <f>CHOOSE(2, "6722000003273", "PL (5) Net Sales ITS")</f>
        <v>PL (5) Net Sales ITS</v>
      </c>
      <c r="S354" s="1454">
        <f>SUM(S355,S356)</f>
        <v>121</v>
      </c>
      <c r="T354" s="1455">
        <f t="shared" ref="T354:AD354" si="721">SUM(T355,T356)</f>
        <v>1708.8130000000001</v>
      </c>
      <c r="U354" s="1455">
        <f t="shared" si="721"/>
        <v>170.2</v>
      </c>
      <c r="V354" s="1455">
        <f t="shared" si="721"/>
        <v>776.61400000000003</v>
      </c>
      <c r="W354" s="1455">
        <f t="shared" si="721"/>
        <v>1010.1</v>
      </c>
      <c r="X354" s="1455">
        <f t="shared" si="721"/>
        <v>1791</v>
      </c>
      <c r="Y354" s="1455">
        <f t="shared" si="721"/>
        <v>85.1</v>
      </c>
      <c r="Z354" s="1455">
        <f t="shared" si="721"/>
        <v>1875</v>
      </c>
      <c r="AA354" s="1455">
        <f t="shared" si="721"/>
        <v>95.39</v>
      </c>
      <c r="AB354" s="1455">
        <f t="shared" si="721"/>
        <v>3166</v>
      </c>
      <c r="AC354" s="1455">
        <f t="shared" si="721"/>
        <v>3288.5439999999999</v>
      </c>
      <c r="AD354" s="1455">
        <f t="shared" si="721"/>
        <v>4094.8540000000003</v>
      </c>
      <c r="AE354" s="1455">
        <f t="shared" ref="AE354:AK354" si="722">SUM(AE355,AE356)</f>
        <v>2000.0130000000001</v>
      </c>
      <c r="AF354" s="1455">
        <f t="shared" si="722"/>
        <v>3577.7139999999999</v>
      </c>
      <c r="AG354" s="1455">
        <f t="shared" si="722"/>
        <v>2055.4899999999998</v>
      </c>
      <c r="AH354" s="1455">
        <f t="shared" si="722"/>
        <v>10549.398000000001</v>
      </c>
      <c r="AI354" s="1455">
        <f t="shared" si="722"/>
        <v>5577.7269999999999</v>
      </c>
      <c r="AJ354" s="1455">
        <f t="shared" si="722"/>
        <v>12604.887999999999</v>
      </c>
      <c r="AK354" s="1455">
        <f t="shared" si="722"/>
        <v>18182.614999999998</v>
      </c>
      <c r="AM354" s="2822">
        <f t="shared" ref="AM354:AN354" ca="1" si="723">SUM(AM355,AM356)</f>
        <v>121</v>
      </c>
      <c r="AN354" s="2823">
        <f t="shared" ca="1" si="723"/>
        <v>1000</v>
      </c>
      <c r="AO354" s="2824">
        <f t="shared" ca="1" si="653"/>
        <v>-879</v>
      </c>
      <c r="AP354" s="2825">
        <f t="shared" ca="1" si="711"/>
        <v>0.121</v>
      </c>
      <c r="AQ354" s="2823">
        <f t="shared" ref="AQ354" ca="1" si="724">SUM(AQ355,AQ356)</f>
        <v>360</v>
      </c>
      <c r="AR354" s="2824">
        <f t="shared" ca="1" si="692"/>
        <v>-239</v>
      </c>
      <c r="AS354" s="2825">
        <f t="shared" ca="1" si="712"/>
        <v>0.33611111111111114</v>
      </c>
      <c r="AU354" s="2822">
        <f t="shared" ref="AU354:AV354" ca="1" si="725">SUM(AU355,AU356)</f>
        <v>121</v>
      </c>
      <c r="AV354" s="2823">
        <f t="shared" ca="1" si="725"/>
        <v>1000</v>
      </c>
      <c r="AW354" s="2824">
        <f t="shared" ca="1" si="713"/>
        <v>-879</v>
      </c>
      <c r="AX354" s="2825">
        <f t="shared" ca="1" si="714"/>
        <v>0.121</v>
      </c>
      <c r="AY354" s="2823">
        <f t="shared" ref="AY354" ca="1" si="726">SUM(AY355,AY356)</f>
        <v>360</v>
      </c>
      <c r="AZ354" s="2824">
        <f t="shared" ca="1" si="715"/>
        <v>-239</v>
      </c>
      <c r="BA354" s="2825">
        <f t="shared" ca="1" si="716"/>
        <v>0.33611111111111114</v>
      </c>
      <c r="BC354" s="2822">
        <f t="shared" ref="BC354:BD354" ca="1" si="727">SUM(BC355,BC356)</f>
        <v>121</v>
      </c>
      <c r="BD354" s="2823">
        <f t="shared" ca="1" si="727"/>
        <v>1000</v>
      </c>
      <c r="BE354" s="2824">
        <f t="shared" ca="1" si="717"/>
        <v>-879</v>
      </c>
      <c r="BF354" s="2825">
        <f t="shared" ca="1" si="718"/>
        <v>0.121</v>
      </c>
      <c r="BG354" s="2823">
        <f t="shared" ref="BG354" ca="1" si="728">SUM(BG355,BG356)</f>
        <v>360</v>
      </c>
      <c r="BH354" s="2824">
        <f t="shared" ca="1" si="719"/>
        <v>-239</v>
      </c>
      <c r="BI354" s="2825">
        <f t="shared" ca="1" si="720"/>
        <v>0.33611111111111114</v>
      </c>
    </row>
    <row r="355" spans="1:61" ht="14.5">
      <c r="A355" s="1693">
        <f t="shared" si="660"/>
        <v>355</v>
      </c>
      <c r="B355" s="616">
        <v>1</v>
      </c>
      <c r="C355" s="1695">
        <f t="shared" si="657"/>
        <v>355</v>
      </c>
      <c r="D355" s="616">
        <v>1</v>
      </c>
      <c r="E355" s="709" t="s">
        <v>512</v>
      </c>
      <c r="F355" s="1572"/>
      <c r="G355" s="519"/>
      <c r="H355" s="4"/>
      <c r="I355" s="4"/>
      <c r="J355" s="498"/>
      <c r="K355" s="3"/>
      <c r="L355" s="3" t="s">
        <v>418</v>
      </c>
      <c r="M355" s="69"/>
      <c r="N355" s="69"/>
      <c r="O355" s="3"/>
      <c r="P355" s="3"/>
      <c r="Q355" s="3"/>
      <c r="R355" s="1789" t="str">
        <f>CHOOSE(2, "6722000003274", "PL (5) Net Sales ITS IMS")</f>
        <v>PL (5) Net Sales ITS IMS</v>
      </c>
      <c r="S355" s="1214">
        <f t="shared" ref="S355:AD355" si="729">S764+S795</f>
        <v>0</v>
      </c>
      <c r="T355" s="1221">
        <f t="shared" si="729"/>
        <v>510</v>
      </c>
      <c r="U355" s="1221">
        <f t="shared" si="729"/>
        <v>0</v>
      </c>
      <c r="V355" s="1221">
        <f t="shared" si="729"/>
        <v>510</v>
      </c>
      <c r="W355" s="1221">
        <f t="shared" si="729"/>
        <v>0</v>
      </c>
      <c r="X355" s="1221">
        <f t="shared" si="729"/>
        <v>0</v>
      </c>
      <c r="Y355" s="1221">
        <f t="shared" si="729"/>
        <v>0</v>
      </c>
      <c r="Z355" s="1221">
        <f t="shared" si="729"/>
        <v>0</v>
      </c>
      <c r="AA355" s="1221">
        <f t="shared" si="729"/>
        <v>0</v>
      </c>
      <c r="AB355" s="1221">
        <f t="shared" si="729"/>
        <v>2152</v>
      </c>
      <c r="AC355" s="1221">
        <f t="shared" si="729"/>
        <v>3288.5439999999999</v>
      </c>
      <c r="AD355" s="1221">
        <f t="shared" si="729"/>
        <v>2535.61</v>
      </c>
      <c r="AE355" s="1221">
        <f>SUM(S355,T355,U355)</f>
        <v>510</v>
      </c>
      <c r="AF355" s="1221">
        <f>SUM(V355,W355,X355)</f>
        <v>510</v>
      </c>
      <c r="AG355" s="1221">
        <f>SUM(Y355,Z355,AA355)</f>
        <v>0</v>
      </c>
      <c r="AH355" s="1221">
        <f>SUM(AB355,AC355,AD355)</f>
        <v>7976.1540000000005</v>
      </c>
      <c r="AI355" s="1221">
        <f t="shared" ref="AI355:AI362" si="730">AE355+AF355</f>
        <v>1020</v>
      </c>
      <c r="AJ355" s="1221">
        <f t="shared" ref="AJ355:AJ362" si="731">AH355+AG355</f>
        <v>7976.1540000000005</v>
      </c>
      <c r="AK355" s="1221">
        <f t="shared" ref="AK355:AK362" si="732">AI355+AJ355</f>
        <v>8996.1540000000005</v>
      </c>
      <c r="AM355" s="596">
        <f ca="1">SUM((INDIRECT(AM$2&amp;(ROW())):INDIRECT(AM$3&amp;(ROW()))))</f>
        <v>0</v>
      </c>
      <c r="AN355" s="2002">
        <f ca="1">SUM(INDIRECT(AN$1&amp;AN$2&amp;$C355):INDIRECT(AN$1&amp;AN$3&amp;$C355))</f>
        <v>500</v>
      </c>
      <c r="AO355" s="2767">
        <f t="shared" ca="1" si="653"/>
        <v>-500</v>
      </c>
      <c r="AP355" s="2768">
        <f t="shared" ca="1" si="711"/>
        <v>0</v>
      </c>
      <c r="AQ355" s="2002">
        <f ca="1">SUM(INDIRECT(AQ$1&amp;AQ$2&amp;$A355):INDIRECT(AQ$1&amp;AQ$3&amp;$A355))+SUM(INDIRECT(AQ$1&amp;AQ$2&amp;$B355):INDIRECT(AQ$1&amp;AQ$3&amp;$B355))</f>
        <v>0</v>
      </c>
      <c r="AR355" s="2767">
        <f t="shared" ca="1" si="692"/>
        <v>0</v>
      </c>
      <c r="AS355" s="2768">
        <f t="shared" ca="1" si="712"/>
        <v>0</v>
      </c>
      <c r="AU355" s="596">
        <f ca="1">SUM((INDIRECT(AU$2&amp;(ROW())):INDIRECT(AU$3&amp;(ROW()))))</f>
        <v>0</v>
      </c>
      <c r="AV355" s="2002">
        <f ca="1">SUM(INDIRECT(AV$1&amp;AV$2&amp;$C355):INDIRECT(AV$1&amp;AV$3&amp;$C355))</f>
        <v>500</v>
      </c>
      <c r="AW355" s="2767">
        <f t="shared" ca="1" si="713"/>
        <v>-500</v>
      </c>
      <c r="AX355" s="2768">
        <f t="shared" ca="1" si="714"/>
        <v>0</v>
      </c>
      <c r="AY355" s="2002">
        <f ca="1">SUM(INDIRECT(AY$1&amp;AY$2&amp;$A355):INDIRECT(AY$1&amp;AY$3&amp;$A355))+SUM(INDIRECT(AY$1&amp;AY$2&amp;$B355):INDIRECT(AY$1&amp;AY$3&amp;$B355))</f>
        <v>0</v>
      </c>
      <c r="AZ355" s="2767">
        <f t="shared" ca="1" si="715"/>
        <v>0</v>
      </c>
      <c r="BA355" s="2768">
        <f t="shared" ca="1" si="716"/>
        <v>0</v>
      </c>
      <c r="BC355" s="596">
        <f ca="1">SUM((INDIRECT(BC$2&amp;(ROW())):INDIRECT(BC$3&amp;(ROW()))))</f>
        <v>0</v>
      </c>
      <c r="BD355" s="2002">
        <f ca="1">SUM(INDIRECT(BD$1&amp;BD$2&amp;$C355):INDIRECT(BD$1&amp;BD$3&amp;$C355))</f>
        <v>500</v>
      </c>
      <c r="BE355" s="2767">
        <f t="shared" ca="1" si="717"/>
        <v>-500</v>
      </c>
      <c r="BF355" s="2768">
        <f t="shared" ca="1" si="718"/>
        <v>0</v>
      </c>
      <c r="BG355" s="2002">
        <f ca="1">SUM(INDIRECT(BG$1&amp;BG$2&amp;$A355):INDIRECT(BG$1&amp;BG$3&amp;$A355))+SUM(INDIRECT(BG$1&amp;BG$2&amp;$B355):INDIRECT(BG$1&amp;BG$3&amp;$B355))</f>
        <v>0</v>
      </c>
      <c r="BH355" s="2767">
        <f t="shared" ca="1" si="719"/>
        <v>0</v>
      </c>
      <c r="BI355" s="2768">
        <f t="shared" ca="1" si="720"/>
        <v>0</v>
      </c>
    </row>
    <row r="356" spans="1:61" ht="14.5">
      <c r="A356" s="1693">
        <f t="shared" si="660"/>
        <v>356</v>
      </c>
      <c r="B356" s="616">
        <v>1</v>
      </c>
      <c r="C356" s="1695">
        <f t="shared" si="657"/>
        <v>356</v>
      </c>
      <c r="D356" s="616">
        <v>1</v>
      </c>
      <c r="E356" s="709" t="s">
        <v>512</v>
      </c>
      <c r="F356" s="1572"/>
      <c r="G356" s="519"/>
      <c r="H356" s="4"/>
      <c r="I356" s="4"/>
      <c r="J356" s="498"/>
      <c r="K356" s="3"/>
      <c r="L356" s="1736" t="s">
        <v>846</v>
      </c>
      <c r="M356" s="1740"/>
      <c r="N356" s="1740"/>
      <c r="O356" s="1736"/>
      <c r="P356" s="1736"/>
      <c r="Q356" s="1736"/>
      <c r="R356" s="1803" t="str">
        <f>CHOOSE(2, "6722000004516", "PL (5) Net Sales ITS IIM")</f>
        <v>PL (5) Net Sales ITS IIM</v>
      </c>
      <c r="S356" s="1741">
        <f>SUM(S357:S358)</f>
        <v>121</v>
      </c>
      <c r="T356" s="1742">
        <f t="shared" ref="T356:AC356" si="733">SUM(T357:T358)</f>
        <v>1198.8130000000001</v>
      </c>
      <c r="U356" s="1742">
        <f t="shared" si="733"/>
        <v>170.2</v>
      </c>
      <c r="V356" s="1742">
        <f t="shared" si="733"/>
        <v>266.61400000000003</v>
      </c>
      <c r="W356" s="1742">
        <f t="shared" si="733"/>
        <v>1010.1</v>
      </c>
      <c r="X356" s="1742">
        <f t="shared" si="733"/>
        <v>1791</v>
      </c>
      <c r="Y356" s="1742">
        <f t="shared" si="733"/>
        <v>85.1</v>
      </c>
      <c r="Z356" s="1742">
        <f t="shared" si="733"/>
        <v>1875</v>
      </c>
      <c r="AA356" s="1742">
        <f t="shared" si="733"/>
        <v>95.39</v>
      </c>
      <c r="AB356" s="1742">
        <f t="shared" si="733"/>
        <v>1014</v>
      </c>
      <c r="AC356" s="1742">
        <f t="shared" si="733"/>
        <v>0</v>
      </c>
      <c r="AD356" s="1742">
        <f>SUM(AD357:AD358)</f>
        <v>1559.2439999999999</v>
      </c>
      <c r="AE356" s="1742">
        <f>SUM(S356,T356,U356)</f>
        <v>1490.0130000000001</v>
      </c>
      <c r="AF356" s="1742">
        <f>SUM(V356,W356,X356)</f>
        <v>3067.7139999999999</v>
      </c>
      <c r="AG356" s="1742">
        <f>SUM(Y356,Z356,AA356)</f>
        <v>2055.4899999999998</v>
      </c>
      <c r="AH356" s="1742">
        <f>SUM(AB356,AC356,AD356)</f>
        <v>2573.2439999999997</v>
      </c>
      <c r="AI356" s="1742">
        <f>AE356+AF356</f>
        <v>4557.7269999999999</v>
      </c>
      <c r="AJ356" s="1742">
        <f>AH356+AG356</f>
        <v>4628.7339999999995</v>
      </c>
      <c r="AK356" s="1742">
        <f>AI356+AJ356</f>
        <v>9186.4609999999993</v>
      </c>
      <c r="AM356" s="1741">
        <f t="shared" ref="AM356:AN356" ca="1" si="734">SUM(AM357:AM358)</f>
        <v>121</v>
      </c>
      <c r="AN356" s="1742">
        <f t="shared" ca="1" si="734"/>
        <v>500</v>
      </c>
      <c r="AO356" s="2826">
        <f t="shared" ca="1" si="653"/>
        <v>-379</v>
      </c>
      <c r="AP356" s="2827">
        <f t="shared" ca="1" si="711"/>
        <v>0.24199999999999999</v>
      </c>
      <c r="AQ356" s="1742">
        <f t="shared" ref="AQ356" ca="1" si="735">SUM(AQ357:AQ358)</f>
        <v>360</v>
      </c>
      <c r="AR356" s="2826">
        <f t="shared" ca="1" si="692"/>
        <v>-239</v>
      </c>
      <c r="AS356" s="2827">
        <f t="shared" ca="1" si="712"/>
        <v>0.33611111111111114</v>
      </c>
      <c r="AU356" s="1741">
        <f t="shared" ref="AU356:AV356" ca="1" si="736">SUM(AU357:AU358)</f>
        <v>121</v>
      </c>
      <c r="AV356" s="1742">
        <f t="shared" ca="1" si="736"/>
        <v>500</v>
      </c>
      <c r="AW356" s="2826">
        <f t="shared" ca="1" si="713"/>
        <v>-379</v>
      </c>
      <c r="AX356" s="2827">
        <f t="shared" ca="1" si="714"/>
        <v>0.24199999999999999</v>
      </c>
      <c r="AY356" s="1742">
        <f t="shared" ref="AY356" ca="1" si="737">SUM(AY357:AY358)</f>
        <v>360</v>
      </c>
      <c r="AZ356" s="2826">
        <f t="shared" ca="1" si="715"/>
        <v>-239</v>
      </c>
      <c r="BA356" s="2827">
        <f t="shared" ca="1" si="716"/>
        <v>0.33611111111111114</v>
      </c>
      <c r="BC356" s="1741">
        <f t="shared" ref="BC356:BD356" ca="1" si="738">SUM(BC357:BC358)</f>
        <v>121</v>
      </c>
      <c r="BD356" s="1742">
        <f t="shared" ca="1" si="738"/>
        <v>500</v>
      </c>
      <c r="BE356" s="2826">
        <f t="shared" ca="1" si="717"/>
        <v>-379</v>
      </c>
      <c r="BF356" s="2827">
        <f t="shared" ca="1" si="718"/>
        <v>0.24199999999999999</v>
      </c>
      <c r="BG356" s="1742">
        <f t="shared" ref="BG356" ca="1" si="739">SUM(BG357:BG358)</f>
        <v>360</v>
      </c>
      <c r="BH356" s="2826">
        <f t="shared" ca="1" si="719"/>
        <v>-239</v>
      </c>
      <c r="BI356" s="2827">
        <f t="shared" ca="1" si="720"/>
        <v>0.33611111111111114</v>
      </c>
    </row>
    <row r="357" spans="1:61" ht="14.5">
      <c r="A357" s="1693">
        <f>A355+1</f>
        <v>356</v>
      </c>
      <c r="B357" s="616">
        <v>1</v>
      </c>
      <c r="C357" s="1693">
        <f t="shared" si="657"/>
        <v>357</v>
      </c>
      <c r="D357" s="616">
        <v>1</v>
      </c>
      <c r="E357" s="709" t="s">
        <v>512</v>
      </c>
      <c r="F357" s="1572"/>
      <c r="G357" s="519"/>
      <c r="H357" s="4"/>
      <c r="I357" s="4"/>
      <c r="J357" s="498"/>
      <c r="K357" s="3"/>
      <c r="L357" s="3"/>
      <c r="M357" s="3"/>
      <c r="N357" s="3" t="s">
        <v>419</v>
      </c>
      <c r="O357" s="3"/>
      <c r="P357" s="3"/>
      <c r="Q357" s="3"/>
      <c r="R357" s="1789" t="str">
        <f>CHOOSE(2, "6722000003275", "PL (5) Net Sales ITS MCS")</f>
        <v>PL (5) Net Sales ITS MCS</v>
      </c>
      <c r="S357" s="1214">
        <f t="shared" ref="S357:AD357" si="740">S774+S797</f>
        <v>121</v>
      </c>
      <c r="T357" s="1221">
        <f t="shared" si="740"/>
        <v>1198.8130000000001</v>
      </c>
      <c r="U357" s="1221">
        <f t="shared" si="740"/>
        <v>170.2</v>
      </c>
      <c r="V357" s="1221">
        <f t="shared" si="740"/>
        <v>266.61400000000003</v>
      </c>
      <c r="W357" s="1221">
        <f t="shared" si="740"/>
        <v>1010.1</v>
      </c>
      <c r="X357" s="1221">
        <f t="shared" si="740"/>
        <v>1791</v>
      </c>
      <c r="Y357" s="1221">
        <f t="shared" si="740"/>
        <v>85.1</v>
      </c>
      <c r="Z357" s="1221">
        <f t="shared" si="740"/>
        <v>1875</v>
      </c>
      <c r="AA357" s="1221">
        <f t="shared" si="740"/>
        <v>95.39</v>
      </c>
      <c r="AB357" s="1221">
        <f t="shared" si="740"/>
        <v>1014</v>
      </c>
      <c r="AC357" s="1221">
        <f t="shared" si="740"/>
        <v>0</v>
      </c>
      <c r="AD357" s="1221">
        <f t="shared" si="740"/>
        <v>1559.2439999999999</v>
      </c>
      <c r="AE357" s="1221">
        <f>SUM(S357,T357,U357)</f>
        <v>1490.0130000000001</v>
      </c>
      <c r="AF357" s="1221">
        <f>SUM(V357,W357,X357)</f>
        <v>3067.7139999999999</v>
      </c>
      <c r="AG357" s="1221">
        <f>SUM(Y357,Z357,AA357)</f>
        <v>2055.4899999999998</v>
      </c>
      <c r="AH357" s="1221">
        <f>SUM(AB357,AC357,AD357)</f>
        <v>2573.2439999999997</v>
      </c>
      <c r="AI357" s="1221">
        <f t="shared" si="730"/>
        <v>4557.7269999999999</v>
      </c>
      <c r="AJ357" s="1221">
        <f t="shared" si="731"/>
        <v>4628.7339999999995</v>
      </c>
      <c r="AK357" s="1221">
        <f t="shared" si="732"/>
        <v>9186.4609999999993</v>
      </c>
      <c r="AM357" s="596">
        <f ca="1">SUM((INDIRECT(AM$2&amp;(ROW())):INDIRECT(AM$3&amp;(ROW()))))</f>
        <v>121</v>
      </c>
      <c r="AN357" s="2002">
        <f ca="1">SUM(INDIRECT(AN$1&amp;AN$2&amp;$C357):INDIRECT(AN$1&amp;AN$3&amp;$C357))</f>
        <v>500</v>
      </c>
      <c r="AO357" s="2767">
        <f t="shared" ca="1" si="653"/>
        <v>-379</v>
      </c>
      <c r="AP357" s="2768">
        <f t="shared" ca="1" si="711"/>
        <v>0.24199999999999999</v>
      </c>
      <c r="AQ357" s="2002">
        <f ca="1">SUM(INDIRECT(AQ$1&amp;AQ$2&amp;$A357):INDIRECT(AQ$1&amp;AQ$3&amp;$A357))+SUM(INDIRECT(AQ$1&amp;AQ$2&amp;$B357):INDIRECT(AQ$1&amp;AQ$3&amp;$B357))</f>
        <v>360</v>
      </c>
      <c r="AR357" s="2767">
        <f t="shared" ca="1" si="692"/>
        <v>-239</v>
      </c>
      <c r="AS357" s="2768">
        <f t="shared" ca="1" si="712"/>
        <v>0.33611111111111114</v>
      </c>
      <c r="AU357" s="596">
        <f ca="1">SUM((INDIRECT(AU$2&amp;(ROW())):INDIRECT(AU$3&amp;(ROW()))))</f>
        <v>121</v>
      </c>
      <c r="AV357" s="2002">
        <f ca="1">SUM(INDIRECT(AV$1&amp;AV$2&amp;$C357):INDIRECT(AV$1&amp;AV$3&amp;$C357))</f>
        <v>500</v>
      </c>
      <c r="AW357" s="2767">
        <f t="shared" ca="1" si="713"/>
        <v>-379</v>
      </c>
      <c r="AX357" s="2768">
        <f t="shared" ca="1" si="714"/>
        <v>0.24199999999999999</v>
      </c>
      <c r="AY357" s="2002">
        <f ca="1">SUM(INDIRECT(AY$1&amp;AY$2&amp;$A357):INDIRECT(AY$1&amp;AY$3&amp;$A357))+SUM(INDIRECT(AY$1&amp;AY$2&amp;$B357):INDIRECT(AY$1&amp;AY$3&amp;$B357))</f>
        <v>360</v>
      </c>
      <c r="AZ357" s="2767">
        <f t="shared" ca="1" si="715"/>
        <v>-239</v>
      </c>
      <c r="BA357" s="2768">
        <f t="shared" ca="1" si="716"/>
        <v>0.33611111111111114</v>
      </c>
      <c r="BC357" s="596">
        <f ca="1">SUM((INDIRECT(BC$2&amp;(ROW())):INDIRECT(BC$3&amp;(ROW()))))</f>
        <v>121</v>
      </c>
      <c r="BD357" s="2002">
        <f ca="1">SUM(INDIRECT(BD$1&amp;BD$2&amp;$C357):INDIRECT(BD$1&amp;BD$3&amp;$C357))</f>
        <v>500</v>
      </c>
      <c r="BE357" s="2767">
        <f t="shared" ca="1" si="717"/>
        <v>-379</v>
      </c>
      <c r="BF357" s="2768">
        <f t="shared" ca="1" si="718"/>
        <v>0.24199999999999999</v>
      </c>
      <c r="BG357" s="2002">
        <f ca="1">SUM(INDIRECT(BG$1&amp;BG$2&amp;$A357):INDIRECT(BG$1&amp;BG$3&amp;$A357))+SUM(INDIRECT(BG$1&amp;BG$2&amp;$B357):INDIRECT(BG$1&amp;BG$3&amp;$B357))</f>
        <v>360</v>
      </c>
      <c r="BH357" s="2767">
        <f t="shared" ca="1" si="719"/>
        <v>-239</v>
      </c>
      <c r="BI357" s="2768">
        <f t="shared" ca="1" si="720"/>
        <v>0.33611111111111114</v>
      </c>
    </row>
    <row r="358" spans="1:61" ht="14.5">
      <c r="A358" s="1693">
        <f t="shared" si="660"/>
        <v>357</v>
      </c>
      <c r="B358" s="616">
        <v>1</v>
      </c>
      <c r="C358" s="1693">
        <f t="shared" si="657"/>
        <v>358</v>
      </c>
      <c r="D358" s="616">
        <v>1</v>
      </c>
      <c r="E358" s="709" t="s">
        <v>512</v>
      </c>
      <c r="F358" s="1572"/>
      <c r="G358" s="519"/>
      <c r="H358" s="4"/>
      <c r="I358" s="4"/>
      <c r="J358" s="498"/>
      <c r="K358" s="47"/>
      <c r="L358" s="47"/>
      <c r="M358" s="47"/>
      <c r="N358" s="47" t="s">
        <v>603</v>
      </c>
      <c r="O358" s="47"/>
      <c r="P358" s="47"/>
      <c r="Q358" s="47"/>
      <c r="R358" s="1789" t="str">
        <f>CHOOSE(2, "6722000003276", "PL (5) Net Sales ITS BPS")</f>
        <v>PL (5) Net Sales ITS BPS</v>
      </c>
      <c r="S358" s="1257">
        <f t="shared" ref="S358:AD358" si="741">S779+S798</f>
        <v>0</v>
      </c>
      <c r="T358" s="1230">
        <f t="shared" si="741"/>
        <v>0</v>
      </c>
      <c r="U358" s="1230">
        <f t="shared" si="741"/>
        <v>0</v>
      </c>
      <c r="V358" s="1230">
        <f t="shared" si="741"/>
        <v>0</v>
      </c>
      <c r="W358" s="1230">
        <f t="shared" si="741"/>
        <v>0</v>
      </c>
      <c r="X358" s="1230">
        <f t="shared" si="741"/>
        <v>0</v>
      </c>
      <c r="Y358" s="1230">
        <f t="shared" si="741"/>
        <v>0</v>
      </c>
      <c r="Z358" s="1230">
        <f t="shared" si="741"/>
        <v>0</v>
      </c>
      <c r="AA358" s="1230">
        <f t="shared" si="741"/>
        <v>0</v>
      </c>
      <c r="AB358" s="1230">
        <f t="shared" si="741"/>
        <v>0</v>
      </c>
      <c r="AC358" s="1230">
        <f t="shared" si="741"/>
        <v>0</v>
      </c>
      <c r="AD358" s="1230">
        <f t="shared" si="741"/>
        <v>0</v>
      </c>
      <c r="AE358" s="1230">
        <f>SUM(S358,T358,U358)</f>
        <v>0</v>
      </c>
      <c r="AF358" s="1230">
        <f>SUM(V358,W358,X358)</f>
        <v>0</v>
      </c>
      <c r="AG358" s="1230">
        <f>SUM(Y358,Z358,AA358)</f>
        <v>0</v>
      </c>
      <c r="AH358" s="1230">
        <f>SUM(AB358,AC358,AD358)</f>
        <v>0</v>
      </c>
      <c r="AI358" s="1230">
        <f t="shared" si="730"/>
        <v>0</v>
      </c>
      <c r="AJ358" s="1230">
        <f t="shared" si="731"/>
        <v>0</v>
      </c>
      <c r="AK358" s="1230">
        <f t="shared" si="732"/>
        <v>0</v>
      </c>
      <c r="AM358" s="596">
        <f ca="1">SUM((INDIRECT(AM$2&amp;(ROW())):INDIRECT(AM$3&amp;(ROW()))))</f>
        <v>0</v>
      </c>
      <c r="AN358" s="2002">
        <f ca="1">SUM(INDIRECT(AN$1&amp;AN$2&amp;$C358):INDIRECT(AN$1&amp;AN$3&amp;$C358))</f>
        <v>0</v>
      </c>
      <c r="AO358" s="2767">
        <f t="shared" ca="1" si="653"/>
        <v>0</v>
      </c>
      <c r="AP358" s="2768">
        <f t="shared" ca="1" si="711"/>
        <v>0</v>
      </c>
      <c r="AQ358" s="2002">
        <f ca="1">SUM(INDIRECT(AQ$1&amp;AQ$2&amp;$A358):INDIRECT(AQ$1&amp;AQ$3&amp;$A358))+SUM(INDIRECT(AQ$1&amp;AQ$2&amp;$B358):INDIRECT(AQ$1&amp;AQ$3&amp;$B358))</f>
        <v>0</v>
      </c>
      <c r="AR358" s="2767">
        <f t="shared" ca="1" si="692"/>
        <v>0</v>
      </c>
      <c r="AS358" s="2768">
        <f t="shared" ca="1" si="712"/>
        <v>0</v>
      </c>
      <c r="AU358" s="596">
        <f ca="1">SUM((INDIRECT(AU$2&amp;(ROW())):INDIRECT(AU$3&amp;(ROW()))))</f>
        <v>0</v>
      </c>
      <c r="AV358" s="2002">
        <f ca="1">SUM(INDIRECT(AV$1&amp;AV$2&amp;$C358):INDIRECT(AV$1&amp;AV$3&amp;$C358))</f>
        <v>0</v>
      </c>
      <c r="AW358" s="2767">
        <f t="shared" ca="1" si="713"/>
        <v>0</v>
      </c>
      <c r="AX358" s="2768">
        <f t="shared" ca="1" si="714"/>
        <v>0</v>
      </c>
      <c r="AY358" s="2002">
        <f ca="1">SUM(INDIRECT(AY$1&amp;AY$2&amp;$A358):INDIRECT(AY$1&amp;AY$3&amp;$A358))+SUM(INDIRECT(AY$1&amp;AY$2&amp;$B358):INDIRECT(AY$1&amp;AY$3&amp;$B358))</f>
        <v>0</v>
      </c>
      <c r="AZ358" s="2767">
        <f t="shared" ca="1" si="715"/>
        <v>0</v>
      </c>
      <c r="BA358" s="2768">
        <f t="shared" ca="1" si="716"/>
        <v>0</v>
      </c>
      <c r="BC358" s="596">
        <f ca="1">SUM((INDIRECT(BC$2&amp;(ROW())):INDIRECT(BC$3&amp;(ROW()))))</f>
        <v>0</v>
      </c>
      <c r="BD358" s="2002">
        <f ca="1">SUM(INDIRECT(BD$1&amp;BD$2&amp;$C358):INDIRECT(BD$1&amp;BD$3&amp;$C358))</f>
        <v>0</v>
      </c>
      <c r="BE358" s="2767">
        <f t="shared" ca="1" si="717"/>
        <v>0</v>
      </c>
      <c r="BF358" s="2768">
        <f t="shared" ca="1" si="718"/>
        <v>0</v>
      </c>
      <c r="BG358" s="2002">
        <f ca="1">SUM(INDIRECT(BG$1&amp;BG$2&amp;$A358):INDIRECT(BG$1&amp;BG$3&amp;$A358))+SUM(INDIRECT(BG$1&amp;BG$2&amp;$B358):INDIRECT(BG$1&amp;BG$3&amp;$B358))</f>
        <v>0</v>
      </c>
      <c r="BH358" s="2767">
        <f t="shared" ca="1" si="719"/>
        <v>0</v>
      </c>
      <c r="BI358" s="2768">
        <f t="shared" ca="1" si="720"/>
        <v>0</v>
      </c>
    </row>
    <row r="359" spans="1:61" ht="14.5">
      <c r="A359" s="1693">
        <f t="shared" si="660"/>
        <v>358</v>
      </c>
      <c r="C359" s="1693">
        <f t="shared" si="657"/>
        <v>359</v>
      </c>
      <c r="D359" s="616">
        <v>1</v>
      </c>
      <c r="E359" s="709" t="s">
        <v>512</v>
      </c>
      <c r="F359" s="1572"/>
      <c r="G359" s="1567"/>
      <c r="H359" s="4"/>
      <c r="I359" s="4"/>
      <c r="J359" s="498"/>
      <c r="K359" s="301" t="s">
        <v>810</v>
      </c>
      <c r="L359" s="301"/>
      <c r="M359" s="66"/>
      <c r="N359" s="66"/>
      <c r="O359" s="301"/>
      <c r="P359" s="301"/>
      <c r="Q359" s="1072"/>
      <c r="R359" s="1802" t="str">
        <f>CHOOSE(2, "6722000003277", "PL (5) Net Sales ICW")</f>
        <v>PL (5) Net Sales ICW</v>
      </c>
      <c r="S359" s="1454">
        <f>SUM(S360:S362)</f>
        <v>0</v>
      </c>
      <c r="T359" s="1455">
        <f t="shared" ref="T359:AD359" si="742">SUM(T360:T362)</f>
        <v>0</v>
      </c>
      <c r="U359" s="1455">
        <f t="shared" si="742"/>
        <v>0</v>
      </c>
      <c r="V359" s="1455">
        <f t="shared" si="742"/>
        <v>0</v>
      </c>
      <c r="W359" s="1455">
        <f t="shared" si="742"/>
        <v>0</v>
      </c>
      <c r="X359" s="1455">
        <f t="shared" si="742"/>
        <v>0</v>
      </c>
      <c r="Y359" s="1455">
        <f t="shared" si="742"/>
        <v>0</v>
      </c>
      <c r="Z359" s="1455">
        <f t="shared" si="742"/>
        <v>0</v>
      </c>
      <c r="AA359" s="1455">
        <f t="shared" si="742"/>
        <v>0</v>
      </c>
      <c r="AB359" s="1455">
        <f t="shared" si="742"/>
        <v>0</v>
      </c>
      <c r="AC359" s="1455">
        <f t="shared" si="742"/>
        <v>0</v>
      </c>
      <c r="AD359" s="1455">
        <f t="shared" si="742"/>
        <v>0</v>
      </c>
      <c r="AE359" s="1455">
        <f t="shared" ref="AE359:AK359" si="743">SUM(AE360:AE362)</f>
        <v>0</v>
      </c>
      <c r="AF359" s="1455">
        <f t="shared" si="743"/>
        <v>0</v>
      </c>
      <c r="AG359" s="1455">
        <f t="shared" si="743"/>
        <v>0</v>
      </c>
      <c r="AH359" s="1455">
        <f t="shared" si="743"/>
        <v>0</v>
      </c>
      <c r="AI359" s="1455">
        <f t="shared" si="743"/>
        <v>0</v>
      </c>
      <c r="AJ359" s="1455">
        <f t="shared" si="743"/>
        <v>0</v>
      </c>
      <c r="AK359" s="1455">
        <f t="shared" si="743"/>
        <v>0</v>
      </c>
      <c r="AM359" s="2822">
        <f t="shared" ref="AM359:AN359" ca="1" si="744">SUM(AM360:AM362)</f>
        <v>0</v>
      </c>
      <c r="AN359" s="2823">
        <f t="shared" ca="1" si="744"/>
        <v>0</v>
      </c>
      <c r="AO359" s="2824">
        <f t="shared" ca="1" si="653"/>
        <v>0</v>
      </c>
      <c r="AP359" s="2825">
        <f t="shared" ca="1" si="711"/>
        <v>0</v>
      </c>
      <c r="AQ359" s="2823">
        <f t="shared" ref="AQ359" ca="1" si="745">SUM(AQ360:AQ362)</f>
        <v>0</v>
      </c>
      <c r="AR359" s="2824">
        <f t="shared" ca="1" si="692"/>
        <v>0</v>
      </c>
      <c r="AS359" s="2825">
        <f t="shared" ca="1" si="712"/>
        <v>0</v>
      </c>
      <c r="AU359" s="2822">
        <f t="shared" ref="AU359:AV359" ca="1" si="746">SUM(AU360:AU362)</f>
        <v>0</v>
      </c>
      <c r="AV359" s="2823">
        <f t="shared" ca="1" si="746"/>
        <v>0</v>
      </c>
      <c r="AW359" s="2824">
        <f t="shared" ca="1" si="713"/>
        <v>0</v>
      </c>
      <c r="AX359" s="2825">
        <f t="shared" ca="1" si="714"/>
        <v>0</v>
      </c>
      <c r="AY359" s="2823">
        <f t="shared" ref="AY359" ca="1" si="747">SUM(AY360:AY362)</f>
        <v>0</v>
      </c>
      <c r="AZ359" s="2824">
        <f t="shared" ca="1" si="715"/>
        <v>0</v>
      </c>
      <c r="BA359" s="2825">
        <f t="shared" ca="1" si="716"/>
        <v>0</v>
      </c>
      <c r="BC359" s="2822">
        <f t="shared" ref="BC359:BD359" ca="1" si="748">SUM(BC360:BC362)</f>
        <v>0</v>
      </c>
      <c r="BD359" s="2823">
        <f t="shared" ca="1" si="748"/>
        <v>0</v>
      </c>
      <c r="BE359" s="2824">
        <f t="shared" ca="1" si="717"/>
        <v>0</v>
      </c>
      <c r="BF359" s="2825">
        <f t="shared" ca="1" si="718"/>
        <v>0</v>
      </c>
      <c r="BG359" s="2823">
        <f t="shared" ref="BG359" ca="1" si="749">SUM(BG360:BG362)</f>
        <v>0</v>
      </c>
      <c r="BH359" s="2824">
        <f t="shared" ca="1" si="719"/>
        <v>0</v>
      </c>
      <c r="BI359" s="2825">
        <f t="shared" ca="1" si="720"/>
        <v>0</v>
      </c>
    </row>
    <row r="360" spans="1:61" ht="14.5">
      <c r="A360" s="1693">
        <f t="shared" si="660"/>
        <v>359</v>
      </c>
      <c r="B360" s="616">
        <v>1</v>
      </c>
      <c r="C360" s="1693">
        <f t="shared" si="657"/>
        <v>360</v>
      </c>
      <c r="D360" s="616">
        <v>285</v>
      </c>
      <c r="E360" s="709" t="s">
        <v>512</v>
      </c>
      <c r="F360" s="1572"/>
      <c r="G360" s="519"/>
      <c r="H360" s="737"/>
      <c r="I360" s="4"/>
      <c r="J360" s="27"/>
      <c r="K360" s="3"/>
      <c r="L360" s="3" t="s">
        <v>608</v>
      </c>
      <c r="M360" s="8"/>
      <c r="O360" s="3"/>
      <c r="P360" s="3"/>
      <c r="Q360" s="725"/>
      <c r="R360" s="1789" t="str">
        <f>CHOOSE(2, "6722000003278", "PL (5) Net Sales ICW ICW-IT")</f>
        <v>PL (5) Net Sales ICW ICW-IT</v>
      </c>
      <c r="S360" s="1214">
        <f t="shared" ref="S360:AD360" si="750">S769+S796</f>
        <v>0</v>
      </c>
      <c r="T360" s="1221">
        <f t="shared" si="750"/>
        <v>0</v>
      </c>
      <c r="U360" s="1221">
        <f t="shared" si="750"/>
        <v>0</v>
      </c>
      <c r="V360" s="1221">
        <f t="shared" si="750"/>
        <v>0</v>
      </c>
      <c r="W360" s="1221">
        <f t="shared" si="750"/>
        <v>0</v>
      </c>
      <c r="X360" s="1221">
        <f t="shared" si="750"/>
        <v>0</v>
      </c>
      <c r="Y360" s="1221">
        <f t="shared" si="750"/>
        <v>0</v>
      </c>
      <c r="Z360" s="1221">
        <f t="shared" si="750"/>
        <v>0</v>
      </c>
      <c r="AA360" s="1221">
        <f t="shared" si="750"/>
        <v>0</v>
      </c>
      <c r="AB360" s="1221">
        <f t="shared" si="750"/>
        <v>0</v>
      </c>
      <c r="AC360" s="1221">
        <f t="shared" si="750"/>
        <v>0</v>
      </c>
      <c r="AD360" s="1221">
        <f t="shared" si="750"/>
        <v>0</v>
      </c>
      <c r="AE360" s="1221">
        <f>SUM(S360,T360,U360)</f>
        <v>0</v>
      </c>
      <c r="AF360" s="1221">
        <f>SUM(V360,W360,X360)</f>
        <v>0</v>
      </c>
      <c r="AG360" s="1221">
        <f>SUM(Y360,Z360,AA360)</f>
        <v>0</v>
      </c>
      <c r="AH360" s="1221">
        <f>SUM(AB360,AC360,AD360)</f>
        <v>0</v>
      </c>
      <c r="AI360" s="1221">
        <f>AE360+AF360</f>
        <v>0</v>
      </c>
      <c r="AJ360" s="1221">
        <f>AH360+AG360</f>
        <v>0</v>
      </c>
      <c r="AK360" s="1221">
        <f>AI360+AJ360</f>
        <v>0</v>
      </c>
      <c r="AM360" s="596">
        <f ca="1">SUM((INDIRECT(AM$2&amp;(ROW())):INDIRECT(AM$3&amp;(ROW()))))</f>
        <v>0</v>
      </c>
      <c r="AN360" s="2002">
        <f ca="1">SUM(INDIRECT(AN$1&amp;AN$2&amp;$C360):INDIRECT(AN$1&amp;AN$3&amp;$C360))</f>
        <v>0</v>
      </c>
      <c r="AO360" s="2767">
        <f t="shared" ca="1" si="653"/>
        <v>0</v>
      </c>
      <c r="AP360" s="2768">
        <f t="shared" ca="1" si="711"/>
        <v>0</v>
      </c>
      <c r="AQ360" s="2002">
        <f ca="1">SUM(INDIRECT(AQ$1&amp;AQ$2&amp;$A360):INDIRECT(AQ$1&amp;AQ$3&amp;$A360))+SUM(INDIRECT(AQ$1&amp;AQ$2&amp;$B360):INDIRECT(AQ$1&amp;AQ$3&amp;$B360))</f>
        <v>0</v>
      </c>
      <c r="AR360" s="2767">
        <f t="shared" ca="1" si="692"/>
        <v>0</v>
      </c>
      <c r="AS360" s="2768">
        <f t="shared" ca="1" si="712"/>
        <v>0</v>
      </c>
      <c r="AU360" s="596">
        <f ca="1">SUM((INDIRECT(AU$2&amp;(ROW())):INDIRECT(AU$3&amp;(ROW()))))</f>
        <v>0</v>
      </c>
      <c r="AV360" s="2002">
        <f ca="1">SUM(INDIRECT(AV$1&amp;AV$2&amp;$C360):INDIRECT(AV$1&amp;AV$3&amp;$C360))</f>
        <v>0</v>
      </c>
      <c r="AW360" s="2767">
        <f t="shared" ca="1" si="713"/>
        <v>0</v>
      </c>
      <c r="AX360" s="2768">
        <f t="shared" ca="1" si="714"/>
        <v>0</v>
      </c>
      <c r="AY360" s="2002">
        <f ca="1">SUM(INDIRECT(AY$1&amp;AY$2&amp;$A360):INDIRECT(AY$1&amp;AY$3&amp;$A360))+SUM(INDIRECT(AY$1&amp;AY$2&amp;$B360):INDIRECT(AY$1&amp;AY$3&amp;$B360))</f>
        <v>0</v>
      </c>
      <c r="AZ360" s="2767">
        <f t="shared" ca="1" si="715"/>
        <v>0</v>
      </c>
      <c r="BA360" s="2768">
        <f t="shared" ca="1" si="716"/>
        <v>0</v>
      </c>
      <c r="BC360" s="596">
        <f ca="1">SUM((INDIRECT(BC$2&amp;(ROW())):INDIRECT(BC$3&amp;(ROW()))))</f>
        <v>0</v>
      </c>
      <c r="BD360" s="2002">
        <f ca="1">SUM(INDIRECT(BD$1&amp;BD$2&amp;$C360):INDIRECT(BD$1&amp;BD$3&amp;$C360))</f>
        <v>0</v>
      </c>
      <c r="BE360" s="2767">
        <f t="shared" ca="1" si="717"/>
        <v>0</v>
      </c>
      <c r="BF360" s="2768">
        <f t="shared" ca="1" si="718"/>
        <v>0</v>
      </c>
      <c r="BG360" s="2002">
        <f ca="1">SUM(INDIRECT(BG$1&amp;BG$2&amp;$A360):INDIRECT(BG$1&amp;BG$3&amp;$A360))+SUM(INDIRECT(BG$1&amp;BG$2&amp;$B360):INDIRECT(BG$1&amp;BG$3&amp;$B360))</f>
        <v>0</v>
      </c>
      <c r="BH360" s="2767">
        <f t="shared" ca="1" si="719"/>
        <v>0</v>
      </c>
      <c r="BI360" s="2768">
        <f t="shared" ca="1" si="720"/>
        <v>0</v>
      </c>
    </row>
    <row r="361" spans="1:61" ht="14.5">
      <c r="A361" s="1693">
        <f t="shared" si="660"/>
        <v>360</v>
      </c>
      <c r="B361" s="616">
        <v>1</v>
      </c>
      <c r="C361" s="1693">
        <f t="shared" si="657"/>
        <v>361</v>
      </c>
      <c r="D361" s="616">
        <f>D360+1</f>
        <v>286</v>
      </c>
      <c r="E361" s="709" t="s">
        <v>512</v>
      </c>
      <c r="F361" s="1572"/>
      <c r="G361" s="519"/>
      <c r="H361" s="4"/>
      <c r="I361" s="4"/>
      <c r="J361" s="27"/>
      <c r="K361" s="3"/>
      <c r="L361" s="3" t="s">
        <v>669</v>
      </c>
      <c r="M361" s="8"/>
      <c r="O361" s="3"/>
      <c r="P361" s="3"/>
      <c r="Q361" s="3"/>
      <c r="R361" s="1789" t="str">
        <f>CHOOSE(2, "6722000003279", "PL (5) Net Sales ICW ICW-WK")</f>
        <v>PL (5) Net Sales ICW ICW-WK</v>
      </c>
      <c r="S361" s="1214">
        <f t="shared" ref="S361:AD361" si="751">S784+S799</f>
        <v>0</v>
      </c>
      <c r="T361" s="1221">
        <f t="shared" si="751"/>
        <v>0</v>
      </c>
      <c r="U361" s="1221">
        <f t="shared" si="751"/>
        <v>0</v>
      </c>
      <c r="V361" s="1221">
        <f t="shared" si="751"/>
        <v>0</v>
      </c>
      <c r="W361" s="1221">
        <f t="shared" si="751"/>
        <v>0</v>
      </c>
      <c r="X361" s="1221">
        <f t="shared" si="751"/>
        <v>0</v>
      </c>
      <c r="Y361" s="1221">
        <f t="shared" si="751"/>
        <v>0</v>
      </c>
      <c r="Z361" s="1221">
        <f t="shared" si="751"/>
        <v>0</v>
      </c>
      <c r="AA361" s="1221">
        <f t="shared" si="751"/>
        <v>0</v>
      </c>
      <c r="AB361" s="1221">
        <f t="shared" si="751"/>
        <v>0</v>
      </c>
      <c r="AC361" s="1221">
        <f t="shared" si="751"/>
        <v>0</v>
      </c>
      <c r="AD361" s="1221">
        <f t="shared" si="751"/>
        <v>0</v>
      </c>
      <c r="AE361" s="1221">
        <f>SUM(S361,T361,U361)</f>
        <v>0</v>
      </c>
      <c r="AF361" s="1221">
        <f>SUM(V361,W361,X361)</f>
        <v>0</v>
      </c>
      <c r="AG361" s="1221">
        <f>SUM(Y361,Z361,AA361)</f>
        <v>0</v>
      </c>
      <c r="AH361" s="1221">
        <f>SUM(AB361,AC361,AD361)</f>
        <v>0</v>
      </c>
      <c r="AI361" s="1221">
        <f t="shared" si="730"/>
        <v>0</v>
      </c>
      <c r="AJ361" s="1221">
        <f t="shared" si="731"/>
        <v>0</v>
      </c>
      <c r="AK361" s="1221">
        <f t="shared" si="732"/>
        <v>0</v>
      </c>
      <c r="AM361" s="596">
        <f ca="1">SUM((INDIRECT(AM$2&amp;(ROW())):INDIRECT(AM$3&amp;(ROW()))))</f>
        <v>0</v>
      </c>
      <c r="AN361" s="2002">
        <f ca="1">SUM(INDIRECT(AN$1&amp;AN$2&amp;$C361):INDIRECT(AN$1&amp;AN$3&amp;$C361))</f>
        <v>0</v>
      </c>
      <c r="AO361" s="2767">
        <f t="shared" ca="1" si="653"/>
        <v>0</v>
      </c>
      <c r="AP361" s="2768">
        <f t="shared" ca="1" si="711"/>
        <v>0</v>
      </c>
      <c r="AQ361" s="2002">
        <f ca="1">SUM(INDIRECT(AQ$1&amp;AQ$2&amp;$A361):INDIRECT(AQ$1&amp;AQ$3&amp;$A361))+SUM(INDIRECT(AQ$1&amp;AQ$2&amp;$B361):INDIRECT(AQ$1&amp;AQ$3&amp;$B361))</f>
        <v>0</v>
      </c>
      <c r="AR361" s="2767">
        <f t="shared" ca="1" si="692"/>
        <v>0</v>
      </c>
      <c r="AS361" s="2768">
        <f t="shared" ca="1" si="712"/>
        <v>0</v>
      </c>
      <c r="AU361" s="596">
        <f ca="1">SUM((INDIRECT(AU$2&amp;(ROW())):INDIRECT(AU$3&amp;(ROW()))))</f>
        <v>0</v>
      </c>
      <c r="AV361" s="2002">
        <f ca="1">SUM(INDIRECT(AV$1&amp;AV$2&amp;$C361):INDIRECT(AV$1&amp;AV$3&amp;$C361))</f>
        <v>0</v>
      </c>
      <c r="AW361" s="2767">
        <f t="shared" ca="1" si="713"/>
        <v>0</v>
      </c>
      <c r="AX361" s="2768">
        <f t="shared" ca="1" si="714"/>
        <v>0</v>
      </c>
      <c r="AY361" s="2002">
        <f ca="1">SUM(INDIRECT(AY$1&amp;AY$2&amp;$A361):INDIRECT(AY$1&amp;AY$3&amp;$A361))+SUM(INDIRECT(AY$1&amp;AY$2&amp;$B361):INDIRECT(AY$1&amp;AY$3&amp;$B361))</f>
        <v>0</v>
      </c>
      <c r="AZ361" s="2767">
        <f t="shared" ca="1" si="715"/>
        <v>0</v>
      </c>
      <c r="BA361" s="2768">
        <f t="shared" ca="1" si="716"/>
        <v>0</v>
      </c>
      <c r="BC361" s="596">
        <f ca="1">SUM((INDIRECT(BC$2&amp;(ROW())):INDIRECT(BC$3&amp;(ROW()))))</f>
        <v>0</v>
      </c>
      <c r="BD361" s="2002">
        <f ca="1">SUM(INDIRECT(BD$1&amp;BD$2&amp;$C361):INDIRECT(BD$1&amp;BD$3&amp;$C361))</f>
        <v>0</v>
      </c>
      <c r="BE361" s="2767">
        <f t="shared" ca="1" si="717"/>
        <v>0</v>
      </c>
      <c r="BF361" s="2768">
        <f t="shared" ca="1" si="718"/>
        <v>0</v>
      </c>
      <c r="BG361" s="2002">
        <f ca="1">SUM(INDIRECT(BG$1&amp;BG$2&amp;$A361):INDIRECT(BG$1&amp;BG$3&amp;$A361))+SUM(INDIRECT(BG$1&amp;BG$2&amp;$B361):INDIRECT(BG$1&amp;BG$3&amp;$B361))</f>
        <v>0</v>
      </c>
      <c r="BH361" s="2767">
        <f t="shared" ca="1" si="719"/>
        <v>0</v>
      </c>
      <c r="BI361" s="2768">
        <f t="shared" ca="1" si="720"/>
        <v>0</v>
      </c>
    </row>
    <row r="362" spans="1:61" ht="14.5">
      <c r="A362" s="1693">
        <f t="shared" si="660"/>
        <v>361</v>
      </c>
      <c r="B362" s="616">
        <v>1</v>
      </c>
      <c r="C362" s="1693">
        <f t="shared" si="657"/>
        <v>362</v>
      </c>
      <c r="D362" s="616">
        <v>1</v>
      </c>
      <c r="E362" s="709" t="s">
        <v>512</v>
      </c>
      <c r="F362" s="1572"/>
      <c r="G362" s="519"/>
      <c r="H362" s="4"/>
      <c r="I362" s="4"/>
      <c r="J362" s="27"/>
      <c r="K362" s="3"/>
      <c r="L362" s="3" t="s">
        <v>609</v>
      </c>
      <c r="M362" s="8"/>
      <c r="O362" s="3"/>
      <c r="P362" s="3"/>
      <c r="Q362" s="3"/>
      <c r="R362" s="1789" t="str">
        <f>CHOOSE(2, "6722000003280", "PL (5) Net Sales ICW ICW-P")</f>
        <v>PL (5) Net Sales ICW ICW-P</v>
      </c>
      <c r="S362" s="1214">
        <f t="shared" ref="S362:AD362" si="752">S789+S800</f>
        <v>0</v>
      </c>
      <c r="T362" s="1221">
        <f t="shared" si="752"/>
        <v>0</v>
      </c>
      <c r="U362" s="1221">
        <f t="shared" si="752"/>
        <v>0</v>
      </c>
      <c r="V362" s="1221">
        <f t="shared" si="752"/>
        <v>0</v>
      </c>
      <c r="W362" s="1221">
        <f t="shared" si="752"/>
        <v>0</v>
      </c>
      <c r="X362" s="1221">
        <f t="shared" si="752"/>
        <v>0</v>
      </c>
      <c r="Y362" s="1221">
        <f t="shared" si="752"/>
        <v>0</v>
      </c>
      <c r="Z362" s="1221">
        <f t="shared" si="752"/>
        <v>0</v>
      </c>
      <c r="AA362" s="1221">
        <f t="shared" si="752"/>
        <v>0</v>
      </c>
      <c r="AB362" s="1221">
        <f t="shared" si="752"/>
        <v>0</v>
      </c>
      <c r="AC362" s="1221">
        <f t="shared" si="752"/>
        <v>0</v>
      </c>
      <c r="AD362" s="1221">
        <f t="shared" si="752"/>
        <v>0</v>
      </c>
      <c r="AE362" s="1221">
        <f>SUM(S362,T362,U362)</f>
        <v>0</v>
      </c>
      <c r="AF362" s="1221">
        <f>SUM(V362,W362,X362)</f>
        <v>0</v>
      </c>
      <c r="AG362" s="1221">
        <f>SUM(Y362,Z362,AA362)</f>
        <v>0</v>
      </c>
      <c r="AH362" s="1221">
        <f>SUM(AB362,AC362,AD362)</f>
        <v>0</v>
      </c>
      <c r="AI362" s="1221">
        <f t="shared" si="730"/>
        <v>0</v>
      </c>
      <c r="AJ362" s="1221">
        <f t="shared" si="731"/>
        <v>0</v>
      </c>
      <c r="AK362" s="1221">
        <f t="shared" si="732"/>
        <v>0</v>
      </c>
      <c r="AM362" s="596">
        <f ca="1">SUM((INDIRECT(AM$2&amp;(ROW())):INDIRECT(AM$3&amp;(ROW()))))</f>
        <v>0</v>
      </c>
      <c r="AN362" s="2002">
        <f ca="1">SUM(INDIRECT(AN$1&amp;AN$2&amp;$C362):INDIRECT(AN$1&amp;AN$3&amp;$C362))</f>
        <v>0</v>
      </c>
      <c r="AO362" s="2767">
        <f t="shared" ca="1" si="653"/>
        <v>0</v>
      </c>
      <c r="AP362" s="2768">
        <f t="shared" ca="1" si="711"/>
        <v>0</v>
      </c>
      <c r="AQ362" s="2002">
        <f ca="1">SUM(INDIRECT(AQ$1&amp;AQ$2&amp;$A362):INDIRECT(AQ$1&amp;AQ$3&amp;$A362))+SUM(INDIRECT(AQ$1&amp;AQ$2&amp;$B362):INDIRECT(AQ$1&amp;AQ$3&amp;$B362))</f>
        <v>0</v>
      </c>
      <c r="AR362" s="2767">
        <f t="shared" ca="1" si="692"/>
        <v>0</v>
      </c>
      <c r="AS362" s="2768">
        <f t="shared" ca="1" si="712"/>
        <v>0</v>
      </c>
      <c r="AU362" s="596">
        <f ca="1">SUM((INDIRECT(AU$2&amp;(ROW())):INDIRECT(AU$3&amp;(ROW()))))</f>
        <v>0</v>
      </c>
      <c r="AV362" s="2002">
        <f ca="1">SUM(INDIRECT(AV$1&amp;AV$2&amp;$C362):INDIRECT(AV$1&amp;AV$3&amp;$C362))</f>
        <v>0</v>
      </c>
      <c r="AW362" s="2767">
        <f t="shared" ca="1" si="713"/>
        <v>0</v>
      </c>
      <c r="AX362" s="2768">
        <f t="shared" ca="1" si="714"/>
        <v>0</v>
      </c>
      <c r="AY362" s="2002">
        <f ca="1">SUM(INDIRECT(AY$1&amp;AY$2&amp;$A362):INDIRECT(AY$1&amp;AY$3&amp;$A362))+SUM(INDIRECT(AY$1&amp;AY$2&amp;$B362):INDIRECT(AY$1&amp;AY$3&amp;$B362))</f>
        <v>0</v>
      </c>
      <c r="AZ362" s="2767">
        <f t="shared" ca="1" si="715"/>
        <v>0</v>
      </c>
      <c r="BA362" s="2768">
        <f t="shared" ca="1" si="716"/>
        <v>0</v>
      </c>
      <c r="BC362" s="596">
        <f ca="1">SUM((INDIRECT(BC$2&amp;(ROW())):INDIRECT(BC$3&amp;(ROW()))))</f>
        <v>0</v>
      </c>
      <c r="BD362" s="2002">
        <f ca="1">SUM(INDIRECT(BD$1&amp;BD$2&amp;$C362):INDIRECT(BD$1&amp;BD$3&amp;$C362))</f>
        <v>0</v>
      </c>
      <c r="BE362" s="2767">
        <f t="shared" ca="1" si="717"/>
        <v>0</v>
      </c>
      <c r="BF362" s="2768">
        <f t="shared" ca="1" si="718"/>
        <v>0</v>
      </c>
      <c r="BG362" s="2002">
        <f ca="1">SUM(INDIRECT(BG$1&amp;BG$2&amp;$A362):INDIRECT(BG$1&amp;BG$3&amp;$A362))+SUM(INDIRECT(BG$1&amp;BG$2&amp;$B362):INDIRECT(BG$1&amp;BG$3&amp;$B362))</f>
        <v>0</v>
      </c>
      <c r="BH362" s="2767">
        <f t="shared" ca="1" si="719"/>
        <v>0</v>
      </c>
      <c r="BI362" s="2768">
        <f t="shared" ca="1" si="720"/>
        <v>0</v>
      </c>
    </row>
    <row r="363" spans="1:61" ht="14.5">
      <c r="A363" s="1693">
        <f t="shared" si="660"/>
        <v>362</v>
      </c>
      <c r="B363" s="616">
        <v>1</v>
      </c>
      <c r="C363" s="1693">
        <f t="shared" si="657"/>
        <v>363</v>
      </c>
      <c r="D363" s="616">
        <v>1</v>
      </c>
      <c r="E363" s="709" t="s">
        <v>512</v>
      </c>
      <c r="F363" s="1572"/>
      <c r="G363" s="4"/>
      <c r="H363" s="4"/>
      <c r="I363" s="4"/>
      <c r="J363" s="316" t="s">
        <v>48</v>
      </c>
      <c r="K363" s="324"/>
      <c r="L363" s="324"/>
      <c r="M363" s="313"/>
      <c r="N363" s="313"/>
      <c r="O363" s="313"/>
      <c r="P363" s="513" t="s">
        <v>304</v>
      </c>
      <c r="Q363" s="471"/>
      <c r="R363" s="1801" t="str">
        <f>CHOOSE(2, "6722000003281", "PL (5) BT Cons. Sales")</f>
        <v>PL (5) BT Cons. Sales</v>
      </c>
      <c r="S363" s="1260">
        <f>SUM(S364,S369)</f>
        <v>121</v>
      </c>
      <c r="T363" s="1186">
        <f t="shared" ref="T363:AD363" si="753">SUM(T364,T369)</f>
        <v>1709</v>
      </c>
      <c r="U363" s="1186">
        <f t="shared" si="753"/>
        <v>170.2</v>
      </c>
      <c r="V363" s="1186">
        <f t="shared" si="753"/>
        <v>777</v>
      </c>
      <c r="W363" s="1186">
        <f t="shared" si="753"/>
        <v>1010.1</v>
      </c>
      <c r="X363" s="1186">
        <f t="shared" si="753"/>
        <v>1791</v>
      </c>
      <c r="Y363" s="1186">
        <f t="shared" si="753"/>
        <v>85.1</v>
      </c>
      <c r="Z363" s="1186">
        <f t="shared" si="753"/>
        <v>1875</v>
      </c>
      <c r="AA363" s="1186">
        <f t="shared" si="753"/>
        <v>95.39</v>
      </c>
      <c r="AB363" s="1186">
        <f t="shared" si="753"/>
        <v>3166</v>
      </c>
      <c r="AC363" s="1186">
        <f t="shared" si="753"/>
        <v>3288.5439999999999</v>
      </c>
      <c r="AD363" s="1186">
        <f t="shared" si="753"/>
        <v>4094.8540000000003</v>
      </c>
      <c r="AE363" s="554">
        <f t="shared" ref="AE363:AK363" si="754">SUM(AE364,AE369)</f>
        <v>2000.2</v>
      </c>
      <c r="AF363" s="89">
        <f t="shared" si="754"/>
        <v>3578.1</v>
      </c>
      <c r="AG363" s="89">
        <f t="shared" si="754"/>
        <v>2055.4899999999998</v>
      </c>
      <c r="AH363" s="89">
        <f t="shared" si="754"/>
        <v>10549.398000000001</v>
      </c>
      <c r="AI363" s="89">
        <f t="shared" si="754"/>
        <v>5578.3</v>
      </c>
      <c r="AJ363" s="89">
        <f t="shared" si="754"/>
        <v>12604.887999999999</v>
      </c>
      <c r="AK363" s="89">
        <f t="shared" si="754"/>
        <v>18183.188000000002</v>
      </c>
      <c r="AL363" s="69"/>
      <c r="AM363" s="2059">
        <f ca="1">SUM((INDIRECT(AM$2&amp;(ROW())):INDIRECT(AM$3&amp;(ROW()))))</f>
        <v>121</v>
      </c>
      <c r="AN363" s="2060">
        <f ca="1">SUM(INDIRECT(AN$1&amp;AN$2&amp;$C363):INDIRECT(AN$1&amp;AN$3&amp;$C363))</f>
        <v>1000</v>
      </c>
      <c r="AO363" s="2819">
        <f t="shared" ca="1" si="653"/>
        <v>-879</v>
      </c>
      <c r="AP363" s="2820">
        <f t="shared" ca="1" si="711"/>
        <v>0.121</v>
      </c>
      <c r="AQ363" s="2821">
        <f ca="1">SUM(AQ364,AQ369)</f>
        <v>360</v>
      </c>
      <c r="AR363" s="2819">
        <f t="shared" ca="1" si="692"/>
        <v>-239</v>
      </c>
      <c r="AS363" s="2820">
        <f t="shared" ca="1" si="712"/>
        <v>0.33611111111111114</v>
      </c>
      <c r="AU363" s="2059">
        <f ca="1">SUM((INDIRECT(AU$2&amp;(ROW())):INDIRECT(AU$3&amp;(ROW()))))</f>
        <v>121</v>
      </c>
      <c r="AV363" s="2060">
        <f ca="1">SUM(INDIRECT(AV$1&amp;AV$2&amp;$C363):INDIRECT(AV$1&amp;AV$3&amp;$C363))</f>
        <v>1000</v>
      </c>
      <c r="AW363" s="2819">
        <f t="shared" ca="1" si="713"/>
        <v>-879</v>
      </c>
      <c r="AX363" s="2820">
        <f t="shared" ca="1" si="714"/>
        <v>0.121</v>
      </c>
      <c r="AY363" s="2821">
        <f ca="1">SUM(AY364,AY369)</f>
        <v>360</v>
      </c>
      <c r="AZ363" s="2819">
        <f t="shared" ca="1" si="715"/>
        <v>-239</v>
      </c>
      <c r="BA363" s="2820">
        <f t="shared" ca="1" si="716"/>
        <v>0.33611111111111114</v>
      </c>
      <c r="BC363" s="2059">
        <f ca="1">SUM((INDIRECT(BC$2&amp;(ROW())):INDIRECT(BC$3&amp;(ROW()))))</f>
        <v>121</v>
      </c>
      <c r="BD363" s="2060">
        <f ca="1">SUM(INDIRECT(BD$1&amp;BD$2&amp;$C363):INDIRECT(BD$1&amp;BD$3&amp;$C363))</f>
        <v>1000</v>
      </c>
      <c r="BE363" s="2819">
        <f t="shared" ca="1" si="717"/>
        <v>-879</v>
      </c>
      <c r="BF363" s="2820">
        <f t="shared" ca="1" si="718"/>
        <v>0.121</v>
      </c>
      <c r="BG363" s="2821">
        <f ca="1">SUM(BG364,BG369)</f>
        <v>360</v>
      </c>
      <c r="BH363" s="2819">
        <f t="shared" ca="1" si="719"/>
        <v>-239</v>
      </c>
      <c r="BI363" s="2820">
        <f t="shared" ca="1" si="720"/>
        <v>0.33611111111111114</v>
      </c>
    </row>
    <row r="364" spans="1:61" s="69" customFormat="1" ht="14.5">
      <c r="A364" s="1693">
        <f t="shared" si="660"/>
        <v>363</v>
      </c>
      <c r="B364" s="616">
        <v>1</v>
      </c>
      <c r="C364" s="1693">
        <f t="shared" si="657"/>
        <v>364</v>
      </c>
      <c r="D364" s="616">
        <v>1</v>
      </c>
      <c r="E364" s="709" t="s">
        <v>512</v>
      </c>
      <c r="F364" s="1572"/>
      <c r="G364" s="1567"/>
      <c r="H364" s="4"/>
      <c r="I364" s="4"/>
      <c r="J364" s="762"/>
      <c r="K364" s="1071" t="s">
        <v>809</v>
      </c>
      <c r="L364" s="1071"/>
      <c r="M364" s="1072"/>
      <c r="N364" s="1072"/>
      <c r="O364" s="1072"/>
      <c r="P364" s="1073"/>
      <c r="Q364" s="1072"/>
      <c r="R364" s="1802" t="str">
        <f>CHOOSE(2, "6722000003282", "PL (5) BT Cons. Sales ITS")</f>
        <v>PL (5) BT Cons. Sales ITS</v>
      </c>
      <c r="S364" s="1454">
        <f t="shared" ref="S364:AD364" si="755">SUM(S365,S366)</f>
        <v>121</v>
      </c>
      <c r="T364" s="1455">
        <f t="shared" si="755"/>
        <v>1709</v>
      </c>
      <c r="U364" s="1455">
        <f t="shared" si="755"/>
        <v>170.2</v>
      </c>
      <c r="V364" s="1455">
        <f t="shared" si="755"/>
        <v>777</v>
      </c>
      <c r="W364" s="1455">
        <f t="shared" si="755"/>
        <v>1010.1</v>
      </c>
      <c r="X364" s="1455">
        <f t="shared" si="755"/>
        <v>1791</v>
      </c>
      <c r="Y364" s="1455">
        <f t="shared" si="755"/>
        <v>85.1</v>
      </c>
      <c r="Z364" s="1455">
        <f t="shared" si="755"/>
        <v>1875</v>
      </c>
      <c r="AA364" s="1455">
        <f t="shared" si="755"/>
        <v>0</v>
      </c>
      <c r="AB364" s="1455">
        <f t="shared" si="755"/>
        <v>3166</v>
      </c>
      <c r="AC364" s="1455">
        <f t="shared" si="755"/>
        <v>3288.5439999999999</v>
      </c>
      <c r="AD364" s="1455">
        <f t="shared" si="755"/>
        <v>4094.8540000000003</v>
      </c>
      <c r="AE364" s="1455">
        <f t="shared" ref="AE364:AK364" si="756">SUM(AE365,AE366)</f>
        <v>2000.2</v>
      </c>
      <c r="AF364" s="1455">
        <f t="shared" si="756"/>
        <v>3578.1</v>
      </c>
      <c r="AG364" s="1455">
        <f t="shared" si="756"/>
        <v>1960.1</v>
      </c>
      <c r="AH364" s="1455">
        <f t="shared" si="756"/>
        <v>10549.398000000001</v>
      </c>
      <c r="AI364" s="1455">
        <f t="shared" si="756"/>
        <v>5578.3</v>
      </c>
      <c r="AJ364" s="1455">
        <f t="shared" si="756"/>
        <v>12509.498</v>
      </c>
      <c r="AK364" s="1455">
        <f t="shared" si="756"/>
        <v>18087.798000000003</v>
      </c>
      <c r="AL364" s="8"/>
      <c r="AM364" s="2822">
        <f t="shared" ref="AM364:AN364" ca="1" si="757">SUM(AM365,AM366)</f>
        <v>121</v>
      </c>
      <c r="AN364" s="2823">
        <f t="shared" ca="1" si="757"/>
        <v>1000</v>
      </c>
      <c r="AO364" s="2824">
        <f t="shared" ca="1" si="653"/>
        <v>-879</v>
      </c>
      <c r="AP364" s="2825">
        <f t="shared" ca="1" si="711"/>
        <v>0.121</v>
      </c>
      <c r="AQ364" s="2823">
        <f t="shared" ref="AQ364" ca="1" si="758">SUM(AQ365,AQ366)</f>
        <v>360</v>
      </c>
      <c r="AR364" s="2824">
        <f t="shared" ca="1" si="692"/>
        <v>-239</v>
      </c>
      <c r="AS364" s="2825">
        <f t="shared" ca="1" si="712"/>
        <v>0.33611111111111114</v>
      </c>
      <c r="AU364" s="2822">
        <f t="shared" ref="AU364:AV364" ca="1" si="759">SUM(AU365,AU366)</f>
        <v>121</v>
      </c>
      <c r="AV364" s="2823">
        <f t="shared" ca="1" si="759"/>
        <v>1000</v>
      </c>
      <c r="AW364" s="2824">
        <f t="shared" ca="1" si="713"/>
        <v>-879</v>
      </c>
      <c r="AX364" s="2825">
        <f t="shared" ca="1" si="714"/>
        <v>0.121</v>
      </c>
      <c r="AY364" s="2823">
        <f t="shared" ref="AY364" ca="1" si="760">SUM(AY365,AY366)</f>
        <v>360</v>
      </c>
      <c r="AZ364" s="2824">
        <f t="shared" ca="1" si="715"/>
        <v>-239</v>
      </c>
      <c r="BA364" s="2825">
        <f t="shared" ca="1" si="716"/>
        <v>0.33611111111111114</v>
      </c>
      <c r="BC364" s="2822">
        <f t="shared" ref="BC364:BD364" ca="1" si="761">SUM(BC365,BC366)</f>
        <v>121</v>
      </c>
      <c r="BD364" s="2823">
        <f t="shared" ca="1" si="761"/>
        <v>1000</v>
      </c>
      <c r="BE364" s="2824">
        <f t="shared" ca="1" si="717"/>
        <v>-879</v>
      </c>
      <c r="BF364" s="2825">
        <f t="shared" ca="1" si="718"/>
        <v>0.121</v>
      </c>
      <c r="BG364" s="2823">
        <f t="shared" ref="BG364" ca="1" si="762">SUM(BG365,BG366)</f>
        <v>360</v>
      </c>
      <c r="BH364" s="2824">
        <f t="shared" ca="1" si="719"/>
        <v>-239</v>
      </c>
      <c r="BI364" s="2825">
        <f t="shared" ca="1" si="720"/>
        <v>0.33611111111111114</v>
      </c>
    </row>
    <row r="365" spans="1:61" ht="14.5">
      <c r="A365" s="1693">
        <f t="shared" si="660"/>
        <v>364</v>
      </c>
      <c r="B365" s="616">
        <v>1</v>
      </c>
      <c r="C365" s="1695">
        <f t="shared" si="657"/>
        <v>365</v>
      </c>
      <c r="D365" s="616">
        <v>1</v>
      </c>
      <c r="E365" s="709" t="s">
        <v>512</v>
      </c>
      <c r="F365" s="1572"/>
      <c r="G365" s="519"/>
      <c r="H365" s="737"/>
      <c r="I365" s="4"/>
      <c r="J365" s="27"/>
      <c r="K365" s="3"/>
      <c r="L365" s="3" t="s">
        <v>418</v>
      </c>
      <c r="M365" s="8"/>
      <c r="O365" s="3"/>
      <c r="P365" s="3"/>
      <c r="Q365" s="3"/>
      <c r="R365" s="1790" t="str">
        <f>CHOOSE(2, "6722000003283", "PL (5) BT Cons. Sales ITS IMS")</f>
        <v>PL (5) BT Cons. Sales ITS IMS</v>
      </c>
      <c r="S365" s="1215"/>
      <c r="T365" s="1222">
        <v>510</v>
      </c>
      <c r="U365" s="1222"/>
      <c r="V365" s="1222">
        <v>510</v>
      </c>
      <c r="W365" s="1222"/>
      <c r="X365" s="1222"/>
      <c r="Y365" s="1222"/>
      <c r="Z365" s="1222">
        <v>510</v>
      </c>
      <c r="AA365" s="1222"/>
      <c r="AB365" s="1222">
        <v>2152</v>
      </c>
      <c r="AC365" s="1222">
        <v>3288.5439999999999</v>
      </c>
      <c r="AD365" s="1222">
        <v>2535.61</v>
      </c>
      <c r="AE365" s="1221">
        <f>SUM(S365,T365,U365)</f>
        <v>510</v>
      </c>
      <c r="AF365" s="1221">
        <f>SUM(V365,W365,X365)</f>
        <v>510</v>
      </c>
      <c r="AG365" s="1221">
        <f>SUM(Y365,Z365,AA365)</f>
        <v>510</v>
      </c>
      <c r="AH365" s="1221">
        <f>SUM(AB365,AC365,AD365)</f>
        <v>7976.1540000000005</v>
      </c>
      <c r="AI365" s="1221">
        <f>AE365+AF365</f>
        <v>1020</v>
      </c>
      <c r="AJ365" s="1221">
        <f>AH365+AG365</f>
        <v>8486.1540000000005</v>
      </c>
      <c r="AK365" s="1221">
        <f>AI365+AJ365</f>
        <v>9506.1540000000005</v>
      </c>
      <c r="AM365" s="596">
        <f ca="1">SUM((INDIRECT(AM$2&amp;(ROW())):INDIRECT(AM$3&amp;(ROW()))))</f>
        <v>0</v>
      </c>
      <c r="AN365" s="2002">
        <f ca="1">SUM(INDIRECT(AN$1&amp;AN$2&amp;$C365):INDIRECT(AN$1&amp;AN$3&amp;$C365))</f>
        <v>500</v>
      </c>
      <c r="AO365" s="2767">
        <f t="shared" ca="1" si="653"/>
        <v>-500</v>
      </c>
      <c r="AP365" s="2768">
        <f t="shared" ca="1" si="711"/>
        <v>0</v>
      </c>
      <c r="AQ365" s="2002">
        <f ca="1">SUM(INDIRECT(AQ$1&amp;AQ$2&amp;$A365):INDIRECT(AQ$1&amp;AQ$3&amp;$A365))+SUM(INDIRECT(AQ$1&amp;AQ$2&amp;$B365):INDIRECT(AQ$1&amp;AQ$3&amp;$B365))</f>
        <v>0</v>
      </c>
      <c r="AR365" s="2767">
        <f t="shared" ca="1" si="692"/>
        <v>0</v>
      </c>
      <c r="AS365" s="2768">
        <f t="shared" ca="1" si="712"/>
        <v>0</v>
      </c>
      <c r="AU365" s="596">
        <f ca="1">SUM((INDIRECT(AU$2&amp;(ROW())):INDIRECT(AU$3&amp;(ROW()))))</f>
        <v>0</v>
      </c>
      <c r="AV365" s="2002">
        <f ca="1">SUM(INDIRECT(AV$1&amp;AV$2&amp;$C365):INDIRECT(AV$1&amp;AV$3&amp;$C365))</f>
        <v>500</v>
      </c>
      <c r="AW365" s="2767">
        <f t="shared" ca="1" si="713"/>
        <v>-500</v>
      </c>
      <c r="AX365" s="2768">
        <f t="shared" ca="1" si="714"/>
        <v>0</v>
      </c>
      <c r="AY365" s="2002">
        <f ca="1">SUM(INDIRECT(AY$1&amp;AY$2&amp;$A365):INDIRECT(AY$1&amp;AY$3&amp;$A365))+SUM(INDIRECT(AY$1&amp;AY$2&amp;$B365):INDIRECT(AY$1&amp;AY$3&amp;$B365))</f>
        <v>0</v>
      </c>
      <c r="AZ365" s="2767">
        <f t="shared" ca="1" si="715"/>
        <v>0</v>
      </c>
      <c r="BA365" s="2768">
        <f t="shared" ca="1" si="716"/>
        <v>0</v>
      </c>
      <c r="BC365" s="596">
        <f ca="1">SUM((INDIRECT(BC$2&amp;(ROW())):INDIRECT(BC$3&amp;(ROW()))))</f>
        <v>0</v>
      </c>
      <c r="BD365" s="2002">
        <f ca="1">SUM(INDIRECT(BD$1&amp;BD$2&amp;$C365):INDIRECT(BD$1&amp;BD$3&amp;$C365))</f>
        <v>500</v>
      </c>
      <c r="BE365" s="2767">
        <f t="shared" ca="1" si="717"/>
        <v>-500</v>
      </c>
      <c r="BF365" s="2768">
        <f t="shared" ca="1" si="718"/>
        <v>0</v>
      </c>
      <c r="BG365" s="2002">
        <f ca="1">SUM(INDIRECT(BG$1&amp;BG$2&amp;$A365):INDIRECT(BG$1&amp;BG$3&amp;$A365))+SUM(INDIRECT(BG$1&amp;BG$2&amp;$B365):INDIRECT(BG$1&amp;BG$3&amp;$B365))</f>
        <v>0</v>
      </c>
      <c r="BH365" s="2767">
        <f t="shared" ca="1" si="719"/>
        <v>0</v>
      </c>
      <c r="BI365" s="2768">
        <f t="shared" ca="1" si="720"/>
        <v>0</v>
      </c>
    </row>
    <row r="366" spans="1:61" ht="14.5">
      <c r="A366" s="1693">
        <f t="shared" si="660"/>
        <v>365</v>
      </c>
      <c r="B366" s="616">
        <v>1</v>
      </c>
      <c r="C366" s="1695">
        <f t="shared" si="657"/>
        <v>366</v>
      </c>
      <c r="D366" s="616">
        <v>1</v>
      </c>
      <c r="E366" s="709" t="s">
        <v>512</v>
      </c>
      <c r="F366" s="1572"/>
      <c r="G366" s="519"/>
      <c r="H366" s="4"/>
      <c r="I366" s="4"/>
      <c r="J366" s="498"/>
      <c r="K366" s="3"/>
      <c r="L366" s="1736" t="s">
        <v>846</v>
      </c>
      <c r="M366" s="1740"/>
      <c r="N366" s="1740"/>
      <c r="O366" s="1736"/>
      <c r="P366" s="1736"/>
      <c r="Q366" s="1736"/>
      <c r="R366" s="1803" t="str">
        <f>CHOOSE(2, "6722000004517", "PL (5) BT Cons. Sales ITS IIM")</f>
        <v>PL (5) BT Cons. Sales ITS IIM</v>
      </c>
      <c r="S366" s="1741">
        <f t="shared" ref="S366:AD366" si="763">SUM(S367:S368)</f>
        <v>121</v>
      </c>
      <c r="T366" s="1742">
        <f t="shared" si="763"/>
        <v>1199</v>
      </c>
      <c r="U366" s="1742">
        <f t="shared" si="763"/>
        <v>170.2</v>
      </c>
      <c r="V366" s="1742">
        <f t="shared" si="763"/>
        <v>267</v>
      </c>
      <c r="W366" s="1742">
        <f t="shared" si="763"/>
        <v>1010.1</v>
      </c>
      <c r="X366" s="1742">
        <f t="shared" si="763"/>
        <v>1791</v>
      </c>
      <c r="Y366" s="1742">
        <f t="shared" si="763"/>
        <v>85.1</v>
      </c>
      <c r="Z366" s="1742">
        <f t="shared" si="763"/>
        <v>1365</v>
      </c>
      <c r="AA366" s="1742">
        <f t="shared" si="763"/>
        <v>0</v>
      </c>
      <c r="AB366" s="1742">
        <f t="shared" si="763"/>
        <v>1014</v>
      </c>
      <c r="AC366" s="1742">
        <f t="shared" si="763"/>
        <v>0</v>
      </c>
      <c r="AD366" s="1742">
        <f t="shared" si="763"/>
        <v>1559.2439999999999</v>
      </c>
      <c r="AE366" s="1742">
        <f>SUM(S366,T366,U366)</f>
        <v>1490.2</v>
      </c>
      <c r="AF366" s="1742">
        <f>SUM(V366,W366,X366)</f>
        <v>3068.1</v>
      </c>
      <c r="AG366" s="1742">
        <f>SUM(Y366,Z366,AA366)</f>
        <v>1450.1</v>
      </c>
      <c r="AH366" s="1742">
        <f>SUM(AB366,AC366,AD366)</f>
        <v>2573.2439999999997</v>
      </c>
      <c r="AI366" s="1742">
        <f>AE366+AF366</f>
        <v>4558.3</v>
      </c>
      <c r="AJ366" s="1742">
        <f>AH366+AG366</f>
        <v>4023.3439999999996</v>
      </c>
      <c r="AK366" s="1742">
        <f>AI366+AJ366</f>
        <v>8581.6440000000002</v>
      </c>
      <c r="AM366" s="1741">
        <f t="shared" ref="AM366:AN366" ca="1" si="764">SUM(AM367:AM368)</f>
        <v>121</v>
      </c>
      <c r="AN366" s="1742">
        <f t="shared" ca="1" si="764"/>
        <v>500</v>
      </c>
      <c r="AO366" s="2826">
        <f t="shared" ca="1" si="653"/>
        <v>-379</v>
      </c>
      <c r="AP366" s="2827">
        <f t="shared" ca="1" si="711"/>
        <v>0.24199999999999999</v>
      </c>
      <c r="AQ366" s="1742">
        <f t="shared" ref="AQ366" ca="1" si="765">SUM(AQ367:AQ368)</f>
        <v>360</v>
      </c>
      <c r="AR366" s="2826">
        <f t="shared" ca="1" si="692"/>
        <v>-239</v>
      </c>
      <c r="AS366" s="2827">
        <f t="shared" ca="1" si="712"/>
        <v>0.33611111111111114</v>
      </c>
      <c r="AU366" s="1741">
        <f t="shared" ref="AU366:AV366" ca="1" si="766">SUM(AU367:AU368)</f>
        <v>121</v>
      </c>
      <c r="AV366" s="1742">
        <f t="shared" ca="1" si="766"/>
        <v>500</v>
      </c>
      <c r="AW366" s="2826">
        <f t="shared" ca="1" si="713"/>
        <v>-379</v>
      </c>
      <c r="AX366" s="2827">
        <f t="shared" ca="1" si="714"/>
        <v>0.24199999999999999</v>
      </c>
      <c r="AY366" s="1742">
        <f t="shared" ref="AY366" ca="1" si="767">SUM(AY367:AY368)</f>
        <v>360</v>
      </c>
      <c r="AZ366" s="2826">
        <f t="shared" ca="1" si="715"/>
        <v>-239</v>
      </c>
      <c r="BA366" s="2827">
        <f t="shared" ca="1" si="716"/>
        <v>0.33611111111111114</v>
      </c>
      <c r="BC366" s="1741">
        <f t="shared" ref="BC366:BD366" ca="1" si="768">SUM(BC367:BC368)</f>
        <v>121</v>
      </c>
      <c r="BD366" s="1742">
        <f t="shared" ca="1" si="768"/>
        <v>500</v>
      </c>
      <c r="BE366" s="2826">
        <f t="shared" ca="1" si="717"/>
        <v>-379</v>
      </c>
      <c r="BF366" s="2827">
        <f t="shared" ca="1" si="718"/>
        <v>0.24199999999999999</v>
      </c>
      <c r="BG366" s="1742">
        <f t="shared" ref="BG366" ca="1" si="769">SUM(BG367:BG368)</f>
        <v>360</v>
      </c>
      <c r="BH366" s="2826">
        <f t="shared" ca="1" si="719"/>
        <v>-239</v>
      </c>
      <c r="BI366" s="2827">
        <f t="shared" ca="1" si="720"/>
        <v>0.33611111111111114</v>
      </c>
    </row>
    <row r="367" spans="1:61" ht="14.5">
      <c r="A367" s="1693">
        <f>A365+1</f>
        <v>365</v>
      </c>
      <c r="B367" s="616">
        <v>1</v>
      </c>
      <c r="C367" s="1693">
        <f t="shared" si="657"/>
        <v>367</v>
      </c>
      <c r="D367" s="616">
        <v>1</v>
      </c>
      <c r="E367" s="709" t="s">
        <v>512</v>
      </c>
      <c r="F367" s="1572"/>
      <c r="G367" s="519"/>
      <c r="H367" s="4"/>
      <c r="I367" s="4"/>
      <c r="J367" s="27"/>
      <c r="K367" s="3"/>
      <c r="L367" s="3"/>
      <c r="M367" s="3"/>
      <c r="N367" s="3" t="s">
        <v>419</v>
      </c>
      <c r="O367" s="3"/>
      <c r="P367" s="3"/>
      <c r="Q367" s="3"/>
      <c r="R367" s="1790" t="str">
        <f>CHOOSE(2, "6722000003284", "PL (5) BT Cons. Sales ITS MCS")</f>
        <v>PL (5) BT Cons. Sales ITS MCS</v>
      </c>
      <c r="S367" s="1215">
        <v>121</v>
      </c>
      <c r="T367" s="1222">
        <v>1199</v>
      </c>
      <c r="U367" s="1222">
        <v>170.2</v>
      </c>
      <c r="V367" s="1222">
        <v>267</v>
      </c>
      <c r="W367" s="1222">
        <v>1010.1</v>
      </c>
      <c r="X367" s="1222">
        <v>1791</v>
      </c>
      <c r="Y367" s="1222">
        <v>85.1</v>
      </c>
      <c r="Z367" s="1222">
        <f>1875-510</f>
        <v>1365</v>
      </c>
      <c r="AA367" s="1222"/>
      <c r="AB367" s="1222">
        <v>1014</v>
      </c>
      <c r="AC367" s="1222"/>
      <c r="AD367" s="1222">
        <v>1559.2439999999999</v>
      </c>
      <c r="AE367" s="1221">
        <f>SUM(S367,T367,U367)</f>
        <v>1490.2</v>
      </c>
      <c r="AF367" s="1221">
        <f>SUM(V367,W367,X367)</f>
        <v>3068.1</v>
      </c>
      <c r="AG367" s="1221">
        <f>SUM(Y367,Z367,AA367)</f>
        <v>1450.1</v>
      </c>
      <c r="AH367" s="1221">
        <f>SUM(AB367,AC367,AD367)</f>
        <v>2573.2439999999997</v>
      </c>
      <c r="AI367" s="1221">
        <f>AE367+AF367</f>
        <v>4558.3</v>
      </c>
      <c r="AJ367" s="1221">
        <f>AH367+AG367</f>
        <v>4023.3439999999996</v>
      </c>
      <c r="AK367" s="1221">
        <f>AI367+AJ367</f>
        <v>8581.6440000000002</v>
      </c>
      <c r="AM367" s="596">
        <f ca="1">SUM((INDIRECT(AM$2&amp;(ROW())):INDIRECT(AM$3&amp;(ROW()))))</f>
        <v>121</v>
      </c>
      <c r="AN367" s="2002">
        <f ca="1">SUM(INDIRECT(AN$1&amp;AN$2&amp;$C367):INDIRECT(AN$1&amp;AN$3&amp;$C367))</f>
        <v>500</v>
      </c>
      <c r="AO367" s="2767">
        <f t="shared" ca="1" si="653"/>
        <v>-379</v>
      </c>
      <c r="AP367" s="2768">
        <f t="shared" ca="1" si="711"/>
        <v>0.24199999999999999</v>
      </c>
      <c r="AQ367" s="2002">
        <f ca="1">SUM(INDIRECT(AQ$1&amp;AQ$2&amp;$A367):INDIRECT(AQ$1&amp;AQ$3&amp;$A367))+SUM(INDIRECT(AQ$1&amp;AQ$2&amp;$B367):INDIRECT(AQ$1&amp;AQ$3&amp;$B367))</f>
        <v>360</v>
      </c>
      <c r="AR367" s="2767">
        <f t="shared" ca="1" si="692"/>
        <v>-239</v>
      </c>
      <c r="AS367" s="2768">
        <f t="shared" ca="1" si="712"/>
        <v>0.33611111111111114</v>
      </c>
      <c r="AU367" s="596">
        <f ca="1">SUM((INDIRECT(AU$2&amp;(ROW())):INDIRECT(AU$3&amp;(ROW()))))</f>
        <v>121</v>
      </c>
      <c r="AV367" s="2002">
        <f ca="1">SUM(INDIRECT(AV$1&amp;AV$2&amp;$C367):INDIRECT(AV$1&amp;AV$3&amp;$C367))</f>
        <v>500</v>
      </c>
      <c r="AW367" s="2767">
        <f t="shared" ca="1" si="713"/>
        <v>-379</v>
      </c>
      <c r="AX367" s="2768">
        <f t="shared" ca="1" si="714"/>
        <v>0.24199999999999999</v>
      </c>
      <c r="AY367" s="2002">
        <f ca="1">SUM(INDIRECT(AY$1&amp;AY$2&amp;$A367):INDIRECT(AY$1&amp;AY$3&amp;$A367))+SUM(INDIRECT(AY$1&amp;AY$2&amp;$B367):INDIRECT(AY$1&amp;AY$3&amp;$B367))</f>
        <v>360</v>
      </c>
      <c r="AZ367" s="2767">
        <f t="shared" ca="1" si="715"/>
        <v>-239</v>
      </c>
      <c r="BA367" s="2768">
        <f t="shared" ca="1" si="716"/>
        <v>0.33611111111111114</v>
      </c>
      <c r="BC367" s="596">
        <f ca="1">SUM((INDIRECT(BC$2&amp;(ROW())):INDIRECT(BC$3&amp;(ROW()))))</f>
        <v>121</v>
      </c>
      <c r="BD367" s="2002">
        <f ca="1">SUM(INDIRECT(BD$1&amp;BD$2&amp;$C367):INDIRECT(BD$1&amp;BD$3&amp;$C367))</f>
        <v>500</v>
      </c>
      <c r="BE367" s="2767">
        <f t="shared" ca="1" si="717"/>
        <v>-379</v>
      </c>
      <c r="BF367" s="2768">
        <f t="shared" ca="1" si="718"/>
        <v>0.24199999999999999</v>
      </c>
      <c r="BG367" s="2002">
        <f ca="1">SUM(INDIRECT(BG$1&amp;BG$2&amp;$A367):INDIRECT(BG$1&amp;BG$3&amp;$A367))+SUM(INDIRECT(BG$1&amp;BG$2&amp;$B367):INDIRECT(BG$1&amp;BG$3&amp;$B367))</f>
        <v>360</v>
      </c>
      <c r="BH367" s="2767">
        <f t="shared" ca="1" si="719"/>
        <v>-239</v>
      </c>
      <c r="BI367" s="2768">
        <f t="shared" ca="1" si="720"/>
        <v>0.33611111111111114</v>
      </c>
    </row>
    <row r="368" spans="1:61" ht="14.5">
      <c r="A368" s="1693">
        <f t="shared" si="660"/>
        <v>366</v>
      </c>
      <c r="B368" s="616">
        <v>1</v>
      </c>
      <c r="C368" s="1693">
        <f t="shared" si="657"/>
        <v>368</v>
      </c>
      <c r="D368" s="616">
        <v>1</v>
      </c>
      <c r="E368" s="709" t="s">
        <v>512</v>
      </c>
      <c r="F368" s="1572"/>
      <c r="G368" s="519"/>
      <c r="H368" s="4"/>
      <c r="I368" s="4"/>
      <c r="J368" s="498"/>
      <c r="K368" s="3"/>
      <c r="L368" s="3"/>
      <c r="M368" s="3"/>
      <c r="N368" s="3" t="s">
        <v>603</v>
      </c>
      <c r="O368" s="3"/>
      <c r="P368" s="3"/>
      <c r="Q368" s="3"/>
      <c r="R368" s="1790" t="str">
        <f>CHOOSE(2, "6722000003285", "PL (5) BT Cons. Sales ITS BPS")</f>
        <v>PL (5) BT Cons. Sales ITS BPS</v>
      </c>
      <c r="S368" s="1215"/>
      <c r="T368" s="1222"/>
      <c r="U368" s="1222"/>
      <c r="V368" s="1222"/>
      <c r="W368" s="1222"/>
      <c r="X368" s="1222"/>
      <c r="Y368" s="1222"/>
      <c r="Z368" s="1222"/>
      <c r="AA368" s="1222"/>
      <c r="AB368" s="1222">
        <v>0</v>
      </c>
      <c r="AC368" s="1222"/>
      <c r="AD368" s="1222"/>
      <c r="AE368" s="1221">
        <f>SUM(S368,T368,U368)</f>
        <v>0</v>
      </c>
      <c r="AF368" s="1221">
        <f>SUM(V368,W368,X368)</f>
        <v>0</v>
      </c>
      <c r="AG368" s="1221">
        <f>SUM(Y368,Z368,AA368)</f>
        <v>0</v>
      </c>
      <c r="AH368" s="1221">
        <f>SUM(AB368,AC368,AD368)</f>
        <v>0</v>
      </c>
      <c r="AI368" s="1221">
        <f>AE368+AF368</f>
        <v>0</v>
      </c>
      <c r="AJ368" s="1221">
        <f>AH368+AG368</f>
        <v>0</v>
      </c>
      <c r="AK368" s="1221">
        <f>AI368+AJ368</f>
        <v>0</v>
      </c>
      <c r="AM368" s="596">
        <f ca="1">SUM((INDIRECT(AM$2&amp;(ROW())):INDIRECT(AM$3&amp;(ROW()))))</f>
        <v>0</v>
      </c>
      <c r="AN368" s="2002">
        <f ca="1">SUM(INDIRECT(AN$1&amp;AN$2&amp;$C368):INDIRECT(AN$1&amp;AN$3&amp;$C368))</f>
        <v>0</v>
      </c>
      <c r="AO368" s="2767">
        <f t="shared" ca="1" si="653"/>
        <v>0</v>
      </c>
      <c r="AP368" s="2768">
        <f t="shared" ca="1" si="711"/>
        <v>0</v>
      </c>
      <c r="AQ368" s="2002">
        <f ca="1">SUM(INDIRECT(AQ$1&amp;AQ$2&amp;$A368):INDIRECT(AQ$1&amp;AQ$3&amp;$A368))+SUM(INDIRECT(AQ$1&amp;AQ$2&amp;$B368):INDIRECT(AQ$1&amp;AQ$3&amp;$B368))</f>
        <v>0</v>
      </c>
      <c r="AR368" s="2767">
        <f t="shared" ca="1" si="692"/>
        <v>0</v>
      </c>
      <c r="AS368" s="2768">
        <f t="shared" ca="1" si="712"/>
        <v>0</v>
      </c>
      <c r="AU368" s="596">
        <f ca="1">SUM((INDIRECT(AU$2&amp;(ROW())):INDIRECT(AU$3&amp;(ROW()))))</f>
        <v>0</v>
      </c>
      <c r="AV368" s="2002">
        <f ca="1">SUM(INDIRECT(AV$1&amp;AV$2&amp;$C368):INDIRECT(AV$1&amp;AV$3&amp;$C368))</f>
        <v>0</v>
      </c>
      <c r="AW368" s="2767">
        <f t="shared" ca="1" si="713"/>
        <v>0</v>
      </c>
      <c r="AX368" s="2768">
        <f t="shared" ca="1" si="714"/>
        <v>0</v>
      </c>
      <c r="AY368" s="2002">
        <f ca="1">SUM(INDIRECT(AY$1&amp;AY$2&amp;$A368):INDIRECT(AY$1&amp;AY$3&amp;$A368))+SUM(INDIRECT(AY$1&amp;AY$2&amp;$B368):INDIRECT(AY$1&amp;AY$3&amp;$B368))</f>
        <v>0</v>
      </c>
      <c r="AZ368" s="2767">
        <f t="shared" ca="1" si="715"/>
        <v>0</v>
      </c>
      <c r="BA368" s="2768">
        <f t="shared" ca="1" si="716"/>
        <v>0</v>
      </c>
      <c r="BC368" s="596">
        <f ca="1">SUM((INDIRECT(BC$2&amp;(ROW())):INDIRECT(BC$3&amp;(ROW()))))</f>
        <v>0</v>
      </c>
      <c r="BD368" s="2002">
        <f ca="1">SUM(INDIRECT(BD$1&amp;BD$2&amp;$C368):INDIRECT(BD$1&amp;BD$3&amp;$C368))</f>
        <v>0</v>
      </c>
      <c r="BE368" s="2767">
        <f t="shared" ca="1" si="717"/>
        <v>0</v>
      </c>
      <c r="BF368" s="2768">
        <f t="shared" ca="1" si="718"/>
        <v>0</v>
      </c>
      <c r="BG368" s="2002">
        <f ca="1">SUM(INDIRECT(BG$1&amp;BG$2&amp;$A368):INDIRECT(BG$1&amp;BG$3&amp;$A368))+SUM(INDIRECT(BG$1&amp;BG$2&amp;$B368):INDIRECT(BG$1&amp;BG$3&amp;$B368))</f>
        <v>0</v>
      </c>
      <c r="BH368" s="2767">
        <f t="shared" ca="1" si="719"/>
        <v>0</v>
      </c>
      <c r="BI368" s="2768">
        <f t="shared" ca="1" si="720"/>
        <v>0</v>
      </c>
    </row>
    <row r="369" spans="1:61" ht="14.5">
      <c r="A369" s="1693">
        <f t="shared" si="660"/>
        <v>367</v>
      </c>
      <c r="B369" s="616">
        <v>1</v>
      </c>
      <c r="C369" s="1693">
        <f t="shared" si="657"/>
        <v>369</v>
      </c>
      <c r="D369" s="616">
        <v>1</v>
      </c>
      <c r="E369" s="709" t="s">
        <v>512</v>
      </c>
      <c r="F369" s="1572"/>
      <c r="G369" s="1567"/>
      <c r="H369" s="4"/>
      <c r="I369" s="4"/>
      <c r="J369" s="498"/>
      <c r="K369" s="301" t="s">
        <v>810</v>
      </c>
      <c r="L369" s="301"/>
      <c r="M369" s="66"/>
      <c r="N369" s="66"/>
      <c r="O369" s="301"/>
      <c r="P369" s="301"/>
      <c r="Q369" s="1072"/>
      <c r="R369" s="1802" t="str">
        <f>CHOOSE(2, "6722000003286", "PL (5) BT Cons. Sales ICW")</f>
        <v>PL (5) BT Cons. Sales ICW</v>
      </c>
      <c r="S369" s="1454">
        <f t="shared" ref="S369:AD369" si="770">SUM(S370:S372)</f>
        <v>0</v>
      </c>
      <c r="T369" s="1455">
        <f t="shared" si="770"/>
        <v>0</v>
      </c>
      <c r="U369" s="1455">
        <f t="shared" si="770"/>
        <v>0</v>
      </c>
      <c r="V369" s="1455">
        <f t="shared" si="770"/>
        <v>0</v>
      </c>
      <c r="W369" s="1455">
        <f t="shared" si="770"/>
        <v>0</v>
      </c>
      <c r="X369" s="1455">
        <f t="shared" si="770"/>
        <v>0</v>
      </c>
      <c r="Y369" s="1455">
        <f t="shared" si="770"/>
        <v>0</v>
      </c>
      <c r="Z369" s="1455">
        <f t="shared" si="770"/>
        <v>0</v>
      </c>
      <c r="AA369" s="1455">
        <f t="shared" si="770"/>
        <v>95.39</v>
      </c>
      <c r="AB369" s="1455">
        <f t="shared" si="770"/>
        <v>0</v>
      </c>
      <c r="AC369" s="1455">
        <f t="shared" si="770"/>
        <v>0</v>
      </c>
      <c r="AD369" s="1455">
        <f t="shared" si="770"/>
        <v>0</v>
      </c>
      <c r="AE369" s="1455">
        <f t="shared" ref="AE369:AK369" si="771">SUM(AE370:AE372)</f>
        <v>0</v>
      </c>
      <c r="AF369" s="1455">
        <f t="shared" si="771"/>
        <v>0</v>
      </c>
      <c r="AG369" s="1455">
        <f t="shared" si="771"/>
        <v>95.39</v>
      </c>
      <c r="AH369" s="1455">
        <f t="shared" si="771"/>
        <v>0</v>
      </c>
      <c r="AI369" s="1455">
        <f t="shared" si="771"/>
        <v>0</v>
      </c>
      <c r="AJ369" s="1455">
        <f t="shared" si="771"/>
        <v>95.39</v>
      </c>
      <c r="AK369" s="1455">
        <f t="shared" si="771"/>
        <v>95.39</v>
      </c>
      <c r="AM369" s="2822">
        <f t="shared" ref="AM369:AN369" ca="1" si="772">SUM(AM370:AM372)</f>
        <v>0</v>
      </c>
      <c r="AN369" s="2823">
        <f t="shared" ca="1" si="772"/>
        <v>0</v>
      </c>
      <c r="AO369" s="2824">
        <f t="shared" ca="1" si="653"/>
        <v>0</v>
      </c>
      <c r="AP369" s="2825">
        <f t="shared" ca="1" si="711"/>
        <v>0</v>
      </c>
      <c r="AQ369" s="2823">
        <f t="shared" ref="AQ369" ca="1" si="773">SUM(AQ370:AQ372)</f>
        <v>0</v>
      </c>
      <c r="AR369" s="2824">
        <f t="shared" ca="1" si="692"/>
        <v>0</v>
      </c>
      <c r="AS369" s="2825">
        <f t="shared" ca="1" si="712"/>
        <v>0</v>
      </c>
      <c r="AU369" s="2822">
        <f t="shared" ref="AU369:AV369" ca="1" si="774">SUM(AU370:AU372)</f>
        <v>0</v>
      </c>
      <c r="AV369" s="2823">
        <f t="shared" ca="1" si="774"/>
        <v>0</v>
      </c>
      <c r="AW369" s="2824">
        <f t="shared" ca="1" si="713"/>
        <v>0</v>
      </c>
      <c r="AX369" s="2825">
        <f t="shared" ca="1" si="714"/>
        <v>0</v>
      </c>
      <c r="AY369" s="2823">
        <f t="shared" ref="AY369" ca="1" si="775">SUM(AY370:AY372)</f>
        <v>0</v>
      </c>
      <c r="AZ369" s="2824">
        <f t="shared" ca="1" si="715"/>
        <v>0</v>
      </c>
      <c r="BA369" s="2825">
        <f t="shared" ca="1" si="716"/>
        <v>0</v>
      </c>
      <c r="BC369" s="2822">
        <f t="shared" ref="BC369:BD369" ca="1" si="776">SUM(BC370:BC372)</f>
        <v>0</v>
      </c>
      <c r="BD369" s="2823">
        <f t="shared" ca="1" si="776"/>
        <v>0</v>
      </c>
      <c r="BE369" s="2824">
        <f t="shared" ca="1" si="717"/>
        <v>0</v>
      </c>
      <c r="BF369" s="2825">
        <f t="shared" ca="1" si="718"/>
        <v>0</v>
      </c>
      <c r="BG369" s="2823">
        <f t="shared" ref="BG369" ca="1" si="777">SUM(BG370:BG372)</f>
        <v>0</v>
      </c>
      <c r="BH369" s="2824">
        <f t="shared" ca="1" si="719"/>
        <v>0</v>
      </c>
      <c r="BI369" s="2825">
        <f t="shared" ca="1" si="720"/>
        <v>0</v>
      </c>
    </row>
    <row r="370" spans="1:61" ht="14.5">
      <c r="A370" s="1693">
        <f t="shared" si="660"/>
        <v>368</v>
      </c>
      <c r="B370" s="616">
        <v>1</v>
      </c>
      <c r="C370" s="1693">
        <f t="shared" si="657"/>
        <v>370</v>
      </c>
      <c r="D370" s="616">
        <v>288</v>
      </c>
      <c r="E370" s="709" t="s">
        <v>512</v>
      </c>
      <c r="F370" s="1572"/>
      <c r="G370" s="519"/>
      <c r="H370" s="4"/>
      <c r="I370" s="4"/>
      <c r="J370" s="27"/>
      <c r="K370" s="3"/>
      <c r="L370" s="3" t="s">
        <v>608</v>
      </c>
      <c r="M370" s="8"/>
      <c r="O370" s="3"/>
      <c r="P370" s="3"/>
      <c r="Q370" s="3"/>
      <c r="R370" s="1790" t="str">
        <f>CHOOSE(2, "6722000003287", "PL (5) BT Cons. Sales ICW ICW-IT")</f>
        <v>PL (5) BT Cons. Sales ICW ICW-IT</v>
      </c>
      <c r="S370" s="1215"/>
      <c r="T370" s="1222"/>
      <c r="U370" s="1222"/>
      <c r="V370" s="1222"/>
      <c r="W370" s="1222"/>
      <c r="X370" s="1222"/>
      <c r="Y370" s="1222"/>
      <c r="Z370" s="1222"/>
      <c r="AA370" s="1222">
        <v>95.39</v>
      </c>
      <c r="AB370" s="1222"/>
      <c r="AC370" s="1222"/>
      <c r="AD370" s="1222"/>
      <c r="AE370" s="1221">
        <f>SUM(S370,T370,U370)</f>
        <v>0</v>
      </c>
      <c r="AF370" s="1221">
        <f>SUM(V370,W370,X370)</f>
        <v>0</v>
      </c>
      <c r="AG370" s="1221">
        <f>SUM(Y370,Z370,AA370)</f>
        <v>95.39</v>
      </c>
      <c r="AH370" s="1221">
        <f>SUM(AB370,AC370,AD370)</f>
        <v>0</v>
      </c>
      <c r="AI370" s="1221">
        <f>AE370+AF370</f>
        <v>0</v>
      </c>
      <c r="AJ370" s="1221">
        <f>AH370+AG370</f>
        <v>95.39</v>
      </c>
      <c r="AK370" s="1221">
        <f>AI370+AJ370</f>
        <v>95.39</v>
      </c>
      <c r="AM370" s="596">
        <f ca="1">SUM((INDIRECT(AM$2&amp;(ROW())):INDIRECT(AM$3&amp;(ROW()))))</f>
        <v>0</v>
      </c>
      <c r="AN370" s="2002">
        <f ca="1">SUM(INDIRECT(AN$1&amp;AN$2&amp;$C370):INDIRECT(AN$1&amp;AN$3&amp;$C370))</f>
        <v>0</v>
      </c>
      <c r="AO370" s="2767">
        <f t="shared" ca="1" si="653"/>
        <v>0</v>
      </c>
      <c r="AP370" s="2768">
        <f t="shared" ca="1" si="711"/>
        <v>0</v>
      </c>
      <c r="AQ370" s="2002">
        <f ca="1">SUM(INDIRECT(AQ$1&amp;AQ$2&amp;$A370):INDIRECT(AQ$1&amp;AQ$3&amp;$A370))+SUM(INDIRECT(AQ$1&amp;AQ$2&amp;$B370):INDIRECT(AQ$1&amp;AQ$3&amp;$B370))</f>
        <v>0</v>
      </c>
      <c r="AR370" s="2767">
        <f t="shared" ca="1" si="692"/>
        <v>0</v>
      </c>
      <c r="AS370" s="2768">
        <f t="shared" ca="1" si="712"/>
        <v>0</v>
      </c>
      <c r="AU370" s="596">
        <f ca="1">SUM((INDIRECT(AU$2&amp;(ROW())):INDIRECT(AU$3&amp;(ROW()))))</f>
        <v>0</v>
      </c>
      <c r="AV370" s="2002">
        <f ca="1">SUM(INDIRECT(AV$1&amp;AV$2&amp;$C370):INDIRECT(AV$1&amp;AV$3&amp;$C370))</f>
        <v>0</v>
      </c>
      <c r="AW370" s="2767">
        <f t="shared" ca="1" si="713"/>
        <v>0</v>
      </c>
      <c r="AX370" s="2768">
        <f t="shared" ca="1" si="714"/>
        <v>0</v>
      </c>
      <c r="AY370" s="2002">
        <f ca="1">SUM(INDIRECT(AY$1&amp;AY$2&amp;$A370):INDIRECT(AY$1&amp;AY$3&amp;$A370))+SUM(INDIRECT(AY$1&amp;AY$2&amp;$B370):INDIRECT(AY$1&amp;AY$3&amp;$B370))</f>
        <v>0</v>
      </c>
      <c r="AZ370" s="2767">
        <f t="shared" ca="1" si="715"/>
        <v>0</v>
      </c>
      <c r="BA370" s="2768">
        <f t="shared" ca="1" si="716"/>
        <v>0</v>
      </c>
      <c r="BC370" s="596">
        <f ca="1">SUM((INDIRECT(BC$2&amp;(ROW())):INDIRECT(BC$3&amp;(ROW()))))</f>
        <v>0</v>
      </c>
      <c r="BD370" s="2002">
        <f ca="1">SUM(INDIRECT(BD$1&amp;BD$2&amp;$C370):INDIRECT(BD$1&amp;BD$3&amp;$C370))</f>
        <v>0</v>
      </c>
      <c r="BE370" s="2767">
        <f t="shared" ca="1" si="717"/>
        <v>0</v>
      </c>
      <c r="BF370" s="2768">
        <f t="shared" ca="1" si="718"/>
        <v>0</v>
      </c>
      <c r="BG370" s="2002">
        <f ca="1">SUM(INDIRECT(BG$1&amp;BG$2&amp;$A370):INDIRECT(BG$1&amp;BG$3&amp;$A370))+SUM(INDIRECT(BG$1&amp;BG$2&amp;$B370):INDIRECT(BG$1&amp;BG$3&amp;$B370))</f>
        <v>0</v>
      </c>
      <c r="BH370" s="2767">
        <f t="shared" ca="1" si="719"/>
        <v>0</v>
      </c>
      <c r="BI370" s="2768">
        <f t="shared" ca="1" si="720"/>
        <v>0</v>
      </c>
    </row>
    <row r="371" spans="1:61" ht="14.5">
      <c r="A371" s="1693">
        <f t="shared" si="660"/>
        <v>369</v>
      </c>
      <c r="B371" s="616">
        <v>1</v>
      </c>
      <c r="C371" s="1693">
        <f t="shared" si="657"/>
        <v>371</v>
      </c>
      <c r="D371" s="616">
        <f>D370+1</f>
        <v>289</v>
      </c>
      <c r="E371" s="709" t="s">
        <v>512</v>
      </c>
      <c r="F371" s="1572"/>
      <c r="G371" s="519"/>
      <c r="H371" s="4"/>
      <c r="I371" s="4"/>
      <c r="J371" s="27"/>
      <c r="K371" s="3"/>
      <c r="L371" s="3" t="s">
        <v>669</v>
      </c>
      <c r="M371" s="8"/>
      <c r="O371" s="3"/>
      <c r="P371" s="3"/>
      <c r="Q371" s="3"/>
      <c r="R371" s="1790" t="str">
        <f>CHOOSE(2, "6722000003288", "PL (5) BT Cons. Sales ICW ICW-WK")</f>
        <v>PL (5) BT Cons. Sales ICW ICW-WK</v>
      </c>
      <c r="S371" s="1215"/>
      <c r="T371" s="1222"/>
      <c r="U371" s="1222"/>
      <c r="V371" s="1222"/>
      <c r="W371" s="1222"/>
      <c r="X371" s="1222"/>
      <c r="Y371" s="1222"/>
      <c r="Z371" s="1222"/>
      <c r="AA371" s="1222"/>
      <c r="AB371" s="1222"/>
      <c r="AC371" s="1222"/>
      <c r="AD371" s="1222"/>
      <c r="AE371" s="1221">
        <f>SUM(S371,T371,U371)</f>
        <v>0</v>
      </c>
      <c r="AF371" s="1221">
        <f>SUM(V371,W371,X371)</f>
        <v>0</v>
      </c>
      <c r="AG371" s="1221">
        <f>SUM(Y371,Z371,AA371)</f>
        <v>0</v>
      </c>
      <c r="AH371" s="1221">
        <f>SUM(AB371,AC371,AD371)</f>
        <v>0</v>
      </c>
      <c r="AI371" s="1221">
        <f>AE371+AF371</f>
        <v>0</v>
      </c>
      <c r="AJ371" s="1221">
        <f>AH371+AG371</f>
        <v>0</v>
      </c>
      <c r="AK371" s="1221">
        <f>AI371+AJ371</f>
        <v>0</v>
      </c>
      <c r="AL371" s="2564">
        <f>AK353-AK373</f>
        <v>8673.317409999996</v>
      </c>
      <c r="AM371" s="596">
        <f ca="1">SUM((INDIRECT(AM$2&amp;(ROW())):INDIRECT(AM$3&amp;(ROW()))))</f>
        <v>0</v>
      </c>
      <c r="AN371" s="2002">
        <f ca="1">SUM(INDIRECT(AN$1&amp;AN$2&amp;$C371):INDIRECT(AN$1&amp;AN$3&amp;$C371))</f>
        <v>0</v>
      </c>
      <c r="AO371" s="2767">
        <f t="shared" ca="1" si="653"/>
        <v>0</v>
      </c>
      <c r="AP371" s="2768">
        <f t="shared" ca="1" si="711"/>
        <v>0</v>
      </c>
      <c r="AQ371" s="2002">
        <f ca="1">SUM(INDIRECT(AQ$1&amp;AQ$2&amp;$A371):INDIRECT(AQ$1&amp;AQ$3&amp;$A371))+SUM(INDIRECT(AQ$1&amp;AQ$2&amp;$B371):INDIRECT(AQ$1&amp;AQ$3&amp;$B371))</f>
        <v>0</v>
      </c>
      <c r="AR371" s="2767">
        <f t="shared" ca="1" si="692"/>
        <v>0</v>
      </c>
      <c r="AS371" s="2768">
        <f t="shared" ca="1" si="712"/>
        <v>0</v>
      </c>
      <c r="AU371" s="596">
        <f ca="1">SUM((INDIRECT(AU$2&amp;(ROW())):INDIRECT(AU$3&amp;(ROW()))))</f>
        <v>0</v>
      </c>
      <c r="AV371" s="2002">
        <f ca="1">SUM(INDIRECT(AV$1&amp;AV$2&amp;$C371):INDIRECT(AV$1&amp;AV$3&amp;$C371))</f>
        <v>0</v>
      </c>
      <c r="AW371" s="2767">
        <f t="shared" ca="1" si="713"/>
        <v>0</v>
      </c>
      <c r="AX371" s="2768">
        <f t="shared" ca="1" si="714"/>
        <v>0</v>
      </c>
      <c r="AY371" s="2002">
        <f ca="1">SUM(INDIRECT(AY$1&amp;AY$2&amp;$A371):INDIRECT(AY$1&amp;AY$3&amp;$A371))+SUM(INDIRECT(AY$1&amp;AY$2&amp;$B371):INDIRECT(AY$1&amp;AY$3&amp;$B371))</f>
        <v>0</v>
      </c>
      <c r="AZ371" s="2767">
        <f t="shared" ca="1" si="715"/>
        <v>0</v>
      </c>
      <c r="BA371" s="2768">
        <f t="shared" ca="1" si="716"/>
        <v>0</v>
      </c>
      <c r="BC371" s="596">
        <f ca="1">SUM((INDIRECT(BC$2&amp;(ROW())):INDIRECT(BC$3&amp;(ROW()))))</f>
        <v>0</v>
      </c>
      <c r="BD371" s="2002">
        <f ca="1">SUM(INDIRECT(BD$1&amp;BD$2&amp;$C371):INDIRECT(BD$1&amp;BD$3&amp;$C371))</f>
        <v>0</v>
      </c>
      <c r="BE371" s="2767">
        <f t="shared" ca="1" si="717"/>
        <v>0</v>
      </c>
      <c r="BF371" s="2768">
        <f t="shared" ca="1" si="718"/>
        <v>0</v>
      </c>
      <c r="BG371" s="2002">
        <f ca="1">SUM(INDIRECT(BG$1&amp;BG$2&amp;$A371):INDIRECT(BG$1&amp;BG$3&amp;$A371))+SUM(INDIRECT(BG$1&amp;BG$2&amp;$B371):INDIRECT(BG$1&amp;BG$3&amp;$B371))</f>
        <v>0</v>
      </c>
      <c r="BH371" s="2767">
        <f t="shared" ca="1" si="719"/>
        <v>0</v>
      </c>
      <c r="BI371" s="2768">
        <f t="shared" ca="1" si="720"/>
        <v>0</v>
      </c>
    </row>
    <row r="372" spans="1:61" ht="14.5">
      <c r="A372" s="1693">
        <f t="shared" si="660"/>
        <v>370</v>
      </c>
      <c r="B372" s="616">
        <v>1</v>
      </c>
      <c r="C372" s="1693">
        <f t="shared" si="657"/>
        <v>372</v>
      </c>
      <c r="D372" s="616">
        <v>1</v>
      </c>
      <c r="E372" s="709" t="s">
        <v>512</v>
      </c>
      <c r="F372" s="1572"/>
      <c r="G372" s="519"/>
      <c r="H372" s="4"/>
      <c r="I372" s="4"/>
      <c r="J372" s="27"/>
      <c r="K372" s="3"/>
      <c r="L372" s="3" t="s">
        <v>609</v>
      </c>
      <c r="M372" s="8"/>
      <c r="O372" s="3"/>
      <c r="P372" s="3"/>
      <c r="Q372" s="3"/>
      <c r="R372" s="1790" t="str">
        <f>CHOOSE(2, "6722000003289", "PL (5) BT Cons. Sales ICW ICW-P")</f>
        <v>PL (5) BT Cons. Sales ICW ICW-P</v>
      </c>
      <c r="S372" s="1215"/>
      <c r="T372" s="1222"/>
      <c r="U372" s="1222"/>
      <c r="V372" s="1222"/>
      <c r="W372" s="1222"/>
      <c r="X372" s="1222"/>
      <c r="Y372" s="1222"/>
      <c r="Z372" s="1222"/>
      <c r="AA372" s="1222"/>
      <c r="AB372" s="1222"/>
      <c r="AC372" s="1222"/>
      <c r="AD372" s="1222"/>
      <c r="AE372" s="1221">
        <f>SUM(S372,T372,U372)</f>
        <v>0</v>
      </c>
      <c r="AF372" s="1221">
        <f>SUM(V372,W372,X372)</f>
        <v>0</v>
      </c>
      <c r="AG372" s="1221">
        <f>SUM(Y372,Z372,AA372)</f>
        <v>0</v>
      </c>
      <c r="AH372" s="1221">
        <f>SUM(AB372,AC372,AD372)</f>
        <v>0</v>
      </c>
      <c r="AI372" s="1221">
        <f>AE372+AF372</f>
        <v>0</v>
      </c>
      <c r="AJ372" s="1221">
        <f>AH372+AG372</f>
        <v>0</v>
      </c>
      <c r="AK372" s="1221">
        <f>AI372+AJ372</f>
        <v>0</v>
      </c>
      <c r="AL372" s="504"/>
      <c r="AM372" s="596">
        <f ca="1">SUM((INDIRECT(AM$2&amp;(ROW())):INDIRECT(AM$3&amp;(ROW()))))</f>
        <v>0</v>
      </c>
      <c r="AN372" s="2002">
        <f ca="1">SUM(INDIRECT(AN$1&amp;AN$2&amp;$C372):INDIRECT(AN$1&amp;AN$3&amp;$C372))</f>
        <v>0</v>
      </c>
      <c r="AO372" s="2767">
        <f t="shared" ca="1" si="653"/>
        <v>0</v>
      </c>
      <c r="AP372" s="2768">
        <f t="shared" ca="1" si="711"/>
        <v>0</v>
      </c>
      <c r="AQ372" s="2002">
        <f ca="1">SUM(INDIRECT(AQ$1&amp;AQ$2&amp;$A372):INDIRECT(AQ$1&amp;AQ$3&amp;$A372))+SUM(INDIRECT(AQ$1&amp;AQ$2&amp;$B372):INDIRECT(AQ$1&amp;AQ$3&amp;$B372))</f>
        <v>0</v>
      </c>
      <c r="AR372" s="2767">
        <f t="shared" ca="1" si="692"/>
        <v>0</v>
      </c>
      <c r="AS372" s="2768">
        <f t="shared" ca="1" si="712"/>
        <v>0</v>
      </c>
      <c r="AU372" s="596">
        <f ca="1">SUM((INDIRECT(AU$2&amp;(ROW())):INDIRECT(AU$3&amp;(ROW()))))</f>
        <v>0</v>
      </c>
      <c r="AV372" s="2002">
        <f ca="1">SUM(INDIRECT(AV$1&amp;AV$2&amp;$C372):INDIRECT(AV$1&amp;AV$3&amp;$C372))</f>
        <v>0</v>
      </c>
      <c r="AW372" s="2767">
        <f t="shared" ca="1" si="713"/>
        <v>0</v>
      </c>
      <c r="AX372" s="2768">
        <f t="shared" ca="1" si="714"/>
        <v>0</v>
      </c>
      <c r="AY372" s="2002">
        <f ca="1">SUM(INDIRECT(AY$1&amp;AY$2&amp;$A372):INDIRECT(AY$1&amp;AY$3&amp;$A372))+SUM(INDIRECT(AY$1&amp;AY$2&amp;$B372):INDIRECT(AY$1&amp;AY$3&amp;$B372))</f>
        <v>0</v>
      </c>
      <c r="AZ372" s="2767">
        <f t="shared" ca="1" si="715"/>
        <v>0</v>
      </c>
      <c r="BA372" s="2768">
        <f t="shared" ca="1" si="716"/>
        <v>0</v>
      </c>
      <c r="BC372" s="596">
        <f ca="1">SUM((INDIRECT(BC$2&amp;(ROW())):INDIRECT(BC$3&amp;(ROW()))))</f>
        <v>0</v>
      </c>
      <c r="BD372" s="2002">
        <f ca="1">SUM(INDIRECT(BD$1&amp;BD$2&amp;$C372):INDIRECT(BD$1&amp;BD$3&amp;$C372))</f>
        <v>0</v>
      </c>
      <c r="BE372" s="2767">
        <f t="shared" ca="1" si="717"/>
        <v>0</v>
      </c>
      <c r="BF372" s="2768">
        <f t="shared" ca="1" si="718"/>
        <v>0</v>
      </c>
      <c r="BG372" s="2002">
        <f ca="1">SUM(INDIRECT(BG$1&amp;BG$2&amp;$A372):INDIRECT(BG$1&amp;BG$3&amp;$A372))+SUM(INDIRECT(BG$1&amp;BG$2&amp;$B372):INDIRECT(BG$1&amp;BG$3&amp;$B372))</f>
        <v>0</v>
      </c>
      <c r="BH372" s="2767">
        <f t="shared" ca="1" si="719"/>
        <v>0</v>
      </c>
      <c r="BI372" s="2768">
        <f t="shared" ca="1" si="720"/>
        <v>0</v>
      </c>
    </row>
    <row r="373" spans="1:61" ht="14.5">
      <c r="A373" s="1693">
        <f t="shared" si="660"/>
        <v>371</v>
      </c>
      <c r="B373" s="616">
        <v>1</v>
      </c>
      <c r="C373" s="1693">
        <f t="shared" si="657"/>
        <v>373</v>
      </c>
      <c r="D373" s="616">
        <v>1</v>
      </c>
      <c r="E373" s="709" t="s">
        <v>512</v>
      </c>
      <c r="F373" s="1572"/>
      <c r="G373" s="4"/>
      <c r="H373" s="4"/>
      <c r="I373" s="4"/>
      <c r="J373" s="316" t="s">
        <v>54</v>
      </c>
      <c r="K373" s="324"/>
      <c r="L373" s="313"/>
      <c r="M373" s="313"/>
      <c r="N373" s="313"/>
      <c r="O373" s="313"/>
      <c r="P373" s="313"/>
      <c r="Q373" s="471"/>
      <c r="R373" s="1801" t="str">
        <f>CHOOSE(2, "6722000003290", "PL (5) Gross Profit")</f>
        <v>PL (5) Gross Profit</v>
      </c>
      <c r="S373" s="1260">
        <f t="shared" ref="S373:AD373" si="778">SUM(S384,S389)</f>
        <v>-103</v>
      </c>
      <c r="T373" s="1186">
        <f t="shared" si="778"/>
        <v>740</v>
      </c>
      <c r="U373" s="1186">
        <f t="shared" si="778"/>
        <v>227.60400000000001</v>
      </c>
      <c r="V373" s="1186">
        <f t="shared" si="778"/>
        <v>339.50799999999998</v>
      </c>
      <c r="W373" s="1186">
        <f t="shared" si="778"/>
        <v>488</v>
      </c>
      <c r="X373" s="1186">
        <f t="shared" si="778"/>
        <v>1467.963</v>
      </c>
      <c r="Y373" s="1186">
        <f t="shared" si="778"/>
        <v>56.046500000000002</v>
      </c>
      <c r="Z373" s="1186">
        <f t="shared" si="778"/>
        <v>947.38900000000001</v>
      </c>
      <c r="AA373" s="1186">
        <f t="shared" si="778"/>
        <v>66.12903</v>
      </c>
      <c r="AB373" s="1186">
        <f t="shared" si="778"/>
        <v>1781</v>
      </c>
      <c r="AC373" s="1186">
        <f t="shared" si="778"/>
        <v>1510.3489600000003</v>
      </c>
      <c r="AD373" s="1186">
        <f t="shared" si="778"/>
        <v>1988.3090999999999</v>
      </c>
      <c r="AE373" s="554">
        <f>SUM(AE384,AE389)</f>
        <v>864.60400000000004</v>
      </c>
      <c r="AF373" s="89">
        <f t="shared" ref="AF373:AK373" si="779">SUM(AF384,AF389)</f>
        <v>2295.471</v>
      </c>
      <c r="AG373" s="89">
        <f t="shared" si="779"/>
        <v>1069.5645300000001</v>
      </c>
      <c r="AH373" s="89">
        <f t="shared" si="779"/>
        <v>5279.6580600000007</v>
      </c>
      <c r="AI373" s="89">
        <f t="shared" si="779"/>
        <v>3160.0749999999998</v>
      </c>
      <c r="AJ373" s="89">
        <f t="shared" si="779"/>
        <v>6349.2225900000012</v>
      </c>
      <c r="AK373" s="89">
        <f t="shared" si="779"/>
        <v>9509.2975900000019</v>
      </c>
      <c r="AL373" s="504"/>
      <c r="AM373" s="2059">
        <f ca="1">SUM((INDIRECT(AM$2&amp;(ROW())):INDIRECT(AM$3&amp;(ROW()))))</f>
        <v>-103</v>
      </c>
      <c r="AN373" s="2060">
        <f ca="1">SUM(INDIRECT(AN$1&amp;AN$2&amp;$C373):INDIRECT(AN$1&amp;AN$3&amp;$C373))</f>
        <v>370</v>
      </c>
      <c r="AO373" s="2819">
        <f t="shared" ca="1" si="653"/>
        <v>-473</v>
      </c>
      <c r="AP373" s="2820">
        <f t="shared" ca="1" si="711"/>
        <v>-0.27837837837837837</v>
      </c>
      <c r="AQ373" s="2821">
        <f ca="1">SUM(AQ384,AQ389)</f>
        <v>155</v>
      </c>
      <c r="AR373" s="2819">
        <f t="shared" ca="1" si="692"/>
        <v>-258</v>
      </c>
      <c r="AS373" s="2820">
        <f t="shared" ca="1" si="712"/>
        <v>-0.6645161290322581</v>
      </c>
      <c r="AU373" s="2059">
        <f ca="1">SUM((INDIRECT(AU$2&amp;(ROW())):INDIRECT(AU$3&amp;(ROW()))))</f>
        <v>-103</v>
      </c>
      <c r="AV373" s="2060">
        <f ca="1">SUM(INDIRECT(AV$1&amp;AV$2&amp;$C373):INDIRECT(AV$1&amp;AV$3&amp;$C373))</f>
        <v>370</v>
      </c>
      <c r="AW373" s="2819">
        <f t="shared" ca="1" si="713"/>
        <v>-473</v>
      </c>
      <c r="AX373" s="2820">
        <f t="shared" ca="1" si="714"/>
        <v>-0.27837837837837837</v>
      </c>
      <c r="AY373" s="2821">
        <f ca="1">SUM(AY384,AY389)</f>
        <v>155</v>
      </c>
      <c r="AZ373" s="2819">
        <f t="shared" ca="1" si="715"/>
        <v>-258</v>
      </c>
      <c r="BA373" s="2820">
        <f t="shared" ca="1" si="716"/>
        <v>-0.6645161290322581</v>
      </c>
      <c r="BC373" s="2059">
        <f ca="1">SUM((INDIRECT(BC$2&amp;(ROW())):INDIRECT(BC$3&amp;(ROW()))))</f>
        <v>-103</v>
      </c>
      <c r="BD373" s="2060">
        <f ca="1">SUM(INDIRECT(BD$1&amp;BD$2&amp;$C373):INDIRECT(BD$1&amp;BD$3&amp;$C373))</f>
        <v>370</v>
      </c>
      <c r="BE373" s="2819">
        <f t="shared" ca="1" si="717"/>
        <v>-473</v>
      </c>
      <c r="BF373" s="2820">
        <f t="shared" ca="1" si="718"/>
        <v>-0.27837837837837837</v>
      </c>
      <c r="BG373" s="2821">
        <f ca="1">SUM(BG384,BG389)</f>
        <v>155</v>
      </c>
      <c r="BH373" s="2819">
        <f t="shared" ca="1" si="719"/>
        <v>-258</v>
      </c>
      <c r="BI373" s="2820">
        <f t="shared" ca="1" si="720"/>
        <v>-0.6645161290322581</v>
      </c>
    </row>
    <row r="374" spans="1:61" ht="14.5">
      <c r="A374" s="1693">
        <f t="shared" si="660"/>
        <v>372</v>
      </c>
      <c r="B374" s="616">
        <v>1</v>
      </c>
      <c r="C374" s="1693">
        <f t="shared" si="657"/>
        <v>374</v>
      </c>
      <c r="D374" s="616">
        <v>1</v>
      </c>
      <c r="E374" s="709" t="s">
        <v>512</v>
      </c>
      <c r="F374" s="1572"/>
      <c r="G374" s="4"/>
      <c r="H374" s="4"/>
      <c r="I374" s="4"/>
      <c r="J374" s="27"/>
      <c r="K374" s="503"/>
      <c r="L374" s="503" t="s">
        <v>113</v>
      </c>
      <c r="M374" s="4"/>
      <c r="N374" s="4"/>
      <c r="O374" s="4"/>
      <c r="P374" s="478" t="s">
        <v>301</v>
      </c>
      <c r="Q374" s="4"/>
      <c r="R374" s="1785" t="str">
        <f>CHOOSE(2, "6722000003291", "PL (5) Gross Profit (%)")</f>
        <v>PL (5) Gross Profit (%)</v>
      </c>
      <c r="S374" s="1306">
        <f t="shared" ref="S374:AD374" si="780">IFERROR(S373/S353,0)</f>
        <v>-0.85123966942148765</v>
      </c>
      <c r="T374" s="1284">
        <f t="shared" si="780"/>
        <v>0.43304913995855598</v>
      </c>
      <c r="U374" s="1284">
        <f t="shared" si="780"/>
        <v>1.3372737955346652</v>
      </c>
      <c r="V374" s="1284">
        <f t="shared" si="780"/>
        <v>0.43716440857362854</v>
      </c>
      <c r="W374" s="1284">
        <f t="shared" si="780"/>
        <v>0.48312048312048311</v>
      </c>
      <c r="X374" s="1284">
        <f t="shared" si="780"/>
        <v>0.81963316582914569</v>
      </c>
      <c r="Y374" s="1284">
        <f t="shared" si="780"/>
        <v>0.65859576968272626</v>
      </c>
      <c r="Z374" s="1284">
        <f t="shared" si="780"/>
        <v>0.50527413333333338</v>
      </c>
      <c r="AA374" s="1284">
        <f t="shared" si="780"/>
        <v>0.69324908271307262</v>
      </c>
      <c r="AB374" s="1284">
        <f t="shared" si="780"/>
        <v>0.56253948199620973</v>
      </c>
      <c r="AC374" s="1284">
        <f t="shared" si="780"/>
        <v>0.45927588622806942</v>
      </c>
      <c r="AD374" s="1284">
        <f t="shared" si="780"/>
        <v>0.48556287965334044</v>
      </c>
      <c r="AE374" s="1284">
        <f t="shared" ref="AE374:AK374" si="781">IFERROR(AE373/AE353,0)</f>
        <v>0.43229919005526463</v>
      </c>
      <c r="AF374" s="1284">
        <f t="shared" si="781"/>
        <v>0.6416027105576354</v>
      </c>
      <c r="AG374" s="1284">
        <f t="shared" si="781"/>
        <v>0.52034528506584821</v>
      </c>
      <c r="AH374" s="1284">
        <f t="shared" si="781"/>
        <v>0.50047007990408554</v>
      </c>
      <c r="AI374" s="1284">
        <f t="shared" si="781"/>
        <v>0.56655246841589768</v>
      </c>
      <c r="AJ374" s="1284">
        <f t="shared" si="781"/>
        <v>0.50371114681859941</v>
      </c>
      <c r="AK374" s="1284">
        <f t="shared" si="781"/>
        <v>0.52298844748128925</v>
      </c>
      <c r="AL374" s="504"/>
      <c r="AM374" s="1306">
        <f ca="1">IFERROR(AM373/AM353,0)</f>
        <v>-0.85123966942148765</v>
      </c>
      <c r="AN374" s="1284">
        <f ca="1">IFERROR(AN373/AN353,0)</f>
        <v>0.37</v>
      </c>
      <c r="AO374" s="1284">
        <f t="shared" ca="1" si="653"/>
        <v>-1.2212396694214878</v>
      </c>
      <c r="AP374" s="609"/>
      <c r="AQ374" s="1284">
        <f ca="1">IFERROR(AQ373/AQ353,0)</f>
        <v>0.43055555555555558</v>
      </c>
      <c r="AR374" s="1284">
        <f t="shared" ca="1" si="692"/>
        <v>-1.2817952249770432</v>
      </c>
      <c r="AS374" s="609"/>
      <c r="AT374" s="504"/>
      <c r="AU374" s="1306">
        <f ca="1">IFERROR(AU373/AU353,0)</f>
        <v>-0.85123966942148765</v>
      </c>
      <c r="AV374" s="1284">
        <f ca="1">IFERROR(AV373/AV353,0)</f>
        <v>0.37</v>
      </c>
      <c r="AW374" s="1284">
        <f t="shared" ca="1" si="713"/>
        <v>-1.2212396694214878</v>
      </c>
      <c r="AX374" s="609"/>
      <c r="AY374" s="1284">
        <f ca="1">IFERROR(AY373/AY353,0)</f>
        <v>0.43055555555555558</v>
      </c>
      <c r="AZ374" s="1284">
        <f t="shared" ca="1" si="715"/>
        <v>-1.2817952249770432</v>
      </c>
      <c r="BA374" s="609"/>
      <c r="BB374" s="504"/>
      <c r="BC374" s="1306">
        <f ca="1">IFERROR(BC373/BC353,0)</f>
        <v>-0.85123966942148765</v>
      </c>
      <c r="BD374" s="1284">
        <f ca="1">IFERROR(BD373/BD353,0)</f>
        <v>0.37</v>
      </c>
      <c r="BE374" s="1284">
        <f t="shared" ca="1" si="717"/>
        <v>-1.2212396694214878</v>
      </c>
      <c r="BF374" s="609"/>
      <c r="BG374" s="1284">
        <f ca="1">IFERROR(BG373/BG353,0)</f>
        <v>0.43055555555555558</v>
      </c>
      <c r="BH374" s="1284">
        <f t="shared" ca="1" si="719"/>
        <v>-1.2817952249770432</v>
      </c>
      <c r="BI374" s="609"/>
    </row>
    <row r="375" spans="1:61" s="504" customFormat="1" ht="14.5" hidden="1" outlineLevel="1">
      <c r="A375" s="1693">
        <f t="shared" si="660"/>
        <v>373</v>
      </c>
      <c r="B375" s="616">
        <v>1</v>
      </c>
      <c r="C375" s="1693">
        <f t="shared" si="657"/>
        <v>375</v>
      </c>
      <c r="D375" s="616">
        <v>1</v>
      </c>
      <c r="E375" s="709" t="s">
        <v>512</v>
      </c>
      <c r="F375" s="1572"/>
      <c r="G375" s="1567"/>
      <c r="H375" s="737"/>
      <c r="I375" s="501"/>
      <c r="J375" s="502"/>
      <c r="K375" s="1074" t="s">
        <v>811</v>
      </c>
      <c r="L375" s="1075"/>
      <c r="M375" s="1076"/>
      <c r="N375" s="1077"/>
      <c r="O375" s="1078"/>
      <c r="P375" s="1078"/>
      <c r="Q375" s="1078"/>
      <c r="R375" s="1797" t="str">
        <f>CHOOSE(2, "6722000003292", "PL (5) Gross Profit ITS (%)")</f>
        <v>PL (5) Gross Profit ITS (%)</v>
      </c>
      <c r="S375" s="1456">
        <f t="shared" ref="S375:AD383" si="782">IFERROR(S384/S354,0)</f>
        <v>-0.85123966942148765</v>
      </c>
      <c r="T375" s="1457">
        <f t="shared" si="782"/>
        <v>0.43304913995855598</v>
      </c>
      <c r="U375" s="1457">
        <f t="shared" si="782"/>
        <v>1.3372737955346652</v>
      </c>
      <c r="V375" s="1457">
        <f t="shared" si="782"/>
        <v>0.43716440857362854</v>
      </c>
      <c r="W375" s="1457">
        <f t="shared" si="782"/>
        <v>0.48312048312048311</v>
      </c>
      <c r="X375" s="1457">
        <f t="shared" si="782"/>
        <v>0.81963316582914569</v>
      </c>
      <c r="Y375" s="1457">
        <f t="shared" si="782"/>
        <v>0.65859576968272626</v>
      </c>
      <c r="Z375" s="1457">
        <f t="shared" si="782"/>
        <v>0.50527413333333338</v>
      </c>
      <c r="AA375" s="1457">
        <f t="shared" si="782"/>
        <v>0</v>
      </c>
      <c r="AB375" s="1457">
        <f t="shared" si="782"/>
        <v>0.56253948199620973</v>
      </c>
      <c r="AC375" s="1457">
        <f t="shared" si="782"/>
        <v>0.45927588622806942</v>
      </c>
      <c r="AD375" s="1457">
        <f t="shared" si="782"/>
        <v>0.48556287965334044</v>
      </c>
      <c r="AE375" s="1457">
        <f t="shared" ref="AE375:AK383" si="783">IFERROR(AE384/AE354,0)</f>
        <v>0.43229919005526463</v>
      </c>
      <c r="AF375" s="1457">
        <f t="shared" si="783"/>
        <v>0.6416027105576354</v>
      </c>
      <c r="AG375" s="1457">
        <f t="shared" si="783"/>
        <v>0.48817337958345708</v>
      </c>
      <c r="AH375" s="1457">
        <f t="shared" si="783"/>
        <v>0.50047007990408554</v>
      </c>
      <c r="AI375" s="1457">
        <f t="shared" si="783"/>
        <v>0.56655246841589768</v>
      </c>
      <c r="AJ375" s="1457">
        <f t="shared" si="783"/>
        <v>0.49846484633580257</v>
      </c>
      <c r="AK375" s="1457">
        <f t="shared" si="783"/>
        <v>0.51935151022006476</v>
      </c>
      <c r="AM375" s="1456">
        <f ca="1">IFERROR(AM384/AM354,0)</f>
        <v>-0.85123966942148765</v>
      </c>
      <c r="AN375" s="1457">
        <f ca="1">IFERROR(AN384/AN354,0)</f>
        <v>0.37</v>
      </c>
      <c r="AO375" s="1457">
        <f t="shared" ca="1" si="653"/>
        <v>-1.2212396694214878</v>
      </c>
      <c r="AP375" s="2828"/>
      <c r="AQ375" s="1457">
        <f ca="1">IFERROR(AQ384/AQ354,0)</f>
        <v>0.43055555555555558</v>
      </c>
      <c r="AR375" s="1457">
        <f t="shared" ca="1" si="692"/>
        <v>-1.2817952249770432</v>
      </c>
      <c r="AS375" s="2828"/>
      <c r="AU375" s="1456">
        <f ca="1">IFERROR(AU384/AU354,0)</f>
        <v>-0.85123966942148765</v>
      </c>
      <c r="AV375" s="1457">
        <f ca="1">IFERROR(AV384/AV354,0)</f>
        <v>0.37</v>
      </c>
      <c r="AW375" s="1457">
        <f t="shared" ca="1" si="713"/>
        <v>-1.2212396694214878</v>
      </c>
      <c r="AX375" s="2828"/>
      <c r="AY375" s="1457">
        <f ca="1">IFERROR(AY384/AY354,0)</f>
        <v>0.43055555555555558</v>
      </c>
      <c r="AZ375" s="1457">
        <f t="shared" ca="1" si="715"/>
        <v>-1.2817952249770432</v>
      </c>
      <c r="BA375" s="2828"/>
      <c r="BC375" s="1456">
        <f ca="1">IFERROR(BC384/BC354,0)</f>
        <v>-0.85123966942148765</v>
      </c>
      <c r="BD375" s="1457">
        <f ca="1">IFERROR(BD384/BD354,0)</f>
        <v>0.37</v>
      </c>
      <c r="BE375" s="1457">
        <f t="shared" ca="1" si="717"/>
        <v>-1.2212396694214878</v>
      </c>
      <c r="BF375" s="2828"/>
      <c r="BG375" s="1457">
        <f ca="1">IFERROR(BG384/BG354,0)</f>
        <v>0.43055555555555558</v>
      </c>
      <c r="BH375" s="1457">
        <f t="shared" ca="1" si="719"/>
        <v>-1.2817952249770432</v>
      </c>
      <c r="BI375" s="2828"/>
    </row>
    <row r="376" spans="1:61" s="504" customFormat="1" ht="14.5" hidden="1" outlineLevel="1">
      <c r="A376" s="1693">
        <f t="shared" si="660"/>
        <v>374</v>
      </c>
      <c r="B376" s="616">
        <v>1</v>
      </c>
      <c r="C376" s="1695">
        <f t="shared" si="657"/>
        <v>376</v>
      </c>
      <c r="D376" s="616">
        <v>1</v>
      </c>
      <c r="E376" s="709" t="s">
        <v>512</v>
      </c>
      <c r="F376" s="1572"/>
      <c r="G376" s="519"/>
      <c r="H376" s="737"/>
      <c r="I376" s="501"/>
      <c r="J376" s="502"/>
      <c r="K376" s="503"/>
      <c r="L376" s="503" t="s">
        <v>540</v>
      </c>
      <c r="M376" s="501"/>
      <c r="N376" s="733"/>
      <c r="O376" s="505"/>
      <c r="P376" s="505"/>
      <c r="Q376" s="505"/>
      <c r="R376" s="1792" t="str">
        <f>CHOOSE(2, "6722000003293", "PL (5) Gross Profit ITS (%) IMS (%)")</f>
        <v>PL (5) Gross Profit ITS (%) IMS (%)</v>
      </c>
      <c r="S376" s="1304">
        <f t="shared" si="782"/>
        <v>0</v>
      </c>
      <c r="T376" s="1283">
        <f t="shared" si="782"/>
        <v>9.8039215686274508E-2</v>
      </c>
      <c r="U376" s="1283">
        <f t="shared" si="782"/>
        <v>0</v>
      </c>
      <c r="V376" s="1283">
        <f t="shared" si="782"/>
        <v>0</v>
      </c>
      <c r="W376" s="1283">
        <f t="shared" si="782"/>
        <v>0</v>
      </c>
      <c r="X376" s="1283">
        <f t="shared" si="782"/>
        <v>0</v>
      </c>
      <c r="Y376" s="1283">
        <f t="shared" si="782"/>
        <v>0</v>
      </c>
      <c r="Z376" s="1283">
        <f t="shared" si="782"/>
        <v>0</v>
      </c>
      <c r="AA376" s="1283">
        <f t="shared" si="782"/>
        <v>0</v>
      </c>
      <c r="AB376" s="1283">
        <f t="shared" si="782"/>
        <v>0.42983271375464682</v>
      </c>
      <c r="AC376" s="1283">
        <f t="shared" si="782"/>
        <v>0.45927588622806942</v>
      </c>
      <c r="AD376" s="1283">
        <f t="shared" si="782"/>
        <v>0.30141422774007043</v>
      </c>
      <c r="AE376" s="1283">
        <f t="shared" si="783"/>
        <v>9.8039215686274508E-2</v>
      </c>
      <c r="AF376" s="1283">
        <f t="shared" si="783"/>
        <v>0</v>
      </c>
      <c r="AG376" s="1283">
        <f t="shared" si="783"/>
        <v>0</v>
      </c>
      <c r="AH376" s="1283">
        <f t="shared" si="783"/>
        <v>0.40114795802588571</v>
      </c>
      <c r="AI376" s="1283">
        <f t="shared" si="783"/>
        <v>4.9019607843137254E-2</v>
      </c>
      <c r="AJ376" s="1283">
        <f t="shared" si="783"/>
        <v>0.42183461979294784</v>
      </c>
      <c r="AK376" s="1283">
        <f t="shared" si="783"/>
        <v>0.37956418820753851</v>
      </c>
      <c r="AM376" s="1304">
        <f t="shared" ref="AM376:AN383" ca="1" si="784">IFERROR(AM385/AM355,0)</f>
        <v>0</v>
      </c>
      <c r="AN376" s="1283">
        <f t="shared" ca="1" si="784"/>
        <v>0.3</v>
      </c>
      <c r="AO376" s="1283">
        <f t="shared" ca="1" si="653"/>
        <v>-0.3</v>
      </c>
      <c r="AP376" s="2777"/>
      <c r="AQ376" s="1283">
        <f t="shared" ref="AQ376:AQ383" ca="1" si="785">IFERROR(AQ385/AQ355,0)</f>
        <v>0</v>
      </c>
      <c r="AR376" s="1283">
        <f t="shared" ca="1" si="692"/>
        <v>0</v>
      </c>
      <c r="AS376" s="2777"/>
      <c r="AU376" s="1304">
        <f t="shared" ref="AU376:AV383" ca="1" si="786">IFERROR(AU385/AU355,0)</f>
        <v>0</v>
      </c>
      <c r="AV376" s="1283">
        <f t="shared" ca="1" si="786"/>
        <v>0.3</v>
      </c>
      <c r="AW376" s="1283">
        <f t="shared" ca="1" si="713"/>
        <v>-0.3</v>
      </c>
      <c r="AX376" s="2777"/>
      <c r="AY376" s="1283">
        <f t="shared" ref="AY376:AY383" ca="1" si="787">IFERROR(AY385/AY355,0)</f>
        <v>0</v>
      </c>
      <c r="AZ376" s="1283">
        <f t="shared" ca="1" si="715"/>
        <v>0</v>
      </c>
      <c r="BA376" s="2777"/>
      <c r="BC376" s="1304">
        <f t="shared" ref="BC376:BD383" ca="1" si="788">IFERROR(BC385/BC355,0)</f>
        <v>0</v>
      </c>
      <c r="BD376" s="1283">
        <f t="shared" ca="1" si="788"/>
        <v>0.3</v>
      </c>
      <c r="BE376" s="1283">
        <f t="shared" ca="1" si="717"/>
        <v>-0.3</v>
      </c>
      <c r="BF376" s="2777"/>
      <c r="BG376" s="1283">
        <f t="shared" ref="BG376:BG383" ca="1" si="789">IFERROR(BG385/BG355,0)</f>
        <v>0</v>
      </c>
      <c r="BH376" s="1283">
        <f t="shared" ca="1" si="719"/>
        <v>0</v>
      </c>
      <c r="BI376" s="2777"/>
    </row>
    <row r="377" spans="1:61" s="504" customFormat="1" ht="14.5" hidden="1" outlineLevel="1">
      <c r="A377" s="1693">
        <f>A375+1</f>
        <v>374</v>
      </c>
      <c r="B377" s="616">
        <v>1</v>
      </c>
      <c r="C377" s="1693">
        <f t="shared" si="657"/>
        <v>377</v>
      </c>
      <c r="D377" s="616">
        <v>1</v>
      </c>
      <c r="E377" s="709" t="s">
        <v>512</v>
      </c>
      <c r="F377" s="1572"/>
      <c r="G377" s="4"/>
      <c r="H377" s="4"/>
      <c r="I377" s="501"/>
      <c r="J377" s="502"/>
      <c r="K377" s="503"/>
      <c r="L377" s="1743" t="s">
        <v>847</v>
      </c>
      <c r="M377" s="1740"/>
      <c r="N377" s="1740"/>
      <c r="O377" s="1736"/>
      <c r="P377" s="1736"/>
      <c r="Q377" s="1736"/>
      <c r="R377" s="1792" t="str">
        <f>CHOOSE(2, "6722000004518", "PL (5) Gross Profit ITS (%) IIM (%)")</f>
        <v>PL (5) Gross Profit ITS (%) IIM (%)</v>
      </c>
      <c r="S377" s="1727">
        <f t="shared" si="782"/>
        <v>-0.85123966942148765</v>
      </c>
      <c r="T377" s="1728">
        <f t="shared" si="782"/>
        <v>0.57556933399954779</v>
      </c>
      <c r="U377" s="1728">
        <f t="shared" si="782"/>
        <v>1.3372737955346652</v>
      </c>
      <c r="V377" s="1728">
        <f t="shared" si="782"/>
        <v>1.2734064977833119</v>
      </c>
      <c r="W377" s="1728">
        <f t="shared" si="782"/>
        <v>0.48312048312048311</v>
      </c>
      <c r="X377" s="1728">
        <f t="shared" si="782"/>
        <v>0.81963316582914569</v>
      </c>
      <c r="Y377" s="1728">
        <f t="shared" si="782"/>
        <v>0.65859576968272626</v>
      </c>
      <c r="Z377" s="1728">
        <f t="shared" si="782"/>
        <v>0.41727413333333335</v>
      </c>
      <c r="AA377" s="1728">
        <f t="shared" si="782"/>
        <v>0</v>
      </c>
      <c r="AB377" s="1728">
        <f t="shared" si="782"/>
        <v>0.84418145956607493</v>
      </c>
      <c r="AC377" s="1728">
        <f t="shared" si="782"/>
        <v>0</v>
      </c>
      <c r="AD377" s="1728">
        <f t="shared" si="782"/>
        <v>0.78502156814456236</v>
      </c>
      <c r="AE377" s="1728">
        <f t="shared" si="783"/>
        <v>0.5467093240126093</v>
      </c>
      <c r="AF377" s="1728">
        <f t="shared" si="783"/>
        <v>0.74826760252096514</v>
      </c>
      <c r="AG377" s="1728">
        <f t="shared" si="783"/>
        <v>0.40790054926076025</v>
      </c>
      <c r="AH377" s="1728">
        <f t="shared" si="783"/>
        <v>0.80833382687378286</v>
      </c>
      <c r="AI377" s="1728">
        <f t="shared" si="783"/>
        <v>0.68237413078931664</v>
      </c>
      <c r="AJ377" s="1728">
        <f t="shared" si="783"/>
        <v>0.63051272118899049</v>
      </c>
      <c r="AK377" s="1728">
        <f t="shared" si="783"/>
        <v>0.65624299390156893</v>
      </c>
      <c r="AM377" s="1727">
        <f t="shared" ca="1" si="784"/>
        <v>-0.85123966942148765</v>
      </c>
      <c r="AN377" s="1728">
        <f t="shared" ca="1" si="784"/>
        <v>0.44</v>
      </c>
      <c r="AO377" s="1728">
        <f t="shared" ca="1" si="653"/>
        <v>-1.2912396694214876</v>
      </c>
      <c r="AP377" s="2829"/>
      <c r="AQ377" s="1728">
        <f t="shared" ca="1" si="785"/>
        <v>0.43055555555555558</v>
      </c>
      <c r="AR377" s="1728">
        <f t="shared" ca="1" si="692"/>
        <v>-1.2817952249770432</v>
      </c>
      <c r="AS377" s="2829"/>
      <c r="AU377" s="1727">
        <f t="shared" ca="1" si="786"/>
        <v>-0.85123966942148765</v>
      </c>
      <c r="AV377" s="1728">
        <f t="shared" ca="1" si="786"/>
        <v>0.44</v>
      </c>
      <c r="AW377" s="1728">
        <f t="shared" ca="1" si="713"/>
        <v>-1.2912396694214876</v>
      </c>
      <c r="AX377" s="2829"/>
      <c r="AY377" s="1728">
        <f t="shared" ca="1" si="787"/>
        <v>0.43055555555555558</v>
      </c>
      <c r="AZ377" s="1728">
        <f t="shared" ca="1" si="715"/>
        <v>-1.2817952249770432</v>
      </c>
      <c r="BA377" s="2829"/>
      <c r="BC377" s="1727">
        <f t="shared" ca="1" si="788"/>
        <v>-0.85123966942148765</v>
      </c>
      <c r="BD377" s="1728">
        <f t="shared" ca="1" si="788"/>
        <v>0.44</v>
      </c>
      <c r="BE377" s="1728">
        <f t="shared" ca="1" si="717"/>
        <v>-1.2912396694214876</v>
      </c>
      <c r="BF377" s="2829"/>
      <c r="BG377" s="1728">
        <f t="shared" ca="1" si="789"/>
        <v>0.43055555555555558</v>
      </c>
      <c r="BH377" s="1728">
        <f t="shared" ca="1" si="719"/>
        <v>-1.2817952249770432</v>
      </c>
      <c r="BI377" s="2829"/>
    </row>
    <row r="378" spans="1:61" s="504" customFormat="1" ht="14.5" hidden="1" outlineLevel="1">
      <c r="A378" s="1693">
        <f>A376+1</f>
        <v>375</v>
      </c>
      <c r="B378" s="616">
        <v>1</v>
      </c>
      <c r="C378" s="1693">
        <f t="shared" si="657"/>
        <v>378</v>
      </c>
      <c r="D378" s="616">
        <v>1</v>
      </c>
      <c r="E378" s="709" t="s">
        <v>512</v>
      </c>
      <c r="F378" s="1572"/>
      <c r="G378" s="519"/>
      <c r="H378" s="4"/>
      <c r="I378" s="501"/>
      <c r="J378" s="502"/>
      <c r="K378" s="503"/>
      <c r="L378" s="503" t="s">
        <v>541</v>
      </c>
      <c r="M378" s="501"/>
      <c r="N378" s="733"/>
      <c r="O378" s="505"/>
      <c r="P378" s="505"/>
      <c r="Q378" s="505"/>
      <c r="R378" s="1792" t="str">
        <f>CHOOSE(2, "6722000003294", "PL (5) Gross Profit ITS (%) MCS (%)")</f>
        <v>PL (5) Gross Profit ITS (%) MCS (%)</v>
      </c>
      <c r="S378" s="1304">
        <f t="shared" si="782"/>
        <v>-0.85123966942148765</v>
      </c>
      <c r="T378" s="1283">
        <f t="shared" si="782"/>
        <v>0.57556933399954779</v>
      </c>
      <c r="U378" s="1283">
        <f t="shared" si="782"/>
        <v>1.3372737955346652</v>
      </c>
      <c r="V378" s="1283">
        <f t="shared" si="782"/>
        <v>1.2734064977833119</v>
      </c>
      <c r="W378" s="1283">
        <f t="shared" si="782"/>
        <v>0.48312048312048311</v>
      </c>
      <c r="X378" s="1283">
        <f t="shared" si="782"/>
        <v>0.81963316582914569</v>
      </c>
      <c r="Y378" s="1283">
        <f t="shared" si="782"/>
        <v>0.65859576968272626</v>
      </c>
      <c r="Z378" s="1283">
        <f t="shared" si="782"/>
        <v>0.41727413333333335</v>
      </c>
      <c r="AA378" s="1283">
        <f t="shared" si="782"/>
        <v>0</v>
      </c>
      <c r="AB378" s="1283">
        <f t="shared" si="782"/>
        <v>0.84418145956607493</v>
      </c>
      <c r="AC378" s="1283">
        <f t="shared" si="782"/>
        <v>0</v>
      </c>
      <c r="AD378" s="1283">
        <f t="shared" si="782"/>
        <v>0.78502156814456236</v>
      </c>
      <c r="AE378" s="1283">
        <f t="shared" si="783"/>
        <v>0.5467093240126093</v>
      </c>
      <c r="AF378" s="1283">
        <f t="shared" si="783"/>
        <v>0.74826760252096514</v>
      </c>
      <c r="AG378" s="1283">
        <f t="shared" si="783"/>
        <v>0.40790054926076025</v>
      </c>
      <c r="AH378" s="1283">
        <f t="shared" si="783"/>
        <v>0.80833382687378286</v>
      </c>
      <c r="AI378" s="1283">
        <f t="shared" si="783"/>
        <v>0.68237413078931664</v>
      </c>
      <c r="AJ378" s="1283">
        <f t="shared" si="783"/>
        <v>0.63051272118899049</v>
      </c>
      <c r="AK378" s="1283">
        <f t="shared" si="783"/>
        <v>0.65624299390156893</v>
      </c>
      <c r="AM378" s="1304">
        <f t="shared" ca="1" si="784"/>
        <v>-0.85123966942148765</v>
      </c>
      <c r="AN378" s="1283">
        <f t="shared" ca="1" si="784"/>
        <v>0.44</v>
      </c>
      <c r="AO378" s="1283">
        <f t="shared" ca="1" si="653"/>
        <v>-1.2912396694214876</v>
      </c>
      <c r="AP378" s="2777"/>
      <c r="AQ378" s="1283">
        <f t="shared" ca="1" si="785"/>
        <v>0.43055555555555558</v>
      </c>
      <c r="AR378" s="1283">
        <f t="shared" ca="1" si="692"/>
        <v>-1.2817952249770432</v>
      </c>
      <c r="AS378" s="2777"/>
      <c r="AU378" s="1304">
        <f t="shared" ca="1" si="786"/>
        <v>-0.85123966942148765</v>
      </c>
      <c r="AV378" s="1283">
        <f t="shared" ca="1" si="786"/>
        <v>0.44</v>
      </c>
      <c r="AW378" s="1283">
        <f t="shared" ca="1" si="713"/>
        <v>-1.2912396694214876</v>
      </c>
      <c r="AX378" s="2777"/>
      <c r="AY378" s="1283">
        <f t="shared" ca="1" si="787"/>
        <v>0.43055555555555558</v>
      </c>
      <c r="AZ378" s="1283">
        <f t="shared" ca="1" si="715"/>
        <v>-1.2817952249770432</v>
      </c>
      <c r="BA378" s="2777"/>
      <c r="BC378" s="1304">
        <f t="shared" ca="1" si="788"/>
        <v>-0.85123966942148765</v>
      </c>
      <c r="BD378" s="1283">
        <f t="shared" ca="1" si="788"/>
        <v>0.44</v>
      </c>
      <c r="BE378" s="1283">
        <f t="shared" ca="1" si="717"/>
        <v>-1.2912396694214876</v>
      </c>
      <c r="BF378" s="2777"/>
      <c r="BG378" s="1283">
        <f t="shared" ca="1" si="789"/>
        <v>0.43055555555555558</v>
      </c>
      <c r="BH378" s="1283">
        <f t="shared" ca="1" si="719"/>
        <v>-1.2817952249770432</v>
      </c>
      <c r="BI378" s="2777"/>
    </row>
    <row r="379" spans="1:61" s="504" customFormat="1" ht="14.5" hidden="1" outlineLevel="1">
      <c r="A379" s="1693">
        <f t="shared" si="660"/>
        <v>376</v>
      </c>
      <c r="B379" s="616">
        <v>1</v>
      </c>
      <c r="C379" s="1693">
        <f t="shared" si="657"/>
        <v>379</v>
      </c>
      <c r="D379" s="616">
        <v>1</v>
      </c>
      <c r="E379" s="709" t="s">
        <v>512</v>
      </c>
      <c r="F379" s="1572"/>
      <c r="G379" s="519"/>
      <c r="H379" s="4"/>
      <c r="I379" s="501"/>
      <c r="J379" s="502"/>
      <c r="K379" s="503"/>
      <c r="L379" s="503" t="s">
        <v>605</v>
      </c>
      <c r="M379" s="501"/>
      <c r="N379" s="503"/>
      <c r="O379" s="505"/>
      <c r="P379" s="505"/>
      <c r="Q379" s="505"/>
      <c r="R379" s="1792" t="str">
        <f>CHOOSE(2, "6722000003295", "PL (5) Gross Profit ITS (%) BPS (%)")</f>
        <v>PL (5) Gross Profit ITS (%) BPS (%)</v>
      </c>
      <c r="S379" s="1304">
        <f t="shared" si="782"/>
        <v>0</v>
      </c>
      <c r="T379" s="1283">
        <f t="shared" si="782"/>
        <v>0</v>
      </c>
      <c r="U379" s="1283">
        <f t="shared" si="782"/>
        <v>0</v>
      </c>
      <c r="V379" s="1283">
        <f t="shared" si="782"/>
        <v>0</v>
      </c>
      <c r="W379" s="1283">
        <f t="shared" si="782"/>
        <v>0</v>
      </c>
      <c r="X379" s="1283">
        <f t="shared" si="782"/>
        <v>0</v>
      </c>
      <c r="Y379" s="1283">
        <f t="shared" si="782"/>
        <v>0</v>
      </c>
      <c r="Z379" s="1283">
        <f t="shared" si="782"/>
        <v>0</v>
      </c>
      <c r="AA379" s="1283">
        <f t="shared" si="782"/>
        <v>0</v>
      </c>
      <c r="AB379" s="1283">
        <f t="shared" si="782"/>
        <v>0</v>
      </c>
      <c r="AC379" s="1283">
        <f t="shared" si="782"/>
        <v>0</v>
      </c>
      <c r="AD379" s="1283">
        <f t="shared" si="782"/>
        <v>0</v>
      </c>
      <c r="AE379" s="1283">
        <f t="shared" si="783"/>
        <v>0</v>
      </c>
      <c r="AF379" s="1283">
        <f t="shared" si="783"/>
        <v>0</v>
      </c>
      <c r="AG379" s="1283">
        <f t="shared" si="783"/>
        <v>0</v>
      </c>
      <c r="AH379" s="1283">
        <f t="shared" si="783"/>
        <v>0</v>
      </c>
      <c r="AI379" s="1283">
        <f t="shared" si="783"/>
        <v>0</v>
      </c>
      <c r="AJ379" s="1283">
        <f t="shared" si="783"/>
        <v>0</v>
      </c>
      <c r="AK379" s="1283">
        <f t="shared" si="783"/>
        <v>0</v>
      </c>
      <c r="AM379" s="1304">
        <f t="shared" ca="1" si="784"/>
        <v>0</v>
      </c>
      <c r="AN379" s="1283">
        <f t="shared" ca="1" si="784"/>
        <v>0</v>
      </c>
      <c r="AO379" s="1283">
        <f t="shared" ca="1" si="653"/>
        <v>0</v>
      </c>
      <c r="AP379" s="2777"/>
      <c r="AQ379" s="1283">
        <f t="shared" ca="1" si="785"/>
        <v>0</v>
      </c>
      <c r="AR379" s="1283">
        <f t="shared" ca="1" si="692"/>
        <v>0</v>
      </c>
      <c r="AS379" s="2777"/>
      <c r="AU379" s="1304">
        <f t="shared" ca="1" si="786"/>
        <v>0</v>
      </c>
      <c r="AV379" s="1283">
        <f t="shared" ca="1" si="786"/>
        <v>0</v>
      </c>
      <c r="AW379" s="1283">
        <f t="shared" ca="1" si="713"/>
        <v>0</v>
      </c>
      <c r="AX379" s="2777"/>
      <c r="AY379" s="1283">
        <f t="shared" ca="1" si="787"/>
        <v>0</v>
      </c>
      <c r="AZ379" s="1283">
        <f t="shared" ca="1" si="715"/>
        <v>0</v>
      </c>
      <c r="BA379" s="2777"/>
      <c r="BC379" s="1304">
        <f t="shared" ca="1" si="788"/>
        <v>0</v>
      </c>
      <c r="BD379" s="1283">
        <f t="shared" ca="1" si="788"/>
        <v>0</v>
      </c>
      <c r="BE379" s="1283">
        <f t="shared" ca="1" si="717"/>
        <v>0</v>
      </c>
      <c r="BF379" s="2777"/>
      <c r="BG379" s="1283">
        <f t="shared" ca="1" si="789"/>
        <v>0</v>
      </c>
      <c r="BH379" s="1283">
        <f t="shared" ca="1" si="719"/>
        <v>0</v>
      </c>
      <c r="BI379" s="2777"/>
    </row>
    <row r="380" spans="1:61" s="504" customFormat="1" ht="14.5" hidden="1" outlineLevel="1">
      <c r="A380" s="1693">
        <f t="shared" si="660"/>
        <v>377</v>
      </c>
      <c r="B380" s="616">
        <v>1</v>
      </c>
      <c r="C380" s="1693">
        <f t="shared" si="657"/>
        <v>380</v>
      </c>
      <c r="D380" s="616">
        <v>1</v>
      </c>
      <c r="E380" s="709" t="s">
        <v>512</v>
      </c>
      <c r="F380" s="1572"/>
      <c r="G380" s="1567"/>
      <c r="H380" s="4"/>
      <c r="I380" s="501"/>
      <c r="J380" s="502"/>
      <c r="K380" s="1074" t="s">
        <v>812</v>
      </c>
      <c r="L380" s="1075"/>
      <c r="M380" s="1076"/>
      <c r="N380" s="1079"/>
      <c r="O380" s="1078"/>
      <c r="P380" s="1078"/>
      <c r="Q380" s="1078"/>
      <c r="R380" s="1797" t="str">
        <f>CHOOSE(2, "6722000003296", "PL (5) Gross Profit ICW (%)")</f>
        <v>PL (5) Gross Profit ICW (%)</v>
      </c>
      <c r="S380" s="1456">
        <f t="shared" si="782"/>
        <v>0</v>
      </c>
      <c r="T380" s="1457">
        <f t="shared" si="782"/>
        <v>0</v>
      </c>
      <c r="U380" s="1457">
        <f t="shared" si="782"/>
        <v>0</v>
      </c>
      <c r="V380" s="1457">
        <f t="shared" si="782"/>
        <v>0</v>
      </c>
      <c r="W380" s="1457">
        <f t="shared" si="782"/>
        <v>0</v>
      </c>
      <c r="X380" s="1457">
        <f t="shared" si="782"/>
        <v>0</v>
      </c>
      <c r="Y380" s="1457">
        <f t="shared" si="782"/>
        <v>0</v>
      </c>
      <c r="Z380" s="1457">
        <f t="shared" si="782"/>
        <v>0</v>
      </c>
      <c r="AA380" s="1457">
        <f t="shared" si="782"/>
        <v>0</v>
      </c>
      <c r="AB380" s="1457">
        <f t="shared" si="782"/>
        <v>0</v>
      </c>
      <c r="AC380" s="1457">
        <f t="shared" si="782"/>
        <v>0</v>
      </c>
      <c r="AD380" s="1457">
        <f t="shared" si="782"/>
        <v>0</v>
      </c>
      <c r="AE380" s="1457">
        <f t="shared" si="783"/>
        <v>0</v>
      </c>
      <c r="AF380" s="1457">
        <f t="shared" si="783"/>
        <v>0</v>
      </c>
      <c r="AG380" s="1457">
        <f t="shared" si="783"/>
        <v>0</v>
      </c>
      <c r="AH380" s="1457">
        <f t="shared" si="783"/>
        <v>0</v>
      </c>
      <c r="AI380" s="1457">
        <f t="shared" si="783"/>
        <v>0</v>
      </c>
      <c r="AJ380" s="1457">
        <f t="shared" si="783"/>
        <v>0</v>
      </c>
      <c r="AK380" s="1457">
        <f t="shared" si="783"/>
        <v>0</v>
      </c>
      <c r="AM380" s="1456">
        <f t="shared" ca="1" si="784"/>
        <v>0</v>
      </c>
      <c r="AN380" s="1457">
        <f t="shared" ca="1" si="784"/>
        <v>0</v>
      </c>
      <c r="AO380" s="1457">
        <f t="shared" ca="1" si="653"/>
        <v>0</v>
      </c>
      <c r="AP380" s="2828"/>
      <c r="AQ380" s="1457">
        <f t="shared" ca="1" si="785"/>
        <v>0</v>
      </c>
      <c r="AR380" s="1457">
        <f t="shared" ca="1" si="692"/>
        <v>0</v>
      </c>
      <c r="AS380" s="2828"/>
      <c r="AU380" s="1456">
        <f t="shared" ca="1" si="786"/>
        <v>0</v>
      </c>
      <c r="AV380" s="1457">
        <f t="shared" ca="1" si="786"/>
        <v>0</v>
      </c>
      <c r="AW380" s="1457">
        <f t="shared" ca="1" si="713"/>
        <v>0</v>
      </c>
      <c r="AX380" s="2828"/>
      <c r="AY380" s="1457">
        <f t="shared" ca="1" si="787"/>
        <v>0</v>
      </c>
      <c r="AZ380" s="1457">
        <f t="shared" ca="1" si="715"/>
        <v>0</v>
      </c>
      <c r="BA380" s="2828"/>
      <c r="BC380" s="1456">
        <f t="shared" ca="1" si="788"/>
        <v>0</v>
      </c>
      <c r="BD380" s="1457">
        <f t="shared" ca="1" si="788"/>
        <v>0</v>
      </c>
      <c r="BE380" s="1457">
        <f t="shared" ca="1" si="717"/>
        <v>0</v>
      </c>
      <c r="BF380" s="2828"/>
      <c r="BG380" s="1457">
        <f t="shared" ca="1" si="789"/>
        <v>0</v>
      </c>
      <c r="BH380" s="1457">
        <f t="shared" ca="1" si="719"/>
        <v>0</v>
      </c>
      <c r="BI380" s="2828"/>
    </row>
    <row r="381" spans="1:61" s="504" customFormat="1" ht="14.5" hidden="1" outlineLevel="1">
      <c r="A381" s="1693">
        <f t="shared" si="660"/>
        <v>378</v>
      </c>
      <c r="B381" s="616">
        <v>1</v>
      </c>
      <c r="C381" s="1693">
        <f t="shared" si="657"/>
        <v>381</v>
      </c>
      <c r="D381" s="616">
        <v>1</v>
      </c>
      <c r="E381" s="709" t="s">
        <v>512</v>
      </c>
      <c r="F381" s="1572"/>
      <c r="G381" s="519"/>
      <c r="H381" s="4"/>
      <c r="I381" s="501"/>
      <c r="J381" s="502"/>
      <c r="K381" s="503"/>
      <c r="L381" s="503" t="s">
        <v>604</v>
      </c>
      <c r="M381" s="501"/>
      <c r="N381" s="1081"/>
      <c r="O381" s="505"/>
      <c r="P381" s="505"/>
      <c r="Q381" s="505"/>
      <c r="R381" s="1792" t="str">
        <f>CHOOSE(2, "6722000003297", "PL (5) Gross Profit ICW (%) ICW-IT (%)")</f>
        <v>PL (5) Gross Profit ICW (%) ICW-IT (%)</v>
      </c>
      <c r="S381" s="1304">
        <f t="shared" si="782"/>
        <v>0</v>
      </c>
      <c r="T381" s="1283">
        <f t="shared" si="782"/>
        <v>0</v>
      </c>
      <c r="U381" s="1283">
        <f t="shared" si="782"/>
        <v>0</v>
      </c>
      <c r="V381" s="1283">
        <f t="shared" si="782"/>
        <v>0</v>
      </c>
      <c r="W381" s="1283">
        <f t="shared" si="782"/>
        <v>0</v>
      </c>
      <c r="X381" s="1283">
        <f t="shared" si="782"/>
        <v>0</v>
      </c>
      <c r="Y381" s="1283">
        <f t="shared" si="782"/>
        <v>0</v>
      </c>
      <c r="Z381" s="1283">
        <f t="shared" si="782"/>
        <v>0</v>
      </c>
      <c r="AA381" s="1283">
        <f t="shared" si="782"/>
        <v>0</v>
      </c>
      <c r="AB381" s="1283">
        <f t="shared" si="782"/>
        <v>0</v>
      </c>
      <c r="AC381" s="1283">
        <f t="shared" si="782"/>
        <v>0</v>
      </c>
      <c r="AD381" s="1283">
        <f t="shared" si="782"/>
        <v>0</v>
      </c>
      <c r="AE381" s="1283">
        <f t="shared" si="783"/>
        <v>0</v>
      </c>
      <c r="AF381" s="1283">
        <f t="shared" si="783"/>
        <v>0</v>
      </c>
      <c r="AG381" s="1283">
        <f t="shared" si="783"/>
        <v>0</v>
      </c>
      <c r="AH381" s="1283">
        <f t="shared" si="783"/>
        <v>0</v>
      </c>
      <c r="AI381" s="1283">
        <f t="shared" si="783"/>
        <v>0</v>
      </c>
      <c r="AJ381" s="1283">
        <f t="shared" si="783"/>
        <v>0</v>
      </c>
      <c r="AK381" s="1283">
        <f t="shared" si="783"/>
        <v>0</v>
      </c>
      <c r="AL381" s="69"/>
      <c r="AM381" s="1304">
        <f t="shared" ca="1" si="784"/>
        <v>0</v>
      </c>
      <c r="AN381" s="1283">
        <f t="shared" ca="1" si="784"/>
        <v>0</v>
      </c>
      <c r="AO381" s="1283">
        <f t="shared" ca="1" si="653"/>
        <v>0</v>
      </c>
      <c r="AP381" s="2777"/>
      <c r="AQ381" s="1283">
        <f t="shared" ca="1" si="785"/>
        <v>0</v>
      </c>
      <c r="AR381" s="1283">
        <f t="shared" ca="1" si="692"/>
        <v>0</v>
      </c>
      <c r="AS381" s="2777"/>
      <c r="AU381" s="1304">
        <f t="shared" ca="1" si="786"/>
        <v>0</v>
      </c>
      <c r="AV381" s="1283">
        <f t="shared" ca="1" si="786"/>
        <v>0</v>
      </c>
      <c r="AW381" s="1283">
        <f t="shared" ca="1" si="713"/>
        <v>0</v>
      </c>
      <c r="AX381" s="2777"/>
      <c r="AY381" s="1283">
        <f t="shared" ca="1" si="787"/>
        <v>0</v>
      </c>
      <c r="AZ381" s="1283">
        <f t="shared" ca="1" si="715"/>
        <v>0</v>
      </c>
      <c r="BA381" s="2777"/>
      <c r="BC381" s="1304">
        <f t="shared" ca="1" si="788"/>
        <v>0</v>
      </c>
      <c r="BD381" s="1283">
        <f t="shared" ca="1" si="788"/>
        <v>0</v>
      </c>
      <c r="BE381" s="1283">
        <f t="shared" ca="1" si="717"/>
        <v>0</v>
      </c>
      <c r="BF381" s="2777"/>
      <c r="BG381" s="1283">
        <f t="shared" ca="1" si="789"/>
        <v>0</v>
      </c>
      <c r="BH381" s="1283">
        <f t="shared" ca="1" si="719"/>
        <v>0</v>
      </c>
      <c r="BI381" s="2777"/>
    </row>
    <row r="382" spans="1:61" s="504" customFormat="1" ht="14.5" hidden="1" outlineLevel="1">
      <c r="A382" s="1693">
        <f t="shared" si="660"/>
        <v>379</v>
      </c>
      <c r="B382" s="616">
        <v>1</v>
      </c>
      <c r="C382" s="1693">
        <f t="shared" si="657"/>
        <v>382</v>
      </c>
      <c r="D382" s="616">
        <v>1</v>
      </c>
      <c r="E382" s="709" t="s">
        <v>512</v>
      </c>
      <c r="F382" s="1572"/>
      <c r="G382" s="519"/>
      <c r="H382" s="4"/>
      <c r="I382" s="501"/>
      <c r="J382" s="502"/>
      <c r="K382" s="503"/>
      <c r="L382" s="503" t="s">
        <v>606</v>
      </c>
      <c r="M382" s="501"/>
      <c r="N382" s="1081"/>
      <c r="O382" s="505"/>
      <c r="P382" s="505"/>
      <c r="Q382" s="505"/>
      <c r="R382" s="1792" t="str">
        <f>CHOOSE(2, "6722000003298", "PL (5) Gross Profit ICW (%) ICW-WK (%)")</f>
        <v>PL (5) Gross Profit ICW (%) ICW-WK (%)</v>
      </c>
      <c r="S382" s="1304">
        <f t="shared" si="782"/>
        <v>0</v>
      </c>
      <c r="T382" s="1283">
        <f t="shared" si="782"/>
        <v>0</v>
      </c>
      <c r="U382" s="1283">
        <f t="shared" si="782"/>
        <v>0</v>
      </c>
      <c r="V382" s="1283">
        <f t="shared" si="782"/>
        <v>0</v>
      </c>
      <c r="W382" s="1283">
        <f t="shared" si="782"/>
        <v>0</v>
      </c>
      <c r="X382" s="1283">
        <f t="shared" si="782"/>
        <v>0</v>
      </c>
      <c r="Y382" s="1283">
        <f t="shared" si="782"/>
        <v>0</v>
      </c>
      <c r="Z382" s="1283">
        <f t="shared" si="782"/>
        <v>0</v>
      </c>
      <c r="AA382" s="1283">
        <f t="shared" si="782"/>
        <v>0</v>
      </c>
      <c r="AB382" s="1283">
        <f t="shared" si="782"/>
        <v>0</v>
      </c>
      <c r="AC382" s="1283">
        <f t="shared" si="782"/>
        <v>0</v>
      </c>
      <c r="AD382" s="1283">
        <f t="shared" si="782"/>
        <v>0</v>
      </c>
      <c r="AE382" s="1283">
        <f t="shared" si="783"/>
        <v>0</v>
      </c>
      <c r="AF382" s="1283">
        <f t="shared" si="783"/>
        <v>0</v>
      </c>
      <c r="AG382" s="1283">
        <f t="shared" si="783"/>
        <v>0</v>
      </c>
      <c r="AH382" s="1283">
        <f t="shared" si="783"/>
        <v>0</v>
      </c>
      <c r="AI382" s="1283">
        <f t="shared" si="783"/>
        <v>0</v>
      </c>
      <c r="AJ382" s="1283">
        <f t="shared" si="783"/>
        <v>0</v>
      </c>
      <c r="AK382" s="1283">
        <f t="shared" si="783"/>
        <v>0</v>
      </c>
      <c r="AL382" s="8"/>
      <c r="AM382" s="1304">
        <f t="shared" ca="1" si="784"/>
        <v>0</v>
      </c>
      <c r="AN382" s="1283">
        <f t="shared" ca="1" si="784"/>
        <v>0</v>
      </c>
      <c r="AO382" s="1283">
        <f t="shared" ca="1" si="653"/>
        <v>0</v>
      </c>
      <c r="AP382" s="2777"/>
      <c r="AQ382" s="1283">
        <f t="shared" ca="1" si="785"/>
        <v>0</v>
      </c>
      <c r="AR382" s="1283">
        <f t="shared" ca="1" si="692"/>
        <v>0</v>
      </c>
      <c r="AS382" s="2777"/>
      <c r="AU382" s="1304">
        <f t="shared" ca="1" si="786"/>
        <v>0</v>
      </c>
      <c r="AV382" s="1283">
        <f t="shared" ca="1" si="786"/>
        <v>0</v>
      </c>
      <c r="AW382" s="1283">
        <f t="shared" ca="1" si="713"/>
        <v>0</v>
      </c>
      <c r="AX382" s="2777"/>
      <c r="AY382" s="1283">
        <f t="shared" ca="1" si="787"/>
        <v>0</v>
      </c>
      <c r="AZ382" s="1283">
        <f t="shared" ca="1" si="715"/>
        <v>0</v>
      </c>
      <c r="BA382" s="2777"/>
      <c r="BC382" s="1304">
        <f t="shared" ca="1" si="788"/>
        <v>0</v>
      </c>
      <c r="BD382" s="1283">
        <f t="shared" ca="1" si="788"/>
        <v>0</v>
      </c>
      <c r="BE382" s="1283">
        <f t="shared" ca="1" si="717"/>
        <v>0</v>
      </c>
      <c r="BF382" s="2777"/>
      <c r="BG382" s="1283">
        <f t="shared" ca="1" si="789"/>
        <v>0</v>
      </c>
      <c r="BH382" s="1283">
        <f t="shared" ca="1" si="719"/>
        <v>0</v>
      </c>
      <c r="BI382" s="2777"/>
    </row>
    <row r="383" spans="1:61" s="504" customFormat="1" ht="14.5" hidden="1" outlineLevel="1">
      <c r="A383" s="1693">
        <f t="shared" si="660"/>
        <v>380</v>
      </c>
      <c r="B383" s="616">
        <v>1</v>
      </c>
      <c r="C383" s="1693">
        <f t="shared" si="657"/>
        <v>383</v>
      </c>
      <c r="D383" s="616">
        <v>1</v>
      </c>
      <c r="E383" s="709" t="s">
        <v>512</v>
      </c>
      <c r="F383" s="1572"/>
      <c r="G383" s="519"/>
      <c r="H383" s="4"/>
      <c r="I383" s="501"/>
      <c r="J383" s="502"/>
      <c r="K383" s="503"/>
      <c r="L383" s="503" t="s">
        <v>607</v>
      </c>
      <c r="M383" s="501"/>
      <c r="N383" s="1081"/>
      <c r="O383" s="505"/>
      <c r="P383" s="505"/>
      <c r="Q383" s="505"/>
      <c r="R383" s="1792" t="str">
        <f>CHOOSE(2, "6722000003299", "PL (5) Gross Profit ICW (%) ICW-P (%)")</f>
        <v>PL (5) Gross Profit ICW (%) ICW-P (%)</v>
      </c>
      <c r="S383" s="1304">
        <f t="shared" si="782"/>
        <v>0</v>
      </c>
      <c r="T383" s="1283">
        <f t="shared" si="782"/>
        <v>0</v>
      </c>
      <c r="U383" s="1283">
        <f t="shared" si="782"/>
        <v>0</v>
      </c>
      <c r="V383" s="1283">
        <f t="shared" si="782"/>
        <v>0</v>
      </c>
      <c r="W383" s="1283">
        <f t="shared" si="782"/>
        <v>0</v>
      </c>
      <c r="X383" s="1283">
        <f t="shared" si="782"/>
        <v>0</v>
      </c>
      <c r="Y383" s="1283">
        <f t="shared" si="782"/>
        <v>0</v>
      </c>
      <c r="Z383" s="1283">
        <f t="shared" si="782"/>
        <v>0</v>
      </c>
      <c r="AA383" s="1283">
        <f t="shared" si="782"/>
        <v>0</v>
      </c>
      <c r="AB383" s="1283">
        <f t="shared" si="782"/>
        <v>0</v>
      </c>
      <c r="AC383" s="1283">
        <f t="shared" si="782"/>
        <v>0</v>
      </c>
      <c r="AD383" s="1283">
        <f t="shared" si="782"/>
        <v>0</v>
      </c>
      <c r="AE383" s="1283">
        <f t="shared" si="783"/>
        <v>0</v>
      </c>
      <c r="AF383" s="1283">
        <f t="shared" si="783"/>
        <v>0</v>
      </c>
      <c r="AG383" s="1283">
        <f t="shared" si="783"/>
        <v>0</v>
      </c>
      <c r="AH383" s="1283">
        <f t="shared" si="783"/>
        <v>0</v>
      </c>
      <c r="AI383" s="1283">
        <f t="shared" si="783"/>
        <v>0</v>
      </c>
      <c r="AJ383" s="1283">
        <f t="shared" si="783"/>
        <v>0</v>
      </c>
      <c r="AK383" s="1283">
        <f t="shared" si="783"/>
        <v>0</v>
      </c>
      <c r="AL383" s="8"/>
      <c r="AM383" s="1304">
        <f t="shared" ca="1" si="784"/>
        <v>0</v>
      </c>
      <c r="AN383" s="1283">
        <f t="shared" ca="1" si="784"/>
        <v>0</v>
      </c>
      <c r="AO383" s="1283">
        <f t="shared" ca="1" si="653"/>
        <v>0</v>
      </c>
      <c r="AP383" s="2777"/>
      <c r="AQ383" s="1283">
        <f t="shared" ca="1" si="785"/>
        <v>0</v>
      </c>
      <c r="AR383" s="1283">
        <f t="shared" ca="1" si="692"/>
        <v>0</v>
      </c>
      <c r="AS383" s="2777"/>
      <c r="AU383" s="1304">
        <f t="shared" ca="1" si="786"/>
        <v>0</v>
      </c>
      <c r="AV383" s="1283">
        <f t="shared" ca="1" si="786"/>
        <v>0</v>
      </c>
      <c r="AW383" s="1283">
        <f t="shared" ca="1" si="713"/>
        <v>0</v>
      </c>
      <c r="AX383" s="2777"/>
      <c r="AY383" s="1283">
        <f t="shared" ca="1" si="787"/>
        <v>0</v>
      </c>
      <c r="AZ383" s="1283">
        <f t="shared" ca="1" si="715"/>
        <v>0</v>
      </c>
      <c r="BA383" s="2777"/>
      <c r="BC383" s="1304">
        <f t="shared" ca="1" si="788"/>
        <v>0</v>
      </c>
      <c r="BD383" s="1283">
        <f t="shared" ca="1" si="788"/>
        <v>0</v>
      </c>
      <c r="BE383" s="1283">
        <f t="shared" ca="1" si="717"/>
        <v>0</v>
      </c>
      <c r="BF383" s="2777"/>
      <c r="BG383" s="1283">
        <f t="shared" ca="1" si="789"/>
        <v>0</v>
      </c>
      <c r="BH383" s="1283">
        <f t="shared" ca="1" si="719"/>
        <v>0</v>
      </c>
      <c r="BI383" s="2777"/>
    </row>
    <row r="384" spans="1:61" s="69" customFormat="1" ht="14.5" collapsed="1">
      <c r="A384" s="1693">
        <f t="shared" si="660"/>
        <v>381</v>
      </c>
      <c r="B384" s="616">
        <v>1</v>
      </c>
      <c r="C384" s="1693">
        <f t="shared" si="657"/>
        <v>384</v>
      </c>
      <c r="D384" s="616">
        <v>1</v>
      </c>
      <c r="E384" s="709" t="s">
        <v>512</v>
      </c>
      <c r="F384" s="1572"/>
      <c r="G384" s="1567"/>
      <c r="H384" s="4"/>
      <c r="I384" s="4"/>
      <c r="J384" s="762"/>
      <c r="K384" s="1071" t="s">
        <v>809</v>
      </c>
      <c r="L384" s="1071"/>
      <c r="M384" s="1072"/>
      <c r="N384" s="1072"/>
      <c r="O384" s="1072"/>
      <c r="P384" s="1073"/>
      <c r="Q384" s="1072"/>
      <c r="R384" s="1802" t="str">
        <f>CHOOSE(2, "6722000003300", "PL (5) Gross Profit ITS")</f>
        <v>PL (5) Gross Profit ITS</v>
      </c>
      <c r="S384" s="1454">
        <f t="shared" ref="S384:AD384" si="790">SUM(S385,S386)</f>
        <v>-103</v>
      </c>
      <c r="T384" s="1455">
        <f t="shared" si="790"/>
        <v>740</v>
      </c>
      <c r="U384" s="1455">
        <f t="shared" si="790"/>
        <v>227.60400000000001</v>
      </c>
      <c r="V384" s="1455">
        <f t="shared" si="790"/>
        <v>339.50799999999998</v>
      </c>
      <c r="W384" s="1455">
        <f t="shared" si="790"/>
        <v>488</v>
      </c>
      <c r="X384" s="1455">
        <f t="shared" si="790"/>
        <v>1467.963</v>
      </c>
      <c r="Y384" s="1455">
        <f t="shared" si="790"/>
        <v>56.046500000000002</v>
      </c>
      <c r="Z384" s="1455">
        <f t="shared" si="790"/>
        <v>947.38900000000001</v>
      </c>
      <c r="AA384" s="1455">
        <f t="shared" si="790"/>
        <v>0</v>
      </c>
      <c r="AB384" s="1455">
        <f t="shared" si="790"/>
        <v>1781</v>
      </c>
      <c r="AC384" s="1455">
        <f t="shared" si="790"/>
        <v>1510.3489600000003</v>
      </c>
      <c r="AD384" s="1455">
        <f t="shared" si="790"/>
        <v>1988.3090999999999</v>
      </c>
      <c r="AE384" s="1455">
        <f t="shared" ref="AE384:AK384" si="791">SUM(AE385,AE386)</f>
        <v>864.60400000000004</v>
      </c>
      <c r="AF384" s="1455">
        <f t="shared" si="791"/>
        <v>2295.471</v>
      </c>
      <c r="AG384" s="1455">
        <f t="shared" si="791"/>
        <v>1003.4355</v>
      </c>
      <c r="AH384" s="1455">
        <f t="shared" si="791"/>
        <v>5279.6580600000007</v>
      </c>
      <c r="AI384" s="1455">
        <f t="shared" si="791"/>
        <v>3160.0749999999998</v>
      </c>
      <c r="AJ384" s="1455">
        <f t="shared" si="791"/>
        <v>6283.0935600000012</v>
      </c>
      <c r="AK384" s="1455">
        <f t="shared" si="791"/>
        <v>9443.1685600000019</v>
      </c>
      <c r="AL384" s="8"/>
      <c r="AM384" s="2062">
        <f t="shared" ref="AM384:AN384" ca="1" si="792">SUM(AM385,AM386)</f>
        <v>-103</v>
      </c>
      <c r="AN384" s="2063">
        <f t="shared" ca="1" si="792"/>
        <v>370</v>
      </c>
      <c r="AO384" s="2830">
        <f t="shared" ca="1" si="653"/>
        <v>-473</v>
      </c>
      <c r="AP384" s="2831">
        <f t="shared" ref="AP384:AP388" ca="1" si="793">IFERROR(AM384/AN384,0)</f>
        <v>-0.27837837837837837</v>
      </c>
      <c r="AQ384" s="2063">
        <f t="shared" ref="AQ384" ca="1" si="794">SUM(AQ385,AQ386)</f>
        <v>155</v>
      </c>
      <c r="AR384" s="2830">
        <f t="shared" ca="1" si="692"/>
        <v>-258</v>
      </c>
      <c r="AS384" s="2831">
        <f t="shared" ref="AS384:AS406" ca="1" si="795">IFERROR(AM384/AQ384,0)</f>
        <v>-0.6645161290322581</v>
      </c>
      <c r="AT384" s="8"/>
      <c r="AU384" s="2062">
        <f t="shared" ref="AU384:AV384" ca="1" si="796">SUM(AU385,AU386)</f>
        <v>-103</v>
      </c>
      <c r="AV384" s="2063">
        <f t="shared" ca="1" si="796"/>
        <v>370</v>
      </c>
      <c r="AW384" s="2830">
        <f t="shared" ca="1" si="713"/>
        <v>-473</v>
      </c>
      <c r="AX384" s="2831">
        <f t="shared" ref="AX384:AX388" ca="1" si="797">IFERROR(AU384/AV384,0)</f>
        <v>-0.27837837837837837</v>
      </c>
      <c r="AY384" s="2063">
        <f t="shared" ref="AY384" ca="1" si="798">SUM(AY385,AY386)</f>
        <v>155</v>
      </c>
      <c r="AZ384" s="2830">
        <f t="shared" ca="1" si="715"/>
        <v>-258</v>
      </c>
      <c r="BA384" s="2831">
        <f t="shared" ref="BA384:BA406" ca="1" si="799">IFERROR(AU384/AY384,0)</f>
        <v>-0.6645161290322581</v>
      </c>
      <c r="BB384" s="8"/>
      <c r="BC384" s="2062">
        <f t="shared" ref="BC384:BD384" ca="1" si="800">SUM(BC385,BC386)</f>
        <v>-103</v>
      </c>
      <c r="BD384" s="2063">
        <f t="shared" ca="1" si="800"/>
        <v>370</v>
      </c>
      <c r="BE384" s="2830">
        <f t="shared" ca="1" si="717"/>
        <v>-473</v>
      </c>
      <c r="BF384" s="2831">
        <f t="shared" ref="BF384:BF388" ca="1" si="801">IFERROR(BC384/BD384,0)</f>
        <v>-0.27837837837837837</v>
      </c>
      <c r="BG384" s="2063">
        <f t="shared" ref="BG384" ca="1" si="802">SUM(BG385,BG386)</f>
        <v>155</v>
      </c>
      <c r="BH384" s="2830">
        <f t="shared" ca="1" si="719"/>
        <v>-258</v>
      </c>
      <c r="BI384" s="2831">
        <f t="shared" ref="BI384:BI406" ca="1" si="803">IFERROR(BC384/BG384,0)</f>
        <v>-0.6645161290322581</v>
      </c>
    </row>
    <row r="385" spans="1:61" ht="14.5">
      <c r="A385" s="1693">
        <f t="shared" si="660"/>
        <v>382</v>
      </c>
      <c r="B385" s="616">
        <v>1</v>
      </c>
      <c r="C385" s="1695">
        <f t="shared" si="657"/>
        <v>385</v>
      </c>
      <c r="D385" s="616">
        <v>1</v>
      </c>
      <c r="E385" s="709" t="s">
        <v>512</v>
      </c>
      <c r="F385" s="1572"/>
      <c r="G385" s="519"/>
      <c r="H385" s="737"/>
      <c r="I385" s="4"/>
      <c r="J385" s="27"/>
      <c r="K385" s="3"/>
      <c r="L385" s="3" t="s">
        <v>418</v>
      </c>
      <c r="M385" s="4"/>
      <c r="N385" s="725"/>
      <c r="O385" s="3"/>
      <c r="P385" s="3"/>
      <c r="Q385" s="3"/>
      <c r="R385" s="1789" t="str">
        <f>CHOOSE(2, "6722000003301", "PL (5) Gross Profit ITS IMS")</f>
        <v>PL (5) Gross Profit ITS IMS</v>
      </c>
      <c r="S385" s="1214">
        <f t="shared" ref="S385:AD385" si="804">S803+S834</f>
        <v>0</v>
      </c>
      <c r="T385" s="1221">
        <f t="shared" si="804"/>
        <v>50</v>
      </c>
      <c r="U385" s="1221">
        <f t="shared" si="804"/>
        <v>0</v>
      </c>
      <c r="V385" s="1221">
        <f t="shared" si="804"/>
        <v>0</v>
      </c>
      <c r="W385" s="1221">
        <f t="shared" si="804"/>
        <v>0</v>
      </c>
      <c r="X385" s="1221">
        <f t="shared" si="804"/>
        <v>0</v>
      </c>
      <c r="Y385" s="1221">
        <f t="shared" si="804"/>
        <v>0</v>
      </c>
      <c r="Z385" s="1221">
        <f t="shared" si="804"/>
        <v>165</v>
      </c>
      <c r="AA385" s="1221">
        <f t="shared" si="804"/>
        <v>0</v>
      </c>
      <c r="AB385" s="1221">
        <f t="shared" si="804"/>
        <v>925</v>
      </c>
      <c r="AC385" s="1221">
        <f t="shared" si="804"/>
        <v>1510.3489600000003</v>
      </c>
      <c r="AD385" s="1221">
        <f t="shared" si="804"/>
        <v>764.26892999999995</v>
      </c>
      <c r="AE385" s="1221">
        <f>SUM(S385,T385,U385)</f>
        <v>50</v>
      </c>
      <c r="AF385" s="1221">
        <f t="shared" ref="AF385:AF392" si="805">SUM(V385,W385,X385)</f>
        <v>0</v>
      </c>
      <c r="AG385" s="1221">
        <f t="shared" ref="AG385:AG392" si="806">SUM(Y385,Z385,AA385)</f>
        <v>165</v>
      </c>
      <c r="AH385" s="1221">
        <f t="shared" ref="AH385:AH392" si="807">SUM(AB385,AC385,AD385)</f>
        <v>3199.6178900000004</v>
      </c>
      <c r="AI385" s="1221">
        <f>AE385+AF385</f>
        <v>50</v>
      </c>
      <c r="AJ385" s="1221">
        <f>AH385+AG385</f>
        <v>3364.6178900000004</v>
      </c>
      <c r="AK385" s="1221">
        <f>AI385+AJ385</f>
        <v>3414.6178900000004</v>
      </c>
      <c r="AM385" s="596">
        <f ca="1">SUM((INDIRECT(AM$2&amp;(ROW())):INDIRECT(AM$3&amp;(ROW()))))</f>
        <v>0</v>
      </c>
      <c r="AN385" s="2002">
        <f ca="1">SUM(INDIRECT(AN$1&amp;AN$2&amp;$C385):INDIRECT(AN$1&amp;AN$3&amp;$C385))</f>
        <v>150</v>
      </c>
      <c r="AO385" s="2767">
        <f t="shared" ca="1" si="653"/>
        <v>-150</v>
      </c>
      <c r="AP385" s="2768">
        <f t="shared" ca="1" si="793"/>
        <v>0</v>
      </c>
      <c r="AQ385" s="2002">
        <f ca="1">SUM(INDIRECT(AQ$1&amp;AQ$2&amp;$A385):INDIRECT(AQ$1&amp;AQ$3&amp;$A385))+SUM(INDIRECT(AQ$1&amp;AQ$2&amp;$B385):INDIRECT(AQ$1&amp;AQ$3&amp;$B385))</f>
        <v>0</v>
      </c>
      <c r="AR385" s="2767">
        <f t="shared" ca="1" si="692"/>
        <v>0</v>
      </c>
      <c r="AS385" s="2768">
        <f t="shared" ca="1" si="795"/>
        <v>0</v>
      </c>
      <c r="AU385" s="596">
        <f ca="1">SUM((INDIRECT(AU$2&amp;(ROW())):INDIRECT(AU$3&amp;(ROW()))))</f>
        <v>0</v>
      </c>
      <c r="AV385" s="2002">
        <f ca="1">SUM(INDIRECT(AV$1&amp;AV$2&amp;$C385):INDIRECT(AV$1&amp;AV$3&amp;$C385))</f>
        <v>150</v>
      </c>
      <c r="AW385" s="2767">
        <f t="shared" ca="1" si="713"/>
        <v>-150</v>
      </c>
      <c r="AX385" s="2768">
        <f t="shared" ca="1" si="797"/>
        <v>0</v>
      </c>
      <c r="AY385" s="2002">
        <f ca="1">SUM(INDIRECT(AY$1&amp;AY$2&amp;$A385):INDIRECT(AY$1&amp;AY$3&amp;$A385))+SUM(INDIRECT(AY$1&amp;AY$2&amp;$B385):INDIRECT(AY$1&amp;AY$3&amp;$B385))</f>
        <v>0</v>
      </c>
      <c r="AZ385" s="2767">
        <f t="shared" ca="1" si="715"/>
        <v>0</v>
      </c>
      <c r="BA385" s="2768">
        <f t="shared" ca="1" si="799"/>
        <v>0</v>
      </c>
      <c r="BC385" s="596">
        <f ca="1">SUM((INDIRECT(BC$2&amp;(ROW())):INDIRECT(BC$3&amp;(ROW()))))</f>
        <v>0</v>
      </c>
      <c r="BD385" s="2002">
        <f ca="1">SUM(INDIRECT(BD$1&amp;BD$2&amp;$C385):INDIRECT(BD$1&amp;BD$3&amp;$C385))</f>
        <v>150</v>
      </c>
      <c r="BE385" s="2767">
        <f t="shared" ca="1" si="717"/>
        <v>-150</v>
      </c>
      <c r="BF385" s="2768">
        <f t="shared" ca="1" si="801"/>
        <v>0</v>
      </c>
      <c r="BG385" s="2002">
        <f ca="1">SUM(INDIRECT(BG$1&amp;BG$2&amp;$A385):INDIRECT(BG$1&amp;BG$3&amp;$A385))+SUM(INDIRECT(BG$1&amp;BG$2&amp;$B385):INDIRECT(BG$1&amp;BG$3&amp;$B385))</f>
        <v>0</v>
      </c>
      <c r="BH385" s="2767">
        <f t="shared" ca="1" si="719"/>
        <v>0</v>
      </c>
      <c r="BI385" s="2768">
        <f t="shared" ca="1" si="803"/>
        <v>0</v>
      </c>
    </row>
    <row r="386" spans="1:61" ht="14.5">
      <c r="A386" s="1693">
        <f t="shared" si="660"/>
        <v>383</v>
      </c>
      <c r="B386" s="616">
        <v>1</v>
      </c>
      <c r="C386" s="1695">
        <f t="shared" si="657"/>
        <v>386</v>
      </c>
      <c r="D386" s="616">
        <v>1</v>
      </c>
      <c r="E386" s="709" t="s">
        <v>512</v>
      </c>
      <c r="F386" s="1572"/>
      <c r="G386" s="519"/>
      <c r="H386" s="4"/>
      <c r="I386" s="4"/>
      <c r="J386" s="498"/>
      <c r="K386" s="3"/>
      <c r="L386" s="1736" t="s">
        <v>846</v>
      </c>
      <c r="M386" s="1740"/>
      <c r="N386" s="1740"/>
      <c r="O386" s="1736"/>
      <c r="P386" s="1736"/>
      <c r="Q386" s="1736"/>
      <c r="R386" s="1803" t="str">
        <f>CHOOSE(2, "6722000004519", "PL (5) Gross Profit ITS IIM")</f>
        <v>PL (5) Gross Profit ITS IIM</v>
      </c>
      <c r="S386" s="1741">
        <f t="shared" ref="S386:AD386" si="808">SUM(S387:S388)</f>
        <v>-103</v>
      </c>
      <c r="T386" s="1742">
        <f t="shared" si="808"/>
        <v>690</v>
      </c>
      <c r="U386" s="1742">
        <f t="shared" si="808"/>
        <v>227.60400000000001</v>
      </c>
      <c r="V386" s="1742">
        <f t="shared" si="808"/>
        <v>339.50799999999998</v>
      </c>
      <c r="W386" s="1742">
        <f t="shared" si="808"/>
        <v>488</v>
      </c>
      <c r="X386" s="1742">
        <f t="shared" si="808"/>
        <v>1467.963</v>
      </c>
      <c r="Y386" s="1742">
        <f t="shared" si="808"/>
        <v>56.046500000000002</v>
      </c>
      <c r="Z386" s="1742">
        <f t="shared" si="808"/>
        <v>782.38900000000001</v>
      </c>
      <c r="AA386" s="1742">
        <f t="shared" si="808"/>
        <v>0</v>
      </c>
      <c r="AB386" s="1742">
        <f t="shared" si="808"/>
        <v>856</v>
      </c>
      <c r="AC386" s="1742">
        <f t="shared" si="808"/>
        <v>0</v>
      </c>
      <c r="AD386" s="1742">
        <f t="shared" si="808"/>
        <v>1224.04017</v>
      </c>
      <c r="AE386" s="1742">
        <f>SUM(S386,T386,U386)</f>
        <v>814.60400000000004</v>
      </c>
      <c r="AF386" s="1742">
        <f t="shared" si="805"/>
        <v>2295.471</v>
      </c>
      <c r="AG386" s="1742">
        <f t="shared" si="806"/>
        <v>838.43550000000005</v>
      </c>
      <c r="AH386" s="1742">
        <f t="shared" si="807"/>
        <v>2080.0401700000002</v>
      </c>
      <c r="AI386" s="1742">
        <f>AE386+AF386</f>
        <v>3110.0749999999998</v>
      </c>
      <c r="AJ386" s="1742">
        <f>AH386+AG386</f>
        <v>2918.4756700000003</v>
      </c>
      <c r="AK386" s="1742">
        <f>AI386+AJ386</f>
        <v>6028.5506700000005</v>
      </c>
      <c r="AM386" s="1741">
        <f t="shared" ref="AM386:AN386" ca="1" si="809">SUM(AM387:AM388)</f>
        <v>-103</v>
      </c>
      <c r="AN386" s="1742">
        <f t="shared" ca="1" si="809"/>
        <v>220</v>
      </c>
      <c r="AO386" s="2826">
        <f t="shared" ca="1" si="653"/>
        <v>-323</v>
      </c>
      <c r="AP386" s="2827">
        <f t="shared" ca="1" si="793"/>
        <v>-0.4681818181818182</v>
      </c>
      <c r="AQ386" s="1742">
        <f t="shared" ref="AQ386" ca="1" si="810">SUM(AQ387:AQ388)</f>
        <v>155</v>
      </c>
      <c r="AR386" s="2826">
        <f t="shared" ca="1" si="692"/>
        <v>-258</v>
      </c>
      <c r="AS386" s="2827">
        <f t="shared" ca="1" si="795"/>
        <v>-0.6645161290322581</v>
      </c>
      <c r="AU386" s="1741">
        <f t="shared" ref="AU386:AV386" ca="1" si="811">SUM(AU387:AU388)</f>
        <v>-103</v>
      </c>
      <c r="AV386" s="1742">
        <f t="shared" ca="1" si="811"/>
        <v>220</v>
      </c>
      <c r="AW386" s="2826">
        <f t="shared" ca="1" si="713"/>
        <v>-323</v>
      </c>
      <c r="AX386" s="2827">
        <f t="shared" ca="1" si="797"/>
        <v>-0.4681818181818182</v>
      </c>
      <c r="AY386" s="1742">
        <f t="shared" ref="AY386" ca="1" si="812">SUM(AY387:AY388)</f>
        <v>155</v>
      </c>
      <c r="AZ386" s="2826">
        <f t="shared" ca="1" si="715"/>
        <v>-258</v>
      </c>
      <c r="BA386" s="2827">
        <f t="shared" ca="1" si="799"/>
        <v>-0.6645161290322581</v>
      </c>
      <c r="BC386" s="1741">
        <f t="shared" ref="BC386:BD386" ca="1" si="813">SUM(BC387:BC388)</f>
        <v>-103</v>
      </c>
      <c r="BD386" s="1742">
        <f t="shared" ca="1" si="813"/>
        <v>220</v>
      </c>
      <c r="BE386" s="2826">
        <f t="shared" ca="1" si="717"/>
        <v>-323</v>
      </c>
      <c r="BF386" s="2827">
        <f t="shared" ca="1" si="801"/>
        <v>-0.4681818181818182</v>
      </c>
      <c r="BG386" s="1742">
        <f t="shared" ref="BG386" ca="1" si="814">SUM(BG387:BG388)</f>
        <v>155</v>
      </c>
      <c r="BH386" s="2826">
        <f t="shared" ca="1" si="719"/>
        <v>-258</v>
      </c>
      <c r="BI386" s="2827">
        <f t="shared" ca="1" si="803"/>
        <v>-0.6645161290322581</v>
      </c>
    </row>
    <row r="387" spans="1:61" ht="14.5">
      <c r="A387" s="1693">
        <f>A385+1</f>
        <v>383</v>
      </c>
      <c r="B387" s="616">
        <v>1</v>
      </c>
      <c r="C387" s="1693">
        <f t="shared" si="657"/>
        <v>387</v>
      </c>
      <c r="D387" s="616">
        <v>1</v>
      </c>
      <c r="E387" s="709" t="s">
        <v>512</v>
      </c>
      <c r="F387" s="1572"/>
      <c r="G387" s="519"/>
      <c r="H387" s="4"/>
      <c r="I387" s="4"/>
      <c r="J387" s="27"/>
      <c r="K387" s="3"/>
      <c r="L387" s="3"/>
      <c r="M387" s="3"/>
      <c r="N387" s="3" t="s">
        <v>419</v>
      </c>
      <c r="O387" s="3"/>
      <c r="P387" s="3"/>
      <c r="Q387" s="3"/>
      <c r="R387" s="1789" t="str">
        <f>CHOOSE(2, "6722000003302", "PL (5) Gross Profit ITS MCS")</f>
        <v>PL (5) Gross Profit ITS MCS</v>
      </c>
      <c r="S387" s="1214">
        <f t="shared" ref="S387:AD387" si="815">S813+S836</f>
        <v>-103</v>
      </c>
      <c r="T387" s="1221">
        <f t="shared" si="815"/>
        <v>690</v>
      </c>
      <c r="U387" s="1221">
        <f t="shared" si="815"/>
        <v>227.60400000000001</v>
      </c>
      <c r="V387" s="1221">
        <f t="shared" si="815"/>
        <v>339.50799999999998</v>
      </c>
      <c r="W387" s="1221">
        <f t="shared" si="815"/>
        <v>488</v>
      </c>
      <c r="X387" s="1221">
        <f t="shared" si="815"/>
        <v>1467.963</v>
      </c>
      <c r="Y387" s="1221">
        <f t="shared" si="815"/>
        <v>56.046500000000002</v>
      </c>
      <c r="Z387" s="1221">
        <f t="shared" si="815"/>
        <v>782.38900000000001</v>
      </c>
      <c r="AA387" s="1221">
        <f t="shared" si="815"/>
        <v>0</v>
      </c>
      <c r="AB387" s="1221">
        <f t="shared" si="815"/>
        <v>856</v>
      </c>
      <c r="AC387" s="1221">
        <f t="shared" si="815"/>
        <v>0</v>
      </c>
      <c r="AD387" s="1221">
        <f t="shared" si="815"/>
        <v>1224.04017</v>
      </c>
      <c r="AE387" s="1221">
        <f>SUM(S387,T387,U387)</f>
        <v>814.60400000000004</v>
      </c>
      <c r="AF387" s="1221">
        <f t="shared" si="805"/>
        <v>2295.471</v>
      </c>
      <c r="AG387" s="1221">
        <f t="shared" si="806"/>
        <v>838.43550000000005</v>
      </c>
      <c r="AH387" s="1221">
        <f t="shared" si="807"/>
        <v>2080.0401700000002</v>
      </c>
      <c r="AI387" s="1221">
        <f>AE387+AF387</f>
        <v>3110.0749999999998</v>
      </c>
      <c r="AJ387" s="1221">
        <f>AH387+AG387</f>
        <v>2918.4756700000003</v>
      </c>
      <c r="AK387" s="1221">
        <f>AI387+AJ387</f>
        <v>6028.5506700000005</v>
      </c>
      <c r="AM387" s="596">
        <f ca="1">SUM((INDIRECT(AM$2&amp;(ROW())):INDIRECT(AM$3&amp;(ROW()))))</f>
        <v>-103</v>
      </c>
      <c r="AN387" s="2002">
        <f ca="1">SUM(INDIRECT(AN$1&amp;AN$2&amp;$C387):INDIRECT(AN$1&amp;AN$3&amp;$C387))</f>
        <v>220</v>
      </c>
      <c r="AO387" s="2767">
        <f t="shared" ca="1" si="653"/>
        <v>-323</v>
      </c>
      <c r="AP387" s="2768">
        <f t="shared" ca="1" si="793"/>
        <v>-0.4681818181818182</v>
      </c>
      <c r="AQ387" s="2002">
        <f ca="1">SUM(INDIRECT(AQ$1&amp;AQ$2&amp;$A387):INDIRECT(AQ$1&amp;AQ$3&amp;$A387))+SUM(INDIRECT(AQ$1&amp;AQ$2&amp;$B387):INDIRECT(AQ$1&amp;AQ$3&amp;$B387))</f>
        <v>155</v>
      </c>
      <c r="AR387" s="2767">
        <f t="shared" ca="1" si="692"/>
        <v>-258</v>
      </c>
      <c r="AS387" s="2768">
        <f t="shared" ca="1" si="795"/>
        <v>-0.6645161290322581</v>
      </c>
      <c r="AU387" s="596">
        <f ca="1">SUM((INDIRECT(AU$2&amp;(ROW())):INDIRECT(AU$3&amp;(ROW()))))</f>
        <v>-103</v>
      </c>
      <c r="AV387" s="2002">
        <f ca="1">SUM(INDIRECT(AV$1&amp;AV$2&amp;$C387):INDIRECT(AV$1&amp;AV$3&amp;$C387))</f>
        <v>220</v>
      </c>
      <c r="AW387" s="2767">
        <f t="shared" ca="1" si="713"/>
        <v>-323</v>
      </c>
      <c r="AX387" s="2768">
        <f t="shared" ca="1" si="797"/>
        <v>-0.4681818181818182</v>
      </c>
      <c r="AY387" s="2002">
        <f ca="1">SUM(INDIRECT(AY$1&amp;AY$2&amp;$A387):INDIRECT(AY$1&amp;AY$3&amp;$A387))+SUM(INDIRECT(AY$1&amp;AY$2&amp;$B387):INDIRECT(AY$1&amp;AY$3&amp;$B387))</f>
        <v>155</v>
      </c>
      <c r="AZ387" s="2767">
        <f t="shared" ca="1" si="715"/>
        <v>-258</v>
      </c>
      <c r="BA387" s="2768">
        <f t="shared" ca="1" si="799"/>
        <v>-0.6645161290322581</v>
      </c>
      <c r="BC387" s="596">
        <f ca="1">SUM((INDIRECT(BC$2&amp;(ROW())):INDIRECT(BC$3&amp;(ROW()))))</f>
        <v>-103</v>
      </c>
      <c r="BD387" s="2002">
        <f ca="1">SUM(INDIRECT(BD$1&amp;BD$2&amp;$C387):INDIRECT(BD$1&amp;BD$3&amp;$C387))</f>
        <v>220</v>
      </c>
      <c r="BE387" s="2767">
        <f t="shared" ca="1" si="717"/>
        <v>-323</v>
      </c>
      <c r="BF387" s="2768">
        <f t="shared" ca="1" si="801"/>
        <v>-0.4681818181818182</v>
      </c>
      <c r="BG387" s="2002">
        <f ca="1">SUM(INDIRECT(BG$1&amp;BG$2&amp;$A387):INDIRECT(BG$1&amp;BG$3&amp;$A387))+SUM(INDIRECT(BG$1&amp;BG$2&amp;$B387):INDIRECT(BG$1&amp;BG$3&amp;$B387))</f>
        <v>155</v>
      </c>
      <c r="BH387" s="2767">
        <f t="shared" ca="1" si="719"/>
        <v>-258</v>
      </c>
      <c r="BI387" s="2768">
        <f t="shared" ca="1" si="803"/>
        <v>-0.6645161290322581</v>
      </c>
    </row>
    <row r="388" spans="1:61" ht="14.5">
      <c r="A388" s="1693">
        <f t="shared" si="660"/>
        <v>384</v>
      </c>
      <c r="B388" s="616">
        <v>1</v>
      </c>
      <c r="C388" s="1693">
        <f t="shared" si="657"/>
        <v>388</v>
      </c>
      <c r="D388" s="616">
        <v>1</v>
      </c>
      <c r="E388" s="709" t="s">
        <v>512</v>
      </c>
      <c r="F388" s="1572"/>
      <c r="G388" s="519"/>
      <c r="H388" s="4"/>
      <c r="I388" s="4"/>
      <c r="J388" s="27"/>
      <c r="K388" s="3"/>
      <c r="L388" s="3"/>
      <c r="M388" s="3"/>
      <c r="N388" s="3" t="s">
        <v>603</v>
      </c>
      <c r="O388" s="3"/>
      <c r="P388" s="3"/>
      <c r="Q388" s="26"/>
      <c r="R388" s="1789" t="str">
        <f>CHOOSE(2, "6722000003303", "PL (5) Gross Profit ITS BPS")</f>
        <v>PL (5) Gross Profit ITS BPS</v>
      </c>
      <c r="S388" s="1214">
        <f t="shared" ref="S388:AD388" si="816">S818+S837</f>
        <v>0</v>
      </c>
      <c r="T388" s="1221">
        <f t="shared" si="816"/>
        <v>0</v>
      </c>
      <c r="U388" s="1221">
        <f t="shared" si="816"/>
        <v>0</v>
      </c>
      <c r="V388" s="1221">
        <f t="shared" si="816"/>
        <v>0</v>
      </c>
      <c r="W388" s="1221">
        <f t="shared" si="816"/>
        <v>0</v>
      </c>
      <c r="X388" s="1221">
        <f t="shared" si="816"/>
        <v>0</v>
      </c>
      <c r="Y388" s="1221">
        <f t="shared" si="816"/>
        <v>0</v>
      </c>
      <c r="Z388" s="1221">
        <f t="shared" si="816"/>
        <v>0</v>
      </c>
      <c r="AA388" s="1221">
        <f t="shared" si="816"/>
        <v>0</v>
      </c>
      <c r="AB388" s="1221">
        <f t="shared" si="816"/>
        <v>0</v>
      </c>
      <c r="AC388" s="1221">
        <f t="shared" si="816"/>
        <v>0</v>
      </c>
      <c r="AD388" s="1221">
        <f t="shared" si="816"/>
        <v>0</v>
      </c>
      <c r="AE388" s="1221">
        <f>SUM(S388,T388,U388)</f>
        <v>0</v>
      </c>
      <c r="AF388" s="1221">
        <f>SUM(V388,W388,X388)</f>
        <v>0</v>
      </c>
      <c r="AG388" s="1221">
        <f>SUM(Y388,Z388,AA388)</f>
        <v>0</v>
      </c>
      <c r="AH388" s="1221">
        <f>SUM(AB388,AC388,AD388)</f>
        <v>0</v>
      </c>
      <c r="AI388" s="1221">
        <f>AE388+AF388</f>
        <v>0</v>
      </c>
      <c r="AJ388" s="1221">
        <f>AH388+AG388</f>
        <v>0</v>
      </c>
      <c r="AK388" s="1221">
        <f>AI388+AJ388</f>
        <v>0</v>
      </c>
      <c r="AM388" s="596">
        <f ca="1">SUM((INDIRECT(AM$2&amp;(ROW())):INDIRECT(AM$3&amp;(ROW()))))</f>
        <v>0</v>
      </c>
      <c r="AN388" s="2002">
        <f ca="1">SUM(INDIRECT(AN$1&amp;AN$2&amp;$C388):INDIRECT(AN$1&amp;AN$3&amp;$C388))</f>
        <v>0</v>
      </c>
      <c r="AO388" s="2767">
        <f t="shared" ca="1" si="653"/>
        <v>0</v>
      </c>
      <c r="AP388" s="2768">
        <f t="shared" ca="1" si="793"/>
        <v>0</v>
      </c>
      <c r="AQ388" s="2002">
        <f ca="1">SUM(INDIRECT(AQ$1&amp;AQ$2&amp;$A388):INDIRECT(AQ$1&amp;AQ$3&amp;$A388))+SUM(INDIRECT(AQ$1&amp;AQ$2&amp;$B388):INDIRECT(AQ$1&amp;AQ$3&amp;$B388))</f>
        <v>0</v>
      </c>
      <c r="AR388" s="2767">
        <f t="shared" ca="1" si="692"/>
        <v>0</v>
      </c>
      <c r="AS388" s="2768">
        <f t="shared" ca="1" si="795"/>
        <v>0</v>
      </c>
      <c r="AU388" s="596">
        <f ca="1">SUM((INDIRECT(AU$2&amp;(ROW())):INDIRECT(AU$3&amp;(ROW()))))</f>
        <v>0</v>
      </c>
      <c r="AV388" s="2002">
        <f ca="1">SUM(INDIRECT(AV$1&amp;AV$2&amp;$C388):INDIRECT(AV$1&amp;AV$3&amp;$C388))</f>
        <v>0</v>
      </c>
      <c r="AW388" s="2767">
        <f t="shared" ca="1" si="713"/>
        <v>0</v>
      </c>
      <c r="AX388" s="2768">
        <f t="shared" ca="1" si="797"/>
        <v>0</v>
      </c>
      <c r="AY388" s="2002">
        <f ca="1">SUM(INDIRECT(AY$1&amp;AY$2&amp;$A388):INDIRECT(AY$1&amp;AY$3&amp;$A388))+SUM(INDIRECT(AY$1&amp;AY$2&amp;$B388):INDIRECT(AY$1&amp;AY$3&amp;$B388))</f>
        <v>0</v>
      </c>
      <c r="AZ388" s="2767">
        <f t="shared" ca="1" si="715"/>
        <v>0</v>
      </c>
      <c r="BA388" s="2768">
        <f t="shared" ca="1" si="799"/>
        <v>0</v>
      </c>
      <c r="BC388" s="596">
        <f ca="1">SUM((INDIRECT(BC$2&amp;(ROW())):INDIRECT(BC$3&amp;(ROW()))))</f>
        <v>0</v>
      </c>
      <c r="BD388" s="2002">
        <f ca="1">SUM(INDIRECT(BD$1&amp;BD$2&amp;$C388):INDIRECT(BD$1&amp;BD$3&amp;$C388))</f>
        <v>0</v>
      </c>
      <c r="BE388" s="2767">
        <f t="shared" ca="1" si="717"/>
        <v>0</v>
      </c>
      <c r="BF388" s="2768">
        <f t="shared" ca="1" si="801"/>
        <v>0</v>
      </c>
      <c r="BG388" s="2002">
        <f ca="1">SUM(INDIRECT(BG$1&amp;BG$2&amp;$A388):INDIRECT(BG$1&amp;BG$3&amp;$A388))+SUM(INDIRECT(BG$1&amp;BG$2&amp;$B388):INDIRECT(BG$1&amp;BG$3&amp;$B388))</f>
        <v>0</v>
      </c>
      <c r="BH388" s="2767">
        <f t="shared" ca="1" si="719"/>
        <v>0</v>
      </c>
      <c r="BI388" s="2768">
        <f t="shared" ca="1" si="803"/>
        <v>0</v>
      </c>
    </row>
    <row r="389" spans="1:61" ht="14.5">
      <c r="A389" s="1693">
        <f t="shared" si="660"/>
        <v>385</v>
      </c>
      <c r="B389" s="616">
        <v>1</v>
      </c>
      <c r="C389" s="1693">
        <f t="shared" si="657"/>
        <v>389</v>
      </c>
      <c r="D389" s="616">
        <v>1</v>
      </c>
      <c r="E389" s="709" t="s">
        <v>512</v>
      </c>
      <c r="F389" s="1572"/>
      <c r="G389" s="1567"/>
      <c r="H389" s="4"/>
      <c r="I389" s="4"/>
      <c r="J389" s="498"/>
      <c r="K389" s="301" t="s">
        <v>810</v>
      </c>
      <c r="L389" s="301"/>
      <c r="M389" s="66"/>
      <c r="N389" s="66"/>
      <c r="O389" s="301"/>
      <c r="P389" s="301"/>
      <c r="Q389" s="1739"/>
      <c r="R389" s="1802" t="str">
        <f>CHOOSE(2, "6722000003304", "PL (5) Gross Profit ICW")</f>
        <v>PL (5) Gross Profit ICW</v>
      </c>
      <c r="S389" s="1454">
        <f>SUM(S390:S392)</f>
        <v>0</v>
      </c>
      <c r="T389" s="1455">
        <f t="shared" ref="T389:AD389" si="817">SUM(T390:T392)</f>
        <v>0</v>
      </c>
      <c r="U389" s="1455">
        <f t="shared" si="817"/>
        <v>0</v>
      </c>
      <c r="V389" s="1455">
        <f t="shared" si="817"/>
        <v>0</v>
      </c>
      <c r="W389" s="1455">
        <f t="shared" si="817"/>
        <v>0</v>
      </c>
      <c r="X389" s="1455">
        <f t="shared" si="817"/>
        <v>0</v>
      </c>
      <c r="Y389" s="1455">
        <f t="shared" si="817"/>
        <v>0</v>
      </c>
      <c r="Z389" s="1455">
        <f t="shared" si="817"/>
        <v>0</v>
      </c>
      <c r="AA389" s="1455">
        <f t="shared" si="817"/>
        <v>66.12903</v>
      </c>
      <c r="AB389" s="1455">
        <f t="shared" si="817"/>
        <v>0</v>
      </c>
      <c r="AC389" s="1455">
        <f t="shared" si="817"/>
        <v>0</v>
      </c>
      <c r="AD389" s="1455">
        <f t="shared" si="817"/>
        <v>0</v>
      </c>
      <c r="AE389" s="1455">
        <f t="shared" ref="AE389:AK389" si="818">SUM(AE390:AE392)</f>
        <v>0</v>
      </c>
      <c r="AF389" s="1455">
        <f t="shared" si="818"/>
        <v>0</v>
      </c>
      <c r="AG389" s="1455">
        <f t="shared" si="818"/>
        <v>66.12903</v>
      </c>
      <c r="AH389" s="1455">
        <f t="shared" si="818"/>
        <v>0</v>
      </c>
      <c r="AI389" s="1455">
        <f t="shared" si="818"/>
        <v>0</v>
      </c>
      <c r="AJ389" s="1455">
        <f t="shared" si="818"/>
        <v>66.12903</v>
      </c>
      <c r="AK389" s="1455">
        <f t="shared" si="818"/>
        <v>66.12903</v>
      </c>
      <c r="AM389" s="2062">
        <f t="shared" ref="AM389:AN389" ca="1" si="819">SUM(AM390:AM392)</f>
        <v>0</v>
      </c>
      <c r="AN389" s="2063">
        <f t="shared" ca="1" si="819"/>
        <v>0</v>
      </c>
      <c r="AO389" s="2830">
        <f t="shared" ref="AO389:AO430" ca="1" si="820">AM389-AN389</f>
        <v>0</v>
      </c>
      <c r="AP389" s="2831">
        <f t="shared" ca="1" si="711"/>
        <v>0</v>
      </c>
      <c r="AQ389" s="2063">
        <f t="shared" ref="AQ389" ca="1" si="821">SUM(AQ390:AQ392)</f>
        <v>0</v>
      </c>
      <c r="AR389" s="2830">
        <f t="shared" ca="1" si="692"/>
        <v>0</v>
      </c>
      <c r="AS389" s="2831">
        <f t="shared" ca="1" si="795"/>
        <v>0</v>
      </c>
      <c r="AU389" s="2062">
        <f t="shared" ref="AU389:AV389" ca="1" si="822">SUM(AU390:AU392)</f>
        <v>0</v>
      </c>
      <c r="AV389" s="2063">
        <f t="shared" ca="1" si="822"/>
        <v>0</v>
      </c>
      <c r="AW389" s="2830">
        <f t="shared" ca="1" si="713"/>
        <v>0</v>
      </c>
      <c r="AX389" s="2831">
        <f t="shared" ca="1" si="714"/>
        <v>0</v>
      </c>
      <c r="AY389" s="2063">
        <f t="shared" ref="AY389" ca="1" si="823">SUM(AY390:AY392)</f>
        <v>0</v>
      </c>
      <c r="AZ389" s="2830">
        <f t="shared" ca="1" si="715"/>
        <v>0</v>
      </c>
      <c r="BA389" s="2831">
        <f t="shared" ca="1" si="799"/>
        <v>0</v>
      </c>
      <c r="BC389" s="2062">
        <f t="shared" ref="BC389:BD389" ca="1" si="824">SUM(BC390:BC392)</f>
        <v>0</v>
      </c>
      <c r="BD389" s="2063">
        <f t="shared" ca="1" si="824"/>
        <v>0</v>
      </c>
      <c r="BE389" s="2830">
        <f t="shared" ca="1" si="717"/>
        <v>0</v>
      </c>
      <c r="BF389" s="2831">
        <f t="shared" ca="1" si="718"/>
        <v>0</v>
      </c>
      <c r="BG389" s="2063">
        <f t="shared" ref="BG389" ca="1" si="825">SUM(BG390:BG392)</f>
        <v>0</v>
      </c>
      <c r="BH389" s="2830">
        <f t="shared" ca="1" si="719"/>
        <v>0</v>
      </c>
      <c r="BI389" s="2831">
        <f t="shared" ca="1" si="803"/>
        <v>0</v>
      </c>
    </row>
    <row r="390" spans="1:61" ht="14.5">
      <c r="A390" s="1693">
        <f t="shared" si="660"/>
        <v>386</v>
      </c>
      <c r="B390" s="616">
        <v>1</v>
      </c>
      <c r="C390" s="1693">
        <f t="shared" si="657"/>
        <v>390</v>
      </c>
      <c r="D390" s="616">
        <v>294</v>
      </c>
      <c r="E390" s="709" t="s">
        <v>512</v>
      </c>
      <c r="F390" s="1572"/>
      <c r="G390" s="519"/>
      <c r="H390" s="4"/>
      <c r="I390" s="4"/>
      <c r="J390" s="27"/>
      <c r="K390" s="3"/>
      <c r="L390" s="3" t="s">
        <v>608</v>
      </c>
      <c r="M390" s="4"/>
      <c r="N390" s="3"/>
      <c r="O390" s="3"/>
      <c r="P390" s="3"/>
      <c r="Q390" s="3"/>
      <c r="R390" s="1789" t="str">
        <f>CHOOSE(2, "6722000003305", "PL (5) Gross Profit ICW ICW-IT")</f>
        <v>PL (5) Gross Profit ICW ICW-IT</v>
      </c>
      <c r="S390" s="1214">
        <f t="shared" ref="S390:AD390" si="826">S808+S835</f>
        <v>0</v>
      </c>
      <c r="T390" s="1221">
        <f t="shared" si="826"/>
        <v>0</v>
      </c>
      <c r="U390" s="1221">
        <f t="shared" si="826"/>
        <v>0</v>
      </c>
      <c r="V390" s="1221">
        <f t="shared" si="826"/>
        <v>0</v>
      </c>
      <c r="W390" s="1221">
        <f t="shared" si="826"/>
        <v>0</v>
      </c>
      <c r="X390" s="1221">
        <f t="shared" si="826"/>
        <v>0</v>
      </c>
      <c r="Y390" s="1221">
        <f t="shared" si="826"/>
        <v>0</v>
      </c>
      <c r="Z390" s="1221">
        <f t="shared" si="826"/>
        <v>0</v>
      </c>
      <c r="AA390" s="1221">
        <f t="shared" si="826"/>
        <v>66.12903</v>
      </c>
      <c r="AB390" s="1221">
        <f t="shared" si="826"/>
        <v>0</v>
      </c>
      <c r="AC390" s="1221">
        <f t="shared" si="826"/>
        <v>0</v>
      </c>
      <c r="AD390" s="1221">
        <f t="shared" si="826"/>
        <v>0</v>
      </c>
      <c r="AE390" s="1221">
        <f>SUM(S390,T390,U390)</f>
        <v>0</v>
      </c>
      <c r="AF390" s="1221">
        <f>SUM(V390,W390,X390)</f>
        <v>0</v>
      </c>
      <c r="AG390" s="1221">
        <f>SUM(Y390,Z390,AA390)</f>
        <v>66.12903</v>
      </c>
      <c r="AH390" s="1221">
        <f>SUM(AB390,AC390,AD390)</f>
        <v>0</v>
      </c>
      <c r="AI390" s="1221">
        <f>AE390+AF390</f>
        <v>0</v>
      </c>
      <c r="AJ390" s="1221">
        <f>AH390+AG390</f>
        <v>66.12903</v>
      </c>
      <c r="AK390" s="1221">
        <f>AI390+AJ390</f>
        <v>66.12903</v>
      </c>
      <c r="AM390" s="596">
        <f ca="1">SUM((INDIRECT(AM$2&amp;(ROW())):INDIRECT(AM$3&amp;(ROW()))))</f>
        <v>0</v>
      </c>
      <c r="AN390" s="2002">
        <f ca="1">SUM(INDIRECT(AN$1&amp;AN$2&amp;$C390):INDIRECT(AN$1&amp;AN$3&amp;$C390))</f>
        <v>0</v>
      </c>
      <c r="AO390" s="2767">
        <f t="shared" ca="1" si="820"/>
        <v>0</v>
      </c>
      <c r="AP390" s="2768">
        <f t="shared" ca="1" si="711"/>
        <v>0</v>
      </c>
      <c r="AQ390" s="2002">
        <f ca="1">SUM(INDIRECT(AQ$1&amp;AQ$2&amp;$A390):INDIRECT(AQ$1&amp;AQ$3&amp;$A390))+SUM(INDIRECT(AQ$1&amp;AQ$2&amp;$B390):INDIRECT(AQ$1&amp;AQ$3&amp;$B390))</f>
        <v>0</v>
      </c>
      <c r="AR390" s="2767">
        <f t="shared" ca="1" si="692"/>
        <v>0</v>
      </c>
      <c r="AS390" s="2768">
        <f t="shared" ca="1" si="795"/>
        <v>0</v>
      </c>
      <c r="AU390" s="596">
        <f ca="1">SUM((INDIRECT(AU$2&amp;(ROW())):INDIRECT(AU$3&amp;(ROW()))))</f>
        <v>0</v>
      </c>
      <c r="AV390" s="2002">
        <f ca="1">SUM(INDIRECT(AV$1&amp;AV$2&amp;$C390):INDIRECT(AV$1&amp;AV$3&amp;$C390))</f>
        <v>0</v>
      </c>
      <c r="AW390" s="2767">
        <f t="shared" ca="1" si="713"/>
        <v>0</v>
      </c>
      <c r="AX390" s="2768">
        <f t="shared" ca="1" si="714"/>
        <v>0</v>
      </c>
      <c r="AY390" s="2002">
        <f ca="1">SUM(INDIRECT(AY$1&amp;AY$2&amp;$A390):INDIRECT(AY$1&amp;AY$3&amp;$A390))+SUM(INDIRECT(AY$1&amp;AY$2&amp;$B390):INDIRECT(AY$1&amp;AY$3&amp;$B390))</f>
        <v>0</v>
      </c>
      <c r="AZ390" s="2767">
        <f t="shared" ca="1" si="715"/>
        <v>0</v>
      </c>
      <c r="BA390" s="2768">
        <f t="shared" ca="1" si="799"/>
        <v>0</v>
      </c>
      <c r="BC390" s="596">
        <f ca="1">SUM((INDIRECT(BC$2&amp;(ROW())):INDIRECT(BC$3&amp;(ROW()))))</f>
        <v>0</v>
      </c>
      <c r="BD390" s="2002">
        <f ca="1">SUM(INDIRECT(BD$1&amp;BD$2&amp;$C390):INDIRECT(BD$1&amp;BD$3&amp;$C390))</f>
        <v>0</v>
      </c>
      <c r="BE390" s="2767">
        <f t="shared" ca="1" si="717"/>
        <v>0</v>
      </c>
      <c r="BF390" s="2768">
        <f t="shared" ca="1" si="718"/>
        <v>0</v>
      </c>
      <c r="BG390" s="2002">
        <f ca="1">SUM(INDIRECT(BG$1&amp;BG$2&amp;$A390):INDIRECT(BG$1&amp;BG$3&amp;$A390))+SUM(INDIRECT(BG$1&amp;BG$2&amp;$B390):INDIRECT(BG$1&amp;BG$3&amp;$B390))</f>
        <v>0</v>
      </c>
      <c r="BH390" s="2767">
        <f t="shared" ca="1" si="719"/>
        <v>0</v>
      </c>
      <c r="BI390" s="2768">
        <f t="shared" ca="1" si="803"/>
        <v>0</v>
      </c>
    </row>
    <row r="391" spans="1:61" ht="14.5">
      <c r="A391" s="1693">
        <f t="shared" si="660"/>
        <v>387</v>
      </c>
      <c r="B391" s="616">
        <v>1</v>
      </c>
      <c r="C391" s="1693">
        <f t="shared" si="657"/>
        <v>391</v>
      </c>
      <c r="D391" s="616">
        <f>D390+1</f>
        <v>295</v>
      </c>
      <c r="E391" s="709" t="s">
        <v>512</v>
      </c>
      <c r="F391" s="1572"/>
      <c r="G391" s="519"/>
      <c r="H391" s="4"/>
      <c r="I391" s="4"/>
      <c r="J391" s="27"/>
      <c r="K391" s="3"/>
      <c r="L391" s="3" t="s">
        <v>669</v>
      </c>
      <c r="M391" s="4"/>
      <c r="N391" s="725"/>
      <c r="O391" s="3"/>
      <c r="P391" s="3"/>
      <c r="Q391" s="3"/>
      <c r="R391" s="1789" t="str">
        <f>CHOOSE(2, "6722000003306", "PL (5) Gross Profit ICW ICW-WK")</f>
        <v>PL (5) Gross Profit ICW ICW-WK</v>
      </c>
      <c r="S391" s="1214">
        <f t="shared" ref="S391:AD391" si="827">S823+S838</f>
        <v>0</v>
      </c>
      <c r="T391" s="1221">
        <f t="shared" si="827"/>
        <v>0</v>
      </c>
      <c r="U391" s="1221">
        <f t="shared" si="827"/>
        <v>0</v>
      </c>
      <c r="V391" s="1221">
        <f t="shared" si="827"/>
        <v>0</v>
      </c>
      <c r="W391" s="1221">
        <f t="shared" si="827"/>
        <v>0</v>
      </c>
      <c r="X391" s="1221">
        <f t="shared" si="827"/>
        <v>0</v>
      </c>
      <c r="Y391" s="1221">
        <f t="shared" si="827"/>
        <v>0</v>
      </c>
      <c r="Z391" s="1221">
        <f t="shared" si="827"/>
        <v>0</v>
      </c>
      <c r="AA391" s="1221">
        <f t="shared" si="827"/>
        <v>0</v>
      </c>
      <c r="AB391" s="1221">
        <f t="shared" si="827"/>
        <v>0</v>
      </c>
      <c r="AC391" s="1221">
        <f t="shared" si="827"/>
        <v>0</v>
      </c>
      <c r="AD391" s="1221">
        <f t="shared" si="827"/>
        <v>0</v>
      </c>
      <c r="AE391" s="1221">
        <f>SUM(S391,T391,U391)</f>
        <v>0</v>
      </c>
      <c r="AF391" s="1221">
        <f>SUM(V391,W391,X391)</f>
        <v>0</v>
      </c>
      <c r="AG391" s="1221">
        <f>SUM(Y391,Z391,AA391)</f>
        <v>0</v>
      </c>
      <c r="AH391" s="1221">
        <f>SUM(AB391,AC391,AD391)</f>
        <v>0</v>
      </c>
      <c r="AI391" s="1221">
        <f>AE391+AF391</f>
        <v>0</v>
      </c>
      <c r="AJ391" s="1221">
        <f>AH391+AG391</f>
        <v>0</v>
      </c>
      <c r="AK391" s="1221">
        <f>AI391+AJ391</f>
        <v>0</v>
      </c>
      <c r="AM391" s="596">
        <f ca="1">SUM((INDIRECT(AM$2&amp;(ROW())):INDIRECT(AM$3&amp;(ROW()))))</f>
        <v>0</v>
      </c>
      <c r="AN391" s="2002">
        <f ca="1">SUM(INDIRECT(AN$1&amp;AN$2&amp;$C391):INDIRECT(AN$1&amp;AN$3&amp;$C391))</f>
        <v>0</v>
      </c>
      <c r="AO391" s="2767">
        <f t="shared" ca="1" si="820"/>
        <v>0</v>
      </c>
      <c r="AP391" s="2768">
        <f t="shared" ca="1" si="711"/>
        <v>0</v>
      </c>
      <c r="AQ391" s="2002">
        <f ca="1">SUM(INDIRECT(AQ$1&amp;AQ$2&amp;$A391):INDIRECT(AQ$1&amp;AQ$3&amp;$A391))+SUM(INDIRECT(AQ$1&amp;AQ$2&amp;$B391):INDIRECT(AQ$1&amp;AQ$3&amp;$B391))</f>
        <v>0</v>
      </c>
      <c r="AR391" s="2767">
        <f t="shared" ca="1" si="692"/>
        <v>0</v>
      </c>
      <c r="AS391" s="2768">
        <f t="shared" ca="1" si="795"/>
        <v>0</v>
      </c>
      <c r="AU391" s="596">
        <f ca="1">SUM((INDIRECT(AU$2&amp;(ROW())):INDIRECT(AU$3&amp;(ROW()))))</f>
        <v>0</v>
      </c>
      <c r="AV391" s="2002">
        <f ca="1">SUM(INDIRECT(AV$1&amp;AV$2&amp;$C391):INDIRECT(AV$1&amp;AV$3&amp;$C391))</f>
        <v>0</v>
      </c>
      <c r="AW391" s="2767">
        <f t="shared" ca="1" si="713"/>
        <v>0</v>
      </c>
      <c r="AX391" s="2768">
        <f t="shared" ca="1" si="714"/>
        <v>0</v>
      </c>
      <c r="AY391" s="2002">
        <f ca="1">SUM(INDIRECT(AY$1&amp;AY$2&amp;$A391):INDIRECT(AY$1&amp;AY$3&amp;$A391))+SUM(INDIRECT(AY$1&amp;AY$2&amp;$B391):INDIRECT(AY$1&amp;AY$3&amp;$B391))</f>
        <v>0</v>
      </c>
      <c r="AZ391" s="2767">
        <f t="shared" ca="1" si="715"/>
        <v>0</v>
      </c>
      <c r="BA391" s="2768">
        <f t="shared" ca="1" si="799"/>
        <v>0</v>
      </c>
      <c r="BC391" s="596">
        <f ca="1">SUM((INDIRECT(BC$2&amp;(ROW())):INDIRECT(BC$3&amp;(ROW()))))</f>
        <v>0</v>
      </c>
      <c r="BD391" s="2002">
        <f ca="1">SUM(INDIRECT(BD$1&amp;BD$2&amp;$C391):INDIRECT(BD$1&amp;BD$3&amp;$C391))</f>
        <v>0</v>
      </c>
      <c r="BE391" s="2767">
        <f t="shared" ca="1" si="717"/>
        <v>0</v>
      </c>
      <c r="BF391" s="2768">
        <f t="shared" ca="1" si="718"/>
        <v>0</v>
      </c>
      <c r="BG391" s="2002">
        <f ca="1">SUM(INDIRECT(BG$1&amp;BG$2&amp;$A391):INDIRECT(BG$1&amp;BG$3&amp;$A391))+SUM(INDIRECT(BG$1&amp;BG$2&amp;$B391):INDIRECT(BG$1&amp;BG$3&amp;$B391))</f>
        <v>0</v>
      </c>
      <c r="BH391" s="2767">
        <f t="shared" ca="1" si="719"/>
        <v>0</v>
      </c>
      <c r="BI391" s="2768">
        <f t="shared" ca="1" si="803"/>
        <v>0</v>
      </c>
    </row>
    <row r="392" spans="1:61" ht="14.5">
      <c r="A392" s="1693">
        <f t="shared" si="660"/>
        <v>388</v>
      </c>
      <c r="B392" s="616">
        <v>1</v>
      </c>
      <c r="C392" s="1693">
        <f t="shared" si="657"/>
        <v>392</v>
      </c>
      <c r="D392" s="616">
        <v>1</v>
      </c>
      <c r="E392" s="709" t="s">
        <v>512</v>
      </c>
      <c r="F392" s="1572"/>
      <c r="G392" s="519"/>
      <c r="H392" s="4"/>
      <c r="I392" s="4"/>
      <c r="J392" s="27"/>
      <c r="K392" s="3"/>
      <c r="L392" s="3" t="s">
        <v>609</v>
      </c>
      <c r="M392" s="4"/>
      <c r="N392" s="3"/>
      <c r="O392" s="3"/>
      <c r="P392" s="3"/>
      <c r="Q392" s="3"/>
      <c r="R392" s="1789" t="str">
        <f>CHOOSE(2, "6722000003307", "PL (5) Gross Profit ICW ICW-P")</f>
        <v>PL (5) Gross Profit ICW ICW-P</v>
      </c>
      <c r="S392" s="1214">
        <f t="shared" ref="S392:AD392" si="828">S828+S839</f>
        <v>0</v>
      </c>
      <c r="T392" s="1221">
        <f t="shared" si="828"/>
        <v>0</v>
      </c>
      <c r="U392" s="1221">
        <f t="shared" si="828"/>
        <v>0</v>
      </c>
      <c r="V392" s="1221">
        <f t="shared" si="828"/>
        <v>0</v>
      </c>
      <c r="W392" s="1221">
        <f t="shared" si="828"/>
        <v>0</v>
      </c>
      <c r="X392" s="1221">
        <f t="shared" si="828"/>
        <v>0</v>
      </c>
      <c r="Y392" s="1221">
        <f t="shared" si="828"/>
        <v>0</v>
      </c>
      <c r="Z392" s="1221">
        <f t="shared" si="828"/>
        <v>0</v>
      </c>
      <c r="AA392" s="1221">
        <f t="shared" si="828"/>
        <v>0</v>
      </c>
      <c r="AB392" s="1221">
        <f t="shared" si="828"/>
        <v>0</v>
      </c>
      <c r="AC392" s="1221">
        <f t="shared" si="828"/>
        <v>0</v>
      </c>
      <c r="AD392" s="1221">
        <f t="shared" si="828"/>
        <v>0</v>
      </c>
      <c r="AE392" s="1221">
        <f>SUM(S392,T392,U392)</f>
        <v>0</v>
      </c>
      <c r="AF392" s="1221">
        <f t="shared" si="805"/>
        <v>0</v>
      </c>
      <c r="AG392" s="1221">
        <f t="shared" si="806"/>
        <v>0</v>
      </c>
      <c r="AH392" s="1221">
        <f t="shared" si="807"/>
        <v>0</v>
      </c>
      <c r="AI392" s="1221">
        <f>AE392+AF392</f>
        <v>0</v>
      </c>
      <c r="AJ392" s="1221">
        <f>AH392+AG392</f>
        <v>0</v>
      </c>
      <c r="AK392" s="1221">
        <f>AI392+AJ392</f>
        <v>0</v>
      </c>
      <c r="AM392" s="596">
        <f ca="1">SUM((INDIRECT(AM$2&amp;(ROW())):INDIRECT(AM$3&amp;(ROW()))))</f>
        <v>0</v>
      </c>
      <c r="AN392" s="2002">
        <f ca="1">SUM(INDIRECT(AN$1&amp;AN$2&amp;$C392):INDIRECT(AN$1&amp;AN$3&amp;$C392))</f>
        <v>0</v>
      </c>
      <c r="AO392" s="2767">
        <f t="shared" ca="1" si="820"/>
        <v>0</v>
      </c>
      <c r="AP392" s="2768">
        <f t="shared" ca="1" si="711"/>
        <v>0</v>
      </c>
      <c r="AQ392" s="2002">
        <f ca="1">SUM(INDIRECT(AQ$1&amp;AQ$2&amp;$A392):INDIRECT(AQ$1&amp;AQ$3&amp;$A392))+SUM(INDIRECT(AQ$1&amp;AQ$2&amp;$B392):INDIRECT(AQ$1&amp;AQ$3&amp;$B392))</f>
        <v>0</v>
      </c>
      <c r="AR392" s="2767">
        <f t="shared" ca="1" si="692"/>
        <v>0</v>
      </c>
      <c r="AS392" s="2768">
        <f t="shared" ca="1" si="795"/>
        <v>0</v>
      </c>
      <c r="AU392" s="596">
        <f ca="1">SUM((INDIRECT(AU$2&amp;(ROW())):INDIRECT(AU$3&amp;(ROW()))))</f>
        <v>0</v>
      </c>
      <c r="AV392" s="2002">
        <f ca="1">SUM(INDIRECT(AV$1&amp;AV$2&amp;$C392):INDIRECT(AV$1&amp;AV$3&amp;$C392))</f>
        <v>0</v>
      </c>
      <c r="AW392" s="2767">
        <f t="shared" ca="1" si="713"/>
        <v>0</v>
      </c>
      <c r="AX392" s="2768">
        <f t="shared" ca="1" si="714"/>
        <v>0</v>
      </c>
      <c r="AY392" s="2002">
        <f ca="1">SUM(INDIRECT(AY$1&amp;AY$2&amp;$A392):INDIRECT(AY$1&amp;AY$3&amp;$A392))+SUM(INDIRECT(AY$1&amp;AY$2&amp;$B392):INDIRECT(AY$1&amp;AY$3&amp;$B392))</f>
        <v>0</v>
      </c>
      <c r="AZ392" s="2767">
        <f t="shared" ca="1" si="715"/>
        <v>0</v>
      </c>
      <c r="BA392" s="2768">
        <f t="shared" ca="1" si="799"/>
        <v>0</v>
      </c>
      <c r="BC392" s="596">
        <f ca="1">SUM((INDIRECT(BC$2&amp;(ROW())):INDIRECT(BC$3&amp;(ROW()))))</f>
        <v>0</v>
      </c>
      <c r="BD392" s="2002">
        <f ca="1">SUM(INDIRECT(BD$1&amp;BD$2&amp;$C392):INDIRECT(BD$1&amp;BD$3&amp;$C392))</f>
        <v>0</v>
      </c>
      <c r="BE392" s="2767">
        <f t="shared" ca="1" si="717"/>
        <v>0</v>
      </c>
      <c r="BF392" s="2768">
        <f t="shared" ca="1" si="718"/>
        <v>0</v>
      </c>
      <c r="BG392" s="2002">
        <f ca="1">SUM(INDIRECT(BG$1&amp;BG$2&amp;$A392):INDIRECT(BG$1&amp;BG$3&amp;$A392))+SUM(INDIRECT(BG$1&amp;BG$2&amp;$B392):INDIRECT(BG$1&amp;BG$3&amp;$B392))</f>
        <v>0</v>
      </c>
      <c r="BH392" s="2767">
        <f t="shared" ca="1" si="719"/>
        <v>0</v>
      </c>
      <c r="BI392" s="2768">
        <f t="shared" ca="1" si="803"/>
        <v>0</v>
      </c>
    </row>
    <row r="393" spans="1:61" ht="14.5">
      <c r="A393" s="1693">
        <f t="shared" si="660"/>
        <v>389</v>
      </c>
      <c r="B393" s="616">
        <v>1</v>
      </c>
      <c r="C393" s="1695">
        <f t="shared" si="657"/>
        <v>393</v>
      </c>
      <c r="D393" s="616">
        <v>1</v>
      </c>
      <c r="E393" s="709" t="s">
        <v>512</v>
      </c>
      <c r="F393" s="1572"/>
      <c r="G393" s="4"/>
      <c r="H393" s="4"/>
      <c r="I393" s="4"/>
      <c r="J393" s="316" t="s">
        <v>29</v>
      </c>
      <c r="K393" s="313"/>
      <c r="L393" s="313"/>
      <c r="M393" s="313"/>
      <c r="N393" s="313"/>
      <c r="O393" s="313"/>
      <c r="P393" s="313"/>
      <c r="Q393" s="471"/>
      <c r="R393" s="1801" t="str">
        <f>CHOOSE(2, "6722000003308", "PL (5) SGA Expenses")</f>
        <v>PL (5) SGA Expenses</v>
      </c>
      <c r="S393" s="1260">
        <f t="shared" ref="S393:AD393" si="829">SUM(S394:S395,S396)</f>
        <v>574.69983016949448</v>
      </c>
      <c r="T393" s="1186">
        <f t="shared" si="829"/>
        <v>613.76469630330962</v>
      </c>
      <c r="U393" s="1186">
        <f t="shared" si="829"/>
        <v>601.18222404925928</v>
      </c>
      <c r="V393" s="1186">
        <f t="shared" si="829"/>
        <v>577.80685267039894</v>
      </c>
      <c r="W393" s="1186">
        <f t="shared" si="829"/>
        <v>598.10286758796076</v>
      </c>
      <c r="X393" s="1186">
        <f t="shared" si="829"/>
        <v>323.29157525257432</v>
      </c>
      <c r="Y393" s="1186">
        <f t="shared" si="829"/>
        <v>346.63084904092517</v>
      </c>
      <c r="Z393" s="1186">
        <f t="shared" si="829"/>
        <v>528.75329521341462</v>
      </c>
      <c r="AA393" s="1186">
        <f t="shared" si="829"/>
        <v>622.16449406846527</v>
      </c>
      <c r="AB393" s="1186">
        <f t="shared" si="829"/>
        <v>438.79688195561255</v>
      </c>
      <c r="AC393" s="1186">
        <f t="shared" si="829"/>
        <v>452.06181923785152</v>
      </c>
      <c r="AD393" s="1186">
        <f t="shared" si="829"/>
        <v>394.47895792204071</v>
      </c>
      <c r="AE393" s="554">
        <f t="shared" ref="AE393:AK393" si="830">SUM(AE394:AE395,AE396)</f>
        <v>1789.6467505220635</v>
      </c>
      <c r="AF393" s="89">
        <f t="shared" si="830"/>
        <v>1499.201295510934</v>
      </c>
      <c r="AG393" s="89">
        <f t="shared" si="830"/>
        <v>1497.5486383228049</v>
      </c>
      <c r="AH393" s="89">
        <f t="shared" si="830"/>
        <v>1285.3376591155047</v>
      </c>
      <c r="AI393" s="89">
        <f t="shared" si="830"/>
        <v>3288.8480460329974</v>
      </c>
      <c r="AJ393" s="89">
        <f t="shared" si="830"/>
        <v>2782.8862974383096</v>
      </c>
      <c r="AK393" s="89">
        <f t="shared" si="830"/>
        <v>6071.7343434713084</v>
      </c>
      <c r="AM393" s="2059">
        <f ca="1">SUM((INDIRECT(AM$2&amp;(ROW())):INDIRECT(AM$3&amp;(ROW()))))</f>
        <v>574.69983016949448</v>
      </c>
      <c r="AN393" s="2060">
        <f ca="1">SUM(INDIRECT(AN$1&amp;AN$2&amp;$C393):INDIRECT(AN$1&amp;AN$3&amp;$C393))</f>
        <v>1070.064714813082</v>
      </c>
      <c r="AO393" s="2819">
        <f t="shared" ca="1" si="820"/>
        <v>-495.36488464358752</v>
      </c>
      <c r="AP393" s="2820">
        <f t="shared" ca="1" si="711"/>
        <v>0.53707016240590888</v>
      </c>
      <c r="AQ393" s="2832">
        <f t="shared" ref="AQ393" ca="1" si="831">SUM(AQ394:AQ395,AQ396)</f>
        <v>1694</v>
      </c>
      <c r="AR393" s="2819">
        <f t="shared" ca="1" si="692"/>
        <v>-1119.3001698305056</v>
      </c>
      <c r="AS393" s="2820">
        <f t="shared" ca="1" si="795"/>
        <v>0.33925609809297197</v>
      </c>
      <c r="AU393" s="2059">
        <f ca="1">SUM((INDIRECT(AU$2&amp;(ROW())):INDIRECT(AU$3&amp;(ROW()))))</f>
        <v>574.69983016949448</v>
      </c>
      <c r="AV393" s="2060">
        <f ca="1">SUM(INDIRECT(AV$1&amp;AV$2&amp;$C393):INDIRECT(AV$1&amp;AV$3&amp;$C393))</f>
        <v>1070.064714813082</v>
      </c>
      <c r="AW393" s="2819">
        <f t="shared" ca="1" si="713"/>
        <v>-495.36488464358752</v>
      </c>
      <c r="AX393" s="2820">
        <f t="shared" ca="1" si="714"/>
        <v>0.53707016240590888</v>
      </c>
      <c r="AY393" s="2821">
        <f ca="1">SUM(INDIRECT(AY$1&amp;AY$2&amp;$A393):INDIRECT(AY$1&amp;AY$3&amp;$A393))+SUM(INDIRECT(AY$1&amp;AY$2&amp;$B393):INDIRECT(AY$1&amp;AY$3&amp;$B393))</f>
        <v>1694</v>
      </c>
      <c r="AZ393" s="2819">
        <f t="shared" ca="1" si="715"/>
        <v>-1119.3001698305056</v>
      </c>
      <c r="BA393" s="2820">
        <f t="shared" ca="1" si="799"/>
        <v>0.33925609809297197</v>
      </c>
      <c r="BC393" s="2059">
        <f ca="1">SUM((INDIRECT(BC$2&amp;(ROW())):INDIRECT(BC$3&amp;(ROW()))))</f>
        <v>574.69983016949448</v>
      </c>
      <c r="BD393" s="2060">
        <f ca="1">SUM(INDIRECT(BD$1&amp;BD$2&amp;$C393):INDIRECT(BD$1&amp;BD$3&amp;$C393))</f>
        <v>1070.064714813082</v>
      </c>
      <c r="BE393" s="2819">
        <f t="shared" ca="1" si="717"/>
        <v>-495.36488464358752</v>
      </c>
      <c r="BF393" s="2820">
        <f t="shared" ca="1" si="718"/>
        <v>0.53707016240590888</v>
      </c>
      <c r="BG393" s="2821">
        <f ca="1">SUM(INDIRECT(BG$1&amp;BG$2&amp;$A393):INDIRECT(BG$1&amp;BG$3&amp;$A393))+SUM(INDIRECT(BG$1&amp;BG$2&amp;$B393):INDIRECT(BG$1&amp;BG$3&amp;$B393))</f>
        <v>1694</v>
      </c>
      <c r="BH393" s="2819">
        <f t="shared" ca="1" si="719"/>
        <v>-1119.3001698305056</v>
      </c>
      <c r="BI393" s="2820">
        <f t="shared" ca="1" si="803"/>
        <v>0.33925609809297197</v>
      </c>
    </row>
    <row r="394" spans="1:61" ht="14.5">
      <c r="A394" s="1693">
        <f t="shared" si="660"/>
        <v>390</v>
      </c>
      <c r="B394" s="616">
        <v>1</v>
      </c>
      <c r="C394" s="1693">
        <f t="shared" si="657"/>
        <v>394</v>
      </c>
      <c r="D394" s="616">
        <v>297</v>
      </c>
      <c r="E394" s="709" t="s">
        <v>512</v>
      </c>
      <c r="F394" s="1572"/>
      <c r="G394" s="4"/>
      <c r="H394" s="4"/>
      <c r="I394" s="4"/>
      <c r="J394" s="27"/>
      <c r="K394" s="36"/>
      <c r="L394" s="721" t="s">
        <v>87</v>
      </c>
      <c r="M394" s="722"/>
      <c r="N394" s="294"/>
      <c r="O394" s="294"/>
      <c r="P394" s="294"/>
      <c r="Q394" s="1732"/>
      <c r="R394" s="1790" t="str">
        <f>CHOOSE(2, "6722000003309", "PL (5) SGA Expenses Variable Expenses")</f>
        <v>PL (5) SGA Expenses Variable Expenses</v>
      </c>
      <c r="S394" s="1729">
        <v>0.19019755387360784</v>
      </c>
      <c r="T394" s="1730"/>
      <c r="U394" s="1730"/>
      <c r="V394" s="1730"/>
      <c r="W394" s="1730">
        <v>0</v>
      </c>
      <c r="X394" s="1730">
        <v>0</v>
      </c>
      <c r="Y394" s="1730">
        <v>0</v>
      </c>
      <c r="Z394" s="1730">
        <v>0</v>
      </c>
      <c r="AA394" s="1730">
        <v>0</v>
      </c>
      <c r="AB394" s="1730">
        <v>0</v>
      </c>
      <c r="AC394" s="1730">
        <v>0</v>
      </c>
      <c r="AD394" s="1730">
        <v>0</v>
      </c>
      <c r="AE394" s="1731">
        <f t="shared" ref="AE394:AE405" si="832">SUM(S394,T394,U394)</f>
        <v>0.19019755387360784</v>
      </c>
      <c r="AF394" s="1731">
        <f>SUM(V394,W394,X394)</f>
        <v>0</v>
      </c>
      <c r="AG394" s="1731">
        <f t="shared" ref="AG394:AG405" si="833">SUM(Y394,Z394,AA394)</f>
        <v>0</v>
      </c>
      <c r="AH394" s="1731">
        <f t="shared" ref="AH394:AH405" si="834">SUM(AB394,AC394,AD394)</f>
        <v>0</v>
      </c>
      <c r="AI394" s="1731">
        <f>AE394+AF394</f>
        <v>0.19019755387360784</v>
      </c>
      <c r="AJ394" s="1731">
        <f>AH394+AG394</f>
        <v>0</v>
      </c>
      <c r="AK394" s="1731">
        <f>AI394+AJ394</f>
        <v>0.19019755387360784</v>
      </c>
      <c r="AM394" s="596">
        <f ca="1">SUM((INDIRECT(AM$2&amp;(ROW())):INDIRECT(AM$3&amp;(ROW()))))</f>
        <v>0.19019755387360784</v>
      </c>
      <c r="AN394" s="2002">
        <f ca="1">SUM(INDIRECT(AN$1&amp;AN$2&amp;$C394):INDIRECT(AN$1&amp;AN$3&amp;$C394))</f>
        <v>444.80401899369298</v>
      </c>
      <c r="AO394" s="2767">
        <f t="shared" ca="1" si="820"/>
        <v>-444.61382143981939</v>
      </c>
      <c r="AP394" s="2768">
        <f t="shared" ca="1" si="711"/>
        <v>4.275985507143197E-4</v>
      </c>
      <c r="AQ394" s="2002">
        <f ca="1">SUM(INDIRECT(AQ$1&amp;AQ$2&amp;$A394):INDIRECT(AQ$1&amp;AQ$3&amp;$A394))+SUM(INDIRECT(AQ$1&amp;AQ$2&amp;$B394):INDIRECT(AQ$1&amp;AQ$3&amp;$B394))</f>
        <v>30</v>
      </c>
      <c r="AR394" s="2767">
        <f t="shared" ca="1" si="692"/>
        <v>-29.80980244612639</v>
      </c>
      <c r="AS394" s="2768">
        <f t="shared" ca="1" si="795"/>
        <v>6.3399184624535945E-3</v>
      </c>
      <c r="AU394" s="596">
        <f ca="1">SUM((INDIRECT(AU$2&amp;(ROW())):INDIRECT(AU$3&amp;(ROW()))))</f>
        <v>0.19019755387360784</v>
      </c>
      <c r="AV394" s="2002">
        <f ca="1">SUM(INDIRECT(AV$1&amp;AV$2&amp;$C394):INDIRECT(AV$1&amp;AV$3&amp;$C394))</f>
        <v>444.80401899369298</v>
      </c>
      <c r="AW394" s="2767">
        <f t="shared" ca="1" si="713"/>
        <v>-444.61382143981939</v>
      </c>
      <c r="AX394" s="2768">
        <f t="shared" ca="1" si="714"/>
        <v>4.275985507143197E-4</v>
      </c>
      <c r="AY394" s="2002">
        <f ca="1">SUM(INDIRECT(AY$1&amp;AY$2&amp;$A394):INDIRECT(AY$1&amp;AY$3&amp;$A394))+SUM(INDIRECT(AY$1&amp;AY$2&amp;$B394):INDIRECT(AY$1&amp;AY$3&amp;$B394))</f>
        <v>30</v>
      </c>
      <c r="AZ394" s="2767">
        <f t="shared" ca="1" si="715"/>
        <v>-29.80980244612639</v>
      </c>
      <c r="BA394" s="2768">
        <f t="shared" ca="1" si="799"/>
        <v>6.3399184624535945E-3</v>
      </c>
      <c r="BC394" s="596">
        <f ca="1">SUM((INDIRECT(BC$2&amp;(ROW())):INDIRECT(BC$3&amp;(ROW()))))</f>
        <v>0.19019755387360784</v>
      </c>
      <c r="BD394" s="2002">
        <f ca="1">SUM(INDIRECT(BD$1&amp;BD$2&amp;$C394):INDIRECT(BD$1&amp;BD$3&amp;$C394))</f>
        <v>444.80401899369298</v>
      </c>
      <c r="BE394" s="2767">
        <f t="shared" ca="1" si="717"/>
        <v>-444.61382143981939</v>
      </c>
      <c r="BF394" s="2768">
        <f t="shared" ca="1" si="718"/>
        <v>4.275985507143197E-4</v>
      </c>
      <c r="BG394" s="2002">
        <f ca="1">SUM(INDIRECT(BG$1&amp;BG$2&amp;$A394):INDIRECT(BG$1&amp;BG$3&amp;$A394))+SUM(INDIRECT(BG$1&amp;BG$2&amp;$B394):INDIRECT(BG$1&amp;BG$3&amp;$B394))</f>
        <v>30</v>
      </c>
      <c r="BH394" s="2767">
        <f t="shared" ca="1" si="719"/>
        <v>-29.80980244612639</v>
      </c>
      <c r="BI394" s="2768">
        <f t="shared" ca="1" si="803"/>
        <v>6.3399184624535945E-3</v>
      </c>
    </row>
    <row r="395" spans="1:61" ht="14.5">
      <c r="A395" s="1693">
        <f t="shared" si="660"/>
        <v>391</v>
      </c>
      <c r="B395" s="616">
        <v>1</v>
      </c>
      <c r="C395" s="1693">
        <f t="shared" si="657"/>
        <v>395</v>
      </c>
      <c r="D395" s="616">
        <f>D394+1</f>
        <v>298</v>
      </c>
      <c r="E395" s="709" t="s">
        <v>512</v>
      </c>
      <c r="F395" s="1572"/>
      <c r="G395" s="4"/>
      <c r="H395" s="4"/>
      <c r="I395" s="4"/>
      <c r="J395" s="27"/>
      <c r="K395" s="36"/>
      <c r="L395" s="724" t="s">
        <v>88</v>
      </c>
      <c r="M395" s="4"/>
      <c r="N395" s="3"/>
      <c r="O395" s="3"/>
      <c r="P395" s="3"/>
      <c r="Q395" s="26"/>
      <c r="R395" s="1784" t="str">
        <f>CHOOSE(2, "6722000003310", "PL (5) SGA Expenses Wages &amp; Salaries")</f>
        <v>PL (5) SGA Expenses Wages &amp; Salaries</v>
      </c>
      <c r="S395" s="1215">
        <v>421.50963261562089</v>
      </c>
      <c r="T395" s="1222">
        <v>476.66235809424398</v>
      </c>
      <c r="U395" s="1222">
        <v>424.81427625938613</v>
      </c>
      <c r="V395" s="1222">
        <v>495.48957929913053</v>
      </c>
      <c r="W395" s="1222">
        <v>541.94312489059234</v>
      </c>
      <c r="X395" s="1222">
        <v>292.52017914867821</v>
      </c>
      <c r="Y395" s="1222">
        <v>317.19764115562049</v>
      </c>
      <c r="Z395" s="1222">
        <v>439</v>
      </c>
      <c r="AA395" s="1222">
        <v>503.374583910659</v>
      </c>
      <c r="AB395" s="1222">
        <v>424.47062354215103</v>
      </c>
      <c r="AC395" s="1222">
        <v>437.69517772841755</v>
      </c>
      <c r="AD395" s="1222">
        <v>380.53163085651363</v>
      </c>
      <c r="AE395" s="1221">
        <f t="shared" si="832"/>
        <v>1322.9862669692511</v>
      </c>
      <c r="AF395" s="1221">
        <f>SUM(V395,W395,X395)</f>
        <v>1329.9528833384011</v>
      </c>
      <c r="AG395" s="1221">
        <f>SUM(Y395,Z395,AA395)</f>
        <v>1259.5722250662793</v>
      </c>
      <c r="AH395" s="1221">
        <f>SUM(AB395,AC395,AD395)</f>
        <v>1242.6974321270823</v>
      </c>
      <c r="AI395" s="1221">
        <f>AE395+AF395</f>
        <v>2652.9391503076522</v>
      </c>
      <c r="AJ395" s="1221">
        <f>AH395+AG395</f>
        <v>2502.2696571933616</v>
      </c>
      <c r="AK395" s="1221">
        <f>AI395+AJ395</f>
        <v>5155.2088075010142</v>
      </c>
      <c r="AM395" s="596">
        <f ca="1">SUM((INDIRECT(AM$2&amp;(ROW())):INDIRECT(AM$3&amp;(ROW()))))</f>
        <v>421.50963261562089</v>
      </c>
      <c r="AN395" s="2002">
        <f ca="1">SUM(INDIRECT(AN$1&amp;AN$2&amp;$C395):INDIRECT(AN$1&amp;AN$3&amp;$C395))</f>
        <v>595.26163331938903</v>
      </c>
      <c r="AO395" s="2767">
        <f t="shared" ca="1" si="820"/>
        <v>-173.75200070376815</v>
      </c>
      <c r="AP395" s="2768">
        <f t="shared" ca="1" si="711"/>
        <v>0.70810818138090703</v>
      </c>
      <c r="AQ395" s="2002">
        <f ca="1">SUM(INDIRECT(AQ$1&amp;AQ$2&amp;$A395):INDIRECT(AQ$1&amp;AQ$3&amp;$A395))+SUM(INDIRECT(AQ$1&amp;AQ$2&amp;$B395):INDIRECT(AQ$1&amp;AQ$3&amp;$B395))</f>
        <v>1634</v>
      </c>
      <c r="AR395" s="2767">
        <f t="shared" ca="1" si="692"/>
        <v>-1212.4903673843792</v>
      </c>
      <c r="AS395" s="2768">
        <f t="shared" ca="1" si="795"/>
        <v>0.25796183146610824</v>
      </c>
      <c r="AU395" s="596">
        <f ca="1">SUM((INDIRECT(AU$2&amp;(ROW())):INDIRECT(AU$3&amp;(ROW()))))</f>
        <v>421.50963261562089</v>
      </c>
      <c r="AV395" s="2002">
        <f ca="1">SUM(INDIRECT(AV$1&amp;AV$2&amp;$C395):INDIRECT(AV$1&amp;AV$3&amp;$C395))</f>
        <v>595.26163331938903</v>
      </c>
      <c r="AW395" s="2767">
        <f t="shared" ca="1" si="713"/>
        <v>-173.75200070376815</v>
      </c>
      <c r="AX395" s="2768">
        <f t="shared" ca="1" si="714"/>
        <v>0.70810818138090703</v>
      </c>
      <c r="AY395" s="2002">
        <f ca="1">SUM(INDIRECT(AY$1&amp;AY$2&amp;$A395):INDIRECT(AY$1&amp;AY$3&amp;$A395))+SUM(INDIRECT(AY$1&amp;AY$2&amp;$B395):INDIRECT(AY$1&amp;AY$3&amp;$B395))</f>
        <v>1634</v>
      </c>
      <c r="AZ395" s="2767">
        <f t="shared" ca="1" si="715"/>
        <v>-1212.4903673843792</v>
      </c>
      <c r="BA395" s="2768">
        <f t="shared" ca="1" si="799"/>
        <v>0.25796183146610824</v>
      </c>
      <c r="BC395" s="596">
        <f ca="1">SUM((INDIRECT(BC$2&amp;(ROW())):INDIRECT(BC$3&amp;(ROW()))))</f>
        <v>421.50963261562089</v>
      </c>
      <c r="BD395" s="2002">
        <f ca="1">SUM(INDIRECT(BD$1&amp;BD$2&amp;$C395):INDIRECT(BD$1&amp;BD$3&amp;$C395))</f>
        <v>595.26163331938903</v>
      </c>
      <c r="BE395" s="2767">
        <f t="shared" ca="1" si="717"/>
        <v>-173.75200070376815</v>
      </c>
      <c r="BF395" s="2768">
        <f t="shared" ca="1" si="718"/>
        <v>0.70810818138090703</v>
      </c>
      <c r="BG395" s="2002">
        <f ca="1">SUM(INDIRECT(BG$1&amp;BG$2&amp;$A395):INDIRECT(BG$1&amp;BG$3&amp;$A395))+SUM(INDIRECT(BG$1&amp;BG$2&amp;$B395):INDIRECT(BG$1&amp;BG$3&amp;$B395))</f>
        <v>1634</v>
      </c>
      <c r="BH395" s="2767">
        <f t="shared" ca="1" si="719"/>
        <v>-1212.4903673843792</v>
      </c>
      <c r="BI395" s="2768">
        <f t="shared" ca="1" si="803"/>
        <v>0.25796183146610824</v>
      </c>
    </row>
    <row r="396" spans="1:61" ht="14.5">
      <c r="A396" s="1693">
        <f>A395+5</f>
        <v>396</v>
      </c>
      <c r="B396" s="616">
        <v>1</v>
      </c>
      <c r="C396" s="1693">
        <f t="shared" si="657"/>
        <v>396</v>
      </c>
      <c r="D396" s="616">
        <f>D395+1</f>
        <v>299</v>
      </c>
      <c r="E396" s="709" t="s">
        <v>512</v>
      </c>
      <c r="F396" s="1572"/>
      <c r="G396" s="4"/>
      <c r="H396" s="4"/>
      <c r="I396" s="4"/>
      <c r="J396" s="27"/>
      <c r="K396" s="36"/>
      <c r="L396" s="1733" t="s">
        <v>89</v>
      </c>
      <c r="M396" s="2"/>
      <c r="N396" s="1"/>
      <c r="O396" s="1"/>
      <c r="P396" s="1"/>
      <c r="Q396" s="24"/>
      <c r="R396" s="1790" t="str">
        <f>CHOOSE(2, "6722000003315", "PL (5) SGA Expenses Fixed Expenses")</f>
        <v>PL (5) SGA Expenses Fixed Expenses</v>
      </c>
      <c r="S396" s="1213">
        <v>153</v>
      </c>
      <c r="T396" s="1216">
        <v>137.10233820906569</v>
      </c>
      <c r="U396" s="1216">
        <v>176.36794778987309</v>
      </c>
      <c r="V396" s="1216">
        <v>82.317273371268357</v>
      </c>
      <c r="W396" s="1216">
        <v>56.159742697368422</v>
      </c>
      <c r="X396" s="1216">
        <v>30.771396103896105</v>
      </c>
      <c r="Y396" s="1216">
        <v>29.433207885304657</v>
      </c>
      <c r="Z396" s="1216">
        <v>89.753295213414603</v>
      </c>
      <c r="AA396" s="1216">
        <v>118.7899101578063</v>
      </c>
      <c r="AB396" s="1216">
        <v>14.32625841346154</v>
      </c>
      <c r="AC396" s="1216">
        <v>14.366641509433963</v>
      </c>
      <c r="AD396" s="1216">
        <v>13.947327065527064</v>
      </c>
      <c r="AE396" s="917">
        <f t="shared" si="832"/>
        <v>466.47028599893878</v>
      </c>
      <c r="AF396" s="917">
        <f t="shared" ref="AF396:AF405" si="835">SUM(V396,W396,X396)</f>
        <v>169.24841217253288</v>
      </c>
      <c r="AG396" s="917">
        <f t="shared" si="833"/>
        <v>237.97641325652557</v>
      </c>
      <c r="AH396" s="917">
        <f t="shared" si="834"/>
        <v>42.640226988422569</v>
      </c>
      <c r="AI396" s="917">
        <f>AE396+AF396</f>
        <v>635.71869817147171</v>
      </c>
      <c r="AJ396" s="917">
        <f>AH396+AG396</f>
        <v>280.61664024494814</v>
      </c>
      <c r="AK396" s="917">
        <f>AI396+AJ396</f>
        <v>916.33533841641986</v>
      </c>
      <c r="AM396" s="585">
        <f ca="1">SUM((INDIRECT(AM$2&amp;(ROW())):INDIRECT(AM$3&amp;(ROW()))))</f>
        <v>153</v>
      </c>
      <c r="AN396" s="2079">
        <f ca="1">SUM(INDIRECT(AN$1&amp;AN$2&amp;$C396):INDIRECT(AN$1&amp;AN$3&amp;$C396))</f>
        <v>29.999062499999997</v>
      </c>
      <c r="AO396" s="2833">
        <f t="shared" ca="1" si="820"/>
        <v>123.00093750000001</v>
      </c>
      <c r="AP396" s="2834">
        <f t="shared" ca="1" si="711"/>
        <v>5.1001593799806253</v>
      </c>
      <c r="AQ396" s="2079">
        <f ca="1">SUM(INDIRECT(AQ$1&amp;AQ$2&amp;$A396):INDIRECT(AQ$1&amp;AQ$3&amp;$A396))+SUM(INDIRECT(AQ$1&amp;AQ$2&amp;$B396):INDIRECT(AQ$1&amp;AQ$3&amp;$B396))</f>
        <v>30</v>
      </c>
      <c r="AR396" s="2833">
        <f t="shared" ca="1" si="692"/>
        <v>123</v>
      </c>
      <c r="AS396" s="2834">
        <f t="shared" ca="1" si="795"/>
        <v>5.0999999999999996</v>
      </c>
      <c r="AU396" s="585">
        <f ca="1">SUM((INDIRECT(AU$2&amp;(ROW())):INDIRECT(AU$3&amp;(ROW()))))</f>
        <v>153</v>
      </c>
      <c r="AV396" s="2079">
        <f ca="1">SUM(INDIRECT(AV$1&amp;AV$2&amp;$C396):INDIRECT(AV$1&amp;AV$3&amp;$C396))</f>
        <v>29.999062499999997</v>
      </c>
      <c r="AW396" s="2833">
        <f t="shared" ca="1" si="713"/>
        <v>123.00093750000001</v>
      </c>
      <c r="AX396" s="2834">
        <f t="shared" ca="1" si="714"/>
        <v>5.1001593799806253</v>
      </c>
      <c r="AY396" s="2079">
        <f ca="1">SUM(INDIRECT(AY$1&amp;AY$2&amp;$A396):INDIRECT(AY$1&amp;AY$3&amp;$A396))+SUM(INDIRECT(AY$1&amp;AY$2&amp;$B396):INDIRECT(AY$1&amp;AY$3&amp;$B396))</f>
        <v>30</v>
      </c>
      <c r="AZ396" s="2833">
        <f t="shared" ca="1" si="715"/>
        <v>123</v>
      </c>
      <c r="BA396" s="2834">
        <f t="shared" ca="1" si="799"/>
        <v>5.0999999999999996</v>
      </c>
      <c r="BC396" s="585">
        <f ca="1">SUM((INDIRECT(BC$2&amp;(ROW())):INDIRECT(BC$3&amp;(ROW()))))</f>
        <v>153</v>
      </c>
      <c r="BD396" s="2079">
        <f ca="1">SUM(INDIRECT(BD$1&amp;BD$2&amp;$C396):INDIRECT(BD$1&amp;BD$3&amp;$C396))</f>
        <v>29.999062499999997</v>
      </c>
      <c r="BE396" s="2833">
        <f t="shared" ca="1" si="717"/>
        <v>123.00093750000001</v>
      </c>
      <c r="BF396" s="2834">
        <f t="shared" ca="1" si="718"/>
        <v>5.1001593799806253</v>
      </c>
      <c r="BG396" s="2079">
        <f ca="1">SUM(INDIRECT(BG$1&amp;BG$2&amp;$A396):INDIRECT(BG$1&amp;BG$3&amp;$A396))+SUM(INDIRECT(BG$1&amp;BG$2&amp;$B396):INDIRECT(BG$1&amp;BG$3&amp;$B396))</f>
        <v>30</v>
      </c>
      <c r="BH396" s="2833">
        <f t="shared" ca="1" si="719"/>
        <v>123</v>
      </c>
      <c r="BI396" s="2834">
        <f t="shared" ca="1" si="803"/>
        <v>5.0999999999999996</v>
      </c>
    </row>
    <row r="397" spans="1:61" ht="14.5">
      <c r="A397" s="1693">
        <f t="shared" si="660"/>
        <v>397</v>
      </c>
      <c r="B397" s="616">
        <v>1</v>
      </c>
      <c r="C397" s="1693">
        <f t="shared" si="657"/>
        <v>397</v>
      </c>
      <c r="D397" s="616">
        <v>1</v>
      </c>
      <c r="E397" s="709" t="s">
        <v>512</v>
      </c>
      <c r="F397" s="1572"/>
      <c r="G397" s="4"/>
      <c r="H397" s="4"/>
      <c r="I397" s="4"/>
      <c r="J397" s="27"/>
      <c r="K397" s="36"/>
      <c r="L397" s="1016" t="s">
        <v>775</v>
      </c>
      <c r="M397" s="673"/>
      <c r="N397" s="674"/>
      <c r="O397" s="674"/>
      <c r="P397" s="674"/>
      <c r="Q397" s="674"/>
      <c r="R397" s="1784" t="str">
        <f>CHOOSE(2, "6722000003316", "PL (5) SGA Expenses Breakdown of SG&amp;A: ICW")</f>
        <v>PL (5) SGA Expenses Breakdown of SG&amp;A: ICW</v>
      </c>
      <c r="S397" s="1422">
        <f>SUM(S398:S400)</f>
        <v>0</v>
      </c>
      <c r="T397" s="1422">
        <f t="shared" ref="T397:AD397" si="836">SUM(T398:T400)</f>
        <v>0</v>
      </c>
      <c r="U397" s="1422">
        <f t="shared" si="836"/>
        <v>0</v>
      </c>
      <c r="V397" s="1422">
        <f t="shared" si="836"/>
        <v>0</v>
      </c>
      <c r="W397" s="1422">
        <f t="shared" si="836"/>
        <v>0</v>
      </c>
      <c r="X397" s="1422">
        <f t="shared" si="836"/>
        <v>0</v>
      </c>
      <c r="Y397" s="1422">
        <f t="shared" si="836"/>
        <v>0</v>
      </c>
      <c r="Z397" s="1422">
        <f t="shared" si="836"/>
        <v>0</v>
      </c>
      <c r="AA397" s="1422">
        <f t="shared" si="836"/>
        <v>0</v>
      </c>
      <c r="AB397" s="1422">
        <f t="shared" si="836"/>
        <v>0</v>
      </c>
      <c r="AC397" s="1422">
        <f t="shared" si="836"/>
        <v>0</v>
      </c>
      <c r="AD397" s="1422">
        <f t="shared" si="836"/>
        <v>0</v>
      </c>
      <c r="AE397" s="1017">
        <f t="shared" si="832"/>
        <v>0</v>
      </c>
      <c r="AF397" s="1017">
        <f t="shared" si="835"/>
        <v>0</v>
      </c>
      <c r="AG397" s="1017">
        <f t="shared" si="833"/>
        <v>0</v>
      </c>
      <c r="AH397" s="1017">
        <f t="shared" si="834"/>
        <v>0</v>
      </c>
      <c r="AI397" s="1017">
        <f t="shared" ref="AI397:AI405" si="837">AE397+AF397</f>
        <v>0</v>
      </c>
      <c r="AJ397" s="1017">
        <f t="shared" ref="AJ397:AJ405" si="838">AH397+AG397</f>
        <v>0</v>
      </c>
      <c r="AK397" s="1017">
        <f t="shared" ref="AK397:AK405" si="839">AI397+AJ397</f>
        <v>0</v>
      </c>
      <c r="AM397" s="596">
        <f ca="1">SUM((INDIRECT(AM$2&amp;(ROW())):INDIRECT(AM$3&amp;(ROW()))))</f>
        <v>0</v>
      </c>
      <c r="AN397" s="2002">
        <f ca="1">SUM(INDIRECT(AN$1&amp;AN$2&amp;$C397):INDIRECT(AN$1&amp;AN$3&amp;$C397))</f>
        <v>0</v>
      </c>
      <c r="AO397" s="2767">
        <f t="shared" ca="1" si="820"/>
        <v>0</v>
      </c>
      <c r="AP397" s="2768">
        <f t="shared" ca="1" si="711"/>
        <v>0</v>
      </c>
      <c r="AQ397" s="2002">
        <f ca="1">SUM(INDIRECT(AQ$1&amp;AQ$2&amp;$A397):INDIRECT(AQ$1&amp;AQ$3&amp;$A397))+SUM(INDIRECT(AQ$1&amp;AQ$2&amp;$B397):INDIRECT(AQ$1&amp;AQ$3&amp;$B397))</f>
        <v>0</v>
      </c>
      <c r="AR397" s="2767">
        <f t="shared" ca="1" si="692"/>
        <v>0</v>
      </c>
      <c r="AS397" s="2768">
        <f t="shared" ca="1" si="795"/>
        <v>0</v>
      </c>
      <c r="AU397" s="596">
        <f ca="1">SUM((INDIRECT(AU$2&amp;(ROW())):INDIRECT(AU$3&amp;(ROW()))))</f>
        <v>0</v>
      </c>
      <c r="AV397" s="2002">
        <f ca="1">SUM(INDIRECT(AV$1&amp;AV$2&amp;$C397):INDIRECT(AV$1&amp;AV$3&amp;$C397))</f>
        <v>0</v>
      </c>
      <c r="AW397" s="2767">
        <f t="shared" ca="1" si="713"/>
        <v>0</v>
      </c>
      <c r="AX397" s="2768">
        <f t="shared" ca="1" si="714"/>
        <v>0</v>
      </c>
      <c r="AY397" s="2002">
        <f ca="1">SUM(INDIRECT(AY$1&amp;AY$2&amp;$A397):INDIRECT(AY$1&amp;AY$3&amp;$A397))+SUM(INDIRECT(AY$1&amp;AY$2&amp;$B397):INDIRECT(AY$1&amp;AY$3&amp;$B397))</f>
        <v>0</v>
      </c>
      <c r="AZ397" s="2767">
        <f t="shared" ca="1" si="715"/>
        <v>0</v>
      </c>
      <c r="BA397" s="2768">
        <f t="shared" ca="1" si="799"/>
        <v>0</v>
      </c>
      <c r="BC397" s="596">
        <f ca="1">SUM((INDIRECT(BC$2&amp;(ROW())):INDIRECT(BC$3&amp;(ROW()))))</f>
        <v>0</v>
      </c>
      <c r="BD397" s="2002">
        <f ca="1">SUM(INDIRECT(BD$1&amp;BD$2&amp;$C397):INDIRECT(BD$1&amp;BD$3&amp;$C397))</f>
        <v>0</v>
      </c>
      <c r="BE397" s="2767">
        <f t="shared" ca="1" si="717"/>
        <v>0</v>
      </c>
      <c r="BF397" s="2768">
        <f t="shared" ca="1" si="718"/>
        <v>0</v>
      </c>
      <c r="BG397" s="2002">
        <f ca="1">SUM(INDIRECT(BG$1&amp;BG$2&amp;$A397):INDIRECT(BG$1&amp;BG$3&amp;$A397))+SUM(INDIRECT(BG$1&amp;BG$2&amp;$B397):INDIRECT(BG$1&amp;BG$3&amp;$B397))</f>
        <v>0</v>
      </c>
      <c r="BH397" s="2767">
        <f t="shared" ca="1" si="719"/>
        <v>0</v>
      </c>
      <c r="BI397" s="2768">
        <f t="shared" ca="1" si="803"/>
        <v>0</v>
      </c>
    </row>
    <row r="398" spans="1:61" ht="14.5">
      <c r="A398" s="1693">
        <f t="shared" si="660"/>
        <v>398</v>
      </c>
      <c r="B398" s="616">
        <v>1</v>
      </c>
      <c r="C398" s="1693">
        <f t="shared" si="657"/>
        <v>398</v>
      </c>
      <c r="D398" s="616">
        <v>1</v>
      </c>
      <c r="E398" s="709" t="s">
        <v>512</v>
      </c>
      <c r="F398" s="1572"/>
      <c r="G398" s="519"/>
      <c r="H398" s="4"/>
      <c r="I398" s="4"/>
      <c r="J398" s="27"/>
      <c r="K398" s="36"/>
      <c r="L398" s="635"/>
      <c r="M398" s="635"/>
      <c r="N398" s="36" t="s">
        <v>656</v>
      </c>
      <c r="O398" s="674"/>
      <c r="P398" s="674"/>
      <c r="Q398" s="674"/>
      <c r="R398" s="1787" t="str">
        <f>CHOOSE(2, "6722000004520", "PL (5) SGA Expenses Breakdown of SG&amp;A: ICW ICW-IT")</f>
        <v>PL (5) SGA Expenses Breakdown of SG&amp;A: ICW ICW-IT</v>
      </c>
      <c r="S398" s="1423"/>
      <c r="T398" s="1424"/>
      <c r="U398" s="1424"/>
      <c r="V398" s="1424"/>
      <c r="W398" s="1424"/>
      <c r="X398" s="1424"/>
      <c r="Y398" s="1424"/>
      <c r="Z398" s="1424"/>
      <c r="AA398" s="1424"/>
      <c r="AB398" s="1424"/>
      <c r="AC398" s="1424"/>
      <c r="AD398" s="1424"/>
      <c r="AE398" s="1017">
        <f t="shared" si="832"/>
        <v>0</v>
      </c>
      <c r="AF398" s="1017">
        <f t="shared" si="835"/>
        <v>0</v>
      </c>
      <c r="AG398" s="1017">
        <f t="shared" si="833"/>
        <v>0</v>
      </c>
      <c r="AH398" s="1017">
        <f t="shared" si="834"/>
        <v>0</v>
      </c>
      <c r="AI398" s="1017">
        <f t="shared" si="837"/>
        <v>0</v>
      </c>
      <c r="AJ398" s="1017">
        <f t="shared" si="838"/>
        <v>0</v>
      </c>
      <c r="AK398" s="1017">
        <f t="shared" si="839"/>
        <v>0</v>
      </c>
      <c r="AM398" s="596">
        <f ca="1">SUM((INDIRECT(AM$2&amp;(ROW())):INDIRECT(AM$3&amp;(ROW()))))</f>
        <v>0</v>
      </c>
      <c r="AN398" s="2002">
        <f ca="1">SUM(INDIRECT(AN$1&amp;AN$2&amp;$C398):INDIRECT(AN$1&amp;AN$3&amp;$C398))</f>
        <v>0</v>
      </c>
      <c r="AO398" s="2767">
        <f t="shared" ca="1" si="820"/>
        <v>0</v>
      </c>
      <c r="AP398" s="2768">
        <f t="shared" ca="1" si="711"/>
        <v>0</v>
      </c>
      <c r="AQ398" s="2835"/>
      <c r="AR398" s="2836"/>
      <c r="AS398" s="2837"/>
      <c r="AU398" s="596">
        <f ca="1">SUM((INDIRECT(AU$2&amp;(ROW())):INDIRECT(AU$3&amp;(ROW()))))</f>
        <v>0</v>
      </c>
      <c r="AV398" s="2002">
        <f ca="1">SUM(INDIRECT(AV$1&amp;AV$2&amp;$C398):INDIRECT(AV$1&amp;AV$3&amp;$C398))</f>
        <v>0</v>
      </c>
      <c r="AW398" s="2767">
        <f t="shared" ca="1" si="713"/>
        <v>0</v>
      </c>
      <c r="AX398" s="2768">
        <f t="shared" ca="1" si="714"/>
        <v>0</v>
      </c>
      <c r="AY398" s="2835"/>
      <c r="AZ398" s="2836"/>
      <c r="BA398" s="2837"/>
      <c r="BC398" s="596">
        <f ca="1">SUM((INDIRECT(BC$2&amp;(ROW())):INDIRECT(BC$3&amp;(ROW()))))</f>
        <v>0</v>
      </c>
      <c r="BD398" s="2002">
        <f ca="1">SUM(INDIRECT(BD$1&amp;BD$2&amp;$C398):INDIRECT(BD$1&amp;BD$3&amp;$C398))</f>
        <v>0</v>
      </c>
      <c r="BE398" s="2767">
        <f t="shared" ca="1" si="717"/>
        <v>0</v>
      </c>
      <c r="BF398" s="2768">
        <f t="shared" ca="1" si="718"/>
        <v>0</v>
      </c>
      <c r="BG398" s="2835"/>
      <c r="BH398" s="2836"/>
      <c r="BI398" s="2837"/>
    </row>
    <row r="399" spans="1:61" ht="14.5">
      <c r="A399" s="1693">
        <f t="shared" si="660"/>
        <v>399</v>
      </c>
      <c r="B399" s="616">
        <v>1</v>
      </c>
      <c r="C399" s="1693">
        <f t="shared" ref="C399:C462" si="840">C398+1</f>
        <v>399</v>
      </c>
      <c r="D399" s="616">
        <v>1</v>
      </c>
      <c r="E399" s="709" t="s">
        <v>512</v>
      </c>
      <c r="F399" s="1572"/>
      <c r="G399" s="519"/>
      <c r="H399" s="4"/>
      <c r="I399" s="4"/>
      <c r="J399" s="27"/>
      <c r="K399" s="36"/>
      <c r="L399" s="635"/>
      <c r="M399" s="635"/>
      <c r="N399" s="36" t="s">
        <v>620</v>
      </c>
      <c r="O399" s="674"/>
      <c r="P399" s="674"/>
      <c r="Q399" s="674"/>
      <c r="R399" s="1787" t="str">
        <f>CHOOSE(2, "6722000004521", "PL (5) SGA Expenses Breakdown of SG&amp;A: ICW-WK")</f>
        <v>PL (5) SGA Expenses Breakdown of SG&amp;A: ICW-WK</v>
      </c>
      <c r="S399" s="1423"/>
      <c r="T399" s="1424"/>
      <c r="U399" s="1424"/>
      <c r="V399" s="1424"/>
      <c r="W399" s="1424"/>
      <c r="X399" s="1424"/>
      <c r="Y399" s="1424"/>
      <c r="Z399" s="1424"/>
      <c r="AA399" s="1424"/>
      <c r="AB399" s="1424"/>
      <c r="AC399" s="1424"/>
      <c r="AD399" s="1424"/>
      <c r="AE399" s="1017">
        <f t="shared" si="832"/>
        <v>0</v>
      </c>
      <c r="AF399" s="1017">
        <f t="shared" si="835"/>
        <v>0</v>
      </c>
      <c r="AG399" s="1017">
        <f t="shared" si="833"/>
        <v>0</v>
      </c>
      <c r="AH399" s="1017">
        <f t="shared" si="834"/>
        <v>0</v>
      </c>
      <c r="AI399" s="1017">
        <f t="shared" si="837"/>
        <v>0</v>
      </c>
      <c r="AJ399" s="1017">
        <f t="shared" si="838"/>
        <v>0</v>
      </c>
      <c r="AK399" s="1017">
        <f t="shared" si="839"/>
        <v>0</v>
      </c>
      <c r="AM399" s="596">
        <f ca="1">SUM((INDIRECT(AM$2&amp;(ROW())):INDIRECT(AM$3&amp;(ROW()))))</f>
        <v>0</v>
      </c>
      <c r="AN399" s="2002">
        <f ca="1">SUM(INDIRECT(AN$1&amp;AN$2&amp;$C399):INDIRECT(AN$1&amp;AN$3&amp;$C399))</f>
        <v>0</v>
      </c>
      <c r="AO399" s="2767">
        <f t="shared" ca="1" si="820"/>
        <v>0</v>
      </c>
      <c r="AP399" s="2768">
        <f t="shared" ca="1" si="711"/>
        <v>0</v>
      </c>
      <c r="AQ399" s="2835"/>
      <c r="AR399" s="2836"/>
      <c r="AS399" s="2837"/>
      <c r="AU399" s="596">
        <f ca="1">SUM((INDIRECT(AU$2&amp;(ROW())):INDIRECT(AU$3&amp;(ROW()))))</f>
        <v>0</v>
      </c>
      <c r="AV399" s="2002">
        <f ca="1">SUM(INDIRECT(AV$1&amp;AV$2&amp;$C399):INDIRECT(AV$1&amp;AV$3&amp;$C399))</f>
        <v>0</v>
      </c>
      <c r="AW399" s="2767">
        <f t="shared" ca="1" si="713"/>
        <v>0</v>
      </c>
      <c r="AX399" s="2768">
        <f t="shared" ca="1" si="714"/>
        <v>0</v>
      </c>
      <c r="AY399" s="2835"/>
      <c r="AZ399" s="2836"/>
      <c r="BA399" s="2837"/>
      <c r="BC399" s="596">
        <f ca="1">SUM((INDIRECT(BC$2&amp;(ROW())):INDIRECT(BC$3&amp;(ROW()))))</f>
        <v>0</v>
      </c>
      <c r="BD399" s="2002">
        <f ca="1">SUM(INDIRECT(BD$1&amp;BD$2&amp;$C399):INDIRECT(BD$1&amp;BD$3&amp;$C399))</f>
        <v>0</v>
      </c>
      <c r="BE399" s="2767">
        <f t="shared" ca="1" si="717"/>
        <v>0</v>
      </c>
      <c r="BF399" s="2768">
        <f t="shared" ca="1" si="718"/>
        <v>0</v>
      </c>
      <c r="BG399" s="2835"/>
      <c r="BH399" s="2836"/>
      <c r="BI399" s="2837"/>
    </row>
    <row r="400" spans="1:61" ht="14.5">
      <c r="A400" s="1693">
        <f t="shared" ref="A400:A463" si="841">A399+1</f>
        <v>400</v>
      </c>
      <c r="B400" s="616">
        <v>1</v>
      </c>
      <c r="C400" s="1693">
        <f t="shared" si="840"/>
        <v>400</v>
      </c>
      <c r="D400" s="616">
        <v>1</v>
      </c>
      <c r="E400" s="709" t="s">
        <v>512</v>
      </c>
      <c r="F400" s="1572"/>
      <c r="G400" s="519"/>
      <c r="H400" s="4"/>
      <c r="I400" s="4"/>
      <c r="J400" s="27"/>
      <c r="K400" s="36"/>
      <c r="L400" s="1018"/>
      <c r="M400" s="1018"/>
      <c r="N400" s="1744" t="s">
        <v>619</v>
      </c>
      <c r="O400" s="1019"/>
      <c r="P400" s="1019"/>
      <c r="Q400" s="1019"/>
      <c r="R400" s="1787" t="str">
        <f>CHOOSE(2, "6722000004522", "PL (5) SGA Expenses Breakdown of SG&amp;A: ICW-P")</f>
        <v>PL (5) SGA Expenses Breakdown of SG&amp;A: ICW-P</v>
      </c>
      <c r="S400" s="1425"/>
      <c r="T400" s="1426"/>
      <c r="U400" s="1426"/>
      <c r="V400" s="1426"/>
      <c r="W400" s="1426"/>
      <c r="X400" s="1426"/>
      <c r="Y400" s="1426"/>
      <c r="Z400" s="1426"/>
      <c r="AA400" s="1426"/>
      <c r="AB400" s="1426"/>
      <c r="AC400" s="1426"/>
      <c r="AD400" s="1426"/>
      <c r="AE400" s="1020">
        <f t="shared" si="832"/>
        <v>0</v>
      </c>
      <c r="AF400" s="1020">
        <f t="shared" si="835"/>
        <v>0</v>
      </c>
      <c r="AG400" s="1020">
        <f t="shared" si="833"/>
        <v>0</v>
      </c>
      <c r="AH400" s="1020">
        <f t="shared" si="834"/>
        <v>0</v>
      </c>
      <c r="AI400" s="1020">
        <f t="shared" si="837"/>
        <v>0</v>
      </c>
      <c r="AJ400" s="1020">
        <f t="shared" si="838"/>
        <v>0</v>
      </c>
      <c r="AK400" s="1020">
        <f t="shared" si="839"/>
        <v>0</v>
      </c>
      <c r="AM400" s="2011">
        <f ca="1">SUM((INDIRECT(AM$2&amp;(ROW())):INDIRECT(AM$3&amp;(ROW()))))</f>
        <v>0</v>
      </c>
      <c r="AN400" s="2012">
        <f ca="1">SUM(INDIRECT(AN$1&amp;AN$2&amp;$C400):INDIRECT(AN$1&amp;AN$3&amp;$C400))</f>
        <v>0</v>
      </c>
      <c r="AO400" s="2774">
        <f t="shared" ca="1" si="820"/>
        <v>0</v>
      </c>
      <c r="AP400" s="2775">
        <f t="shared" ca="1" si="711"/>
        <v>0</v>
      </c>
      <c r="AQ400" s="2838"/>
      <c r="AR400" s="2839"/>
      <c r="AS400" s="2840"/>
      <c r="AU400" s="2011">
        <f ca="1">SUM((INDIRECT(AU$2&amp;(ROW())):INDIRECT(AU$3&amp;(ROW()))))</f>
        <v>0</v>
      </c>
      <c r="AV400" s="2012">
        <f ca="1">SUM(INDIRECT(AV$1&amp;AV$2&amp;$C400):INDIRECT(AV$1&amp;AV$3&amp;$C400))</f>
        <v>0</v>
      </c>
      <c r="AW400" s="2774">
        <f t="shared" ca="1" si="713"/>
        <v>0</v>
      </c>
      <c r="AX400" s="2775">
        <f t="shared" ca="1" si="714"/>
        <v>0</v>
      </c>
      <c r="AY400" s="2838"/>
      <c r="AZ400" s="2839"/>
      <c r="BA400" s="2840"/>
      <c r="BC400" s="2011">
        <f ca="1">SUM((INDIRECT(BC$2&amp;(ROW())):INDIRECT(BC$3&amp;(ROW()))))</f>
        <v>0</v>
      </c>
      <c r="BD400" s="2012">
        <f ca="1">SUM(INDIRECT(BD$1&amp;BD$2&amp;$C400):INDIRECT(BD$1&amp;BD$3&amp;$C400))</f>
        <v>0</v>
      </c>
      <c r="BE400" s="2774">
        <f t="shared" ca="1" si="717"/>
        <v>0</v>
      </c>
      <c r="BF400" s="2775">
        <f t="shared" ca="1" si="718"/>
        <v>0</v>
      </c>
      <c r="BG400" s="2838"/>
      <c r="BH400" s="2839"/>
      <c r="BI400" s="2840"/>
    </row>
    <row r="401" spans="1:61" ht="14.5">
      <c r="A401" s="1693">
        <f t="shared" si="841"/>
        <v>401</v>
      </c>
      <c r="B401" s="616">
        <v>1</v>
      </c>
      <c r="C401" s="1693">
        <f t="shared" si="840"/>
        <v>401</v>
      </c>
      <c r="D401" s="616">
        <v>1</v>
      </c>
      <c r="E401" s="709" t="s">
        <v>512</v>
      </c>
      <c r="F401" s="1572"/>
      <c r="G401" s="4"/>
      <c r="H401" s="4"/>
      <c r="I401" s="4"/>
      <c r="J401" s="27"/>
      <c r="K401" s="36"/>
      <c r="L401" s="1016" t="s">
        <v>776</v>
      </c>
      <c r="M401" s="673"/>
      <c r="N401" s="674"/>
      <c r="O401" s="674"/>
      <c r="P401" s="674"/>
      <c r="Q401" s="674"/>
      <c r="R401" s="1784" t="str">
        <f>CHOOSE(2, "6722000003320", "PL (5) SGA Expenses Breakdown of SG&amp;A: ITS")</f>
        <v>PL (5) SGA Expenses Breakdown of SG&amp;A: ITS</v>
      </c>
      <c r="S401" s="1427">
        <f>S393-S397</f>
        <v>574.69983016949448</v>
      </c>
      <c r="T401" s="1427">
        <f t="shared" ref="T401:AD401" si="842">T393-T397</f>
        <v>613.76469630330962</v>
      </c>
      <c r="U401" s="1427">
        <f t="shared" si="842"/>
        <v>601.18222404925928</v>
      </c>
      <c r="V401" s="1427">
        <f t="shared" si="842"/>
        <v>577.80685267039894</v>
      </c>
      <c r="W401" s="1427">
        <f t="shared" si="842"/>
        <v>598.10286758796076</v>
      </c>
      <c r="X401" s="1427">
        <f t="shared" si="842"/>
        <v>323.29157525257432</v>
      </c>
      <c r="Y401" s="1427">
        <f t="shared" si="842"/>
        <v>346.63084904092517</v>
      </c>
      <c r="Z401" s="1427">
        <f t="shared" si="842"/>
        <v>528.75329521341462</v>
      </c>
      <c r="AA401" s="1427">
        <f t="shared" si="842"/>
        <v>622.16449406846527</v>
      </c>
      <c r="AB401" s="1427">
        <f t="shared" si="842"/>
        <v>438.79688195561255</v>
      </c>
      <c r="AC401" s="1427">
        <f t="shared" si="842"/>
        <v>452.06181923785152</v>
      </c>
      <c r="AD401" s="1427">
        <f t="shared" si="842"/>
        <v>394.47895792204071</v>
      </c>
      <c r="AE401" s="1017">
        <f>SUM(S401,T401,U401)</f>
        <v>1789.6467505220635</v>
      </c>
      <c r="AF401" s="1017">
        <f>SUM(V401,W401,X401)</f>
        <v>1499.2012955109342</v>
      </c>
      <c r="AG401" s="1017">
        <f>SUM(Y401,Z401,AA401)</f>
        <v>1497.5486383228051</v>
      </c>
      <c r="AH401" s="1017">
        <f>SUM(AB401,AC401,AD401)</f>
        <v>1285.3376591155047</v>
      </c>
      <c r="AI401" s="1017">
        <f>AE401+AF401</f>
        <v>3288.8480460329974</v>
      </c>
      <c r="AJ401" s="1017">
        <f>AH401+AG401</f>
        <v>2782.8862974383101</v>
      </c>
      <c r="AK401" s="1017">
        <f>AI401+AJ401</f>
        <v>6071.7343434713075</v>
      </c>
      <c r="AM401" s="596">
        <f ca="1">SUM((INDIRECT(AM$2&amp;(ROW())):INDIRECT(AM$3&amp;(ROW()))))</f>
        <v>574.69983016949448</v>
      </c>
      <c r="AN401" s="2002">
        <f ca="1">SUM(INDIRECT(AN$1&amp;AN$2&amp;$C401):INDIRECT(AN$1&amp;AN$3&amp;$C401))</f>
        <v>1070.064714813082</v>
      </c>
      <c r="AO401" s="2767">
        <f t="shared" ca="1" si="820"/>
        <v>-495.36488464358752</v>
      </c>
      <c r="AP401" s="2768">
        <f t="shared" ca="1" si="711"/>
        <v>0.53707016240590888</v>
      </c>
      <c r="AQ401" s="2002">
        <f ca="1">SUM(INDIRECT(AQ$1&amp;AQ$2&amp;$A401):INDIRECT(AQ$1&amp;AQ$3&amp;$A401))+SUM(INDIRECT(AQ$1&amp;AQ$2&amp;$B401):INDIRECT(AQ$1&amp;AQ$3&amp;$B401))</f>
        <v>1694</v>
      </c>
      <c r="AR401" s="2767">
        <f t="shared" ca="1" si="692"/>
        <v>-1119.3001698305056</v>
      </c>
      <c r="AS401" s="2768">
        <f t="shared" ca="1" si="795"/>
        <v>0.33925609809297197</v>
      </c>
      <c r="AU401" s="596">
        <f ca="1">SUM((INDIRECT(AU$2&amp;(ROW())):INDIRECT(AU$3&amp;(ROW()))))</f>
        <v>574.69983016949448</v>
      </c>
      <c r="AV401" s="2002">
        <f ca="1">SUM(INDIRECT(AV$1&amp;AV$2&amp;$C401):INDIRECT(AV$1&amp;AV$3&amp;$C401))</f>
        <v>1070.064714813082</v>
      </c>
      <c r="AW401" s="2767">
        <f t="shared" ca="1" si="713"/>
        <v>-495.36488464358752</v>
      </c>
      <c r="AX401" s="2768">
        <f t="shared" ca="1" si="714"/>
        <v>0.53707016240590888</v>
      </c>
      <c r="AY401" s="2002">
        <f ca="1">SUM(INDIRECT(AY$1&amp;AY$2&amp;$A401):INDIRECT(AY$1&amp;AY$3&amp;$A401))+SUM(INDIRECT(AY$1&amp;AY$2&amp;$B401):INDIRECT(AY$1&amp;AY$3&amp;$B401))</f>
        <v>1694</v>
      </c>
      <c r="AZ401" s="2767">
        <f t="shared" ca="1" si="715"/>
        <v>-1119.3001698305056</v>
      </c>
      <c r="BA401" s="2768">
        <f t="shared" ca="1" si="799"/>
        <v>0.33925609809297197</v>
      </c>
      <c r="BC401" s="596">
        <f ca="1">SUM((INDIRECT(BC$2&amp;(ROW())):INDIRECT(BC$3&amp;(ROW()))))</f>
        <v>574.69983016949448</v>
      </c>
      <c r="BD401" s="2002">
        <f ca="1">SUM(INDIRECT(BD$1&amp;BD$2&amp;$C401):INDIRECT(BD$1&amp;BD$3&amp;$C401))</f>
        <v>1070.064714813082</v>
      </c>
      <c r="BE401" s="2767">
        <f t="shared" ca="1" si="717"/>
        <v>-495.36488464358752</v>
      </c>
      <c r="BF401" s="2768">
        <f t="shared" ca="1" si="718"/>
        <v>0.53707016240590888</v>
      </c>
      <c r="BG401" s="2002">
        <f ca="1">SUM(INDIRECT(BG$1&amp;BG$2&amp;$A401):INDIRECT(BG$1&amp;BG$3&amp;$A401))+SUM(INDIRECT(BG$1&amp;BG$2&amp;$B401):INDIRECT(BG$1&amp;BG$3&amp;$B401))</f>
        <v>1694</v>
      </c>
      <c r="BH401" s="2767">
        <f t="shared" ca="1" si="719"/>
        <v>-1119.3001698305056</v>
      </c>
      <c r="BI401" s="2768">
        <f t="shared" ca="1" si="803"/>
        <v>0.33925609809297197</v>
      </c>
    </row>
    <row r="402" spans="1:61" ht="14.5">
      <c r="A402" s="1693">
        <f t="shared" si="841"/>
        <v>402</v>
      </c>
      <c r="B402" s="616">
        <v>1</v>
      </c>
      <c r="C402" s="1693">
        <f t="shared" si="840"/>
        <v>402</v>
      </c>
      <c r="D402" s="616">
        <v>1</v>
      </c>
      <c r="E402" s="709" t="s">
        <v>512</v>
      </c>
      <c r="F402" s="1572"/>
      <c r="G402" s="519"/>
      <c r="H402" s="4"/>
      <c r="I402" s="4"/>
      <c r="J402" s="27"/>
      <c r="K402" s="36"/>
      <c r="L402" s="635"/>
      <c r="M402" s="635"/>
      <c r="N402" s="635" t="s">
        <v>418</v>
      </c>
      <c r="O402" s="674"/>
      <c r="P402" s="674"/>
      <c r="Q402" s="674"/>
      <c r="R402" s="1784" t="str">
        <f>CHOOSE(2, "6722000004523", "PL (5) SGA Expenses Breakdown of SG&amp;A: ITS IMS")</f>
        <v>PL (5) SGA Expenses Breakdown of SG&amp;A: ITS IMS</v>
      </c>
      <c r="S402" s="1423">
        <v>0</v>
      </c>
      <c r="T402" s="1424">
        <v>183.17978334357701</v>
      </c>
      <c r="U402" s="1424">
        <v>0</v>
      </c>
      <c r="V402" s="1424">
        <v>379.44396426268838</v>
      </c>
      <c r="W402" s="1424">
        <v>0</v>
      </c>
      <c r="X402" s="1424">
        <v>0</v>
      </c>
      <c r="Y402" s="1424">
        <v>0</v>
      </c>
      <c r="Z402" s="1424">
        <v>0</v>
      </c>
      <c r="AA402" s="1424">
        <v>0</v>
      </c>
      <c r="AB402" s="1424">
        <v>298.25991470893183</v>
      </c>
      <c r="AC402" s="1424">
        <v>452.06181923785152</v>
      </c>
      <c r="AD402" s="1424">
        <v>244.26873106994918</v>
      </c>
      <c r="AE402" s="1017">
        <f t="shared" si="832"/>
        <v>183.17978334357701</v>
      </c>
      <c r="AF402" s="1017">
        <f t="shared" si="835"/>
        <v>379.44396426268838</v>
      </c>
      <c r="AG402" s="1017">
        <f t="shared" si="833"/>
        <v>0</v>
      </c>
      <c r="AH402" s="1017">
        <f t="shared" si="834"/>
        <v>994.59046501673242</v>
      </c>
      <c r="AI402" s="1017">
        <f t="shared" si="837"/>
        <v>562.6237476062654</v>
      </c>
      <c r="AJ402" s="1017">
        <f t="shared" si="838"/>
        <v>994.59046501673242</v>
      </c>
      <c r="AK402" s="1017">
        <f t="shared" si="839"/>
        <v>1557.2142126229978</v>
      </c>
      <c r="AM402" s="596">
        <f ca="1">SUM((INDIRECT(AM$2&amp;(ROW())):INDIRECT(AM$3&amp;(ROW()))))</f>
        <v>0</v>
      </c>
      <c r="AN402" s="2002">
        <f ca="1">SUM(INDIRECT(AN$1&amp;AN$2&amp;$C402):INDIRECT(AN$1&amp;AN$3&amp;$C402))</f>
        <v>0</v>
      </c>
      <c r="AO402" s="2767">
        <f t="shared" ca="1" si="820"/>
        <v>0</v>
      </c>
      <c r="AP402" s="2768">
        <f t="shared" ca="1" si="711"/>
        <v>0</v>
      </c>
      <c r="AQ402" s="2835"/>
      <c r="AR402" s="2836"/>
      <c r="AS402" s="2837"/>
      <c r="AU402" s="596">
        <f ca="1">SUM((INDIRECT(AU$2&amp;(ROW())):INDIRECT(AU$3&amp;(ROW()))))</f>
        <v>0</v>
      </c>
      <c r="AV402" s="2002">
        <f ca="1">SUM(INDIRECT(AV$1&amp;AV$2&amp;$C402):INDIRECT(AV$1&amp;AV$3&amp;$C402))</f>
        <v>0</v>
      </c>
      <c r="AW402" s="2767">
        <f t="shared" ca="1" si="713"/>
        <v>0</v>
      </c>
      <c r="AX402" s="2768">
        <f t="shared" ca="1" si="714"/>
        <v>0</v>
      </c>
      <c r="AY402" s="2835"/>
      <c r="AZ402" s="2836"/>
      <c r="BA402" s="2837"/>
      <c r="BC402" s="596">
        <f ca="1">SUM((INDIRECT(BC$2&amp;(ROW())):INDIRECT(BC$3&amp;(ROW()))))</f>
        <v>0</v>
      </c>
      <c r="BD402" s="2002">
        <f ca="1">SUM(INDIRECT(BD$1&amp;BD$2&amp;$C402):INDIRECT(BD$1&amp;BD$3&amp;$C402))</f>
        <v>0</v>
      </c>
      <c r="BE402" s="2767">
        <f t="shared" ca="1" si="717"/>
        <v>0</v>
      </c>
      <c r="BF402" s="2768">
        <f t="shared" ca="1" si="718"/>
        <v>0</v>
      </c>
      <c r="BG402" s="2835"/>
      <c r="BH402" s="2836"/>
      <c r="BI402" s="2837"/>
    </row>
    <row r="403" spans="1:61" ht="14.5">
      <c r="A403" s="1693">
        <f t="shared" si="841"/>
        <v>403</v>
      </c>
      <c r="B403" s="616">
        <v>1</v>
      </c>
      <c r="C403" s="1695">
        <f t="shared" si="840"/>
        <v>403</v>
      </c>
      <c r="D403" s="616">
        <v>1</v>
      </c>
      <c r="E403" s="709" t="s">
        <v>512</v>
      </c>
      <c r="F403" s="1572"/>
      <c r="G403" s="519"/>
      <c r="H403" s="4"/>
      <c r="I403" s="4"/>
      <c r="J403" s="498"/>
      <c r="K403" s="3"/>
      <c r="L403" s="3"/>
      <c r="M403" s="3"/>
      <c r="N403" s="1736" t="s">
        <v>846</v>
      </c>
      <c r="O403" s="1736"/>
      <c r="P403" s="1736"/>
      <c r="Q403" s="1736"/>
      <c r="R403" s="1803" t="str">
        <f>CHOOSE(2, "6722000004524", "PL (5) SGA Expenses Breakdown of SG&amp;A: ITS IIM")</f>
        <v>PL (5) SGA Expenses Breakdown of SG&amp;A: ITS IIM</v>
      </c>
      <c r="S403" s="1741">
        <f t="shared" ref="S403:AD403" si="843">SUM(S404:S405)</f>
        <v>574.69983016949448</v>
      </c>
      <c r="T403" s="1742">
        <f t="shared" si="843"/>
        <v>430.58491295973255</v>
      </c>
      <c r="U403" s="1742">
        <f t="shared" si="843"/>
        <v>601.18222404925928</v>
      </c>
      <c r="V403" s="1742">
        <f t="shared" si="843"/>
        <v>198.36288840771059</v>
      </c>
      <c r="W403" s="1742">
        <f t="shared" si="843"/>
        <v>598.10286758796076</v>
      </c>
      <c r="X403" s="1742">
        <f t="shared" si="843"/>
        <v>323.29157525257432</v>
      </c>
      <c r="Y403" s="1742">
        <f t="shared" si="843"/>
        <v>346.63084904092517</v>
      </c>
      <c r="Z403" s="1742">
        <f t="shared" si="843"/>
        <v>528.75329521341462</v>
      </c>
      <c r="AA403" s="1742">
        <f t="shared" si="843"/>
        <v>622.16449406846527</v>
      </c>
      <c r="AB403" s="1742">
        <f t="shared" si="843"/>
        <v>140.53696724668072</v>
      </c>
      <c r="AC403" s="1742">
        <f t="shared" si="843"/>
        <v>0</v>
      </c>
      <c r="AD403" s="1742">
        <f t="shared" si="843"/>
        <v>150.21022685209152</v>
      </c>
      <c r="AE403" s="1742">
        <f>SUM(S403,T403,U403)</f>
        <v>1606.4669671784864</v>
      </c>
      <c r="AF403" s="1742">
        <f t="shared" si="835"/>
        <v>1119.7573312482457</v>
      </c>
      <c r="AG403" s="1742">
        <f t="shared" si="833"/>
        <v>1497.5486383228051</v>
      </c>
      <c r="AH403" s="1742">
        <f t="shared" si="834"/>
        <v>290.74719409877224</v>
      </c>
      <c r="AI403" s="1742">
        <f t="shared" si="837"/>
        <v>2726.2242984267323</v>
      </c>
      <c r="AJ403" s="1742">
        <f t="shared" si="838"/>
        <v>1788.2958324215774</v>
      </c>
      <c r="AK403" s="1742">
        <f t="shared" si="839"/>
        <v>4514.5201308483101</v>
      </c>
      <c r="AM403" s="2066">
        <f ca="1">SUM((INDIRECT(AM$2&amp;(ROW())):INDIRECT(AM$3&amp;(ROW()))))</f>
        <v>574.69983016949448</v>
      </c>
      <c r="AN403" s="2067">
        <f ca="1">SUM(INDIRECT(AN$1&amp;AN$2&amp;$C403):INDIRECT(AN$1&amp;AN$3&amp;$C403))</f>
        <v>1070.064714813082</v>
      </c>
      <c r="AO403" s="2826">
        <f t="shared" ca="1" si="820"/>
        <v>-495.36488464358752</v>
      </c>
      <c r="AP403" s="2827">
        <f t="shared" ca="1" si="711"/>
        <v>0.53707016240590888</v>
      </c>
      <c r="AQ403" s="2835"/>
      <c r="AR403" s="2836"/>
      <c r="AS403" s="2837"/>
      <c r="AU403" s="2066">
        <f ca="1">SUM((INDIRECT(AU$2&amp;(ROW())):INDIRECT(AU$3&amp;(ROW()))))</f>
        <v>574.69983016949448</v>
      </c>
      <c r="AV403" s="2067">
        <f ca="1">SUM(INDIRECT(AV$1&amp;AV$2&amp;$C403):INDIRECT(AV$1&amp;AV$3&amp;$C403))</f>
        <v>1070.064714813082</v>
      </c>
      <c r="AW403" s="2826">
        <f t="shared" ca="1" si="713"/>
        <v>-495.36488464358752</v>
      </c>
      <c r="AX403" s="2827">
        <f t="shared" ca="1" si="714"/>
        <v>0.53707016240590888</v>
      </c>
      <c r="AY403" s="2835"/>
      <c r="AZ403" s="2836"/>
      <c r="BA403" s="2837"/>
      <c r="BC403" s="2066">
        <f ca="1">SUM((INDIRECT(BC$2&amp;(ROW())):INDIRECT(BC$3&amp;(ROW()))))</f>
        <v>574.69983016949448</v>
      </c>
      <c r="BD403" s="2067">
        <f ca="1">SUM(INDIRECT(BD$1&amp;BD$2&amp;$C403):INDIRECT(BD$1&amp;BD$3&amp;$C403))</f>
        <v>1070.064714813082</v>
      </c>
      <c r="BE403" s="2826">
        <f t="shared" ca="1" si="717"/>
        <v>-495.36488464358752</v>
      </c>
      <c r="BF403" s="2827">
        <f t="shared" ca="1" si="718"/>
        <v>0.53707016240590888</v>
      </c>
      <c r="BG403" s="2835"/>
      <c r="BH403" s="2836"/>
      <c r="BI403" s="2837"/>
    </row>
    <row r="404" spans="1:61" ht="14.5">
      <c r="A404" s="1693">
        <f>A402+1</f>
        <v>403</v>
      </c>
      <c r="B404" s="616">
        <v>1</v>
      </c>
      <c r="C404" s="1693">
        <f t="shared" si="840"/>
        <v>404</v>
      </c>
      <c r="D404" s="616">
        <v>1</v>
      </c>
      <c r="E404" s="709" t="s">
        <v>512</v>
      </c>
      <c r="F404" s="1572"/>
      <c r="G404" s="519"/>
      <c r="H404" s="4"/>
      <c r="I404" s="4"/>
      <c r="J404" s="27"/>
      <c r="K404" s="36"/>
      <c r="L404" s="635"/>
      <c r="M404" s="635"/>
      <c r="N404" s="635"/>
      <c r="O404" s="3" t="s">
        <v>419</v>
      </c>
      <c r="P404" s="674"/>
      <c r="Q404" s="674"/>
      <c r="R404" s="1784" t="str">
        <f>CHOOSE(2, "6722000004525", "PL (5) SGA Expenses Breakdown of SG&amp;A: ITS MCS")</f>
        <v>PL (5) SGA Expenses Breakdown of SG&amp;A: ITS MCS</v>
      </c>
      <c r="S404" s="1423">
        <v>574.69983016949448</v>
      </c>
      <c r="T404" s="1424">
        <v>430.58491295973255</v>
      </c>
      <c r="U404" s="1424">
        <v>601.18222404925928</v>
      </c>
      <c r="V404" s="1424">
        <v>198.36288840771059</v>
      </c>
      <c r="W404" s="1424">
        <v>598.10286758796076</v>
      </c>
      <c r="X404" s="1424">
        <v>323.29157525257432</v>
      </c>
      <c r="Y404" s="1424">
        <v>346.63084904092517</v>
      </c>
      <c r="Z404" s="1424">
        <v>528.75329521341462</v>
      </c>
      <c r="AA404" s="1424">
        <v>622.16449406846527</v>
      </c>
      <c r="AB404" s="1424">
        <v>140.53696724668072</v>
      </c>
      <c r="AC404" s="1424">
        <v>0</v>
      </c>
      <c r="AD404" s="1424">
        <v>150.21022685209152</v>
      </c>
      <c r="AE404" s="1017">
        <f t="shared" si="832"/>
        <v>1606.4669671784864</v>
      </c>
      <c r="AF404" s="1017">
        <f t="shared" si="835"/>
        <v>1119.7573312482457</v>
      </c>
      <c r="AG404" s="1017">
        <f t="shared" si="833"/>
        <v>1497.5486383228051</v>
      </c>
      <c r="AH404" s="1017">
        <f t="shared" si="834"/>
        <v>290.74719409877224</v>
      </c>
      <c r="AI404" s="1017">
        <f t="shared" si="837"/>
        <v>2726.2242984267323</v>
      </c>
      <c r="AJ404" s="1017">
        <f t="shared" si="838"/>
        <v>1788.2958324215774</v>
      </c>
      <c r="AK404" s="1017">
        <f t="shared" si="839"/>
        <v>4514.5201308483101</v>
      </c>
      <c r="AM404" s="596">
        <f ca="1">SUM((INDIRECT(AM$2&amp;(ROW())):INDIRECT(AM$3&amp;(ROW()))))</f>
        <v>574.69983016949448</v>
      </c>
      <c r="AN404" s="2002">
        <f ca="1">SUM(INDIRECT(AN$1&amp;AN$2&amp;$C404):INDIRECT(AN$1&amp;AN$3&amp;$C404))</f>
        <v>0</v>
      </c>
      <c r="AO404" s="2767">
        <f t="shared" ca="1" si="820"/>
        <v>574.69983016949448</v>
      </c>
      <c r="AP404" s="2768">
        <f t="shared" ca="1" si="711"/>
        <v>0</v>
      </c>
      <c r="AQ404" s="2835"/>
      <c r="AR404" s="2836"/>
      <c r="AS404" s="2837"/>
      <c r="AU404" s="596">
        <f ca="1">SUM((INDIRECT(AU$2&amp;(ROW())):INDIRECT(AU$3&amp;(ROW()))))</f>
        <v>574.69983016949448</v>
      </c>
      <c r="AV404" s="2002">
        <f ca="1">SUM(INDIRECT(AV$1&amp;AV$2&amp;$C404):INDIRECT(AV$1&amp;AV$3&amp;$C404))</f>
        <v>0</v>
      </c>
      <c r="AW404" s="2767">
        <f t="shared" ca="1" si="713"/>
        <v>574.69983016949448</v>
      </c>
      <c r="AX404" s="2768">
        <f t="shared" ca="1" si="714"/>
        <v>0</v>
      </c>
      <c r="AY404" s="2835"/>
      <c r="AZ404" s="2836"/>
      <c r="BA404" s="2837"/>
      <c r="BC404" s="596">
        <f ca="1">SUM((INDIRECT(BC$2&amp;(ROW())):INDIRECT(BC$3&amp;(ROW()))))</f>
        <v>574.69983016949448</v>
      </c>
      <c r="BD404" s="2002">
        <f ca="1">SUM(INDIRECT(BD$1&amp;BD$2&amp;$C404):INDIRECT(BD$1&amp;BD$3&amp;$C404))</f>
        <v>0</v>
      </c>
      <c r="BE404" s="2767">
        <f t="shared" ca="1" si="717"/>
        <v>574.69983016949448</v>
      </c>
      <c r="BF404" s="2768">
        <f t="shared" ca="1" si="718"/>
        <v>0</v>
      </c>
      <c r="BG404" s="2835"/>
      <c r="BH404" s="2836"/>
      <c r="BI404" s="2837"/>
    </row>
    <row r="405" spans="1:61" ht="14.5">
      <c r="A405" s="1693">
        <f t="shared" si="841"/>
        <v>404</v>
      </c>
      <c r="B405" s="616">
        <v>1</v>
      </c>
      <c r="C405" s="1693">
        <f t="shared" si="840"/>
        <v>405</v>
      </c>
      <c r="D405" s="616">
        <v>1</v>
      </c>
      <c r="E405" s="709" t="s">
        <v>512</v>
      </c>
      <c r="F405" s="1572"/>
      <c r="G405" s="519"/>
      <c r="H405" s="4"/>
      <c r="I405" s="4"/>
      <c r="J405" s="27"/>
      <c r="K405" s="36"/>
      <c r="L405" s="635"/>
      <c r="M405" s="635"/>
      <c r="N405" s="635"/>
      <c r="O405" s="47" t="s">
        <v>603</v>
      </c>
      <c r="P405" s="674"/>
      <c r="Q405" s="674"/>
      <c r="R405" s="1784" t="str">
        <f>CHOOSE(2, "6722000004526", "PL (5) SGA Expenses Breakdown of SG&amp;A: ITS BPS")</f>
        <v>PL (5) SGA Expenses Breakdown of SG&amp;A: ITS BPS</v>
      </c>
      <c r="S405" s="1329">
        <f>S401-S402-S404</f>
        <v>0</v>
      </c>
      <c r="T405" s="1428">
        <f t="shared" ref="T405:AD405" si="844">T401-T402-T404</f>
        <v>0</v>
      </c>
      <c r="U405" s="1428">
        <f t="shared" si="844"/>
        <v>0</v>
      </c>
      <c r="V405" s="1428">
        <f t="shared" si="844"/>
        <v>0</v>
      </c>
      <c r="W405" s="1428">
        <f t="shared" si="844"/>
        <v>0</v>
      </c>
      <c r="X405" s="1428">
        <f t="shared" si="844"/>
        <v>0</v>
      </c>
      <c r="Y405" s="1428">
        <f t="shared" si="844"/>
        <v>0</v>
      </c>
      <c r="Z405" s="1428">
        <f t="shared" si="844"/>
        <v>0</v>
      </c>
      <c r="AA405" s="1428">
        <f t="shared" si="844"/>
        <v>0</v>
      </c>
      <c r="AB405" s="1428">
        <f t="shared" si="844"/>
        <v>0</v>
      </c>
      <c r="AC405" s="1428">
        <f t="shared" si="844"/>
        <v>0</v>
      </c>
      <c r="AD405" s="1428">
        <f t="shared" si="844"/>
        <v>0</v>
      </c>
      <c r="AE405" s="1017">
        <f t="shared" si="832"/>
        <v>0</v>
      </c>
      <c r="AF405" s="1017">
        <f t="shared" si="835"/>
        <v>0</v>
      </c>
      <c r="AG405" s="1017">
        <f t="shared" si="833"/>
        <v>0</v>
      </c>
      <c r="AH405" s="1017">
        <f t="shared" si="834"/>
        <v>0</v>
      </c>
      <c r="AI405" s="1017">
        <f t="shared" si="837"/>
        <v>0</v>
      </c>
      <c r="AJ405" s="1017">
        <f t="shared" si="838"/>
        <v>0</v>
      </c>
      <c r="AK405" s="1017">
        <f t="shared" si="839"/>
        <v>0</v>
      </c>
      <c r="AM405" s="585">
        <f ca="1">SUM((INDIRECT(AM$2&amp;(ROW())):INDIRECT(AM$3&amp;(ROW()))))</f>
        <v>0</v>
      </c>
      <c r="AN405" s="2079">
        <f ca="1">SUM(INDIRECT(AN$1&amp;AN$2&amp;$C405):INDIRECT(AN$1&amp;AN$3&amp;$C405))</f>
        <v>1070.064714813082</v>
      </c>
      <c r="AO405" s="2833">
        <f t="shared" ca="1" si="820"/>
        <v>-1070.064714813082</v>
      </c>
      <c r="AP405" s="2834">
        <f t="shared" ca="1" si="711"/>
        <v>0</v>
      </c>
      <c r="AQ405" s="2841"/>
      <c r="AR405" s="2842"/>
      <c r="AS405" s="2843"/>
      <c r="AU405" s="585">
        <f ca="1">SUM((INDIRECT(AU$2&amp;(ROW())):INDIRECT(AU$3&amp;(ROW()))))</f>
        <v>0</v>
      </c>
      <c r="AV405" s="2079">
        <f ca="1">SUM(INDIRECT(AV$1&amp;AV$2&amp;$C405):INDIRECT(AV$1&amp;AV$3&amp;$C405))</f>
        <v>1070.064714813082</v>
      </c>
      <c r="AW405" s="2833">
        <f t="shared" ca="1" si="713"/>
        <v>-1070.064714813082</v>
      </c>
      <c r="AX405" s="2834">
        <f t="shared" ca="1" si="714"/>
        <v>0</v>
      </c>
      <c r="AY405" s="2841"/>
      <c r="AZ405" s="2842"/>
      <c r="BA405" s="2843"/>
      <c r="BC405" s="585">
        <f ca="1">SUM((INDIRECT(BC$2&amp;(ROW())):INDIRECT(BC$3&amp;(ROW()))))</f>
        <v>0</v>
      </c>
      <c r="BD405" s="2079">
        <f ca="1">SUM(INDIRECT(BD$1&amp;BD$2&amp;$C405):INDIRECT(BD$1&amp;BD$3&amp;$C405))</f>
        <v>1070.064714813082</v>
      </c>
      <c r="BE405" s="2833">
        <f t="shared" ca="1" si="717"/>
        <v>-1070.064714813082</v>
      </c>
      <c r="BF405" s="2834">
        <f t="shared" ca="1" si="718"/>
        <v>0</v>
      </c>
      <c r="BG405" s="2841"/>
      <c r="BH405" s="2842"/>
      <c r="BI405" s="2843"/>
    </row>
    <row r="406" spans="1:61" ht="14.5">
      <c r="A406" s="1693">
        <f t="shared" si="841"/>
        <v>405</v>
      </c>
      <c r="B406" s="616">
        <v>1</v>
      </c>
      <c r="C406" s="1693">
        <f t="shared" si="840"/>
        <v>406</v>
      </c>
      <c r="D406" s="616">
        <v>1</v>
      </c>
      <c r="E406" s="709" t="s">
        <v>512</v>
      </c>
      <c r="F406" s="1572"/>
      <c r="G406" s="4"/>
      <c r="H406" s="4"/>
      <c r="I406" s="4"/>
      <c r="J406" s="327" t="s">
        <v>56</v>
      </c>
      <c r="K406" s="328"/>
      <c r="L406" s="329"/>
      <c r="M406" s="329"/>
      <c r="N406" s="329"/>
      <c r="O406" s="329"/>
      <c r="P406" s="329"/>
      <c r="Q406" s="868"/>
      <c r="R406" s="1804" t="str">
        <f>CHOOSE(2, "6722000003324", "PL (5) Business Contribution Profit")</f>
        <v>PL (5) Business Contribution Profit</v>
      </c>
      <c r="S406" s="1316">
        <f t="shared" ref="S406:AD406" si="845">S373-S393</f>
        <v>-677.69983016949448</v>
      </c>
      <c r="T406" s="1191">
        <f t="shared" si="845"/>
        <v>126.23530369669038</v>
      </c>
      <c r="U406" s="1191">
        <f t="shared" si="845"/>
        <v>-373.57822404925923</v>
      </c>
      <c r="V406" s="1191">
        <f t="shared" si="845"/>
        <v>-238.29885267039896</v>
      </c>
      <c r="W406" s="1191">
        <f t="shared" si="845"/>
        <v>-110.10286758796076</v>
      </c>
      <c r="X406" s="1191">
        <f t="shared" si="845"/>
        <v>1144.6714247474256</v>
      </c>
      <c r="Y406" s="1191">
        <f t="shared" si="845"/>
        <v>-290.58434904092519</v>
      </c>
      <c r="Z406" s="1191">
        <f t="shared" si="845"/>
        <v>418.63570478658539</v>
      </c>
      <c r="AA406" s="1191">
        <f t="shared" si="845"/>
        <v>-556.03546406846522</v>
      </c>
      <c r="AB406" s="1191">
        <f t="shared" si="845"/>
        <v>1342.2031180443873</v>
      </c>
      <c r="AC406" s="1191">
        <f t="shared" si="845"/>
        <v>1058.2871407621487</v>
      </c>
      <c r="AD406" s="1191">
        <f t="shared" si="845"/>
        <v>1593.8301420779592</v>
      </c>
      <c r="AE406" s="887">
        <f t="shared" ref="AE406:AK406" si="846">AE373-AE393</f>
        <v>-925.04275052206344</v>
      </c>
      <c r="AF406" s="117">
        <f t="shared" si="846"/>
        <v>796.26970448906604</v>
      </c>
      <c r="AG406" s="117">
        <f t="shared" si="846"/>
        <v>-427.98410832280479</v>
      </c>
      <c r="AH406" s="117">
        <f t="shared" si="846"/>
        <v>3994.3204008844959</v>
      </c>
      <c r="AI406" s="117">
        <f t="shared" si="846"/>
        <v>-128.77304603299763</v>
      </c>
      <c r="AJ406" s="117">
        <f t="shared" si="846"/>
        <v>3566.3362925616916</v>
      </c>
      <c r="AK406" s="117">
        <f t="shared" si="846"/>
        <v>3437.5632465286935</v>
      </c>
      <c r="AL406" s="504"/>
      <c r="AM406" s="2094">
        <f ca="1">SUM((INDIRECT(AM$2&amp;(ROW())):INDIRECT(AM$3&amp;(ROW()))))</f>
        <v>-677.69983016949448</v>
      </c>
      <c r="AN406" s="2060">
        <f ca="1">SUM(INDIRECT(AN$1&amp;AN$2&amp;$C406):INDIRECT(AN$1&amp;AN$3&amp;$C406))</f>
        <v>-700.06471481308199</v>
      </c>
      <c r="AO406" s="2844">
        <f t="shared" ca="1" si="820"/>
        <v>22.364884643587516</v>
      </c>
      <c r="AP406" s="2845">
        <f t="shared" ca="1" si="711"/>
        <v>0.96805311827555973</v>
      </c>
      <c r="AQ406" s="2846">
        <f ca="1">AQ373-AQ393</f>
        <v>-1539</v>
      </c>
      <c r="AR406" s="2844">
        <f t="shared" ca="1" si="692"/>
        <v>861.30016983050552</v>
      </c>
      <c r="AS406" s="2845">
        <f t="shared" ca="1" si="795"/>
        <v>0.44035076684177676</v>
      </c>
      <c r="AU406" s="2094">
        <f ca="1">SUM((INDIRECT(AU$2&amp;(ROW())):INDIRECT(AU$3&amp;(ROW()))))</f>
        <v>-677.69983016949448</v>
      </c>
      <c r="AV406" s="2060">
        <f ca="1">SUM(INDIRECT(AV$1&amp;AV$2&amp;$C406):INDIRECT(AV$1&amp;AV$3&amp;$C406))</f>
        <v>-700.06471481308199</v>
      </c>
      <c r="AW406" s="2844">
        <f t="shared" ca="1" si="713"/>
        <v>22.364884643587516</v>
      </c>
      <c r="AX406" s="2845">
        <f t="shared" ca="1" si="714"/>
        <v>0.96805311827555973</v>
      </c>
      <c r="AY406" s="2846">
        <f ca="1">AY373-AY393</f>
        <v>-1539</v>
      </c>
      <c r="AZ406" s="2844">
        <f t="shared" ca="1" si="715"/>
        <v>861.30016983050552</v>
      </c>
      <c r="BA406" s="2845">
        <f t="shared" ca="1" si="799"/>
        <v>0.44035076684177676</v>
      </c>
      <c r="BC406" s="2094">
        <f ca="1">SUM((INDIRECT(BC$2&amp;(ROW())):INDIRECT(BC$3&amp;(ROW()))))</f>
        <v>-677.69983016949448</v>
      </c>
      <c r="BD406" s="2060">
        <f ca="1">SUM(INDIRECT(BD$1&amp;BD$2&amp;$C406):INDIRECT(BD$1&amp;BD$3&amp;$C406))</f>
        <v>-700.06471481308199</v>
      </c>
      <c r="BE406" s="2844">
        <f t="shared" ca="1" si="717"/>
        <v>22.364884643587516</v>
      </c>
      <c r="BF406" s="2845">
        <f t="shared" ca="1" si="718"/>
        <v>0.96805311827555973</v>
      </c>
      <c r="BG406" s="2846">
        <f ca="1">BG373-BG393</f>
        <v>-1539</v>
      </c>
      <c r="BH406" s="2844">
        <f t="shared" ca="1" si="719"/>
        <v>861.30016983050552</v>
      </c>
      <c r="BI406" s="2845">
        <f t="shared" ca="1" si="803"/>
        <v>0.44035076684177676</v>
      </c>
    </row>
    <row r="407" spans="1:61" ht="14.5">
      <c r="A407" s="1693">
        <f t="shared" si="841"/>
        <v>406</v>
      </c>
      <c r="B407" s="616">
        <v>1</v>
      </c>
      <c r="C407" s="1693">
        <f t="shared" si="840"/>
        <v>407</v>
      </c>
      <c r="D407" s="616">
        <v>1</v>
      </c>
      <c r="E407" s="709" t="s">
        <v>512</v>
      </c>
      <c r="F407" s="1572"/>
      <c r="G407" s="4"/>
      <c r="H407" s="4"/>
      <c r="I407" s="4"/>
      <c r="J407" s="27"/>
      <c r="K407" s="503" t="s">
        <v>55</v>
      </c>
      <c r="L407" s="4"/>
      <c r="M407" s="4"/>
      <c r="N407" s="3"/>
      <c r="O407" s="3"/>
      <c r="P407" s="3"/>
      <c r="Q407" s="3"/>
      <c r="R407" s="1792" t="str">
        <f>CHOOSE(2, "6722000003325", "PL (5) Business Contribution Profit (%)")</f>
        <v>PL (5) Business Contribution Profit (%)</v>
      </c>
      <c r="S407" s="1304">
        <f t="shared" ref="S407:AD407" si="847">IFERROR(S406/S353,0)</f>
        <v>-5.6008250427230948</v>
      </c>
      <c r="T407" s="1283">
        <f t="shared" si="847"/>
        <v>7.3873094186836338E-2</v>
      </c>
      <c r="U407" s="1283">
        <f t="shared" si="847"/>
        <v>-2.1949366865408888</v>
      </c>
      <c r="V407" s="1283">
        <f t="shared" si="847"/>
        <v>-0.30684336449046623</v>
      </c>
      <c r="W407" s="1283">
        <f t="shared" si="847"/>
        <v>-0.10900194791402906</v>
      </c>
      <c r="X407" s="1283">
        <f t="shared" si="847"/>
        <v>0.63912419025540235</v>
      </c>
      <c r="Y407" s="1283">
        <f t="shared" si="847"/>
        <v>-3.4146221978957132</v>
      </c>
      <c r="Z407" s="1283">
        <f t="shared" si="847"/>
        <v>0.22327237588617888</v>
      </c>
      <c r="AA407" s="1283">
        <f t="shared" si="847"/>
        <v>-5.8290749980969201</v>
      </c>
      <c r="AB407" s="1283">
        <f t="shared" si="847"/>
        <v>0.42394286735451275</v>
      </c>
      <c r="AC407" s="1283">
        <f t="shared" si="847"/>
        <v>0.32181024208955356</v>
      </c>
      <c r="AD407" s="1283">
        <f t="shared" si="847"/>
        <v>0.38922758713203426</v>
      </c>
      <c r="AE407" s="1283">
        <f t="shared" ref="AE407:AK407" si="848">IFERROR(AE406/AE353,0)</f>
        <v>-0.46251836889163389</v>
      </c>
      <c r="AF407" s="1283">
        <f t="shared" si="848"/>
        <v>0.22256382273403241</v>
      </c>
      <c r="AG407" s="1283">
        <f t="shared" si="848"/>
        <v>-0.208215125504286</v>
      </c>
      <c r="AH407" s="1283">
        <f t="shared" si="848"/>
        <v>0.37863017405206395</v>
      </c>
      <c r="AI407" s="1283">
        <f t="shared" si="848"/>
        <v>-2.3087011256197665E-2</v>
      </c>
      <c r="AJ407" s="1283">
        <f t="shared" si="848"/>
        <v>0.28293280293816908</v>
      </c>
      <c r="AK407" s="1283">
        <f t="shared" si="848"/>
        <v>0.1890576931056778</v>
      </c>
      <c r="AL407" s="504"/>
      <c r="AM407" s="1304">
        <f ca="1">IFERROR(AM406/AM353,0)</f>
        <v>-5.6008250427230948</v>
      </c>
      <c r="AN407" s="1283">
        <f ca="1">IFERROR(AN406/AN353,0)</f>
        <v>-0.70006471481308197</v>
      </c>
      <c r="AO407" s="1283">
        <f t="shared" ca="1" si="820"/>
        <v>-4.9007603279100129</v>
      </c>
      <c r="AP407" s="2777"/>
      <c r="AQ407" s="1283">
        <f ca="1">IFERROR(AQ406/AQ353,0)</f>
        <v>-4.2750000000000004</v>
      </c>
      <c r="AR407" s="1283">
        <f t="shared" ca="1" si="692"/>
        <v>-1.3258250427230944</v>
      </c>
      <c r="AS407" s="2777"/>
      <c r="AT407" s="504"/>
      <c r="AU407" s="1304">
        <f ca="1">IFERROR(AU406/AU353,0)</f>
        <v>-5.6008250427230948</v>
      </c>
      <c r="AV407" s="1283">
        <f ca="1">IFERROR(AV406/AV353,0)</f>
        <v>-0.70006471481308197</v>
      </c>
      <c r="AW407" s="1283">
        <f t="shared" ca="1" si="713"/>
        <v>-4.9007603279100129</v>
      </c>
      <c r="AX407" s="2777"/>
      <c r="AY407" s="1283">
        <f ca="1">IFERROR(AY406/AY353,0)</f>
        <v>-4.2750000000000004</v>
      </c>
      <c r="AZ407" s="1283">
        <f t="shared" ca="1" si="715"/>
        <v>-1.3258250427230944</v>
      </c>
      <c r="BA407" s="2777"/>
      <c r="BB407" s="504"/>
      <c r="BC407" s="1304">
        <f ca="1">IFERROR(BC406/BC353,0)</f>
        <v>-5.6008250427230948</v>
      </c>
      <c r="BD407" s="1283">
        <f ca="1">IFERROR(BD406/BD353,0)</f>
        <v>-0.70006471481308197</v>
      </c>
      <c r="BE407" s="1283">
        <f t="shared" ca="1" si="717"/>
        <v>-4.9007603279100129</v>
      </c>
      <c r="BF407" s="2777"/>
      <c r="BG407" s="1283">
        <f ca="1">IFERROR(BG406/BG353,0)</f>
        <v>-4.2750000000000004</v>
      </c>
      <c r="BH407" s="1283">
        <f t="shared" ca="1" si="719"/>
        <v>-1.3258250427230944</v>
      </c>
      <c r="BI407" s="2777"/>
    </row>
    <row r="408" spans="1:61" ht="14.5">
      <c r="A408" s="1693">
        <f t="shared" si="841"/>
        <v>407</v>
      </c>
      <c r="B408" s="616">
        <v>1</v>
      </c>
      <c r="C408" s="1693">
        <f t="shared" si="840"/>
        <v>408</v>
      </c>
      <c r="D408" s="616">
        <v>1</v>
      </c>
      <c r="E408" s="709" t="s">
        <v>512</v>
      </c>
      <c r="F408" s="1572"/>
      <c r="G408" s="4"/>
      <c r="H408" s="4"/>
      <c r="I408" s="4"/>
      <c r="J408" s="27"/>
      <c r="K408" s="301" t="s">
        <v>813</v>
      </c>
      <c r="L408" s="1080"/>
      <c r="M408" s="1080"/>
      <c r="N408" s="301"/>
      <c r="O408" s="301"/>
      <c r="P408" s="301"/>
      <c r="Q408" s="301"/>
      <c r="R408" s="1796" t="str">
        <f>CHOOSE(2, "6722000003326", "PL (5) Business Contribution Profit BCP: ITS")</f>
        <v>PL (5) Business Contribution Profit BCP: ITS</v>
      </c>
      <c r="S408" s="1458">
        <f>S384-S401</f>
        <v>-677.69983016949448</v>
      </c>
      <c r="T408" s="1459">
        <f t="shared" ref="T408:AD409" si="849">T384-T401</f>
        <v>126.23530369669038</v>
      </c>
      <c r="U408" s="1459">
        <f t="shared" si="849"/>
        <v>-373.57822404925923</v>
      </c>
      <c r="V408" s="1459">
        <f t="shared" si="849"/>
        <v>-238.29885267039896</v>
      </c>
      <c r="W408" s="1459">
        <f t="shared" si="849"/>
        <v>-110.10286758796076</v>
      </c>
      <c r="X408" s="1459">
        <f>X384-X401</f>
        <v>1144.6714247474256</v>
      </c>
      <c r="Y408" s="1459">
        <f t="shared" si="849"/>
        <v>-290.58434904092519</v>
      </c>
      <c r="Z408" s="1459">
        <f t="shared" si="849"/>
        <v>418.63570478658539</v>
      </c>
      <c r="AA408" s="1459">
        <f t="shared" si="849"/>
        <v>-622.16449406846527</v>
      </c>
      <c r="AB408" s="1459">
        <f t="shared" si="849"/>
        <v>1342.2031180443873</v>
      </c>
      <c r="AC408" s="1459">
        <f t="shared" si="849"/>
        <v>1058.2871407621487</v>
      </c>
      <c r="AD408" s="1459">
        <f t="shared" si="849"/>
        <v>1593.8301420779592</v>
      </c>
      <c r="AE408" s="1459">
        <f t="shared" ref="AE408:AK409" si="850">AE384-AE401</f>
        <v>-925.04275052206344</v>
      </c>
      <c r="AF408" s="1459">
        <f>AF384-AF401</f>
        <v>796.26970448906582</v>
      </c>
      <c r="AG408" s="1459">
        <f t="shared" si="850"/>
        <v>-494.11313832280507</v>
      </c>
      <c r="AH408" s="1459">
        <f t="shared" si="850"/>
        <v>3994.3204008844959</v>
      </c>
      <c r="AI408" s="1459">
        <f t="shared" si="850"/>
        <v>-128.77304603299763</v>
      </c>
      <c r="AJ408" s="1459">
        <f t="shared" si="850"/>
        <v>3500.2072625616911</v>
      </c>
      <c r="AK408" s="1459">
        <f t="shared" si="850"/>
        <v>3371.4342165286944</v>
      </c>
      <c r="AL408" s="504"/>
      <c r="AM408" s="2041">
        <f ca="1">SUM((INDIRECT(AM$2&amp;(ROW())):INDIRECT(AM$3&amp;(ROW()))))</f>
        <v>-677.69983016949448</v>
      </c>
      <c r="AN408" s="2042">
        <f ca="1">SUM(INDIRECT(AN$1&amp;AN$2&amp;$C408):INDIRECT(AN$1&amp;AN$3&amp;$C408))</f>
        <v>-700.06471481308199</v>
      </c>
      <c r="AO408" s="2805">
        <f t="shared" ca="1" si="820"/>
        <v>22.364884643587516</v>
      </c>
      <c r="AP408" s="2806">
        <f t="shared" ref="AP408:AP418" ca="1" si="851">IFERROR(AM408/AN408,0)</f>
        <v>0.96805311827555973</v>
      </c>
      <c r="AQ408" s="2042">
        <f ca="1">SUM(INDIRECT(AQ$1&amp;AQ$2&amp;$A408):INDIRECT(AQ$1&amp;AQ$3&amp;$A408))+SUM(INDIRECT(AQ$1&amp;AQ$2&amp;$B408):INDIRECT(AQ$1&amp;AQ$3&amp;$B408))</f>
        <v>-1539</v>
      </c>
      <c r="AR408" s="2805">
        <f t="shared" ca="1" si="692"/>
        <v>861.30016983050552</v>
      </c>
      <c r="AS408" s="2806">
        <f t="shared" ref="AS408:AS413" ca="1" si="852">IFERROR(AM408/AQ408,0)</f>
        <v>0.44035076684177676</v>
      </c>
      <c r="AU408" s="2041">
        <f ca="1">SUM((INDIRECT(AU$2&amp;(ROW())):INDIRECT(AU$3&amp;(ROW()))))</f>
        <v>-677.69983016949448</v>
      </c>
      <c r="AV408" s="2042">
        <f ca="1">SUM(INDIRECT(AV$1&amp;AV$2&amp;$C408):INDIRECT(AV$1&amp;AV$3&amp;$C408))</f>
        <v>-700.06471481308199</v>
      </c>
      <c r="AW408" s="2805">
        <f t="shared" ca="1" si="713"/>
        <v>22.364884643587516</v>
      </c>
      <c r="AX408" s="2806">
        <f t="shared" ref="AX408:AX418" ca="1" si="853">IFERROR(AU408/AV408,0)</f>
        <v>0.96805311827555973</v>
      </c>
      <c r="AY408" s="2042">
        <f ca="1">SUM(INDIRECT(AY$1&amp;AY$2&amp;$A408):INDIRECT(AY$1&amp;AY$3&amp;$A408))+SUM(INDIRECT(AY$1&amp;AY$2&amp;$B408):INDIRECT(AY$1&amp;AY$3&amp;$B408))</f>
        <v>-1539</v>
      </c>
      <c r="AZ408" s="2805">
        <f t="shared" ca="1" si="715"/>
        <v>861.30016983050552</v>
      </c>
      <c r="BA408" s="2806">
        <f t="shared" ref="BA408:BA413" ca="1" si="854">IFERROR(AU408/AY408,0)</f>
        <v>0.44035076684177676</v>
      </c>
      <c r="BC408" s="2041">
        <f ca="1">SUM((INDIRECT(BC$2&amp;(ROW())):INDIRECT(BC$3&amp;(ROW()))))</f>
        <v>-677.69983016949448</v>
      </c>
      <c r="BD408" s="2042">
        <f ca="1">SUM(INDIRECT(BD$1&amp;BD$2&amp;$C408):INDIRECT(BD$1&amp;BD$3&amp;$C408))</f>
        <v>-700.06471481308199</v>
      </c>
      <c r="BE408" s="2805">
        <f t="shared" ca="1" si="717"/>
        <v>22.364884643587516</v>
      </c>
      <c r="BF408" s="2806">
        <f t="shared" ref="BF408:BF418" ca="1" si="855">IFERROR(BC408/BD408,0)</f>
        <v>0.96805311827555973</v>
      </c>
      <c r="BG408" s="2042">
        <f ca="1">SUM(INDIRECT(BG$1&amp;BG$2&amp;$A408):INDIRECT(BG$1&amp;BG$3&amp;$A408))+SUM(INDIRECT(BG$1&amp;BG$2&amp;$B408):INDIRECT(BG$1&amp;BG$3&amp;$B408))</f>
        <v>-1539</v>
      </c>
      <c r="BH408" s="2805">
        <f t="shared" ca="1" si="719"/>
        <v>861.30016983050552</v>
      </c>
      <c r="BI408" s="2806">
        <f t="shared" ref="BI408:BI413" ca="1" si="856">IFERROR(BC408/BG408,0)</f>
        <v>0.44035076684177676</v>
      </c>
    </row>
    <row r="409" spans="1:61" ht="14.5">
      <c r="C409" s="1693">
        <f t="shared" si="840"/>
        <v>409</v>
      </c>
      <c r="E409" s="709" t="s">
        <v>512</v>
      </c>
      <c r="F409" s="1572"/>
      <c r="G409" s="519"/>
      <c r="H409" s="4"/>
      <c r="I409" s="4"/>
      <c r="J409" s="27"/>
      <c r="K409" s="3"/>
      <c r="L409" s="3" t="s">
        <v>848</v>
      </c>
      <c r="M409" s="4"/>
      <c r="N409" s="725"/>
      <c r="O409" s="3"/>
      <c r="P409" s="3"/>
      <c r="Q409" s="3"/>
      <c r="R409" s="1784" t="str">
        <f>CHOOSE(2, "6722000004527", "PL (5) Business Contribution Profit BCP: IMS")</f>
        <v>PL (5) Business Contribution Profit BCP: IMS</v>
      </c>
      <c r="S409" s="1734">
        <f>S385-S402</f>
        <v>0</v>
      </c>
      <c r="T409" s="1735">
        <f t="shared" si="849"/>
        <v>-133.17978334357701</v>
      </c>
      <c r="U409" s="1735">
        <f t="shared" si="849"/>
        <v>0</v>
      </c>
      <c r="V409" s="1735">
        <f t="shared" si="849"/>
        <v>-379.44396426268838</v>
      </c>
      <c r="W409" s="1735">
        <f t="shared" si="849"/>
        <v>0</v>
      </c>
      <c r="X409" s="1735">
        <f t="shared" si="849"/>
        <v>0</v>
      </c>
      <c r="Y409" s="1735">
        <f t="shared" si="849"/>
        <v>0</v>
      </c>
      <c r="Z409" s="1735">
        <f t="shared" si="849"/>
        <v>165</v>
      </c>
      <c r="AA409" s="1735">
        <f t="shared" si="849"/>
        <v>0</v>
      </c>
      <c r="AB409" s="1735">
        <f t="shared" si="849"/>
        <v>626.74008529106823</v>
      </c>
      <c r="AC409" s="1735">
        <f t="shared" si="849"/>
        <v>1058.2871407621487</v>
      </c>
      <c r="AD409" s="1735">
        <f t="shared" si="849"/>
        <v>520.00019893005083</v>
      </c>
      <c r="AE409" s="1735">
        <f t="shared" si="850"/>
        <v>-133.17978334357701</v>
      </c>
      <c r="AF409" s="1735">
        <f t="shared" si="850"/>
        <v>-379.44396426268838</v>
      </c>
      <c r="AG409" s="1735">
        <f t="shared" si="850"/>
        <v>165</v>
      </c>
      <c r="AH409" s="1735">
        <f t="shared" si="850"/>
        <v>2205.0274249832682</v>
      </c>
      <c r="AI409" s="1735">
        <f t="shared" si="850"/>
        <v>-512.6237476062654</v>
      </c>
      <c r="AJ409" s="1735">
        <f t="shared" si="850"/>
        <v>2370.0274249832682</v>
      </c>
      <c r="AK409" s="1735">
        <f t="shared" si="850"/>
        <v>1857.4036773770026</v>
      </c>
      <c r="AM409" s="596">
        <f ca="1">SUM((INDIRECT(AM$2&amp;(ROW())):INDIRECT(AM$3&amp;(ROW()))))</f>
        <v>0</v>
      </c>
      <c r="AN409" s="2002">
        <f ca="1">SUM(INDIRECT(AN$1&amp;AN$2&amp;$C409):INDIRECT(AN$1&amp;AN$3&amp;$C409))</f>
        <v>150</v>
      </c>
      <c r="AO409" s="2767">
        <f t="shared" ca="1" si="820"/>
        <v>-150</v>
      </c>
      <c r="AP409" s="2768">
        <f t="shared" ca="1" si="851"/>
        <v>0</v>
      </c>
      <c r="AQ409" s="2835"/>
      <c r="AR409" s="2836"/>
      <c r="AS409" s="2837"/>
      <c r="AU409" s="596">
        <f ca="1">SUM((INDIRECT(AU$2&amp;(ROW())):INDIRECT(AU$3&amp;(ROW()))))</f>
        <v>0</v>
      </c>
      <c r="AV409" s="2002">
        <f ca="1">SUM(INDIRECT(AV$1&amp;AV$2&amp;$C409):INDIRECT(AV$1&amp;AV$3&amp;$C409))</f>
        <v>150</v>
      </c>
      <c r="AW409" s="2767">
        <f t="shared" ca="1" si="713"/>
        <v>-150</v>
      </c>
      <c r="AX409" s="2768">
        <f t="shared" ca="1" si="853"/>
        <v>0</v>
      </c>
      <c r="AY409" s="2835"/>
      <c r="AZ409" s="2836"/>
      <c r="BA409" s="2837"/>
      <c r="BC409" s="596">
        <f ca="1">SUM((INDIRECT(BC$2&amp;(ROW())):INDIRECT(BC$3&amp;(ROW()))))</f>
        <v>0</v>
      </c>
      <c r="BD409" s="2002">
        <f ca="1">SUM(INDIRECT(BD$1&amp;BD$2&amp;$C409):INDIRECT(BD$1&amp;BD$3&amp;$C409))</f>
        <v>150</v>
      </c>
      <c r="BE409" s="2767">
        <f t="shared" ca="1" si="717"/>
        <v>-150</v>
      </c>
      <c r="BF409" s="2768">
        <f t="shared" ca="1" si="855"/>
        <v>0</v>
      </c>
      <c r="BG409" s="2835"/>
      <c r="BH409" s="2836"/>
      <c r="BI409" s="2837"/>
    </row>
    <row r="410" spans="1:61" ht="14.5">
      <c r="C410" s="1693">
        <f t="shared" si="840"/>
        <v>410</v>
      </c>
      <c r="E410" s="709" t="s">
        <v>512</v>
      </c>
      <c r="F410" s="1572"/>
      <c r="G410" s="519"/>
      <c r="H410" s="4"/>
      <c r="I410" s="4"/>
      <c r="J410" s="27"/>
      <c r="K410" s="3"/>
      <c r="L410" s="1736" t="s">
        <v>849</v>
      </c>
      <c r="M410" s="1740"/>
      <c r="N410" s="1740"/>
      <c r="O410" s="1736"/>
      <c r="P410" s="1736"/>
      <c r="Q410" s="1736"/>
      <c r="R410" s="1803" t="str">
        <f>CHOOSE(2, "6722000004528", "PL (5) Business Contribution Profit BCP: IIM")</f>
        <v>PL (5) Business Contribution Profit BCP: IIM</v>
      </c>
      <c r="S410" s="1737">
        <f t="shared" ref="S410:AD411" si="857">S386-S403</f>
        <v>-677.69983016949448</v>
      </c>
      <c r="T410" s="1738">
        <f t="shared" si="857"/>
        <v>259.41508704026745</v>
      </c>
      <c r="U410" s="1738">
        <f t="shared" si="857"/>
        <v>-373.57822404925923</v>
      </c>
      <c r="V410" s="1738">
        <f t="shared" si="857"/>
        <v>141.1451115922894</v>
      </c>
      <c r="W410" s="1738">
        <f t="shared" si="857"/>
        <v>-110.10286758796076</v>
      </c>
      <c r="X410" s="1738">
        <f t="shared" si="857"/>
        <v>1144.6714247474256</v>
      </c>
      <c r="Y410" s="1738">
        <f t="shared" si="857"/>
        <v>-290.58434904092519</v>
      </c>
      <c r="Z410" s="1738">
        <f t="shared" si="857"/>
        <v>253.63570478658539</v>
      </c>
      <c r="AA410" s="1738">
        <f t="shared" si="857"/>
        <v>-622.16449406846527</v>
      </c>
      <c r="AB410" s="1738">
        <f t="shared" si="857"/>
        <v>715.46303275331934</v>
      </c>
      <c r="AC410" s="1738">
        <f t="shared" si="857"/>
        <v>0</v>
      </c>
      <c r="AD410" s="1738">
        <f t="shared" si="857"/>
        <v>1073.8299431479086</v>
      </c>
      <c r="AE410" s="1738">
        <f t="shared" ref="AE410:AK411" si="858">AE386-AE403</f>
        <v>-791.86296717848631</v>
      </c>
      <c r="AF410" s="1738">
        <f t="shared" si="858"/>
        <v>1175.7136687517543</v>
      </c>
      <c r="AG410" s="1738">
        <f t="shared" si="858"/>
        <v>-659.11313832280507</v>
      </c>
      <c r="AH410" s="1738">
        <f t="shared" si="858"/>
        <v>1789.2929759012279</v>
      </c>
      <c r="AI410" s="1738">
        <f t="shared" si="858"/>
        <v>383.85070157326754</v>
      </c>
      <c r="AJ410" s="1738">
        <f t="shared" si="858"/>
        <v>1130.1798375784228</v>
      </c>
      <c r="AK410" s="1738">
        <f t="shared" si="858"/>
        <v>1514.0305391516904</v>
      </c>
      <c r="AM410" s="2066">
        <f ca="1">SUM((INDIRECT(AM$2&amp;(ROW())):INDIRECT(AM$3&amp;(ROW()))))</f>
        <v>-677.69983016949448</v>
      </c>
      <c r="AN410" s="2067">
        <f ca="1">SUM(INDIRECT(AN$1&amp;AN$2&amp;$C410):INDIRECT(AN$1&amp;AN$3&amp;$C410))</f>
        <v>-850.06471481308199</v>
      </c>
      <c r="AO410" s="2826">
        <f t="shared" ca="1" si="820"/>
        <v>172.36488464358752</v>
      </c>
      <c r="AP410" s="2827">
        <f t="shared" ca="1" si="851"/>
        <v>0.79723322043606026</v>
      </c>
      <c r="AQ410" s="2835"/>
      <c r="AR410" s="2836"/>
      <c r="AS410" s="2837"/>
      <c r="AU410" s="2066">
        <f ca="1">SUM((INDIRECT(AU$2&amp;(ROW())):INDIRECT(AU$3&amp;(ROW()))))</f>
        <v>-677.69983016949448</v>
      </c>
      <c r="AV410" s="2067">
        <f ca="1">SUM(INDIRECT(AV$1&amp;AV$2&amp;$C410):INDIRECT(AV$1&amp;AV$3&amp;$C410))</f>
        <v>-850.06471481308199</v>
      </c>
      <c r="AW410" s="2826">
        <f t="shared" ca="1" si="713"/>
        <v>172.36488464358752</v>
      </c>
      <c r="AX410" s="2827">
        <f t="shared" ca="1" si="853"/>
        <v>0.79723322043606026</v>
      </c>
      <c r="AY410" s="2835"/>
      <c r="AZ410" s="2836"/>
      <c r="BA410" s="2837"/>
      <c r="BC410" s="2066">
        <f ca="1">SUM((INDIRECT(BC$2&amp;(ROW())):INDIRECT(BC$3&amp;(ROW()))))</f>
        <v>-677.69983016949448</v>
      </c>
      <c r="BD410" s="2067">
        <f ca="1">SUM(INDIRECT(BD$1&amp;BD$2&amp;$C410):INDIRECT(BD$1&amp;BD$3&amp;$C410))</f>
        <v>-850.06471481308199</v>
      </c>
      <c r="BE410" s="2826">
        <f t="shared" ca="1" si="717"/>
        <v>172.36488464358752</v>
      </c>
      <c r="BF410" s="2827">
        <f t="shared" ca="1" si="855"/>
        <v>0.79723322043606026</v>
      </c>
      <c r="BG410" s="2835"/>
      <c r="BH410" s="2836"/>
      <c r="BI410" s="2837"/>
    </row>
    <row r="411" spans="1:61" ht="14.5">
      <c r="C411" s="1693">
        <f t="shared" si="840"/>
        <v>411</v>
      </c>
      <c r="E411" s="709" t="s">
        <v>512</v>
      </c>
      <c r="F411" s="1572"/>
      <c r="G411" s="519"/>
      <c r="H411" s="4"/>
      <c r="I411" s="4"/>
      <c r="J411" s="27"/>
      <c r="K411" s="3"/>
      <c r="L411" s="3"/>
      <c r="M411" s="3"/>
      <c r="N411" s="3" t="s">
        <v>851</v>
      </c>
      <c r="O411" s="3"/>
      <c r="P411" s="3"/>
      <c r="Q411" s="3"/>
      <c r="R411" s="1784" t="str">
        <f>CHOOSE(2, "6722000004529", "PL (5) Business Contribution Profit BCP: MCS")</f>
        <v>PL (5) Business Contribution Profit BCP: MCS</v>
      </c>
      <c r="S411" s="1734">
        <f>S387-S404</f>
        <v>-677.69983016949448</v>
      </c>
      <c r="T411" s="1735">
        <f t="shared" si="857"/>
        <v>259.41508704026745</v>
      </c>
      <c r="U411" s="1735">
        <f t="shared" si="857"/>
        <v>-373.57822404925923</v>
      </c>
      <c r="V411" s="1735">
        <f t="shared" si="857"/>
        <v>141.1451115922894</v>
      </c>
      <c r="W411" s="1735">
        <f t="shared" si="857"/>
        <v>-110.10286758796076</v>
      </c>
      <c r="X411" s="1735">
        <f t="shared" si="857"/>
        <v>1144.6714247474256</v>
      </c>
      <c r="Y411" s="1735">
        <f t="shared" si="857"/>
        <v>-290.58434904092519</v>
      </c>
      <c r="Z411" s="1735">
        <f t="shared" si="857"/>
        <v>253.63570478658539</v>
      </c>
      <c r="AA411" s="1735">
        <f t="shared" si="857"/>
        <v>-622.16449406846527</v>
      </c>
      <c r="AB411" s="1735">
        <f t="shared" si="857"/>
        <v>715.46303275331934</v>
      </c>
      <c r="AC411" s="1735">
        <f t="shared" si="857"/>
        <v>0</v>
      </c>
      <c r="AD411" s="1735">
        <f t="shared" si="857"/>
        <v>1073.8299431479086</v>
      </c>
      <c r="AE411" s="1735">
        <f t="shared" si="858"/>
        <v>-791.86296717848631</v>
      </c>
      <c r="AF411" s="1735">
        <f t="shared" si="858"/>
        <v>1175.7136687517543</v>
      </c>
      <c r="AG411" s="1735">
        <f t="shared" si="858"/>
        <v>-659.11313832280507</v>
      </c>
      <c r="AH411" s="1735">
        <f t="shared" si="858"/>
        <v>1789.2929759012279</v>
      </c>
      <c r="AI411" s="1735">
        <f t="shared" si="858"/>
        <v>383.85070157326754</v>
      </c>
      <c r="AJ411" s="1735">
        <f t="shared" si="858"/>
        <v>1130.1798375784228</v>
      </c>
      <c r="AK411" s="1735">
        <f t="shared" si="858"/>
        <v>1514.0305391516904</v>
      </c>
      <c r="AM411" s="596">
        <f ca="1">SUM((INDIRECT(AM$2&amp;(ROW())):INDIRECT(AM$3&amp;(ROW()))))</f>
        <v>-677.69983016949448</v>
      </c>
      <c r="AN411" s="2002">
        <f ca="1">SUM(INDIRECT(AN$1&amp;AN$2&amp;$C411):INDIRECT(AN$1&amp;AN$3&amp;$C411))</f>
        <v>220</v>
      </c>
      <c r="AO411" s="2767">
        <f t="shared" ca="1" si="820"/>
        <v>-897.69983016949448</v>
      </c>
      <c r="AP411" s="2768">
        <f t="shared" ca="1" si="851"/>
        <v>-3.0804537734977022</v>
      </c>
      <c r="AQ411" s="2835"/>
      <c r="AR411" s="2836"/>
      <c r="AS411" s="2837"/>
      <c r="AU411" s="596">
        <f ca="1">SUM((INDIRECT(AU$2&amp;(ROW())):INDIRECT(AU$3&amp;(ROW()))))</f>
        <v>-677.69983016949448</v>
      </c>
      <c r="AV411" s="2002">
        <f ca="1">SUM(INDIRECT(AV$1&amp;AV$2&amp;$C411):INDIRECT(AV$1&amp;AV$3&amp;$C411))</f>
        <v>220</v>
      </c>
      <c r="AW411" s="2767">
        <f t="shared" ca="1" si="713"/>
        <v>-897.69983016949448</v>
      </c>
      <c r="AX411" s="2768">
        <f t="shared" ca="1" si="853"/>
        <v>-3.0804537734977022</v>
      </c>
      <c r="AY411" s="2835"/>
      <c r="AZ411" s="2836"/>
      <c r="BA411" s="2837"/>
      <c r="BC411" s="596">
        <f ca="1">SUM((INDIRECT(BC$2&amp;(ROW())):INDIRECT(BC$3&amp;(ROW()))))</f>
        <v>-677.69983016949448</v>
      </c>
      <c r="BD411" s="2002">
        <f ca="1">SUM(INDIRECT(BD$1&amp;BD$2&amp;$C411):INDIRECT(BD$1&amp;BD$3&amp;$C411))</f>
        <v>220</v>
      </c>
      <c r="BE411" s="2767">
        <f t="shared" ca="1" si="717"/>
        <v>-897.69983016949448</v>
      </c>
      <c r="BF411" s="2768">
        <f t="shared" ca="1" si="855"/>
        <v>-3.0804537734977022</v>
      </c>
      <c r="BG411" s="2835"/>
      <c r="BH411" s="2836"/>
      <c r="BI411" s="2837"/>
    </row>
    <row r="412" spans="1:61" ht="14.5">
      <c r="C412" s="1693">
        <f t="shared" si="840"/>
        <v>412</v>
      </c>
      <c r="E412" s="709" t="s">
        <v>512</v>
      </c>
      <c r="F412" s="1572"/>
      <c r="G412" s="519"/>
      <c r="H412" s="4"/>
      <c r="I412" s="4"/>
      <c r="J412" s="27"/>
      <c r="K412" s="3"/>
      <c r="L412" s="3"/>
      <c r="M412" s="3"/>
      <c r="N412" s="3" t="s">
        <v>850</v>
      </c>
      <c r="O412" s="3"/>
      <c r="P412" s="3"/>
      <c r="Q412" s="3"/>
      <c r="R412" s="1784" t="str">
        <f>CHOOSE(2, "6722000004530", "PL (5) Business Contribution Profit BCP: BPS")</f>
        <v>PL (5) Business Contribution Profit BCP: BPS</v>
      </c>
      <c r="S412" s="1734">
        <f t="shared" ref="S412:AD412" si="859">S388-S405</f>
        <v>0</v>
      </c>
      <c r="T412" s="1735">
        <f t="shared" si="859"/>
        <v>0</v>
      </c>
      <c r="U412" s="1735">
        <f t="shared" si="859"/>
        <v>0</v>
      </c>
      <c r="V412" s="1735">
        <f t="shared" si="859"/>
        <v>0</v>
      </c>
      <c r="W412" s="1735">
        <f t="shared" si="859"/>
        <v>0</v>
      </c>
      <c r="X412" s="1735">
        <f t="shared" si="859"/>
        <v>0</v>
      </c>
      <c r="Y412" s="1735">
        <f t="shared" si="859"/>
        <v>0</v>
      </c>
      <c r="Z412" s="1735">
        <f t="shared" si="859"/>
        <v>0</v>
      </c>
      <c r="AA412" s="1735">
        <f t="shared" si="859"/>
        <v>0</v>
      </c>
      <c r="AB412" s="1735">
        <f t="shared" si="859"/>
        <v>0</v>
      </c>
      <c r="AC412" s="1735">
        <f t="shared" si="859"/>
        <v>0</v>
      </c>
      <c r="AD412" s="1735">
        <f t="shared" si="859"/>
        <v>0</v>
      </c>
      <c r="AE412" s="1735">
        <f t="shared" ref="AE412:AK412" si="860">AE388-AE405</f>
        <v>0</v>
      </c>
      <c r="AF412" s="1735">
        <f t="shared" si="860"/>
        <v>0</v>
      </c>
      <c r="AG412" s="1735">
        <f t="shared" si="860"/>
        <v>0</v>
      </c>
      <c r="AH412" s="1735">
        <f t="shared" si="860"/>
        <v>0</v>
      </c>
      <c r="AI412" s="1735">
        <f t="shared" si="860"/>
        <v>0</v>
      </c>
      <c r="AJ412" s="1735">
        <f t="shared" si="860"/>
        <v>0</v>
      </c>
      <c r="AK412" s="1735">
        <f t="shared" si="860"/>
        <v>0</v>
      </c>
      <c r="AL412" s="504"/>
      <c r="AM412" s="596">
        <f ca="1">SUM((INDIRECT(AM$2&amp;(ROW())):INDIRECT(AM$3&amp;(ROW()))))</f>
        <v>0</v>
      </c>
      <c r="AN412" s="2002">
        <f ca="1">SUM(INDIRECT(AN$1&amp;AN$2&amp;$C412):INDIRECT(AN$1&amp;AN$3&amp;$C412))</f>
        <v>-1070.064714813082</v>
      </c>
      <c r="AO412" s="2767">
        <f t="shared" ca="1" si="820"/>
        <v>1070.064714813082</v>
      </c>
      <c r="AP412" s="2768">
        <f t="shared" ca="1" si="851"/>
        <v>0</v>
      </c>
      <c r="AQ412" s="2835"/>
      <c r="AR412" s="2836"/>
      <c r="AS412" s="2837"/>
      <c r="AU412" s="596">
        <f ca="1">SUM((INDIRECT(AU$2&amp;(ROW())):INDIRECT(AU$3&amp;(ROW()))))</f>
        <v>0</v>
      </c>
      <c r="AV412" s="2002">
        <f ca="1">SUM(INDIRECT(AV$1&amp;AV$2&amp;$C412):INDIRECT(AV$1&amp;AV$3&amp;$C412))</f>
        <v>-1070.064714813082</v>
      </c>
      <c r="AW412" s="2767">
        <f t="shared" ca="1" si="713"/>
        <v>1070.064714813082</v>
      </c>
      <c r="AX412" s="2768">
        <f t="shared" ca="1" si="853"/>
        <v>0</v>
      </c>
      <c r="AY412" s="2835"/>
      <c r="AZ412" s="2836"/>
      <c r="BA412" s="2837"/>
      <c r="BC412" s="596">
        <f ca="1">SUM((INDIRECT(BC$2&amp;(ROW())):INDIRECT(BC$3&amp;(ROW()))))</f>
        <v>0</v>
      </c>
      <c r="BD412" s="2002">
        <f ca="1">SUM(INDIRECT(BD$1&amp;BD$2&amp;$C412):INDIRECT(BD$1&amp;BD$3&amp;$C412))</f>
        <v>-1070.064714813082</v>
      </c>
      <c r="BE412" s="2767">
        <f t="shared" ca="1" si="717"/>
        <v>1070.064714813082</v>
      </c>
      <c r="BF412" s="2768">
        <f t="shared" ca="1" si="855"/>
        <v>0</v>
      </c>
      <c r="BG412" s="2835"/>
      <c r="BH412" s="2836"/>
      <c r="BI412" s="2837"/>
    </row>
    <row r="413" spans="1:61" ht="14.5">
      <c r="A413" s="1693">
        <f>A408+1</f>
        <v>408</v>
      </c>
      <c r="B413" s="616">
        <v>1</v>
      </c>
      <c r="C413" s="1693">
        <f t="shared" si="840"/>
        <v>413</v>
      </c>
      <c r="D413" s="616">
        <v>1</v>
      </c>
      <c r="E413" s="709" t="s">
        <v>512</v>
      </c>
      <c r="F413" s="1572"/>
      <c r="G413" s="519"/>
      <c r="H413" s="4"/>
      <c r="I413" s="4"/>
      <c r="J413" s="27"/>
      <c r="K413" s="301" t="s">
        <v>814</v>
      </c>
      <c r="L413" s="1080"/>
      <c r="M413" s="1080"/>
      <c r="N413" s="301"/>
      <c r="O413" s="301"/>
      <c r="P413" s="301"/>
      <c r="Q413" s="301"/>
      <c r="R413" s="1796" t="str">
        <f>CHOOSE(2, "6722000003327", "PL (5) Business Contribution Profit BCP: ICW")</f>
        <v>PL (5) Business Contribution Profit BCP: ICW</v>
      </c>
      <c r="S413" s="1458">
        <f t="shared" ref="S413:AD416" si="861">S389-S397</f>
        <v>0</v>
      </c>
      <c r="T413" s="1459">
        <f t="shared" si="861"/>
        <v>0</v>
      </c>
      <c r="U413" s="1459">
        <f t="shared" si="861"/>
        <v>0</v>
      </c>
      <c r="V413" s="1459">
        <f t="shared" si="861"/>
        <v>0</v>
      </c>
      <c r="W413" s="1459">
        <f t="shared" si="861"/>
        <v>0</v>
      </c>
      <c r="X413" s="1459">
        <f t="shared" si="861"/>
        <v>0</v>
      </c>
      <c r="Y413" s="1459">
        <f t="shared" si="861"/>
        <v>0</v>
      </c>
      <c r="Z413" s="1459">
        <f t="shared" si="861"/>
        <v>0</v>
      </c>
      <c r="AA413" s="1459">
        <f t="shared" si="861"/>
        <v>66.12903</v>
      </c>
      <c r="AB413" s="1459">
        <f t="shared" si="861"/>
        <v>0</v>
      </c>
      <c r="AC413" s="1459">
        <f t="shared" si="861"/>
        <v>0</v>
      </c>
      <c r="AD413" s="1459">
        <f>AD389-AD397</f>
        <v>0</v>
      </c>
      <c r="AE413" s="1459">
        <f t="shared" ref="AE413:AK416" si="862">AE389-AE397</f>
        <v>0</v>
      </c>
      <c r="AF413" s="1459">
        <f t="shared" si="862"/>
        <v>0</v>
      </c>
      <c r="AG413" s="1459">
        <f t="shared" si="862"/>
        <v>66.12903</v>
      </c>
      <c r="AH413" s="1459">
        <f t="shared" si="862"/>
        <v>0</v>
      </c>
      <c r="AI413" s="1459">
        <f t="shared" si="862"/>
        <v>0</v>
      </c>
      <c r="AJ413" s="1459">
        <f t="shared" si="862"/>
        <v>66.12903</v>
      </c>
      <c r="AK413" s="1459">
        <f t="shared" si="862"/>
        <v>66.12903</v>
      </c>
      <c r="AM413" s="2041">
        <f ca="1">SUM((INDIRECT(AM$2&amp;(ROW())):INDIRECT(AM$3&amp;(ROW()))))</f>
        <v>0</v>
      </c>
      <c r="AN413" s="2042">
        <f ca="1">SUM(INDIRECT(AN$1&amp;AN$2&amp;$C413):INDIRECT(AN$1&amp;AN$3&amp;$C413))</f>
        <v>0</v>
      </c>
      <c r="AO413" s="2805">
        <f t="shared" ca="1" si="820"/>
        <v>0</v>
      </c>
      <c r="AP413" s="2806">
        <f t="shared" ca="1" si="851"/>
        <v>0</v>
      </c>
      <c r="AQ413" s="2042">
        <f ca="1">SUM(INDIRECT(AQ$1&amp;AQ$2&amp;$A413):INDIRECT(AQ$1&amp;AQ$3&amp;$A413))+SUM(INDIRECT(AQ$1&amp;AQ$2&amp;$B413):INDIRECT(AQ$1&amp;AQ$3&amp;$B413))</f>
        <v>0</v>
      </c>
      <c r="AR413" s="2805">
        <f t="shared" ref="AR413" ca="1" si="863">AM413-AQ413</f>
        <v>0</v>
      </c>
      <c r="AS413" s="2806">
        <f t="shared" ca="1" si="852"/>
        <v>0</v>
      </c>
      <c r="AU413" s="2041">
        <f ca="1">SUM((INDIRECT(AU$2&amp;(ROW())):INDIRECT(AU$3&amp;(ROW()))))</f>
        <v>0</v>
      </c>
      <c r="AV413" s="2042">
        <f ca="1">SUM(INDIRECT(AV$1&amp;AV$2&amp;$C413):INDIRECT(AV$1&amp;AV$3&amp;$C413))</f>
        <v>0</v>
      </c>
      <c r="AW413" s="2805">
        <f t="shared" ca="1" si="713"/>
        <v>0</v>
      </c>
      <c r="AX413" s="2806">
        <f t="shared" ca="1" si="853"/>
        <v>0</v>
      </c>
      <c r="AY413" s="2042">
        <f ca="1">SUM(INDIRECT(AY$1&amp;AY$2&amp;$A413):INDIRECT(AY$1&amp;AY$3&amp;$A413))+SUM(INDIRECT(AY$1&amp;AY$2&amp;$B413):INDIRECT(AY$1&amp;AY$3&amp;$B413))</f>
        <v>0</v>
      </c>
      <c r="AZ413" s="2805">
        <f t="shared" ca="1" si="715"/>
        <v>0</v>
      </c>
      <c r="BA413" s="2806">
        <f t="shared" ca="1" si="854"/>
        <v>0</v>
      </c>
      <c r="BC413" s="2041">
        <f ca="1">SUM((INDIRECT(BC$2&amp;(ROW())):INDIRECT(BC$3&amp;(ROW()))))</f>
        <v>0</v>
      </c>
      <c r="BD413" s="2042">
        <f ca="1">SUM(INDIRECT(BD$1&amp;BD$2&amp;$C413):INDIRECT(BD$1&amp;BD$3&amp;$C413))</f>
        <v>0</v>
      </c>
      <c r="BE413" s="2805">
        <f t="shared" ca="1" si="717"/>
        <v>0</v>
      </c>
      <c r="BF413" s="2806">
        <f t="shared" ca="1" si="855"/>
        <v>0</v>
      </c>
      <c r="BG413" s="2042">
        <f ca="1">SUM(INDIRECT(BG$1&amp;BG$2&amp;$A413):INDIRECT(BG$1&amp;BG$3&amp;$A413))+SUM(INDIRECT(BG$1&amp;BG$2&amp;$B413):INDIRECT(BG$1&amp;BG$3&amp;$B413))</f>
        <v>0</v>
      </c>
      <c r="BH413" s="2805">
        <f t="shared" ca="1" si="719"/>
        <v>0</v>
      </c>
      <c r="BI413" s="2806">
        <f t="shared" ca="1" si="856"/>
        <v>0</v>
      </c>
    </row>
    <row r="414" spans="1:61" ht="14.5">
      <c r="C414" s="1693">
        <f t="shared" si="840"/>
        <v>414</v>
      </c>
      <c r="E414" s="709" t="s">
        <v>512</v>
      </c>
      <c r="F414" s="1572"/>
      <c r="G414" s="519"/>
      <c r="H414" s="4"/>
      <c r="I414" s="4"/>
      <c r="J414" s="27"/>
      <c r="K414" s="3"/>
      <c r="L414" s="3" t="s">
        <v>656</v>
      </c>
      <c r="M414" s="4"/>
      <c r="N414" s="3"/>
      <c r="O414" s="3"/>
      <c r="P414" s="3"/>
      <c r="Q414" s="3"/>
      <c r="R414" s="1784" t="str">
        <f>CHOOSE(2, "6722000004531", "PL (5) Business Contribution Profit BCP: ICW-IT")</f>
        <v>PL (5) Business Contribution Profit BCP: ICW-IT</v>
      </c>
      <c r="S414" s="1734">
        <f t="shared" si="861"/>
        <v>0</v>
      </c>
      <c r="T414" s="1735">
        <f t="shared" si="861"/>
        <v>0</v>
      </c>
      <c r="U414" s="1735">
        <f t="shared" si="861"/>
        <v>0</v>
      </c>
      <c r="V414" s="1735">
        <f t="shared" si="861"/>
        <v>0</v>
      </c>
      <c r="W414" s="1735">
        <f t="shared" si="861"/>
        <v>0</v>
      </c>
      <c r="X414" s="1735">
        <f t="shared" si="861"/>
        <v>0</v>
      </c>
      <c r="Y414" s="1735">
        <f t="shared" si="861"/>
        <v>0</v>
      </c>
      <c r="Z414" s="1735">
        <f t="shared" si="861"/>
        <v>0</v>
      </c>
      <c r="AA414" s="1735">
        <f t="shared" si="861"/>
        <v>66.12903</v>
      </c>
      <c r="AB414" s="1735">
        <f t="shared" si="861"/>
        <v>0</v>
      </c>
      <c r="AC414" s="1735">
        <f t="shared" si="861"/>
        <v>0</v>
      </c>
      <c r="AD414" s="1735">
        <f t="shared" si="861"/>
        <v>0</v>
      </c>
      <c r="AE414" s="1735">
        <f t="shared" si="862"/>
        <v>0</v>
      </c>
      <c r="AF414" s="1735">
        <f t="shared" si="862"/>
        <v>0</v>
      </c>
      <c r="AG414" s="1735">
        <f t="shared" si="862"/>
        <v>66.12903</v>
      </c>
      <c r="AH414" s="1735">
        <f t="shared" si="862"/>
        <v>0</v>
      </c>
      <c r="AI414" s="1735">
        <f t="shared" si="862"/>
        <v>0</v>
      </c>
      <c r="AJ414" s="1735">
        <f t="shared" si="862"/>
        <v>66.12903</v>
      </c>
      <c r="AK414" s="1735">
        <f t="shared" si="862"/>
        <v>66.12903</v>
      </c>
      <c r="AM414" s="596">
        <f ca="1">SUM((INDIRECT(AM$2&amp;(ROW())):INDIRECT(AM$3&amp;(ROW()))))</f>
        <v>0</v>
      </c>
      <c r="AN414" s="2002">
        <f ca="1">SUM(INDIRECT(AN$1&amp;AN$2&amp;$C414):INDIRECT(AN$1&amp;AN$3&amp;$C414))</f>
        <v>0</v>
      </c>
      <c r="AO414" s="2767">
        <f t="shared" ca="1" si="820"/>
        <v>0</v>
      </c>
      <c r="AP414" s="2768">
        <f t="shared" ca="1" si="851"/>
        <v>0</v>
      </c>
      <c r="AQ414" s="2835"/>
      <c r="AR414" s="2836"/>
      <c r="AS414" s="2837"/>
      <c r="AU414" s="596">
        <f ca="1">SUM((INDIRECT(AU$2&amp;(ROW())):INDIRECT(AU$3&amp;(ROW()))))</f>
        <v>0</v>
      </c>
      <c r="AV414" s="2002">
        <f ca="1">SUM(INDIRECT(AV$1&amp;AV$2&amp;$C414):INDIRECT(AV$1&amp;AV$3&amp;$C414))</f>
        <v>0</v>
      </c>
      <c r="AW414" s="2767">
        <f t="shared" ca="1" si="713"/>
        <v>0</v>
      </c>
      <c r="AX414" s="2768">
        <f t="shared" ca="1" si="853"/>
        <v>0</v>
      </c>
      <c r="AY414" s="2835"/>
      <c r="AZ414" s="2836"/>
      <c r="BA414" s="2837"/>
      <c r="BC414" s="596">
        <f ca="1">SUM((INDIRECT(BC$2&amp;(ROW())):INDIRECT(BC$3&amp;(ROW()))))</f>
        <v>0</v>
      </c>
      <c r="BD414" s="2002">
        <f ca="1">SUM(INDIRECT(BD$1&amp;BD$2&amp;$C414):INDIRECT(BD$1&amp;BD$3&amp;$C414))</f>
        <v>0</v>
      </c>
      <c r="BE414" s="2767">
        <f t="shared" ca="1" si="717"/>
        <v>0</v>
      </c>
      <c r="BF414" s="2768">
        <f t="shared" ca="1" si="855"/>
        <v>0</v>
      </c>
      <c r="BG414" s="2835"/>
      <c r="BH414" s="2836"/>
      <c r="BI414" s="2837"/>
    </row>
    <row r="415" spans="1:61" ht="14.5">
      <c r="C415" s="1693">
        <f t="shared" si="840"/>
        <v>415</v>
      </c>
      <c r="E415" s="709" t="s">
        <v>512</v>
      </c>
      <c r="F415" s="1572"/>
      <c r="G415" s="519"/>
      <c r="H415" s="4"/>
      <c r="I415" s="4"/>
      <c r="J415" s="27"/>
      <c r="K415" s="3"/>
      <c r="L415" s="3" t="s">
        <v>620</v>
      </c>
      <c r="M415" s="4"/>
      <c r="N415" s="3"/>
      <c r="O415" s="3"/>
      <c r="P415" s="3"/>
      <c r="Q415" s="3"/>
      <c r="R415" s="1784" t="str">
        <f>CHOOSE(2, "6722000004532", "PL (5) Business Contribution Profit BCP: ICW-WK")</f>
        <v>PL (5) Business Contribution Profit BCP: ICW-WK</v>
      </c>
      <c r="S415" s="1734">
        <f t="shared" si="861"/>
        <v>0</v>
      </c>
      <c r="T415" s="1735">
        <f t="shared" si="861"/>
        <v>0</v>
      </c>
      <c r="U415" s="1735">
        <f t="shared" si="861"/>
        <v>0</v>
      </c>
      <c r="V415" s="1735">
        <f>V391-V399</f>
        <v>0</v>
      </c>
      <c r="W415" s="1735">
        <f t="shared" si="861"/>
        <v>0</v>
      </c>
      <c r="X415" s="1735">
        <f t="shared" si="861"/>
        <v>0</v>
      </c>
      <c r="Y415" s="1735">
        <f t="shared" si="861"/>
        <v>0</v>
      </c>
      <c r="Z415" s="1735">
        <f t="shared" si="861"/>
        <v>0</v>
      </c>
      <c r="AA415" s="1735">
        <f t="shared" si="861"/>
        <v>0</v>
      </c>
      <c r="AB415" s="1735">
        <f t="shared" si="861"/>
        <v>0</v>
      </c>
      <c r="AC415" s="1735">
        <f t="shared" si="861"/>
        <v>0</v>
      </c>
      <c r="AD415" s="1735">
        <f t="shared" si="861"/>
        <v>0</v>
      </c>
      <c r="AE415" s="1735">
        <f t="shared" si="862"/>
        <v>0</v>
      </c>
      <c r="AF415" s="1735">
        <f>AF391-AF399</f>
        <v>0</v>
      </c>
      <c r="AG415" s="1735">
        <f t="shared" si="862"/>
        <v>0</v>
      </c>
      <c r="AH415" s="1735">
        <f t="shared" si="862"/>
        <v>0</v>
      </c>
      <c r="AI415" s="1735">
        <f>AI391-AI399</f>
        <v>0</v>
      </c>
      <c r="AJ415" s="1735">
        <f t="shared" si="862"/>
        <v>0</v>
      </c>
      <c r="AK415" s="1735">
        <f t="shared" si="862"/>
        <v>0</v>
      </c>
      <c r="AM415" s="596">
        <f ca="1">SUM((INDIRECT(AM$2&amp;(ROW())):INDIRECT(AM$3&amp;(ROW()))))</f>
        <v>0</v>
      </c>
      <c r="AN415" s="2002">
        <f ca="1">SUM(INDIRECT(AN$1&amp;AN$2&amp;$C415):INDIRECT(AN$1&amp;AN$3&amp;$C415))</f>
        <v>0</v>
      </c>
      <c r="AO415" s="2767">
        <f t="shared" ca="1" si="820"/>
        <v>0</v>
      </c>
      <c r="AP415" s="2768">
        <f t="shared" ca="1" si="851"/>
        <v>0</v>
      </c>
      <c r="AQ415" s="2835"/>
      <c r="AR415" s="2836"/>
      <c r="AS415" s="2837"/>
      <c r="AU415" s="596">
        <f ca="1">SUM((INDIRECT(AU$2&amp;(ROW())):INDIRECT(AU$3&amp;(ROW()))))</f>
        <v>0</v>
      </c>
      <c r="AV415" s="2002">
        <f ca="1">SUM(INDIRECT(AV$1&amp;AV$2&amp;$C415):INDIRECT(AV$1&amp;AV$3&amp;$C415))</f>
        <v>0</v>
      </c>
      <c r="AW415" s="2767">
        <f t="shared" ca="1" si="713"/>
        <v>0</v>
      </c>
      <c r="AX415" s="2768">
        <f t="shared" ca="1" si="853"/>
        <v>0</v>
      </c>
      <c r="AY415" s="2835"/>
      <c r="AZ415" s="2836"/>
      <c r="BA415" s="2837"/>
      <c r="BC415" s="596">
        <f ca="1">SUM((INDIRECT(BC$2&amp;(ROW())):INDIRECT(BC$3&amp;(ROW()))))</f>
        <v>0</v>
      </c>
      <c r="BD415" s="2002">
        <f ca="1">SUM(INDIRECT(BD$1&amp;BD$2&amp;$C415):INDIRECT(BD$1&amp;BD$3&amp;$C415))</f>
        <v>0</v>
      </c>
      <c r="BE415" s="2767">
        <f t="shared" ca="1" si="717"/>
        <v>0</v>
      </c>
      <c r="BF415" s="2768">
        <f t="shared" ca="1" si="855"/>
        <v>0</v>
      </c>
      <c r="BG415" s="2835"/>
      <c r="BH415" s="2836"/>
      <c r="BI415" s="2837"/>
    </row>
    <row r="416" spans="1:61" ht="14.5">
      <c r="C416" s="1693">
        <f t="shared" si="840"/>
        <v>416</v>
      </c>
      <c r="E416" s="709" t="s">
        <v>512</v>
      </c>
      <c r="F416" s="1572"/>
      <c r="G416" s="519"/>
      <c r="H416" s="4"/>
      <c r="I416" s="4"/>
      <c r="J416" s="27"/>
      <c r="K416" s="3"/>
      <c r="L416" s="3" t="s">
        <v>619</v>
      </c>
      <c r="M416" s="4"/>
      <c r="N416" s="3"/>
      <c r="O416" s="3"/>
      <c r="P416" s="3"/>
      <c r="Q416" s="3"/>
      <c r="R416" s="1784" t="str">
        <f>CHOOSE(2, "6722000004533", "PL (5) Business Contribution Profit BCP: ICW-P")</f>
        <v>PL (5) Business Contribution Profit BCP: ICW-P</v>
      </c>
      <c r="S416" s="1734">
        <f t="shared" si="861"/>
        <v>0</v>
      </c>
      <c r="T416" s="1735">
        <f t="shared" si="861"/>
        <v>0</v>
      </c>
      <c r="U416" s="1735">
        <f t="shared" si="861"/>
        <v>0</v>
      </c>
      <c r="V416" s="1735">
        <f t="shared" si="861"/>
        <v>0</v>
      </c>
      <c r="W416" s="1735">
        <f t="shared" si="861"/>
        <v>0</v>
      </c>
      <c r="X416" s="1735">
        <f t="shared" si="861"/>
        <v>0</v>
      </c>
      <c r="Y416" s="1735">
        <f t="shared" si="861"/>
        <v>0</v>
      </c>
      <c r="Z416" s="1735">
        <f t="shared" si="861"/>
        <v>0</v>
      </c>
      <c r="AA416" s="1735">
        <f t="shared" si="861"/>
        <v>0</v>
      </c>
      <c r="AB416" s="1735">
        <f t="shared" si="861"/>
        <v>0</v>
      </c>
      <c r="AC416" s="1735">
        <f t="shared" si="861"/>
        <v>0</v>
      </c>
      <c r="AD416" s="1735">
        <f t="shared" si="861"/>
        <v>0</v>
      </c>
      <c r="AE416" s="1735">
        <f t="shared" si="862"/>
        <v>0</v>
      </c>
      <c r="AF416" s="1735">
        <f t="shared" si="862"/>
        <v>0</v>
      </c>
      <c r="AG416" s="1735">
        <f t="shared" si="862"/>
        <v>0</v>
      </c>
      <c r="AH416" s="1735">
        <f t="shared" si="862"/>
        <v>0</v>
      </c>
      <c r="AI416" s="1735">
        <f t="shared" si="862"/>
        <v>0</v>
      </c>
      <c r="AJ416" s="1735">
        <f t="shared" si="862"/>
        <v>0</v>
      </c>
      <c r="AK416" s="1735">
        <f t="shared" si="862"/>
        <v>0</v>
      </c>
      <c r="AM416" s="596">
        <f ca="1">SUM((INDIRECT(AM$2&amp;(ROW())):INDIRECT(AM$3&amp;(ROW()))))</f>
        <v>0</v>
      </c>
      <c r="AN416" s="2002">
        <f ca="1">SUM(INDIRECT(AN$1&amp;AN$2&amp;$C416):INDIRECT(AN$1&amp;AN$3&amp;$C416))</f>
        <v>0</v>
      </c>
      <c r="AO416" s="2767">
        <f t="shared" ca="1" si="820"/>
        <v>0</v>
      </c>
      <c r="AP416" s="2768">
        <f t="shared" ca="1" si="851"/>
        <v>0</v>
      </c>
      <c r="AQ416" s="2835"/>
      <c r="AR416" s="2836"/>
      <c r="AS416" s="2837"/>
      <c r="AU416" s="596">
        <f ca="1">SUM((INDIRECT(AU$2&amp;(ROW())):INDIRECT(AU$3&amp;(ROW()))))</f>
        <v>0</v>
      </c>
      <c r="AV416" s="2002">
        <f ca="1">SUM(INDIRECT(AV$1&amp;AV$2&amp;$C416):INDIRECT(AV$1&amp;AV$3&amp;$C416))</f>
        <v>0</v>
      </c>
      <c r="AW416" s="2767">
        <f t="shared" ca="1" si="713"/>
        <v>0</v>
      </c>
      <c r="AX416" s="2768">
        <f t="shared" ca="1" si="853"/>
        <v>0</v>
      </c>
      <c r="AY416" s="2835"/>
      <c r="AZ416" s="2836"/>
      <c r="BA416" s="2837"/>
      <c r="BC416" s="596">
        <f ca="1">SUM((INDIRECT(BC$2&amp;(ROW())):INDIRECT(BC$3&amp;(ROW()))))</f>
        <v>0</v>
      </c>
      <c r="BD416" s="2002">
        <f ca="1">SUM(INDIRECT(BD$1&amp;BD$2&amp;$C416):INDIRECT(BD$1&amp;BD$3&amp;$C416))</f>
        <v>0</v>
      </c>
      <c r="BE416" s="2767">
        <f t="shared" ca="1" si="717"/>
        <v>0</v>
      </c>
      <c r="BF416" s="2768">
        <f t="shared" ca="1" si="855"/>
        <v>0</v>
      </c>
      <c r="BG416" s="2835"/>
      <c r="BH416" s="2836"/>
      <c r="BI416" s="2837"/>
    </row>
    <row r="417" spans="1:61" ht="14.5">
      <c r="A417" s="1693">
        <f>A413+1</f>
        <v>409</v>
      </c>
      <c r="B417" s="616">
        <v>1</v>
      </c>
      <c r="C417" s="1693">
        <f t="shared" si="840"/>
        <v>417</v>
      </c>
      <c r="D417" s="616">
        <v>307</v>
      </c>
      <c r="E417" s="709" t="s">
        <v>512</v>
      </c>
      <c r="F417" s="1572"/>
      <c r="G417" s="4"/>
      <c r="H417" s="4"/>
      <c r="I417" s="4"/>
      <c r="J417" s="198" t="s">
        <v>91</v>
      </c>
      <c r="K417" s="325"/>
      <c r="L417" s="326"/>
      <c r="M417" s="326"/>
      <c r="N417" s="325"/>
      <c r="O417" s="325"/>
      <c r="P417" s="325"/>
      <c r="Q417" s="447"/>
      <c r="R417" s="1790" t="str">
        <f>CHOOSE(2, "6722000003328", "PL (5) Other Income")</f>
        <v>PL (5) Other Income</v>
      </c>
      <c r="S417" s="1388"/>
      <c r="T417" s="1197"/>
      <c r="U417" s="1197"/>
      <c r="V417" s="1197"/>
      <c r="W417" s="1197"/>
      <c r="X417" s="1197"/>
      <c r="Y417" s="1197"/>
      <c r="Z417" s="1197"/>
      <c r="AA417" s="1197"/>
      <c r="AB417" s="1197"/>
      <c r="AC417" s="1197"/>
      <c r="AD417" s="1197"/>
      <c r="AE417" s="883">
        <f>SUM(S417,T417,U417)</f>
        <v>0</v>
      </c>
      <c r="AF417" s="107">
        <f>SUM(V417,W417,X417)</f>
        <v>0</v>
      </c>
      <c r="AG417" s="107">
        <f>SUM(Y417,Z417,AA417)</f>
        <v>0</v>
      </c>
      <c r="AH417" s="107">
        <f>SUM(AB417,AC417,AD417)</f>
        <v>0</v>
      </c>
      <c r="AI417" s="107">
        <f>AE417+AF417</f>
        <v>0</v>
      </c>
      <c r="AJ417" s="107">
        <f>AH417+AG417</f>
        <v>0</v>
      </c>
      <c r="AK417" s="107">
        <f>AI417+AJ417</f>
        <v>0</v>
      </c>
      <c r="AM417" s="2471">
        <f ca="1">SUM((INDIRECT(AM$2&amp;(ROW())):INDIRECT(AM$3&amp;(ROW()))))</f>
        <v>0</v>
      </c>
      <c r="AN417" s="1978">
        <f ca="1">SUM(INDIRECT(AN$1&amp;AN$2&amp;$C417):INDIRECT(AN$1&amp;AN$3&amp;$C417))</f>
        <v>0</v>
      </c>
      <c r="AO417" s="2782">
        <f t="shared" ca="1" si="820"/>
        <v>0</v>
      </c>
      <c r="AP417" s="2783">
        <f t="shared" ca="1" si="851"/>
        <v>0</v>
      </c>
      <c r="AQ417" s="1978">
        <f ca="1">SUM(INDIRECT(AQ$1&amp;AQ$2&amp;$A417):INDIRECT(AQ$1&amp;AQ$3&amp;$A417))+SUM(INDIRECT(AQ$1&amp;AQ$2&amp;$B417):INDIRECT(AQ$1&amp;AQ$3&amp;$B417))</f>
        <v>0</v>
      </c>
      <c r="AR417" s="2782">
        <f t="shared" ref="AR417:AR430" ca="1" si="864">AM417-AQ417</f>
        <v>0</v>
      </c>
      <c r="AS417" s="2783">
        <f t="shared" ref="AS417:AS418" ca="1" si="865">IFERROR(AM417/AQ417,0)</f>
        <v>0</v>
      </c>
      <c r="AU417" s="2471">
        <f ca="1">SUM((INDIRECT(AU$2&amp;(ROW())):INDIRECT(AU$3&amp;(ROW()))))</f>
        <v>0</v>
      </c>
      <c r="AV417" s="1978">
        <f ca="1">SUM(INDIRECT(AV$1&amp;AV$2&amp;$C417):INDIRECT(AV$1&amp;AV$3&amp;$C417))</f>
        <v>0</v>
      </c>
      <c r="AW417" s="2782">
        <f t="shared" ca="1" si="713"/>
        <v>0</v>
      </c>
      <c r="AX417" s="2783">
        <f t="shared" ca="1" si="853"/>
        <v>0</v>
      </c>
      <c r="AY417" s="1978">
        <f ca="1">SUM(INDIRECT(AY$1&amp;AY$2&amp;$A417):INDIRECT(AY$1&amp;AY$3&amp;$A417))+SUM(INDIRECT(AY$1&amp;AY$2&amp;$B417):INDIRECT(AY$1&amp;AY$3&amp;$B417))</f>
        <v>0</v>
      </c>
      <c r="AZ417" s="2782">
        <f t="shared" ref="AZ417:AZ418" ca="1" si="866">AU417-AY417</f>
        <v>0</v>
      </c>
      <c r="BA417" s="2783">
        <f t="shared" ref="BA417:BA418" ca="1" si="867">IFERROR(AU417/AY417,0)</f>
        <v>0</v>
      </c>
      <c r="BC417" s="2471">
        <f ca="1">SUM((INDIRECT(BC$2&amp;(ROW())):INDIRECT(BC$3&amp;(ROW()))))</f>
        <v>0</v>
      </c>
      <c r="BD417" s="1978">
        <f ca="1">SUM(INDIRECT(BD$1&amp;BD$2&amp;$C417):INDIRECT(BD$1&amp;BD$3&amp;$C417))</f>
        <v>0</v>
      </c>
      <c r="BE417" s="2782">
        <f t="shared" ca="1" si="717"/>
        <v>0</v>
      </c>
      <c r="BF417" s="2783">
        <f t="shared" ca="1" si="855"/>
        <v>0</v>
      </c>
      <c r="BG417" s="1978">
        <f ca="1">SUM(INDIRECT(BG$1&amp;BG$2&amp;$A417):INDIRECT(BG$1&amp;BG$3&amp;$A417))+SUM(INDIRECT(BG$1&amp;BG$2&amp;$B417):INDIRECT(BG$1&amp;BG$3&amp;$B417))</f>
        <v>0</v>
      </c>
      <c r="BH417" s="2782">
        <f t="shared" ref="BH417:BH418" ca="1" si="868">BC417-BG417</f>
        <v>0</v>
      </c>
      <c r="BI417" s="2783">
        <f t="shared" ref="BI417:BI418" ca="1" si="869">IFERROR(BC417/BG417,0)</f>
        <v>0</v>
      </c>
    </row>
    <row r="418" spans="1:61" ht="14.5">
      <c r="A418" s="1693">
        <f t="shared" si="841"/>
        <v>410</v>
      </c>
      <c r="B418" s="616">
        <v>1</v>
      </c>
      <c r="C418" s="1693">
        <f t="shared" si="840"/>
        <v>418</v>
      </c>
      <c r="D418" s="616">
        <f>D417+1</f>
        <v>308</v>
      </c>
      <c r="E418" s="709" t="s">
        <v>512</v>
      </c>
      <c r="F418" s="1572"/>
      <c r="G418" s="4"/>
      <c r="H418" s="4"/>
      <c r="I418" s="4"/>
      <c r="J418" s="106" t="s">
        <v>73</v>
      </c>
      <c r="K418" s="104"/>
      <c r="L418" s="105"/>
      <c r="M418" s="105"/>
      <c r="N418" s="104"/>
      <c r="O418" s="104"/>
      <c r="P418" s="104"/>
      <c r="Q418" s="104"/>
      <c r="R418" s="1790" t="str">
        <f>CHOOSE(2, "6722000003329", "PL (5) Other Expenses")</f>
        <v>PL (5) Other Expenses</v>
      </c>
      <c r="S418" s="1213"/>
      <c r="T418" s="1216"/>
      <c r="U418" s="1216"/>
      <c r="V418" s="1216"/>
      <c r="W418" s="1216"/>
      <c r="X418" s="1216"/>
      <c r="Y418" s="1216"/>
      <c r="Z418" s="1216"/>
      <c r="AA418" s="1216"/>
      <c r="AB418" s="1216"/>
      <c r="AC418" s="1216"/>
      <c r="AD418" s="1216"/>
      <c r="AE418" s="80">
        <f>SUM(S418,T418,U418)</f>
        <v>0</v>
      </c>
      <c r="AF418" s="80">
        <f>SUM(V418,W418,X418)</f>
        <v>0</v>
      </c>
      <c r="AG418" s="80">
        <f>SUM(Y418,Z418,AA418)</f>
        <v>0</v>
      </c>
      <c r="AH418" s="80">
        <f>SUM(AB418,AC418,AD418)</f>
        <v>0</v>
      </c>
      <c r="AI418" s="80">
        <f>AE418+AF418</f>
        <v>0</v>
      </c>
      <c r="AJ418" s="80">
        <f>AH418+AG418</f>
        <v>0</v>
      </c>
      <c r="AK418" s="80">
        <f>AI418+AJ418</f>
        <v>0</v>
      </c>
      <c r="AM418" s="2494">
        <f ca="1">SUM((INDIRECT(AM$2&amp;(ROW())):INDIRECT(AM$3&amp;(ROW()))))</f>
        <v>0</v>
      </c>
      <c r="AN418" s="1980">
        <f ca="1">SUM(INDIRECT(AN$1&amp;AN$2&amp;$C418):INDIRECT(AN$1&amp;AN$3&amp;$C418))</f>
        <v>0</v>
      </c>
      <c r="AO418" s="2759">
        <f t="shared" ca="1" si="820"/>
        <v>0</v>
      </c>
      <c r="AP418" s="2760">
        <f t="shared" ca="1" si="851"/>
        <v>0</v>
      </c>
      <c r="AQ418" s="1980">
        <f ca="1">SUM(INDIRECT(AQ$1&amp;AQ$2&amp;$A418):INDIRECT(AQ$1&amp;AQ$3&amp;$A418))+SUM(INDIRECT(AQ$1&amp;AQ$2&amp;$B418):INDIRECT(AQ$1&amp;AQ$3&amp;$B418))</f>
        <v>0</v>
      </c>
      <c r="AR418" s="2759">
        <f t="shared" ca="1" si="864"/>
        <v>0</v>
      </c>
      <c r="AS418" s="2760">
        <f t="shared" ca="1" si="865"/>
        <v>0</v>
      </c>
      <c r="AU418" s="2494">
        <f ca="1">SUM((INDIRECT(AU$2&amp;(ROW())):INDIRECT(AU$3&amp;(ROW()))))</f>
        <v>0</v>
      </c>
      <c r="AV418" s="1980">
        <f ca="1">SUM(INDIRECT(AV$1&amp;AV$2&amp;$C418):INDIRECT(AV$1&amp;AV$3&amp;$C418))</f>
        <v>0</v>
      </c>
      <c r="AW418" s="2759">
        <f t="shared" ca="1" si="713"/>
        <v>0</v>
      </c>
      <c r="AX418" s="2760">
        <f t="shared" ca="1" si="853"/>
        <v>0</v>
      </c>
      <c r="AY418" s="1980">
        <f ca="1">SUM(INDIRECT(AY$1&amp;AY$2&amp;$A418):INDIRECT(AY$1&amp;AY$3&amp;$A418))+SUM(INDIRECT(AY$1&amp;AY$2&amp;$B418):INDIRECT(AY$1&amp;AY$3&amp;$B418))</f>
        <v>0</v>
      </c>
      <c r="AZ418" s="2759">
        <f t="shared" ca="1" si="866"/>
        <v>0</v>
      </c>
      <c r="BA418" s="2760">
        <f t="shared" ca="1" si="867"/>
        <v>0</v>
      </c>
      <c r="BC418" s="2494">
        <f ca="1">SUM((INDIRECT(BC$2&amp;(ROW())):INDIRECT(BC$3&amp;(ROW()))))</f>
        <v>0</v>
      </c>
      <c r="BD418" s="1980">
        <f ca="1">SUM(INDIRECT(BD$1&amp;BD$2&amp;$C418):INDIRECT(BD$1&amp;BD$3&amp;$C418))</f>
        <v>0</v>
      </c>
      <c r="BE418" s="2759">
        <f t="shared" ca="1" si="717"/>
        <v>0</v>
      </c>
      <c r="BF418" s="2760">
        <f t="shared" ca="1" si="855"/>
        <v>0</v>
      </c>
      <c r="BG418" s="1980">
        <f ca="1">SUM(INDIRECT(BG$1&amp;BG$2&amp;$A418):INDIRECT(BG$1&amp;BG$3&amp;$A418))+SUM(INDIRECT(BG$1&amp;BG$2&amp;$B418):INDIRECT(BG$1&amp;BG$3&amp;$B418))</f>
        <v>0</v>
      </c>
      <c r="BH418" s="2759">
        <f t="shared" ca="1" si="868"/>
        <v>0</v>
      </c>
      <c r="BI418" s="2760">
        <f t="shared" ca="1" si="869"/>
        <v>0</v>
      </c>
    </row>
    <row r="419" spans="1:61" ht="14.5">
      <c r="A419" s="1693">
        <f t="shared" si="841"/>
        <v>411</v>
      </c>
      <c r="B419" s="616">
        <v>1</v>
      </c>
      <c r="C419" s="1693">
        <f t="shared" si="840"/>
        <v>419</v>
      </c>
      <c r="D419" s="616">
        <f>D418+1</f>
        <v>309</v>
      </c>
      <c r="E419" s="709" t="s">
        <v>512</v>
      </c>
      <c r="F419" s="1572"/>
      <c r="G419" s="4"/>
      <c r="H419" s="4"/>
      <c r="I419" s="4"/>
      <c r="J419" s="327" t="s">
        <v>92</v>
      </c>
      <c r="K419" s="328"/>
      <c r="L419" s="329"/>
      <c r="M419" s="329"/>
      <c r="N419" s="329"/>
      <c r="O419" s="329"/>
      <c r="P419" s="329"/>
      <c r="Q419" s="868"/>
      <c r="R419" s="1804" t="str">
        <f>CHOOSE(2, "6722000003330", "PL (5) Operating Profit")</f>
        <v>PL (5) Operating Profit</v>
      </c>
      <c r="S419" s="1316">
        <f t="shared" ref="S419:AD419" si="870">S406+S417-S418</f>
        <v>-677.69983016949448</v>
      </c>
      <c r="T419" s="1191">
        <f t="shared" si="870"/>
        <v>126.23530369669038</v>
      </c>
      <c r="U419" s="1191">
        <f t="shared" si="870"/>
        <v>-373.57822404925923</v>
      </c>
      <c r="V419" s="1191">
        <f t="shared" si="870"/>
        <v>-238.29885267039896</v>
      </c>
      <c r="W419" s="1191">
        <f t="shared" si="870"/>
        <v>-110.10286758796076</v>
      </c>
      <c r="X419" s="1191">
        <f t="shared" si="870"/>
        <v>1144.6714247474256</v>
      </c>
      <c r="Y419" s="1191">
        <f t="shared" si="870"/>
        <v>-290.58434904092519</v>
      </c>
      <c r="Z419" s="1191">
        <f t="shared" si="870"/>
        <v>418.63570478658539</v>
      </c>
      <c r="AA419" s="1191">
        <f t="shared" si="870"/>
        <v>-556.03546406846522</v>
      </c>
      <c r="AB419" s="1191">
        <f t="shared" si="870"/>
        <v>1342.2031180443873</v>
      </c>
      <c r="AC419" s="1191">
        <f t="shared" si="870"/>
        <v>1058.2871407621487</v>
      </c>
      <c r="AD419" s="1191">
        <f t="shared" si="870"/>
        <v>1593.8301420779592</v>
      </c>
      <c r="AE419" s="887">
        <f t="shared" ref="AE419:AK419" si="871">AE406+AE417-AE418</f>
        <v>-925.04275052206344</v>
      </c>
      <c r="AF419" s="117">
        <f t="shared" si="871"/>
        <v>796.26970448906604</v>
      </c>
      <c r="AG419" s="117">
        <f t="shared" si="871"/>
        <v>-427.98410832280479</v>
      </c>
      <c r="AH419" s="117">
        <f t="shared" si="871"/>
        <v>3994.3204008844959</v>
      </c>
      <c r="AI419" s="117">
        <f t="shared" si="871"/>
        <v>-128.77304603299763</v>
      </c>
      <c r="AJ419" s="117">
        <f t="shared" si="871"/>
        <v>3566.3362925616916</v>
      </c>
      <c r="AK419" s="117">
        <f t="shared" si="871"/>
        <v>3437.5632465286935</v>
      </c>
      <c r="AM419" s="2094">
        <f ca="1">SUM((INDIRECT(AM$2&amp;(ROW())):INDIRECT(AM$3&amp;(ROW()))))</f>
        <v>-677.69983016949448</v>
      </c>
      <c r="AN419" s="2060">
        <f ca="1">SUM(INDIRECT(AN$1&amp;AN$2&amp;$C419):INDIRECT(AN$1&amp;AN$3&amp;$C419))</f>
        <v>-700.06471481308199</v>
      </c>
      <c r="AO419" s="2844">
        <f t="shared" ca="1" si="820"/>
        <v>22.364884643587516</v>
      </c>
      <c r="AP419" s="2845">
        <f t="shared" ca="1" si="711"/>
        <v>0.96805311827555973</v>
      </c>
      <c r="AQ419" s="2846">
        <f ca="1">AQ406+AQ417-AQ418</f>
        <v>-1539</v>
      </c>
      <c r="AR419" s="2844">
        <f t="shared" ca="1" si="864"/>
        <v>861.30016983050552</v>
      </c>
      <c r="AS419" s="2845">
        <f ca="1">IFERROR(AM419/AQ419,0)</f>
        <v>0.44035076684177676</v>
      </c>
      <c r="AU419" s="2094">
        <f ca="1">SUM((INDIRECT(AU$2&amp;(ROW())):INDIRECT(AU$3&amp;(ROW()))))</f>
        <v>-677.69983016949448</v>
      </c>
      <c r="AV419" s="2060">
        <f ca="1">SUM(INDIRECT(AV$1&amp;AV$2&amp;$C419):INDIRECT(AV$1&amp;AV$3&amp;$C419))</f>
        <v>-700.06471481308199</v>
      </c>
      <c r="AW419" s="2844">
        <f t="shared" ca="1" si="713"/>
        <v>22.364884643587516</v>
      </c>
      <c r="AX419" s="2845">
        <f t="shared" ca="1" si="714"/>
        <v>0.96805311827555973</v>
      </c>
      <c r="AY419" s="2846">
        <f ca="1">AY406+AY417-AY418</f>
        <v>-1539</v>
      </c>
      <c r="AZ419" s="2844">
        <f t="shared" ca="1" si="715"/>
        <v>861.30016983050552</v>
      </c>
      <c r="BA419" s="2845">
        <f ca="1">IFERROR(AU419/AY419,0)</f>
        <v>0.44035076684177676</v>
      </c>
      <c r="BC419" s="2094">
        <f ca="1">SUM((INDIRECT(BC$2&amp;(ROW())):INDIRECT(BC$3&amp;(ROW()))))</f>
        <v>-677.69983016949448</v>
      </c>
      <c r="BD419" s="2060">
        <f ca="1">SUM(INDIRECT(BD$1&amp;BD$2&amp;$C419):INDIRECT(BD$1&amp;BD$3&amp;$C419))</f>
        <v>-700.06471481308199</v>
      </c>
      <c r="BE419" s="2844">
        <f t="shared" ca="1" si="717"/>
        <v>22.364884643587516</v>
      </c>
      <c r="BF419" s="2845">
        <f t="shared" ca="1" si="718"/>
        <v>0.96805311827555973</v>
      </c>
      <c r="BG419" s="2846">
        <f ca="1">BG406+BG417-BG418</f>
        <v>-1539</v>
      </c>
      <c r="BH419" s="2844">
        <f t="shared" ca="1" si="719"/>
        <v>861.30016983050552</v>
      </c>
      <c r="BI419" s="2845">
        <f ca="1">IFERROR(BC419/BG419,0)</f>
        <v>0.44035076684177676</v>
      </c>
    </row>
    <row r="420" spans="1:61" ht="14" customHeight="1">
      <c r="A420" s="1693">
        <f t="shared" si="841"/>
        <v>412</v>
      </c>
      <c r="B420" s="616">
        <v>1</v>
      </c>
      <c r="C420" s="1693">
        <f t="shared" si="840"/>
        <v>420</v>
      </c>
      <c r="D420" s="616">
        <f>D419+1</f>
        <v>310</v>
      </c>
      <c r="E420" s="709" t="s">
        <v>512</v>
      </c>
      <c r="F420" s="1572"/>
      <c r="G420" s="4"/>
      <c r="H420" s="4"/>
      <c r="I420" s="4"/>
      <c r="J420" s="25"/>
      <c r="K420" s="511" t="s">
        <v>55</v>
      </c>
      <c r="L420" s="2"/>
      <c r="M420" s="2"/>
      <c r="N420" s="1"/>
      <c r="O420" s="1"/>
      <c r="P420" s="1"/>
      <c r="Q420" s="1"/>
      <c r="R420" s="1792" t="str">
        <f>CHOOSE(2, "6722000003331", "PL (5) Operating Profit (%)")</f>
        <v>PL (5) Operating Profit (%)</v>
      </c>
      <c r="S420" s="1323">
        <f t="shared" ref="S420:AD420" si="872">IFERROR(S419/S353,0)</f>
        <v>-5.6008250427230948</v>
      </c>
      <c r="T420" s="1322">
        <f t="shared" si="872"/>
        <v>7.3873094186836338E-2</v>
      </c>
      <c r="U420" s="1322">
        <f t="shared" si="872"/>
        <v>-2.1949366865408888</v>
      </c>
      <c r="V420" s="1322">
        <f t="shared" si="872"/>
        <v>-0.30684336449046623</v>
      </c>
      <c r="W420" s="1322">
        <f t="shared" si="872"/>
        <v>-0.10900194791402906</v>
      </c>
      <c r="X420" s="1322">
        <f t="shared" si="872"/>
        <v>0.63912419025540235</v>
      </c>
      <c r="Y420" s="1322">
        <f t="shared" si="872"/>
        <v>-3.4146221978957132</v>
      </c>
      <c r="Z420" s="1322">
        <f t="shared" si="872"/>
        <v>0.22327237588617888</v>
      </c>
      <c r="AA420" s="1322">
        <f t="shared" si="872"/>
        <v>-5.8290749980969201</v>
      </c>
      <c r="AB420" s="1322">
        <f t="shared" si="872"/>
        <v>0.42394286735451275</v>
      </c>
      <c r="AC420" s="1322">
        <f t="shared" si="872"/>
        <v>0.32181024208955356</v>
      </c>
      <c r="AD420" s="1322">
        <f t="shared" si="872"/>
        <v>0.38922758713203426</v>
      </c>
      <c r="AE420" s="1322">
        <f t="shared" ref="AE420:AK420" si="873">IFERROR(AE419/AE353,0)</f>
        <v>-0.46251836889163389</v>
      </c>
      <c r="AF420" s="1322">
        <f t="shared" si="873"/>
        <v>0.22256382273403241</v>
      </c>
      <c r="AG420" s="1322">
        <f t="shared" si="873"/>
        <v>-0.208215125504286</v>
      </c>
      <c r="AH420" s="1322">
        <f t="shared" si="873"/>
        <v>0.37863017405206395</v>
      </c>
      <c r="AI420" s="1322">
        <f t="shared" si="873"/>
        <v>-2.3087011256197665E-2</v>
      </c>
      <c r="AJ420" s="1322">
        <f t="shared" si="873"/>
        <v>0.28293280293816908</v>
      </c>
      <c r="AK420" s="1322">
        <f t="shared" si="873"/>
        <v>0.1890576931056778</v>
      </c>
      <c r="AM420" s="1323">
        <f ca="1">IFERROR(AM419/AM353,0)</f>
        <v>-5.6008250427230948</v>
      </c>
      <c r="AN420" s="1322">
        <f ca="1">IFERROR(AN419/AN353,0)</f>
        <v>-0.70006471481308197</v>
      </c>
      <c r="AO420" s="1322">
        <f t="shared" ca="1" si="820"/>
        <v>-4.9007603279100129</v>
      </c>
      <c r="AP420" s="2802"/>
      <c r="AQ420" s="1322">
        <f ca="1">IFERROR(AQ419/AQ353,0)</f>
        <v>-4.2750000000000004</v>
      </c>
      <c r="AR420" s="1322">
        <f t="shared" ca="1" si="864"/>
        <v>-1.3258250427230944</v>
      </c>
      <c r="AS420" s="2802"/>
      <c r="AT420" s="504"/>
      <c r="AU420" s="1323">
        <f ca="1">IFERROR(AU419/AU353,0)</f>
        <v>-5.6008250427230948</v>
      </c>
      <c r="AV420" s="1322">
        <f ca="1">IFERROR(AV419/AV353,0)</f>
        <v>-0.70006471481308197</v>
      </c>
      <c r="AW420" s="1322">
        <f t="shared" ca="1" si="713"/>
        <v>-4.9007603279100129</v>
      </c>
      <c r="AX420" s="2802"/>
      <c r="AY420" s="1322">
        <f ca="1">IFERROR(AY419/AY353,0)</f>
        <v>-4.2750000000000004</v>
      </c>
      <c r="AZ420" s="1322">
        <f t="shared" ca="1" si="715"/>
        <v>-1.3258250427230944</v>
      </c>
      <c r="BA420" s="2802"/>
      <c r="BB420" s="504"/>
      <c r="BC420" s="1323">
        <f ca="1">IFERROR(BC419/BC353,0)</f>
        <v>-5.6008250427230948</v>
      </c>
      <c r="BD420" s="1322">
        <f ca="1">IFERROR(BD419/BD353,0)</f>
        <v>-0.70006471481308197</v>
      </c>
      <c r="BE420" s="1322">
        <f t="shared" ca="1" si="717"/>
        <v>-4.9007603279100129</v>
      </c>
      <c r="BF420" s="2802"/>
      <c r="BG420" s="1322">
        <f ca="1">IFERROR(BG419/BG353,0)</f>
        <v>-4.2750000000000004</v>
      </c>
      <c r="BH420" s="1322">
        <f t="shared" ca="1" si="719"/>
        <v>-1.3258250427230944</v>
      </c>
      <c r="BI420" s="2802"/>
    </row>
    <row r="421" spans="1:61" ht="14.5">
      <c r="A421" s="1693">
        <f t="shared" si="841"/>
        <v>413</v>
      </c>
      <c r="B421" s="616">
        <v>1</v>
      </c>
      <c r="C421" s="1693">
        <f t="shared" si="840"/>
        <v>421</v>
      </c>
      <c r="D421" s="616">
        <v>1</v>
      </c>
      <c r="E421" s="709" t="s">
        <v>512</v>
      </c>
      <c r="F421" s="69"/>
      <c r="G421" s="8"/>
      <c r="H421" s="737"/>
      <c r="I421" s="4"/>
      <c r="J421" s="4"/>
      <c r="K421" s="3"/>
      <c r="L421" s="742" t="s">
        <v>547</v>
      </c>
      <c r="M421" s="707"/>
      <c r="N421" s="586"/>
      <c r="O421" s="586"/>
      <c r="P421" s="586"/>
      <c r="Q421" s="586"/>
      <c r="R421" s="1785" t="str">
        <f>CHOOSE(2, "6722000003332", "PL (5) CAI (%)")</f>
        <v>PL (5) CAI (%)</v>
      </c>
      <c r="S421" s="1368">
        <f>S455</f>
        <v>0</v>
      </c>
      <c r="T421" s="1368">
        <f t="shared" ref="T421:AD421" si="874">T455</f>
        <v>0</v>
      </c>
      <c r="U421" s="1368">
        <f t="shared" si="874"/>
        <v>0</v>
      </c>
      <c r="V421" s="1368">
        <f t="shared" si="874"/>
        <v>0</v>
      </c>
      <c r="W421" s="1368">
        <f t="shared" si="874"/>
        <v>0</v>
      </c>
      <c r="X421" s="1368">
        <f t="shared" si="874"/>
        <v>0</v>
      </c>
      <c r="Y421" s="1368">
        <f t="shared" si="874"/>
        <v>0</v>
      </c>
      <c r="Z421" s="1368">
        <f t="shared" si="874"/>
        <v>0</v>
      </c>
      <c r="AA421" s="1368">
        <f t="shared" si="874"/>
        <v>0</v>
      </c>
      <c r="AB421" s="1368">
        <f t="shared" si="874"/>
        <v>0</v>
      </c>
      <c r="AC421" s="1368">
        <f t="shared" si="874"/>
        <v>0</v>
      </c>
      <c r="AD421" s="1368">
        <f t="shared" si="874"/>
        <v>0</v>
      </c>
      <c r="AE421" s="884">
        <f t="shared" ref="AE421:AK421" si="875">AE455</f>
        <v>0</v>
      </c>
      <c r="AF421" s="744">
        <f t="shared" si="875"/>
        <v>0</v>
      </c>
      <c r="AG421" s="744">
        <f t="shared" si="875"/>
        <v>0</v>
      </c>
      <c r="AH421" s="744">
        <f t="shared" si="875"/>
        <v>0</v>
      </c>
      <c r="AI421" s="744">
        <f t="shared" si="875"/>
        <v>0</v>
      </c>
      <c r="AJ421" s="744">
        <f t="shared" si="875"/>
        <v>0</v>
      </c>
      <c r="AK421" s="744">
        <f t="shared" si="875"/>
        <v>0</v>
      </c>
      <c r="AM421" s="2746">
        <f t="shared" ref="AM421:AN421" ca="1" si="876">AM455</f>
        <v>0</v>
      </c>
      <c r="AN421" s="2746">
        <f t="shared" ca="1" si="876"/>
        <v>0.25044373264798314</v>
      </c>
      <c r="AO421" s="2746">
        <f t="shared" ca="1" si="820"/>
        <v>-0.25044373264798314</v>
      </c>
      <c r="AP421" s="2747"/>
      <c r="AQ421" s="2746">
        <f t="shared" ref="AQ421" ca="1" si="877">AQ455</f>
        <v>2.9320173211527045</v>
      </c>
      <c r="AR421" s="2746">
        <f t="shared" ca="1" si="864"/>
        <v>-2.9320173211527045</v>
      </c>
      <c r="AS421" s="2847"/>
      <c r="AU421" s="2746">
        <f t="shared" ref="AU421:AV421" ca="1" si="878">AU455</f>
        <v>0</v>
      </c>
      <c r="AV421" s="2746">
        <f t="shared" ca="1" si="878"/>
        <v>0.25044373264798314</v>
      </c>
      <c r="AW421" s="2746">
        <f t="shared" ca="1" si="713"/>
        <v>-0.25044373264798314</v>
      </c>
      <c r="AX421" s="2747"/>
      <c r="AY421" s="2746">
        <f t="shared" ref="AY421" ca="1" si="879">AY455</f>
        <v>2.9320173211527045</v>
      </c>
      <c r="AZ421" s="2746">
        <f t="shared" ca="1" si="715"/>
        <v>-2.9320173211527045</v>
      </c>
      <c r="BA421" s="2847"/>
      <c r="BC421" s="2746">
        <f t="shared" ref="BC421:BD421" ca="1" si="880">BC455</f>
        <v>0</v>
      </c>
      <c r="BD421" s="2746">
        <f t="shared" ca="1" si="880"/>
        <v>0.25044373264798314</v>
      </c>
      <c r="BE421" s="2746">
        <f t="shared" ca="1" si="717"/>
        <v>-0.25044373264798314</v>
      </c>
      <c r="BF421" s="2747"/>
      <c r="BG421" s="2746">
        <f t="shared" ref="BG421" ca="1" si="881">BG455</f>
        <v>2.9320173211527045</v>
      </c>
      <c r="BH421" s="2746">
        <f t="shared" ca="1" si="719"/>
        <v>-2.9320173211527045</v>
      </c>
      <c r="BI421" s="2847"/>
    </row>
    <row r="422" spans="1:61" ht="14.5">
      <c r="A422" s="1693">
        <f t="shared" si="841"/>
        <v>414</v>
      </c>
      <c r="B422" s="616">
        <v>1</v>
      </c>
      <c r="C422" s="1693">
        <f t="shared" si="840"/>
        <v>422</v>
      </c>
      <c r="D422" s="616">
        <v>1</v>
      </c>
      <c r="E422" s="709" t="s">
        <v>512</v>
      </c>
      <c r="F422" s="69"/>
      <c r="G422" s="8"/>
      <c r="H422" s="737"/>
      <c r="I422" s="4"/>
      <c r="J422" s="4"/>
      <c r="K422" s="3"/>
      <c r="L422" s="27"/>
      <c r="M422" s="572" t="s">
        <v>509</v>
      </c>
      <c r="N422" s="251"/>
      <c r="O422" s="251"/>
      <c r="P422" s="251"/>
      <c r="Q422" s="251"/>
      <c r="R422" s="1786" t="str">
        <f>CHOOSE(2, "6722000003333", "PL (5) CAI Directly assigned")</f>
        <v>PL (5) CAI Directly assigned</v>
      </c>
      <c r="S422" s="1380">
        <f>SUM(S423:S425)</f>
        <v>574.69983016949448</v>
      </c>
      <c r="T422" s="1380">
        <f t="shared" ref="T422:AD422" si="882">SUM(T423:T425)</f>
        <v>613.76469630330962</v>
      </c>
      <c r="U422" s="1380">
        <f t="shared" si="882"/>
        <v>601.18222404925928</v>
      </c>
      <c r="V422" s="1380">
        <f t="shared" si="882"/>
        <v>577.80685267039894</v>
      </c>
      <c r="W422" s="1380">
        <f t="shared" si="882"/>
        <v>598.10286758796076</v>
      </c>
      <c r="X422" s="1380">
        <f t="shared" si="882"/>
        <v>323.29157525257432</v>
      </c>
      <c r="Y422" s="1249">
        <f t="shared" si="882"/>
        <v>346.63084904092517</v>
      </c>
      <c r="Z422" s="1249">
        <f t="shared" si="882"/>
        <v>528.75329521341462</v>
      </c>
      <c r="AA422" s="1249">
        <f t="shared" si="882"/>
        <v>622.1644940684655</v>
      </c>
      <c r="AB422" s="1614">
        <f t="shared" si="882"/>
        <v>438.79688195561255</v>
      </c>
      <c r="AC422" s="1614">
        <f t="shared" si="882"/>
        <v>452.06181923785152</v>
      </c>
      <c r="AD422" s="1614">
        <f t="shared" si="882"/>
        <v>394.47895792204071</v>
      </c>
      <c r="AE422" s="1615">
        <f t="shared" ref="AE422:AK422" si="883">SUM(AE423:AE425)</f>
        <v>1789.6467505220635</v>
      </c>
      <c r="AF422" s="1614">
        <f t="shared" si="883"/>
        <v>1499.201295510934</v>
      </c>
      <c r="AG422" s="1614">
        <f t="shared" si="883"/>
        <v>1497.5486383228053</v>
      </c>
      <c r="AH422" s="1614">
        <f t="shared" si="883"/>
        <v>1285.3376591155047</v>
      </c>
      <c r="AI422" s="1614">
        <f t="shared" si="883"/>
        <v>3288.8480460329974</v>
      </c>
      <c r="AJ422" s="1614">
        <f t="shared" si="883"/>
        <v>2782.8862974383101</v>
      </c>
      <c r="AK422" s="1614">
        <f t="shared" si="883"/>
        <v>6071.7343434713084</v>
      </c>
      <c r="AM422" s="2252">
        <f ca="1">SUM((INDIRECT(AM$2&amp;(ROW())):INDIRECT(AM$3&amp;(ROW()))))</f>
        <v>574.69983016949448</v>
      </c>
      <c r="AN422" s="2251">
        <f ca="1">SUM(INDIRECT(AN$1&amp;AN$2&amp;$C422):INDIRECT(AN$1&amp;AN$3&amp;$C422))</f>
        <v>920.98516946243922</v>
      </c>
      <c r="AO422" s="2750">
        <f t="shared" ca="1" si="820"/>
        <v>-346.28533929294474</v>
      </c>
      <c r="AP422" s="2751">
        <f t="shared" ref="AP422:AP430" ca="1" si="884">IFERROR(AM422/AN422,0)</f>
        <v>0.62400552063714054</v>
      </c>
      <c r="AQ422" s="2251">
        <f ca="1">SUM(INDIRECT(AQ$1&amp;AQ$2&amp;$A422):INDIRECT(AQ$1&amp;AQ$3&amp;$A422))+SUM(INDIRECT(AQ$1&amp;AQ$2&amp;$B422):INDIRECT(AQ$1&amp;AQ$3&amp;$B422))</f>
        <v>482.31953065830163</v>
      </c>
      <c r="AR422" s="2750">
        <f t="shared" ca="1" si="864"/>
        <v>92.380299511192845</v>
      </c>
      <c r="AS422" s="2751">
        <f t="shared" ref="AS422:AS430" ca="1" si="885">IFERROR(AM422/AQ422,0)</f>
        <v>1.1915333998295821</v>
      </c>
      <c r="AU422" s="2252">
        <f ca="1">SUM((INDIRECT(AU$2&amp;(ROW())):INDIRECT(AU$3&amp;(ROW()))))</f>
        <v>574.69983016949448</v>
      </c>
      <c r="AV422" s="2251">
        <f ca="1">SUM(INDIRECT(AV$1&amp;AV$2&amp;$C422):INDIRECT(AV$1&amp;AV$3&amp;$C422))</f>
        <v>920.98516946243922</v>
      </c>
      <c r="AW422" s="2750">
        <f t="shared" ca="1" si="713"/>
        <v>-346.28533929294474</v>
      </c>
      <c r="AX422" s="2751">
        <f t="shared" ref="AX422:AX430" ca="1" si="886">IFERROR(AU422/AV422,0)</f>
        <v>0.62400552063714054</v>
      </c>
      <c r="AY422" s="2251">
        <f ca="1">SUM(INDIRECT(AY$1&amp;AY$2&amp;$A422):INDIRECT(AY$1&amp;AY$3&amp;$A422))+SUM(INDIRECT(AY$1&amp;AY$2&amp;$B422):INDIRECT(AY$1&amp;AY$3&amp;$B422))</f>
        <v>482.31953065830163</v>
      </c>
      <c r="AZ422" s="2750">
        <f t="shared" ca="1" si="715"/>
        <v>92.380299511192845</v>
      </c>
      <c r="BA422" s="2751">
        <f t="shared" ref="BA422:BA430" ca="1" si="887">IFERROR(AU422/AY422,0)</f>
        <v>1.1915333998295821</v>
      </c>
      <c r="BC422" s="2252">
        <f ca="1">SUM((INDIRECT(BC$2&amp;(ROW())):INDIRECT(BC$3&amp;(ROW()))))</f>
        <v>574.69983016949448</v>
      </c>
      <c r="BD422" s="2251">
        <f ca="1">SUM(INDIRECT(BD$1&amp;BD$2&amp;$C422):INDIRECT(BD$1&amp;BD$3&amp;$C422))</f>
        <v>920.98516946243922</v>
      </c>
      <c r="BE422" s="2750">
        <f t="shared" ca="1" si="717"/>
        <v>-346.28533929294474</v>
      </c>
      <c r="BF422" s="2751">
        <f t="shared" ref="BF422:BF430" ca="1" si="888">IFERROR(BC422/BD422,0)</f>
        <v>0.62400552063714054</v>
      </c>
      <c r="BG422" s="2251">
        <f ca="1">SUM(INDIRECT(BG$1&amp;BG$2&amp;$A422):INDIRECT(BG$1&amp;BG$3&amp;$A422))+SUM(INDIRECT(BG$1&amp;BG$2&amp;$B422):INDIRECT(BG$1&amp;BG$3&amp;$B422))</f>
        <v>482.31953065830163</v>
      </c>
      <c r="BH422" s="2750">
        <f t="shared" ca="1" si="719"/>
        <v>92.380299511192845</v>
      </c>
      <c r="BI422" s="2751">
        <f t="shared" ref="BI422:BI430" ca="1" si="889">IFERROR(BC422/BG422,0)</f>
        <v>1.1915333998295821</v>
      </c>
    </row>
    <row r="423" spans="1:61" ht="14.5">
      <c r="A423" s="1693">
        <f t="shared" si="841"/>
        <v>415</v>
      </c>
      <c r="B423" s="616">
        <v>1</v>
      </c>
      <c r="C423" s="1693">
        <f t="shared" si="840"/>
        <v>423</v>
      </c>
      <c r="D423" s="616">
        <v>1</v>
      </c>
      <c r="E423" s="709" t="s">
        <v>512</v>
      </c>
      <c r="F423" s="69"/>
      <c r="G423" s="8"/>
      <c r="H423" s="737"/>
      <c r="I423" s="4"/>
      <c r="J423" s="4"/>
      <c r="K423" s="3"/>
      <c r="L423" s="27"/>
      <c r="M423" s="27"/>
      <c r="N423" s="36" t="s">
        <v>87</v>
      </c>
      <c r="O423" s="3"/>
      <c r="P423" s="3"/>
      <c r="Q423" s="3"/>
      <c r="R423" s="1787" t="str">
        <f>CHOOSE(2, "6722000003334", "PL (5) CAI Directly assigned Variable Expenses")</f>
        <v>PL (5) CAI Directly assigned Variable Expenses</v>
      </c>
      <c r="S423" s="1350">
        <v>0.19019755387360784</v>
      </c>
      <c r="T423" s="1350"/>
      <c r="U423" s="1350"/>
      <c r="V423" s="1350"/>
      <c r="W423" s="1350"/>
      <c r="X423" s="1350"/>
      <c r="Y423" s="1281">
        <v>0</v>
      </c>
      <c r="Z423" s="1281">
        <v>0</v>
      </c>
      <c r="AA423" s="1281">
        <v>0</v>
      </c>
      <c r="AB423" s="1351">
        <v>0</v>
      </c>
      <c r="AC423" s="1351">
        <v>0</v>
      </c>
      <c r="AD423" s="1351">
        <v>0</v>
      </c>
      <c r="AE423" s="125">
        <f>SUM(S423,T423,U423)</f>
        <v>0.19019755387360784</v>
      </c>
      <c r="AF423" s="126">
        <f>SUM(V423,W423,X423)</f>
        <v>0</v>
      </c>
      <c r="AG423" s="126">
        <f>SUM(Y423,Z423,AA423)</f>
        <v>0</v>
      </c>
      <c r="AH423" s="126">
        <f>SUM(AB423,AC423,AD423)</f>
        <v>0</v>
      </c>
      <c r="AI423" s="126">
        <f>AE423+AF423</f>
        <v>0.19019755387360784</v>
      </c>
      <c r="AJ423" s="126">
        <f>AH423+AG423</f>
        <v>0</v>
      </c>
      <c r="AK423" s="126">
        <f>AI423+AJ423</f>
        <v>0.19019755387360784</v>
      </c>
      <c r="AM423" s="2470">
        <f ca="1">SUM((INDIRECT(AM$2&amp;(ROW())):INDIRECT(AM$3&amp;(ROW()))))</f>
        <v>0.19019755387360784</v>
      </c>
      <c r="AN423" s="2754">
        <f ca="1">SUM(INDIRECT(AN$1&amp;AN$2&amp;$C423):INDIRECT(AN$1&amp;AN$3&amp;$C423))</f>
        <v>295.72447364305015</v>
      </c>
      <c r="AO423" s="2755">
        <f t="shared" ca="1" si="820"/>
        <v>-295.53427608917656</v>
      </c>
      <c r="AP423" s="2756">
        <f t="shared" ca="1" si="884"/>
        <v>6.4315797583659913E-4</v>
      </c>
      <c r="AQ423" s="2754">
        <f ca="1">SUM(INDIRECT(AQ$1&amp;AQ$2&amp;$A423):INDIRECT(AQ$1&amp;AQ$3&amp;$A423))+SUM(INDIRECT(AQ$1&amp;AQ$2&amp;$B423):INDIRECT(AQ$1&amp;AQ$3&amp;$B423))</f>
        <v>34.910076841698505</v>
      </c>
      <c r="AR423" s="2755">
        <f t="shared" ca="1" si="864"/>
        <v>-34.719879287824895</v>
      </c>
      <c r="AS423" s="2756">
        <f t="shared" ca="1" si="885"/>
        <v>5.448213555532066E-3</v>
      </c>
      <c r="AU423" s="2470">
        <f ca="1">SUM((INDIRECT(AU$2&amp;(ROW())):INDIRECT(AU$3&amp;(ROW()))))</f>
        <v>0.19019755387360784</v>
      </c>
      <c r="AV423" s="2754">
        <f ca="1">SUM(INDIRECT(AV$1&amp;AV$2&amp;$C423):INDIRECT(AV$1&amp;AV$3&amp;$C423))</f>
        <v>295.72447364305015</v>
      </c>
      <c r="AW423" s="2755">
        <f t="shared" ca="1" si="713"/>
        <v>-295.53427608917656</v>
      </c>
      <c r="AX423" s="2756">
        <f t="shared" ca="1" si="886"/>
        <v>6.4315797583659913E-4</v>
      </c>
      <c r="AY423" s="2754">
        <f ca="1">SUM(INDIRECT(AY$1&amp;AY$2&amp;$A423):INDIRECT(AY$1&amp;AY$3&amp;$A423))+SUM(INDIRECT(AY$1&amp;AY$2&amp;$B423):INDIRECT(AY$1&amp;AY$3&amp;$B423))</f>
        <v>34.910076841698505</v>
      </c>
      <c r="AZ423" s="2755">
        <f t="shared" ca="1" si="715"/>
        <v>-34.719879287824895</v>
      </c>
      <c r="BA423" s="2756">
        <f t="shared" ca="1" si="887"/>
        <v>5.448213555532066E-3</v>
      </c>
      <c r="BC423" s="2470">
        <f ca="1">SUM((INDIRECT(BC$2&amp;(ROW())):INDIRECT(BC$3&amp;(ROW()))))</f>
        <v>0.19019755387360784</v>
      </c>
      <c r="BD423" s="2754">
        <f ca="1">SUM(INDIRECT(BD$1&amp;BD$2&amp;$C423):INDIRECT(BD$1&amp;BD$3&amp;$C423))</f>
        <v>295.72447364305015</v>
      </c>
      <c r="BE423" s="2755">
        <f t="shared" ca="1" si="717"/>
        <v>-295.53427608917656</v>
      </c>
      <c r="BF423" s="2756">
        <f t="shared" ca="1" si="888"/>
        <v>6.4315797583659913E-4</v>
      </c>
      <c r="BG423" s="2754">
        <f ca="1">SUM(INDIRECT(BG$1&amp;BG$2&amp;$A423):INDIRECT(BG$1&amp;BG$3&amp;$A423))+SUM(INDIRECT(BG$1&amp;BG$2&amp;$B423):INDIRECT(BG$1&amp;BG$3&amp;$B423))</f>
        <v>34.910076841698505</v>
      </c>
      <c r="BH423" s="2755">
        <f t="shared" ca="1" si="719"/>
        <v>-34.719879287824895</v>
      </c>
      <c r="BI423" s="2756">
        <f t="shared" ca="1" si="889"/>
        <v>5.448213555532066E-3</v>
      </c>
    </row>
    <row r="424" spans="1:61" ht="14.5">
      <c r="A424" s="1693">
        <f t="shared" si="841"/>
        <v>416</v>
      </c>
      <c r="B424" s="616">
        <v>1</v>
      </c>
      <c r="C424" s="1693">
        <f t="shared" si="840"/>
        <v>424</v>
      </c>
      <c r="D424" s="616">
        <v>1</v>
      </c>
      <c r="E424" s="709" t="s">
        <v>512</v>
      </c>
      <c r="F424" s="69"/>
      <c r="G424" s="8"/>
      <c r="H424" s="737"/>
      <c r="I424" s="4"/>
      <c r="J424" s="4"/>
      <c r="K424" s="3"/>
      <c r="L424" s="27"/>
      <c r="M424" s="27"/>
      <c r="N424" s="36" t="s">
        <v>88</v>
      </c>
      <c r="O424" s="3"/>
      <c r="P424" s="3"/>
      <c r="Q424" s="3"/>
      <c r="R424" s="1787" t="str">
        <f>CHOOSE(2, "6722000003335", "PL (5) CAI Directly assigned Wages &amp; Salaries")</f>
        <v>PL (5) CAI Directly assigned Wages &amp; Salaries</v>
      </c>
      <c r="S424" s="1350">
        <v>421.50963261562089</v>
      </c>
      <c r="T424" s="1350">
        <v>476.66235809424398</v>
      </c>
      <c r="U424" s="1350">
        <v>424.81427625938613</v>
      </c>
      <c r="V424" s="1350">
        <v>495.48957929913053</v>
      </c>
      <c r="W424" s="1350">
        <v>541.94312489059234</v>
      </c>
      <c r="X424" s="1350">
        <v>292.52017914867821</v>
      </c>
      <c r="Y424" s="1281">
        <v>317.19764115562049</v>
      </c>
      <c r="Z424" s="1281">
        <v>439</v>
      </c>
      <c r="AA424" s="1281">
        <v>503.37458391065923</v>
      </c>
      <c r="AB424" s="1351">
        <v>424.47062354215103</v>
      </c>
      <c r="AC424" s="1351">
        <v>437.69517772841755</v>
      </c>
      <c r="AD424" s="1351">
        <v>380.53163085651363</v>
      </c>
      <c r="AE424" s="125">
        <f>SUM(S424,T424,U424)</f>
        <v>1322.9862669692511</v>
      </c>
      <c r="AF424" s="126">
        <f>SUM(V424,W424,X424)</f>
        <v>1329.9528833384011</v>
      </c>
      <c r="AG424" s="126">
        <f>SUM(Y424,Z424,AA424)</f>
        <v>1259.5722250662798</v>
      </c>
      <c r="AH424" s="126">
        <f>SUM(AB424,AC424,AD424)</f>
        <v>1242.6974321270823</v>
      </c>
      <c r="AI424" s="126">
        <f>AE424+AF424</f>
        <v>2652.9391503076522</v>
      </c>
      <c r="AJ424" s="126">
        <f>AH424+AG424</f>
        <v>2502.269657193362</v>
      </c>
      <c r="AK424" s="126">
        <f>AI424+AJ424</f>
        <v>5155.2088075010142</v>
      </c>
      <c r="AM424" s="2470">
        <f ca="1">SUM((INDIRECT(AM$2&amp;(ROW())):INDIRECT(AM$3&amp;(ROW()))))</f>
        <v>421.50963261562089</v>
      </c>
      <c r="AN424" s="2754">
        <f ca="1">SUM(INDIRECT(AN$1&amp;AN$2&amp;$C424):INDIRECT(AN$1&amp;AN$3&amp;$C424))</f>
        <v>595.26163331938903</v>
      </c>
      <c r="AO424" s="2755">
        <f t="shared" ca="1" si="820"/>
        <v>-173.75200070376815</v>
      </c>
      <c r="AP424" s="2756">
        <f t="shared" ca="1" si="884"/>
        <v>0.70810818138090703</v>
      </c>
      <c r="AQ424" s="2754">
        <f ca="1">SUM(INDIRECT(AQ$1&amp;AQ$2&amp;$A424):INDIRECT(AQ$1&amp;AQ$3&amp;$A424))+SUM(INDIRECT(AQ$1&amp;AQ$2&amp;$B424):INDIRECT(AQ$1&amp;AQ$3&amp;$B424))</f>
        <v>413.25829168885457</v>
      </c>
      <c r="AR424" s="2755">
        <f t="shared" ca="1" si="864"/>
        <v>8.2513409267663178</v>
      </c>
      <c r="AS424" s="2756">
        <f t="shared" ca="1" si="885"/>
        <v>1.0199665465707795</v>
      </c>
      <c r="AU424" s="2470">
        <f ca="1">SUM((INDIRECT(AU$2&amp;(ROW())):INDIRECT(AU$3&amp;(ROW()))))</f>
        <v>421.50963261562089</v>
      </c>
      <c r="AV424" s="2754">
        <f ca="1">SUM(INDIRECT(AV$1&amp;AV$2&amp;$C424):INDIRECT(AV$1&amp;AV$3&amp;$C424))</f>
        <v>595.26163331938903</v>
      </c>
      <c r="AW424" s="2755">
        <f t="shared" ca="1" si="713"/>
        <v>-173.75200070376815</v>
      </c>
      <c r="AX424" s="2756">
        <f t="shared" ca="1" si="886"/>
        <v>0.70810818138090703</v>
      </c>
      <c r="AY424" s="2754">
        <f ca="1">SUM(INDIRECT(AY$1&amp;AY$2&amp;$A424):INDIRECT(AY$1&amp;AY$3&amp;$A424))+SUM(INDIRECT(AY$1&amp;AY$2&amp;$B424):INDIRECT(AY$1&amp;AY$3&amp;$B424))</f>
        <v>413.25829168885457</v>
      </c>
      <c r="AZ424" s="2755">
        <f t="shared" ca="1" si="715"/>
        <v>8.2513409267663178</v>
      </c>
      <c r="BA424" s="2756">
        <f t="shared" ca="1" si="887"/>
        <v>1.0199665465707795</v>
      </c>
      <c r="BC424" s="2470">
        <f ca="1">SUM((INDIRECT(BC$2&amp;(ROW())):INDIRECT(BC$3&amp;(ROW()))))</f>
        <v>421.50963261562089</v>
      </c>
      <c r="BD424" s="2754">
        <f ca="1">SUM(INDIRECT(BD$1&amp;BD$2&amp;$C424):INDIRECT(BD$1&amp;BD$3&amp;$C424))</f>
        <v>595.26163331938903</v>
      </c>
      <c r="BE424" s="2755">
        <f t="shared" ca="1" si="717"/>
        <v>-173.75200070376815</v>
      </c>
      <c r="BF424" s="2756">
        <f t="shared" ca="1" si="888"/>
        <v>0.70810818138090703</v>
      </c>
      <c r="BG424" s="2754">
        <f ca="1">SUM(INDIRECT(BG$1&amp;BG$2&amp;$A424):INDIRECT(BG$1&amp;BG$3&amp;$A424))+SUM(INDIRECT(BG$1&amp;BG$2&amp;$B424):INDIRECT(BG$1&amp;BG$3&amp;$B424))</f>
        <v>413.25829168885457</v>
      </c>
      <c r="BH424" s="2755">
        <f t="shared" ca="1" si="719"/>
        <v>8.2513409267663178</v>
      </c>
      <c r="BI424" s="2756">
        <f t="shared" ca="1" si="889"/>
        <v>1.0199665465707795</v>
      </c>
    </row>
    <row r="425" spans="1:61" ht="14.5">
      <c r="A425" s="1693">
        <f t="shared" si="841"/>
        <v>417</v>
      </c>
      <c r="B425" s="616">
        <v>1</v>
      </c>
      <c r="C425" s="1693">
        <f t="shared" si="840"/>
        <v>425</v>
      </c>
      <c r="D425" s="616">
        <v>1</v>
      </c>
      <c r="E425" s="709" t="s">
        <v>512</v>
      </c>
      <c r="F425" s="69"/>
      <c r="G425" s="8"/>
      <c r="H425" s="737"/>
      <c r="I425" s="4"/>
      <c r="J425" s="4"/>
      <c r="K425" s="3"/>
      <c r="L425" s="27"/>
      <c r="M425" s="25"/>
      <c r="N425" s="104" t="s">
        <v>89</v>
      </c>
      <c r="O425" s="1"/>
      <c r="P425" s="1"/>
      <c r="Q425" s="1"/>
      <c r="R425" s="1787" t="str">
        <f>CHOOSE(2, "6722000003336", "PL (5) CAI Directly assigned Fixed Expenses")</f>
        <v>PL (5) CAI Directly assigned Fixed Expenses</v>
      </c>
      <c r="S425" s="1352">
        <v>153</v>
      </c>
      <c r="T425" s="1352">
        <v>137.10233820906569</v>
      </c>
      <c r="U425" s="1352">
        <v>176.36794778987309</v>
      </c>
      <c r="V425" s="1352">
        <v>82.317273371268357</v>
      </c>
      <c r="W425" s="1352">
        <v>56.159742697368422</v>
      </c>
      <c r="X425" s="1352">
        <v>30.771396103896105</v>
      </c>
      <c r="Y425" s="1282">
        <v>29.433207885304657</v>
      </c>
      <c r="Z425" s="1282">
        <v>89.753295213414603</v>
      </c>
      <c r="AA425" s="1282">
        <v>118.7899101578063</v>
      </c>
      <c r="AB425" s="1353">
        <v>14.32625841346154</v>
      </c>
      <c r="AC425" s="1353">
        <v>14.366641509433963</v>
      </c>
      <c r="AD425" s="1353">
        <v>13.947327065527064</v>
      </c>
      <c r="AE425" s="122">
        <f>SUM(S425,T425,U425)</f>
        <v>466.47028599893878</v>
      </c>
      <c r="AF425" s="123">
        <f>SUM(V425,W425,X425)</f>
        <v>169.24841217253288</v>
      </c>
      <c r="AG425" s="123">
        <f>SUM(Y425,Z425,AA425)</f>
        <v>237.97641325652557</v>
      </c>
      <c r="AH425" s="123">
        <f>SUM(AB425,AC425,AD425)</f>
        <v>42.640226988422569</v>
      </c>
      <c r="AI425" s="123">
        <f>AE425+AF425</f>
        <v>635.71869817147171</v>
      </c>
      <c r="AJ425" s="123">
        <f>AH425+AG425</f>
        <v>280.61664024494814</v>
      </c>
      <c r="AK425" s="123">
        <f>AI425+AJ425</f>
        <v>916.33533841641986</v>
      </c>
      <c r="AM425" s="2494">
        <f ca="1">SUM((INDIRECT(AM$2&amp;(ROW())):INDIRECT(AM$3&amp;(ROW()))))</f>
        <v>153</v>
      </c>
      <c r="AN425" s="1980">
        <f ca="1">SUM(INDIRECT(AN$1&amp;AN$2&amp;$C425):INDIRECT(AN$1&amp;AN$3&amp;$C425))</f>
        <v>29.999062499999997</v>
      </c>
      <c r="AO425" s="2759">
        <f t="shared" ca="1" si="820"/>
        <v>123.00093750000001</v>
      </c>
      <c r="AP425" s="2760">
        <f t="shared" ca="1" si="884"/>
        <v>5.1001593799806253</v>
      </c>
      <c r="AQ425" s="1980">
        <f ca="1">SUM(INDIRECT(AQ$1&amp;AQ$2&amp;$A425):INDIRECT(AQ$1&amp;AQ$3&amp;$A425))+SUM(INDIRECT(AQ$1&amp;AQ$2&amp;$B425):INDIRECT(AQ$1&amp;AQ$3&amp;$B425))</f>
        <v>34.151162127748535</v>
      </c>
      <c r="AR425" s="2759">
        <f t="shared" ca="1" si="864"/>
        <v>118.84883787225147</v>
      </c>
      <c r="AS425" s="2760">
        <f t="shared" ca="1" si="885"/>
        <v>4.4800818030050076</v>
      </c>
      <c r="AU425" s="2494">
        <f ca="1">SUM((INDIRECT(AU$2&amp;(ROW())):INDIRECT(AU$3&amp;(ROW()))))</f>
        <v>153</v>
      </c>
      <c r="AV425" s="1980">
        <f ca="1">SUM(INDIRECT(AV$1&amp;AV$2&amp;$C425):INDIRECT(AV$1&amp;AV$3&amp;$C425))</f>
        <v>29.999062499999997</v>
      </c>
      <c r="AW425" s="2759">
        <f t="shared" ca="1" si="713"/>
        <v>123.00093750000001</v>
      </c>
      <c r="AX425" s="2760">
        <f t="shared" ca="1" si="886"/>
        <v>5.1001593799806253</v>
      </c>
      <c r="AY425" s="1980">
        <f ca="1">SUM(INDIRECT(AY$1&amp;AY$2&amp;$A425):INDIRECT(AY$1&amp;AY$3&amp;$A425))+SUM(INDIRECT(AY$1&amp;AY$2&amp;$B425):INDIRECT(AY$1&amp;AY$3&amp;$B425))</f>
        <v>34.151162127748535</v>
      </c>
      <c r="AZ425" s="2759">
        <f t="shared" ref="AZ425:AZ430" ca="1" si="890">AU425-AY425</f>
        <v>118.84883787225147</v>
      </c>
      <c r="BA425" s="2760">
        <f t="shared" ca="1" si="887"/>
        <v>4.4800818030050076</v>
      </c>
      <c r="BC425" s="2494">
        <f ca="1">SUM((INDIRECT(BC$2&amp;(ROW())):INDIRECT(BC$3&amp;(ROW()))))</f>
        <v>153</v>
      </c>
      <c r="BD425" s="1980">
        <f ca="1">SUM(INDIRECT(BD$1&amp;BD$2&amp;$C425):INDIRECT(BD$1&amp;BD$3&amp;$C425))</f>
        <v>29.999062499999997</v>
      </c>
      <c r="BE425" s="2759">
        <f t="shared" ca="1" si="717"/>
        <v>123.00093750000001</v>
      </c>
      <c r="BF425" s="2760">
        <f t="shared" ca="1" si="888"/>
        <v>5.1001593799806253</v>
      </c>
      <c r="BG425" s="1980">
        <f ca="1">SUM(INDIRECT(BG$1&amp;BG$2&amp;$A425):INDIRECT(BG$1&amp;BG$3&amp;$A425))+SUM(INDIRECT(BG$1&amp;BG$2&amp;$B425):INDIRECT(BG$1&amp;BG$3&amp;$B425))</f>
        <v>34.151162127748535</v>
      </c>
      <c r="BH425" s="2759">
        <f t="shared" ref="BH425:BH430" ca="1" si="891">BC425-BG425</f>
        <v>118.84883787225147</v>
      </c>
      <c r="BI425" s="2760">
        <f t="shared" ca="1" si="889"/>
        <v>4.4800818030050076</v>
      </c>
    </row>
    <row r="426" spans="1:61" ht="14.5">
      <c r="A426" s="1693">
        <f t="shared" si="841"/>
        <v>418</v>
      </c>
      <c r="B426" s="616">
        <v>1</v>
      </c>
      <c r="C426" s="1693">
        <f t="shared" si="840"/>
        <v>426</v>
      </c>
      <c r="D426" s="616">
        <v>1</v>
      </c>
      <c r="E426" s="709" t="s">
        <v>512</v>
      </c>
      <c r="F426" s="69"/>
      <c r="G426" s="8"/>
      <c r="H426" s="737"/>
      <c r="I426" s="4"/>
      <c r="J426" s="4"/>
      <c r="K426" s="3"/>
      <c r="L426" s="27"/>
      <c r="M426" s="572" t="s">
        <v>510</v>
      </c>
      <c r="N426" s="586"/>
      <c r="O426" s="586"/>
      <c r="P426" s="586"/>
      <c r="Q426" s="586"/>
      <c r="R426" s="1786" t="str">
        <f>CHOOSE(2, "6722000003337", "PL (5) CAI Allocation")</f>
        <v>PL (5) CAI Allocation</v>
      </c>
      <c r="S426" s="1421">
        <f>SUM(S428:S430)</f>
        <v>0</v>
      </c>
      <c r="T426" s="1421">
        <f t="shared" ref="T426:AD426" si="892">SUM(T428:T430)</f>
        <v>0</v>
      </c>
      <c r="U426" s="1421">
        <f t="shared" si="892"/>
        <v>0</v>
      </c>
      <c r="V426" s="1421">
        <f t="shared" si="892"/>
        <v>0</v>
      </c>
      <c r="W426" s="1421">
        <f t="shared" si="892"/>
        <v>0</v>
      </c>
      <c r="X426" s="1421">
        <f t="shared" si="892"/>
        <v>0</v>
      </c>
      <c r="Y426" s="1384">
        <f t="shared" si="892"/>
        <v>0</v>
      </c>
      <c r="Z426" s="1384">
        <f t="shared" si="892"/>
        <v>0</v>
      </c>
      <c r="AA426" s="1384">
        <f t="shared" si="892"/>
        <v>0</v>
      </c>
      <c r="AB426" s="1385">
        <f t="shared" si="892"/>
        <v>0</v>
      </c>
      <c r="AC426" s="1385">
        <f t="shared" si="892"/>
        <v>0</v>
      </c>
      <c r="AD426" s="1385">
        <f t="shared" si="892"/>
        <v>0</v>
      </c>
      <c r="AE426" s="881">
        <f t="shared" ref="AE426:AK426" si="893">SUM(AE428:AE430)</f>
        <v>0</v>
      </c>
      <c r="AF426" s="1616">
        <f t="shared" si="893"/>
        <v>0</v>
      </c>
      <c r="AG426" s="1616">
        <f t="shared" si="893"/>
        <v>0</v>
      </c>
      <c r="AH426" s="1616">
        <f t="shared" si="893"/>
        <v>0</v>
      </c>
      <c r="AI426" s="1616">
        <f t="shared" si="893"/>
        <v>0</v>
      </c>
      <c r="AJ426" s="1616">
        <f t="shared" si="893"/>
        <v>0</v>
      </c>
      <c r="AK426" s="1616">
        <f t="shared" si="893"/>
        <v>0</v>
      </c>
      <c r="AM426" s="2470">
        <f ca="1">SUM((INDIRECT(AM$2&amp;(ROW())):INDIRECT(AM$3&amp;(ROW()))))</f>
        <v>0</v>
      </c>
      <c r="AN426" s="2754">
        <f ca="1">SUM(INDIRECT(AN$1&amp;AN$2&amp;$C426):INDIRECT(AN$1&amp;AN$3&amp;$C426))</f>
        <v>149.07954535064283</v>
      </c>
      <c r="AO426" s="2755">
        <f t="shared" ca="1" si="820"/>
        <v>-149.07954535064283</v>
      </c>
      <c r="AP426" s="2756">
        <f t="shared" ca="1" si="884"/>
        <v>0</v>
      </c>
      <c r="AQ426" s="2754">
        <f ca="1">SUM(INDIRECT(AQ$1&amp;AQ$2&amp;$A426):INDIRECT(AQ$1&amp;AQ$3&amp;$A426))+SUM(INDIRECT(AQ$1&amp;AQ$2&amp;$B426):INDIRECT(AQ$1&amp;AQ$3&amp;$B426))</f>
        <v>1211.6804693416984</v>
      </c>
      <c r="AR426" s="2755">
        <f t="shared" ca="1" si="864"/>
        <v>-1211.6804693416984</v>
      </c>
      <c r="AS426" s="2756">
        <f t="shared" ca="1" si="885"/>
        <v>0</v>
      </c>
      <c r="AU426" s="2470">
        <f ca="1">SUM((INDIRECT(AU$2&amp;(ROW())):INDIRECT(AU$3&amp;(ROW()))))</f>
        <v>0</v>
      </c>
      <c r="AV426" s="2754">
        <f ca="1">SUM(INDIRECT(AV$1&amp;AV$2&amp;$C426):INDIRECT(AV$1&amp;AV$3&amp;$C426))</f>
        <v>149.07954535064283</v>
      </c>
      <c r="AW426" s="2755">
        <f t="shared" ca="1" si="713"/>
        <v>-149.07954535064283</v>
      </c>
      <c r="AX426" s="2756">
        <f t="shared" ca="1" si="886"/>
        <v>0</v>
      </c>
      <c r="AY426" s="2754">
        <f ca="1">SUM(INDIRECT(AY$1&amp;AY$2&amp;$A426):INDIRECT(AY$1&amp;AY$3&amp;$A426))+SUM(INDIRECT(AY$1&amp;AY$2&amp;$B426):INDIRECT(AY$1&amp;AY$3&amp;$B426))</f>
        <v>1211.6804693416984</v>
      </c>
      <c r="AZ426" s="2755">
        <f t="shared" ca="1" si="890"/>
        <v>-1211.6804693416984</v>
      </c>
      <c r="BA426" s="2756">
        <f t="shared" ca="1" si="887"/>
        <v>0</v>
      </c>
      <c r="BC426" s="2470">
        <f ca="1">SUM((INDIRECT(BC$2&amp;(ROW())):INDIRECT(BC$3&amp;(ROW()))))</f>
        <v>0</v>
      </c>
      <c r="BD426" s="2754">
        <f ca="1">SUM(INDIRECT(BD$1&amp;BD$2&amp;$C426):INDIRECT(BD$1&amp;BD$3&amp;$C426))</f>
        <v>149.07954535064283</v>
      </c>
      <c r="BE426" s="2755">
        <f t="shared" ca="1" si="717"/>
        <v>-149.07954535064283</v>
      </c>
      <c r="BF426" s="2756">
        <f t="shared" ca="1" si="888"/>
        <v>0</v>
      </c>
      <c r="BG426" s="2754">
        <f ca="1">SUM(INDIRECT(BG$1&amp;BG$2&amp;$A426):INDIRECT(BG$1&amp;BG$3&amp;$A426))+SUM(INDIRECT(BG$1&amp;BG$2&amp;$B426):INDIRECT(BG$1&amp;BG$3&amp;$B426))</f>
        <v>1211.6804693416984</v>
      </c>
      <c r="BH426" s="2755">
        <f t="shared" ca="1" si="891"/>
        <v>-1211.6804693416984</v>
      </c>
      <c r="BI426" s="2756">
        <f t="shared" ca="1" si="889"/>
        <v>0</v>
      </c>
    </row>
    <row r="427" spans="1:61" ht="14.5">
      <c r="A427" s="1693">
        <f t="shared" si="841"/>
        <v>419</v>
      </c>
      <c r="B427" s="616">
        <v>1</v>
      </c>
      <c r="C427" s="1693">
        <f t="shared" si="840"/>
        <v>427</v>
      </c>
      <c r="D427" s="616">
        <v>1</v>
      </c>
      <c r="E427" s="709" t="s">
        <v>512</v>
      </c>
      <c r="F427" s="69"/>
      <c r="G427" s="8"/>
      <c r="H427" s="737"/>
      <c r="I427" s="4"/>
      <c r="J427" s="4"/>
      <c r="K427" s="3"/>
      <c r="L427" s="27"/>
      <c r="M427" s="498"/>
      <c r="N427" s="553" t="s">
        <v>513</v>
      </c>
      <c r="O427" s="47"/>
      <c r="P427" s="47"/>
      <c r="Q427" s="47"/>
      <c r="R427" s="1776" t="str">
        <f>CHOOSE(2, "6722000003338", "PL (5) CAI Allocation SGA (%)")</f>
        <v>PL (5) CAI Allocation SGA (%)</v>
      </c>
      <c r="S427" s="1334">
        <f t="shared" ref="S427:AD427" si="894">IFERROR(S426/S393,0)</f>
        <v>0</v>
      </c>
      <c r="T427" s="1334">
        <f t="shared" si="894"/>
        <v>0</v>
      </c>
      <c r="U427" s="1334">
        <f t="shared" si="894"/>
        <v>0</v>
      </c>
      <c r="V427" s="1334">
        <f t="shared" si="894"/>
        <v>0</v>
      </c>
      <c r="W427" s="1334">
        <f t="shared" si="894"/>
        <v>0</v>
      </c>
      <c r="X427" s="1334">
        <f t="shared" si="894"/>
        <v>0</v>
      </c>
      <c r="Y427" s="1334">
        <f t="shared" si="894"/>
        <v>0</v>
      </c>
      <c r="Z427" s="1334">
        <f t="shared" si="894"/>
        <v>0</v>
      </c>
      <c r="AA427" s="1334">
        <f t="shared" si="894"/>
        <v>0</v>
      </c>
      <c r="AB427" s="1334">
        <f t="shared" si="894"/>
        <v>0</v>
      </c>
      <c r="AC427" s="1334">
        <f t="shared" si="894"/>
        <v>0</v>
      </c>
      <c r="AD427" s="1334">
        <f t="shared" si="894"/>
        <v>0</v>
      </c>
      <c r="AE427" s="1332">
        <f t="shared" ref="AE427:AK427" si="895">IFERROR(AE426/AE393,0)</f>
        <v>0</v>
      </c>
      <c r="AF427" s="1334">
        <f t="shared" si="895"/>
        <v>0</v>
      </c>
      <c r="AG427" s="1334">
        <f t="shared" si="895"/>
        <v>0</v>
      </c>
      <c r="AH427" s="1334">
        <f t="shared" si="895"/>
        <v>0</v>
      </c>
      <c r="AI427" s="1334">
        <f t="shared" si="895"/>
        <v>0</v>
      </c>
      <c r="AJ427" s="1334">
        <f t="shared" si="895"/>
        <v>0</v>
      </c>
      <c r="AK427" s="1334">
        <f t="shared" si="895"/>
        <v>0</v>
      </c>
      <c r="AM427" s="2761">
        <f ca="1">SUM((INDIRECT(AM$2&amp;(ROW())):INDIRECT(AM$3&amp;(ROW()))))</f>
        <v>0</v>
      </c>
      <c r="AN427" s="2761">
        <f ca="1">SUM(INDIRECT(AN$1&amp;AN$2&amp;$C427):INDIRECT(AN$1&amp;AN$3&amp;$C427))</f>
        <v>0.13931825177198176</v>
      </c>
      <c r="AO427" s="2761">
        <f t="shared" ca="1" si="820"/>
        <v>-0.13931825177198176</v>
      </c>
      <c r="AP427" s="2762"/>
      <c r="AQ427" s="2761">
        <f t="shared" ref="AQ427" ca="1" si="896">IFERROR(AQ426/AQ393,0)</f>
        <v>0.7152777268841195</v>
      </c>
      <c r="AR427" s="2761">
        <f t="shared" ca="1" si="864"/>
        <v>-0.7152777268841195</v>
      </c>
      <c r="AS427" s="2848"/>
      <c r="AU427" s="2761">
        <f t="shared" ref="AU427:AV427" ca="1" si="897">IFERROR(AU426/AU393,0)</f>
        <v>0</v>
      </c>
      <c r="AV427" s="2761">
        <f t="shared" ca="1" si="897"/>
        <v>0.13931825177198176</v>
      </c>
      <c r="AW427" s="2761">
        <f t="shared" ca="1" si="713"/>
        <v>-0.13931825177198176</v>
      </c>
      <c r="AX427" s="2762"/>
      <c r="AY427" s="2761">
        <f t="shared" ref="AY427" ca="1" si="898">IFERROR(AY426/AY393,0)</f>
        <v>0.7152777268841195</v>
      </c>
      <c r="AZ427" s="2761">
        <f t="shared" ca="1" si="890"/>
        <v>-0.7152777268841195</v>
      </c>
      <c r="BA427" s="2848"/>
      <c r="BC427" s="2761">
        <f t="shared" ref="BC427:BD427" ca="1" si="899">IFERROR(BC426/BC393,0)</f>
        <v>0</v>
      </c>
      <c r="BD427" s="2761">
        <f t="shared" ca="1" si="899"/>
        <v>0.13931825177198176</v>
      </c>
      <c r="BE427" s="2761">
        <f t="shared" ca="1" si="717"/>
        <v>-0.13931825177198176</v>
      </c>
      <c r="BF427" s="2762"/>
      <c r="BG427" s="2761">
        <f t="shared" ref="BG427" ca="1" si="900">IFERROR(BG426/BG393,0)</f>
        <v>0.7152777268841195</v>
      </c>
      <c r="BH427" s="2761">
        <f t="shared" ca="1" si="891"/>
        <v>-0.7152777268841195</v>
      </c>
      <c r="BI427" s="2848"/>
    </row>
    <row r="428" spans="1:61" ht="14.5">
      <c r="A428" s="1693">
        <f t="shared" si="841"/>
        <v>420</v>
      </c>
      <c r="B428" s="616">
        <v>1</v>
      </c>
      <c r="C428" s="1693">
        <f t="shared" si="840"/>
        <v>428</v>
      </c>
      <c r="D428" s="616">
        <v>1</v>
      </c>
      <c r="E428" s="709" t="s">
        <v>512</v>
      </c>
      <c r="F428" s="69"/>
      <c r="G428" s="8"/>
      <c r="H428" s="737"/>
      <c r="I428" s="4"/>
      <c r="J428" s="4"/>
      <c r="K428" s="3"/>
      <c r="L428" s="27"/>
      <c r="M428" s="27"/>
      <c r="N428" s="36" t="s">
        <v>87</v>
      </c>
      <c r="O428" s="3"/>
      <c r="P428" s="3"/>
      <c r="Q428" s="3"/>
      <c r="R428" s="1777" t="str">
        <f>CHOOSE(2, "6722000003339", "PL (5) CAI Allocation Variable Expenses")</f>
        <v>PL (5) CAI Allocation Variable Expenses</v>
      </c>
      <c r="S428" s="1419">
        <f t="shared" ref="S428:AD430" si="901">S394-S423</f>
        <v>0</v>
      </c>
      <c r="T428" s="1419">
        <f t="shared" si="901"/>
        <v>0</v>
      </c>
      <c r="U428" s="1419">
        <f t="shared" si="901"/>
        <v>0</v>
      </c>
      <c r="V428" s="1419">
        <f t="shared" si="901"/>
        <v>0</v>
      </c>
      <c r="W428" s="1419">
        <f t="shared" si="901"/>
        <v>0</v>
      </c>
      <c r="X428" s="1419">
        <f t="shared" si="901"/>
        <v>0</v>
      </c>
      <c r="Y428" s="1419">
        <f t="shared" si="901"/>
        <v>0</v>
      </c>
      <c r="Z428" s="1419">
        <f t="shared" si="901"/>
        <v>0</v>
      </c>
      <c r="AA428" s="1419">
        <f t="shared" si="901"/>
        <v>0</v>
      </c>
      <c r="AB428" s="1419">
        <f t="shared" si="901"/>
        <v>0</v>
      </c>
      <c r="AC428" s="1419">
        <f t="shared" si="901"/>
        <v>0</v>
      </c>
      <c r="AD428" s="1419">
        <f t="shared" si="901"/>
        <v>0</v>
      </c>
      <c r="AE428" s="1617">
        <f>SUM(S428,T428,U428)</f>
        <v>0</v>
      </c>
      <c r="AF428" s="1419">
        <f>SUM(V428,W428,X428)</f>
        <v>0</v>
      </c>
      <c r="AG428" s="1419">
        <f>SUM(Y428,Z428,AA428)</f>
        <v>0</v>
      </c>
      <c r="AH428" s="1419">
        <f>SUM(AB428,AC428,AD428)</f>
        <v>0</v>
      </c>
      <c r="AI428" s="1419">
        <f>AE428+AF428</f>
        <v>0</v>
      </c>
      <c r="AJ428" s="1419">
        <f>AH428+AG428</f>
        <v>0</v>
      </c>
      <c r="AK428" s="1419">
        <f>AI428+AJ428</f>
        <v>0</v>
      </c>
      <c r="AM428" s="2470">
        <f ca="1">SUM((INDIRECT(AM$2&amp;(ROW())):INDIRECT(AM$3&amp;(ROW()))))</f>
        <v>0</v>
      </c>
      <c r="AN428" s="2754">
        <f ca="1">SUM(INDIRECT(AN$1&amp;AN$2&amp;$C428):INDIRECT(AN$1&amp;AN$3&amp;$C428))</f>
        <v>149.07954535064283</v>
      </c>
      <c r="AO428" s="2755">
        <f t="shared" ca="1" si="820"/>
        <v>-149.07954535064283</v>
      </c>
      <c r="AP428" s="2756">
        <f t="shared" ca="1" si="884"/>
        <v>0</v>
      </c>
      <c r="AQ428" s="2754">
        <f ca="1">SUM(INDIRECT(AQ$1&amp;AQ$2&amp;$A428):INDIRECT(AQ$1&amp;AQ$3&amp;$A428))+SUM(INDIRECT(AQ$1&amp;AQ$2&amp;$B428):INDIRECT(AQ$1&amp;AQ$3&amp;$B428))</f>
        <v>-4.9100768416985048</v>
      </c>
      <c r="AR428" s="2755">
        <f t="shared" ca="1" si="864"/>
        <v>4.9100768416985048</v>
      </c>
      <c r="AS428" s="2756">
        <f t="shared" ca="1" si="885"/>
        <v>0</v>
      </c>
      <c r="AU428" s="2470">
        <f ca="1">SUM((INDIRECT(AU$2&amp;(ROW())):INDIRECT(AU$3&amp;(ROW()))))</f>
        <v>0</v>
      </c>
      <c r="AV428" s="2754">
        <f ca="1">SUM(INDIRECT(AV$1&amp;AV$2&amp;$C428):INDIRECT(AV$1&amp;AV$3&amp;$C428))</f>
        <v>149.07954535064283</v>
      </c>
      <c r="AW428" s="2755">
        <f t="shared" ref="AW428:AW430" ca="1" si="902">AU428-AV428</f>
        <v>-149.07954535064283</v>
      </c>
      <c r="AX428" s="2756">
        <f t="shared" ca="1" si="886"/>
        <v>0</v>
      </c>
      <c r="AY428" s="2754">
        <f ca="1">SUM(INDIRECT(AY$1&amp;AY$2&amp;$A428):INDIRECT(AY$1&amp;AY$3&amp;$A428))+SUM(INDIRECT(AY$1&amp;AY$2&amp;$B428):INDIRECT(AY$1&amp;AY$3&amp;$B428))</f>
        <v>-4.9100768416985048</v>
      </c>
      <c r="AZ428" s="2755">
        <f t="shared" ca="1" si="890"/>
        <v>4.9100768416985048</v>
      </c>
      <c r="BA428" s="2756">
        <f t="shared" ca="1" si="887"/>
        <v>0</v>
      </c>
      <c r="BC428" s="2470">
        <f ca="1">SUM((INDIRECT(BC$2&amp;(ROW())):INDIRECT(BC$3&amp;(ROW()))))</f>
        <v>0</v>
      </c>
      <c r="BD428" s="2754">
        <f ca="1">SUM(INDIRECT(BD$1&amp;BD$2&amp;$C428):INDIRECT(BD$1&amp;BD$3&amp;$C428))</f>
        <v>149.07954535064283</v>
      </c>
      <c r="BE428" s="2755">
        <f t="shared" ref="BE428:BE430" ca="1" si="903">BC428-BD428</f>
        <v>-149.07954535064283</v>
      </c>
      <c r="BF428" s="2756">
        <f t="shared" ca="1" si="888"/>
        <v>0</v>
      </c>
      <c r="BG428" s="2754">
        <f ca="1">SUM(INDIRECT(BG$1&amp;BG$2&amp;$A428):INDIRECT(BG$1&amp;BG$3&amp;$A428))+SUM(INDIRECT(BG$1&amp;BG$2&amp;$B428):INDIRECT(BG$1&amp;BG$3&amp;$B428))</f>
        <v>-4.9100768416985048</v>
      </c>
      <c r="BH428" s="2755">
        <f t="shared" ca="1" si="891"/>
        <v>4.9100768416985048</v>
      </c>
      <c r="BI428" s="2756">
        <f t="shared" ca="1" si="889"/>
        <v>0</v>
      </c>
    </row>
    <row r="429" spans="1:61" ht="14.5">
      <c r="A429" s="1693">
        <f t="shared" si="841"/>
        <v>421</v>
      </c>
      <c r="B429" s="616">
        <v>1</v>
      </c>
      <c r="C429" s="1693">
        <f t="shared" si="840"/>
        <v>429</v>
      </c>
      <c r="D429" s="616">
        <v>1</v>
      </c>
      <c r="E429" s="709" t="s">
        <v>512</v>
      </c>
      <c r="F429" s="69"/>
      <c r="G429" s="8"/>
      <c r="H429" s="737"/>
      <c r="I429" s="4"/>
      <c r="J429" s="4"/>
      <c r="K429" s="3"/>
      <c r="L429" s="27"/>
      <c r="M429" s="27"/>
      <c r="N429" s="36" t="s">
        <v>88</v>
      </c>
      <c r="O429" s="3"/>
      <c r="P429" s="3"/>
      <c r="Q429" s="3"/>
      <c r="R429" s="1777" t="str">
        <f>CHOOSE(2, "6722000003340", "PL (5) CAI Allocation Wages &amp; Salaries")</f>
        <v>PL (5) CAI Allocation Wages &amp; Salaries</v>
      </c>
      <c r="S429" s="1419">
        <f t="shared" si="901"/>
        <v>0</v>
      </c>
      <c r="T429" s="1419">
        <f t="shared" si="901"/>
        <v>0</v>
      </c>
      <c r="U429" s="1419">
        <f t="shared" si="901"/>
        <v>0</v>
      </c>
      <c r="V429" s="1419">
        <f t="shared" si="901"/>
        <v>0</v>
      </c>
      <c r="W429" s="1419">
        <f t="shared" si="901"/>
        <v>0</v>
      </c>
      <c r="X429" s="1419">
        <f t="shared" si="901"/>
        <v>0</v>
      </c>
      <c r="Y429" s="1419">
        <f t="shared" si="901"/>
        <v>0</v>
      </c>
      <c r="Z429" s="1419">
        <f t="shared" si="901"/>
        <v>0</v>
      </c>
      <c r="AA429" s="1419">
        <f t="shared" si="901"/>
        <v>0</v>
      </c>
      <c r="AB429" s="1419">
        <f t="shared" si="901"/>
        <v>0</v>
      </c>
      <c r="AC429" s="1419">
        <f t="shared" si="901"/>
        <v>0</v>
      </c>
      <c r="AD429" s="1419">
        <f t="shared" si="901"/>
        <v>0</v>
      </c>
      <c r="AE429" s="1617">
        <f>SUM(S429,T429,U429)</f>
        <v>0</v>
      </c>
      <c r="AF429" s="1419">
        <f>SUM(V429,W429,X429)</f>
        <v>0</v>
      </c>
      <c r="AG429" s="1419">
        <f>SUM(Y429,Z429,AA429)</f>
        <v>0</v>
      </c>
      <c r="AH429" s="1419">
        <f>SUM(AB429,AC429,AD429)</f>
        <v>0</v>
      </c>
      <c r="AI429" s="1419">
        <f>AE429+AF429</f>
        <v>0</v>
      </c>
      <c r="AJ429" s="1419">
        <f>AH429+AG429</f>
        <v>0</v>
      </c>
      <c r="AK429" s="1419">
        <f>AI429+AJ429</f>
        <v>0</v>
      </c>
      <c r="AM429" s="2470">
        <f ca="1">SUM((INDIRECT(AM$2&amp;(ROW())):INDIRECT(AM$3&amp;(ROW()))))</f>
        <v>0</v>
      </c>
      <c r="AN429" s="2754">
        <f ca="1">SUM(INDIRECT(AN$1&amp;AN$2&amp;$C429):INDIRECT(AN$1&amp;AN$3&amp;$C429))</f>
        <v>0</v>
      </c>
      <c r="AO429" s="2755">
        <f t="shared" ca="1" si="820"/>
        <v>0</v>
      </c>
      <c r="AP429" s="2756">
        <f t="shared" ca="1" si="884"/>
        <v>0</v>
      </c>
      <c r="AQ429" s="2754">
        <f ca="1">SUM(INDIRECT(AQ$1&amp;AQ$2&amp;$A429):INDIRECT(AQ$1&amp;AQ$3&amp;$A429))+SUM(INDIRECT(AQ$1&amp;AQ$2&amp;$B429):INDIRECT(AQ$1&amp;AQ$3&amp;$B429))</f>
        <v>1220.7417083111454</v>
      </c>
      <c r="AR429" s="2755">
        <f t="shared" ca="1" si="864"/>
        <v>-1220.7417083111454</v>
      </c>
      <c r="AS429" s="2756">
        <f t="shared" ca="1" si="885"/>
        <v>0</v>
      </c>
      <c r="AU429" s="2470">
        <f ca="1">SUM((INDIRECT(AU$2&amp;(ROW())):INDIRECT(AU$3&amp;(ROW()))))</f>
        <v>0</v>
      </c>
      <c r="AV429" s="2754">
        <f ca="1">SUM(INDIRECT(AV$1&amp;AV$2&amp;$C429):INDIRECT(AV$1&amp;AV$3&amp;$C429))</f>
        <v>0</v>
      </c>
      <c r="AW429" s="2755">
        <f t="shared" ca="1" si="902"/>
        <v>0</v>
      </c>
      <c r="AX429" s="2756">
        <f t="shared" ca="1" si="886"/>
        <v>0</v>
      </c>
      <c r="AY429" s="2754">
        <f ca="1">SUM(INDIRECT(AY$1&amp;AY$2&amp;$A429):INDIRECT(AY$1&amp;AY$3&amp;$A429))+SUM(INDIRECT(AY$1&amp;AY$2&amp;$B429):INDIRECT(AY$1&amp;AY$3&amp;$B429))</f>
        <v>1220.7417083111454</v>
      </c>
      <c r="AZ429" s="2755">
        <f t="shared" ca="1" si="890"/>
        <v>-1220.7417083111454</v>
      </c>
      <c r="BA429" s="2756">
        <f t="shared" ca="1" si="887"/>
        <v>0</v>
      </c>
      <c r="BC429" s="2470">
        <f ca="1">SUM((INDIRECT(BC$2&amp;(ROW())):INDIRECT(BC$3&amp;(ROW()))))</f>
        <v>0</v>
      </c>
      <c r="BD429" s="2754">
        <f ca="1">SUM(INDIRECT(BD$1&amp;BD$2&amp;$C429):INDIRECT(BD$1&amp;BD$3&amp;$C429))</f>
        <v>0</v>
      </c>
      <c r="BE429" s="2755">
        <f t="shared" ca="1" si="903"/>
        <v>0</v>
      </c>
      <c r="BF429" s="2756">
        <f t="shared" ca="1" si="888"/>
        <v>0</v>
      </c>
      <c r="BG429" s="2754">
        <f ca="1">SUM(INDIRECT(BG$1&amp;BG$2&amp;$A429):INDIRECT(BG$1&amp;BG$3&amp;$A429))+SUM(INDIRECT(BG$1&amp;BG$2&amp;$B429):INDIRECT(BG$1&amp;BG$3&amp;$B429))</f>
        <v>1220.7417083111454</v>
      </c>
      <c r="BH429" s="2755">
        <f t="shared" ca="1" si="891"/>
        <v>-1220.7417083111454</v>
      </c>
      <c r="BI429" s="2756">
        <f t="shared" ca="1" si="889"/>
        <v>0</v>
      </c>
    </row>
    <row r="430" spans="1:61" ht="14.5">
      <c r="A430" s="1693">
        <f t="shared" si="841"/>
        <v>422</v>
      </c>
      <c r="B430" s="616">
        <v>1</v>
      </c>
      <c r="C430" s="1693">
        <f t="shared" si="840"/>
        <v>430</v>
      </c>
      <c r="D430" s="616">
        <v>1</v>
      </c>
      <c r="E430" s="709" t="s">
        <v>512</v>
      </c>
      <c r="F430" s="69"/>
      <c r="G430" s="8"/>
      <c r="H430" s="737"/>
      <c r="I430" s="4"/>
      <c r="J430" s="4"/>
      <c r="K430" s="3"/>
      <c r="L430" s="25"/>
      <c r="M430" s="25"/>
      <c r="N430" s="104" t="s">
        <v>89</v>
      </c>
      <c r="O430" s="1"/>
      <c r="P430" s="1"/>
      <c r="Q430" s="1"/>
      <c r="R430" s="1777" t="str">
        <f>CHOOSE(2, "6722000003341", "PL (5) CAI Allocation Fixed Expenses")</f>
        <v>PL (5) CAI Allocation Fixed Expenses</v>
      </c>
      <c r="S430" s="1605">
        <f t="shared" si="901"/>
        <v>0</v>
      </c>
      <c r="T430" s="1605">
        <f t="shared" si="901"/>
        <v>0</v>
      </c>
      <c r="U430" s="1605">
        <f t="shared" si="901"/>
        <v>0</v>
      </c>
      <c r="V430" s="1605">
        <f t="shared" si="901"/>
        <v>0</v>
      </c>
      <c r="W430" s="1605">
        <f t="shared" si="901"/>
        <v>0</v>
      </c>
      <c r="X430" s="1605">
        <f t="shared" si="901"/>
        <v>0</v>
      </c>
      <c r="Y430" s="1605">
        <f t="shared" si="901"/>
        <v>0</v>
      </c>
      <c r="Z430" s="1605">
        <f t="shared" si="901"/>
        <v>0</v>
      </c>
      <c r="AA430" s="1605">
        <f t="shared" si="901"/>
        <v>0</v>
      </c>
      <c r="AB430" s="1605">
        <f t="shared" si="901"/>
        <v>0</v>
      </c>
      <c r="AC430" s="1605">
        <f t="shared" si="901"/>
        <v>0</v>
      </c>
      <c r="AD430" s="1605">
        <f t="shared" si="901"/>
        <v>0</v>
      </c>
      <c r="AE430" s="1606">
        <f>SUM(S430,T430,U430)</f>
        <v>0</v>
      </c>
      <c r="AF430" s="1605">
        <f>SUM(V430,W430,X430)</f>
        <v>0</v>
      </c>
      <c r="AG430" s="1605">
        <f>SUM(Y430,Z430,AA430)</f>
        <v>0</v>
      </c>
      <c r="AH430" s="1605">
        <f>SUM(AB430,AC430,AD430)</f>
        <v>0</v>
      </c>
      <c r="AI430" s="1605">
        <f>AE430+AF430</f>
        <v>0</v>
      </c>
      <c r="AJ430" s="1605">
        <f>AH430+AG430</f>
        <v>0</v>
      </c>
      <c r="AK430" s="1605">
        <f>AI430+AJ430</f>
        <v>0</v>
      </c>
      <c r="AM430" s="2494">
        <f ca="1">SUM((INDIRECT(AM$2&amp;(ROW())):INDIRECT(AM$3&amp;(ROW()))))</f>
        <v>0</v>
      </c>
      <c r="AN430" s="1980">
        <f ca="1">SUM(INDIRECT(AN$1&amp;AN$2&amp;$C430):INDIRECT(AN$1&amp;AN$3&amp;$C430))</f>
        <v>0</v>
      </c>
      <c r="AO430" s="2759">
        <f t="shared" ca="1" si="820"/>
        <v>0</v>
      </c>
      <c r="AP430" s="2760">
        <f t="shared" ca="1" si="884"/>
        <v>0</v>
      </c>
      <c r="AQ430" s="1980">
        <f ca="1">SUM(INDIRECT(AQ$1&amp;AQ$2&amp;$A430):INDIRECT(AQ$1&amp;AQ$3&amp;$A430))+SUM(INDIRECT(AQ$1&amp;AQ$2&amp;$B430):INDIRECT(AQ$1&amp;AQ$3&amp;$B430))</f>
        <v>-4.1511621277485347</v>
      </c>
      <c r="AR430" s="2759">
        <f t="shared" ca="1" si="864"/>
        <v>4.1511621277485347</v>
      </c>
      <c r="AS430" s="2760">
        <f t="shared" ca="1" si="885"/>
        <v>0</v>
      </c>
      <c r="AU430" s="2494">
        <f ca="1">SUM((INDIRECT(AU$2&amp;(ROW())):INDIRECT(AU$3&amp;(ROW()))))</f>
        <v>0</v>
      </c>
      <c r="AV430" s="1980">
        <f ca="1">SUM(INDIRECT(AV$1&amp;AV$2&amp;$C430):INDIRECT(AV$1&amp;AV$3&amp;$C430))</f>
        <v>0</v>
      </c>
      <c r="AW430" s="2759">
        <f t="shared" ca="1" si="902"/>
        <v>0</v>
      </c>
      <c r="AX430" s="2760">
        <f t="shared" ca="1" si="886"/>
        <v>0</v>
      </c>
      <c r="AY430" s="1980">
        <f ca="1">SUM(INDIRECT(AY$1&amp;AY$2&amp;$A430):INDIRECT(AY$1&amp;AY$3&amp;$A430))+SUM(INDIRECT(AY$1&amp;AY$2&amp;$B430):INDIRECT(AY$1&amp;AY$3&amp;$B430))</f>
        <v>-4.1511621277485347</v>
      </c>
      <c r="AZ430" s="2759">
        <f t="shared" ca="1" si="890"/>
        <v>4.1511621277485347</v>
      </c>
      <c r="BA430" s="2760">
        <f t="shared" ca="1" si="887"/>
        <v>0</v>
      </c>
      <c r="BC430" s="2494">
        <f ca="1">SUM((INDIRECT(BC$2&amp;(ROW())):INDIRECT(BC$3&amp;(ROW()))))</f>
        <v>0</v>
      </c>
      <c r="BD430" s="1980">
        <f ca="1">SUM(INDIRECT(BD$1&amp;BD$2&amp;$C430):INDIRECT(BD$1&amp;BD$3&amp;$C430))</f>
        <v>0</v>
      </c>
      <c r="BE430" s="2759">
        <f t="shared" ca="1" si="903"/>
        <v>0</v>
      </c>
      <c r="BF430" s="2760">
        <f t="shared" ca="1" si="888"/>
        <v>0</v>
      </c>
      <c r="BG430" s="1980">
        <f ca="1">SUM(INDIRECT(BG$1&amp;BG$2&amp;$A430):INDIRECT(BG$1&amp;BG$3&amp;$A430))+SUM(INDIRECT(BG$1&amp;BG$2&amp;$B430):INDIRECT(BG$1&amp;BG$3&amp;$B430))</f>
        <v>-4.1511621277485347</v>
      </c>
      <c r="BH430" s="2759">
        <f t="shared" ca="1" si="891"/>
        <v>4.1511621277485347</v>
      </c>
      <c r="BI430" s="2760">
        <f t="shared" ca="1" si="889"/>
        <v>0</v>
      </c>
    </row>
    <row r="431" spans="1:61" ht="14.5">
      <c r="A431" s="1693">
        <f t="shared" si="841"/>
        <v>423</v>
      </c>
      <c r="B431" s="616">
        <v>1</v>
      </c>
      <c r="C431" s="1693">
        <f t="shared" si="840"/>
        <v>431</v>
      </c>
      <c r="D431" s="616">
        <v>1</v>
      </c>
      <c r="E431" s="709" t="s">
        <v>512</v>
      </c>
      <c r="F431" s="69"/>
      <c r="R431" s="1772" t="str">
        <f>CHOOSE(2, "6722000003342", "▷ Blank 16")</f>
        <v>▷ Blank 16</v>
      </c>
      <c r="S431" s="1125"/>
      <c r="T431" s="1366"/>
      <c r="U431" s="1366"/>
      <c r="V431" s="1366"/>
      <c r="W431" s="1366"/>
      <c r="X431" s="1366"/>
      <c r="Y431" s="1366"/>
      <c r="Z431" s="1366"/>
      <c r="AA431" s="1366"/>
      <c r="AB431" s="1242"/>
      <c r="AC431" s="69"/>
      <c r="AD431" s="69"/>
      <c r="AE431" s="69"/>
      <c r="AF431" s="69"/>
      <c r="AG431" s="69"/>
      <c r="AH431" s="69"/>
      <c r="AI431" s="69"/>
      <c r="AJ431" s="69"/>
      <c r="AK431" s="69"/>
    </row>
    <row r="432" spans="1:61" ht="15.5">
      <c r="A432" s="1693">
        <f t="shared" si="841"/>
        <v>424</v>
      </c>
      <c r="B432" s="616">
        <v>1</v>
      </c>
      <c r="C432" s="1693">
        <f t="shared" si="840"/>
        <v>432</v>
      </c>
      <c r="D432" s="616">
        <v>1</v>
      </c>
      <c r="E432" s="709" t="s">
        <v>512</v>
      </c>
      <c r="F432" s="69"/>
      <c r="G432" s="8"/>
      <c r="H432" s="738" t="s">
        <v>521</v>
      </c>
      <c r="R432" s="1772" t="str">
        <f>CHOOSE(2, "6722000003343", "2-2. SG&amp;A: Allocation by BU")</f>
        <v>2-2. SG&amp;A: Allocation by BU</v>
      </c>
      <c r="S432" s="1125"/>
      <c r="T432" s="1366"/>
      <c r="U432" s="1366"/>
      <c r="V432" s="1366"/>
      <c r="W432" s="1366"/>
      <c r="X432" s="1366"/>
      <c r="Y432" s="1366"/>
      <c r="Z432" s="1366"/>
      <c r="AA432" s="1366"/>
      <c r="AB432" s="1242"/>
      <c r="AC432" s="69"/>
      <c r="AD432" s="69"/>
      <c r="AE432" s="69"/>
      <c r="AF432" s="69"/>
      <c r="AG432" s="69"/>
      <c r="AH432" s="69"/>
      <c r="AI432" s="69"/>
      <c r="AJ432" s="69"/>
      <c r="AK432" s="69"/>
    </row>
    <row r="433" spans="1:61" ht="14.5">
      <c r="A433" s="1693">
        <f t="shared" si="841"/>
        <v>425</v>
      </c>
      <c r="B433" s="616">
        <v>1</v>
      </c>
      <c r="C433" s="1693">
        <f t="shared" si="840"/>
        <v>433</v>
      </c>
      <c r="D433" s="616">
        <v>1</v>
      </c>
      <c r="E433" s="709" t="s">
        <v>512</v>
      </c>
      <c r="F433" s="69"/>
      <c r="G433" s="8"/>
      <c r="H433" s="737"/>
      <c r="L433" s="597" t="s">
        <v>50</v>
      </c>
      <c r="M433" s="598"/>
      <c r="N433" s="598"/>
      <c r="O433" s="598"/>
      <c r="P433" s="598"/>
      <c r="Q433" s="598"/>
      <c r="R433" s="1784" t="str">
        <f>CHOOSE(2, "6722000003344", "S/GP Office (0) Total")</f>
        <v>S/GP Office (0) Total</v>
      </c>
      <c r="S433" s="1362">
        <f t="shared" ref="S433:AD433" si="904">SUM(S434:S435)</f>
        <v>260707.809011943</v>
      </c>
      <c r="T433" s="1362">
        <f t="shared" si="904"/>
        <v>226573.20010364332</v>
      </c>
      <c r="U433" s="1362">
        <f t="shared" si="904"/>
        <v>197639.73997975967</v>
      </c>
      <c r="V433" s="1362">
        <f t="shared" si="904"/>
        <v>188320.64334335711</v>
      </c>
      <c r="W433" s="1362">
        <f t="shared" si="904"/>
        <v>207707.18104779822</v>
      </c>
      <c r="X433" s="1362">
        <f t="shared" si="904"/>
        <v>226229.8471042731</v>
      </c>
      <c r="Y433" s="1363">
        <f t="shared" si="904"/>
        <v>183224.48782272276</v>
      </c>
      <c r="Z433" s="1363">
        <f t="shared" si="904"/>
        <v>240369.13728751958</v>
      </c>
      <c r="AA433" s="1363">
        <f t="shared" si="904"/>
        <v>235529.04482161687</v>
      </c>
      <c r="AB433" s="1364">
        <f t="shared" si="904"/>
        <v>226702.24210549984</v>
      </c>
      <c r="AC433" s="1364">
        <f t="shared" si="904"/>
        <v>292394.9573567445</v>
      </c>
      <c r="AD433" s="1364">
        <f t="shared" si="904"/>
        <v>185329.45814605145</v>
      </c>
      <c r="AE433" s="888">
        <f t="shared" ref="AE433:AK433" si="905">SUM(AE434:AE435)</f>
        <v>684920.74909534608</v>
      </c>
      <c r="AF433" s="720">
        <f t="shared" si="905"/>
        <v>622257.67149542843</v>
      </c>
      <c r="AG433" s="720">
        <f t="shared" si="905"/>
        <v>659122.66993185924</v>
      </c>
      <c r="AH433" s="720">
        <f t="shared" si="905"/>
        <v>704426.65760829579</v>
      </c>
      <c r="AI433" s="720">
        <f t="shared" si="905"/>
        <v>1307178.4205907746</v>
      </c>
      <c r="AJ433" s="720">
        <f t="shared" si="905"/>
        <v>1363549.327540155</v>
      </c>
      <c r="AK433" s="720">
        <f t="shared" si="905"/>
        <v>2670727.7481309297</v>
      </c>
      <c r="AM433" s="2256">
        <f ca="1">SUM((INDIRECT(AM$2&amp;(ROW())):INDIRECT(AM$3&amp;(ROW()))))</f>
        <v>260707.809011943</v>
      </c>
      <c r="AN433" s="2256">
        <f ca="1">SUM(INDIRECT(AN$1&amp;AN$2&amp;$C433):INDIRECT(AN$1&amp;AN$3&amp;$C433))</f>
        <v>195944.53522784231</v>
      </c>
      <c r="AO433" s="2849">
        <f t="shared" ref="AO433:AO455" ca="1" si="906">AM433-AN433</f>
        <v>64763.273784100689</v>
      </c>
      <c r="AP433" s="2850">
        <f t="shared" ref="AP433:AP454" ca="1" si="907">IFERROR(AM433/AN433,0)</f>
        <v>1.3305183975087369</v>
      </c>
      <c r="AQ433" s="2256">
        <f ca="1">SUM(INDIRECT(AQ$1&amp;AQ$2&amp;$A433):INDIRECT(AQ$1&amp;AQ$3&amp;$A433))+SUM(INDIRECT(AQ$1&amp;AQ$2&amp;$B433):INDIRECT(AQ$1&amp;AQ$3&amp;$B433))</f>
        <v>162497</v>
      </c>
      <c r="AR433" s="2849">
        <f t="shared" ref="AR433:AR455" ca="1" si="908">AM433-AQ433</f>
        <v>98210.809011942998</v>
      </c>
      <c r="AS433" s="2850">
        <f ca="1">IFERROR(AM433/AQ433,0)</f>
        <v>1.6043853671879664</v>
      </c>
      <c r="AU433" s="2256">
        <f ca="1">SUM((INDIRECT(AU$2&amp;(ROW())):INDIRECT(AU$3&amp;(ROW()))))</f>
        <v>260707.809011943</v>
      </c>
      <c r="AV433" s="2256">
        <f ca="1">SUM(INDIRECT(AV$1&amp;AV$2&amp;$C433):INDIRECT(AV$1&amp;AV$3&amp;$C433))</f>
        <v>195944.53522784231</v>
      </c>
      <c r="AW433" s="2849">
        <f t="shared" ref="AW433:AW455" ca="1" si="909">AU433-AV433</f>
        <v>64763.273784100689</v>
      </c>
      <c r="AX433" s="2850">
        <f t="shared" ref="AX433:AX438" ca="1" si="910">IFERROR(AU433/AV433,0)</f>
        <v>1.3305183975087369</v>
      </c>
      <c r="AY433" s="2256">
        <f ca="1">SUM(INDIRECT(AY$1&amp;AY$2&amp;$A433):INDIRECT(AY$1&amp;AY$3&amp;$A433))+SUM(INDIRECT(AY$1&amp;AY$2&amp;$B433):INDIRECT(AY$1&amp;AY$3&amp;$B433))</f>
        <v>162497</v>
      </c>
      <c r="AZ433" s="2849">
        <f t="shared" ref="AZ433:AZ455" ca="1" si="911">AU433-AY433</f>
        <v>98210.809011942998</v>
      </c>
      <c r="BA433" s="2850">
        <f t="shared" ref="BA433:BA438" ca="1" si="912">IFERROR(AU433/AY433,0)</f>
        <v>1.6043853671879664</v>
      </c>
      <c r="BC433" s="2256">
        <f ca="1">SUM((INDIRECT(BC$2&amp;(ROW())):INDIRECT(BC$3&amp;(ROW()))))</f>
        <v>260707.809011943</v>
      </c>
      <c r="BD433" s="2256">
        <f ca="1">SUM(INDIRECT(BD$1&amp;BD$2&amp;$C433):INDIRECT(BD$1&amp;BD$3&amp;$C433))</f>
        <v>195944.53522784231</v>
      </c>
      <c r="BE433" s="2849">
        <f t="shared" ref="BE433:BE455" ca="1" si="913">BC433-BD433</f>
        <v>64763.273784100689</v>
      </c>
      <c r="BF433" s="2850">
        <f t="shared" ref="BF433:BF438" ca="1" si="914">IFERROR(BC433/BD433,0)</f>
        <v>1.3305183975087369</v>
      </c>
      <c r="BG433" s="2256">
        <f ca="1">SUM(INDIRECT(BG$1&amp;BG$2&amp;$A433):INDIRECT(BG$1&amp;BG$3&amp;$A433))+SUM(INDIRECT(BG$1&amp;BG$2&amp;$B433):INDIRECT(BG$1&amp;BG$3&amp;$B433))</f>
        <v>162497</v>
      </c>
      <c r="BH433" s="2849">
        <f t="shared" ref="BH433:BH455" ca="1" si="915">BC433-BG433</f>
        <v>98210.809011942998</v>
      </c>
      <c r="BI433" s="2850">
        <f ca="1">IFERROR(BC433/BG433,0)</f>
        <v>1.6043853671879664</v>
      </c>
    </row>
    <row r="434" spans="1:61" ht="14.5">
      <c r="A434" s="1693">
        <f t="shared" si="841"/>
        <v>426</v>
      </c>
      <c r="B434" s="616">
        <v>1</v>
      </c>
      <c r="C434" s="1693">
        <f t="shared" si="840"/>
        <v>434</v>
      </c>
      <c r="D434" s="616">
        <v>1</v>
      </c>
      <c r="E434" s="709" t="s">
        <v>512</v>
      </c>
      <c r="F434" s="69"/>
      <c r="G434" s="8"/>
      <c r="H434" s="737"/>
      <c r="L434" s="223"/>
      <c r="M434" s="36" t="s">
        <v>518</v>
      </c>
      <c r="N434" s="69"/>
      <c r="O434" s="69"/>
      <c r="P434" s="69"/>
      <c r="Q434" s="69"/>
      <c r="R434" s="1784" t="str">
        <f>CHOOSE(2, "6722000003345", "S/GP Office (0) Total Directly assigned")</f>
        <v>S/GP Office (0) Total Directly assigned</v>
      </c>
      <c r="S434" s="1289">
        <f>SUM(S437,S441,S445,S449,S453)</f>
        <v>100624.89246493012</v>
      </c>
      <c r="T434" s="1232">
        <f t="shared" ref="T434:AC434" si="916">SUM(T437,T441,T445,T449,T453)</f>
        <v>78119.05271692283</v>
      </c>
      <c r="U434" s="1232">
        <f t="shared" si="916"/>
        <v>78275.155966530569</v>
      </c>
      <c r="V434" s="1232">
        <f t="shared" si="916"/>
        <v>62968.327298105018</v>
      </c>
      <c r="W434" s="1232">
        <f t="shared" si="916"/>
        <v>80613.603951365789</v>
      </c>
      <c r="X434" s="1232">
        <f t="shared" si="916"/>
        <v>70443.441918560027</v>
      </c>
      <c r="Y434" s="1232">
        <f t="shared" si="916"/>
        <v>98465.160380363552</v>
      </c>
      <c r="Z434" s="1232">
        <f t="shared" si="916"/>
        <v>104433.18002672806</v>
      </c>
      <c r="AA434" s="1232">
        <f t="shared" si="916"/>
        <v>134982.52094218647</v>
      </c>
      <c r="AB434" s="1232">
        <f t="shared" si="916"/>
        <v>109073.80157992075</v>
      </c>
      <c r="AC434" s="1232">
        <f t="shared" si="916"/>
        <v>74134.858695239542</v>
      </c>
      <c r="AD434" s="1232">
        <f>SUM(AD437,AD441,AD445,AD449,AD453)</f>
        <v>80443.041270495873</v>
      </c>
      <c r="AE434" s="125">
        <f>SUM(S434,T434,U434)</f>
        <v>257019.10114838352</v>
      </c>
      <c r="AF434" s="126">
        <f>SUM(V434,W434,X434)</f>
        <v>214025.37316803081</v>
      </c>
      <c r="AG434" s="126">
        <f>SUM(Y434,Z434,AA434)</f>
        <v>337880.86134927807</v>
      </c>
      <c r="AH434" s="126">
        <f>SUM(AB434,AC434,AD434)</f>
        <v>263651.70154565613</v>
      </c>
      <c r="AI434" s="126">
        <f>AE434+AF434</f>
        <v>471044.47431641433</v>
      </c>
      <c r="AJ434" s="126">
        <f>AH434+AG434</f>
        <v>601532.56289493421</v>
      </c>
      <c r="AK434" s="126">
        <f>AI434+AJ434</f>
        <v>1072577.0372113485</v>
      </c>
      <c r="AM434" s="2471">
        <f ca="1">SUM((INDIRECT(AM$2&amp;(ROW())):INDIRECT(AM$3&amp;(ROW()))))</f>
        <v>100624.89246493012</v>
      </c>
      <c r="AN434" s="2471">
        <f ca="1">SUM(INDIRECT(AN$1&amp;AN$2&amp;$C434):INDIRECT(AN$1&amp;AN$3&amp;$C434))</f>
        <v>101037.80173362732</v>
      </c>
      <c r="AO434" s="2851">
        <f t="shared" ca="1" si="906"/>
        <v>-412.90926869719988</v>
      </c>
      <c r="AP434" s="2852">
        <f t="shared" ca="1" si="907"/>
        <v>0.99591331895971191</v>
      </c>
      <c r="AQ434" s="2471">
        <f ca="1">SUM(INDIRECT(AQ$1&amp;AQ$2&amp;$A434):INDIRECT(AQ$1&amp;AQ$3&amp;$A434))+SUM(INDIRECT(AQ$1&amp;AQ$2&amp;$B434):INDIRECT(AQ$1&amp;AQ$3&amp;$B434))</f>
        <v>49035.29785574894</v>
      </c>
      <c r="AR434" s="2851">
        <f t="shared" ca="1" si="908"/>
        <v>51589.594609181178</v>
      </c>
      <c r="AS434" s="2852">
        <f t="shared" ref="AS434:AS454" ca="1" si="917">IFERROR(AM434/AQ434,0)</f>
        <v>2.0520909806838823</v>
      </c>
      <c r="AU434" s="2471">
        <f ca="1">SUM((INDIRECT(AU$2&amp;(ROW())):INDIRECT(AU$3&amp;(ROW()))))</f>
        <v>100624.89246493012</v>
      </c>
      <c r="AV434" s="2471">
        <f ca="1">SUM(INDIRECT(AV$1&amp;AV$2&amp;$C434):INDIRECT(AV$1&amp;AV$3&amp;$C434))</f>
        <v>101037.80173362732</v>
      </c>
      <c r="AW434" s="2851">
        <f t="shared" ca="1" si="909"/>
        <v>-412.90926869719988</v>
      </c>
      <c r="AX434" s="2852">
        <f t="shared" ca="1" si="910"/>
        <v>0.99591331895971191</v>
      </c>
      <c r="AY434" s="2471">
        <f ca="1">SUM(INDIRECT(AY$1&amp;AY$2&amp;$A434):INDIRECT(AY$1&amp;AY$3&amp;$A434))+SUM(INDIRECT(AY$1&amp;AY$2&amp;$B434):INDIRECT(AY$1&amp;AY$3&amp;$B434))</f>
        <v>49035.29785574894</v>
      </c>
      <c r="AZ434" s="2851">
        <f t="shared" ca="1" si="911"/>
        <v>51589.594609181178</v>
      </c>
      <c r="BA434" s="2852">
        <f t="shared" ca="1" si="912"/>
        <v>2.0520909806838823</v>
      </c>
      <c r="BC434" s="2471">
        <f ca="1">SUM((INDIRECT(BC$2&amp;(ROW())):INDIRECT(BC$3&amp;(ROW()))))</f>
        <v>100624.89246493012</v>
      </c>
      <c r="BD434" s="2471">
        <f ca="1">SUM(INDIRECT(BD$1&amp;BD$2&amp;$C434):INDIRECT(BD$1&amp;BD$3&amp;$C434))</f>
        <v>101037.80173362732</v>
      </c>
      <c r="BE434" s="2851">
        <f t="shared" ca="1" si="913"/>
        <v>-412.90926869719988</v>
      </c>
      <c r="BF434" s="2852">
        <f t="shared" ca="1" si="914"/>
        <v>0.99591331895971191</v>
      </c>
      <c r="BG434" s="2471">
        <f ca="1">SUM(INDIRECT(BG$1&amp;BG$2&amp;$A434):INDIRECT(BG$1&amp;BG$3&amp;$A434))+SUM(INDIRECT(BG$1&amp;BG$2&amp;$B434):INDIRECT(BG$1&amp;BG$3&amp;$B434))</f>
        <v>49035.29785574894</v>
      </c>
      <c r="BH434" s="2851">
        <f t="shared" ca="1" si="915"/>
        <v>51589.594609181178</v>
      </c>
      <c r="BI434" s="2852">
        <f t="shared" ref="BI434:BI438" ca="1" si="918">IFERROR(BC434/BG434,0)</f>
        <v>2.0520909806838823</v>
      </c>
    </row>
    <row r="435" spans="1:61" ht="14.5">
      <c r="A435" s="1693">
        <f t="shared" si="841"/>
        <v>427</v>
      </c>
      <c r="B435" s="616">
        <v>1</v>
      </c>
      <c r="C435" s="1693">
        <f t="shared" si="840"/>
        <v>435</v>
      </c>
      <c r="D435" s="616">
        <v>1</v>
      </c>
      <c r="E435" s="709" t="s">
        <v>512</v>
      </c>
      <c r="F435" s="69"/>
      <c r="G435" s="8"/>
      <c r="H435" s="737"/>
      <c r="L435" s="223"/>
      <c r="M435" s="36" t="s">
        <v>519</v>
      </c>
      <c r="N435" s="69"/>
      <c r="O435" s="69"/>
      <c r="P435" s="69"/>
      <c r="Q435" s="69"/>
      <c r="R435" s="1784" t="str">
        <f>CHOOSE(2, "6722000003346", "S/GP Office (0) Total Allocation cost")</f>
        <v>S/GP Office (0) Total Allocation cost</v>
      </c>
      <c r="S435" s="1289">
        <f t="shared" ref="S435:AD435" si="919">SUM(S438,S442,S446,S450,S454)</f>
        <v>160082.91654701286</v>
      </c>
      <c r="T435" s="1232">
        <f t="shared" si="919"/>
        <v>148454.14738672049</v>
      </c>
      <c r="U435" s="1232">
        <f t="shared" si="919"/>
        <v>119364.58401322911</v>
      </c>
      <c r="V435" s="1232">
        <f t="shared" si="919"/>
        <v>125352.31604525208</v>
      </c>
      <c r="W435" s="1232">
        <f t="shared" si="919"/>
        <v>127093.57709643243</v>
      </c>
      <c r="X435" s="1232">
        <f t="shared" si="919"/>
        <v>155786.40518571308</v>
      </c>
      <c r="Y435" s="1232">
        <f t="shared" si="919"/>
        <v>84759.327442359208</v>
      </c>
      <c r="Z435" s="1232">
        <f t="shared" si="919"/>
        <v>135935.9572607915</v>
      </c>
      <c r="AA435" s="1232">
        <f t="shared" si="919"/>
        <v>100546.5238794304</v>
      </c>
      <c r="AB435" s="1232">
        <f t="shared" si="919"/>
        <v>117628.44052557909</v>
      </c>
      <c r="AC435" s="1232">
        <f t="shared" si="919"/>
        <v>218260.09866150498</v>
      </c>
      <c r="AD435" s="1232">
        <f t="shared" si="919"/>
        <v>104886.41687555557</v>
      </c>
      <c r="AE435" s="125">
        <f>SUM(S435,T435,U435)</f>
        <v>427901.6479469625</v>
      </c>
      <c r="AF435" s="126">
        <f>SUM(V435,W435,X435)</f>
        <v>408232.29832739761</v>
      </c>
      <c r="AG435" s="126">
        <f>SUM(Y435,Z435,AA435)</f>
        <v>321241.80858258111</v>
      </c>
      <c r="AH435" s="126">
        <f>SUM(AB435,AC435,AD435)</f>
        <v>440774.95606263966</v>
      </c>
      <c r="AI435" s="126">
        <f>AE435+AF435</f>
        <v>836133.94627436018</v>
      </c>
      <c r="AJ435" s="126">
        <f>AH435+AG435</f>
        <v>762016.76464522071</v>
      </c>
      <c r="AK435" s="126">
        <f>AI435+AJ435</f>
        <v>1598150.7109195809</v>
      </c>
      <c r="AM435" s="2494">
        <f ca="1">SUM((INDIRECT(AM$2&amp;(ROW())):INDIRECT(AM$3&amp;(ROW()))))</f>
        <v>160082.91654701286</v>
      </c>
      <c r="AN435" s="2494">
        <f ca="1">SUM(INDIRECT(AN$1&amp;AN$2&amp;$C435):INDIRECT(AN$1&amp;AN$3&amp;$C435))</f>
        <v>94906.73349421499</v>
      </c>
      <c r="AO435" s="2853">
        <f t="shared" ca="1" si="906"/>
        <v>65176.183052797875</v>
      </c>
      <c r="AP435" s="2854">
        <f t="shared" ca="1" si="907"/>
        <v>1.6867392929161413</v>
      </c>
      <c r="AQ435" s="2494">
        <f ca="1">SUM(INDIRECT(AQ$1&amp;AQ$2&amp;$A435):INDIRECT(AQ$1&amp;AQ$3&amp;$A435))+SUM(INDIRECT(AQ$1&amp;AQ$2&amp;$B435):INDIRECT(AQ$1&amp;AQ$3&amp;$B435))</f>
        <v>113461.70214425106</v>
      </c>
      <c r="AR435" s="2853">
        <f t="shared" ca="1" si="908"/>
        <v>46621.214402761805</v>
      </c>
      <c r="AS435" s="2854">
        <f t="shared" ca="1" si="917"/>
        <v>1.4108982460309762</v>
      </c>
      <c r="AU435" s="2494">
        <f ca="1">SUM((INDIRECT(AU$2&amp;(ROW())):INDIRECT(AU$3&amp;(ROW()))))</f>
        <v>160082.91654701286</v>
      </c>
      <c r="AV435" s="2494">
        <f ca="1">SUM(INDIRECT(AV$1&amp;AV$2&amp;$C435):INDIRECT(AV$1&amp;AV$3&amp;$C435))</f>
        <v>94906.73349421499</v>
      </c>
      <c r="AW435" s="2853">
        <f t="shared" ca="1" si="909"/>
        <v>65176.183052797875</v>
      </c>
      <c r="AX435" s="2854">
        <f t="shared" ca="1" si="910"/>
        <v>1.6867392929161413</v>
      </c>
      <c r="AY435" s="2494">
        <f ca="1">SUM(INDIRECT(AY$1&amp;AY$2&amp;$A435):INDIRECT(AY$1&amp;AY$3&amp;$A435))+SUM(INDIRECT(AY$1&amp;AY$2&amp;$B435):INDIRECT(AY$1&amp;AY$3&amp;$B435))</f>
        <v>113461.70214425106</v>
      </c>
      <c r="AZ435" s="2853">
        <f t="shared" ca="1" si="911"/>
        <v>46621.214402761805</v>
      </c>
      <c r="BA435" s="2854">
        <f t="shared" ca="1" si="912"/>
        <v>1.4108982460309762</v>
      </c>
      <c r="BC435" s="2494">
        <f ca="1">SUM((INDIRECT(BC$2&amp;(ROW())):INDIRECT(BC$3&amp;(ROW()))))</f>
        <v>160082.91654701286</v>
      </c>
      <c r="BD435" s="2494">
        <f ca="1">SUM(INDIRECT(BD$1&amp;BD$2&amp;$C435):INDIRECT(BD$1&amp;BD$3&amp;$C435))</f>
        <v>94906.73349421499</v>
      </c>
      <c r="BE435" s="2853">
        <f t="shared" ca="1" si="913"/>
        <v>65176.183052797875</v>
      </c>
      <c r="BF435" s="2854">
        <f t="shared" ca="1" si="914"/>
        <v>1.6867392929161413</v>
      </c>
      <c r="BG435" s="2494">
        <f ca="1">SUM(INDIRECT(BG$1&amp;BG$2&amp;$A435):INDIRECT(BG$1&amp;BG$3&amp;$A435))+SUM(INDIRECT(BG$1&amp;BG$2&amp;$B435):INDIRECT(BG$1&amp;BG$3&amp;$B435))</f>
        <v>113461.70214425106</v>
      </c>
      <c r="BH435" s="2853">
        <f t="shared" ca="1" si="915"/>
        <v>46621.214402761805</v>
      </c>
      <c r="BI435" s="2854">
        <f t="shared" ca="1" si="918"/>
        <v>1.4108982460309762</v>
      </c>
    </row>
    <row r="436" spans="1:61" ht="14.5">
      <c r="A436" s="1693">
        <f t="shared" si="841"/>
        <v>428</v>
      </c>
      <c r="B436" s="616">
        <v>1</v>
      </c>
      <c r="C436" s="1693">
        <f t="shared" si="840"/>
        <v>436</v>
      </c>
      <c r="D436" s="616">
        <v>1</v>
      </c>
      <c r="E436" s="709" t="s">
        <v>512</v>
      </c>
      <c r="F436" s="69"/>
      <c r="G436" s="8"/>
      <c r="H436" s="737"/>
      <c r="L436" s="710" t="s">
        <v>517</v>
      </c>
      <c r="M436" s="582"/>
      <c r="N436" s="582"/>
      <c r="O436" s="582"/>
      <c r="P436" s="582"/>
      <c r="Q436" s="582"/>
      <c r="R436" s="1805" t="str">
        <f>CHOOSE(2, "6722000003347", "S/GP Office (1) Office")</f>
        <v>S/GP Office (1) Office</v>
      </c>
      <c r="S436" s="1263">
        <f>SUM(S437:S438)</f>
        <v>93617.34317508711</v>
      </c>
      <c r="T436" s="1263">
        <f t="shared" ref="T436:AD436" si="920">SUM(T437:T438)</f>
        <v>77087.696881996002</v>
      </c>
      <c r="U436" s="1263">
        <f t="shared" si="920"/>
        <v>71900.790101921797</v>
      </c>
      <c r="V436" s="1263">
        <f t="shared" si="920"/>
        <v>73860.774351181317</v>
      </c>
      <c r="W436" s="1263">
        <f t="shared" si="920"/>
        <v>81834.634275660021</v>
      </c>
      <c r="X436" s="1263">
        <f t="shared" si="920"/>
        <v>88790.464016961836</v>
      </c>
      <c r="Y436" s="1354">
        <f t="shared" si="920"/>
        <v>87332.197211609193</v>
      </c>
      <c r="Z436" s="1354">
        <f t="shared" si="920"/>
        <v>86054.765852745215</v>
      </c>
      <c r="AA436" s="1354">
        <f t="shared" si="920"/>
        <v>93353.701048138028</v>
      </c>
      <c r="AB436" s="1355">
        <f t="shared" si="920"/>
        <v>73164.086899557675</v>
      </c>
      <c r="AC436" s="1355">
        <f t="shared" si="920"/>
        <v>87344.487069088456</v>
      </c>
      <c r="AD436" s="1355">
        <f t="shared" si="920"/>
        <v>83449.197081331833</v>
      </c>
      <c r="AE436" s="889">
        <f t="shared" ref="AE436:AK436" si="921">SUM(AE437:AE438)</f>
        <v>242605.83015900489</v>
      </c>
      <c r="AF436" s="712">
        <f t="shared" si="921"/>
        <v>244485.87264380316</v>
      </c>
      <c r="AG436" s="712">
        <f t="shared" si="921"/>
        <v>266740.66411249246</v>
      </c>
      <c r="AH436" s="712">
        <f t="shared" si="921"/>
        <v>243957.77104997798</v>
      </c>
      <c r="AI436" s="712">
        <f t="shared" si="921"/>
        <v>487091.70280280808</v>
      </c>
      <c r="AJ436" s="712">
        <f t="shared" si="921"/>
        <v>510698.43516247038</v>
      </c>
      <c r="AK436" s="712">
        <f t="shared" si="921"/>
        <v>997790.13796527847</v>
      </c>
      <c r="AM436" s="2110">
        <f ca="1">SUM((INDIRECT(AM$2&amp;(ROW())):INDIRECT(AM$3&amp;(ROW()))))</f>
        <v>93617.34317508711</v>
      </c>
      <c r="AN436" s="2110">
        <f ca="1">SUM(INDIRECT(AN$1&amp;AN$2&amp;$C436):INDIRECT(AN$1&amp;AN$3&amp;$C436))</f>
        <v>68189.963693167359</v>
      </c>
      <c r="AO436" s="2855">
        <f t="shared" ca="1" si="906"/>
        <v>25427.37948191975</v>
      </c>
      <c r="AP436" s="2856">
        <f t="shared" ca="1" si="907"/>
        <v>1.3728903507902523</v>
      </c>
      <c r="AQ436" s="2110">
        <f ca="1">SUM(INDIRECT(AQ$1&amp;AQ$2&amp;$A436):INDIRECT(AQ$1&amp;AQ$3&amp;$A436))+SUM(INDIRECT(AQ$1&amp;AQ$2&amp;$B436):INDIRECT(AQ$1&amp;AQ$3&amp;$B436))</f>
        <v>55371.654876761728</v>
      </c>
      <c r="AR436" s="2855">
        <f t="shared" ca="1" si="908"/>
        <v>38245.688298325382</v>
      </c>
      <c r="AS436" s="2856">
        <f t="shared" ca="1" si="917"/>
        <v>1.6907087820193769</v>
      </c>
      <c r="AU436" s="2110">
        <f ca="1">SUM((INDIRECT(AU$2&amp;(ROW())):INDIRECT(AU$3&amp;(ROW()))))</f>
        <v>93617.34317508711</v>
      </c>
      <c r="AV436" s="2110">
        <f ca="1">SUM(INDIRECT(AV$1&amp;AV$2&amp;$C436):INDIRECT(AV$1&amp;AV$3&amp;$C436))</f>
        <v>68189.963693167359</v>
      </c>
      <c r="AW436" s="2855">
        <f t="shared" ca="1" si="909"/>
        <v>25427.37948191975</v>
      </c>
      <c r="AX436" s="2856">
        <f t="shared" ca="1" si="910"/>
        <v>1.3728903507902523</v>
      </c>
      <c r="AY436" s="2110">
        <f ca="1">SUM(INDIRECT(AY$1&amp;AY$2&amp;$A436):INDIRECT(AY$1&amp;AY$3&amp;$A436))+SUM(INDIRECT(AY$1&amp;AY$2&amp;$B436):INDIRECT(AY$1&amp;AY$3&amp;$B436))</f>
        <v>55371.654876761728</v>
      </c>
      <c r="AZ436" s="2855">
        <f t="shared" ca="1" si="911"/>
        <v>38245.688298325382</v>
      </c>
      <c r="BA436" s="2856">
        <f t="shared" ca="1" si="912"/>
        <v>1.6907087820193769</v>
      </c>
      <c r="BC436" s="2110">
        <f ca="1">SUM((INDIRECT(BC$2&amp;(ROW())):INDIRECT(BC$3&amp;(ROW()))))</f>
        <v>93617.34317508711</v>
      </c>
      <c r="BD436" s="2110">
        <f ca="1">SUM(INDIRECT(BD$1&amp;BD$2&amp;$C436):INDIRECT(BD$1&amp;BD$3&amp;$C436))</f>
        <v>68189.963693167359</v>
      </c>
      <c r="BE436" s="2855">
        <f t="shared" ca="1" si="913"/>
        <v>25427.37948191975</v>
      </c>
      <c r="BF436" s="2856">
        <f t="shared" ca="1" si="914"/>
        <v>1.3728903507902523</v>
      </c>
      <c r="BG436" s="2110">
        <f ca="1">SUM(INDIRECT(BG$1&amp;BG$2&amp;$A436):INDIRECT(BG$1&amp;BG$3&amp;$A436))+SUM(INDIRECT(BG$1&amp;BG$2&amp;$B436):INDIRECT(BG$1&amp;BG$3&amp;$B436))</f>
        <v>55371.654876761728</v>
      </c>
      <c r="BH436" s="2855">
        <f t="shared" ca="1" si="915"/>
        <v>38245.688298325382</v>
      </c>
      <c r="BI436" s="2856">
        <f t="shared" ca="1" si="918"/>
        <v>1.6907087820193769</v>
      </c>
    </row>
    <row r="437" spans="1:61" ht="14.5">
      <c r="A437" s="1693">
        <f t="shared" si="841"/>
        <v>429</v>
      </c>
      <c r="B437" s="616">
        <v>1</v>
      </c>
      <c r="C437" s="1693">
        <f t="shared" si="840"/>
        <v>437</v>
      </c>
      <c r="D437" s="616">
        <v>1</v>
      </c>
      <c r="E437" s="709" t="s">
        <v>512</v>
      </c>
      <c r="F437" s="69"/>
      <c r="G437" s="8"/>
      <c r="H437" s="737"/>
      <c r="L437" s="223"/>
      <c r="M437" s="36" t="s">
        <v>518</v>
      </c>
      <c r="R437" s="1784" t="str">
        <f>CHOOSE(2, "6722000003348", "S/GP Office (1) Office Directly assigned")</f>
        <v>S/GP Office (1) Office Directly assigned</v>
      </c>
      <c r="S437" s="1289">
        <f t="shared" ref="S437:AD437" si="922">S91</f>
        <v>48719.032346795837</v>
      </c>
      <c r="T437" s="1232">
        <f t="shared" si="922"/>
        <v>30238.640177620498</v>
      </c>
      <c r="U437" s="1232">
        <f t="shared" si="922"/>
        <v>36337.817870560357</v>
      </c>
      <c r="V437" s="1232">
        <f t="shared" si="922"/>
        <v>31419.750725145092</v>
      </c>
      <c r="W437" s="1232">
        <f t="shared" si="922"/>
        <v>40382.94527639469</v>
      </c>
      <c r="X437" s="1232">
        <f t="shared" si="922"/>
        <v>38681.56833580706</v>
      </c>
      <c r="Y437" s="1232">
        <f t="shared" si="922"/>
        <v>59716.34712464561</v>
      </c>
      <c r="Z437" s="1232">
        <f t="shared" si="922"/>
        <v>43012.619304259402</v>
      </c>
      <c r="AA437" s="1232">
        <f t="shared" si="922"/>
        <v>60698.218907922012</v>
      </c>
      <c r="AB437" s="1232">
        <f t="shared" si="922"/>
        <v>35286.457686909896</v>
      </c>
      <c r="AC437" s="1232">
        <f t="shared" si="922"/>
        <v>17351.62815636184</v>
      </c>
      <c r="AD437" s="1232">
        <f t="shared" si="922"/>
        <v>49639.827223312263</v>
      </c>
      <c r="AE437" s="125">
        <f>SUM(S437,T437,U437)</f>
        <v>115295.49039497669</v>
      </c>
      <c r="AF437" s="126">
        <f>SUM(V437,W437,X437)</f>
        <v>110484.26433734683</v>
      </c>
      <c r="AG437" s="126">
        <f>SUM(Y437,Z437,AA437)</f>
        <v>163427.18533682701</v>
      </c>
      <c r="AH437" s="126">
        <f>SUM(AB437,AC437,AD437)</f>
        <v>102277.91306658401</v>
      </c>
      <c r="AI437" s="126">
        <f>AE437+AF437</f>
        <v>225779.75473232352</v>
      </c>
      <c r="AJ437" s="126">
        <f>AH437+AG437</f>
        <v>265705.09840341099</v>
      </c>
      <c r="AK437" s="126">
        <f>AI437+AJ437</f>
        <v>491484.85313573451</v>
      </c>
      <c r="AM437" s="2470">
        <f ca="1">SUM((INDIRECT(AM$2&amp;(ROW())):INDIRECT(AM$3&amp;(ROW()))))</f>
        <v>48719.032346795837</v>
      </c>
      <c r="AN437" s="2470">
        <f ca="1">SUM(INDIRECT(AN$1&amp;AN$2&amp;$C437):INDIRECT(AN$1&amp;AN$3&amp;$C437))</f>
        <v>41000</v>
      </c>
      <c r="AO437" s="2857">
        <f t="shared" ca="1" si="906"/>
        <v>7719.0323467958369</v>
      </c>
      <c r="AP437" s="2858">
        <f t="shared" ca="1" si="907"/>
        <v>1.1882690816291668</v>
      </c>
      <c r="AQ437" s="2470">
        <f ca="1">SUM(INDIRECT(AQ$1&amp;AQ$2&amp;$A437):INDIRECT(AQ$1&amp;AQ$3&amp;$A437))+SUM(INDIRECT(AQ$1&amp;AQ$2&amp;$B437):INDIRECT(AQ$1&amp;AQ$3&amp;$B437))</f>
        <v>20047.31588891986</v>
      </c>
      <c r="AR437" s="2857">
        <f t="shared" ca="1" si="908"/>
        <v>28671.716457875977</v>
      </c>
      <c r="AS437" s="2858">
        <f t="shared" ca="1" si="917"/>
        <v>2.4302022583343845</v>
      </c>
      <c r="AU437" s="2470">
        <f ca="1">SUM((INDIRECT(AU$2&amp;(ROW())):INDIRECT(AU$3&amp;(ROW()))))</f>
        <v>48719.032346795837</v>
      </c>
      <c r="AV437" s="2470">
        <f ca="1">SUM(INDIRECT(AV$1&amp;AV$2&amp;$C437):INDIRECT(AV$1&amp;AV$3&amp;$C437))</f>
        <v>41000</v>
      </c>
      <c r="AW437" s="2857">
        <f t="shared" ca="1" si="909"/>
        <v>7719.0323467958369</v>
      </c>
      <c r="AX437" s="2858">
        <f t="shared" ca="1" si="910"/>
        <v>1.1882690816291668</v>
      </c>
      <c r="AY437" s="2470">
        <f ca="1">SUM(INDIRECT(AY$1&amp;AY$2&amp;$A437):INDIRECT(AY$1&amp;AY$3&amp;$A437))+SUM(INDIRECT(AY$1&amp;AY$2&amp;$B437):INDIRECT(AY$1&amp;AY$3&amp;$B437))</f>
        <v>20047.31588891986</v>
      </c>
      <c r="AZ437" s="2857">
        <f t="shared" ca="1" si="911"/>
        <v>28671.716457875977</v>
      </c>
      <c r="BA437" s="2858">
        <f t="shared" ca="1" si="912"/>
        <v>2.4302022583343845</v>
      </c>
      <c r="BC437" s="2470">
        <f ca="1">SUM((INDIRECT(BC$2&amp;(ROW())):INDIRECT(BC$3&amp;(ROW()))))</f>
        <v>48719.032346795837</v>
      </c>
      <c r="BD437" s="2470">
        <f ca="1">SUM(INDIRECT(BD$1&amp;BD$2&amp;$C437):INDIRECT(BD$1&amp;BD$3&amp;$C437))</f>
        <v>41000</v>
      </c>
      <c r="BE437" s="2857">
        <f t="shared" ca="1" si="913"/>
        <v>7719.0323467958369</v>
      </c>
      <c r="BF437" s="2858">
        <f t="shared" ca="1" si="914"/>
        <v>1.1882690816291668</v>
      </c>
      <c r="BG437" s="2470">
        <f ca="1">SUM(INDIRECT(BG$1&amp;BG$2&amp;$A437):INDIRECT(BG$1&amp;BG$3&amp;$A437))+SUM(INDIRECT(BG$1&amp;BG$2&amp;$B437):INDIRECT(BG$1&amp;BG$3&amp;$B437))</f>
        <v>20047.31588891986</v>
      </c>
      <c r="BH437" s="2857">
        <f t="shared" ca="1" si="915"/>
        <v>28671.716457875977</v>
      </c>
      <c r="BI437" s="2858">
        <f t="shared" ca="1" si="918"/>
        <v>2.4302022583343845</v>
      </c>
    </row>
    <row r="438" spans="1:61" ht="14.5">
      <c r="A438" s="1693">
        <f t="shared" si="841"/>
        <v>430</v>
      </c>
      <c r="B438" s="616">
        <v>1</v>
      </c>
      <c r="C438" s="1693">
        <f t="shared" si="840"/>
        <v>438</v>
      </c>
      <c r="D438" s="616">
        <v>1</v>
      </c>
      <c r="E438" s="709" t="s">
        <v>512</v>
      </c>
      <c r="F438" s="69"/>
      <c r="G438" s="8"/>
      <c r="H438" s="737"/>
      <c r="L438" s="223"/>
      <c r="M438" s="36" t="s">
        <v>519</v>
      </c>
      <c r="R438" s="1784" t="str">
        <f>CHOOSE(2, "6722000003349", "S/GP Office (1) Office Allocation cost")</f>
        <v>S/GP Office (1) Office Allocation cost</v>
      </c>
      <c r="S438" s="1289">
        <f t="shared" ref="S438:AD438" si="923">S95</f>
        <v>44898.310828291273</v>
      </c>
      <c r="T438" s="1232">
        <f t="shared" si="923"/>
        <v>46849.056704375507</v>
      </c>
      <c r="U438" s="1232">
        <f t="shared" si="923"/>
        <v>35562.972231361447</v>
      </c>
      <c r="V438" s="1232">
        <f t="shared" si="923"/>
        <v>42441.023626036222</v>
      </c>
      <c r="W438" s="1232">
        <f t="shared" si="923"/>
        <v>41451.68899926533</v>
      </c>
      <c r="X438" s="1232">
        <f t="shared" si="923"/>
        <v>50108.895681154776</v>
      </c>
      <c r="Y438" s="1232">
        <f t="shared" si="923"/>
        <v>27615.850086963579</v>
      </c>
      <c r="Z438" s="1232">
        <f t="shared" si="923"/>
        <v>43042.14654848582</v>
      </c>
      <c r="AA438" s="1232">
        <f t="shared" si="923"/>
        <v>32655.482140216023</v>
      </c>
      <c r="AB438" s="1232">
        <f t="shared" si="923"/>
        <v>37877.629212647771</v>
      </c>
      <c r="AC438" s="1232">
        <f t="shared" si="923"/>
        <v>69992.858912726617</v>
      </c>
      <c r="AD438" s="1232">
        <f t="shared" si="923"/>
        <v>33809.369858019578</v>
      </c>
      <c r="AE438" s="125">
        <f>SUM(S438,T438,U438)</f>
        <v>127310.33976402822</v>
      </c>
      <c r="AF438" s="126">
        <f>SUM(V438,W438,X438)</f>
        <v>134001.60830645633</v>
      </c>
      <c r="AG438" s="126">
        <f>SUM(Y438,Z438,AA438)</f>
        <v>103313.47877566543</v>
      </c>
      <c r="AH438" s="126">
        <f>SUM(AB438,AC438,AD438)</f>
        <v>141679.85798339397</v>
      </c>
      <c r="AI438" s="126">
        <f>AE438+AF438</f>
        <v>261311.94807048456</v>
      </c>
      <c r="AJ438" s="126">
        <f>AH438+AG438</f>
        <v>244993.3367590594</v>
      </c>
      <c r="AK438" s="126">
        <f>AI438+AJ438</f>
        <v>506305.28482954396</v>
      </c>
      <c r="AM438" s="2470">
        <f ca="1">SUM((INDIRECT(AM$2&amp;(ROW())):INDIRECT(AM$3&amp;(ROW()))))</f>
        <v>44898.310828291273</v>
      </c>
      <c r="AN438" s="2470">
        <f ca="1">SUM(INDIRECT(AN$1&amp;AN$2&amp;$C438):INDIRECT(AN$1&amp;AN$3&amp;$C438))</f>
        <v>27189.963693167359</v>
      </c>
      <c r="AO438" s="2857">
        <f t="shared" ca="1" si="906"/>
        <v>17708.347135123913</v>
      </c>
      <c r="AP438" s="2858">
        <f t="shared" ca="1" si="907"/>
        <v>1.6512824855140904</v>
      </c>
      <c r="AQ438" s="2470">
        <f ca="1">SUM(INDIRECT(AQ$1&amp;AQ$2&amp;$A438):INDIRECT(AQ$1&amp;AQ$3&amp;$A438))+SUM(INDIRECT(AQ$1&amp;AQ$2&amp;$B438):INDIRECT(AQ$1&amp;AQ$3&amp;$B438))</f>
        <v>35324.338987841867</v>
      </c>
      <c r="AR438" s="2857">
        <f t="shared" ca="1" si="908"/>
        <v>9573.9718404494051</v>
      </c>
      <c r="AS438" s="2858">
        <f t="shared" ca="1" si="917"/>
        <v>1.2710304598691748</v>
      </c>
      <c r="AU438" s="2470">
        <f ca="1">SUM((INDIRECT(AU$2&amp;(ROW())):INDIRECT(AU$3&amp;(ROW()))))</f>
        <v>44898.310828291273</v>
      </c>
      <c r="AV438" s="2470">
        <f ca="1">SUM(INDIRECT(AV$1&amp;AV$2&amp;$C438):INDIRECT(AV$1&amp;AV$3&amp;$C438))</f>
        <v>27189.963693167359</v>
      </c>
      <c r="AW438" s="2857">
        <f t="shared" ca="1" si="909"/>
        <v>17708.347135123913</v>
      </c>
      <c r="AX438" s="2858">
        <f t="shared" ca="1" si="910"/>
        <v>1.6512824855140904</v>
      </c>
      <c r="AY438" s="2470">
        <f ca="1">SUM(INDIRECT(AY$1&amp;AY$2&amp;$A438):INDIRECT(AY$1&amp;AY$3&amp;$A438))+SUM(INDIRECT(AY$1&amp;AY$2&amp;$B438):INDIRECT(AY$1&amp;AY$3&amp;$B438))</f>
        <v>35324.338987841867</v>
      </c>
      <c r="AZ438" s="2857">
        <f t="shared" ca="1" si="911"/>
        <v>9573.9718404494051</v>
      </c>
      <c r="BA438" s="2858">
        <f t="shared" ca="1" si="912"/>
        <v>1.2710304598691748</v>
      </c>
      <c r="BC438" s="2470">
        <f ca="1">SUM((INDIRECT(BC$2&amp;(ROW())):INDIRECT(BC$3&amp;(ROW()))))</f>
        <v>44898.310828291273</v>
      </c>
      <c r="BD438" s="2470">
        <f ca="1">SUM(INDIRECT(BD$1&amp;BD$2&amp;$C438):INDIRECT(BD$1&amp;BD$3&amp;$C438))</f>
        <v>27189.963693167359</v>
      </c>
      <c r="BE438" s="2857">
        <f t="shared" ca="1" si="913"/>
        <v>17708.347135123913</v>
      </c>
      <c r="BF438" s="2858">
        <f t="shared" ca="1" si="914"/>
        <v>1.6512824855140904</v>
      </c>
      <c r="BG438" s="2470">
        <f ca="1">SUM(INDIRECT(BG$1&amp;BG$2&amp;$A438):INDIRECT(BG$1&amp;BG$3&amp;$A438))+SUM(INDIRECT(BG$1&amp;BG$2&amp;$B438):INDIRECT(BG$1&amp;BG$3&amp;$B438))</f>
        <v>35324.338987841867</v>
      </c>
      <c r="BH438" s="2857">
        <f t="shared" ca="1" si="915"/>
        <v>9573.9718404494051</v>
      </c>
      <c r="BI438" s="2858">
        <f t="shared" ca="1" si="918"/>
        <v>1.2710304598691748</v>
      </c>
    </row>
    <row r="439" spans="1:61" ht="14.5">
      <c r="A439" s="1693">
        <f t="shared" si="841"/>
        <v>431</v>
      </c>
      <c r="B439" s="616">
        <v>1</v>
      </c>
      <c r="C439" s="1693">
        <f t="shared" si="840"/>
        <v>439</v>
      </c>
      <c r="D439" s="616">
        <v>1</v>
      </c>
      <c r="E439" s="709" t="s">
        <v>512</v>
      </c>
      <c r="F439" s="69"/>
      <c r="G439" s="8"/>
      <c r="H439" s="737"/>
      <c r="L439" s="711"/>
      <c r="M439" s="743" t="s">
        <v>520</v>
      </c>
      <c r="N439" s="11"/>
      <c r="O439" s="11"/>
      <c r="P439" s="11"/>
      <c r="Q439" s="11"/>
      <c r="R439" s="1785" t="str">
        <f>CHOOSE(2, "6722000003350", "S/GP Office (1) Office Allocation rate to Office (%)")</f>
        <v>S/GP Office (1) Office Allocation rate to Office (%)</v>
      </c>
      <c r="S439" s="1369">
        <f>IFERROR(S438/S435,0)</f>
        <v>0.28046909562086608</v>
      </c>
      <c r="T439" s="1365">
        <f t="shared" ref="T439:AD439" si="924">IFERROR(T438/T435,0)</f>
        <v>0.31557930532135636</v>
      </c>
      <c r="U439" s="1365">
        <f t="shared" si="924"/>
        <v>0.29793571121078949</v>
      </c>
      <c r="V439" s="1365">
        <f t="shared" si="924"/>
        <v>0.3385739088435753</v>
      </c>
      <c r="W439" s="1365">
        <f t="shared" si="924"/>
        <v>0.3261509349745802</v>
      </c>
      <c r="X439" s="1365">
        <f t="shared" si="924"/>
        <v>0.32165127387989939</v>
      </c>
      <c r="Y439" s="1365">
        <f t="shared" si="924"/>
        <v>0.32581487985194085</v>
      </c>
      <c r="Z439" s="1365">
        <f t="shared" si="924"/>
        <v>0.31663547611549148</v>
      </c>
      <c r="AA439" s="1365">
        <f t="shared" si="924"/>
        <v>0.32477982211870993</v>
      </c>
      <c r="AB439" s="1365">
        <f t="shared" si="924"/>
        <v>0.32201080829946926</v>
      </c>
      <c r="AC439" s="1365">
        <f t="shared" si="924"/>
        <v>0.3206855460157978</v>
      </c>
      <c r="AD439" s="1365">
        <f t="shared" si="924"/>
        <v>0.32234269093331053</v>
      </c>
      <c r="AE439" s="1365">
        <f t="shared" ref="AE439:AK439" si="925">IFERROR(AE438/AE$435,0)</f>
        <v>0.29752243389305216</v>
      </c>
      <c r="AF439" s="1365">
        <f>IFERROR(AF438/AF$435,0)</f>
        <v>0.32824842339884774</v>
      </c>
      <c r="AG439" s="1365">
        <f t="shared" si="925"/>
        <v>0.32160657802144954</v>
      </c>
      <c r="AH439" s="1365">
        <f t="shared" si="925"/>
        <v>0.32143354796967977</v>
      </c>
      <c r="AI439" s="1365">
        <f t="shared" si="925"/>
        <v>0.31252402708302485</v>
      </c>
      <c r="AJ439" s="1365">
        <f t="shared" si="925"/>
        <v>0.32150649188554697</v>
      </c>
      <c r="AK439" s="1365">
        <f t="shared" si="925"/>
        <v>0.31680697031271493</v>
      </c>
      <c r="AM439" s="1369">
        <f t="shared" ref="AM439:AN439" ca="1" si="926">IFERROR(AM438/AM$424,0)</f>
        <v>106.51787611514567</v>
      </c>
      <c r="AN439" s="1365">
        <f t="shared" ca="1" si="926"/>
        <v>45.677332741145307</v>
      </c>
      <c r="AO439" s="2853">
        <f t="shared" ca="1" si="906"/>
        <v>60.840543374000362</v>
      </c>
      <c r="AP439" s="2854"/>
      <c r="AQ439" s="1365">
        <f t="shared" ref="AQ439" ca="1" si="927">IFERROR(AQ438/AQ$424,0)</f>
        <v>85.47762912023515</v>
      </c>
      <c r="AR439" s="2853">
        <f t="shared" ca="1" si="908"/>
        <v>21.040246994910518</v>
      </c>
      <c r="AS439" s="2854"/>
      <c r="AU439" s="1369">
        <f t="shared" ref="AU439:AV439" ca="1" si="928">IFERROR(AU438/AU$424,0)</f>
        <v>106.51787611514567</v>
      </c>
      <c r="AV439" s="1365">
        <f t="shared" ca="1" si="928"/>
        <v>45.677332741145307</v>
      </c>
      <c r="AW439" s="2853">
        <f t="shared" ca="1" si="909"/>
        <v>60.840543374000362</v>
      </c>
      <c r="AX439" s="2854"/>
      <c r="AY439" s="1365">
        <f t="shared" ref="AY439" ca="1" si="929">IFERROR(AY438/AY$424,0)</f>
        <v>85.47762912023515</v>
      </c>
      <c r="AZ439" s="2853">
        <f t="shared" ca="1" si="911"/>
        <v>21.040246994910518</v>
      </c>
      <c r="BA439" s="2854"/>
      <c r="BC439" s="1369">
        <f t="shared" ref="BC439:BD439" ca="1" si="930">IFERROR(BC438/BC$424,0)</f>
        <v>106.51787611514567</v>
      </c>
      <c r="BD439" s="1365">
        <f t="shared" ca="1" si="930"/>
        <v>45.677332741145307</v>
      </c>
      <c r="BE439" s="2853">
        <f t="shared" ca="1" si="913"/>
        <v>60.840543374000362</v>
      </c>
      <c r="BF439" s="2854"/>
      <c r="BG439" s="1365">
        <f t="shared" ref="BG439" ca="1" si="931">IFERROR(BG438/BG$424,0)</f>
        <v>85.47762912023515</v>
      </c>
      <c r="BH439" s="2853">
        <f t="shared" ca="1" si="915"/>
        <v>21.040246994910518</v>
      </c>
      <c r="BI439" s="2854"/>
    </row>
    <row r="440" spans="1:61" ht="14.5">
      <c r="A440" s="1693">
        <f t="shared" si="841"/>
        <v>432</v>
      </c>
      <c r="B440" s="616">
        <v>1</v>
      </c>
      <c r="C440" s="1693">
        <f t="shared" si="840"/>
        <v>440</v>
      </c>
      <c r="D440" s="616">
        <v>1</v>
      </c>
      <c r="E440" s="709" t="s">
        <v>512</v>
      </c>
      <c r="F440" s="69"/>
      <c r="G440" s="8"/>
      <c r="H440" s="737"/>
      <c r="L440" s="718" t="s">
        <v>283</v>
      </c>
      <c r="M440" s="587"/>
      <c r="N440" s="588"/>
      <c r="O440" s="588"/>
      <c r="P440" s="588"/>
      <c r="Q440" s="588"/>
      <c r="R440" s="1806" t="str">
        <f>CHOOSE(2, "6722000003351", "S/GP Office (2) PP")</f>
        <v>S/GP Office (2) PP</v>
      </c>
      <c r="S440" s="1262">
        <f>SUM(S441:S442)</f>
        <v>164085.53125290858</v>
      </c>
      <c r="T440" s="1262">
        <f t="shared" ref="T440:AD440" si="932">SUM(T441:T442)</f>
        <v>146246.3166625273</v>
      </c>
      <c r="U440" s="1262">
        <f t="shared" si="932"/>
        <v>120725.77601180084</v>
      </c>
      <c r="V440" s="1262">
        <f t="shared" si="932"/>
        <v>111831.87761914433</v>
      </c>
      <c r="W440" s="1262">
        <f t="shared" si="932"/>
        <v>122736.31191181454</v>
      </c>
      <c r="X440" s="1262">
        <f t="shared" si="932"/>
        <v>133236.81746244099</v>
      </c>
      <c r="Y440" s="1244">
        <f t="shared" si="932"/>
        <v>93232.09119985794</v>
      </c>
      <c r="Z440" s="1244">
        <f t="shared" si="932"/>
        <v>151230.48342129306</v>
      </c>
      <c r="AA440" s="1244">
        <f t="shared" si="932"/>
        <v>138609.51397422503</v>
      </c>
      <c r="AB440" s="1356">
        <f t="shared" si="932"/>
        <v>150066.68274601881</v>
      </c>
      <c r="AC440" s="1356">
        <f t="shared" si="932"/>
        <v>201979.92367385473</v>
      </c>
      <c r="AD440" s="1356">
        <f t="shared" si="932"/>
        <v>99760.957015500142</v>
      </c>
      <c r="AE440" s="890">
        <f t="shared" ref="AE440:AK440" si="933">SUM(AE441:AE442)</f>
        <v>431057.62392723671</v>
      </c>
      <c r="AF440" s="713">
        <f t="shared" si="933"/>
        <v>367805.00699339982</v>
      </c>
      <c r="AG440" s="713">
        <f t="shared" si="933"/>
        <v>383072.088595376</v>
      </c>
      <c r="AH440" s="713">
        <f t="shared" si="933"/>
        <v>451807.56343537365</v>
      </c>
      <c r="AI440" s="713">
        <f t="shared" si="933"/>
        <v>798862.63092063658</v>
      </c>
      <c r="AJ440" s="713">
        <f t="shared" si="933"/>
        <v>834879.65203074971</v>
      </c>
      <c r="AK440" s="713">
        <f t="shared" si="933"/>
        <v>1633742.2829513862</v>
      </c>
      <c r="AM440" s="2859">
        <f ca="1">SUM((INDIRECT(AM$2&amp;(ROW())):INDIRECT(AM$3&amp;(ROW()))))</f>
        <v>164085.53125290858</v>
      </c>
      <c r="AN440" s="2859">
        <f ca="1">SUM(INDIRECT(AN$1&amp;AN$2&amp;$C440):INDIRECT(AN$1&amp;AN$3&amp;$C440))</f>
        <v>123052.51485796104</v>
      </c>
      <c r="AO440" s="2860">
        <f t="shared" ca="1" si="906"/>
        <v>41033.016394947539</v>
      </c>
      <c r="AP440" s="2861">
        <f t="shared" ca="1" si="907"/>
        <v>1.3334593888008852</v>
      </c>
      <c r="AQ440" s="2859">
        <f ca="1">SUM(INDIRECT(AQ$1&amp;AQ$2&amp;$A440):INDIRECT(AQ$1&amp;AQ$3&amp;$A440))+SUM(INDIRECT(AQ$1&amp;AQ$2&amp;$B440):INDIRECT(AQ$1&amp;AQ$3&amp;$B440))</f>
        <v>102832.43428717846</v>
      </c>
      <c r="AR440" s="2860">
        <f t="shared" ca="1" si="908"/>
        <v>61253.096965730118</v>
      </c>
      <c r="AS440" s="2861">
        <f t="shared" ca="1" si="917"/>
        <v>1.5956593110950732</v>
      </c>
      <c r="AU440" s="2859">
        <f ca="1">SUM((INDIRECT(AU$2&amp;(ROW())):INDIRECT(AU$3&amp;(ROW()))))</f>
        <v>164085.53125290858</v>
      </c>
      <c r="AV440" s="2859">
        <f ca="1">SUM(INDIRECT(AV$1&amp;AV$2&amp;$C440):INDIRECT(AV$1&amp;AV$3&amp;$C440))</f>
        <v>123052.51485796104</v>
      </c>
      <c r="AW440" s="2860">
        <f t="shared" ca="1" si="909"/>
        <v>41033.016394947539</v>
      </c>
      <c r="AX440" s="2861">
        <f t="shared" ref="AX440:AX442" ca="1" si="934">IFERROR(AU440/AV440,0)</f>
        <v>1.3334593888008852</v>
      </c>
      <c r="AY440" s="2859">
        <f ca="1">SUM(INDIRECT(AY$1&amp;AY$2&amp;$A440):INDIRECT(AY$1&amp;AY$3&amp;$A440))+SUM(INDIRECT(AY$1&amp;AY$2&amp;$B440):INDIRECT(AY$1&amp;AY$3&amp;$B440))</f>
        <v>102832.43428717846</v>
      </c>
      <c r="AZ440" s="2860">
        <f t="shared" ca="1" si="911"/>
        <v>61253.096965730118</v>
      </c>
      <c r="BA440" s="2861">
        <f t="shared" ref="BA440:BA442" ca="1" si="935">IFERROR(AU440/AY440,0)</f>
        <v>1.5956593110950732</v>
      </c>
      <c r="BC440" s="2859">
        <f ca="1">SUM((INDIRECT(BC$2&amp;(ROW())):INDIRECT(BC$3&amp;(ROW()))))</f>
        <v>164085.53125290858</v>
      </c>
      <c r="BD440" s="2859">
        <f ca="1">SUM(INDIRECT(BD$1&amp;BD$2&amp;$C440):INDIRECT(BD$1&amp;BD$3&amp;$C440))</f>
        <v>123052.51485796104</v>
      </c>
      <c r="BE440" s="2860">
        <f t="shared" ca="1" si="913"/>
        <v>41033.016394947539</v>
      </c>
      <c r="BF440" s="2861">
        <f t="shared" ref="BF440:BF442" ca="1" si="936">IFERROR(BC440/BD440,0)</f>
        <v>1.3334593888008852</v>
      </c>
      <c r="BG440" s="2859">
        <f ca="1">SUM(INDIRECT(BG$1&amp;BG$2&amp;$A440):INDIRECT(BG$1&amp;BG$3&amp;$A440))+SUM(INDIRECT(BG$1&amp;BG$2&amp;$B440):INDIRECT(BG$1&amp;BG$3&amp;$B440))</f>
        <v>102832.43428717846</v>
      </c>
      <c r="BH440" s="2860">
        <f t="shared" ca="1" si="915"/>
        <v>61253.096965730118</v>
      </c>
      <c r="BI440" s="2861">
        <f t="shared" ref="BI440:BI442" ca="1" si="937">IFERROR(BC440/BG440,0)</f>
        <v>1.5956593110950732</v>
      </c>
    </row>
    <row r="441" spans="1:61" ht="14.5">
      <c r="A441" s="1693">
        <f t="shared" si="841"/>
        <v>433</v>
      </c>
      <c r="B441" s="616">
        <v>1</v>
      </c>
      <c r="C441" s="1693">
        <f t="shared" si="840"/>
        <v>441</v>
      </c>
      <c r="D441" s="616">
        <v>1</v>
      </c>
      <c r="E441" s="709" t="s">
        <v>512</v>
      </c>
      <c r="F441" s="69"/>
      <c r="G441" s="8"/>
      <c r="H441" s="737"/>
      <c r="L441" s="223"/>
      <c r="M441" s="36" t="s">
        <v>518</v>
      </c>
      <c r="R441" s="1784" t="str">
        <f>CHOOSE(2, "6722000003352", "S/GP Office (2) PP Directly assigned")</f>
        <v>S/GP Office (2) PP Directly assigned</v>
      </c>
      <c r="S441" s="1289">
        <f t="shared" ref="S441:AD441" si="938">S197</f>
        <v>48538.925534187001</v>
      </c>
      <c r="T441" s="1232">
        <f t="shared" si="938"/>
        <v>44641.225980182317</v>
      </c>
      <c r="U441" s="1232">
        <f t="shared" si="938"/>
        <v>36924.164229933187</v>
      </c>
      <c r="V441" s="1232">
        <f t="shared" si="938"/>
        <v>28920.585199928468</v>
      </c>
      <c r="W441" s="1232">
        <f t="shared" si="938"/>
        <v>37094.423814647438</v>
      </c>
      <c r="X441" s="1232">
        <f t="shared" si="938"/>
        <v>27559.307957882684</v>
      </c>
      <c r="Y441" s="1232">
        <f t="shared" si="938"/>
        <v>36088.613844462321</v>
      </c>
      <c r="Z441" s="1232">
        <f t="shared" si="938"/>
        <v>58336.672708987375</v>
      </c>
      <c r="AA441" s="1232">
        <f t="shared" si="938"/>
        <v>70718.185283740822</v>
      </c>
      <c r="AB441" s="1232">
        <f t="shared" si="938"/>
        <v>70315.871433087465</v>
      </c>
      <c r="AC441" s="1232">
        <f t="shared" si="938"/>
        <v>53712.683925076351</v>
      </c>
      <c r="AD441" s="1232">
        <f t="shared" si="938"/>
        <v>28683.909997964143</v>
      </c>
      <c r="AE441" s="125">
        <f>SUM(S441,T441,U441)</f>
        <v>130104.31574430251</v>
      </c>
      <c r="AF441" s="126">
        <f>SUM(V441,W441,X441)</f>
        <v>93574.31697245859</v>
      </c>
      <c r="AG441" s="126">
        <f>SUM(Y441,Z441,AA441)</f>
        <v>165143.4718371905</v>
      </c>
      <c r="AH441" s="126">
        <f>SUM(AB441,AC441,AD441)</f>
        <v>152712.46535612794</v>
      </c>
      <c r="AI441" s="126">
        <f>AE441+AF441</f>
        <v>223678.63271676109</v>
      </c>
      <c r="AJ441" s="126">
        <f>AH441+AG441</f>
        <v>317855.93719331844</v>
      </c>
      <c r="AK441" s="126">
        <f>AI441+AJ441</f>
        <v>541534.56991007947</v>
      </c>
      <c r="AM441" s="2470">
        <f ca="1">SUM((INDIRECT(AM$2&amp;(ROW())):INDIRECT(AM$3&amp;(ROW()))))</f>
        <v>48538.925534187001</v>
      </c>
      <c r="AN441" s="2470">
        <f ca="1">SUM(INDIRECT(AN$1&amp;AN$2&amp;$C441):INDIRECT(AN$1&amp;AN$3&amp;$C441))</f>
        <v>56000</v>
      </c>
      <c r="AO441" s="2857">
        <f t="shared" ca="1" si="906"/>
        <v>-7461.0744658129988</v>
      </c>
      <c r="AP441" s="2858">
        <f t="shared" ca="1" si="907"/>
        <v>0.86676652739619642</v>
      </c>
      <c r="AQ441" s="2470">
        <f ca="1">SUM(INDIRECT(AQ$1&amp;AQ$2&amp;$A441):INDIRECT(AQ$1&amp;AQ$3&amp;$A441))+SUM(INDIRECT(AQ$1&amp;AQ$2&amp;$B441):INDIRECT(AQ$1&amp;AQ$3&amp;$B441))</f>
        <v>25906.751600110965</v>
      </c>
      <c r="AR441" s="2857">
        <f t="shared" ca="1" si="908"/>
        <v>22632.173934076036</v>
      </c>
      <c r="AS441" s="2858">
        <f t="shared" ca="1" si="917"/>
        <v>1.8736013794172133</v>
      </c>
      <c r="AU441" s="2470">
        <f ca="1">SUM((INDIRECT(AU$2&amp;(ROW())):INDIRECT(AU$3&amp;(ROW()))))</f>
        <v>48538.925534187001</v>
      </c>
      <c r="AV441" s="2470">
        <f ca="1">SUM(INDIRECT(AV$1&amp;AV$2&amp;$C441):INDIRECT(AV$1&amp;AV$3&amp;$C441))</f>
        <v>56000</v>
      </c>
      <c r="AW441" s="2857">
        <f t="shared" ca="1" si="909"/>
        <v>-7461.0744658129988</v>
      </c>
      <c r="AX441" s="2858">
        <f t="shared" ca="1" si="934"/>
        <v>0.86676652739619642</v>
      </c>
      <c r="AY441" s="2470">
        <f ca="1">SUM(INDIRECT(AY$1&amp;AY$2&amp;$A441):INDIRECT(AY$1&amp;AY$3&amp;$A441))+SUM(INDIRECT(AY$1&amp;AY$2&amp;$B441):INDIRECT(AY$1&amp;AY$3&amp;$B441))</f>
        <v>25906.751600110965</v>
      </c>
      <c r="AZ441" s="2857">
        <f t="shared" ca="1" si="911"/>
        <v>22632.173934076036</v>
      </c>
      <c r="BA441" s="2858">
        <f t="shared" ca="1" si="935"/>
        <v>1.8736013794172133</v>
      </c>
      <c r="BC441" s="2470">
        <f ca="1">SUM((INDIRECT(BC$2&amp;(ROW())):INDIRECT(BC$3&amp;(ROW()))))</f>
        <v>48538.925534187001</v>
      </c>
      <c r="BD441" s="2470">
        <f ca="1">SUM(INDIRECT(BD$1&amp;BD$2&amp;$C441):INDIRECT(BD$1&amp;BD$3&amp;$C441))</f>
        <v>56000</v>
      </c>
      <c r="BE441" s="2857">
        <f t="shared" ca="1" si="913"/>
        <v>-7461.0744658129988</v>
      </c>
      <c r="BF441" s="2858">
        <f t="shared" ca="1" si="936"/>
        <v>0.86676652739619642</v>
      </c>
      <c r="BG441" s="2470">
        <f ca="1">SUM(INDIRECT(BG$1&amp;BG$2&amp;$A441):INDIRECT(BG$1&amp;BG$3&amp;$A441))+SUM(INDIRECT(BG$1&amp;BG$2&amp;$B441):INDIRECT(BG$1&amp;BG$3&amp;$B441))</f>
        <v>25906.751600110965</v>
      </c>
      <c r="BH441" s="2857">
        <f t="shared" ca="1" si="915"/>
        <v>22632.173934076036</v>
      </c>
      <c r="BI441" s="2858">
        <f t="shared" ca="1" si="937"/>
        <v>1.8736013794172133</v>
      </c>
    </row>
    <row r="442" spans="1:61" ht="14.5">
      <c r="A442" s="1693">
        <f t="shared" si="841"/>
        <v>434</v>
      </c>
      <c r="B442" s="616">
        <v>1</v>
      </c>
      <c r="C442" s="1693">
        <f t="shared" si="840"/>
        <v>442</v>
      </c>
      <c r="D442" s="616">
        <v>1</v>
      </c>
      <c r="E442" s="709" t="s">
        <v>512</v>
      </c>
      <c r="F442" s="69"/>
      <c r="G442" s="8"/>
      <c r="H442" s="737"/>
      <c r="L442" s="223"/>
      <c r="M442" s="36" t="s">
        <v>519</v>
      </c>
      <c r="R442" s="1784" t="str">
        <f>CHOOSE(2, "6722000003353", "S/GP Office (2) PP Allocation cost")</f>
        <v>S/GP Office (2) PP Allocation cost</v>
      </c>
      <c r="S442" s="1289">
        <f t="shared" ref="S442:AD442" si="939">S201</f>
        <v>115546.60571872158</v>
      </c>
      <c r="T442" s="1232">
        <f t="shared" si="939"/>
        <v>101605.09068234498</v>
      </c>
      <c r="U442" s="1232">
        <f t="shared" si="939"/>
        <v>83801.611781867658</v>
      </c>
      <c r="V442" s="1232">
        <f t="shared" si="939"/>
        <v>82911.292419215868</v>
      </c>
      <c r="W442" s="1232">
        <f t="shared" si="939"/>
        <v>85641.888097167102</v>
      </c>
      <c r="X442" s="1232">
        <f t="shared" si="939"/>
        <v>105677.5095045583</v>
      </c>
      <c r="Y442" s="1232">
        <f t="shared" si="939"/>
        <v>57143.477355395626</v>
      </c>
      <c r="Z442" s="1232">
        <f t="shared" si="939"/>
        <v>92893.810712305683</v>
      </c>
      <c r="AA442" s="1232">
        <f t="shared" si="939"/>
        <v>67891.328690484195</v>
      </c>
      <c r="AB442" s="1232">
        <f t="shared" si="939"/>
        <v>79750.811312931328</v>
      </c>
      <c r="AC442" s="1232">
        <f t="shared" si="939"/>
        <v>148267.23974877837</v>
      </c>
      <c r="AD442" s="1232">
        <f t="shared" si="939"/>
        <v>71077.047017535995</v>
      </c>
      <c r="AE442" s="125">
        <f>SUM(S442,T442,U442)</f>
        <v>300953.30818293418</v>
      </c>
      <c r="AF442" s="126">
        <f>SUM(V442,W442,X442)</f>
        <v>274230.69002094126</v>
      </c>
      <c r="AG442" s="126">
        <f>SUM(Y442,Z442,AA442)</f>
        <v>217928.6167581855</v>
      </c>
      <c r="AH442" s="126">
        <f>SUM(AB442,AC442,AD442)</f>
        <v>299095.09807924571</v>
      </c>
      <c r="AI442" s="126">
        <f>AE442+AF442</f>
        <v>575183.9982038755</v>
      </c>
      <c r="AJ442" s="126">
        <f>AH442+AG442</f>
        <v>517023.71483743121</v>
      </c>
      <c r="AK442" s="126">
        <f>AI442+AJ442</f>
        <v>1092207.7130413067</v>
      </c>
      <c r="AM442" s="2470">
        <f ca="1">SUM((INDIRECT(AM$2&amp;(ROW())):INDIRECT(AM$3&amp;(ROW()))))</f>
        <v>115546.60571872158</v>
      </c>
      <c r="AN442" s="2470">
        <f ca="1">SUM(INDIRECT(AN$1&amp;AN$2&amp;$C442):INDIRECT(AN$1&amp;AN$3&amp;$C442))</f>
        <v>67052.51485796104</v>
      </c>
      <c r="AO442" s="2857">
        <f t="shared" ca="1" si="906"/>
        <v>48494.090860760538</v>
      </c>
      <c r="AP442" s="2858">
        <f t="shared" ca="1" si="907"/>
        <v>1.7232255339488272</v>
      </c>
      <c r="AQ442" s="2470">
        <f ca="1">SUM(INDIRECT(AQ$1&amp;AQ$2&amp;$A442):INDIRECT(AQ$1&amp;AQ$3&amp;$A442))+SUM(INDIRECT(AQ$1&amp;AQ$2&amp;$B442):INDIRECT(AQ$1&amp;AQ$3&amp;$B442))</f>
        <v>76925.6826870675</v>
      </c>
      <c r="AR442" s="2857">
        <f t="shared" ca="1" si="908"/>
        <v>38620.923031654078</v>
      </c>
      <c r="AS442" s="2858">
        <f t="shared" ca="1" si="917"/>
        <v>1.502054992332839</v>
      </c>
      <c r="AU442" s="2470">
        <f ca="1">SUM((INDIRECT(AU$2&amp;(ROW())):INDIRECT(AU$3&amp;(ROW()))))</f>
        <v>115546.60571872158</v>
      </c>
      <c r="AV442" s="2470">
        <f ca="1">SUM(INDIRECT(AV$1&amp;AV$2&amp;$C442):INDIRECT(AV$1&amp;AV$3&amp;$C442))</f>
        <v>67052.51485796104</v>
      </c>
      <c r="AW442" s="2857">
        <f t="shared" ca="1" si="909"/>
        <v>48494.090860760538</v>
      </c>
      <c r="AX442" s="2858">
        <f t="shared" ca="1" si="934"/>
        <v>1.7232255339488272</v>
      </c>
      <c r="AY442" s="2470">
        <f ca="1">SUM(INDIRECT(AY$1&amp;AY$2&amp;$A442):INDIRECT(AY$1&amp;AY$3&amp;$A442))+SUM(INDIRECT(AY$1&amp;AY$2&amp;$B442):INDIRECT(AY$1&amp;AY$3&amp;$B442))</f>
        <v>76925.6826870675</v>
      </c>
      <c r="AZ442" s="2857">
        <f t="shared" ca="1" si="911"/>
        <v>38620.923031654078</v>
      </c>
      <c r="BA442" s="2858">
        <f t="shared" ca="1" si="935"/>
        <v>1.502054992332839</v>
      </c>
      <c r="BC442" s="2470">
        <f ca="1">SUM((INDIRECT(BC$2&amp;(ROW())):INDIRECT(BC$3&amp;(ROW()))))</f>
        <v>115546.60571872158</v>
      </c>
      <c r="BD442" s="2470">
        <f ca="1">SUM(INDIRECT(BD$1&amp;BD$2&amp;$C442):INDIRECT(BD$1&amp;BD$3&amp;$C442))</f>
        <v>67052.51485796104</v>
      </c>
      <c r="BE442" s="2857">
        <f t="shared" ca="1" si="913"/>
        <v>48494.090860760538</v>
      </c>
      <c r="BF442" s="2858">
        <f t="shared" ca="1" si="936"/>
        <v>1.7232255339488272</v>
      </c>
      <c r="BG442" s="2470">
        <f ca="1">SUM(INDIRECT(BG$1&amp;BG$2&amp;$A442):INDIRECT(BG$1&amp;BG$3&amp;$A442))+SUM(INDIRECT(BG$1&amp;BG$2&amp;$B442):INDIRECT(BG$1&amp;BG$3&amp;$B442))</f>
        <v>76925.6826870675</v>
      </c>
      <c r="BH442" s="2857">
        <f t="shared" ca="1" si="915"/>
        <v>38620.923031654078</v>
      </c>
      <c r="BI442" s="2858">
        <f t="shared" ca="1" si="937"/>
        <v>1.502054992332839</v>
      </c>
    </row>
    <row r="443" spans="1:61" ht="14.5">
      <c r="A443" s="1693">
        <f t="shared" si="841"/>
        <v>435</v>
      </c>
      <c r="B443" s="616">
        <v>1</v>
      </c>
      <c r="C443" s="1693">
        <f t="shared" si="840"/>
        <v>443</v>
      </c>
      <c r="D443" s="616">
        <v>1</v>
      </c>
      <c r="E443" s="709" t="s">
        <v>512</v>
      </c>
      <c r="F443" s="69"/>
      <c r="G443" s="8"/>
      <c r="H443" s="737"/>
      <c r="L443" s="711"/>
      <c r="M443" s="743" t="s">
        <v>556</v>
      </c>
      <c r="N443" s="11"/>
      <c r="O443" s="11"/>
      <c r="P443" s="11"/>
      <c r="Q443" s="11"/>
      <c r="R443" s="1785" t="str">
        <f>CHOOSE(2, "6722000003354", "S/GP Office (2) PP Allocation rate to PP (%)")</f>
        <v>S/GP Office (2) PP Allocation rate to PP (%)</v>
      </c>
      <c r="S443" s="1369">
        <f>IFERROR(S442/S435,0)</f>
        <v>0.72179223249464008</v>
      </c>
      <c r="T443" s="1365">
        <f t="shared" ref="T443:AD443" si="940">IFERROR(T442/T435,0)</f>
        <v>0.68442069467864353</v>
      </c>
      <c r="U443" s="1365">
        <f t="shared" si="940"/>
        <v>0.70206428878921046</v>
      </c>
      <c r="V443" s="1365">
        <f t="shared" si="940"/>
        <v>0.6614260911564247</v>
      </c>
      <c r="W443" s="1365">
        <f t="shared" si="940"/>
        <v>0.67384906502541975</v>
      </c>
      <c r="X443" s="1365">
        <f t="shared" si="940"/>
        <v>0.67834872612010055</v>
      </c>
      <c r="Y443" s="1365">
        <f t="shared" si="940"/>
        <v>0.67418512014805909</v>
      </c>
      <c r="Z443" s="1365">
        <f t="shared" si="940"/>
        <v>0.68336452388450852</v>
      </c>
      <c r="AA443" s="1365">
        <f t="shared" si="940"/>
        <v>0.67522303179665932</v>
      </c>
      <c r="AB443" s="1365">
        <f t="shared" si="940"/>
        <v>0.67798919170053085</v>
      </c>
      <c r="AC443" s="1365">
        <f t="shared" si="940"/>
        <v>0.67931445398420232</v>
      </c>
      <c r="AD443" s="1365">
        <f t="shared" si="940"/>
        <v>0.67765730906668942</v>
      </c>
      <c r="AE443" s="1365">
        <f t="shared" ref="AE443:AK443" si="941">IFERROR(AE442/AE$435,0)</f>
        <v>0.70332355490305731</v>
      </c>
      <c r="AF443" s="1365">
        <f>IFERROR(AF442/AF$435,0)</f>
        <v>0.67175157660115226</v>
      </c>
      <c r="AG443" s="1365">
        <f t="shared" si="941"/>
        <v>0.67839431523485194</v>
      </c>
      <c r="AH443" s="1365">
        <f t="shared" si="941"/>
        <v>0.67856645203032029</v>
      </c>
      <c r="AI443" s="1365">
        <f t="shared" si="941"/>
        <v>0.68790891790337705</v>
      </c>
      <c r="AJ443" s="1365">
        <f t="shared" si="941"/>
        <v>0.67849388468263794</v>
      </c>
      <c r="AK443" s="1365">
        <f t="shared" si="941"/>
        <v>0.6834197210429841</v>
      </c>
      <c r="AM443" s="1369">
        <f t="shared" ref="AM443:AN443" ca="1" si="942">IFERROR(AM442/AM$424,0)</f>
        <v>274.1256587701514</v>
      </c>
      <c r="AN443" s="1365">
        <f t="shared" ca="1" si="942"/>
        <v>112.64377057874962</v>
      </c>
      <c r="AO443" s="2853">
        <f t="shared" ca="1" si="906"/>
        <v>161.48188819140177</v>
      </c>
      <c r="AP443" s="2854"/>
      <c r="AQ443" s="1365">
        <f t="shared" ref="AQ443" ca="1" si="943">IFERROR(AQ442/AQ$424,0)</f>
        <v>186.14431757121392</v>
      </c>
      <c r="AR443" s="2853">
        <f t="shared" ca="1" si="908"/>
        <v>87.981341198937486</v>
      </c>
      <c r="AS443" s="2854"/>
      <c r="AU443" s="1369">
        <f t="shared" ref="AU443:AV443" ca="1" si="944">IFERROR(AU442/AU$424,0)</f>
        <v>274.1256587701514</v>
      </c>
      <c r="AV443" s="1365">
        <f t="shared" ca="1" si="944"/>
        <v>112.64377057874962</v>
      </c>
      <c r="AW443" s="2853">
        <f t="shared" ca="1" si="909"/>
        <v>161.48188819140177</v>
      </c>
      <c r="AX443" s="2854"/>
      <c r="AY443" s="1365">
        <f t="shared" ref="AY443" ca="1" si="945">IFERROR(AY442/AY$424,0)</f>
        <v>186.14431757121392</v>
      </c>
      <c r="AZ443" s="2853">
        <f t="shared" ca="1" si="911"/>
        <v>87.981341198937486</v>
      </c>
      <c r="BA443" s="2854"/>
      <c r="BC443" s="1369">
        <f t="shared" ref="BC443:BD443" ca="1" si="946">IFERROR(BC442/BC$424,0)</f>
        <v>274.1256587701514</v>
      </c>
      <c r="BD443" s="1365">
        <f t="shared" ca="1" si="946"/>
        <v>112.64377057874962</v>
      </c>
      <c r="BE443" s="2853">
        <f t="shared" ca="1" si="913"/>
        <v>161.48188819140177</v>
      </c>
      <c r="BF443" s="2854"/>
      <c r="BG443" s="1365">
        <f t="shared" ref="BG443" ca="1" si="947">IFERROR(BG442/BG$424,0)</f>
        <v>186.14431757121392</v>
      </c>
      <c r="BH443" s="2853">
        <f t="shared" ca="1" si="915"/>
        <v>87.981341198937486</v>
      </c>
      <c r="BI443" s="2854"/>
    </row>
    <row r="444" spans="1:61" ht="14.5">
      <c r="A444" s="1693">
        <f t="shared" si="841"/>
        <v>436</v>
      </c>
      <c r="B444" s="616">
        <v>1</v>
      </c>
      <c r="C444" s="1693">
        <f t="shared" si="840"/>
        <v>444</v>
      </c>
      <c r="D444" s="616">
        <v>1</v>
      </c>
      <c r="E444" s="709" t="s">
        <v>512</v>
      </c>
      <c r="F444" s="69"/>
      <c r="G444" s="8"/>
      <c r="H444" s="737"/>
      <c r="J444" s="8"/>
      <c r="L444" s="1765" t="s">
        <v>284</v>
      </c>
      <c r="M444" s="1766"/>
      <c r="N444" s="1767"/>
      <c r="O444" s="1767"/>
      <c r="P444" s="1767"/>
      <c r="Q444" s="1767"/>
      <c r="R444" s="1807" t="str">
        <f>CHOOSE(2, "6722000003355", "S/GP Office (3) IP")</f>
        <v>S/GP Office (3) IP</v>
      </c>
      <c r="S444" s="1357">
        <f>SUM(S445:S446)</f>
        <v>2430.2347537777923</v>
      </c>
      <c r="T444" s="1357">
        <f t="shared" ref="T444:AD444" si="948">SUM(T445:T446)</f>
        <v>2625.4218628167091</v>
      </c>
      <c r="U444" s="1357">
        <f t="shared" si="948"/>
        <v>4411.9916419877682</v>
      </c>
      <c r="V444" s="1357">
        <f t="shared" si="948"/>
        <v>2050.1845203610555</v>
      </c>
      <c r="W444" s="1357">
        <f t="shared" si="948"/>
        <v>2538.1319927357026</v>
      </c>
      <c r="X444" s="1357">
        <f t="shared" si="948"/>
        <v>3879.2740496177103</v>
      </c>
      <c r="Y444" s="1358">
        <f t="shared" si="948"/>
        <v>2313.5685622147016</v>
      </c>
      <c r="Z444" s="1358">
        <f t="shared" si="948"/>
        <v>2555.1347182678728</v>
      </c>
      <c r="AA444" s="1358">
        <f t="shared" si="948"/>
        <v>2943.6653051853427</v>
      </c>
      <c r="AB444" s="1359">
        <f t="shared" si="948"/>
        <v>3032.6755779677756</v>
      </c>
      <c r="AC444" s="1359">
        <f t="shared" si="948"/>
        <v>2618.4847945634906</v>
      </c>
      <c r="AD444" s="1359">
        <f t="shared" si="948"/>
        <v>1724.8250912974311</v>
      </c>
      <c r="AE444" s="891">
        <f t="shared" ref="AE444:AK444" si="949">SUM(AE445:AE446)</f>
        <v>9467.6482585822705</v>
      </c>
      <c r="AF444" s="715">
        <f t="shared" si="949"/>
        <v>8467.5905627144675</v>
      </c>
      <c r="AG444" s="715">
        <f t="shared" si="949"/>
        <v>7812.3685856679167</v>
      </c>
      <c r="AH444" s="715">
        <f t="shared" si="949"/>
        <v>7375.985463828697</v>
      </c>
      <c r="AI444" s="715">
        <f t="shared" si="949"/>
        <v>17935.238821296738</v>
      </c>
      <c r="AJ444" s="715">
        <f t="shared" si="949"/>
        <v>15188.354049496613</v>
      </c>
      <c r="AK444" s="715">
        <f t="shared" si="949"/>
        <v>33123.592870793349</v>
      </c>
      <c r="AM444" s="2862">
        <f ca="1">SUM((INDIRECT(AM$2&amp;(ROW())):INDIRECT(AM$3&amp;(ROW()))))</f>
        <v>2430.2347537777923</v>
      </c>
      <c r="AN444" s="2862">
        <f ca="1">SUM(INDIRECT(AN$1&amp;AN$2&amp;$C444):INDIRECT(AN$1&amp;AN$3&amp;$C444))</f>
        <v>3631.9919619008415</v>
      </c>
      <c r="AO444" s="2863">
        <f t="shared" ca="1" si="906"/>
        <v>-1201.7572081230492</v>
      </c>
      <c r="AP444" s="2864">
        <f t="shared" ca="1" si="907"/>
        <v>0.66911897913614959</v>
      </c>
      <c r="AQ444" s="2862">
        <f ca="1">SUM(INDIRECT(AQ$1&amp;AQ$2&amp;$A444):INDIRECT(AQ$1&amp;AQ$3&amp;$A444))+SUM(INDIRECT(AQ$1&amp;AQ$2&amp;$B444):INDIRECT(AQ$1&amp;AQ$3&amp;$B444))</f>
        <v>2598.9108360598129</v>
      </c>
      <c r="AR444" s="2863">
        <f t="shared" ca="1" si="908"/>
        <v>-168.67608228202062</v>
      </c>
      <c r="AS444" s="2864">
        <f t="shared" ca="1" si="917"/>
        <v>0.93509739543902592</v>
      </c>
      <c r="AU444" s="2862">
        <f ca="1">SUM((INDIRECT(AU$2&amp;(ROW())):INDIRECT(AU$3&amp;(ROW()))))</f>
        <v>2430.2347537777923</v>
      </c>
      <c r="AV444" s="2862">
        <f ca="1">SUM(INDIRECT(AV$1&amp;AV$2&amp;$C444):INDIRECT(AV$1&amp;AV$3&amp;$C444))</f>
        <v>3631.9919619008415</v>
      </c>
      <c r="AW444" s="2863">
        <f t="shared" ca="1" si="909"/>
        <v>-1201.7572081230492</v>
      </c>
      <c r="AX444" s="2864">
        <f t="shared" ref="AX444:AX446" ca="1" si="950">IFERROR(AU444/AV444,0)</f>
        <v>0.66911897913614959</v>
      </c>
      <c r="AY444" s="2862">
        <f ca="1">SUM(INDIRECT(AY$1&amp;AY$2&amp;$A444):INDIRECT(AY$1&amp;AY$3&amp;$A444))+SUM(INDIRECT(AY$1&amp;AY$2&amp;$B444):INDIRECT(AY$1&amp;AY$3&amp;$B444))</f>
        <v>2598.9108360598129</v>
      </c>
      <c r="AZ444" s="2863">
        <f t="shared" ca="1" si="911"/>
        <v>-168.67608228202062</v>
      </c>
      <c r="BA444" s="2864">
        <f t="shared" ref="BA444:BA446" ca="1" si="951">IFERROR(AU444/AY444,0)</f>
        <v>0.93509739543902592</v>
      </c>
      <c r="BC444" s="2862">
        <f ca="1">SUM((INDIRECT(BC$2&amp;(ROW())):INDIRECT(BC$3&amp;(ROW()))))</f>
        <v>2430.2347537777923</v>
      </c>
      <c r="BD444" s="2862">
        <f ca="1">SUM(INDIRECT(BD$1&amp;BD$2&amp;$C444):INDIRECT(BD$1&amp;BD$3&amp;$C444))</f>
        <v>3631.9919619008415</v>
      </c>
      <c r="BE444" s="2863">
        <f t="shared" ca="1" si="913"/>
        <v>-1201.7572081230492</v>
      </c>
      <c r="BF444" s="2864">
        <f t="shared" ref="BF444:BF446" ca="1" si="952">IFERROR(BC444/BD444,0)</f>
        <v>0.66911897913614959</v>
      </c>
      <c r="BG444" s="2862">
        <f ca="1">SUM(INDIRECT(BG$1&amp;BG$2&amp;$A444):INDIRECT(BG$1&amp;BG$3&amp;$A444))+SUM(INDIRECT(BG$1&amp;BG$2&amp;$B444):INDIRECT(BG$1&amp;BG$3&amp;$B444))</f>
        <v>2598.9108360598129</v>
      </c>
      <c r="BH444" s="2863">
        <f t="shared" ca="1" si="915"/>
        <v>-168.67608228202062</v>
      </c>
      <c r="BI444" s="2864">
        <f t="shared" ref="BI444:BI446" ca="1" si="953">IFERROR(BC444/BG444,0)</f>
        <v>0.93509739543902592</v>
      </c>
    </row>
    <row r="445" spans="1:61" ht="14.5">
      <c r="A445" s="1693">
        <f t="shared" si="841"/>
        <v>437</v>
      </c>
      <c r="B445" s="616">
        <v>1</v>
      </c>
      <c r="C445" s="1693">
        <f t="shared" si="840"/>
        <v>445</v>
      </c>
      <c r="D445" s="616">
        <v>1</v>
      </c>
      <c r="E445" s="709" t="s">
        <v>512</v>
      </c>
      <c r="F445" s="69"/>
      <c r="G445" s="8"/>
      <c r="H445" s="737"/>
      <c r="J445" s="8"/>
      <c r="L445" s="223"/>
      <c r="M445" s="36" t="s">
        <v>518</v>
      </c>
      <c r="R445" s="1784" t="str">
        <f>CHOOSE(2, "6722000003356", "S/GP Office (3) IP Directly assigned")</f>
        <v>S/GP Office (3) IP Directly assigned</v>
      </c>
      <c r="S445" s="1289">
        <f t="shared" ref="S445:AD445" si="954">S279</f>
        <v>2792.2347537777891</v>
      </c>
      <c r="T445" s="1232">
        <f t="shared" si="954"/>
        <v>2625.4218628167091</v>
      </c>
      <c r="U445" s="1232">
        <f t="shared" si="954"/>
        <v>4411.9916419877682</v>
      </c>
      <c r="V445" s="1232">
        <f t="shared" si="954"/>
        <v>2050.1845203610555</v>
      </c>
      <c r="W445" s="1232">
        <f t="shared" si="954"/>
        <v>2538.1319927357026</v>
      </c>
      <c r="X445" s="1232">
        <f t="shared" si="954"/>
        <v>3879.2740496177103</v>
      </c>
      <c r="Y445" s="1232">
        <f t="shared" si="954"/>
        <v>2313.5685622147016</v>
      </c>
      <c r="Z445" s="1232">
        <f t="shared" si="954"/>
        <v>2555.1347182678728</v>
      </c>
      <c r="AA445" s="1232">
        <f t="shared" si="954"/>
        <v>2943.9522564551526</v>
      </c>
      <c r="AB445" s="1232">
        <f t="shared" si="954"/>
        <v>3032.6755779677756</v>
      </c>
      <c r="AC445" s="1232">
        <f t="shared" si="954"/>
        <v>2618.4847945634906</v>
      </c>
      <c r="AD445" s="1232">
        <f t="shared" si="954"/>
        <v>1724.8250912974311</v>
      </c>
      <c r="AE445" s="125">
        <f>SUM(S445,T445,U445)</f>
        <v>9829.6482585822669</v>
      </c>
      <c r="AF445" s="126">
        <f>SUM(V445,W445,X445)</f>
        <v>8467.5905627144675</v>
      </c>
      <c r="AG445" s="126">
        <f>SUM(Y445,Z445,AA445)</f>
        <v>7812.6555369377265</v>
      </c>
      <c r="AH445" s="126">
        <f>SUM(AB445,AC445,AD445)</f>
        <v>7375.985463828697</v>
      </c>
      <c r="AI445" s="126">
        <f>AE445+AF445</f>
        <v>18297.238821296734</v>
      </c>
      <c r="AJ445" s="126">
        <f>AH445+AG445</f>
        <v>15188.641000766424</v>
      </c>
      <c r="AK445" s="126">
        <f>AI445+AJ445</f>
        <v>33485.879822063158</v>
      </c>
      <c r="AM445" s="2470">
        <f ca="1">SUM((INDIRECT(AM$2&amp;(ROW())):INDIRECT(AM$3&amp;(ROW()))))</f>
        <v>2792.2347537777891</v>
      </c>
      <c r="AN445" s="2470">
        <f ca="1">SUM(INDIRECT(AN$1&amp;AN$2&amp;$C445):INDIRECT(AN$1&amp;AN$3&amp;$C445))</f>
        <v>3116.8165641648875</v>
      </c>
      <c r="AO445" s="2857">
        <f t="shared" ca="1" si="906"/>
        <v>-324.58181038709836</v>
      </c>
      <c r="AP445" s="2858">
        <f t="shared" ca="1" si="907"/>
        <v>0.89586111222619669</v>
      </c>
      <c r="AQ445" s="2470">
        <f ca="1">SUM(INDIRECT(AQ$1&amp;AQ$2&amp;$A445):INDIRECT(AQ$1&amp;AQ$3&amp;$A445))+SUM(INDIRECT(AQ$1&amp;AQ$2&amp;$B445):INDIRECT(AQ$1&amp;AQ$3&amp;$B445))</f>
        <v>2598.9108360598129</v>
      </c>
      <c r="AR445" s="2857">
        <f t="shared" ca="1" si="908"/>
        <v>193.3239177179762</v>
      </c>
      <c r="AS445" s="2858">
        <f t="shared" ca="1" si="917"/>
        <v>1.0743865141641693</v>
      </c>
      <c r="AU445" s="2470">
        <f ca="1">SUM((INDIRECT(AU$2&amp;(ROW())):INDIRECT(AU$3&amp;(ROW()))))</f>
        <v>2792.2347537777891</v>
      </c>
      <c r="AV445" s="2470">
        <f ca="1">SUM(INDIRECT(AV$1&amp;AV$2&amp;$C445):INDIRECT(AV$1&amp;AV$3&amp;$C445))</f>
        <v>3116.8165641648875</v>
      </c>
      <c r="AW445" s="2857">
        <f t="shared" ca="1" si="909"/>
        <v>-324.58181038709836</v>
      </c>
      <c r="AX445" s="2858">
        <f t="shared" ca="1" si="950"/>
        <v>0.89586111222619669</v>
      </c>
      <c r="AY445" s="2470">
        <f ca="1">SUM(INDIRECT(AY$1&amp;AY$2&amp;$A445):INDIRECT(AY$1&amp;AY$3&amp;$A445))+SUM(INDIRECT(AY$1&amp;AY$2&amp;$B445):INDIRECT(AY$1&amp;AY$3&amp;$B445))</f>
        <v>2598.9108360598129</v>
      </c>
      <c r="AZ445" s="2857">
        <f t="shared" ca="1" si="911"/>
        <v>193.3239177179762</v>
      </c>
      <c r="BA445" s="2858">
        <f t="shared" ca="1" si="951"/>
        <v>1.0743865141641693</v>
      </c>
      <c r="BC445" s="2470">
        <f ca="1">SUM((INDIRECT(BC$2&amp;(ROW())):INDIRECT(BC$3&amp;(ROW()))))</f>
        <v>2792.2347537777891</v>
      </c>
      <c r="BD445" s="2470">
        <f ca="1">SUM(INDIRECT(BD$1&amp;BD$2&amp;$C445):INDIRECT(BD$1&amp;BD$3&amp;$C445))</f>
        <v>3116.8165641648875</v>
      </c>
      <c r="BE445" s="2857">
        <f t="shared" ca="1" si="913"/>
        <v>-324.58181038709836</v>
      </c>
      <c r="BF445" s="2858">
        <f t="shared" ca="1" si="952"/>
        <v>0.89586111222619669</v>
      </c>
      <c r="BG445" s="2470">
        <f ca="1">SUM(INDIRECT(BG$1&amp;BG$2&amp;$A445):INDIRECT(BG$1&amp;BG$3&amp;$A445))+SUM(INDIRECT(BG$1&amp;BG$2&amp;$B445):INDIRECT(BG$1&amp;BG$3&amp;$B445))</f>
        <v>2598.9108360598129</v>
      </c>
      <c r="BH445" s="2857">
        <f t="shared" ca="1" si="915"/>
        <v>193.3239177179762</v>
      </c>
      <c r="BI445" s="2858">
        <f t="shared" ca="1" si="953"/>
        <v>1.0743865141641693</v>
      </c>
    </row>
    <row r="446" spans="1:61" ht="14.5">
      <c r="A446" s="1693">
        <f t="shared" si="841"/>
        <v>438</v>
      </c>
      <c r="B446" s="616">
        <v>1</v>
      </c>
      <c r="C446" s="1693">
        <f t="shared" si="840"/>
        <v>446</v>
      </c>
      <c r="D446" s="616">
        <v>1</v>
      </c>
      <c r="E446" s="709" t="s">
        <v>512</v>
      </c>
      <c r="F446" s="69"/>
      <c r="G446" s="8"/>
      <c r="H446" s="737"/>
      <c r="J446" s="8"/>
      <c r="L446" s="223"/>
      <c r="M446" s="36" t="s">
        <v>519</v>
      </c>
      <c r="R446" s="1784" t="str">
        <f>CHOOSE(2, "6722000003357", "S/GP Office (3) IP Allocation cost")</f>
        <v>S/GP Office (3) IP Allocation cost</v>
      </c>
      <c r="S446" s="1289">
        <f t="shared" ref="S446:AD446" si="955">S283</f>
        <v>-361.99999999999659</v>
      </c>
      <c r="T446" s="1232">
        <f t="shared" si="955"/>
        <v>0</v>
      </c>
      <c r="U446" s="1232">
        <f t="shared" si="955"/>
        <v>0</v>
      </c>
      <c r="V446" s="1232">
        <f t="shared" si="955"/>
        <v>0</v>
      </c>
      <c r="W446" s="1232">
        <f t="shared" si="955"/>
        <v>0</v>
      </c>
      <c r="X446" s="1232">
        <f t="shared" si="955"/>
        <v>0</v>
      </c>
      <c r="Y446" s="1232">
        <f t="shared" si="955"/>
        <v>0</v>
      </c>
      <c r="Z446" s="1232">
        <f t="shared" si="955"/>
        <v>0</v>
      </c>
      <c r="AA446" s="1232">
        <f t="shared" si="955"/>
        <v>-0.28695126980994701</v>
      </c>
      <c r="AB446" s="1232">
        <f t="shared" si="955"/>
        <v>0</v>
      </c>
      <c r="AC446" s="1232">
        <f t="shared" si="955"/>
        <v>0</v>
      </c>
      <c r="AD446" s="1232">
        <f t="shared" si="955"/>
        <v>0</v>
      </c>
      <c r="AE446" s="125">
        <f>SUM(S446,T446,U446)</f>
        <v>-361.99999999999659</v>
      </c>
      <c r="AF446" s="126">
        <f>SUM(V446,W446,X446)</f>
        <v>0</v>
      </c>
      <c r="AG446" s="126">
        <f>SUM(Y446,Z446,AA446)</f>
        <v>-0.28695126980994701</v>
      </c>
      <c r="AH446" s="126">
        <f>SUM(AB446,AC446,AD446)</f>
        <v>0</v>
      </c>
      <c r="AI446" s="126">
        <f>AE446+AF446</f>
        <v>-361.99999999999659</v>
      </c>
      <c r="AJ446" s="126">
        <f>AH446+AG446</f>
        <v>-0.28695126980994701</v>
      </c>
      <c r="AK446" s="126">
        <f>AI446+AJ446</f>
        <v>-362.28695126980654</v>
      </c>
      <c r="AM446" s="2470">
        <f ca="1">SUM((INDIRECT(AM$2&amp;(ROW())):INDIRECT(AM$3&amp;(ROW()))))</f>
        <v>-361.99999999999659</v>
      </c>
      <c r="AN446" s="2470">
        <f ca="1">SUM(INDIRECT(AN$1&amp;AN$2&amp;$C446):INDIRECT(AN$1&amp;AN$3&amp;$C446))</f>
        <v>515.17539773595411</v>
      </c>
      <c r="AO446" s="2857">
        <f t="shared" ca="1" si="906"/>
        <v>-877.1753977359507</v>
      </c>
      <c r="AP446" s="2858">
        <f t="shared" ca="1" si="907"/>
        <v>-0.70267330619994894</v>
      </c>
      <c r="AQ446" s="2470">
        <f ca="1">SUM(INDIRECT(AQ$1&amp;AQ$2&amp;$A446):INDIRECT(AQ$1&amp;AQ$3&amp;$A446))+SUM(INDIRECT(AQ$1&amp;AQ$2&amp;$B446):INDIRECT(AQ$1&amp;AQ$3&amp;$B446))</f>
        <v>0</v>
      </c>
      <c r="AR446" s="2857">
        <f t="shared" ca="1" si="908"/>
        <v>-361.99999999999659</v>
      </c>
      <c r="AS446" s="2858">
        <f t="shared" ca="1" si="917"/>
        <v>0</v>
      </c>
      <c r="AU446" s="2470">
        <f ca="1">SUM((INDIRECT(AU$2&amp;(ROW())):INDIRECT(AU$3&amp;(ROW()))))</f>
        <v>-361.99999999999659</v>
      </c>
      <c r="AV446" s="2470">
        <f ca="1">SUM(INDIRECT(AV$1&amp;AV$2&amp;$C446):INDIRECT(AV$1&amp;AV$3&amp;$C446))</f>
        <v>515.17539773595411</v>
      </c>
      <c r="AW446" s="2857">
        <f t="shared" ca="1" si="909"/>
        <v>-877.1753977359507</v>
      </c>
      <c r="AX446" s="2858">
        <f t="shared" ca="1" si="950"/>
        <v>-0.70267330619994894</v>
      </c>
      <c r="AY446" s="2470">
        <f ca="1">SUM(INDIRECT(AY$1&amp;AY$2&amp;$A446):INDIRECT(AY$1&amp;AY$3&amp;$A446))+SUM(INDIRECT(AY$1&amp;AY$2&amp;$B446):INDIRECT(AY$1&amp;AY$3&amp;$B446))</f>
        <v>0</v>
      </c>
      <c r="AZ446" s="2857">
        <f t="shared" ca="1" si="911"/>
        <v>-361.99999999999659</v>
      </c>
      <c r="BA446" s="2858">
        <f t="shared" ca="1" si="951"/>
        <v>0</v>
      </c>
      <c r="BC446" s="2470">
        <f ca="1">SUM((INDIRECT(BC$2&amp;(ROW())):INDIRECT(BC$3&amp;(ROW()))))</f>
        <v>-361.99999999999659</v>
      </c>
      <c r="BD446" s="2470">
        <f ca="1">SUM(INDIRECT(BD$1&amp;BD$2&amp;$C446):INDIRECT(BD$1&amp;BD$3&amp;$C446))</f>
        <v>515.17539773595411</v>
      </c>
      <c r="BE446" s="2857">
        <f t="shared" ca="1" si="913"/>
        <v>-877.1753977359507</v>
      </c>
      <c r="BF446" s="2858">
        <f t="shared" ca="1" si="952"/>
        <v>-0.70267330619994894</v>
      </c>
      <c r="BG446" s="2470">
        <f ca="1">SUM(INDIRECT(BG$1&amp;BG$2&amp;$A446):INDIRECT(BG$1&amp;BG$3&amp;$A446))+SUM(INDIRECT(BG$1&amp;BG$2&amp;$B446):INDIRECT(BG$1&amp;BG$3&amp;$B446))</f>
        <v>0</v>
      </c>
      <c r="BH446" s="2857">
        <f t="shared" ca="1" si="915"/>
        <v>-361.99999999999659</v>
      </c>
      <c r="BI446" s="2858">
        <f t="shared" ca="1" si="953"/>
        <v>0</v>
      </c>
    </row>
    <row r="447" spans="1:61" ht="14.5">
      <c r="A447" s="1693">
        <f t="shared" si="841"/>
        <v>439</v>
      </c>
      <c r="B447" s="616">
        <v>1</v>
      </c>
      <c r="C447" s="1693">
        <f t="shared" si="840"/>
        <v>447</v>
      </c>
      <c r="D447" s="616">
        <v>1</v>
      </c>
      <c r="E447" s="709" t="s">
        <v>512</v>
      </c>
      <c r="F447" s="69"/>
      <c r="G447" s="8"/>
      <c r="H447" s="737"/>
      <c r="J447" s="8"/>
      <c r="L447" s="172"/>
      <c r="M447" s="743" t="s">
        <v>557</v>
      </c>
      <c r="N447" s="9"/>
      <c r="O447" s="9"/>
      <c r="P447" s="9"/>
      <c r="R447" s="1785" t="str">
        <f>CHOOSE(2, "6722000003358", "S/GP Office (3) IP Allocation rate to IP (%)")</f>
        <v>S/GP Office (3) IP Allocation rate to IP (%)</v>
      </c>
      <c r="S447" s="1369">
        <f>IFERROR(S446/S435,0)</f>
        <v>-2.261328115506223E-3</v>
      </c>
      <c r="T447" s="1365">
        <f t="shared" ref="T447:AD447" si="956">IFERROR(T446/T435,0)</f>
        <v>0</v>
      </c>
      <c r="U447" s="1365">
        <f t="shared" si="956"/>
        <v>0</v>
      </c>
      <c r="V447" s="1365">
        <f t="shared" si="956"/>
        <v>0</v>
      </c>
      <c r="W447" s="1365">
        <f t="shared" si="956"/>
        <v>0</v>
      </c>
      <c r="X447" s="1365">
        <f t="shared" si="956"/>
        <v>0</v>
      </c>
      <c r="Y447" s="1365">
        <f t="shared" si="956"/>
        <v>0</v>
      </c>
      <c r="Z447" s="1365">
        <f t="shared" si="956"/>
        <v>0</v>
      </c>
      <c r="AA447" s="1365">
        <f t="shared" si="956"/>
        <v>-2.8539153691085575E-6</v>
      </c>
      <c r="AB447" s="1365">
        <f t="shared" si="956"/>
        <v>0</v>
      </c>
      <c r="AC447" s="1365">
        <f t="shared" si="956"/>
        <v>0</v>
      </c>
      <c r="AD447" s="1365">
        <f t="shared" si="956"/>
        <v>0</v>
      </c>
      <c r="AE447" s="1365">
        <f t="shared" ref="AE447:AK447" si="957">IFERROR(AE446/AE$435,0)</f>
        <v>-8.4598879610967449E-4</v>
      </c>
      <c r="AF447" s="1365">
        <f>IFERROR(AF446/AF$435,0)</f>
        <v>0</v>
      </c>
      <c r="AG447" s="1365">
        <f t="shared" si="957"/>
        <v>-8.9325630146357771E-7</v>
      </c>
      <c r="AH447" s="1365">
        <f t="shared" si="957"/>
        <v>0</v>
      </c>
      <c r="AI447" s="1365">
        <f t="shared" si="957"/>
        <v>-4.3294498640199176E-4</v>
      </c>
      <c r="AJ447" s="1365">
        <f>IFERROR(AJ446/AJ$435,0)</f>
        <v>-3.7656818474793742E-7</v>
      </c>
      <c r="AK447" s="1365">
        <f t="shared" si="957"/>
        <v>-2.2669135569907892E-4</v>
      </c>
      <c r="AM447" s="1369">
        <f t="shared" ref="AM447:AN447" ca="1" si="958">IFERROR(AM446/AM$424,0)</f>
        <v>-0.85881785845237901</v>
      </c>
      <c r="AN447" s="1365">
        <f t="shared" ca="1" si="958"/>
        <v>0.86546044444886228</v>
      </c>
      <c r="AO447" s="2853">
        <f t="shared" ca="1" si="906"/>
        <v>-1.7242783029012414</v>
      </c>
      <c r="AP447" s="2854"/>
      <c r="AQ447" s="1365">
        <f t="shared" ref="AQ447" ca="1" si="959">IFERROR(AQ446/AQ$424,0)</f>
        <v>0</v>
      </c>
      <c r="AR447" s="2853">
        <f t="shared" ca="1" si="908"/>
        <v>-0.85881785845237901</v>
      </c>
      <c r="AS447" s="2854"/>
      <c r="AU447" s="1369">
        <f t="shared" ref="AU447:AV447" ca="1" si="960">IFERROR(AU446/AU$424,0)</f>
        <v>-0.85881785845237901</v>
      </c>
      <c r="AV447" s="1365">
        <f t="shared" ca="1" si="960"/>
        <v>0.86546044444886228</v>
      </c>
      <c r="AW447" s="2853">
        <f t="shared" ca="1" si="909"/>
        <v>-1.7242783029012414</v>
      </c>
      <c r="AX447" s="2854"/>
      <c r="AY447" s="1365">
        <f t="shared" ref="AY447" ca="1" si="961">IFERROR(AY446/AY$424,0)</f>
        <v>0</v>
      </c>
      <c r="AZ447" s="2853">
        <f t="shared" ca="1" si="911"/>
        <v>-0.85881785845237901</v>
      </c>
      <c r="BA447" s="2854"/>
      <c r="BC447" s="1369">
        <f t="shared" ref="BC447:BD447" ca="1" si="962">IFERROR(BC446/BC$424,0)</f>
        <v>-0.85881785845237901</v>
      </c>
      <c r="BD447" s="1365">
        <f t="shared" ca="1" si="962"/>
        <v>0.86546044444886228</v>
      </c>
      <c r="BE447" s="2853">
        <f t="shared" ca="1" si="913"/>
        <v>-1.7242783029012414</v>
      </c>
      <c r="BF447" s="2854"/>
      <c r="BG447" s="1365">
        <f t="shared" ref="BG447" ca="1" si="963">IFERROR(BG446/BG$424,0)</f>
        <v>0</v>
      </c>
      <c r="BH447" s="2853">
        <f t="shared" ca="1" si="915"/>
        <v>-0.85881785845237901</v>
      </c>
      <c r="BI447" s="2854"/>
    </row>
    <row r="448" spans="1:61" ht="14.5">
      <c r="A448" s="1693">
        <f t="shared" si="841"/>
        <v>440</v>
      </c>
      <c r="B448" s="616">
        <v>1</v>
      </c>
      <c r="C448" s="1693">
        <f t="shared" si="840"/>
        <v>448</v>
      </c>
      <c r="D448" s="616">
        <v>1</v>
      </c>
      <c r="E448" s="709" t="s">
        <v>512</v>
      </c>
      <c r="F448" s="69"/>
      <c r="G448" s="8"/>
      <c r="H448" s="737"/>
      <c r="J448" s="8"/>
      <c r="L448" s="719" t="s">
        <v>286</v>
      </c>
      <c r="M448" s="590"/>
      <c r="N448" s="590"/>
      <c r="O448" s="590"/>
      <c r="P448" s="590"/>
      <c r="Q448" s="590"/>
      <c r="R448" s="1808" t="str">
        <f>CHOOSE(2, "6722000003359", "S/GP Office (4) MS")</f>
        <v>S/GP Office (4) MS</v>
      </c>
      <c r="S448" s="1261">
        <f>SUM(S449:S450)</f>
        <v>0</v>
      </c>
      <c r="T448" s="1261">
        <f t="shared" ref="T448:AD448" si="964">SUM(T449:T450)</f>
        <v>0</v>
      </c>
      <c r="U448" s="1261">
        <f t="shared" si="964"/>
        <v>0</v>
      </c>
      <c r="V448" s="1261">
        <f t="shared" si="964"/>
        <v>0</v>
      </c>
      <c r="W448" s="1261">
        <f t="shared" si="964"/>
        <v>0</v>
      </c>
      <c r="X448" s="1261">
        <f t="shared" si="964"/>
        <v>0</v>
      </c>
      <c r="Y448" s="1360">
        <f t="shared" si="964"/>
        <v>0</v>
      </c>
      <c r="Z448" s="1360">
        <f t="shared" si="964"/>
        <v>0</v>
      </c>
      <c r="AA448" s="1360">
        <f t="shared" si="964"/>
        <v>0</v>
      </c>
      <c r="AB448" s="1361">
        <f t="shared" si="964"/>
        <v>0</v>
      </c>
      <c r="AC448" s="1361">
        <f t="shared" si="964"/>
        <v>0</v>
      </c>
      <c r="AD448" s="1361">
        <f t="shared" si="964"/>
        <v>0</v>
      </c>
      <c r="AE448" s="892">
        <f t="shared" ref="AE448:AK448" si="965">SUM(AE449:AE450)</f>
        <v>0</v>
      </c>
      <c r="AF448" s="716">
        <f t="shared" si="965"/>
        <v>0</v>
      </c>
      <c r="AG448" s="716">
        <f t="shared" si="965"/>
        <v>0</v>
      </c>
      <c r="AH448" s="716">
        <f t="shared" si="965"/>
        <v>0</v>
      </c>
      <c r="AI448" s="716">
        <f t="shared" si="965"/>
        <v>0</v>
      </c>
      <c r="AJ448" s="716">
        <f t="shared" si="965"/>
        <v>0</v>
      </c>
      <c r="AK448" s="716">
        <f t="shared" si="965"/>
        <v>0</v>
      </c>
      <c r="AM448" s="2865">
        <f ca="1">SUM((INDIRECT(AM$2&amp;(ROW())):INDIRECT(AM$3&amp;(ROW()))))</f>
        <v>0</v>
      </c>
      <c r="AN448" s="2865">
        <f ca="1">SUM(INDIRECT(AN$1&amp;AN$2&amp;$C448):INDIRECT(AN$1&amp;AN$3&amp;$C448))</f>
        <v>0</v>
      </c>
      <c r="AO448" s="2866">
        <f t="shared" ca="1" si="906"/>
        <v>0</v>
      </c>
      <c r="AP448" s="2867">
        <f t="shared" ca="1" si="907"/>
        <v>0</v>
      </c>
      <c r="AQ448" s="2865">
        <f ca="1">SUM(INDIRECT(AQ$1&amp;AQ$2&amp;$A448):INDIRECT(AQ$1&amp;AQ$3&amp;$A448))+SUM(INDIRECT(AQ$1&amp;AQ$2&amp;$B448):INDIRECT(AQ$1&amp;AQ$3&amp;$B448))</f>
        <v>0</v>
      </c>
      <c r="AR448" s="2866">
        <f t="shared" ca="1" si="908"/>
        <v>0</v>
      </c>
      <c r="AS448" s="2867">
        <f t="shared" ca="1" si="917"/>
        <v>0</v>
      </c>
      <c r="AU448" s="2865">
        <f ca="1">SUM((INDIRECT(AU$2&amp;(ROW())):INDIRECT(AU$3&amp;(ROW()))))</f>
        <v>0</v>
      </c>
      <c r="AV448" s="2865">
        <f ca="1">SUM(INDIRECT(AV$1&amp;AV$2&amp;$C448):INDIRECT(AV$1&amp;AV$3&amp;$C448))</f>
        <v>0</v>
      </c>
      <c r="AW448" s="2866">
        <f t="shared" ca="1" si="909"/>
        <v>0</v>
      </c>
      <c r="AX448" s="2867">
        <f t="shared" ref="AX448:AX450" ca="1" si="966">IFERROR(AU448/AV448,0)</f>
        <v>0</v>
      </c>
      <c r="AY448" s="2865">
        <f ca="1">SUM(INDIRECT(AY$1&amp;AY$2&amp;$A448):INDIRECT(AY$1&amp;AY$3&amp;$A448))+SUM(INDIRECT(AY$1&amp;AY$2&amp;$B448):INDIRECT(AY$1&amp;AY$3&amp;$B448))</f>
        <v>0</v>
      </c>
      <c r="AZ448" s="2866">
        <f t="shared" ca="1" si="911"/>
        <v>0</v>
      </c>
      <c r="BA448" s="2867">
        <f t="shared" ref="BA448:BA450" ca="1" si="967">IFERROR(AU448/AY448,0)</f>
        <v>0</v>
      </c>
      <c r="BC448" s="2865">
        <f ca="1">SUM((INDIRECT(BC$2&amp;(ROW())):INDIRECT(BC$3&amp;(ROW()))))</f>
        <v>0</v>
      </c>
      <c r="BD448" s="2865">
        <f ca="1">SUM(INDIRECT(BD$1&amp;BD$2&amp;$C448):INDIRECT(BD$1&amp;BD$3&amp;$C448))</f>
        <v>0</v>
      </c>
      <c r="BE448" s="2866">
        <f t="shared" ca="1" si="913"/>
        <v>0</v>
      </c>
      <c r="BF448" s="2867">
        <f t="shared" ref="BF448:BF450" ca="1" si="968">IFERROR(BC448/BD448,0)</f>
        <v>0</v>
      </c>
      <c r="BG448" s="2865">
        <f ca="1">SUM(INDIRECT(BG$1&amp;BG$2&amp;$A448):INDIRECT(BG$1&amp;BG$3&amp;$A448))+SUM(INDIRECT(BG$1&amp;BG$2&amp;$B448):INDIRECT(BG$1&amp;BG$3&amp;$B448))</f>
        <v>0</v>
      </c>
      <c r="BH448" s="2866">
        <f t="shared" ca="1" si="915"/>
        <v>0</v>
      </c>
      <c r="BI448" s="2867">
        <f t="shared" ref="BI448:BI450" ca="1" si="969">IFERROR(BC448/BG448,0)</f>
        <v>0</v>
      </c>
    </row>
    <row r="449" spans="1:61" ht="14.5">
      <c r="A449" s="1693">
        <f t="shared" si="841"/>
        <v>441</v>
      </c>
      <c r="B449" s="616">
        <v>1</v>
      </c>
      <c r="C449" s="1693">
        <f t="shared" si="840"/>
        <v>449</v>
      </c>
      <c r="D449" s="616">
        <v>1</v>
      </c>
      <c r="E449" s="709" t="s">
        <v>512</v>
      </c>
      <c r="F449" s="69"/>
      <c r="G449" s="8"/>
      <c r="H449" s="737"/>
      <c r="J449" s="8"/>
      <c r="L449" s="223"/>
      <c r="M449" s="36" t="s">
        <v>518</v>
      </c>
      <c r="R449" s="1784" t="str">
        <f>CHOOSE(2, "6722000003360", "S/GP Office (4) MS Directly assigned")</f>
        <v>S/GP Office (4) MS Directly assigned</v>
      </c>
      <c r="S449" s="1289">
        <f t="shared" ref="S449:AD449" si="970">S342</f>
        <v>0</v>
      </c>
      <c r="T449" s="1232">
        <f t="shared" si="970"/>
        <v>0</v>
      </c>
      <c r="U449" s="1232">
        <f t="shared" si="970"/>
        <v>0</v>
      </c>
      <c r="V449" s="1232">
        <f t="shared" si="970"/>
        <v>0</v>
      </c>
      <c r="W449" s="1232">
        <f t="shared" si="970"/>
        <v>0</v>
      </c>
      <c r="X449" s="1232">
        <f t="shared" si="970"/>
        <v>0</v>
      </c>
      <c r="Y449" s="1232">
        <f t="shared" si="970"/>
        <v>0</v>
      </c>
      <c r="Z449" s="1232">
        <f t="shared" si="970"/>
        <v>0</v>
      </c>
      <c r="AA449" s="1232">
        <f t="shared" si="970"/>
        <v>0</v>
      </c>
      <c r="AB449" s="1232">
        <f t="shared" si="970"/>
        <v>0</v>
      </c>
      <c r="AC449" s="1232">
        <f t="shared" si="970"/>
        <v>0</v>
      </c>
      <c r="AD449" s="1232">
        <f t="shared" si="970"/>
        <v>0</v>
      </c>
      <c r="AE449" s="125">
        <f>SUM(S449,T449,U449)</f>
        <v>0</v>
      </c>
      <c r="AF449" s="126">
        <f>SUM(V449,W449,X449)</f>
        <v>0</v>
      </c>
      <c r="AG449" s="126">
        <f>SUM(Y449,Z449,AA449)</f>
        <v>0</v>
      </c>
      <c r="AH449" s="126">
        <f>SUM(AB449,AC449,AD449)</f>
        <v>0</v>
      </c>
      <c r="AI449" s="126">
        <f>AE449+AF449</f>
        <v>0</v>
      </c>
      <c r="AJ449" s="126">
        <f>AH449+AG449</f>
        <v>0</v>
      </c>
      <c r="AK449" s="126">
        <f>AI449+AJ449</f>
        <v>0</v>
      </c>
      <c r="AM449" s="2470">
        <f ca="1">SUM((INDIRECT(AM$2&amp;(ROW())):INDIRECT(AM$3&amp;(ROW()))))</f>
        <v>0</v>
      </c>
      <c r="AN449" s="2470">
        <f ca="1">SUM(INDIRECT(AN$1&amp;AN$2&amp;$C449):INDIRECT(AN$1&amp;AN$3&amp;$C449))</f>
        <v>0</v>
      </c>
      <c r="AO449" s="2857">
        <f t="shared" ca="1" si="906"/>
        <v>0</v>
      </c>
      <c r="AP449" s="2858">
        <f t="shared" ca="1" si="907"/>
        <v>0</v>
      </c>
      <c r="AQ449" s="2470">
        <f ca="1">SUM(INDIRECT(AQ$1&amp;AQ$2&amp;$A449):INDIRECT(AQ$1&amp;AQ$3&amp;$A449))+SUM(INDIRECT(AQ$1&amp;AQ$2&amp;$B449):INDIRECT(AQ$1&amp;AQ$3&amp;$B449))</f>
        <v>0</v>
      </c>
      <c r="AR449" s="2857">
        <f t="shared" ca="1" si="908"/>
        <v>0</v>
      </c>
      <c r="AS449" s="2858">
        <f t="shared" ca="1" si="917"/>
        <v>0</v>
      </c>
      <c r="AU449" s="2470">
        <f ca="1">SUM((INDIRECT(AU$2&amp;(ROW())):INDIRECT(AU$3&amp;(ROW()))))</f>
        <v>0</v>
      </c>
      <c r="AV449" s="2470">
        <f ca="1">SUM(INDIRECT(AV$1&amp;AV$2&amp;$C449):INDIRECT(AV$1&amp;AV$3&amp;$C449))</f>
        <v>0</v>
      </c>
      <c r="AW449" s="2857">
        <f t="shared" ca="1" si="909"/>
        <v>0</v>
      </c>
      <c r="AX449" s="2858">
        <f t="shared" ca="1" si="966"/>
        <v>0</v>
      </c>
      <c r="AY449" s="2470">
        <f ca="1">SUM(INDIRECT(AY$1&amp;AY$2&amp;$A449):INDIRECT(AY$1&amp;AY$3&amp;$A449))+SUM(INDIRECT(AY$1&amp;AY$2&amp;$B449):INDIRECT(AY$1&amp;AY$3&amp;$B449))</f>
        <v>0</v>
      </c>
      <c r="AZ449" s="2857">
        <f t="shared" ca="1" si="911"/>
        <v>0</v>
      </c>
      <c r="BA449" s="2858">
        <f t="shared" ca="1" si="967"/>
        <v>0</v>
      </c>
      <c r="BC449" s="2470">
        <f ca="1">SUM((INDIRECT(BC$2&amp;(ROW())):INDIRECT(BC$3&amp;(ROW()))))</f>
        <v>0</v>
      </c>
      <c r="BD449" s="2470">
        <f ca="1">SUM(INDIRECT(BD$1&amp;BD$2&amp;$C449):INDIRECT(BD$1&amp;BD$3&amp;$C449))</f>
        <v>0</v>
      </c>
      <c r="BE449" s="2857">
        <f t="shared" ca="1" si="913"/>
        <v>0</v>
      </c>
      <c r="BF449" s="2858">
        <f t="shared" ca="1" si="968"/>
        <v>0</v>
      </c>
      <c r="BG449" s="2470">
        <f ca="1">SUM(INDIRECT(BG$1&amp;BG$2&amp;$A449):INDIRECT(BG$1&amp;BG$3&amp;$A449))+SUM(INDIRECT(BG$1&amp;BG$2&amp;$B449):INDIRECT(BG$1&amp;BG$3&amp;$B449))</f>
        <v>0</v>
      </c>
      <c r="BH449" s="2857">
        <f t="shared" ca="1" si="915"/>
        <v>0</v>
      </c>
      <c r="BI449" s="2858">
        <f t="shared" ca="1" si="969"/>
        <v>0</v>
      </c>
    </row>
    <row r="450" spans="1:61" ht="14.5">
      <c r="A450" s="1693">
        <f t="shared" si="841"/>
        <v>442</v>
      </c>
      <c r="B450" s="616">
        <v>1</v>
      </c>
      <c r="C450" s="1693">
        <f t="shared" si="840"/>
        <v>450</v>
      </c>
      <c r="D450" s="616">
        <v>1</v>
      </c>
      <c r="E450" s="709" t="s">
        <v>512</v>
      </c>
      <c r="F450" s="69"/>
      <c r="G450" s="8"/>
      <c r="H450" s="737"/>
      <c r="J450" s="8"/>
      <c r="L450" s="223"/>
      <c r="M450" s="36" t="s">
        <v>519</v>
      </c>
      <c r="R450" s="1784" t="str">
        <f>CHOOSE(2, "6722000003361", "S/GP Office (4) MS Allocation cost")</f>
        <v>S/GP Office (4) MS Allocation cost</v>
      </c>
      <c r="S450" s="1289">
        <f t="shared" ref="S450:AD450" si="971">S346</f>
        <v>0</v>
      </c>
      <c r="T450" s="1232">
        <f t="shared" si="971"/>
        <v>0</v>
      </c>
      <c r="U450" s="1232">
        <f t="shared" si="971"/>
        <v>0</v>
      </c>
      <c r="V450" s="1232">
        <f t="shared" si="971"/>
        <v>0</v>
      </c>
      <c r="W450" s="1232">
        <f t="shared" si="971"/>
        <v>0</v>
      </c>
      <c r="X450" s="1232">
        <f t="shared" si="971"/>
        <v>0</v>
      </c>
      <c r="Y450" s="1232">
        <f t="shared" si="971"/>
        <v>0</v>
      </c>
      <c r="Z450" s="1232">
        <f t="shared" si="971"/>
        <v>0</v>
      </c>
      <c r="AA450" s="1232">
        <f t="shared" si="971"/>
        <v>0</v>
      </c>
      <c r="AB450" s="1232">
        <f t="shared" si="971"/>
        <v>0</v>
      </c>
      <c r="AC450" s="1232">
        <f t="shared" si="971"/>
        <v>0</v>
      </c>
      <c r="AD450" s="1232">
        <f t="shared" si="971"/>
        <v>0</v>
      </c>
      <c r="AE450" s="125">
        <f>SUM(S450,T450,U450)</f>
        <v>0</v>
      </c>
      <c r="AF450" s="126">
        <f>SUM(V450,W450,X450)</f>
        <v>0</v>
      </c>
      <c r="AG450" s="126">
        <f>SUM(Y450,Z450,AA450)</f>
        <v>0</v>
      </c>
      <c r="AH450" s="126">
        <f>SUM(AB450,AC450,AD450)</f>
        <v>0</v>
      </c>
      <c r="AI450" s="126">
        <f>AE450+AF450</f>
        <v>0</v>
      </c>
      <c r="AJ450" s="126">
        <f>AH450+AG450</f>
        <v>0</v>
      </c>
      <c r="AK450" s="126">
        <f>AI450+AJ450</f>
        <v>0</v>
      </c>
      <c r="AM450" s="2470">
        <f ca="1">SUM((INDIRECT(AM$2&amp;(ROW())):INDIRECT(AM$3&amp;(ROW()))))</f>
        <v>0</v>
      </c>
      <c r="AN450" s="2470">
        <f ca="1">SUM(INDIRECT(AN$1&amp;AN$2&amp;$C450):INDIRECT(AN$1&amp;AN$3&amp;$C450))</f>
        <v>0</v>
      </c>
      <c r="AO450" s="2857">
        <f t="shared" ca="1" si="906"/>
        <v>0</v>
      </c>
      <c r="AP450" s="2858">
        <f t="shared" ca="1" si="907"/>
        <v>0</v>
      </c>
      <c r="AQ450" s="2470">
        <f ca="1">SUM(INDIRECT(AQ$1&amp;AQ$2&amp;$A450):INDIRECT(AQ$1&amp;AQ$3&amp;$A450))+SUM(INDIRECT(AQ$1&amp;AQ$2&amp;$B450):INDIRECT(AQ$1&amp;AQ$3&amp;$B450))</f>
        <v>0</v>
      </c>
      <c r="AR450" s="2857">
        <f t="shared" ca="1" si="908"/>
        <v>0</v>
      </c>
      <c r="AS450" s="2858">
        <f t="shared" ca="1" si="917"/>
        <v>0</v>
      </c>
      <c r="AU450" s="2470">
        <f ca="1">SUM((INDIRECT(AU$2&amp;(ROW())):INDIRECT(AU$3&amp;(ROW()))))</f>
        <v>0</v>
      </c>
      <c r="AV450" s="2470">
        <f ca="1">SUM(INDIRECT(AV$1&amp;AV$2&amp;$C450):INDIRECT(AV$1&amp;AV$3&amp;$C450))</f>
        <v>0</v>
      </c>
      <c r="AW450" s="2857">
        <f t="shared" ca="1" si="909"/>
        <v>0</v>
      </c>
      <c r="AX450" s="2858">
        <f t="shared" ca="1" si="966"/>
        <v>0</v>
      </c>
      <c r="AY450" s="2470">
        <f ca="1">SUM(INDIRECT(AY$1&amp;AY$2&amp;$A450):INDIRECT(AY$1&amp;AY$3&amp;$A450))+SUM(INDIRECT(AY$1&amp;AY$2&amp;$B450):INDIRECT(AY$1&amp;AY$3&amp;$B450))</f>
        <v>0</v>
      </c>
      <c r="AZ450" s="2857">
        <f t="shared" ca="1" si="911"/>
        <v>0</v>
      </c>
      <c r="BA450" s="2858">
        <f t="shared" ca="1" si="967"/>
        <v>0</v>
      </c>
      <c r="BC450" s="2470">
        <f ca="1">SUM((INDIRECT(BC$2&amp;(ROW())):INDIRECT(BC$3&amp;(ROW()))))</f>
        <v>0</v>
      </c>
      <c r="BD450" s="2470">
        <f ca="1">SUM(INDIRECT(BD$1&amp;BD$2&amp;$C450):INDIRECT(BD$1&amp;BD$3&amp;$C450))</f>
        <v>0</v>
      </c>
      <c r="BE450" s="2857">
        <f t="shared" ca="1" si="913"/>
        <v>0</v>
      </c>
      <c r="BF450" s="2858">
        <f t="shared" ca="1" si="968"/>
        <v>0</v>
      </c>
      <c r="BG450" s="2470">
        <f ca="1">SUM(INDIRECT(BG$1&amp;BG$2&amp;$A450):INDIRECT(BG$1&amp;BG$3&amp;$A450))+SUM(INDIRECT(BG$1&amp;BG$2&amp;$B450):INDIRECT(BG$1&amp;BG$3&amp;$B450))</f>
        <v>0</v>
      </c>
      <c r="BH450" s="2857">
        <f t="shared" ca="1" si="915"/>
        <v>0</v>
      </c>
      <c r="BI450" s="2858">
        <f t="shared" ca="1" si="969"/>
        <v>0</v>
      </c>
    </row>
    <row r="451" spans="1:61" ht="14.5">
      <c r="A451" s="1693">
        <f t="shared" si="841"/>
        <v>443</v>
      </c>
      <c r="B451" s="616">
        <v>1</v>
      </c>
      <c r="C451" s="1693">
        <f t="shared" si="840"/>
        <v>451</v>
      </c>
      <c r="D451" s="616">
        <v>1</v>
      </c>
      <c r="E451" s="709" t="s">
        <v>512</v>
      </c>
      <c r="F451" s="69"/>
      <c r="G451" s="8"/>
      <c r="H451" s="737"/>
      <c r="J451" s="8"/>
      <c r="L451" s="172"/>
      <c r="M451" s="743" t="s">
        <v>558</v>
      </c>
      <c r="N451" s="9"/>
      <c r="O451" s="9"/>
      <c r="P451" s="9"/>
      <c r="R451" s="1785" t="str">
        <f>CHOOSE(2, "6722000003362", "S/GP Office (4) MS Allocation rate to MS (%)")</f>
        <v>S/GP Office (4) MS Allocation rate to MS (%)</v>
      </c>
      <c r="S451" s="1369">
        <f>IFERROR(S450/S435,0)</f>
        <v>0</v>
      </c>
      <c r="T451" s="1365">
        <f t="shared" ref="T451:AC451" si="972">IFERROR(T450/T435,0)</f>
        <v>0</v>
      </c>
      <c r="U451" s="1365">
        <f t="shared" si="972"/>
        <v>0</v>
      </c>
      <c r="V451" s="1365">
        <f t="shared" si="972"/>
        <v>0</v>
      </c>
      <c r="W451" s="1365">
        <f t="shared" si="972"/>
        <v>0</v>
      </c>
      <c r="X451" s="1365">
        <f t="shared" si="972"/>
        <v>0</v>
      </c>
      <c r="Y451" s="1365">
        <f t="shared" si="972"/>
        <v>0</v>
      </c>
      <c r="Z451" s="1365">
        <f t="shared" si="972"/>
        <v>0</v>
      </c>
      <c r="AA451" s="1365">
        <f t="shared" si="972"/>
        <v>0</v>
      </c>
      <c r="AB451" s="1365">
        <f t="shared" si="972"/>
        <v>0</v>
      </c>
      <c r="AC451" s="1365">
        <f t="shared" si="972"/>
        <v>0</v>
      </c>
      <c r="AD451" s="1365">
        <f>IFERROR(AD450/AD435,0)</f>
        <v>0</v>
      </c>
      <c r="AE451" s="1365">
        <f t="shared" ref="AE451:AK451" si="973">IFERROR(AE450/AE$435,0)</f>
        <v>0</v>
      </c>
      <c r="AF451" s="1365">
        <f t="shared" si="973"/>
        <v>0</v>
      </c>
      <c r="AG451" s="1365">
        <f t="shared" si="973"/>
        <v>0</v>
      </c>
      <c r="AH451" s="1365">
        <f t="shared" si="973"/>
        <v>0</v>
      </c>
      <c r="AI451" s="1365">
        <f t="shared" si="973"/>
        <v>0</v>
      </c>
      <c r="AJ451" s="1365">
        <f t="shared" si="973"/>
        <v>0</v>
      </c>
      <c r="AK451" s="1365">
        <f t="shared" si="973"/>
        <v>0</v>
      </c>
      <c r="AM451" s="1369">
        <f t="shared" ref="AM451:AN451" ca="1" si="974">IFERROR(AM450/AM$424,0)</f>
        <v>0</v>
      </c>
      <c r="AN451" s="1365">
        <f t="shared" ca="1" si="974"/>
        <v>0</v>
      </c>
      <c r="AO451" s="2853">
        <f t="shared" ca="1" si="906"/>
        <v>0</v>
      </c>
      <c r="AP451" s="2854"/>
      <c r="AQ451" s="1365">
        <f t="shared" ref="AQ451" ca="1" si="975">IFERROR(AQ450/AQ$424,0)</f>
        <v>0</v>
      </c>
      <c r="AR451" s="2853">
        <f t="shared" ca="1" si="908"/>
        <v>0</v>
      </c>
      <c r="AS451" s="2854"/>
      <c r="AU451" s="1369">
        <f t="shared" ref="AU451:AV451" ca="1" si="976">IFERROR(AU450/AU$424,0)</f>
        <v>0</v>
      </c>
      <c r="AV451" s="1365">
        <f t="shared" ca="1" si="976"/>
        <v>0</v>
      </c>
      <c r="AW451" s="2853">
        <f t="shared" ca="1" si="909"/>
        <v>0</v>
      </c>
      <c r="AX451" s="2854"/>
      <c r="AY451" s="1365">
        <f t="shared" ref="AY451" ca="1" si="977">IFERROR(AY450/AY$424,0)</f>
        <v>0</v>
      </c>
      <c r="AZ451" s="2853">
        <f t="shared" ca="1" si="911"/>
        <v>0</v>
      </c>
      <c r="BA451" s="2854"/>
      <c r="BC451" s="1369">
        <f t="shared" ref="BC451:BD451" ca="1" si="978">IFERROR(BC450/BC$424,0)</f>
        <v>0</v>
      </c>
      <c r="BD451" s="1365">
        <f t="shared" ca="1" si="978"/>
        <v>0</v>
      </c>
      <c r="BE451" s="2853">
        <f t="shared" ca="1" si="913"/>
        <v>0</v>
      </c>
      <c r="BF451" s="2854"/>
      <c r="BG451" s="1365">
        <f t="shared" ref="BG451" ca="1" si="979">IFERROR(BG450/BG$424,0)</f>
        <v>0</v>
      </c>
      <c r="BH451" s="2853">
        <f t="shared" ca="1" si="915"/>
        <v>0</v>
      </c>
      <c r="BI451" s="2854"/>
    </row>
    <row r="452" spans="1:61" ht="14.5">
      <c r="A452" s="1693">
        <f t="shared" si="841"/>
        <v>444</v>
      </c>
      <c r="B452" s="616">
        <v>1</v>
      </c>
      <c r="C452" s="1693">
        <f t="shared" si="840"/>
        <v>452</v>
      </c>
      <c r="D452" s="616">
        <v>1</v>
      </c>
      <c r="E452" s="709" t="s">
        <v>512</v>
      </c>
      <c r="F452" s="69"/>
      <c r="G452" s="8"/>
      <c r="H452" s="737"/>
      <c r="J452" s="8"/>
      <c r="L452" s="785" t="s">
        <v>539</v>
      </c>
      <c r="M452" s="592"/>
      <c r="N452" s="593"/>
      <c r="O452" s="593"/>
      <c r="P452" s="593"/>
      <c r="Q452" s="594"/>
      <c r="R452" s="1809" t="str">
        <f>CHOOSE(2, "6722000003363", "S/GP Office (5) DW-DX")</f>
        <v>S/GP Office (5) DW-DX</v>
      </c>
      <c r="S452" s="1389">
        <f>SUM(S453:S454)</f>
        <v>574.69983016949448</v>
      </c>
      <c r="T452" s="1199">
        <f t="shared" ref="T452:AD452" si="980">SUM(T453:T454)</f>
        <v>613.76469630330962</v>
      </c>
      <c r="U452" s="1199">
        <f t="shared" si="980"/>
        <v>601.18222404925928</v>
      </c>
      <c r="V452" s="1199">
        <f t="shared" si="980"/>
        <v>577.80685267039894</v>
      </c>
      <c r="W452" s="1199">
        <f t="shared" si="980"/>
        <v>598.10286758796076</v>
      </c>
      <c r="X452" s="1199">
        <f t="shared" si="980"/>
        <v>323.29157525257432</v>
      </c>
      <c r="Y452" s="1199">
        <f t="shared" si="980"/>
        <v>346.63084904092517</v>
      </c>
      <c r="Z452" s="1199">
        <f t="shared" si="980"/>
        <v>528.75329521341462</v>
      </c>
      <c r="AA452" s="1199">
        <f t="shared" si="980"/>
        <v>622.1644940684655</v>
      </c>
      <c r="AB452" s="1199">
        <f t="shared" si="980"/>
        <v>438.79688195561255</v>
      </c>
      <c r="AC452" s="1199">
        <f t="shared" si="980"/>
        <v>452.06181923785152</v>
      </c>
      <c r="AD452" s="1199">
        <f t="shared" si="980"/>
        <v>394.47895792204071</v>
      </c>
      <c r="AE452" s="893">
        <f t="shared" ref="AE452:AK452" si="981">SUM(AE453:AE454)</f>
        <v>1789.6467505220635</v>
      </c>
      <c r="AF452" s="717">
        <f t="shared" si="981"/>
        <v>1499.2012955109342</v>
      </c>
      <c r="AG452" s="717">
        <f t="shared" si="981"/>
        <v>1497.5486383228053</v>
      </c>
      <c r="AH452" s="717">
        <f t="shared" si="981"/>
        <v>1285.3376591155047</v>
      </c>
      <c r="AI452" s="717">
        <f t="shared" si="981"/>
        <v>3288.8480460329974</v>
      </c>
      <c r="AJ452" s="717">
        <f t="shared" si="981"/>
        <v>2782.8862974383101</v>
      </c>
      <c r="AK452" s="717">
        <f t="shared" si="981"/>
        <v>6071.7343434713075</v>
      </c>
      <c r="AM452" s="2868">
        <f ca="1">SUM((INDIRECT(AM$2&amp;(ROW())):INDIRECT(AM$3&amp;(ROW()))))</f>
        <v>574.69983016949448</v>
      </c>
      <c r="AN452" s="2868">
        <f ca="1">SUM(INDIRECT(AN$1&amp;AN$2&amp;$C452):INDIRECT(AN$1&amp;AN$3&amp;$C452))</f>
        <v>1070.064714813082</v>
      </c>
      <c r="AO452" s="2869">
        <f t="shared" ca="1" si="906"/>
        <v>-495.36488464358752</v>
      </c>
      <c r="AP452" s="2870">
        <f t="shared" ca="1" si="907"/>
        <v>0.53707016240590888</v>
      </c>
      <c r="AQ452" s="2868">
        <f ca="1">SUM(INDIRECT(AQ$1&amp;AQ$2&amp;$A452):INDIRECT(AQ$1&amp;AQ$3&amp;$A452))+SUM(INDIRECT(AQ$1&amp;AQ$2&amp;$B452):INDIRECT(AQ$1&amp;AQ$3&amp;$B452))</f>
        <v>1694</v>
      </c>
      <c r="AR452" s="2869">
        <f t="shared" ca="1" si="908"/>
        <v>-1119.3001698305056</v>
      </c>
      <c r="AS452" s="2870">
        <f t="shared" ca="1" si="917"/>
        <v>0.33925609809297197</v>
      </c>
      <c r="AU452" s="2868">
        <f ca="1">SUM((INDIRECT(AU$2&amp;(ROW())):INDIRECT(AU$3&amp;(ROW()))))</f>
        <v>574.69983016949448</v>
      </c>
      <c r="AV452" s="2868">
        <f ca="1">SUM(INDIRECT(AV$1&amp;AV$2&amp;$C452):INDIRECT(AV$1&amp;AV$3&amp;$C452))</f>
        <v>1070.064714813082</v>
      </c>
      <c r="AW452" s="2869">
        <f t="shared" ca="1" si="909"/>
        <v>-495.36488464358752</v>
      </c>
      <c r="AX452" s="2870">
        <f t="shared" ref="AX452:AX454" ca="1" si="982">IFERROR(AU452/AV452,0)</f>
        <v>0.53707016240590888</v>
      </c>
      <c r="AY452" s="2868">
        <f ca="1">SUM(INDIRECT(AY$1&amp;AY$2&amp;$A452):INDIRECT(AY$1&amp;AY$3&amp;$A452))+SUM(INDIRECT(AY$1&amp;AY$2&amp;$B452):INDIRECT(AY$1&amp;AY$3&amp;$B452))</f>
        <v>1694</v>
      </c>
      <c r="AZ452" s="2869">
        <f t="shared" ca="1" si="911"/>
        <v>-1119.3001698305056</v>
      </c>
      <c r="BA452" s="2870">
        <f t="shared" ref="BA452:BA454" ca="1" si="983">IFERROR(AU452/AY452,0)</f>
        <v>0.33925609809297197</v>
      </c>
      <c r="BC452" s="2868">
        <f ca="1">SUM((INDIRECT(BC$2&amp;(ROW())):INDIRECT(BC$3&amp;(ROW()))))</f>
        <v>574.69983016949448</v>
      </c>
      <c r="BD452" s="2868">
        <f ca="1">SUM(INDIRECT(BD$1&amp;BD$2&amp;$C452):INDIRECT(BD$1&amp;BD$3&amp;$C452))</f>
        <v>1070.064714813082</v>
      </c>
      <c r="BE452" s="2869">
        <f t="shared" ca="1" si="913"/>
        <v>-495.36488464358752</v>
      </c>
      <c r="BF452" s="2870">
        <f t="shared" ref="BF452:BF454" ca="1" si="984">IFERROR(BC452/BD452,0)</f>
        <v>0.53707016240590888</v>
      </c>
      <c r="BG452" s="2868">
        <f ca="1">SUM(INDIRECT(BG$1&amp;BG$2&amp;$A452):INDIRECT(BG$1&amp;BG$3&amp;$A452))+SUM(INDIRECT(BG$1&amp;BG$2&amp;$B452):INDIRECT(BG$1&amp;BG$3&amp;$B452))</f>
        <v>1694</v>
      </c>
      <c r="BH452" s="2869">
        <f t="shared" ca="1" si="915"/>
        <v>-1119.3001698305056</v>
      </c>
      <c r="BI452" s="2870">
        <f t="shared" ref="BI452:BI454" ca="1" si="985">IFERROR(BC452/BG452,0)</f>
        <v>0.33925609809297197</v>
      </c>
    </row>
    <row r="453" spans="1:61" ht="14.5">
      <c r="A453" s="1693">
        <f t="shared" si="841"/>
        <v>445</v>
      </c>
      <c r="B453" s="616">
        <v>1</v>
      </c>
      <c r="C453" s="1693">
        <f t="shared" si="840"/>
        <v>453</v>
      </c>
      <c r="D453" s="616">
        <v>1</v>
      </c>
      <c r="E453" s="709" t="s">
        <v>512</v>
      </c>
      <c r="F453" s="69"/>
      <c r="G453" s="8"/>
      <c r="H453" s="737"/>
      <c r="J453" s="8"/>
      <c r="L453" s="223"/>
      <c r="M453" s="36" t="s">
        <v>518</v>
      </c>
      <c r="R453" s="1784" t="str">
        <f>CHOOSE(2, "6722000003364", "S/GP Office (5) DW-DX Directly assigned")</f>
        <v>S/GP Office (5) DW-DX Directly assigned</v>
      </c>
      <c r="S453" s="1289">
        <f>S422</f>
        <v>574.69983016949448</v>
      </c>
      <c r="T453" s="1232">
        <f t="shared" ref="T453:AD453" si="986">T422</f>
        <v>613.76469630330962</v>
      </c>
      <c r="U453" s="1232">
        <f t="shared" si="986"/>
        <v>601.18222404925928</v>
      </c>
      <c r="V453" s="1232">
        <f t="shared" si="986"/>
        <v>577.80685267039894</v>
      </c>
      <c r="W453" s="1232">
        <f t="shared" si="986"/>
        <v>598.10286758796076</v>
      </c>
      <c r="X453" s="1232">
        <f t="shared" si="986"/>
        <v>323.29157525257432</v>
      </c>
      <c r="Y453" s="1232">
        <f t="shared" si="986"/>
        <v>346.63084904092517</v>
      </c>
      <c r="Z453" s="1232">
        <f t="shared" si="986"/>
        <v>528.75329521341462</v>
      </c>
      <c r="AA453" s="1232">
        <f t="shared" si="986"/>
        <v>622.1644940684655</v>
      </c>
      <c r="AB453" s="1232">
        <f t="shared" si="986"/>
        <v>438.79688195561255</v>
      </c>
      <c r="AC453" s="1232">
        <f t="shared" si="986"/>
        <v>452.06181923785152</v>
      </c>
      <c r="AD453" s="1232">
        <f t="shared" si="986"/>
        <v>394.47895792204071</v>
      </c>
      <c r="AE453" s="125">
        <f>SUM(S453,T453,U453)</f>
        <v>1789.6467505220635</v>
      </c>
      <c r="AF453" s="126">
        <f>SUM(V453,W453,X453)</f>
        <v>1499.2012955109342</v>
      </c>
      <c r="AG453" s="126">
        <f>SUM(Y453,Z453,AA453)</f>
        <v>1497.5486383228053</v>
      </c>
      <c r="AH453" s="126">
        <f>SUM(AB453,AC453,AD453)</f>
        <v>1285.3376591155047</v>
      </c>
      <c r="AI453" s="126">
        <f>AE453+AF453</f>
        <v>3288.8480460329974</v>
      </c>
      <c r="AJ453" s="126">
        <f>AH453+AG453</f>
        <v>2782.8862974383101</v>
      </c>
      <c r="AK453" s="126">
        <f>AI453+AJ453</f>
        <v>6071.7343434713075</v>
      </c>
      <c r="AM453" s="2470">
        <f ca="1">SUM((INDIRECT(AM$2&amp;(ROW())):INDIRECT(AM$3&amp;(ROW()))))</f>
        <v>574.69983016949448</v>
      </c>
      <c r="AN453" s="2470">
        <f ca="1">SUM(INDIRECT(AN$1&amp;AN$2&amp;$C453):INDIRECT(AN$1&amp;AN$3&amp;$C453))</f>
        <v>920.98516946243922</v>
      </c>
      <c r="AO453" s="2857">
        <f t="shared" ca="1" si="906"/>
        <v>-346.28533929294474</v>
      </c>
      <c r="AP453" s="2858">
        <f t="shared" ca="1" si="907"/>
        <v>0.62400552063714054</v>
      </c>
      <c r="AQ453" s="2470">
        <f ca="1">SUM(INDIRECT(AQ$1&amp;AQ$2&amp;$A453):INDIRECT(AQ$1&amp;AQ$3&amp;$A453))+SUM(INDIRECT(AQ$1&amp;AQ$2&amp;$B453):INDIRECT(AQ$1&amp;AQ$3&amp;$B453))</f>
        <v>482.31953065830163</v>
      </c>
      <c r="AR453" s="2857">
        <f t="shared" ca="1" si="908"/>
        <v>92.380299511192845</v>
      </c>
      <c r="AS453" s="2858">
        <f t="shared" ca="1" si="917"/>
        <v>1.1915333998295821</v>
      </c>
      <c r="AU453" s="2470">
        <f ca="1">SUM((INDIRECT(AU$2&amp;(ROW())):INDIRECT(AU$3&amp;(ROW()))))</f>
        <v>574.69983016949448</v>
      </c>
      <c r="AV453" s="2470">
        <f ca="1">SUM(INDIRECT(AV$1&amp;AV$2&amp;$C453):INDIRECT(AV$1&amp;AV$3&amp;$C453))</f>
        <v>920.98516946243922</v>
      </c>
      <c r="AW453" s="2857">
        <f t="shared" ca="1" si="909"/>
        <v>-346.28533929294474</v>
      </c>
      <c r="AX453" s="2858">
        <f t="shared" ca="1" si="982"/>
        <v>0.62400552063714054</v>
      </c>
      <c r="AY453" s="2470">
        <f ca="1">SUM(INDIRECT(AY$1&amp;AY$2&amp;$A453):INDIRECT(AY$1&amp;AY$3&amp;$A453))+SUM(INDIRECT(AY$1&amp;AY$2&amp;$B453):INDIRECT(AY$1&amp;AY$3&amp;$B453))</f>
        <v>482.31953065830163</v>
      </c>
      <c r="AZ453" s="2857">
        <f t="shared" ca="1" si="911"/>
        <v>92.380299511192845</v>
      </c>
      <c r="BA453" s="2858">
        <f t="shared" ca="1" si="983"/>
        <v>1.1915333998295821</v>
      </c>
      <c r="BC453" s="2470">
        <f ca="1">SUM((INDIRECT(BC$2&amp;(ROW())):INDIRECT(BC$3&amp;(ROW()))))</f>
        <v>574.69983016949448</v>
      </c>
      <c r="BD453" s="2470">
        <f ca="1">SUM(INDIRECT(BD$1&amp;BD$2&amp;$C453):INDIRECT(BD$1&amp;BD$3&amp;$C453))</f>
        <v>920.98516946243922</v>
      </c>
      <c r="BE453" s="2857">
        <f t="shared" ca="1" si="913"/>
        <v>-346.28533929294474</v>
      </c>
      <c r="BF453" s="2858">
        <f t="shared" ca="1" si="984"/>
        <v>0.62400552063714054</v>
      </c>
      <c r="BG453" s="2470">
        <f ca="1">SUM(INDIRECT(BG$1&amp;BG$2&amp;$A453):INDIRECT(BG$1&amp;BG$3&amp;$A453))+SUM(INDIRECT(BG$1&amp;BG$2&amp;$B453):INDIRECT(BG$1&amp;BG$3&amp;$B453))</f>
        <v>482.31953065830163</v>
      </c>
      <c r="BH453" s="2857">
        <f t="shared" ca="1" si="915"/>
        <v>92.380299511192845</v>
      </c>
      <c r="BI453" s="2858">
        <f t="shared" ca="1" si="985"/>
        <v>1.1915333998295821</v>
      </c>
    </row>
    <row r="454" spans="1:61" ht="14.5">
      <c r="A454" s="1693">
        <f t="shared" si="841"/>
        <v>446</v>
      </c>
      <c r="B454" s="616">
        <v>1</v>
      </c>
      <c r="C454" s="1693">
        <f t="shared" si="840"/>
        <v>454</v>
      </c>
      <c r="D454" s="616">
        <v>1</v>
      </c>
      <c r="E454" s="709" t="s">
        <v>512</v>
      </c>
      <c r="F454" s="69"/>
      <c r="G454" s="8"/>
      <c r="H454" s="737"/>
      <c r="J454" s="8"/>
      <c r="L454" s="223"/>
      <c r="M454" s="36" t="s">
        <v>519</v>
      </c>
      <c r="R454" s="1784" t="str">
        <f>CHOOSE(2, "6722000003365", "S/GP Office (5) DW-DX Allocation cost")</f>
        <v>S/GP Office (5) DW-DX Allocation cost</v>
      </c>
      <c r="S454" s="1289">
        <f>S426</f>
        <v>0</v>
      </c>
      <c r="T454" s="1232">
        <f t="shared" ref="T454:AD454" si="987">T426</f>
        <v>0</v>
      </c>
      <c r="U454" s="1232">
        <f t="shared" si="987"/>
        <v>0</v>
      </c>
      <c r="V454" s="1232">
        <f t="shared" si="987"/>
        <v>0</v>
      </c>
      <c r="W454" s="1232">
        <f t="shared" si="987"/>
        <v>0</v>
      </c>
      <c r="X454" s="1232">
        <f t="shared" si="987"/>
        <v>0</v>
      </c>
      <c r="Y454" s="1232">
        <f t="shared" si="987"/>
        <v>0</v>
      </c>
      <c r="Z454" s="1232">
        <f t="shared" si="987"/>
        <v>0</v>
      </c>
      <c r="AA454" s="1232">
        <f t="shared" si="987"/>
        <v>0</v>
      </c>
      <c r="AB454" s="1232">
        <f t="shared" si="987"/>
        <v>0</v>
      </c>
      <c r="AC454" s="1232">
        <f t="shared" si="987"/>
        <v>0</v>
      </c>
      <c r="AD454" s="1232">
        <f t="shared" si="987"/>
        <v>0</v>
      </c>
      <c r="AE454" s="125">
        <f>SUM(S454,T454,U454)</f>
        <v>0</v>
      </c>
      <c r="AF454" s="126">
        <f>SUM(V454,W454,X454)</f>
        <v>0</v>
      </c>
      <c r="AG454" s="126">
        <f>SUM(Y454,Z454,AA454)</f>
        <v>0</v>
      </c>
      <c r="AH454" s="126">
        <f>SUM(AB454,AC454,AD454)</f>
        <v>0</v>
      </c>
      <c r="AI454" s="126">
        <f>AE454+AF454</f>
        <v>0</v>
      </c>
      <c r="AJ454" s="126">
        <f>AH454+AG454</f>
        <v>0</v>
      </c>
      <c r="AK454" s="126">
        <f>AI454+AJ454</f>
        <v>0</v>
      </c>
      <c r="AM454" s="2470">
        <f ca="1">SUM((INDIRECT(AM$2&amp;(ROW())):INDIRECT(AM$3&amp;(ROW()))))</f>
        <v>0</v>
      </c>
      <c r="AN454" s="2470">
        <f ca="1">SUM(INDIRECT(AN$1&amp;AN$2&amp;$C454):INDIRECT(AN$1&amp;AN$3&amp;$C454))</f>
        <v>149.07954535064283</v>
      </c>
      <c r="AO454" s="2857">
        <f t="shared" ca="1" si="906"/>
        <v>-149.07954535064283</v>
      </c>
      <c r="AP454" s="2858">
        <f t="shared" ca="1" si="907"/>
        <v>0</v>
      </c>
      <c r="AQ454" s="2470">
        <f ca="1">SUM(INDIRECT(AQ$1&amp;AQ$2&amp;$A454):INDIRECT(AQ$1&amp;AQ$3&amp;$A454))+SUM(INDIRECT(AQ$1&amp;AQ$2&amp;$B454):INDIRECT(AQ$1&amp;AQ$3&amp;$B454))</f>
        <v>1211.6804693416984</v>
      </c>
      <c r="AR454" s="2857">
        <f t="shared" ca="1" si="908"/>
        <v>-1211.6804693416984</v>
      </c>
      <c r="AS454" s="2858">
        <f t="shared" ca="1" si="917"/>
        <v>0</v>
      </c>
      <c r="AU454" s="2470">
        <f ca="1">SUM((INDIRECT(AU$2&amp;(ROW())):INDIRECT(AU$3&amp;(ROW()))))</f>
        <v>0</v>
      </c>
      <c r="AV454" s="2470">
        <f ca="1">SUM(INDIRECT(AV$1&amp;AV$2&amp;$C454):INDIRECT(AV$1&amp;AV$3&amp;$C454))</f>
        <v>149.07954535064283</v>
      </c>
      <c r="AW454" s="2857">
        <f t="shared" ca="1" si="909"/>
        <v>-149.07954535064283</v>
      </c>
      <c r="AX454" s="2858">
        <f t="shared" ca="1" si="982"/>
        <v>0</v>
      </c>
      <c r="AY454" s="2470">
        <f ca="1">SUM(INDIRECT(AY$1&amp;AY$2&amp;$A454):INDIRECT(AY$1&amp;AY$3&amp;$A454))+SUM(INDIRECT(AY$1&amp;AY$2&amp;$B454):INDIRECT(AY$1&amp;AY$3&amp;$B454))</f>
        <v>1211.6804693416984</v>
      </c>
      <c r="AZ454" s="2857">
        <f t="shared" ca="1" si="911"/>
        <v>-1211.6804693416984</v>
      </c>
      <c r="BA454" s="2858">
        <f t="shared" ca="1" si="983"/>
        <v>0</v>
      </c>
      <c r="BC454" s="2470">
        <f ca="1">SUM((INDIRECT(BC$2&amp;(ROW())):INDIRECT(BC$3&amp;(ROW()))))</f>
        <v>0</v>
      </c>
      <c r="BD454" s="2470">
        <f ca="1">SUM(INDIRECT(BD$1&amp;BD$2&amp;$C454):INDIRECT(BD$1&amp;BD$3&amp;$C454))</f>
        <v>149.07954535064283</v>
      </c>
      <c r="BE454" s="2857">
        <f t="shared" ca="1" si="913"/>
        <v>-149.07954535064283</v>
      </c>
      <c r="BF454" s="2858">
        <f t="shared" ca="1" si="984"/>
        <v>0</v>
      </c>
      <c r="BG454" s="2470">
        <f ca="1">SUM(INDIRECT(BG$1&amp;BG$2&amp;$A454):INDIRECT(BG$1&amp;BG$3&amp;$A454))+SUM(INDIRECT(BG$1&amp;BG$2&amp;$B454):INDIRECT(BG$1&amp;BG$3&amp;$B454))</f>
        <v>1211.6804693416984</v>
      </c>
      <c r="BH454" s="2857">
        <f t="shared" ca="1" si="915"/>
        <v>-1211.6804693416984</v>
      </c>
      <c r="BI454" s="2858">
        <f t="shared" ca="1" si="985"/>
        <v>0</v>
      </c>
    </row>
    <row r="455" spans="1:61" ht="14.5">
      <c r="A455" s="1693">
        <f t="shared" si="841"/>
        <v>447</v>
      </c>
      <c r="B455" s="616">
        <v>1</v>
      </c>
      <c r="C455" s="1693">
        <f t="shared" si="840"/>
        <v>455</v>
      </c>
      <c r="D455" s="616">
        <v>1</v>
      </c>
      <c r="E455" s="709" t="s">
        <v>512</v>
      </c>
      <c r="F455" s="69"/>
      <c r="G455" s="8"/>
      <c r="H455" s="737"/>
      <c r="J455" s="8"/>
      <c r="L455" s="171"/>
      <c r="M455" s="743" t="s">
        <v>559</v>
      </c>
      <c r="N455" s="16"/>
      <c r="O455" s="16"/>
      <c r="P455" s="16"/>
      <c r="Q455" s="11"/>
      <c r="R455" s="1785" t="str">
        <f>CHOOSE(2, "6722000003366", "S/GP Office (5) DW-DX Allocation rate to DW-DX (%)")</f>
        <v>S/GP Office (5) DW-DX Allocation rate to DW-DX (%)</v>
      </c>
      <c r="S455" s="1369">
        <f>IFERROR(S454/S435,0)</f>
        <v>0</v>
      </c>
      <c r="T455" s="1365">
        <f t="shared" ref="T455:AC455" si="988">IFERROR(T454/T435,0)</f>
        <v>0</v>
      </c>
      <c r="U455" s="1365">
        <f t="shared" si="988"/>
        <v>0</v>
      </c>
      <c r="V455" s="1365">
        <f t="shared" si="988"/>
        <v>0</v>
      </c>
      <c r="W455" s="1365">
        <f t="shared" si="988"/>
        <v>0</v>
      </c>
      <c r="X455" s="1365">
        <f t="shared" si="988"/>
        <v>0</v>
      </c>
      <c r="Y455" s="1365">
        <f t="shared" si="988"/>
        <v>0</v>
      </c>
      <c r="Z455" s="1365">
        <f t="shared" si="988"/>
        <v>0</v>
      </c>
      <c r="AA455" s="1365">
        <f t="shared" si="988"/>
        <v>0</v>
      </c>
      <c r="AB455" s="1365">
        <f t="shared" si="988"/>
        <v>0</v>
      </c>
      <c r="AC455" s="1365">
        <f t="shared" si="988"/>
        <v>0</v>
      </c>
      <c r="AD455" s="1365">
        <f>IFERROR(AD454/AD435,0)</f>
        <v>0</v>
      </c>
      <c r="AE455" s="1365">
        <f t="shared" ref="AE455:AK455" si="989">IFERROR(AE454/AE$435,0)</f>
        <v>0</v>
      </c>
      <c r="AF455" s="1365">
        <f t="shared" si="989"/>
        <v>0</v>
      </c>
      <c r="AG455" s="1365">
        <f t="shared" si="989"/>
        <v>0</v>
      </c>
      <c r="AH455" s="1365">
        <f t="shared" si="989"/>
        <v>0</v>
      </c>
      <c r="AI455" s="1365">
        <f t="shared" si="989"/>
        <v>0</v>
      </c>
      <c r="AJ455" s="1365">
        <f t="shared" si="989"/>
        <v>0</v>
      </c>
      <c r="AK455" s="1365">
        <f t="shared" si="989"/>
        <v>0</v>
      </c>
      <c r="AM455" s="1369">
        <f t="shared" ref="AM455:AN455" ca="1" si="990">IFERROR(AM454/AM$424,0)</f>
        <v>0</v>
      </c>
      <c r="AN455" s="1365">
        <f t="shared" ca="1" si="990"/>
        <v>0.25044373264798314</v>
      </c>
      <c r="AO455" s="2853">
        <f t="shared" ca="1" si="906"/>
        <v>-0.25044373264798314</v>
      </c>
      <c r="AP455" s="2854"/>
      <c r="AQ455" s="1365">
        <f t="shared" ref="AQ455" ca="1" si="991">IFERROR(AQ454/AQ$424,0)</f>
        <v>2.9320173211527045</v>
      </c>
      <c r="AR455" s="2853">
        <f t="shared" ca="1" si="908"/>
        <v>-2.9320173211527045</v>
      </c>
      <c r="AS455" s="2854"/>
      <c r="AU455" s="1369">
        <f t="shared" ref="AU455:AV455" ca="1" si="992">IFERROR(AU454/AU$424,0)</f>
        <v>0</v>
      </c>
      <c r="AV455" s="1365">
        <f t="shared" ca="1" si="992"/>
        <v>0.25044373264798314</v>
      </c>
      <c r="AW455" s="2853">
        <f t="shared" ca="1" si="909"/>
        <v>-0.25044373264798314</v>
      </c>
      <c r="AX455" s="2854"/>
      <c r="AY455" s="1365">
        <f t="shared" ref="AY455" ca="1" si="993">IFERROR(AY454/AY$424,0)</f>
        <v>2.9320173211527045</v>
      </c>
      <c r="AZ455" s="2853">
        <f t="shared" ca="1" si="911"/>
        <v>-2.9320173211527045</v>
      </c>
      <c r="BA455" s="2854"/>
      <c r="BC455" s="1369">
        <f t="shared" ref="BC455:BD455" ca="1" si="994">IFERROR(BC454/BC$424,0)</f>
        <v>0</v>
      </c>
      <c r="BD455" s="1365">
        <f t="shared" ca="1" si="994"/>
        <v>0.25044373264798314</v>
      </c>
      <c r="BE455" s="2853">
        <f t="shared" ca="1" si="913"/>
        <v>-0.25044373264798314</v>
      </c>
      <c r="BF455" s="2854"/>
      <c r="BG455" s="1365">
        <f t="shared" ref="BG455" ca="1" si="995">IFERROR(BG454/BG$424,0)</f>
        <v>2.9320173211527045</v>
      </c>
      <c r="BH455" s="2853">
        <f t="shared" ca="1" si="915"/>
        <v>-2.9320173211527045</v>
      </c>
      <c r="BI455" s="2854"/>
    </row>
    <row r="456" spans="1:61" ht="14.5">
      <c r="A456" s="1693">
        <f t="shared" si="841"/>
        <v>448</v>
      </c>
      <c r="B456" s="616">
        <v>1</v>
      </c>
      <c r="C456" s="1693">
        <f t="shared" si="840"/>
        <v>456</v>
      </c>
      <c r="D456" s="616">
        <v>1</v>
      </c>
      <c r="E456" s="709" t="s">
        <v>512</v>
      </c>
      <c r="F456" s="69"/>
      <c r="R456" s="1772" t="str">
        <f>CHOOSE(2, "6722000003367", "▷ Blank 17")</f>
        <v>▷ Blank 17</v>
      </c>
      <c r="S456" s="1125"/>
      <c r="T456" s="1366"/>
      <c r="U456" s="1366"/>
      <c r="V456" s="1366"/>
      <c r="W456" s="1366"/>
      <c r="X456" s="1366"/>
      <c r="Y456" s="1366"/>
      <c r="Z456" s="1366"/>
      <c r="AA456" s="1366"/>
      <c r="AB456" s="1242"/>
      <c r="AC456" s="69"/>
      <c r="AD456" s="69"/>
      <c r="AE456" s="69"/>
      <c r="AF456" s="69"/>
      <c r="AG456" s="69"/>
      <c r="AH456" s="69"/>
      <c r="AI456" s="69"/>
      <c r="AJ456" s="69"/>
      <c r="AK456" s="69"/>
    </row>
    <row r="457" spans="1:61" ht="15.5">
      <c r="A457" s="1693">
        <f t="shared" si="841"/>
        <v>449</v>
      </c>
      <c r="B457" s="616">
        <v>1</v>
      </c>
      <c r="C457" s="1693">
        <f t="shared" si="840"/>
        <v>457</v>
      </c>
      <c r="D457" s="616">
        <v>1</v>
      </c>
      <c r="F457" s="69"/>
      <c r="G457" s="8"/>
      <c r="H457" s="368" t="s">
        <v>522</v>
      </c>
      <c r="R457" s="1772" t="str">
        <f>CHOOSE(2, "6722000003368", "2-3. Sales/GP Details by BU")</f>
        <v>2-3. Sales/GP Details by BU</v>
      </c>
      <c r="S457" s="1125"/>
      <c r="T457" s="1366"/>
      <c r="U457" s="1366"/>
      <c r="V457" s="1366"/>
      <c r="W457" s="1366"/>
      <c r="X457" s="1366"/>
      <c r="Y457" s="1366"/>
      <c r="Z457" s="1366"/>
      <c r="AA457" s="1366"/>
      <c r="AB457" s="1366"/>
      <c r="AC457" s="69"/>
      <c r="AD457" s="69"/>
      <c r="AE457" s="69"/>
      <c r="AF457" s="69"/>
      <c r="AG457" s="69"/>
      <c r="AH457" s="69"/>
      <c r="AI457" s="69"/>
      <c r="AJ457" s="69"/>
      <c r="AK457" s="69"/>
    </row>
    <row r="458" spans="1:61" ht="14.5">
      <c r="A458" s="1693">
        <f t="shared" si="841"/>
        <v>450</v>
      </c>
      <c r="B458" s="616">
        <v>1</v>
      </c>
      <c r="C458" s="1693">
        <f t="shared" si="840"/>
        <v>458</v>
      </c>
      <c r="D458" s="616">
        <v>1</v>
      </c>
      <c r="F458" s="69"/>
      <c r="I458" s="4" t="s">
        <v>731</v>
      </c>
      <c r="M458" s="3"/>
      <c r="R458" s="1772" t="str">
        <f>CHOOSE(2, "6722000003369", "(1)-1 Office: Excluding ""Office Solution""")</f>
        <v>(1)-1 Office: Excluding "Office Solution"</v>
      </c>
      <c r="S458" s="1125"/>
      <c r="T458" s="1366"/>
      <c r="U458" s="1366"/>
      <c r="V458" s="1366"/>
      <c r="W458" s="1366"/>
      <c r="X458" s="1366"/>
      <c r="Y458" s="1366"/>
      <c r="Z458" s="1366"/>
      <c r="AA458" s="1366"/>
      <c r="AB458" s="1366"/>
      <c r="AC458" s="69"/>
      <c r="AD458" s="69"/>
      <c r="AE458" s="69"/>
      <c r="AF458" s="69"/>
      <c r="AG458" s="69"/>
      <c r="AH458" s="69"/>
      <c r="AI458" s="69"/>
      <c r="AJ458" s="69"/>
      <c r="AK458" s="69"/>
    </row>
    <row r="459" spans="1:61" ht="14.5">
      <c r="A459" s="1693">
        <f t="shared" si="841"/>
        <v>451</v>
      </c>
      <c r="B459" s="616">
        <v>1</v>
      </c>
      <c r="C459" s="1693">
        <f t="shared" si="840"/>
        <v>459</v>
      </c>
      <c r="D459" s="616">
        <v>1</v>
      </c>
      <c r="F459" s="69"/>
      <c r="G459" s="81"/>
      <c r="H459" s="81"/>
      <c r="I459" s="12"/>
      <c r="J459" s="53"/>
      <c r="K459" s="51"/>
      <c r="L459" s="52"/>
      <c r="M459" s="52"/>
      <c r="N459" s="51"/>
      <c r="O459" s="51"/>
      <c r="P459" s="51"/>
      <c r="Q459" s="447"/>
      <c r="R459" s="1773" t="str">
        <f>CHOOSE(2, "6722000003370", "▷ Blank 18")</f>
        <v>▷ Blank 18</v>
      </c>
      <c r="S459" s="1611">
        <f t="shared" ref="S459:AD459" si="996">S13</f>
        <v>45017</v>
      </c>
      <c r="T459" s="1611">
        <f t="shared" si="996"/>
        <v>45047</v>
      </c>
      <c r="U459" s="1611">
        <f t="shared" si="996"/>
        <v>45078</v>
      </c>
      <c r="V459" s="1611">
        <f t="shared" si="996"/>
        <v>45108</v>
      </c>
      <c r="W459" s="1611">
        <f t="shared" si="996"/>
        <v>45139</v>
      </c>
      <c r="X459" s="1611">
        <f t="shared" si="996"/>
        <v>45170</v>
      </c>
      <c r="Y459" s="1611">
        <f t="shared" si="996"/>
        <v>45200</v>
      </c>
      <c r="Z459" s="1611">
        <f t="shared" si="996"/>
        <v>45231</v>
      </c>
      <c r="AA459" s="1611">
        <f t="shared" si="996"/>
        <v>45261</v>
      </c>
      <c r="AB459" s="1611">
        <f t="shared" si="996"/>
        <v>45292</v>
      </c>
      <c r="AC459" s="1611">
        <f t="shared" si="996"/>
        <v>45323</v>
      </c>
      <c r="AD459" s="1611">
        <f t="shared" si="996"/>
        <v>45352</v>
      </c>
      <c r="AE459" s="1706" t="str">
        <f t="shared" ref="AE459:AK459" si="997">AE$13</f>
        <v>Q1</v>
      </c>
      <c r="AF459" s="1707" t="str">
        <f t="shared" si="997"/>
        <v>Q2</v>
      </c>
      <c r="AG459" s="1707" t="str">
        <f t="shared" si="997"/>
        <v>Q3</v>
      </c>
      <c r="AH459" s="1707" t="str">
        <f t="shared" si="997"/>
        <v>Q4</v>
      </c>
      <c r="AI459" s="1707" t="str">
        <f t="shared" si="997"/>
        <v>1st H</v>
      </c>
      <c r="AJ459" s="1707" t="str">
        <f t="shared" si="997"/>
        <v>2nd H</v>
      </c>
      <c r="AK459" s="1707" t="str">
        <f t="shared" si="997"/>
        <v>FY23</v>
      </c>
      <c r="AM459" s="2723" t="str">
        <f t="shared" ref="AM459:AS459" si="998">AM$13</f>
        <v>Result</v>
      </c>
      <c r="AN459" s="2724" t="str">
        <f t="shared" si="998"/>
        <v>OP</v>
      </c>
      <c r="AO459" s="2725" t="str">
        <f t="shared" si="998"/>
        <v>vs OP</v>
      </c>
      <c r="AP459" s="2726" t="str">
        <f t="shared" si="998"/>
        <v>%</v>
      </c>
      <c r="AQ459" s="2724" t="str">
        <f t="shared" si="998"/>
        <v>FY22</v>
      </c>
      <c r="AR459" s="2725" t="str">
        <f t="shared" si="998"/>
        <v>vs FY22</v>
      </c>
      <c r="AS459" s="2727" t="str">
        <f t="shared" si="998"/>
        <v>%</v>
      </c>
      <c r="AU459" s="2723" t="str">
        <f t="shared" ref="AU459:BA459" si="999">AU$13</f>
        <v>Result</v>
      </c>
      <c r="AV459" s="2724" t="str">
        <f t="shared" si="999"/>
        <v>OP</v>
      </c>
      <c r="AW459" s="2725" t="str">
        <f t="shared" si="999"/>
        <v>vs OP</v>
      </c>
      <c r="AX459" s="2726" t="str">
        <f t="shared" si="999"/>
        <v>%</v>
      </c>
      <c r="AY459" s="2724" t="str">
        <f t="shared" si="999"/>
        <v>FY22</v>
      </c>
      <c r="AZ459" s="2725" t="str">
        <f t="shared" si="999"/>
        <v>vs FY22</v>
      </c>
      <c r="BA459" s="2727" t="str">
        <f t="shared" si="999"/>
        <v>%</v>
      </c>
      <c r="BC459" s="2723" t="str">
        <f t="shared" ref="BC459:BI459" si="1000">BC$13</f>
        <v>Result</v>
      </c>
      <c r="BD459" s="2724" t="str">
        <f t="shared" si="1000"/>
        <v>OP</v>
      </c>
      <c r="BE459" s="2725" t="str">
        <f t="shared" si="1000"/>
        <v>vs OP</v>
      </c>
      <c r="BF459" s="2726" t="str">
        <f t="shared" si="1000"/>
        <v>%</v>
      </c>
      <c r="BG459" s="2724" t="str">
        <f t="shared" si="1000"/>
        <v>FY22</v>
      </c>
      <c r="BH459" s="2725" t="str">
        <f t="shared" si="1000"/>
        <v>vs FY22</v>
      </c>
      <c r="BI459" s="2727" t="str">
        <f t="shared" si="1000"/>
        <v>%</v>
      </c>
    </row>
    <row r="460" spans="1:61" ht="14.5">
      <c r="A460" s="1693">
        <f t="shared" si="841"/>
        <v>452</v>
      </c>
      <c r="B460" s="616">
        <v>1</v>
      </c>
      <c r="C460" s="1693">
        <f t="shared" si="840"/>
        <v>460</v>
      </c>
      <c r="D460" s="616">
        <v>1</v>
      </c>
      <c r="F460" s="69"/>
      <c r="J460" s="100" t="s">
        <v>119</v>
      </c>
      <c r="K460" s="99"/>
      <c r="L460" s="310"/>
      <c r="M460" s="310"/>
      <c r="N460" s="311"/>
      <c r="O460" s="311"/>
      <c r="P460" s="311"/>
      <c r="Q460" s="582"/>
      <c r="R460" s="1810" t="str">
        <f>CHOOSE(2, "6722000003371", "S/GP (1)-1 Net Sales")</f>
        <v>S/GP (1)-1 Net Sales</v>
      </c>
      <c r="S460" s="1317">
        <f>S461+S477</f>
        <v>279169</v>
      </c>
      <c r="T460" s="1188">
        <f t="shared" ref="T460:AD460" si="1001">T461+T477</f>
        <v>302567.69621000002</v>
      </c>
      <c r="U460" s="1188">
        <f t="shared" si="1001"/>
        <v>314565.47580000001</v>
      </c>
      <c r="V460" s="1188">
        <f t="shared" si="1001"/>
        <v>267506.68302</v>
      </c>
      <c r="W460" s="1188">
        <f t="shared" si="1001"/>
        <v>300883.62465000001</v>
      </c>
      <c r="X460" s="1188">
        <f t="shared" si="1001"/>
        <v>336948.59716</v>
      </c>
      <c r="Y460" s="1188">
        <f t="shared" si="1001"/>
        <v>249701.39207</v>
      </c>
      <c r="Z460" s="1188">
        <f t="shared" si="1001"/>
        <v>279643.46297999995</v>
      </c>
      <c r="AA460" s="1188">
        <f t="shared" si="1001"/>
        <v>319164.67874999996</v>
      </c>
      <c r="AB460" s="1188">
        <f t="shared" si="1001"/>
        <v>302587.26130000001</v>
      </c>
      <c r="AC460" s="1188">
        <f t="shared" si="1001"/>
        <v>299091.21837000002</v>
      </c>
      <c r="AD460" s="1188">
        <f t="shared" si="1001"/>
        <v>328207.33372999995</v>
      </c>
      <c r="AE460" s="894">
        <f t="shared" ref="AE460:AK460" si="1002">AE461+AE477</f>
        <v>896302.1720100001</v>
      </c>
      <c r="AF460" s="101">
        <f t="shared" si="1002"/>
        <v>905338.9048299999</v>
      </c>
      <c r="AG460" s="101">
        <f t="shared" si="1002"/>
        <v>848509.53379999998</v>
      </c>
      <c r="AH460" s="101">
        <f t="shared" si="1002"/>
        <v>929885.81339999998</v>
      </c>
      <c r="AI460" s="101">
        <f t="shared" si="1002"/>
        <v>1801641.0768400002</v>
      </c>
      <c r="AJ460" s="101">
        <f t="shared" si="1002"/>
        <v>1778395.3472000002</v>
      </c>
      <c r="AK460" s="101">
        <f t="shared" si="1002"/>
        <v>3580036.42404</v>
      </c>
      <c r="AM460" s="1317">
        <f ca="1">SUM((INDIRECT(AM$2&amp;(ROW())):INDIRECT(AM$3&amp;(ROW()))))</f>
        <v>279169</v>
      </c>
      <c r="AN460" s="2136">
        <f ca="1">SUM(INDIRECT(AN$1&amp;AN$2&amp;$C460):INDIRECT(AN$1&amp;AN$3&amp;$C460))</f>
        <v>249409.45789114246</v>
      </c>
      <c r="AO460" s="2871">
        <f t="shared" ref="AO460:AO566" ca="1" si="1003">AM460-AN460</f>
        <v>29759.542108857539</v>
      </c>
      <c r="AP460" s="2872">
        <f t="shared" ref="AP460:AP523" ca="1" si="1004">IFERROR(AM460/AN460,0)</f>
        <v>1.1193200224261199</v>
      </c>
      <c r="AQ460" s="2136">
        <f ca="1">SUM(INDIRECT(AQ$1&amp;AQ$2&amp;$A460):INDIRECT(AQ$1&amp;AQ$3&amp;$A460))</f>
        <v>162913</v>
      </c>
      <c r="AR460" s="2871">
        <f t="shared" ref="AR460:AR566" ca="1" si="1005">AM460-AQ460</f>
        <v>116256</v>
      </c>
      <c r="AS460" s="2872">
        <f t="shared" ref="AS460:AS523" ca="1" si="1006">IFERROR(AM460/AQ460,0)</f>
        <v>1.7136078765967111</v>
      </c>
      <c r="AU460" s="1317">
        <f ca="1">SUM((INDIRECT(AU$2&amp;(ROW())):INDIRECT(AU$3&amp;(ROW()))))</f>
        <v>279169</v>
      </c>
      <c r="AV460" s="2136">
        <f ca="1">SUM(INDIRECT(AV$1&amp;AV$2&amp;$C460):INDIRECT(AV$1&amp;AV$3&amp;$C460))</f>
        <v>249409.45789114246</v>
      </c>
      <c r="AW460" s="2871">
        <f t="shared" ref="AW460:AW523" ca="1" si="1007">AU460-AV460</f>
        <v>29759.542108857539</v>
      </c>
      <c r="AX460" s="2872">
        <f t="shared" ref="AX460:AX523" ca="1" si="1008">IFERROR(AU460/AV460,0)</f>
        <v>1.1193200224261199</v>
      </c>
      <c r="AY460" s="2136">
        <f ca="1">SUM(INDIRECT(AY$1&amp;AY$2&amp;$A460):INDIRECT(AY$1&amp;AY$3&amp;$A460))</f>
        <v>162913</v>
      </c>
      <c r="AZ460" s="2871">
        <f t="shared" ref="AZ460:AZ523" ca="1" si="1009">AU460-AY460</f>
        <v>116256</v>
      </c>
      <c r="BA460" s="2872">
        <f t="shared" ref="BA460:BA523" ca="1" si="1010">IFERROR(AU460/AY460,0)</f>
        <v>1.7136078765967111</v>
      </c>
      <c r="BC460" s="1317">
        <f ca="1">SUM((INDIRECT(BC$2&amp;(ROW())):INDIRECT(BC$3&amp;(ROW()))))</f>
        <v>279169</v>
      </c>
      <c r="BD460" s="2136">
        <f ca="1">SUM(INDIRECT(BD$1&amp;BD$2&amp;$C460):INDIRECT(BD$1&amp;BD$3&amp;$C460))</f>
        <v>249409.45789114246</v>
      </c>
      <c r="BE460" s="2871">
        <f t="shared" ref="BE460:BE523" ca="1" si="1011">BC460-BD460</f>
        <v>29759.542108857539</v>
      </c>
      <c r="BF460" s="2872">
        <f t="shared" ref="BF460:BF523" ca="1" si="1012">IFERROR(BC460/BD460,0)</f>
        <v>1.1193200224261199</v>
      </c>
      <c r="BG460" s="2136">
        <f ca="1">SUM(INDIRECT(BG$1&amp;BG$2&amp;$A460):INDIRECT(BG$1&amp;BG$3&amp;$A460))</f>
        <v>162913</v>
      </c>
      <c r="BH460" s="2871">
        <f t="shared" ref="BH460:BH523" ca="1" si="1013">BC460-BG460</f>
        <v>116256</v>
      </c>
      <c r="BI460" s="2872">
        <f t="shared" ref="BI460:BI523" ca="1" si="1014">IFERROR(BC460/BG460,0)</f>
        <v>1.7136078765967111</v>
      </c>
    </row>
    <row r="461" spans="1:61" ht="14.5">
      <c r="A461" s="1693">
        <f t="shared" si="841"/>
        <v>453</v>
      </c>
      <c r="B461" s="616">
        <v>1</v>
      </c>
      <c r="C461" s="1693">
        <f t="shared" si="840"/>
        <v>461</v>
      </c>
      <c r="D461" s="616">
        <v>1</v>
      </c>
      <c r="F461" s="69"/>
      <c r="J461" s="94"/>
      <c r="K461" s="93"/>
      <c r="L461" s="68" t="s">
        <v>120</v>
      </c>
      <c r="M461" s="68"/>
      <c r="N461" s="283"/>
      <c r="O461" s="283"/>
      <c r="P461" s="283"/>
      <c r="Q461" s="283"/>
      <c r="R461" s="1811" t="str">
        <f>CHOOSE(2, "6722000003372", "S/GP (1)-1 Net Sales Direct")</f>
        <v>S/GP (1)-1 Net Sales Direct</v>
      </c>
      <c r="S461" s="1318">
        <f>S462+S467+S476</f>
        <v>65479</v>
      </c>
      <c r="T461" s="1259">
        <f t="shared" ref="T461:AD461" si="1015">T462+T467+T476</f>
        <v>70968.808720000001</v>
      </c>
      <c r="U461" s="1259">
        <f t="shared" si="1015"/>
        <v>69160.503800000006</v>
      </c>
      <c r="V461" s="1259">
        <f t="shared" si="1015"/>
        <v>59195.78</v>
      </c>
      <c r="W461" s="1259">
        <f t="shared" si="1015"/>
        <v>63677.413570000004</v>
      </c>
      <c r="X461" s="1259">
        <f t="shared" si="1015"/>
        <v>64854.445000000007</v>
      </c>
      <c r="Y461" s="1259">
        <f t="shared" si="1015"/>
        <v>68214.065319999994</v>
      </c>
      <c r="Z461" s="1259">
        <f t="shared" si="1015"/>
        <v>67662.415059999999</v>
      </c>
      <c r="AA461" s="1259">
        <f t="shared" si="1015"/>
        <v>64463.72582</v>
      </c>
      <c r="AB461" s="1259">
        <f t="shared" si="1015"/>
        <v>69290.313859999995</v>
      </c>
      <c r="AC461" s="1259">
        <f t="shared" si="1015"/>
        <v>71007.231539999993</v>
      </c>
      <c r="AD461" s="1259">
        <f t="shared" si="1015"/>
        <v>74879.404940000008</v>
      </c>
      <c r="AE461" s="1259">
        <f t="shared" ref="AE461:AK461" si="1016">AE462+AE467+AE476</f>
        <v>205608.31251999998</v>
      </c>
      <c r="AF461" s="1259">
        <f t="shared" si="1016"/>
        <v>187727.63857000001</v>
      </c>
      <c r="AG461" s="1259">
        <f t="shared" si="1016"/>
        <v>200340.20619999999</v>
      </c>
      <c r="AH461" s="1259">
        <f t="shared" si="1016"/>
        <v>215176.95033999998</v>
      </c>
      <c r="AI461" s="1259">
        <f t="shared" si="1016"/>
        <v>393335.95108999999</v>
      </c>
      <c r="AJ461" s="1259">
        <f t="shared" si="1016"/>
        <v>415517.15654</v>
      </c>
      <c r="AK461" s="1259">
        <f t="shared" si="1016"/>
        <v>808853.10762999998</v>
      </c>
      <c r="AM461" s="1318">
        <f ca="1">SUM((INDIRECT(AM$2&amp;(ROW())):INDIRECT(AM$3&amp;(ROW()))))</f>
        <v>65479</v>
      </c>
      <c r="AN461" s="1259">
        <f ca="1">SUM(INDIRECT(AN$1&amp;AN$2&amp;$C461):INDIRECT(AN$1&amp;AN$3&amp;$C461))</f>
        <v>67674.023540568713</v>
      </c>
      <c r="AO461" s="2873">
        <f t="shared" ca="1" si="1003"/>
        <v>-2195.0235405687126</v>
      </c>
      <c r="AP461" s="2874">
        <f t="shared" ca="1" si="1004"/>
        <v>0.96756475489812044</v>
      </c>
      <c r="AQ461" s="1259">
        <f ca="1">SUM(INDIRECT(AQ$1&amp;AQ$2&amp;$A461):INDIRECT(AQ$1&amp;AQ$3&amp;$A461))</f>
        <v>45015</v>
      </c>
      <c r="AR461" s="2873">
        <f t="shared" ca="1" si="1005"/>
        <v>20464</v>
      </c>
      <c r="AS461" s="2874">
        <f t="shared" ca="1" si="1006"/>
        <v>1.4546040208819282</v>
      </c>
      <c r="AU461" s="1318">
        <f ca="1">SUM((INDIRECT(AU$2&amp;(ROW())):INDIRECT(AU$3&amp;(ROW()))))</f>
        <v>65479</v>
      </c>
      <c r="AV461" s="1259">
        <f ca="1">SUM(INDIRECT(AV$1&amp;AV$2&amp;$C461):INDIRECT(AV$1&amp;AV$3&amp;$C461))</f>
        <v>67674.023540568713</v>
      </c>
      <c r="AW461" s="2873">
        <f t="shared" ca="1" si="1007"/>
        <v>-2195.0235405687126</v>
      </c>
      <c r="AX461" s="2874">
        <f t="shared" ca="1" si="1008"/>
        <v>0.96756475489812044</v>
      </c>
      <c r="AY461" s="1259">
        <f ca="1">SUM(INDIRECT(AY$1&amp;AY$2&amp;$A461):INDIRECT(AY$1&amp;AY$3&amp;$A461))</f>
        <v>45015</v>
      </c>
      <c r="AZ461" s="2873">
        <f t="shared" ca="1" si="1009"/>
        <v>20464</v>
      </c>
      <c r="BA461" s="2874">
        <f t="shared" ca="1" si="1010"/>
        <v>1.4546040208819282</v>
      </c>
      <c r="BC461" s="1318">
        <f ca="1">SUM((INDIRECT(BC$2&amp;(ROW())):INDIRECT(BC$3&amp;(ROW()))))</f>
        <v>65479</v>
      </c>
      <c r="BD461" s="1259">
        <f ca="1">SUM(INDIRECT(BD$1&amp;BD$2&amp;$C461):INDIRECT(BD$1&amp;BD$3&amp;$C461))</f>
        <v>67674.023540568713</v>
      </c>
      <c r="BE461" s="2873">
        <f t="shared" ca="1" si="1011"/>
        <v>-2195.0235405687126</v>
      </c>
      <c r="BF461" s="2874">
        <f t="shared" ca="1" si="1012"/>
        <v>0.96756475489812044</v>
      </c>
      <c r="BG461" s="1259">
        <f ca="1">SUM(INDIRECT(BG$1&amp;BG$2&amp;$A461):INDIRECT(BG$1&amp;BG$3&amp;$A461))</f>
        <v>45015</v>
      </c>
      <c r="BH461" s="2873">
        <f t="shared" ca="1" si="1013"/>
        <v>20464</v>
      </c>
      <c r="BI461" s="2874">
        <f t="shared" ca="1" si="1014"/>
        <v>1.4546040208819282</v>
      </c>
    </row>
    <row r="462" spans="1:61" ht="14.5">
      <c r="A462" s="1693">
        <f t="shared" si="841"/>
        <v>454</v>
      </c>
      <c r="B462" s="616">
        <v>1</v>
      </c>
      <c r="C462" s="1693">
        <f t="shared" si="840"/>
        <v>462</v>
      </c>
      <c r="D462" s="616">
        <v>1</v>
      </c>
      <c r="F462" s="69"/>
      <c r="J462" s="94"/>
      <c r="K462" s="93"/>
      <c r="L462" s="68"/>
      <c r="M462" s="68"/>
      <c r="N462" s="8" t="s">
        <v>121</v>
      </c>
      <c r="O462" s="285"/>
      <c r="P462" s="285"/>
      <c r="Q462" s="285"/>
      <c r="R462" s="1777" t="str">
        <f>CHOOSE(2, "6722000003373", "S/GP (1)-1 Net Sales Direct HW")</f>
        <v>S/GP (1)-1 Net Sales Direct HW</v>
      </c>
      <c r="S462" s="1248">
        <f>S463+S466</f>
        <v>29590</v>
      </c>
      <c r="T462" s="1248">
        <f t="shared" ref="T462:AD462" si="1017">T463+T466</f>
        <v>39583.173999999999</v>
      </c>
      <c r="U462" s="1248">
        <f t="shared" si="1017"/>
        <v>38832.873079999998</v>
      </c>
      <c r="V462" s="1248">
        <f t="shared" si="1017"/>
        <v>29442.046000000002</v>
      </c>
      <c r="W462" s="1248">
        <f t="shared" si="1017"/>
        <v>28197.25</v>
      </c>
      <c r="X462" s="1248">
        <f t="shared" si="1017"/>
        <v>35685.215000000004</v>
      </c>
      <c r="Y462" s="1248">
        <f t="shared" si="1017"/>
        <v>37560.373</v>
      </c>
      <c r="Z462" s="1248">
        <f t="shared" si="1017"/>
        <v>36095.723999999995</v>
      </c>
      <c r="AA462" s="1248">
        <f t="shared" si="1017"/>
        <v>34232.364999999998</v>
      </c>
      <c r="AB462" s="1248">
        <f t="shared" si="1017"/>
        <v>37343.539999999994</v>
      </c>
      <c r="AC462" s="1248">
        <f t="shared" si="1017"/>
        <v>35948.231999999996</v>
      </c>
      <c r="AD462" s="1248">
        <f t="shared" si="1017"/>
        <v>49613.95018</v>
      </c>
      <c r="AE462" s="895">
        <f t="shared" ref="AE462:AK462" si="1018">AE463+AE466</f>
        <v>108006.04708</v>
      </c>
      <c r="AF462" s="1248">
        <f t="shared" si="1018"/>
        <v>93324.510999999999</v>
      </c>
      <c r="AG462" s="1248">
        <f t="shared" si="1018"/>
        <v>107888.46199999998</v>
      </c>
      <c r="AH462" s="1248">
        <f t="shared" si="1018"/>
        <v>122905.72218</v>
      </c>
      <c r="AI462" s="1248">
        <f t="shared" si="1018"/>
        <v>201330.55807999999</v>
      </c>
      <c r="AJ462" s="1248">
        <f t="shared" si="1018"/>
        <v>230794.18417999995</v>
      </c>
      <c r="AK462" s="1248">
        <f t="shared" si="1018"/>
        <v>432124.74225999997</v>
      </c>
      <c r="AM462" s="2183">
        <f ca="1">SUM((INDIRECT(AM$2&amp;(ROW())):INDIRECT(AM$3&amp;(ROW()))))</f>
        <v>29590</v>
      </c>
      <c r="AN462" s="2183">
        <f ca="1">SUM(INDIRECT(AN$1&amp;AN$2&amp;$C462):INDIRECT(AN$1&amp;AN$3&amp;$C462))</f>
        <v>34842.073540568716</v>
      </c>
      <c r="AO462" s="2875">
        <f t="shared" ca="1" si="1003"/>
        <v>-5252.0735405687155</v>
      </c>
      <c r="AP462" s="2876">
        <f t="shared" ca="1" si="1004"/>
        <v>0.84926059195491299</v>
      </c>
      <c r="AQ462" s="2183">
        <f ca="1">SUM(INDIRECT(AQ$1&amp;AQ$2&amp;$A462):INDIRECT(AQ$1&amp;AQ$3&amp;$A462))</f>
        <v>22518</v>
      </c>
      <c r="AR462" s="2875">
        <f t="shared" ca="1" si="1005"/>
        <v>7072</v>
      </c>
      <c r="AS462" s="2876">
        <f t="shared" ca="1" si="1006"/>
        <v>1.3140598632205347</v>
      </c>
      <c r="AU462" s="2183">
        <f ca="1">SUM((INDIRECT(AU$2&amp;(ROW())):INDIRECT(AU$3&amp;(ROW()))))</f>
        <v>29590</v>
      </c>
      <c r="AV462" s="2183">
        <f ca="1">SUM(INDIRECT(AV$1&amp;AV$2&amp;$C462):INDIRECT(AV$1&amp;AV$3&amp;$C462))</f>
        <v>34842.073540568716</v>
      </c>
      <c r="AW462" s="2875">
        <f t="shared" ca="1" si="1007"/>
        <v>-5252.0735405687155</v>
      </c>
      <c r="AX462" s="2876">
        <f t="shared" ca="1" si="1008"/>
        <v>0.84926059195491299</v>
      </c>
      <c r="AY462" s="2183">
        <f ca="1">SUM(INDIRECT(AY$1&amp;AY$2&amp;$A462):INDIRECT(AY$1&amp;AY$3&amp;$A462))</f>
        <v>22518</v>
      </c>
      <c r="AZ462" s="2875">
        <f t="shared" ca="1" si="1009"/>
        <v>7072</v>
      </c>
      <c r="BA462" s="2876">
        <f t="shared" ca="1" si="1010"/>
        <v>1.3140598632205347</v>
      </c>
      <c r="BC462" s="2183">
        <f ca="1">SUM((INDIRECT(BC$2&amp;(ROW())):INDIRECT(BC$3&amp;(ROW()))))</f>
        <v>29590</v>
      </c>
      <c r="BD462" s="2183">
        <f ca="1">SUM(INDIRECT(BD$1&amp;BD$2&amp;$C462):INDIRECT(BD$1&amp;BD$3&amp;$C462))</f>
        <v>34842.073540568716</v>
      </c>
      <c r="BE462" s="2875">
        <f t="shared" ca="1" si="1011"/>
        <v>-5252.0735405687155</v>
      </c>
      <c r="BF462" s="2876">
        <f t="shared" ca="1" si="1012"/>
        <v>0.84926059195491299</v>
      </c>
      <c r="BG462" s="2183">
        <f ca="1">SUM(INDIRECT(BG$1&amp;BG$2&amp;$A462):INDIRECT(BG$1&amp;BG$3&amp;$A462))</f>
        <v>22518</v>
      </c>
      <c r="BH462" s="2875">
        <f t="shared" ca="1" si="1013"/>
        <v>7072</v>
      </c>
      <c r="BI462" s="2876">
        <f t="shared" ca="1" si="1014"/>
        <v>1.3140598632205347</v>
      </c>
    </row>
    <row r="463" spans="1:61" ht="14.5">
      <c r="A463" s="1693">
        <f t="shared" si="841"/>
        <v>455</v>
      </c>
      <c r="B463" s="616">
        <v>1</v>
      </c>
      <c r="C463" s="1693">
        <f t="shared" ref="C463:C526" si="1019">C462+1</f>
        <v>463</v>
      </c>
      <c r="D463" s="616">
        <v>1</v>
      </c>
      <c r="F463" s="69"/>
      <c r="J463" s="94"/>
      <c r="K463" s="93"/>
      <c r="L463" s="68"/>
      <c r="M463" s="68"/>
      <c r="O463" s="97" t="s">
        <v>122</v>
      </c>
      <c r="P463" s="97"/>
      <c r="Q463" s="97"/>
      <c r="R463" s="1777" t="str">
        <f>CHOOSE(2, "6722000003374", "S/GP (1)-1 Net Sales Direct HW KMI")</f>
        <v>S/GP (1)-1 Net Sales Direct HW KMI</v>
      </c>
      <c r="S463" s="95">
        <f>SUM(S464:S465)</f>
        <v>29590</v>
      </c>
      <c r="T463" s="95">
        <f t="shared" ref="T463:AD463" si="1020">SUM(T464:T465)</f>
        <v>39583.173999999999</v>
      </c>
      <c r="U463" s="95">
        <f t="shared" si="1020"/>
        <v>38832.873079999998</v>
      </c>
      <c r="V463" s="95">
        <f t="shared" si="1020"/>
        <v>29442.046000000002</v>
      </c>
      <c r="W463" s="95">
        <f t="shared" si="1020"/>
        <v>28197.25</v>
      </c>
      <c r="X463" s="95">
        <f t="shared" si="1020"/>
        <v>35685.215000000004</v>
      </c>
      <c r="Y463" s="95">
        <f t="shared" si="1020"/>
        <v>37560.373</v>
      </c>
      <c r="Z463" s="95">
        <f t="shared" si="1020"/>
        <v>36095.723999999995</v>
      </c>
      <c r="AA463" s="95">
        <f t="shared" si="1020"/>
        <v>34232.364999999998</v>
      </c>
      <c r="AB463" s="95">
        <f t="shared" si="1020"/>
        <v>37343.539999999994</v>
      </c>
      <c r="AC463" s="95">
        <f t="shared" si="1020"/>
        <v>35948.231999999996</v>
      </c>
      <c r="AD463" s="95">
        <f t="shared" si="1020"/>
        <v>49613.95018</v>
      </c>
      <c r="AE463" s="896">
        <f t="shared" ref="AE463:AK463" si="1021">SUM(AE464:AE465)</f>
        <v>108006.04708</v>
      </c>
      <c r="AF463" s="95">
        <f t="shared" si="1021"/>
        <v>93324.510999999999</v>
      </c>
      <c r="AG463" s="95">
        <f t="shared" si="1021"/>
        <v>107888.46199999998</v>
      </c>
      <c r="AH463" s="95">
        <f t="shared" si="1021"/>
        <v>122905.72218</v>
      </c>
      <c r="AI463" s="95">
        <f t="shared" si="1021"/>
        <v>201330.55807999999</v>
      </c>
      <c r="AJ463" s="95">
        <f t="shared" si="1021"/>
        <v>230794.18417999995</v>
      </c>
      <c r="AK463" s="95">
        <f t="shared" si="1021"/>
        <v>432124.74225999997</v>
      </c>
      <c r="AM463" s="2161">
        <f ca="1">SUM((INDIRECT(AM$2&amp;(ROW())):INDIRECT(AM$3&amp;(ROW()))))</f>
        <v>29590</v>
      </c>
      <c r="AN463" s="2161">
        <f ca="1">SUM(INDIRECT(AN$1&amp;AN$2&amp;$C463):INDIRECT(AN$1&amp;AN$3&amp;$C463))</f>
        <v>34842.073540568716</v>
      </c>
      <c r="AO463" s="2877">
        <f t="shared" ca="1" si="1003"/>
        <v>-5252.0735405687155</v>
      </c>
      <c r="AP463" s="2878">
        <f t="shared" ca="1" si="1004"/>
        <v>0.84926059195491299</v>
      </c>
      <c r="AQ463" s="2161">
        <f ca="1">SUM(INDIRECT(AQ$1&amp;AQ$2&amp;$A463):INDIRECT(AQ$1&amp;AQ$3&amp;$A463))</f>
        <v>22518</v>
      </c>
      <c r="AR463" s="2877">
        <f t="shared" ca="1" si="1005"/>
        <v>7072</v>
      </c>
      <c r="AS463" s="2878">
        <f t="shared" ca="1" si="1006"/>
        <v>1.3140598632205347</v>
      </c>
      <c r="AU463" s="2161">
        <f ca="1">SUM((INDIRECT(AU$2&amp;(ROW())):INDIRECT(AU$3&amp;(ROW()))))</f>
        <v>29590</v>
      </c>
      <c r="AV463" s="2161">
        <f ca="1">SUM(INDIRECT(AV$1&amp;AV$2&amp;$C463):INDIRECT(AV$1&amp;AV$3&amp;$C463))</f>
        <v>34842.073540568716</v>
      </c>
      <c r="AW463" s="2877">
        <f t="shared" ca="1" si="1007"/>
        <v>-5252.0735405687155</v>
      </c>
      <c r="AX463" s="2878">
        <f t="shared" ca="1" si="1008"/>
        <v>0.84926059195491299</v>
      </c>
      <c r="AY463" s="2161">
        <f ca="1">SUM(INDIRECT(AY$1&amp;AY$2&amp;$A463):INDIRECT(AY$1&amp;AY$3&amp;$A463))</f>
        <v>22518</v>
      </c>
      <c r="AZ463" s="2877">
        <f t="shared" ca="1" si="1009"/>
        <v>7072</v>
      </c>
      <c r="BA463" s="2878">
        <f t="shared" ca="1" si="1010"/>
        <v>1.3140598632205347</v>
      </c>
      <c r="BC463" s="2161">
        <f ca="1">SUM((INDIRECT(BC$2&amp;(ROW())):INDIRECT(BC$3&amp;(ROW()))))</f>
        <v>29590</v>
      </c>
      <c r="BD463" s="2161">
        <f ca="1">SUM(INDIRECT(BD$1&amp;BD$2&amp;$C463):INDIRECT(BD$1&amp;BD$3&amp;$C463))</f>
        <v>34842.073540568716</v>
      </c>
      <c r="BE463" s="2877">
        <f t="shared" ca="1" si="1011"/>
        <v>-5252.0735405687155</v>
      </c>
      <c r="BF463" s="2878">
        <f t="shared" ca="1" si="1012"/>
        <v>0.84926059195491299</v>
      </c>
      <c r="BG463" s="2161">
        <f ca="1">SUM(INDIRECT(BG$1&amp;BG$2&amp;$A463):INDIRECT(BG$1&amp;BG$3&amp;$A463))</f>
        <v>22518</v>
      </c>
      <c r="BH463" s="2877">
        <f t="shared" ca="1" si="1013"/>
        <v>7072</v>
      </c>
      <c r="BI463" s="2878">
        <f t="shared" ca="1" si="1014"/>
        <v>1.3140598632205347</v>
      </c>
    </row>
    <row r="464" spans="1:61" ht="14.5">
      <c r="A464" s="1693">
        <f t="shared" ref="A464:A527" si="1022">A463+1</f>
        <v>456</v>
      </c>
      <c r="B464" s="616">
        <v>1</v>
      </c>
      <c r="C464" s="1693">
        <f t="shared" si="1019"/>
        <v>464</v>
      </c>
      <c r="D464" s="616">
        <v>1</v>
      </c>
      <c r="F464" s="69"/>
      <c r="J464" s="94"/>
      <c r="K464" s="93"/>
      <c r="L464" s="68"/>
      <c r="M464" s="68"/>
      <c r="P464" s="97" t="s">
        <v>123</v>
      </c>
      <c r="Q464" s="97"/>
      <c r="R464" s="1779" t="str">
        <f>CHOOSE(2, "6722000003375", "S/GP (1)-1 Net Sales Direct HW KMI Office A3")</f>
        <v>S/GP (1)-1 Net Sales Direct HW KMI Office A3</v>
      </c>
      <c r="S464" s="1227">
        <v>28809</v>
      </c>
      <c r="T464" s="1227">
        <v>38618.784</v>
      </c>
      <c r="U464" s="1227">
        <v>37626.998079999998</v>
      </c>
      <c r="V464" s="1227">
        <v>28391.094000000001</v>
      </c>
      <c r="W464" s="1227">
        <v>25891</v>
      </c>
      <c r="X464" s="1227">
        <v>35006.035000000003</v>
      </c>
      <c r="Y464" s="1227">
        <v>36311.921000000002</v>
      </c>
      <c r="Z464" s="1227">
        <v>35439.250999999997</v>
      </c>
      <c r="AA464" s="1227">
        <v>33487.394999999997</v>
      </c>
      <c r="AB464" s="1227">
        <v>36628.716999999997</v>
      </c>
      <c r="AC464" s="1227">
        <v>35105.767</v>
      </c>
      <c r="AD464" s="1227">
        <v>48937.064180000001</v>
      </c>
      <c r="AE464" s="896">
        <f>SUM(S464,T464,U464)</f>
        <v>105054.78208</v>
      </c>
      <c r="AF464" s="95">
        <f>SUM(V464,W464,X464)</f>
        <v>89288.129000000001</v>
      </c>
      <c r="AG464" s="95">
        <f>SUM(Y464,Z464,AA464)</f>
        <v>105238.56699999998</v>
      </c>
      <c r="AH464" s="95">
        <f>SUM(AB464,AC464,AD464)</f>
        <v>120671.54818</v>
      </c>
      <c r="AI464" s="95">
        <f>AE464+AF464</f>
        <v>194342.91107999999</v>
      </c>
      <c r="AJ464" s="95">
        <f>AH464+AG464</f>
        <v>225910.11517999996</v>
      </c>
      <c r="AK464" s="95">
        <f>AI464+AJ464</f>
        <v>420253.02625999996</v>
      </c>
      <c r="AM464" s="2138">
        <f ca="1">SUM((INDIRECT(AM$2&amp;(ROW())):INDIRECT(AM$3&amp;(ROW()))))</f>
        <v>28809</v>
      </c>
      <c r="AN464" s="2138">
        <f ca="1">SUM(INDIRECT(AN$1&amp;AN$2&amp;$C464):INDIRECT(AN$1&amp;AN$3&amp;$C464))</f>
        <v>34842.073540568716</v>
      </c>
      <c r="AO464" s="2879">
        <f t="shared" ca="1" si="1003"/>
        <v>-6033.0735405687155</v>
      </c>
      <c r="AP464" s="2880">
        <f t="shared" ca="1" si="1004"/>
        <v>0.82684516369141903</v>
      </c>
      <c r="AQ464" s="2138">
        <f ca="1">SUM(INDIRECT(AQ$1&amp;AQ$2&amp;$A464):INDIRECT(AQ$1&amp;AQ$3&amp;$A464))</f>
        <v>21795</v>
      </c>
      <c r="AR464" s="2879">
        <f t="shared" ca="1" si="1005"/>
        <v>7014</v>
      </c>
      <c r="AS464" s="2880">
        <f t="shared" ca="1" si="1006"/>
        <v>1.3218169304886442</v>
      </c>
      <c r="AU464" s="2138">
        <f ca="1">SUM((INDIRECT(AU$2&amp;(ROW())):INDIRECT(AU$3&amp;(ROW()))))</f>
        <v>28809</v>
      </c>
      <c r="AV464" s="2138">
        <f ca="1">SUM(INDIRECT(AV$1&amp;AV$2&amp;$C464):INDIRECT(AV$1&amp;AV$3&amp;$C464))</f>
        <v>34842.073540568716</v>
      </c>
      <c r="AW464" s="2879">
        <f t="shared" ca="1" si="1007"/>
        <v>-6033.0735405687155</v>
      </c>
      <c r="AX464" s="2880">
        <f t="shared" ca="1" si="1008"/>
        <v>0.82684516369141903</v>
      </c>
      <c r="AY464" s="2138">
        <f ca="1">SUM(INDIRECT(AY$1&amp;AY$2&amp;$A464):INDIRECT(AY$1&amp;AY$3&amp;$A464))</f>
        <v>21795</v>
      </c>
      <c r="AZ464" s="2879">
        <f t="shared" ca="1" si="1009"/>
        <v>7014</v>
      </c>
      <c r="BA464" s="2880">
        <f t="shared" ca="1" si="1010"/>
        <v>1.3218169304886442</v>
      </c>
      <c r="BC464" s="2138">
        <f ca="1">SUM((INDIRECT(BC$2&amp;(ROW())):INDIRECT(BC$3&amp;(ROW()))))</f>
        <v>28809</v>
      </c>
      <c r="BD464" s="2138">
        <f ca="1">SUM(INDIRECT(BD$1&amp;BD$2&amp;$C464):INDIRECT(BD$1&amp;BD$3&amp;$C464))</f>
        <v>34842.073540568716</v>
      </c>
      <c r="BE464" s="2879">
        <f t="shared" ca="1" si="1011"/>
        <v>-6033.0735405687155</v>
      </c>
      <c r="BF464" s="2880">
        <f t="shared" ca="1" si="1012"/>
        <v>0.82684516369141903</v>
      </c>
      <c r="BG464" s="2138">
        <f ca="1">SUM(INDIRECT(BG$1&amp;BG$2&amp;$A464):INDIRECT(BG$1&amp;BG$3&amp;$A464))</f>
        <v>21795</v>
      </c>
      <c r="BH464" s="2879">
        <f t="shared" ca="1" si="1013"/>
        <v>7014</v>
      </c>
      <c r="BI464" s="2880">
        <f t="shared" ca="1" si="1014"/>
        <v>1.3218169304886442</v>
      </c>
    </row>
    <row r="465" spans="1:61" ht="14.5">
      <c r="A465" s="1693">
        <f t="shared" si="1022"/>
        <v>457</v>
      </c>
      <c r="B465" s="616">
        <v>1</v>
      </c>
      <c r="C465" s="1693">
        <f t="shared" si="1019"/>
        <v>465</v>
      </c>
      <c r="D465" s="616">
        <v>1</v>
      </c>
      <c r="F465" s="69"/>
      <c r="J465" s="94"/>
      <c r="K465" s="93"/>
      <c r="L465" s="68"/>
      <c r="M465" s="68"/>
      <c r="O465" s="285"/>
      <c r="P465" s="285" t="s">
        <v>124</v>
      </c>
      <c r="Q465" s="285"/>
      <c r="R465" s="1779" t="str">
        <f>CHOOSE(2, "6722000003376", "S/GP (1)-1 Net Sales Direct HW KMI Office A4")</f>
        <v>S/GP (1)-1 Net Sales Direct HW KMI Office A4</v>
      </c>
      <c r="S465" s="1245">
        <v>781</v>
      </c>
      <c r="T465" s="1245">
        <v>964.39</v>
      </c>
      <c r="U465" s="1245">
        <v>1205.875</v>
      </c>
      <c r="V465" s="1245">
        <v>1050.952</v>
      </c>
      <c r="W465" s="1245">
        <v>2306.25</v>
      </c>
      <c r="X465" s="1245">
        <v>679.18</v>
      </c>
      <c r="Y465" s="1245">
        <v>1248.452</v>
      </c>
      <c r="Z465" s="1245">
        <v>656.47299999999996</v>
      </c>
      <c r="AA465" s="1245">
        <v>744.97</v>
      </c>
      <c r="AB465" s="1245">
        <v>714.82299999999998</v>
      </c>
      <c r="AC465" s="1245">
        <v>842.46500000000003</v>
      </c>
      <c r="AD465" s="1245">
        <v>676.88599999999997</v>
      </c>
      <c r="AE465" s="895">
        <f>SUM(S465,T465,U465)</f>
        <v>2951.2649999999999</v>
      </c>
      <c r="AF465" s="1248">
        <f>SUM(V465,W465,X465)</f>
        <v>4036.3820000000001</v>
      </c>
      <c r="AG465" s="1248">
        <f>SUM(Y465,Z465,AA465)</f>
        <v>2649.895</v>
      </c>
      <c r="AH465" s="1248">
        <f>SUM(AB465,AC465,AD465)</f>
        <v>2234.174</v>
      </c>
      <c r="AI465" s="1248">
        <f>AE465+AF465</f>
        <v>6987.6469999999999</v>
      </c>
      <c r="AJ465" s="1248">
        <f>AH465+AG465</f>
        <v>4884.0689999999995</v>
      </c>
      <c r="AK465" s="1248">
        <f>AI465+AJ465</f>
        <v>11871.716</v>
      </c>
      <c r="AM465" s="1971">
        <f ca="1">SUM((INDIRECT(AM$2&amp;(ROW())):INDIRECT(AM$3&amp;(ROW()))))</f>
        <v>781</v>
      </c>
      <c r="AN465" s="1971">
        <f ca="1">SUM(INDIRECT(AN$1&amp;AN$2&amp;$C465):INDIRECT(AN$1&amp;AN$3&amp;$C465))</f>
        <v>0</v>
      </c>
      <c r="AO465" s="2881">
        <f t="shared" ca="1" si="1003"/>
        <v>781</v>
      </c>
      <c r="AP465" s="2882">
        <f t="shared" ca="1" si="1004"/>
        <v>0</v>
      </c>
      <c r="AQ465" s="1971">
        <f ca="1">SUM(INDIRECT(AQ$1&amp;AQ$2&amp;$A465):INDIRECT(AQ$1&amp;AQ$3&amp;$A465))</f>
        <v>723</v>
      </c>
      <c r="AR465" s="2881">
        <f t="shared" ca="1" si="1005"/>
        <v>58</v>
      </c>
      <c r="AS465" s="2882">
        <f t="shared" ca="1" si="1006"/>
        <v>1.0802213001383125</v>
      </c>
      <c r="AU465" s="1971">
        <f ca="1">SUM((INDIRECT(AU$2&amp;(ROW())):INDIRECT(AU$3&amp;(ROW()))))</f>
        <v>781</v>
      </c>
      <c r="AV465" s="1971">
        <f ca="1">SUM(INDIRECT(AV$1&amp;AV$2&amp;$C465):INDIRECT(AV$1&amp;AV$3&amp;$C465))</f>
        <v>0</v>
      </c>
      <c r="AW465" s="2881">
        <f t="shared" ca="1" si="1007"/>
        <v>781</v>
      </c>
      <c r="AX465" s="2882">
        <f t="shared" ca="1" si="1008"/>
        <v>0</v>
      </c>
      <c r="AY465" s="1971">
        <f ca="1">SUM(INDIRECT(AY$1&amp;AY$2&amp;$A465):INDIRECT(AY$1&amp;AY$3&amp;$A465))</f>
        <v>723</v>
      </c>
      <c r="AZ465" s="2881">
        <f t="shared" ca="1" si="1009"/>
        <v>58</v>
      </c>
      <c r="BA465" s="2882">
        <f t="shared" ca="1" si="1010"/>
        <v>1.0802213001383125</v>
      </c>
      <c r="BC465" s="1971">
        <f ca="1">SUM((INDIRECT(BC$2&amp;(ROW())):INDIRECT(BC$3&amp;(ROW()))))</f>
        <v>781</v>
      </c>
      <c r="BD465" s="1971">
        <f ca="1">SUM(INDIRECT(BD$1&amp;BD$2&amp;$C465):INDIRECT(BD$1&amp;BD$3&amp;$C465))</f>
        <v>0</v>
      </c>
      <c r="BE465" s="2881">
        <f t="shared" ca="1" si="1011"/>
        <v>781</v>
      </c>
      <c r="BF465" s="2882">
        <f t="shared" ca="1" si="1012"/>
        <v>0</v>
      </c>
      <c r="BG465" s="1971">
        <f ca="1">SUM(INDIRECT(BG$1&amp;BG$2&amp;$A465):INDIRECT(BG$1&amp;BG$3&amp;$A465))</f>
        <v>723</v>
      </c>
      <c r="BH465" s="2881">
        <f t="shared" ca="1" si="1013"/>
        <v>58</v>
      </c>
      <c r="BI465" s="2882">
        <f t="shared" ca="1" si="1014"/>
        <v>1.0802213001383125</v>
      </c>
    </row>
    <row r="466" spans="1:61" ht="14.5" collapsed="1">
      <c r="A466" s="1693">
        <f t="shared" si="1022"/>
        <v>458</v>
      </c>
      <c r="B466" s="616">
        <v>1</v>
      </c>
      <c r="C466" s="1693">
        <f t="shared" si="1019"/>
        <v>466</v>
      </c>
      <c r="D466" s="616">
        <v>1</v>
      </c>
      <c r="F466" s="69"/>
      <c r="J466" s="94"/>
      <c r="K466" s="93"/>
      <c r="L466" s="68"/>
      <c r="M466" s="68"/>
      <c r="N466" s="11"/>
      <c r="O466" s="288" t="s">
        <v>125</v>
      </c>
      <c r="P466" s="288"/>
      <c r="Q466" s="288"/>
      <c r="R466" s="1779" t="str">
        <f>CHOOSE(2, "6722000003377", "S/GP (1)-1 Net Sales Direct HW 3rd Party")</f>
        <v>S/GP (1)-1 Net Sales Direct HW 3rd Party</v>
      </c>
      <c r="S466" s="1246"/>
      <c r="T466" s="1246"/>
      <c r="U466" s="1246"/>
      <c r="V466" s="1246"/>
      <c r="W466" s="1246"/>
      <c r="X466" s="1246"/>
      <c r="Y466" s="1246"/>
      <c r="Z466" s="1246"/>
      <c r="AA466" s="1246"/>
      <c r="AB466" s="1246"/>
      <c r="AC466" s="1246"/>
      <c r="AD466" s="1246"/>
      <c r="AE466" s="897">
        <f>SUM(S466,T466,U466)</f>
        <v>0</v>
      </c>
      <c r="AF466" s="297">
        <f>SUM(V466,W466,X466)</f>
        <v>0</v>
      </c>
      <c r="AG466" s="297">
        <f>SUM(Y466,Z466,AA466)</f>
        <v>0</v>
      </c>
      <c r="AH466" s="297">
        <f>SUM(AB466,AC466,AD466)</f>
        <v>0</v>
      </c>
      <c r="AI466" s="297">
        <f>AE466+AF466</f>
        <v>0</v>
      </c>
      <c r="AJ466" s="297">
        <f>AH466+AG466</f>
        <v>0</v>
      </c>
      <c r="AK466" s="297">
        <f>AI466+AJ466</f>
        <v>0</v>
      </c>
      <c r="AM466" s="2143">
        <f ca="1">SUM((INDIRECT(AM$2&amp;(ROW())):INDIRECT(AM$3&amp;(ROW()))))</f>
        <v>0</v>
      </c>
      <c r="AN466" s="2143">
        <f ca="1">SUM(INDIRECT(AN$1&amp;AN$2&amp;$C466):INDIRECT(AN$1&amp;AN$3&amp;$C466))</f>
        <v>0</v>
      </c>
      <c r="AO466" s="2883">
        <f t="shared" ca="1" si="1003"/>
        <v>0</v>
      </c>
      <c r="AP466" s="2884">
        <f t="shared" ca="1" si="1004"/>
        <v>0</v>
      </c>
      <c r="AQ466" s="2143">
        <f ca="1">SUM(INDIRECT(AQ$1&amp;AQ$2&amp;$A466):INDIRECT(AQ$1&amp;AQ$3&amp;$A466))</f>
        <v>0</v>
      </c>
      <c r="AR466" s="2883">
        <f t="shared" ca="1" si="1005"/>
        <v>0</v>
      </c>
      <c r="AS466" s="2884">
        <f t="shared" ca="1" si="1006"/>
        <v>0</v>
      </c>
      <c r="AU466" s="2143">
        <f ca="1">SUM((INDIRECT(AU$2&amp;(ROW())):INDIRECT(AU$3&amp;(ROW()))))</f>
        <v>0</v>
      </c>
      <c r="AV466" s="2143">
        <f ca="1">SUM(INDIRECT(AV$1&amp;AV$2&amp;$C466):INDIRECT(AV$1&amp;AV$3&amp;$C466))</f>
        <v>0</v>
      </c>
      <c r="AW466" s="2883">
        <f t="shared" ca="1" si="1007"/>
        <v>0</v>
      </c>
      <c r="AX466" s="2884">
        <f t="shared" ca="1" si="1008"/>
        <v>0</v>
      </c>
      <c r="AY466" s="2143">
        <f ca="1">SUM(INDIRECT(AY$1&amp;AY$2&amp;$A466):INDIRECT(AY$1&amp;AY$3&amp;$A466))</f>
        <v>0</v>
      </c>
      <c r="AZ466" s="2883">
        <f t="shared" ca="1" si="1009"/>
        <v>0</v>
      </c>
      <c r="BA466" s="2884">
        <f t="shared" ca="1" si="1010"/>
        <v>0</v>
      </c>
      <c r="BC466" s="2143">
        <f ca="1">SUM((INDIRECT(BC$2&amp;(ROW())):INDIRECT(BC$3&amp;(ROW()))))</f>
        <v>0</v>
      </c>
      <c r="BD466" s="2143">
        <f ca="1">SUM(INDIRECT(BD$1&amp;BD$2&amp;$C466):INDIRECT(BD$1&amp;BD$3&amp;$C466))</f>
        <v>0</v>
      </c>
      <c r="BE466" s="2883">
        <f t="shared" ca="1" si="1011"/>
        <v>0</v>
      </c>
      <c r="BF466" s="2884">
        <f t="shared" ca="1" si="1012"/>
        <v>0</v>
      </c>
      <c r="BG466" s="2143">
        <f ca="1">SUM(INDIRECT(BG$1&amp;BG$2&amp;$A466):INDIRECT(BG$1&amp;BG$3&amp;$A466))</f>
        <v>0</v>
      </c>
      <c r="BH466" s="2883">
        <f t="shared" ca="1" si="1013"/>
        <v>0</v>
      </c>
      <c r="BI466" s="2884">
        <f t="shared" ca="1" si="1014"/>
        <v>0</v>
      </c>
    </row>
    <row r="467" spans="1:61" ht="14.5">
      <c r="A467" s="1693">
        <f t="shared" si="1022"/>
        <v>459</v>
      </c>
      <c r="B467" s="616">
        <v>1</v>
      </c>
      <c r="C467" s="1693">
        <f t="shared" si="1019"/>
        <v>467</v>
      </c>
      <c r="D467" s="616">
        <v>1</v>
      </c>
      <c r="F467" s="69"/>
      <c r="J467" s="94"/>
      <c r="K467" s="93"/>
      <c r="L467" s="68"/>
      <c r="M467" s="68"/>
      <c r="N467" s="8" t="s">
        <v>126</v>
      </c>
      <c r="O467" s="284"/>
      <c r="P467" s="284"/>
      <c r="Q467" s="284"/>
      <c r="R467" s="1777" t="str">
        <f>CHOOSE(2, "6722000003378", "S/GP (1)-1 Net Sales Direct NH")</f>
        <v>S/GP (1)-1 Net Sales Direct NH</v>
      </c>
      <c r="S467" s="1249">
        <f>S468+S475</f>
        <v>35889</v>
      </c>
      <c r="T467" s="1249">
        <f t="shared" ref="T467:AD467" si="1023">T468+T475</f>
        <v>31385.634719999998</v>
      </c>
      <c r="U467" s="1249">
        <f t="shared" si="1023"/>
        <v>30327.630720000001</v>
      </c>
      <c r="V467" s="1249">
        <f t="shared" si="1023"/>
        <v>29753.734</v>
      </c>
      <c r="W467" s="1249">
        <f t="shared" si="1023"/>
        <v>35480.163570000004</v>
      </c>
      <c r="X467" s="1249">
        <f t="shared" si="1023"/>
        <v>29169.23</v>
      </c>
      <c r="Y467" s="1249">
        <f t="shared" si="1023"/>
        <v>30653.692320000002</v>
      </c>
      <c r="Z467" s="1249">
        <f t="shared" si="1023"/>
        <v>31566.691060000001</v>
      </c>
      <c r="AA467" s="1249">
        <f t="shared" si="1023"/>
        <v>30231.360820000002</v>
      </c>
      <c r="AB467" s="1249">
        <f t="shared" si="1023"/>
        <v>31946.773860000001</v>
      </c>
      <c r="AC467" s="1249">
        <f t="shared" si="1023"/>
        <v>35058.999539999997</v>
      </c>
      <c r="AD467" s="1249">
        <f t="shared" si="1023"/>
        <v>25265.454760000001</v>
      </c>
      <c r="AE467" s="898">
        <f t="shared" ref="AE467:AK467" si="1024">AE468+AE475</f>
        <v>97602.265439999988</v>
      </c>
      <c r="AF467" s="1249">
        <f t="shared" si="1024"/>
        <v>94403.127569999997</v>
      </c>
      <c r="AG467" s="1249">
        <f t="shared" si="1024"/>
        <v>92451.744200000001</v>
      </c>
      <c r="AH467" s="1249">
        <f t="shared" si="1024"/>
        <v>92271.228159999984</v>
      </c>
      <c r="AI467" s="1249">
        <f t="shared" si="1024"/>
        <v>192005.39301</v>
      </c>
      <c r="AJ467" s="1249">
        <f t="shared" si="1024"/>
        <v>184722.97236000001</v>
      </c>
      <c r="AK467" s="1249">
        <f t="shared" si="1024"/>
        <v>376728.36536999996</v>
      </c>
      <c r="AM467" s="1987">
        <f ca="1">SUM((INDIRECT(AM$2&amp;(ROW())):INDIRECT(AM$3&amp;(ROW()))))</f>
        <v>35889</v>
      </c>
      <c r="AN467" s="1987">
        <f ca="1">SUM(INDIRECT(AN$1&amp;AN$2&amp;$C467):INDIRECT(AN$1&amp;AN$3&amp;$C467))</f>
        <v>32831.949999999997</v>
      </c>
      <c r="AO467" s="2885">
        <f t="shared" ca="1" si="1003"/>
        <v>3057.0500000000029</v>
      </c>
      <c r="AP467" s="2886">
        <f t="shared" ca="1" si="1004"/>
        <v>1.0931120448221932</v>
      </c>
      <c r="AQ467" s="1987">
        <f ca="1">SUM(INDIRECT(AQ$1&amp;AQ$2&amp;$A467):INDIRECT(AQ$1&amp;AQ$3&amp;$A467))</f>
        <v>22497</v>
      </c>
      <c r="AR467" s="2885">
        <f t="shared" ca="1" si="1005"/>
        <v>13392</v>
      </c>
      <c r="AS467" s="2886">
        <f t="shared" ca="1" si="1006"/>
        <v>1.5952793705827444</v>
      </c>
      <c r="AU467" s="1987">
        <f ca="1">SUM((INDIRECT(AU$2&amp;(ROW())):INDIRECT(AU$3&amp;(ROW()))))</f>
        <v>35889</v>
      </c>
      <c r="AV467" s="1987">
        <f ca="1">SUM(INDIRECT(AV$1&amp;AV$2&amp;$C467):INDIRECT(AV$1&amp;AV$3&amp;$C467))</f>
        <v>32831.949999999997</v>
      </c>
      <c r="AW467" s="2885">
        <f t="shared" ca="1" si="1007"/>
        <v>3057.0500000000029</v>
      </c>
      <c r="AX467" s="2886">
        <f t="shared" ca="1" si="1008"/>
        <v>1.0931120448221932</v>
      </c>
      <c r="AY467" s="1987">
        <f ca="1">SUM(INDIRECT(AY$1&amp;AY$2&amp;$A467):INDIRECT(AY$1&amp;AY$3&amp;$A467))</f>
        <v>22497</v>
      </c>
      <c r="AZ467" s="2885">
        <f t="shared" ca="1" si="1009"/>
        <v>13392</v>
      </c>
      <c r="BA467" s="2886">
        <f t="shared" ca="1" si="1010"/>
        <v>1.5952793705827444</v>
      </c>
      <c r="BC467" s="1987">
        <f ca="1">SUM((INDIRECT(BC$2&amp;(ROW())):INDIRECT(BC$3&amp;(ROW()))))</f>
        <v>35889</v>
      </c>
      <c r="BD467" s="1987">
        <f ca="1">SUM(INDIRECT(BD$1&amp;BD$2&amp;$C467):INDIRECT(BD$1&amp;BD$3&amp;$C467))</f>
        <v>32831.949999999997</v>
      </c>
      <c r="BE467" s="2885">
        <f t="shared" ca="1" si="1011"/>
        <v>3057.0500000000029</v>
      </c>
      <c r="BF467" s="2886">
        <f t="shared" ca="1" si="1012"/>
        <v>1.0931120448221932</v>
      </c>
      <c r="BG467" s="1987">
        <f ca="1">SUM(INDIRECT(BG$1&amp;BG$2&amp;$A467):INDIRECT(BG$1&amp;BG$3&amp;$A467))</f>
        <v>22497</v>
      </c>
      <c r="BH467" s="2885">
        <f t="shared" ca="1" si="1013"/>
        <v>13392</v>
      </c>
      <c r="BI467" s="2886">
        <f t="shared" ca="1" si="1014"/>
        <v>1.5952793705827444</v>
      </c>
    </row>
    <row r="468" spans="1:61" ht="14.5">
      <c r="A468" s="1693">
        <f t="shared" si="1022"/>
        <v>460</v>
      </c>
      <c r="B468" s="616">
        <v>1</v>
      </c>
      <c r="C468" s="1693">
        <f t="shared" si="1019"/>
        <v>468</v>
      </c>
      <c r="D468" s="616">
        <v>1</v>
      </c>
      <c r="F468" s="69"/>
      <c r="J468" s="94"/>
      <c r="K468" s="93"/>
      <c r="L468" s="68"/>
      <c r="M468" s="68"/>
      <c r="O468" s="97" t="s">
        <v>122</v>
      </c>
      <c r="P468" s="97"/>
      <c r="Q468" s="97"/>
      <c r="R468" s="1777" t="str">
        <f>CHOOSE(2, "6722000003379", "S/GP (1)-1 Net Sales Direct NH KMI")</f>
        <v>S/GP (1)-1 Net Sales Direct NH KMI</v>
      </c>
      <c r="S468" s="95">
        <f>S469+S472</f>
        <v>35889</v>
      </c>
      <c r="T468" s="95">
        <f t="shared" ref="T468:AD468" si="1025">T469+T472</f>
        <v>31385.634719999998</v>
      </c>
      <c r="U468" s="95">
        <f t="shared" si="1025"/>
        <v>30327.630720000001</v>
      </c>
      <c r="V468" s="95">
        <f t="shared" si="1025"/>
        <v>29753.734</v>
      </c>
      <c r="W468" s="95">
        <f t="shared" si="1025"/>
        <v>35480.163570000004</v>
      </c>
      <c r="X468" s="95">
        <f t="shared" si="1025"/>
        <v>29169.23</v>
      </c>
      <c r="Y468" s="95">
        <f t="shared" si="1025"/>
        <v>30653.692320000002</v>
      </c>
      <c r="Z468" s="95">
        <f t="shared" si="1025"/>
        <v>31566.691060000001</v>
      </c>
      <c r="AA468" s="95">
        <f t="shared" si="1025"/>
        <v>30231.360820000002</v>
      </c>
      <c r="AB468" s="95">
        <f t="shared" si="1025"/>
        <v>31946.773860000001</v>
      </c>
      <c r="AC468" s="95">
        <f t="shared" si="1025"/>
        <v>35058.999539999997</v>
      </c>
      <c r="AD468" s="95">
        <f t="shared" si="1025"/>
        <v>25265.454760000001</v>
      </c>
      <c r="AE468" s="896">
        <f t="shared" ref="AE468:AK468" si="1026">AE469+AE472</f>
        <v>97602.265439999988</v>
      </c>
      <c r="AF468" s="95">
        <f t="shared" si="1026"/>
        <v>94403.127569999997</v>
      </c>
      <c r="AG468" s="95">
        <f t="shared" si="1026"/>
        <v>92451.744200000001</v>
      </c>
      <c r="AH468" s="95">
        <f t="shared" si="1026"/>
        <v>92271.228159999984</v>
      </c>
      <c r="AI468" s="95">
        <f t="shared" si="1026"/>
        <v>192005.39301</v>
      </c>
      <c r="AJ468" s="95">
        <f t="shared" si="1026"/>
        <v>184722.97236000001</v>
      </c>
      <c r="AK468" s="95">
        <f t="shared" si="1026"/>
        <v>376728.36536999996</v>
      </c>
      <c r="AM468" s="2138">
        <f ca="1">SUM((INDIRECT(AM$2&amp;(ROW())):INDIRECT(AM$3&amp;(ROW()))))</f>
        <v>35889</v>
      </c>
      <c r="AN468" s="2138">
        <f ca="1">SUM(INDIRECT(AN$1&amp;AN$2&amp;$C468):INDIRECT(AN$1&amp;AN$3&amp;$C468))</f>
        <v>32831.949999999997</v>
      </c>
      <c r="AO468" s="2879">
        <f t="shared" ca="1" si="1003"/>
        <v>3057.0500000000029</v>
      </c>
      <c r="AP468" s="2880">
        <f t="shared" ca="1" si="1004"/>
        <v>1.0931120448221932</v>
      </c>
      <c r="AQ468" s="2138">
        <f ca="1">SUM(INDIRECT(AQ$1&amp;AQ$2&amp;$A468):INDIRECT(AQ$1&amp;AQ$3&amp;$A468))</f>
        <v>22497</v>
      </c>
      <c r="AR468" s="2879">
        <f t="shared" ca="1" si="1005"/>
        <v>13392</v>
      </c>
      <c r="AS468" s="2880">
        <f t="shared" ca="1" si="1006"/>
        <v>1.5952793705827444</v>
      </c>
      <c r="AU468" s="2138">
        <f ca="1">SUM((INDIRECT(AU$2&amp;(ROW())):INDIRECT(AU$3&amp;(ROW()))))</f>
        <v>35889</v>
      </c>
      <c r="AV468" s="2138">
        <f ca="1">SUM(INDIRECT(AV$1&amp;AV$2&amp;$C468):INDIRECT(AV$1&amp;AV$3&amp;$C468))</f>
        <v>32831.949999999997</v>
      </c>
      <c r="AW468" s="2879">
        <f t="shared" ca="1" si="1007"/>
        <v>3057.0500000000029</v>
      </c>
      <c r="AX468" s="2880">
        <f t="shared" ca="1" si="1008"/>
        <v>1.0931120448221932</v>
      </c>
      <c r="AY468" s="2138">
        <f ca="1">SUM(INDIRECT(AY$1&amp;AY$2&amp;$A468):INDIRECT(AY$1&amp;AY$3&amp;$A468))</f>
        <v>22497</v>
      </c>
      <c r="AZ468" s="2879">
        <f t="shared" ca="1" si="1009"/>
        <v>13392</v>
      </c>
      <c r="BA468" s="2880">
        <f t="shared" ca="1" si="1010"/>
        <v>1.5952793705827444</v>
      </c>
      <c r="BC468" s="2138">
        <f ca="1">SUM((INDIRECT(BC$2&amp;(ROW())):INDIRECT(BC$3&amp;(ROW()))))</f>
        <v>35889</v>
      </c>
      <c r="BD468" s="2138">
        <f ca="1">SUM(INDIRECT(BD$1&amp;BD$2&amp;$C468):INDIRECT(BD$1&amp;BD$3&amp;$C468))</f>
        <v>32831.949999999997</v>
      </c>
      <c r="BE468" s="2879">
        <f t="shared" ca="1" si="1011"/>
        <v>3057.0500000000029</v>
      </c>
      <c r="BF468" s="2880">
        <f t="shared" ca="1" si="1012"/>
        <v>1.0931120448221932</v>
      </c>
      <c r="BG468" s="2138">
        <f ca="1">SUM(INDIRECT(BG$1&amp;BG$2&amp;$A468):INDIRECT(BG$1&amp;BG$3&amp;$A468))</f>
        <v>22497</v>
      </c>
      <c r="BH468" s="2879">
        <f t="shared" ca="1" si="1013"/>
        <v>13392</v>
      </c>
      <c r="BI468" s="2880">
        <f t="shared" ca="1" si="1014"/>
        <v>1.5952793705827444</v>
      </c>
    </row>
    <row r="469" spans="1:61" ht="14.5">
      <c r="A469" s="1693">
        <f t="shared" si="1022"/>
        <v>461</v>
      </c>
      <c r="B469" s="616">
        <v>1</v>
      </c>
      <c r="C469" s="1693">
        <f t="shared" si="1019"/>
        <v>469</v>
      </c>
      <c r="D469" s="616">
        <v>1</v>
      </c>
      <c r="F469" s="69"/>
      <c r="J469" s="94"/>
      <c r="K469" s="93"/>
      <c r="L469" s="68"/>
      <c r="M469" s="68"/>
      <c r="P469" s="97" t="s">
        <v>123</v>
      </c>
      <c r="Q469" s="869"/>
      <c r="R469" s="1777" t="str">
        <f>CHOOSE(2, "6722000003380", "S/GP (1)-1 Net Sales Direct NH KMI Office A3")</f>
        <v>S/GP (1)-1 Net Sales Direct NH KMI Office A3</v>
      </c>
      <c r="S469" s="1250">
        <f>SUM(S470:S471)</f>
        <v>34504</v>
      </c>
      <c r="T469" s="1250">
        <f t="shared" ref="T469:AD469" si="1027">SUM(T470:T471)</f>
        <v>30512.113719999998</v>
      </c>
      <c r="U469" s="1250">
        <f t="shared" si="1027"/>
        <v>29505.19772</v>
      </c>
      <c r="V469" s="1250">
        <f t="shared" si="1027"/>
        <v>28685.347000000002</v>
      </c>
      <c r="W469" s="1250">
        <f t="shared" si="1027"/>
        <v>34366.992570000002</v>
      </c>
      <c r="X469" s="1250">
        <f t="shared" si="1027"/>
        <v>28165.001</v>
      </c>
      <c r="Y469" s="1250">
        <f t="shared" si="1027"/>
        <v>29217.186320000001</v>
      </c>
      <c r="Z469" s="1250">
        <f t="shared" si="1027"/>
        <v>30657.31306</v>
      </c>
      <c r="AA469" s="1250">
        <f t="shared" si="1027"/>
        <v>29231.879820000002</v>
      </c>
      <c r="AB469" s="1250">
        <f t="shared" si="1027"/>
        <v>30596.291860000001</v>
      </c>
      <c r="AC469" s="1250">
        <f t="shared" si="1027"/>
        <v>34156.815539999996</v>
      </c>
      <c r="AD469" s="1250">
        <f t="shared" si="1027"/>
        <v>24277.84576</v>
      </c>
      <c r="AE469" s="899">
        <f t="shared" ref="AE469:AK469" si="1028">SUM(AE470:AE471)</f>
        <v>94521.31143999999</v>
      </c>
      <c r="AF469" s="1250">
        <f t="shared" si="1028"/>
        <v>91217.34057</v>
      </c>
      <c r="AG469" s="1250">
        <f t="shared" si="1028"/>
        <v>89106.379199999996</v>
      </c>
      <c r="AH469" s="1250">
        <f t="shared" si="1028"/>
        <v>89030.95315999999</v>
      </c>
      <c r="AI469" s="1250">
        <f t="shared" si="1028"/>
        <v>185738.65200999999</v>
      </c>
      <c r="AJ469" s="1250">
        <f t="shared" si="1028"/>
        <v>178137.33236</v>
      </c>
      <c r="AK469" s="1250">
        <f t="shared" si="1028"/>
        <v>363875.98436999996</v>
      </c>
      <c r="AM469" s="2145">
        <f ca="1">SUM((INDIRECT(AM$2&amp;(ROW())):INDIRECT(AM$3&amp;(ROW()))))</f>
        <v>34504</v>
      </c>
      <c r="AN469" s="2145">
        <f ca="1">SUM(INDIRECT(AN$1&amp;AN$2&amp;$C469):INDIRECT(AN$1&amp;AN$3&amp;$C469))</f>
        <v>32831.949999999997</v>
      </c>
      <c r="AO469" s="2887">
        <f t="shared" ca="1" si="1003"/>
        <v>1672.0500000000029</v>
      </c>
      <c r="AP469" s="2888">
        <f t="shared" ca="1" si="1004"/>
        <v>1.0509275263881677</v>
      </c>
      <c r="AQ469" s="2145">
        <f ca="1">SUM(INDIRECT(AQ$1&amp;AQ$2&amp;$A469):INDIRECT(AQ$1&amp;AQ$3&amp;$A469))</f>
        <v>22106</v>
      </c>
      <c r="AR469" s="2887">
        <f t="shared" ca="1" si="1005"/>
        <v>12398</v>
      </c>
      <c r="AS469" s="2888">
        <f t="shared" ca="1" si="1006"/>
        <v>1.5608432099882386</v>
      </c>
      <c r="AU469" s="2145">
        <f ca="1">SUM((INDIRECT(AU$2&amp;(ROW())):INDIRECT(AU$3&amp;(ROW()))))</f>
        <v>34504</v>
      </c>
      <c r="AV469" s="2145">
        <f ca="1">SUM(INDIRECT(AV$1&amp;AV$2&amp;$C469):INDIRECT(AV$1&amp;AV$3&amp;$C469))</f>
        <v>32831.949999999997</v>
      </c>
      <c r="AW469" s="2887">
        <f t="shared" ca="1" si="1007"/>
        <v>1672.0500000000029</v>
      </c>
      <c r="AX469" s="2888">
        <f t="shared" ca="1" si="1008"/>
        <v>1.0509275263881677</v>
      </c>
      <c r="AY469" s="2145">
        <f ca="1">SUM(INDIRECT(AY$1&amp;AY$2&amp;$A469):INDIRECT(AY$1&amp;AY$3&amp;$A469))</f>
        <v>22106</v>
      </c>
      <c r="AZ469" s="2887">
        <f t="shared" ca="1" si="1009"/>
        <v>12398</v>
      </c>
      <c r="BA469" s="2888">
        <f t="shared" ca="1" si="1010"/>
        <v>1.5608432099882386</v>
      </c>
      <c r="BC469" s="2145">
        <f ca="1">SUM((INDIRECT(BC$2&amp;(ROW())):INDIRECT(BC$3&amp;(ROW()))))</f>
        <v>34504</v>
      </c>
      <c r="BD469" s="2145">
        <f ca="1">SUM(INDIRECT(BD$1&amp;BD$2&amp;$C469):INDIRECT(BD$1&amp;BD$3&amp;$C469))</f>
        <v>32831.949999999997</v>
      </c>
      <c r="BE469" s="2887">
        <f t="shared" ca="1" si="1011"/>
        <v>1672.0500000000029</v>
      </c>
      <c r="BF469" s="2888">
        <f t="shared" ca="1" si="1012"/>
        <v>1.0509275263881677</v>
      </c>
      <c r="BG469" s="2145">
        <f ca="1">SUM(INDIRECT(BG$1&amp;BG$2&amp;$A469):INDIRECT(BG$1&amp;BG$3&amp;$A469))</f>
        <v>22106</v>
      </c>
      <c r="BH469" s="2887">
        <f t="shared" ca="1" si="1013"/>
        <v>12398</v>
      </c>
      <c r="BI469" s="2888">
        <f t="shared" ca="1" si="1014"/>
        <v>1.5608432099882386</v>
      </c>
    </row>
    <row r="470" spans="1:61" ht="14.5">
      <c r="A470" s="1693">
        <f t="shared" si="1022"/>
        <v>462</v>
      </c>
      <c r="B470" s="616">
        <v>1</v>
      </c>
      <c r="C470" s="1693">
        <f t="shared" si="1019"/>
        <v>470</v>
      </c>
      <c r="D470" s="616">
        <v>1</v>
      </c>
      <c r="F470" s="69"/>
      <c r="J470" s="94"/>
      <c r="K470" s="93"/>
      <c r="L470" s="68"/>
      <c r="M470" s="68"/>
      <c r="Q470" s="8" t="s">
        <v>127</v>
      </c>
      <c r="R470" s="1779" t="str">
        <f>CHOOSE(2, "6722000003381", "S/GP (1)-1 Net Sales Direct NH KMI Office A3 Copy Click")</f>
        <v>S/GP (1)-1 Net Sales Direct NH KMI Office A3 Copy Click</v>
      </c>
      <c r="S470" s="1217">
        <v>34504</v>
      </c>
      <c r="T470" s="1217">
        <v>30512.113719999998</v>
      </c>
      <c r="U470" s="1217">
        <v>29505.19772</v>
      </c>
      <c r="V470" s="1217">
        <v>28685.347000000002</v>
      </c>
      <c r="W470" s="1217">
        <v>34366.992570000002</v>
      </c>
      <c r="X470" s="1217">
        <v>28165.001</v>
      </c>
      <c r="Y470" s="1217">
        <v>29217.186320000001</v>
      </c>
      <c r="Z470" s="1217">
        <v>30657.31306</v>
      </c>
      <c r="AA470" s="1217">
        <v>29231.879820000002</v>
      </c>
      <c r="AB470" s="1217">
        <v>30596.291860000001</v>
      </c>
      <c r="AC470" s="1217">
        <v>34156.815539999996</v>
      </c>
      <c r="AD470" s="1217">
        <v>24277.84576</v>
      </c>
      <c r="AE470" s="783">
        <f>SUM(S470,T470,U470)</f>
        <v>94521.31143999999</v>
      </c>
      <c r="AF470" s="1226">
        <f>SUM(V470,W470,X470)</f>
        <v>91217.34057</v>
      </c>
      <c r="AG470" s="1226">
        <f>SUM(Y470,Z470,AA470)</f>
        <v>89106.379199999996</v>
      </c>
      <c r="AH470" s="1226">
        <f>SUM(AB470,AC470,AD470)</f>
        <v>89030.95315999999</v>
      </c>
      <c r="AI470" s="1226">
        <f>AE470+AF470</f>
        <v>185738.65200999999</v>
      </c>
      <c r="AJ470" s="1226">
        <f>AH470+AG470</f>
        <v>178137.33236</v>
      </c>
      <c r="AK470" s="1226">
        <f>AI470+AJ470</f>
        <v>363875.98436999996</v>
      </c>
      <c r="AM470" s="579">
        <f ca="1">SUM((INDIRECT(AM$2&amp;(ROW())):INDIRECT(AM$3&amp;(ROW()))))</f>
        <v>34504</v>
      </c>
      <c r="AN470" s="579">
        <f ca="1">SUM(INDIRECT(AN$1&amp;AN$2&amp;$C470):INDIRECT(AN$1&amp;AN$3&amp;$C470))</f>
        <v>32831.949999999997</v>
      </c>
      <c r="AO470" s="2889">
        <f t="shared" ca="1" si="1003"/>
        <v>1672.0500000000029</v>
      </c>
      <c r="AP470" s="2890">
        <f t="shared" ca="1" si="1004"/>
        <v>1.0509275263881677</v>
      </c>
      <c r="AQ470" s="579">
        <f ca="1">SUM(INDIRECT(AQ$1&amp;AQ$2&amp;$A470):INDIRECT(AQ$1&amp;AQ$3&amp;$A470))</f>
        <v>22106</v>
      </c>
      <c r="AR470" s="2889">
        <f t="shared" ca="1" si="1005"/>
        <v>12398</v>
      </c>
      <c r="AS470" s="2890">
        <f t="shared" ca="1" si="1006"/>
        <v>1.5608432099882386</v>
      </c>
      <c r="AU470" s="579">
        <f ca="1">SUM((INDIRECT(AU$2&amp;(ROW())):INDIRECT(AU$3&amp;(ROW()))))</f>
        <v>34504</v>
      </c>
      <c r="AV470" s="579">
        <f ca="1">SUM(INDIRECT(AV$1&amp;AV$2&amp;$C470):INDIRECT(AV$1&amp;AV$3&amp;$C470))</f>
        <v>32831.949999999997</v>
      </c>
      <c r="AW470" s="2889">
        <f t="shared" ca="1" si="1007"/>
        <v>1672.0500000000029</v>
      </c>
      <c r="AX470" s="2890">
        <f t="shared" ca="1" si="1008"/>
        <v>1.0509275263881677</v>
      </c>
      <c r="AY470" s="579">
        <f ca="1">SUM(INDIRECT(AY$1&amp;AY$2&amp;$A470):INDIRECT(AY$1&amp;AY$3&amp;$A470))</f>
        <v>22106</v>
      </c>
      <c r="AZ470" s="2889">
        <f t="shared" ca="1" si="1009"/>
        <v>12398</v>
      </c>
      <c r="BA470" s="2890">
        <f t="shared" ca="1" si="1010"/>
        <v>1.5608432099882386</v>
      </c>
      <c r="BC470" s="579">
        <f ca="1">SUM((INDIRECT(BC$2&amp;(ROW())):INDIRECT(BC$3&amp;(ROW()))))</f>
        <v>34504</v>
      </c>
      <c r="BD470" s="579">
        <f ca="1">SUM(INDIRECT(BD$1&amp;BD$2&amp;$C470):INDIRECT(BD$1&amp;BD$3&amp;$C470))</f>
        <v>32831.949999999997</v>
      </c>
      <c r="BE470" s="2889">
        <f t="shared" ca="1" si="1011"/>
        <v>1672.0500000000029</v>
      </c>
      <c r="BF470" s="2890">
        <f t="shared" ca="1" si="1012"/>
        <v>1.0509275263881677</v>
      </c>
      <c r="BG470" s="579">
        <f ca="1">SUM(INDIRECT(BG$1&amp;BG$2&amp;$A470):INDIRECT(BG$1&amp;BG$3&amp;$A470))</f>
        <v>22106</v>
      </c>
      <c r="BH470" s="2889">
        <f t="shared" ca="1" si="1013"/>
        <v>12398</v>
      </c>
      <c r="BI470" s="2890">
        <f t="shared" ca="1" si="1014"/>
        <v>1.5608432099882386</v>
      </c>
    </row>
    <row r="471" spans="1:61" ht="14.5">
      <c r="A471" s="1693">
        <f t="shared" si="1022"/>
        <v>463</v>
      </c>
      <c r="B471" s="616">
        <v>1</v>
      </c>
      <c r="C471" s="1693">
        <f t="shared" si="1019"/>
        <v>471</v>
      </c>
      <c r="D471" s="616">
        <v>1</v>
      </c>
      <c r="F471" s="69"/>
      <c r="J471" s="94"/>
      <c r="K471" s="93"/>
      <c r="L471" s="68"/>
      <c r="M471" s="68"/>
      <c r="Q471" s="8" t="s">
        <v>128</v>
      </c>
      <c r="R471" s="1779" t="str">
        <f>CHOOSE(2, "6722000003382", "S/GP (1)-1 Net Sales Direct NH KMI Office A3 NonContract")</f>
        <v>S/GP (1)-1 Net Sales Direct NH KMI Office A3 NonContract</v>
      </c>
      <c r="S471" s="1217"/>
      <c r="T471" s="1217"/>
      <c r="U471" s="1217"/>
      <c r="V471" s="1217"/>
      <c r="W471" s="1217"/>
      <c r="X471" s="1217"/>
      <c r="Y471" s="1217"/>
      <c r="Z471" s="1217"/>
      <c r="AA471" s="1217"/>
      <c r="AB471" s="1217"/>
      <c r="AC471" s="1217"/>
      <c r="AD471" s="1217"/>
      <c r="AE471" s="783">
        <f>SUM(S471,T471,U471)</f>
        <v>0</v>
      </c>
      <c r="AF471" s="1226">
        <f>SUM(V471,W471,X471)</f>
        <v>0</v>
      </c>
      <c r="AG471" s="1226">
        <f>SUM(Y471,Z471,AA471)</f>
        <v>0</v>
      </c>
      <c r="AH471" s="1226">
        <f>SUM(AB471,AC471,AD471)</f>
        <v>0</v>
      </c>
      <c r="AI471" s="1226">
        <f>AE471+AF471</f>
        <v>0</v>
      </c>
      <c r="AJ471" s="1226">
        <f>AH471+AG471</f>
        <v>0</v>
      </c>
      <c r="AK471" s="1226">
        <f>AI471+AJ471</f>
        <v>0</v>
      </c>
      <c r="AM471" s="579">
        <f ca="1">SUM((INDIRECT(AM$2&amp;(ROW())):INDIRECT(AM$3&amp;(ROW()))))</f>
        <v>0</v>
      </c>
      <c r="AN471" s="579">
        <f ca="1">SUM(INDIRECT(AN$1&amp;AN$2&amp;$C471):INDIRECT(AN$1&amp;AN$3&amp;$C471))</f>
        <v>0</v>
      </c>
      <c r="AO471" s="2889">
        <f t="shared" ca="1" si="1003"/>
        <v>0</v>
      </c>
      <c r="AP471" s="2890">
        <f t="shared" ca="1" si="1004"/>
        <v>0</v>
      </c>
      <c r="AQ471" s="579">
        <f ca="1">SUM(INDIRECT(AQ$1&amp;AQ$2&amp;$A471):INDIRECT(AQ$1&amp;AQ$3&amp;$A471))</f>
        <v>0</v>
      </c>
      <c r="AR471" s="2889">
        <f t="shared" ca="1" si="1005"/>
        <v>0</v>
      </c>
      <c r="AS471" s="2890">
        <f t="shared" ca="1" si="1006"/>
        <v>0</v>
      </c>
      <c r="AU471" s="579">
        <f ca="1">SUM((INDIRECT(AU$2&amp;(ROW())):INDIRECT(AU$3&amp;(ROW()))))</f>
        <v>0</v>
      </c>
      <c r="AV471" s="579">
        <f ca="1">SUM(INDIRECT(AV$1&amp;AV$2&amp;$C471):INDIRECT(AV$1&amp;AV$3&amp;$C471))</f>
        <v>0</v>
      </c>
      <c r="AW471" s="2889">
        <f t="shared" ca="1" si="1007"/>
        <v>0</v>
      </c>
      <c r="AX471" s="2890">
        <f t="shared" ca="1" si="1008"/>
        <v>0</v>
      </c>
      <c r="AY471" s="579">
        <f ca="1">SUM(INDIRECT(AY$1&amp;AY$2&amp;$A471):INDIRECT(AY$1&amp;AY$3&amp;$A471))</f>
        <v>0</v>
      </c>
      <c r="AZ471" s="2889">
        <f t="shared" ca="1" si="1009"/>
        <v>0</v>
      </c>
      <c r="BA471" s="2890">
        <f t="shared" ca="1" si="1010"/>
        <v>0</v>
      </c>
      <c r="BC471" s="579">
        <f ca="1">SUM((INDIRECT(BC$2&amp;(ROW())):INDIRECT(BC$3&amp;(ROW()))))</f>
        <v>0</v>
      </c>
      <c r="BD471" s="579">
        <f ca="1">SUM(INDIRECT(BD$1&amp;BD$2&amp;$C471):INDIRECT(BD$1&amp;BD$3&amp;$C471))</f>
        <v>0</v>
      </c>
      <c r="BE471" s="2889">
        <f t="shared" ca="1" si="1011"/>
        <v>0</v>
      </c>
      <c r="BF471" s="2890">
        <f t="shared" ca="1" si="1012"/>
        <v>0</v>
      </c>
      <c r="BG471" s="579">
        <f ca="1">SUM(INDIRECT(BG$1&amp;BG$2&amp;$A471):INDIRECT(BG$1&amp;BG$3&amp;$A471))</f>
        <v>0</v>
      </c>
      <c r="BH471" s="2889">
        <f t="shared" ca="1" si="1013"/>
        <v>0</v>
      </c>
      <c r="BI471" s="2890">
        <f t="shared" ca="1" si="1014"/>
        <v>0</v>
      </c>
    </row>
    <row r="472" spans="1:61" ht="14.5">
      <c r="A472" s="1693">
        <f t="shared" si="1022"/>
        <v>464</v>
      </c>
      <c r="B472" s="616">
        <v>1</v>
      </c>
      <c r="C472" s="1693">
        <f t="shared" si="1019"/>
        <v>472</v>
      </c>
      <c r="D472" s="616">
        <v>1</v>
      </c>
      <c r="F472" s="69"/>
      <c r="J472" s="94"/>
      <c r="K472" s="93"/>
      <c r="L472" s="68"/>
      <c r="M472" s="68"/>
      <c r="P472" s="97" t="s">
        <v>124</v>
      </c>
      <c r="Q472" s="869"/>
      <c r="R472" s="1777" t="str">
        <f>CHOOSE(2, "6722000003383", "S/GP (1)-1 Net Sales Direct NH KMI Office A4")</f>
        <v>S/GP (1)-1 Net Sales Direct NH KMI Office A4</v>
      </c>
      <c r="S472" s="1250">
        <f>SUM(S473:S474)</f>
        <v>1385</v>
      </c>
      <c r="T472" s="1250">
        <f t="shared" ref="T472:AD472" si="1029">SUM(T473:T474)</f>
        <v>873.52099999999996</v>
      </c>
      <c r="U472" s="1250">
        <f t="shared" si="1029"/>
        <v>822.43299999999999</v>
      </c>
      <c r="V472" s="1250">
        <f t="shared" si="1029"/>
        <v>1068.3869999999999</v>
      </c>
      <c r="W472" s="1250">
        <f t="shared" si="1029"/>
        <v>1113.171</v>
      </c>
      <c r="X472" s="1250">
        <f t="shared" si="1029"/>
        <v>1004.229</v>
      </c>
      <c r="Y472" s="1250">
        <f t="shared" si="1029"/>
        <v>1436.5060000000001</v>
      </c>
      <c r="Z472" s="1250">
        <f t="shared" si="1029"/>
        <v>909.37800000000004</v>
      </c>
      <c r="AA472" s="1250">
        <f t="shared" si="1029"/>
        <v>999.48099999999999</v>
      </c>
      <c r="AB472" s="1250">
        <f t="shared" si="1029"/>
        <v>1350.482</v>
      </c>
      <c r="AC472" s="1250">
        <f t="shared" si="1029"/>
        <v>902.18399999999997</v>
      </c>
      <c r="AD472" s="1250">
        <f t="shared" si="1029"/>
        <v>987.60900000000004</v>
      </c>
      <c r="AE472" s="899">
        <f t="shared" ref="AE472:AK472" si="1030">SUM(AE473:AE474)</f>
        <v>3080.9539999999997</v>
      </c>
      <c r="AF472" s="1250">
        <f t="shared" si="1030"/>
        <v>3185.7870000000003</v>
      </c>
      <c r="AG472" s="1250">
        <f t="shared" si="1030"/>
        <v>3345.3649999999998</v>
      </c>
      <c r="AH472" s="1250">
        <f t="shared" si="1030"/>
        <v>3240.2750000000001</v>
      </c>
      <c r="AI472" s="1250">
        <f t="shared" si="1030"/>
        <v>6266.741</v>
      </c>
      <c r="AJ472" s="1250">
        <f t="shared" si="1030"/>
        <v>6585.6399999999994</v>
      </c>
      <c r="AK472" s="1250">
        <f t="shared" si="1030"/>
        <v>12852.380999999999</v>
      </c>
      <c r="AM472" s="2145">
        <f ca="1">SUM((INDIRECT(AM$2&amp;(ROW())):INDIRECT(AM$3&amp;(ROW()))))</f>
        <v>1385</v>
      </c>
      <c r="AN472" s="2145">
        <f ca="1">SUM(INDIRECT(AN$1&amp;AN$2&amp;$C472):INDIRECT(AN$1&amp;AN$3&amp;$C472))</f>
        <v>0</v>
      </c>
      <c r="AO472" s="2887">
        <f t="shared" ca="1" si="1003"/>
        <v>1385</v>
      </c>
      <c r="AP472" s="2888">
        <f t="shared" ca="1" si="1004"/>
        <v>0</v>
      </c>
      <c r="AQ472" s="2145">
        <f ca="1">SUM(INDIRECT(AQ$1&amp;AQ$2&amp;$A472):INDIRECT(AQ$1&amp;AQ$3&amp;$A472))</f>
        <v>391</v>
      </c>
      <c r="AR472" s="2887">
        <f t="shared" ca="1" si="1005"/>
        <v>994</v>
      </c>
      <c r="AS472" s="2888">
        <f t="shared" ca="1" si="1006"/>
        <v>3.5421994884910486</v>
      </c>
      <c r="AU472" s="2145">
        <f ca="1">SUM((INDIRECT(AU$2&amp;(ROW())):INDIRECT(AU$3&amp;(ROW()))))</f>
        <v>1385</v>
      </c>
      <c r="AV472" s="2145">
        <f ca="1">SUM(INDIRECT(AV$1&amp;AV$2&amp;$C472):INDIRECT(AV$1&amp;AV$3&amp;$C472))</f>
        <v>0</v>
      </c>
      <c r="AW472" s="2887">
        <f t="shared" ca="1" si="1007"/>
        <v>1385</v>
      </c>
      <c r="AX472" s="2888">
        <f t="shared" ca="1" si="1008"/>
        <v>0</v>
      </c>
      <c r="AY472" s="2145">
        <f ca="1">SUM(INDIRECT(AY$1&amp;AY$2&amp;$A472):INDIRECT(AY$1&amp;AY$3&amp;$A472))</f>
        <v>391</v>
      </c>
      <c r="AZ472" s="2887">
        <f t="shared" ca="1" si="1009"/>
        <v>994</v>
      </c>
      <c r="BA472" s="2888">
        <f t="shared" ca="1" si="1010"/>
        <v>3.5421994884910486</v>
      </c>
      <c r="BC472" s="2145">
        <f ca="1">SUM((INDIRECT(BC$2&amp;(ROW())):INDIRECT(BC$3&amp;(ROW()))))</f>
        <v>1385</v>
      </c>
      <c r="BD472" s="2145">
        <f ca="1">SUM(INDIRECT(BD$1&amp;BD$2&amp;$C472):INDIRECT(BD$1&amp;BD$3&amp;$C472))</f>
        <v>0</v>
      </c>
      <c r="BE472" s="2887">
        <f t="shared" ca="1" si="1011"/>
        <v>1385</v>
      </c>
      <c r="BF472" s="2888">
        <f t="shared" ca="1" si="1012"/>
        <v>0</v>
      </c>
      <c r="BG472" s="2145">
        <f ca="1">SUM(INDIRECT(BG$1&amp;BG$2&amp;$A472):INDIRECT(BG$1&amp;BG$3&amp;$A472))</f>
        <v>391</v>
      </c>
      <c r="BH472" s="2887">
        <f t="shared" ca="1" si="1013"/>
        <v>994</v>
      </c>
      <c r="BI472" s="2888">
        <f t="shared" ca="1" si="1014"/>
        <v>3.5421994884910486</v>
      </c>
    </row>
    <row r="473" spans="1:61" ht="14.5">
      <c r="A473" s="1693">
        <f t="shared" si="1022"/>
        <v>465</v>
      </c>
      <c r="B473" s="616">
        <v>1</v>
      </c>
      <c r="C473" s="1693">
        <f t="shared" si="1019"/>
        <v>473</v>
      </c>
      <c r="D473" s="616">
        <v>1</v>
      </c>
      <c r="F473" s="69"/>
      <c r="J473" s="94"/>
      <c r="K473" s="93"/>
      <c r="L473" s="68"/>
      <c r="M473" s="68"/>
      <c r="Q473" s="8" t="s">
        <v>127</v>
      </c>
      <c r="R473" s="1779" t="str">
        <f>CHOOSE(2, "6722000003384", "S/GP (1)-1 Net Sales Direct NH KMI Office A4 Copy Click")</f>
        <v>S/GP (1)-1 Net Sales Direct NH KMI Office A4 Copy Click</v>
      </c>
      <c r="S473" s="1217">
        <v>1385</v>
      </c>
      <c r="T473" s="1217">
        <v>873.52099999999996</v>
      </c>
      <c r="U473" s="1217">
        <v>822.43299999999999</v>
      </c>
      <c r="V473" s="1217">
        <v>1068.3869999999999</v>
      </c>
      <c r="W473" s="1217">
        <v>1113.171</v>
      </c>
      <c r="X473" s="1217">
        <v>1004.229</v>
      </c>
      <c r="Y473" s="1217">
        <v>1436.5060000000001</v>
      </c>
      <c r="Z473" s="1217">
        <v>909.37800000000004</v>
      </c>
      <c r="AA473" s="1217">
        <v>999.48099999999999</v>
      </c>
      <c r="AB473" s="1217">
        <v>1350.482</v>
      </c>
      <c r="AC473" s="1217">
        <v>902.18399999999997</v>
      </c>
      <c r="AD473" s="1217">
        <v>987.60900000000004</v>
      </c>
      <c r="AE473" s="783">
        <f>SUM(S473,T473,U473)</f>
        <v>3080.9539999999997</v>
      </c>
      <c r="AF473" s="1226">
        <f>SUM(V473,W473,X473)</f>
        <v>3185.7870000000003</v>
      </c>
      <c r="AG473" s="1226">
        <f>SUM(Y473,Z473,AA473)</f>
        <v>3345.3649999999998</v>
      </c>
      <c r="AH473" s="1226">
        <f>SUM(AB473,AC473,AD473)</f>
        <v>3240.2750000000001</v>
      </c>
      <c r="AI473" s="1226">
        <f>AE473+AF473</f>
        <v>6266.741</v>
      </c>
      <c r="AJ473" s="1226">
        <f>AH473+AG473</f>
        <v>6585.6399999999994</v>
      </c>
      <c r="AK473" s="1226">
        <f>AI473+AJ473</f>
        <v>12852.380999999999</v>
      </c>
      <c r="AM473" s="579">
        <f ca="1">SUM((INDIRECT(AM$2&amp;(ROW())):INDIRECT(AM$3&amp;(ROW()))))</f>
        <v>1385</v>
      </c>
      <c r="AN473" s="579">
        <f ca="1">SUM(INDIRECT(AN$1&amp;AN$2&amp;$C473):INDIRECT(AN$1&amp;AN$3&amp;$C473))</f>
        <v>0</v>
      </c>
      <c r="AO473" s="2889">
        <f t="shared" ca="1" si="1003"/>
        <v>1385</v>
      </c>
      <c r="AP473" s="2890">
        <f t="shared" ca="1" si="1004"/>
        <v>0</v>
      </c>
      <c r="AQ473" s="579">
        <f ca="1">SUM(INDIRECT(AQ$1&amp;AQ$2&amp;$A473):INDIRECT(AQ$1&amp;AQ$3&amp;$A473))</f>
        <v>391</v>
      </c>
      <c r="AR473" s="2889">
        <f t="shared" ca="1" si="1005"/>
        <v>994</v>
      </c>
      <c r="AS473" s="2890">
        <f t="shared" ca="1" si="1006"/>
        <v>3.5421994884910486</v>
      </c>
      <c r="AU473" s="579">
        <f ca="1">SUM((INDIRECT(AU$2&amp;(ROW())):INDIRECT(AU$3&amp;(ROW()))))</f>
        <v>1385</v>
      </c>
      <c r="AV473" s="579">
        <f ca="1">SUM(INDIRECT(AV$1&amp;AV$2&amp;$C473):INDIRECT(AV$1&amp;AV$3&amp;$C473))</f>
        <v>0</v>
      </c>
      <c r="AW473" s="2889">
        <f t="shared" ca="1" si="1007"/>
        <v>1385</v>
      </c>
      <c r="AX473" s="2890">
        <f t="shared" ca="1" si="1008"/>
        <v>0</v>
      </c>
      <c r="AY473" s="579">
        <f ca="1">SUM(INDIRECT(AY$1&amp;AY$2&amp;$A473):INDIRECT(AY$1&amp;AY$3&amp;$A473))</f>
        <v>391</v>
      </c>
      <c r="AZ473" s="2889">
        <f t="shared" ca="1" si="1009"/>
        <v>994</v>
      </c>
      <c r="BA473" s="2890">
        <f t="shared" ca="1" si="1010"/>
        <v>3.5421994884910486</v>
      </c>
      <c r="BC473" s="579">
        <f ca="1">SUM((INDIRECT(BC$2&amp;(ROW())):INDIRECT(BC$3&amp;(ROW()))))</f>
        <v>1385</v>
      </c>
      <c r="BD473" s="579">
        <f ca="1">SUM(INDIRECT(BD$1&amp;BD$2&amp;$C473):INDIRECT(BD$1&amp;BD$3&amp;$C473))</f>
        <v>0</v>
      </c>
      <c r="BE473" s="2889">
        <f t="shared" ca="1" si="1011"/>
        <v>1385</v>
      </c>
      <c r="BF473" s="2890">
        <f t="shared" ca="1" si="1012"/>
        <v>0</v>
      </c>
      <c r="BG473" s="579">
        <f ca="1">SUM(INDIRECT(BG$1&amp;BG$2&amp;$A473):INDIRECT(BG$1&amp;BG$3&amp;$A473))</f>
        <v>391</v>
      </c>
      <c r="BH473" s="2889">
        <f t="shared" ca="1" si="1013"/>
        <v>994</v>
      </c>
      <c r="BI473" s="2890">
        <f t="shared" ca="1" si="1014"/>
        <v>3.5421994884910486</v>
      </c>
    </row>
    <row r="474" spans="1:61" ht="14.5">
      <c r="A474" s="1693">
        <f t="shared" si="1022"/>
        <v>466</v>
      </c>
      <c r="B474" s="616">
        <v>1</v>
      </c>
      <c r="C474" s="1693">
        <f t="shared" si="1019"/>
        <v>474</v>
      </c>
      <c r="D474" s="616">
        <v>1</v>
      </c>
      <c r="F474" s="69"/>
      <c r="J474" s="94"/>
      <c r="K474" s="93"/>
      <c r="L474" s="68"/>
      <c r="M474" s="68"/>
      <c r="O474" s="285"/>
      <c r="P474" s="285"/>
      <c r="Q474" s="285" t="s">
        <v>128</v>
      </c>
      <c r="R474" s="1779" t="str">
        <f>CHOOSE(2, "6722000003385", "S/GP (1)-1 Net Sales Direct NH KMI Office A4 NonContract")</f>
        <v>S/GP (1)-1 Net Sales Direct NH KMI Office A4 NonContract</v>
      </c>
      <c r="S474" s="1245"/>
      <c r="T474" s="1245"/>
      <c r="U474" s="1245"/>
      <c r="V474" s="1245"/>
      <c r="W474" s="1245"/>
      <c r="X474" s="1245"/>
      <c r="Y474" s="1245"/>
      <c r="Z474" s="1245"/>
      <c r="AA474" s="1245"/>
      <c r="AB474" s="1245"/>
      <c r="AC474" s="1245"/>
      <c r="AD474" s="1245"/>
      <c r="AE474" s="895">
        <f>SUM(S474,T474,U474)</f>
        <v>0</v>
      </c>
      <c r="AF474" s="1248">
        <f>SUM(V474,W474,X474)</f>
        <v>0</v>
      </c>
      <c r="AG474" s="1248">
        <f>SUM(Y474,Z474,AA474)</f>
        <v>0</v>
      </c>
      <c r="AH474" s="1248">
        <f>SUM(AB474,AC474,AD474)</f>
        <v>0</v>
      </c>
      <c r="AI474" s="1248">
        <f>AE474+AF474</f>
        <v>0</v>
      </c>
      <c r="AJ474" s="1248">
        <f>AH474+AG474</f>
        <v>0</v>
      </c>
      <c r="AK474" s="1248">
        <f>AI474+AJ474</f>
        <v>0</v>
      </c>
      <c r="AM474" s="1971">
        <f ca="1">SUM((INDIRECT(AM$2&amp;(ROW())):INDIRECT(AM$3&amp;(ROW()))))</f>
        <v>0</v>
      </c>
      <c r="AN474" s="1971">
        <f ca="1">SUM(INDIRECT(AN$1&amp;AN$2&amp;$C474):INDIRECT(AN$1&amp;AN$3&amp;$C474))</f>
        <v>0</v>
      </c>
      <c r="AO474" s="2881">
        <f t="shared" ca="1" si="1003"/>
        <v>0</v>
      </c>
      <c r="AP474" s="2882">
        <f t="shared" ca="1" si="1004"/>
        <v>0</v>
      </c>
      <c r="AQ474" s="1971">
        <f ca="1">SUM(INDIRECT(AQ$1&amp;AQ$2&amp;$A474):INDIRECT(AQ$1&amp;AQ$3&amp;$A474))</f>
        <v>0</v>
      </c>
      <c r="AR474" s="2881">
        <f t="shared" ca="1" si="1005"/>
        <v>0</v>
      </c>
      <c r="AS474" s="2882">
        <f t="shared" ca="1" si="1006"/>
        <v>0</v>
      </c>
      <c r="AU474" s="1971">
        <f ca="1">SUM((INDIRECT(AU$2&amp;(ROW())):INDIRECT(AU$3&amp;(ROW()))))</f>
        <v>0</v>
      </c>
      <c r="AV474" s="1971">
        <f ca="1">SUM(INDIRECT(AV$1&amp;AV$2&amp;$C474):INDIRECT(AV$1&amp;AV$3&amp;$C474))</f>
        <v>0</v>
      </c>
      <c r="AW474" s="2881">
        <f t="shared" ca="1" si="1007"/>
        <v>0</v>
      </c>
      <c r="AX474" s="2882">
        <f t="shared" ca="1" si="1008"/>
        <v>0</v>
      </c>
      <c r="AY474" s="1971">
        <f ca="1">SUM(INDIRECT(AY$1&amp;AY$2&amp;$A474):INDIRECT(AY$1&amp;AY$3&amp;$A474))</f>
        <v>0</v>
      </c>
      <c r="AZ474" s="2881">
        <f t="shared" ca="1" si="1009"/>
        <v>0</v>
      </c>
      <c r="BA474" s="2882">
        <f t="shared" ca="1" si="1010"/>
        <v>0</v>
      </c>
      <c r="BC474" s="1971">
        <f ca="1">SUM((INDIRECT(BC$2&amp;(ROW())):INDIRECT(BC$3&amp;(ROW()))))</f>
        <v>0</v>
      </c>
      <c r="BD474" s="1971">
        <f ca="1">SUM(INDIRECT(BD$1&amp;BD$2&amp;$C474):INDIRECT(BD$1&amp;BD$3&amp;$C474))</f>
        <v>0</v>
      </c>
      <c r="BE474" s="2881">
        <f t="shared" ca="1" si="1011"/>
        <v>0</v>
      </c>
      <c r="BF474" s="2882">
        <f t="shared" ca="1" si="1012"/>
        <v>0</v>
      </c>
      <c r="BG474" s="1971">
        <f ca="1">SUM(INDIRECT(BG$1&amp;BG$2&amp;$A474):INDIRECT(BG$1&amp;BG$3&amp;$A474))</f>
        <v>0</v>
      </c>
      <c r="BH474" s="2881">
        <f t="shared" ca="1" si="1013"/>
        <v>0</v>
      </c>
      <c r="BI474" s="2882">
        <f t="shared" ca="1" si="1014"/>
        <v>0</v>
      </c>
    </row>
    <row r="475" spans="1:61" ht="14.5" collapsed="1">
      <c r="A475" s="1693">
        <f t="shared" si="1022"/>
        <v>467</v>
      </c>
      <c r="B475" s="616">
        <v>1</v>
      </c>
      <c r="C475" s="1693">
        <f t="shared" si="1019"/>
        <v>475</v>
      </c>
      <c r="D475" s="616">
        <v>1</v>
      </c>
      <c r="F475" s="69"/>
      <c r="J475" s="94"/>
      <c r="K475" s="93"/>
      <c r="L475" s="68"/>
      <c r="M475" s="68"/>
      <c r="O475" s="288" t="s">
        <v>125</v>
      </c>
      <c r="P475" s="288"/>
      <c r="Q475" s="288"/>
      <c r="R475" s="1779" t="str">
        <f>CHOOSE(2, "6722000003386", "S/GP (1)-1 Net Sales Direct NH 3rd Party")</f>
        <v>S/GP (1)-1 Net Sales Direct NH 3rd Party</v>
      </c>
      <c r="S475" s="1246"/>
      <c r="T475" s="1246"/>
      <c r="U475" s="1246"/>
      <c r="V475" s="1246"/>
      <c r="W475" s="1246"/>
      <c r="X475" s="1246"/>
      <c r="Y475" s="1246"/>
      <c r="Z475" s="1246"/>
      <c r="AA475" s="1246"/>
      <c r="AB475" s="1246"/>
      <c r="AC475" s="1246"/>
      <c r="AD475" s="1246"/>
      <c r="AE475" s="897">
        <f>SUM(S475,T475,U475)</f>
        <v>0</v>
      </c>
      <c r="AF475" s="297">
        <f>SUM(V475,W475,X475)</f>
        <v>0</v>
      </c>
      <c r="AG475" s="297">
        <f>SUM(Y475,Z475,AA475)</f>
        <v>0</v>
      </c>
      <c r="AH475" s="297">
        <f>SUM(AB475,AC475,AD475)</f>
        <v>0</v>
      </c>
      <c r="AI475" s="297">
        <f>AE475+AF475</f>
        <v>0</v>
      </c>
      <c r="AJ475" s="297">
        <f>AH475+AG475</f>
        <v>0</v>
      </c>
      <c r="AK475" s="297">
        <f>AI475+AJ475</f>
        <v>0</v>
      </c>
      <c r="AM475" s="2143">
        <f ca="1">SUM((INDIRECT(AM$2&amp;(ROW())):INDIRECT(AM$3&amp;(ROW()))))</f>
        <v>0</v>
      </c>
      <c r="AN475" s="2143">
        <f ca="1">SUM(INDIRECT(AN$1&amp;AN$2&amp;$C475):INDIRECT(AN$1&amp;AN$3&amp;$C475))</f>
        <v>0</v>
      </c>
      <c r="AO475" s="2883">
        <f t="shared" ca="1" si="1003"/>
        <v>0</v>
      </c>
      <c r="AP475" s="2884">
        <f t="shared" ca="1" si="1004"/>
        <v>0</v>
      </c>
      <c r="AQ475" s="2143">
        <f ca="1">SUM(INDIRECT(AQ$1&amp;AQ$2&amp;$A475):INDIRECT(AQ$1&amp;AQ$3&amp;$A475))</f>
        <v>0</v>
      </c>
      <c r="AR475" s="2883">
        <f t="shared" ca="1" si="1005"/>
        <v>0</v>
      </c>
      <c r="AS475" s="2884">
        <f t="shared" ca="1" si="1006"/>
        <v>0</v>
      </c>
      <c r="AU475" s="2143">
        <f ca="1">SUM((INDIRECT(AU$2&amp;(ROW())):INDIRECT(AU$3&amp;(ROW()))))</f>
        <v>0</v>
      </c>
      <c r="AV475" s="2143">
        <f ca="1">SUM(INDIRECT(AV$1&amp;AV$2&amp;$C475):INDIRECT(AV$1&amp;AV$3&amp;$C475))</f>
        <v>0</v>
      </c>
      <c r="AW475" s="2883">
        <f t="shared" ca="1" si="1007"/>
        <v>0</v>
      </c>
      <c r="AX475" s="2884">
        <f t="shared" ca="1" si="1008"/>
        <v>0</v>
      </c>
      <c r="AY475" s="2143">
        <f ca="1">SUM(INDIRECT(AY$1&amp;AY$2&amp;$A475):INDIRECT(AY$1&amp;AY$3&amp;$A475))</f>
        <v>0</v>
      </c>
      <c r="AZ475" s="2883">
        <f t="shared" ca="1" si="1009"/>
        <v>0</v>
      </c>
      <c r="BA475" s="2884">
        <f t="shared" ca="1" si="1010"/>
        <v>0</v>
      </c>
      <c r="BC475" s="2143">
        <f ca="1">SUM((INDIRECT(BC$2&amp;(ROW())):INDIRECT(BC$3&amp;(ROW()))))</f>
        <v>0</v>
      </c>
      <c r="BD475" s="2143">
        <f ca="1">SUM(INDIRECT(BD$1&amp;BD$2&amp;$C475):INDIRECT(BD$1&amp;BD$3&amp;$C475))</f>
        <v>0</v>
      </c>
      <c r="BE475" s="2883">
        <f t="shared" ca="1" si="1011"/>
        <v>0</v>
      </c>
      <c r="BF475" s="2884">
        <f t="shared" ca="1" si="1012"/>
        <v>0</v>
      </c>
      <c r="BG475" s="2143">
        <f ca="1">SUM(INDIRECT(BG$1&amp;BG$2&amp;$A475):INDIRECT(BG$1&amp;BG$3&amp;$A475))</f>
        <v>0</v>
      </c>
      <c r="BH475" s="2883">
        <f t="shared" ca="1" si="1013"/>
        <v>0</v>
      </c>
      <c r="BI475" s="2884">
        <f t="shared" ca="1" si="1014"/>
        <v>0</v>
      </c>
    </row>
    <row r="476" spans="1:61" ht="14.5">
      <c r="A476" s="1693">
        <f t="shared" si="1022"/>
        <v>468</v>
      </c>
      <c r="B476" s="616">
        <v>1</v>
      </c>
      <c r="C476" s="1693">
        <f t="shared" si="1019"/>
        <v>476</v>
      </c>
      <c r="D476" s="616">
        <v>1</v>
      </c>
      <c r="F476" s="69"/>
      <c r="J476" s="94"/>
      <c r="K476" s="93"/>
      <c r="L476" s="67"/>
      <c r="M476" s="67"/>
      <c r="N476" s="20" t="s">
        <v>51</v>
      </c>
      <c r="O476" s="20"/>
      <c r="P476" s="20"/>
      <c r="Q476" s="233"/>
      <c r="R476" s="1779" t="str">
        <f>CHOOSE(2, "6722000003387", "S/GP (1)-1 Net Sales Direct Others")</f>
        <v>S/GP (1)-1 Net Sales Direct Others</v>
      </c>
      <c r="S476" s="1280"/>
      <c r="T476" s="1280"/>
      <c r="U476" s="1280"/>
      <c r="V476" s="1280"/>
      <c r="W476" s="1280"/>
      <c r="X476" s="1280"/>
      <c r="Y476" s="1280"/>
      <c r="Z476" s="1280"/>
      <c r="AA476" s="1280"/>
      <c r="AB476" s="1280"/>
      <c r="AC476" s="1280"/>
      <c r="AD476" s="1280"/>
      <c r="AE476" s="900">
        <f>SUM(S476,T476,U476)</f>
        <v>0</v>
      </c>
      <c r="AF476" s="64">
        <f>SUM(V476,W476,X476)</f>
        <v>0</v>
      </c>
      <c r="AG476" s="64">
        <f>SUM(Y476,Z476,AA476)</f>
        <v>0</v>
      </c>
      <c r="AH476" s="64">
        <f>SUM(AB476,AC476,AD476)</f>
        <v>0</v>
      </c>
      <c r="AI476" s="64">
        <f>AE476+AF476</f>
        <v>0</v>
      </c>
      <c r="AJ476" s="64">
        <f>AH476+AG476</f>
        <v>0</v>
      </c>
      <c r="AK476" s="64">
        <f>AI476+AJ476</f>
        <v>0</v>
      </c>
      <c r="AM476" s="1918">
        <f ca="1">SUM((INDIRECT(AM$2&amp;(ROW())):INDIRECT(AM$3&amp;(ROW()))))</f>
        <v>0</v>
      </c>
      <c r="AN476" s="1918">
        <f ca="1">SUM(INDIRECT(AN$1&amp;AN$2&amp;$C476):INDIRECT(AN$1&amp;AN$3&amp;$C476))</f>
        <v>0</v>
      </c>
      <c r="AO476" s="2891">
        <f t="shared" ca="1" si="1003"/>
        <v>0</v>
      </c>
      <c r="AP476" s="2892">
        <f t="shared" ca="1" si="1004"/>
        <v>0</v>
      </c>
      <c r="AQ476" s="1918">
        <f ca="1">SUM(INDIRECT(AQ$1&amp;AQ$2&amp;$A476):INDIRECT(AQ$1&amp;AQ$3&amp;$A476))</f>
        <v>0</v>
      </c>
      <c r="AR476" s="2891">
        <f t="shared" ca="1" si="1005"/>
        <v>0</v>
      </c>
      <c r="AS476" s="2892">
        <f t="shared" ca="1" si="1006"/>
        <v>0</v>
      </c>
      <c r="AU476" s="1918">
        <f ca="1">SUM((INDIRECT(AU$2&amp;(ROW())):INDIRECT(AU$3&amp;(ROW()))))</f>
        <v>0</v>
      </c>
      <c r="AV476" s="1918">
        <f ca="1">SUM(INDIRECT(AV$1&amp;AV$2&amp;$C476):INDIRECT(AV$1&amp;AV$3&amp;$C476))</f>
        <v>0</v>
      </c>
      <c r="AW476" s="2891">
        <f t="shared" ca="1" si="1007"/>
        <v>0</v>
      </c>
      <c r="AX476" s="2892">
        <f t="shared" ca="1" si="1008"/>
        <v>0</v>
      </c>
      <c r="AY476" s="1918">
        <f ca="1">SUM(INDIRECT(AY$1&amp;AY$2&amp;$A476):INDIRECT(AY$1&amp;AY$3&amp;$A476))</f>
        <v>0</v>
      </c>
      <c r="AZ476" s="2891">
        <f t="shared" ca="1" si="1009"/>
        <v>0</v>
      </c>
      <c r="BA476" s="2892">
        <f t="shared" ca="1" si="1010"/>
        <v>0</v>
      </c>
      <c r="BC476" s="1918">
        <f ca="1">SUM((INDIRECT(BC$2&amp;(ROW())):INDIRECT(BC$3&amp;(ROW()))))</f>
        <v>0</v>
      </c>
      <c r="BD476" s="1918">
        <f ca="1">SUM(INDIRECT(BD$1&amp;BD$2&amp;$C476):INDIRECT(BD$1&amp;BD$3&amp;$C476))</f>
        <v>0</v>
      </c>
      <c r="BE476" s="2891">
        <f t="shared" ca="1" si="1011"/>
        <v>0</v>
      </c>
      <c r="BF476" s="2892">
        <f t="shared" ca="1" si="1012"/>
        <v>0</v>
      </c>
      <c r="BG476" s="1918">
        <f ca="1">SUM(INDIRECT(BG$1&amp;BG$2&amp;$A476):INDIRECT(BG$1&amp;BG$3&amp;$A476))</f>
        <v>0</v>
      </c>
      <c r="BH476" s="2891">
        <f t="shared" ca="1" si="1013"/>
        <v>0</v>
      </c>
      <c r="BI476" s="2892">
        <f t="shared" ca="1" si="1014"/>
        <v>0</v>
      </c>
    </row>
    <row r="477" spans="1:61" ht="14.5">
      <c r="A477" s="1693">
        <f t="shared" si="1022"/>
        <v>469</v>
      </c>
      <c r="B477" s="616">
        <v>1</v>
      </c>
      <c r="C477" s="1693">
        <f t="shared" si="1019"/>
        <v>477</v>
      </c>
      <c r="D477" s="616">
        <v>1</v>
      </c>
      <c r="F477" s="69"/>
      <c r="J477" s="94"/>
      <c r="K477" s="93"/>
      <c r="L477" s="75" t="s">
        <v>129</v>
      </c>
      <c r="M477" s="75"/>
      <c r="N477" s="299"/>
      <c r="O477" s="299"/>
      <c r="P477" s="299"/>
      <c r="Q477" s="583"/>
      <c r="R477" s="1812" t="str">
        <f>CHOOSE(2, "6722000003388", "S/GP (1)-1 Net Sales Indirect")</f>
        <v>S/GP (1)-1 Net Sales Indirect</v>
      </c>
      <c r="S477" s="1319">
        <f>+S478+S483+S492</f>
        <v>213690</v>
      </c>
      <c r="T477" s="1187">
        <f t="shared" ref="T477:AD477" si="1031">+T478+T483+T492</f>
        <v>231598.88749000002</v>
      </c>
      <c r="U477" s="1187">
        <f t="shared" si="1031"/>
        <v>245404.97200000001</v>
      </c>
      <c r="V477" s="1187">
        <f t="shared" si="1031"/>
        <v>208310.90302000003</v>
      </c>
      <c r="W477" s="1187">
        <f t="shared" si="1031"/>
        <v>237206.21108000001</v>
      </c>
      <c r="X477" s="1187">
        <f t="shared" si="1031"/>
        <v>272094.15216</v>
      </c>
      <c r="Y477" s="1187">
        <f t="shared" si="1031"/>
        <v>181487.32675000001</v>
      </c>
      <c r="Z477" s="1187">
        <f t="shared" si="1031"/>
        <v>211981.04791999998</v>
      </c>
      <c r="AA477" s="1187">
        <f t="shared" si="1031"/>
        <v>254700.95292999997</v>
      </c>
      <c r="AB477" s="1187">
        <f t="shared" si="1031"/>
        <v>233296.94743999999</v>
      </c>
      <c r="AC477" s="1187">
        <f t="shared" si="1031"/>
        <v>228083.98683000001</v>
      </c>
      <c r="AD477" s="1187">
        <f t="shared" si="1031"/>
        <v>253327.92878999998</v>
      </c>
      <c r="AE477" s="901">
        <f t="shared" ref="AE477:AK477" si="1032">+AE478+AE483+AE492</f>
        <v>690693.85949000006</v>
      </c>
      <c r="AF477" s="98">
        <f t="shared" si="1032"/>
        <v>717611.26625999995</v>
      </c>
      <c r="AG477" s="98">
        <f t="shared" si="1032"/>
        <v>648169.32759999996</v>
      </c>
      <c r="AH477" s="98">
        <f t="shared" si="1032"/>
        <v>714708.86306</v>
      </c>
      <c r="AI477" s="98">
        <f t="shared" si="1032"/>
        <v>1408305.1257500001</v>
      </c>
      <c r="AJ477" s="98">
        <f t="shared" si="1032"/>
        <v>1362878.1906600001</v>
      </c>
      <c r="AK477" s="98">
        <f t="shared" si="1032"/>
        <v>2771183.31641</v>
      </c>
      <c r="AM477" s="1319">
        <f ca="1">SUM((INDIRECT(AM$2&amp;(ROW())):INDIRECT(AM$3&amp;(ROW()))))</f>
        <v>213690</v>
      </c>
      <c r="AN477" s="2149">
        <f ca="1">SUM(INDIRECT(AN$1&amp;AN$2&amp;$C477):INDIRECT(AN$1&amp;AN$3&amp;$C477))</f>
        <v>181735.43435057375</v>
      </c>
      <c r="AO477" s="2893">
        <f t="shared" ca="1" si="1003"/>
        <v>31954.565649426251</v>
      </c>
      <c r="AP477" s="2894">
        <f t="shared" ca="1" si="1004"/>
        <v>1.1758301333122787</v>
      </c>
      <c r="AQ477" s="2149">
        <f ca="1">SUM(INDIRECT(AQ$1&amp;AQ$2&amp;$A477):INDIRECT(AQ$1&amp;AQ$3&amp;$A477))</f>
        <v>117898</v>
      </c>
      <c r="AR477" s="2893">
        <f t="shared" ca="1" si="1005"/>
        <v>95792</v>
      </c>
      <c r="AS477" s="2894">
        <f t="shared" ca="1" si="1006"/>
        <v>1.8124989397614888</v>
      </c>
      <c r="AU477" s="1319">
        <f ca="1">SUM((INDIRECT(AU$2&amp;(ROW())):INDIRECT(AU$3&amp;(ROW()))))</f>
        <v>213690</v>
      </c>
      <c r="AV477" s="2149">
        <f ca="1">SUM(INDIRECT(AV$1&amp;AV$2&amp;$C477):INDIRECT(AV$1&amp;AV$3&amp;$C477))</f>
        <v>181735.43435057375</v>
      </c>
      <c r="AW477" s="2893">
        <f t="shared" ca="1" si="1007"/>
        <v>31954.565649426251</v>
      </c>
      <c r="AX477" s="2894">
        <f t="shared" ca="1" si="1008"/>
        <v>1.1758301333122787</v>
      </c>
      <c r="AY477" s="2149">
        <f ca="1">SUM(INDIRECT(AY$1&amp;AY$2&amp;$A477):INDIRECT(AY$1&amp;AY$3&amp;$A477))</f>
        <v>117898</v>
      </c>
      <c r="AZ477" s="2893">
        <f t="shared" ca="1" si="1009"/>
        <v>95792</v>
      </c>
      <c r="BA477" s="2894">
        <f t="shared" ca="1" si="1010"/>
        <v>1.8124989397614888</v>
      </c>
      <c r="BC477" s="1319">
        <f ca="1">SUM((INDIRECT(BC$2&amp;(ROW())):INDIRECT(BC$3&amp;(ROW()))))</f>
        <v>213690</v>
      </c>
      <c r="BD477" s="2149">
        <f ca="1">SUM(INDIRECT(BD$1&amp;BD$2&amp;$C477):INDIRECT(BD$1&amp;BD$3&amp;$C477))</f>
        <v>181735.43435057375</v>
      </c>
      <c r="BE477" s="2893">
        <f t="shared" ca="1" si="1011"/>
        <v>31954.565649426251</v>
      </c>
      <c r="BF477" s="2894">
        <f t="shared" ca="1" si="1012"/>
        <v>1.1758301333122787</v>
      </c>
      <c r="BG477" s="2149">
        <f ca="1">SUM(INDIRECT(BG$1&amp;BG$2&amp;$A477):INDIRECT(BG$1&amp;BG$3&amp;$A477))</f>
        <v>117898</v>
      </c>
      <c r="BH477" s="2893">
        <f t="shared" ca="1" si="1013"/>
        <v>95792</v>
      </c>
      <c r="BI477" s="2894">
        <f t="shared" ca="1" si="1014"/>
        <v>1.8124989397614888</v>
      </c>
    </row>
    <row r="478" spans="1:61" ht="14.5">
      <c r="A478" s="1693">
        <f t="shared" si="1022"/>
        <v>470</v>
      </c>
      <c r="B478" s="616">
        <v>1</v>
      </c>
      <c r="C478" s="1693">
        <f t="shared" si="1019"/>
        <v>478</v>
      </c>
      <c r="D478" s="616">
        <v>1</v>
      </c>
      <c r="F478" s="69"/>
      <c r="J478" s="94"/>
      <c r="K478" s="93"/>
      <c r="L478" s="63"/>
      <c r="M478" s="63"/>
      <c r="N478" s="8" t="s">
        <v>121</v>
      </c>
      <c r="O478" s="285"/>
      <c r="P478" s="285"/>
      <c r="Q478" s="285"/>
      <c r="R478" s="1777" t="str">
        <f>CHOOSE(2, "6722000003389", "S/GP (1)-1 Net Sales Indirect HW")</f>
        <v>S/GP (1)-1 Net Sales Indirect HW</v>
      </c>
      <c r="S478" s="1248">
        <f>S479+S482</f>
        <v>135242</v>
      </c>
      <c r="T478" s="1248">
        <f t="shared" ref="T478:AD478" si="1033">T479+T482</f>
        <v>163932.92268000002</v>
      </c>
      <c r="U478" s="1248">
        <f t="shared" si="1033"/>
        <v>185074.31299999999</v>
      </c>
      <c r="V478" s="1248">
        <f t="shared" si="1033"/>
        <v>145294.66561000003</v>
      </c>
      <c r="W478" s="1248">
        <f t="shared" si="1033"/>
        <v>161518.70994</v>
      </c>
      <c r="X478" s="1248">
        <f t="shared" si="1033"/>
        <v>210388.5834</v>
      </c>
      <c r="Y478" s="1248">
        <f t="shared" si="1033"/>
        <v>110435.24800000001</v>
      </c>
      <c r="Z478" s="1248">
        <f t="shared" si="1033"/>
        <v>137740.65263999999</v>
      </c>
      <c r="AA478" s="1248">
        <f t="shared" si="1033"/>
        <v>169504.20181</v>
      </c>
      <c r="AB478" s="1248">
        <f t="shared" si="1033"/>
        <v>156026.91759</v>
      </c>
      <c r="AC478" s="1248">
        <f t="shared" si="1033"/>
        <v>161306.06732</v>
      </c>
      <c r="AD478" s="1248">
        <f t="shared" si="1033"/>
        <v>178198.84177</v>
      </c>
      <c r="AE478" s="895">
        <f t="shared" ref="AE478:AK478" si="1034">AE479+AE482</f>
        <v>484249.23568000004</v>
      </c>
      <c r="AF478" s="1248">
        <f t="shared" si="1034"/>
        <v>517201.95895</v>
      </c>
      <c r="AG478" s="1248">
        <f t="shared" si="1034"/>
        <v>417680.10245000001</v>
      </c>
      <c r="AH478" s="1248">
        <f t="shared" si="1034"/>
        <v>495531.82668</v>
      </c>
      <c r="AI478" s="1248">
        <f t="shared" si="1034"/>
        <v>1001451.19463</v>
      </c>
      <c r="AJ478" s="1248">
        <f t="shared" si="1034"/>
        <v>913211.92913000006</v>
      </c>
      <c r="AK478" s="1248">
        <f t="shared" si="1034"/>
        <v>1914663.1237600001</v>
      </c>
      <c r="AM478" s="2183">
        <f ca="1">SUM((INDIRECT(AM$2&amp;(ROW())):INDIRECT(AM$3&amp;(ROW()))))</f>
        <v>135242</v>
      </c>
      <c r="AN478" s="2183">
        <f ca="1">SUM(INDIRECT(AN$1&amp;AN$2&amp;$C478):INDIRECT(AN$1&amp;AN$3&amp;$C478))</f>
        <v>112928.64049119875</v>
      </c>
      <c r="AO478" s="2875">
        <f t="shared" ca="1" si="1003"/>
        <v>22313.359508801252</v>
      </c>
      <c r="AP478" s="2876">
        <f t="shared" ca="1" si="1004"/>
        <v>1.1975881354078666</v>
      </c>
      <c r="AQ478" s="2183">
        <f ca="1">SUM(INDIRECT(AQ$1&amp;AQ$2&amp;$A478):INDIRECT(AQ$1&amp;AQ$3&amp;$A478))</f>
        <v>51668</v>
      </c>
      <c r="AR478" s="2875">
        <f t="shared" ca="1" si="1005"/>
        <v>83574</v>
      </c>
      <c r="AS478" s="2876">
        <f t="shared" ca="1" si="1006"/>
        <v>2.6175195478826354</v>
      </c>
      <c r="AU478" s="2183">
        <f ca="1">SUM((INDIRECT(AU$2&amp;(ROW())):INDIRECT(AU$3&amp;(ROW()))))</f>
        <v>135242</v>
      </c>
      <c r="AV478" s="2183">
        <f ca="1">SUM(INDIRECT(AV$1&amp;AV$2&amp;$C478):INDIRECT(AV$1&amp;AV$3&amp;$C478))</f>
        <v>112928.64049119875</v>
      </c>
      <c r="AW478" s="2875">
        <f t="shared" ca="1" si="1007"/>
        <v>22313.359508801252</v>
      </c>
      <c r="AX478" s="2876">
        <f t="shared" ca="1" si="1008"/>
        <v>1.1975881354078666</v>
      </c>
      <c r="AY478" s="2183">
        <f ca="1">SUM(INDIRECT(AY$1&amp;AY$2&amp;$A478):INDIRECT(AY$1&amp;AY$3&amp;$A478))</f>
        <v>51668</v>
      </c>
      <c r="AZ478" s="2875">
        <f t="shared" ca="1" si="1009"/>
        <v>83574</v>
      </c>
      <c r="BA478" s="2876">
        <f t="shared" ca="1" si="1010"/>
        <v>2.6175195478826354</v>
      </c>
      <c r="BC478" s="2183">
        <f ca="1">SUM((INDIRECT(BC$2&amp;(ROW())):INDIRECT(BC$3&amp;(ROW()))))</f>
        <v>135242</v>
      </c>
      <c r="BD478" s="2183">
        <f ca="1">SUM(INDIRECT(BD$1&amp;BD$2&amp;$C478):INDIRECT(BD$1&amp;BD$3&amp;$C478))</f>
        <v>112928.64049119875</v>
      </c>
      <c r="BE478" s="2875">
        <f t="shared" ca="1" si="1011"/>
        <v>22313.359508801252</v>
      </c>
      <c r="BF478" s="2876">
        <f t="shared" ca="1" si="1012"/>
        <v>1.1975881354078666</v>
      </c>
      <c r="BG478" s="2183">
        <f ca="1">SUM(INDIRECT(BG$1&amp;BG$2&amp;$A478):INDIRECT(BG$1&amp;BG$3&amp;$A478))</f>
        <v>51668</v>
      </c>
      <c r="BH478" s="2875">
        <f t="shared" ca="1" si="1013"/>
        <v>83574</v>
      </c>
      <c r="BI478" s="2876">
        <f t="shared" ca="1" si="1014"/>
        <v>2.6175195478826354</v>
      </c>
    </row>
    <row r="479" spans="1:61" ht="14.5">
      <c r="A479" s="1693">
        <f t="shared" si="1022"/>
        <v>471</v>
      </c>
      <c r="B479" s="616">
        <v>1</v>
      </c>
      <c r="C479" s="1693">
        <f t="shared" si="1019"/>
        <v>479</v>
      </c>
      <c r="D479" s="616">
        <v>1</v>
      </c>
      <c r="F479" s="69"/>
      <c r="J479" s="94"/>
      <c r="K479" s="93"/>
      <c r="L479" s="63"/>
      <c r="M479" s="63"/>
      <c r="O479" s="97" t="s">
        <v>122</v>
      </c>
      <c r="P479" s="97"/>
      <c r="Q479" s="97"/>
      <c r="R479" s="1777" t="str">
        <f>CHOOSE(2, "6722000003390", "S/GP (1)-1 Net Sales Indirect HW KMI")</f>
        <v>S/GP (1)-1 Net Sales Indirect HW KMI</v>
      </c>
      <c r="S479" s="95">
        <f>SUM(S480:S481)</f>
        <v>135242</v>
      </c>
      <c r="T479" s="95">
        <f t="shared" ref="T479:AD479" si="1035">SUM(T480:T481)</f>
        <v>163932.92268000002</v>
      </c>
      <c r="U479" s="95">
        <f t="shared" si="1035"/>
        <v>185074.31299999999</v>
      </c>
      <c r="V479" s="95">
        <f t="shared" si="1035"/>
        <v>145294.66561000003</v>
      </c>
      <c r="W479" s="95">
        <f t="shared" si="1035"/>
        <v>161518.70994</v>
      </c>
      <c r="X479" s="95">
        <f t="shared" si="1035"/>
        <v>210388.5834</v>
      </c>
      <c r="Y479" s="95">
        <f t="shared" si="1035"/>
        <v>110435.24800000001</v>
      </c>
      <c r="Z479" s="95">
        <f t="shared" si="1035"/>
        <v>137740.65263999999</v>
      </c>
      <c r="AA479" s="95">
        <f t="shared" si="1035"/>
        <v>169504.20181</v>
      </c>
      <c r="AB479" s="95">
        <f t="shared" si="1035"/>
        <v>156026.91759</v>
      </c>
      <c r="AC479" s="95">
        <f t="shared" si="1035"/>
        <v>161306.06732</v>
      </c>
      <c r="AD479" s="95">
        <f t="shared" si="1035"/>
        <v>178198.84177</v>
      </c>
      <c r="AE479" s="896">
        <f t="shared" ref="AE479:AK479" si="1036">SUM(AE480:AE481)</f>
        <v>484249.23568000004</v>
      </c>
      <c r="AF479" s="95">
        <f t="shared" si="1036"/>
        <v>517201.95895</v>
      </c>
      <c r="AG479" s="95">
        <f t="shared" si="1036"/>
        <v>417680.10245000001</v>
      </c>
      <c r="AH479" s="95">
        <f t="shared" si="1036"/>
        <v>495531.82668</v>
      </c>
      <c r="AI479" s="95">
        <f t="shared" si="1036"/>
        <v>1001451.19463</v>
      </c>
      <c r="AJ479" s="95">
        <f t="shared" si="1036"/>
        <v>913211.92913000006</v>
      </c>
      <c r="AK479" s="95">
        <f t="shared" si="1036"/>
        <v>1914663.1237600001</v>
      </c>
      <c r="AM479" s="2161">
        <f ca="1">SUM((INDIRECT(AM$2&amp;(ROW())):INDIRECT(AM$3&amp;(ROW()))))</f>
        <v>135242</v>
      </c>
      <c r="AN479" s="2161">
        <f ca="1">SUM(INDIRECT(AN$1&amp;AN$2&amp;$C479):INDIRECT(AN$1&amp;AN$3&amp;$C479))</f>
        <v>112928.64049119875</v>
      </c>
      <c r="AO479" s="2877">
        <f t="shared" ca="1" si="1003"/>
        <v>22313.359508801252</v>
      </c>
      <c r="AP479" s="2878">
        <f t="shared" ca="1" si="1004"/>
        <v>1.1975881354078666</v>
      </c>
      <c r="AQ479" s="2161">
        <f ca="1">SUM(INDIRECT(AQ$1&amp;AQ$2&amp;$A479):INDIRECT(AQ$1&amp;AQ$3&amp;$A479))</f>
        <v>51668</v>
      </c>
      <c r="AR479" s="2877">
        <f t="shared" ca="1" si="1005"/>
        <v>83574</v>
      </c>
      <c r="AS479" s="2878">
        <f t="shared" ca="1" si="1006"/>
        <v>2.6175195478826354</v>
      </c>
      <c r="AU479" s="2161">
        <f ca="1">SUM((INDIRECT(AU$2&amp;(ROW())):INDIRECT(AU$3&amp;(ROW()))))</f>
        <v>135242</v>
      </c>
      <c r="AV479" s="2161">
        <f ca="1">SUM(INDIRECT(AV$1&amp;AV$2&amp;$C479):INDIRECT(AV$1&amp;AV$3&amp;$C479))</f>
        <v>112928.64049119875</v>
      </c>
      <c r="AW479" s="2877">
        <f t="shared" ca="1" si="1007"/>
        <v>22313.359508801252</v>
      </c>
      <c r="AX479" s="2878">
        <f t="shared" ca="1" si="1008"/>
        <v>1.1975881354078666</v>
      </c>
      <c r="AY479" s="2161">
        <f ca="1">SUM(INDIRECT(AY$1&amp;AY$2&amp;$A479):INDIRECT(AY$1&amp;AY$3&amp;$A479))</f>
        <v>51668</v>
      </c>
      <c r="AZ479" s="2877">
        <f t="shared" ca="1" si="1009"/>
        <v>83574</v>
      </c>
      <c r="BA479" s="2878">
        <f t="shared" ca="1" si="1010"/>
        <v>2.6175195478826354</v>
      </c>
      <c r="BC479" s="2161">
        <f ca="1">SUM((INDIRECT(BC$2&amp;(ROW())):INDIRECT(BC$3&amp;(ROW()))))</f>
        <v>135242</v>
      </c>
      <c r="BD479" s="2161">
        <f ca="1">SUM(INDIRECT(BD$1&amp;BD$2&amp;$C479):INDIRECT(BD$1&amp;BD$3&amp;$C479))</f>
        <v>112928.64049119875</v>
      </c>
      <c r="BE479" s="2877">
        <f t="shared" ca="1" si="1011"/>
        <v>22313.359508801252</v>
      </c>
      <c r="BF479" s="2878">
        <f t="shared" ca="1" si="1012"/>
        <v>1.1975881354078666</v>
      </c>
      <c r="BG479" s="2161">
        <f ca="1">SUM(INDIRECT(BG$1&amp;BG$2&amp;$A479):INDIRECT(BG$1&amp;BG$3&amp;$A479))</f>
        <v>51668</v>
      </c>
      <c r="BH479" s="2877">
        <f t="shared" ca="1" si="1013"/>
        <v>83574</v>
      </c>
      <c r="BI479" s="2878">
        <f t="shared" ca="1" si="1014"/>
        <v>2.6175195478826354</v>
      </c>
    </row>
    <row r="480" spans="1:61" ht="14.5">
      <c r="A480" s="1693">
        <f t="shared" si="1022"/>
        <v>472</v>
      </c>
      <c r="B480" s="616">
        <v>1</v>
      </c>
      <c r="C480" s="1693">
        <f t="shared" si="1019"/>
        <v>480</v>
      </c>
      <c r="D480" s="616">
        <v>1</v>
      </c>
      <c r="F480" s="69"/>
      <c r="J480" s="94"/>
      <c r="K480" s="93"/>
      <c r="L480" s="63"/>
      <c r="M480" s="63"/>
      <c r="P480" s="97" t="s">
        <v>123</v>
      </c>
      <c r="Q480" s="97"/>
      <c r="R480" s="1779" t="str">
        <f>CHOOSE(2, "6722000003391", "S/GP (1)-1 Net Sales Indirect HW KMI Office A3")</f>
        <v>S/GP (1)-1 Net Sales Indirect HW KMI Office A3</v>
      </c>
      <c r="S480" s="1227">
        <v>135242</v>
      </c>
      <c r="T480" s="1227">
        <v>163932.92268000002</v>
      </c>
      <c r="U480" s="1227">
        <v>185074.31299999999</v>
      </c>
      <c r="V480" s="1227">
        <v>145294.66561000003</v>
      </c>
      <c r="W480" s="1227">
        <v>161518.70994</v>
      </c>
      <c r="X480" s="1227">
        <v>210388.5834</v>
      </c>
      <c r="Y480" s="1227">
        <v>110435.24800000001</v>
      </c>
      <c r="Z480" s="1227">
        <v>137740.65263999999</v>
      </c>
      <c r="AA480" s="1227">
        <v>169504.20181</v>
      </c>
      <c r="AB480" s="1227">
        <v>156026.91759</v>
      </c>
      <c r="AC480" s="1227">
        <v>161306.06732</v>
      </c>
      <c r="AD480" s="1227">
        <v>178198.84177</v>
      </c>
      <c r="AE480" s="896">
        <f>SUM(S480,T480,U480)</f>
        <v>484249.23568000004</v>
      </c>
      <c r="AF480" s="95">
        <f>SUM(V480,W480,X480)</f>
        <v>517201.95895</v>
      </c>
      <c r="AG480" s="95">
        <f>SUM(Y480,Z480,AA480)</f>
        <v>417680.10245000001</v>
      </c>
      <c r="AH480" s="95">
        <f>SUM(AB480,AC480,AD480)</f>
        <v>495531.82668</v>
      </c>
      <c r="AI480" s="95">
        <f>AE480+AF480</f>
        <v>1001451.19463</v>
      </c>
      <c r="AJ480" s="95">
        <f>AH480+AG480</f>
        <v>913211.92913000006</v>
      </c>
      <c r="AK480" s="95">
        <f>AI480+AJ480</f>
        <v>1914663.1237600001</v>
      </c>
      <c r="AM480" s="2138">
        <f ca="1">SUM((INDIRECT(AM$2&amp;(ROW())):INDIRECT(AM$3&amp;(ROW()))))</f>
        <v>135242</v>
      </c>
      <c r="AN480" s="2138">
        <f ca="1">SUM(INDIRECT(AN$1&amp;AN$2&amp;$C480):INDIRECT(AN$1&amp;AN$3&amp;$C480))</f>
        <v>112928.64049119875</v>
      </c>
      <c r="AO480" s="2879">
        <f t="shared" ca="1" si="1003"/>
        <v>22313.359508801252</v>
      </c>
      <c r="AP480" s="2880">
        <f t="shared" ca="1" si="1004"/>
        <v>1.1975881354078666</v>
      </c>
      <c r="AQ480" s="2138">
        <f ca="1">SUM(INDIRECT(AQ$1&amp;AQ$2&amp;$A480):INDIRECT(AQ$1&amp;AQ$3&amp;$A480))</f>
        <v>51629</v>
      </c>
      <c r="AR480" s="2879">
        <f t="shared" ca="1" si="1005"/>
        <v>83613</v>
      </c>
      <c r="AS480" s="2880">
        <f t="shared" ca="1" si="1006"/>
        <v>2.6194967944372349</v>
      </c>
      <c r="AU480" s="2138">
        <f ca="1">SUM((INDIRECT(AU$2&amp;(ROW())):INDIRECT(AU$3&amp;(ROW()))))</f>
        <v>135242</v>
      </c>
      <c r="AV480" s="2138">
        <f ca="1">SUM(INDIRECT(AV$1&amp;AV$2&amp;$C480):INDIRECT(AV$1&amp;AV$3&amp;$C480))</f>
        <v>112928.64049119875</v>
      </c>
      <c r="AW480" s="2879">
        <f t="shared" ca="1" si="1007"/>
        <v>22313.359508801252</v>
      </c>
      <c r="AX480" s="2880">
        <f t="shared" ca="1" si="1008"/>
        <v>1.1975881354078666</v>
      </c>
      <c r="AY480" s="2138">
        <f ca="1">SUM(INDIRECT(AY$1&amp;AY$2&amp;$A480):INDIRECT(AY$1&amp;AY$3&amp;$A480))</f>
        <v>51629</v>
      </c>
      <c r="AZ480" s="2879">
        <f t="shared" ca="1" si="1009"/>
        <v>83613</v>
      </c>
      <c r="BA480" s="2880">
        <f t="shared" ca="1" si="1010"/>
        <v>2.6194967944372349</v>
      </c>
      <c r="BC480" s="2138">
        <f ca="1">SUM((INDIRECT(BC$2&amp;(ROW())):INDIRECT(BC$3&amp;(ROW()))))</f>
        <v>135242</v>
      </c>
      <c r="BD480" s="2138">
        <f ca="1">SUM(INDIRECT(BD$1&amp;BD$2&amp;$C480):INDIRECT(BD$1&amp;BD$3&amp;$C480))</f>
        <v>112928.64049119875</v>
      </c>
      <c r="BE480" s="2879">
        <f t="shared" ca="1" si="1011"/>
        <v>22313.359508801252</v>
      </c>
      <c r="BF480" s="2880">
        <f t="shared" ca="1" si="1012"/>
        <v>1.1975881354078666</v>
      </c>
      <c r="BG480" s="2138">
        <f ca="1">SUM(INDIRECT(BG$1&amp;BG$2&amp;$A480):INDIRECT(BG$1&amp;BG$3&amp;$A480))</f>
        <v>51629</v>
      </c>
      <c r="BH480" s="2879">
        <f t="shared" ca="1" si="1013"/>
        <v>83613</v>
      </c>
      <c r="BI480" s="2880">
        <f t="shared" ca="1" si="1014"/>
        <v>2.6194967944372349</v>
      </c>
    </row>
    <row r="481" spans="1:61" ht="15" customHeight="1">
      <c r="A481" s="1693">
        <f t="shared" si="1022"/>
        <v>473</v>
      </c>
      <c r="B481" s="616">
        <v>1</v>
      </c>
      <c r="C481" s="1693">
        <f t="shared" si="1019"/>
        <v>481</v>
      </c>
      <c r="D481" s="616">
        <v>1</v>
      </c>
      <c r="F481" s="69"/>
      <c r="J481" s="94"/>
      <c r="K481" s="93"/>
      <c r="L481" s="63"/>
      <c r="M481" s="63"/>
      <c r="O481" s="285"/>
      <c r="P481" s="285" t="s">
        <v>124</v>
      </c>
      <c r="Q481" s="285"/>
      <c r="R481" s="1779" t="str">
        <f>CHOOSE(2, "6722000003392", "S/GP (1)-1 Net Sales Indirect HW KMI Office A4")</f>
        <v>S/GP (1)-1 Net Sales Indirect HW KMI Office A4</v>
      </c>
      <c r="S481" s="1245"/>
      <c r="T481" s="1245"/>
      <c r="U481" s="1245"/>
      <c r="V481" s="1245"/>
      <c r="W481" s="1245"/>
      <c r="X481" s="1245"/>
      <c r="Y481" s="1245"/>
      <c r="Z481" s="1245"/>
      <c r="AA481" s="1245"/>
      <c r="AB481" s="1245"/>
      <c r="AC481" s="1245"/>
      <c r="AD481" s="1245"/>
      <c r="AE481" s="895">
        <f>SUM(S481,T481,U481)</f>
        <v>0</v>
      </c>
      <c r="AF481" s="1248">
        <f>SUM(V481,W481,X481)</f>
        <v>0</v>
      </c>
      <c r="AG481" s="1248">
        <f>SUM(Y481,Z481,AA481)</f>
        <v>0</v>
      </c>
      <c r="AH481" s="1248">
        <f>SUM(AB481,AC481,AD481)</f>
        <v>0</v>
      </c>
      <c r="AI481" s="1248">
        <f>AE481+AF481</f>
        <v>0</v>
      </c>
      <c r="AJ481" s="1248">
        <f>AH481+AG481</f>
        <v>0</v>
      </c>
      <c r="AK481" s="1248">
        <f>AI481+AJ481</f>
        <v>0</v>
      </c>
      <c r="AM481" s="1971">
        <f ca="1">SUM((INDIRECT(AM$2&amp;(ROW())):INDIRECT(AM$3&amp;(ROW()))))</f>
        <v>0</v>
      </c>
      <c r="AN481" s="1971">
        <f ca="1">SUM(INDIRECT(AN$1&amp;AN$2&amp;$C481):INDIRECT(AN$1&amp;AN$3&amp;$C481))</f>
        <v>0</v>
      </c>
      <c r="AO481" s="2881">
        <f t="shared" ca="1" si="1003"/>
        <v>0</v>
      </c>
      <c r="AP481" s="2882">
        <f t="shared" ca="1" si="1004"/>
        <v>0</v>
      </c>
      <c r="AQ481" s="1971">
        <f ca="1">SUM(INDIRECT(AQ$1&amp;AQ$2&amp;$A481):INDIRECT(AQ$1&amp;AQ$3&amp;$A481))</f>
        <v>39</v>
      </c>
      <c r="AR481" s="2881">
        <f t="shared" ca="1" si="1005"/>
        <v>-39</v>
      </c>
      <c r="AS481" s="2882">
        <f t="shared" ca="1" si="1006"/>
        <v>0</v>
      </c>
      <c r="AU481" s="1971">
        <f ca="1">SUM((INDIRECT(AU$2&amp;(ROW())):INDIRECT(AU$3&amp;(ROW()))))</f>
        <v>0</v>
      </c>
      <c r="AV481" s="1971">
        <f ca="1">SUM(INDIRECT(AV$1&amp;AV$2&amp;$C481):INDIRECT(AV$1&amp;AV$3&amp;$C481))</f>
        <v>0</v>
      </c>
      <c r="AW481" s="2881">
        <f t="shared" ca="1" si="1007"/>
        <v>0</v>
      </c>
      <c r="AX481" s="2882">
        <f t="shared" ca="1" si="1008"/>
        <v>0</v>
      </c>
      <c r="AY481" s="1971">
        <f ca="1">SUM(INDIRECT(AY$1&amp;AY$2&amp;$A481):INDIRECT(AY$1&amp;AY$3&amp;$A481))</f>
        <v>39</v>
      </c>
      <c r="AZ481" s="2881">
        <f t="shared" ca="1" si="1009"/>
        <v>-39</v>
      </c>
      <c r="BA481" s="2882">
        <f t="shared" ca="1" si="1010"/>
        <v>0</v>
      </c>
      <c r="BC481" s="1971">
        <f ca="1">SUM((INDIRECT(BC$2&amp;(ROW())):INDIRECT(BC$3&amp;(ROW()))))</f>
        <v>0</v>
      </c>
      <c r="BD481" s="1971">
        <f ca="1">SUM(INDIRECT(BD$1&amp;BD$2&amp;$C481):INDIRECT(BD$1&amp;BD$3&amp;$C481))</f>
        <v>0</v>
      </c>
      <c r="BE481" s="2881">
        <f t="shared" ca="1" si="1011"/>
        <v>0</v>
      </c>
      <c r="BF481" s="2882">
        <f t="shared" ca="1" si="1012"/>
        <v>0</v>
      </c>
      <c r="BG481" s="1971">
        <f ca="1">SUM(INDIRECT(BG$1&amp;BG$2&amp;$A481):INDIRECT(BG$1&amp;BG$3&amp;$A481))</f>
        <v>39</v>
      </c>
      <c r="BH481" s="2881">
        <f t="shared" ca="1" si="1013"/>
        <v>-39</v>
      </c>
      <c r="BI481" s="2882">
        <f t="shared" ca="1" si="1014"/>
        <v>0</v>
      </c>
    </row>
    <row r="482" spans="1:61" ht="14.5" collapsed="1">
      <c r="A482" s="1693">
        <f t="shared" si="1022"/>
        <v>474</v>
      </c>
      <c r="B482" s="616">
        <v>1</v>
      </c>
      <c r="C482" s="1693">
        <f t="shared" si="1019"/>
        <v>482</v>
      </c>
      <c r="D482" s="616">
        <v>1</v>
      </c>
      <c r="F482" s="69"/>
      <c r="J482" s="94"/>
      <c r="K482" s="93"/>
      <c r="L482" s="63"/>
      <c r="M482" s="63"/>
      <c r="N482" s="11"/>
      <c r="O482" s="288" t="s">
        <v>125</v>
      </c>
      <c r="P482" s="288"/>
      <c r="Q482" s="288"/>
      <c r="R482" s="1779" t="str">
        <f>CHOOSE(2, "6722000003393", "S/GP (1)-1 Net Sales Indirect HW 3rd Party")</f>
        <v>S/GP (1)-1 Net Sales Indirect HW 3rd Party</v>
      </c>
      <c r="S482" s="1246"/>
      <c r="T482" s="1246"/>
      <c r="U482" s="1246"/>
      <c r="V482" s="1246"/>
      <c r="W482" s="1246"/>
      <c r="X482" s="1246"/>
      <c r="Y482" s="1246"/>
      <c r="Z482" s="1246"/>
      <c r="AA482" s="1246"/>
      <c r="AB482" s="1246"/>
      <c r="AC482" s="1246"/>
      <c r="AD482" s="1246"/>
      <c r="AE482" s="897">
        <f>SUM(S482,T482,U482)</f>
        <v>0</v>
      </c>
      <c r="AF482" s="297">
        <f>SUM(V482,W482,X482)</f>
        <v>0</v>
      </c>
      <c r="AG482" s="297">
        <f>SUM(Y482,Z482,AA482)</f>
        <v>0</v>
      </c>
      <c r="AH482" s="297">
        <f>SUM(AB482,AC482,AD482)</f>
        <v>0</v>
      </c>
      <c r="AI482" s="297">
        <f>AE482+AF482</f>
        <v>0</v>
      </c>
      <c r="AJ482" s="297">
        <f>AH482+AG482</f>
        <v>0</v>
      </c>
      <c r="AK482" s="297">
        <f>AI482+AJ482</f>
        <v>0</v>
      </c>
      <c r="AM482" s="2143">
        <f ca="1">SUM((INDIRECT(AM$2&amp;(ROW())):INDIRECT(AM$3&amp;(ROW()))))</f>
        <v>0</v>
      </c>
      <c r="AN482" s="2143">
        <f ca="1">SUM(INDIRECT(AN$1&amp;AN$2&amp;$C482):INDIRECT(AN$1&amp;AN$3&amp;$C482))</f>
        <v>0</v>
      </c>
      <c r="AO482" s="2883">
        <f t="shared" ca="1" si="1003"/>
        <v>0</v>
      </c>
      <c r="AP482" s="2884">
        <f t="shared" ca="1" si="1004"/>
        <v>0</v>
      </c>
      <c r="AQ482" s="2143">
        <f ca="1">SUM(INDIRECT(AQ$1&amp;AQ$2&amp;$A482):INDIRECT(AQ$1&amp;AQ$3&amp;$A482))</f>
        <v>0</v>
      </c>
      <c r="AR482" s="2883">
        <f t="shared" ca="1" si="1005"/>
        <v>0</v>
      </c>
      <c r="AS482" s="2884">
        <f t="shared" ca="1" si="1006"/>
        <v>0</v>
      </c>
      <c r="AU482" s="2143">
        <f ca="1">SUM((INDIRECT(AU$2&amp;(ROW())):INDIRECT(AU$3&amp;(ROW()))))</f>
        <v>0</v>
      </c>
      <c r="AV482" s="2143">
        <f ca="1">SUM(INDIRECT(AV$1&amp;AV$2&amp;$C482):INDIRECT(AV$1&amp;AV$3&amp;$C482))</f>
        <v>0</v>
      </c>
      <c r="AW482" s="2883">
        <f t="shared" ca="1" si="1007"/>
        <v>0</v>
      </c>
      <c r="AX482" s="2884">
        <f t="shared" ca="1" si="1008"/>
        <v>0</v>
      </c>
      <c r="AY482" s="2143">
        <f ca="1">SUM(INDIRECT(AY$1&amp;AY$2&amp;$A482):INDIRECT(AY$1&amp;AY$3&amp;$A482))</f>
        <v>0</v>
      </c>
      <c r="AZ482" s="2883">
        <f t="shared" ca="1" si="1009"/>
        <v>0</v>
      </c>
      <c r="BA482" s="2884">
        <f t="shared" ca="1" si="1010"/>
        <v>0</v>
      </c>
      <c r="BC482" s="2143">
        <f ca="1">SUM((INDIRECT(BC$2&amp;(ROW())):INDIRECT(BC$3&amp;(ROW()))))</f>
        <v>0</v>
      </c>
      <c r="BD482" s="2143">
        <f ca="1">SUM(INDIRECT(BD$1&amp;BD$2&amp;$C482):INDIRECT(BD$1&amp;BD$3&amp;$C482))</f>
        <v>0</v>
      </c>
      <c r="BE482" s="2883">
        <f t="shared" ca="1" si="1011"/>
        <v>0</v>
      </c>
      <c r="BF482" s="2884">
        <f t="shared" ca="1" si="1012"/>
        <v>0</v>
      </c>
      <c r="BG482" s="2143">
        <f ca="1">SUM(INDIRECT(BG$1&amp;BG$2&amp;$A482):INDIRECT(BG$1&amp;BG$3&amp;$A482))</f>
        <v>0</v>
      </c>
      <c r="BH482" s="2883">
        <f t="shared" ca="1" si="1013"/>
        <v>0</v>
      </c>
      <c r="BI482" s="2884">
        <f t="shared" ca="1" si="1014"/>
        <v>0</v>
      </c>
    </row>
    <row r="483" spans="1:61" ht="14.5">
      <c r="A483" s="1693">
        <f t="shared" si="1022"/>
        <v>475</v>
      </c>
      <c r="B483" s="616">
        <v>1</v>
      </c>
      <c r="C483" s="1693">
        <f t="shared" si="1019"/>
        <v>483</v>
      </c>
      <c r="D483" s="616">
        <v>1</v>
      </c>
      <c r="F483" s="69"/>
      <c r="J483" s="94"/>
      <c r="K483" s="93"/>
      <c r="L483" s="63"/>
      <c r="M483" s="63"/>
      <c r="N483" s="8" t="s">
        <v>126</v>
      </c>
      <c r="O483" s="284"/>
      <c r="P483" s="284"/>
      <c r="Q483" s="284"/>
      <c r="R483" s="1777" t="str">
        <f>CHOOSE(2, "6722000003394", "S/GP (1)-1 Net Sales Indirect NH")</f>
        <v>S/GP (1)-1 Net Sales Indirect NH</v>
      </c>
      <c r="S483" s="1249">
        <f>S484+S491</f>
        <v>78448</v>
      </c>
      <c r="T483" s="1249">
        <f t="shared" ref="T483:AD483" si="1037">T484+T491</f>
        <v>67665.964810000005</v>
      </c>
      <c r="U483" s="1249">
        <f t="shared" si="1037"/>
        <v>60330.659</v>
      </c>
      <c r="V483" s="1249">
        <f t="shared" si="1037"/>
        <v>63016.237409999994</v>
      </c>
      <c r="W483" s="1249">
        <f t="shared" si="1037"/>
        <v>75687.501140000008</v>
      </c>
      <c r="X483" s="1249">
        <f t="shared" si="1037"/>
        <v>61705.568759999995</v>
      </c>
      <c r="Y483" s="1249">
        <f t="shared" si="1037"/>
        <v>71052.078750000001</v>
      </c>
      <c r="Z483" s="1249">
        <f t="shared" si="1037"/>
        <v>74240.395279999997</v>
      </c>
      <c r="AA483" s="1249">
        <f t="shared" si="1037"/>
        <v>85196.751119999986</v>
      </c>
      <c r="AB483" s="1249">
        <f t="shared" si="1037"/>
        <v>77270.029849999992</v>
      </c>
      <c r="AC483" s="1249">
        <f t="shared" si="1037"/>
        <v>66777.919510000007</v>
      </c>
      <c r="AD483" s="1249">
        <f t="shared" si="1037"/>
        <v>75129.087019999992</v>
      </c>
      <c r="AE483" s="898">
        <f t="shared" ref="AE483:AK483" si="1038">AE484+AE491</f>
        <v>206444.62380999999</v>
      </c>
      <c r="AF483" s="1249">
        <f t="shared" si="1038"/>
        <v>200409.30731</v>
      </c>
      <c r="AG483" s="1249">
        <f t="shared" si="1038"/>
        <v>230489.22514999995</v>
      </c>
      <c r="AH483" s="1249">
        <f t="shared" si="1038"/>
        <v>219177.03638000001</v>
      </c>
      <c r="AI483" s="1249">
        <f t="shared" si="1038"/>
        <v>406853.93111999996</v>
      </c>
      <c r="AJ483" s="1249">
        <f t="shared" si="1038"/>
        <v>449666.26152999996</v>
      </c>
      <c r="AK483" s="1249">
        <f t="shared" si="1038"/>
        <v>856520.19264999987</v>
      </c>
      <c r="AM483" s="1987">
        <f ca="1">SUM((INDIRECT(AM$2&amp;(ROW())):INDIRECT(AM$3&amp;(ROW()))))</f>
        <v>78448</v>
      </c>
      <c r="AN483" s="1987">
        <f ca="1">SUM(INDIRECT(AN$1&amp;AN$2&amp;$C483):INDIRECT(AN$1&amp;AN$3&amp;$C483))</f>
        <v>68806.793859374986</v>
      </c>
      <c r="AO483" s="2885">
        <f t="shared" ca="1" si="1003"/>
        <v>9641.2061406250141</v>
      </c>
      <c r="AP483" s="2886">
        <f t="shared" ca="1" si="1004"/>
        <v>1.1401199736225087</v>
      </c>
      <c r="AQ483" s="1987">
        <f ca="1">SUM(INDIRECT(AQ$1&amp;AQ$2&amp;$A483):INDIRECT(AQ$1&amp;AQ$3&amp;$A483))</f>
        <v>66230</v>
      </c>
      <c r="AR483" s="2885">
        <f t="shared" ca="1" si="1005"/>
        <v>12218</v>
      </c>
      <c r="AS483" s="2886">
        <f t="shared" ca="1" si="1006"/>
        <v>1.184478333081685</v>
      </c>
      <c r="AU483" s="1987">
        <f ca="1">SUM((INDIRECT(AU$2&amp;(ROW())):INDIRECT(AU$3&amp;(ROW()))))</f>
        <v>78448</v>
      </c>
      <c r="AV483" s="1987">
        <f ca="1">SUM(INDIRECT(AV$1&amp;AV$2&amp;$C483):INDIRECT(AV$1&amp;AV$3&amp;$C483))</f>
        <v>68806.793859374986</v>
      </c>
      <c r="AW483" s="2885">
        <f t="shared" ca="1" si="1007"/>
        <v>9641.2061406250141</v>
      </c>
      <c r="AX483" s="2886">
        <f t="shared" ca="1" si="1008"/>
        <v>1.1401199736225087</v>
      </c>
      <c r="AY483" s="1987">
        <f ca="1">SUM(INDIRECT(AY$1&amp;AY$2&amp;$A483):INDIRECT(AY$1&amp;AY$3&amp;$A483))</f>
        <v>66230</v>
      </c>
      <c r="AZ483" s="2885">
        <f t="shared" ca="1" si="1009"/>
        <v>12218</v>
      </c>
      <c r="BA483" s="2886">
        <f t="shared" ca="1" si="1010"/>
        <v>1.184478333081685</v>
      </c>
      <c r="BC483" s="1987">
        <f ca="1">SUM((INDIRECT(BC$2&amp;(ROW())):INDIRECT(BC$3&amp;(ROW()))))</f>
        <v>78448</v>
      </c>
      <c r="BD483" s="1987">
        <f ca="1">SUM(INDIRECT(BD$1&amp;BD$2&amp;$C483):INDIRECT(BD$1&amp;BD$3&amp;$C483))</f>
        <v>68806.793859374986</v>
      </c>
      <c r="BE483" s="2885">
        <f t="shared" ca="1" si="1011"/>
        <v>9641.2061406250141</v>
      </c>
      <c r="BF483" s="2886">
        <f t="shared" ca="1" si="1012"/>
        <v>1.1401199736225087</v>
      </c>
      <c r="BG483" s="1987">
        <f ca="1">SUM(INDIRECT(BG$1&amp;BG$2&amp;$A483):INDIRECT(BG$1&amp;BG$3&amp;$A483))</f>
        <v>66230</v>
      </c>
      <c r="BH483" s="2885">
        <f t="shared" ca="1" si="1013"/>
        <v>12218</v>
      </c>
      <c r="BI483" s="2886">
        <f t="shared" ca="1" si="1014"/>
        <v>1.184478333081685</v>
      </c>
    </row>
    <row r="484" spans="1:61" ht="14.5">
      <c r="A484" s="1693">
        <f t="shared" si="1022"/>
        <v>476</v>
      </c>
      <c r="B484" s="616">
        <v>1</v>
      </c>
      <c r="C484" s="1693">
        <f t="shared" si="1019"/>
        <v>484</v>
      </c>
      <c r="D484" s="616">
        <v>1</v>
      </c>
      <c r="F484" s="69"/>
      <c r="J484" s="94"/>
      <c r="K484" s="93"/>
      <c r="L484" s="63"/>
      <c r="M484" s="63"/>
      <c r="O484" s="97" t="s">
        <v>122</v>
      </c>
      <c r="P484" s="97"/>
      <c r="Q484" s="97"/>
      <c r="R484" s="1777" t="str">
        <f>CHOOSE(2, "6722000003395", "S/GP (1)-1 Net Sales Indirect NH KMI")</f>
        <v>S/GP (1)-1 Net Sales Indirect NH KMI</v>
      </c>
      <c r="S484" s="95">
        <f>S485+S488</f>
        <v>78448</v>
      </c>
      <c r="T484" s="95">
        <f t="shared" ref="T484:AD484" si="1039">T485+T488</f>
        <v>67665.964810000005</v>
      </c>
      <c r="U484" s="95">
        <f t="shared" si="1039"/>
        <v>60330.659</v>
      </c>
      <c r="V484" s="95">
        <f t="shared" si="1039"/>
        <v>63016.237409999994</v>
      </c>
      <c r="W484" s="95">
        <f t="shared" si="1039"/>
        <v>75687.501140000008</v>
      </c>
      <c r="X484" s="95">
        <f t="shared" si="1039"/>
        <v>61705.568759999995</v>
      </c>
      <c r="Y484" s="95">
        <f t="shared" si="1039"/>
        <v>71052.078750000001</v>
      </c>
      <c r="Z484" s="95">
        <f t="shared" si="1039"/>
        <v>74240.395279999997</v>
      </c>
      <c r="AA484" s="95">
        <f t="shared" si="1039"/>
        <v>85196.751119999986</v>
      </c>
      <c r="AB484" s="95">
        <f t="shared" si="1039"/>
        <v>77270.029849999992</v>
      </c>
      <c r="AC484" s="95">
        <f t="shared" si="1039"/>
        <v>66777.919510000007</v>
      </c>
      <c r="AD484" s="95">
        <f t="shared" si="1039"/>
        <v>75129.087019999992</v>
      </c>
      <c r="AE484" s="896">
        <f t="shared" ref="AE484:AK484" si="1040">AE485+AE488</f>
        <v>206444.62380999999</v>
      </c>
      <c r="AF484" s="95">
        <f t="shared" si="1040"/>
        <v>200409.30731</v>
      </c>
      <c r="AG484" s="95">
        <f t="shared" si="1040"/>
        <v>230489.22514999995</v>
      </c>
      <c r="AH484" s="95">
        <f t="shared" si="1040"/>
        <v>219177.03638000001</v>
      </c>
      <c r="AI484" s="95">
        <f t="shared" si="1040"/>
        <v>406853.93111999996</v>
      </c>
      <c r="AJ484" s="95">
        <f t="shared" si="1040"/>
        <v>449666.26152999996</v>
      </c>
      <c r="AK484" s="95">
        <f t="shared" si="1040"/>
        <v>856520.19264999987</v>
      </c>
      <c r="AM484" s="2138">
        <f ca="1">SUM((INDIRECT(AM$2&amp;(ROW())):INDIRECT(AM$3&amp;(ROW()))))</f>
        <v>78448</v>
      </c>
      <c r="AN484" s="2138">
        <f ca="1">SUM(INDIRECT(AN$1&amp;AN$2&amp;$C484):INDIRECT(AN$1&amp;AN$3&amp;$C484))</f>
        <v>68806.793859374986</v>
      </c>
      <c r="AO484" s="2879">
        <f t="shared" ca="1" si="1003"/>
        <v>9641.2061406250141</v>
      </c>
      <c r="AP484" s="2880">
        <f t="shared" ca="1" si="1004"/>
        <v>1.1401199736225087</v>
      </c>
      <c r="AQ484" s="2138">
        <f ca="1">SUM(INDIRECT(AQ$1&amp;AQ$2&amp;$A484):INDIRECT(AQ$1&amp;AQ$3&amp;$A484))</f>
        <v>66230</v>
      </c>
      <c r="AR484" s="2879">
        <f t="shared" ca="1" si="1005"/>
        <v>12218</v>
      </c>
      <c r="AS484" s="2880">
        <f t="shared" ca="1" si="1006"/>
        <v>1.184478333081685</v>
      </c>
      <c r="AU484" s="2138">
        <f ca="1">SUM((INDIRECT(AU$2&amp;(ROW())):INDIRECT(AU$3&amp;(ROW()))))</f>
        <v>78448</v>
      </c>
      <c r="AV484" s="2138">
        <f ca="1">SUM(INDIRECT(AV$1&amp;AV$2&amp;$C484):INDIRECT(AV$1&amp;AV$3&amp;$C484))</f>
        <v>68806.793859374986</v>
      </c>
      <c r="AW484" s="2879">
        <f t="shared" ca="1" si="1007"/>
        <v>9641.2061406250141</v>
      </c>
      <c r="AX484" s="2880">
        <f t="shared" ca="1" si="1008"/>
        <v>1.1401199736225087</v>
      </c>
      <c r="AY484" s="2138">
        <f ca="1">SUM(INDIRECT(AY$1&amp;AY$2&amp;$A484):INDIRECT(AY$1&amp;AY$3&amp;$A484))</f>
        <v>66230</v>
      </c>
      <c r="AZ484" s="2879">
        <f t="shared" ca="1" si="1009"/>
        <v>12218</v>
      </c>
      <c r="BA484" s="2880">
        <f t="shared" ca="1" si="1010"/>
        <v>1.184478333081685</v>
      </c>
      <c r="BC484" s="2138">
        <f ca="1">SUM((INDIRECT(BC$2&amp;(ROW())):INDIRECT(BC$3&amp;(ROW()))))</f>
        <v>78448</v>
      </c>
      <c r="BD484" s="2138">
        <f ca="1">SUM(INDIRECT(BD$1&amp;BD$2&amp;$C484):INDIRECT(BD$1&amp;BD$3&amp;$C484))</f>
        <v>68806.793859374986</v>
      </c>
      <c r="BE484" s="2879">
        <f t="shared" ca="1" si="1011"/>
        <v>9641.2061406250141</v>
      </c>
      <c r="BF484" s="2880">
        <f t="shared" ca="1" si="1012"/>
        <v>1.1401199736225087</v>
      </c>
      <c r="BG484" s="2138">
        <f ca="1">SUM(INDIRECT(BG$1&amp;BG$2&amp;$A484):INDIRECT(BG$1&amp;BG$3&amp;$A484))</f>
        <v>66230</v>
      </c>
      <c r="BH484" s="2879">
        <f t="shared" ca="1" si="1013"/>
        <v>12218</v>
      </c>
      <c r="BI484" s="2880">
        <f t="shared" ca="1" si="1014"/>
        <v>1.184478333081685</v>
      </c>
    </row>
    <row r="485" spans="1:61" ht="14.5">
      <c r="A485" s="1693">
        <f t="shared" si="1022"/>
        <v>477</v>
      </c>
      <c r="B485" s="616">
        <v>1</v>
      </c>
      <c r="C485" s="1693">
        <f t="shared" si="1019"/>
        <v>485</v>
      </c>
      <c r="D485" s="616">
        <v>1</v>
      </c>
      <c r="F485" s="69"/>
      <c r="J485" s="94"/>
      <c r="K485" s="93"/>
      <c r="L485" s="63"/>
      <c r="M485" s="63"/>
      <c r="P485" s="97" t="s">
        <v>123</v>
      </c>
      <c r="Q485" s="869"/>
      <c r="R485" s="1777" t="str">
        <f>CHOOSE(2, "6722000003396", "S/GP (1)-1 Net Sales Indirect NH KMI Office A3")</f>
        <v>S/GP (1)-1 Net Sales Indirect NH KMI Office A3</v>
      </c>
      <c r="S485" s="1250">
        <f>SUM(S486:S487)</f>
        <v>78448</v>
      </c>
      <c r="T485" s="1250">
        <f t="shared" ref="T485:AD485" si="1041">SUM(T486:T487)</f>
        <v>67647.457810000007</v>
      </c>
      <c r="U485" s="1250">
        <f t="shared" si="1041"/>
        <v>60330.659</v>
      </c>
      <c r="V485" s="1250">
        <f t="shared" si="1041"/>
        <v>63016.237409999994</v>
      </c>
      <c r="W485" s="1250">
        <f t="shared" si="1041"/>
        <v>75687.501140000008</v>
      </c>
      <c r="X485" s="1250">
        <f t="shared" si="1041"/>
        <v>61705.568759999995</v>
      </c>
      <c r="Y485" s="1250">
        <f t="shared" si="1041"/>
        <v>71052.078750000001</v>
      </c>
      <c r="Z485" s="1250">
        <f t="shared" si="1041"/>
        <v>74240.395279999997</v>
      </c>
      <c r="AA485" s="1250">
        <f t="shared" si="1041"/>
        <v>85196.751119999986</v>
      </c>
      <c r="AB485" s="1250">
        <f t="shared" si="1041"/>
        <v>77270.029849999992</v>
      </c>
      <c r="AC485" s="1250">
        <f t="shared" si="1041"/>
        <v>66777.919510000007</v>
      </c>
      <c r="AD485" s="1250">
        <f t="shared" si="1041"/>
        <v>75129.087019999992</v>
      </c>
      <c r="AE485" s="899">
        <f t="shared" ref="AE485:AK485" si="1042">SUM(AE486:AE487)</f>
        <v>206426.11680999998</v>
      </c>
      <c r="AF485" s="1250">
        <f t="shared" si="1042"/>
        <v>200409.30731</v>
      </c>
      <c r="AG485" s="1250">
        <f t="shared" si="1042"/>
        <v>230489.22514999995</v>
      </c>
      <c r="AH485" s="1250">
        <f t="shared" si="1042"/>
        <v>219177.03638000001</v>
      </c>
      <c r="AI485" s="1250">
        <f t="shared" si="1042"/>
        <v>406835.42411999998</v>
      </c>
      <c r="AJ485" s="1250">
        <f t="shared" si="1042"/>
        <v>449666.26152999996</v>
      </c>
      <c r="AK485" s="1250">
        <f t="shared" si="1042"/>
        <v>856501.68564999988</v>
      </c>
      <c r="AM485" s="2145">
        <f ca="1">SUM((INDIRECT(AM$2&amp;(ROW())):INDIRECT(AM$3&amp;(ROW()))))</f>
        <v>78448</v>
      </c>
      <c r="AN485" s="2145">
        <f ca="1">SUM(INDIRECT(AN$1&amp;AN$2&amp;$C485):INDIRECT(AN$1&amp;AN$3&amp;$C485))</f>
        <v>68806.793859374986</v>
      </c>
      <c r="AO485" s="2887">
        <f t="shared" ca="1" si="1003"/>
        <v>9641.2061406250141</v>
      </c>
      <c r="AP485" s="2888">
        <f t="shared" ca="1" si="1004"/>
        <v>1.1401199736225087</v>
      </c>
      <c r="AQ485" s="2145">
        <f ca="1">SUM(INDIRECT(AQ$1&amp;AQ$2&amp;$A485):INDIRECT(AQ$1&amp;AQ$3&amp;$A485))</f>
        <v>66129</v>
      </c>
      <c r="AR485" s="2887">
        <f t="shared" ca="1" si="1005"/>
        <v>12319</v>
      </c>
      <c r="AS485" s="2888">
        <f t="shared" ca="1" si="1006"/>
        <v>1.1862874079450771</v>
      </c>
      <c r="AU485" s="2145">
        <f ca="1">SUM((INDIRECT(AU$2&amp;(ROW())):INDIRECT(AU$3&amp;(ROW()))))</f>
        <v>78448</v>
      </c>
      <c r="AV485" s="2145">
        <f ca="1">SUM(INDIRECT(AV$1&amp;AV$2&amp;$C485):INDIRECT(AV$1&amp;AV$3&amp;$C485))</f>
        <v>68806.793859374986</v>
      </c>
      <c r="AW485" s="2887">
        <f t="shared" ca="1" si="1007"/>
        <v>9641.2061406250141</v>
      </c>
      <c r="AX485" s="2888">
        <f t="shared" ca="1" si="1008"/>
        <v>1.1401199736225087</v>
      </c>
      <c r="AY485" s="2145">
        <f ca="1">SUM(INDIRECT(AY$1&amp;AY$2&amp;$A485):INDIRECT(AY$1&amp;AY$3&amp;$A485))</f>
        <v>66129</v>
      </c>
      <c r="AZ485" s="2887">
        <f t="shared" ca="1" si="1009"/>
        <v>12319</v>
      </c>
      <c r="BA485" s="2888">
        <f t="shared" ca="1" si="1010"/>
        <v>1.1862874079450771</v>
      </c>
      <c r="BC485" s="2145">
        <f ca="1">SUM((INDIRECT(BC$2&amp;(ROW())):INDIRECT(BC$3&amp;(ROW()))))</f>
        <v>78448</v>
      </c>
      <c r="BD485" s="2145">
        <f ca="1">SUM(INDIRECT(BD$1&amp;BD$2&amp;$C485):INDIRECT(BD$1&amp;BD$3&amp;$C485))</f>
        <v>68806.793859374986</v>
      </c>
      <c r="BE485" s="2887">
        <f t="shared" ca="1" si="1011"/>
        <v>9641.2061406250141</v>
      </c>
      <c r="BF485" s="2888">
        <f t="shared" ca="1" si="1012"/>
        <v>1.1401199736225087</v>
      </c>
      <c r="BG485" s="2145">
        <f ca="1">SUM(INDIRECT(BG$1&amp;BG$2&amp;$A485):INDIRECT(BG$1&amp;BG$3&amp;$A485))</f>
        <v>66129</v>
      </c>
      <c r="BH485" s="2887">
        <f t="shared" ca="1" si="1013"/>
        <v>12319</v>
      </c>
      <c r="BI485" s="2888">
        <f t="shared" ca="1" si="1014"/>
        <v>1.1862874079450771</v>
      </c>
    </row>
    <row r="486" spans="1:61" ht="15" customHeight="1">
      <c r="A486" s="1693">
        <f t="shared" si="1022"/>
        <v>478</v>
      </c>
      <c r="B486" s="616">
        <v>1</v>
      </c>
      <c r="C486" s="1693">
        <f t="shared" si="1019"/>
        <v>486</v>
      </c>
      <c r="D486" s="616">
        <v>1</v>
      </c>
      <c r="F486" s="69"/>
      <c r="J486" s="94"/>
      <c r="K486" s="93"/>
      <c r="L486" s="63"/>
      <c r="M486" s="63"/>
      <c r="Q486" s="8" t="s">
        <v>130</v>
      </c>
      <c r="R486" s="1779" t="str">
        <f>CHOOSE(2, "6722000003397", "S/GP (1)-1 Net Sales Indirect NH KMI Office A3 Consumables")</f>
        <v>S/GP (1)-1 Net Sales Indirect NH KMI Office A3 Consumables</v>
      </c>
      <c r="S486" s="1217">
        <v>78448</v>
      </c>
      <c r="T486" s="1217">
        <v>67647.457810000007</v>
      </c>
      <c r="U486" s="1217">
        <v>60330.659</v>
      </c>
      <c r="V486" s="1217">
        <v>63016.237409999994</v>
      </c>
      <c r="W486" s="1217">
        <v>75687.501140000008</v>
      </c>
      <c r="X486" s="1217">
        <v>61705.568759999995</v>
      </c>
      <c r="Y486" s="1217">
        <v>71052.078750000001</v>
      </c>
      <c r="Z486" s="1217">
        <v>74240.395279999997</v>
      </c>
      <c r="AA486" s="1217">
        <v>85196.751119999986</v>
      </c>
      <c r="AB486" s="1217">
        <v>77270.029849999992</v>
      </c>
      <c r="AC486" s="1217">
        <v>66777.919510000007</v>
      </c>
      <c r="AD486" s="1217">
        <v>75129.087019999992</v>
      </c>
      <c r="AE486" s="783">
        <f>SUM(S486,T486,U486)</f>
        <v>206426.11680999998</v>
      </c>
      <c r="AF486" s="1226">
        <f>SUM(V486,W486,X486)</f>
        <v>200409.30731</v>
      </c>
      <c r="AG486" s="1226">
        <f>SUM(Y486,Z486,AA486)</f>
        <v>230489.22514999995</v>
      </c>
      <c r="AH486" s="1226">
        <f>SUM(AB486,AC486,AD486)</f>
        <v>219177.03638000001</v>
      </c>
      <c r="AI486" s="1226">
        <f>AE486+AF486</f>
        <v>406835.42411999998</v>
      </c>
      <c r="AJ486" s="1226">
        <f>AH486+AG486</f>
        <v>449666.26152999996</v>
      </c>
      <c r="AK486" s="1226">
        <f>AI486+AJ486</f>
        <v>856501.68564999988</v>
      </c>
      <c r="AM486" s="579">
        <f ca="1">SUM((INDIRECT(AM$2&amp;(ROW())):INDIRECT(AM$3&amp;(ROW()))))</f>
        <v>78448</v>
      </c>
      <c r="AN486" s="579">
        <f ca="1">SUM(INDIRECT(AN$1&amp;AN$2&amp;$C486):INDIRECT(AN$1&amp;AN$3&amp;$C486))</f>
        <v>68806.793859374986</v>
      </c>
      <c r="AO486" s="2889">
        <f t="shared" ca="1" si="1003"/>
        <v>9641.2061406250141</v>
      </c>
      <c r="AP486" s="2890">
        <f t="shared" ca="1" si="1004"/>
        <v>1.1401199736225087</v>
      </c>
      <c r="AQ486" s="579">
        <f ca="1">SUM(INDIRECT(AQ$1&amp;AQ$2&amp;$A486):INDIRECT(AQ$1&amp;AQ$3&amp;$A486))</f>
        <v>66129</v>
      </c>
      <c r="AR486" s="2889">
        <f t="shared" ca="1" si="1005"/>
        <v>12319</v>
      </c>
      <c r="AS486" s="2890">
        <f t="shared" ca="1" si="1006"/>
        <v>1.1862874079450771</v>
      </c>
      <c r="AU486" s="579">
        <f ca="1">SUM((INDIRECT(AU$2&amp;(ROW())):INDIRECT(AU$3&amp;(ROW()))))</f>
        <v>78448</v>
      </c>
      <c r="AV486" s="579">
        <f ca="1">SUM(INDIRECT(AV$1&amp;AV$2&amp;$C486):INDIRECT(AV$1&amp;AV$3&amp;$C486))</f>
        <v>68806.793859374986</v>
      </c>
      <c r="AW486" s="2889">
        <f t="shared" ca="1" si="1007"/>
        <v>9641.2061406250141</v>
      </c>
      <c r="AX486" s="2890">
        <f t="shared" ca="1" si="1008"/>
        <v>1.1401199736225087</v>
      </c>
      <c r="AY486" s="579">
        <f ca="1">SUM(INDIRECT(AY$1&amp;AY$2&amp;$A486):INDIRECT(AY$1&amp;AY$3&amp;$A486))</f>
        <v>66129</v>
      </c>
      <c r="AZ486" s="2889">
        <f t="shared" ca="1" si="1009"/>
        <v>12319</v>
      </c>
      <c r="BA486" s="2890">
        <f t="shared" ca="1" si="1010"/>
        <v>1.1862874079450771</v>
      </c>
      <c r="BC486" s="579">
        <f ca="1">SUM((INDIRECT(BC$2&amp;(ROW())):INDIRECT(BC$3&amp;(ROW()))))</f>
        <v>78448</v>
      </c>
      <c r="BD486" s="579">
        <f ca="1">SUM(INDIRECT(BD$1&amp;BD$2&amp;$C486):INDIRECT(BD$1&amp;BD$3&amp;$C486))</f>
        <v>68806.793859374986</v>
      </c>
      <c r="BE486" s="2889">
        <f t="shared" ca="1" si="1011"/>
        <v>9641.2061406250141</v>
      </c>
      <c r="BF486" s="2890">
        <f t="shared" ca="1" si="1012"/>
        <v>1.1401199736225087</v>
      </c>
      <c r="BG486" s="579">
        <f ca="1">SUM(INDIRECT(BG$1&amp;BG$2&amp;$A486):INDIRECT(BG$1&amp;BG$3&amp;$A486))</f>
        <v>66129</v>
      </c>
      <c r="BH486" s="2889">
        <f t="shared" ca="1" si="1013"/>
        <v>12319</v>
      </c>
      <c r="BI486" s="2890">
        <f t="shared" ca="1" si="1014"/>
        <v>1.1862874079450771</v>
      </c>
    </row>
    <row r="487" spans="1:61" ht="14.5">
      <c r="A487" s="1693">
        <f t="shared" si="1022"/>
        <v>479</v>
      </c>
      <c r="B487" s="616">
        <v>1</v>
      </c>
      <c r="C487" s="1693">
        <f t="shared" si="1019"/>
        <v>487</v>
      </c>
      <c r="D487" s="616">
        <v>1</v>
      </c>
      <c r="F487" s="69"/>
      <c r="J487" s="94"/>
      <c r="K487" s="93"/>
      <c r="L487" s="63"/>
      <c r="M487" s="63"/>
      <c r="Q487" s="8" t="s">
        <v>131</v>
      </c>
      <c r="R487" s="1779" t="str">
        <f>CHOOSE(2, "6722000003398", "S/GP (1)-1 Net Sales Indirect NH KMI Office A3 Parts")</f>
        <v>S/GP (1)-1 Net Sales Indirect NH KMI Office A3 Parts</v>
      </c>
      <c r="S487" s="1217"/>
      <c r="T487" s="1217"/>
      <c r="U487" s="1217"/>
      <c r="V487" s="1217"/>
      <c r="W487" s="1217"/>
      <c r="X487" s="1217"/>
      <c r="Y487" s="1217"/>
      <c r="Z487" s="1217"/>
      <c r="AA487" s="1217"/>
      <c r="AB487" s="1217"/>
      <c r="AC487" s="1217"/>
      <c r="AD487" s="1217"/>
      <c r="AE487" s="783">
        <f>SUM(S487,T487,U487)</f>
        <v>0</v>
      </c>
      <c r="AF487" s="1226">
        <f>SUM(V487,W487,X487)</f>
        <v>0</v>
      </c>
      <c r="AG487" s="1226">
        <f>SUM(Y487,Z487,AA487)</f>
        <v>0</v>
      </c>
      <c r="AH487" s="1226">
        <f>SUM(AB487,AC487,AD487)</f>
        <v>0</v>
      </c>
      <c r="AI487" s="1226">
        <f>AE487+AF487</f>
        <v>0</v>
      </c>
      <c r="AJ487" s="1226">
        <f>AH487+AG487</f>
        <v>0</v>
      </c>
      <c r="AK487" s="1226">
        <f>AI487+AJ487</f>
        <v>0</v>
      </c>
      <c r="AL487" s="9"/>
      <c r="AM487" s="579">
        <f ca="1">SUM((INDIRECT(AM$2&amp;(ROW())):INDIRECT(AM$3&amp;(ROW()))))</f>
        <v>0</v>
      </c>
      <c r="AN487" s="579">
        <f ca="1">SUM(INDIRECT(AN$1&amp;AN$2&amp;$C487):INDIRECT(AN$1&amp;AN$3&amp;$C487))</f>
        <v>0</v>
      </c>
      <c r="AO487" s="2889">
        <f t="shared" ca="1" si="1003"/>
        <v>0</v>
      </c>
      <c r="AP487" s="2890">
        <f t="shared" ca="1" si="1004"/>
        <v>0</v>
      </c>
      <c r="AQ487" s="579">
        <f ca="1">SUM(INDIRECT(AQ$1&amp;AQ$2&amp;$A487):INDIRECT(AQ$1&amp;AQ$3&amp;$A487))</f>
        <v>0</v>
      </c>
      <c r="AR487" s="2889">
        <f t="shared" ca="1" si="1005"/>
        <v>0</v>
      </c>
      <c r="AS487" s="2890">
        <f t="shared" ca="1" si="1006"/>
        <v>0</v>
      </c>
      <c r="AU487" s="579">
        <f ca="1">SUM((INDIRECT(AU$2&amp;(ROW())):INDIRECT(AU$3&amp;(ROW()))))</f>
        <v>0</v>
      </c>
      <c r="AV487" s="579">
        <f ca="1">SUM(INDIRECT(AV$1&amp;AV$2&amp;$C487):INDIRECT(AV$1&amp;AV$3&amp;$C487))</f>
        <v>0</v>
      </c>
      <c r="AW487" s="2889">
        <f t="shared" ca="1" si="1007"/>
        <v>0</v>
      </c>
      <c r="AX487" s="2890">
        <f t="shared" ca="1" si="1008"/>
        <v>0</v>
      </c>
      <c r="AY487" s="579">
        <f ca="1">SUM(INDIRECT(AY$1&amp;AY$2&amp;$A487):INDIRECT(AY$1&amp;AY$3&amp;$A487))</f>
        <v>0</v>
      </c>
      <c r="AZ487" s="2889">
        <f t="shared" ca="1" si="1009"/>
        <v>0</v>
      </c>
      <c r="BA487" s="2890">
        <f t="shared" ca="1" si="1010"/>
        <v>0</v>
      </c>
      <c r="BC487" s="579">
        <f ca="1">SUM((INDIRECT(BC$2&amp;(ROW())):INDIRECT(BC$3&amp;(ROW()))))</f>
        <v>0</v>
      </c>
      <c r="BD487" s="579">
        <f ca="1">SUM(INDIRECT(BD$1&amp;BD$2&amp;$C487):INDIRECT(BD$1&amp;BD$3&amp;$C487))</f>
        <v>0</v>
      </c>
      <c r="BE487" s="2889">
        <f t="shared" ca="1" si="1011"/>
        <v>0</v>
      </c>
      <c r="BF487" s="2890">
        <f t="shared" ca="1" si="1012"/>
        <v>0</v>
      </c>
      <c r="BG487" s="579">
        <f ca="1">SUM(INDIRECT(BG$1&amp;BG$2&amp;$A487):INDIRECT(BG$1&amp;BG$3&amp;$A487))</f>
        <v>0</v>
      </c>
      <c r="BH487" s="2889">
        <f t="shared" ca="1" si="1013"/>
        <v>0</v>
      </c>
      <c r="BI487" s="2890">
        <f t="shared" ca="1" si="1014"/>
        <v>0</v>
      </c>
    </row>
    <row r="488" spans="1:61" ht="14.5">
      <c r="A488" s="1693">
        <f t="shared" si="1022"/>
        <v>480</v>
      </c>
      <c r="B488" s="616">
        <v>1</v>
      </c>
      <c r="C488" s="1693">
        <f t="shared" si="1019"/>
        <v>488</v>
      </c>
      <c r="D488" s="616">
        <v>1</v>
      </c>
      <c r="F488" s="69"/>
      <c r="J488" s="94"/>
      <c r="K488" s="93"/>
      <c r="L488" s="63"/>
      <c r="M488" s="63"/>
      <c r="P488" s="97" t="s">
        <v>124</v>
      </c>
      <c r="Q488" s="869"/>
      <c r="R488" s="1777" t="str">
        <f>CHOOSE(2, "6722000003399", "S/GP (1)-1 Net Sales Indirect NH KMI Office A4")</f>
        <v>S/GP (1)-1 Net Sales Indirect NH KMI Office A4</v>
      </c>
      <c r="S488" s="1250">
        <f>SUM(S489:S490)</f>
        <v>0</v>
      </c>
      <c r="T488" s="1250">
        <f t="shared" ref="T488:AD488" si="1043">SUM(T489:T490)</f>
        <v>18.507000000000001</v>
      </c>
      <c r="U488" s="1250">
        <f t="shared" si="1043"/>
        <v>0</v>
      </c>
      <c r="V488" s="1250">
        <f t="shared" si="1043"/>
        <v>0</v>
      </c>
      <c r="W488" s="1250">
        <f t="shared" si="1043"/>
        <v>0</v>
      </c>
      <c r="X488" s="1250">
        <f t="shared" si="1043"/>
        <v>0</v>
      </c>
      <c r="Y488" s="1250">
        <f t="shared" si="1043"/>
        <v>0</v>
      </c>
      <c r="Z488" s="1250">
        <f t="shared" si="1043"/>
        <v>0</v>
      </c>
      <c r="AA488" s="1250">
        <f t="shared" si="1043"/>
        <v>0</v>
      </c>
      <c r="AB488" s="1250">
        <f t="shared" si="1043"/>
        <v>0</v>
      </c>
      <c r="AC488" s="1250">
        <f t="shared" si="1043"/>
        <v>0</v>
      </c>
      <c r="AD488" s="1250">
        <f t="shared" si="1043"/>
        <v>0</v>
      </c>
      <c r="AE488" s="899">
        <f t="shared" ref="AE488:AK488" si="1044">SUM(AE489:AE490)</f>
        <v>18.507000000000001</v>
      </c>
      <c r="AF488" s="1250">
        <f t="shared" si="1044"/>
        <v>0</v>
      </c>
      <c r="AG488" s="1250">
        <f t="shared" si="1044"/>
        <v>0</v>
      </c>
      <c r="AH488" s="1250">
        <f t="shared" si="1044"/>
        <v>0</v>
      </c>
      <c r="AI488" s="1250">
        <f t="shared" si="1044"/>
        <v>18.507000000000001</v>
      </c>
      <c r="AJ488" s="1250">
        <f t="shared" si="1044"/>
        <v>0</v>
      </c>
      <c r="AK488" s="1250">
        <f t="shared" si="1044"/>
        <v>18.507000000000001</v>
      </c>
      <c r="AM488" s="2145">
        <f ca="1">SUM((INDIRECT(AM$2&amp;(ROW())):INDIRECT(AM$3&amp;(ROW()))))</f>
        <v>0</v>
      </c>
      <c r="AN488" s="2145">
        <f ca="1">SUM(INDIRECT(AN$1&amp;AN$2&amp;$C488):INDIRECT(AN$1&amp;AN$3&amp;$C488))</f>
        <v>0</v>
      </c>
      <c r="AO488" s="2887">
        <f t="shared" ca="1" si="1003"/>
        <v>0</v>
      </c>
      <c r="AP488" s="2888">
        <f t="shared" ca="1" si="1004"/>
        <v>0</v>
      </c>
      <c r="AQ488" s="2145">
        <f ca="1">SUM(INDIRECT(AQ$1&amp;AQ$2&amp;$A488):INDIRECT(AQ$1&amp;AQ$3&amp;$A488))</f>
        <v>101</v>
      </c>
      <c r="AR488" s="2887">
        <f t="shared" ca="1" si="1005"/>
        <v>-101</v>
      </c>
      <c r="AS488" s="2888">
        <f t="shared" ca="1" si="1006"/>
        <v>0</v>
      </c>
      <c r="AU488" s="2145">
        <f ca="1">SUM((INDIRECT(AU$2&amp;(ROW())):INDIRECT(AU$3&amp;(ROW()))))</f>
        <v>0</v>
      </c>
      <c r="AV488" s="2145">
        <f ca="1">SUM(INDIRECT(AV$1&amp;AV$2&amp;$C488):INDIRECT(AV$1&amp;AV$3&amp;$C488))</f>
        <v>0</v>
      </c>
      <c r="AW488" s="2887">
        <f t="shared" ca="1" si="1007"/>
        <v>0</v>
      </c>
      <c r="AX488" s="2888">
        <f t="shared" ca="1" si="1008"/>
        <v>0</v>
      </c>
      <c r="AY488" s="2145">
        <f ca="1">SUM(INDIRECT(AY$1&amp;AY$2&amp;$A488):INDIRECT(AY$1&amp;AY$3&amp;$A488))</f>
        <v>101</v>
      </c>
      <c r="AZ488" s="2887">
        <f t="shared" ca="1" si="1009"/>
        <v>-101</v>
      </c>
      <c r="BA488" s="2888">
        <f t="shared" ca="1" si="1010"/>
        <v>0</v>
      </c>
      <c r="BC488" s="2145">
        <f ca="1">SUM((INDIRECT(BC$2&amp;(ROW())):INDIRECT(BC$3&amp;(ROW()))))</f>
        <v>0</v>
      </c>
      <c r="BD488" s="2145">
        <f ca="1">SUM(INDIRECT(BD$1&amp;BD$2&amp;$C488):INDIRECT(BD$1&amp;BD$3&amp;$C488))</f>
        <v>0</v>
      </c>
      <c r="BE488" s="2887">
        <f t="shared" ca="1" si="1011"/>
        <v>0</v>
      </c>
      <c r="BF488" s="2888">
        <f t="shared" ca="1" si="1012"/>
        <v>0</v>
      </c>
      <c r="BG488" s="2145">
        <f ca="1">SUM(INDIRECT(BG$1&amp;BG$2&amp;$A488):INDIRECT(BG$1&amp;BG$3&amp;$A488))</f>
        <v>101</v>
      </c>
      <c r="BH488" s="2887">
        <f t="shared" ca="1" si="1013"/>
        <v>-101</v>
      </c>
      <c r="BI488" s="2888">
        <f t="shared" ca="1" si="1014"/>
        <v>0</v>
      </c>
    </row>
    <row r="489" spans="1:61" ht="14.5">
      <c r="A489" s="1693">
        <f t="shared" si="1022"/>
        <v>481</v>
      </c>
      <c r="B489" s="616">
        <v>1</v>
      </c>
      <c r="C489" s="1693">
        <f t="shared" si="1019"/>
        <v>489</v>
      </c>
      <c r="D489" s="616">
        <v>1</v>
      </c>
      <c r="F489" s="69"/>
      <c r="J489" s="94"/>
      <c r="K489" s="93"/>
      <c r="L489" s="63"/>
      <c r="M489" s="63"/>
      <c r="Q489" s="8" t="s">
        <v>130</v>
      </c>
      <c r="R489" s="1779" t="str">
        <f>CHOOSE(2, "6722000003400", "S/GP (1)-1 Net Sales Indirect NH KMI Office A4 Consumables")</f>
        <v>S/GP (1)-1 Net Sales Indirect NH KMI Office A4 Consumables</v>
      </c>
      <c r="S489" s="1217"/>
      <c r="T489" s="1217">
        <v>18.507000000000001</v>
      </c>
      <c r="U489" s="1217"/>
      <c r="V489" s="1217"/>
      <c r="W489" s="1217"/>
      <c r="X489" s="1217"/>
      <c r="Y489" s="1217"/>
      <c r="Z489" s="1217"/>
      <c r="AA489" s="1217"/>
      <c r="AB489" s="1217"/>
      <c r="AC489" s="1217"/>
      <c r="AD489" s="1217"/>
      <c r="AE489" s="783">
        <f>SUM(S489,T489,U489)</f>
        <v>18.507000000000001</v>
      </c>
      <c r="AF489" s="1226">
        <f>SUM(V489,W489,X489)</f>
        <v>0</v>
      </c>
      <c r="AG489" s="1226">
        <f>SUM(Y489,Z489,AA489)</f>
        <v>0</v>
      </c>
      <c r="AH489" s="1226">
        <f>SUM(AB489,AC489,AD489)</f>
        <v>0</v>
      </c>
      <c r="AI489" s="1226">
        <f>AE489+AF489</f>
        <v>18.507000000000001</v>
      </c>
      <c r="AJ489" s="1226">
        <f>AH489+AG489</f>
        <v>0</v>
      </c>
      <c r="AK489" s="1226">
        <f>AI489+AJ489</f>
        <v>18.507000000000001</v>
      </c>
      <c r="AM489" s="579">
        <f ca="1">SUM((INDIRECT(AM$2&amp;(ROW())):INDIRECT(AM$3&amp;(ROW()))))</f>
        <v>0</v>
      </c>
      <c r="AN489" s="579">
        <f ca="1">SUM(INDIRECT(AN$1&amp;AN$2&amp;$C489):INDIRECT(AN$1&amp;AN$3&amp;$C489))</f>
        <v>0</v>
      </c>
      <c r="AO489" s="2889">
        <f t="shared" ca="1" si="1003"/>
        <v>0</v>
      </c>
      <c r="AP489" s="2890">
        <f t="shared" ca="1" si="1004"/>
        <v>0</v>
      </c>
      <c r="AQ489" s="579">
        <f ca="1">SUM(INDIRECT(AQ$1&amp;AQ$2&amp;$A489):INDIRECT(AQ$1&amp;AQ$3&amp;$A489))</f>
        <v>101</v>
      </c>
      <c r="AR489" s="2889">
        <f t="shared" ca="1" si="1005"/>
        <v>-101</v>
      </c>
      <c r="AS489" s="2890">
        <f t="shared" ca="1" si="1006"/>
        <v>0</v>
      </c>
      <c r="AU489" s="579">
        <f ca="1">SUM((INDIRECT(AU$2&amp;(ROW())):INDIRECT(AU$3&amp;(ROW()))))</f>
        <v>0</v>
      </c>
      <c r="AV489" s="579">
        <f ca="1">SUM(INDIRECT(AV$1&amp;AV$2&amp;$C489):INDIRECT(AV$1&amp;AV$3&amp;$C489))</f>
        <v>0</v>
      </c>
      <c r="AW489" s="2889">
        <f t="shared" ca="1" si="1007"/>
        <v>0</v>
      </c>
      <c r="AX489" s="2890">
        <f t="shared" ca="1" si="1008"/>
        <v>0</v>
      </c>
      <c r="AY489" s="579">
        <f ca="1">SUM(INDIRECT(AY$1&amp;AY$2&amp;$A489):INDIRECT(AY$1&amp;AY$3&amp;$A489))</f>
        <v>101</v>
      </c>
      <c r="AZ489" s="2889">
        <f t="shared" ca="1" si="1009"/>
        <v>-101</v>
      </c>
      <c r="BA489" s="2890">
        <f t="shared" ca="1" si="1010"/>
        <v>0</v>
      </c>
      <c r="BC489" s="579">
        <f ca="1">SUM((INDIRECT(BC$2&amp;(ROW())):INDIRECT(BC$3&amp;(ROW()))))</f>
        <v>0</v>
      </c>
      <c r="BD489" s="579">
        <f ca="1">SUM(INDIRECT(BD$1&amp;BD$2&amp;$C489):INDIRECT(BD$1&amp;BD$3&amp;$C489))</f>
        <v>0</v>
      </c>
      <c r="BE489" s="2889">
        <f t="shared" ca="1" si="1011"/>
        <v>0</v>
      </c>
      <c r="BF489" s="2890">
        <f t="shared" ca="1" si="1012"/>
        <v>0</v>
      </c>
      <c r="BG489" s="579">
        <f ca="1">SUM(INDIRECT(BG$1&amp;BG$2&amp;$A489):INDIRECT(BG$1&amp;BG$3&amp;$A489))</f>
        <v>101</v>
      </c>
      <c r="BH489" s="2889">
        <f t="shared" ca="1" si="1013"/>
        <v>-101</v>
      </c>
      <c r="BI489" s="2890">
        <f t="shared" ca="1" si="1014"/>
        <v>0</v>
      </c>
    </row>
    <row r="490" spans="1:61" ht="14.5">
      <c r="A490" s="1693">
        <f t="shared" si="1022"/>
        <v>482</v>
      </c>
      <c r="B490" s="616">
        <v>1</v>
      </c>
      <c r="C490" s="1693">
        <f t="shared" si="1019"/>
        <v>490</v>
      </c>
      <c r="D490" s="616">
        <v>1</v>
      </c>
      <c r="F490" s="69"/>
      <c r="J490" s="94"/>
      <c r="K490" s="93"/>
      <c r="L490" s="63"/>
      <c r="M490" s="63"/>
      <c r="O490" s="285"/>
      <c r="P490" s="285"/>
      <c r="Q490" s="285" t="s">
        <v>131</v>
      </c>
      <c r="R490" s="1779" t="str">
        <f>CHOOSE(2, "6722000003401", "S/GP (1)-1 Net Sales Indirect NH KMI Office A4 Parts")</f>
        <v>S/GP (1)-1 Net Sales Indirect NH KMI Office A4 Parts</v>
      </c>
      <c r="S490" s="1245"/>
      <c r="T490" s="1245"/>
      <c r="U490" s="1245"/>
      <c r="V490" s="1245"/>
      <c r="W490" s="1245"/>
      <c r="X490" s="1245"/>
      <c r="Y490" s="1245"/>
      <c r="Z490" s="1245"/>
      <c r="AA490" s="1245"/>
      <c r="AB490" s="1245"/>
      <c r="AC490" s="1245"/>
      <c r="AD490" s="1245"/>
      <c r="AE490" s="895">
        <f>SUM(S490,T490,U490)</f>
        <v>0</v>
      </c>
      <c r="AF490" s="1248">
        <f>SUM(V490,W490,X490)</f>
        <v>0</v>
      </c>
      <c r="AG490" s="1248">
        <f>SUM(Y490,Z490,AA490)</f>
        <v>0</v>
      </c>
      <c r="AH490" s="1248">
        <f>SUM(AB490,AC490,AD490)</f>
        <v>0</v>
      </c>
      <c r="AI490" s="1248">
        <f>AE490+AF490</f>
        <v>0</v>
      </c>
      <c r="AJ490" s="1248">
        <f>AH490+AG490</f>
        <v>0</v>
      </c>
      <c r="AK490" s="1248">
        <f>AI490+AJ490</f>
        <v>0</v>
      </c>
      <c r="AM490" s="1971">
        <f ca="1">SUM((INDIRECT(AM$2&amp;(ROW())):INDIRECT(AM$3&amp;(ROW()))))</f>
        <v>0</v>
      </c>
      <c r="AN490" s="1971">
        <f ca="1">SUM(INDIRECT(AN$1&amp;AN$2&amp;$C490):INDIRECT(AN$1&amp;AN$3&amp;$C490))</f>
        <v>0</v>
      </c>
      <c r="AO490" s="2881">
        <f t="shared" ca="1" si="1003"/>
        <v>0</v>
      </c>
      <c r="AP490" s="2882">
        <f t="shared" ca="1" si="1004"/>
        <v>0</v>
      </c>
      <c r="AQ490" s="1971">
        <f ca="1">SUM(INDIRECT(AQ$1&amp;AQ$2&amp;$A490):INDIRECT(AQ$1&amp;AQ$3&amp;$A490))</f>
        <v>0</v>
      </c>
      <c r="AR490" s="2881">
        <f t="shared" ca="1" si="1005"/>
        <v>0</v>
      </c>
      <c r="AS490" s="2882">
        <f t="shared" ca="1" si="1006"/>
        <v>0</v>
      </c>
      <c r="AU490" s="1971">
        <f ca="1">SUM((INDIRECT(AU$2&amp;(ROW())):INDIRECT(AU$3&amp;(ROW()))))</f>
        <v>0</v>
      </c>
      <c r="AV490" s="1971">
        <f ca="1">SUM(INDIRECT(AV$1&amp;AV$2&amp;$C490):INDIRECT(AV$1&amp;AV$3&amp;$C490))</f>
        <v>0</v>
      </c>
      <c r="AW490" s="2881">
        <f t="shared" ca="1" si="1007"/>
        <v>0</v>
      </c>
      <c r="AX490" s="2882">
        <f t="shared" ca="1" si="1008"/>
        <v>0</v>
      </c>
      <c r="AY490" s="1971">
        <f ca="1">SUM(INDIRECT(AY$1&amp;AY$2&amp;$A490):INDIRECT(AY$1&amp;AY$3&amp;$A490))</f>
        <v>0</v>
      </c>
      <c r="AZ490" s="2881">
        <f t="shared" ca="1" si="1009"/>
        <v>0</v>
      </c>
      <c r="BA490" s="2882">
        <f t="shared" ca="1" si="1010"/>
        <v>0</v>
      </c>
      <c r="BC490" s="1971">
        <f ca="1">SUM((INDIRECT(BC$2&amp;(ROW())):INDIRECT(BC$3&amp;(ROW()))))</f>
        <v>0</v>
      </c>
      <c r="BD490" s="1971">
        <f ca="1">SUM(INDIRECT(BD$1&amp;BD$2&amp;$C490):INDIRECT(BD$1&amp;BD$3&amp;$C490))</f>
        <v>0</v>
      </c>
      <c r="BE490" s="2881">
        <f t="shared" ca="1" si="1011"/>
        <v>0</v>
      </c>
      <c r="BF490" s="2882">
        <f t="shared" ca="1" si="1012"/>
        <v>0</v>
      </c>
      <c r="BG490" s="1971">
        <f ca="1">SUM(INDIRECT(BG$1&amp;BG$2&amp;$A490):INDIRECT(BG$1&amp;BG$3&amp;$A490))</f>
        <v>0</v>
      </c>
      <c r="BH490" s="2881">
        <f t="shared" ca="1" si="1013"/>
        <v>0</v>
      </c>
      <c r="BI490" s="2882">
        <f t="shared" ca="1" si="1014"/>
        <v>0</v>
      </c>
    </row>
    <row r="491" spans="1:61" ht="14.5" collapsed="1">
      <c r="A491" s="1693">
        <f t="shared" si="1022"/>
        <v>483</v>
      </c>
      <c r="B491" s="616">
        <v>1</v>
      </c>
      <c r="C491" s="1693">
        <f t="shared" si="1019"/>
        <v>491</v>
      </c>
      <c r="D491" s="616">
        <v>1</v>
      </c>
      <c r="F491" s="69"/>
      <c r="J491" s="94"/>
      <c r="K491" s="93"/>
      <c r="L491" s="63"/>
      <c r="M491" s="63"/>
      <c r="O491" s="288" t="s">
        <v>125</v>
      </c>
      <c r="P491" s="288"/>
      <c r="Q491" s="288"/>
      <c r="R491" s="1779" t="str">
        <f>CHOOSE(2, "6722000003402", "S/GP (1)-1 Net Sales Indirect NH 3rd Party")</f>
        <v>S/GP (1)-1 Net Sales Indirect NH 3rd Party</v>
      </c>
      <c r="S491" s="1246"/>
      <c r="T491" s="1246"/>
      <c r="U491" s="1246"/>
      <c r="V491" s="1246"/>
      <c r="W491" s="1246"/>
      <c r="X491" s="1246"/>
      <c r="Y491" s="1246"/>
      <c r="Z491" s="1246"/>
      <c r="AA491" s="1246"/>
      <c r="AB491" s="1246"/>
      <c r="AC491" s="1246"/>
      <c r="AD491" s="1246"/>
      <c r="AE491" s="897">
        <f>SUM(S491,T491,U491)</f>
        <v>0</v>
      </c>
      <c r="AF491" s="297">
        <f>SUM(V491,W491,X491)</f>
        <v>0</v>
      </c>
      <c r="AG491" s="297">
        <f>SUM(Y491,Z491,AA491)</f>
        <v>0</v>
      </c>
      <c r="AH491" s="297">
        <f>SUM(AB491,AC491,AD491)</f>
        <v>0</v>
      </c>
      <c r="AI491" s="297">
        <f>AE491+AF491</f>
        <v>0</v>
      </c>
      <c r="AJ491" s="297">
        <f>AH491+AG491</f>
        <v>0</v>
      </c>
      <c r="AK491" s="297">
        <f>AI491+AJ491</f>
        <v>0</v>
      </c>
      <c r="AM491" s="2143">
        <f ca="1">SUM((INDIRECT(AM$2&amp;(ROW())):INDIRECT(AM$3&amp;(ROW()))))</f>
        <v>0</v>
      </c>
      <c r="AN491" s="2143">
        <f ca="1">SUM(INDIRECT(AN$1&amp;AN$2&amp;$C491):INDIRECT(AN$1&amp;AN$3&amp;$C491))</f>
        <v>0</v>
      </c>
      <c r="AO491" s="2883">
        <f t="shared" ca="1" si="1003"/>
        <v>0</v>
      </c>
      <c r="AP491" s="2884">
        <f t="shared" ca="1" si="1004"/>
        <v>0</v>
      </c>
      <c r="AQ491" s="2143">
        <f ca="1">SUM(INDIRECT(AQ$1&amp;AQ$2&amp;$A491):INDIRECT(AQ$1&amp;AQ$3&amp;$A491))</f>
        <v>0</v>
      </c>
      <c r="AR491" s="2883">
        <f t="shared" ca="1" si="1005"/>
        <v>0</v>
      </c>
      <c r="AS491" s="2884">
        <f t="shared" ca="1" si="1006"/>
        <v>0</v>
      </c>
      <c r="AU491" s="2143">
        <f ca="1">SUM((INDIRECT(AU$2&amp;(ROW())):INDIRECT(AU$3&amp;(ROW()))))</f>
        <v>0</v>
      </c>
      <c r="AV491" s="2143">
        <f ca="1">SUM(INDIRECT(AV$1&amp;AV$2&amp;$C491):INDIRECT(AV$1&amp;AV$3&amp;$C491))</f>
        <v>0</v>
      </c>
      <c r="AW491" s="2883">
        <f t="shared" ca="1" si="1007"/>
        <v>0</v>
      </c>
      <c r="AX491" s="2884">
        <f t="shared" ca="1" si="1008"/>
        <v>0</v>
      </c>
      <c r="AY491" s="2143">
        <f ca="1">SUM(INDIRECT(AY$1&amp;AY$2&amp;$A491):INDIRECT(AY$1&amp;AY$3&amp;$A491))</f>
        <v>0</v>
      </c>
      <c r="AZ491" s="2883">
        <f t="shared" ca="1" si="1009"/>
        <v>0</v>
      </c>
      <c r="BA491" s="2884">
        <f t="shared" ca="1" si="1010"/>
        <v>0</v>
      </c>
      <c r="BC491" s="2143">
        <f ca="1">SUM((INDIRECT(BC$2&amp;(ROW())):INDIRECT(BC$3&amp;(ROW()))))</f>
        <v>0</v>
      </c>
      <c r="BD491" s="2143">
        <f ca="1">SUM(INDIRECT(BD$1&amp;BD$2&amp;$C491):INDIRECT(BD$1&amp;BD$3&amp;$C491))</f>
        <v>0</v>
      </c>
      <c r="BE491" s="2883">
        <f t="shared" ca="1" si="1011"/>
        <v>0</v>
      </c>
      <c r="BF491" s="2884">
        <f t="shared" ca="1" si="1012"/>
        <v>0</v>
      </c>
      <c r="BG491" s="2143">
        <f ca="1">SUM(INDIRECT(BG$1&amp;BG$2&amp;$A491):INDIRECT(BG$1&amp;BG$3&amp;$A491))</f>
        <v>0</v>
      </c>
      <c r="BH491" s="2883">
        <f t="shared" ca="1" si="1013"/>
        <v>0</v>
      </c>
      <c r="BI491" s="2884">
        <f t="shared" ca="1" si="1014"/>
        <v>0</v>
      </c>
    </row>
    <row r="492" spans="1:61" ht="14.5">
      <c r="A492" s="1693">
        <f t="shared" si="1022"/>
        <v>484</v>
      </c>
      <c r="B492" s="616">
        <v>1</v>
      </c>
      <c r="C492" s="1693">
        <f t="shared" si="1019"/>
        <v>492</v>
      </c>
      <c r="D492" s="616">
        <v>1</v>
      </c>
      <c r="F492" s="69"/>
      <c r="J492" s="92"/>
      <c r="K492" s="91"/>
      <c r="L492" s="62"/>
      <c r="M492" s="62"/>
      <c r="N492" s="20" t="s">
        <v>51</v>
      </c>
      <c r="O492" s="20"/>
      <c r="P492" s="20"/>
      <c r="Q492" s="233"/>
      <c r="R492" s="1779" t="str">
        <f>CHOOSE(2, "6722000003403", "S/GP (1)-1 Net Sales Indirect Others")</f>
        <v>S/GP (1)-1 Net Sales Indirect Others</v>
      </c>
      <c r="S492" s="1280"/>
      <c r="T492" s="1280"/>
      <c r="U492" s="1280"/>
      <c r="V492" s="1280"/>
      <c r="W492" s="1280"/>
      <c r="X492" s="1280"/>
      <c r="Y492" s="1280"/>
      <c r="Z492" s="1280"/>
      <c r="AA492" s="1280"/>
      <c r="AB492" s="1280"/>
      <c r="AC492" s="1280"/>
      <c r="AD492" s="1280"/>
      <c r="AE492" s="900">
        <f>SUM(S492,T492,U492)</f>
        <v>0</v>
      </c>
      <c r="AF492" s="64">
        <f>SUM(V492,W492,X492)</f>
        <v>0</v>
      </c>
      <c r="AG492" s="64">
        <f>SUM(Y492,Z492,AA492)</f>
        <v>0</v>
      </c>
      <c r="AH492" s="64">
        <f>SUM(AB492,AC492,AD492)</f>
        <v>0</v>
      </c>
      <c r="AI492" s="64">
        <f>AE492+AF492</f>
        <v>0</v>
      </c>
      <c r="AJ492" s="64">
        <f>AH492+AG492</f>
        <v>0</v>
      </c>
      <c r="AK492" s="64">
        <f>AI492+AJ492</f>
        <v>0</v>
      </c>
      <c r="AL492" s="9"/>
      <c r="AM492" s="1918">
        <f ca="1">SUM((INDIRECT(AM$2&amp;(ROW())):INDIRECT(AM$3&amp;(ROW()))))</f>
        <v>0</v>
      </c>
      <c r="AN492" s="1918">
        <f ca="1">SUM(INDIRECT(AN$1&amp;AN$2&amp;$C492):INDIRECT(AN$1&amp;AN$3&amp;$C492))</f>
        <v>0</v>
      </c>
      <c r="AO492" s="2891">
        <f t="shared" ca="1" si="1003"/>
        <v>0</v>
      </c>
      <c r="AP492" s="2892">
        <f t="shared" ca="1" si="1004"/>
        <v>0</v>
      </c>
      <c r="AQ492" s="1918">
        <f ca="1">SUM(INDIRECT(AQ$1&amp;AQ$2&amp;$A492):INDIRECT(AQ$1&amp;AQ$3&amp;$A492))</f>
        <v>0</v>
      </c>
      <c r="AR492" s="2891">
        <f t="shared" ca="1" si="1005"/>
        <v>0</v>
      </c>
      <c r="AS492" s="2892">
        <f t="shared" ca="1" si="1006"/>
        <v>0</v>
      </c>
      <c r="AU492" s="1918">
        <f ca="1">SUM((INDIRECT(AU$2&amp;(ROW())):INDIRECT(AU$3&amp;(ROW()))))</f>
        <v>0</v>
      </c>
      <c r="AV492" s="1918">
        <f ca="1">SUM(INDIRECT(AV$1&amp;AV$2&amp;$C492):INDIRECT(AV$1&amp;AV$3&amp;$C492))</f>
        <v>0</v>
      </c>
      <c r="AW492" s="2891">
        <f t="shared" ca="1" si="1007"/>
        <v>0</v>
      </c>
      <c r="AX492" s="2892">
        <f t="shared" ca="1" si="1008"/>
        <v>0</v>
      </c>
      <c r="AY492" s="1918">
        <f ca="1">SUM(INDIRECT(AY$1&amp;AY$2&amp;$A492):INDIRECT(AY$1&amp;AY$3&amp;$A492))</f>
        <v>0</v>
      </c>
      <c r="AZ492" s="2891">
        <f t="shared" ca="1" si="1009"/>
        <v>0</v>
      </c>
      <c r="BA492" s="2892">
        <f t="shared" ca="1" si="1010"/>
        <v>0</v>
      </c>
      <c r="BC492" s="1918">
        <f ca="1">SUM((INDIRECT(BC$2&amp;(ROW())):INDIRECT(BC$3&amp;(ROW()))))</f>
        <v>0</v>
      </c>
      <c r="BD492" s="1918">
        <f ca="1">SUM(INDIRECT(BD$1&amp;BD$2&amp;$C492):INDIRECT(BD$1&amp;BD$3&amp;$C492))</f>
        <v>0</v>
      </c>
      <c r="BE492" s="2891">
        <f t="shared" ca="1" si="1011"/>
        <v>0</v>
      </c>
      <c r="BF492" s="2892">
        <f t="shared" ca="1" si="1012"/>
        <v>0</v>
      </c>
      <c r="BG492" s="1918">
        <f ca="1">SUM(INDIRECT(BG$1&amp;BG$2&amp;$A492):INDIRECT(BG$1&amp;BG$3&amp;$A492))</f>
        <v>0</v>
      </c>
      <c r="BH492" s="2891">
        <f t="shared" ca="1" si="1013"/>
        <v>0</v>
      </c>
      <c r="BI492" s="2892">
        <f t="shared" ca="1" si="1014"/>
        <v>0</v>
      </c>
    </row>
    <row r="493" spans="1:61" ht="14.5">
      <c r="A493" s="1693">
        <f t="shared" si="1022"/>
        <v>485</v>
      </c>
      <c r="B493" s="616">
        <v>1</v>
      </c>
      <c r="C493" s="1693">
        <f t="shared" si="1019"/>
        <v>493</v>
      </c>
      <c r="D493" s="616">
        <v>1</v>
      </c>
      <c r="F493" s="69"/>
      <c r="J493" s="100" t="s">
        <v>132</v>
      </c>
      <c r="K493" s="99"/>
      <c r="L493" s="310"/>
      <c r="M493" s="310"/>
      <c r="N493" s="311"/>
      <c r="O493" s="311"/>
      <c r="P493" s="311"/>
      <c r="Q493" s="582"/>
      <c r="R493" s="1813" t="str">
        <f>CHOOSE(2, "6722000003404", "S/GP (1)-1 Gross Profit")</f>
        <v>S/GP (1)-1 Gross Profit</v>
      </c>
      <c r="S493" s="1320">
        <f t="shared" ref="S493:AD493" si="1045">S494+S518</f>
        <v>101421</v>
      </c>
      <c r="T493" s="1195">
        <f t="shared" si="1045"/>
        <v>85048.096339999989</v>
      </c>
      <c r="U493" s="1195">
        <f t="shared" si="1045"/>
        <v>94413.414559166617</v>
      </c>
      <c r="V493" s="1195">
        <f t="shared" si="1045"/>
        <v>86326.012467065826</v>
      </c>
      <c r="W493" s="1195">
        <f t="shared" si="1045"/>
        <v>99657.807001195106</v>
      </c>
      <c r="X493" s="1195">
        <f t="shared" si="1045"/>
        <v>109930.74496416653</v>
      </c>
      <c r="Y493" s="1195">
        <f t="shared" si="1045"/>
        <v>93318.013853333483</v>
      </c>
      <c r="Z493" s="1195">
        <f t="shared" si="1045"/>
        <v>100479.02817333324</v>
      </c>
      <c r="AA493" s="1195">
        <f t="shared" si="1045"/>
        <v>111102.2866477074</v>
      </c>
      <c r="AB493" s="1195">
        <f t="shared" si="1045"/>
        <v>99674.634401123505</v>
      </c>
      <c r="AC493" s="1195">
        <f t="shared" si="1045"/>
        <v>103768.93369811939</v>
      </c>
      <c r="AD493" s="1195">
        <f t="shared" si="1045"/>
        <v>93558.605819150383</v>
      </c>
      <c r="AE493" s="902">
        <f t="shared" ref="AE493:AK493" si="1046">AE494+AE518</f>
        <v>280882.51089916663</v>
      </c>
      <c r="AF493" s="312">
        <f t="shared" si="1046"/>
        <v>295914.56443242746</v>
      </c>
      <c r="AG493" s="312">
        <f t="shared" si="1046"/>
        <v>304899.32867437415</v>
      </c>
      <c r="AH493" s="312">
        <f t="shared" si="1046"/>
        <v>297002.17391839321</v>
      </c>
      <c r="AI493" s="312">
        <f t="shared" si="1046"/>
        <v>576797.0753315941</v>
      </c>
      <c r="AJ493" s="312">
        <f t="shared" si="1046"/>
        <v>601901.50259276736</v>
      </c>
      <c r="AK493" s="312">
        <f t="shared" si="1046"/>
        <v>1178698.5779243615</v>
      </c>
      <c r="AM493" s="2151">
        <f ca="1">SUM((INDIRECT(AM$2&amp;(ROW())):INDIRECT(AM$3&amp;(ROW()))))</f>
        <v>101421</v>
      </c>
      <c r="AN493" s="2152">
        <f ca="1">SUM(INDIRECT(AN$1&amp;AN$2&amp;$C493):INDIRECT(AN$1&amp;AN$3&amp;$C493))</f>
        <v>73917.497872078937</v>
      </c>
      <c r="AO493" s="2895">
        <f t="shared" ca="1" si="1003"/>
        <v>27503.502127921063</v>
      </c>
      <c r="AP493" s="2872">
        <f t="shared" ca="1" si="1004"/>
        <v>1.3720837815089253</v>
      </c>
      <c r="AQ493" s="2152">
        <f ca="1">SUM(INDIRECT(AQ$1&amp;AQ$2&amp;$A493):INDIRECT(AQ$1&amp;AQ$3&amp;$A493))</f>
        <v>62164</v>
      </c>
      <c r="AR493" s="2895">
        <f t="shared" ca="1" si="1005"/>
        <v>39257</v>
      </c>
      <c r="AS493" s="2872">
        <f t="shared" ca="1" si="1006"/>
        <v>1.6315069815327199</v>
      </c>
      <c r="AU493" s="2151">
        <f ca="1">SUM((INDIRECT(AU$2&amp;(ROW())):INDIRECT(AU$3&amp;(ROW()))))</f>
        <v>101421</v>
      </c>
      <c r="AV493" s="2152">
        <f ca="1">SUM(INDIRECT(AV$1&amp;AV$2&amp;$C493):INDIRECT(AV$1&amp;AV$3&amp;$C493))</f>
        <v>73917.497872078937</v>
      </c>
      <c r="AW493" s="2895">
        <f t="shared" ca="1" si="1007"/>
        <v>27503.502127921063</v>
      </c>
      <c r="AX493" s="2872">
        <f t="shared" ca="1" si="1008"/>
        <v>1.3720837815089253</v>
      </c>
      <c r="AY493" s="2152">
        <f ca="1">SUM(INDIRECT(AY$1&amp;AY$2&amp;$A493):INDIRECT(AY$1&amp;AY$3&amp;$A493))</f>
        <v>62164</v>
      </c>
      <c r="AZ493" s="2895">
        <f t="shared" ca="1" si="1009"/>
        <v>39257</v>
      </c>
      <c r="BA493" s="2872">
        <f t="shared" ca="1" si="1010"/>
        <v>1.6315069815327199</v>
      </c>
      <c r="BC493" s="2151">
        <f ca="1">SUM((INDIRECT(BC$2&amp;(ROW())):INDIRECT(BC$3&amp;(ROW()))))</f>
        <v>101421</v>
      </c>
      <c r="BD493" s="2152">
        <f ca="1">SUM(INDIRECT(BD$1&amp;BD$2&amp;$C493):INDIRECT(BD$1&amp;BD$3&amp;$C493))</f>
        <v>73917.497872078937</v>
      </c>
      <c r="BE493" s="2895">
        <f t="shared" ca="1" si="1011"/>
        <v>27503.502127921063</v>
      </c>
      <c r="BF493" s="2872">
        <f t="shared" ca="1" si="1012"/>
        <v>1.3720837815089253</v>
      </c>
      <c r="BG493" s="2152">
        <f ca="1">SUM(INDIRECT(BG$1&amp;BG$2&amp;$A493):INDIRECT(BG$1&amp;BG$3&amp;$A493))</f>
        <v>62164</v>
      </c>
      <c r="BH493" s="2895">
        <f t="shared" ca="1" si="1013"/>
        <v>39257</v>
      </c>
      <c r="BI493" s="2872">
        <f t="shared" ca="1" si="1014"/>
        <v>1.6315069815327199</v>
      </c>
    </row>
    <row r="494" spans="1:61" ht="14.5">
      <c r="A494" s="1693">
        <f t="shared" si="1022"/>
        <v>486</v>
      </c>
      <c r="B494" s="616">
        <v>1</v>
      </c>
      <c r="C494" s="1693">
        <f t="shared" si="1019"/>
        <v>494</v>
      </c>
      <c r="D494" s="616">
        <v>1</v>
      </c>
      <c r="F494" s="69"/>
      <c r="J494" s="94"/>
      <c r="K494" s="93"/>
      <c r="L494" s="68" t="s">
        <v>120</v>
      </c>
      <c r="M494" s="68"/>
      <c r="N494" s="283"/>
      <c r="O494" s="283"/>
      <c r="P494" s="283"/>
      <c r="Q494" s="283"/>
      <c r="R494" s="1811" t="str">
        <f>CHOOSE(2, "6722000003405", "S/GP (1)-1 Gross Profit Direct")</f>
        <v>S/GP (1)-1 Gross Profit Direct</v>
      </c>
      <c r="S494" s="1318">
        <f>S495+S500+S517</f>
        <v>35447</v>
      </c>
      <c r="T494" s="1259">
        <f t="shared" ref="T494:AD494" si="1047">T495+T500+T517</f>
        <v>34089.756889999997</v>
      </c>
      <c r="U494" s="1259">
        <f t="shared" si="1047"/>
        <v>33715.698429341661</v>
      </c>
      <c r="V494" s="1259">
        <f t="shared" si="1047"/>
        <v>26418.471753957449</v>
      </c>
      <c r="W494" s="1259">
        <f t="shared" si="1047"/>
        <v>32965.075359074704</v>
      </c>
      <c r="X494" s="1259">
        <f t="shared" si="1047"/>
        <v>31899.326655575715</v>
      </c>
      <c r="Y494" s="1259">
        <f t="shared" si="1047"/>
        <v>33984.827276956232</v>
      </c>
      <c r="Z494" s="1259">
        <f t="shared" si="1047"/>
        <v>34216.866268398007</v>
      </c>
      <c r="AA494" s="1259">
        <f t="shared" si="1047"/>
        <v>28874.793627499319</v>
      </c>
      <c r="AB494" s="1259">
        <f t="shared" si="1047"/>
        <v>24611.428111447167</v>
      </c>
      <c r="AC494" s="1259">
        <f t="shared" si="1047"/>
        <v>44644.352398112605</v>
      </c>
      <c r="AD494" s="1259">
        <f t="shared" si="1047"/>
        <v>12696.776165014584</v>
      </c>
      <c r="AE494" s="1259">
        <f t="shared" ref="AE494:AK494" si="1048">AE495+AE500+AE517</f>
        <v>103252.45531934167</v>
      </c>
      <c r="AF494" s="1259">
        <f t="shared" si="1048"/>
        <v>91282.873768607853</v>
      </c>
      <c r="AG494" s="1259">
        <f t="shared" si="1048"/>
        <v>97076.487172853551</v>
      </c>
      <c r="AH494" s="1259">
        <f t="shared" si="1048"/>
        <v>81952.556674574356</v>
      </c>
      <c r="AI494" s="1259">
        <f t="shared" si="1048"/>
        <v>194535.32908794953</v>
      </c>
      <c r="AJ494" s="1259">
        <f t="shared" si="1048"/>
        <v>179029.04384742791</v>
      </c>
      <c r="AK494" s="1259">
        <f t="shared" si="1048"/>
        <v>373564.37293537747</v>
      </c>
      <c r="AM494" s="1318">
        <f ca="1">SUM((INDIRECT(AM$2&amp;(ROW())):INDIRECT(AM$3&amp;(ROW()))))</f>
        <v>35447</v>
      </c>
      <c r="AN494" s="1259">
        <f ca="1">SUM(INDIRECT(AN$1&amp;AN$2&amp;$C494):INDIRECT(AN$1&amp;AN$3&amp;$C494))</f>
        <v>25906.734483335647</v>
      </c>
      <c r="AO494" s="2873">
        <f t="shared" ca="1" si="1003"/>
        <v>9540.2655166643526</v>
      </c>
      <c r="AP494" s="2874">
        <f t="shared" ca="1" si="1004"/>
        <v>1.3682542669668025</v>
      </c>
      <c r="AQ494" s="1259">
        <f ca="1">SUM(INDIRECT(AQ$1&amp;AQ$2&amp;$A494):INDIRECT(AQ$1&amp;AQ$3&amp;$A494))</f>
        <v>22005</v>
      </c>
      <c r="AR494" s="2873">
        <f t="shared" ca="1" si="1005"/>
        <v>13442</v>
      </c>
      <c r="AS494" s="2874">
        <f t="shared" ca="1" si="1006"/>
        <v>1.6108611679163827</v>
      </c>
      <c r="AU494" s="1318">
        <f ca="1">SUM((INDIRECT(AU$2&amp;(ROW())):INDIRECT(AU$3&amp;(ROW()))))</f>
        <v>35447</v>
      </c>
      <c r="AV494" s="1259">
        <f ca="1">SUM(INDIRECT(AV$1&amp;AV$2&amp;$C494):INDIRECT(AV$1&amp;AV$3&amp;$C494))</f>
        <v>25906.734483335647</v>
      </c>
      <c r="AW494" s="2873">
        <f t="shared" ca="1" si="1007"/>
        <v>9540.2655166643526</v>
      </c>
      <c r="AX494" s="2874">
        <f t="shared" ca="1" si="1008"/>
        <v>1.3682542669668025</v>
      </c>
      <c r="AY494" s="1259">
        <f ca="1">SUM(INDIRECT(AY$1&amp;AY$2&amp;$A494):INDIRECT(AY$1&amp;AY$3&amp;$A494))</f>
        <v>22005</v>
      </c>
      <c r="AZ494" s="2873">
        <f t="shared" ca="1" si="1009"/>
        <v>13442</v>
      </c>
      <c r="BA494" s="2874">
        <f t="shared" ca="1" si="1010"/>
        <v>1.6108611679163827</v>
      </c>
      <c r="BC494" s="1318">
        <f ca="1">SUM((INDIRECT(BC$2&amp;(ROW())):INDIRECT(BC$3&amp;(ROW()))))</f>
        <v>35447</v>
      </c>
      <c r="BD494" s="1259">
        <f ca="1">SUM(INDIRECT(BD$1&amp;BD$2&amp;$C494):INDIRECT(BD$1&amp;BD$3&amp;$C494))</f>
        <v>25906.734483335647</v>
      </c>
      <c r="BE494" s="2873">
        <f t="shared" ca="1" si="1011"/>
        <v>9540.2655166643526</v>
      </c>
      <c r="BF494" s="2874">
        <f t="shared" ca="1" si="1012"/>
        <v>1.3682542669668025</v>
      </c>
      <c r="BG494" s="1259">
        <f ca="1">SUM(INDIRECT(BG$1&amp;BG$2&amp;$A494):INDIRECT(BG$1&amp;BG$3&amp;$A494))</f>
        <v>22005</v>
      </c>
      <c r="BH494" s="2873">
        <f t="shared" ca="1" si="1013"/>
        <v>13442</v>
      </c>
      <c r="BI494" s="2874">
        <f t="shared" ca="1" si="1014"/>
        <v>1.6108611679163827</v>
      </c>
    </row>
    <row r="495" spans="1:61" s="9" customFormat="1" ht="14.5">
      <c r="A495" s="1693">
        <f t="shared" si="1022"/>
        <v>487</v>
      </c>
      <c r="B495" s="616">
        <v>1</v>
      </c>
      <c r="C495" s="1693">
        <f t="shared" si="1019"/>
        <v>495</v>
      </c>
      <c r="D495" s="616">
        <v>1</v>
      </c>
      <c r="F495" s="22"/>
      <c r="I495" s="22"/>
      <c r="J495" s="94"/>
      <c r="K495" s="214"/>
      <c r="L495" s="68"/>
      <c r="M495" s="68"/>
      <c r="N495" s="8" t="s">
        <v>121</v>
      </c>
      <c r="O495" s="285"/>
      <c r="P495" s="285"/>
      <c r="Q495" s="285"/>
      <c r="R495" s="1777" t="str">
        <f>CHOOSE(2, "6722000003406", "S/GP (1)-1 Gross Profit Direct HW")</f>
        <v>S/GP (1)-1 Gross Profit Direct HW</v>
      </c>
      <c r="S495" s="1248">
        <f>S496+S499</f>
        <v>15786</v>
      </c>
      <c r="T495" s="1248">
        <f t="shared" ref="T495:AD495" si="1049">T496+T499</f>
        <v>19361.85483</v>
      </c>
      <c r="U495" s="1248">
        <f t="shared" si="1049"/>
        <v>18473.153443998763</v>
      </c>
      <c r="V495" s="1248">
        <f t="shared" si="1049"/>
        <v>13924.070053957452</v>
      </c>
      <c r="W495" s="1248">
        <f t="shared" si="1049"/>
        <v>13309.69002</v>
      </c>
      <c r="X495" s="1248">
        <f t="shared" si="1049"/>
        <v>18804.455903241069</v>
      </c>
      <c r="Y495" s="1248">
        <f t="shared" si="1049"/>
        <v>18317.22734554284</v>
      </c>
      <c r="Z495" s="1248">
        <f t="shared" si="1049"/>
        <v>19049.219919150644</v>
      </c>
      <c r="AA495" s="1248">
        <f t="shared" si="1049"/>
        <v>16469.506062783676</v>
      </c>
      <c r="AB495" s="1248">
        <f t="shared" si="1049"/>
        <v>7646.5235520630422</v>
      </c>
      <c r="AC495" s="1248">
        <f t="shared" si="1049"/>
        <v>27895.009316833246</v>
      </c>
      <c r="AD495" s="1248">
        <f t="shared" si="1049"/>
        <v>2192.2655836665917</v>
      </c>
      <c r="AE495" s="895">
        <f t="shared" ref="AE495:AK495" si="1050">AE496+AE499</f>
        <v>53621.00827399877</v>
      </c>
      <c r="AF495" s="1248">
        <f t="shared" si="1050"/>
        <v>46038.215977198517</v>
      </c>
      <c r="AG495" s="1248">
        <f t="shared" si="1050"/>
        <v>53835.95332747716</v>
      </c>
      <c r="AH495" s="1248">
        <f t="shared" si="1050"/>
        <v>37733.798452562878</v>
      </c>
      <c r="AI495" s="1248">
        <f t="shared" si="1050"/>
        <v>99659.224251197287</v>
      </c>
      <c r="AJ495" s="1248">
        <f t="shared" si="1050"/>
        <v>91569.751780040038</v>
      </c>
      <c r="AK495" s="1248">
        <f t="shared" si="1050"/>
        <v>191228.97603123734</v>
      </c>
      <c r="AL495" s="8"/>
      <c r="AM495" s="2183">
        <f ca="1">SUM((INDIRECT(AM$2&amp;(ROW())):INDIRECT(AM$3&amp;(ROW()))))</f>
        <v>15786</v>
      </c>
      <c r="AN495" s="2183">
        <f ca="1">SUM(INDIRECT(AN$1&amp;AN$2&amp;$C495):INDIRECT(AN$1&amp;AN$3&amp;$C495))</f>
        <v>13239.987945416113</v>
      </c>
      <c r="AO495" s="2875">
        <f t="shared" ca="1" si="1003"/>
        <v>2546.0120545838872</v>
      </c>
      <c r="AP495" s="2876">
        <f t="shared" ca="1" si="1004"/>
        <v>1.1922971580548423</v>
      </c>
      <c r="AQ495" s="2183">
        <f ca="1">SUM(INDIRECT(AQ$1&amp;AQ$2&amp;$A495):INDIRECT(AQ$1&amp;AQ$3&amp;$A495))</f>
        <v>11204</v>
      </c>
      <c r="AR495" s="2875">
        <f t="shared" ca="1" si="1005"/>
        <v>4582</v>
      </c>
      <c r="AS495" s="2876">
        <f t="shared" ca="1" si="1006"/>
        <v>1.408961085326669</v>
      </c>
      <c r="AU495" s="2183">
        <f ca="1">SUM((INDIRECT(AU$2&amp;(ROW())):INDIRECT(AU$3&amp;(ROW()))))</f>
        <v>15786</v>
      </c>
      <c r="AV495" s="2183">
        <f ca="1">SUM(INDIRECT(AV$1&amp;AV$2&amp;$C495):INDIRECT(AV$1&amp;AV$3&amp;$C495))</f>
        <v>13239.987945416113</v>
      </c>
      <c r="AW495" s="2875">
        <f t="shared" ca="1" si="1007"/>
        <v>2546.0120545838872</v>
      </c>
      <c r="AX495" s="2876">
        <f t="shared" ca="1" si="1008"/>
        <v>1.1922971580548423</v>
      </c>
      <c r="AY495" s="2183">
        <f ca="1">SUM(INDIRECT(AY$1&amp;AY$2&amp;$A495):INDIRECT(AY$1&amp;AY$3&amp;$A495))</f>
        <v>11204</v>
      </c>
      <c r="AZ495" s="2875">
        <f t="shared" ca="1" si="1009"/>
        <v>4582</v>
      </c>
      <c r="BA495" s="2876">
        <f t="shared" ca="1" si="1010"/>
        <v>1.408961085326669</v>
      </c>
      <c r="BC495" s="2183">
        <f ca="1">SUM((INDIRECT(BC$2&amp;(ROW())):INDIRECT(BC$3&amp;(ROW()))))</f>
        <v>15786</v>
      </c>
      <c r="BD495" s="2183">
        <f ca="1">SUM(INDIRECT(BD$1&amp;BD$2&amp;$C495):INDIRECT(BD$1&amp;BD$3&amp;$C495))</f>
        <v>13239.987945416113</v>
      </c>
      <c r="BE495" s="2875">
        <f t="shared" ca="1" si="1011"/>
        <v>2546.0120545838872</v>
      </c>
      <c r="BF495" s="2876">
        <f t="shared" ca="1" si="1012"/>
        <v>1.1922971580548423</v>
      </c>
      <c r="BG495" s="2183">
        <f ca="1">SUM(INDIRECT(BG$1&amp;BG$2&amp;$A495):INDIRECT(BG$1&amp;BG$3&amp;$A495))</f>
        <v>11204</v>
      </c>
      <c r="BH495" s="2875">
        <f t="shared" ca="1" si="1013"/>
        <v>4582</v>
      </c>
      <c r="BI495" s="2876">
        <f t="shared" ca="1" si="1014"/>
        <v>1.408961085326669</v>
      </c>
    </row>
    <row r="496" spans="1:61" ht="14.5">
      <c r="A496" s="1693">
        <f t="shared" si="1022"/>
        <v>488</v>
      </c>
      <c r="B496" s="616">
        <v>1</v>
      </c>
      <c r="C496" s="1693">
        <f t="shared" si="1019"/>
        <v>496</v>
      </c>
      <c r="D496" s="616">
        <v>1</v>
      </c>
      <c r="F496" s="69"/>
      <c r="J496" s="94"/>
      <c r="K496" s="93"/>
      <c r="L496" s="68"/>
      <c r="M496" s="68"/>
      <c r="O496" s="97" t="s">
        <v>122</v>
      </c>
      <c r="P496" s="97"/>
      <c r="Q496" s="97"/>
      <c r="R496" s="1777" t="str">
        <f>CHOOSE(2, "6722000003407", "S/GP (1)-1 Gross Profit Direct HW KMI")</f>
        <v>S/GP (1)-1 Gross Profit Direct HW KMI</v>
      </c>
      <c r="S496" s="95">
        <f>SUM(S497:S498)</f>
        <v>15786</v>
      </c>
      <c r="T496" s="95">
        <f t="shared" ref="T496:AD496" si="1051">SUM(T497:T498)</f>
        <v>19361.85483</v>
      </c>
      <c r="U496" s="95">
        <f t="shared" si="1051"/>
        <v>18473.153443998763</v>
      </c>
      <c r="V496" s="95">
        <f t="shared" si="1051"/>
        <v>13924.070053957452</v>
      </c>
      <c r="W496" s="95">
        <f t="shared" si="1051"/>
        <v>13309.69002</v>
      </c>
      <c r="X496" s="95">
        <f t="shared" si="1051"/>
        <v>18804.455903241069</v>
      </c>
      <c r="Y496" s="95">
        <f t="shared" si="1051"/>
        <v>18317.22734554284</v>
      </c>
      <c r="Z496" s="95">
        <f t="shared" si="1051"/>
        <v>19049.219919150644</v>
      </c>
      <c r="AA496" s="95">
        <f t="shared" si="1051"/>
        <v>16469.506062783676</v>
      </c>
      <c r="AB496" s="95">
        <f t="shared" si="1051"/>
        <v>7646.5235520630422</v>
      </c>
      <c r="AC496" s="95">
        <f t="shared" si="1051"/>
        <v>27895.009316833246</v>
      </c>
      <c r="AD496" s="95">
        <f t="shared" si="1051"/>
        <v>2192.2655836665917</v>
      </c>
      <c r="AE496" s="896">
        <f t="shared" ref="AE496:AK496" si="1052">SUM(AE497:AE498)</f>
        <v>53621.00827399877</v>
      </c>
      <c r="AF496" s="95">
        <f t="shared" si="1052"/>
        <v>46038.215977198517</v>
      </c>
      <c r="AG496" s="95">
        <f t="shared" si="1052"/>
        <v>53835.95332747716</v>
      </c>
      <c r="AH496" s="95">
        <f t="shared" si="1052"/>
        <v>37733.798452562878</v>
      </c>
      <c r="AI496" s="95">
        <f t="shared" si="1052"/>
        <v>99659.224251197287</v>
      </c>
      <c r="AJ496" s="95">
        <f t="shared" si="1052"/>
        <v>91569.751780040038</v>
      </c>
      <c r="AK496" s="95">
        <f t="shared" si="1052"/>
        <v>191228.97603123734</v>
      </c>
      <c r="AM496" s="2161">
        <f ca="1">SUM((INDIRECT(AM$2&amp;(ROW())):INDIRECT(AM$3&amp;(ROW()))))</f>
        <v>15786</v>
      </c>
      <c r="AN496" s="2161">
        <f ca="1">SUM(INDIRECT(AN$1&amp;AN$2&amp;$C496):INDIRECT(AN$1&amp;AN$3&amp;$C496))</f>
        <v>13239.987945416113</v>
      </c>
      <c r="AO496" s="2877">
        <f t="shared" ca="1" si="1003"/>
        <v>2546.0120545838872</v>
      </c>
      <c r="AP496" s="2878">
        <f t="shared" ca="1" si="1004"/>
        <v>1.1922971580548423</v>
      </c>
      <c r="AQ496" s="2161">
        <f ca="1">SUM(INDIRECT(AQ$1&amp;AQ$2&amp;$A496):INDIRECT(AQ$1&amp;AQ$3&amp;$A496))</f>
        <v>11204</v>
      </c>
      <c r="AR496" s="2877">
        <f t="shared" ca="1" si="1005"/>
        <v>4582</v>
      </c>
      <c r="AS496" s="2878">
        <f t="shared" ca="1" si="1006"/>
        <v>1.408961085326669</v>
      </c>
      <c r="AU496" s="2161">
        <f ca="1">SUM((INDIRECT(AU$2&amp;(ROW())):INDIRECT(AU$3&amp;(ROW()))))</f>
        <v>15786</v>
      </c>
      <c r="AV496" s="2161">
        <f ca="1">SUM(INDIRECT(AV$1&amp;AV$2&amp;$C496):INDIRECT(AV$1&amp;AV$3&amp;$C496))</f>
        <v>13239.987945416113</v>
      </c>
      <c r="AW496" s="2877">
        <f t="shared" ca="1" si="1007"/>
        <v>2546.0120545838872</v>
      </c>
      <c r="AX496" s="2878">
        <f t="shared" ca="1" si="1008"/>
        <v>1.1922971580548423</v>
      </c>
      <c r="AY496" s="2161">
        <f ca="1">SUM(INDIRECT(AY$1&amp;AY$2&amp;$A496):INDIRECT(AY$1&amp;AY$3&amp;$A496))</f>
        <v>11204</v>
      </c>
      <c r="AZ496" s="2877">
        <f t="shared" ca="1" si="1009"/>
        <v>4582</v>
      </c>
      <c r="BA496" s="2878">
        <f t="shared" ca="1" si="1010"/>
        <v>1.408961085326669</v>
      </c>
      <c r="BC496" s="2161">
        <f ca="1">SUM((INDIRECT(BC$2&amp;(ROW())):INDIRECT(BC$3&amp;(ROW()))))</f>
        <v>15786</v>
      </c>
      <c r="BD496" s="2161">
        <f ca="1">SUM(INDIRECT(BD$1&amp;BD$2&amp;$C496):INDIRECT(BD$1&amp;BD$3&amp;$C496))</f>
        <v>13239.987945416113</v>
      </c>
      <c r="BE496" s="2877">
        <f t="shared" ca="1" si="1011"/>
        <v>2546.0120545838872</v>
      </c>
      <c r="BF496" s="2878">
        <f t="shared" ca="1" si="1012"/>
        <v>1.1922971580548423</v>
      </c>
      <c r="BG496" s="2161">
        <f ca="1">SUM(INDIRECT(BG$1&amp;BG$2&amp;$A496):INDIRECT(BG$1&amp;BG$3&amp;$A496))</f>
        <v>11204</v>
      </c>
      <c r="BH496" s="2877">
        <f t="shared" ca="1" si="1013"/>
        <v>4582</v>
      </c>
      <c r="BI496" s="2878">
        <f t="shared" ca="1" si="1014"/>
        <v>1.408961085326669</v>
      </c>
    </row>
    <row r="497" spans="1:61" ht="14.5">
      <c r="A497" s="1693">
        <f t="shared" si="1022"/>
        <v>489</v>
      </c>
      <c r="B497" s="616">
        <v>1</v>
      </c>
      <c r="C497" s="1693">
        <f t="shared" si="1019"/>
        <v>497</v>
      </c>
      <c r="D497" s="616">
        <v>1</v>
      </c>
      <c r="F497" s="69"/>
      <c r="J497" s="94"/>
      <c r="K497" s="93"/>
      <c r="L497" s="68"/>
      <c r="M497" s="68"/>
      <c r="P497" s="97" t="s">
        <v>123</v>
      </c>
      <c r="Q497" s="97"/>
      <c r="R497" s="1779" t="str">
        <f>CHOOSE(2, "6722000003408", "S/GP (1)-1 Gross Profit Direct HW KMI Office A3")</f>
        <v>S/GP (1)-1 Gross Profit Direct HW KMI Office A3</v>
      </c>
      <c r="S497" s="1227">
        <v>15118</v>
      </c>
      <c r="T497" s="1227">
        <v>18701.88206</v>
      </c>
      <c r="U497" s="1227">
        <v>17727.464333998763</v>
      </c>
      <c r="V497" s="1227">
        <v>13167.795483957452</v>
      </c>
      <c r="W497" s="1227">
        <v>12251</v>
      </c>
      <c r="X497" s="1227">
        <v>18125.275903241069</v>
      </c>
      <c r="Y497" s="1227">
        <v>17479.55240554284</v>
      </c>
      <c r="Z497" s="1227">
        <v>18392.746919150642</v>
      </c>
      <c r="AA497" s="1227">
        <v>15765.397782783675</v>
      </c>
      <c r="AB497" s="1227">
        <v>7213.4695520630421</v>
      </c>
      <c r="AC497" s="1227">
        <v>26842.464316833244</v>
      </c>
      <c r="AD497" s="1227">
        <v>1515.3795836665915</v>
      </c>
      <c r="AE497" s="896">
        <f>SUM(S497,T497,U497)</f>
        <v>51547.346393998771</v>
      </c>
      <c r="AF497" s="95">
        <f>SUM(V497,W497,X497)</f>
        <v>43544.071387198521</v>
      </c>
      <c r="AG497" s="95">
        <f>SUM(Y497,Z497,AA497)</f>
        <v>51637.697107477157</v>
      </c>
      <c r="AH497" s="95">
        <f>SUM(AB497,AC497,AD497)</f>
        <v>35571.313452562878</v>
      </c>
      <c r="AI497" s="95">
        <f>AE497+AF497</f>
        <v>95091.417781197291</v>
      </c>
      <c r="AJ497" s="95">
        <f>AH497+AG497</f>
        <v>87209.010560040042</v>
      </c>
      <c r="AK497" s="95">
        <f>AI497+AJ497</f>
        <v>182300.42834123733</v>
      </c>
      <c r="AM497" s="2138">
        <f ca="1">SUM((INDIRECT(AM$2&amp;(ROW())):INDIRECT(AM$3&amp;(ROW()))))</f>
        <v>15118</v>
      </c>
      <c r="AN497" s="2138">
        <f ca="1">SUM(INDIRECT(AN$1&amp;AN$2&amp;$C497):INDIRECT(AN$1&amp;AN$3&amp;$C497))</f>
        <v>13239.987945416113</v>
      </c>
      <c r="AO497" s="2879">
        <f t="shared" ca="1" si="1003"/>
        <v>1878.0120545838872</v>
      </c>
      <c r="AP497" s="2880">
        <f t="shared" ca="1" si="1004"/>
        <v>1.1418439399134108</v>
      </c>
      <c r="AQ497" s="2138">
        <f ca="1">SUM(INDIRECT(AQ$1&amp;AQ$2&amp;$A497):INDIRECT(AQ$1&amp;AQ$3&amp;$A497))</f>
        <v>10816</v>
      </c>
      <c r="AR497" s="2879">
        <f t="shared" ca="1" si="1005"/>
        <v>4302</v>
      </c>
      <c r="AS497" s="2880">
        <f t="shared" ca="1" si="1006"/>
        <v>1.3977440828402368</v>
      </c>
      <c r="AU497" s="2138">
        <f ca="1">SUM((INDIRECT(AU$2&amp;(ROW())):INDIRECT(AU$3&amp;(ROW()))))</f>
        <v>15118</v>
      </c>
      <c r="AV497" s="2138">
        <f ca="1">SUM(INDIRECT(AV$1&amp;AV$2&amp;$C497):INDIRECT(AV$1&amp;AV$3&amp;$C497))</f>
        <v>13239.987945416113</v>
      </c>
      <c r="AW497" s="2879">
        <f t="shared" ca="1" si="1007"/>
        <v>1878.0120545838872</v>
      </c>
      <c r="AX497" s="2880">
        <f t="shared" ca="1" si="1008"/>
        <v>1.1418439399134108</v>
      </c>
      <c r="AY497" s="2138">
        <f ca="1">SUM(INDIRECT(AY$1&amp;AY$2&amp;$A497):INDIRECT(AY$1&amp;AY$3&amp;$A497))</f>
        <v>10816</v>
      </c>
      <c r="AZ497" s="2879">
        <f t="shared" ca="1" si="1009"/>
        <v>4302</v>
      </c>
      <c r="BA497" s="2880">
        <f t="shared" ca="1" si="1010"/>
        <v>1.3977440828402368</v>
      </c>
      <c r="BC497" s="2138">
        <f ca="1">SUM((INDIRECT(BC$2&amp;(ROW())):INDIRECT(BC$3&amp;(ROW()))))</f>
        <v>15118</v>
      </c>
      <c r="BD497" s="2138">
        <f ca="1">SUM(INDIRECT(BD$1&amp;BD$2&amp;$C497):INDIRECT(BD$1&amp;BD$3&amp;$C497))</f>
        <v>13239.987945416113</v>
      </c>
      <c r="BE497" s="2879">
        <f t="shared" ca="1" si="1011"/>
        <v>1878.0120545838872</v>
      </c>
      <c r="BF497" s="2880">
        <f t="shared" ca="1" si="1012"/>
        <v>1.1418439399134108</v>
      </c>
      <c r="BG497" s="2138">
        <f ca="1">SUM(INDIRECT(BG$1&amp;BG$2&amp;$A497):INDIRECT(BG$1&amp;BG$3&amp;$A497))</f>
        <v>10816</v>
      </c>
      <c r="BH497" s="2879">
        <f t="shared" ca="1" si="1013"/>
        <v>4302</v>
      </c>
      <c r="BI497" s="2880">
        <f t="shared" ca="1" si="1014"/>
        <v>1.3977440828402368</v>
      </c>
    </row>
    <row r="498" spans="1:61" ht="14.5">
      <c r="A498" s="1693">
        <f t="shared" si="1022"/>
        <v>490</v>
      </c>
      <c r="B498" s="616">
        <v>1</v>
      </c>
      <c r="C498" s="1693">
        <f t="shared" si="1019"/>
        <v>498</v>
      </c>
      <c r="D498" s="616">
        <v>1</v>
      </c>
      <c r="F498" s="69"/>
      <c r="J498" s="94"/>
      <c r="K498" s="93"/>
      <c r="L498" s="68"/>
      <c r="M498" s="68"/>
      <c r="O498" s="285"/>
      <c r="P498" s="285" t="s">
        <v>124</v>
      </c>
      <c r="Q498" s="285"/>
      <c r="R498" s="1779" t="str">
        <f>CHOOSE(2, "6722000003409", "S/GP (1)-1 Gross Profit Direct HW KMI Office A4")</f>
        <v>S/GP (1)-1 Gross Profit Direct HW KMI Office A4</v>
      </c>
      <c r="S498" s="1245">
        <v>668</v>
      </c>
      <c r="T498" s="1245">
        <v>659.97276999999997</v>
      </c>
      <c r="U498" s="1245">
        <v>745.68911000000014</v>
      </c>
      <c r="V498" s="1245">
        <v>756.27457000000004</v>
      </c>
      <c r="W498" s="1245">
        <v>1058.69002</v>
      </c>
      <c r="X498" s="1245">
        <v>679.18</v>
      </c>
      <c r="Y498" s="1245">
        <v>837.67493999999999</v>
      </c>
      <c r="Z498" s="1245">
        <v>656.47299999999996</v>
      </c>
      <c r="AA498" s="1245">
        <v>704.10828000000004</v>
      </c>
      <c r="AB498" s="1245">
        <v>433.05399999999997</v>
      </c>
      <c r="AC498" s="1245">
        <v>1052.5450000000001</v>
      </c>
      <c r="AD498" s="1245">
        <v>676.88599999999997</v>
      </c>
      <c r="AE498" s="895">
        <f>SUM(S498,T498,U498)</f>
        <v>2073.6618800000001</v>
      </c>
      <c r="AF498" s="1248">
        <f>SUM(V498,W498,X498)</f>
        <v>2494.1445899999999</v>
      </c>
      <c r="AG498" s="1248">
        <f>SUM(Y498,Z498,AA498)</f>
        <v>2198.2562199999998</v>
      </c>
      <c r="AH498" s="1248">
        <f>SUM(AB498,AC498,AD498)</f>
        <v>2162.4850000000001</v>
      </c>
      <c r="AI498" s="1248">
        <f>AE498+AF498</f>
        <v>4567.8064699999995</v>
      </c>
      <c r="AJ498" s="1248">
        <f>AH498+AG498</f>
        <v>4360.7412199999999</v>
      </c>
      <c r="AK498" s="1248">
        <f>AI498+AJ498</f>
        <v>8928.5476899999994</v>
      </c>
      <c r="AM498" s="1971">
        <f ca="1">SUM((INDIRECT(AM$2&amp;(ROW())):INDIRECT(AM$3&amp;(ROW()))))</f>
        <v>668</v>
      </c>
      <c r="AN498" s="1971">
        <f ca="1">SUM(INDIRECT(AN$1&amp;AN$2&amp;$C498):INDIRECT(AN$1&amp;AN$3&amp;$C498))</f>
        <v>0</v>
      </c>
      <c r="AO498" s="2881">
        <f t="shared" ca="1" si="1003"/>
        <v>668</v>
      </c>
      <c r="AP498" s="2882">
        <f t="shared" ca="1" si="1004"/>
        <v>0</v>
      </c>
      <c r="AQ498" s="1971">
        <f ca="1">SUM(INDIRECT(AQ$1&amp;AQ$2&amp;$A498):INDIRECT(AQ$1&amp;AQ$3&amp;$A498))</f>
        <v>388</v>
      </c>
      <c r="AR498" s="2881">
        <f t="shared" ca="1" si="1005"/>
        <v>280</v>
      </c>
      <c r="AS498" s="2882">
        <f t="shared" ca="1" si="1006"/>
        <v>1.7216494845360826</v>
      </c>
      <c r="AU498" s="1971">
        <f ca="1">SUM((INDIRECT(AU$2&amp;(ROW())):INDIRECT(AU$3&amp;(ROW()))))</f>
        <v>668</v>
      </c>
      <c r="AV498" s="1971">
        <f ca="1">SUM(INDIRECT(AV$1&amp;AV$2&amp;$C498):INDIRECT(AV$1&amp;AV$3&amp;$C498))</f>
        <v>0</v>
      </c>
      <c r="AW498" s="2881">
        <f t="shared" ca="1" si="1007"/>
        <v>668</v>
      </c>
      <c r="AX498" s="2882">
        <f t="shared" ca="1" si="1008"/>
        <v>0</v>
      </c>
      <c r="AY498" s="1971">
        <f ca="1">SUM(INDIRECT(AY$1&amp;AY$2&amp;$A498):INDIRECT(AY$1&amp;AY$3&amp;$A498))</f>
        <v>388</v>
      </c>
      <c r="AZ498" s="2881">
        <f t="shared" ca="1" si="1009"/>
        <v>280</v>
      </c>
      <c r="BA498" s="2882">
        <f t="shared" ca="1" si="1010"/>
        <v>1.7216494845360826</v>
      </c>
      <c r="BC498" s="1971">
        <f ca="1">SUM((INDIRECT(BC$2&amp;(ROW())):INDIRECT(BC$3&amp;(ROW()))))</f>
        <v>668</v>
      </c>
      <c r="BD498" s="1971">
        <f ca="1">SUM(INDIRECT(BD$1&amp;BD$2&amp;$C498):INDIRECT(BD$1&amp;BD$3&amp;$C498))</f>
        <v>0</v>
      </c>
      <c r="BE498" s="2881">
        <f t="shared" ca="1" si="1011"/>
        <v>668</v>
      </c>
      <c r="BF498" s="2882">
        <f t="shared" ca="1" si="1012"/>
        <v>0</v>
      </c>
      <c r="BG498" s="1971">
        <f ca="1">SUM(INDIRECT(BG$1&amp;BG$2&amp;$A498):INDIRECT(BG$1&amp;BG$3&amp;$A498))</f>
        <v>388</v>
      </c>
      <c r="BH498" s="2881">
        <f t="shared" ca="1" si="1013"/>
        <v>280</v>
      </c>
      <c r="BI498" s="2882">
        <f t="shared" ca="1" si="1014"/>
        <v>1.7216494845360826</v>
      </c>
    </row>
    <row r="499" spans="1:61" ht="14.5" collapsed="1">
      <c r="A499" s="1693">
        <f t="shared" si="1022"/>
        <v>491</v>
      </c>
      <c r="B499" s="616">
        <v>1</v>
      </c>
      <c r="C499" s="1693">
        <f t="shared" si="1019"/>
        <v>499</v>
      </c>
      <c r="D499" s="616">
        <v>1</v>
      </c>
      <c r="F499" s="69"/>
      <c r="J499" s="94"/>
      <c r="K499" s="93"/>
      <c r="L499" s="68"/>
      <c r="M499" s="68"/>
      <c r="N499" s="11"/>
      <c r="O499" s="288" t="s">
        <v>125</v>
      </c>
      <c r="P499" s="288"/>
      <c r="Q499" s="288"/>
      <c r="R499" s="1779" t="str">
        <f>CHOOSE(2, "6722000003410", "S/GP (1)-1 Gross Profit Direct HW 3rd Party")</f>
        <v>S/GP (1)-1 Gross Profit Direct HW 3rd Party</v>
      </c>
      <c r="S499" s="1246"/>
      <c r="T499" s="1246"/>
      <c r="U499" s="1246"/>
      <c r="V499" s="1246"/>
      <c r="W499" s="1246"/>
      <c r="X499" s="1246"/>
      <c r="Y499" s="1246"/>
      <c r="Z499" s="1246"/>
      <c r="AA499" s="1246"/>
      <c r="AB499" s="1246"/>
      <c r="AC499" s="1246"/>
      <c r="AD499" s="1246"/>
      <c r="AE499" s="897">
        <f>SUM(S499,T499,U499)</f>
        <v>0</v>
      </c>
      <c r="AF499" s="297">
        <f>SUM(V499,W499,X499)</f>
        <v>0</v>
      </c>
      <c r="AG499" s="297">
        <f>SUM(Y499,Z499,AA499)</f>
        <v>0</v>
      </c>
      <c r="AH499" s="297">
        <f>SUM(AB499,AC499,AD499)</f>
        <v>0</v>
      </c>
      <c r="AI499" s="297">
        <f>AE499+AF499</f>
        <v>0</v>
      </c>
      <c r="AJ499" s="297">
        <f>AH499+AG499</f>
        <v>0</v>
      </c>
      <c r="AK499" s="297">
        <f>AI499+AJ499</f>
        <v>0</v>
      </c>
      <c r="AM499" s="2143">
        <f ca="1">SUM((INDIRECT(AM$2&amp;(ROW())):INDIRECT(AM$3&amp;(ROW()))))</f>
        <v>0</v>
      </c>
      <c r="AN499" s="2143">
        <f ca="1">SUM(INDIRECT(AN$1&amp;AN$2&amp;$C499):INDIRECT(AN$1&amp;AN$3&amp;$C499))</f>
        <v>0</v>
      </c>
      <c r="AO499" s="2883">
        <f t="shared" ca="1" si="1003"/>
        <v>0</v>
      </c>
      <c r="AP499" s="2884">
        <f t="shared" ca="1" si="1004"/>
        <v>0</v>
      </c>
      <c r="AQ499" s="2143">
        <f ca="1">SUM(INDIRECT(AQ$1&amp;AQ$2&amp;$A499):INDIRECT(AQ$1&amp;AQ$3&amp;$A499))</f>
        <v>0</v>
      </c>
      <c r="AR499" s="2883">
        <f t="shared" ca="1" si="1005"/>
        <v>0</v>
      </c>
      <c r="AS499" s="2884">
        <f t="shared" ca="1" si="1006"/>
        <v>0</v>
      </c>
      <c r="AU499" s="2143">
        <f ca="1">SUM((INDIRECT(AU$2&amp;(ROW())):INDIRECT(AU$3&amp;(ROW()))))</f>
        <v>0</v>
      </c>
      <c r="AV499" s="2143">
        <f ca="1">SUM(INDIRECT(AV$1&amp;AV$2&amp;$C499):INDIRECT(AV$1&amp;AV$3&amp;$C499))</f>
        <v>0</v>
      </c>
      <c r="AW499" s="2883">
        <f t="shared" ca="1" si="1007"/>
        <v>0</v>
      </c>
      <c r="AX499" s="2884">
        <f t="shared" ca="1" si="1008"/>
        <v>0</v>
      </c>
      <c r="AY499" s="2143">
        <f ca="1">SUM(INDIRECT(AY$1&amp;AY$2&amp;$A499):INDIRECT(AY$1&amp;AY$3&amp;$A499))</f>
        <v>0</v>
      </c>
      <c r="AZ499" s="2883">
        <f t="shared" ca="1" si="1009"/>
        <v>0</v>
      </c>
      <c r="BA499" s="2884">
        <f t="shared" ca="1" si="1010"/>
        <v>0</v>
      </c>
      <c r="BC499" s="2143">
        <f ca="1">SUM((INDIRECT(BC$2&amp;(ROW())):INDIRECT(BC$3&amp;(ROW()))))</f>
        <v>0</v>
      </c>
      <c r="BD499" s="2143">
        <f ca="1">SUM(INDIRECT(BD$1&amp;BD$2&amp;$C499):INDIRECT(BD$1&amp;BD$3&amp;$C499))</f>
        <v>0</v>
      </c>
      <c r="BE499" s="2883">
        <f t="shared" ca="1" si="1011"/>
        <v>0</v>
      </c>
      <c r="BF499" s="2884">
        <f t="shared" ca="1" si="1012"/>
        <v>0</v>
      </c>
      <c r="BG499" s="2143">
        <f ca="1">SUM(INDIRECT(BG$1&amp;BG$2&amp;$A499):INDIRECT(BG$1&amp;BG$3&amp;$A499))</f>
        <v>0</v>
      </c>
      <c r="BH499" s="2883">
        <f t="shared" ca="1" si="1013"/>
        <v>0</v>
      </c>
      <c r="BI499" s="2884">
        <f t="shared" ca="1" si="1014"/>
        <v>0</v>
      </c>
    </row>
    <row r="500" spans="1:61" s="9" customFormat="1" ht="14.5">
      <c r="A500" s="1693">
        <f t="shared" si="1022"/>
        <v>492</v>
      </c>
      <c r="B500" s="616">
        <v>1</v>
      </c>
      <c r="C500" s="1693">
        <f t="shared" si="1019"/>
        <v>500</v>
      </c>
      <c r="D500" s="616">
        <v>1</v>
      </c>
      <c r="F500" s="22"/>
      <c r="I500" s="22"/>
      <c r="J500" s="94"/>
      <c r="K500" s="214"/>
      <c r="L500" s="68"/>
      <c r="M500" s="68"/>
      <c r="N500" s="8" t="s">
        <v>126</v>
      </c>
      <c r="O500" s="284"/>
      <c r="P500" s="284"/>
      <c r="Q500" s="284"/>
      <c r="R500" s="1777" t="str">
        <f>CHOOSE(2, "6722000003411", "S/GP (1)-1 Gross Profit Direct NH")</f>
        <v>S/GP (1)-1 Gross Profit Direct NH</v>
      </c>
      <c r="S500" s="1249">
        <f>S501+S508+S509+S513+S516</f>
        <v>19661</v>
      </c>
      <c r="T500" s="1249">
        <f t="shared" ref="T500:AD500" si="1053">T501+T508+T509+T513+T516</f>
        <v>14727.902059999999</v>
      </c>
      <c r="U500" s="1249">
        <f t="shared" si="1053"/>
        <v>15242.5449853429</v>
      </c>
      <c r="V500" s="1249">
        <f t="shared" si="1053"/>
        <v>12494.401699999999</v>
      </c>
      <c r="W500" s="1249">
        <f t="shared" si="1053"/>
        <v>19655.385339074703</v>
      </c>
      <c r="X500" s="1249">
        <f t="shared" si="1053"/>
        <v>13094.870752334647</v>
      </c>
      <c r="Y500" s="1249">
        <f t="shared" si="1053"/>
        <v>15667.599931413388</v>
      </c>
      <c r="Z500" s="1249">
        <f t="shared" si="1053"/>
        <v>15167.646349247359</v>
      </c>
      <c r="AA500" s="1249">
        <f t="shared" si="1053"/>
        <v>12405.287564715642</v>
      </c>
      <c r="AB500" s="1249">
        <f t="shared" si="1053"/>
        <v>16964.904559384126</v>
      </c>
      <c r="AC500" s="1249">
        <f t="shared" si="1053"/>
        <v>16749.343081279363</v>
      </c>
      <c r="AD500" s="1249">
        <f t="shared" si="1053"/>
        <v>10504.510581347993</v>
      </c>
      <c r="AE500" s="898">
        <f t="shared" ref="AE500:AK500" si="1054">AE501+AE508+AE509+AE513+AE516</f>
        <v>49631.447045342895</v>
      </c>
      <c r="AF500" s="1249">
        <f t="shared" si="1054"/>
        <v>45244.657791409343</v>
      </c>
      <c r="AG500" s="1249">
        <f t="shared" si="1054"/>
        <v>43240.533845376391</v>
      </c>
      <c r="AH500" s="1249">
        <f t="shared" si="1054"/>
        <v>44218.758222011485</v>
      </c>
      <c r="AI500" s="1249">
        <f t="shared" si="1054"/>
        <v>94876.104836752231</v>
      </c>
      <c r="AJ500" s="1249">
        <f t="shared" si="1054"/>
        <v>87459.292067387869</v>
      </c>
      <c r="AK500" s="1249">
        <f t="shared" si="1054"/>
        <v>182335.39690414013</v>
      </c>
      <c r="AL500" s="8"/>
      <c r="AM500" s="1987">
        <f ca="1">SUM((INDIRECT(AM$2&amp;(ROW())):INDIRECT(AM$3&amp;(ROW()))))</f>
        <v>19661</v>
      </c>
      <c r="AN500" s="1987">
        <f ca="1">SUM(INDIRECT(AN$1&amp;AN$2&amp;$C500):INDIRECT(AN$1&amp;AN$3&amp;$C500))</f>
        <v>12666.746537919536</v>
      </c>
      <c r="AO500" s="2885">
        <f t="shared" ca="1" si="1003"/>
        <v>6994.2534620804636</v>
      </c>
      <c r="AP500" s="2886">
        <f t="shared" ca="1" si="1004"/>
        <v>1.5521744230961174</v>
      </c>
      <c r="AQ500" s="1987">
        <f ca="1">SUM(INDIRECT(AQ$1&amp;AQ$2&amp;$A500):INDIRECT(AQ$1&amp;AQ$3&amp;$A500))</f>
        <v>10801</v>
      </c>
      <c r="AR500" s="2885">
        <f t="shared" ca="1" si="1005"/>
        <v>8860</v>
      </c>
      <c r="AS500" s="2886">
        <f t="shared" ca="1" si="1006"/>
        <v>1.8202944171835942</v>
      </c>
      <c r="AU500" s="1987">
        <f ca="1">SUM((INDIRECT(AU$2&amp;(ROW())):INDIRECT(AU$3&amp;(ROW()))))</f>
        <v>19661</v>
      </c>
      <c r="AV500" s="1987">
        <f ca="1">SUM(INDIRECT(AV$1&amp;AV$2&amp;$C500):INDIRECT(AV$1&amp;AV$3&amp;$C500))</f>
        <v>12666.746537919536</v>
      </c>
      <c r="AW500" s="2885">
        <f t="shared" ca="1" si="1007"/>
        <v>6994.2534620804636</v>
      </c>
      <c r="AX500" s="2886">
        <f t="shared" ca="1" si="1008"/>
        <v>1.5521744230961174</v>
      </c>
      <c r="AY500" s="1987">
        <f ca="1">SUM(INDIRECT(AY$1&amp;AY$2&amp;$A500):INDIRECT(AY$1&amp;AY$3&amp;$A500))</f>
        <v>10801</v>
      </c>
      <c r="AZ500" s="2885">
        <f t="shared" ca="1" si="1009"/>
        <v>8860</v>
      </c>
      <c r="BA500" s="2886">
        <f t="shared" ca="1" si="1010"/>
        <v>1.8202944171835942</v>
      </c>
      <c r="BC500" s="1987">
        <f ca="1">SUM((INDIRECT(BC$2&amp;(ROW())):INDIRECT(BC$3&amp;(ROW()))))</f>
        <v>19661</v>
      </c>
      <c r="BD500" s="1987">
        <f ca="1">SUM(INDIRECT(BD$1&amp;BD$2&amp;$C500):INDIRECT(BD$1&amp;BD$3&amp;$C500))</f>
        <v>12666.746537919536</v>
      </c>
      <c r="BE500" s="2885">
        <f t="shared" ca="1" si="1011"/>
        <v>6994.2534620804636</v>
      </c>
      <c r="BF500" s="2886">
        <f t="shared" ca="1" si="1012"/>
        <v>1.5521744230961174</v>
      </c>
      <c r="BG500" s="1987">
        <f ca="1">SUM(INDIRECT(BG$1&amp;BG$2&amp;$A500):INDIRECT(BG$1&amp;BG$3&amp;$A500))</f>
        <v>10801</v>
      </c>
      <c r="BH500" s="2885">
        <f t="shared" ca="1" si="1013"/>
        <v>8860</v>
      </c>
      <c r="BI500" s="2886">
        <f t="shared" ca="1" si="1014"/>
        <v>1.8202944171835942</v>
      </c>
    </row>
    <row r="501" spans="1:61" ht="14.5">
      <c r="A501" s="1693">
        <f t="shared" si="1022"/>
        <v>493</v>
      </c>
      <c r="B501" s="616">
        <v>1</v>
      </c>
      <c r="C501" s="1693">
        <f t="shared" si="1019"/>
        <v>501</v>
      </c>
      <c r="D501" s="616">
        <v>1</v>
      </c>
      <c r="F501" s="69"/>
      <c r="J501" s="94"/>
      <c r="K501" s="93"/>
      <c r="L501" s="68"/>
      <c r="M501" s="68"/>
      <c r="O501" s="97" t="s">
        <v>122</v>
      </c>
      <c r="P501" s="97"/>
      <c r="Q501" s="97"/>
      <c r="R501" s="1777" t="str">
        <f>CHOOSE(2, "6722000003412", "S/GP (1)-1 Gross Profit Direct NH KMI")</f>
        <v>S/GP (1)-1 Gross Profit Direct NH KMI</v>
      </c>
      <c r="S501" s="95">
        <f>S502+S505</f>
        <v>27083</v>
      </c>
      <c r="T501" s="95">
        <f t="shared" ref="T501:AD501" si="1055">T502+T505</f>
        <v>23550.520059999999</v>
      </c>
      <c r="U501" s="95">
        <f t="shared" si="1055"/>
        <v>23437.8019853429</v>
      </c>
      <c r="V501" s="95">
        <f t="shared" si="1055"/>
        <v>21401.401699999999</v>
      </c>
      <c r="W501" s="95">
        <f t="shared" si="1055"/>
        <v>28246.385339074703</v>
      </c>
      <c r="X501" s="95">
        <f t="shared" si="1055"/>
        <v>22205.253372334628</v>
      </c>
      <c r="Y501" s="95">
        <f t="shared" si="1055"/>
        <v>23833.144341413357</v>
      </c>
      <c r="Z501" s="95">
        <f t="shared" si="1055"/>
        <v>24433.386739247351</v>
      </c>
      <c r="AA501" s="95">
        <f t="shared" si="1055"/>
        <v>22616.6732206536</v>
      </c>
      <c r="AB501" s="95">
        <f t="shared" si="1055"/>
        <v>23998.7482911773</v>
      </c>
      <c r="AC501" s="95">
        <f t="shared" si="1055"/>
        <v>26381.651153363156</v>
      </c>
      <c r="AD501" s="95">
        <f t="shared" si="1055"/>
        <v>17979.902520114305</v>
      </c>
      <c r="AE501" s="896">
        <f>AE502+AE505</f>
        <v>74071.322045342895</v>
      </c>
      <c r="AF501" s="95">
        <f t="shared" ref="AF501:AK501" si="1056">AF502+AF505</f>
        <v>71853.040411409325</v>
      </c>
      <c r="AG501" s="95">
        <f t="shared" si="1056"/>
        <v>70883.204301314312</v>
      </c>
      <c r="AH501" s="95">
        <f t="shared" si="1056"/>
        <v>68360.301964654762</v>
      </c>
      <c r="AI501" s="95">
        <f t="shared" si="1056"/>
        <v>145924.36245675222</v>
      </c>
      <c r="AJ501" s="95">
        <f t="shared" si="1056"/>
        <v>139243.50626596907</v>
      </c>
      <c r="AK501" s="95">
        <f t="shared" si="1056"/>
        <v>285167.86872272129</v>
      </c>
      <c r="AM501" s="2138">
        <f ca="1">SUM((INDIRECT(AM$2&amp;(ROW())):INDIRECT(AM$3&amp;(ROW()))))</f>
        <v>27083</v>
      </c>
      <c r="AN501" s="2138">
        <f ca="1">SUM(INDIRECT(AN$1&amp;AN$2&amp;$C501):INDIRECT(AN$1&amp;AN$3&amp;$C501))</f>
        <v>21689.746537919538</v>
      </c>
      <c r="AO501" s="2879">
        <f t="shared" ca="1" si="1003"/>
        <v>5393.2534620804618</v>
      </c>
      <c r="AP501" s="2880">
        <f t="shared" ca="1" si="1004"/>
        <v>1.2486545175920611</v>
      </c>
      <c r="AQ501" s="2138">
        <f ca="1">SUM(INDIRECT(AQ$1&amp;AQ$2&amp;$A501):INDIRECT(AQ$1&amp;AQ$3&amp;$A501))</f>
        <v>18348</v>
      </c>
      <c r="AR501" s="2879">
        <f t="shared" ca="1" si="1005"/>
        <v>8735</v>
      </c>
      <c r="AS501" s="2880">
        <f t="shared" ca="1" si="1006"/>
        <v>1.4760736865053412</v>
      </c>
      <c r="AU501" s="2138">
        <f ca="1">SUM((INDIRECT(AU$2&amp;(ROW())):INDIRECT(AU$3&amp;(ROW()))))</f>
        <v>27083</v>
      </c>
      <c r="AV501" s="2138">
        <f ca="1">SUM(INDIRECT(AV$1&amp;AV$2&amp;$C501):INDIRECT(AV$1&amp;AV$3&amp;$C501))</f>
        <v>21689.746537919538</v>
      </c>
      <c r="AW501" s="2879">
        <f t="shared" ca="1" si="1007"/>
        <v>5393.2534620804618</v>
      </c>
      <c r="AX501" s="2880">
        <f t="shared" ca="1" si="1008"/>
        <v>1.2486545175920611</v>
      </c>
      <c r="AY501" s="2138">
        <f ca="1">SUM(INDIRECT(AY$1&amp;AY$2&amp;$A501):INDIRECT(AY$1&amp;AY$3&amp;$A501))</f>
        <v>18348</v>
      </c>
      <c r="AZ501" s="2879">
        <f t="shared" ca="1" si="1009"/>
        <v>8735</v>
      </c>
      <c r="BA501" s="2880">
        <f t="shared" ca="1" si="1010"/>
        <v>1.4760736865053412</v>
      </c>
      <c r="BC501" s="2138">
        <f ca="1">SUM((INDIRECT(BC$2&amp;(ROW())):INDIRECT(BC$3&amp;(ROW()))))</f>
        <v>27083</v>
      </c>
      <c r="BD501" s="2138">
        <f ca="1">SUM(INDIRECT(BD$1&amp;BD$2&amp;$C501):INDIRECT(BD$1&amp;BD$3&amp;$C501))</f>
        <v>21689.746537919538</v>
      </c>
      <c r="BE501" s="2879">
        <f t="shared" ca="1" si="1011"/>
        <v>5393.2534620804618</v>
      </c>
      <c r="BF501" s="2880">
        <f t="shared" ca="1" si="1012"/>
        <v>1.2486545175920611</v>
      </c>
      <c r="BG501" s="2138">
        <f ca="1">SUM(INDIRECT(BG$1&amp;BG$2&amp;$A501):INDIRECT(BG$1&amp;BG$3&amp;$A501))</f>
        <v>18348</v>
      </c>
      <c r="BH501" s="2879">
        <f t="shared" ca="1" si="1013"/>
        <v>8735</v>
      </c>
      <c r="BI501" s="2880">
        <f t="shared" ca="1" si="1014"/>
        <v>1.4760736865053412</v>
      </c>
    </row>
    <row r="502" spans="1:61" ht="14.5">
      <c r="A502" s="1693">
        <f t="shared" si="1022"/>
        <v>494</v>
      </c>
      <c r="B502" s="616">
        <v>1</v>
      </c>
      <c r="C502" s="1693">
        <f t="shared" si="1019"/>
        <v>502</v>
      </c>
      <c r="D502" s="616">
        <v>1</v>
      </c>
      <c r="F502" s="69"/>
      <c r="J502" s="94"/>
      <c r="K502" s="93"/>
      <c r="L502" s="68"/>
      <c r="M502" s="68"/>
      <c r="P502" s="97" t="s">
        <v>123</v>
      </c>
      <c r="Q502" s="869"/>
      <c r="R502" s="1777" t="str">
        <f>CHOOSE(2, "6722000003413", "S/GP (1)-1 Gross Profit Direct NH KMI Office A3")</f>
        <v>S/GP (1)-1 Gross Profit Direct NH KMI Office A3</v>
      </c>
      <c r="S502" s="1250">
        <f>SUM(S503:S504)</f>
        <v>27083</v>
      </c>
      <c r="T502" s="1250">
        <f t="shared" ref="T502:AD502" si="1057">SUM(T503:T504)</f>
        <v>23550.520059999999</v>
      </c>
      <c r="U502" s="1250">
        <f t="shared" si="1057"/>
        <v>23437.8019853429</v>
      </c>
      <c r="V502" s="1250">
        <f t="shared" si="1057"/>
        <v>21401.401699999999</v>
      </c>
      <c r="W502" s="1250">
        <f t="shared" si="1057"/>
        <v>28246.385339074703</v>
      </c>
      <c r="X502" s="1250">
        <f t="shared" si="1057"/>
        <v>22205.253372334628</v>
      </c>
      <c r="Y502" s="1250">
        <f t="shared" si="1057"/>
        <v>23833.144341413357</v>
      </c>
      <c r="Z502" s="1250">
        <f t="shared" si="1057"/>
        <v>24433.386739247351</v>
      </c>
      <c r="AA502" s="1250">
        <f t="shared" si="1057"/>
        <v>22616.6732206536</v>
      </c>
      <c r="AB502" s="1250">
        <f t="shared" si="1057"/>
        <v>23998.7482911773</v>
      </c>
      <c r="AC502" s="1250">
        <f t="shared" si="1057"/>
        <v>26381.651153363156</v>
      </c>
      <c r="AD502" s="1250">
        <f t="shared" si="1057"/>
        <v>17979.902520114305</v>
      </c>
      <c r="AE502" s="899">
        <f>SUM(AE503:AE504)</f>
        <v>74071.322045342895</v>
      </c>
      <c r="AF502" s="1250">
        <f t="shared" ref="AF502:AK502" si="1058">SUM(AF503:AF504)</f>
        <v>71853.040411409325</v>
      </c>
      <c r="AG502" s="1250">
        <f t="shared" si="1058"/>
        <v>70883.204301314312</v>
      </c>
      <c r="AH502" s="1250">
        <f t="shared" si="1058"/>
        <v>68360.301964654762</v>
      </c>
      <c r="AI502" s="1250">
        <f t="shared" si="1058"/>
        <v>145924.36245675222</v>
      </c>
      <c r="AJ502" s="1250">
        <f t="shared" si="1058"/>
        <v>139243.50626596907</v>
      </c>
      <c r="AK502" s="1250">
        <f t="shared" si="1058"/>
        <v>285167.86872272129</v>
      </c>
      <c r="AM502" s="2145">
        <f ca="1">SUM((INDIRECT(AM$2&amp;(ROW())):INDIRECT(AM$3&amp;(ROW()))))</f>
        <v>27083</v>
      </c>
      <c r="AN502" s="2145">
        <f ca="1">SUM(INDIRECT(AN$1&amp;AN$2&amp;$C502):INDIRECT(AN$1&amp;AN$3&amp;$C502))</f>
        <v>21689.746537919538</v>
      </c>
      <c r="AO502" s="2887">
        <f t="shared" ca="1" si="1003"/>
        <v>5393.2534620804618</v>
      </c>
      <c r="AP502" s="2888">
        <f t="shared" ca="1" si="1004"/>
        <v>1.2486545175920611</v>
      </c>
      <c r="AQ502" s="2145">
        <f ca="1">SUM(INDIRECT(AQ$1&amp;AQ$2&amp;$A502):INDIRECT(AQ$1&amp;AQ$3&amp;$A502))</f>
        <v>18056</v>
      </c>
      <c r="AR502" s="2887">
        <f t="shared" ca="1" si="1005"/>
        <v>9027</v>
      </c>
      <c r="AS502" s="2888">
        <f t="shared" ca="1" si="1006"/>
        <v>1.4999446167478954</v>
      </c>
      <c r="AU502" s="2145">
        <f ca="1">SUM((INDIRECT(AU$2&amp;(ROW())):INDIRECT(AU$3&amp;(ROW()))))</f>
        <v>27083</v>
      </c>
      <c r="AV502" s="2145">
        <f ca="1">SUM(INDIRECT(AV$1&amp;AV$2&amp;$C502):INDIRECT(AV$1&amp;AV$3&amp;$C502))</f>
        <v>21689.746537919538</v>
      </c>
      <c r="AW502" s="2887">
        <f t="shared" ca="1" si="1007"/>
        <v>5393.2534620804618</v>
      </c>
      <c r="AX502" s="2888">
        <f t="shared" ca="1" si="1008"/>
        <v>1.2486545175920611</v>
      </c>
      <c r="AY502" s="2145">
        <f ca="1">SUM(INDIRECT(AY$1&amp;AY$2&amp;$A502):INDIRECT(AY$1&amp;AY$3&amp;$A502))</f>
        <v>18056</v>
      </c>
      <c r="AZ502" s="2887">
        <f t="shared" ca="1" si="1009"/>
        <v>9027</v>
      </c>
      <c r="BA502" s="2888">
        <f t="shared" ca="1" si="1010"/>
        <v>1.4999446167478954</v>
      </c>
      <c r="BC502" s="2145">
        <f ca="1">SUM((INDIRECT(BC$2&amp;(ROW())):INDIRECT(BC$3&amp;(ROW()))))</f>
        <v>27083</v>
      </c>
      <c r="BD502" s="2145">
        <f ca="1">SUM(INDIRECT(BD$1&amp;BD$2&amp;$C502):INDIRECT(BD$1&amp;BD$3&amp;$C502))</f>
        <v>21689.746537919538</v>
      </c>
      <c r="BE502" s="2887">
        <f t="shared" ca="1" si="1011"/>
        <v>5393.2534620804618</v>
      </c>
      <c r="BF502" s="2888">
        <f t="shared" ca="1" si="1012"/>
        <v>1.2486545175920611</v>
      </c>
      <c r="BG502" s="2145">
        <f ca="1">SUM(INDIRECT(BG$1&amp;BG$2&amp;$A502):INDIRECT(BG$1&amp;BG$3&amp;$A502))</f>
        <v>18056</v>
      </c>
      <c r="BH502" s="2887">
        <f t="shared" ca="1" si="1013"/>
        <v>9027</v>
      </c>
      <c r="BI502" s="2888">
        <f t="shared" ca="1" si="1014"/>
        <v>1.4999446167478954</v>
      </c>
    </row>
    <row r="503" spans="1:61" ht="14.5">
      <c r="A503" s="1693">
        <f t="shared" si="1022"/>
        <v>495</v>
      </c>
      <c r="B503" s="616">
        <v>1</v>
      </c>
      <c r="C503" s="1693">
        <f t="shared" si="1019"/>
        <v>503</v>
      </c>
      <c r="D503" s="616">
        <v>1</v>
      </c>
      <c r="F503" s="69"/>
      <c r="J503" s="94"/>
      <c r="K503" s="93"/>
      <c r="L503" s="68"/>
      <c r="M503" s="68"/>
      <c r="Q503" s="8" t="s">
        <v>127</v>
      </c>
      <c r="R503" s="1779" t="str">
        <f>CHOOSE(2, "6722000003414", "S/GP (1)-1 Gross Profit Direct NH KMI Office A3 Copy Click")</f>
        <v>S/GP (1)-1 Gross Profit Direct NH KMI Office A3 Copy Click</v>
      </c>
      <c r="S503" s="1217">
        <f>19067+7422</f>
        <v>26489</v>
      </c>
      <c r="T503" s="1217">
        <f>14132.67688+8823</f>
        <v>22955.676879999999</v>
      </c>
      <c r="U503" s="1217">
        <f>14848.6332653429+8163+32</f>
        <v>23043.633265342898</v>
      </c>
      <c r="V503" s="1217">
        <f>12052+8907</f>
        <v>20959</v>
      </c>
      <c r="W503" s="1217">
        <f>19010.2386390747+8591</f>
        <v>27601.238639074701</v>
      </c>
      <c r="X503" s="1217">
        <v>21759.08121233463</v>
      </c>
      <c r="Y503" s="1217">
        <v>23335.840171413358</v>
      </c>
      <c r="Z503" s="1217">
        <v>24341.942349247351</v>
      </c>
      <c r="AA503" s="1217">
        <f>11978.3725906536+10177+35</f>
        <v>22190.372590653598</v>
      </c>
      <c r="AB503" s="1217">
        <v>23471.349291177299</v>
      </c>
      <c r="AC503" s="1217">
        <v>26506.340153363155</v>
      </c>
      <c r="AD503" s="1217">
        <v>17750.665520114304</v>
      </c>
      <c r="AE503" s="783">
        <f>SUM(S503,T503,U503)</f>
        <v>72488.310145342897</v>
      </c>
      <c r="AF503" s="1226">
        <f>SUM(V503,W503,X503)</f>
        <v>70319.319851409324</v>
      </c>
      <c r="AG503" s="1226">
        <f>SUM(Y503,Z503,AA503)</f>
        <v>69868.155111314307</v>
      </c>
      <c r="AH503" s="1226">
        <f>SUM(AB503,AC503,AD503)</f>
        <v>67728.354964654762</v>
      </c>
      <c r="AI503" s="1226">
        <f>AE503+AF503</f>
        <v>142807.62999675222</v>
      </c>
      <c r="AJ503" s="1226">
        <f>AH503+AG503</f>
        <v>137596.51007596907</v>
      </c>
      <c r="AK503" s="1226">
        <f>AI503+AJ503</f>
        <v>280404.14007272129</v>
      </c>
      <c r="AM503" s="579">
        <f ca="1">SUM((INDIRECT(AM$2&amp;(ROW())):INDIRECT(AM$3&amp;(ROW()))))</f>
        <v>26489</v>
      </c>
      <c r="AN503" s="579">
        <f ca="1">SUM(INDIRECT(AN$1&amp;AN$2&amp;$C503):INDIRECT(AN$1&amp;AN$3&amp;$C503))</f>
        <v>21689.746537919538</v>
      </c>
      <c r="AO503" s="2889">
        <f t="shared" ca="1" si="1003"/>
        <v>4799.2534620804618</v>
      </c>
      <c r="AP503" s="2890">
        <f t="shared" ca="1" si="1004"/>
        <v>1.2212683054497695</v>
      </c>
      <c r="AQ503" s="579">
        <f ca="1">SUM(INDIRECT(AQ$1&amp;AQ$2&amp;$A503):INDIRECT(AQ$1&amp;AQ$3&amp;$A503))</f>
        <v>18056</v>
      </c>
      <c r="AR503" s="2889">
        <f t="shared" ca="1" si="1005"/>
        <v>8433</v>
      </c>
      <c r="AS503" s="2890">
        <f t="shared" ca="1" si="1006"/>
        <v>1.4670469649977846</v>
      </c>
      <c r="AU503" s="579">
        <f ca="1">SUM((INDIRECT(AU$2&amp;(ROW())):INDIRECT(AU$3&amp;(ROW()))))</f>
        <v>26489</v>
      </c>
      <c r="AV503" s="579">
        <f ca="1">SUM(INDIRECT(AV$1&amp;AV$2&amp;$C503):INDIRECT(AV$1&amp;AV$3&amp;$C503))</f>
        <v>21689.746537919538</v>
      </c>
      <c r="AW503" s="2889">
        <f t="shared" ca="1" si="1007"/>
        <v>4799.2534620804618</v>
      </c>
      <c r="AX503" s="2890">
        <f t="shared" ca="1" si="1008"/>
        <v>1.2212683054497695</v>
      </c>
      <c r="AY503" s="579">
        <f ca="1">SUM(INDIRECT(AY$1&amp;AY$2&amp;$A503):INDIRECT(AY$1&amp;AY$3&amp;$A503))</f>
        <v>18056</v>
      </c>
      <c r="AZ503" s="2889">
        <f t="shared" ca="1" si="1009"/>
        <v>8433</v>
      </c>
      <c r="BA503" s="2890">
        <f t="shared" ca="1" si="1010"/>
        <v>1.4670469649977846</v>
      </c>
      <c r="BC503" s="579">
        <f ca="1">SUM((INDIRECT(BC$2&amp;(ROW())):INDIRECT(BC$3&amp;(ROW()))))</f>
        <v>26489</v>
      </c>
      <c r="BD503" s="579">
        <f ca="1">SUM(INDIRECT(BD$1&amp;BD$2&amp;$C503):INDIRECT(BD$1&amp;BD$3&amp;$C503))</f>
        <v>21689.746537919538</v>
      </c>
      <c r="BE503" s="2889">
        <f t="shared" ca="1" si="1011"/>
        <v>4799.2534620804618</v>
      </c>
      <c r="BF503" s="2890">
        <f t="shared" ca="1" si="1012"/>
        <v>1.2212683054497695</v>
      </c>
      <c r="BG503" s="579">
        <f ca="1">SUM(INDIRECT(BG$1&amp;BG$2&amp;$A503):INDIRECT(BG$1&amp;BG$3&amp;$A503))</f>
        <v>18056</v>
      </c>
      <c r="BH503" s="2889">
        <f t="shared" ca="1" si="1013"/>
        <v>8433</v>
      </c>
      <c r="BI503" s="2890">
        <f t="shared" ca="1" si="1014"/>
        <v>1.4670469649977846</v>
      </c>
    </row>
    <row r="504" spans="1:61" ht="14.5">
      <c r="A504" s="1693">
        <f t="shared" si="1022"/>
        <v>496</v>
      </c>
      <c r="B504" s="616">
        <v>1</v>
      </c>
      <c r="C504" s="1693">
        <f t="shared" si="1019"/>
        <v>504</v>
      </c>
      <c r="D504" s="616">
        <v>1</v>
      </c>
      <c r="F504" s="69"/>
      <c r="J504" s="94"/>
      <c r="K504" s="93"/>
      <c r="L504" s="68"/>
      <c r="M504" s="68"/>
      <c r="Q504" s="8" t="s">
        <v>128</v>
      </c>
      <c r="R504" s="1779" t="str">
        <f>CHOOSE(2, "6722000003415", "S/GP (1)-1 Gross Profit Direct NH KMI Office A3 NonContract")</f>
        <v>S/GP (1)-1 Gross Profit Direct NH KMI Office A3 NonContract</v>
      </c>
      <c r="S504" s="1217">
        <v>594</v>
      </c>
      <c r="T504" s="1217">
        <v>594.84317999999996</v>
      </c>
      <c r="U504" s="1217">
        <v>394.16872000000001</v>
      </c>
      <c r="V504" s="1217">
        <v>442.40169999999995</v>
      </c>
      <c r="W504" s="1217">
        <v>645.14670000000001</v>
      </c>
      <c r="X504" s="1217">
        <v>446.17216000000002</v>
      </c>
      <c r="Y504" s="1217">
        <v>497.30417</v>
      </c>
      <c r="Z504" s="1217">
        <v>91.444390000000098</v>
      </c>
      <c r="AA504" s="1217">
        <v>426.30063000000001</v>
      </c>
      <c r="AB504" s="1217">
        <v>527.399</v>
      </c>
      <c r="AC504" s="1217">
        <v>-124.68899999999999</v>
      </c>
      <c r="AD504" s="1217">
        <v>229.23699999999999</v>
      </c>
      <c r="AE504" s="783">
        <f>SUM(S504,T504,U504)</f>
        <v>1583.0119</v>
      </c>
      <c r="AF504" s="1226">
        <f>SUM(V504,W504,X504)</f>
        <v>1533.72056</v>
      </c>
      <c r="AG504" s="1226">
        <f>SUM(Y504,Z504,AA504)</f>
        <v>1015.0491900000002</v>
      </c>
      <c r="AH504" s="1226">
        <f>SUM(AB504,AC504,AD504)</f>
        <v>631.947</v>
      </c>
      <c r="AI504" s="1226">
        <f>AE504+AF504</f>
        <v>3116.7324600000002</v>
      </c>
      <c r="AJ504" s="1226">
        <f>AH504+AG504</f>
        <v>1646.9961900000003</v>
      </c>
      <c r="AK504" s="1226">
        <f>AI504+AJ504</f>
        <v>4763.7286500000009</v>
      </c>
      <c r="AM504" s="579">
        <f ca="1">SUM((INDIRECT(AM$2&amp;(ROW())):INDIRECT(AM$3&amp;(ROW()))))</f>
        <v>594</v>
      </c>
      <c r="AN504" s="579">
        <f ca="1">SUM(INDIRECT(AN$1&amp;AN$2&amp;$C504):INDIRECT(AN$1&amp;AN$3&amp;$C504))</f>
        <v>0</v>
      </c>
      <c r="AO504" s="2889">
        <f t="shared" ca="1" si="1003"/>
        <v>594</v>
      </c>
      <c r="AP504" s="2890">
        <f t="shared" ca="1" si="1004"/>
        <v>0</v>
      </c>
      <c r="AQ504" s="579">
        <f ca="1">SUM(INDIRECT(AQ$1&amp;AQ$2&amp;$A504):INDIRECT(AQ$1&amp;AQ$3&amp;$A504))</f>
        <v>0</v>
      </c>
      <c r="AR504" s="2889">
        <f t="shared" ca="1" si="1005"/>
        <v>594</v>
      </c>
      <c r="AS504" s="2890">
        <f t="shared" ca="1" si="1006"/>
        <v>0</v>
      </c>
      <c r="AU504" s="579">
        <f ca="1">SUM((INDIRECT(AU$2&amp;(ROW())):INDIRECT(AU$3&amp;(ROW()))))</f>
        <v>594</v>
      </c>
      <c r="AV504" s="579">
        <f ca="1">SUM(INDIRECT(AV$1&amp;AV$2&amp;$C504):INDIRECT(AV$1&amp;AV$3&amp;$C504))</f>
        <v>0</v>
      </c>
      <c r="AW504" s="2889">
        <f t="shared" ca="1" si="1007"/>
        <v>594</v>
      </c>
      <c r="AX504" s="2890">
        <f t="shared" ca="1" si="1008"/>
        <v>0</v>
      </c>
      <c r="AY504" s="579">
        <f ca="1">SUM(INDIRECT(AY$1&amp;AY$2&amp;$A504):INDIRECT(AY$1&amp;AY$3&amp;$A504))</f>
        <v>0</v>
      </c>
      <c r="AZ504" s="2889">
        <f t="shared" ca="1" si="1009"/>
        <v>594</v>
      </c>
      <c r="BA504" s="2890">
        <f t="shared" ca="1" si="1010"/>
        <v>0</v>
      </c>
      <c r="BC504" s="579">
        <f ca="1">SUM((INDIRECT(BC$2&amp;(ROW())):INDIRECT(BC$3&amp;(ROW()))))</f>
        <v>594</v>
      </c>
      <c r="BD504" s="579">
        <f ca="1">SUM(INDIRECT(BD$1&amp;BD$2&amp;$C504):INDIRECT(BD$1&amp;BD$3&amp;$C504))</f>
        <v>0</v>
      </c>
      <c r="BE504" s="2889">
        <f t="shared" ca="1" si="1011"/>
        <v>594</v>
      </c>
      <c r="BF504" s="2890">
        <f t="shared" ca="1" si="1012"/>
        <v>0</v>
      </c>
      <c r="BG504" s="579">
        <f ca="1">SUM(INDIRECT(BG$1&amp;BG$2&amp;$A504):INDIRECT(BG$1&amp;BG$3&amp;$A504))</f>
        <v>0</v>
      </c>
      <c r="BH504" s="2889">
        <f t="shared" ca="1" si="1013"/>
        <v>594</v>
      </c>
      <c r="BI504" s="2890">
        <f t="shared" ca="1" si="1014"/>
        <v>0</v>
      </c>
    </row>
    <row r="505" spans="1:61" ht="14.5">
      <c r="A505" s="1693">
        <f t="shared" si="1022"/>
        <v>497</v>
      </c>
      <c r="B505" s="616">
        <v>1</v>
      </c>
      <c r="C505" s="1693">
        <f t="shared" si="1019"/>
        <v>505</v>
      </c>
      <c r="D505" s="616">
        <v>1</v>
      </c>
      <c r="F505" s="69"/>
      <c r="J505" s="94"/>
      <c r="K505" s="93"/>
      <c r="L505" s="68"/>
      <c r="M505" s="68"/>
      <c r="P505" s="97" t="s">
        <v>124</v>
      </c>
      <c r="Q505" s="869"/>
      <c r="R505" s="1777" t="str">
        <f>CHOOSE(2, "6722000003416", "S/GP (1)-1 Gross Profit Direct NH KMI Office A4")</f>
        <v>S/GP (1)-1 Gross Profit Direct NH KMI Office A4</v>
      </c>
      <c r="S505" s="1250">
        <f>SUM(S506:S507)</f>
        <v>0</v>
      </c>
      <c r="T505" s="1250">
        <f t="shared" ref="T505:AD505" si="1059">SUM(T506:T507)</f>
        <v>0</v>
      </c>
      <c r="U505" s="1250">
        <f t="shared" si="1059"/>
        <v>0</v>
      </c>
      <c r="V505" s="1250">
        <f t="shared" si="1059"/>
        <v>0</v>
      </c>
      <c r="W505" s="1250">
        <f t="shared" si="1059"/>
        <v>0</v>
      </c>
      <c r="X505" s="1250">
        <f t="shared" si="1059"/>
        <v>0</v>
      </c>
      <c r="Y505" s="1250">
        <f t="shared" si="1059"/>
        <v>0</v>
      </c>
      <c r="Z505" s="1250">
        <f t="shared" si="1059"/>
        <v>0</v>
      </c>
      <c r="AA505" s="1250">
        <f t="shared" si="1059"/>
        <v>0</v>
      </c>
      <c r="AB505" s="1250">
        <f t="shared" si="1059"/>
        <v>0</v>
      </c>
      <c r="AC505" s="1250">
        <f t="shared" si="1059"/>
        <v>0</v>
      </c>
      <c r="AD505" s="1250">
        <f t="shared" si="1059"/>
        <v>0</v>
      </c>
      <c r="AE505" s="899">
        <f>SUM(AE506:AE507)</f>
        <v>0</v>
      </c>
      <c r="AF505" s="1250">
        <f t="shared" ref="AF505:AK505" si="1060">SUM(AF506:AF507)</f>
        <v>0</v>
      </c>
      <c r="AG505" s="1250">
        <f t="shared" si="1060"/>
        <v>0</v>
      </c>
      <c r="AH505" s="1250">
        <f t="shared" si="1060"/>
        <v>0</v>
      </c>
      <c r="AI505" s="1250">
        <f t="shared" si="1060"/>
        <v>0</v>
      </c>
      <c r="AJ505" s="1250">
        <f t="shared" si="1060"/>
        <v>0</v>
      </c>
      <c r="AK505" s="1250">
        <f t="shared" si="1060"/>
        <v>0</v>
      </c>
      <c r="AM505" s="2145">
        <f ca="1">SUM((INDIRECT(AM$2&amp;(ROW())):INDIRECT(AM$3&amp;(ROW()))))</f>
        <v>0</v>
      </c>
      <c r="AN505" s="2145">
        <f ca="1">SUM(INDIRECT(AN$1&amp;AN$2&amp;$C505):INDIRECT(AN$1&amp;AN$3&amp;$C505))</f>
        <v>0</v>
      </c>
      <c r="AO505" s="2887">
        <f t="shared" ca="1" si="1003"/>
        <v>0</v>
      </c>
      <c r="AP505" s="2888">
        <f t="shared" ca="1" si="1004"/>
        <v>0</v>
      </c>
      <c r="AQ505" s="2145">
        <f ca="1">SUM(INDIRECT(AQ$1&amp;AQ$2&amp;$A505):INDIRECT(AQ$1&amp;AQ$3&amp;$A505))</f>
        <v>292</v>
      </c>
      <c r="AR505" s="2887">
        <f t="shared" ca="1" si="1005"/>
        <v>-292</v>
      </c>
      <c r="AS505" s="2888">
        <f t="shared" ca="1" si="1006"/>
        <v>0</v>
      </c>
      <c r="AU505" s="2145">
        <f ca="1">SUM((INDIRECT(AU$2&amp;(ROW())):INDIRECT(AU$3&amp;(ROW()))))</f>
        <v>0</v>
      </c>
      <c r="AV505" s="2145">
        <f ca="1">SUM(INDIRECT(AV$1&amp;AV$2&amp;$C505):INDIRECT(AV$1&amp;AV$3&amp;$C505))</f>
        <v>0</v>
      </c>
      <c r="AW505" s="2887">
        <f t="shared" ca="1" si="1007"/>
        <v>0</v>
      </c>
      <c r="AX505" s="2888">
        <f t="shared" ca="1" si="1008"/>
        <v>0</v>
      </c>
      <c r="AY505" s="2145">
        <f ca="1">SUM(INDIRECT(AY$1&amp;AY$2&amp;$A505):INDIRECT(AY$1&amp;AY$3&amp;$A505))</f>
        <v>292</v>
      </c>
      <c r="AZ505" s="2887">
        <f t="shared" ca="1" si="1009"/>
        <v>-292</v>
      </c>
      <c r="BA505" s="2888">
        <f t="shared" ca="1" si="1010"/>
        <v>0</v>
      </c>
      <c r="BC505" s="2145">
        <f ca="1">SUM((INDIRECT(BC$2&amp;(ROW())):INDIRECT(BC$3&amp;(ROW()))))</f>
        <v>0</v>
      </c>
      <c r="BD505" s="2145">
        <f ca="1">SUM(INDIRECT(BD$1&amp;BD$2&amp;$C505):INDIRECT(BD$1&amp;BD$3&amp;$C505))</f>
        <v>0</v>
      </c>
      <c r="BE505" s="2887">
        <f t="shared" ca="1" si="1011"/>
        <v>0</v>
      </c>
      <c r="BF505" s="2888">
        <f t="shared" ca="1" si="1012"/>
        <v>0</v>
      </c>
      <c r="BG505" s="2145">
        <f ca="1">SUM(INDIRECT(BG$1&amp;BG$2&amp;$A505):INDIRECT(BG$1&amp;BG$3&amp;$A505))</f>
        <v>292</v>
      </c>
      <c r="BH505" s="2887">
        <f t="shared" ca="1" si="1013"/>
        <v>-292</v>
      </c>
      <c r="BI505" s="2888">
        <f t="shared" ca="1" si="1014"/>
        <v>0</v>
      </c>
    </row>
    <row r="506" spans="1:61" ht="14.5">
      <c r="A506" s="1693">
        <f t="shared" si="1022"/>
        <v>498</v>
      </c>
      <c r="B506" s="616">
        <v>1</v>
      </c>
      <c r="C506" s="1693">
        <f t="shared" si="1019"/>
        <v>506</v>
      </c>
      <c r="D506" s="616">
        <v>1</v>
      </c>
      <c r="F506" s="69"/>
      <c r="J506" s="94"/>
      <c r="K506" s="93"/>
      <c r="L506" s="68"/>
      <c r="M506" s="68"/>
      <c r="Q506" s="8" t="s">
        <v>127</v>
      </c>
      <c r="R506" s="1779" t="str">
        <f>CHOOSE(2, "6722000003417", "S/GP (1)-1 Gross Profit Direct NH KMI Office A4 Copy Click")</f>
        <v>S/GP (1)-1 Gross Profit Direct NH KMI Office A4 Copy Click</v>
      </c>
      <c r="S506" s="1217"/>
      <c r="T506" s="1217"/>
      <c r="U506" s="1217"/>
      <c r="V506" s="1217"/>
      <c r="W506" s="1217"/>
      <c r="X506" s="1217"/>
      <c r="Y506" s="1217"/>
      <c r="Z506" s="1217"/>
      <c r="AA506" s="1217"/>
      <c r="AB506" s="1217"/>
      <c r="AC506" s="1217"/>
      <c r="AD506" s="1217"/>
      <c r="AE506" s="783">
        <f>SUM(S506,T506,U506)</f>
        <v>0</v>
      </c>
      <c r="AF506" s="1226">
        <f>SUM(V506,W506,X506)</f>
        <v>0</v>
      </c>
      <c r="AG506" s="1226">
        <f>SUM(Y506,Z506,AA506)</f>
        <v>0</v>
      </c>
      <c r="AH506" s="1226">
        <f>SUM(AB506,AC506,AD506)</f>
        <v>0</v>
      </c>
      <c r="AI506" s="1226">
        <f>AE506+AF506</f>
        <v>0</v>
      </c>
      <c r="AJ506" s="1226">
        <f>AH506+AG506</f>
        <v>0</v>
      </c>
      <c r="AK506" s="1226">
        <f>AI506+AJ506</f>
        <v>0</v>
      </c>
      <c r="AM506" s="579">
        <f ca="1">SUM((INDIRECT(AM$2&amp;(ROW())):INDIRECT(AM$3&amp;(ROW()))))</f>
        <v>0</v>
      </c>
      <c r="AN506" s="579">
        <f ca="1">SUM(INDIRECT(AN$1&amp;AN$2&amp;$C506):INDIRECT(AN$1&amp;AN$3&amp;$C506))</f>
        <v>0</v>
      </c>
      <c r="AO506" s="2889">
        <f t="shared" ca="1" si="1003"/>
        <v>0</v>
      </c>
      <c r="AP506" s="2890">
        <f t="shared" ca="1" si="1004"/>
        <v>0</v>
      </c>
      <c r="AQ506" s="579">
        <f ca="1">SUM(INDIRECT(AQ$1&amp;AQ$2&amp;$A506):INDIRECT(AQ$1&amp;AQ$3&amp;$A506))</f>
        <v>292</v>
      </c>
      <c r="AR506" s="2889">
        <f t="shared" ca="1" si="1005"/>
        <v>-292</v>
      </c>
      <c r="AS506" s="2890">
        <f t="shared" ca="1" si="1006"/>
        <v>0</v>
      </c>
      <c r="AU506" s="579">
        <f ca="1">SUM((INDIRECT(AU$2&amp;(ROW())):INDIRECT(AU$3&amp;(ROW()))))</f>
        <v>0</v>
      </c>
      <c r="AV506" s="579">
        <f ca="1">SUM(INDIRECT(AV$1&amp;AV$2&amp;$C506):INDIRECT(AV$1&amp;AV$3&amp;$C506))</f>
        <v>0</v>
      </c>
      <c r="AW506" s="2889">
        <f t="shared" ca="1" si="1007"/>
        <v>0</v>
      </c>
      <c r="AX506" s="2890">
        <f t="shared" ca="1" si="1008"/>
        <v>0</v>
      </c>
      <c r="AY506" s="579">
        <f ca="1">SUM(INDIRECT(AY$1&amp;AY$2&amp;$A506):INDIRECT(AY$1&amp;AY$3&amp;$A506))</f>
        <v>292</v>
      </c>
      <c r="AZ506" s="2889">
        <f t="shared" ca="1" si="1009"/>
        <v>-292</v>
      </c>
      <c r="BA506" s="2890">
        <f t="shared" ca="1" si="1010"/>
        <v>0</v>
      </c>
      <c r="BC506" s="579">
        <f ca="1">SUM((INDIRECT(BC$2&amp;(ROW())):INDIRECT(BC$3&amp;(ROW()))))</f>
        <v>0</v>
      </c>
      <c r="BD506" s="579">
        <f ca="1">SUM(INDIRECT(BD$1&amp;BD$2&amp;$C506):INDIRECT(BD$1&amp;BD$3&amp;$C506))</f>
        <v>0</v>
      </c>
      <c r="BE506" s="2889">
        <f t="shared" ca="1" si="1011"/>
        <v>0</v>
      </c>
      <c r="BF506" s="2890">
        <f t="shared" ca="1" si="1012"/>
        <v>0</v>
      </c>
      <c r="BG506" s="579">
        <f ca="1">SUM(INDIRECT(BG$1&amp;BG$2&amp;$A506):INDIRECT(BG$1&amp;BG$3&amp;$A506))</f>
        <v>292</v>
      </c>
      <c r="BH506" s="2889">
        <f t="shared" ca="1" si="1013"/>
        <v>-292</v>
      </c>
      <c r="BI506" s="2890">
        <f t="shared" ca="1" si="1014"/>
        <v>0</v>
      </c>
    </row>
    <row r="507" spans="1:61" ht="14.5">
      <c r="A507" s="1693">
        <f t="shared" si="1022"/>
        <v>499</v>
      </c>
      <c r="B507" s="616">
        <v>1</v>
      </c>
      <c r="C507" s="1693">
        <f t="shared" si="1019"/>
        <v>507</v>
      </c>
      <c r="D507" s="616">
        <v>1</v>
      </c>
      <c r="F507" s="69"/>
      <c r="J507" s="94"/>
      <c r="K507" s="93"/>
      <c r="L507" s="68"/>
      <c r="M507" s="68"/>
      <c r="O507" s="285"/>
      <c r="P507" s="285"/>
      <c r="Q507" s="285" t="s">
        <v>128</v>
      </c>
      <c r="R507" s="1779" t="str">
        <f>CHOOSE(2, "6722000003418", "S/GP (1)-1 Gross Profit Direct NH KMI Office A4 NonContract")</f>
        <v>S/GP (1)-1 Gross Profit Direct NH KMI Office A4 NonContract</v>
      </c>
      <c r="S507" s="1245"/>
      <c r="T507" s="1245"/>
      <c r="U507" s="1245"/>
      <c r="V507" s="1245"/>
      <c r="W507" s="1245"/>
      <c r="X507" s="1245"/>
      <c r="Y507" s="1245"/>
      <c r="Z507" s="1245"/>
      <c r="AA507" s="1245"/>
      <c r="AB507" s="1245"/>
      <c r="AC507" s="1245"/>
      <c r="AD507" s="1245"/>
      <c r="AE507" s="895">
        <f>SUM(S507,T507,U507)</f>
        <v>0</v>
      </c>
      <c r="AF507" s="1248">
        <f>SUM(V507,W507,X507)</f>
        <v>0</v>
      </c>
      <c r="AG507" s="1248">
        <f>SUM(Y507,Z507,AA507)</f>
        <v>0</v>
      </c>
      <c r="AH507" s="1248">
        <f>SUM(AB507,AC507,AD507)</f>
        <v>0</v>
      </c>
      <c r="AI507" s="1248">
        <f>AE507+AF507</f>
        <v>0</v>
      </c>
      <c r="AJ507" s="1248">
        <f>AH507+AG507</f>
        <v>0</v>
      </c>
      <c r="AK507" s="1248">
        <f>AI507+AJ507</f>
        <v>0</v>
      </c>
      <c r="AM507" s="1971">
        <f ca="1">SUM((INDIRECT(AM$2&amp;(ROW())):INDIRECT(AM$3&amp;(ROW()))))</f>
        <v>0</v>
      </c>
      <c r="AN507" s="1971">
        <f ca="1">SUM(INDIRECT(AN$1&amp;AN$2&amp;$C507):INDIRECT(AN$1&amp;AN$3&amp;$C507))</f>
        <v>0</v>
      </c>
      <c r="AO507" s="2881">
        <f t="shared" ca="1" si="1003"/>
        <v>0</v>
      </c>
      <c r="AP507" s="2882">
        <f t="shared" ca="1" si="1004"/>
        <v>0</v>
      </c>
      <c r="AQ507" s="1971">
        <f ca="1">SUM(INDIRECT(AQ$1&amp;AQ$2&amp;$A507):INDIRECT(AQ$1&amp;AQ$3&amp;$A507))</f>
        <v>0</v>
      </c>
      <c r="AR507" s="2881">
        <f t="shared" ca="1" si="1005"/>
        <v>0</v>
      </c>
      <c r="AS507" s="2882">
        <f t="shared" ca="1" si="1006"/>
        <v>0</v>
      </c>
      <c r="AU507" s="1971">
        <f ca="1">SUM((INDIRECT(AU$2&amp;(ROW())):INDIRECT(AU$3&amp;(ROW()))))</f>
        <v>0</v>
      </c>
      <c r="AV507" s="1971">
        <f ca="1">SUM(INDIRECT(AV$1&amp;AV$2&amp;$C507):INDIRECT(AV$1&amp;AV$3&amp;$C507))</f>
        <v>0</v>
      </c>
      <c r="AW507" s="2881">
        <f t="shared" ca="1" si="1007"/>
        <v>0</v>
      </c>
      <c r="AX507" s="2882">
        <f t="shared" ca="1" si="1008"/>
        <v>0</v>
      </c>
      <c r="AY507" s="1971">
        <f ca="1">SUM(INDIRECT(AY$1&amp;AY$2&amp;$A507):INDIRECT(AY$1&amp;AY$3&amp;$A507))</f>
        <v>0</v>
      </c>
      <c r="AZ507" s="2881">
        <f t="shared" ca="1" si="1009"/>
        <v>0</v>
      </c>
      <c r="BA507" s="2882">
        <f t="shared" ca="1" si="1010"/>
        <v>0</v>
      </c>
      <c r="BC507" s="1971">
        <f ca="1">SUM((INDIRECT(BC$2&amp;(ROW())):INDIRECT(BC$3&amp;(ROW()))))</f>
        <v>0</v>
      </c>
      <c r="BD507" s="1971">
        <f ca="1">SUM(INDIRECT(BD$1&amp;BD$2&amp;$C507):INDIRECT(BD$1&amp;BD$3&amp;$C507))</f>
        <v>0</v>
      </c>
      <c r="BE507" s="2881">
        <f t="shared" ca="1" si="1011"/>
        <v>0</v>
      </c>
      <c r="BF507" s="2882">
        <f t="shared" ca="1" si="1012"/>
        <v>0</v>
      </c>
      <c r="BG507" s="1971">
        <f ca="1">SUM(INDIRECT(BG$1&amp;BG$2&amp;$A507):INDIRECT(BG$1&amp;BG$3&amp;$A507))</f>
        <v>0</v>
      </c>
      <c r="BH507" s="2881">
        <f t="shared" ca="1" si="1013"/>
        <v>0</v>
      </c>
      <c r="BI507" s="2882">
        <f t="shared" ca="1" si="1014"/>
        <v>0</v>
      </c>
    </row>
    <row r="508" spans="1:61" ht="14.5" collapsed="1">
      <c r="A508" s="1693">
        <f t="shared" si="1022"/>
        <v>500</v>
      </c>
      <c r="B508" s="616">
        <v>1</v>
      </c>
      <c r="C508" s="1693">
        <f t="shared" si="1019"/>
        <v>508</v>
      </c>
      <c r="D508" s="616">
        <v>1</v>
      </c>
      <c r="F508" s="69"/>
      <c r="J508" s="94"/>
      <c r="K508" s="93"/>
      <c r="L508" s="68"/>
      <c r="M508" s="68"/>
      <c r="O508" s="288" t="s">
        <v>125</v>
      </c>
      <c r="P508" s="288"/>
      <c r="Q508" s="288"/>
      <c r="R508" s="1779" t="str">
        <f>CHOOSE(2, "6722000003419", "S/GP (1)-1 Gross Profit Direct NH 3rd Party")</f>
        <v>S/GP (1)-1 Gross Profit Direct NH 3rd Party</v>
      </c>
      <c r="S508" s="1246"/>
      <c r="T508" s="1246"/>
      <c r="U508" s="1246"/>
      <c r="V508" s="1246"/>
      <c r="W508" s="1246"/>
      <c r="X508" s="1246"/>
      <c r="Y508" s="1246"/>
      <c r="Z508" s="1246"/>
      <c r="AA508" s="1246"/>
      <c r="AB508" s="1246"/>
      <c r="AC508" s="1246"/>
      <c r="AD508" s="1246"/>
      <c r="AE508" s="897">
        <f>SUM(S508,T508,U508)</f>
        <v>0</v>
      </c>
      <c r="AF508" s="297">
        <f>SUM(V508,W508,X508)</f>
        <v>0</v>
      </c>
      <c r="AG508" s="297">
        <f>SUM(Y508,Z508,AA508)</f>
        <v>0</v>
      </c>
      <c r="AH508" s="297">
        <f>SUM(AB508,AC508,AD508)</f>
        <v>0</v>
      </c>
      <c r="AI508" s="297">
        <f>AE508+AF508</f>
        <v>0</v>
      </c>
      <c r="AJ508" s="297">
        <f>AH508+AG508</f>
        <v>0</v>
      </c>
      <c r="AK508" s="297">
        <f>AI508+AJ508</f>
        <v>0</v>
      </c>
      <c r="AM508" s="2143">
        <f ca="1">SUM((INDIRECT(AM$2&amp;(ROW())):INDIRECT(AM$3&amp;(ROW()))))</f>
        <v>0</v>
      </c>
      <c r="AN508" s="2143">
        <f ca="1">SUM(INDIRECT(AN$1&amp;AN$2&amp;$C508):INDIRECT(AN$1&amp;AN$3&amp;$C508))</f>
        <v>0</v>
      </c>
      <c r="AO508" s="2883">
        <f t="shared" ca="1" si="1003"/>
        <v>0</v>
      </c>
      <c r="AP508" s="2884">
        <f t="shared" ca="1" si="1004"/>
        <v>0</v>
      </c>
      <c r="AQ508" s="2143">
        <f ca="1">SUM(INDIRECT(AQ$1&amp;AQ$2&amp;$A508):INDIRECT(AQ$1&amp;AQ$3&amp;$A508))</f>
        <v>0</v>
      </c>
      <c r="AR508" s="2883">
        <f t="shared" ca="1" si="1005"/>
        <v>0</v>
      </c>
      <c r="AS508" s="2884">
        <f t="shared" ca="1" si="1006"/>
        <v>0</v>
      </c>
      <c r="AU508" s="2143">
        <f ca="1">SUM((INDIRECT(AU$2&amp;(ROW())):INDIRECT(AU$3&amp;(ROW()))))</f>
        <v>0</v>
      </c>
      <c r="AV508" s="2143">
        <f ca="1">SUM(INDIRECT(AV$1&amp;AV$2&amp;$C508):INDIRECT(AV$1&amp;AV$3&amp;$C508))</f>
        <v>0</v>
      </c>
      <c r="AW508" s="2883">
        <f t="shared" ca="1" si="1007"/>
        <v>0</v>
      </c>
      <c r="AX508" s="2884">
        <f t="shared" ca="1" si="1008"/>
        <v>0</v>
      </c>
      <c r="AY508" s="2143">
        <f ca="1">SUM(INDIRECT(AY$1&amp;AY$2&amp;$A508):INDIRECT(AY$1&amp;AY$3&amp;$A508))</f>
        <v>0</v>
      </c>
      <c r="AZ508" s="2883">
        <f t="shared" ca="1" si="1009"/>
        <v>0</v>
      </c>
      <c r="BA508" s="2884">
        <f t="shared" ca="1" si="1010"/>
        <v>0</v>
      </c>
      <c r="BC508" s="2143">
        <f ca="1">SUM((INDIRECT(BC$2&amp;(ROW())):INDIRECT(BC$3&amp;(ROW()))))</f>
        <v>0</v>
      </c>
      <c r="BD508" s="2143">
        <f ca="1">SUM(INDIRECT(BD$1&amp;BD$2&amp;$C508):INDIRECT(BD$1&amp;BD$3&amp;$C508))</f>
        <v>0</v>
      </c>
      <c r="BE508" s="2883">
        <f t="shared" ca="1" si="1011"/>
        <v>0</v>
      </c>
      <c r="BF508" s="2884">
        <f t="shared" ca="1" si="1012"/>
        <v>0</v>
      </c>
      <c r="BG508" s="2143">
        <f ca="1">SUM(INDIRECT(BG$1&amp;BG$2&amp;$A508):INDIRECT(BG$1&amp;BG$3&amp;$A508))</f>
        <v>0</v>
      </c>
      <c r="BH508" s="2883">
        <f t="shared" ca="1" si="1013"/>
        <v>0</v>
      </c>
      <c r="BI508" s="2884">
        <f t="shared" ca="1" si="1014"/>
        <v>0</v>
      </c>
    </row>
    <row r="509" spans="1:61" ht="14.5">
      <c r="A509" s="1693">
        <f t="shared" si="1022"/>
        <v>501</v>
      </c>
      <c r="B509" s="616">
        <v>1</v>
      </c>
      <c r="C509" s="1693">
        <f t="shared" si="1019"/>
        <v>509</v>
      </c>
      <c r="D509" s="616">
        <v>1</v>
      </c>
      <c r="F509" s="69"/>
      <c r="J509" s="94"/>
      <c r="K509" s="93"/>
      <c r="L509" s="68"/>
      <c r="M509" s="68"/>
      <c r="O509" s="298" t="s">
        <v>272</v>
      </c>
      <c r="P509" s="298"/>
      <c r="Q509" s="298"/>
      <c r="R509" s="1777" t="str">
        <f>CHOOSE(2, "6722000003420", "S/GP (1)-1 Gross Profit Direct NH &lt;Direct&gt;FSC(-)")</f>
        <v>S/GP (1)-1 Gross Profit Direct NH &lt;Direct&gt;FSC(-)</v>
      </c>
      <c r="S509" s="1248">
        <f>SUM(S510:S512)</f>
        <v>-7390</v>
      </c>
      <c r="T509" s="1248">
        <f t="shared" ref="T509:AD509" si="1061">SUM(T510:T512)</f>
        <v>-8790.6460000000006</v>
      </c>
      <c r="U509" s="1248">
        <f t="shared" si="1061"/>
        <v>-8163.2849999999999</v>
      </c>
      <c r="V509" s="1248">
        <f t="shared" si="1061"/>
        <v>-8874</v>
      </c>
      <c r="W509" s="1248">
        <f t="shared" si="1061"/>
        <v>-8559</v>
      </c>
      <c r="X509" s="1248">
        <f t="shared" si="1061"/>
        <v>-9073.6166199999807</v>
      </c>
      <c r="Y509" s="1248">
        <f t="shared" si="1061"/>
        <v>-8131.9744099999707</v>
      </c>
      <c r="Z509" s="1248">
        <f t="shared" si="1061"/>
        <v>-9232.170389999992</v>
      </c>
      <c r="AA509" s="1248">
        <f t="shared" si="1061"/>
        <v>-10176.815655937959</v>
      </c>
      <c r="AB509" s="1248">
        <f t="shared" si="1061"/>
        <v>-7000.2737317931751</v>
      </c>
      <c r="AC509" s="1248">
        <f t="shared" si="1061"/>
        <v>-9598.7380720837937</v>
      </c>
      <c r="AD509" s="1248">
        <f t="shared" si="1061"/>
        <v>-7448.5359387663111</v>
      </c>
      <c r="AE509" s="895">
        <f t="shared" ref="AE509:AK509" si="1062">SUM(AE510:AE512)</f>
        <v>-24343.931</v>
      </c>
      <c r="AF509" s="1248">
        <f t="shared" si="1062"/>
        <v>-26506.616619999979</v>
      </c>
      <c r="AG509" s="1248">
        <f t="shared" si="1062"/>
        <v>-27540.960455937919</v>
      </c>
      <c r="AH509" s="1248">
        <f t="shared" si="1062"/>
        <v>-24047.547742643281</v>
      </c>
      <c r="AI509" s="1248">
        <f t="shared" si="1062"/>
        <v>-50850.547619999983</v>
      </c>
      <c r="AJ509" s="1248">
        <f t="shared" si="1062"/>
        <v>-51588.508198581199</v>
      </c>
      <c r="AK509" s="1248">
        <f t="shared" si="1062"/>
        <v>-102439.05581858117</v>
      </c>
      <c r="AL509" s="9"/>
      <c r="AM509" s="1971">
        <f ca="1">SUM((INDIRECT(AM$2&amp;(ROW())):INDIRECT(AM$3&amp;(ROW()))))</f>
        <v>-7390</v>
      </c>
      <c r="AN509" s="1971">
        <f ca="1">SUM(INDIRECT(AN$1&amp;AN$2&amp;$C509):INDIRECT(AN$1&amp;AN$3&amp;$C509))</f>
        <v>-8990.0000000000018</v>
      </c>
      <c r="AO509" s="2881">
        <f t="shared" ca="1" si="1003"/>
        <v>1600.0000000000018</v>
      </c>
      <c r="AP509" s="2882">
        <f t="shared" ca="1" si="1004"/>
        <v>0.82202447163515002</v>
      </c>
      <c r="AQ509" s="1971">
        <f ca="1">SUM(INDIRECT(AQ$1&amp;AQ$2&amp;$A509):INDIRECT(AQ$1&amp;AQ$3&amp;$A509))</f>
        <v>-7512</v>
      </c>
      <c r="AR509" s="2881">
        <f t="shared" ca="1" si="1005"/>
        <v>122</v>
      </c>
      <c r="AS509" s="2882">
        <f t="shared" ca="1" si="1006"/>
        <v>0.98375931842385511</v>
      </c>
      <c r="AU509" s="1971">
        <f ca="1">SUM((INDIRECT(AU$2&amp;(ROW())):INDIRECT(AU$3&amp;(ROW()))))</f>
        <v>-7390</v>
      </c>
      <c r="AV509" s="1971">
        <f ca="1">SUM(INDIRECT(AV$1&amp;AV$2&amp;$C509):INDIRECT(AV$1&amp;AV$3&amp;$C509))</f>
        <v>-8990.0000000000018</v>
      </c>
      <c r="AW509" s="2881">
        <f t="shared" ca="1" si="1007"/>
        <v>1600.0000000000018</v>
      </c>
      <c r="AX509" s="2882">
        <f t="shared" ca="1" si="1008"/>
        <v>0.82202447163515002</v>
      </c>
      <c r="AY509" s="1971">
        <f ca="1">SUM(INDIRECT(AY$1&amp;AY$2&amp;$A509):INDIRECT(AY$1&amp;AY$3&amp;$A509))</f>
        <v>-7512</v>
      </c>
      <c r="AZ509" s="2881">
        <f t="shared" ca="1" si="1009"/>
        <v>122</v>
      </c>
      <c r="BA509" s="2882">
        <f t="shared" ca="1" si="1010"/>
        <v>0.98375931842385511</v>
      </c>
      <c r="BC509" s="1971">
        <f ca="1">SUM((INDIRECT(BC$2&amp;(ROW())):INDIRECT(BC$3&amp;(ROW()))))</f>
        <v>-7390</v>
      </c>
      <c r="BD509" s="1971">
        <f ca="1">SUM(INDIRECT(BD$1&amp;BD$2&amp;$C509):INDIRECT(BD$1&amp;BD$3&amp;$C509))</f>
        <v>-8990.0000000000018</v>
      </c>
      <c r="BE509" s="2881">
        <f t="shared" ca="1" si="1011"/>
        <v>1600.0000000000018</v>
      </c>
      <c r="BF509" s="2882">
        <f t="shared" ca="1" si="1012"/>
        <v>0.82202447163515002</v>
      </c>
      <c r="BG509" s="1971">
        <f ca="1">SUM(INDIRECT(BG$1&amp;BG$2&amp;$A509):INDIRECT(BG$1&amp;BG$3&amp;$A509))</f>
        <v>-7512</v>
      </c>
      <c r="BH509" s="2881">
        <f t="shared" ca="1" si="1013"/>
        <v>122</v>
      </c>
      <c r="BI509" s="2882">
        <f t="shared" ca="1" si="1014"/>
        <v>0.98375931842385511</v>
      </c>
    </row>
    <row r="510" spans="1:61" ht="14.5">
      <c r="A510" s="1693">
        <f t="shared" si="1022"/>
        <v>502</v>
      </c>
      <c r="B510" s="616">
        <v>1</v>
      </c>
      <c r="C510" s="1693">
        <f t="shared" si="1019"/>
        <v>510</v>
      </c>
      <c r="D510" s="616">
        <v>1</v>
      </c>
      <c r="F510" s="69"/>
      <c r="J510" s="94"/>
      <c r="K510" s="93"/>
      <c r="L510" s="68"/>
      <c r="M510" s="68"/>
      <c r="O510" s="291"/>
      <c r="P510" s="291"/>
      <c r="Q510" s="291" t="s">
        <v>212</v>
      </c>
      <c r="R510" s="1779" t="str">
        <f>CHOOSE(2, "6722000003421", "S/GP (1)-1 Gross Profit Direct NH &lt;Direct&gt;FSC(-) PC")</f>
        <v>S/GP (1)-1 Gross Profit Direct NH &lt;Direct&gt;FSC(-) PC</v>
      </c>
      <c r="S510" s="1227">
        <v>-2390</v>
      </c>
      <c r="T510" s="1227">
        <v>-2586.6460000000002</v>
      </c>
      <c r="U510" s="1227">
        <v>-2439.9520000000002</v>
      </c>
      <c r="V510" s="1227">
        <v>-2628</v>
      </c>
      <c r="W510" s="1227">
        <v>-2797</v>
      </c>
      <c r="X510" s="1227">
        <v>-2594.86</v>
      </c>
      <c r="Y510" s="1227">
        <v>-2573.0120000000002</v>
      </c>
      <c r="Z510" s="1227">
        <v>-3040.692</v>
      </c>
      <c r="AA510" s="1227">
        <v>-3076.7126655040902</v>
      </c>
      <c r="AB510" s="1227">
        <v>-3226.8899865245849</v>
      </c>
      <c r="AC510" s="1227">
        <v>-3218.1115448073911</v>
      </c>
      <c r="AD510" s="1227">
        <v>-3327.3531987372944</v>
      </c>
      <c r="AE510" s="896">
        <f>SUM(S510,T510,U510)</f>
        <v>-7416.5980000000009</v>
      </c>
      <c r="AF510" s="95">
        <f>SUM(V510,W510,X510)</f>
        <v>-8019.8600000000006</v>
      </c>
      <c r="AG510" s="95">
        <f>SUM(Y510,Z510,AA510)</f>
        <v>-8690.4166655040899</v>
      </c>
      <c r="AH510" s="95">
        <f>SUM(AB510,AC510,AD510)</f>
        <v>-9772.3547300692699</v>
      </c>
      <c r="AI510" s="95">
        <f>AE510+AF510</f>
        <v>-15436.458000000002</v>
      </c>
      <c r="AJ510" s="95">
        <f>AH510+AG510</f>
        <v>-18462.77139557336</v>
      </c>
      <c r="AK510" s="95">
        <f>AI510+AJ510</f>
        <v>-33899.229395573362</v>
      </c>
      <c r="AM510" s="2138">
        <f ca="1">SUM((INDIRECT(AM$2&amp;(ROW())):INDIRECT(AM$3&amp;(ROW()))))</f>
        <v>-2390</v>
      </c>
      <c r="AN510" s="2138">
        <f ca="1">SUM(INDIRECT(AN$1&amp;AN$2&amp;$C510):INDIRECT(AN$1&amp;AN$3&amp;$C510))</f>
        <v>-3098.8000000000006</v>
      </c>
      <c r="AO510" s="2879">
        <f t="shared" ca="1" si="1003"/>
        <v>708.80000000000064</v>
      </c>
      <c r="AP510" s="2880">
        <f t="shared" ca="1" si="1004"/>
        <v>0.77126629663095381</v>
      </c>
      <c r="AQ510" s="2138">
        <f ca="1">SUM(INDIRECT(AQ$1&amp;AQ$2&amp;$A510):INDIRECT(AQ$1&amp;AQ$3&amp;$A510))</f>
        <v>-2466</v>
      </c>
      <c r="AR510" s="2879">
        <f t="shared" ca="1" si="1005"/>
        <v>76</v>
      </c>
      <c r="AS510" s="2880">
        <f t="shared" ca="1" si="1006"/>
        <v>0.96918085969180856</v>
      </c>
      <c r="AU510" s="2138">
        <f ca="1">SUM((INDIRECT(AU$2&amp;(ROW())):INDIRECT(AU$3&amp;(ROW()))))</f>
        <v>-2390</v>
      </c>
      <c r="AV510" s="2138">
        <f ca="1">SUM(INDIRECT(AV$1&amp;AV$2&amp;$C510):INDIRECT(AV$1&amp;AV$3&amp;$C510))</f>
        <v>-3098.8000000000006</v>
      </c>
      <c r="AW510" s="2879">
        <f t="shared" ca="1" si="1007"/>
        <v>708.80000000000064</v>
      </c>
      <c r="AX510" s="2880">
        <f t="shared" ca="1" si="1008"/>
        <v>0.77126629663095381</v>
      </c>
      <c r="AY510" s="2138">
        <f ca="1">SUM(INDIRECT(AY$1&amp;AY$2&amp;$A510):INDIRECT(AY$1&amp;AY$3&amp;$A510))</f>
        <v>-2466</v>
      </c>
      <c r="AZ510" s="2879">
        <f t="shared" ca="1" si="1009"/>
        <v>76</v>
      </c>
      <c r="BA510" s="2880">
        <f t="shared" ca="1" si="1010"/>
        <v>0.96918085969180856</v>
      </c>
      <c r="BC510" s="2138">
        <f ca="1">SUM((INDIRECT(BC$2&amp;(ROW())):INDIRECT(BC$3&amp;(ROW()))))</f>
        <v>-2390</v>
      </c>
      <c r="BD510" s="2138">
        <f ca="1">SUM(INDIRECT(BD$1&amp;BD$2&amp;$C510):INDIRECT(BD$1&amp;BD$3&amp;$C510))</f>
        <v>-3098.8000000000006</v>
      </c>
      <c r="BE510" s="2879">
        <f t="shared" ca="1" si="1011"/>
        <v>708.80000000000064</v>
      </c>
      <c r="BF510" s="2880">
        <f t="shared" ca="1" si="1012"/>
        <v>0.77126629663095381</v>
      </c>
      <c r="BG510" s="2138">
        <f ca="1">SUM(INDIRECT(BG$1&amp;BG$2&amp;$A510):INDIRECT(BG$1&amp;BG$3&amp;$A510))</f>
        <v>-2466</v>
      </c>
      <c r="BH510" s="2879">
        <f t="shared" ca="1" si="1013"/>
        <v>76</v>
      </c>
      <c r="BI510" s="2880">
        <f t="shared" ca="1" si="1014"/>
        <v>0.96918085969180856</v>
      </c>
    </row>
    <row r="511" spans="1:61" ht="14.5">
      <c r="A511" s="1693">
        <f t="shared" si="1022"/>
        <v>503</v>
      </c>
      <c r="B511" s="616">
        <v>1</v>
      </c>
      <c r="C511" s="1693">
        <f t="shared" si="1019"/>
        <v>511</v>
      </c>
      <c r="D511" s="616">
        <v>1</v>
      </c>
      <c r="F511" s="69"/>
      <c r="G511" s="8"/>
      <c r="H511" s="8"/>
      <c r="J511" s="94"/>
      <c r="K511" s="93"/>
      <c r="L511" s="68"/>
      <c r="M511" s="68"/>
      <c r="O511" s="229"/>
      <c r="P511" s="229"/>
      <c r="Q511" s="229" t="s">
        <v>213</v>
      </c>
      <c r="R511" s="1779" t="str">
        <f>CHOOSE(2, "6722000003422", "S/GP (1)-1 Gross Profit Direct NH &lt;Direct&gt;FSC(-) TE")</f>
        <v>S/GP (1)-1 Gross Profit Direct NH &lt;Direct&gt;FSC(-) TE</v>
      </c>
      <c r="S511" s="1217"/>
      <c r="T511" s="1217">
        <v>-204</v>
      </c>
      <c r="U511" s="1217">
        <v>-323.33300000000003</v>
      </c>
      <c r="V511" s="1217">
        <v>-415</v>
      </c>
      <c r="W511" s="1217">
        <v>-462</v>
      </c>
      <c r="X511" s="1217">
        <v>-564.43799999999999</v>
      </c>
      <c r="Y511" s="1217">
        <v>-358.98099999999999</v>
      </c>
      <c r="Z511" s="1217">
        <v>-541.23800000000006</v>
      </c>
      <c r="AA511" s="1217">
        <v>-604.28751043389059</v>
      </c>
      <c r="AB511" s="1217">
        <v>-556.021665268623</v>
      </c>
      <c r="AC511" s="1217">
        <v>-558.14017727644409</v>
      </c>
      <c r="AD511" s="1217">
        <v>-585.7022100290169</v>
      </c>
      <c r="AE511" s="783">
        <f>SUM(S511,T511,U511)</f>
        <v>-527.33300000000008</v>
      </c>
      <c r="AF511" s="1226">
        <f>SUM(V511,W511,X511)</f>
        <v>-1441.4380000000001</v>
      </c>
      <c r="AG511" s="1226">
        <f>SUM(Y511,Z511,AA511)</f>
        <v>-1504.5065104338905</v>
      </c>
      <c r="AH511" s="1226">
        <f>SUM(AB511,AC511,AD511)</f>
        <v>-1699.8640525740839</v>
      </c>
      <c r="AI511" s="1226">
        <f>AE511+AF511</f>
        <v>-1968.7710000000002</v>
      </c>
      <c r="AJ511" s="1226">
        <f>AH511+AG511</f>
        <v>-3204.3705630079744</v>
      </c>
      <c r="AK511" s="1226">
        <f>AI511+AJ511</f>
        <v>-5173.1415630079746</v>
      </c>
      <c r="AL511" s="9"/>
      <c r="AM511" s="579">
        <f ca="1">SUM((INDIRECT(AM$2&amp;(ROW())):INDIRECT(AM$3&amp;(ROW()))))</f>
        <v>0</v>
      </c>
      <c r="AN511" s="579">
        <f ca="1">SUM(INDIRECT(AN$1&amp;AN$2&amp;$C511):INDIRECT(AN$1&amp;AN$3&amp;$C511))</f>
        <v>-400</v>
      </c>
      <c r="AO511" s="2889">
        <f t="shared" ca="1" si="1003"/>
        <v>400</v>
      </c>
      <c r="AP511" s="2890">
        <f t="shared" ca="1" si="1004"/>
        <v>0</v>
      </c>
      <c r="AQ511" s="579">
        <f ca="1">SUM(INDIRECT(AQ$1&amp;AQ$2&amp;$A511):INDIRECT(AQ$1&amp;AQ$3&amp;$A511))</f>
        <v>0</v>
      </c>
      <c r="AR511" s="2889">
        <f t="shared" ca="1" si="1005"/>
        <v>0</v>
      </c>
      <c r="AS511" s="2890">
        <f t="shared" ca="1" si="1006"/>
        <v>0</v>
      </c>
      <c r="AU511" s="579">
        <f ca="1">SUM((INDIRECT(AU$2&amp;(ROW())):INDIRECT(AU$3&amp;(ROW()))))</f>
        <v>0</v>
      </c>
      <c r="AV511" s="579">
        <f ca="1">SUM(INDIRECT(AV$1&amp;AV$2&amp;$C511):INDIRECT(AV$1&amp;AV$3&amp;$C511))</f>
        <v>-400</v>
      </c>
      <c r="AW511" s="2889">
        <f t="shared" ca="1" si="1007"/>
        <v>400</v>
      </c>
      <c r="AX511" s="2890">
        <f t="shared" ca="1" si="1008"/>
        <v>0</v>
      </c>
      <c r="AY511" s="579">
        <f ca="1">SUM(INDIRECT(AY$1&amp;AY$2&amp;$A511):INDIRECT(AY$1&amp;AY$3&amp;$A511))</f>
        <v>0</v>
      </c>
      <c r="AZ511" s="2889">
        <f t="shared" ca="1" si="1009"/>
        <v>0</v>
      </c>
      <c r="BA511" s="2890">
        <f t="shared" ca="1" si="1010"/>
        <v>0</v>
      </c>
      <c r="BC511" s="579">
        <f ca="1">SUM((INDIRECT(BC$2&amp;(ROW())):INDIRECT(BC$3&amp;(ROW()))))</f>
        <v>0</v>
      </c>
      <c r="BD511" s="579">
        <f ca="1">SUM(INDIRECT(BD$1&amp;BD$2&amp;$C511):INDIRECT(BD$1&amp;BD$3&amp;$C511))</f>
        <v>-400</v>
      </c>
      <c r="BE511" s="2889">
        <f t="shared" ca="1" si="1011"/>
        <v>400</v>
      </c>
      <c r="BF511" s="2890">
        <f t="shared" ca="1" si="1012"/>
        <v>0</v>
      </c>
      <c r="BG511" s="579">
        <f ca="1">SUM(INDIRECT(BG$1&amp;BG$2&amp;$A511):INDIRECT(BG$1&amp;BG$3&amp;$A511))</f>
        <v>0</v>
      </c>
      <c r="BH511" s="2889">
        <f t="shared" ca="1" si="1013"/>
        <v>0</v>
      </c>
      <c r="BI511" s="2890">
        <f t="shared" ca="1" si="1014"/>
        <v>0</v>
      </c>
    </row>
    <row r="512" spans="1:61" ht="14.5">
      <c r="A512" s="1693">
        <f t="shared" si="1022"/>
        <v>504</v>
      </c>
      <c r="B512" s="616">
        <v>1</v>
      </c>
      <c r="C512" s="1693">
        <f t="shared" si="1019"/>
        <v>512</v>
      </c>
      <c r="D512" s="616">
        <v>1</v>
      </c>
      <c r="F512" s="69"/>
      <c r="J512" s="94"/>
      <c r="K512" s="93"/>
      <c r="L512" s="68"/>
      <c r="M512" s="68"/>
      <c r="O512" s="228"/>
      <c r="P512" s="228"/>
      <c r="Q512" s="228" t="s">
        <v>218</v>
      </c>
      <c r="R512" s="1779" t="str">
        <f>CHOOSE(2, "6722000003423", "S/GP (1)-1 Gross Profit Direct NH &lt;Direct&gt;FSC(-) OFC")</f>
        <v>S/GP (1)-1 Gross Profit Direct NH &lt;Direct&gt;FSC(-) OFC</v>
      </c>
      <c r="S512" s="1218">
        <v>-5000</v>
      </c>
      <c r="T512" s="1218">
        <v>-6000</v>
      </c>
      <c r="U512" s="1218">
        <v>-5400</v>
      </c>
      <c r="V512" s="1218">
        <v>-5831</v>
      </c>
      <c r="W512" s="1218">
        <v>-5300</v>
      </c>
      <c r="X512" s="1218">
        <v>-5914.31861999998</v>
      </c>
      <c r="Y512" s="1218">
        <v>-5199.9814099999703</v>
      </c>
      <c r="Z512" s="1218">
        <v>-5650.2403899999908</v>
      </c>
      <c r="AA512" s="1218">
        <v>-6495.8154799999784</v>
      </c>
      <c r="AB512" s="1218">
        <v>-3217.3620799999667</v>
      </c>
      <c r="AC512" s="1218">
        <v>-5822.4863499999592</v>
      </c>
      <c r="AD512" s="1218">
        <v>-3535.4805299999998</v>
      </c>
      <c r="AE512" s="784">
        <f>SUM(S512,T512,U512)</f>
        <v>-16400</v>
      </c>
      <c r="AF512" s="1228">
        <f>SUM(V512,W512,X512)</f>
        <v>-17045.31861999998</v>
      </c>
      <c r="AG512" s="1228">
        <f>SUM(Y512,Z512,AA512)</f>
        <v>-17346.037279999939</v>
      </c>
      <c r="AH512" s="1228">
        <f>SUM(AB512,AC512,AD512)</f>
        <v>-12575.328959999926</v>
      </c>
      <c r="AI512" s="1228">
        <f>AE512+AF512</f>
        <v>-33445.318619999976</v>
      </c>
      <c r="AJ512" s="1228">
        <f>AH512+AG512</f>
        <v>-29921.366239999865</v>
      </c>
      <c r="AK512" s="1228">
        <f>AI512+AJ512</f>
        <v>-63366.684859999841</v>
      </c>
      <c r="AM512" s="584">
        <f ca="1">SUM((INDIRECT(AM$2&amp;(ROW())):INDIRECT(AM$3&amp;(ROW()))))</f>
        <v>-5000</v>
      </c>
      <c r="AN512" s="584">
        <f ca="1">SUM(INDIRECT(AN$1&amp;AN$2&amp;$C512):INDIRECT(AN$1&amp;AN$3&amp;$C512))</f>
        <v>-5491.2000000000007</v>
      </c>
      <c r="AO512" s="2896">
        <f t="shared" ca="1" si="1003"/>
        <v>491.20000000000073</v>
      </c>
      <c r="AP512" s="2897">
        <f t="shared" ca="1" si="1004"/>
        <v>0.91054778554778548</v>
      </c>
      <c r="AQ512" s="584">
        <f ca="1">SUM(INDIRECT(AQ$1&amp;AQ$2&amp;$A512):INDIRECT(AQ$1&amp;AQ$3&amp;$A512))</f>
        <v>-5046</v>
      </c>
      <c r="AR512" s="2896">
        <f t="shared" ca="1" si="1005"/>
        <v>46</v>
      </c>
      <c r="AS512" s="2897">
        <f t="shared" ca="1" si="1006"/>
        <v>0.99088386841062226</v>
      </c>
      <c r="AU512" s="584">
        <f ca="1">SUM((INDIRECT(AU$2&amp;(ROW())):INDIRECT(AU$3&amp;(ROW()))))</f>
        <v>-5000</v>
      </c>
      <c r="AV512" s="584">
        <f ca="1">SUM(INDIRECT(AV$1&amp;AV$2&amp;$C512):INDIRECT(AV$1&amp;AV$3&amp;$C512))</f>
        <v>-5491.2000000000007</v>
      </c>
      <c r="AW512" s="2896">
        <f t="shared" ca="1" si="1007"/>
        <v>491.20000000000073</v>
      </c>
      <c r="AX512" s="2897">
        <f t="shared" ca="1" si="1008"/>
        <v>0.91054778554778548</v>
      </c>
      <c r="AY512" s="584">
        <f ca="1">SUM(INDIRECT(AY$1&amp;AY$2&amp;$A512):INDIRECT(AY$1&amp;AY$3&amp;$A512))</f>
        <v>-5046</v>
      </c>
      <c r="AZ512" s="2896">
        <f t="shared" ca="1" si="1009"/>
        <v>46</v>
      </c>
      <c r="BA512" s="2897">
        <f t="shared" ca="1" si="1010"/>
        <v>0.99088386841062226</v>
      </c>
      <c r="BC512" s="584">
        <f ca="1">SUM((INDIRECT(BC$2&amp;(ROW())):INDIRECT(BC$3&amp;(ROW()))))</f>
        <v>-5000</v>
      </c>
      <c r="BD512" s="584">
        <f ca="1">SUM(INDIRECT(BD$1&amp;BD$2&amp;$C512):INDIRECT(BD$1&amp;BD$3&amp;$C512))</f>
        <v>-5491.2000000000007</v>
      </c>
      <c r="BE512" s="2896">
        <f t="shared" ca="1" si="1011"/>
        <v>491.20000000000073</v>
      </c>
      <c r="BF512" s="2897">
        <f t="shared" ca="1" si="1012"/>
        <v>0.91054778554778548</v>
      </c>
      <c r="BG512" s="584">
        <f ca="1">SUM(INDIRECT(BG$1&amp;BG$2&amp;$A512):INDIRECT(BG$1&amp;BG$3&amp;$A512))</f>
        <v>-5046</v>
      </c>
      <c r="BH512" s="2896">
        <f t="shared" ca="1" si="1013"/>
        <v>46</v>
      </c>
      <c r="BI512" s="2897">
        <f t="shared" ca="1" si="1014"/>
        <v>0.99088386841062226</v>
      </c>
    </row>
    <row r="513" spans="1:61" ht="14.5">
      <c r="A513" s="1693">
        <f t="shared" si="1022"/>
        <v>505</v>
      </c>
      <c r="B513" s="616">
        <v>1</v>
      </c>
      <c r="C513" s="1693">
        <f t="shared" si="1019"/>
        <v>513</v>
      </c>
      <c r="D513" s="616">
        <v>1</v>
      </c>
      <c r="F513" s="69"/>
      <c r="J513" s="94"/>
      <c r="K513" s="93"/>
      <c r="L513" s="68"/>
      <c r="M513" s="68"/>
      <c r="O513" s="290" t="s">
        <v>273</v>
      </c>
      <c r="P513" s="290"/>
      <c r="Q513" s="290"/>
      <c r="R513" s="1777" t="str">
        <f>CHOOSE(2, "6722000003424", "S/GP (1)-1 Gross Profit Direct NH &lt;Direct&gt;SDC(-)")</f>
        <v>S/GP (1)-1 Gross Profit Direct NH &lt;Direct&gt;SDC(-)</v>
      </c>
      <c r="S513" s="1249">
        <f>SUM(S514:S515)</f>
        <v>-32</v>
      </c>
      <c r="T513" s="1249">
        <f t="shared" ref="T513:AD513" si="1063">SUM(T514:T515)</f>
        <v>-31.972000000000001</v>
      </c>
      <c r="U513" s="1249">
        <f t="shared" si="1063"/>
        <v>-31.972000000000001</v>
      </c>
      <c r="V513" s="1249">
        <f t="shared" si="1063"/>
        <v>-33</v>
      </c>
      <c r="W513" s="1249">
        <f t="shared" si="1063"/>
        <v>-32</v>
      </c>
      <c r="X513" s="1249">
        <f t="shared" si="1063"/>
        <v>-36.765999999999998</v>
      </c>
      <c r="Y513" s="1249">
        <f t="shared" si="1063"/>
        <v>-33.57</v>
      </c>
      <c r="Z513" s="1249">
        <f t="shared" si="1063"/>
        <v>-33.57</v>
      </c>
      <c r="AA513" s="1249">
        <f t="shared" si="1063"/>
        <v>-34.57</v>
      </c>
      <c r="AB513" s="1249">
        <f t="shared" si="1063"/>
        <v>-33.57</v>
      </c>
      <c r="AC513" s="1249">
        <f t="shared" si="1063"/>
        <v>-33.57</v>
      </c>
      <c r="AD513" s="1249">
        <f t="shared" si="1063"/>
        <v>-26.856000000000002</v>
      </c>
      <c r="AE513" s="898">
        <f>SUM(AE514:AE515)</f>
        <v>-95.944000000000003</v>
      </c>
      <c r="AF513" s="1249">
        <f t="shared" ref="AF513:AK513" si="1064">SUM(AF514:AF515)</f>
        <v>-101.76599999999999</v>
      </c>
      <c r="AG513" s="1249">
        <f>SUM(AG514:AG515)</f>
        <v>-101.71000000000001</v>
      </c>
      <c r="AH513" s="1249">
        <f t="shared" si="1064"/>
        <v>-93.996000000000009</v>
      </c>
      <c r="AI513" s="1249">
        <f t="shared" si="1064"/>
        <v>-197.70999999999998</v>
      </c>
      <c r="AJ513" s="1249">
        <f t="shared" si="1064"/>
        <v>-195.70600000000002</v>
      </c>
      <c r="AK513" s="1249">
        <f t="shared" si="1064"/>
        <v>-393.416</v>
      </c>
      <c r="AM513" s="1987">
        <f ca="1">SUM((INDIRECT(AM$2&amp;(ROW())):INDIRECT(AM$3&amp;(ROW()))))</f>
        <v>-32</v>
      </c>
      <c r="AN513" s="1987">
        <f ca="1">SUM(INDIRECT(AN$1&amp;AN$2&amp;$C513):INDIRECT(AN$1&amp;AN$3&amp;$C513))</f>
        <v>-33</v>
      </c>
      <c r="AO513" s="2885">
        <f t="shared" ca="1" si="1003"/>
        <v>1</v>
      </c>
      <c r="AP513" s="2886">
        <f t="shared" ca="1" si="1004"/>
        <v>0.96969696969696972</v>
      </c>
      <c r="AQ513" s="1987">
        <f ca="1">SUM(INDIRECT(AQ$1&amp;AQ$2&amp;$A513):INDIRECT(AQ$1&amp;AQ$3&amp;$A513))</f>
        <v>-35</v>
      </c>
      <c r="AR513" s="2885">
        <f t="shared" ca="1" si="1005"/>
        <v>3</v>
      </c>
      <c r="AS513" s="2886">
        <f t="shared" ca="1" si="1006"/>
        <v>0.91428571428571426</v>
      </c>
      <c r="AU513" s="1987">
        <f ca="1">SUM((INDIRECT(AU$2&amp;(ROW())):INDIRECT(AU$3&amp;(ROW()))))</f>
        <v>-32</v>
      </c>
      <c r="AV513" s="1987">
        <f ca="1">SUM(INDIRECT(AV$1&amp;AV$2&amp;$C513):INDIRECT(AV$1&amp;AV$3&amp;$C513))</f>
        <v>-33</v>
      </c>
      <c r="AW513" s="2885">
        <f t="shared" ca="1" si="1007"/>
        <v>1</v>
      </c>
      <c r="AX513" s="2886">
        <f t="shared" ca="1" si="1008"/>
        <v>0.96969696969696972</v>
      </c>
      <c r="AY513" s="1987">
        <f ca="1">SUM(INDIRECT(AY$1&amp;AY$2&amp;$A513):INDIRECT(AY$1&amp;AY$3&amp;$A513))</f>
        <v>-35</v>
      </c>
      <c r="AZ513" s="2885">
        <f t="shared" ca="1" si="1009"/>
        <v>3</v>
      </c>
      <c r="BA513" s="2886">
        <f t="shared" ca="1" si="1010"/>
        <v>0.91428571428571426</v>
      </c>
      <c r="BC513" s="1987">
        <f ca="1">SUM((INDIRECT(BC$2&amp;(ROW())):INDIRECT(BC$3&amp;(ROW()))))</f>
        <v>-32</v>
      </c>
      <c r="BD513" s="1987">
        <f ca="1">SUM(INDIRECT(BD$1&amp;BD$2&amp;$C513):INDIRECT(BD$1&amp;BD$3&amp;$C513))</f>
        <v>-33</v>
      </c>
      <c r="BE513" s="2885">
        <f t="shared" ca="1" si="1011"/>
        <v>1</v>
      </c>
      <c r="BF513" s="2886">
        <f t="shared" ca="1" si="1012"/>
        <v>0.96969696969696972</v>
      </c>
      <c r="BG513" s="1987">
        <f ca="1">SUM(INDIRECT(BG$1&amp;BG$2&amp;$A513):INDIRECT(BG$1&amp;BG$3&amp;$A513))</f>
        <v>-35</v>
      </c>
      <c r="BH513" s="2885">
        <f t="shared" ca="1" si="1013"/>
        <v>3</v>
      </c>
      <c r="BI513" s="2886">
        <f t="shared" ca="1" si="1014"/>
        <v>0.91428571428571426</v>
      </c>
    </row>
    <row r="514" spans="1:61" ht="14.5">
      <c r="A514" s="1693">
        <f t="shared" si="1022"/>
        <v>506</v>
      </c>
      <c r="B514" s="616">
        <v>1</v>
      </c>
      <c r="C514" s="1693">
        <f t="shared" si="1019"/>
        <v>514</v>
      </c>
      <c r="D514" s="616">
        <v>1</v>
      </c>
      <c r="F514" s="69"/>
      <c r="J514" s="94"/>
      <c r="K514" s="93"/>
      <c r="L514" s="68"/>
      <c r="M514" s="68"/>
      <c r="O514" s="291"/>
      <c r="P514" s="291"/>
      <c r="Q514" s="291" t="s">
        <v>212</v>
      </c>
      <c r="R514" s="1779" t="str">
        <f>CHOOSE(2, "6722000003425", "S/GP (1)-1 Gross Profit Direct NH &lt;Direct&gt;SDC(-) PC")</f>
        <v>S/GP (1)-1 Gross Profit Direct NH &lt;Direct&gt;SDC(-) PC</v>
      </c>
      <c r="S514" s="1227">
        <v>-32</v>
      </c>
      <c r="T514" s="1227">
        <v>-31.972000000000001</v>
      </c>
      <c r="U514" s="1227">
        <v>-31.972000000000001</v>
      </c>
      <c r="V514" s="1227">
        <v>-33</v>
      </c>
      <c r="W514" s="1227">
        <v>-32</v>
      </c>
      <c r="X514" s="1227">
        <v>-36.765999999999998</v>
      </c>
      <c r="Y514" s="1227">
        <v>-33.57</v>
      </c>
      <c r="Z514" s="1227">
        <v>-33.57</v>
      </c>
      <c r="AA514" s="1227">
        <v>-34.57</v>
      </c>
      <c r="AB514" s="1227">
        <v>-33.57</v>
      </c>
      <c r="AC514" s="1227">
        <v>-33.57</v>
      </c>
      <c r="AD514" s="1227">
        <v>-26.856000000000002</v>
      </c>
      <c r="AE514" s="896">
        <f>SUM(S514,T514,U514)</f>
        <v>-95.944000000000003</v>
      </c>
      <c r="AF514" s="95">
        <f>SUM(V514,W514,X514)</f>
        <v>-101.76599999999999</v>
      </c>
      <c r="AG514" s="95">
        <f>SUM(Y514,Z514,AA514)</f>
        <v>-101.71000000000001</v>
      </c>
      <c r="AH514" s="95">
        <f>SUM(AB514,AC514,AD514)</f>
        <v>-93.996000000000009</v>
      </c>
      <c r="AI514" s="95">
        <f>AE514+AF514</f>
        <v>-197.70999999999998</v>
      </c>
      <c r="AJ514" s="95">
        <f>AH514+AG514</f>
        <v>-195.70600000000002</v>
      </c>
      <c r="AK514" s="95">
        <f>AI514+AJ514</f>
        <v>-393.416</v>
      </c>
      <c r="AM514" s="2138">
        <f ca="1">SUM((INDIRECT(AM$2&amp;(ROW())):INDIRECT(AM$3&amp;(ROW()))))</f>
        <v>-32</v>
      </c>
      <c r="AN514" s="2138">
        <f ca="1">SUM(INDIRECT(AN$1&amp;AN$2&amp;$C514):INDIRECT(AN$1&amp;AN$3&amp;$C514))</f>
        <v>-33</v>
      </c>
      <c r="AO514" s="2879">
        <f t="shared" ca="1" si="1003"/>
        <v>1</v>
      </c>
      <c r="AP514" s="2880">
        <f t="shared" ca="1" si="1004"/>
        <v>0.96969696969696972</v>
      </c>
      <c r="AQ514" s="2138">
        <f ca="1">SUM(INDIRECT(AQ$1&amp;AQ$2&amp;$A514):INDIRECT(AQ$1&amp;AQ$3&amp;$A514))</f>
        <v>-35</v>
      </c>
      <c r="AR514" s="2879">
        <f t="shared" ca="1" si="1005"/>
        <v>3</v>
      </c>
      <c r="AS514" s="2880">
        <f t="shared" ca="1" si="1006"/>
        <v>0.91428571428571426</v>
      </c>
      <c r="AU514" s="2138">
        <f ca="1">SUM((INDIRECT(AU$2&amp;(ROW())):INDIRECT(AU$3&amp;(ROW()))))</f>
        <v>-32</v>
      </c>
      <c r="AV514" s="2138">
        <f ca="1">SUM(INDIRECT(AV$1&amp;AV$2&amp;$C514):INDIRECT(AV$1&amp;AV$3&amp;$C514))</f>
        <v>-33</v>
      </c>
      <c r="AW514" s="2879">
        <f t="shared" ca="1" si="1007"/>
        <v>1</v>
      </c>
      <c r="AX514" s="2880">
        <f t="shared" ca="1" si="1008"/>
        <v>0.96969696969696972</v>
      </c>
      <c r="AY514" s="2138">
        <f ca="1">SUM(INDIRECT(AY$1&amp;AY$2&amp;$A514):INDIRECT(AY$1&amp;AY$3&amp;$A514))</f>
        <v>-35</v>
      </c>
      <c r="AZ514" s="2879">
        <f t="shared" ca="1" si="1009"/>
        <v>3</v>
      </c>
      <c r="BA514" s="2880">
        <f t="shared" ca="1" si="1010"/>
        <v>0.91428571428571426</v>
      </c>
      <c r="BC514" s="2138">
        <f ca="1">SUM((INDIRECT(BC$2&amp;(ROW())):INDIRECT(BC$3&amp;(ROW()))))</f>
        <v>-32</v>
      </c>
      <c r="BD514" s="2138">
        <f ca="1">SUM(INDIRECT(BD$1&amp;BD$2&amp;$C514):INDIRECT(BD$1&amp;BD$3&amp;$C514))</f>
        <v>-33</v>
      </c>
      <c r="BE514" s="2879">
        <f t="shared" ca="1" si="1011"/>
        <v>1</v>
      </c>
      <c r="BF514" s="2880">
        <f t="shared" ca="1" si="1012"/>
        <v>0.96969696969696972</v>
      </c>
      <c r="BG514" s="2138">
        <f ca="1">SUM(INDIRECT(BG$1&amp;BG$2&amp;$A514):INDIRECT(BG$1&amp;BG$3&amp;$A514))</f>
        <v>-35</v>
      </c>
      <c r="BH514" s="2879">
        <f t="shared" ca="1" si="1013"/>
        <v>3</v>
      </c>
      <c r="BI514" s="2880">
        <f t="shared" ca="1" si="1014"/>
        <v>0.91428571428571426</v>
      </c>
    </row>
    <row r="515" spans="1:61" ht="14.5">
      <c r="A515" s="1693">
        <f t="shared" si="1022"/>
        <v>507</v>
      </c>
      <c r="B515" s="616">
        <v>1</v>
      </c>
      <c r="C515" s="1693">
        <f t="shared" si="1019"/>
        <v>515</v>
      </c>
      <c r="D515" s="616">
        <v>1</v>
      </c>
      <c r="F515" s="69"/>
      <c r="J515" s="94"/>
      <c r="K515" s="93"/>
      <c r="L515" s="68"/>
      <c r="M515" s="68"/>
      <c r="O515" s="228"/>
      <c r="P515" s="228"/>
      <c r="Q515" s="228" t="s">
        <v>224</v>
      </c>
      <c r="R515" s="1779" t="str">
        <f>CHOOSE(2, "6722000003426", "S/GP (1)-1 Gross Profit Direct NH &lt;Direct&gt;SDC(-) OFC")</f>
        <v>S/GP (1)-1 Gross Profit Direct NH &lt;Direct&gt;SDC(-) OFC</v>
      </c>
      <c r="S515" s="1218"/>
      <c r="T515" s="1218"/>
      <c r="U515" s="1218"/>
      <c r="V515" s="1218"/>
      <c r="W515" s="1218"/>
      <c r="X515" s="1218"/>
      <c r="Y515" s="1218"/>
      <c r="Z515" s="1218"/>
      <c r="AA515" s="1218"/>
      <c r="AB515" s="1218"/>
      <c r="AC515" s="1218"/>
      <c r="AD515" s="1218"/>
      <c r="AE515" s="784">
        <f>SUM(S515,T515,U515)</f>
        <v>0</v>
      </c>
      <c r="AF515" s="1228">
        <f>SUM(V515,W515,X515)</f>
        <v>0</v>
      </c>
      <c r="AG515" s="1228">
        <f>SUM(Y515,Z515,AA515)</f>
        <v>0</v>
      </c>
      <c r="AH515" s="1228">
        <f>SUM(AB515,AC515,AD515)</f>
        <v>0</v>
      </c>
      <c r="AI515" s="1228">
        <f>AE515+AF515</f>
        <v>0</v>
      </c>
      <c r="AJ515" s="1228">
        <f>AH515+AG515</f>
        <v>0</v>
      </c>
      <c r="AK515" s="1228">
        <f>AI515+AJ515</f>
        <v>0</v>
      </c>
      <c r="AM515" s="584">
        <f ca="1">SUM((INDIRECT(AM$2&amp;(ROW())):INDIRECT(AM$3&amp;(ROW()))))</f>
        <v>0</v>
      </c>
      <c r="AN515" s="584">
        <f ca="1">SUM(INDIRECT(AN$1&amp;AN$2&amp;$C515):INDIRECT(AN$1&amp;AN$3&amp;$C515))</f>
        <v>0</v>
      </c>
      <c r="AO515" s="2896">
        <f t="shared" ca="1" si="1003"/>
        <v>0</v>
      </c>
      <c r="AP515" s="2897">
        <f t="shared" ca="1" si="1004"/>
        <v>0</v>
      </c>
      <c r="AQ515" s="584">
        <f ca="1">SUM(INDIRECT(AQ$1&amp;AQ$2&amp;$A515):INDIRECT(AQ$1&amp;AQ$3&amp;$A515))</f>
        <v>0</v>
      </c>
      <c r="AR515" s="2896">
        <f t="shared" ca="1" si="1005"/>
        <v>0</v>
      </c>
      <c r="AS515" s="2897">
        <f t="shared" ca="1" si="1006"/>
        <v>0</v>
      </c>
      <c r="AU515" s="584">
        <f ca="1">SUM((INDIRECT(AU$2&amp;(ROW())):INDIRECT(AU$3&amp;(ROW()))))</f>
        <v>0</v>
      </c>
      <c r="AV515" s="584">
        <f ca="1">SUM(INDIRECT(AV$1&amp;AV$2&amp;$C515):INDIRECT(AV$1&amp;AV$3&amp;$C515))</f>
        <v>0</v>
      </c>
      <c r="AW515" s="2896">
        <f t="shared" ca="1" si="1007"/>
        <v>0</v>
      </c>
      <c r="AX515" s="2897">
        <f t="shared" ca="1" si="1008"/>
        <v>0</v>
      </c>
      <c r="AY515" s="584">
        <f ca="1">SUM(INDIRECT(AY$1&amp;AY$2&amp;$A515):INDIRECT(AY$1&amp;AY$3&amp;$A515))</f>
        <v>0</v>
      </c>
      <c r="AZ515" s="2896">
        <f t="shared" ca="1" si="1009"/>
        <v>0</v>
      </c>
      <c r="BA515" s="2897">
        <f t="shared" ca="1" si="1010"/>
        <v>0</v>
      </c>
      <c r="BC515" s="584">
        <f ca="1">SUM((INDIRECT(BC$2&amp;(ROW())):INDIRECT(BC$3&amp;(ROW()))))</f>
        <v>0</v>
      </c>
      <c r="BD515" s="584">
        <f ca="1">SUM(INDIRECT(BD$1&amp;BD$2&amp;$C515):INDIRECT(BD$1&amp;BD$3&amp;$C515))</f>
        <v>0</v>
      </c>
      <c r="BE515" s="2896">
        <f t="shared" ca="1" si="1011"/>
        <v>0</v>
      </c>
      <c r="BF515" s="2897">
        <f t="shared" ca="1" si="1012"/>
        <v>0</v>
      </c>
      <c r="BG515" s="584">
        <f ca="1">SUM(INDIRECT(BG$1&amp;BG$2&amp;$A515):INDIRECT(BG$1&amp;BG$3&amp;$A515))</f>
        <v>0</v>
      </c>
      <c r="BH515" s="2896">
        <f t="shared" ca="1" si="1013"/>
        <v>0</v>
      </c>
      <c r="BI515" s="2897">
        <f t="shared" ca="1" si="1014"/>
        <v>0</v>
      </c>
    </row>
    <row r="516" spans="1:61" ht="14.5">
      <c r="A516" s="1693">
        <f t="shared" si="1022"/>
        <v>508</v>
      </c>
      <c r="B516" s="616">
        <v>1</v>
      </c>
      <c r="C516" s="1693">
        <f t="shared" si="1019"/>
        <v>516</v>
      </c>
      <c r="D516" s="616">
        <v>1</v>
      </c>
      <c r="F516" s="69"/>
      <c r="J516" s="94"/>
      <c r="K516" s="93"/>
      <c r="L516" s="68"/>
      <c r="M516" s="68"/>
      <c r="O516" s="309" t="s">
        <v>306</v>
      </c>
      <c r="P516" s="229"/>
      <c r="Q516" s="229"/>
      <c r="R516" s="1779" t="str">
        <f>CHOOSE(2, "6722000003427", "S/GP (1)-1 Gross Profit Direct NH &lt;Direct&gt;D&amp;A (-)")</f>
        <v>S/GP (1)-1 Gross Profit Direct NH &lt;Direct&gt;D&amp;A (-)</v>
      </c>
      <c r="S516" s="1217"/>
      <c r="T516" s="1217"/>
      <c r="U516" s="1217"/>
      <c r="V516" s="1217"/>
      <c r="W516" s="1217"/>
      <c r="X516" s="1217"/>
      <c r="Y516" s="1217"/>
      <c r="Z516" s="1217"/>
      <c r="AA516" s="1217"/>
      <c r="AB516" s="1217"/>
      <c r="AC516" s="1217"/>
      <c r="AD516" s="1217"/>
      <c r="AE516" s="783">
        <f>SUM(S516,T516,U516)</f>
        <v>0</v>
      </c>
      <c r="AF516" s="1226">
        <f>SUM(V516,W516,X516)</f>
        <v>0</v>
      </c>
      <c r="AG516" s="1226">
        <f>SUM(Y516,Z516,AA516)</f>
        <v>0</v>
      </c>
      <c r="AH516" s="1226">
        <f>SUM(AB516,AC516,AD516)</f>
        <v>0</v>
      </c>
      <c r="AI516" s="1226">
        <f>AE516+AF516</f>
        <v>0</v>
      </c>
      <c r="AJ516" s="1226">
        <f>AH516+AG516</f>
        <v>0</v>
      </c>
      <c r="AK516" s="1226">
        <f>AI516+AJ516</f>
        <v>0</v>
      </c>
      <c r="AL516" s="9"/>
      <c r="AM516" s="579">
        <f ca="1">SUM((INDIRECT(AM$2&amp;(ROW())):INDIRECT(AM$3&amp;(ROW()))))</f>
        <v>0</v>
      </c>
      <c r="AN516" s="579">
        <f ca="1">SUM(INDIRECT(AN$1&amp;AN$2&amp;$C516):INDIRECT(AN$1&amp;AN$3&amp;$C516))</f>
        <v>0</v>
      </c>
      <c r="AO516" s="2889">
        <f t="shared" ca="1" si="1003"/>
        <v>0</v>
      </c>
      <c r="AP516" s="2890">
        <f t="shared" ca="1" si="1004"/>
        <v>0</v>
      </c>
      <c r="AQ516" s="579">
        <f ca="1">SUM(INDIRECT(AQ$1&amp;AQ$2&amp;$A516):INDIRECT(AQ$1&amp;AQ$3&amp;$A516))</f>
        <v>0</v>
      </c>
      <c r="AR516" s="2889">
        <f t="shared" ca="1" si="1005"/>
        <v>0</v>
      </c>
      <c r="AS516" s="2890">
        <f t="shared" ca="1" si="1006"/>
        <v>0</v>
      </c>
      <c r="AU516" s="579">
        <f ca="1">SUM((INDIRECT(AU$2&amp;(ROW())):INDIRECT(AU$3&amp;(ROW()))))</f>
        <v>0</v>
      </c>
      <c r="AV516" s="579">
        <f ca="1">SUM(INDIRECT(AV$1&amp;AV$2&amp;$C516):INDIRECT(AV$1&amp;AV$3&amp;$C516))</f>
        <v>0</v>
      </c>
      <c r="AW516" s="2889">
        <f t="shared" ca="1" si="1007"/>
        <v>0</v>
      </c>
      <c r="AX516" s="2890">
        <f t="shared" ca="1" si="1008"/>
        <v>0</v>
      </c>
      <c r="AY516" s="579">
        <f ca="1">SUM(INDIRECT(AY$1&amp;AY$2&amp;$A516):INDIRECT(AY$1&amp;AY$3&amp;$A516))</f>
        <v>0</v>
      </c>
      <c r="AZ516" s="2889">
        <f t="shared" ca="1" si="1009"/>
        <v>0</v>
      </c>
      <c r="BA516" s="2890">
        <f t="shared" ca="1" si="1010"/>
        <v>0</v>
      </c>
      <c r="BC516" s="579">
        <f ca="1">SUM((INDIRECT(BC$2&amp;(ROW())):INDIRECT(BC$3&amp;(ROW()))))</f>
        <v>0</v>
      </c>
      <c r="BD516" s="579">
        <f ca="1">SUM(INDIRECT(BD$1&amp;BD$2&amp;$C516):INDIRECT(BD$1&amp;BD$3&amp;$C516))</f>
        <v>0</v>
      </c>
      <c r="BE516" s="2889">
        <f t="shared" ca="1" si="1011"/>
        <v>0</v>
      </c>
      <c r="BF516" s="2890">
        <f t="shared" ca="1" si="1012"/>
        <v>0</v>
      </c>
      <c r="BG516" s="579">
        <f ca="1">SUM(INDIRECT(BG$1&amp;BG$2&amp;$A516):INDIRECT(BG$1&amp;BG$3&amp;$A516))</f>
        <v>0</v>
      </c>
      <c r="BH516" s="2889">
        <f t="shared" ca="1" si="1013"/>
        <v>0</v>
      </c>
      <c r="BI516" s="2890">
        <f t="shared" ca="1" si="1014"/>
        <v>0</v>
      </c>
    </row>
    <row r="517" spans="1:61" s="9" customFormat="1" ht="14.5">
      <c r="A517" s="1693">
        <f t="shared" si="1022"/>
        <v>509</v>
      </c>
      <c r="B517" s="616">
        <v>1</v>
      </c>
      <c r="C517" s="1693">
        <f t="shared" si="1019"/>
        <v>517</v>
      </c>
      <c r="D517" s="616">
        <v>1</v>
      </c>
      <c r="F517" s="22"/>
      <c r="I517" s="22"/>
      <c r="J517" s="94"/>
      <c r="K517" s="214"/>
      <c r="L517" s="67"/>
      <c r="M517" s="67"/>
      <c r="N517" s="20" t="s">
        <v>51</v>
      </c>
      <c r="O517" s="20"/>
      <c r="P517" s="20"/>
      <c r="Q517" s="233"/>
      <c r="R517" s="1779" t="str">
        <f>CHOOSE(2, "6722000003428", "S/GP (1)-1 Gross Profit Direct Others")</f>
        <v>S/GP (1)-1 Gross Profit Direct Others</v>
      </c>
      <c r="S517" s="1280"/>
      <c r="T517" s="1280"/>
      <c r="U517" s="1280"/>
      <c r="V517" s="1280"/>
      <c r="W517" s="1280"/>
      <c r="X517" s="1280"/>
      <c r="Y517" s="1280"/>
      <c r="Z517" s="1280"/>
      <c r="AA517" s="1280"/>
      <c r="AB517" s="1280"/>
      <c r="AC517" s="1280"/>
      <c r="AD517" s="1280"/>
      <c r="AE517" s="900">
        <f>SUM(S517,T517,U517)</f>
        <v>0</v>
      </c>
      <c r="AF517" s="64">
        <f>SUM(V517,W517,X517)</f>
        <v>0</v>
      </c>
      <c r="AG517" s="64">
        <f>SUM(Y517,Z517,AA517)</f>
        <v>0</v>
      </c>
      <c r="AH517" s="64">
        <f>SUM(AB517,AC517,AD517)</f>
        <v>0</v>
      </c>
      <c r="AI517" s="64">
        <f>AE517+AF517</f>
        <v>0</v>
      </c>
      <c r="AJ517" s="64">
        <f>AH517+AG517</f>
        <v>0</v>
      </c>
      <c r="AK517" s="64">
        <f>AI517+AJ517</f>
        <v>0</v>
      </c>
      <c r="AL517" s="8"/>
      <c r="AM517" s="1918">
        <f ca="1">SUM((INDIRECT(AM$2&amp;(ROW())):INDIRECT(AM$3&amp;(ROW()))))</f>
        <v>0</v>
      </c>
      <c r="AN517" s="1918">
        <f ca="1">SUM(INDIRECT(AN$1&amp;AN$2&amp;$C517):INDIRECT(AN$1&amp;AN$3&amp;$C517))</f>
        <v>0</v>
      </c>
      <c r="AO517" s="2891">
        <f t="shared" ca="1" si="1003"/>
        <v>0</v>
      </c>
      <c r="AP517" s="2892">
        <f t="shared" ca="1" si="1004"/>
        <v>0</v>
      </c>
      <c r="AQ517" s="1918">
        <f ca="1">SUM(INDIRECT(AQ$1&amp;AQ$2&amp;$A517):INDIRECT(AQ$1&amp;AQ$3&amp;$A517))</f>
        <v>0</v>
      </c>
      <c r="AR517" s="2891">
        <f t="shared" ca="1" si="1005"/>
        <v>0</v>
      </c>
      <c r="AS517" s="2892">
        <f t="shared" ca="1" si="1006"/>
        <v>0</v>
      </c>
      <c r="AU517" s="1918">
        <f ca="1">SUM((INDIRECT(AU$2&amp;(ROW())):INDIRECT(AU$3&amp;(ROW()))))</f>
        <v>0</v>
      </c>
      <c r="AV517" s="1918">
        <f ca="1">SUM(INDIRECT(AV$1&amp;AV$2&amp;$C517):INDIRECT(AV$1&amp;AV$3&amp;$C517))</f>
        <v>0</v>
      </c>
      <c r="AW517" s="2891">
        <f t="shared" ca="1" si="1007"/>
        <v>0</v>
      </c>
      <c r="AX517" s="2892">
        <f t="shared" ca="1" si="1008"/>
        <v>0</v>
      </c>
      <c r="AY517" s="1918">
        <f ca="1">SUM(INDIRECT(AY$1&amp;AY$2&amp;$A517):INDIRECT(AY$1&amp;AY$3&amp;$A517))</f>
        <v>0</v>
      </c>
      <c r="AZ517" s="2891">
        <f t="shared" ca="1" si="1009"/>
        <v>0</v>
      </c>
      <c r="BA517" s="2892">
        <f t="shared" ca="1" si="1010"/>
        <v>0</v>
      </c>
      <c r="BC517" s="1918">
        <f ca="1">SUM((INDIRECT(BC$2&amp;(ROW())):INDIRECT(BC$3&amp;(ROW()))))</f>
        <v>0</v>
      </c>
      <c r="BD517" s="1918">
        <f ca="1">SUM(INDIRECT(BD$1&amp;BD$2&amp;$C517):INDIRECT(BD$1&amp;BD$3&amp;$C517))</f>
        <v>0</v>
      </c>
      <c r="BE517" s="2891">
        <f t="shared" ca="1" si="1011"/>
        <v>0</v>
      </c>
      <c r="BF517" s="2892">
        <f t="shared" ca="1" si="1012"/>
        <v>0</v>
      </c>
      <c r="BG517" s="1918">
        <f ca="1">SUM(INDIRECT(BG$1&amp;BG$2&amp;$A517):INDIRECT(BG$1&amp;BG$3&amp;$A517))</f>
        <v>0</v>
      </c>
      <c r="BH517" s="2891">
        <f t="shared" ca="1" si="1013"/>
        <v>0</v>
      </c>
      <c r="BI517" s="2892">
        <f t="shared" ca="1" si="1014"/>
        <v>0</v>
      </c>
    </row>
    <row r="518" spans="1:61" ht="14.5">
      <c r="A518" s="1693">
        <f t="shared" si="1022"/>
        <v>510</v>
      </c>
      <c r="B518" s="616">
        <v>1</v>
      </c>
      <c r="C518" s="1693">
        <f t="shared" si="1019"/>
        <v>518</v>
      </c>
      <c r="D518" s="616">
        <v>1</v>
      </c>
      <c r="F518" s="69"/>
      <c r="J518" s="94"/>
      <c r="K518" s="93"/>
      <c r="L518" s="75" t="s">
        <v>129</v>
      </c>
      <c r="M518" s="75"/>
      <c r="N518" s="75"/>
      <c r="O518" s="75"/>
      <c r="P518" s="75"/>
      <c r="Q518" s="583"/>
      <c r="R518" s="1812" t="str">
        <f>CHOOSE(2, "6722000003429", "S/GP (1)-1 Gross Profit Indirect")</f>
        <v>S/GP (1)-1 Gross Profit Indirect</v>
      </c>
      <c r="S518" s="1319">
        <f t="shared" ref="S518:AD518" si="1065">S519+S524+S541</f>
        <v>65974</v>
      </c>
      <c r="T518" s="1187">
        <f t="shared" si="1065"/>
        <v>50958.339449999999</v>
      </c>
      <c r="U518" s="1187">
        <f t="shared" si="1065"/>
        <v>60697.716129824956</v>
      </c>
      <c r="V518" s="1187">
        <f t="shared" si="1065"/>
        <v>59907.540713108378</v>
      </c>
      <c r="W518" s="1187">
        <f t="shared" si="1065"/>
        <v>66692.731642120401</v>
      </c>
      <c r="X518" s="1187">
        <f t="shared" si="1065"/>
        <v>78031.418308590815</v>
      </c>
      <c r="Y518" s="1187">
        <f t="shared" si="1065"/>
        <v>59333.186576377251</v>
      </c>
      <c r="Z518" s="1187">
        <f t="shared" si="1065"/>
        <v>66262.16190493523</v>
      </c>
      <c r="AA518" s="1187">
        <f t="shared" si="1065"/>
        <v>82227.493020208087</v>
      </c>
      <c r="AB518" s="1187">
        <f t="shared" si="1065"/>
        <v>75063.206289676338</v>
      </c>
      <c r="AC518" s="1187">
        <f t="shared" si="1065"/>
        <v>59124.581300006786</v>
      </c>
      <c r="AD518" s="1187">
        <f t="shared" si="1065"/>
        <v>80861.8296541358</v>
      </c>
      <c r="AE518" s="901">
        <f t="shared" ref="AE518:AK518" si="1066">AE519+AE524+AE541</f>
        <v>177630.05557982496</v>
      </c>
      <c r="AF518" s="98">
        <f t="shared" si="1066"/>
        <v>204631.69066381961</v>
      </c>
      <c r="AG518" s="98">
        <f t="shared" si="1066"/>
        <v>207822.8415015206</v>
      </c>
      <c r="AH518" s="98">
        <f t="shared" si="1066"/>
        <v>215049.61724381888</v>
      </c>
      <c r="AI518" s="98">
        <f t="shared" si="1066"/>
        <v>382261.74624364456</v>
      </c>
      <c r="AJ518" s="98">
        <f t="shared" si="1066"/>
        <v>422872.45874533948</v>
      </c>
      <c r="AK518" s="98">
        <f t="shared" si="1066"/>
        <v>805134.20498898404</v>
      </c>
      <c r="AM518" s="1319">
        <f ca="1">SUM((INDIRECT(AM$2&amp;(ROW())):INDIRECT(AM$3&amp;(ROW()))))</f>
        <v>65974</v>
      </c>
      <c r="AN518" s="2149">
        <f ca="1">SUM(INDIRECT(AN$1&amp;AN$2&amp;$C518):INDIRECT(AN$1&amp;AN$3&amp;$C518))</f>
        <v>48010.763388743289</v>
      </c>
      <c r="AO518" s="2893">
        <f t="shared" ca="1" si="1003"/>
        <v>17963.236611256711</v>
      </c>
      <c r="AP518" s="2894">
        <f t="shared" ca="1" si="1004"/>
        <v>1.3741501976506463</v>
      </c>
      <c r="AQ518" s="2149">
        <f ca="1">SUM(INDIRECT(AQ$1&amp;AQ$2&amp;$A518):INDIRECT(AQ$1&amp;AQ$3&amp;$A518))</f>
        <v>40159</v>
      </c>
      <c r="AR518" s="2893">
        <f t="shared" ca="1" si="1005"/>
        <v>25815</v>
      </c>
      <c r="AS518" s="2894">
        <f t="shared" ca="1" si="1006"/>
        <v>1.6428197913294653</v>
      </c>
      <c r="AU518" s="1319">
        <f ca="1">SUM((INDIRECT(AU$2&amp;(ROW())):INDIRECT(AU$3&amp;(ROW()))))</f>
        <v>65974</v>
      </c>
      <c r="AV518" s="2149">
        <f ca="1">SUM(INDIRECT(AV$1&amp;AV$2&amp;$C518):INDIRECT(AV$1&amp;AV$3&amp;$C518))</f>
        <v>48010.763388743289</v>
      </c>
      <c r="AW518" s="2893">
        <f t="shared" ca="1" si="1007"/>
        <v>17963.236611256711</v>
      </c>
      <c r="AX518" s="2894">
        <f t="shared" ca="1" si="1008"/>
        <v>1.3741501976506463</v>
      </c>
      <c r="AY518" s="2149">
        <f ca="1">SUM(INDIRECT(AY$1&amp;AY$2&amp;$A518):INDIRECT(AY$1&amp;AY$3&amp;$A518))</f>
        <v>40159</v>
      </c>
      <c r="AZ518" s="2893">
        <f t="shared" ca="1" si="1009"/>
        <v>25815</v>
      </c>
      <c r="BA518" s="2894">
        <f t="shared" ca="1" si="1010"/>
        <v>1.6428197913294653</v>
      </c>
      <c r="BC518" s="1319">
        <f ca="1">SUM((INDIRECT(BC$2&amp;(ROW())):INDIRECT(BC$3&amp;(ROW()))))</f>
        <v>65974</v>
      </c>
      <c r="BD518" s="2149">
        <f ca="1">SUM(INDIRECT(BD$1&amp;BD$2&amp;$C518):INDIRECT(BD$1&amp;BD$3&amp;$C518))</f>
        <v>48010.763388743289</v>
      </c>
      <c r="BE518" s="2893">
        <f t="shared" ca="1" si="1011"/>
        <v>17963.236611256711</v>
      </c>
      <c r="BF518" s="2894">
        <f t="shared" ca="1" si="1012"/>
        <v>1.3741501976506463</v>
      </c>
      <c r="BG518" s="2149">
        <f ca="1">SUM(INDIRECT(BG$1&amp;BG$2&amp;$A518):INDIRECT(BG$1&amp;BG$3&amp;$A518))</f>
        <v>40159</v>
      </c>
      <c r="BH518" s="2893">
        <f t="shared" ca="1" si="1013"/>
        <v>25815</v>
      </c>
      <c r="BI518" s="2894">
        <f t="shared" ca="1" si="1014"/>
        <v>1.6428197913294653</v>
      </c>
    </row>
    <row r="519" spans="1:61" s="9" customFormat="1" ht="14.5">
      <c r="A519" s="1693">
        <f t="shared" si="1022"/>
        <v>511</v>
      </c>
      <c r="B519" s="616">
        <v>1</v>
      </c>
      <c r="C519" s="1693">
        <f t="shared" si="1019"/>
        <v>519</v>
      </c>
      <c r="D519" s="616">
        <v>1</v>
      </c>
      <c r="F519" s="22"/>
      <c r="I519" s="22"/>
      <c r="J519" s="94"/>
      <c r="K519" s="214"/>
      <c r="L519" s="63"/>
      <c r="M519" s="63"/>
      <c r="N519" s="8" t="s">
        <v>121</v>
      </c>
      <c r="O519" s="285"/>
      <c r="P519" s="285"/>
      <c r="Q519" s="285"/>
      <c r="R519" s="1777" t="str">
        <f>CHOOSE(2, "6722000003430", "S/GP (1)-1 Gross Profit Indirect HW")</f>
        <v>S/GP (1)-1 Gross Profit Indirect HW</v>
      </c>
      <c r="S519" s="1248">
        <f>S520+S523</f>
        <v>32883</v>
      </c>
      <c r="T519" s="1248">
        <f t="shared" ref="T519:AD519" si="1067">T520+T523</f>
        <v>26135.368330000012</v>
      </c>
      <c r="U519" s="1248">
        <f t="shared" si="1067"/>
        <v>36469.6477564179</v>
      </c>
      <c r="V519" s="1248">
        <f t="shared" si="1067"/>
        <v>34683.611716459258</v>
      </c>
      <c r="W519" s="1248">
        <f t="shared" si="1067"/>
        <v>36153.366727085231</v>
      </c>
      <c r="X519" s="1248">
        <f t="shared" si="1067"/>
        <v>54443.194977175459</v>
      </c>
      <c r="Y519" s="1248">
        <f t="shared" si="1067"/>
        <v>29304.607529873949</v>
      </c>
      <c r="Z519" s="1248">
        <f t="shared" si="1067"/>
        <v>35682.746386265913</v>
      </c>
      <c r="AA519" s="1248">
        <f t="shared" si="1067"/>
        <v>44809.270983882991</v>
      </c>
      <c r="AB519" s="1248">
        <f t="shared" si="1067"/>
        <v>42655.028034603623</v>
      </c>
      <c r="AC519" s="1248">
        <f t="shared" si="1067"/>
        <v>37729.913573877289</v>
      </c>
      <c r="AD519" s="1248">
        <f t="shared" si="1067"/>
        <v>46724.662513000083</v>
      </c>
      <c r="AE519" s="895">
        <f t="shared" ref="AE519:AK519" si="1068">AE520+AE523</f>
        <v>95488.01608641792</v>
      </c>
      <c r="AF519" s="1248">
        <f t="shared" si="1068"/>
        <v>125280.17342071995</v>
      </c>
      <c r="AG519" s="1248">
        <f t="shared" si="1068"/>
        <v>109796.62490002286</v>
      </c>
      <c r="AH519" s="1248">
        <f t="shared" si="1068"/>
        <v>127109.60412148098</v>
      </c>
      <c r="AI519" s="1248">
        <f t="shared" si="1068"/>
        <v>220768.18950713787</v>
      </c>
      <c r="AJ519" s="1248">
        <f t="shared" si="1068"/>
        <v>236906.22902150382</v>
      </c>
      <c r="AK519" s="1248">
        <f t="shared" si="1068"/>
        <v>457674.41852864169</v>
      </c>
      <c r="AL519" s="8"/>
      <c r="AM519" s="2183">
        <f ca="1">SUM((INDIRECT(AM$2&amp;(ROW())):INDIRECT(AM$3&amp;(ROW()))))</f>
        <v>32883</v>
      </c>
      <c r="AN519" s="2183">
        <f ca="1">SUM(INDIRECT(AN$1&amp;AN$2&amp;$C519):INDIRECT(AN$1&amp;AN$3&amp;$C519))</f>
        <v>24889.189762977669</v>
      </c>
      <c r="AO519" s="2875">
        <f t="shared" ca="1" si="1003"/>
        <v>7993.8102370223314</v>
      </c>
      <c r="AP519" s="2876">
        <f t="shared" ca="1" si="1004"/>
        <v>1.3211759929972897</v>
      </c>
      <c r="AQ519" s="2183">
        <f ca="1">SUM(INDIRECT(AQ$1&amp;AQ$2&amp;$A519):INDIRECT(AQ$1&amp;AQ$3&amp;$A519))</f>
        <v>14322</v>
      </c>
      <c r="AR519" s="2875">
        <f t="shared" ca="1" si="1005"/>
        <v>18561</v>
      </c>
      <c r="AS519" s="2876">
        <f t="shared" ca="1" si="1006"/>
        <v>2.2959782153330539</v>
      </c>
      <c r="AU519" s="2183">
        <f ca="1">SUM((INDIRECT(AU$2&amp;(ROW())):INDIRECT(AU$3&amp;(ROW()))))</f>
        <v>32883</v>
      </c>
      <c r="AV519" s="2183">
        <f ca="1">SUM(INDIRECT(AV$1&amp;AV$2&amp;$C519):INDIRECT(AV$1&amp;AV$3&amp;$C519))</f>
        <v>24889.189762977669</v>
      </c>
      <c r="AW519" s="2875">
        <f t="shared" ca="1" si="1007"/>
        <v>7993.8102370223314</v>
      </c>
      <c r="AX519" s="2876">
        <f t="shared" ca="1" si="1008"/>
        <v>1.3211759929972897</v>
      </c>
      <c r="AY519" s="2183">
        <f ca="1">SUM(INDIRECT(AY$1&amp;AY$2&amp;$A519):INDIRECT(AY$1&amp;AY$3&amp;$A519))</f>
        <v>14322</v>
      </c>
      <c r="AZ519" s="2875">
        <f t="shared" ca="1" si="1009"/>
        <v>18561</v>
      </c>
      <c r="BA519" s="2876">
        <f t="shared" ca="1" si="1010"/>
        <v>2.2959782153330539</v>
      </c>
      <c r="BC519" s="2183">
        <f ca="1">SUM((INDIRECT(BC$2&amp;(ROW())):INDIRECT(BC$3&amp;(ROW()))))</f>
        <v>32883</v>
      </c>
      <c r="BD519" s="2183">
        <f ca="1">SUM(INDIRECT(BD$1&amp;BD$2&amp;$C519):INDIRECT(BD$1&amp;BD$3&amp;$C519))</f>
        <v>24889.189762977669</v>
      </c>
      <c r="BE519" s="2875">
        <f t="shared" ca="1" si="1011"/>
        <v>7993.8102370223314</v>
      </c>
      <c r="BF519" s="2876">
        <f t="shared" ca="1" si="1012"/>
        <v>1.3211759929972897</v>
      </c>
      <c r="BG519" s="2183">
        <f ca="1">SUM(INDIRECT(BG$1&amp;BG$2&amp;$A519):INDIRECT(BG$1&amp;BG$3&amp;$A519))</f>
        <v>14322</v>
      </c>
      <c r="BH519" s="2875">
        <f t="shared" ca="1" si="1013"/>
        <v>18561</v>
      </c>
      <c r="BI519" s="2876">
        <f t="shared" ca="1" si="1014"/>
        <v>2.2959782153330539</v>
      </c>
    </row>
    <row r="520" spans="1:61" ht="14.5">
      <c r="A520" s="1693">
        <f t="shared" si="1022"/>
        <v>512</v>
      </c>
      <c r="B520" s="616">
        <v>1</v>
      </c>
      <c r="C520" s="1693">
        <f t="shared" si="1019"/>
        <v>520</v>
      </c>
      <c r="D520" s="616">
        <v>1</v>
      </c>
      <c r="F520" s="69"/>
      <c r="J520" s="94"/>
      <c r="K520" s="93"/>
      <c r="L520" s="63"/>
      <c r="M520" s="63"/>
      <c r="O520" s="97" t="s">
        <v>122</v>
      </c>
      <c r="P520" s="97"/>
      <c r="Q520" s="97"/>
      <c r="R520" s="1777" t="str">
        <f>CHOOSE(2, "6722000003431", "S/GP (1)-1 Gross Profit Indirect HW KMI")</f>
        <v>S/GP (1)-1 Gross Profit Indirect HW KMI</v>
      </c>
      <c r="S520" s="95">
        <f>SUM(S521:S522)</f>
        <v>32883</v>
      </c>
      <c r="T520" s="95">
        <f t="shared" ref="T520:AD520" si="1069">SUM(T521:T522)</f>
        <v>26135.368330000012</v>
      </c>
      <c r="U520" s="95">
        <f t="shared" si="1069"/>
        <v>36469.6477564179</v>
      </c>
      <c r="V520" s="95">
        <f t="shared" si="1069"/>
        <v>34683.611716459258</v>
      </c>
      <c r="W520" s="95">
        <f t="shared" si="1069"/>
        <v>36153.366727085231</v>
      </c>
      <c r="X520" s="95">
        <f t="shared" si="1069"/>
        <v>54443.194977175459</v>
      </c>
      <c r="Y520" s="95">
        <f t="shared" si="1069"/>
        <v>29304.607529873949</v>
      </c>
      <c r="Z520" s="95">
        <f t="shared" si="1069"/>
        <v>35682.746386265913</v>
      </c>
      <c r="AA520" s="95">
        <f t="shared" si="1069"/>
        <v>44809.270983882991</v>
      </c>
      <c r="AB520" s="95">
        <f t="shared" si="1069"/>
        <v>42655.028034603623</v>
      </c>
      <c r="AC520" s="95">
        <f t="shared" si="1069"/>
        <v>37729.913573877289</v>
      </c>
      <c r="AD520" s="95">
        <f t="shared" si="1069"/>
        <v>46724.662513000083</v>
      </c>
      <c r="AE520" s="896">
        <f t="shared" ref="AE520:AK520" si="1070">SUM(AE521:AE522)</f>
        <v>95488.01608641792</v>
      </c>
      <c r="AF520" s="95">
        <f t="shared" si="1070"/>
        <v>125280.17342071995</v>
      </c>
      <c r="AG520" s="95">
        <f t="shared" si="1070"/>
        <v>109796.62490002286</v>
      </c>
      <c r="AH520" s="95">
        <f t="shared" si="1070"/>
        <v>127109.60412148098</v>
      </c>
      <c r="AI520" s="95">
        <f t="shared" si="1070"/>
        <v>220768.18950713787</v>
      </c>
      <c r="AJ520" s="95">
        <f t="shared" si="1070"/>
        <v>236906.22902150382</v>
      </c>
      <c r="AK520" s="95">
        <f t="shared" si="1070"/>
        <v>457674.41852864169</v>
      </c>
      <c r="AM520" s="2161">
        <f ca="1">SUM((INDIRECT(AM$2&amp;(ROW())):INDIRECT(AM$3&amp;(ROW()))))</f>
        <v>32883</v>
      </c>
      <c r="AN520" s="2161">
        <f ca="1">SUM(INDIRECT(AN$1&amp;AN$2&amp;$C520):INDIRECT(AN$1&amp;AN$3&amp;$C520))</f>
        <v>24889.189762977669</v>
      </c>
      <c r="AO520" s="2877">
        <f t="shared" ca="1" si="1003"/>
        <v>7993.8102370223314</v>
      </c>
      <c r="AP520" s="2878">
        <f t="shared" ca="1" si="1004"/>
        <v>1.3211759929972897</v>
      </c>
      <c r="AQ520" s="2161">
        <f ca="1">SUM(INDIRECT(AQ$1&amp;AQ$2&amp;$A520):INDIRECT(AQ$1&amp;AQ$3&amp;$A520))</f>
        <v>14322</v>
      </c>
      <c r="AR520" s="2877">
        <f t="shared" ca="1" si="1005"/>
        <v>18561</v>
      </c>
      <c r="AS520" s="2878">
        <f t="shared" ca="1" si="1006"/>
        <v>2.2959782153330539</v>
      </c>
      <c r="AU520" s="2161">
        <f ca="1">SUM((INDIRECT(AU$2&amp;(ROW())):INDIRECT(AU$3&amp;(ROW()))))</f>
        <v>32883</v>
      </c>
      <c r="AV520" s="2161">
        <f ca="1">SUM(INDIRECT(AV$1&amp;AV$2&amp;$C520):INDIRECT(AV$1&amp;AV$3&amp;$C520))</f>
        <v>24889.189762977669</v>
      </c>
      <c r="AW520" s="2877">
        <f t="shared" ca="1" si="1007"/>
        <v>7993.8102370223314</v>
      </c>
      <c r="AX520" s="2878">
        <f t="shared" ca="1" si="1008"/>
        <v>1.3211759929972897</v>
      </c>
      <c r="AY520" s="2161">
        <f ca="1">SUM(INDIRECT(AY$1&amp;AY$2&amp;$A520):INDIRECT(AY$1&amp;AY$3&amp;$A520))</f>
        <v>14322</v>
      </c>
      <c r="AZ520" s="2877">
        <f t="shared" ca="1" si="1009"/>
        <v>18561</v>
      </c>
      <c r="BA520" s="2878">
        <f t="shared" ca="1" si="1010"/>
        <v>2.2959782153330539</v>
      </c>
      <c r="BC520" s="2161">
        <f ca="1">SUM((INDIRECT(BC$2&amp;(ROW())):INDIRECT(BC$3&amp;(ROW()))))</f>
        <v>32883</v>
      </c>
      <c r="BD520" s="2161">
        <f ca="1">SUM(INDIRECT(BD$1&amp;BD$2&amp;$C520):INDIRECT(BD$1&amp;BD$3&amp;$C520))</f>
        <v>24889.189762977669</v>
      </c>
      <c r="BE520" s="2877">
        <f t="shared" ca="1" si="1011"/>
        <v>7993.8102370223314</v>
      </c>
      <c r="BF520" s="2878">
        <f t="shared" ca="1" si="1012"/>
        <v>1.3211759929972897</v>
      </c>
      <c r="BG520" s="2161">
        <f ca="1">SUM(INDIRECT(BG$1&amp;BG$2&amp;$A520):INDIRECT(BG$1&amp;BG$3&amp;$A520))</f>
        <v>14322</v>
      </c>
      <c r="BH520" s="2877">
        <f t="shared" ca="1" si="1013"/>
        <v>18561</v>
      </c>
      <c r="BI520" s="2878">
        <f t="shared" ca="1" si="1014"/>
        <v>2.2959782153330539</v>
      </c>
    </row>
    <row r="521" spans="1:61" ht="14.5">
      <c r="A521" s="1693">
        <f t="shared" si="1022"/>
        <v>513</v>
      </c>
      <c r="B521" s="616">
        <v>1</v>
      </c>
      <c r="C521" s="1693">
        <f t="shared" si="1019"/>
        <v>521</v>
      </c>
      <c r="D521" s="616">
        <v>1</v>
      </c>
      <c r="F521" s="69"/>
      <c r="J521" s="94"/>
      <c r="K521" s="93"/>
      <c r="L521" s="63"/>
      <c r="M521" s="63"/>
      <c r="P521" s="97" t="s">
        <v>123</v>
      </c>
      <c r="Q521" s="97"/>
      <c r="R521" s="1779" t="str">
        <f>CHOOSE(2, "6722000003432", "S/GP (1)-1 Gross Profit Indirect HW KMI Office A3")</f>
        <v>S/GP (1)-1 Gross Profit Indirect HW KMI Office A3</v>
      </c>
      <c r="S521" s="1227">
        <v>32883</v>
      </c>
      <c r="T521" s="1227">
        <v>26135.368330000012</v>
      </c>
      <c r="U521" s="1227">
        <v>36469.6477564179</v>
      </c>
      <c r="V521" s="1227">
        <v>34683.611716459258</v>
      </c>
      <c r="W521" s="1227">
        <v>36153.366727085231</v>
      </c>
      <c r="X521" s="1227">
        <v>54443.194977175459</v>
      </c>
      <c r="Y521" s="1227">
        <v>29304.607529873949</v>
      </c>
      <c r="Z521" s="1227">
        <v>35682.746386265913</v>
      </c>
      <c r="AA521" s="1227">
        <v>44809.270983882991</v>
      </c>
      <c r="AB521" s="1227">
        <v>42655.028034603623</v>
      </c>
      <c r="AC521" s="1227">
        <v>37729.913573877289</v>
      </c>
      <c r="AD521" s="1227">
        <v>46724.662513000083</v>
      </c>
      <c r="AE521" s="896">
        <f>SUM(S521,T521,U521)</f>
        <v>95488.01608641792</v>
      </c>
      <c r="AF521" s="95">
        <f>SUM(V521,W521,X521)</f>
        <v>125280.17342071995</v>
      </c>
      <c r="AG521" s="95">
        <f>SUM(Y521,Z521,AA521)</f>
        <v>109796.62490002286</v>
      </c>
      <c r="AH521" s="95">
        <f>SUM(AB521,AC521,AD521)</f>
        <v>127109.60412148098</v>
      </c>
      <c r="AI521" s="95">
        <f>AE521+AF521</f>
        <v>220768.18950713787</v>
      </c>
      <c r="AJ521" s="95">
        <f>AH521+AG521</f>
        <v>236906.22902150382</v>
      </c>
      <c r="AK521" s="95">
        <f>AI521+AJ521</f>
        <v>457674.41852864169</v>
      </c>
      <c r="AM521" s="2138">
        <f ca="1">SUM((INDIRECT(AM$2&amp;(ROW())):INDIRECT(AM$3&amp;(ROW()))))</f>
        <v>32883</v>
      </c>
      <c r="AN521" s="2138">
        <f ca="1">SUM(INDIRECT(AN$1&amp;AN$2&amp;$C521):INDIRECT(AN$1&amp;AN$3&amp;$C521))</f>
        <v>24889.189762977669</v>
      </c>
      <c r="AO521" s="2879">
        <f t="shared" ca="1" si="1003"/>
        <v>7993.8102370223314</v>
      </c>
      <c r="AP521" s="2880">
        <f t="shared" ca="1" si="1004"/>
        <v>1.3211759929972897</v>
      </c>
      <c r="AQ521" s="2138">
        <f ca="1">SUM(INDIRECT(AQ$1&amp;AQ$2&amp;$A521):INDIRECT(AQ$1&amp;AQ$3&amp;$A521))</f>
        <v>14284</v>
      </c>
      <c r="AR521" s="2879">
        <f t="shared" ca="1" si="1005"/>
        <v>18599</v>
      </c>
      <c r="AS521" s="2880">
        <f t="shared" ca="1" si="1006"/>
        <v>2.3020862503500421</v>
      </c>
      <c r="AU521" s="2138">
        <f ca="1">SUM((INDIRECT(AU$2&amp;(ROW())):INDIRECT(AU$3&amp;(ROW()))))</f>
        <v>32883</v>
      </c>
      <c r="AV521" s="2138">
        <f ca="1">SUM(INDIRECT(AV$1&amp;AV$2&amp;$C521):INDIRECT(AV$1&amp;AV$3&amp;$C521))</f>
        <v>24889.189762977669</v>
      </c>
      <c r="AW521" s="2879">
        <f t="shared" ca="1" si="1007"/>
        <v>7993.8102370223314</v>
      </c>
      <c r="AX521" s="2880">
        <f t="shared" ca="1" si="1008"/>
        <v>1.3211759929972897</v>
      </c>
      <c r="AY521" s="2138">
        <f ca="1">SUM(INDIRECT(AY$1&amp;AY$2&amp;$A521):INDIRECT(AY$1&amp;AY$3&amp;$A521))</f>
        <v>14284</v>
      </c>
      <c r="AZ521" s="2879">
        <f t="shared" ca="1" si="1009"/>
        <v>18599</v>
      </c>
      <c r="BA521" s="2880">
        <f t="shared" ca="1" si="1010"/>
        <v>2.3020862503500421</v>
      </c>
      <c r="BC521" s="2138">
        <f ca="1">SUM((INDIRECT(BC$2&amp;(ROW())):INDIRECT(BC$3&amp;(ROW()))))</f>
        <v>32883</v>
      </c>
      <c r="BD521" s="2138">
        <f ca="1">SUM(INDIRECT(BD$1&amp;BD$2&amp;$C521):INDIRECT(BD$1&amp;BD$3&amp;$C521))</f>
        <v>24889.189762977669</v>
      </c>
      <c r="BE521" s="2879">
        <f t="shared" ca="1" si="1011"/>
        <v>7993.8102370223314</v>
      </c>
      <c r="BF521" s="2880">
        <f t="shared" ca="1" si="1012"/>
        <v>1.3211759929972897</v>
      </c>
      <c r="BG521" s="2138">
        <f ca="1">SUM(INDIRECT(BG$1&amp;BG$2&amp;$A521):INDIRECT(BG$1&amp;BG$3&amp;$A521))</f>
        <v>14284</v>
      </c>
      <c r="BH521" s="2879">
        <f t="shared" ca="1" si="1013"/>
        <v>18599</v>
      </c>
      <c r="BI521" s="2880">
        <f t="shared" ca="1" si="1014"/>
        <v>2.3020862503500421</v>
      </c>
    </row>
    <row r="522" spans="1:61" ht="14.5">
      <c r="A522" s="1693">
        <f t="shared" si="1022"/>
        <v>514</v>
      </c>
      <c r="B522" s="616">
        <v>1</v>
      </c>
      <c r="C522" s="1693">
        <f t="shared" si="1019"/>
        <v>522</v>
      </c>
      <c r="D522" s="616">
        <v>1</v>
      </c>
      <c r="F522" s="69"/>
      <c r="J522" s="94"/>
      <c r="K522" s="93"/>
      <c r="L522" s="63"/>
      <c r="M522" s="63"/>
      <c r="O522" s="285"/>
      <c r="P522" s="285" t="s">
        <v>124</v>
      </c>
      <c r="Q522" s="285"/>
      <c r="R522" s="1779" t="str">
        <f>CHOOSE(2, "6722000003433", "S/GP (1)-1 Gross Profit Indirect HW KMI Office A4")</f>
        <v>S/GP (1)-1 Gross Profit Indirect HW KMI Office A4</v>
      </c>
      <c r="S522" s="1245"/>
      <c r="T522" s="1245"/>
      <c r="U522" s="1245"/>
      <c r="V522" s="1245"/>
      <c r="W522" s="1245"/>
      <c r="X522" s="1245"/>
      <c r="Y522" s="1245"/>
      <c r="Z522" s="1245"/>
      <c r="AA522" s="1245"/>
      <c r="AB522" s="1245"/>
      <c r="AC522" s="1245"/>
      <c r="AD522" s="1245"/>
      <c r="AE522" s="895">
        <f>SUM(S522,T522,U522)</f>
        <v>0</v>
      </c>
      <c r="AF522" s="1248">
        <f>SUM(V522,W522,X522)</f>
        <v>0</v>
      </c>
      <c r="AG522" s="1248">
        <f>SUM(Y522,Z522,AA522)</f>
        <v>0</v>
      </c>
      <c r="AH522" s="1248">
        <f>SUM(AB522,AC522,AD522)</f>
        <v>0</v>
      </c>
      <c r="AI522" s="1248">
        <f>AE522+AF522</f>
        <v>0</v>
      </c>
      <c r="AJ522" s="1248">
        <f>AH522+AG522</f>
        <v>0</v>
      </c>
      <c r="AK522" s="1248">
        <f>AI522+AJ522</f>
        <v>0</v>
      </c>
      <c r="AM522" s="1971">
        <f ca="1">SUM((INDIRECT(AM$2&amp;(ROW())):INDIRECT(AM$3&amp;(ROW()))))</f>
        <v>0</v>
      </c>
      <c r="AN522" s="1971">
        <f ca="1">SUM(INDIRECT(AN$1&amp;AN$2&amp;$C522):INDIRECT(AN$1&amp;AN$3&amp;$C522))</f>
        <v>0</v>
      </c>
      <c r="AO522" s="2881">
        <f t="shared" ca="1" si="1003"/>
        <v>0</v>
      </c>
      <c r="AP522" s="2882">
        <f t="shared" ca="1" si="1004"/>
        <v>0</v>
      </c>
      <c r="AQ522" s="1971">
        <f ca="1">SUM(INDIRECT(AQ$1&amp;AQ$2&amp;$A522):INDIRECT(AQ$1&amp;AQ$3&amp;$A522))</f>
        <v>38</v>
      </c>
      <c r="AR522" s="2881">
        <f t="shared" ca="1" si="1005"/>
        <v>-38</v>
      </c>
      <c r="AS522" s="2882">
        <f t="shared" ca="1" si="1006"/>
        <v>0</v>
      </c>
      <c r="AU522" s="1971">
        <f ca="1">SUM((INDIRECT(AU$2&amp;(ROW())):INDIRECT(AU$3&amp;(ROW()))))</f>
        <v>0</v>
      </c>
      <c r="AV522" s="1971">
        <f ca="1">SUM(INDIRECT(AV$1&amp;AV$2&amp;$C522):INDIRECT(AV$1&amp;AV$3&amp;$C522))</f>
        <v>0</v>
      </c>
      <c r="AW522" s="2881">
        <f t="shared" ca="1" si="1007"/>
        <v>0</v>
      </c>
      <c r="AX522" s="2882">
        <f t="shared" ca="1" si="1008"/>
        <v>0</v>
      </c>
      <c r="AY522" s="1971">
        <f ca="1">SUM(INDIRECT(AY$1&amp;AY$2&amp;$A522):INDIRECT(AY$1&amp;AY$3&amp;$A522))</f>
        <v>38</v>
      </c>
      <c r="AZ522" s="2881">
        <f t="shared" ca="1" si="1009"/>
        <v>-38</v>
      </c>
      <c r="BA522" s="2882">
        <f t="shared" ca="1" si="1010"/>
        <v>0</v>
      </c>
      <c r="BC522" s="1971">
        <f ca="1">SUM((INDIRECT(BC$2&amp;(ROW())):INDIRECT(BC$3&amp;(ROW()))))</f>
        <v>0</v>
      </c>
      <c r="BD522" s="1971">
        <f ca="1">SUM(INDIRECT(BD$1&amp;BD$2&amp;$C522):INDIRECT(BD$1&amp;BD$3&amp;$C522))</f>
        <v>0</v>
      </c>
      <c r="BE522" s="2881">
        <f t="shared" ca="1" si="1011"/>
        <v>0</v>
      </c>
      <c r="BF522" s="2882">
        <f t="shared" ca="1" si="1012"/>
        <v>0</v>
      </c>
      <c r="BG522" s="1971">
        <f ca="1">SUM(INDIRECT(BG$1&amp;BG$2&amp;$A522):INDIRECT(BG$1&amp;BG$3&amp;$A522))</f>
        <v>38</v>
      </c>
      <c r="BH522" s="2881">
        <f t="shared" ca="1" si="1013"/>
        <v>-38</v>
      </c>
      <c r="BI522" s="2882">
        <f t="shared" ca="1" si="1014"/>
        <v>0</v>
      </c>
    </row>
    <row r="523" spans="1:61" ht="14.5" collapsed="1">
      <c r="A523" s="1693">
        <f t="shared" si="1022"/>
        <v>515</v>
      </c>
      <c r="B523" s="616">
        <v>1</v>
      </c>
      <c r="C523" s="1693">
        <f t="shared" si="1019"/>
        <v>523</v>
      </c>
      <c r="D523" s="616">
        <v>1</v>
      </c>
      <c r="F523" s="69"/>
      <c r="J523" s="94"/>
      <c r="K523" s="93"/>
      <c r="L523" s="63"/>
      <c r="M523" s="63"/>
      <c r="N523" s="11"/>
      <c r="O523" s="288" t="s">
        <v>125</v>
      </c>
      <c r="P523" s="288"/>
      <c r="Q523" s="288"/>
      <c r="R523" s="1779" t="str">
        <f>CHOOSE(2, "6722000003434", "S/GP (1)-1 Gross Profit Indirect HW 3rd Party")</f>
        <v>S/GP (1)-1 Gross Profit Indirect HW 3rd Party</v>
      </c>
      <c r="S523" s="1246"/>
      <c r="T523" s="1246"/>
      <c r="U523" s="1246"/>
      <c r="V523" s="1246"/>
      <c r="W523" s="1246"/>
      <c r="X523" s="1246"/>
      <c r="Y523" s="1246"/>
      <c r="Z523" s="1246"/>
      <c r="AA523" s="1246"/>
      <c r="AB523" s="1246"/>
      <c r="AC523" s="1246"/>
      <c r="AD523" s="1246"/>
      <c r="AE523" s="897">
        <f>SUM(S523,T523,U523)</f>
        <v>0</v>
      </c>
      <c r="AF523" s="297">
        <f>SUM(V523,W523,X523)</f>
        <v>0</v>
      </c>
      <c r="AG523" s="297">
        <f>SUM(Y523,Z523,AA523)</f>
        <v>0</v>
      </c>
      <c r="AH523" s="297">
        <f>SUM(AB523,AC523,AD523)</f>
        <v>0</v>
      </c>
      <c r="AI523" s="297">
        <f>AE523+AF523</f>
        <v>0</v>
      </c>
      <c r="AJ523" s="297">
        <f>AH523+AG523</f>
        <v>0</v>
      </c>
      <c r="AK523" s="297">
        <f>AI523+AJ523</f>
        <v>0</v>
      </c>
      <c r="AM523" s="2143">
        <f ca="1">SUM((INDIRECT(AM$2&amp;(ROW())):INDIRECT(AM$3&amp;(ROW()))))</f>
        <v>0</v>
      </c>
      <c r="AN523" s="2143">
        <f ca="1">SUM(INDIRECT(AN$1&amp;AN$2&amp;$C523):INDIRECT(AN$1&amp;AN$3&amp;$C523))</f>
        <v>0</v>
      </c>
      <c r="AO523" s="2883">
        <f t="shared" ca="1" si="1003"/>
        <v>0</v>
      </c>
      <c r="AP523" s="2884">
        <f t="shared" ca="1" si="1004"/>
        <v>0</v>
      </c>
      <c r="AQ523" s="2143">
        <f ca="1">SUM(INDIRECT(AQ$1&amp;AQ$2&amp;$A523):INDIRECT(AQ$1&amp;AQ$3&amp;$A523))</f>
        <v>0</v>
      </c>
      <c r="AR523" s="2883">
        <f t="shared" ca="1" si="1005"/>
        <v>0</v>
      </c>
      <c r="AS523" s="2884">
        <f t="shared" ca="1" si="1006"/>
        <v>0</v>
      </c>
      <c r="AU523" s="2143">
        <f ca="1">SUM((INDIRECT(AU$2&amp;(ROW())):INDIRECT(AU$3&amp;(ROW()))))</f>
        <v>0</v>
      </c>
      <c r="AV523" s="2143">
        <f ca="1">SUM(INDIRECT(AV$1&amp;AV$2&amp;$C523):INDIRECT(AV$1&amp;AV$3&amp;$C523))</f>
        <v>0</v>
      </c>
      <c r="AW523" s="2883">
        <f t="shared" ca="1" si="1007"/>
        <v>0</v>
      </c>
      <c r="AX523" s="2884">
        <f t="shared" ca="1" si="1008"/>
        <v>0</v>
      </c>
      <c r="AY523" s="2143">
        <f ca="1">SUM(INDIRECT(AY$1&amp;AY$2&amp;$A523):INDIRECT(AY$1&amp;AY$3&amp;$A523))</f>
        <v>0</v>
      </c>
      <c r="AZ523" s="2883">
        <f t="shared" ca="1" si="1009"/>
        <v>0</v>
      </c>
      <c r="BA523" s="2884">
        <f t="shared" ca="1" si="1010"/>
        <v>0</v>
      </c>
      <c r="BC523" s="2143">
        <f ca="1">SUM((INDIRECT(BC$2&amp;(ROW())):INDIRECT(BC$3&amp;(ROW()))))</f>
        <v>0</v>
      </c>
      <c r="BD523" s="2143">
        <f ca="1">SUM(INDIRECT(BD$1&amp;BD$2&amp;$C523):INDIRECT(BD$1&amp;BD$3&amp;$C523))</f>
        <v>0</v>
      </c>
      <c r="BE523" s="2883">
        <f t="shared" ca="1" si="1011"/>
        <v>0</v>
      </c>
      <c r="BF523" s="2884">
        <f t="shared" ca="1" si="1012"/>
        <v>0</v>
      </c>
      <c r="BG523" s="2143">
        <f ca="1">SUM(INDIRECT(BG$1&amp;BG$2&amp;$A523):INDIRECT(BG$1&amp;BG$3&amp;$A523))</f>
        <v>0</v>
      </c>
      <c r="BH523" s="2883">
        <f t="shared" ca="1" si="1013"/>
        <v>0</v>
      </c>
      <c r="BI523" s="2884">
        <f t="shared" ca="1" si="1014"/>
        <v>0</v>
      </c>
    </row>
    <row r="524" spans="1:61" s="9" customFormat="1" ht="14.5">
      <c r="A524" s="1693">
        <f t="shared" si="1022"/>
        <v>516</v>
      </c>
      <c r="B524" s="616">
        <v>1</v>
      </c>
      <c r="C524" s="1693">
        <f t="shared" si="1019"/>
        <v>524</v>
      </c>
      <c r="D524" s="616">
        <v>1</v>
      </c>
      <c r="F524" s="22"/>
      <c r="I524" s="22"/>
      <c r="J524" s="94"/>
      <c r="K524" s="214"/>
      <c r="L524" s="63"/>
      <c r="M524" s="63"/>
      <c r="N524" s="8" t="s">
        <v>126</v>
      </c>
      <c r="O524" s="285"/>
      <c r="P524" s="285"/>
      <c r="Q524" s="285"/>
      <c r="R524" s="1777" t="str">
        <f>CHOOSE(2, "6722000003435", "S/GP (1)-1 Gross Profit Indirect NH")</f>
        <v>S/GP (1)-1 Gross Profit Indirect NH</v>
      </c>
      <c r="S524" s="1248">
        <f t="shared" ref="S524:AD524" si="1071">S525+S533+S537+S540+S532</f>
        <v>33091</v>
      </c>
      <c r="T524" s="1248">
        <f t="shared" si="1071"/>
        <v>24822.971119999991</v>
      </c>
      <c r="U524" s="1248">
        <f t="shared" si="1071"/>
        <v>24228.068373407059</v>
      </c>
      <c r="V524" s="1248">
        <f t="shared" si="1071"/>
        <v>25223.92899664912</v>
      </c>
      <c r="W524" s="1248">
        <f t="shared" si="1071"/>
        <v>30539.36491503517</v>
      </c>
      <c r="X524" s="1248">
        <f t="shared" si="1071"/>
        <v>23588.22333141536</v>
      </c>
      <c r="Y524" s="1248">
        <f t="shared" si="1071"/>
        <v>30028.579046503306</v>
      </c>
      <c r="Z524" s="1248">
        <f t="shared" si="1071"/>
        <v>30579.415518669313</v>
      </c>
      <c r="AA524" s="1248">
        <f t="shared" si="1071"/>
        <v>37418.222036325104</v>
      </c>
      <c r="AB524" s="1248">
        <f t="shared" si="1071"/>
        <v>32408.178255072711</v>
      </c>
      <c r="AC524" s="1248">
        <f t="shared" si="1071"/>
        <v>21394.667726129494</v>
      </c>
      <c r="AD524" s="1248">
        <f t="shared" si="1071"/>
        <v>34137.167141135709</v>
      </c>
      <c r="AE524" s="895">
        <f t="shared" ref="AE524:AK524" si="1072">AE525+AE533+AE537+AE540+AE532</f>
        <v>82142.03949340705</v>
      </c>
      <c r="AF524" s="1248">
        <f t="shared" si="1072"/>
        <v>79351.517243099646</v>
      </c>
      <c r="AG524" s="1248">
        <f t="shared" si="1072"/>
        <v>98026.216601497727</v>
      </c>
      <c r="AH524" s="1248">
        <f t="shared" si="1072"/>
        <v>87940.013122337914</v>
      </c>
      <c r="AI524" s="1248">
        <f t="shared" si="1072"/>
        <v>161493.5567365067</v>
      </c>
      <c r="AJ524" s="1248">
        <f t="shared" si="1072"/>
        <v>185966.22972383566</v>
      </c>
      <c r="AK524" s="1248">
        <f t="shared" si="1072"/>
        <v>347459.78646034235</v>
      </c>
      <c r="AL524" s="8"/>
      <c r="AM524" s="2183">
        <f ca="1">SUM((INDIRECT(AM$2&amp;(ROW())):INDIRECT(AM$3&amp;(ROW()))))</f>
        <v>33091</v>
      </c>
      <c r="AN524" s="2183">
        <f ca="1">SUM(INDIRECT(AN$1&amp;AN$2&amp;$C524):INDIRECT(AN$1&amp;AN$3&amp;$C524))</f>
        <v>23121.573625765617</v>
      </c>
      <c r="AO524" s="2875">
        <f t="shared" ca="1" si="1003"/>
        <v>9969.4263742343828</v>
      </c>
      <c r="AP524" s="2876">
        <f t="shared" ref="AP524:AP541" ca="1" si="1073">IFERROR(AM524/AN524,0)</f>
        <v>1.4311742157170875</v>
      </c>
      <c r="AQ524" s="2183">
        <f ca="1">SUM(INDIRECT(AQ$1&amp;AQ$2&amp;$A524):INDIRECT(AQ$1&amp;AQ$3&amp;$A524))</f>
        <v>25837</v>
      </c>
      <c r="AR524" s="2875">
        <f t="shared" ca="1" si="1005"/>
        <v>7254</v>
      </c>
      <c r="AS524" s="2876">
        <f t="shared" ref="AS524:AS541" ca="1" si="1074">IFERROR(AM524/AQ524,0)</f>
        <v>1.2807601501722337</v>
      </c>
      <c r="AU524" s="2183">
        <f ca="1">SUM((INDIRECT(AU$2&amp;(ROW())):INDIRECT(AU$3&amp;(ROW()))))</f>
        <v>33091</v>
      </c>
      <c r="AV524" s="2183">
        <f ca="1">SUM(INDIRECT(AV$1&amp;AV$2&amp;$C524):INDIRECT(AV$1&amp;AV$3&amp;$C524))</f>
        <v>23121.573625765617</v>
      </c>
      <c r="AW524" s="2875">
        <f t="shared" ref="AW524:AW541" ca="1" si="1075">AU524-AV524</f>
        <v>9969.4263742343828</v>
      </c>
      <c r="AX524" s="2876">
        <f t="shared" ref="AX524:AX541" ca="1" si="1076">IFERROR(AU524/AV524,0)</f>
        <v>1.4311742157170875</v>
      </c>
      <c r="AY524" s="2183">
        <f ca="1">SUM(INDIRECT(AY$1&amp;AY$2&amp;$A524):INDIRECT(AY$1&amp;AY$3&amp;$A524))</f>
        <v>25837</v>
      </c>
      <c r="AZ524" s="2875">
        <f t="shared" ref="AZ524:AZ541" ca="1" si="1077">AU524-AY524</f>
        <v>7254</v>
      </c>
      <c r="BA524" s="2876">
        <f t="shared" ref="BA524:BA541" ca="1" si="1078">IFERROR(AU524/AY524,0)</f>
        <v>1.2807601501722337</v>
      </c>
      <c r="BC524" s="2183">
        <f ca="1">SUM((INDIRECT(BC$2&amp;(ROW())):INDIRECT(BC$3&amp;(ROW()))))</f>
        <v>33091</v>
      </c>
      <c r="BD524" s="2183">
        <f ca="1">SUM(INDIRECT(BD$1&amp;BD$2&amp;$C524):INDIRECT(BD$1&amp;BD$3&amp;$C524))</f>
        <v>23121.573625765617</v>
      </c>
      <c r="BE524" s="2875">
        <f t="shared" ref="BE524:BE541" ca="1" si="1079">BC524-BD524</f>
        <v>9969.4263742343828</v>
      </c>
      <c r="BF524" s="2876">
        <f t="shared" ref="BF524:BF541" ca="1" si="1080">IFERROR(BC524/BD524,0)</f>
        <v>1.4311742157170875</v>
      </c>
      <c r="BG524" s="2183">
        <f ca="1">SUM(INDIRECT(BG$1&amp;BG$2&amp;$A524):INDIRECT(BG$1&amp;BG$3&amp;$A524))</f>
        <v>25837</v>
      </c>
      <c r="BH524" s="2875">
        <f t="shared" ref="BH524:BH541" ca="1" si="1081">BC524-BG524</f>
        <v>7254</v>
      </c>
      <c r="BI524" s="2876">
        <f t="shared" ref="BI524:BI541" ca="1" si="1082">IFERROR(BC524/BG524,0)</f>
        <v>1.2807601501722337</v>
      </c>
    </row>
    <row r="525" spans="1:61" ht="14.5">
      <c r="A525" s="1693">
        <f t="shared" si="1022"/>
        <v>517</v>
      </c>
      <c r="B525" s="616">
        <v>1</v>
      </c>
      <c r="C525" s="1693">
        <f t="shared" si="1019"/>
        <v>525</v>
      </c>
      <c r="D525" s="616">
        <v>1</v>
      </c>
      <c r="F525" s="69"/>
      <c r="J525" s="94"/>
      <c r="K525" s="93"/>
      <c r="L525" s="63"/>
      <c r="M525" s="63"/>
      <c r="O525" s="97" t="s">
        <v>122</v>
      </c>
      <c r="P525" s="97"/>
      <c r="Q525" s="97"/>
      <c r="R525" s="1777" t="str">
        <f>CHOOSE(2, "6722000003436", "S/GP (1)-1 Gross Profit Indirect NH KMI")</f>
        <v>S/GP (1)-1 Gross Profit Indirect NH KMI</v>
      </c>
      <c r="S525" s="95">
        <f>S526+S529</f>
        <v>33091</v>
      </c>
      <c r="T525" s="95">
        <f t="shared" ref="T525:AD525" si="1083">T526+T529</f>
        <v>24822.971119999991</v>
      </c>
      <c r="U525" s="95">
        <f t="shared" si="1083"/>
        <v>24228.068373407059</v>
      </c>
      <c r="V525" s="95">
        <f t="shared" si="1083"/>
        <v>25223.92899664912</v>
      </c>
      <c r="W525" s="95">
        <f t="shared" si="1083"/>
        <v>30539.36491503517</v>
      </c>
      <c r="X525" s="95">
        <f t="shared" si="1083"/>
        <v>23588.22333141536</v>
      </c>
      <c r="Y525" s="95">
        <f t="shared" si="1083"/>
        <v>30028.579046503306</v>
      </c>
      <c r="Z525" s="95">
        <f t="shared" si="1083"/>
        <v>30579.415518669313</v>
      </c>
      <c r="AA525" s="95">
        <f t="shared" si="1083"/>
        <v>37418.222036325104</v>
      </c>
      <c r="AB525" s="95">
        <f t="shared" si="1083"/>
        <v>32408.178255072711</v>
      </c>
      <c r="AC525" s="95">
        <f t="shared" si="1083"/>
        <v>21394.667726129494</v>
      </c>
      <c r="AD525" s="95">
        <f t="shared" si="1083"/>
        <v>34137.167141135709</v>
      </c>
      <c r="AE525" s="896">
        <f>AE526+AE529</f>
        <v>82142.03949340705</v>
      </c>
      <c r="AF525" s="95">
        <f t="shared" ref="AF525:AK525" si="1084">AF526+AF529</f>
        <v>79351.517243099646</v>
      </c>
      <c r="AG525" s="95">
        <f t="shared" si="1084"/>
        <v>98026.216601497727</v>
      </c>
      <c r="AH525" s="95">
        <f t="shared" si="1084"/>
        <v>87940.013122337914</v>
      </c>
      <c r="AI525" s="95">
        <f t="shared" si="1084"/>
        <v>161493.5567365067</v>
      </c>
      <c r="AJ525" s="95">
        <f t="shared" si="1084"/>
        <v>185966.22972383566</v>
      </c>
      <c r="AK525" s="95">
        <f t="shared" si="1084"/>
        <v>347459.78646034235</v>
      </c>
      <c r="AM525" s="2138">
        <f ca="1">SUM((INDIRECT(AM$2&amp;(ROW())):INDIRECT(AM$3&amp;(ROW()))))</f>
        <v>33091</v>
      </c>
      <c r="AN525" s="2138">
        <f ca="1">SUM(INDIRECT(AN$1&amp;AN$2&amp;$C525):INDIRECT(AN$1&amp;AN$3&amp;$C525))</f>
        <v>23121.573625765617</v>
      </c>
      <c r="AO525" s="2879">
        <f t="shared" ca="1" si="1003"/>
        <v>9969.4263742343828</v>
      </c>
      <c r="AP525" s="2880">
        <f t="shared" ca="1" si="1073"/>
        <v>1.4311742157170875</v>
      </c>
      <c r="AQ525" s="2138">
        <f ca="1">SUM(INDIRECT(AQ$1&amp;AQ$2&amp;$A525):INDIRECT(AQ$1&amp;AQ$3&amp;$A525))</f>
        <v>25837</v>
      </c>
      <c r="AR525" s="2879">
        <f t="shared" ca="1" si="1005"/>
        <v>7254</v>
      </c>
      <c r="AS525" s="2880">
        <f t="shared" ca="1" si="1074"/>
        <v>1.2807601501722337</v>
      </c>
      <c r="AU525" s="2138">
        <f ca="1">SUM((INDIRECT(AU$2&amp;(ROW())):INDIRECT(AU$3&amp;(ROW()))))</f>
        <v>33091</v>
      </c>
      <c r="AV525" s="2138">
        <f ca="1">SUM(INDIRECT(AV$1&amp;AV$2&amp;$C525):INDIRECT(AV$1&amp;AV$3&amp;$C525))</f>
        <v>23121.573625765617</v>
      </c>
      <c r="AW525" s="2879">
        <f t="shared" ca="1" si="1075"/>
        <v>9969.4263742343828</v>
      </c>
      <c r="AX525" s="2880">
        <f t="shared" ca="1" si="1076"/>
        <v>1.4311742157170875</v>
      </c>
      <c r="AY525" s="2138">
        <f ca="1">SUM(INDIRECT(AY$1&amp;AY$2&amp;$A525):INDIRECT(AY$1&amp;AY$3&amp;$A525))</f>
        <v>25837</v>
      </c>
      <c r="AZ525" s="2879">
        <f t="shared" ca="1" si="1077"/>
        <v>7254</v>
      </c>
      <c r="BA525" s="2880">
        <f t="shared" ca="1" si="1078"/>
        <v>1.2807601501722337</v>
      </c>
      <c r="BC525" s="2138">
        <f ca="1">SUM((INDIRECT(BC$2&amp;(ROW())):INDIRECT(BC$3&amp;(ROW()))))</f>
        <v>33091</v>
      </c>
      <c r="BD525" s="2138">
        <f ca="1">SUM(INDIRECT(BD$1&amp;BD$2&amp;$C525):INDIRECT(BD$1&amp;BD$3&amp;$C525))</f>
        <v>23121.573625765617</v>
      </c>
      <c r="BE525" s="2879">
        <f t="shared" ca="1" si="1079"/>
        <v>9969.4263742343828</v>
      </c>
      <c r="BF525" s="2880">
        <f t="shared" ca="1" si="1080"/>
        <v>1.4311742157170875</v>
      </c>
      <c r="BG525" s="2138">
        <f ca="1">SUM(INDIRECT(BG$1&amp;BG$2&amp;$A525):INDIRECT(BG$1&amp;BG$3&amp;$A525))</f>
        <v>25837</v>
      </c>
      <c r="BH525" s="2879">
        <f t="shared" ca="1" si="1081"/>
        <v>7254</v>
      </c>
      <c r="BI525" s="2880">
        <f t="shared" ca="1" si="1082"/>
        <v>1.2807601501722337</v>
      </c>
    </row>
    <row r="526" spans="1:61" ht="14.5">
      <c r="A526" s="1693">
        <f t="shared" si="1022"/>
        <v>518</v>
      </c>
      <c r="B526" s="616">
        <v>1</v>
      </c>
      <c r="C526" s="1693">
        <f t="shared" si="1019"/>
        <v>526</v>
      </c>
      <c r="D526" s="616">
        <v>1</v>
      </c>
      <c r="F526" s="69"/>
      <c r="J526" s="94"/>
      <c r="K526" s="93"/>
      <c r="L526" s="63"/>
      <c r="M526" s="63"/>
      <c r="P526" s="97" t="s">
        <v>123</v>
      </c>
      <c r="Q526" s="97"/>
      <c r="R526" s="1777" t="str">
        <f>CHOOSE(2, "6722000003437", "S/GP (1)-1 Gross Profit Indirect NH KMI Office A3")</f>
        <v>S/GP (1)-1 Gross Profit Indirect NH KMI Office A3</v>
      </c>
      <c r="S526" s="95">
        <f>SUM(S527:S528)</f>
        <v>33091</v>
      </c>
      <c r="T526" s="95">
        <f t="shared" ref="T526:AD526" si="1085">SUM(T527:T528)</f>
        <v>24806.78711999999</v>
      </c>
      <c r="U526" s="95">
        <f t="shared" si="1085"/>
        <v>24228.068373407059</v>
      </c>
      <c r="V526" s="95">
        <f t="shared" si="1085"/>
        <v>25223.92899664912</v>
      </c>
      <c r="W526" s="95">
        <f t="shared" si="1085"/>
        <v>30539.36491503517</v>
      </c>
      <c r="X526" s="95">
        <f t="shared" si="1085"/>
        <v>23588.22333141536</v>
      </c>
      <c r="Y526" s="95">
        <f t="shared" si="1085"/>
        <v>30028.579046503306</v>
      </c>
      <c r="Z526" s="95">
        <f t="shared" si="1085"/>
        <v>30579.415518669313</v>
      </c>
      <c r="AA526" s="95">
        <f t="shared" si="1085"/>
        <v>37418.222036325104</v>
      </c>
      <c r="AB526" s="95">
        <f t="shared" si="1085"/>
        <v>32408.178255072711</v>
      </c>
      <c r="AC526" s="95">
        <f t="shared" si="1085"/>
        <v>21394.667726129494</v>
      </c>
      <c r="AD526" s="95">
        <f t="shared" si="1085"/>
        <v>34137.167141135709</v>
      </c>
      <c r="AE526" s="896">
        <f t="shared" ref="AE526:AK526" si="1086">SUM(AE527:AE528)</f>
        <v>82125.855493407056</v>
      </c>
      <c r="AF526" s="95">
        <f t="shared" si="1086"/>
        <v>79351.517243099646</v>
      </c>
      <c r="AG526" s="95">
        <f t="shared" si="1086"/>
        <v>98026.216601497727</v>
      </c>
      <c r="AH526" s="95">
        <f t="shared" si="1086"/>
        <v>87940.013122337914</v>
      </c>
      <c r="AI526" s="95">
        <f t="shared" si="1086"/>
        <v>161477.37273650669</v>
      </c>
      <c r="AJ526" s="95">
        <f t="shared" si="1086"/>
        <v>185966.22972383566</v>
      </c>
      <c r="AK526" s="95">
        <f t="shared" si="1086"/>
        <v>347443.60246034234</v>
      </c>
      <c r="AM526" s="2138">
        <f ca="1">SUM((INDIRECT(AM$2&amp;(ROW())):INDIRECT(AM$3&amp;(ROW()))))</f>
        <v>33091</v>
      </c>
      <c r="AN526" s="2138">
        <f ca="1">SUM(INDIRECT(AN$1&amp;AN$2&amp;$C526):INDIRECT(AN$1&amp;AN$3&amp;$C526))</f>
        <v>23121.573625765617</v>
      </c>
      <c r="AO526" s="2879">
        <f t="shared" ca="1" si="1003"/>
        <v>9969.4263742343828</v>
      </c>
      <c r="AP526" s="2880">
        <f t="shared" ca="1" si="1073"/>
        <v>1.4311742157170875</v>
      </c>
      <c r="AQ526" s="2138">
        <f ca="1">SUM(INDIRECT(AQ$1&amp;AQ$2&amp;$A526):INDIRECT(AQ$1&amp;AQ$3&amp;$A526))</f>
        <v>25782</v>
      </c>
      <c r="AR526" s="2879">
        <f t="shared" ca="1" si="1005"/>
        <v>7309</v>
      </c>
      <c r="AS526" s="2880">
        <f t="shared" ca="1" si="1074"/>
        <v>1.2834923590101621</v>
      </c>
      <c r="AU526" s="2138">
        <f ca="1">SUM((INDIRECT(AU$2&amp;(ROW())):INDIRECT(AU$3&amp;(ROW()))))</f>
        <v>33091</v>
      </c>
      <c r="AV526" s="2138">
        <f ca="1">SUM(INDIRECT(AV$1&amp;AV$2&amp;$C526):INDIRECT(AV$1&amp;AV$3&amp;$C526))</f>
        <v>23121.573625765617</v>
      </c>
      <c r="AW526" s="2879">
        <f t="shared" ca="1" si="1075"/>
        <v>9969.4263742343828</v>
      </c>
      <c r="AX526" s="2880">
        <f t="shared" ca="1" si="1076"/>
        <v>1.4311742157170875</v>
      </c>
      <c r="AY526" s="2138">
        <f ca="1">SUM(INDIRECT(AY$1&amp;AY$2&amp;$A526):INDIRECT(AY$1&amp;AY$3&amp;$A526))</f>
        <v>25782</v>
      </c>
      <c r="AZ526" s="2879">
        <f t="shared" ca="1" si="1077"/>
        <v>7309</v>
      </c>
      <c r="BA526" s="2880">
        <f t="shared" ca="1" si="1078"/>
        <v>1.2834923590101621</v>
      </c>
      <c r="BC526" s="2138">
        <f ca="1">SUM((INDIRECT(BC$2&amp;(ROW())):INDIRECT(BC$3&amp;(ROW()))))</f>
        <v>33091</v>
      </c>
      <c r="BD526" s="2138">
        <f ca="1">SUM(INDIRECT(BD$1&amp;BD$2&amp;$C526):INDIRECT(BD$1&amp;BD$3&amp;$C526))</f>
        <v>23121.573625765617</v>
      </c>
      <c r="BE526" s="2879">
        <f t="shared" ca="1" si="1079"/>
        <v>9969.4263742343828</v>
      </c>
      <c r="BF526" s="2880">
        <f t="shared" ca="1" si="1080"/>
        <v>1.4311742157170875</v>
      </c>
      <c r="BG526" s="2138">
        <f ca="1">SUM(INDIRECT(BG$1&amp;BG$2&amp;$A526):INDIRECT(BG$1&amp;BG$3&amp;$A526))</f>
        <v>25782</v>
      </c>
      <c r="BH526" s="2879">
        <f t="shared" ca="1" si="1081"/>
        <v>7309</v>
      </c>
      <c r="BI526" s="2880">
        <f t="shared" ca="1" si="1082"/>
        <v>1.2834923590101621</v>
      </c>
    </row>
    <row r="527" spans="1:61" ht="14.5">
      <c r="A527" s="1693">
        <f t="shared" si="1022"/>
        <v>519</v>
      </c>
      <c r="B527" s="616">
        <v>1</v>
      </c>
      <c r="C527" s="1693">
        <f t="shared" ref="C527:C590" si="1087">C526+1</f>
        <v>527</v>
      </c>
      <c r="D527" s="616">
        <v>1</v>
      </c>
      <c r="F527" s="69"/>
      <c r="J527" s="94"/>
      <c r="K527" s="93"/>
      <c r="L527" s="63"/>
      <c r="M527" s="63"/>
      <c r="Q527" s="8" t="s">
        <v>130</v>
      </c>
      <c r="R527" s="1779" t="str">
        <f>CHOOSE(2, "6722000003438", "S/GP (1)-1 Gross Profit Indirect NH KMI Office A3 Cons")</f>
        <v>S/GP (1)-1 Gross Profit Indirect NH KMI Office A3 Cons</v>
      </c>
      <c r="S527" s="1217">
        <v>33091</v>
      </c>
      <c r="T527" s="1217">
        <v>24806.78711999999</v>
      </c>
      <c r="U527" s="1217">
        <v>24228.068373407059</v>
      </c>
      <c r="V527" s="1217">
        <v>25223.92899664912</v>
      </c>
      <c r="W527" s="1217">
        <v>30539.36491503517</v>
      </c>
      <c r="X527" s="1217">
        <v>23588.22333141536</v>
      </c>
      <c r="Y527" s="1217">
        <v>30028.579046503306</v>
      </c>
      <c r="Z527" s="1217">
        <v>30579.415518669313</v>
      </c>
      <c r="AA527" s="1217">
        <v>37418.222036325104</v>
      </c>
      <c r="AB527" s="1217">
        <v>32408.178255072711</v>
      </c>
      <c r="AC527" s="1217">
        <v>21394.667726129494</v>
      </c>
      <c r="AD527" s="1217">
        <v>34137.167141135709</v>
      </c>
      <c r="AE527" s="783">
        <f>SUM(S527,T527,U527)</f>
        <v>82125.855493407056</v>
      </c>
      <c r="AF527" s="1226">
        <f>SUM(V527,W527,X527)</f>
        <v>79351.517243099646</v>
      </c>
      <c r="AG527" s="1226">
        <f>SUM(Y527,Z527,AA527)</f>
        <v>98026.216601497727</v>
      </c>
      <c r="AH527" s="1226">
        <f>SUM(AB527,AC527,AD527)</f>
        <v>87940.013122337914</v>
      </c>
      <c r="AI527" s="1226">
        <f>AE527+AF527</f>
        <v>161477.37273650669</v>
      </c>
      <c r="AJ527" s="1226">
        <f>AH527+AG527</f>
        <v>185966.22972383566</v>
      </c>
      <c r="AK527" s="1226">
        <f>AI527+AJ527</f>
        <v>347443.60246034234</v>
      </c>
      <c r="AM527" s="579">
        <f ca="1">SUM((INDIRECT(AM$2&amp;(ROW())):INDIRECT(AM$3&amp;(ROW()))))</f>
        <v>33091</v>
      </c>
      <c r="AN527" s="579">
        <f ca="1">SUM(INDIRECT(AN$1&amp;AN$2&amp;$C527):INDIRECT(AN$1&amp;AN$3&amp;$C527))</f>
        <v>23121.573625765617</v>
      </c>
      <c r="AO527" s="2889">
        <f t="shared" ca="1" si="1003"/>
        <v>9969.4263742343828</v>
      </c>
      <c r="AP527" s="2890">
        <f t="shared" ca="1" si="1073"/>
        <v>1.4311742157170875</v>
      </c>
      <c r="AQ527" s="579">
        <f ca="1">SUM(INDIRECT(AQ$1&amp;AQ$2&amp;$A527):INDIRECT(AQ$1&amp;AQ$3&amp;$A527))</f>
        <v>25782</v>
      </c>
      <c r="AR527" s="2889">
        <f t="shared" ca="1" si="1005"/>
        <v>7309</v>
      </c>
      <c r="AS527" s="2890">
        <f t="shared" ca="1" si="1074"/>
        <v>1.2834923590101621</v>
      </c>
      <c r="AU527" s="579">
        <f ca="1">SUM((INDIRECT(AU$2&amp;(ROW())):INDIRECT(AU$3&amp;(ROW()))))</f>
        <v>33091</v>
      </c>
      <c r="AV527" s="579">
        <f ca="1">SUM(INDIRECT(AV$1&amp;AV$2&amp;$C527):INDIRECT(AV$1&amp;AV$3&amp;$C527))</f>
        <v>23121.573625765617</v>
      </c>
      <c r="AW527" s="2889">
        <f t="shared" ca="1" si="1075"/>
        <v>9969.4263742343828</v>
      </c>
      <c r="AX527" s="2890">
        <f t="shared" ca="1" si="1076"/>
        <v>1.4311742157170875</v>
      </c>
      <c r="AY527" s="579">
        <f ca="1">SUM(INDIRECT(AY$1&amp;AY$2&amp;$A527):INDIRECT(AY$1&amp;AY$3&amp;$A527))</f>
        <v>25782</v>
      </c>
      <c r="AZ527" s="2889">
        <f t="shared" ca="1" si="1077"/>
        <v>7309</v>
      </c>
      <c r="BA527" s="2890">
        <f t="shared" ca="1" si="1078"/>
        <v>1.2834923590101621</v>
      </c>
      <c r="BC527" s="579">
        <f ca="1">SUM((INDIRECT(BC$2&amp;(ROW())):INDIRECT(BC$3&amp;(ROW()))))</f>
        <v>33091</v>
      </c>
      <c r="BD527" s="579">
        <f ca="1">SUM(INDIRECT(BD$1&amp;BD$2&amp;$C527):INDIRECT(BD$1&amp;BD$3&amp;$C527))</f>
        <v>23121.573625765617</v>
      </c>
      <c r="BE527" s="2889">
        <f t="shared" ca="1" si="1079"/>
        <v>9969.4263742343828</v>
      </c>
      <c r="BF527" s="2890">
        <f t="shared" ca="1" si="1080"/>
        <v>1.4311742157170875</v>
      </c>
      <c r="BG527" s="579">
        <f ca="1">SUM(INDIRECT(BG$1&amp;BG$2&amp;$A527):INDIRECT(BG$1&amp;BG$3&amp;$A527))</f>
        <v>25782</v>
      </c>
      <c r="BH527" s="2889">
        <f t="shared" ca="1" si="1081"/>
        <v>7309</v>
      </c>
      <c r="BI527" s="2890">
        <f t="shared" ca="1" si="1082"/>
        <v>1.2834923590101621</v>
      </c>
    </row>
    <row r="528" spans="1:61" ht="14.5">
      <c r="A528" s="1693">
        <f t="shared" ref="A528:A591" si="1088">A527+1</f>
        <v>520</v>
      </c>
      <c r="B528" s="616">
        <v>1</v>
      </c>
      <c r="C528" s="1693">
        <f t="shared" si="1087"/>
        <v>528</v>
      </c>
      <c r="D528" s="616">
        <v>1</v>
      </c>
      <c r="F528" s="69"/>
      <c r="J528" s="94"/>
      <c r="K528" s="93"/>
      <c r="L528" s="63"/>
      <c r="M528" s="63"/>
      <c r="Q528" s="8" t="s">
        <v>131</v>
      </c>
      <c r="R528" s="1779" t="str">
        <f>CHOOSE(2, "6722000003439", "S/GP (1)-1 Gross Profit Indirect NH KMI Office A3 Parts")</f>
        <v>S/GP (1)-1 Gross Profit Indirect NH KMI Office A3 Parts</v>
      </c>
      <c r="S528" s="1217"/>
      <c r="T528" s="1217"/>
      <c r="U528" s="1217"/>
      <c r="V528" s="1217"/>
      <c r="W528" s="1217"/>
      <c r="X528" s="1217"/>
      <c r="Y528" s="1217"/>
      <c r="Z528" s="1217"/>
      <c r="AA528" s="1217"/>
      <c r="AB528" s="1217"/>
      <c r="AC528" s="1217"/>
      <c r="AD528" s="1217"/>
      <c r="AE528" s="783">
        <f>SUM(S528,T528,U528)</f>
        <v>0</v>
      </c>
      <c r="AF528" s="1226">
        <f>SUM(V528,W528,X528)</f>
        <v>0</v>
      </c>
      <c r="AG528" s="1226">
        <f>SUM(Y528,Z528,AA528)</f>
        <v>0</v>
      </c>
      <c r="AH528" s="1226">
        <f>SUM(AB528,AC528,AD528)</f>
        <v>0</v>
      </c>
      <c r="AI528" s="1226">
        <f>AE528+AF528</f>
        <v>0</v>
      </c>
      <c r="AJ528" s="1226">
        <f>AH528+AG528</f>
        <v>0</v>
      </c>
      <c r="AK528" s="1226">
        <f>AI528+AJ528</f>
        <v>0</v>
      </c>
      <c r="AM528" s="579">
        <f ca="1">SUM((INDIRECT(AM$2&amp;(ROW())):INDIRECT(AM$3&amp;(ROW()))))</f>
        <v>0</v>
      </c>
      <c r="AN528" s="579">
        <f ca="1">SUM(INDIRECT(AN$1&amp;AN$2&amp;$C528):INDIRECT(AN$1&amp;AN$3&amp;$C528))</f>
        <v>0</v>
      </c>
      <c r="AO528" s="2889">
        <f t="shared" ca="1" si="1003"/>
        <v>0</v>
      </c>
      <c r="AP528" s="2890">
        <f t="shared" ca="1" si="1073"/>
        <v>0</v>
      </c>
      <c r="AQ528" s="579">
        <f ca="1">SUM(INDIRECT(AQ$1&amp;AQ$2&amp;$A528):INDIRECT(AQ$1&amp;AQ$3&amp;$A528))</f>
        <v>0</v>
      </c>
      <c r="AR528" s="2889">
        <f t="shared" ca="1" si="1005"/>
        <v>0</v>
      </c>
      <c r="AS528" s="2890">
        <f t="shared" ca="1" si="1074"/>
        <v>0</v>
      </c>
      <c r="AU528" s="579">
        <f ca="1">SUM((INDIRECT(AU$2&amp;(ROW())):INDIRECT(AU$3&amp;(ROW()))))</f>
        <v>0</v>
      </c>
      <c r="AV528" s="579">
        <f ca="1">SUM(INDIRECT(AV$1&amp;AV$2&amp;$C528):INDIRECT(AV$1&amp;AV$3&amp;$C528))</f>
        <v>0</v>
      </c>
      <c r="AW528" s="2889">
        <f t="shared" ca="1" si="1075"/>
        <v>0</v>
      </c>
      <c r="AX528" s="2890">
        <f t="shared" ca="1" si="1076"/>
        <v>0</v>
      </c>
      <c r="AY528" s="579">
        <f ca="1">SUM(INDIRECT(AY$1&amp;AY$2&amp;$A528):INDIRECT(AY$1&amp;AY$3&amp;$A528))</f>
        <v>0</v>
      </c>
      <c r="AZ528" s="2889">
        <f t="shared" ca="1" si="1077"/>
        <v>0</v>
      </c>
      <c r="BA528" s="2890">
        <f t="shared" ca="1" si="1078"/>
        <v>0</v>
      </c>
      <c r="BC528" s="579">
        <f ca="1">SUM((INDIRECT(BC$2&amp;(ROW())):INDIRECT(BC$3&amp;(ROW()))))</f>
        <v>0</v>
      </c>
      <c r="BD528" s="579">
        <f ca="1">SUM(INDIRECT(BD$1&amp;BD$2&amp;$C528):INDIRECT(BD$1&amp;BD$3&amp;$C528))</f>
        <v>0</v>
      </c>
      <c r="BE528" s="2889">
        <f t="shared" ca="1" si="1079"/>
        <v>0</v>
      </c>
      <c r="BF528" s="2890">
        <f t="shared" ca="1" si="1080"/>
        <v>0</v>
      </c>
      <c r="BG528" s="579">
        <f ca="1">SUM(INDIRECT(BG$1&amp;BG$2&amp;$A528):INDIRECT(BG$1&amp;BG$3&amp;$A528))</f>
        <v>0</v>
      </c>
      <c r="BH528" s="2889">
        <f t="shared" ca="1" si="1081"/>
        <v>0</v>
      </c>
      <c r="BI528" s="2890">
        <f t="shared" ca="1" si="1082"/>
        <v>0</v>
      </c>
    </row>
    <row r="529" spans="1:61" ht="14.5">
      <c r="A529" s="1693">
        <f t="shared" si="1088"/>
        <v>521</v>
      </c>
      <c r="B529" s="616">
        <v>1</v>
      </c>
      <c r="C529" s="1693">
        <f t="shared" si="1087"/>
        <v>529</v>
      </c>
      <c r="D529" s="616">
        <v>1</v>
      </c>
      <c r="F529" s="69"/>
      <c r="J529" s="94"/>
      <c r="K529" s="93"/>
      <c r="L529" s="63"/>
      <c r="M529" s="63"/>
      <c r="P529" s="97" t="s">
        <v>124</v>
      </c>
      <c r="Q529" s="97"/>
      <c r="R529" s="1777" t="str">
        <f>CHOOSE(2, "6722000003440", "S/GP (1)-1 Gross Profit Indirect NH KMI Office A4")</f>
        <v>S/GP (1)-1 Gross Profit Indirect NH KMI Office A4</v>
      </c>
      <c r="S529" s="95">
        <f>SUM(S530:S531)</f>
        <v>0</v>
      </c>
      <c r="T529" s="95">
        <f t="shared" ref="T529:AD529" si="1089">SUM(T530:T531)</f>
        <v>16.184000000000001</v>
      </c>
      <c r="U529" s="95">
        <f t="shared" si="1089"/>
        <v>0</v>
      </c>
      <c r="V529" s="95">
        <f t="shared" si="1089"/>
        <v>0</v>
      </c>
      <c r="W529" s="95">
        <f t="shared" si="1089"/>
        <v>0</v>
      </c>
      <c r="X529" s="95">
        <f t="shared" si="1089"/>
        <v>0</v>
      </c>
      <c r="Y529" s="95">
        <f t="shared" si="1089"/>
        <v>0</v>
      </c>
      <c r="Z529" s="95">
        <f t="shared" si="1089"/>
        <v>0</v>
      </c>
      <c r="AA529" s="95">
        <f t="shared" si="1089"/>
        <v>0</v>
      </c>
      <c r="AB529" s="95">
        <f t="shared" si="1089"/>
        <v>0</v>
      </c>
      <c r="AC529" s="95">
        <f t="shared" si="1089"/>
        <v>0</v>
      </c>
      <c r="AD529" s="95">
        <f t="shared" si="1089"/>
        <v>0</v>
      </c>
      <c r="AE529" s="896">
        <f t="shared" ref="AE529:AK529" si="1090">SUM(AE530:AE531)</f>
        <v>16.184000000000001</v>
      </c>
      <c r="AF529" s="95">
        <f t="shared" si="1090"/>
        <v>0</v>
      </c>
      <c r="AG529" s="95">
        <f t="shared" si="1090"/>
        <v>0</v>
      </c>
      <c r="AH529" s="95">
        <f t="shared" si="1090"/>
        <v>0</v>
      </c>
      <c r="AI529" s="95">
        <f t="shared" si="1090"/>
        <v>16.184000000000001</v>
      </c>
      <c r="AJ529" s="95">
        <f t="shared" si="1090"/>
        <v>0</v>
      </c>
      <c r="AK529" s="95">
        <f t="shared" si="1090"/>
        <v>16.184000000000001</v>
      </c>
      <c r="AM529" s="2138">
        <f ca="1">SUM((INDIRECT(AM$2&amp;(ROW())):INDIRECT(AM$3&amp;(ROW()))))</f>
        <v>0</v>
      </c>
      <c r="AN529" s="2138">
        <f ca="1">SUM(INDIRECT(AN$1&amp;AN$2&amp;$C529):INDIRECT(AN$1&amp;AN$3&amp;$C529))</f>
        <v>0</v>
      </c>
      <c r="AO529" s="2879">
        <f t="shared" ca="1" si="1003"/>
        <v>0</v>
      </c>
      <c r="AP529" s="2880">
        <f t="shared" ca="1" si="1073"/>
        <v>0</v>
      </c>
      <c r="AQ529" s="2138">
        <f ca="1">SUM(INDIRECT(AQ$1&amp;AQ$2&amp;$A529):INDIRECT(AQ$1&amp;AQ$3&amp;$A529))</f>
        <v>55</v>
      </c>
      <c r="AR529" s="2879">
        <f t="shared" ca="1" si="1005"/>
        <v>-55</v>
      </c>
      <c r="AS529" s="2880">
        <f t="shared" ca="1" si="1074"/>
        <v>0</v>
      </c>
      <c r="AU529" s="2138">
        <f ca="1">SUM((INDIRECT(AU$2&amp;(ROW())):INDIRECT(AU$3&amp;(ROW()))))</f>
        <v>0</v>
      </c>
      <c r="AV529" s="2138">
        <f ca="1">SUM(INDIRECT(AV$1&amp;AV$2&amp;$C529):INDIRECT(AV$1&amp;AV$3&amp;$C529))</f>
        <v>0</v>
      </c>
      <c r="AW529" s="2879">
        <f t="shared" ca="1" si="1075"/>
        <v>0</v>
      </c>
      <c r="AX529" s="2880">
        <f t="shared" ca="1" si="1076"/>
        <v>0</v>
      </c>
      <c r="AY529" s="2138">
        <f ca="1">SUM(INDIRECT(AY$1&amp;AY$2&amp;$A529):INDIRECT(AY$1&amp;AY$3&amp;$A529))</f>
        <v>55</v>
      </c>
      <c r="AZ529" s="2879">
        <f t="shared" ca="1" si="1077"/>
        <v>-55</v>
      </c>
      <c r="BA529" s="2880">
        <f t="shared" ca="1" si="1078"/>
        <v>0</v>
      </c>
      <c r="BC529" s="2138">
        <f ca="1">SUM((INDIRECT(BC$2&amp;(ROW())):INDIRECT(BC$3&amp;(ROW()))))</f>
        <v>0</v>
      </c>
      <c r="BD529" s="2138">
        <f ca="1">SUM(INDIRECT(BD$1&amp;BD$2&amp;$C529):INDIRECT(BD$1&amp;BD$3&amp;$C529))</f>
        <v>0</v>
      </c>
      <c r="BE529" s="2879">
        <f t="shared" ca="1" si="1079"/>
        <v>0</v>
      </c>
      <c r="BF529" s="2880">
        <f t="shared" ca="1" si="1080"/>
        <v>0</v>
      </c>
      <c r="BG529" s="2138">
        <f ca="1">SUM(INDIRECT(BG$1&amp;BG$2&amp;$A529):INDIRECT(BG$1&amp;BG$3&amp;$A529))</f>
        <v>55</v>
      </c>
      <c r="BH529" s="2879">
        <f t="shared" ca="1" si="1081"/>
        <v>-55</v>
      </c>
      <c r="BI529" s="2880">
        <f t="shared" ca="1" si="1082"/>
        <v>0</v>
      </c>
    </row>
    <row r="530" spans="1:61" ht="14.5">
      <c r="A530" s="1693">
        <f t="shared" si="1088"/>
        <v>522</v>
      </c>
      <c r="B530" s="616">
        <v>1</v>
      </c>
      <c r="C530" s="1693">
        <f t="shared" si="1087"/>
        <v>530</v>
      </c>
      <c r="D530" s="616">
        <v>1</v>
      </c>
      <c r="F530" s="69"/>
      <c r="J530" s="94"/>
      <c r="K530" s="93"/>
      <c r="L530" s="63"/>
      <c r="M530" s="63"/>
      <c r="Q530" s="8" t="s">
        <v>130</v>
      </c>
      <c r="R530" s="1779" t="str">
        <f>CHOOSE(2, "6722000003441", "S/GP (1)-1 Gross Profit Indirect NH KMI Office A4 Cons")</f>
        <v>S/GP (1)-1 Gross Profit Indirect NH KMI Office A4 Cons</v>
      </c>
      <c r="S530" s="1217"/>
      <c r="T530" s="1217">
        <v>16.184000000000001</v>
      </c>
      <c r="U530" s="1217"/>
      <c r="V530" s="1217"/>
      <c r="W530" s="1217"/>
      <c r="X530" s="1217"/>
      <c r="Y530" s="1217"/>
      <c r="Z530" s="1217"/>
      <c r="AA530" s="1217"/>
      <c r="AB530" s="1217"/>
      <c r="AC530" s="1217"/>
      <c r="AD530" s="1217"/>
      <c r="AE530" s="783">
        <f>SUM(S530,T530,U530)</f>
        <v>16.184000000000001</v>
      </c>
      <c r="AF530" s="1226">
        <f>SUM(V530,W530,X530)</f>
        <v>0</v>
      </c>
      <c r="AG530" s="1226">
        <f>SUM(Y530,Z530,AA530)</f>
        <v>0</v>
      </c>
      <c r="AH530" s="1226">
        <f>SUM(AB530,AC530,AD530)</f>
        <v>0</v>
      </c>
      <c r="AI530" s="1226">
        <f>AE530+AF530</f>
        <v>16.184000000000001</v>
      </c>
      <c r="AJ530" s="1226">
        <f>AH530+AG530</f>
        <v>0</v>
      </c>
      <c r="AK530" s="1226">
        <f>AI530+AJ530</f>
        <v>16.184000000000001</v>
      </c>
      <c r="AM530" s="579">
        <f ca="1">SUM((INDIRECT(AM$2&amp;(ROW())):INDIRECT(AM$3&amp;(ROW()))))</f>
        <v>0</v>
      </c>
      <c r="AN530" s="579">
        <f ca="1">SUM(INDIRECT(AN$1&amp;AN$2&amp;$C530):INDIRECT(AN$1&amp;AN$3&amp;$C530))</f>
        <v>0</v>
      </c>
      <c r="AO530" s="2889">
        <f t="shared" ca="1" si="1003"/>
        <v>0</v>
      </c>
      <c r="AP530" s="2890">
        <f t="shared" ca="1" si="1073"/>
        <v>0</v>
      </c>
      <c r="AQ530" s="579">
        <f ca="1">SUM(INDIRECT(AQ$1&amp;AQ$2&amp;$A530):INDIRECT(AQ$1&amp;AQ$3&amp;$A530))</f>
        <v>55</v>
      </c>
      <c r="AR530" s="2889">
        <f t="shared" ca="1" si="1005"/>
        <v>-55</v>
      </c>
      <c r="AS530" s="2890">
        <f t="shared" ca="1" si="1074"/>
        <v>0</v>
      </c>
      <c r="AU530" s="579">
        <f ca="1">SUM((INDIRECT(AU$2&amp;(ROW())):INDIRECT(AU$3&amp;(ROW()))))</f>
        <v>0</v>
      </c>
      <c r="AV530" s="579">
        <f ca="1">SUM(INDIRECT(AV$1&amp;AV$2&amp;$C530):INDIRECT(AV$1&amp;AV$3&amp;$C530))</f>
        <v>0</v>
      </c>
      <c r="AW530" s="2889">
        <f t="shared" ca="1" si="1075"/>
        <v>0</v>
      </c>
      <c r="AX530" s="2890">
        <f t="shared" ca="1" si="1076"/>
        <v>0</v>
      </c>
      <c r="AY530" s="579">
        <f ca="1">SUM(INDIRECT(AY$1&amp;AY$2&amp;$A530):INDIRECT(AY$1&amp;AY$3&amp;$A530))</f>
        <v>55</v>
      </c>
      <c r="AZ530" s="2889">
        <f t="shared" ca="1" si="1077"/>
        <v>-55</v>
      </c>
      <c r="BA530" s="2890">
        <f t="shared" ca="1" si="1078"/>
        <v>0</v>
      </c>
      <c r="BC530" s="579">
        <f ca="1">SUM((INDIRECT(BC$2&amp;(ROW())):INDIRECT(BC$3&amp;(ROW()))))</f>
        <v>0</v>
      </c>
      <c r="BD530" s="579">
        <f ca="1">SUM(INDIRECT(BD$1&amp;BD$2&amp;$C530):INDIRECT(BD$1&amp;BD$3&amp;$C530))</f>
        <v>0</v>
      </c>
      <c r="BE530" s="2889">
        <f t="shared" ca="1" si="1079"/>
        <v>0</v>
      </c>
      <c r="BF530" s="2890">
        <f t="shared" ca="1" si="1080"/>
        <v>0</v>
      </c>
      <c r="BG530" s="579">
        <f ca="1">SUM(INDIRECT(BG$1&amp;BG$2&amp;$A530):INDIRECT(BG$1&amp;BG$3&amp;$A530))</f>
        <v>55</v>
      </c>
      <c r="BH530" s="2889">
        <f t="shared" ca="1" si="1081"/>
        <v>-55</v>
      </c>
      <c r="BI530" s="2890">
        <f t="shared" ca="1" si="1082"/>
        <v>0</v>
      </c>
    </row>
    <row r="531" spans="1:61" ht="14.5">
      <c r="A531" s="1693">
        <f t="shared" si="1088"/>
        <v>523</v>
      </c>
      <c r="B531" s="616">
        <v>1</v>
      </c>
      <c r="C531" s="1693">
        <f t="shared" si="1087"/>
        <v>531</v>
      </c>
      <c r="D531" s="616">
        <v>1</v>
      </c>
      <c r="F531" s="69"/>
      <c r="J531" s="94"/>
      <c r="K531" s="93"/>
      <c r="L531" s="63"/>
      <c r="M531" s="63"/>
      <c r="O531" s="285"/>
      <c r="P531" s="285"/>
      <c r="Q531" s="285" t="s">
        <v>131</v>
      </c>
      <c r="R531" s="1779" t="str">
        <f>CHOOSE(2, "6722000003442", "S/GP (1)-1 Gross Profit Indirect NH KMI Office A4 Parts")</f>
        <v>S/GP (1)-1 Gross Profit Indirect NH KMI Office A4 Parts</v>
      </c>
      <c r="S531" s="1245"/>
      <c r="T531" s="1245"/>
      <c r="U531" s="1245"/>
      <c r="V531" s="1245"/>
      <c r="W531" s="1245"/>
      <c r="X531" s="1245"/>
      <c r="Y531" s="1245"/>
      <c r="Z531" s="1245"/>
      <c r="AA531" s="1245"/>
      <c r="AB531" s="1245"/>
      <c r="AC531" s="1245"/>
      <c r="AD531" s="1245"/>
      <c r="AE531" s="895">
        <f>SUM(S531,T531,U531)</f>
        <v>0</v>
      </c>
      <c r="AF531" s="1248">
        <f>SUM(V531,W531,X531)</f>
        <v>0</v>
      </c>
      <c r="AG531" s="1248">
        <f>SUM(Y531,Z531,AA531)</f>
        <v>0</v>
      </c>
      <c r="AH531" s="1248">
        <f>SUM(AB531,AC531,AD531)</f>
        <v>0</v>
      </c>
      <c r="AI531" s="1248">
        <f>AE531+AF531</f>
        <v>0</v>
      </c>
      <c r="AJ531" s="1248">
        <f>AH531+AG531</f>
        <v>0</v>
      </c>
      <c r="AK531" s="1248">
        <f>AI531+AJ531</f>
        <v>0</v>
      </c>
      <c r="AM531" s="1971">
        <f ca="1">SUM((INDIRECT(AM$2&amp;(ROW())):INDIRECT(AM$3&amp;(ROW()))))</f>
        <v>0</v>
      </c>
      <c r="AN531" s="1971">
        <f ca="1">SUM(INDIRECT(AN$1&amp;AN$2&amp;$C531):INDIRECT(AN$1&amp;AN$3&amp;$C531))</f>
        <v>0</v>
      </c>
      <c r="AO531" s="2881">
        <f t="shared" ca="1" si="1003"/>
        <v>0</v>
      </c>
      <c r="AP531" s="2882">
        <f t="shared" ca="1" si="1073"/>
        <v>0</v>
      </c>
      <c r="AQ531" s="1971">
        <f ca="1">SUM(INDIRECT(AQ$1&amp;AQ$2&amp;$A531):INDIRECT(AQ$1&amp;AQ$3&amp;$A531))</f>
        <v>0</v>
      </c>
      <c r="AR531" s="2881">
        <f t="shared" ca="1" si="1005"/>
        <v>0</v>
      </c>
      <c r="AS531" s="2882">
        <f t="shared" ca="1" si="1074"/>
        <v>0</v>
      </c>
      <c r="AU531" s="1971">
        <f ca="1">SUM((INDIRECT(AU$2&amp;(ROW())):INDIRECT(AU$3&amp;(ROW()))))</f>
        <v>0</v>
      </c>
      <c r="AV531" s="1971">
        <f ca="1">SUM(INDIRECT(AV$1&amp;AV$2&amp;$C531):INDIRECT(AV$1&amp;AV$3&amp;$C531))</f>
        <v>0</v>
      </c>
      <c r="AW531" s="2881">
        <f t="shared" ca="1" si="1075"/>
        <v>0</v>
      </c>
      <c r="AX531" s="2882">
        <f t="shared" ca="1" si="1076"/>
        <v>0</v>
      </c>
      <c r="AY531" s="1971">
        <f ca="1">SUM(INDIRECT(AY$1&amp;AY$2&amp;$A531):INDIRECT(AY$1&amp;AY$3&amp;$A531))</f>
        <v>0</v>
      </c>
      <c r="AZ531" s="2881">
        <f t="shared" ca="1" si="1077"/>
        <v>0</v>
      </c>
      <c r="BA531" s="2882">
        <f t="shared" ca="1" si="1078"/>
        <v>0</v>
      </c>
      <c r="BC531" s="1971">
        <f ca="1">SUM((INDIRECT(BC$2&amp;(ROW())):INDIRECT(BC$3&amp;(ROW()))))</f>
        <v>0</v>
      </c>
      <c r="BD531" s="1971">
        <f ca="1">SUM(INDIRECT(BD$1&amp;BD$2&amp;$C531):INDIRECT(BD$1&amp;BD$3&amp;$C531))</f>
        <v>0</v>
      </c>
      <c r="BE531" s="2881">
        <f t="shared" ca="1" si="1079"/>
        <v>0</v>
      </c>
      <c r="BF531" s="2882">
        <f t="shared" ca="1" si="1080"/>
        <v>0</v>
      </c>
      <c r="BG531" s="1971">
        <f ca="1">SUM(INDIRECT(BG$1&amp;BG$2&amp;$A531):INDIRECT(BG$1&amp;BG$3&amp;$A531))</f>
        <v>0</v>
      </c>
      <c r="BH531" s="2881">
        <f t="shared" ca="1" si="1081"/>
        <v>0</v>
      </c>
      <c r="BI531" s="2882">
        <f t="shared" ca="1" si="1082"/>
        <v>0</v>
      </c>
    </row>
    <row r="532" spans="1:61" ht="14.5" collapsed="1">
      <c r="A532" s="1693">
        <f t="shared" si="1088"/>
        <v>524</v>
      </c>
      <c r="B532" s="616">
        <v>1</v>
      </c>
      <c r="C532" s="1693">
        <f t="shared" si="1087"/>
        <v>532</v>
      </c>
      <c r="D532" s="616">
        <v>1</v>
      </c>
      <c r="F532" s="69"/>
      <c r="J532" s="94"/>
      <c r="K532" s="93"/>
      <c r="L532" s="63"/>
      <c r="M532" s="63"/>
      <c r="O532" s="11" t="s">
        <v>125</v>
      </c>
      <c r="P532" s="11"/>
      <c r="Q532" s="11"/>
      <c r="R532" s="1779" t="str">
        <f>CHOOSE(2, "6722000003443", "S/GP (1)-1 Gross Profit Indirect NH 3rd Party")</f>
        <v>S/GP (1)-1 Gross Profit Indirect NH 3rd Party</v>
      </c>
      <c r="S532" s="1218"/>
      <c r="T532" s="1218"/>
      <c r="U532" s="1218"/>
      <c r="V532" s="1218"/>
      <c r="W532" s="1218"/>
      <c r="X532" s="1218"/>
      <c r="Y532" s="1218"/>
      <c r="Z532" s="1218"/>
      <c r="AA532" s="1218"/>
      <c r="AB532" s="1218"/>
      <c r="AC532" s="1218"/>
      <c r="AD532" s="1218"/>
      <c r="AE532" s="784">
        <f>SUM(S532,T532,U532)</f>
        <v>0</v>
      </c>
      <c r="AF532" s="1228">
        <f>SUM(V532,W532,X532)</f>
        <v>0</v>
      </c>
      <c r="AG532" s="1228">
        <f>SUM(Y532,Z532,AA532)</f>
        <v>0</v>
      </c>
      <c r="AH532" s="1228">
        <f>SUM(AB532,AC532,AD532)</f>
        <v>0</v>
      </c>
      <c r="AI532" s="1228">
        <f>AE532+AF532</f>
        <v>0</v>
      </c>
      <c r="AJ532" s="1228">
        <f>AH532+AG532</f>
        <v>0</v>
      </c>
      <c r="AK532" s="1228">
        <f>AI532+AJ532</f>
        <v>0</v>
      </c>
      <c r="AM532" s="584">
        <f ca="1">SUM((INDIRECT(AM$2&amp;(ROW())):INDIRECT(AM$3&amp;(ROW()))))</f>
        <v>0</v>
      </c>
      <c r="AN532" s="584">
        <f ca="1">SUM(INDIRECT(AN$1&amp;AN$2&amp;$C532):INDIRECT(AN$1&amp;AN$3&amp;$C532))</f>
        <v>0</v>
      </c>
      <c r="AO532" s="2896">
        <f t="shared" ca="1" si="1003"/>
        <v>0</v>
      </c>
      <c r="AP532" s="2897">
        <f t="shared" ca="1" si="1073"/>
        <v>0</v>
      </c>
      <c r="AQ532" s="584">
        <f ca="1">SUM(INDIRECT(AQ$1&amp;AQ$2&amp;$A532):INDIRECT(AQ$1&amp;AQ$3&amp;$A532))</f>
        <v>0</v>
      </c>
      <c r="AR532" s="2896">
        <f t="shared" ca="1" si="1005"/>
        <v>0</v>
      </c>
      <c r="AS532" s="2897">
        <f t="shared" ca="1" si="1074"/>
        <v>0</v>
      </c>
      <c r="AU532" s="584">
        <f ca="1">SUM((INDIRECT(AU$2&amp;(ROW())):INDIRECT(AU$3&amp;(ROW()))))</f>
        <v>0</v>
      </c>
      <c r="AV532" s="584">
        <f ca="1">SUM(INDIRECT(AV$1&amp;AV$2&amp;$C532):INDIRECT(AV$1&amp;AV$3&amp;$C532))</f>
        <v>0</v>
      </c>
      <c r="AW532" s="2896">
        <f t="shared" ca="1" si="1075"/>
        <v>0</v>
      </c>
      <c r="AX532" s="2897">
        <f t="shared" ca="1" si="1076"/>
        <v>0</v>
      </c>
      <c r="AY532" s="584">
        <f ca="1">SUM(INDIRECT(AY$1&amp;AY$2&amp;$A532):INDIRECT(AY$1&amp;AY$3&amp;$A532))</f>
        <v>0</v>
      </c>
      <c r="AZ532" s="2896">
        <f t="shared" ca="1" si="1077"/>
        <v>0</v>
      </c>
      <c r="BA532" s="2897">
        <f t="shared" ca="1" si="1078"/>
        <v>0</v>
      </c>
      <c r="BC532" s="584">
        <f ca="1">SUM((INDIRECT(BC$2&amp;(ROW())):INDIRECT(BC$3&amp;(ROW()))))</f>
        <v>0</v>
      </c>
      <c r="BD532" s="584">
        <f ca="1">SUM(INDIRECT(BD$1&amp;BD$2&amp;$C532):INDIRECT(BD$1&amp;BD$3&amp;$C532))</f>
        <v>0</v>
      </c>
      <c r="BE532" s="2896">
        <f t="shared" ca="1" si="1079"/>
        <v>0</v>
      </c>
      <c r="BF532" s="2897">
        <f t="shared" ca="1" si="1080"/>
        <v>0</v>
      </c>
      <c r="BG532" s="584">
        <f ca="1">SUM(INDIRECT(BG$1&amp;BG$2&amp;$A532):INDIRECT(BG$1&amp;BG$3&amp;$A532))</f>
        <v>0</v>
      </c>
      <c r="BH532" s="2896">
        <f t="shared" ca="1" si="1081"/>
        <v>0</v>
      </c>
      <c r="BI532" s="2897">
        <f t="shared" ca="1" si="1082"/>
        <v>0</v>
      </c>
    </row>
    <row r="533" spans="1:61" ht="14.5">
      <c r="A533" s="1693">
        <f t="shared" si="1088"/>
        <v>525</v>
      </c>
      <c r="B533" s="616">
        <v>1</v>
      </c>
      <c r="C533" s="1693">
        <f t="shared" si="1087"/>
        <v>533</v>
      </c>
      <c r="D533" s="616">
        <v>1</v>
      </c>
      <c r="F533" s="69"/>
      <c r="J533" s="94"/>
      <c r="K533" s="93"/>
      <c r="L533" s="63"/>
      <c r="M533" s="63"/>
      <c r="O533" s="298" t="s">
        <v>274</v>
      </c>
      <c r="P533" s="298"/>
      <c r="Q533" s="298"/>
      <c r="R533" s="1777" t="str">
        <f>CHOOSE(2, "6722000003444", "S/GP (1)-1 Gross Profit Indirect NH &lt;Direct&gt;FSC(-)")</f>
        <v>S/GP (1)-1 Gross Profit Indirect NH &lt;Direct&gt;FSC(-)</v>
      </c>
      <c r="S533" s="1248">
        <f>SUM(S534:S536)</f>
        <v>0</v>
      </c>
      <c r="T533" s="1248">
        <f t="shared" ref="T533:AD533" si="1091">SUM(T534:T536)</f>
        <v>0</v>
      </c>
      <c r="U533" s="1248">
        <f t="shared" si="1091"/>
        <v>0</v>
      </c>
      <c r="V533" s="1248">
        <f t="shared" si="1091"/>
        <v>0</v>
      </c>
      <c r="W533" s="1248">
        <f t="shared" si="1091"/>
        <v>0</v>
      </c>
      <c r="X533" s="1248">
        <f t="shared" si="1091"/>
        <v>0</v>
      </c>
      <c r="Y533" s="1248">
        <f t="shared" si="1091"/>
        <v>0</v>
      </c>
      <c r="Z533" s="1248">
        <f t="shared" si="1091"/>
        <v>0</v>
      </c>
      <c r="AA533" s="1248">
        <f t="shared" si="1091"/>
        <v>0</v>
      </c>
      <c r="AB533" s="1248">
        <f t="shared" si="1091"/>
        <v>0</v>
      </c>
      <c r="AC533" s="1248">
        <f t="shared" si="1091"/>
        <v>0</v>
      </c>
      <c r="AD533" s="1248">
        <f t="shared" si="1091"/>
        <v>0</v>
      </c>
      <c r="AE533" s="895">
        <f t="shared" ref="AE533:AK533" si="1092">SUM(AE534:AE536)</f>
        <v>0</v>
      </c>
      <c r="AF533" s="1248">
        <f t="shared" si="1092"/>
        <v>0</v>
      </c>
      <c r="AG533" s="1248">
        <f t="shared" si="1092"/>
        <v>0</v>
      </c>
      <c r="AH533" s="1248">
        <f t="shared" si="1092"/>
        <v>0</v>
      </c>
      <c r="AI533" s="1248">
        <f t="shared" si="1092"/>
        <v>0</v>
      </c>
      <c r="AJ533" s="1248">
        <f t="shared" si="1092"/>
        <v>0</v>
      </c>
      <c r="AK533" s="1248">
        <f t="shared" si="1092"/>
        <v>0</v>
      </c>
      <c r="AL533" s="9"/>
      <c r="AM533" s="1971">
        <f ca="1">SUM((INDIRECT(AM$2&amp;(ROW())):INDIRECT(AM$3&amp;(ROW()))))</f>
        <v>0</v>
      </c>
      <c r="AN533" s="1971">
        <f ca="1">SUM(INDIRECT(AN$1&amp;AN$2&amp;$C533):INDIRECT(AN$1&amp;AN$3&amp;$C533))</f>
        <v>0</v>
      </c>
      <c r="AO533" s="2881">
        <f t="shared" ca="1" si="1003"/>
        <v>0</v>
      </c>
      <c r="AP533" s="2882">
        <f t="shared" ca="1" si="1073"/>
        <v>0</v>
      </c>
      <c r="AQ533" s="1971">
        <f ca="1">SUM(INDIRECT(AQ$1&amp;AQ$2&amp;$A533):INDIRECT(AQ$1&amp;AQ$3&amp;$A533))</f>
        <v>0</v>
      </c>
      <c r="AR533" s="2881">
        <f t="shared" ca="1" si="1005"/>
        <v>0</v>
      </c>
      <c r="AS533" s="2882">
        <f t="shared" ca="1" si="1074"/>
        <v>0</v>
      </c>
      <c r="AU533" s="1971">
        <f ca="1">SUM((INDIRECT(AU$2&amp;(ROW())):INDIRECT(AU$3&amp;(ROW()))))</f>
        <v>0</v>
      </c>
      <c r="AV533" s="1971">
        <f ca="1">SUM(INDIRECT(AV$1&amp;AV$2&amp;$C533):INDIRECT(AV$1&amp;AV$3&amp;$C533))</f>
        <v>0</v>
      </c>
      <c r="AW533" s="2881">
        <f t="shared" ca="1" si="1075"/>
        <v>0</v>
      </c>
      <c r="AX533" s="2882">
        <f t="shared" ca="1" si="1076"/>
        <v>0</v>
      </c>
      <c r="AY533" s="1971">
        <f ca="1">SUM(INDIRECT(AY$1&amp;AY$2&amp;$A533):INDIRECT(AY$1&amp;AY$3&amp;$A533))</f>
        <v>0</v>
      </c>
      <c r="AZ533" s="2881">
        <f t="shared" ca="1" si="1077"/>
        <v>0</v>
      </c>
      <c r="BA533" s="2882">
        <f t="shared" ca="1" si="1078"/>
        <v>0</v>
      </c>
      <c r="BC533" s="1971">
        <f ca="1">SUM((INDIRECT(BC$2&amp;(ROW())):INDIRECT(BC$3&amp;(ROW()))))</f>
        <v>0</v>
      </c>
      <c r="BD533" s="1971">
        <f ca="1">SUM(INDIRECT(BD$1&amp;BD$2&amp;$C533):INDIRECT(BD$1&amp;BD$3&amp;$C533))</f>
        <v>0</v>
      </c>
      <c r="BE533" s="2881">
        <f t="shared" ca="1" si="1079"/>
        <v>0</v>
      </c>
      <c r="BF533" s="2882">
        <f t="shared" ca="1" si="1080"/>
        <v>0</v>
      </c>
      <c r="BG533" s="1971">
        <f ca="1">SUM(INDIRECT(BG$1&amp;BG$2&amp;$A533):INDIRECT(BG$1&amp;BG$3&amp;$A533))</f>
        <v>0</v>
      </c>
      <c r="BH533" s="2881">
        <f t="shared" ca="1" si="1081"/>
        <v>0</v>
      </c>
      <c r="BI533" s="2882">
        <f t="shared" ca="1" si="1082"/>
        <v>0</v>
      </c>
    </row>
    <row r="534" spans="1:61" ht="14.5">
      <c r="A534" s="1693">
        <f t="shared" si="1088"/>
        <v>526</v>
      </c>
      <c r="B534" s="616">
        <v>1</v>
      </c>
      <c r="C534" s="1693">
        <f t="shared" si="1087"/>
        <v>534</v>
      </c>
      <c r="D534" s="616">
        <v>1</v>
      </c>
      <c r="F534" s="69"/>
      <c r="J534" s="94"/>
      <c r="K534" s="93"/>
      <c r="L534" s="63"/>
      <c r="M534" s="63"/>
      <c r="O534" s="291"/>
      <c r="P534" s="291"/>
      <c r="Q534" s="291" t="s">
        <v>212</v>
      </c>
      <c r="R534" s="1779" t="str">
        <f>CHOOSE(2, "6722000003445", "S/GP (1)-1 Gross Profit Indirect NH &lt;Direct&gt;FSC(-) PC")</f>
        <v>S/GP (1)-1 Gross Profit Indirect NH &lt;Direct&gt;FSC(-) PC</v>
      </c>
      <c r="S534" s="1227"/>
      <c r="T534" s="1227"/>
      <c r="U534" s="1227"/>
      <c r="V534" s="1227"/>
      <c r="W534" s="1227"/>
      <c r="X534" s="1227"/>
      <c r="Y534" s="1227"/>
      <c r="Z534" s="1227"/>
      <c r="AA534" s="1227"/>
      <c r="AB534" s="1227"/>
      <c r="AC534" s="1227"/>
      <c r="AD534" s="1227"/>
      <c r="AE534" s="896">
        <f>SUM(S534,T534,U534)</f>
        <v>0</v>
      </c>
      <c r="AF534" s="95">
        <f>SUM(V534,W534,X534)</f>
        <v>0</v>
      </c>
      <c r="AG534" s="95">
        <f>SUM(Y534,Z534,AA534)</f>
        <v>0</v>
      </c>
      <c r="AH534" s="95">
        <f>SUM(AB534,AC534,AD534)</f>
        <v>0</v>
      </c>
      <c r="AI534" s="95">
        <f>AE534+AF534</f>
        <v>0</v>
      </c>
      <c r="AJ534" s="95">
        <f>AH534+AG534</f>
        <v>0</v>
      </c>
      <c r="AK534" s="95">
        <f>AI534+AJ534</f>
        <v>0</v>
      </c>
      <c r="AM534" s="2138">
        <f ca="1">SUM((INDIRECT(AM$2&amp;(ROW())):INDIRECT(AM$3&amp;(ROW()))))</f>
        <v>0</v>
      </c>
      <c r="AN534" s="2138">
        <f ca="1">SUM(INDIRECT(AN$1&amp;AN$2&amp;$C534):INDIRECT(AN$1&amp;AN$3&amp;$C534))</f>
        <v>0</v>
      </c>
      <c r="AO534" s="2879">
        <f t="shared" ca="1" si="1003"/>
        <v>0</v>
      </c>
      <c r="AP534" s="2880">
        <f t="shared" ca="1" si="1073"/>
        <v>0</v>
      </c>
      <c r="AQ534" s="2138">
        <f ca="1">SUM(INDIRECT(AQ$1&amp;AQ$2&amp;$A534):INDIRECT(AQ$1&amp;AQ$3&amp;$A534))</f>
        <v>0</v>
      </c>
      <c r="AR534" s="2879">
        <f t="shared" ca="1" si="1005"/>
        <v>0</v>
      </c>
      <c r="AS534" s="2880">
        <f t="shared" ca="1" si="1074"/>
        <v>0</v>
      </c>
      <c r="AU534" s="2138">
        <f ca="1">SUM((INDIRECT(AU$2&amp;(ROW())):INDIRECT(AU$3&amp;(ROW()))))</f>
        <v>0</v>
      </c>
      <c r="AV534" s="2138">
        <f ca="1">SUM(INDIRECT(AV$1&amp;AV$2&amp;$C534):INDIRECT(AV$1&amp;AV$3&amp;$C534))</f>
        <v>0</v>
      </c>
      <c r="AW534" s="2879">
        <f t="shared" ca="1" si="1075"/>
        <v>0</v>
      </c>
      <c r="AX534" s="2880">
        <f t="shared" ca="1" si="1076"/>
        <v>0</v>
      </c>
      <c r="AY534" s="2138">
        <f ca="1">SUM(INDIRECT(AY$1&amp;AY$2&amp;$A534):INDIRECT(AY$1&amp;AY$3&amp;$A534))</f>
        <v>0</v>
      </c>
      <c r="AZ534" s="2879">
        <f t="shared" ca="1" si="1077"/>
        <v>0</v>
      </c>
      <c r="BA534" s="2880">
        <f t="shared" ca="1" si="1078"/>
        <v>0</v>
      </c>
      <c r="BC534" s="2138">
        <f ca="1">SUM((INDIRECT(BC$2&amp;(ROW())):INDIRECT(BC$3&amp;(ROW()))))</f>
        <v>0</v>
      </c>
      <c r="BD534" s="2138">
        <f ca="1">SUM(INDIRECT(BD$1&amp;BD$2&amp;$C534):INDIRECT(BD$1&amp;BD$3&amp;$C534))</f>
        <v>0</v>
      </c>
      <c r="BE534" s="2879">
        <f t="shared" ca="1" si="1079"/>
        <v>0</v>
      </c>
      <c r="BF534" s="2880">
        <f t="shared" ca="1" si="1080"/>
        <v>0</v>
      </c>
      <c r="BG534" s="2138">
        <f ca="1">SUM(INDIRECT(BG$1&amp;BG$2&amp;$A534):INDIRECT(BG$1&amp;BG$3&amp;$A534))</f>
        <v>0</v>
      </c>
      <c r="BH534" s="2879">
        <f t="shared" ca="1" si="1081"/>
        <v>0</v>
      </c>
      <c r="BI534" s="2880">
        <f t="shared" ca="1" si="1082"/>
        <v>0</v>
      </c>
    </row>
    <row r="535" spans="1:61" ht="14.5">
      <c r="A535" s="1693">
        <f t="shared" si="1088"/>
        <v>527</v>
      </c>
      <c r="B535" s="616">
        <v>1</v>
      </c>
      <c r="C535" s="1693">
        <f t="shared" si="1087"/>
        <v>535</v>
      </c>
      <c r="D535" s="616">
        <v>1</v>
      </c>
      <c r="F535" s="69"/>
      <c r="J535" s="94"/>
      <c r="K535" s="93"/>
      <c r="L535" s="63"/>
      <c r="M535" s="63"/>
      <c r="O535" s="229"/>
      <c r="P535" s="229"/>
      <c r="Q535" s="229" t="s">
        <v>213</v>
      </c>
      <c r="R535" s="1779" t="str">
        <f>CHOOSE(2, "6722000003446", "S/GP (1)-1 Gross Profit Indirect NH &lt;Direct&gt;FSC(-) TE")</f>
        <v>S/GP (1)-1 Gross Profit Indirect NH &lt;Direct&gt;FSC(-) TE</v>
      </c>
      <c r="S535" s="1217"/>
      <c r="T535" s="1217"/>
      <c r="U535" s="1217"/>
      <c r="V535" s="1217"/>
      <c r="W535" s="1217"/>
      <c r="X535" s="1217"/>
      <c r="Y535" s="1217"/>
      <c r="Z535" s="1217"/>
      <c r="AA535" s="1217"/>
      <c r="AB535" s="1217"/>
      <c r="AC535" s="1217"/>
      <c r="AD535" s="1217"/>
      <c r="AE535" s="783">
        <f>SUM(S535,T535,U535)</f>
        <v>0</v>
      </c>
      <c r="AF535" s="1226">
        <f>SUM(V535,W535,X535)</f>
        <v>0</v>
      </c>
      <c r="AG535" s="1226">
        <f>SUM(Y535,Z535,AA535)</f>
        <v>0</v>
      </c>
      <c r="AH535" s="1226">
        <f>SUM(AB535,AC535,AD535)</f>
        <v>0</v>
      </c>
      <c r="AI535" s="1226">
        <f>AE535+AF535</f>
        <v>0</v>
      </c>
      <c r="AJ535" s="1226">
        <f>AH535+AG535</f>
        <v>0</v>
      </c>
      <c r="AK535" s="1226">
        <f>AI535+AJ535</f>
        <v>0</v>
      </c>
      <c r="AM535" s="579">
        <f ca="1">SUM((INDIRECT(AM$2&amp;(ROW())):INDIRECT(AM$3&amp;(ROW()))))</f>
        <v>0</v>
      </c>
      <c r="AN535" s="579">
        <f ca="1">SUM(INDIRECT(AN$1&amp;AN$2&amp;$C535):INDIRECT(AN$1&amp;AN$3&amp;$C535))</f>
        <v>0</v>
      </c>
      <c r="AO535" s="2889">
        <f t="shared" ca="1" si="1003"/>
        <v>0</v>
      </c>
      <c r="AP535" s="2890">
        <f t="shared" ca="1" si="1073"/>
        <v>0</v>
      </c>
      <c r="AQ535" s="579">
        <f ca="1">SUM(INDIRECT(AQ$1&amp;AQ$2&amp;$A535):INDIRECT(AQ$1&amp;AQ$3&amp;$A535))</f>
        <v>0</v>
      </c>
      <c r="AR535" s="2889">
        <f t="shared" ca="1" si="1005"/>
        <v>0</v>
      </c>
      <c r="AS535" s="2890">
        <f t="shared" ca="1" si="1074"/>
        <v>0</v>
      </c>
      <c r="AU535" s="579">
        <f ca="1">SUM((INDIRECT(AU$2&amp;(ROW())):INDIRECT(AU$3&amp;(ROW()))))</f>
        <v>0</v>
      </c>
      <c r="AV535" s="579">
        <f ca="1">SUM(INDIRECT(AV$1&amp;AV$2&amp;$C535):INDIRECT(AV$1&amp;AV$3&amp;$C535))</f>
        <v>0</v>
      </c>
      <c r="AW535" s="2889">
        <f t="shared" ca="1" si="1075"/>
        <v>0</v>
      </c>
      <c r="AX535" s="2890">
        <f t="shared" ca="1" si="1076"/>
        <v>0</v>
      </c>
      <c r="AY535" s="579">
        <f ca="1">SUM(INDIRECT(AY$1&amp;AY$2&amp;$A535):INDIRECT(AY$1&amp;AY$3&amp;$A535))</f>
        <v>0</v>
      </c>
      <c r="AZ535" s="2889">
        <f t="shared" ca="1" si="1077"/>
        <v>0</v>
      </c>
      <c r="BA535" s="2890">
        <f t="shared" ca="1" si="1078"/>
        <v>0</v>
      </c>
      <c r="BC535" s="579">
        <f ca="1">SUM((INDIRECT(BC$2&amp;(ROW())):INDIRECT(BC$3&amp;(ROW()))))</f>
        <v>0</v>
      </c>
      <c r="BD535" s="579">
        <f ca="1">SUM(INDIRECT(BD$1&amp;BD$2&amp;$C535):INDIRECT(BD$1&amp;BD$3&amp;$C535))</f>
        <v>0</v>
      </c>
      <c r="BE535" s="2889">
        <f t="shared" ca="1" si="1079"/>
        <v>0</v>
      </c>
      <c r="BF535" s="2890">
        <f t="shared" ca="1" si="1080"/>
        <v>0</v>
      </c>
      <c r="BG535" s="579">
        <f ca="1">SUM(INDIRECT(BG$1&amp;BG$2&amp;$A535):INDIRECT(BG$1&amp;BG$3&amp;$A535))</f>
        <v>0</v>
      </c>
      <c r="BH535" s="2889">
        <f t="shared" ca="1" si="1081"/>
        <v>0</v>
      </c>
      <c r="BI535" s="2890">
        <f t="shared" ca="1" si="1082"/>
        <v>0</v>
      </c>
    </row>
    <row r="536" spans="1:61" ht="14.5">
      <c r="A536" s="1693">
        <f t="shared" si="1088"/>
        <v>528</v>
      </c>
      <c r="B536" s="616">
        <v>1</v>
      </c>
      <c r="C536" s="1693">
        <f t="shared" si="1087"/>
        <v>536</v>
      </c>
      <c r="D536" s="616">
        <v>1</v>
      </c>
      <c r="F536" s="69"/>
      <c r="J536" s="94"/>
      <c r="K536" s="93"/>
      <c r="L536" s="63"/>
      <c r="M536" s="63"/>
      <c r="O536" s="228"/>
      <c r="P536" s="228"/>
      <c r="Q536" s="228" t="s">
        <v>224</v>
      </c>
      <c r="R536" s="1779" t="str">
        <f>CHOOSE(2, "6722000003447", "S/GP (1)-1 Gross Profit Indirect NH &lt;Direct&gt;FSC(-) OFC")</f>
        <v>S/GP (1)-1 Gross Profit Indirect NH &lt;Direct&gt;FSC(-) OFC</v>
      </c>
      <c r="S536" s="1218"/>
      <c r="T536" s="1218"/>
      <c r="U536" s="1218"/>
      <c r="V536" s="1218"/>
      <c r="W536" s="1218"/>
      <c r="X536" s="1218"/>
      <c r="Y536" s="1218"/>
      <c r="Z536" s="1218"/>
      <c r="AA536" s="1218"/>
      <c r="AB536" s="1218"/>
      <c r="AC536" s="1218"/>
      <c r="AD536" s="1218"/>
      <c r="AE536" s="784">
        <f>SUM(S536,T536,U536)</f>
        <v>0</v>
      </c>
      <c r="AF536" s="1228">
        <f>SUM(V536,W536,X536)</f>
        <v>0</v>
      </c>
      <c r="AG536" s="1228">
        <f>SUM(Y536,Z536,AA536)</f>
        <v>0</v>
      </c>
      <c r="AH536" s="1228">
        <f>SUM(AB536,AC536,AD536)</f>
        <v>0</v>
      </c>
      <c r="AI536" s="1228">
        <f>AE536+AF536</f>
        <v>0</v>
      </c>
      <c r="AJ536" s="1228">
        <f>AH536+AG536</f>
        <v>0</v>
      </c>
      <c r="AK536" s="1228">
        <f>AI536+AJ536</f>
        <v>0</v>
      </c>
      <c r="AM536" s="584">
        <f ca="1">SUM((INDIRECT(AM$2&amp;(ROW())):INDIRECT(AM$3&amp;(ROW()))))</f>
        <v>0</v>
      </c>
      <c r="AN536" s="584">
        <f ca="1">SUM(INDIRECT(AN$1&amp;AN$2&amp;$C536):INDIRECT(AN$1&amp;AN$3&amp;$C536))</f>
        <v>0</v>
      </c>
      <c r="AO536" s="2896">
        <f t="shared" ca="1" si="1003"/>
        <v>0</v>
      </c>
      <c r="AP536" s="2897">
        <f t="shared" ca="1" si="1073"/>
        <v>0</v>
      </c>
      <c r="AQ536" s="584">
        <f ca="1">SUM(INDIRECT(AQ$1&amp;AQ$2&amp;$A536):INDIRECT(AQ$1&amp;AQ$3&amp;$A536))</f>
        <v>0</v>
      </c>
      <c r="AR536" s="2896">
        <f t="shared" ca="1" si="1005"/>
        <v>0</v>
      </c>
      <c r="AS536" s="2897">
        <f t="shared" ca="1" si="1074"/>
        <v>0</v>
      </c>
      <c r="AU536" s="584">
        <f ca="1">SUM((INDIRECT(AU$2&amp;(ROW())):INDIRECT(AU$3&amp;(ROW()))))</f>
        <v>0</v>
      </c>
      <c r="AV536" s="584">
        <f ca="1">SUM(INDIRECT(AV$1&amp;AV$2&amp;$C536):INDIRECT(AV$1&amp;AV$3&amp;$C536))</f>
        <v>0</v>
      </c>
      <c r="AW536" s="2896">
        <f t="shared" ca="1" si="1075"/>
        <v>0</v>
      </c>
      <c r="AX536" s="2897">
        <f t="shared" ca="1" si="1076"/>
        <v>0</v>
      </c>
      <c r="AY536" s="584">
        <f ca="1">SUM(INDIRECT(AY$1&amp;AY$2&amp;$A536):INDIRECT(AY$1&amp;AY$3&amp;$A536))</f>
        <v>0</v>
      </c>
      <c r="AZ536" s="2896">
        <f t="shared" ca="1" si="1077"/>
        <v>0</v>
      </c>
      <c r="BA536" s="2897">
        <f t="shared" ca="1" si="1078"/>
        <v>0</v>
      </c>
      <c r="BC536" s="584">
        <f ca="1">SUM((INDIRECT(BC$2&amp;(ROW())):INDIRECT(BC$3&amp;(ROW()))))</f>
        <v>0</v>
      </c>
      <c r="BD536" s="584">
        <f ca="1">SUM(INDIRECT(BD$1&amp;BD$2&amp;$C536):INDIRECT(BD$1&amp;BD$3&amp;$C536))</f>
        <v>0</v>
      </c>
      <c r="BE536" s="2896">
        <f t="shared" ca="1" si="1079"/>
        <v>0</v>
      </c>
      <c r="BF536" s="2897">
        <f t="shared" ca="1" si="1080"/>
        <v>0</v>
      </c>
      <c r="BG536" s="584">
        <f ca="1">SUM(INDIRECT(BG$1&amp;BG$2&amp;$A536):INDIRECT(BG$1&amp;BG$3&amp;$A536))</f>
        <v>0</v>
      </c>
      <c r="BH536" s="2896">
        <f t="shared" ca="1" si="1081"/>
        <v>0</v>
      </c>
      <c r="BI536" s="2897">
        <f t="shared" ca="1" si="1082"/>
        <v>0</v>
      </c>
    </row>
    <row r="537" spans="1:61" ht="14.5">
      <c r="A537" s="1693">
        <f t="shared" si="1088"/>
        <v>529</v>
      </c>
      <c r="B537" s="616">
        <v>1</v>
      </c>
      <c r="C537" s="1693">
        <f t="shared" si="1087"/>
        <v>537</v>
      </c>
      <c r="D537" s="616">
        <v>1</v>
      </c>
      <c r="F537" s="69"/>
      <c r="J537" s="94"/>
      <c r="K537" s="93"/>
      <c r="L537" s="63"/>
      <c r="M537" s="63"/>
      <c r="O537" s="290" t="s">
        <v>275</v>
      </c>
      <c r="P537" s="290"/>
      <c r="Q537" s="290"/>
      <c r="R537" s="1777" t="str">
        <f>CHOOSE(2, "6722000003448", "S/GP (1)-1 Gross Profit Indirect NH &lt;Direct&gt;SDC(-)")</f>
        <v>S/GP (1)-1 Gross Profit Indirect NH &lt;Direct&gt;SDC(-)</v>
      </c>
      <c r="S537" s="1249">
        <f>SUM(S538:S539)</f>
        <v>0</v>
      </c>
      <c r="T537" s="1249">
        <f t="shared" ref="T537:AD537" si="1093">SUM(T538:T539)</f>
        <v>0</v>
      </c>
      <c r="U537" s="1249">
        <f t="shared" si="1093"/>
        <v>0</v>
      </c>
      <c r="V537" s="1249">
        <f t="shared" si="1093"/>
        <v>0</v>
      </c>
      <c r="W537" s="1249">
        <f t="shared" si="1093"/>
        <v>0</v>
      </c>
      <c r="X537" s="1249">
        <f t="shared" si="1093"/>
        <v>0</v>
      </c>
      <c r="Y537" s="1249">
        <f t="shared" si="1093"/>
        <v>0</v>
      </c>
      <c r="Z537" s="1249">
        <f t="shared" si="1093"/>
        <v>0</v>
      </c>
      <c r="AA537" s="1249">
        <f t="shared" si="1093"/>
        <v>0</v>
      </c>
      <c r="AB537" s="1249">
        <f t="shared" si="1093"/>
        <v>0</v>
      </c>
      <c r="AC537" s="1249">
        <f t="shared" si="1093"/>
        <v>0</v>
      </c>
      <c r="AD537" s="1249">
        <f t="shared" si="1093"/>
        <v>0</v>
      </c>
      <c r="AE537" s="898">
        <f t="shared" ref="AE537:AK537" si="1094">SUM(AE538:AE539)</f>
        <v>0</v>
      </c>
      <c r="AF537" s="1249">
        <f t="shared" si="1094"/>
        <v>0</v>
      </c>
      <c r="AG537" s="1249">
        <f t="shared" si="1094"/>
        <v>0</v>
      </c>
      <c r="AH537" s="1249">
        <f t="shared" si="1094"/>
        <v>0</v>
      </c>
      <c r="AI537" s="1249">
        <f t="shared" si="1094"/>
        <v>0</v>
      </c>
      <c r="AJ537" s="1249">
        <f t="shared" si="1094"/>
        <v>0</v>
      </c>
      <c r="AK537" s="1249">
        <f t="shared" si="1094"/>
        <v>0</v>
      </c>
      <c r="AM537" s="1987">
        <f ca="1">SUM((INDIRECT(AM$2&amp;(ROW())):INDIRECT(AM$3&amp;(ROW()))))</f>
        <v>0</v>
      </c>
      <c r="AN537" s="1987">
        <f ca="1">SUM(INDIRECT(AN$1&amp;AN$2&amp;$C537):INDIRECT(AN$1&amp;AN$3&amp;$C537))</f>
        <v>0</v>
      </c>
      <c r="AO537" s="2885">
        <f t="shared" ca="1" si="1003"/>
        <v>0</v>
      </c>
      <c r="AP537" s="2886">
        <f t="shared" ca="1" si="1073"/>
        <v>0</v>
      </c>
      <c r="AQ537" s="1987">
        <f ca="1">SUM(INDIRECT(AQ$1&amp;AQ$2&amp;$A537):INDIRECT(AQ$1&amp;AQ$3&amp;$A537))</f>
        <v>0</v>
      </c>
      <c r="AR537" s="2885">
        <f t="shared" ca="1" si="1005"/>
        <v>0</v>
      </c>
      <c r="AS537" s="2886">
        <f t="shared" ca="1" si="1074"/>
        <v>0</v>
      </c>
      <c r="AU537" s="1987">
        <f ca="1">SUM((INDIRECT(AU$2&amp;(ROW())):INDIRECT(AU$3&amp;(ROW()))))</f>
        <v>0</v>
      </c>
      <c r="AV537" s="1987">
        <f ca="1">SUM(INDIRECT(AV$1&amp;AV$2&amp;$C537):INDIRECT(AV$1&amp;AV$3&amp;$C537))</f>
        <v>0</v>
      </c>
      <c r="AW537" s="2885">
        <f t="shared" ca="1" si="1075"/>
        <v>0</v>
      </c>
      <c r="AX537" s="2886">
        <f t="shared" ca="1" si="1076"/>
        <v>0</v>
      </c>
      <c r="AY537" s="1987">
        <f ca="1">SUM(INDIRECT(AY$1&amp;AY$2&amp;$A537):INDIRECT(AY$1&amp;AY$3&amp;$A537))</f>
        <v>0</v>
      </c>
      <c r="AZ537" s="2885">
        <f t="shared" ca="1" si="1077"/>
        <v>0</v>
      </c>
      <c r="BA537" s="2886">
        <f t="shared" ca="1" si="1078"/>
        <v>0</v>
      </c>
      <c r="BC537" s="1987">
        <f ca="1">SUM((INDIRECT(BC$2&amp;(ROW())):INDIRECT(BC$3&amp;(ROW()))))</f>
        <v>0</v>
      </c>
      <c r="BD537" s="1987">
        <f ca="1">SUM(INDIRECT(BD$1&amp;BD$2&amp;$C537):INDIRECT(BD$1&amp;BD$3&amp;$C537))</f>
        <v>0</v>
      </c>
      <c r="BE537" s="2885">
        <f t="shared" ca="1" si="1079"/>
        <v>0</v>
      </c>
      <c r="BF537" s="2886">
        <f t="shared" ca="1" si="1080"/>
        <v>0</v>
      </c>
      <c r="BG537" s="1987">
        <f ca="1">SUM(INDIRECT(BG$1&amp;BG$2&amp;$A537):INDIRECT(BG$1&amp;BG$3&amp;$A537))</f>
        <v>0</v>
      </c>
      <c r="BH537" s="2885">
        <f t="shared" ca="1" si="1081"/>
        <v>0</v>
      </c>
      <c r="BI537" s="2886">
        <f t="shared" ca="1" si="1082"/>
        <v>0</v>
      </c>
    </row>
    <row r="538" spans="1:61" ht="14.5">
      <c r="A538" s="1693">
        <f t="shared" si="1088"/>
        <v>530</v>
      </c>
      <c r="B538" s="616">
        <v>1</v>
      </c>
      <c r="C538" s="1693">
        <f t="shared" si="1087"/>
        <v>538</v>
      </c>
      <c r="D538" s="616">
        <v>1</v>
      </c>
      <c r="F538" s="69"/>
      <c r="J538" s="94"/>
      <c r="K538" s="93"/>
      <c r="L538" s="63"/>
      <c r="M538" s="63"/>
      <c r="O538" s="291"/>
      <c r="P538" s="291"/>
      <c r="Q538" s="291" t="s">
        <v>223</v>
      </c>
      <c r="R538" s="1779" t="str">
        <f>CHOOSE(2, "6722000003449", "S/GP (1)-1 Gross Profit Indirect NH &lt;Direct&gt;SDC(-) PC")</f>
        <v>S/GP (1)-1 Gross Profit Indirect NH &lt;Direct&gt;SDC(-) PC</v>
      </c>
      <c r="S538" s="1227"/>
      <c r="T538" s="1227"/>
      <c r="U538" s="1227"/>
      <c r="V538" s="1227"/>
      <c r="W538" s="1227"/>
      <c r="X538" s="1227"/>
      <c r="Y538" s="1227"/>
      <c r="Z538" s="1227"/>
      <c r="AA538" s="1227"/>
      <c r="AB538" s="1227"/>
      <c r="AC538" s="1227"/>
      <c r="AD538" s="1227"/>
      <c r="AE538" s="896">
        <f>SUM(S538,T538,U538)</f>
        <v>0</v>
      </c>
      <c r="AF538" s="95">
        <f>SUM(V538,W538,X538)</f>
        <v>0</v>
      </c>
      <c r="AG538" s="95">
        <f>SUM(Y538,Z538,AA538)</f>
        <v>0</v>
      </c>
      <c r="AH538" s="95">
        <f>SUM(AB538,AC538,AD538)</f>
        <v>0</v>
      </c>
      <c r="AI538" s="95">
        <f>AE538+AF538</f>
        <v>0</v>
      </c>
      <c r="AJ538" s="95">
        <f>AH538+AG538</f>
        <v>0</v>
      </c>
      <c r="AK538" s="95">
        <f>AI538+AJ538</f>
        <v>0</v>
      </c>
      <c r="AM538" s="2138">
        <f ca="1">SUM((INDIRECT(AM$2&amp;(ROW())):INDIRECT(AM$3&amp;(ROW()))))</f>
        <v>0</v>
      </c>
      <c r="AN538" s="2138">
        <f ca="1">SUM(INDIRECT(AN$1&amp;AN$2&amp;$C538):INDIRECT(AN$1&amp;AN$3&amp;$C538))</f>
        <v>0</v>
      </c>
      <c r="AO538" s="2879">
        <f t="shared" ca="1" si="1003"/>
        <v>0</v>
      </c>
      <c r="AP538" s="2880">
        <f t="shared" ca="1" si="1073"/>
        <v>0</v>
      </c>
      <c r="AQ538" s="2138">
        <f ca="1">SUM(INDIRECT(AQ$1&amp;AQ$2&amp;$A538):INDIRECT(AQ$1&amp;AQ$3&amp;$A538))</f>
        <v>0</v>
      </c>
      <c r="AR538" s="2879">
        <f t="shared" ca="1" si="1005"/>
        <v>0</v>
      </c>
      <c r="AS538" s="2880">
        <f t="shared" ca="1" si="1074"/>
        <v>0</v>
      </c>
      <c r="AU538" s="2138">
        <f ca="1">SUM((INDIRECT(AU$2&amp;(ROW())):INDIRECT(AU$3&amp;(ROW()))))</f>
        <v>0</v>
      </c>
      <c r="AV538" s="2138">
        <f ca="1">SUM(INDIRECT(AV$1&amp;AV$2&amp;$C538):INDIRECT(AV$1&amp;AV$3&amp;$C538))</f>
        <v>0</v>
      </c>
      <c r="AW538" s="2879">
        <f t="shared" ca="1" si="1075"/>
        <v>0</v>
      </c>
      <c r="AX538" s="2880">
        <f t="shared" ca="1" si="1076"/>
        <v>0</v>
      </c>
      <c r="AY538" s="2138">
        <f ca="1">SUM(INDIRECT(AY$1&amp;AY$2&amp;$A538):INDIRECT(AY$1&amp;AY$3&amp;$A538))</f>
        <v>0</v>
      </c>
      <c r="AZ538" s="2879">
        <f t="shared" ca="1" si="1077"/>
        <v>0</v>
      </c>
      <c r="BA538" s="2880">
        <f t="shared" ca="1" si="1078"/>
        <v>0</v>
      </c>
      <c r="BC538" s="2138">
        <f ca="1">SUM((INDIRECT(BC$2&amp;(ROW())):INDIRECT(BC$3&amp;(ROW()))))</f>
        <v>0</v>
      </c>
      <c r="BD538" s="2138">
        <f ca="1">SUM(INDIRECT(BD$1&amp;BD$2&amp;$C538):INDIRECT(BD$1&amp;BD$3&amp;$C538))</f>
        <v>0</v>
      </c>
      <c r="BE538" s="2879">
        <f t="shared" ca="1" si="1079"/>
        <v>0</v>
      </c>
      <c r="BF538" s="2880">
        <f t="shared" ca="1" si="1080"/>
        <v>0</v>
      </c>
      <c r="BG538" s="2138">
        <f ca="1">SUM(INDIRECT(BG$1&amp;BG$2&amp;$A538):INDIRECT(BG$1&amp;BG$3&amp;$A538))</f>
        <v>0</v>
      </c>
      <c r="BH538" s="2879">
        <f t="shared" ca="1" si="1081"/>
        <v>0</v>
      </c>
      <c r="BI538" s="2880">
        <f t="shared" ca="1" si="1082"/>
        <v>0</v>
      </c>
    </row>
    <row r="539" spans="1:61" ht="14.5">
      <c r="A539" s="1693">
        <f t="shared" si="1088"/>
        <v>531</v>
      </c>
      <c r="B539" s="616">
        <v>1</v>
      </c>
      <c r="C539" s="1693">
        <f t="shared" si="1087"/>
        <v>539</v>
      </c>
      <c r="D539" s="616">
        <v>1</v>
      </c>
      <c r="F539" s="69"/>
      <c r="J539" s="94"/>
      <c r="K539" s="93"/>
      <c r="L539" s="63"/>
      <c r="M539" s="63"/>
      <c r="O539" s="228"/>
      <c r="P539" s="228"/>
      <c r="Q539" s="228" t="s">
        <v>224</v>
      </c>
      <c r="R539" s="1779" t="str">
        <f>CHOOSE(2, "6722000003450", "S/GP (1)-1 Gross Profit Indirect NH &lt;Direct&gt;SDC(-) OFC")</f>
        <v>S/GP (1)-1 Gross Profit Indirect NH &lt;Direct&gt;SDC(-) OFC</v>
      </c>
      <c r="S539" s="1218"/>
      <c r="T539" s="1218"/>
      <c r="U539" s="1218"/>
      <c r="V539" s="1218"/>
      <c r="W539" s="1218"/>
      <c r="X539" s="1218"/>
      <c r="Y539" s="1218"/>
      <c r="Z539" s="1218"/>
      <c r="AA539" s="1218"/>
      <c r="AB539" s="1218"/>
      <c r="AC539" s="1218"/>
      <c r="AD539" s="1218"/>
      <c r="AE539" s="784">
        <f>SUM(S539,T539,U539)</f>
        <v>0</v>
      </c>
      <c r="AF539" s="1228">
        <f>SUM(V539,W539,X539)</f>
        <v>0</v>
      </c>
      <c r="AG539" s="1228">
        <f>SUM(Y539,Z539,AA539)</f>
        <v>0</v>
      </c>
      <c r="AH539" s="1228">
        <f>SUM(AB539,AC539,AD539)</f>
        <v>0</v>
      </c>
      <c r="AI539" s="1228">
        <f>AE539+AF539</f>
        <v>0</v>
      </c>
      <c r="AJ539" s="1228">
        <f>AH539+AG539</f>
        <v>0</v>
      </c>
      <c r="AK539" s="1228">
        <f>AI539+AJ539</f>
        <v>0</v>
      </c>
      <c r="AM539" s="584">
        <f ca="1">SUM((INDIRECT(AM$2&amp;(ROW())):INDIRECT(AM$3&amp;(ROW()))))</f>
        <v>0</v>
      </c>
      <c r="AN539" s="584">
        <f ca="1">SUM(INDIRECT(AN$1&amp;AN$2&amp;$C539):INDIRECT(AN$1&amp;AN$3&amp;$C539))</f>
        <v>0</v>
      </c>
      <c r="AO539" s="2896">
        <f t="shared" ca="1" si="1003"/>
        <v>0</v>
      </c>
      <c r="AP539" s="2897">
        <f t="shared" ca="1" si="1073"/>
        <v>0</v>
      </c>
      <c r="AQ539" s="584">
        <f ca="1">SUM(INDIRECT(AQ$1&amp;AQ$2&amp;$A539):INDIRECT(AQ$1&amp;AQ$3&amp;$A539))</f>
        <v>0</v>
      </c>
      <c r="AR539" s="2896">
        <f t="shared" ca="1" si="1005"/>
        <v>0</v>
      </c>
      <c r="AS539" s="2897">
        <f t="shared" ca="1" si="1074"/>
        <v>0</v>
      </c>
      <c r="AU539" s="584">
        <f ca="1">SUM((INDIRECT(AU$2&amp;(ROW())):INDIRECT(AU$3&amp;(ROW()))))</f>
        <v>0</v>
      </c>
      <c r="AV539" s="584">
        <f ca="1">SUM(INDIRECT(AV$1&amp;AV$2&amp;$C539):INDIRECT(AV$1&amp;AV$3&amp;$C539))</f>
        <v>0</v>
      </c>
      <c r="AW539" s="2896">
        <f t="shared" ca="1" si="1075"/>
        <v>0</v>
      </c>
      <c r="AX539" s="2897">
        <f t="shared" ca="1" si="1076"/>
        <v>0</v>
      </c>
      <c r="AY539" s="584">
        <f ca="1">SUM(INDIRECT(AY$1&amp;AY$2&amp;$A539):INDIRECT(AY$1&amp;AY$3&amp;$A539))</f>
        <v>0</v>
      </c>
      <c r="AZ539" s="2896">
        <f t="shared" ca="1" si="1077"/>
        <v>0</v>
      </c>
      <c r="BA539" s="2897">
        <f t="shared" ca="1" si="1078"/>
        <v>0</v>
      </c>
      <c r="BC539" s="584">
        <f ca="1">SUM((INDIRECT(BC$2&amp;(ROW())):INDIRECT(BC$3&amp;(ROW()))))</f>
        <v>0</v>
      </c>
      <c r="BD539" s="584">
        <f ca="1">SUM(INDIRECT(BD$1&amp;BD$2&amp;$C539):INDIRECT(BD$1&amp;BD$3&amp;$C539))</f>
        <v>0</v>
      </c>
      <c r="BE539" s="2896">
        <f t="shared" ca="1" si="1079"/>
        <v>0</v>
      </c>
      <c r="BF539" s="2897">
        <f t="shared" ca="1" si="1080"/>
        <v>0</v>
      </c>
      <c r="BG539" s="584">
        <f ca="1">SUM(INDIRECT(BG$1&amp;BG$2&amp;$A539):INDIRECT(BG$1&amp;BG$3&amp;$A539))</f>
        <v>0</v>
      </c>
      <c r="BH539" s="2896">
        <f t="shared" ca="1" si="1081"/>
        <v>0</v>
      </c>
      <c r="BI539" s="2897">
        <f t="shared" ca="1" si="1082"/>
        <v>0</v>
      </c>
    </row>
    <row r="540" spans="1:61" ht="14.5">
      <c r="A540" s="1693">
        <f t="shared" si="1088"/>
        <v>532</v>
      </c>
      <c r="B540" s="616">
        <v>1</v>
      </c>
      <c r="C540" s="1693">
        <f t="shared" si="1087"/>
        <v>540</v>
      </c>
      <c r="D540" s="616">
        <v>1</v>
      </c>
      <c r="F540" s="69"/>
      <c r="J540" s="94"/>
      <c r="K540" s="93"/>
      <c r="L540" s="63"/>
      <c r="M540" s="63"/>
      <c r="O540" s="473" t="s">
        <v>307</v>
      </c>
      <c r="P540" s="474"/>
      <c r="Q540" s="474"/>
      <c r="R540" s="1779" t="str">
        <f>CHOOSE(2, "6722000003451", "S/GP (1)-1 Gross Profit Indirect NH &lt;Direct&gt;D&amp;A (-)")</f>
        <v>S/GP (1)-1 Gross Profit Indirect NH &lt;Direct&gt;D&amp;A (-)</v>
      </c>
      <c r="S540" s="1280"/>
      <c r="T540" s="1280"/>
      <c r="U540" s="1280"/>
      <c r="V540" s="1280"/>
      <c r="W540" s="1280"/>
      <c r="X540" s="1280"/>
      <c r="Y540" s="1280"/>
      <c r="Z540" s="1280"/>
      <c r="AA540" s="1280"/>
      <c r="AB540" s="1280"/>
      <c r="AC540" s="1280"/>
      <c r="AD540" s="1280"/>
      <c r="AE540" s="900">
        <f>SUM(S540,T540,U540)</f>
        <v>0</v>
      </c>
      <c r="AF540" s="475">
        <f>SUM(V540,W540,X540)</f>
        <v>0</v>
      </c>
      <c r="AG540" s="475">
        <f>SUM(Y540,Z540,AA540)</f>
        <v>0</v>
      </c>
      <c r="AH540" s="475">
        <f>SUM(AB540,AC540,AD540)</f>
        <v>0</v>
      </c>
      <c r="AI540" s="475">
        <f>AE540+AF540</f>
        <v>0</v>
      </c>
      <c r="AJ540" s="475">
        <f>AH540+AG540</f>
        <v>0</v>
      </c>
      <c r="AK540" s="475">
        <f>AI540+AJ540</f>
        <v>0</v>
      </c>
      <c r="AM540" s="1918">
        <f ca="1">SUM((INDIRECT(AM$2&amp;(ROW())):INDIRECT(AM$3&amp;(ROW()))))</f>
        <v>0</v>
      </c>
      <c r="AN540" s="1918">
        <f ca="1">SUM(INDIRECT(AN$1&amp;AN$2&amp;$C540):INDIRECT(AN$1&amp;AN$3&amp;$C540))</f>
        <v>0</v>
      </c>
      <c r="AO540" s="2891">
        <f t="shared" ca="1" si="1003"/>
        <v>0</v>
      </c>
      <c r="AP540" s="2892">
        <f t="shared" ca="1" si="1073"/>
        <v>0</v>
      </c>
      <c r="AQ540" s="1918">
        <f ca="1">SUM(INDIRECT(AQ$1&amp;AQ$2&amp;$A540):INDIRECT(AQ$1&amp;AQ$3&amp;$A540))</f>
        <v>0</v>
      </c>
      <c r="AR540" s="2891">
        <f t="shared" ca="1" si="1005"/>
        <v>0</v>
      </c>
      <c r="AS540" s="2892">
        <f t="shared" ca="1" si="1074"/>
        <v>0</v>
      </c>
      <c r="AU540" s="1918">
        <f ca="1">SUM((INDIRECT(AU$2&amp;(ROW())):INDIRECT(AU$3&amp;(ROW()))))</f>
        <v>0</v>
      </c>
      <c r="AV540" s="1918">
        <f ca="1">SUM(INDIRECT(AV$1&amp;AV$2&amp;$C540):INDIRECT(AV$1&amp;AV$3&amp;$C540))</f>
        <v>0</v>
      </c>
      <c r="AW540" s="2891">
        <f t="shared" ca="1" si="1075"/>
        <v>0</v>
      </c>
      <c r="AX540" s="2892">
        <f t="shared" ca="1" si="1076"/>
        <v>0</v>
      </c>
      <c r="AY540" s="1918">
        <f ca="1">SUM(INDIRECT(AY$1&amp;AY$2&amp;$A540):INDIRECT(AY$1&amp;AY$3&amp;$A540))</f>
        <v>0</v>
      </c>
      <c r="AZ540" s="2891">
        <f t="shared" ca="1" si="1077"/>
        <v>0</v>
      </c>
      <c r="BA540" s="2892">
        <f t="shared" ca="1" si="1078"/>
        <v>0</v>
      </c>
      <c r="BC540" s="1918">
        <f ca="1">SUM((INDIRECT(BC$2&amp;(ROW())):INDIRECT(BC$3&amp;(ROW()))))</f>
        <v>0</v>
      </c>
      <c r="BD540" s="1918">
        <f ca="1">SUM(INDIRECT(BD$1&amp;BD$2&amp;$C540):INDIRECT(BD$1&amp;BD$3&amp;$C540))</f>
        <v>0</v>
      </c>
      <c r="BE540" s="2891">
        <f t="shared" ca="1" si="1079"/>
        <v>0</v>
      </c>
      <c r="BF540" s="2892">
        <f t="shared" ca="1" si="1080"/>
        <v>0</v>
      </c>
      <c r="BG540" s="1918">
        <f ca="1">SUM(INDIRECT(BG$1&amp;BG$2&amp;$A540):INDIRECT(BG$1&amp;BG$3&amp;$A540))</f>
        <v>0</v>
      </c>
      <c r="BH540" s="2891">
        <f t="shared" ca="1" si="1081"/>
        <v>0</v>
      </c>
      <c r="BI540" s="2892">
        <f t="shared" ca="1" si="1082"/>
        <v>0</v>
      </c>
    </row>
    <row r="541" spans="1:61" s="9" customFormat="1" ht="14.5">
      <c r="A541" s="1693">
        <f t="shared" si="1088"/>
        <v>533</v>
      </c>
      <c r="B541" s="616">
        <v>1</v>
      </c>
      <c r="C541" s="1693">
        <f t="shared" si="1087"/>
        <v>541</v>
      </c>
      <c r="D541" s="616">
        <v>1</v>
      </c>
      <c r="F541" s="22"/>
      <c r="I541" s="22"/>
      <c r="J541" s="92"/>
      <c r="K541" s="215"/>
      <c r="L541" s="62"/>
      <c r="M541" s="62"/>
      <c r="N541" s="20" t="s">
        <v>51</v>
      </c>
      <c r="O541" s="20"/>
      <c r="P541" s="20"/>
      <c r="Q541" s="233"/>
      <c r="R541" s="1779" t="str">
        <f>CHOOSE(2, "6722000003452", "S/GP (1)-1 Gross Profit Indirect Others")</f>
        <v>S/GP (1)-1 Gross Profit Indirect Others</v>
      </c>
      <c r="S541" s="1280"/>
      <c r="T541" s="1280"/>
      <c r="U541" s="1280"/>
      <c r="V541" s="1280"/>
      <c r="W541" s="1280"/>
      <c r="X541" s="1280"/>
      <c r="Y541" s="1280"/>
      <c r="Z541" s="1280"/>
      <c r="AA541" s="1280"/>
      <c r="AB541" s="1280"/>
      <c r="AC541" s="1280"/>
      <c r="AD541" s="1280"/>
      <c r="AE541" s="900">
        <f>SUM(S541,T541,U541)</f>
        <v>0</v>
      </c>
      <c r="AF541" s="64">
        <f>SUM(V541,W541,X541)</f>
        <v>0</v>
      </c>
      <c r="AG541" s="64">
        <f>SUM(Y541,Z541,AA541)</f>
        <v>0</v>
      </c>
      <c r="AH541" s="64">
        <f>SUM(AB541,AC541,AD541)</f>
        <v>0</v>
      </c>
      <c r="AI541" s="64">
        <f>AE541+AF541</f>
        <v>0</v>
      </c>
      <c r="AJ541" s="64">
        <f>AH541+AG541</f>
        <v>0</v>
      </c>
      <c r="AK541" s="64">
        <f>AI541+AJ541</f>
        <v>0</v>
      </c>
      <c r="AL541" s="8"/>
      <c r="AM541" s="1918">
        <f ca="1">SUM((INDIRECT(AM$2&amp;(ROW())):INDIRECT(AM$3&amp;(ROW()))))</f>
        <v>0</v>
      </c>
      <c r="AN541" s="1918">
        <f ca="1">SUM(INDIRECT(AN$1&amp;AN$2&amp;$C541):INDIRECT(AN$1&amp;AN$3&amp;$C541))</f>
        <v>0</v>
      </c>
      <c r="AO541" s="2891">
        <f t="shared" ca="1" si="1003"/>
        <v>0</v>
      </c>
      <c r="AP541" s="2892">
        <f t="shared" ca="1" si="1073"/>
        <v>0</v>
      </c>
      <c r="AQ541" s="1918">
        <f ca="1">SUM(INDIRECT(AQ$1&amp;AQ$2&amp;$A541):INDIRECT(AQ$1&amp;AQ$3&amp;$A541))</f>
        <v>0</v>
      </c>
      <c r="AR541" s="2891">
        <f t="shared" ca="1" si="1005"/>
        <v>0</v>
      </c>
      <c r="AS541" s="2892">
        <f t="shared" ca="1" si="1074"/>
        <v>0</v>
      </c>
      <c r="AU541" s="1918">
        <f ca="1">SUM((INDIRECT(AU$2&amp;(ROW())):INDIRECT(AU$3&amp;(ROW()))))</f>
        <v>0</v>
      </c>
      <c r="AV541" s="1918">
        <f ca="1">SUM(INDIRECT(AV$1&amp;AV$2&amp;$C541):INDIRECT(AV$1&amp;AV$3&amp;$C541))</f>
        <v>0</v>
      </c>
      <c r="AW541" s="2891">
        <f t="shared" ca="1" si="1075"/>
        <v>0</v>
      </c>
      <c r="AX541" s="2892">
        <f t="shared" ca="1" si="1076"/>
        <v>0</v>
      </c>
      <c r="AY541" s="1918">
        <f ca="1">SUM(INDIRECT(AY$1&amp;AY$2&amp;$A541):INDIRECT(AY$1&amp;AY$3&amp;$A541))</f>
        <v>0</v>
      </c>
      <c r="AZ541" s="2891">
        <f t="shared" ca="1" si="1077"/>
        <v>0</v>
      </c>
      <c r="BA541" s="2892">
        <f t="shared" ca="1" si="1078"/>
        <v>0</v>
      </c>
      <c r="BC541" s="1918">
        <f ca="1">SUM((INDIRECT(BC$2&amp;(ROW())):INDIRECT(BC$3&amp;(ROW()))))</f>
        <v>0</v>
      </c>
      <c r="BD541" s="1918">
        <f ca="1">SUM(INDIRECT(BD$1&amp;BD$2&amp;$C541):INDIRECT(BD$1&amp;BD$3&amp;$C541))</f>
        <v>0</v>
      </c>
      <c r="BE541" s="2891">
        <f t="shared" ca="1" si="1079"/>
        <v>0</v>
      </c>
      <c r="BF541" s="2892">
        <f t="shared" ca="1" si="1080"/>
        <v>0</v>
      </c>
      <c r="BG541" s="1918">
        <f ca="1">SUM(INDIRECT(BG$1&amp;BG$2&amp;$A541):INDIRECT(BG$1&amp;BG$3&amp;$A541))</f>
        <v>0</v>
      </c>
      <c r="BH541" s="2891">
        <f t="shared" ca="1" si="1081"/>
        <v>0</v>
      </c>
      <c r="BI541" s="2892">
        <f t="shared" ca="1" si="1082"/>
        <v>0</v>
      </c>
    </row>
    <row r="542" spans="1:61" ht="14.5">
      <c r="A542" s="1693">
        <f t="shared" si="1088"/>
        <v>534</v>
      </c>
      <c r="B542" s="616">
        <v>1</v>
      </c>
      <c r="C542" s="1693">
        <f t="shared" si="1087"/>
        <v>542</v>
      </c>
      <c r="D542" s="616">
        <v>1</v>
      </c>
      <c r="F542" s="69"/>
      <c r="J542" s="22"/>
      <c r="K542" s="69"/>
      <c r="L542" s="22"/>
      <c r="M542" s="22"/>
      <c r="N542" s="69"/>
      <c r="O542" s="69"/>
      <c r="P542" s="69"/>
      <c r="Q542" s="69"/>
      <c r="R542" s="1772" t="str">
        <f>CHOOSE(2, "6722000003453", "▷ Blank 19")</f>
        <v>▷ Blank 19</v>
      </c>
      <c r="S542" s="1125"/>
      <c r="T542" s="1366"/>
      <c r="U542" s="1366"/>
      <c r="V542" s="1366"/>
      <c r="W542" s="1366"/>
      <c r="X542" s="1366"/>
      <c r="Y542" s="1366"/>
      <c r="Z542" s="1366"/>
      <c r="AA542" s="1366"/>
      <c r="AB542" s="1242"/>
      <c r="AC542" s="1242"/>
      <c r="AD542" s="1242"/>
      <c r="AE542" s="1242"/>
      <c r="AF542" s="1242"/>
      <c r="AG542" s="1242"/>
      <c r="AH542" s="1242"/>
      <c r="AI542" s="1242"/>
      <c r="AJ542" s="1242"/>
      <c r="AK542" s="608"/>
      <c r="AM542" s="2558"/>
      <c r="AN542" s="2558"/>
      <c r="AO542" s="2558"/>
      <c r="AP542" s="2558"/>
      <c r="AQ542" s="2558"/>
      <c r="AR542" s="2558"/>
      <c r="AS542" s="2558"/>
      <c r="AU542" s="2558"/>
      <c r="AV542" s="2558"/>
      <c r="AW542" s="2558"/>
      <c r="AX542" s="2558"/>
      <c r="AY542" s="2558"/>
      <c r="AZ542" s="2558"/>
      <c r="BA542" s="2558"/>
      <c r="BC542" s="2558"/>
      <c r="BD542" s="2558"/>
      <c r="BE542" s="2558"/>
      <c r="BF542" s="2558"/>
      <c r="BG542" s="2558"/>
      <c r="BH542" s="2558"/>
      <c r="BI542" s="2558"/>
    </row>
    <row r="543" spans="1:61" ht="14.5">
      <c r="A543" s="1693">
        <f t="shared" si="1088"/>
        <v>535</v>
      </c>
      <c r="B543" s="616">
        <v>1</v>
      </c>
      <c r="C543" s="1693">
        <f t="shared" si="1087"/>
        <v>543</v>
      </c>
      <c r="D543" s="616">
        <v>1</v>
      </c>
      <c r="F543" s="69"/>
      <c r="G543" s="1567"/>
      <c r="I543" s="4" t="s">
        <v>815</v>
      </c>
      <c r="M543" s="3"/>
      <c r="R543" s="1772" t="str">
        <f>CHOOSE(2, "6722000003454", "S/GP (1)-2 ""Office Solution"" only")</f>
        <v>S/GP (1)-2 "Office Solution" only</v>
      </c>
      <c r="S543" s="1125"/>
      <c r="T543" s="1366"/>
      <c r="U543" s="1366"/>
      <c r="V543" s="1366"/>
      <c r="W543" s="1366"/>
      <c r="X543" s="1366"/>
      <c r="Y543" s="1366"/>
      <c r="Z543" s="1366"/>
      <c r="AA543" s="1366"/>
      <c r="AB543" s="1366"/>
      <c r="AC543" s="69"/>
      <c r="AD543" s="69"/>
      <c r="AE543" s="69"/>
      <c r="AF543" s="69"/>
      <c r="AG543" s="69"/>
      <c r="AH543" s="69"/>
      <c r="AI543" s="69"/>
      <c r="AJ543" s="69"/>
      <c r="AK543" s="69"/>
    </row>
    <row r="544" spans="1:61" ht="14.5">
      <c r="A544" s="1693">
        <f t="shared" si="1088"/>
        <v>536</v>
      </c>
      <c r="B544" s="616">
        <v>1</v>
      </c>
      <c r="C544" s="1693">
        <f t="shared" si="1087"/>
        <v>544</v>
      </c>
      <c r="D544" s="616">
        <v>1</v>
      </c>
      <c r="F544" s="69"/>
      <c r="G544" s="519"/>
      <c r="J544" s="100" t="s">
        <v>119</v>
      </c>
      <c r="K544" s="99"/>
      <c r="L544" s="310"/>
      <c r="M544" s="310"/>
      <c r="N544" s="582"/>
      <c r="O544" s="582"/>
      <c r="P544" s="582"/>
      <c r="Q544" s="582"/>
      <c r="R544" s="1810" t="str">
        <f>CHOOSE(2, "6722000003455", "S/GP (1)-2 Net Sales")</f>
        <v>S/GP (1)-2 Net Sales</v>
      </c>
      <c r="S544" s="1317">
        <f>S545+S550</f>
        <v>3065</v>
      </c>
      <c r="T544" s="1188">
        <f t="shared" ref="T544:AD544" si="1095">T545+T550</f>
        <v>2683.5050000000001</v>
      </c>
      <c r="U544" s="1188">
        <f t="shared" si="1095"/>
        <v>5116.1489999999994</v>
      </c>
      <c r="V544" s="1188">
        <f t="shared" si="1095"/>
        <v>2272.982</v>
      </c>
      <c r="W544" s="1188">
        <f t="shared" si="1095"/>
        <v>3073.2870000000003</v>
      </c>
      <c r="X544" s="1188">
        <f t="shared" si="1095"/>
        <v>3785.8459999999995</v>
      </c>
      <c r="Y544" s="1188">
        <f t="shared" si="1095"/>
        <v>1438.2670000000001</v>
      </c>
      <c r="Z544" s="1188">
        <f t="shared" si="1095"/>
        <v>3162.6769999999997</v>
      </c>
      <c r="AA544" s="1188">
        <f t="shared" si="1095"/>
        <v>3213.6220000000003</v>
      </c>
      <c r="AB544" s="1188">
        <f t="shared" si="1095"/>
        <v>5874.3530000000001</v>
      </c>
      <c r="AC544" s="1188">
        <f t="shared" si="1095"/>
        <v>2494.6910000000003</v>
      </c>
      <c r="AD544" s="1188">
        <f t="shared" si="1095"/>
        <v>2863.9180000000001</v>
      </c>
      <c r="AE544" s="894">
        <f t="shared" ref="AE544:AK544" si="1096">AE545+AE550</f>
        <v>10864.653999999999</v>
      </c>
      <c r="AF544" s="894">
        <f t="shared" si="1096"/>
        <v>9132.1149999999998</v>
      </c>
      <c r="AG544" s="894">
        <f t="shared" si="1096"/>
        <v>7814.5659999999998</v>
      </c>
      <c r="AH544" s="894">
        <f t="shared" si="1096"/>
        <v>11232.962</v>
      </c>
      <c r="AI544" s="894">
        <f t="shared" si="1096"/>
        <v>19996.769</v>
      </c>
      <c r="AJ544" s="894">
        <f t="shared" si="1096"/>
        <v>19047.527999999998</v>
      </c>
      <c r="AK544" s="894">
        <f t="shared" si="1096"/>
        <v>39044.296999999999</v>
      </c>
      <c r="AM544" s="1317">
        <f t="shared" ref="AM544:AN544" ca="1" si="1097">AM545+AM550</f>
        <v>3065</v>
      </c>
      <c r="AN544" s="2136">
        <f t="shared" ca="1" si="1097"/>
        <v>1500</v>
      </c>
      <c r="AO544" s="2871">
        <f t="shared" ref="AO544:AO557" ca="1" si="1098">AM544-AN544</f>
        <v>1565</v>
      </c>
      <c r="AP544" s="2872">
        <f t="shared" ref="AP544:AP557" ca="1" si="1099">IFERROR(AM544/AN544,0)</f>
        <v>2.0433333333333334</v>
      </c>
      <c r="AQ544" s="2136">
        <f t="shared" ref="AQ544" ca="1" si="1100">AQ545+AQ550</f>
        <v>1285</v>
      </c>
      <c r="AR544" s="2871">
        <f t="shared" ref="AR544:AR557" ca="1" si="1101">AM544-AQ544</f>
        <v>1780</v>
      </c>
      <c r="AS544" s="2872">
        <f t="shared" ref="AS544:AS557" ca="1" si="1102">IFERROR(AM544/AQ544,0)</f>
        <v>2.3852140077821011</v>
      </c>
      <c r="AU544" s="1317">
        <f t="shared" ref="AU544:AV544" ca="1" si="1103">AU545+AU550</f>
        <v>3065</v>
      </c>
      <c r="AV544" s="2136">
        <f t="shared" ca="1" si="1103"/>
        <v>1500</v>
      </c>
      <c r="AW544" s="2871">
        <f t="shared" ref="AW544:AW557" ca="1" si="1104">AU544-AV544</f>
        <v>1565</v>
      </c>
      <c r="AX544" s="2872">
        <f t="shared" ref="AX544:AX557" ca="1" si="1105">IFERROR(AU544/AV544,0)</f>
        <v>2.0433333333333334</v>
      </c>
      <c r="AY544" s="2136">
        <f t="shared" ref="AY544" ca="1" si="1106">AY545+AY550</f>
        <v>1285</v>
      </c>
      <c r="AZ544" s="2871">
        <f t="shared" ref="AZ544:AZ557" ca="1" si="1107">AU544-AY544</f>
        <v>1780</v>
      </c>
      <c r="BA544" s="2872">
        <f t="shared" ref="BA544:BA557" ca="1" si="1108">IFERROR(AU544/AY544,0)</f>
        <v>2.3852140077821011</v>
      </c>
      <c r="BC544" s="1317">
        <f t="shared" ref="BC544:BD544" ca="1" si="1109">BC545+BC550</f>
        <v>3065</v>
      </c>
      <c r="BD544" s="2136">
        <f t="shared" ca="1" si="1109"/>
        <v>1500</v>
      </c>
      <c r="BE544" s="2871">
        <f t="shared" ref="BE544:BE557" ca="1" si="1110">BC544-BD544</f>
        <v>1565</v>
      </c>
      <c r="BF544" s="2872">
        <f t="shared" ref="BF544:BF557" ca="1" si="1111">IFERROR(BC544/BD544,0)</f>
        <v>2.0433333333333334</v>
      </c>
      <c r="BG544" s="2136">
        <f t="shared" ref="BG544" ca="1" si="1112">BG545+BG550</f>
        <v>1285</v>
      </c>
      <c r="BH544" s="2871">
        <f t="shared" ref="BH544:BH557" ca="1" si="1113">BC544-BG544</f>
        <v>1780</v>
      </c>
      <c r="BI544" s="2872">
        <f t="shared" ref="BI544:BI557" ca="1" si="1114">IFERROR(BC544/BG544,0)</f>
        <v>2.3852140077821011</v>
      </c>
    </row>
    <row r="545" spans="1:61" ht="14.5">
      <c r="A545" s="1693">
        <f t="shared" si="1088"/>
        <v>537</v>
      </c>
      <c r="B545" s="616">
        <v>1</v>
      </c>
      <c r="C545" s="1693">
        <f t="shared" si="1087"/>
        <v>545</v>
      </c>
      <c r="D545" s="616">
        <v>1</v>
      </c>
      <c r="F545" s="69"/>
      <c r="G545" s="519"/>
      <c r="H545" s="22"/>
      <c r="J545" s="94"/>
      <c r="K545" s="93"/>
      <c r="L545" s="68" t="s">
        <v>120</v>
      </c>
      <c r="M545" s="68"/>
      <c r="N545" s="283" t="s">
        <v>175</v>
      </c>
      <c r="O545" s="1082"/>
      <c r="P545" s="1082"/>
      <c r="Q545" s="1082"/>
      <c r="R545" s="1814" t="str">
        <f>CHOOSE(2, "6722000003456", "S/GP (1)-2 Net Sales Direct Office Solution")</f>
        <v>S/GP (1)-2 Net Sales Direct Office Solution</v>
      </c>
      <c r="S545" s="1460">
        <f>SUM(S546:S549)</f>
        <v>1705</v>
      </c>
      <c r="T545" s="1460">
        <f t="shared" ref="T545:AD545" si="1115">SUM(T546:T549)</f>
        <v>1717.6849999999999</v>
      </c>
      <c r="U545" s="1460">
        <f t="shared" si="1115"/>
        <v>2298.4110000000001</v>
      </c>
      <c r="V545" s="1460">
        <f t="shared" si="1115"/>
        <v>1325.3389999999999</v>
      </c>
      <c r="W545" s="1460">
        <f t="shared" si="1115"/>
        <v>1207</v>
      </c>
      <c r="X545" s="1460">
        <f t="shared" si="1115"/>
        <v>1635.7329999999999</v>
      </c>
      <c r="Y545" s="1460">
        <f t="shared" si="1115"/>
        <v>1259</v>
      </c>
      <c r="Z545" s="1460">
        <f t="shared" si="1115"/>
        <v>1807.442</v>
      </c>
      <c r="AA545" s="1460">
        <f t="shared" si="1115"/>
        <v>1859.6210000000001</v>
      </c>
      <c r="AB545" s="1460">
        <f t="shared" si="1115"/>
        <v>1858.0809999999999</v>
      </c>
      <c r="AC545" s="1460">
        <f t="shared" si="1115"/>
        <v>2380.4760000000001</v>
      </c>
      <c r="AD545" s="1460">
        <f t="shared" si="1115"/>
        <v>2563.855</v>
      </c>
      <c r="AE545" s="1083">
        <f t="shared" ref="AE545:AK545" si="1116">SUM(AE546:AE549)</f>
        <v>5721.0959999999995</v>
      </c>
      <c r="AF545" s="1460">
        <f t="shared" si="1116"/>
        <v>4168.0720000000001</v>
      </c>
      <c r="AG545" s="1460">
        <f t="shared" si="1116"/>
        <v>4926.0630000000001</v>
      </c>
      <c r="AH545" s="1460">
        <f t="shared" si="1116"/>
        <v>6802.4120000000003</v>
      </c>
      <c r="AI545" s="1460">
        <f t="shared" si="1116"/>
        <v>9889.1679999999997</v>
      </c>
      <c r="AJ545" s="1460">
        <f t="shared" si="1116"/>
        <v>11728.475</v>
      </c>
      <c r="AK545" s="1083">
        <f t="shared" si="1116"/>
        <v>21617.643</v>
      </c>
      <c r="AM545" s="2570">
        <f ca="1">SUM((INDIRECT(AM$2&amp;(ROW())):INDIRECT(AM$3&amp;(ROW()))))</f>
        <v>1705</v>
      </c>
      <c r="AN545" s="2591">
        <f ca="1">SUM(INDIRECT(AN$1&amp;AN$2&amp;$C545):INDIRECT(AN$1&amp;AN$3&amp;$C545))</f>
        <v>1200</v>
      </c>
      <c r="AO545" s="2898">
        <f t="shared" ca="1" si="1098"/>
        <v>505</v>
      </c>
      <c r="AP545" s="2899">
        <f t="shared" ca="1" si="1099"/>
        <v>1.4208333333333334</v>
      </c>
      <c r="AQ545" s="2591">
        <f ca="1">SUM(INDIRECT(AQ$1&amp;AQ$2&amp;$A545):INDIRECT(AQ$1&amp;AQ$3&amp;$A545))+SUM(INDIRECT(AQ$1&amp;AQ$2&amp;$B545):INDIRECT(AQ$1&amp;AQ$3&amp;$B545))</f>
        <v>1285</v>
      </c>
      <c r="AR545" s="2898">
        <f t="shared" ca="1" si="1101"/>
        <v>420</v>
      </c>
      <c r="AS545" s="2899">
        <f t="shared" ca="1" si="1102"/>
        <v>1.3268482490272373</v>
      </c>
      <c r="AU545" s="2570">
        <f ca="1">SUM((INDIRECT(AU$2&amp;(ROW())):INDIRECT(AU$3&amp;(ROW()))))</f>
        <v>1705</v>
      </c>
      <c r="AV545" s="2591">
        <f ca="1">SUM(INDIRECT(AV$1&amp;AV$2&amp;$C545):INDIRECT(AV$1&amp;AV$3&amp;$C545))</f>
        <v>1200</v>
      </c>
      <c r="AW545" s="2898">
        <f t="shared" ca="1" si="1104"/>
        <v>505</v>
      </c>
      <c r="AX545" s="2899">
        <f t="shared" ca="1" si="1105"/>
        <v>1.4208333333333334</v>
      </c>
      <c r="AY545" s="2591">
        <f ca="1">SUM(INDIRECT(AY$1&amp;AY$2&amp;$A545):INDIRECT(AY$1&amp;AY$3&amp;$A545))+SUM(INDIRECT(AY$1&amp;AY$2&amp;$B545):INDIRECT(AY$1&amp;AY$3&amp;$B545))</f>
        <v>1285</v>
      </c>
      <c r="AZ545" s="2898">
        <f t="shared" ca="1" si="1107"/>
        <v>420</v>
      </c>
      <c r="BA545" s="2899">
        <f t="shared" ca="1" si="1108"/>
        <v>1.3268482490272373</v>
      </c>
      <c r="BC545" s="2570">
        <f ca="1">SUM((INDIRECT(BC$2&amp;(ROW())):INDIRECT(BC$3&amp;(ROW()))))</f>
        <v>1705</v>
      </c>
      <c r="BD545" s="2591">
        <f ca="1">SUM(INDIRECT(BD$1&amp;BD$2&amp;$C545):INDIRECT(BD$1&amp;BD$3&amp;$C545))</f>
        <v>1200</v>
      </c>
      <c r="BE545" s="2898">
        <f t="shared" ca="1" si="1110"/>
        <v>505</v>
      </c>
      <c r="BF545" s="2899">
        <f t="shared" ca="1" si="1111"/>
        <v>1.4208333333333334</v>
      </c>
      <c r="BG545" s="2591">
        <f ca="1">SUM(INDIRECT(BG$1&amp;BG$2&amp;$A545):INDIRECT(BG$1&amp;BG$3&amp;$A545))+SUM(INDIRECT(BG$1&amp;BG$2&amp;$B545):INDIRECT(BG$1&amp;BG$3&amp;$B545))</f>
        <v>1285</v>
      </c>
      <c r="BH545" s="2898">
        <f t="shared" ca="1" si="1113"/>
        <v>420</v>
      </c>
      <c r="BI545" s="2899">
        <f t="shared" ca="1" si="1114"/>
        <v>1.3268482490272373</v>
      </c>
    </row>
    <row r="546" spans="1:61" ht="14.5">
      <c r="A546" s="1693">
        <f t="shared" si="1088"/>
        <v>538</v>
      </c>
      <c r="B546" s="616">
        <v>1</v>
      </c>
      <c r="C546" s="1693">
        <f t="shared" si="1087"/>
        <v>546</v>
      </c>
      <c r="D546" s="616">
        <v>1</v>
      </c>
      <c r="F546" s="69"/>
      <c r="G546" s="519"/>
      <c r="H546" s="22"/>
      <c r="J546" s="94"/>
      <c r="K546" s="93"/>
      <c r="L546" s="68"/>
      <c r="M546" s="68"/>
      <c r="N546" s="69"/>
      <c r="O546" s="296" t="s">
        <v>523</v>
      </c>
      <c r="P546" s="296"/>
      <c r="Q546" s="296"/>
      <c r="R546" s="1779" t="str">
        <f>CHOOSE(2, "6722000003457", "S/GP (1)-2 Net Sales Direct Office Solution OSP")</f>
        <v>S/GP (1)-2 Net Sales Direct Office Solution OSP</v>
      </c>
      <c r="S546" s="1227"/>
      <c r="T546" s="1227"/>
      <c r="U546" s="1227"/>
      <c r="V546" s="1227"/>
      <c r="W546" s="1227"/>
      <c r="X546" s="1227"/>
      <c r="Y546" s="1227"/>
      <c r="Z546" s="1227"/>
      <c r="AA546" s="1227"/>
      <c r="AB546" s="1227"/>
      <c r="AC546" s="1227"/>
      <c r="AD546" s="1227"/>
      <c r="AE546" s="295">
        <f>SUM(S546,T546,U546)</f>
        <v>0</v>
      </c>
      <c r="AF546" s="96">
        <f>SUM(V546,W546,X546)</f>
        <v>0</v>
      </c>
      <c r="AG546" s="96">
        <f>SUM(Y546,Z546,AA546)</f>
        <v>0</v>
      </c>
      <c r="AH546" s="96">
        <f>SUM(AB546,AC546,AD546)</f>
        <v>0</v>
      </c>
      <c r="AI546" s="96">
        <f>AE546+AF546</f>
        <v>0</v>
      </c>
      <c r="AJ546" s="96">
        <f>AH546+AG546</f>
        <v>0</v>
      </c>
      <c r="AK546" s="295">
        <f>AI546+AJ546</f>
        <v>0</v>
      </c>
      <c r="AM546" s="2161">
        <f ca="1">SUM((INDIRECT(AM$2&amp;(ROW())):INDIRECT(AM$3&amp;(ROW()))))</f>
        <v>0</v>
      </c>
      <c r="AN546" s="2160">
        <f ca="1">SUM(INDIRECT(AN$1&amp;AN$2&amp;$C546):INDIRECT(AN$1&amp;AN$3&amp;$C546))</f>
        <v>0</v>
      </c>
      <c r="AO546" s="2900">
        <f t="shared" ca="1" si="1098"/>
        <v>0</v>
      </c>
      <c r="AP546" s="2901">
        <f t="shared" ca="1" si="1099"/>
        <v>0</v>
      </c>
      <c r="AQ546" s="2160">
        <f ca="1">SUM(INDIRECT(AQ$1&amp;AQ$2&amp;$A546):INDIRECT(AQ$1&amp;AQ$3&amp;$A546))+SUM(INDIRECT(AQ$1&amp;AQ$2&amp;$B546):INDIRECT(AQ$1&amp;AQ$3&amp;$B546))</f>
        <v>0</v>
      </c>
      <c r="AR546" s="2900">
        <f t="shared" ca="1" si="1101"/>
        <v>0</v>
      </c>
      <c r="AS546" s="2901">
        <f t="shared" ca="1" si="1102"/>
        <v>0</v>
      </c>
      <c r="AU546" s="2161">
        <f ca="1">SUM((INDIRECT(AU$2&amp;(ROW())):INDIRECT(AU$3&amp;(ROW()))))</f>
        <v>0</v>
      </c>
      <c r="AV546" s="2160">
        <f ca="1">SUM(INDIRECT(AV$1&amp;AV$2&amp;$C546):INDIRECT(AV$1&amp;AV$3&amp;$C546))</f>
        <v>0</v>
      </c>
      <c r="AW546" s="2900">
        <f t="shared" ca="1" si="1104"/>
        <v>0</v>
      </c>
      <c r="AX546" s="2901">
        <f t="shared" ca="1" si="1105"/>
        <v>0</v>
      </c>
      <c r="AY546" s="2160">
        <f ca="1">SUM(INDIRECT(AY$1&amp;AY$2&amp;$A546):INDIRECT(AY$1&amp;AY$3&amp;$A546))+SUM(INDIRECT(AY$1&amp;AY$2&amp;$B546):INDIRECT(AY$1&amp;AY$3&amp;$B546))</f>
        <v>0</v>
      </c>
      <c r="AZ546" s="2900">
        <f t="shared" ca="1" si="1107"/>
        <v>0</v>
      </c>
      <c r="BA546" s="2901">
        <f t="shared" ca="1" si="1108"/>
        <v>0</v>
      </c>
      <c r="BC546" s="2161">
        <f ca="1">SUM((INDIRECT(BC$2&amp;(ROW())):INDIRECT(BC$3&amp;(ROW()))))</f>
        <v>0</v>
      </c>
      <c r="BD546" s="2160">
        <f ca="1">SUM(INDIRECT(BD$1&amp;BD$2&amp;$C546):INDIRECT(BD$1&amp;BD$3&amp;$C546))</f>
        <v>0</v>
      </c>
      <c r="BE546" s="2900">
        <f t="shared" ca="1" si="1110"/>
        <v>0</v>
      </c>
      <c r="BF546" s="2901">
        <f t="shared" ca="1" si="1111"/>
        <v>0</v>
      </c>
      <c r="BG546" s="2160">
        <f ca="1">SUM(INDIRECT(BG$1&amp;BG$2&amp;$A546):INDIRECT(BG$1&amp;BG$3&amp;$A546))+SUM(INDIRECT(BG$1&amp;BG$2&amp;$B546):INDIRECT(BG$1&amp;BG$3&amp;$B546))</f>
        <v>0</v>
      </c>
      <c r="BH546" s="2900">
        <f t="shared" ca="1" si="1113"/>
        <v>0</v>
      </c>
      <c r="BI546" s="2901">
        <f t="shared" ca="1" si="1114"/>
        <v>0</v>
      </c>
    </row>
    <row r="547" spans="1:61" ht="14.5">
      <c r="A547" s="1693">
        <f t="shared" si="1088"/>
        <v>539</v>
      </c>
      <c r="B547" s="616">
        <v>1</v>
      </c>
      <c r="C547" s="1693">
        <f t="shared" si="1087"/>
        <v>547</v>
      </c>
      <c r="D547" s="616">
        <v>1</v>
      </c>
      <c r="F547" s="69"/>
      <c r="G547" s="519"/>
      <c r="H547" s="22"/>
      <c r="J547" s="94"/>
      <c r="K547" s="93"/>
      <c r="L547" s="68"/>
      <c r="M547" s="68"/>
      <c r="N547" s="69"/>
      <c r="O547" s="69" t="s">
        <v>524</v>
      </c>
      <c r="P547" s="69"/>
      <c r="Q547" s="69"/>
      <c r="R547" s="1779" t="str">
        <f>CHOOSE(2, "6722000003458", "S/GP (1)-2 Net Sales Direct Office Solution RP")</f>
        <v>S/GP (1)-2 Net Sales Direct Office Solution RP</v>
      </c>
      <c r="S547" s="1217">
        <v>1705</v>
      </c>
      <c r="T547" s="1217">
        <v>1717.6849999999999</v>
      </c>
      <c r="U547" s="1217">
        <v>2298.4110000000001</v>
      </c>
      <c r="V547" s="1217">
        <v>1325.3389999999999</v>
      </c>
      <c r="W547" s="1217">
        <v>1207</v>
      </c>
      <c r="X547" s="1217">
        <v>1635.7329999999999</v>
      </c>
      <c r="Y547" s="1217">
        <v>1259</v>
      </c>
      <c r="Z547" s="1217">
        <v>1807.442</v>
      </c>
      <c r="AA547" s="1217">
        <v>1859.6210000000001</v>
      </c>
      <c r="AB547" s="1217">
        <v>1858.0809999999999</v>
      </c>
      <c r="AC547" s="1217">
        <v>2380.4760000000001</v>
      </c>
      <c r="AD547" s="1217">
        <v>2563.855</v>
      </c>
      <c r="AE547" s="88">
        <f>SUM(S547,T547,U547)</f>
        <v>5721.0959999999995</v>
      </c>
      <c r="AF547" s="17">
        <f>SUM(V547,W547,X547)</f>
        <v>4168.0720000000001</v>
      </c>
      <c r="AG547" s="17">
        <f>SUM(Y547,Z547,AA547)</f>
        <v>4926.0630000000001</v>
      </c>
      <c r="AH547" s="17">
        <f>SUM(AB547,AC547,AD547)</f>
        <v>6802.4120000000003</v>
      </c>
      <c r="AI547" s="17">
        <f>AE547+AF547</f>
        <v>9889.1679999999997</v>
      </c>
      <c r="AJ547" s="17">
        <f>AH547+AG547</f>
        <v>11728.475</v>
      </c>
      <c r="AK547" s="88">
        <f>AI547+AJ547</f>
        <v>21617.643</v>
      </c>
      <c r="AM547" s="1926">
        <f ca="1">SUM((INDIRECT(AM$2&amp;(ROW())):INDIRECT(AM$3&amp;(ROW()))))</f>
        <v>1705</v>
      </c>
      <c r="AN547" s="1925">
        <f ca="1">SUM(INDIRECT(AN$1&amp;AN$2&amp;$C547):INDIRECT(AN$1&amp;AN$3&amp;$C547))</f>
        <v>1200</v>
      </c>
      <c r="AO547" s="2902">
        <f t="shared" ca="1" si="1098"/>
        <v>505</v>
      </c>
      <c r="AP547" s="2903">
        <f t="shared" ca="1" si="1099"/>
        <v>1.4208333333333334</v>
      </c>
      <c r="AQ547" s="1925">
        <f ca="1">SUM(INDIRECT(AQ$1&amp;AQ$2&amp;$A547):INDIRECT(AQ$1&amp;AQ$3&amp;$A547))+SUM(INDIRECT(AQ$1&amp;AQ$2&amp;$B547):INDIRECT(AQ$1&amp;AQ$3&amp;$B547))</f>
        <v>1285</v>
      </c>
      <c r="AR547" s="2902">
        <f t="shared" ca="1" si="1101"/>
        <v>420</v>
      </c>
      <c r="AS547" s="2903">
        <f t="shared" ca="1" si="1102"/>
        <v>1.3268482490272373</v>
      </c>
      <c r="AU547" s="1926">
        <f ca="1">SUM((INDIRECT(AU$2&amp;(ROW())):INDIRECT(AU$3&amp;(ROW()))))</f>
        <v>1705</v>
      </c>
      <c r="AV547" s="1925">
        <f ca="1">SUM(INDIRECT(AV$1&amp;AV$2&amp;$C547):INDIRECT(AV$1&amp;AV$3&amp;$C547))</f>
        <v>1200</v>
      </c>
      <c r="AW547" s="2902">
        <f t="shared" ca="1" si="1104"/>
        <v>505</v>
      </c>
      <c r="AX547" s="2903">
        <f t="shared" ca="1" si="1105"/>
        <v>1.4208333333333334</v>
      </c>
      <c r="AY547" s="1925">
        <f ca="1">SUM(INDIRECT(AY$1&amp;AY$2&amp;$A547):INDIRECT(AY$1&amp;AY$3&amp;$A547))+SUM(INDIRECT(AY$1&amp;AY$2&amp;$B547):INDIRECT(AY$1&amp;AY$3&amp;$B547))</f>
        <v>1285</v>
      </c>
      <c r="AZ547" s="2902">
        <f t="shared" ca="1" si="1107"/>
        <v>420</v>
      </c>
      <c r="BA547" s="2903">
        <f t="shared" ca="1" si="1108"/>
        <v>1.3268482490272373</v>
      </c>
      <c r="BC547" s="1926">
        <f ca="1">SUM((INDIRECT(BC$2&amp;(ROW())):INDIRECT(BC$3&amp;(ROW()))))</f>
        <v>1705</v>
      </c>
      <c r="BD547" s="1925">
        <f ca="1">SUM(INDIRECT(BD$1&amp;BD$2&amp;$C547):INDIRECT(BD$1&amp;BD$3&amp;$C547))</f>
        <v>1200</v>
      </c>
      <c r="BE547" s="2902">
        <f t="shared" ca="1" si="1110"/>
        <v>505</v>
      </c>
      <c r="BF547" s="2903">
        <f t="shared" ca="1" si="1111"/>
        <v>1.4208333333333334</v>
      </c>
      <c r="BG547" s="1925">
        <f ca="1">SUM(INDIRECT(BG$1&amp;BG$2&amp;$A547):INDIRECT(BG$1&amp;BG$3&amp;$A547))+SUM(INDIRECT(BG$1&amp;BG$2&amp;$B547):INDIRECT(BG$1&amp;BG$3&amp;$B547))</f>
        <v>1285</v>
      </c>
      <c r="BH547" s="2902">
        <f t="shared" ca="1" si="1113"/>
        <v>420</v>
      </c>
      <c r="BI547" s="2903">
        <f t="shared" ca="1" si="1114"/>
        <v>1.3268482490272373</v>
      </c>
    </row>
    <row r="548" spans="1:61" ht="14.5">
      <c r="A548" s="1693">
        <f t="shared" si="1088"/>
        <v>540</v>
      </c>
      <c r="B548" s="616">
        <v>1</v>
      </c>
      <c r="C548" s="1693">
        <f t="shared" si="1087"/>
        <v>548</v>
      </c>
      <c r="D548" s="616">
        <v>1</v>
      </c>
      <c r="F548" s="69"/>
      <c r="G548" s="519"/>
      <c r="H548" s="22"/>
      <c r="J548" s="94"/>
      <c r="K548" s="93"/>
      <c r="L548" s="68"/>
      <c r="M548" s="68"/>
      <c r="N548" s="69"/>
      <c r="O548" s="69" t="s">
        <v>525</v>
      </c>
      <c r="P548" s="69"/>
      <c r="Q548" s="69"/>
      <c r="R548" s="1779" t="str">
        <f>CHOOSE(2, "6722000003459", "S/GP (1)-2 Net Sales Direct Office Solution OSP service")</f>
        <v>S/GP (1)-2 Net Sales Direct Office Solution OSP service</v>
      </c>
      <c r="S548" s="1217"/>
      <c r="T548" s="1217"/>
      <c r="U548" s="1217"/>
      <c r="V548" s="1217"/>
      <c r="W548" s="1217"/>
      <c r="X548" s="1217"/>
      <c r="Y548" s="1217"/>
      <c r="Z548" s="1217"/>
      <c r="AA548" s="1217"/>
      <c r="AB548" s="1217"/>
      <c r="AC548" s="1217"/>
      <c r="AD548" s="1217"/>
      <c r="AE548" s="88">
        <f>SUM(S548,T548,U548)</f>
        <v>0</v>
      </c>
      <c r="AF548" s="17">
        <f>SUM(V548,W548,X548)</f>
        <v>0</v>
      </c>
      <c r="AG548" s="17">
        <f>SUM(Y548,Z548,AA548)</f>
        <v>0</v>
      </c>
      <c r="AH548" s="17">
        <f>SUM(AB548,AC548,AD548)</f>
        <v>0</v>
      </c>
      <c r="AI548" s="17">
        <f>AE548+AF548</f>
        <v>0</v>
      </c>
      <c r="AJ548" s="17">
        <f>AH548+AG548</f>
        <v>0</v>
      </c>
      <c r="AK548" s="88">
        <f>AI548+AJ548</f>
        <v>0</v>
      </c>
      <c r="AM548" s="1926">
        <f ca="1">SUM((INDIRECT(AM$2&amp;(ROW())):INDIRECT(AM$3&amp;(ROW()))))</f>
        <v>0</v>
      </c>
      <c r="AN548" s="1925">
        <f ca="1">SUM(INDIRECT(AN$1&amp;AN$2&amp;$C548):INDIRECT(AN$1&amp;AN$3&amp;$C548))</f>
        <v>0</v>
      </c>
      <c r="AO548" s="2902">
        <f t="shared" ca="1" si="1098"/>
        <v>0</v>
      </c>
      <c r="AP548" s="2903">
        <f t="shared" ca="1" si="1099"/>
        <v>0</v>
      </c>
      <c r="AQ548" s="1925">
        <f ca="1">SUM(INDIRECT(AQ$1&amp;AQ$2&amp;$A548):INDIRECT(AQ$1&amp;AQ$3&amp;$A548))+SUM(INDIRECT(AQ$1&amp;AQ$2&amp;$B548):INDIRECT(AQ$1&amp;AQ$3&amp;$B548))</f>
        <v>0</v>
      </c>
      <c r="AR548" s="2902">
        <f t="shared" ca="1" si="1101"/>
        <v>0</v>
      </c>
      <c r="AS548" s="2903">
        <f t="shared" ca="1" si="1102"/>
        <v>0</v>
      </c>
      <c r="AU548" s="1926">
        <f ca="1">SUM((INDIRECT(AU$2&amp;(ROW())):INDIRECT(AU$3&amp;(ROW()))))</f>
        <v>0</v>
      </c>
      <c r="AV548" s="1925">
        <f ca="1">SUM(INDIRECT(AV$1&amp;AV$2&amp;$C548):INDIRECT(AV$1&amp;AV$3&amp;$C548))</f>
        <v>0</v>
      </c>
      <c r="AW548" s="2902">
        <f t="shared" ca="1" si="1104"/>
        <v>0</v>
      </c>
      <c r="AX548" s="2903">
        <f t="shared" ca="1" si="1105"/>
        <v>0</v>
      </c>
      <c r="AY548" s="1925">
        <f ca="1">SUM(INDIRECT(AY$1&amp;AY$2&amp;$A548):INDIRECT(AY$1&amp;AY$3&amp;$A548))+SUM(INDIRECT(AY$1&amp;AY$2&amp;$B548):INDIRECT(AY$1&amp;AY$3&amp;$B548))</f>
        <v>0</v>
      </c>
      <c r="AZ548" s="2902">
        <f t="shared" ca="1" si="1107"/>
        <v>0</v>
      </c>
      <c r="BA548" s="2903">
        <f t="shared" ca="1" si="1108"/>
        <v>0</v>
      </c>
      <c r="BC548" s="1926">
        <f ca="1">SUM((INDIRECT(BC$2&amp;(ROW())):INDIRECT(BC$3&amp;(ROW()))))</f>
        <v>0</v>
      </c>
      <c r="BD548" s="1925">
        <f ca="1">SUM(INDIRECT(BD$1&amp;BD$2&amp;$C548):INDIRECT(BD$1&amp;BD$3&amp;$C548))</f>
        <v>0</v>
      </c>
      <c r="BE548" s="2902">
        <f t="shared" ca="1" si="1110"/>
        <v>0</v>
      </c>
      <c r="BF548" s="2903">
        <f t="shared" ca="1" si="1111"/>
        <v>0</v>
      </c>
      <c r="BG548" s="1925">
        <f ca="1">SUM(INDIRECT(BG$1&amp;BG$2&amp;$A548):INDIRECT(BG$1&amp;BG$3&amp;$A548))+SUM(INDIRECT(BG$1&amp;BG$2&amp;$B548):INDIRECT(BG$1&amp;BG$3&amp;$B548))</f>
        <v>0</v>
      </c>
      <c r="BH548" s="2902">
        <f t="shared" ca="1" si="1113"/>
        <v>0</v>
      </c>
      <c r="BI548" s="2903">
        <f t="shared" ca="1" si="1114"/>
        <v>0</v>
      </c>
    </row>
    <row r="549" spans="1:61" ht="14.5">
      <c r="A549" s="1693">
        <f t="shared" si="1088"/>
        <v>541</v>
      </c>
      <c r="B549" s="616">
        <v>1</v>
      </c>
      <c r="C549" s="1693">
        <f t="shared" si="1087"/>
        <v>549</v>
      </c>
      <c r="D549" s="616">
        <v>1</v>
      </c>
      <c r="F549" s="69"/>
      <c r="G549" s="519"/>
      <c r="H549" s="22"/>
      <c r="J549" s="94"/>
      <c r="K549" s="93"/>
      <c r="L549" s="68"/>
      <c r="M549" s="68"/>
      <c r="N549" s="211"/>
      <c r="O549" s="211" t="s">
        <v>526</v>
      </c>
      <c r="P549" s="211"/>
      <c r="Q549" s="211"/>
      <c r="R549" s="1779" t="str">
        <f>CHOOSE(2, "6722000003460", "S/GP (1)-2 Net Sales Direct Office Solution RP service")</f>
        <v>S/GP (1)-2 Net Sales Direct Office Solution RP service</v>
      </c>
      <c r="S549" s="1218"/>
      <c r="T549" s="1218"/>
      <c r="U549" s="1218"/>
      <c r="V549" s="1218"/>
      <c r="W549" s="1218"/>
      <c r="X549" s="1218"/>
      <c r="Y549" s="1218"/>
      <c r="Z549" s="1218"/>
      <c r="AA549" s="1218"/>
      <c r="AB549" s="1218"/>
      <c r="AC549" s="1218"/>
      <c r="AD549" s="1218"/>
      <c r="AE549" s="87">
        <f>SUM(S549,T549,U549)</f>
        <v>0</v>
      </c>
      <c r="AF549" s="15">
        <f>SUM(V549,W549,X549)</f>
        <v>0</v>
      </c>
      <c r="AG549" s="15">
        <f>SUM(Y549,Z549,AA549)</f>
        <v>0</v>
      </c>
      <c r="AH549" s="15">
        <f>SUM(AB549,AC549,AD549)</f>
        <v>0</v>
      </c>
      <c r="AI549" s="15">
        <f>AE549+AF549</f>
        <v>0</v>
      </c>
      <c r="AJ549" s="15">
        <f>AH549+AG549</f>
        <v>0</v>
      </c>
      <c r="AK549" s="87">
        <f>AI549+AJ549</f>
        <v>0</v>
      </c>
      <c r="AM549" s="1926">
        <f ca="1">SUM((INDIRECT(AM$2&amp;(ROW())):INDIRECT(AM$3&amp;(ROW()))))</f>
        <v>0</v>
      </c>
      <c r="AN549" s="1925">
        <f ca="1">SUM(INDIRECT(AN$1&amp;AN$2&amp;$C549):INDIRECT(AN$1&amp;AN$3&amp;$C549))</f>
        <v>0</v>
      </c>
      <c r="AO549" s="2902">
        <f t="shared" ca="1" si="1098"/>
        <v>0</v>
      </c>
      <c r="AP549" s="2903">
        <f t="shared" ca="1" si="1099"/>
        <v>0</v>
      </c>
      <c r="AQ549" s="1925">
        <f ca="1">SUM(INDIRECT(AQ$1&amp;AQ$2&amp;$A549):INDIRECT(AQ$1&amp;AQ$3&amp;$A549))+SUM(INDIRECT(AQ$1&amp;AQ$2&amp;$B549):INDIRECT(AQ$1&amp;AQ$3&amp;$B549))</f>
        <v>0</v>
      </c>
      <c r="AR549" s="2902">
        <f t="shared" ca="1" si="1101"/>
        <v>0</v>
      </c>
      <c r="AS549" s="2903">
        <f t="shared" ca="1" si="1102"/>
        <v>0</v>
      </c>
      <c r="AU549" s="1926">
        <f ca="1">SUM((INDIRECT(AU$2&amp;(ROW())):INDIRECT(AU$3&amp;(ROW()))))</f>
        <v>0</v>
      </c>
      <c r="AV549" s="1925">
        <f ca="1">SUM(INDIRECT(AV$1&amp;AV$2&amp;$C549):INDIRECT(AV$1&amp;AV$3&amp;$C549))</f>
        <v>0</v>
      </c>
      <c r="AW549" s="2902">
        <f t="shared" ca="1" si="1104"/>
        <v>0</v>
      </c>
      <c r="AX549" s="2903">
        <f t="shared" ca="1" si="1105"/>
        <v>0</v>
      </c>
      <c r="AY549" s="1925">
        <f ca="1">SUM(INDIRECT(AY$1&amp;AY$2&amp;$A549):INDIRECT(AY$1&amp;AY$3&amp;$A549))+SUM(INDIRECT(AY$1&amp;AY$2&amp;$B549):INDIRECT(AY$1&amp;AY$3&amp;$B549))</f>
        <v>0</v>
      </c>
      <c r="AZ549" s="2902">
        <f t="shared" ca="1" si="1107"/>
        <v>0</v>
      </c>
      <c r="BA549" s="2903">
        <f t="shared" ca="1" si="1108"/>
        <v>0</v>
      </c>
      <c r="BC549" s="1926">
        <f ca="1">SUM((INDIRECT(BC$2&amp;(ROW())):INDIRECT(BC$3&amp;(ROW()))))</f>
        <v>0</v>
      </c>
      <c r="BD549" s="1925">
        <f ca="1">SUM(INDIRECT(BD$1&amp;BD$2&amp;$C549):INDIRECT(BD$1&amp;BD$3&amp;$C549))</f>
        <v>0</v>
      </c>
      <c r="BE549" s="2902">
        <f t="shared" ca="1" si="1110"/>
        <v>0</v>
      </c>
      <c r="BF549" s="2903">
        <f t="shared" ca="1" si="1111"/>
        <v>0</v>
      </c>
      <c r="BG549" s="1925">
        <f ca="1">SUM(INDIRECT(BG$1&amp;BG$2&amp;$A549):INDIRECT(BG$1&amp;BG$3&amp;$A549))+SUM(INDIRECT(BG$1&amp;BG$2&amp;$B549):INDIRECT(BG$1&amp;BG$3&amp;$B549))</f>
        <v>0</v>
      </c>
      <c r="BH549" s="2902">
        <f t="shared" ca="1" si="1113"/>
        <v>0</v>
      </c>
      <c r="BI549" s="2903">
        <f t="shared" ca="1" si="1114"/>
        <v>0</v>
      </c>
    </row>
    <row r="550" spans="1:61" ht="14.5">
      <c r="A550" s="1693">
        <f t="shared" si="1088"/>
        <v>542</v>
      </c>
      <c r="B550" s="616">
        <v>1</v>
      </c>
      <c r="C550" s="1693">
        <f t="shared" si="1087"/>
        <v>550</v>
      </c>
      <c r="D550" s="616">
        <v>1</v>
      </c>
      <c r="F550" s="69"/>
      <c r="G550" s="519"/>
      <c r="H550" s="22"/>
      <c r="J550" s="94"/>
      <c r="K550" s="93"/>
      <c r="L550" s="63" t="s">
        <v>129</v>
      </c>
      <c r="M550" s="63"/>
      <c r="N550" s="301" t="s">
        <v>175</v>
      </c>
      <c r="O550" s="66"/>
      <c r="P550" s="66"/>
      <c r="Q550" s="66"/>
      <c r="R550" s="1779" t="str">
        <f>CHOOSE(2, "6722000003461", "S/GP (1)-2 Net Sales Indirect Office Solution")</f>
        <v>S/GP (1)-2 Net Sales Indirect Office Solution</v>
      </c>
      <c r="S550" s="1217">
        <v>1360</v>
      </c>
      <c r="T550" s="1224">
        <v>965.82</v>
      </c>
      <c r="U550" s="1217">
        <v>2817.7379999999998</v>
      </c>
      <c r="V550" s="1217">
        <v>947.64300000000003</v>
      </c>
      <c r="W550" s="1217">
        <v>1866.287</v>
      </c>
      <c r="X550" s="1217">
        <v>2150.1129999999998</v>
      </c>
      <c r="Y550" s="1217">
        <v>179.267</v>
      </c>
      <c r="Z550" s="1217">
        <v>1355.2349999999999</v>
      </c>
      <c r="AA550" s="1217">
        <v>1354.001</v>
      </c>
      <c r="AB550" s="1217">
        <v>4016.2719999999999</v>
      </c>
      <c r="AC550" s="1217">
        <v>114.215</v>
      </c>
      <c r="AD550" s="1217">
        <v>300.06299999999999</v>
      </c>
      <c r="AE550" s="1085">
        <f>SUM(S550,T550,U550)</f>
        <v>5143.558</v>
      </c>
      <c r="AF550" s="1084">
        <f>SUM(V550,W550,X550)</f>
        <v>4964.0429999999997</v>
      </c>
      <c r="AG550" s="1084">
        <f>SUM(Y550,Z550,AA550)</f>
        <v>2888.5029999999997</v>
      </c>
      <c r="AH550" s="1084">
        <f>SUM(AB550,AC550,AD550)</f>
        <v>4430.55</v>
      </c>
      <c r="AI550" s="1084">
        <f>AE550+AF550</f>
        <v>10107.600999999999</v>
      </c>
      <c r="AJ550" s="1084">
        <f>AH550+AG550</f>
        <v>7319.0529999999999</v>
      </c>
      <c r="AK550" s="1085">
        <f>AI550+AJ550</f>
        <v>17426.653999999999</v>
      </c>
      <c r="AM550" s="1926">
        <f ca="1">SUM((INDIRECT(AM$2&amp;(ROW())):INDIRECT(AM$3&amp;(ROW()))))</f>
        <v>1360</v>
      </c>
      <c r="AN550" s="1925">
        <f ca="1">SUM(INDIRECT(AN$1&amp;AN$2&amp;$C550):INDIRECT(AN$1&amp;AN$3&amp;$C550))</f>
        <v>300</v>
      </c>
      <c r="AO550" s="2902">
        <f t="shared" ca="1" si="1098"/>
        <v>1060</v>
      </c>
      <c r="AP550" s="2903">
        <f t="shared" ca="1" si="1099"/>
        <v>4.5333333333333332</v>
      </c>
      <c r="AQ550" s="1925">
        <f ca="1">SUM(INDIRECT(AQ$1&amp;AQ$2&amp;$A550):INDIRECT(AQ$1&amp;AQ$3&amp;$A550))+SUM(INDIRECT(AQ$1&amp;AQ$2&amp;$B550):INDIRECT(AQ$1&amp;AQ$3&amp;$B550))</f>
        <v>0</v>
      </c>
      <c r="AR550" s="2902">
        <f t="shared" ca="1" si="1101"/>
        <v>1360</v>
      </c>
      <c r="AS550" s="2903">
        <f t="shared" ca="1" si="1102"/>
        <v>0</v>
      </c>
      <c r="AU550" s="1926">
        <f ca="1">SUM((INDIRECT(AU$2&amp;(ROW())):INDIRECT(AU$3&amp;(ROW()))))</f>
        <v>1360</v>
      </c>
      <c r="AV550" s="1925">
        <f ca="1">SUM(INDIRECT(AV$1&amp;AV$2&amp;$C550):INDIRECT(AV$1&amp;AV$3&amp;$C550))</f>
        <v>300</v>
      </c>
      <c r="AW550" s="2902">
        <f t="shared" ca="1" si="1104"/>
        <v>1060</v>
      </c>
      <c r="AX550" s="2903">
        <f t="shared" ca="1" si="1105"/>
        <v>4.5333333333333332</v>
      </c>
      <c r="AY550" s="1925">
        <f ca="1">SUM(INDIRECT(AY$1&amp;AY$2&amp;$A550):INDIRECT(AY$1&amp;AY$3&amp;$A550))+SUM(INDIRECT(AY$1&amp;AY$2&amp;$B550):INDIRECT(AY$1&amp;AY$3&amp;$B550))</f>
        <v>0</v>
      </c>
      <c r="AZ550" s="2902">
        <f t="shared" ca="1" si="1107"/>
        <v>1360</v>
      </c>
      <c r="BA550" s="2903">
        <f t="shared" ca="1" si="1108"/>
        <v>0</v>
      </c>
      <c r="BC550" s="1926">
        <f ca="1">SUM((INDIRECT(BC$2&amp;(ROW())):INDIRECT(BC$3&amp;(ROW()))))</f>
        <v>1360</v>
      </c>
      <c r="BD550" s="1925">
        <f ca="1">SUM(INDIRECT(BD$1&amp;BD$2&amp;$C550):INDIRECT(BD$1&amp;BD$3&amp;$C550))</f>
        <v>300</v>
      </c>
      <c r="BE550" s="2902">
        <f t="shared" ca="1" si="1110"/>
        <v>1060</v>
      </c>
      <c r="BF550" s="2903">
        <f t="shared" ca="1" si="1111"/>
        <v>4.5333333333333332</v>
      </c>
      <c r="BG550" s="1925">
        <f ca="1">SUM(INDIRECT(BG$1&amp;BG$2&amp;$A550):INDIRECT(BG$1&amp;BG$3&amp;$A550))+SUM(INDIRECT(BG$1&amp;BG$2&amp;$B550):INDIRECT(BG$1&amp;BG$3&amp;$B550))</f>
        <v>0</v>
      </c>
      <c r="BH550" s="2902">
        <f t="shared" ca="1" si="1113"/>
        <v>1360</v>
      </c>
      <c r="BI550" s="2903">
        <f t="shared" ca="1" si="1114"/>
        <v>0</v>
      </c>
    </row>
    <row r="551" spans="1:61" ht="14.5">
      <c r="A551" s="1693">
        <f t="shared" si="1088"/>
        <v>543</v>
      </c>
      <c r="B551" s="616">
        <v>1</v>
      </c>
      <c r="C551" s="1693">
        <f t="shared" si="1087"/>
        <v>551</v>
      </c>
      <c r="D551" s="616">
        <v>1</v>
      </c>
      <c r="F551" s="69"/>
      <c r="G551" s="519"/>
      <c r="J551" s="100" t="s">
        <v>132</v>
      </c>
      <c r="K551" s="99"/>
      <c r="L551" s="310"/>
      <c r="M551" s="310"/>
      <c r="N551" s="582"/>
      <c r="O551" s="582"/>
      <c r="P551" s="582"/>
      <c r="Q551" s="582"/>
      <c r="R551" s="1810" t="str">
        <f>CHOOSE(2, "6722000003462", "S/GP (1)-2 Gross Profit")</f>
        <v>S/GP (1)-2 Gross Profit</v>
      </c>
      <c r="S551" s="1317">
        <f>S552+S557</f>
        <v>1607</v>
      </c>
      <c r="T551" s="1188">
        <f t="shared" ref="T551:AD551" si="1117">T552+T557</f>
        <v>1917.5135</v>
      </c>
      <c r="U551" s="1188">
        <f t="shared" si="1117"/>
        <v>3364.56709</v>
      </c>
      <c r="V551" s="1188">
        <f t="shared" si="1117"/>
        <v>1192.5053400000002</v>
      </c>
      <c r="W551" s="1188">
        <f t="shared" si="1117"/>
        <v>1880.8184799999999</v>
      </c>
      <c r="X551" s="1188">
        <f t="shared" si="1117"/>
        <v>2384.9223099999999</v>
      </c>
      <c r="Y551" s="1188">
        <f t="shared" si="1117"/>
        <v>1012.3762300000001</v>
      </c>
      <c r="Z551" s="1188">
        <f t="shared" si="1117"/>
        <v>2344.63823</v>
      </c>
      <c r="AA551" s="1188">
        <f t="shared" si="1117"/>
        <v>1950.924</v>
      </c>
      <c r="AB551" s="1188">
        <f t="shared" si="1117"/>
        <v>2874.9503100000002</v>
      </c>
      <c r="AC551" s="1188">
        <f t="shared" si="1117"/>
        <v>1712.51233</v>
      </c>
      <c r="AD551" s="1188">
        <f t="shared" si="1117"/>
        <v>2235.46245</v>
      </c>
      <c r="AE551" s="894">
        <f t="shared" ref="AE551:AK551" si="1118">AE552+AE557</f>
        <v>6889.0805899999996</v>
      </c>
      <c r="AF551" s="894">
        <f t="shared" si="1118"/>
        <v>5458.2461299999995</v>
      </c>
      <c r="AG551" s="894">
        <f t="shared" si="1118"/>
        <v>5307.9384600000003</v>
      </c>
      <c r="AH551" s="894">
        <f t="shared" si="1118"/>
        <v>6822.9250899999997</v>
      </c>
      <c r="AI551" s="894">
        <f t="shared" si="1118"/>
        <v>12347.326720000001</v>
      </c>
      <c r="AJ551" s="894">
        <f t="shared" si="1118"/>
        <v>12130.86355</v>
      </c>
      <c r="AK551" s="894">
        <f t="shared" si="1118"/>
        <v>24478.190269999999</v>
      </c>
      <c r="AM551" s="1317">
        <f t="shared" ref="AM551:AN551" ca="1" si="1119">AM552+AM557</f>
        <v>1607</v>
      </c>
      <c r="AN551" s="2136">
        <f t="shared" ca="1" si="1119"/>
        <v>720</v>
      </c>
      <c r="AO551" s="2871">
        <f t="shared" ca="1" si="1098"/>
        <v>887</v>
      </c>
      <c r="AP551" s="2872">
        <f t="shared" ca="1" si="1099"/>
        <v>2.2319444444444443</v>
      </c>
      <c r="AQ551" s="2136">
        <f t="shared" ref="AQ551" ca="1" si="1120">AQ552+AQ557</f>
        <v>835</v>
      </c>
      <c r="AR551" s="2871">
        <f t="shared" ca="1" si="1101"/>
        <v>772</v>
      </c>
      <c r="AS551" s="2872">
        <f t="shared" ca="1" si="1102"/>
        <v>1.9245508982035928</v>
      </c>
      <c r="AU551" s="1317">
        <f t="shared" ref="AU551:AV551" ca="1" si="1121">AU552+AU557</f>
        <v>1607</v>
      </c>
      <c r="AV551" s="2136">
        <f t="shared" ca="1" si="1121"/>
        <v>720</v>
      </c>
      <c r="AW551" s="2871">
        <f t="shared" ca="1" si="1104"/>
        <v>887</v>
      </c>
      <c r="AX551" s="2872">
        <f t="shared" ca="1" si="1105"/>
        <v>2.2319444444444443</v>
      </c>
      <c r="AY551" s="2136">
        <f t="shared" ref="AY551" ca="1" si="1122">AY552+AY557</f>
        <v>835</v>
      </c>
      <c r="AZ551" s="2871">
        <f t="shared" ca="1" si="1107"/>
        <v>772</v>
      </c>
      <c r="BA551" s="2872">
        <f t="shared" ca="1" si="1108"/>
        <v>1.9245508982035928</v>
      </c>
      <c r="BC551" s="1317">
        <f t="shared" ref="BC551:BD551" ca="1" si="1123">BC552+BC557</f>
        <v>1607</v>
      </c>
      <c r="BD551" s="2136">
        <f t="shared" ca="1" si="1123"/>
        <v>720</v>
      </c>
      <c r="BE551" s="2871">
        <f t="shared" ca="1" si="1110"/>
        <v>887</v>
      </c>
      <c r="BF551" s="2872">
        <f t="shared" ca="1" si="1111"/>
        <v>2.2319444444444443</v>
      </c>
      <c r="BG551" s="2136">
        <f t="shared" ref="BG551" ca="1" si="1124">BG552+BG557</f>
        <v>835</v>
      </c>
      <c r="BH551" s="2871">
        <f t="shared" ca="1" si="1113"/>
        <v>772</v>
      </c>
      <c r="BI551" s="2872">
        <f t="shared" ca="1" si="1114"/>
        <v>1.9245508982035928</v>
      </c>
    </row>
    <row r="552" spans="1:61" ht="14.5">
      <c r="A552" s="1693">
        <f t="shared" si="1088"/>
        <v>544</v>
      </c>
      <c r="B552" s="616">
        <v>1</v>
      </c>
      <c r="C552" s="1693">
        <f t="shared" si="1087"/>
        <v>552</v>
      </c>
      <c r="D552" s="616">
        <v>1</v>
      </c>
      <c r="F552" s="69"/>
      <c r="G552" s="519"/>
      <c r="H552" s="22"/>
      <c r="J552" s="94"/>
      <c r="K552" s="93"/>
      <c r="L552" s="68" t="s">
        <v>120</v>
      </c>
      <c r="M552" s="68"/>
      <c r="N552" s="283" t="s">
        <v>175</v>
      </c>
      <c r="O552" s="1082"/>
      <c r="P552" s="1082"/>
      <c r="Q552" s="1082"/>
      <c r="R552" s="1814" t="str">
        <f>CHOOSE(2, "6722000003463", "S/GP (1)-2 Gross Profit Direct Office Solution")</f>
        <v>S/GP (1)-2 Gross Profit Direct Office Solution</v>
      </c>
      <c r="S552" s="1460">
        <f>SUM(S553:S556)</f>
        <v>1014</v>
      </c>
      <c r="T552" s="1460">
        <f t="shared" ref="T552:AD552" si="1125">SUM(T553:T556)</f>
        <v>1370.7988500000001</v>
      </c>
      <c r="U552" s="1460">
        <f t="shared" si="1125"/>
        <v>1168.8829900000001</v>
      </c>
      <c r="V552" s="1460">
        <f t="shared" si="1125"/>
        <v>1088.0170000000001</v>
      </c>
      <c r="W552" s="1460">
        <f t="shared" si="1125"/>
        <v>938</v>
      </c>
      <c r="X552" s="1460">
        <f t="shared" si="1125"/>
        <v>1308.9218000000001</v>
      </c>
      <c r="Y552" s="1460">
        <f t="shared" si="1125"/>
        <v>942.36123000000009</v>
      </c>
      <c r="Z552" s="1460">
        <f t="shared" si="1125"/>
        <v>1531.9674499999999</v>
      </c>
      <c r="AA552" s="1460">
        <f t="shared" si="1125"/>
        <v>1436.0429300000001</v>
      </c>
      <c r="AB552" s="1460">
        <f t="shared" si="1125"/>
        <v>867.26378999999997</v>
      </c>
      <c r="AC552" s="1460">
        <f t="shared" si="1125"/>
        <v>1659.7384400000001</v>
      </c>
      <c r="AD552" s="1460">
        <f t="shared" si="1125"/>
        <v>2080.5727499999998</v>
      </c>
      <c r="AE552" s="1083">
        <f t="shared" ref="AE552:AK552" si="1126">SUM(AE553:AE556)</f>
        <v>3553.6818400000002</v>
      </c>
      <c r="AF552" s="1460">
        <f t="shared" si="1126"/>
        <v>3334.9387999999999</v>
      </c>
      <c r="AG552" s="1460">
        <f t="shared" si="1126"/>
        <v>3910.3716100000001</v>
      </c>
      <c r="AH552" s="1460">
        <f t="shared" si="1126"/>
        <v>4607.5749799999994</v>
      </c>
      <c r="AI552" s="1460">
        <f t="shared" si="1126"/>
        <v>6888.6206400000001</v>
      </c>
      <c r="AJ552" s="1460">
        <f t="shared" si="1126"/>
        <v>8517.9465899999996</v>
      </c>
      <c r="AK552" s="1083">
        <f t="shared" si="1126"/>
        <v>15406.567230000001</v>
      </c>
      <c r="AM552" s="2570">
        <f ca="1">SUM((INDIRECT(AM$2&amp;(ROW())):INDIRECT(AM$3&amp;(ROW()))))</f>
        <v>1014</v>
      </c>
      <c r="AN552" s="2591">
        <f ca="1">SUM(INDIRECT(AN$1&amp;AN$2&amp;$C552):INDIRECT(AN$1&amp;AN$3&amp;$C552))</f>
        <v>600</v>
      </c>
      <c r="AO552" s="2898">
        <f t="shared" ca="1" si="1098"/>
        <v>414</v>
      </c>
      <c r="AP552" s="2899">
        <f t="shared" ca="1" si="1099"/>
        <v>1.69</v>
      </c>
      <c r="AQ552" s="2591">
        <f ca="1">SUM(INDIRECT(AQ$1&amp;AQ$2&amp;$A552):INDIRECT(AQ$1&amp;AQ$3&amp;$A552))+SUM(INDIRECT(AQ$1&amp;AQ$2&amp;$B552):INDIRECT(AQ$1&amp;AQ$3&amp;$B552))</f>
        <v>835</v>
      </c>
      <c r="AR552" s="2898">
        <f t="shared" ca="1" si="1101"/>
        <v>179</v>
      </c>
      <c r="AS552" s="2899">
        <f t="shared" ca="1" si="1102"/>
        <v>1.2143712574850298</v>
      </c>
      <c r="AU552" s="2570">
        <f ca="1">SUM((INDIRECT(AU$2&amp;(ROW())):INDIRECT(AU$3&amp;(ROW()))))</f>
        <v>1014</v>
      </c>
      <c r="AV552" s="2591">
        <f ca="1">SUM(INDIRECT(AV$1&amp;AV$2&amp;$C552):INDIRECT(AV$1&amp;AV$3&amp;$C552))</f>
        <v>600</v>
      </c>
      <c r="AW552" s="2898">
        <f t="shared" ca="1" si="1104"/>
        <v>414</v>
      </c>
      <c r="AX552" s="2899">
        <f t="shared" ca="1" si="1105"/>
        <v>1.69</v>
      </c>
      <c r="AY552" s="2591">
        <f ca="1">SUM(INDIRECT(AY$1&amp;AY$2&amp;$A552):INDIRECT(AY$1&amp;AY$3&amp;$A552))+SUM(INDIRECT(AY$1&amp;AY$2&amp;$B552):INDIRECT(AY$1&amp;AY$3&amp;$B552))</f>
        <v>835</v>
      </c>
      <c r="AZ552" s="2898">
        <f t="shared" ca="1" si="1107"/>
        <v>179</v>
      </c>
      <c r="BA552" s="2899">
        <f t="shared" ca="1" si="1108"/>
        <v>1.2143712574850298</v>
      </c>
      <c r="BC552" s="2570">
        <f ca="1">SUM((INDIRECT(BC$2&amp;(ROW())):INDIRECT(BC$3&amp;(ROW()))))</f>
        <v>1014</v>
      </c>
      <c r="BD552" s="2591">
        <f ca="1">SUM(INDIRECT(BD$1&amp;BD$2&amp;$C552):INDIRECT(BD$1&amp;BD$3&amp;$C552))</f>
        <v>600</v>
      </c>
      <c r="BE552" s="2898">
        <f t="shared" ca="1" si="1110"/>
        <v>414</v>
      </c>
      <c r="BF552" s="2899">
        <f t="shared" ca="1" si="1111"/>
        <v>1.69</v>
      </c>
      <c r="BG552" s="2591">
        <f ca="1">SUM(INDIRECT(BG$1&amp;BG$2&amp;$A552):INDIRECT(BG$1&amp;BG$3&amp;$A552))+SUM(INDIRECT(BG$1&amp;BG$2&amp;$B552):INDIRECT(BG$1&amp;BG$3&amp;$B552))</f>
        <v>835</v>
      </c>
      <c r="BH552" s="2898">
        <f t="shared" ca="1" si="1113"/>
        <v>179</v>
      </c>
      <c r="BI552" s="2899">
        <f t="shared" ca="1" si="1114"/>
        <v>1.2143712574850298</v>
      </c>
    </row>
    <row r="553" spans="1:61" ht="14.5">
      <c r="A553" s="1693">
        <f t="shared" si="1088"/>
        <v>545</v>
      </c>
      <c r="B553" s="616">
        <v>1</v>
      </c>
      <c r="C553" s="1693">
        <f t="shared" si="1087"/>
        <v>553</v>
      </c>
      <c r="D553" s="616">
        <v>1</v>
      </c>
      <c r="F553" s="69"/>
      <c r="G553" s="519"/>
      <c r="H553" s="22"/>
      <c r="J553" s="94"/>
      <c r="K553" s="93"/>
      <c r="L553" s="68"/>
      <c r="M553" s="68"/>
      <c r="N553" s="69"/>
      <c r="O553" s="296" t="s">
        <v>523</v>
      </c>
      <c r="P553" s="296"/>
      <c r="Q553" s="296"/>
      <c r="R553" s="1779" t="str">
        <f>CHOOSE(2, "6722000003464", "S/GP (1)-2 Gross Profit Direct Office Solution OSP")</f>
        <v>S/GP (1)-2 Gross Profit Direct Office Solution OSP</v>
      </c>
      <c r="S553" s="1227"/>
      <c r="T553" s="1227"/>
      <c r="U553" s="1227"/>
      <c r="V553" s="1227"/>
      <c r="W553" s="1227"/>
      <c r="X553" s="1227"/>
      <c r="Y553" s="1227"/>
      <c r="Z553" s="1227"/>
      <c r="AA553" s="1227"/>
      <c r="AB553" s="1227"/>
      <c r="AC553" s="1227"/>
      <c r="AD553" s="1227"/>
      <c r="AE553" s="295">
        <f>SUM(S553,T553,U553)</f>
        <v>0</v>
      </c>
      <c r="AF553" s="96">
        <f>SUM(V553,W553,X553)</f>
        <v>0</v>
      </c>
      <c r="AG553" s="96">
        <f>SUM(Y553,Z553,AA553)</f>
        <v>0</v>
      </c>
      <c r="AH553" s="96">
        <f>SUM(AB553,AC553,AD553)</f>
        <v>0</v>
      </c>
      <c r="AI553" s="96">
        <f>AE553+AF553</f>
        <v>0</v>
      </c>
      <c r="AJ553" s="96">
        <f>AH553+AG553</f>
        <v>0</v>
      </c>
      <c r="AK553" s="295">
        <f>AI553+AJ553</f>
        <v>0</v>
      </c>
      <c r="AM553" s="2161">
        <f ca="1">SUM((INDIRECT(AM$2&amp;(ROW())):INDIRECT(AM$3&amp;(ROW()))))</f>
        <v>0</v>
      </c>
      <c r="AN553" s="2160">
        <f ca="1">SUM(INDIRECT(AN$1&amp;AN$2&amp;$C553):INDIRECT(AN$1&amp;AN$3&amp;$C553))</f>
        <v>0</v>
      </c>
      <c r="AO553" s="2900">
        <f t="shared" ca="1" si="1098"/>
        <v>0</v>
      </c>
      <c r="AP553" s="2901">
        <f t="shared" ca="1" si="1099"/>
        <v>0</v>
      </c>
      <c r="AQ553" s="2160">
        <f ca="1">SUM(INDIRECT(AQ$1&amp;AQ$2&amp;$A553):INDIRECT(AQ$1&amp;AQ$3&amp;$A553))+SUM(INDIRECT(AQ$1&amp;AQ$2&amp;$B553):INDIRECT(AQ$1&amp;AQ$3&amp;$B553))</f>
        <v>0</v>
      </c>
      <c r="AR553" s="2900">
        <f t="shared" ca="1" si="1101"/>
        <v>0</v>
      </c>
      <c r="AS553" s="2901">
        <f t="shared" ca="1" si="1102"/>
        <v>0</v>
      </c>
      <c r="AU553" s="2161">
        <f ca="1">SUM((INDIRECT(AU$2&amp;(ROW())):INDIRECT(AU$3&amp;(ROW()))))</f>
        <v>0</v>
      </c>
      <c r="AV553" s="2160">
        <f ca="1">SUM(INDIRECT(AV$1&amp;AV$2&amp;$C553):INDIRECT(AV$1&amp;AV$3&amp;$C553))</f>
        <v>0</v>
      </c>
      <c r="AW553" s="2900">
        <f t="shared" ca="1" si="1104"/>
        <v>0</v>
      </c>
      <c r="AX553" s="2901">
        <f t="shared" ca="1" si="1105"/>
        <v>0</v>
      </c>
      <c r="AY553" s="2160">
        <f ca="1">SUM(INDIRECT(AY$1&amp;AY$2&amp;$A553):INDIRECT(AY$1&amp;AY$3&amp;$A553))+SUM(INDIRECT(AY$1&amp;AY$2&amp;$B553):INDIRECT(AY$1&amp;AY$3&amp;$B553))</f>
        <v>0</v>
      </c>
      <c r="AZ553" s="2900">
        <f t="shared" ca="1" si="1107"/>
        <v>0</v>
      </c>
      <c r="BA553" s="2901">
        <f t="shared" ca="1" si="1108"/>
        <v>0</v>
      </c>
      <c r="BC553" s="2161">
        <f ca="1">SUM((INDIRECT(BC$2&amp;(ROW())):INDIRECT(BC$3&amp;(ROW()))))</f>
        <v>0</v>
      </c>
      <c r="BD553" s="2160">
        <f ca="1">SUM(INDIRECT(BD$1&amp;BD$2&amp;$C553):INDIRECT(BD$1&amp;BD$3&amp;$C553))</f>
        <v>0</v>
      </c>
      <c r="BE553" s="2900">
        <f t="shared" ca="1" si="1110"/>
        <v>0</v>
      </c>
      <c r="BF553" s="2901">
        <f t="shared" ca="1" si="1111"/>
        <v>0</v>
      </c>
      <c r="BG553" s="2160">
        <f ca="1">SUM(INDIRECT(BG$1&amp;BG$2&amp;$A553):INDIRECT(BG$1&amp;BG$3&amp;$A553))+SUM(INDIRECT(BG$1&amp;BG$2&amp;$B553):INDIRECT(BG$1&amp;BG$3&amp;$B553))</f>
        <v>0</v>
      </c>
      <c r="BH553" s="2900">
        <f t="shared" ca="1" si="1113"/>
        <v>0</v>
      </c>
      <c r="BI553" s="2901">
        <f t="shared" ca="1" si="1114"/>
        <v>0</v>
      </c>
    </row>
    <row r="554" spans="1:61" ht="14.5">
      <c r="A554" s="1693">
        <f t="shared" si="1088"/>
        <v>546</v>
      </c>
      <c r="B554" s="616">
        <v>1</v>
      </c>
      <c r="C554" s="1693">
        <f t="shared" si="1087"/>
        <v>554</v>
      </c>
      <c r="D554" s="616">
        <v>1</v>
      </c>
      <c r="F554" s="69"/>
      <c r="G554" s="519"/>
      <c r="H554" s="22"/>
      <c r="J554" s="94"/>
      <c r="K554" s="93"/>
      <c r="L554" s="68"/>
      <c r="M554" s="68"/>
      <c r="N554" s="69"/>
      <c r="O554" s="69" t="s">
        <v>524</v>
      </c>
      <c r="P554" s="69"/>
      <c r="Q554" s="69"/>
      <c r="R554" s="1779" t="str">
        <f>CHOOSE(2, "6722000003465", "S/GP (1)-2 Gross Profit Direct Office Solution RP")</f>
        <v>S/GP (1)-2 Gross Profit Direct Office Solution RP</v>
      </c>
      <c r="S554" s="1217">
        <v>1014</v>
      </c>
      <c r="T554" s="1217">
        <v>1370.7988500000001</v>
      </c>
      <c r="U554" s="1217">
        <v>1168.8829900000001</v>
      </c>
      <c r="V554" s="1217">
        <v>1088.0170000000001</v>
      </c>
      <c r="W554" s="1217">
        <v>938</v>
      </c>
      <c r="X554" s="1217">
        <v>1308.9218000000001</v>
      </c>
      <c r="Y554" s="1217">
        <v>942.36123000000009</v>
      </c>
      <c r="Z554" s="1217">
        <v>1531.9674499999999</v>
      </c>
      <c r="AA554" s="1217">
        <v>1436.0429300000001</v>
      </c>
      <c r="AB554" s="1217">
        <v>867.26378999999997</v>
      </c>
      <c r="AC554" s="1217">
        <v>1659.7384400000001</v>
      </c>
      <c r="AD554" s="1217">
        <v>2080.5727499999998</v>
      </c>
      <c r="AE554" s="88">
        <f>SUM(S554,T554,U554)</f>
        <v>3553.6818400000002</v>
      </c>
      <c r="AF554" s="17">
        <f>SUM(V554,W554,X554)</f>
        <v>3334.9387999999999</v>
      </c>
      <c r="AG554" s="17">
        <f>SUM(Y554,Z554,AA554)</f>
        <v>3910.3716100000001</v>
      </c>
      <c r="AH554" s="17">
        <f>SUM(AB554,AC554,AD554)</f>
        <v>4607.5749799999994</v>
      </c>
      <c r="AI554" s="17">
        <f>AE554+AF554</f>
        <v>6888.6206400000001</v>
      </c>
      <c r="AJ554" s="17">
        <f>AH554+AG554</f>
        <v>8517.9465899999996</v>
      </c>
      <c r="AK554" s="88">
        <f>AI554+AJ554</f>
        <v>15406.567230000001</v>
      </c>
      <c r="AM554" s="1926">
        <f ca="1">SUM((INDIRECT(AM$2&amp;(ROW())):INDIRECT(AM$3&amp;(ROW()))))</f>
        <v>1014</v>
      </c>
      <c r="AN554" s="1925">
        <f ca="1">SUM(INDIRECT(AN$1&amp;AN$2&amp;$C554):INDIRECT(AN$1&amp;AN$3&amp;$C554))</f>
        <v>600</v>
      </c>
      <c r="AO554" s="2902">
        <f t="shared" ca="1" si="1098"/>
        <v>414</v>
      </c>
      <c r="AP554" s="2903">
        <f t="shared" ca="1" si="1099"/>
        <v>1.69</v>
      </c>
      <c r="AQ554" s="1925">
        <f ca="1">SUM(INDIRECT(AQ$1&amp;AQ$2&amp;$A554):INDIRECT(AQ$1&amp;AQ$3&amp;$A554))+SUM(INDIRECT(AQ$1&amp;AQ$2&amp;$B554):INDIRECT(AQ$1&amp;AQ$3&amp;$B554))</f>
        <v>835</v>
      </c>
      <c r="AR554" s="2902">
        <f t="shared" ca="1" si="1101"/>
        <v>179</v>
      </c>
      <c r="AS554" s="2903">
        <f t="shared" ca="1" si="1102"/>
        <v>1.2143712574850298</v>
      </c>
      <c r="AU554" s="1926">
        <f ca="1">SUM((INDIRECT(AU$2&amp;(ROW())):INDIRECT(AU$3&amp;(ROW()))))</f>
        <v>1014</v>
      </c>
      <c r="AV554" s="1925">
        <f ca="1">SUM(INDIRECT(AV$1&amp;AV$2&amp;$C554):INDIRECT(AV$1&amp;AV$3&amp;$C554))</f>
        <v>600</v>
      </c>
      <c r="AW554" s="2902">
        <f t="shared" ca="1" si="1104"/>
        <v>414</v>
      </c>
      <c r="AX554" s="2903">
        <f t="shared" ca="1" si="1105"/>
        <v>1.69</v>
      </c>
      <c r="AY554" s="1925">
        <f ca="1">SUM(INDIRECT(AY$1&amp;AY$2&amp;$A554):INDIRECT(AY$1&amp;AY$3&amp;$A554))+SUM(INDIRECT(AY$1&amp;AY$2&amp;$B554):INDIRECT(AY$1&amp;AY$3&amp;$B554))</f>
        <v>835</v>
      </c>
      <c r="AZ554" s="2902">
        <f t="shared" ca="1" si="1107"/>
        <v>179</v>
      </c>
      <c r="BA554" s="2903">
        <f t="shared" ca="1" si="1108"/>
        <v>1.2143712574850298</v>
      </c>
      <c r="BC554" s="1926">
        <f ca="1">SUM((INDIRECT(BC$2&amp;(ROW())):INDIRECT(BC$3&amp;(ROW()))))</f>
        <v>1014</v>
      </c>
      <c r="BD554" s="1925">
        <f ca="1">SUM(INDIRECT(BD$1&amp;BD$2&amp;$C554):INDIRECT(BD$1&amp;BD$3&amp;$C554))</f>
        <v>600</v>
      </c>
      <c r="BE554" s="2902">
        <f t="shared" ca="1" si="1110"/>
        <v>414</v>
      </c>
      <c r="BF554" s="2903">
        <f t="shared" ca="1" si="1111"/>
        <v>1.69</v>
      </c>
      <c r="BG554" s="1925">
        <f ca="1">SUM(INDIRECT(BG$1&amp;BG$2&amp;$A554):INDIRECT(BG$1&amp;BG$3&amp;$A554))+SUM(INDIRECT(BG$1&amp;BG$2&amp;$B554):INDIRECT(BG$1&amp;BG$3&amp;$B554))</f>
        <v>835</v>
      </c>
      <c r="BH554" s="2902">
        <f t="shared" ca="1" si="1113"/>
        <v>179</v>
      </c>
      <c r="BI554" s="2903">
        <f t="shared" ca="1" si="1114"/>
        <v>1.2143712574850298</v>
      </c>
    </row>
    <row r="555" spans="1:61" ht="14.5">
      <c r="A555" s="1693">
        <f t="shared" si="1088"/>
        <v>547</v>
      </c>
      <c r="B555" s="616">
        <v>1</v>
      </c>
      <c r="C555" s="1693">
        <f t="shared" si="1087"/>
        <v>555</v>
      </c>
      <c r="D555" s="616">
        <v>1</v>
      </c>
      <c r="F555" s="69"/>
      <c r="G555" s="519"/>
      <c r="H555" s="22"/>
      <c r="J555" s="94"/>
      <c r="K555" s="93"/>
      <c r="L555" s="68"/>
      <c r="M555" s="68"/>
      <c r="N555" s="69"/>
      <c r="O555" s="69" t="s">
        <v>525</v>
      </c>
      <c r="P555" s="69"/>
      <c r="Q555" s="69"/>
      <c r="R555" s="1779" t="str">
        <f>CHOOSE(2, "6722000003466", "S/GP (1)-2 Gross Profit Direct Office Solution OSP service")</f>
        <v>S/GP (1)-2 Gross Profit Direct Office Solution OSP service</v>
      </c>
      <c r="S555" s="1217"/>
      <c r="T555" s="1217"/>
      <c r="U555" s="1217"/>
      <c r="V555" s="1217"/>
      <c r="W555" s="1217"/>
      <c r="X555" s="1217"/>
      <c r="Y555" s="1217"/>
      <c r="Z555" s="1217"/>
      <c r="AA555" s="1217"/>
      <c r="AB555" s="1217"/>
      <c r="AC555" s="1217"/>
      <c r="AD555" s="1217"/>
      <c r="AE555" s="88">
        <f>SUM(S555,T555,U555)</f>
        <v>0</v>
      </c>
      <c r="AF555" s="17">
        <f>SUM(V555,W555,X555)</f>
        <v>0</v>
      </c>
      <c r="AG555" s="17">
        <f>SUM(Y555,Z555,AA555)</f>
        <v>0</v>
      </c>
      <c r="AH555" s="17">
        <f>SUM(AB555,AC555,AD555)</f>
        <v>0</v>
      </c>
      <c r="AI555" s="17">
        <f>AE555+AF555</f>
        <v>0</v>
      </c>
      <c r="AJ555" s="17">
        <f>AH555+AG555</f>
        <v>0</v>
      </c>
      <c r="AK555" s="88">
        <f>AI555+AJ555</f>
        <v>0</v>
      </c>
      <c r="AM555" s="1926">
        <f ca="1">SUM((INDIRECT(AM$2&amp;(ROW())):INDIRECT(AM$3&amp;(ROW()))))</f>
        <v>0</v>
      </c>
      <c r="AN555" s="1925">
        <f ca="1">SUM(INDIRECT(AN$1&amp;AN$2&amp;$C555):INDIRECT(AN$1&amp;AN$3&amp;$C555))</f>
        <v>0</v>
      </c>
      <c r="AO555" s="2902">
        <f t="shared" ca="1" si="1098"/>
        <v>0</v>
      </c>
      <c r="AP555" s="2903">
        <f t="shared" ca="1" si="1099"/>
        <v>0</v>
      </c>
      <c r="AQ555" s="1925">
        <f ca="1">SUM(INDIRECT(AQ$1&amp;AQ$2&amp;$A555):INDIRECT(AQ$1&amp;AQ$3&amp;$A555))+SUM(INDIRECT(AQ$1&amp;AQ$2&amp;$B555):INDIRECT(AQ$1&amp;AQ$3&amp;$B555))</f>
        <v>0</v>
      </c>
      <c r="AR555" s="2902">
        <f t="shared" ca="1" si="1101"/>
        <v>0</v>
      </c>
      <c r="AS555" s="2903">
        <f t="shared" ca="1" si="1102"/>
        <v>0</v>
      </c>
      <c r="AU555" s="1926">
        <f ca="1">SUM((INDIRECT(AU$2&amp;(ROW())):INDIRECT(AU$3&amp;(ROW()))))</f>
        <v>0</v>
      </c>
      <c r="AV555" s="1925">
        <f ca="1">SUM(INDIRECT(AV$1&amp;AV$2&amp;$C555):INDIRECT(AV$1&amp;AV$3&amp;$C555))</f>
        <v>0</v>
      </c>
      <c r="AW555" s="2902">
        <f t="shared" ca="1" si="1104"/>
        <v>0</v>
      </c>
      <c r="AX555" s="2903">
        <f t="shared" ca="1" si="1105"/>
        <v>0</v>
      </c>
      <c r="AY555" s="1925">
        <f ca="1">SUM(INDIRECT(AY$1&amp;AY$2&amp;$A555):INDIRECT(AY$1&amp;AY$3&amp;$A555))+SUM(INDIRECT(AY$1&amp;AY$2&amp;$B555):INDIRECT(AY$1&amp;AY$3&amp;$B555))</f>
        <v>0</v>
      </c>
      <c r="AZ555" s="2902">
        <f t="shared" ca="1" si="1107"/>
        <v>0</v>
      </c>
      <c r="BA555" s="2903">
        <f t="shared" ca="1" si="1108"/>
        <v>0</v>
      </c>
      <c r="BC555" s="1926">
        <f ca="1">SUM((INDIRECT(BC$2&amp;(ROW())):INDIRECT(BC$3&amp;(ROW()))))</f>
        <v>0</v>
      </c>
      <c r="BD555" s="1925">
        <f ca="1">SUM(INDIRECT(BD$1&amp;BD$2&amp;$C555):INDIRECT(BD$1&amp;BD$3&amp;$C555))</f>
        <v>0</v>
      </c>
      <c r="BE555" s="2902">
        <f t="shared" ca="1" si="1110"/>
        <v>0</v>
      </c>
      <c r="BF555" s="2903">
        <f t="shared" ca="1" si="1111"/>
        <v>0</v>
      </c>
      <c r="BG555" s="1925">
        <f ca="1">SUM(INDIRECT(BG$1&amp;BG$2&amp;$A555):INDIRECT(BG$1&amp;BG$3&amp;$A555))+SUM(INDIRECT(BG$1&amp;BG$2&amp;$B555):INDIRECT(BG$1&amp;BG$3&amp;$B555))</f>
        <v>0</v>
      </c>
      <c r="BH555" s="2902">
        <f t="shared" ca="1" si="1113"/>
        <v>0</v>
      </c>
      <c r="BI555" s="2903">
        <f t="shared" ca="1" si="1114"/>
        <v>0</v>
      </c>
    </row>
    <row r="556" spans="1:61" ht="14.5">
      <c r="A556" s="1693">
        <f t="shared" si="1088"/>
        <v>548</v>
      </c>
      <c r="B556" s="616">
        <v>1</v>
      </c>
      <c r="C556" s="1693">
        <f t="shared" si="1087"/>
        <v>556</v>
      </c>
      <c r="D556" s="616">
        <v>1</v>
      </c>
      <c r="F556" s="69"/>
      <c r="G556" s="519"/>
      <c r="H556" s="22"/>
      <c r="J556" s="94"/>
      <c r="K556" s="93"/>
      <c r="L556" s="68"/>
      <c r="M556" s="68"/>
      <c r="N556" s="211"/>
      <c r="O556" s="211" t="s">
        <v>526</v>
      </c>
      <c r="P556" s="211"/>
      <c r="Q556" s="211"/>
      <c r="R556" s="1779" t="str">
        <f>CHOOSE(2, "6722000003467", "S/GP (1)-2 Gross Profit Direct Office Solution RP service")</f>
        <v>S/GP (1)-2 Gross Profit Direct Office Solution RP service</v>
      </c>
      <c r="S556" s="1218"/>
      <c r="T556" s="1218"/>
      <c r="U556" s="1218"/>
      <c r="V556" s="1218"/>
      <c r="W556" s="1218"/>
      <c r="X556" s="1218"/>
      <c r="Y556" s="1218"/>
      <c r="Z556" s="1218"/>
      <c r="AA556" s="1218"/>
      <c r="AB556" s="1218"/>
      <c r="AC556" s="1218"/>
      <c r="AD556" s="1218"/>
      <c r="AE556" s="87">
        <f>SUM(S556,T556,U556)</f>
        <v>0</v>
      </c>
      <c r="AF556" s="15">
        <f>SUM(V556,W556,X556)</f>
        <v>0</v>
      </c>
      <c r="AG556" s="15">
        <f>SUM(Y556,Z556,AA556)</f>
        <v>0</v>
      </c>
      <c r="AH556" s="15">
        <f>SUM(AB556,AC556,AD556)</f>
        <v>0</v>
      </c>
      <c r="AI556" s="15">
        <f>AE556+AF556</f>
        <v>0</v>
      </c>
      <c r="AJ556" s="15">
        <f>AH556+AG556</f>
        <v>0</v>
      </c>
      <c r="AK556" s="87">
        <f>AI556+AJ556</f>
        <v>0</v>
      </c>
      <c r="AM556" s="1926">
        <f ca="1">SUM((INDIRECT(AM$2&amp;(ROW())):INDIRECT(AM$3&amp;(ROW()))))</f>
        <v>0</v>
      </c>
      <c r="AN556" s="1925">
        <f ca="1">SUM(INDIRECT(AN$1&amp;AN$2&amp;$C556):INDIRECT(AN$1&amp;AN$3&amp;$C556))</f>
        <v>0</v>
      </c>
      <c r="AO556" s="2902">
        <f t="shared" ca="1" si="1098"/>
        <v>0</v>
      </c>
      <c r="AP556" s="2903">
        <f t="shared" ca="1" si="1099"/>
        <v>0</v>
      </c>
      <c r="AQ556" s="1925">
        <f ca="1">SUM(INDIRECT(AQ$1&amp;AQ$2&amp;$A556):INDIRECT(AQ$1&amp;AQ$3&amp;$A556))+SUM(INDIRECT(AQ$1&amp;AQ$2&amp;$B556):INDIRECT(AQ$1&amp;AQ$3&amp;$B556))</f>
        <v>0</v>
      </c>
      <c r="AR556" s="2902">
        <f t="shared" ca="1" si="1101"/>
        <v>0</v>
      </c>
      <c r="AS556" s="2903">
        <f t="shared" ca="1" si="1102"/>
        <v>0</v>
      </c>
      <c r="AU556" s="1926">
        <f ca="1">SUM((INDIRECT(AU$2&amp;(ROW())):INDIRECT(AU$3&amp;(ROW()))))</f>
        <v>0</v>
      </c>
      <c r="AV556" s="1925">
        <f ca="1">SUM(INDIRECT(AV$1&amp;AV$2&amp;$C556):INDIRECT(AV$1&amp;AV$3&amp;$C556))</f>
        <v>0</v>
      </c>
      <c r="AW556" s="2902">
        <f t="shared" ca="1" si="1104"/>
        <v>0</v>
      </c>
      <c r="AX556" s="2903">
        <f t="shared" ca="1" si="1105"/>
        <v>0</v>
      </c>
      <c r="AY556" s="1925">
        <f ca="1">SUM(INDIRECT(AY$1&amp;AY$2&amp;$A556):INDIRECT(AY$1&amp;AY$3&amp;$A556))+SUM(INDIRECT(AY$1&amp;AY$2&amp;$B556):INDIRECT(AY$1&amp;AY$3&amp;$B556))</f>
        <v>0</v>
      </c>
      <c r="AZ556" s="2902">
        <f t="shared" ca="1" si="1107"/>
        <v>0</v>
      </c>
      <c r="BA556" s="2903">
        <f t="shared" ca="1" si="1108"/>
        <v>0</v>
      </c>
      <c r="BC556" s="1926">
        <f ca="1">SUM((INDIRECT(BC$2&amp;(ROW())):INDIRECT(BC$3&amp;(ROW()))))</f>
        <v>0</v>
      </c>
      <c r="BD556" s="1925">
        <f ca="1">SUM(INDIRECT(BD$1&amp;BD$2&amp;$C556):INDIRECT(BD$1&amp;BD$3&amp;$C556))</f>
        <v>0</v>
      </c>
      <c r="BE556" s="2902">
        <f t="shared" ca="1" si="1110"/>
        <v>0</v>
      </c>
      <c r="BF556" s="2903">
        <f t="shared" ca="1" si="1111"/>
        <v>0</v>
      </c>
      <c r="BG556" s="1925">
        <f ca="1">SUM(INDIRECT(BG$1&amp;BG$2&amp;$A556):INDIRECT(BG$1&amp;BG$3&amp;$A556))+SUM(INDIRECT(BG$1&amp;BG$2&amp;$B556):INDIRECT(BG$1&amp;BG$3&amp;$B556))</f>
        <v>0</v>
      </c>
      <c r="BH556" s="2902">
        <f t="shared" ca="1" si="1113"/>
        <v>0</v>
      </c>
      <c r="BI556" s="2903">
        <f t="shared" ca="1" si="1114"/>
        <v>0</v>
      </c>
    </row>
    <row r="557" spans="1:61" ht="14.5">
      <c r="A557" s="1693">
        <f t="shared" si="1088"/>
        <v>549</v>
      </c>
      <c r="B557" s="616">
        <v>1</v>
      </c>
      <c r="C557" s="1693">
        <f t="shared" si="1087"/>
        <v>557</v>
      </c>
      <c r="D557" s="616">
        <v>1</v>
      </c>
      <c r="F557" s="69"/>
      <c r="G557" s="519"/>
      <c r="H557" s="22"/>
      <c r="J557" s="92"/>
      <c r="K557" s="91"/>
      <c r="L557" s="62" t="s">
        <v>129</v>
      </c>
      <c r="M557" s="62"/>
      <c r="N557" s="1086" t="s">
        <v>175</v>
      </c>
      <c r="O557" s="1087"/>
      <c r="P557" s="1087"/>
      <c r="Q557" s="1087"/>
      <c r="R557" s="1779" t="str">
        <f>CHOOSE(2, "6722000003468", "S/GP (1)-2 Gross Profit Indirect Office Solution")</f>
        <v>S/GP (1)-2 Gross Profit Indirect Office Solution</v>
      </c>
      <c r="S557" s="1218">
        <v>593</v>
      </c>
      <c r="T557" s="1225">
        <v>546.71464999999989</v>
      </c>
      <c r="U557" s="1218">
        <v>2195.6840999999999</v>
      </c>
      <c r="V557" s="1218">
        <v>104.48833999999999</v>
      </c>
      <c r="W557" s="1218">
        <v>942.81848000000002</v>
      </c>
      <c r="X557" s="1218">
        <v>1076.0005100000001</v>
      </c>
      <c r="Y557" s="1218">
        <v>70.015000000000001</v>
      </c>
      <c r="Z557" s="1218">
        <v>812.67078000000004</v>
      </c>
      <c r="AA557" s="1218">
        <v>514.88107000000002</v>
      </c>
      <c r="AB557" s="1218">
        <v>2007.6865200000002</v>
      </c>
      <c r="AC557" s="1218">
        <v>52.773890000000002</v>
      </c>
      <c r="AD557" s="1218">
        <v>154.88969999999998</v>
      </c>
      <c r="AE557" s="1089">
        <f>SUM(S557,T557,U557)</f>
        <v>3335.3987499999998</v>
      </c>
      <c r="AF557" s="1088">
        <f>SUM(V557,W557,X557)</f>
        <v>2123.3073300000001</v>
      </c>
      <c r="AG557" s="1088">
        <f>SUM(Y557,Z557,AA557)</f>
        <v>1397.5668500000002</v>
      </c>
      <c r="AH557" s="1088">
        <f>SUM(AB557,AC557,AD557)</f>
        <v>2215.3501100000003</v>
      </c>
      <c r="AI557" s="1088">
        <f>AE557+AF557</f>
        <v>5458.7060799999999</v>
      </c>
      <c r="AJ557" s="1088">
        <f>AH557+AG557</f>
        <v>3612.9169600000005</v>
      </c>
      <c r="AK557" s="1089">
        <f>AI557+AJ557</f>
        <v>9071.6230400000004</v>
      </c>
      <c r="AM557" s="1928">
        <f ca="1">SUM((INDIRECT(AM$2&amp;(ROW())):INDIRECT(AM$3&amp;(ROW()))))</f>
        <v>593</v>
      </c>
      <c r="AN557" s="1927">
        <f ca="1">SUM(INDIRECT(AN$1&amp;AN$2&amp;$C557):INDIRECT(AN$1&amp;AN$3&amp;$C557))</f>
        <v>120</v>
      </c>
      <c r="AO557" s="2904">
        <f t="shared" ca="1" si="1098"/>
        <v>473</v>
      </c>
      <c r="AP557" s="2905">
        <f t="shared" ca="1" si="1099"/>
        <v>4.9416666666666664</v>
      </c>
      <c r="AQ557" s="1927">
        <f ca="1">SUM(INDIRECT(AQ$1&amp;AQ$2&amp;$A557):INDIRECT(AQ$1&amp;AQ$3&amp;$A557))+SUM(INDIRECT(AQ$1&amp;AQ$2&amp;$B557):INDIRECT(AQ$1&amp;AQ$3&amp;$B557))</f>
        <v>0</v>
      </c>
      <c r="AR557" s="2904">
        <f t="shared" ca="1" si="1101"/>
        <v>593</v>
      </c>
      <c r="AS557" s="2905">
        <f t="shared" ca="1" si="1102"/>
        <v>0</v>
      </c>
      <c r="AU557" s="1928">
        <f ca="1">SUM((INDIRECT(AU$2&amp;(ROW())):INDIRECT(AU$3&amp;(ROW()))))</f>
        <v>593</v>
      </c>
      <c r="AV557" s="1927">
        <f ca="1">SUM(INDIRECT(AV$1&amp;AV$2&amp;$C557):INDIRECT(AV$1&amp;AV$3&amp;$C557))</f>
        <v>120</v>
      </c>
      <c r="AW557" s="2904">
        <f t="shared" ca="1" si="1104"/>
        <v>473</v>
      </c>
      <c r="AX557" s="2905">
        <f t="shared" ca="1" si="1105"/>
        <v>4.9416666666666664</v>
      </c>
      <c r="AY557" s="1927">
        <f ca="1">SUM(INDIRECT(AY$1&amp;AY$2&amp;$A557):INDIRECT(AY$1&amp;AY$3&amp;$A557))+SUM(INDIRECT(AY$1&amp;AY$2&amp;$B557):INDIRECT(AY$1&amp;AY$3&amp;$B557))</f>
        <v>0</v>
      </c>
      <c r="AZ557" s="2904">
        <f t="shared" ca="1" si="1107"/>
        <v>593</v>
      </c>
      <c r="BA557" s="2905">
        <f t="shared" ca="1" si="1108"/>
        <v>0</v>
      </c>
      <c r="BC557" s="1928">
        <f ca="1">SUM((INDIRECT(BC$2&amp;(ROW())):INDIRECT(BC$3&amp;(ROW()))))</f>
        <v>593</v>
      </c>
      <c r="BD557" s="1927">
        <f ca="1">SUM(INDIRECT(BD$1&amp;BD$2&amp;$C557):INDIRECT(BD$1&amp;BD$3&amp;$C557))</f>
        <v>120</v>
      </c>
      <c r="BE557" s="2904">
        <f t="shared" ca="1" si="1110"/>
        <v>473</v>
      </c>
      <c r="BF557" s="2905">
        <f t="shared" ca="1" si="1111"/>
        <v>4.9416666666666664</v>
      </c>
      <c r="BG557" s="1927">
        <f ca="1">SUM(INDIRECT(BG$1&amp;BG$2&amp;$A557):INDIRECT(BG$1&amp;BG$3&amp;$A557))+SUM(INDIRECT(BG$1&amp;BG$2&amp;$B557):INDIRECT(BG$1&amp;BG$3&amp;$B557))</f>
        <v>0</v>
      </c>
      <c r="BH557" s="2904">
        <f t="shared" ca="1" si="1113"/>
        <v>593</v>
      </c>
      <c r="BI557" s="2905">
        <f t="shared" ca="1" si="1114"/>
        <v>0</v>
      </c>
    </row>
    <row r="558" spans="1:61" ht="14.5">
      <c r="A558" s="1693">
        <f t="shared" si="1088"/>
        <v>550</v>
      </c>
      <c r="B558" s="616">
        <v>1</v>
      </c>
      <c r="C558" s="1693">
        <f t="shared" si="1087"/>
        <v>558</v>
      </c>
      <c r="D558" s="616">
        <v>1</v>
      </c>
      <c r="F558" s="69"/>
      <c r="J558" s="22"/>
      <c r="K558" s="69"/>
      <c r="L558" s="22"/>
      <c r="M558" s="22"/>
      <c r="N558" s="69"/>
      <c r="O558" s="1030" t="s">
        <v>816</v>
      </c>
      <c r="P558" s="69"/>
      <c r="Q558" s="69"/>
      <c r="R558" s="1772" t="str">
        <f>CHOOSE(2, "6722000003469", "▷ Blank 20")</f>
        <v>▷ Blank 20</v>
      </c>
      <c r="S558" s="1125"/>
      <c r="T558" s="1366"/>
      <c r="U558" s="1366"/>
      <c r="V558" s="1366"/>
      <c r="W558" s="1366"/>
      <c r="X558" s="1366"/>
      <c r="Y558" s="1366"/>
      <c r="Z558" s="1366"/>
      <c r="AA558" s="1366"/>
      <c r="AB558" s="1242"/>
      <c r="AC558" s="1242"/>
      <c r="AD558" s="1242"/>
      <c r="AE558" s="1242"/>
      <c r="AF558" s="1242"/>
      <c r="AG558" s="1242"/>
      <c r="AH558" s="1242"/>
      <c r="AI558" s="1242"/>
      <c r="AJ558" s="1242"/>
      <c r="AK558" s="608"/>
      <c r="AM558" s="2558"/>
      <c r="AN558" s="2558"/>
      <c r="AO558" s="2558"/>
      <c r="AP558" s="2558"/>
      <c r="AQ558" s="2558"/>
      <c r="AR558" s="2558"/>
      <c r="AS558" s="2558"/>
      <c r="AU558" s="2558"/>
      <c r="AV558" s="2558"/>
      <c r="AW558" s="2558"/>
      <c r="AX558" s="2558"/>
      <c r="AY558" s="2558"/>
      <c r="AZ558" s="2558"/>
      <c r="BA558" s="2558"/>
      <c r="BC558" s="2558"/>
      <c r="BD558" s="2558"/>
      <c r="BE558" s="2558"/>
      <c r="BF558" s="2558"/>
      <c r="BG558" s="2558"/>
      <c r="BH558" s="2558"/>
      <c r="BI558" s="2558"/>
    </row>
    <row r="559" spans="1:61" ht="14.5">
      <c r="A559" s="1693">
        <f t="shared" si="1088"/>
        <v>551</v>
      </c>
      <c r="B559" s="616">
        <v>1</v>
      </c>
      <c r="C559" s="1693">
        <f t="shared" si="1087"/>
        <v>559</v>
      </c>
      <c r="D559" s="616">
        <v>1</v>
      </c>
      <c r="F559" s="69"/>
      <c r="I559" s="22" t="s">
        <v>283</v>
      </c>
      <c r="Q559" s="222"/>
      <c r="R559" s="1772" t="str">
        <f>CHOOSE(2, "6722000003470", "S/GP (2) PP")</f>
        <v>S/GP (2) PP</v>
      </c>
      <c r="S559" s="1618"/>
      <c r="T559" s="1619"/>
      <c r="U559" s="1619"/>
      <c r="V559" s="1619"/>
      <c r="W559" s="1619"/>
      <c r="X559" s="1619"/>
      <c r="Y559" s="1366"/>
      <c r="Z559" s="1366"/>
      <c r="AA559" s="1366"/>
      <c r="AB559" s="1366"/>
      <c r="AC559" s="1366"/>
      <c r="AD559" s="1366"/>
      <c r="AE559" s="1366"/>
      <c r="AF559" s="1366"/>
      <c r="AG559" s="1366"/>
      <c r="AH559" s="1366"/>
      <c r="AI559" s="1366"/>
      <c r="AJ559" s="1366"/>
      <c r="AK559" s="1366"/>
      <c r="AM559" s="1210"/>
      <c r="AN559" s="1210"/>
      <c r="AO559" s="1210"/>
      <c r="AP559" s="1210"/>
      <c r="AQ559" s="1210"/>
      <c r="AR559" s="1210"/>
      <c r="AS559" s="1210"/>
      <c r="AU559" s="1210"/>
      <c r="AV559" s="1210"/>
      <c r="AW559" s="1210"/>
      <c r="AX559" s="1210"/>
      <c r="AY559" s="1210"/>
      <c r="AZ559" s="1210"/>
      <c r="BA559" s="1210"/>
      <c r="BC559" s="1210"/>
      <c r="BD559" s="1210"/>
      <c r="BE559" s="1210"/>
      <c r="BF559" s="1210"/>
      <c r="BG559" s="1210"/>
      <c r="BH559" s="1210"/>
      <c r="BI559" s="1210"/>
    </row>
    <row r="560" spans="1:61" ht="14.5">
      <c r="A560" s="1693">
        <f t="shared" si="1088"/>
        <v>552</v>
      </c>
      <c r="B560" s="616">
        <v>1</v>
      </c>
      <c r="C560" s="1693">
        <f t="shared" si="1087"/>
        <v>560</v>
      </c>
      <c r="D560" s="616">
        <v>1</v>
      </c>
      <c r="F560" s="69"/>
      <c r="J560" s="77" t="s">
        <v>119</v>
      </c>
      <c r="K560" s="76"/>
      <c r="L560" s="282"/>
      <c r="M560" s="282"/>
      <c r="N560" s="235"/>
      <c r="O560" s="235"/>
      <c r="P560" s="235"/>
      <c r="Q560" s="1690"/>
      <c r="R560" s="1815" t="str">
        <f>CHOOSE(2, "6722000003471", "S/GP (2) Net Sales")</f>
        <v>S/GP (2) Net Sales</v>
      </c>
      <c r="S560" s="1719">
        <f>S561+S576</f>
        <v>741421</v>
      </c>
      <c r="T560" s="1720">
        <f t="shared" ref="T560:AD560" si="1127">T561+T576</f>
        <v>670439.83007000003</v>
      </c>
      <c r="U560" s="1720">
        <f t="shared" si="1127"/>
        <v>548754.72616000008</v>
      </c>
      <c r="V560" s="1720">
        <f t="shared" si="1127"/>
        <v>566025.12901000003</v>
      </c>
      <c r="W560" s="1720">
        <f t="shared" si="1127"/>
        <v>645300.38467000006</v>
      </c>
      <c r="X560" s="1720">
        <f t="shared" si="1127"/>
        <v>660270.56619000004</v>
      </c>
      <c r="Y560" s="1720">
        <f t="shared" si="1127"/>
        <v>644306.11956000002</v>
      </c>
      <c r="Z560" s="1720">
        <f t="shared" si="1127"/>
        <v>565927.86107999994</v>
      </c>
      <c r="AA560" s="1720">
        <f t="shared" si="1127"/>
        <v>603751.41898000007</v>
      </c>
      <c r="AB560" s="1720">
        <f t="shared" si="1127"/>
        <v>656242.02197999996</v>
      </c>
      <c r="AC560" s="1720">
        <f t="shared" si="1127"/>
        <v>698873.97473999998</v>
      </c>
      <c r="AD560" s="1720">
        <f t="shared" si="1127"/>
        <v>600052.71788999997</v>
      </c>
      <c r="AE560" s="1721">
        <f t="shared" ref="AE560:AK560" si="1128">AE561+AE576</f>
        <v>1960615.5562300002</v>
      </c>
      <c r="AF560" s="1722">
        <f t="shared" si="1128"/>
        <v>1871596.07987</v>
      </c>
      <c r="AG560" s="1722">
        <f t="shared" si="1128"/>
        <v>1813985.3996199998</v>
      </c>
      <c r="AH560" s="1722">
        <f t="shared" si="1128"/>
        <v>1955168.7146099999</v>
      </c>
      <c r="AI560" s="1722">
        <f t="shared" si="1128"/>
        <v>3832211.6361000002</v>
      </c>
      <c r="AJ560" s="1722">
        <f t="shared" si="1128"/>
        <v>3769154.1142299999</v>
      </c>
      <c r="AK560" s="1722">
        <f t="shared" si="1128"/>
        <v>7601365.7503300011</v>
      </c>
      <c r="AM560" s="2116">
        <f ca="1">SUM((INDIRECT(AM$2&amp;(ROW())):INDIRECT(AM$3&amp;(ROW()))))</f>
        <v>741421</v>
      </c>
      <c r="AN560" s="2116">
        <f ca="1">SUM(INDIRECT(AN$1&amp;AN$2&amp;$C560):INDIRECT(AN$1&amp;AN$3&amp;$C560))</f>
        <v>597539.75269376335</v>
      </c>
      <c r="AO560" s="2906">
        <f t="shared" ca="1" si="1003"/>
        <v>143881.24730623665</v>
      </c>
      <c r="AP560" s="2907">
        <f t="shared" ref="AP560:AP623" ca="1" si="1129">IFERROR(AM560/AN560,0)</f>
        <v>1.2407894146918377</v>
      </c>
      <c r="AQ560" s="2116">
        <f ca="1">SUM(INDIRECT(AQ$1&amp;AQ$2&amp;$A560):INDIRECT(AQ$1&amp;AQ$3&amp;$A560))</f>
        <v>469389</v>
      </c>
      <c r="AR560" s="2906">
        <f t="shared" ca="1" si="1005"/>
        <v>272032</v>
      </c>
      <c r="AS560" s="2907">
        <f t="shared" ref="AS560:AS623" ca="1" si="1130">IFERROR(AM560/AQ560,0)</f>
        <v>1.5795448977287494</v>
      </c>
      <c r="AU560" s="2116">
        <f ca="1">SUM((INDIRECT(AU$2&amp;(ROW())):INDIRECT(AU$3&amp;(ROW()))))</f>
        <v>741421</v>
      </c>
      <c r="AV560" s="2116">
        <f ca="1">SUM(INDIRECT(AV$1&amp;AV$2&amp;$C560):INDIRECT(AV$1&amp;AV$3&amp;$C560))</f>
        <v>597539.75269376335</v>
      </c>
      <c r="AW560" s="2906">
        <f t="shared" ref="AW560:AW623" ca="1" si="1131">AU560-AV560</f>
        <v>143881.24730623665</v>
      </c>
      <c r="AX560" s="2907">
        <f t="shared" ref="AX560:AX623" ca="1" si="1132">IFERROR(AU560/AV560,0)</f>
        <v>1.2407894146918377</v>
      </c>
      <c r="AY560" s="2116">
        <f ca="1">SUM(INDIRECT(AY$1&amp;AY$2&amp;$A560):INDIRECT(AY$1&amp;AY$3&amp;$A560))</f>
        <v>469389</v>
      </c>
      <c r="AZ560" s="2906">
        <f t="shared" ref="AZ560:AZ623" ca="1" si="1133">AU560-AY560</f>
        <v>272032</v>
      </c>
      <c r="BA560" s="2907">
        <f t="shared" ref="BA560:BA623" ca="1" si="1134">IFERROR(AU560/AY560,0)</f>
        <v>1.5795448977287494</v>
      </c>
      <c r="BC560" s="2116">
        <f ca="1">SUM((INDIRECT(BC$2&amp;(ROW())):INDIRECT(BC$3&amp;(ROW()))))</f>
        <v>741421</v>
      </c>
      <c r="BD560" s="2116">
        <f ca="1">SUM(INDIRECT(BD$1&amp;BD$2&amp;$C560):INDIRECT(BD$1&amp;BD$3&amp;$C560))</f>
        <v>597539.75269376335</v>
      </c>
      <c r="BE560" s="2906">
        <f t="shared" ref="BE560:BE623" ca="1" si="1135">BC560-BD560</f>
        <v>143881.24730623665</v>
      </c>
      <c r="BF560" s="2907">
        <f t="shared" ref="BF560:BF623" ca="1" si="1136">IFERROR(BC560/BD560,0)</f>
        <v>1.2407894146918377</v>
      </c>
      <c r="BG560" s="2116">
        <f ca="1">SUM(INDIRECT(BG$1&amp;BG$2&amp;$A560):INDIRECT(BG$1&amp;BG$3&amp;$A560))</f>
        <v>469389</v>
      </c>
      <c r="BH560" s="2906">
        <f t="shared" ref="BH560:BH623" ca="1" si="1137">BC560-BG560</f>
        <v>272032</v>
      </c>
      <c r="BI560" s="2907">
        <f t="shared" ref="BI560:BI623" ca="1" si="1138">IFERROR(BC560/BG560,0)</f>
        <v>1.5795448977287494</v>
      </c>
    </row>
    <row r="561" spans="1:61" ht="14.5">
      <c r="A561" s="1693">
        <f t="shared" si="1088"/>
        <v>553</v>
      </c>
      <c r="B561" s="616">
        <v>1</v>
      </c>
      <c r="C561" s="1693">
        <f t="shared" si="1087"/>
        <v>561</v>
      </c>
      <c r="D561" s="616">
        <v>1</v>
      </c>
      <c r="F561" s="69"/>
      <c r="J561" s="73"/>
      <c r="K561" s="72"/>
      <c r="L561" s="68" t="s">
        <v>120</v>
      </c>
      <c r="M561" s="68"/>
      <c r="N561" s="283"/>
      <c r="O561" s="283"/>
      <c r="P561" s="283"/>
      <c r="Q561" s="68"/>
      <c r="R561" s="1814" t="str">
        <f>CHOOSE(2, "6722000003472", "S/GP (2) Net Sales Direct")</f>
        <v>S/GP (2) Net Sales Direct</v>
      </c>
      <c r="S561" s="1723">
        <f>S562+S565+S570+S575</f>
        <v>662810</v>
      </c>
      <c r="T561" s="1714">
        <f t="shared" ref="T561:AD561" si="1139">T562+T565+T570+T575</f>
        <v>587878.28153000004</v>
      </c>
      <c r="U561" s="1714">
        <f t="shared" si="1139"/>
        <v>487194.38416000002</v>
      </c>
      <c r="V561" s="1714">
        <f t="shared" si="1139"/>
        <v>512818.37800999999</v>
      </c>
      <c r="W561" s="1714">
        <f t="shared" si="1139"/>
        <v>575450.95567000005</v>
      </c>
      <c r="X561" s="1714">
        <f t="shared" si="1139"/>
        <v>564378</v>
      </c>
      <c r="Y561" s="1714">
        <f t="shared" si="1139"/>
        <v>565742.24066000001</v>
      </c>
      <c r="Z561" s="1714">
        <f t="shared" si="1139"/>
        <v>502030.47651999997</v>
      </c>
      <c r="AA561" s="1714">
        <f t="shared" si="1139"/>
        <v>537960.06819000002</v>
      </c>
      <c r="AB561" s="1714">
        <f t="shared" si="1139"/>
        <v>574143.29649999994</v>
      </c>
      <c r="AC561" s="1714">
        <f t="shared" si="1139"/>
        <v>620540.28237999999</v>
      </c>
      <c r="AD561" s="1714">
        <f t="shared" si="1139"/>
        <v>495869.57502999995</v>
      </c>
      <c r="AE561" s="1715">
        <f t="shared" ref="AE561:AK561" si="1140">AE562+AE565+AE570+AE575</f>
        <v>1737882.6656900002</v>
      </c>
      <c r="AF561" s="1714">
        <f t="shared" si="1140"/>
        <v>1652647.3336799999</v>
      </c>
      <c r="AG561" s="1714">
        <f t="shared" si="1140"/>
        <v>1605732.7853699999</v>
      </c>
      <c r="AH561" s="1714">
        <f t="shared" si="1140"/>
        <v>1690553.1539099999</v>
      </c>
      <c r="AI561" s="1714">
        <f t="shared" si="1140"/>
        <v>3390529.9993700003</v>
      </c>
      <c r="AJ561" s="1714">
        <f t="shared" si="1140"/>
        <v>3296285.93928</v>
      </c>
      <c r="AK561" s="1714">
        <f t="shared" si="1140"/>
        <v>6686815.9386500008</v>
      </c>
      <c r="AM561" s="2589">
        <f ca="1">SUM((INDIRECT(AM$2&amp;(ROW())):INDIRECT(AM$3&amp;(ROW()))))</f>
        <v>662810</v>
      </c>
      <c r="AN561" s="2589">
        <f ca="1">SUM(INDIRECT(AN$1&amp;AN$2&amp;$C561):INDIRECT(AN$1&amp;AN$3&amp;$C561))</f>
        <v>528711.60137370089</v>
      </c>
      <c r="AO561" s="2908">
        <f t="shared" ca="1" si="1003"/>
        <v>134098.39862629911</v>
      </c>
      <c r="AP561" s="2909">
        <f t="shared" ca="1" si="1129"/>
        <v>1.2536324118439695</v>
      </c>
      <c r="AQ561" s="2589">
        <f ca="1">SUM(INDIRECT(AQ$1&amp;AQ$2&amp;$A561):INDIRECT(AQ$1&amp;AQ$3&amp;$A561))</f>
        <v>403399</v>
      </c>
      <c r="AR561" s="2908">
        <f t="shared" ca="1" si="1005"/>
        <v>259411</v>
      </c>
      <c r="AS561" s="2909">
        <f t="shared" ca="1" si="1130"/>
        <v>1.643063071549508</v>
      </c>
      <c r="AU561" s="2589">
        <f ca="1">SUM((INDIRECT(AU$2&amp;(ROW())):INDIRECT(AU$3&amp;(ROW()))))</f>
        <v>662810</v>
      </c>
      <c r="AV561" s="2589">
        <f ca="1">SUM(INDIRECT(AV$1&amp;AV$2&amp;$C561):INDIRECT(AV$1&amp;AV$3&amp;$C561))</f>
        <v>528711.60137370089</v>
      </c>
      <c r="AW561" s="2908">
        <f t="shared" ca="1" si="1131"/>
        <v>134098.39862629911</v>
      </c>
      <c r="AX561" s="2909">
        <f t="shared" ca="1" si="1132"/>
        <v>1.2536324118439695</v>
      </c>
      <c r="AY561" s="2589">
        <f ca="1">SUM(INDIRECT(AY$1&amp;AY$2&amp;$A561):INDIRECT(AY$1&amp;AY$3&amp;$A561))</f>
        <v>403399</v>
      </c>
      <c r="AZ561" s="2908">
        <f t="shared" ca="1" si="1133"/>
        <v>259411</v>
      </c>
      <c r="BA561" s="2909">
        <f t="shared" ca="1" si="1134"/>
        <v>1.643063071549508</v>
      </c>
      <c r="BC561" s="2589">
        <f ca="1">SUM((INDIRECT(BC$2&amp;(ROW())):INDIRECT(BC$3&amp;(ROW()))))</f>
        <v>662810</v>
      </c>
      <c r="BD561" s="2589">
        <f ca="1">SUM(INDIRECT(BD$1&amp;BD$2&amp;$C561):INDIRECT(BD$1&amp;BD$3&amp;$C561))</f>
        <v>528711.60137370089</v>
      </c>
      <c r="BE561" s="2908">
        <f t="shared" ca="1" si="1135"/>
        <v>134098.39862629911</v>
      </c>
      <c r="BF561" s="2909">
        <f t="shared" ca="1" si="1136"/>
        <v>1.2536324118439695</v>
      </c>
      <c r="BG561" s="2589">
        <f ca="1">SUM(INDIRECT(BG$1&amp;BG$2&amp;$A561):INDIRECT(BG$1&amp;BG$3&amp;$A561))</f>
        <v>403399</v>
      </c>
      <c r="BH561" s="2908">
        <f t="shared" ca="1" si="1137"/>
        <v>259411</v>
      </c>
      <c r="BI561" s="2909">
        <f t="shared" ca="1" si="1138"/>
        <v>1.643063071549508</v>
      </c>
    </row>
    <row r="562" spans="1:61" ht="14.5">
      <c r="A562" s="1693">
        <f t="shared" si="1088"/>
        <v>554</v>
      </c>
      <c r="B562" s="616">
        <v>1</v>
      </c>
      <c r="C562" s="1693">
        <f t="shared" si="1087"/>
        <v>562</v>
      </c>
      <c r="D562" s="616">
        <v>1</v>
      </c>
      <c r="F562" s="69"/>
      <c r="J562" s="73"/>
      <c r="K562" s="72"/>
      <c r="L562" s="68"/>
      <c r="M562" s="68"/>
      <c r="N562" s="8" t="s">
        <v>121</v>
      </c>
      <c r="O562" s="285"/>
      <c r="P562" s="285"/>
      <c r="Q562" s="285"/>
      <c r="R562" s="1777" t="str">
        <f>CHOOSE(2, "6722000003473", "S/GP (2) Net Sales Direct HW")</f>
        <v>S/GP (2) Net Sales Direct HW</v>
      </c>
      <c r="S562" s="1620">
        <f>SUM(S563:S564)</f>
        <v>173967</v>
      </c>
      <c r="T562" s="1248">
        <f t="shared" ref="T562:AD562" si="1141">SUM(T563:T564)</f>
        <v>177103.152</v>
      </c>
      <c r="U562" s="1248">
        <f t="shared" si="1141"/>
        <v>147042.73019</v>
      </c>
      <c r="V562" s="1248">
        <f t="shared" si="1141"/>
        <v>155687.508</v>
      </c>
      <c r="W562" s="1248">
        <f t="shared" si="1141"/>
        <v>187192.307</v>
      </c>
      <c r="X562" s="1248">
        <f t="shared" si="1141"/>
        <v>168589</v>
      </c>
      <c r="Y562" s="1248">
        <f t="shared" si="1141"/>
        <v>152393.592</v>
      </c>
      <c r="Z562" s="1248">
        <f t="shared" si="1141"/>
        <v>137776.978</v>
      </c>
      <c r="AA562" s="1248">
        <f t="shared" si="1141"/>
        <v>144738.25099999999</v>
      </c>
      <c r="AB562" s="1248">
        <f t="shared" si="1141"/>
        <v>142969.81299999999</v>
      </c>
      <c r="AC562" s="1248">
        <f t="shared" si="1141"/>
        <v>185027.31899999999</v>
      </c>
      <c r="AD562" s="1248">
        <f t="shared" si="1141"/>
        <v>158362.845</v>
      </c>
      <c r="AE562" s="895">
        <f t="shared" ref="AE562:AK562" si="1142">SUM(AE563:AE564)</f>
        <v>498112.88219000003</v>
      </c>
      <c r="AF562" s="1248">
        <f t="shared" si="1142"/>
        <v>511468.815</v>
      </c>
      <c r="AG562" s="1248">
        <f t="shared" si="1142"/>
        <v>434908.821</v>
      </c>
      <c r="AH562" s="1248">
        <f t="shared" si="1142"/>
        <v>486359.97699999996</v>
      </c>
      <c r="AI562" s="1248">
        <f t="shared" si="1142"/>
        <v>1009581.69719</v>
      </c>
      <c r="AJ562" s="1248">
        <f t="shared" si="1142"/>
        <v>921268.79799999995</v>
      </c>
      <c r="AK562" s="1248">
        <f t="shared" si="1142"/>
        <v>1930850.4951899999</v>
      </c>
      <c r="AM562" s="2183">
        <f ca="1">SUM((INDIRECT(AM$2&amp;(ROW())):INDIRECT(AM$3&amp;(ROW()))))</f>
        <v>173967</v>
      </c>
      <c r="AN562" s="2183">
        <f ca="1">SUM(INDIRECT(AN$1&amp;AN$2&amp;$C562):INDIRECT(AN$1&amp;AN$3&amp;$C562))</f>
        <v>136296.79177370094</v>
      </c>
      <c r="AO562" s="2875">
        <f t="shared" ca="1" si="1003"/>
        <v>37670.208226299059</v>
      </c>
      <c r="AP562" s="2876">
        <f t="shared" ca="1" si="1129"/>
        <v>1.2763836751846986</v>
      </c>
      <c r="AQ562" s="2183">
        <f ca="1">SUM(INDIRECT(AQ$1&amp;AQ$2&amp;$A562):INDIRECT(AQ$1&amp;AQ$3&amp;$A562))</f>
        <v>109550</v>
      </c>
      <c r="AR562" s="2875">
        <f t="shared" ca="1" si="1005"/>
        <v>64417</v>
      </c>
      <c r="AS562" s="2876">
        <f t="shared" ca="1" si="1130"/>
        <v>1.5880146052031037</v>
      </c>
      <c r="AU562" s="2183">
        <f ca="1">SUM((INDIRECT(AU$2&amp;(ROW())):INDIRECT(AU$3&amp;(ROW()))))</f>
        <v>173967</v>
      </c>
      <c r="AV562" s="2183">
        <f ca="1">SUM(INDIRECT(AV$1&amp;AV$2&amp;$C562):INDIRECT(AV$1&amp;AV$3&amp;$C562))</f>
        <v>136296.79177370094</v>
      </c>
      <c r="AW562" s="2875">
        <f t="shared" ca="1" si="1131"/>
        <v>37670.208226299059</v>
      </c>
      <c r="AX562" s="2876">
        <f t="shared" ca="1" si="1132"/>
        <v>1.2763836751846986</v>
      </c>
      <c r="AY562" s="2183">
        <f ca="1">SUM(INDIRECT(AY$1&amp;AY$2&amp;$A562):INDIRECT(AY$1&amp;AY$3&amp;$A562))</f>
        <v>109550</v>
      </c>
      <c r="AZ562" s="2875">
        <f t="shared" ca="1" si="1133"/>
        <v>64417</v>
      </c>
      <c r="BA562" s="2876">
        <f t="shared" ca="1" si="1134"/>
        <v>1.5880146052031037</v>
      </c>
      <c r="BC562" s="2183">
        <f ca="1">SUM((INDIRECT(BC$2&amp;(ROW())):INDIRECT(BC$3&amp;(ROW()))))</f>
        <v>173967</v>
      </c>
      <c r="BD562" s="2183">
        <f ca="1">SUM(INDIRECT(BD$1&amp;BD$2&amp;$C562):INDIRECT(BD$1&amp;BD$3&amp;$C562))</f>
        <v>136296.79177370094</v>
      </c>
      <c r="BE562" s="2875">
        <f t="shared" ca="1" si="1135"/>
        <v>37670.208226299059</v>
      </c>
      <c r="BF562" s="2876">
        <f t="shared" ca="1" si="1136"/>
        <v>1.2763836751846986</v>
      </c>
      <c r="BG562" s="2183">
        <f ca="1">SUM(INDIRECT(BG$1&amp;BG$2&amp;$A562):INDIRECT(BG$1&amp;BG$3&amp;$A562))</f>
        <v>109550</v>
      </c>
      <c r="BH562" s="2875">
        <f t="shared" ca="1" si="1137"/>
        <v>64417</v>
      </c>
      <c r="BI562" s="2876">
        <f t="shared" ca="1" si="1138"/>
        <v>1.5880146052031037</v>
      </c>
    </row>
    <row r="563" spans="1:61" ht="14.5">
      <c r="A563" s="1693">
        <f t="shared" si="1088"/>
        <v>555</v>
      </c>
      <c r="B563" s="616">
        <v>1</v>
      </c>
      <c r="C563" s="1693">
        <f t="shared" si="1087"/>
        <v>563</v>
      </c>
      <c r="D563" s="616">
        <v>1</v>
      </c>
      <c r="F563" s="69"/>
      <c r="J563" s="73"/>
      <c r="K563" s="72"/>
      <c r="L563" s="68"/>
      <c r="M563" s="68"/>
      <c r="O563" s="97" t="s">
        <v>122</v>
      </c>
      <c r="P563" s="97"/>
      <c r="Q563" s="97"/>
      <c r="R563" s="1779" t="str">
        <f>CHOOSE(2, "6722000003474", "S/GP (2) Net Sales Direct HW KMI")</f>
        <v>S/GP (2) Net Sales Direct HW KMI</v>
      </c>
      <c r="S563" s="1247">
        <v>173967</v>
      </c>
      <c r="T563" s="1227">
        <v>177103.152</v>
      </c>
      <c r="U563" s="1227">
        <v>147042.73019</v>
      </c>
      <c r="V563" s="1227">
        <v>155687.508</v>
      </c>
      <c r="W563" s="1227">
        <v>187192.307</v>
      </c>
      <c r="X563" s="1227">
        <v>168589</v>
      </c>
      <c r="Y563" s="1227">
        <v>152393.592</v>
      </c>
      <c r="Z563" s="1227">
        <v>137776.978</v>
      </c>
      <c r="AA563" s="1227">
        <v>144738.25099999999</v>
      </c>
      <c r="AB563" s="1227">
        <v>142969.81299999999</v>
      </c>
      <c r="AC563" s="1227">
        <v>185027.31899999999</v>
      </c>
      <c r="AD563" s="1227">
        <v>158362.845</v>
      </c>
      <c r="AE563" s="295">
        <f>SUM(S563,T563,U563)</f>
        <v>498112.88219000003</v>
      </c>
      <c r="AF563" s="96">
        <f>SUM(V563,W563,X563)</f>
        <v>511468.815</v>
      </c>
      <c r="AG563" s="96">
        <f>SUM(Y563,Z563,AA563)</f>
        <v>434908.821</v>
      </c>
      <c r="AH563" s="96">
        <f>SUM(AB563,AC563,AD563)</f>
        <v>486359.97699999996</v>
      </c>
      <c r="AI563" s="96">
        <f>AE563+AF563</f>
        <v>1009581.69719</v>
      </c>
      <c r="AJ563" s="96">
        <f>AH563+AG563</f>
        <v>921268.79799999995</v>
      </c>
      <c r="AK563" s="96">
        <f>AI563+AJ563</f>
        <v>1930850.4951899999</v>
      </c>
      <c r="AM563" s="2161">
        <f ca="1">SUM((INDIRECT(AM$2&amp;(ROW())):INDIRECT(AM$3&amp;(ROW()))))</f>
        <v>173967</v>
      </c>
      <c r="AN563" s="2161">
        <f ca="1">SUM(INDIRECT(AN$1&amp;AN$2&amp;$C563):INDIRECT(AN$1&amp;AN$3&amp;$C563))</f>
        <v>136296.79177370094</v>
      </c>
      <c r="AO563" s="2877">
        <f t="shared" ca="1" si="1003"/>
        <v>37670.208226299059</v>
      </c>
      <c r="AP563" s="2878">
        <f t="shared" ca="1" si="1129"/>
        <v>1.2763836751846986</v>
      </c>
      <c r="AQ563" s="2161">
        <f ca="1">SUM(INDIRECT(AQ$1&amp;AQ$2&amp;$A563):INDIRECT(AQ$1&amp;AQ$3&amp;$A563))</f>
        <v>109550</v>
      </c>
      <c r="AR563" s="2877">
        <f t="shared" ca="1" si="1005"/>
        <v>64417</v>
      </c>
      <c r="AS563" s="2878">
        <f t="shared" ca="1" si="1130"/>
        <v>1.5880146052031037</v>
      </c>
      <c r="AU563" s="2161">
        <f ca="1">SUM((INDIRECT(AU$2&amp;(ROW())):INDIRECT(AU$3&amp;(ROW()))))</f>
        <v>173967</v>
      </c>
      <c r="AV563" s="2161">
        <f ca="1">SUM(INDIRECT(AV$1&amp;AV$2&amp;$C563):INDIRECT(AV$1&amp;AV$3&amp;$C563))</f>
        <v>136296.79177370094</v>
      </c>
      <c r="AW563" s="2877">
        <f t="shared" ca="1" si="1131"/>
        <v>37670.208226299059</v>
      </c>
      <c r="AX563" s="2878">
        <f t="shared" ca="1" si="1132"/>
        <v>1.2763836751846986</v>
      </c>
      <c r="AY563" s="2161">
        <f ca="1">SUM(INDIRECT(AY$1&amp;AY$2&amp;$A563):INDIRECT(AY$1&amp;AY$3&amp;$A563))</f>
        <v>109550</v>
      </c>
      <c r="AZ563" s="2877">
        <f t="shared" ca="1" si="1133"/>
        <v>64417</v>
      </c>
      <c r="BA563" s="2878">
        <f t="shared" ca="1" si="1134"/>
        <v>1.5880146052031037</v>
      </c>
      <c r="BC563" s="2161">
        <f ca="1">SUM((INDIRECT(BC$2&amp;(ROW())):INDIRECT(BC$3&amp;(ROW()))))</f>
        <v>173967</v>
      </c>
      <c r="BD563" s="2161">
        <f ca="1">SUM(INDIRECT(BD$1&amp;BD$2&amp;$C563):INDIRECT(BD$1&amp;BD$3&amp;$C563))</f>
        <v>136296.79177370094</v>
      </c>
      <c r="BE563" s="2877">
        <f t="shared" ca="1" si="1135"/>
        <v>37670.208226299059</v>
      </c>
      <c r="BF563" s="2878">
        <f t="shared" ca="1" si="1136"/>
        <v>1.2763836751846986</v>
      </c>
      <c r="BG563" s="2161">
        <f ca="1">SUM(INDIRECT(BG$1&amp;BG$2&amp;$A563):INDIRECT(BG$1&amp;BG$3&amp;$A563))</f>
        <v>109550</v>
      </c>
      <c r="BH563" s="2877">
        <f t="shared" ca="1" si="1137"/>
        <v>64417</v>
      </c>
      <c r="BI563" s="2878">
        <f t="shared" ca="1" si="1138"/>
        <v>1.5880146052031037</v>
      </c>
    </row>
    <row r="564" spans="1:61" ht="14.5">
      <c r="A564" s="1693">
        <f t="shared" si="1088"/>
        <v>556</v>
      </c>
      <c r="B564" s="616">
        <v>1</v>
      </c>
      <c r="C564" s="1693">
        <f t="shared" si="1087"/>
        <v>564</v>
      </c>
      <c r="D564" s="616">
        <v>1</v>
      </c>
      <c r="F564" s="69"/>
      <c r="J564" s="73"/>
      <c r="K564" s="72"/>
      <c r="L564" s="68"/>
      <c r="M564" s="68"/>
      <c r="O564" s="11" t="s">
        <v>125</v>
      </c>
      <c r="P564" s="11"/>
      <c r="Q564" s="11"/>
      <c r="R564" s="1779" t="str">
        <f>CHOOSE(2, "6722000003475", "S/GP (2) Net Sales Direct HW 3rd Party")</f>
        <v>S/GP (2) Net Sales Direct HW 3rd Party</v>
      </c>
      <c r="S564" s="1225"/>
      <c r="T564" s="1218"/>
      <c r="U564" s="1218"/>
      <c r="V564" s="1218"/>
      <c r="W564" s="1218"/>
      <c r="X564" s="1218"/>
      <c r="Y564" s="1218"/>
      <c r="Z564" s="1218"/>
      <c r="AA564" s="1218"/>
      <c r="AB564" s="1218"/>
      <c r="AC564" s="1218"/>
      <c r="AD564" s="1218"/>
      <c r="AE564" s="87">
        <f>SUM(S564,T564,U564)</f>
        <v>0</v>
      </c>
      <c r="AF564" s="15">
        <f>SUM(V564,W564,X564)</f>
        <v>0</v>
      </c>
      <c r="AG564" s="15">
        <f>SUM(Y564,Z564,AA564)</f>
        <v>0</v>
      </c>
      <c r="AH564" s="15">
        <f>SUM(AB564,AC564,AD564)</f>
        <v>0</v>
      </c>
      <c r="AI564" s="15">
        <f>AE564+AF564</f>
        <v>0</v>
      </c>
      <c r="AJ564" s="15">
        <f>AH564+AG564</f>
        <v>0</v>
      </c>
      <c r="AK564" s="15">
        <f>AI564+AJ564</f>
        <v>0</v>
      </c>
      <c r="AM564" s="1928">
        <f ca="1">SUM((INDIRECT(AM$2&amp;(ROW())):INDIRECT(AM$3&amp;(ROW()))))</f>
        <v>0</v>
      </c>
      <c r="AN564" s="1928">
        <f ca="1">SUM(INDIRECT(AN$1&amp;AN$2&amp;$C564):INDIRECT(AN$1&amp;AN$3&amp;$C564))</f>
        <v>0</v>
      </c>
      <c r="AO564" s="2709">
        <f t="shared" ca="1" si="1003"/>
        <v>0</v>
      </c>
      <c r="AP564" s="2710">
        <f t="shared" ca="1" si="1129"/>
        <v>0</v>
      </c>
      <c r="AQ564" s="1928">
        <f ca="1">SUM(INDIRECT(AQ$1&amp;AQ$2&amp;$A564):INDIRECT(AQ$1&amp;AQ$3&amp;$A564))</f>
        <v>0</v>
      </c>
      <c r="AR564" s="2709">
        <f t="shared" ca="1" si="1005"/>
        <v>0</v>
      </c>
      <c r="AS564" s="2710">
        <f t="shared" ca="1" si="1130"/>
        <v>0</v>
      </c>
      <c r="AU564" s="1928">
        <f ca="1">SUM((INDIRECT(AU$2&amp;(ROW())):INDIRECT(AU$3&amp;(ROW()))))</f>
        <v>0</v>
      </c>
      <c r="AV564" s="1928">
        <f ca="1">SUM(INDIRECT(AV$1&amp;AV$2&amp;$C564):INDIRECT(AV$1&amp;AV$3&amp;$C564))</f>
        <v>0</v>
      </c>
      <c r="AW564" s="2709">
        <f t="shared" ca="1" si="1131"/>
        <v>0</v>
      </c>
      <c r="AX564" s="2710">
        <f t="shared" ca="1" si="1132"/>
        <v>0</v>
      </c>
      <c r="AY564" s="1928">
        <f ca="1">SUM(INDIRECT(AY$1&amp;AY$2&amp;$A564):INDIRECT(AY$1&amp;AY$3&amp;$A564))</f>
        <v>0</v>
      </c>
      <c r="AZ564" s="2709">
        <f t="shared" ca="1" si="1133"/>
        <v>0</v>
      </c>
      <c r="BA564" s="2710">
        <f t="shared" ca="1" si="1134"/>
        <v>0</v>
      </c>
      <c r="BC564" s="1928">
        <f ca="1">SUM((INDIRECT(BC$2&amp;(ROW())):INDIRECT(BC$3&amp;(ROW()))))</f>
        <v>0</v>
      </c>
      <c r="BD564" s="1928">
        <f ca="1">SUM(INDIRECT(BD$1&amp;BD$2&amp;$C564):INDIRECT(BD$1&amp;BD$3&amp;$C564))</f>
        <v>0</v>
      </c>
      <c r="BE564" s="2709">
        <f t="shared" ca="1" si="1135"/>
        <v>0</v>
      </c>
      <c r="BF564" s="2710">
        <f t="shared" ca="1" si="1136"/>
        <v>0</v>
      </c>
      <c r="BG564" s="1928">
        <f ca="1">SUM(INDIRECT(BG$1&amp;BG$2&amp;$A564):INDIRECT(BG$1&amp;BG$3&amp;$A564))</f>
        <v>0</v>
      </c>
      <c r="BH564" s="2709">
        <f t="shared" ca="1" si="1137"/>
        <v>0</v>
      </c>
      <c r="BI564" s="2710">
        <f t="shared" ca="1" si="1138"/>
        <v>0</v>
      </c>
    </row>
    <row r="565" spans="1:61" ht="14.5">
      <c r="A565" s="1693">
        <f t="shared" si="1088"/>
        <v>557</v>
      </c>
      <c r="B565" s="616">
        <v>1</v>
      </c>
      <c r="C565" s="1693">
        <f t="shared" si="1087"/>
        <v>565</v>
      </c>
      <c r="D565" s="616">
        <v>1</v>
      </c>
      <c r="F565" s="69"/>
      <c r="J565" s="73"/>
      <c r="K565" s="72"/>
      <c r="L565" s="68"/>
      <c r="M565" s="68"/>
      <c r="N565" s="65" t="s">
        <v>126</v>
      </c>
      <c r="O565" s="284"/>
      <c r="P565" s="284"/>
      <c r="Q565" s="284"/>
      <c r="R565" s="1777" t="str">
        <f>CHOOSE(2, "6722000003476", "S/GP (2) Net Sales Direct NH")</f>
        <v>S/GP (2) Net Sales Direct NH</v>
      </c>
      <c r="S565" s="1621">
        <f>S566+S569</f>
        <v>488843</v>
      </c>
      <c r="T565" s="1249">
        <f t="shared" ref="T565:AD565" si="1143">T566+T569</f>
        <v>410775.12953000009</v>
      </c>
      <c r="U565" s="1249">
        <f t="shared" si="1143"/>
        <v>340151.65397000004</v>
      </c>
      <c r="V565" s="1249">
        <f t="shared" si="1143"/>
        <v>357130.87001000001</v>
      </c>
      <c r="W565" s="1249">
        <f t="shared" si="1143"/>
        <v>388258.64867000002</v>
      </c>
      <c r="X565" s="1249">
        <f t="shared" si="1143"/>
        <v>395638</v>
      </c>
      <c r="Y565" s="1249">
        <f t="shared" si="1143"/>
        <v>413046.64866000001</v>
      </c>
      <c r="Z565" s="1249">
        <f t="shared" si="1143"/>
        <v>363911.49851999996</v>
      </c>
      <c r="AA565" s="1249">
        <f t="shared" si="1143"/>
        <v>393221.81718999997</v>
      </c>
      <c r="AB565" s="1249">
        <f t="shared" si="1143"/>
        <v>431022.48349999997</v>
      </c>
      <c r="AC565" s="1249">
        <f t="shared" si="1143"/>
        <v>435387.96337999997</v>
      </c>
      <c r="AD565" s="1249">
        <f t="shared" si="1143"/>
        <v>336836.99002999999</v>
      </c>
      <c r="AE565" s="898">
        <f t="shared" ref="AE565:AK565" si="1144">AE566+AE569</f>
        <v>1239769.7835000001</v>
      </c>
      <c r="AF565" s="1249">
        <f t="shared" si="1144"/>
        <v>1141027.51868</v>
      </c>
      <c r="AG565" s="1249">
        <f t="shared" si="1144"/>
        <v>1170179.9643699999</v>
      </c>
      <c r="AH565" s="1249">
        <f t="shared" si="1144"/>
        <v>1203247.4369099999</v>
      </c>
      <c r="AI565" s="1249">
        <f t="shared" si="1144"/>
        <v>2380797.3021800001</v>
      </c>
      <c r="AJ565" s="1249">
        <f t="shared" si="1144"/>
        <v>2373427.4012799999</v>
      </c>
      <c r="AK565" s="1249">
        <f t="shared" si="1144"/>
        <v>4754224.7034600005</v>
      </c>
      <c r="AM565" s="2570">
        <f ca="1">SUM((INDIRECT(AM$2&amp;(ROW())):INDIRECT(AM$3&amp;(ROW()))))</f>
        <v>488843</v>
      </c>
      <c r="AN565" s="2570">
        <f ca="1">SUM(INDIRECT(AN$1&amp;AN$2&amp;$C565):INDIRECT(AN$1&amp;AN$3&amp;$C565))</f>
        <v>391664.80959999998</v>
      </c>
      <c r="AO565" s="2910">
        <f t="shared" ca="1" si="1003"/>
        <v>97178.190400000021</v>
      </c>
      <c r="AP565" s="2911">
        <f t="shared" ca="1" si="1129"/>
        <v>1.2481157051082692</v>
      </c>
      <c r="AQ565" s="2570">
        <f ca="1">SUM(INDIRECT(AQ$1&amp;AQ$2&amp;$A565):INDIRECT(AQ$1&amp;AQ$3&amp;$A565))</f>
        <v>293849</v>
      </c>
      <c r="AR565" s="2910">
        <f t="shared" ca="1" si="1005"/>
        <v>194994</v>
      </c>
      <c r="AS565" s="2911">
        <f t="shared" ca="1" si="1130"/>
        <v>1.6635857191959136</v>
      </c>
      <c r="AU565" s="2570">
        <f ca="1">SUM((INDIRECT(AU$2&amp;(ROW())):INDIRECT(AU$3&amp;(ROW()))))</f>
        <v>488843</v>
      </c>
      <c r="AV565" s="2570">
        <f ca="1">SUM(INDIRECT(AV$1&amp;AV$2&amp;$C565):INDIRECT(AV$1&amp;AV$3&amp;$C565))</f>
        <v>391664.80959999998</v>
      </c>
      <c r="AW565" s="2910">
        <f t="shared" ca="1" si="1131"/>
        <v>97178.190400000021</v>
      </c>
      <c r="AX565" s="2911">
        <f t="shared" ca="1" si="1132"/>
        <v>1.2481157051082692</v>
      </c>
      <c r="AY565" s="2570">
        <f ca="1">SUM(INDIRECT(AY$1&amp;AY$2&amp;$A565):INDIRECT(AY$1&amp;AY$3&amp;$A565))</f>
        <v>293849</v>
      </c>
      <c r="AZ565" s="2910">
        <f t="shared" ca="1" si="1133"/>
        <v>194994</v>
      </c>
      <c r="BA565" s="2911">
        <f t="shared" ca="1" si="1134"/>
        <v>1.6635857191959136</v>
      </c>
      <c r="BC565" s="2570">
        <f ca="1">SUM((INDIRECT(BC$2&amp;(ROW())):INDIRECT(BC$3&amp;(ROW()))))</f>
        <v>488843</v>
      </c>
      <c r="BD565" s="2570">
        <f ca="1">SUM(INDIRECT(BD$1&amp;BD$2&amp;$C565):INDIRECT(BD$1&amp;BD$3&amp;$C565))</f>
        <v>391664.80959999998</v>
      </c>
      <c r="BE565" s="2910">
        <f t="shared" ca="1" si="1135"/>
        <v>97178.190400000021</v>
      </c>
      <c r="BF565" s="2911">
        <f t="shared" ca="1" si="1136"/>
        <v>1.2481157051082692</v>
      </c>
      <c r="BG565" s="2570">
        <f ca="1">SUM(INDIRECT(BG$1&amp;BG$2&amp;$A565):INDIRECT(BG$1&amp;BG$3&amp;$A565))</f>
        <v>293849</v>
      </c>
      <c r="BH565" s="2910">
        <f t="shared" ca="1" si="1137"/>
        <v>194994</v>
      </c>
      <c r="BI565" s="2911">
        <f t="shared" ca="1" si="1138"/>
        <v>1.6635857191959136</v>
      </c>
    </row>
    <row r="566" spans="1:61" ht="14.5">
      <c r="A566" s="1693">
        <f t="shared" si="1088"/>
        <v>558</v>
      </c>
      <c r="B566" s="616">
        <v>1</v>
      </c>
      <c r="C566" s="1693">
        <f t="shared" si="1087"/>
        <v>566</v>
      </c>
      <c r="D566" s="616">
        <v>1</v>
      </c>
      <c r="F566" s="69"/>
      <c r="J566" s="73"/>
      <c r="K566" s="72"/>
      <c r="L566" s="68"/>
      <c r="M566" s="68"/>
      <c r="O566" s="97" t="s">
        <v>122</v>
      </c>
      <c r="P566" s="97"/>
      <c r="Q566" s="869"/>
      <c r="R566" s="1777" t="str">
        <f>CHOOSE(2, "6722000003477", "S/GP (2) Net Sales Direct NH KMI")</f>
        <v>S/GP (2) Net Sales Direct NH KMI</v>
      </c>
      <c r="S566" s="1622">
        <f>SUM(S567:S568)</f>
        <v>488843</v>
      </c>
      <c r="T566" s="1250">
        <f t="shared" ref="T566:AD566" si="1145">SUM(T567:T568)</f>
        <v>410775.12953000009</v>
      </c>
      <c r="U566" s="1250">
        <f t="shared" si="1145"/>
        <v>340151.65397000004</v>
      </c>
      <c r="V566" s="1250">
        <f t="shared" si="1145"/>
        <v>357130.87001000001</v>
      </c>
      <c r="W566" s="1250">
        <f t="shared" si="1145"/>
        <v>388258.64867000002</v>
      </c>
      <c r="X566" s="1250">
        <f t="shared" si="1145"/>
        <v>395638</v>
      </c>
      <c r="Y566" s="1250">
        <f t="shared" si="1145"/>
        <v>413046.64866000001</v>
      </c>
      <c r="Z566" s="1250">
        <f t="shared" si="1145"/>
        <v>363911.49851999996</v>
      </c>
      <c r="AA566" s="1250">
        <f t="shared" si="1145"/>
        <v>393221.81718999997</v>
      </c>
      <c r="AB566" s="1250">
        <f t="shared" si="1145"/>
        <v>431022.48349999997</v>
      </c>
      <c r="AC566" s="1250">
        <f t="shared" si="1145"/>
        <v>435387.96337999997</v>
      </c>
      <c r="AD566" s="1250">
        <f t="shared" si="1145"/>
        <v>336836.99002999999</v>
      </c>
      <c r="AE566" s="899">
        <f t="shared" ref="AE566:AK566" si="1146">SUM(AE567:AE568)</f>
        <v>1239769.7835000001</v>
      </c>
      <c r="AF566" s="1250">
        <f t="shared" si="1146"/>
        <v>1141027.51868</v>
      </c>
      <c r="AG566" s="1250">
        <f t="shared" si="1146"/>
        <v>1170179.9643699999</v>
      </c>
      <c r="AH566" s="1250">
        <f t="shared" si="1146"/>
        <v>1203247.4369099999</v>
      </c>
      <c r="AI566" s="1250">
        <f t="shared" si="1146"/>
        <v>2380797.3021800001</v>
      </c>
      <c r="AJ566" s="1250">
        <f t="shared" si="1146"/>
        <v>2373427.4012799999</v>
      </c>
      <c r="AK566" s="1250">
        <f t="shared" si="1146"/>
        <v>4754224.7034600005</v>
      </c>
      <c r="AM566" s="2194">
        <f ca="1">SUM((INDIRECT(AM$2&amp;(ROW())):INDIRECT(AM$3&amp;(ROW()))))</f>
        <v>488843</v>
      </c>
      <c r="AN566" s="2194">
        <f ca="1">SUM(INDIRECT(AN$1&amp;AN$2&amp;$C566):INDIRECT(AN$1&amp;AN$3&amp;$C566))</f>
        <v>391664.80959999998</v>
      </c>
      <c r="AO566" s="2912">
        <f t="shared" ca="1" si="1003"/>
        <v>97178.190400000021</v>
      </c>
      <c r="AP566" s="2913">
        <f t="shared" ca="1" si="1129"/>
        <v>1.2481157051082692</v>
      </c>
      <c r="AQ566" s="2194">
        <f ca="1">SUM(INDIRECT(AQ$1&amp;AQ$2&amp;$A566):INDIRECT(AQ$1&amp;AQ$3&amp;$A566))</f>
        <v>293849</v>
      </c>
      <c r="AR566" s="2912">
        <f t="shared" ca="1" si="1005"/>
        <v>194994</v>
      </c>
      <c r="AS566" s="2913">
        <f t="shared" ca="1" si="1130"/>
        <v>1.6635857191959136</v>
      </c>
      <c r="AU566" s="2194">
        <f ca="1">SUM((INDIRECT(AU$2&amp;(ROW())):INDIRECT(AU$3&amp;(ROW()))))</f>
        <v>488843</v>
      </c>
      <c r="AV566" s="2194">
        <f ca="1">SUM(INDIRECT(AV$1&amp;AV$2&amp;$C566):INDIRECT(AV$1&amp;AV$3&amp;$C566))</f>
        <v>391664.80959999998</v>
      </c>
      <c r="AW566" s="2912">
        <f t="shared" ca="1" si="1131"/>
        <v>97178.190400000021</v>
      </c>
      <c r="AX566" s="2913">
        <f t="shared" ca="1" si="1132"/>
        <v>1.2481157051082692</v>
      </c>
      <c r="AY566" s="2194">
        <f ca="1">SUM(INDIRECT(AY$1&amp;AY$2&amp;$A566):INDIRECT(AY$1&amp;AY$3&amp;$A566))</f>
        <v>293849</v>
      </c>
      <c r="AZ566" s="2912">
        <f t="shared" ca="1" si="1133"/>
        <v>194994</v>
      </c>
      <c r="BA566" s="2913">
        <f t="shared" ca="1" si="1134"/>
        <v>1.6635857191959136</v>
      </c>
      <c r="BC566" s="2194">
        <f ca="1">SUM((INDIRECT(BC$2&amp;(ROW())):INDIRECT(BC$3&amp;(ROW()))))</f>
        <v>488843</v>
      </c>
      <c r="BD566" s="2194">
        <f ca="1">SUM(INDIRECT(BD$1&amp;BD$2&amp;$C566):INDIRECT(BD$1&amp;BD$3&amp;$C566))</f>
        <v>391664.80959999998</v>
      </c>
      <c r="BE566" s="2912">
        <f t="shared" ca="1" si="1135"/>
        <v>97178.190400000021</v>
      </c>
      <c r="BF566" s="2913">
        <f t="shared" ca="1" si="1136"/>
        <v>1.2481157051082692</v>
      </c>
      <c r="BG566" s="2194">
        <f ca="1">SUM(INDIRECT(BG$1&amp;BG$2&amp;$A566):INDIRECT(BG$1&amp;BG$3&amp;$A566))</f>
        <v>293849</v>
      </c>
      <c r="BH566" s="2912">
        <f t="shared" ca="1" si="1137"/>
        <v>194994</v>
      </c>
      <c r="BI566" s="2913">
        <f t="shared" ca="1" si="1138"/>
        <v>1.6635857191959136</v>
      </c>
    </row>
    <row r="567" spans="1:61" ht="14.5">
      <c r="A567" s="1693">
        <f t="shared" si="1088"/>
        <v>559</v>
      </c>
      <c r="B567" s="616">
        <v>1</v>
      </c>
      <c r="C567" s="1693">
        <f t="shared" si="1087"/>
        <v>567</v>
      </c>
      <c r="D567" s="616">
        <v>1</v>
      </c>
      <c r="F567" s="69"/>
      <c r="J567" s="73"/>
      <c r="K567" s="72"/>
      <c r="L567" s="68"/>
      <c r="M567" s="68"/>
      <c r="Q567" s="97" t="s">
        <v>127</v>
      </c>
      <c r="R567" s="1779" t="str">
        <f>CHOOSE(2, "6722000003478", "S/GP (2) Net Sales Direct NH KMI Copy Click")</f>
        <v>S/GP (2) Net Sales Direct NH KMI Copy Click</v>
      </c>
      <c r="S567" s="1247">
        <v>488843</v>
      </c>
      <c r="T567" s="1227">
        <v>410775.12953000009</v>
      </c>
      <c r="U567" s="1227">
        <v>340151.65397000004</v>
      </c>
      <c r="V567" s="1227">
        <v>357130.87001000001</v>
      </c>
      <c r="W567" s="1227">
        <v>388258.64867000002</v>
      </c>
      <c r="X567" s="1227">
        <v>395638</v>
      </c>
      <c r="Y567" s="1227">
        <v>413046.64866000001</v>
      </c>
      <c r="Z567" s="1227">
        <v>363911.49851999996</v>
      </c>
      <c r="AA567" s="1227">
        <v>393221.81718999997</v>
      </c>
      <c r="AB567" s="1227">
        <v>431022.48349999997</v>
      </c>
      <c r="AC567" s="1227">
        <v>435387.96337999997</v>
      </c>
      <c r="AD567" s="1227">
        <v>336836.99002999999</v>
      </c>
      <c r="AE567" s="295">
        <f>SUM(S567,T567,U567)</f>
        <v>1239769.7835000001</v>
      </c>
      <c r="AF567" s="96">
        <f>SUM(V567,W567,X567)</f>
        <v>1141027.51868</v>
      </c>
      <c r="AG567" s="96">
        <f>SUM(Y567,Z567,AA567)</f>
        <v>1170179.9643699999</v>
      </c>
      <c r="AH567" s="96">
        <f>SUM(AB567,AC567,AD567)</f>
        <v>1203247.4369099999</v>
      </c>
      <c r="AI567" s="96">
        <f>AE567+AF567</f>
        <v>2380797.3021800001</v>
      </c>
      <c r="AJ567" s="96">
        <f>AH567+AG567</f>
        <v>2373427.4012799999</v>
      </c>
      <c r="AK567" s="96">
        <f>AI567+AJ567</f>
        <v>4754224.7034600005</v>
      </c>
      <c r="AM567" s="2161">
        <f ca="1">SUM((INDIRECT(AM$2&amp;(ROW())):INDIRECT(AM$3&amp;(ROW()))))</f>
        <v>488843</v>
      </c>
      <c r="AN567" s="2161">
        <f ca="1">SUM(INDIRECT(AN$1&amp;AN$2&amp;$C567):INDIRECT(AN$1&amp;AN$3&amp;$C567))</f>
        <v>391664.80959999998</v>
      </c>
      <c r="AO567" s="2877">
        <f t="shared" ref="AO567:AO646" ca="1" si="1147">AM567-AN567</f>
        <v>97178.190400000021</v>
      </c>
      <c r="AP567" s="2878">
        <f t="shared" ca="1" si="1129"/>
        <v>1.2481157051082692</v>
      </c>
      <c r="AQ567" s="2161">
        <f ca="1">SUM(INDIRECT(AQ$1&amp;AQ$2&amp;$A567):INDIRECT(AQ$1&amp;AQ$3&amp;$A567))</f>
        <v>293849</v>
      </c>
      <c r="AR567" s="2877">
        <f t="shared" ref="AR567:AR646" ca="1" si="1148">AM567-AQ567</f>
        <v>194994</v>
      </c>
      <c r="AS567" s="2878">
        <f t="shared" ca="1" si="1130"/>
        <v>1.6635857191959136</v>
      </c>
      <c r="AU567" s="2161">
        <f ca="1">SUM((INDIRECT(AU$2&amp;(ROW())):INDIRECT(AU$3&amp;(ROW()))))</f>
        <v>488843</v>
      </c>
      <c r="AV567" s="2161">
        <f ca="1">SUM(INDIRECT(AV$1&amp;AV$2&amp;$C567):INDIRECT(AV$1&amp;AV$3&amp;$C567))</f>
        <v>391664.80959999998</v>
      </c>
      <c r="AW567" s="2877">
        <f t="shared" ca="1" si="1131"/>
        <v>97178.190400000021</v>
      </c>
      <c r="AX567" s="2878">
        <f t="shared" ca="1" si="1132"/>
        <v>1.2481157051082692</v>
      </c>
      <c r="AY567" s="2161">
        <f ca="1">SUM(INDIRECT(AY$1&amp;AY$2&amp;$A567):INDIRECT(AY$1&amp;AY$3&amp;$A567))</f>
        <v>293849</v>
      </c>
      <c r="AZ567" s="2877">
        <f t="shared" ca="1" si="1133"/>
        <v>194994</v>
      </c>
      <c r="BA567" s="2878">
        <f t="shared" ca="1" si="1134"/>
        <v>1.6635857191959136</v>
      </c>
      <c r="BC567" s="2161">
        <f ca="1">SUM((INDIRECT(BC$2&amp;(ROW())):INDIRECT(BC$3&amp;(ROW()))))</f>
        <v>488843</v>
      </c>
      <c r="BD567" s="2161">
        <f ca="1">SUM(INDIRECT(BD$1&amp;BD$2&amp;$C567):INDIRECT(BD$1&amp;BD$3&amp;$C567))</f>
        <v>391664.80959999998</v>
      </c>
      <c r="BE567" s="2877">
        <f t="shared" ca="1" si="1135"/>
        <v>97178.190400000021</v>
      </c>
      <c r="BF567" s="2878">
        <f t="shared" ca="1" si="1136"/>
        <v>1.2481157051082692</v>
      </c>
      <c r="BG567" s="2161">
        <f ca="1">SUM(INDIRECT(BG$1&amp;BG$2&amp;$A567):INDIRECT(BG$1&amp;BG$3&amp;$A567))</f>
        <v>293849</v>
      </c>
      <c r="BH567" s="2877">
        <f t="shared" ca="1" si="1137"/>
        <v>194994</v>
      </c>
      <c r="BI567" s="2878">
        <f t="shared" ca="1" si="1138"/>
        <v>1.6635857191959136</v>
      </c>
    </row>
    <row r="568" spans="1:61" ht="14.5">
      <c r="A568" s="1693">
        <f t="shared" si="1088"/>
        <v>560</v>
      </c>
      <c r="B568" s="616">
        <v>1</v>
      </c>
      <c r="C568" s="1693">
        <f t="shared" si="1087"/>
        <v>568</v>
      </c>
      <c r="D568" s="616">
        <v>1</v>
      </c>
      <c r="F568" s="69"/>
      <c r="J568" s="73"/>
      <c r="K568" s="72"/>
      <c r="L568" s="68"/>
      <c r="M568" s="68"/>
      <c r="O568" s="285"/>
      <c r="P568" s="285"/>
      <c r="Q568" s="285" t="s">
        <v>128</v>
      </c>
      <c r="R568" s="1779" t="str">
        <f>CHOOSE(2, "6722000003479", "S/GP (2) Net Sales Direct NH KMI NonContract")</f>
        <v>S/GP (2) Net Sales Direct NH KMI NonContract</v>
      </c>
      <c r="S568" s="1390"/>
      <c r="T568" s="1245"/>
      <c r="U568" s="1245"/>
      <c r="V568" s="1245"/>
      <c r="W568" s="1245"/>
      <c r="X568" s="1245"/>
      <c r="Y568" s="1245"/>
      <c r="Z568" s="1245"/>
      <c r="AA568" s="1245"/>
      <c r="AB568" s="1245"/>
      <c r="AC568" s="1245"/>
      <c r="AD568" s="1245"/>
      <c r="AE568" s="315">
        <f>SUM(S568,T568,U568)</f>
        <v>0</v>
      </c>
      <c r="AF568" s="287">
        <f>SUM(V568,W568,X568)</f>
        <v>0</v>
      </c>
      <c r="AG568" s="287">
        <f>SUM(Y568,Z568,AA568)</f>
        <v>0</v>
      </c>
      <c r="AH568" s="287">
        <f>SUM(AB568,AC568,AD568)</f>
        <v>0</v>
      </c>
      <c r="AI568" s="287">
        <f>AE568+AF568</f>
        <v>0</v>
      </c>
      <c r="AJ568" s="287">
        <f>AH568+AG568</f>
        <v>0</v>
      </c>
      <c r="AK568" s="287">
        <f>AI568+AJ568</f>
        <v>0</v>
      </c>
      <c r="AM568" s="2183">
        <f ca="1">SUM((INDIRECT(AM$2&amp;(ROW())):INDIRECT(AM$3&amp;(ROW()))))</f>
        <v>0</v>
      </c>
      <c r="AN568" s="2183">
        <f ca="1">SUM(INDIRECT(AN$1&amp;AN$2&amp;$C568):INDIRECT(AN$1&amp;AN$3&amp;$C568))</f>
        <v>0</v>
      </c>
      <c r="AO568" s="2875">
        <f t="shared" ca="1" si="1147"/>
        <v>0</v>
      </c>
      <c r="AP568" s="2876">
        <f t="shared" ca="1" si="1129"/>
        <v>0</v>
      </c>
      <c r="AQ568" s="2183">
        <f ca="1">SUM(INDIRECT(AQ$1&amp;AQ$2&amp;$A568):INDIRECT(AQ$1&amp;AQ$3&amp;$A568))</f>
        <v>0</v>
      </c>
      <c r="AR568" s="2875">
        <f t="shared" ca="1" si="1148"/>
        <v>0</v>
      </c>
      <c r="AS568" s="2876">
        <f t="shared" ca="1" si="1130"/>
        <v>0</v>
      </c>
      <c r="AU568" s="2183">
        <f ca="1">SUM((INDIRECT(AU$2&amp;(ROW())):INDIRECT(AU$3&amp;(ROW()))))</f>
        <v>0</v>
      </c>
      <c r="AV568" s="2183">
        <f ca="1">SUM(INDIRECT(AV$1&amp;AV$2&amp;$C568):INDIRECT(AV$1&amp;AV$3&amp;$C568))</f>
        <v>0</v>
      </c>
      <c r="AW568" s="2875">
        <f t="shared" ca="1" si="1131"/>
        <v>0</v>
      </c>
      <c r="AX568" s="2876">
        <f t="shared" ca="1" si="1132"/>
        <v>0</v>
      </c>
      <c r="AY568" s="2183">
        <f ca="1">SUM(INDIRECT(AY$1&amp;AY$2&amp;$A568):INDIRECT(AY$1&amp;AY$3&amp;$A568))</f>
        <v>0</v>
      </c>
      <c r="AZ568" s="2875">
        <f t="shared" ca="1" si="1133"/>
        <v>0</v>
      </c>
      <c r="BA568" s="2876">
        <f t="shared" ca="1" si="1134"/>
        <v>0</v>
      </c>
      <c r="BC568" s="2183">
        <f ca="1">SUM((INDIRECT(BC$2&amp;(ROW())):INDIRECT(BC$3&amp;(ROW()))))</f>
        <v>0</v>
      </c>
      <c r="BD568" s="2183">
        <f ca="1">SUM(INDIRECT(BD$1&amp;BD$2&amp;$C568):INDIRECT(BD$1&amp;BD$3&amp;$C568))</f>
        <v>0</v>
      </c>
      <c r="BE568" s="2875">
        <f t="shared" ca="1" si="1135"/>
        <v>0</v>
      </c>
      <c r="BF568" s="2876">
        <f t="shared" ca="1" si="1136"/>
        <v>0</v>
      </c>
      <c r="BG568" s="2183">
        <f ca="1">SUM(INDIRECT(BG$1&amp;BG$2&amp;$A568):INDIRECT(BG$1&amp;BG$3&amp;$A568))</f>
        <v>0</v>
      </c>
      <c r="BH568" s="2875">
        <f t="shared" ca="1" si="1137"/>
        <v>0</v>
      </c>
      <c r="BI568" s="2876">
        <f t="shared" ca="1" si="1138"/>
        <v>0</v>
      </c>
    </row>
    <row r="569" spans="1:61" ht="14.5">
      <c r="A569" s="1693">
        <f t="shared" si="1088"/>
        <v>561</v>
      </c>
      <c r="B569" s="616">
        <v>1</v>
      </c>
      <c r="C569" s="1693">
        <f t="shared" si="1087"/>
        <v>569</v>
      </c>
      <c r="D569" s="616">
        <v>1</v>
      </c>
      <c r="F569" s="69"/>
      <c r="J569" s="73"/>
      <c r="K569" s="72"/>
      <c r="L569" s="68"/>
      <c r="M569" s="68"/>
      <c r="O569" s="288" t="s">
        <v>125</v>
      </c>
      <c r="P569" s="288"/>
      <c r="Q569" s="288"/>
      <c r="R569" s="1779" t="str">
        <f>CHOOSE(2, "6722000003480", "S/GP (2) Net Sales Direct NH 3rd Party")</f>
        <v>S/GP (2) Net Sales Direct NH 3rd Party</v>
      </c>
      <c r="S569" s="1391"/>
      <c r="T569" s="1246"/>
      <c r="U569" s="1246"/>
      <c r="V569" s="1246"/>
      <c r="W569" s="1246"/>
      <c r="X569" s="1246"/>
      <c r="Y569" s="1246"/>
      <c r="Z569" s="1246"/>
      <c r="AA569" s="1246"/>
      <c r="AB569" s="1246"/>
      <c r="AC569" s="1246"/>
      <c r="AD569" s="1246"/>
      <c r="AE569" s="904">
        <f>SUM(S569,T569,U569)</f>
        <v>0</v>
      </c>
      <c r="AF569" s="289">
        <f>SUM(V569,W569,X569)</f>
        <v>0</v>
      </c>
      <c r="AG569" s="289">
        <f>SUM(Y569,Z569,AA569)</f>
        <v>0</v>
      </c>
      <c r="AH569" s="289">
        <f>SUM(AB569,AC569,AD569)</f>
        <v>0</v>
      </c>
      <c r="AI569" s="289">
        <f>AE569+AF569</f>
        <v>0</v>
      </c>
      <c r="AJ569" s="289">
        <f>AH569+AG569</f>
        <v>0</v>
      </c>
      <c r="AK569" s="289">
        <f>AI569+AJ569</f>
        <v>0</v>
      </c>
      <c r="AM569" s="2186">
        <f ca="1">SUM((INDIRECT(AM$2&amp;(ROW())):INDIRECT(AM$3&amp;(ROW()))))</f>
        <v>0</v>
      </c>
      <c r="AN569" s="2186">
        <f ca="1">SUM(INDIRECT(AN$1&amp;AN$2&amp;$C569):INDIRECT(AN$1&amp;AN$3&amp;$C569))</f>
        <v>0</v>
      </c>
      <c r="AO569" s="2914">
        <f t="shared" ca="1" si="1147"/>
        <v>0</v>
      </c>
      <c r="AP569" s="2915">
        <f t="shared" ca="1" si="1129"/>
        <v>0</v>
      </c>
      <c r="AQ569" s="2186">
        <f ca="1">SUM(INDIRECT(AQ$1&amp;AQ$2&amp;$A569):INDIRECT(AQ$1&amp;AQ$3&amp;$A569))</f>
        <v>0</v>
      </c>
      <c r="AR569" s="2914">
        <f t="shared" ca="1" si="1148"/>
        <v>0</v>
      </c>
      <c r="AS569" s="2915">
        <f t="shared" ca="1" si="1130"/>
        <v>0</v>
      </c>
      <c r="AU569" s="2186">
        <f ca="1">SUM((INDIRECT(AU$2&amp;(ROW())):INDIRECT(AU$3&amp;(ROW()))))</f>
        <v>0</v>
      </c>
      <c r="AV569" s="2186">
        <f ca="1">SUM(INDIRECT(AV$1&amp;AV$2&amp;$C569):INDIRECT(AV$1&amp;AV$3&amp;$C569))</f>
        <v>0</v>
      </c>
      <c r="AW569" s="2914">
        <f t="shared" ca="1" si="1131"/>
        <v>0</v>
      </c>
      <c r="AX569" s="2915">
        <f t="shared" ca="1" si="1132"/>
        <v>0</v>
      </c>
      <c r="AY569" s="2186">
        <f ca="1">SUM(INDIRECT(AY$1&amp;AY$2&amp;$A569):INDIRECT(AY$1&amp;AY$3&amp;$A569))</f>
        <v>0</v>
      </c>
      <c r="AZ569" s="2914">
        <f t="shared" ca="1" si="1133"/>
        <v>0</v>
      </c>
      <c r="BA569" s="2915">
        <f t="shared" ca="1" si="1134"/>
        <v>0</v>
      </c>
      <c r="BC569" s="2186">
        <f ca="1">SUM((INDIRECT(BC$2&amp;(ROW())):INDIRECT(BC$3&amp;(ROW()))))</f>
        <v>0</v>
      </c>
      <c r="BD569" s="2186">
        <f ca="1">SUM(INDIRECT(BD$1&amp;BD$2&amp;$C569):INDIRECT(BD$1&amp;BD$3&amp;$C569))</f>
        <v>0</v>
      </c>
      <c r="BE569" s="2914">
        <f t="shared" ca="1" si="1135"/>
        <v>0</v>
      </c>
      <c r="BF569" s="2915">
        <f t="shared" ca="1" si="1136"/>
        <v>0</v>
      </c>
      <c r="BG569" s="2186">
        <f ca="1">SUM(INDIRECT(BG$1&amp;BG$2&amp;$A569):INDIRECT(BG$1&amp;BG$3&amp;$A569))</f>
        <v>0</v>
      </c>
      <c r="BH569" s="2914">
        <f t="shared" ca="1" si="1137"/>
        <v>0</v>
      </c>
      <c r="BI569" s="2915">
        <f t="shared" ca="1" si="1138"/>
        <v>0</v>
      </c>
    </row>
    <row r="570" spans="1:61" ht="14.5">
      <c r="A570" s="1693">
        <f t="shared" si="1088"/>
        <v>562</v>
      </c>
      <c r="B570" s="616">
        <v>1</v>
      </c>
      <c r="C570" s="1693">
        <f t="shared" si="1087"/>
        <v>570</v>
      </c>
      <c r="D570" s="616">
        <v>1</v>
      </c>
      <c r="F570" s="69"/>
      <c r="J570" s="73"/>
      <c r="K570" s="72"/>
      <c r="L570" s="68"/>
      <c r="M570" s="68"/>
      <c r="N570" s="65" t="s">
        <v>116</v>
      </c>
      <c r="O570" s="284"/>
      <c r="P570" s="284"/>
      <c r="Q570" s="284"/>
      <c r="R570" s="1777" t="str">
        <f>CHOOSE(2, "6722000003481", "S/GP (2) Net Sales Direct Solution")</f>
        <v>S/GP (2) Net Sales Direct Solution</v>
      </c>
      <c r="S570" s="1621">
        <f>SUM(S571:S574)</f>
        <v>0</v>
      </c>
      <c r="T570" s="1249">
        <f t="shared" ref="T570:AD570" si="1149">SUM(T571:T574)</f>
        <v>0</v>
      </c>
      <c r="U570" s="1249">
        <f t="shared" si="1149"/>
        <v>0</v>
      </c>
      <c r="V570" s="1249">
        <f t="shared" si="1149"/>
        <v>0</v>
      </c>
      <c r="W570" s="1249">
        <f t="shared" si="1149"/>
        <v>0</v>
      </c>
      <c r="X570" s="1249">
        <f t="shared" si="1149"/>
        <v>151</v>
      </c>
      <c r="Y570" s="1249">
        <f t="shared" si="1149"/>
        <v>302</v>
      </c>
      <c r="Z570" s="1249">
        <f t="shared" si="1149"/>
        <v>342</v>
      </c>
      <c r="AA570" s="1249">
        <f t="shared" si="1149"/>
        <v>0</v>
      </c>
      <c r="AB570" s="1249">
        <f t="shared" si="1149"/>
        <v>151</v>
      </c>
      <c r="AC570" s="1249">
        <f t="shared" si="1149"/>
        <v>125</v>
      </c>
      <c r="AD570" s="1249">
        <f t="shared" si="1149"/>
        <v>669.74</v>
      </c>
      <c r="AE570" s="898">
        <f t="shared" ref="AE570:AK570" si="1150">SUM(AE571:AE574)</f>
        <v>0</v>
      </c>
      <c r="AF570" s="1249">
        <f t="shared" si="1150"/>
        <v>151</v>
      </c>
      <c r="AG570" s="1249">
        <f t="shared" si="1150"/>
        <v>644</v>
      </c>
      <c r="AH570" s="1249">
        <f t="shared" si="1150"/>
        <v>945.74</v>
      </c>
      <c r="AI570" s="1249">
        <f t="shared" si="1150"/>
        <v>151</v>
      </c>
      <c r="AJ570" s="1249">
        <f t="shared" si="1150"/>
        <v>1589.74</v>
      </c>
      <c r="AK570" s="1249">
        <f t="shared" si="1150"/>
        <v>1740.74</v>
      </c>
      <c r="AM570" s="2570">
        <f ca="1">SUM((INDIRECT(AM$2&amp;(ROW())):INDIRECT(AM$3&amp;(ROW()))))</f>
        <v>0</v>
      </c>
      <c r="AN570" s="2570">
        <f ca="1">SUM(INDIRECT(AN$1&amp;AN$2&amp;$C570):INDIRECT(AN$1&amp;AN$3&amp;$C570))</f>
        <v>750</v>
      </c>
      <c r="AO570" s="2910">
        <f t="shared" ca="1" si="1147"/>
        <v>-750</v>
      </c>
      <c r="AP570" s="2911">
        <f t="shared" ca="1" si="1129"/>
        <v>0</v>
      </c>
      <c r="AQ570" s="2570">
        <f ca="1">SUM(INDIRECT(AQ$1&amp;AQ$2&amp;$A570):INDIRECT(AQ$1&amp;AQ$3&amp;$A570))</f>
        <v>0</v>
      </c>
      <c r="AR570" s="2910">
        <f t="shared" ca="1" si="1148"/>
        <v>0</v>
      </c>
      <c r="AS570" s="2911">
        <f t="shared" ca="1" si="1130"/>
        <v>0</v>
      </c>
      <c r="AU570" s="2570">
        <f ca="1">SUM((INDIRECT(AU$2&amp;(ROW())):INDIRECT(AU$3&amp;(ROW()))))</f>
        <v>0</v>
      </c>
      <c r="AV570" s="2570">
        <f ca="1">SUM(INDIRECT(AV$1&amp;AV$2&amp;$C570):INDIRECT(AV$1&amp;AV$3&amp;$C570))</f>
        <v>750</v>
      </c>
      <c r="AW570" s="2910">
        <f t="shared" ca="1" si="1131"/>
        <v>-750</v>
      </c>
      <c r="AX570" s="2911">
        <f t="shared" ca="1" si="1132"/>
        <v>0</v>
      </c>
      <c r="AY570" s="2570">
        <f ca="1">SUM(INDIRECT(AY$1&amp;AY$2&amp;$A570):INDIRECT(AY$1&amp;AY$3&amp;$A570))</f>
        <v>0</v>
      </c>
      <c r="AZ570" s="2910">
        <f t="shared" ca="1" si="1133"/>
        <v>0</v>
      </c>
      <c r="BA570" s="2911">
        <f t="shared" ca="1" si="1134"/>
        <v>0</v>
      </c>
      <c r="BC570" s="2570">
        <f ca="1">SUM((INDIRECT(BC$2&amp;(ROW())):INDIRECT(BC$3&amp;(ROW()))))</f>
        <v>0</v>
      </c>
      <c r="BD570" s="2570">
        <f ca="1">SUM(INDIRECT(BD$1&amp;BD$2&amp;$C570):INDIRECT(BD$1&amp;BD$3&amp;$C570))</f>
        <v>750</v>
      </c>
      <c r="BE570" s="2910">
        <f t="shared" ca="1" si="1135"/>
        <v>-750</v>
      </c>
      <c r="BF570" s="2911">
        <f t="shared" ca="1" si="1136"/>
        <v>0</v>
      </c>
      <c r="BG570" s="2570">
        <f ca="1">SUM(INDIRECT(BG$1&amp;BG$2&amp;$A570):INDIRECT(BG$1&amp;BG$3&amp;$A570))</f>
        <v>0</v>
      </c>
      <c r="BH570" s="2910">
        <f t="shared" ca="1" si="1137"/>
        <v>0</v>
      </c>
      <c r="BI570" s="2911">
        <f t="shared" ca="1" si="1138"/>
        <v>0</v>
      </c>
    </row>
    <row r="571" spans="1:61" ht="14.5">
      <c r="A571" s="1693">
        <f t="shared" si="1088"/>
        <v>563</v>
      </c>
      <c r="B571" s="616">
        <v>1</v>
      </c>
      <c r="C571" s="1693">
        <f t="shared" si="1087"/>
        <v>571</v>
      </c>
      <c r="D571" s="616">
        <v>1</v>
      </c>
      <c r="F571" s="69"/>
      <c r="J571" s="73"/>
      <c r="K571" s="72"/>
      <c r="L571" s="68"/>
      <c r="M571" s="68"/>
      <c r="O571" s="97"/>
      <c r="P571" s="97"/>
      <c r="Q571" s="97" t="s">
        <v>53</v>
      </c>
      <c r="R571" s="1779" t="str">
        <f>CHOOSE(2, "6722000003482", "S/GP (2) Net Sales Direct Solution HWware")</f>
        <v>S/GP (2) Net Sales Direct Solution HWware</v>
      </c>
      <c r="S571" s="1247"/>
      <c r="T571" s="1227"/>
      <c r="U571" s="1227"/>
      <c r="V571" s="1227"/>
      <c r="W571" s="1227"/>
      <c r="X571" s="1227">
        <v>151</v>
      </c>
      <c r="Y571" s="1227">
        <v>302</v>
      </c>
      <c r="Z571" s="1227">
        <v>342</v>
      </c>
      <c r="AA571" s="1227"/>
      <c r="AB571" s="1227">
        <v>151</v>
      </c>
      <c r="AC571" s="1227">
        <v>125</v>
      </c>
      <c r="AD571" s="1227">
        <v>669.74</v>
      </c>
      <c r="AE571" s="295">
        <f>SUM(S571,T571,U571)</f>
        <v>0</v>
      </c>
      <c r="AF571" s="96">
        <f>SUM(V571,W571,X571)</f>
        <v>151</v>
      </c>
      <c r="AG571" s="96">
        <f>SUM(Y571,Z571,AA571)</f>
        <v>644</v>
      </c>
      <c r="AH571" s="96">
        <f>SUM(AB571,AC571,AD571)</f>
        <v>945.74</v>
      </c>
      <c r="AI571" s="96">
        <f>AE571+AF571</f>
        <v>151</v>
      </c>
      <c r="AJ571" s="96">
        <f>AH571+AG571</f>
        <v>1589.74</v>
      </c>
      <c r="AK571" s="96">
        <f>AI571+AJ571</f>
        <v>1740.74</v>
      </c>
      <c r="AM571" s="2161">
        <f ca="1">SUM((INDIRECT(AM$2&amp;(ROW())):INDIRECT(AM$3&amp;(ROW()))))</f>
        <v>0</v>
      </c>
      <c r="AN571" s="2161">
        <f ca="1">SUM(INDIRECT(AN$1&amp;AN$2&amp;$C571):INDIRECT(AN$1&amp;AN$3&amp;$C571))</f>
        <v>750</v>
      </c>
      <c r="AO571" s="2877">
        <f t="shared" ca="1" si="1147"/>
        <v>-750</v>
      </c>
      <c r="AP571" s="2878">
        <f t="shared" ca="1" si="1129"/>
        <v>0</v>
      </c>
      <c r="AQ571" s="2161">
        <f ca="1">SUM(INDIRECT(AQ$1&amp;AQ$2&amp;$A571):INDIRECT(AQ$1&amp;AQ$3&amp;$A571))</f>
        <v>0</v>
      </c>
      <c r="AR571" s="2877">
        <f t="shared" ca="1" si="1148"/>
        <v>0</v>
      </c>
      <c r="AS571" s="2878">
        <f t="shared" ca="1" si="1130"/>
        <v>0</v>
      </c>
      <c r="AU571" s="2161">
        <f ca="1">SUM((INDIRECT(AU$2&amp;(ROW())):INDIRECT(AU$3&amp;(ROW()))))</f>
        <v>0</v>
      </c>
      <c r="AV571" s="2161">
        <f ca="1">SUM(INDIRECT(AV$1&amp;AV$2&amp;$C571):INDIRECT(AV$1&amp;AV$3&amp;$C571))</f>
        <v>750</v>
      </c>
      <c r="AW571" s="2877">
        <f t="shared" ca="1" si="1131"/>
        <v>-750</v>
      </c>
      <c r="AX571" s="2878">
        <f t="shared" ca="1" si="1132"/>
        <v>0</v>
      </c>
      <c r="AY571" s="2161">
        <f ca="1">SUM(INDIRECT(AY$1&amp;AY$2&amp;$A571):INDIRECT(AY$1&amp;AY$3&amp;$A571))</f>
        <v>0</v>
      </c>
      <c r="AZ571" s="2877">
        <f t="shared" ca="1" si="1133"/>
        <v>0</v>
      </c>
      <c r="BA571" s="2878">
        <f t="shared" ca="1" si="1134"/>
        <v>0</v>
      </c>
      <c r="BC571" s="2161">
        <f ca="1">SUM((INDIRECT(BC$2&amp;(ROW())):INDIRECT(BC$3&amp;(ROW()))))</f>
        <v>0</v>
      </c>
      <c r="BD571" s="2161">
        <f ca="1">SUM(INDIRECT(BD$1&amp;BD$2&amp;$C571):INDIRECT(BD$1&amp;BD$3&amp;$C571))</f>
        <v>750</v>
      </c>
      <c r="BE571" s="2877">
        <f t="shared" ca="1" si="1135"/>
        <v>-750</v>
      </c>
      <c r="BF571" s="2878">
        <f t="shared" ca="1" si="1136"/>
        <v>0</v>
      </c>
      <c r="BG571" s="2161">
        <f ca="1">SUM(INDIRECT(BG$1&amp;BG$2&amp;$A571):INDIRECT(BG$1&amp;BG$3&amp;$A571))</f>
        <v>0</v>
      </c>
      <c r="BH571" s="2877">
        <f t="shared" ca="1" si="1137"/>
        <v>0</v>
      </c>
      <c r="BI571" s="2878">
        <f t="shared" ca="1" si="1138"/>
        <v>0</v>
      </c>
    </row>
    <row r="572" spans="1:61" ht="14.5">
      <c r="A572" s="1693">
        <f t="shared" si="1088"/>
        <v>564</v>
      </c>
      <c r="B572" s="616">
        <v>1</v>
      </c>
      <c r="C572" s="1693">
        <f t="shared" si="1087"/>
        <v>572</v>
      </c>
      <c r="D572" s="616">
        <v>1</v>
      </c>
      <c r="F572" s="69"/>
      <c r="J572" s="73"/>
      <c r="K572" s="72"/>
      <c r="L572" s="68"/>
      <c r="M572" s="68"/>
      <c r="Q572" s="8" t="s">
        <v>134</v>
      </c>
      <c r="R572" s="1779" t="str">
        <f>CHOOSE(2, "6722000003483", "S/GP (2) Net Sales Direct Solution Software")</f>
        <v>S/GP (2) Net Sales Direct Solution Software</v>
      </c>
      <c r="S572" s="1224"/>
      <c r="T572" s="1217"/>
      <c r="U572" s="1217"/>
      <c r="V572" s="1217"/>
      <c r="W572" s="1217"/>
      <c r="X572" s="1217"/>
      <c r="Y572" s="1217"/>
      <c r="Z572" s="1217"/>
      <c r="AA572" s="1217"/>
      <c r="AB572" s="1217"/>
      <c r="AC572" s="1217"/>
      <c r="AD572" s="1217"/>
      <c r="AE572" s="88">
        <f>SUM(S572,T572,U572)</f>
        <v>0</v>
      </c>
      <c r="AF572" s="17">
        <f>SUM(V572,W572,X572)</f>
        <v>0</v>
      </c>
      <c r="AG572" s="17">
        <f>SUM(Y572,Z572,AA572)</f>
        <v>0</v>
      </c>
      <c r="AH572" s="17">
        <f>SUM(AB572,AC572,AD572)</f>
        <v>0</v>
      </c>
      <c r="AI572" s="17">
        <f>AE572+AF572</f>
        <v>0</v>
      </c>
      <c r="AJ572" s="17">
        <f>AH572+AG572</f>
        <v>0</v>
      </c>
      <c r="AK572" s="17">
        <f>AI572+AJ572</f>
        <v>0</v>
      </c>
      <c r="AM572" s="1926">
        <f ca="1">SUM((INDIRECT(AM$2&amp;(ROW())):INDIRECT(AM$3&amp;(ROW()))))</f>
        <v>0</v>
      </c>
      <c r="AN572" s="1926">
        <f ca="1">SUM(INDIRECT(AN$1&amp;AN$2&amp;$C572):INDIRECT(AN$1&amp;AN$3&amp;$C572))</f>
        <v>0</v>
      </c>
      <c r="AO572" s="2707">
        <f t="shared" ca="1" si="1147"/>
        <v>0</v>
      </c>
      <c r="AP572" s="2708">
        <f t="shared" ca="1" si="1129"/>
        <v>0</v>
      </c>
      <c r="AQ572" s="1926">
        <f ca="1">SUM(INDIRECT(AQ$1&amp;AQ$2&amp;$A572):INDIRECT(AQ$1&amp;AQ$3&amp;$A572))</f>
        <v>0</v>
      </c>
      <c r="AR572" s="2707">
        <f t="shared" ca="1" si="1148"/>
        <v>0</v>
      </c>
      <c r="AS572" s="2708">
        <f t="shared" ca="1" si="1130"/>
        <v>0</v>
      </c>
      <c r="AU572" s="1926">
        <f ca="1">SUM((INDIRECT(AU$2&amp;(ROW())):INDIRECT(AU$3&amp;(ROW()))))</f>
        <v>0</v>
      </c>
      <c r="AV572" s="1926">
        <f ca="1">SUM(INDIRECT(AV$1&amp;AV$2&amp;$C572):INDIRECT(AV$1&amp;AV$3&amp;$C572))</f>
        <v>0</v>
      </c>
      <c r="AW572" s="2707">
        <f t="shared" ca="1" si="1131"/>
        <v>0</v>
      </c>
      <c r="AX572" s="2708">
        <f t="shared" ca="1" si="1132"/>
        <v>0</v>
      </c>
      <c r="AY572" s="1926">
        <f ca="1">SUM(INDIRECT(AY$1&amp;AY$2&amp;$A572):INDIRECT(AY$1&amp;AY$3&amp;$A572))</f>
        <v>0</v>
      </c>
      <c r="AZ572" s="2707">
        <f t="shared" ca="1" si="1133"/>
        <v>0</v>
      </c>
      <c r="BA572" s="2708">
        <f t="shared" ca="1" si="1134"/>
        <v>0</v>
      </c>
      <c r="BC572" s="1926">
        <f ca="1">SUM((INDIRECT(BC$2&amp;(ROW())):INDIRECT(BC$3&amp;(ROW()))))</f>
        <v>0</v>
      </c>
      <c r="BD572" s="1926">
        <f ca="1">SUM(INDIRECT(BD$1&amp;BD$2&amp;$C572):INDIRECT(BD$1&amp;BD$3&amp;$C572))</f>
        <v>0</v>
      </c>
      <c r="BE572" s="2707">
        <f t="shared" ca="1" si="1135"/>
        <v>0</v>
      </c>
      <c r="BF572" s="2708">
        <f t="shared" ca="1" si="1136"/>
        <v>0</v>
      </c>
      <c r="BG572" s="1926">
        <f ca="1">SUM(INDIRECT(BG$1&amp;BG$2&amp;$A572):INDIRECT(BG$1&amp;BG$3&amp;$A572))</f>
        <v>0</v>
      </c>
      <c r="BH572" s="2707">
        <f t="shared" ca="1" si="1137"/>
        <v>0</v>
      </c>
      <c r="BI572" s="2708">
        <f t="shared" ca="1" si="1138"/>
        <v>0</v>
      </c>
    </row>
    <row r="573" spans="1:61" ht="14.5">
      <c r="A573" s="1693">
        <f t="shared" si="1088"/>
        <v>565</v>
      </c>
      <c r="B573" s="616">
        <v>1</v>
      </c>
      <c r="C573" s="1693">
        <f t="shared" si="1087"/>
        <v>573</v>
      </c>
      <c r="D573" s="616">
        <v>1</v>
      </c>
      <c r="F573" s="69"/>
      <c r="J573" s="73"/>
      <c r="K573" s="72"/>
      <c r="L573" s="68"/>
      <c r="M573" s="68"/>
      <c r="Q573" s="8" t="s">
        <v>135</v>
      </c>
      <c r="R573" s="1779" t="str">
        <f>CHOOSE(2, "6722000003484", "S/GP (2) Net Sales Direct Solution Professional Service")</f>
        <v>S/GP (2) Net Sales Direct Solution Professional Service</v>
      </c>
      <c r="S573" s="1224"/>
      <c r="T573" s="1217"/>
      <c r="U573" s="1217"/>
      <c r="V573" s="1217"/>
      <c r="W573" s="1217"/>
      <c r="X573" s="1217"/>
      <c r="Y573" s="1217"/>
      <c r="Z573" s="1217"/>
      <c r="AA573" s="1217"/>
      <c r="AB573" s="1217"/>
      <c r="AC573" s="1217"/>
      <c r="AD573" s="1217"/>
      <c r="AE573" s="88">
        <f>SUM(S573,T573,U573)</f>
        <v>0</v>
      </c>
      <c r="AF573" s="17">
        <f>SUM(V573,W573,X573)</f>
        <v>0</v>
      </c>
      <c r="AG573" s="17">
        <f>SUM(Y573,Z573,AA573)</f>
        <v>0</v>
      </c>
      <c r="AH573" s="17">
        <f>SUM(AB573,AC573,AD573)</f>
        <v>0</v>
      </c>
      <c r="AI573" s="17">
        <f>AE573+AF573</f>
        <v>0</v>
      </c>
      <c r="AJ573" s="17">
        <f>AH573+AG573</f>
        <v>0</v>
      </c>
      <c r="AK573" s="17">
        <f>AI573+AJ573</f>
        <v>0</v>
      </c>
      <c r="AM573" s="1926">
        <f ca="1">SUM((INDIRECT(AM$2&amp;(ROW())):INDIRECT(AM$3&amp;(ROW()))))</f>
        <v>0</v>
      </c>
      <c r="AN573" s="1926">
        <f ca="1">SUM(INDIRECT(AN$1&amp;AN$2&amp;$C573):INDIRECT(AN$1&amp;AN$3&amp;$C573))</f>
        <v>0</v>
      </c>
      <c r="AO573" s="2707">
        <f t="shared" ca="1" si="1147"/>
        <v>0</v>
      </c>
      <c r="AP573" s="2708">
        <f t="shared" ca="1" si="1129"/>
        <v>0</v>
      </c>
      <c r="AQ573" s="1926">
        <f ca="1">SUM(INDIRECT(AQ$1&amp;AQ$2&amp;$A573):INDIRECT(AQ$1&amp;AQ$3&amp;$A573))</f>
        <v>0</v>
      </c>
      <c r="AR573" s="2707">
        <f t="shared" ca="1" si="1148"/>
        <v>0</v>
      </c>
      <c r="AS573" s="2708">
        <f t="shared" ca="1" si="1130"/>
        <v>0</v>
      </c>
      <c r="AU573" s="1926">
        <f ca="1">SUM((INDIRECT(AU$2&amp;(ROW())):INDIRECT(AU$3&amp;(ROW()))))</f>
        <v>0</v>
      </c>
      <c r="AV573" s="1926">
        <f ca="1">SUM(INDIRECT(AV$1&amp;AV$2&amp;$C573):INDIRECT(AV$1&amp;AV$3&amp;$C573))</f>
        <v>0</v>
      </c>
      <c r="AW573" s="2707">
        <f t="shared" ca="1" si="1131"/>
        <v>0</v>
      </c>
      <c r="AX573" s="2708">
        <f t="shared" ca="1" si="1132"/>
        <v>0</v>
      </c>
      <c r="AY573" s="1926">
        <f ca="1">SUM(INDIRECT(AY$1&amp;AY$2&amp;$A573):INDIRECT(AY$1&amp;AY$3&amp;$A573))</f>
        <v>0</v>
      </c>
      <c r="AZ573" s="2707">
        <f t="shared" ca="1" si="1133"/>
        <v>0</v>
      </c>
      <c r="BA573" s="2708">
        <f t="shared" ca="1" si="1134"/>
        <v>0</v>
      </c>
      <c r="BC573" s="1926">
        <f ca="1">SUM((INDIRECT(BC$2&amp;(ROW())):INDIRECT(BC$3&amp;(ROW()))))</f>
        <v>0</v>
      </c>
      <c r="BD573" s="1926">
        <f ca="1">SUM(INDIRECT(BD$1&amp;BD$2&amp;$C573):INDIRECT(BD$1&amp;BD$3&amp;$C573))</f>
        <v>0</v>
      </c>
      <c r="BE573" s="2707">
        <f t="shared" ca="1" si="1135"/>
        <v>0</v>
      </c>
      <c r="BF573" s="2708">
        <f t="shared" ca="1" si="1136"/>
        <v>0</v>
      </c>
      <c r="BG573" s="1926">
        <f ca="1">SUM(INDIRECT(BG$1&amp;BG$2&amp;$A573):INDIRECT(BG$1&amp;BG$3&amp;$A573))</f>
        <v>0</v>
      </c>
      <c r="BH573" s="2707">
        <f t="shared" ca="1" si="1137"/>
        <v>0</v>
      </c>
      <c r="BI573" s="2708">
        <f t="shared" ca="1" si="1138"/>
        <v>0</v>
      </c>
    </row>
    <row r="574" spans="1:61" ht="14.5">
      <c r="A574" s="1693">
        <f t="shared" si="1088"/>
        <v>566</v>
      </c>
      <c r="B574" s="616">
        <v>1</v>
      </c>
      <c r="C574" s="1693">
        <f t="shared" si="1087"/>
        <v>574</v>
      </c>
      <c r="D574" s="616">
        <v>1</v>
      </c>
      <c r="F574" s="69"/>
      <c r="J574" s="73"/>
      <c r="K574" s="72"/>
      <c r="L574" s="68"/>
      <c r="M574" s="68"/>
      <c r="O574" s="11"/>
      <c r="P574" s="11"/>
      <c r="Q574" s="11" t="s">
        <v>51</v>
      </c>
      <c r="R574" s="1779" t="str">
        <f>CHOOSE(2, "6722000003485", "S/GP (2) Net Sales Direct Solution Others")</f>
        <v>S/GP (2) Net Sales Direct Solution Others</v>
      </c>
      <c r="S574" s="1225"/>
      <c r="T574" s="1218"/>
      <c r="U574" s="1218"/>
      <c r="V574" s="1218"/>
      <c r="W574" s="1218"/>
      <c r="X574" s="1218"/>
      <c r="Y574" s="1218"/>
      <c r="Z574" s="1218"/>
      <c r="AA574" s="1218"/>
      <c r="AB574" s="1218"/>
      <c r="AC574" s="1218"/>
      <c r="AD574" s="1218"/>
      <c r="AE574" s="87">
        <f>SUM(S574,T574,U574)</f>
        <v>0</v>
      </c>
      <c r="AF574" s="15">
        <f>SUM(V574,W574,X574)</f>
        <v>0</v>
      </c>
      <c r="AG574" s="15">
        <f>SUM(Y574,Z574,AA574)</f>
        <v>0</v>
      </c>
      <c r="AH574" s="15">
        <f>SUM(AB574,AC574,AD574)</f>
        <v>0</v>
      </c>
      <c r="AI574" s="15">
        <f>AE574+AF574</f>
        <v>0</v>
      </c>
      <c r="AJ574" s="15">
        <f>AH574+AG574</f>
        <v>0</v>
      </c>
      <c r="AK574" s="15">
        <f>AI574+AJ574</f>
        <v>0</v>
      </c>
      <c r="AM574" s="1928">
        <f ca="1">SUM((INDIRECT(AM$2&amp;(ROW())):INDIRECT(AM$3&amp;(ROW()))))</f>
        <v>0</v>
      </c>
      <c r="AN574" s="1928">
        <f ca="1">SUM(INDIRECT(AN$1&amp;AN$2&amp;$C574):INDIRECT(AN$1&amp;AN$3&amp;$C574))</f>
        <v>0</v>
      </c>
      <c r="AO574" s="2709">
        <f t="shared" ca="1" si="1147"/>
        <v>0</v>
      </c>
      <c r="AP574" s="2710">
        <f t="shared" ca="1" si="1129"/>
        <v>0</v>
      </c>
      <c r="AQ574" s="1928">
        <f ca="1">SUM(INDIRECT(AQ$1&amp;AQ$2&amp;$A574):INDIRECT(AQ$1&amp;AQ$3&amp;$A574))</f>
        <v>0</v>
      </c>
      <c r="AR574" s="2709">
        <f t="shared" ca="1" si="1148"/>
        <v>0</v>
      </c>
      <c r="AS574" s="2710">
        <f t="shared" ca="1" si="1130"/>
        <v>0</v>
      </c>
      <c r="AU574" s="1928">
        <f ca="1">SUM((INDIRECT(AU$2&amp;(ROW())):INDIRECT(AU$3&amp;(ROW()))))</f>
        <v>0</v>
      </c>
      <c r="AV574" s="1928">
        <f ca="1">SUM(INDIRECT(AV$1&amp;AV$2&amp;$C574):INDIRECT(AV$1&amp;AV$3&amp;$C574))</f>
        <v>0</v>
      </c>
      <c r="AW574" s="2709">
        <f t="shared" ca="1" si="1131"/>
        <v>0</v>
      </c>
      <c r="AX574" s="2710">
        <f t="shared" ca="1" si="1132"/>
        <v>0</v>
      </c>
      <c r="AY574" s="1928">
        <f ca="1">SUM(INDIRECT(AY$1&amp;AY$2&amp;$A574):INDIRECT(AY$1&amp;AY$3&amp;$A574))</f>
        <v>0</v>
      </c>
      <c r="AZ574" s="2709">
        <f t="shared" ca="1" si="1133"/>
        <v>0</v>
      </c>
      <c r="BA574" s="2710">
        <f t="shared" ca="1" si="1134"/>
        <v>0</v>
      </c>
      <c r="BC574" s="1928">
        <f ca="1">SUM((INDIRECT(BC$2&amp;(ROW())):INDIRECT(BC$3&amp;(ROW()))))</f>
        <v>0</v>
      </c>
      <c r="BD574" s="1928">
        <f ca="1">SUM(INDIRECT(BD$1&amp;BD$2&amp;$C574):INDIRECT(BD$1&amp;BD$3&amp;$C574))</f>
        <v>0</v>
      </c>
      <c r="BE574" s="2709">
        <f t="shared" ca="1" si="1135"/>
        <v>0</v>
      </c>
      <c r="BF574" s="2710">
        <f t="shared" ca="1" si="1136"/>
        <v>0</v>
      </c>
      <c r="BG574" s="1928">
        <f ca="1">SUM(INDIRECT(BG$1&amp;BG$2&amp;$A574):INDIRECT(BG$1&amp;BG$3&amp;$A574))</f>
        <v>0</v>
      </c>
      <c r="BH574" s="2709">
        <f t="shared" ca="1" si="1137"/>
        <v>0</v>
      </c>
      <c r="BI574" s="2710">
        <f t="shared" ca="1" si="1138"/>
        <v>0</v>
      </c>
    </row>
    <row r="575" spans="1:61" ht="14.5">
      <c r="A575" s="1693">
        <f t="shared" si="1088"/>
        <v>567</v>
      </c>
      <c r="B575" s="616">
        <v>1</v>
      </c>
      <c r="C575" s="1693">
        <f t="shared" si="1087"/>
        <v>575</v>
      </c>
      <c r="D575" s="616">
        <v>1</v>
      </c>
      <c r="F575" s="69"/>
      <c r="J575" s="73"/>
      <c r="K575" s="72"/>
      <c r="L575" s="68"/>
      <c r="M575" s="68"/>
      <c r="N575" s="20" t="s">
        <v>51</v>
      </c>
      <c r="O575" s="11"/>
      <c r="P575" s="11"/>
      <c r="Q575" s="11"/>
      <c r="R575" s="1779" t="str">
        <f>CHOOSE(2, "6722000003486", "S/GP (2) Net Sales Direct Others")</f>
        <v>S/GP (2) Net Sales Direct Others</v>
      </c>
      <c r="S575" s="1280"/>
      <c r="T575" s="1218"/>
      <c r="U575" s="1218"/>
      <c r="V575" s="1218"/>
      <c r="W575" s="1218"/>
      <c r="X575" s="1218"/>
      <c r="Y575" s="1218"/>
      <c r="Z575" s="1218"/>
      <c r="AA575" s="1218"/>
      <c r="AB575" s="1218"/>
      <c r="AC575" s="1218"/>
      <c r="AD575" s="1218"/>
      <c r="AE575" s="87">
        <f>SUM(S575,T575,U575)</f>
        <v>0</v>
      </c>
      <c r="AF575" s="15">
        <f>SUM(V575,W575,X575)</f>
        <v>0</v>
      </c>
      <c r="AG575" s="15">
        <f>SUM(Y575,Z575,AA575)</f>
        <v>0</v>
      </c>
      <c r="AH575" s="15">
        <f>SUM(AB575,AC575,AD575)</f>
        <v>0</v>
      </c>
      <c r="AI575" s="15">
        <f>AE575+AF575</f>
        <v>0</v>
      </c>
      <c r="AJ575" s="15">
        <f>AH575+AG575</f>
        <v>0</v>
      </c>
      <c r="AK575" s="15">
        <f>AI575+AJ575</f>
        <v>0</v>
      </c>
      <c r="AM575" s="1928">
        <f ca="1">SUM((INDIRECT(AM$2&amp;(ROW())):INDIRECT(AM$3&amp;(ROW()))))</f>
        <v>0</v>
      </c>
      <c r="AN575" s="1928">
        <f ca="1">SUM(INDIRECT(AN$1&amp;AN$2&amp;$C575):INDIRECT(AN$1&amp;AN$3&amp;$C575))</f>
        <v>0</v>
      </c>
      <c r="AO575" s="2709">
        <f t="shared" ca="1" si="1147"/>
        <v>0</v>
      </c>
      <c r="AP575" s="2710">
        <f t="shared" ca="1" si="1129"/>
        <v>0</v>
      </c>
      <c r="AQ575" s="1928">
        <f ca="1">SUM(INDIRECT(AQ$1&amp;AQ$2&amp;$A575):INDIRECT(AQ$1&amp;AQ$3&amp;$A575))</f>
        <v>0</v>
      </c>
      <c r="AR575" s="2709">
        <f t="shared" ca="1" si="1148"/>
        <v>0</v>
      </c>
      <c r="AS575" s="2710">
        <f t="shared" ca="1" si="1130"/>
        <v>0</v>
      </c>
      <c r="AU575" s="1928">
        <f ca="1">SUM((INDIRECT(AU$2&amp;(ROW())):INDIRECT(AU$3&amp;(ROW()))))</f>
        <v>0</v>
      </c>
      <c r="AV575" s="1928">
        <f ca="1">SUM(INDIRECT(AV$1&amp;AV$2&amp;$C575):INDIRECT(AV$1&amp;AV$3&amp;$C575))</f>
        <v>0</v>
      </c>
      <c r="AW575" s="2709">
        <f t="shared" ca="1" si="1131"/>
        <v>0</v>
      </c>
      <c r="AX575" s="2710">
        <f t="shared" ca="1" si="1132"/>
        <v>0</v>
      </c>
      <c r="AY575" s="1928">
        <f ca="1">SUM(INDIRECT(AY$1&amp;AY$2&amp;$A575):INDIRECT(AY$1&amp;AY$3&amp;$A575))</f>
        <v>0</v>
      </c>
      <c r="AZ575" s="2709">
        <f t="shared" ca="1" si="1133"/>
        <v>0</v>
      </c>
      <c r="BA575" s="2710">
        <f t="shared" ca="1" si="1134"/>
        <v>0</v>
      </c>
      <c r="BC575" s="1928">
        <f ca="1">SUM((INDIRECT(BC$2&amp;(ROW())):INDIRECT(BC$3&amp;(ROW()))))</f>
        <v>0</v>
      </c>
      <c r="BD575" s="1928">
        <f ca="1">SUM(INDIRECT(BD$1&amp;BD$2&amp;$C575):INDIRECT(BD$1&amp;BD$3&amp;$C575))</f>
        <v>0</v>
      </c>
      <c r="BE575" s="2709">
        <f t="shared" ca="1" si="1135"/>
        <v>0</v>
      </c>
      <c r="BF575" s="2710">
        <f t="shared" ca="1" si="1136"/>
        <v>0</v>
      </c>
      <c r="BG575" s="1928">
        <f ca="1">SUM(INDIRECT(BG$1&amp;BG$2&amp;$A575):INDIRECT(BG$1&amp;BG$3&amp;$A575))</f>
        <v>0</v>
      </c>
      <c r="BH575" s="2709">
        <f t="shared" ca="1" si="1137"/>
        <v>0</v>
      </c>
      <c r="BI575" s="2710">
        <f t="shared" ca="1" si="1138"/>
        <v>0</v>
      </c>
    </row>
    <row r="576" spans="1:61" ht="14.5">
      <c r="A576" s="1693">
        <f t="shared" si="1088"/>
        <v>568</v>
      </c>
      <c r="B576" s="616">
        <v>1</v>
      </c>
      <c r="C576" s="1693">
        <f t="shared" si="1087"/>
        <v>576</v>
      </c>
      <c r="D576" s="616">
        <v>1</v>
      </c>
      <c r="F576" s="69"/>
      <c r="J576" s="73"/>
      <c r="K576" s="72"/>
      <c r="L576" s="75" t="s">
        <v>129</v>
      </c>
      <c r="M576" s="75"/>
      <c r="N576" s="74"/>
      <c r="O576" s="74"/>
      <c r="P576" s="74"/>
      <c r="Q576" s="583"/>
      <c r="R576" s="1802" t="str">
        <f>CHOOSE(2, "6722000003487", "S/GP (2) Net Sales Indirect")</f>
        <v>S/GP (2) Net Sales Indirect</v>
      </c>
      <c r="S576" s="1716">
        <f>S577+S580+S585+S590</f>
        <v>78611</v>
      </c>
      <c r="T576" s="1716">
        <f t="shared" ref="T576:AD576" si="1151">T577+T580+T585+T590</f>
        <v>82561.548539999989</v>
      </c>
      <c r="U576" s="1716">
        <f t="shared" si="1151"/>
        <v>61560.342000000004</v>
      </c>
      <c r="V576" s="1716">
        <f t="shared" si="1151"/>
        <v>53206.750999999997</v>
      </c>
      <c r="W576" s="1716">
        <f t="shared" si="1151"/>
        <v>69849.429000000004</v>
      </c>
      <c r="X576" s="1716">
        <f t="shared" si="1151"/>
        <v>95892.566189999998</v>
      </c>
      <c r="Y576" s="1716">
        <f t="shared" si="1151"/>
        <v>78563.878899999996</v>
      </c>
      <c r="Z576" s="1716">
        <f t="shared" si="1151"/>
        <v>63897.384560000006</v>
      </c>
      <c r="AA576" s="1716">
        <f t="shared" si="1151"/>
        <v>65791.350789999997</v>
      </c>
      <c r="AB576" s="1716">
        <f t="shared" si="1151"/>
        <v>82098.725479999994</v>
      </c>
      <c r="AC576" s="1716">
        <f t="shared" si="1151"/>
        <v>78333.692360000001</v>
      </c>
      <c r="AD576" s="1716">
        <f t="shared" si="1151"/>
        <v>104183.14285999999</v>
      </c>
      <c r="AE576" s="1717">
        <f t="shared" ref="AE576:AK576" si="1152">AE577+AE580+AE585+AE590</f>
        <v>222732.89054000002</v>
      </c>
      <c r="AF576" s="1724">
        <f t="shared" si="1152"/>
        <v>218948.74619000001</v>
      </c>
      <c r="AG576" s="1724">
        <f t="shared" si="1152"/>
        <v>208252.61424999998</v>
      </c>
      <c r="AH576" s="1724">
        <f t="shared" si="1152"/>
        <v>264615.56070000003</v>
      </c>
      <c r="AI576" s="1724">
        <f t="shared" si="1152"/>
        <v>441681.63673000003</v>
      </c>
      <c r="AJ576" s="1724">
        <f t="shared" si="1152"/>
        <v>472868.17495000002</v>
      </c>
      <c r="AK576" s="1724">
        <f t="shared" si="1152"/>
        <v>914549.81168000004</v>
      </c>
      <c r="AM576" s="2203">
        <f ca="1">SUM((INDIRECT(AM$2&amp;(ROW())):INDIRECT(AM$3&amp;(ROW()))))</f>
        <v>78611</v>
      </c>
      <c r="AN576" s="2203">
        <f ca="1">SUM(INDIRECT(AN$1&amp;AN$2&amp;$C576):INDIRECT(AN$1&amp;AN$3&amp;$C576))</f>
        <v>68828.15132006249</v>
      </c>
      <c r="AO576" s="2916">
        <f t="shared" ca="1" si="1147"/>
        <v>9782.8486799375096</v>
      </c>
      <c r="AP576" s="2917">
        <f t="shared" ca="1" si="1129"/>
        <v>1.1421344100097301</v>
      </c>
      <c r="AQ576" s="2203">
        <f ca="1">SUM(INDIRECT(AQ$1&amp;AQ$2&amp;$A576):INDIRECT(AQ$1&amp;AQ$3&amp;$A576))</f>
        <v>65990</v>
      </c>
      <c r="AR576" s="2916">
        <f t="shared" ca="1" si="1148"/>
        <v>12621</v>
      </c>
      <c r="AS576" s="2917">
        <f t="shared" ca="1" si="1130"/>
        <v>1.1912562509471132</v>
      </c>
      <c r="AU576" s="2203">
        <f ca="1">SUM((INDIRECT(AU$2&amp;(ROW())):INDIRECT(AU$3&amp;(ROW()))))</f>
        <v>78611</v>
      </c>
      <c r="AV576" s="2203">
        <f ca="1">SUM(INDIRECT(AV$1&amp;AV$2&amp;$C576):INDIRECT(AV$1&amp;AV$3&amp;$C576))</f>
        <v>68828.15132006249</v>
      </c>
      <c r="AW576" s="2916">
        <f t="shared" ca="1" si="1131"/>
        <v>9782.8486799375096</v>
      </c>
      <c r="AX576" s="2917">
        <f t="shared" ca="1" si="1132"/>
        <v>1.1421344100097301</v>
      </c>
      <c r="AY576" s="2203">
        <f ca="1">SUM(INDIRECT(AY$1&amp;AY$2&amp;$A576):INDIRECT(AY$1&amp;AY$3&amp;$A576))</f>
        <v>65990</v>
      </c>
      <c r="AZ576" s="2916">
        <f t="shared" ca="1" si="1133"/>
        <v>12621</v>
      </c>
      <c r="BA576" s="2917">
        <f t="shared" ca="1" si="1134"/>
        <v>1.1912562509471132</v>
      </c>
      <c r="BC576" s="2203">
        <f ca="1">SUM((INDIRECT(BC$2&amp;(ROW())):INDIRECT(BC$3&amp;(ROW()))))</f>
        <v>78611</v>
      </c>
      <c r="BD576" s="2203">
        <f ca="1">SUM(INDIRECT(BD$1&amp;BD$2&amp;$C576):INDIRECT(BD$1&amp;BD$3&amp;$C576))</f>
        <v>68828.15132006249</v>
      </c>
      <c r="BE576" s="2916">
        <f t="shared" ca="1" si="1135"/>
        <v>9782.8486799375096</v>
      </c>
      <c r="BF576" s="2917">
        <f t="shared" ca="1" si="1136"/>
        <v>1.1421344100097301</v>
      </c>
      <c r="BG576" s="2203">
        <f ca="1">SUM(INDIRECT(BG$1&amp;BG$2&amp;$A576):INDIRECT(BG$1&amp;BG$3&amp;$A576))</f>
        <v>65990</v>
      </c>
      <c r="BH576" s="2916">
        <f t="shared" ca="1" si="1137"/>
        <v>12621</v>
      </c>
      <c r="BI576" s="2917">
        <f t="shared" ca="1" si="1138"/>
        <v>1.1912562509471132</v>
      </c>
    </row>
    <row r="577" spans="1:61" ht="14.5">
      <c r="A577" s="1693">
        <f t="shared" si="1088"/>
        <v>569</v>
      </c>
      <c r="B577" s="616">
        <v>1</v>
      </c>
      <c r="C577" s="1693">
        <f t="shared" si="1087"/>
        <v>577</v>
      </c>
      <c r="D577" s="616">
        <v>1</v>
      </c>
      <c r="F577" s="69"/>
      <c r="J577" s="73"/>
      <c r="K577" s="72"/>
      <c r="L577" s="63"/>
      <c r="M577" s="63"/>
      <c r="N577" s="8" t="s">
        <v>121</v>
      </c>
      <c r="O577" s="285"/>
      <c r="P577" s="285"/>
      <c r="Q577" s="285"/>
      <c r="R577" s="1777" t="str">
        <f>CHOOSE(2, "6722000003488", "S/GP (2) Net Sales Indirect HW")</f>
        <v>S/GP (2) Net Sales Indirect HW</v>
      </c>
      <c r="S577" s="1620">
        <f>SUM(S578:S579)</f>
        <v>22737</v>
      </c>
      <c r="T577" s="1248">
        <f t="shared" ref="T577:AD577" si="1153">SUM(T578:T579)</f>
        <v>26795.89</v>
      </c>
      <c r="U577" s="1248">
        <f t="shared" si="1153"/>
        <v>18680.468000000001</v>
      </c>
      <c r="V577" s="1248">
        <f t="shared" si="1153"/>
        <v>16009.737999999999</v>
      </c>
      <c r="W577" s="1248">
        <f t="shared" si="1153"/>
        <v>23013.168000000001</v>
      </c>
      <c r="X577" s="1248">
        <f t="shared" si="1153"/>
        <v>43729.119909999994</v>
      </c>
      <c r="Y577" s="1248">
        <f t="shared" si="1153"/>
        <v>24135.370899999998</v>
      </c>
      <c r="Z577" s="1248">
        <f t="shared" si="1153"/>
        <v>20703.772000000001</v>
      </c>
      <c r="AA577" s="1248">
        <f t="shared" si="1153"/>
        <v>23821.54279</v>
      </c>
      <c r="AB577" s="1248">
        <f t="shared" si="1153"/>
        <v>28975.707999999999</v>
      </c>
      <c r="AC577" s="1248">
        <f t="shared" si="1153"/>
        <v>27152.177680000001</v>
      </c>
      <c r="AD577" s="1248">
        <f t="shared" si="1153"/>
        <v>31697.740180000001</v>
      </c>
      <c r="AE577" s="895">
        <f t="shared" ref="AE577:AK577" si="1154">SUM(AE578:AE579)</f>
        <v>68213.358000000007</v>
      </c>
      <c r="AF577" s="1248">
        <f t="shared" si="1154"/>
        <v>82752.025909999997</v>
      </c>
      <c r="AG577" s="1248">
        <f t="shared" si="1154"/>
        <v>68660.685689999998</v>
      </c>
      <c r="AH577" s="1248">
        <f t="shared" si="1154"/>
        <v>87825.62586</v>
      </c>
      <c r="AI577" s="1248">
        <f t="shared" si="1154"/>
        <v>150965.38391</v>
      </c>
      <c r="AJ577" s="1248">
        <f t="shared" si="1154"/>
        <v>156486.31154999998</v>
      </c>
      <c r="AK577" s="1248">
        <f t="shared" si="1154"/>
        <v>307451.69545999996</v>
      </c>
      <c r="AM577" s="2183">
        <f ca="1">SUM((INDIRECT(AM$2&amp;(ROW())):INDIRECT(AM$3&amp;(ROW()))))</f>
        <v>22737</v>
      </c>
      <c r="AN577" s="2183">
        <f ca="1">SUM(INDIRECT(AN$1&amp;AN$2&amp;$C577):INDIRECT(AN$1&amp;AN$3&amp;$C577))</f>
        <v>19229.667320062494</v>
      </c>
      <c r="AO577" s="2875">
        <f t="shared" ca="1" si="1147"/>
        <v>3507.3326799375063</v>
      </c>
      <c r="AP577" s="2876">
        <f t="shared" ca="1" si="1129"/>
        <v>1.1823917502867183</v>
      </c>
      <c r="AQ577" s="2183">
        <f ca="1">SUM(INDIRECT(AQ$1&amp;AQ$2&amp;$A577):INDIRECT(AQ$1&amp;AQ$3&amp;$A577))</f>
        <v>14904</v>
      </c>
      <c r="AR577" s="2875">
        <f t="shared" ca="1" si="1148"/>
        <v>7833</v>
      </c>
      <c r="AS577" s="2876">
        <f t="shared" ca="1" si="1130"/>
        <v>1.5255636070853462</v>
      </c>
      <c r="AU577" s="2183">
        <f ca="1">SUM((INDIRECT(AU$2&amp;(ROW())):INDIRECT(AU$3&amp;(ROW()))))</f>
        <v>22737</v>
      </c>
      <c r="AV577" s="2183">
        <f ca="1">SUM(INDIRECT(AV$1&amp;AV$2&amp;$C577):INDIRECT(AV$1&amp;AV$3&amp;$C577))</f>
        <v>19229.667320062494</v>
      </c>
      <c r="AW577" s="2875">
        <f t="shared" ca="1" si="1131"/>
        <v>3507.3326799375063</v>
      </c>
      <c r="AX577" s="2876">
        <f t="shared" ca="1" si="1132"/>
        <v>1.1823917502867183</v>
      </c>
      <c r="AY577" s="2183">
        <f ca="1">SUM(INDIRECT(AY$1&amp;AY$2&amp;$A577):INDIRECT(AY$1&amp;AY$3&amp;$A577))</f>
        <v>14904</v>
      </c>
      <c r="AZ577" s="2875">
        <f t="shared" ca="1" si="1133"/>
        <v>7833</v>
      </c>
      <c r="BA577" s="2876">
        <f t="shared" ca="1" si="1134"/>
        <v>1.5255636070853462</v>
      </c>
      <c r="BC577" s="2183">
        <f ca="1">SUM((INDIRECT(BC$2&amp;(ROW())):INDIRECT(BC$3&amp;(ROW()))))</f>
        <v>22737</v>
      </c>
      <c r="BD577" s="2183">
        <f ca="1">SUM(INDIRECT(BD$1&amp;BD$2&amp;$C577):INDIRECT(BD$1&amp;BD$3&amp;$C577))</f>
        <v>19229.667320062494</v>
      </c>
      <c r="BE577" s="2875">
        <f t="shared" ca="1" si="1135"/>
        <v>3507.3326799375063</v>
      </c>
      <c r="BF577" s="2876">
        <f t="shared" ca="1" si="1136"/>
        <v>1.1823917502867183</v>
      </c>
      <c r="BG577" s="2183">
        <f ca="1">SUM(INDIRECT(BG$1&amp;BG$2&amp;$A577):INDIRECT(BG$1&amp;BG$3&amp;$A577))</f>
        <v>14904</v>
      </c>
      <c r="BH577" s="2875">
        <f t="shared" ca="1" si="1137"/>
        <v>7833</v>
      </c>
      <c r="BI577" s="2876">
        <f t="shared" ca="1" si="1138"/>
        <v>1.5255636070853462</v>
      </c>
    </row>
    <row r="578" spans="1:61" ht="14.5">
      <c r="A578" s="1693">
        <f t="shared" si="1088"/>
        <v>570</v>
      </c>
      <c r="B578" s="616">
        <v>1</v>
      </c>
      <c r="C578" s="1693">
        <f t="shared" si="1087"/>
        <v>578</v>
      </c>
      <c r="D578" s="616">
        <v>1</v>
      </c>
      <c r="F578" s="69"/>
      <c r="J578" s="73"/>
      <c r="K578" s="72"/>
      <c r="L578" s="63"/>
      <c r="M578" s="63"/>
      <c r="O578" s="97" t="s">
        <v>122</v>
      </c>
      <c r="P578" s="97"/>
      <c r="Q578" s="97"/>
      <c r="R578" s="1779" t="str">
        <f>CHOOSE(2, "6722000003489", "S/GP (2) Net Sales Indirect HW KMI")</f>
        <v>S/GP (2) Net Sales Indirect HW KMI</v>
      </c>
      <c r="S578" s="1247">
        <v>22737</v>
      </c>
      <c r="T578" s="1227">
        <v>26795.89</v>
      </c>
      <c r="U578" s="1227">
        <v>18680.468000000001</v>
      </c>
      <c r="V578" s="1227">
        <v>16009.737999999999</v>
      </c>
      <c r="W578" s="1227">
        <v>23013.168000000001</v>
      </c>
      <c r="X578" s="1227">
        <v>43729.119909999994</v>
      </c>
      <c r="Y578" s="1227">
        <v>24135.370899999998</v>
      </c>
      <c r="Z578" s="1227">
        <v>20703.772000000001</v>
      </c>
      <c r="AA578" s="1227">
        <v>23821.54279</v>
      </c>
      <c r="AB578" s="1227">
        <v>28975.707999999999</v>
      </c>
      <c r="AC578" s="1227">
        <v>27152.177680000001</v>
      </c>
      <c r="AD578" s="1227">
        <v>31697.740180000001</v>
      </c>
      <c r="AE578" s="295">
        <f>SUM(S578,T578,U578)</f>
        <v>68213.358000000007</v>
      </c>
      <c r="AF578" s="96">
        <f>SUM(V578,W578,X578)</f>
        <v>82752.025909999997</v>
      </c>
      <c r="AG578" s="96">
        <f>SUM(Y578,Z578,AA578)</f>
        <v>68660.685689999998</v>
      </c>
      <c r="AH578" s="96">
        <f>SUM(AB578,AC578,AD578)</f>
        <v>87825.62586</v>
      </c>
      <c r="AI578" s="96">
        <f>AE578+AF578</f>
        <v>150965.38391</v>
      </c>
      <c r="AJ578" s="96">
        <f>AH578+AG578</f>
        <v>156486.31154999998</v>
      </c>
      <c r="AK578" s="96">
        <f>AI578+AJ578</f>
        <v>307451.69545999996</v>
      </c>
      <c r="AM578" s="2161">
        <f ca="1">SUM((INDIRECT(AM$2&amp;(ROW())):INDIRECT(AM$3&amp;(ROW()))))</f>
        <v>22737</v>
      </c>
      <c r="AN578" s="2161">
        <f ca="1">SUM(INDIRECT(AN$1&amp;AN$2&amp;$C578):INDIRECT(AN$1&amp;AN$3&amp;$C578))</f>
        <v>19229.667320062494</v>
      </c>
      <c r="AO578" s="2877">
        <f t="shared" ca="1" si="1147"/>
        <v>3507.3326799375063</v>
      </c>
      <c r="AP578" s="2878">
        <f t="shared" ca="1" si="1129"/>
        <v>1.1823917502867183</v>
      </c>
      <c r="AQ578" s="2161">
        <f ca="1">SUM(INDIRECT(AQ$1&amp;AQ$2&amp;$A578):INDIRECT(AQ$1&amp;AQ$3&amp;$A578))</f>
        <v>14904</v>
      </c>
      <c r="AR578" s="2877">
        <f t="shared" ca="1" si="1148"/>
        <v>7833</v>
      </c>
      <c r="AS578" s="2878">
        <f t="shared" ca="1" si="1130"/>
        <v>1.5255636070853462</v>
      </c>
      <c r="AU578" s="2161">
        <f ca="1">SUM((INDIRECT(AU$2&amp;(ROW())):INDIRECT(AU$3&amp;(ROW()))))</f>
        <v>22737</v>
      </c>
      <c r="AV578" s="2161">
        <f ca="1">SUM(INDIRECT(AV$1&amp;AV$2&amp;$C578):INDIRECT(AV$1&amp;AV$3&amp;$C578))</f>
        <v>19229.667320062494</v>
      </c>
      <c r="AW578" s="2877">
        <f t="shared" ca="1" si="1131"/>
        <v>3507.3326799375063</v>
      </c>
      <c r="AX578" s="2878">
        <f t="shared" ca="1" si="1132"/>
        <v>1.1823917502867183</v>
      </c>
      <c r="AY578" s="2161">
        <f ca="1">SUM(INDIRECT(AY$1&amp;AY$2&amp;$A578):INDIRECT(AY$1&amp;AY$3&amp;$A578))</f>
        <v>14904</v>
      </c>
      <c r="AZ578" s="2877">
        <f t="shared" ca="1" si="1133"/>
        <v>7833</v>
      </c>
      <c r="BA578" s="2878">
        <f t="shared" ca="1" si="1134"/>
        <v>1.5255636070853462</v>
      </c>
      <c r="BC578" s="2161">
        <f ca="1">SUM((INDIRECT(BC$2&amp;(ROW())):INDIRECT(BC$3&amp;(ROW()))))</f>
        <v>22737</v>
      </c>
      <c r="BD578" s="2161">
        <f ca="1">SUM(INDIRECT(BD$1&amp;BD$2&amp;$C578):INDIRECT(BD$1&amp;BD$3&amp;$C578))</f>
        <v>19229.667320062494</v>
      </c>
      <c r="BE578" s="2877">
        <f t="shared" ca="1" si="1135"/>
        <v>3507.3326799375063</v>
      </c>
      <c r="BF578" s="2878">
        <f t="shared" ca="1" si="1136"/>
        <v>1.1823917502867183</v>
      </c>
      <c r="BG578" s="2161">
        <f ca="1">SUM(INDIRECT(BG$1&amp;BG$2&amp;$A578):INDIRECT(BG$1&amp;BG$3&amp;$A578))</f>
        <v>14904</v>
      </c>
      <c r="BH578" s="2877">
        <f t="shared" ca="1" si="1137"/>
        <v>7833</v>
      </c>
      <c r="BI578" s="2878">
        <f t="shared" ca="1" si="1138"/>
        <v>1.5255636070853462</v>
      </c>
    </row>
    <row r="579" spans="1:61" ht="14.5">
      <c r="A579" s="1693">
        <f t="shared" si="1088"/>
        <v>571</v>
      </c>
      <c r="B579" s="616">
        <v>1</v>
      </c>
      <c r="C579" s="1693">
        <f t="shared" si="1087"/>
        <v>579</v>
      </c>
      <c r="D579" s="616">
        <v>1</v>
      </c>
      <c r="F579" s="69"/>
      <c r="J579" s="73"/>
      <c r="K579" s="72"/>
      <c r="L579" s="63"/>
      <c r="M579" s="63"/>
      <c r="O579" s="11" t="s">
        <v>125</v>
      </c>
      <c r="P579" s="11"/>
      <c r="Q579" s="11"/>
      <c r="R579" s="1779" t="str">
        <f>CHOOSE(2, "6722000003490", "S/GP (2) Net Sales Indirect HW 3rd Party")</f>
        <v>S/GP (2) Net Sales Indirect HW 3rd Party</v>
      </c>
      <c r="S579" s="1225"/>
      <c r="T579" s="1218"/>
      <c r="U579" s="1218"/>
      <c r="V579" s="1218"/>
      <c r="W579" s="1218"/>
      <c r="X579" s="1218"/>
      <c r="Y579" s="1218"/>
      <c r="Z579" s="1218"/>
      <c r="AA579" s="1218"/>
      <c r="AB579" s="1218"/>
      <c r="AC579" s="1218"/>
      <c r="AD579" s="1218"/>
      <c r="AE579" s="87">
        <f>SUM(S579,T579,U579)</f>
        <v>0</v>
      </c>
      <c r="AF579" s="15">
        <f>SUM(V579,W579,X579)</f>
        <v>0</v>
      </c>
      <c r="AG579" s="15">
        <f>SUM(Y579,Z579,AA579)</f>
        <v>0</v>
      </c>
      <c r="AH579" s="15">
        <f>SUM(AB579,AC579,AD579)</f>
        <v>0</v>
      </c>
      <c r="AI579" s="15">
        <f>AE579+AF579</f>
        <v>0</v>
      </c>
      <c r="AJ579" s="15">
        <f>AH579+AG579</f>
        <v>0</v>
      </c>
      <c r="AK579" s="15">
        <f>AI579+AJ579</f>
        <v>0</v>
      </c>
      <c r="AM579" s="1928">
        <f ca="1">SUM((INDIRECT(AM$2&amp;(ROW())):INDIRECT(AM$3&amp;(ROW()))))</f>
        <v>0</v>
      </c>
      <c r="AN579" s="1928">
        <f ca="1">SUM(INDIRECT(AN$1&amp;AN$2&amp;$C579):INDIRECT(AN$1&amp;AN$3&amp;$C579))</f>
        <v>0</v>
      </c>
      <c r="AO579" s="2709">
        <f t="shared" ca="1" si="1147"/>
        <v>0</v>
      </c>
      <c r="AP579" s="2710">
        <f t="shared" ca="1" si="1129"/>
        <v>0</v>
      </c>
      <c r="AQ579" s="1928">
        <f ca="1">SUM(INDIRECT(AQ$1&amp;AQ$2&amp;$A579):INDIRECT(AQ$1&amp;AQ$3&amp;$A579))</f>
        <v>0</v>
      </c>
      <c r="AR579" s="2709">
        <f t="shared" ca="1" si="1148"/>
        <v>0</v>
      </c>
      <c r="AS579" s="2710">
        <f t="shared" ca="1" si="1130"/>
        <v>0</v>
      </c>
      <c r="AU579" s="1928">
        <f ca="1">SUM((INDIRECT(AU$2&amp;(ROW())):INDIRECT(AU$3&amp;(ROW()))))</f>
        <v>0</v>
      </c>
      <c r="AV579" s="1928">
        <f ca="1">SUM(INDIRECT(AV$1&amp;AV$2&amp;$C579):INDIRECT(AV$1&amp;AV$3&amp;$C579))</f>
        <v>0</v>
      </c>
      <c r="AW579" s="2709">
        <f t="shared" ca="1" si="1131"/>
        <v>0</v>
      </c>
      <c r="AX579" s="2710">
        <f t="shared" ca="1" si="1132"/>
        <v>0</v>
      </c>
      <c r="AY579" s="1928">
        <f ca="1">SUM(INDIRECT(AY$1&amp;AY$2&amp;$A579):INDIRECT(AY$1&amp;AY$3&amp;$A579))</f>
        <v>0</v>
      </c>
      <c r="AZ579" s="2709">
        <f t="shared" ca="1" si="1133"/>
        <v>0</v>
      </c>
      <c r="BA579" s="2710">
        <f t="shared" ca="1" si="1134"/>
        <v>0</v>
      </c>
      <c r="BC579" s="1928">
        <f ca="1">SUM((INDIRECT(BC$2&amp;(ROW())):INDIRECT(BC$3&amp;(ROW()))))</f>
        <v>0</v>
      </c>
      <c r="BD579" s="1928">
        <f ca="1">SUM(INDIRECT(BD$1&amp;BD$2&amp;$C579):INDIRECT(BD$1&amp;BD$3&amp;$C579))</f>
        <v>0</v>
      </c>
      <c r="BE579" s="2709">
        <f t="shared" ca="1" si="1135"/>
        <v>0</v>
      </c>
      <c r="BF579" s="2710">
        <f t="shared" ca="1" si="1136"/>
        <v>0</v>
      </c>
      <c r="BG579" s="1928">
        <f ca="1">SUM(INDIRECT(BG$1&amp;BG$2&amp;$A579):INDIRECT(BG$1&amp;BG$3&amp;$A579))</f>
        <v>0</v>
      </c>
      <c r="BH579" s="2709">
        <f t="shared" ca="1" si="1137"/>
        <v>0</v>
      </c>
      <c r="BI579" s="2710">
        <f t="shared" ca="1" si="1138"/>
        <v>0</v>
      </c>
    </row>
    <row r="580" spans="1:61" ht="14.5">
      <c r="A580" s="1693">
        <f t="shared" si="1088"/>
        <v>572</v>
      </c>
      <c r="B580" s="616">
        <v>1</v>
      </c>
      <c r="C580" s="1693">
        <f t="shared" si="1087"/>
        <v>580</v>
      </c>
      <c r="D580" s="616">
        <v>1</v>
      </c>
      <c r="F580" s="69"/>
      <c r="J580" s="73"/>
      <c r="K580" s="72"/>
      <c r="L580" s="63"/>
      <c r="M580" s="63"/>
      <c r="N580" s="65" t="s">
        <v>126</v>
      </c>
      <c r="O580" s="284"/>
      <c r="P580" s="284"/>
      <c r="Q580" s="284"/>
      <c r="R580" s="1777" t="str">
        <f>CHOOSE(2, "6722000003491", "S/GP (2) Net Sales Indirect NH")</f>
        <v>S/GP (2) Net Sales Indirect NH</v>
      </c>
      <c r="S580" s="1621">
        <f>S581+S584</f>
        <v>55874</v>
      </c>
      <c r="T580" s="1249">
        <f t="shared" ref="T580:AD580" si="1155">T581+T584</f>
        <v>55765.658539999997</v>
      </c>
      <c r="U580" s="1249">
        <f t="shared" si="1155"/>
        <v>42879.874000000003</v>
      </c>
      <c r="V580" s="1249">
        <f t="shared" si="1155"/>
        <v>37197.012999999999</v>
      </c>
      <c r="W580" s="1249">
        <f t="shared" si="1155"/>
        <v>46836.260999999999</v>
      </c>
      <c r="X580" s="1249">
        <f t="shared" si="1155"/>
        <v>52163.446280000004</v>
      </c>
      <c r="Y580" s="1249">
        <f t="shared" si="1155"/>
        <v>54428.508000000002</v>
      </c>
      <c r="Z580" s="1249">
        <f t="shared" si="1155"/>
        <v>43193.612560000001</v>
      </c>
      <c r="AA580" s="1249">
        <f t="shared" si="1155"/>
        <v>41969.807999999997</v>
      </c>
      <c r="AB580" s="1249">
        <f t="shared" si="1155"/>
        <v>53123.017479999995</v>
      </c>
      <c r="AC580" s="1249">
        <f t="shared" si="1155"/>
        <v>51181.51468</v>
      </c>
      <c r="AD580" s="1249">
        <f t="shared" si="1155"/>
        <v>72485.402679999999</v>
      </c>
      <c r="AE580" s="898">
        <f t="shared" ref="AE580:AK580" si="1156">AE581+AE584</f>
        <v>154519.53254000001</v>
      </c>
      <c r="AF580" s="1249">
        <f t="shared" si="1156"/>
        <v>136196.72028000001</v>
      </c>
      <c r="AG580" s="1249">
        <f t="shared" si="1156"/>
        <v>139591.92856</v>
      </c>
      <c r="AH580" s="1249">
        <f t="shared" si="1156"/>
        <v>176789.93484</v>
      </c>
      <c r="AI580" s="1249">
        <f t="shared" si="1156"/>
        <v>290716.25282000005</v>
      </c>
      <c r="AJ580" s="1249">
        <f t="shared" si="1156"/>
        <v>316381.86340000003</v>
      </c>
      <c r="AK580" s="1249">
        <f t="shared" si="1156"/>
        <v>607098.11622000008</v>
      </c>
      <c r="AM580" s="2570">
        <f ca="1">SUM((INDIRECT(AM$2&amp;(ROW())):INDIRECT(AM$3&amp;(ROW()))))</f>
        <v>55874</v>
      </c>
      <c r="AN580" s="2570">
        <f ca="1">SUM(INDIRECT(AN$1&amp;AN$2&amp;$C580):INDIRECT(AN$1&amp;AN$3&amp;$C580))</f>
        <v>49598.483999999997</v>
      </c>
      <c r="AO580" s="2910">
        <f t="shared" ca="1" si="1147"/>
        <v>6275.5160000000033</v>
      </c>
      <c r="AP580" s="2911">
        <f t="shared" ca="1" si="1129"/>
        <v>1.1265263672171917</v>
      </c>
      <c r="AQ580" s="2570">
        <f ca="1">SUM(INDIRECT(AQ$1&amp;AQ$2&amp;$A580):INDIRECT(AQ$1&amp;AQ$3&amp;$A580))</f>
        <v>51086</v>
      </c>
      <c r="AR580" s="2910">
        <f t="shared" ca="1" si="1148"/>
        <v>4788</v>
      </c>
      <c r="AS580" s="2911">
        <f t="shared" ca="1" si="1130"/>
        <v>1.0937243080295971</v>
      </c>
      <c r="AU580" s="2570">
        <f ca="1">SUM((INDIRECT(AU$2&amp;(ROW())):INDIRECT(AU$3&amp;(ROW()))))</f>
        <v>55874</v>
      </c>
      <c r="AV580" s="2570">
        <f ca="1">SUM(INDIRECT(AV$1&amp;AV$2&amp;$C580):INDIRECT(AV$1&amp;AV$3&amp;$C580))</f>
        <v>49598.483999999997</v>
      </c>
      <c r="AW580" s="2910">
        <f t="shared" ca="1" si="1131"/>
        <v>6275.5160000000033</v>
      </c>
      <c r="AX580" s="2911">
        <f t="shared" ca="1" si="1132"/>
        <v>1.1265263672171917</v>
      </c>
      <c r="AY580" s="2570">
        <f ca="1">SUM(INDIRECT(AY$1&amp;AY$2&amp;$A580):INDIRECT(AY$1&amp;AY$3&amp;$A580))</f>
        <v>51086</v>
      </c>
      <c r="AZ580" s="2910">
        <f t="shared" ca="1" si="1133"/>
        <v>4788</v>
      </c>
      <c r="BA580" s="2911">
        <f t="shared" ca="1" si="1134"/>
        <v>1.0937243080295971</v>
      </c>
      <c r="BC580" s="2570">
        <f ca="1">SUM((INDIRECT(BC$2&amp;(ROW())):INDIRECT(BC$3&amp;(ROW()))))</f>
        <v>55874</v>
      </c>
      <c r="BD580" s="2570">
        <f ca="1">SUM(INDIRECT(BD$1&amp;BD$2&amp;$C580):INDIRECT(BD$1&amp;BD$3&amp;$C580))</f>
        <v>49598.483999999997</v>
      </c>
      <c r="BE580" s="2910">
        <f t="shared" ca="1" si="1135"/>
        <v>6275.5160000000033</v>
      </c>
      <c r="BF580" s="2911">
        <f t="shared" ca="1" si="1136"/>
        <v>1.1265263672171917</v>
      </c>
      <c r="BG580" s="2570">
        <f ca="1">SUM(INDIRECT(BG$1&amp;BG$2&amp;$A580):INDIRECT(BG$1&amp;BG$3&amp;$A580))</f>
        <v>51086</v>
      </c>
      <c r="BH580" s="2910">
        <f t="shared" ca="1" si="1137"/>
        <v>4788</v>
      </c>
      <c r="BI580" s="2911">
        <f t="shared" ca="1" si="1138"/>
        <v>1.0937243080295971</v>
      </c>
    </row>
    <row r="581" spans="1:61" ht="14.5">
      <c r="A581" s="1693">
        <f t="shared" si="1088"/>
        <v>573</v>
      </c>
      <c r="B581" s="616">
        <v>1</v>
      </c>
      <c r="C581" s="1693">
        <f t="shared" si="1087"/>
        <v>581</v>
      </c>
      <c r="D581" s="616">
        <v>1</v>
      </c>
      <c r="F581" s="69"/>
      <c r="J581" s="73"/>
      <c r="K581" s="72"/>
      <c r="L581" s="63"/>
      <c r="M581" s="63"/>
      <c r="O581" s="97" t="s">
        <v>122</v>
      </c>
      <c r="P581" s="97"/>
      <c r="Q581" s="869"/>
      <c r="R581" s="1777" t="str">
        <f>CHOOSE(2, "6722000003492", "S/GP (2) Net Sales Indirect NH KMI")</f>
        <v>S/GP (2) Net Sales Indirect NH KMI</v>
      </c>
      <c r="S581" s="1622">
        <f>SUM(S582:S583)</f>
        <v>55874</v>
      </c>
      <c r="T581" s="1250">
        <f t="shared" ref="T581:AD581" si="1157">SUM(T582:T583)</f>
        <v>55765.658539999997</v>
      </c>
      <c r="U581" s="1250">
        <f t="shared" si="1157"/>
        <v>42879.874000000003</v>
      </c>
      <c r="V581" s="1250">
        <f t="shared" si="1157"/>
        <v>37197.012999999999</v>
      </c>
      <c r="W581" s="1250">
        <f t="shared" si="1157"/>
        <v>46836.260999999999</v>
      </c>
      <c r="X581" s="1250">
        <f t="shared" si="1157"/>
        <v>52163.446280000004</v>
      </c>
      <c r="Y581" s="1250">
        <f t="shared" si="1157"/>
        <v>54428.508000000002</v>
      </c>
      <c r="Z581" s="1250">
        <f t="shared" si="1157"/>
        <v>43193.612560000001</v>
      </c>
      <c r="AA581" s="1250">
        <f t="shared" si="1157"/>
        <v>41969.807999999997</v>
      </c>
      <c r="AB581" s="1250">
        <f t="shared" si="1157"/>
        <v>53123.017479999995</v>
      </c>
      <c r="AC581" s="1250">
        <f t="shared" si="1157"/>
        <v>51181.51468</v>
      </c>
      <c r="AD581" s="1250">
        <f t="shared" si="1157"/>
        <v>72485.402679999999</v>
      </c>
      <c r="AE581" s="899">
        <f t="shared" ref="AE581:AK581" si="1158">SUM(AE582:AE583)</f>
        <v>154519.53254000001</v>
      </c>
      <c r="AF581" s="1250">
        <f t="shared" si="1158"/>
        <v>136196.72028000001</v>
      </c>
      <c r="AG581" s="1250">
        <f t="shared" si="1158"/>
        <v>139591.92856</v>
      </c>
      <c r="AH581" s="1250">
        <f t="shared" si="1158"/>
        <v>176789.93484</v>
      </c>
      <c r="AI581" s="1250">
        <f t="shared" si="1158"/>
        <v>290716.25282000005</v>
      </c>
      <c r="AJ581" s="1250">
        <f t="shared" si="1158"/>
        <v>316381.86340000003</v>
      </c>
      <c r="AK581" s="1250">
        <f t="shared" si="1158"/>
        <v>607098.11622000008</v>
      </c>
      <c r="AM581" s="2194">
        <f ca="1">SUM((INDIRECT(AM$2&amp;(ROW())):INDIRECT(AM$3&amp;(ROW()))))</f>
        <v>55874</v>
      </c>
      <c r="AN581" s="2194">
        <f ca="1">SUM(INDIRECT(AN$1&amp;AN$2&amp;$C581):INDIRECT(AN$1&amp;AN$3&amp;$C581))</f>
        <v>49598.483999999997</v>
      </c>
      <c r="AO581" s="2912">
        <f t="shared" ca="1" si="1147"/>
        <v>6275.5160000000033</v>
      </c>
      <c r="AP581" s="2913">
        <f t="shared" ca="1" si="1129"/>
        <v>1.1265263672171917</v>
      </c>
      <c r="AQ581" s="2194">
        <f ca="1">SUM(INDIRECT(AQ$1&amp;AQ$2&amp;$A581):INDIRECT(AQ$1&amp;AQ$3&amp;$A581))</f>
        <v>51086</v>
      </c>
      <c r="AR581" s="2912">
        <f t="shared" ca="1" si="1148"/>
        <v>4788</v>
      </c>
      <c r="AS581" s="2913">
        <f t="shared" ca="1" si="1130"/>
        <v>1.0937243080295971</v>
      </c>
      <c r="AU581" s="2194">
        <f ca="1">SUM((INDIRECT(AU$2&amp;(ROW())):INDIRECT(AU$3&amp;(ROW()))))</f>
        <v>55874</v>
      </c>
      <c r="AV581" s="2194">
        <f ca="1">SUM(INDIRECT(AV$1&amp;AV$2&amp;$C581):INDIRECT(AV$1&amp;AV$3&amp;$C581))</f>
        <v>49598.483999999997</v>
      </c>
      <c r="AW581" s="2912">
        <f t="shared" ca="1" si="1131"/>
        <v>6275.5160000000033</v>
      </c>
      <c r="AX581" s="2913">
        <f t="shared" ca="1" si="1132"/>
        <v>1.1265263672171917</v>
      </c>
      <c r="AY581" s="2194">
        <f ca="1">SUM(INDIRECT(AY$1&amp;AY$2&amp;$A581):INDIRECT(AY$1&amp;AY$3&amp;$A581))</f>
        <v>51086</v>
      </c>
      <c r="AZ581" s="2912">
        <f t="shared" ca="1" si="1133"/>
        <v>4788</v>
      </c>
      <c r="BA581" s="2913">
        <f t="shared" ca="1" si="1134"/>
        <v>1.0937243080295971</v>
      </c>
      <c r="BC581" s="2194">
        <f ca="1">SUM((INDIRECT(BC$2&amp;(ROW())):INDIRECT(BC$3&amp;(ROW()))))</f>
        <v>55874</v>
      </c>
      <c r="BD581" s="2194">
        <f ca="1">SUM(INDIRECT(BD$1&amp;BD$2&amp;$C581):INDIRECT(BD$1&amp;BD$3&amp;$C581))</f>
        <v>49598.483999999997</v>
      </c>
      <c r="BE581" s="2912">
        <f t="shared" ca="1" si="1135"/>
        <v>6275.5160000000033</v>
      </c>
      <c r="BF581" s="2913">
        <f t="shared" ca="1" si="1136"/>
        <v>1.1265263672171917</v>
      </c>
      <c r="BG581" s="2194">
        <f ca="1">SUM(INDIRECT(BG$1&amp;BG$2&amp;$A581):INDIRECT(BG$1&amp;BG$3&amp;$A581))</f>
        <v>51086</v>
      </c>
      <c r="BH581" s="2912">
        <f t="shared" ca="1" si="1137"/>
        <v>4788</v>
      </c>
      <c r="BI581" s="2913">
        <f t="shared" ca="1" si="1138"/>
        <v>1.0937243080295971</v>
      </c>
    </row>
    <row r="582" spans="1:61" ht="14.5">
      <c r="A582" s="1693">
        <f t="shared" si="1088"/>
        <v>574</v>
      </c>
      <c r="B582" s="616">
        <v>1</v>
      </c>
      <c r="C582" s="1693">
        <f t="shared" si="1087"/>
        <v>582</v>
      </c>
      <c r="D582" s="616">
        <v>1</v>
      </c>
      <c r="F582" s="69"/>
      <c r="J582" s="73"/>
      <c r="K582" s="72"/>
      <c r="L582" s="63"/>
      <c r="M582" s="63"/>
      <c r="Q582" s="97" t="s">
        <v>130</v>
      </c>
      <c r="R582" s="1779" t="str">
        <f>CHOOSE(2, "6722000003493", "S/GP (2) Net Sales Indirect NH KMI Consumables")</f>
        <v>S/GP (2) Net Sales Indirect NH KMI Consumables</v>
      </c>
      <c r="S582" s="1247">
        <v>55874</v>
      </c>
      <c r="T582" s="1227">
        <v>55765.658539999997</v>
      </c>
      <c r="U582" s="1227">
        <v>42879.874000000003</v>
      </c>
      <c r="V582" s="1227">
        <v>37197.012999999999</v>
      </c>
      <c r="W582" s="1227">
        <v>46836.260999999999</v>
      </c>
      <c r="X582" s="1227">
        <v>52163.446280000004</v>
      </c>
      <c r="Y582" s="1227">
        <v>54428.508000000002</v>
      </c>
      <c r="Z582" s="1227">
        <v>43193.612560000001</v>
      </c>
      <c r="AA582" s="1227">
        <v>41969.807999999997</v>
      </c>
      <c r="AB582" s="1227">
        <v>53123.017479999995</v>
      </c>
      <c r="AC582" s="1227">
        <v>51181.51468</v>
      </c>
      <c r="AD582" s="1227">
        <v>72485.402679999999</v>
      </c>
      <c r="AE582" s="295">
        <f>SUM(S582,T582,U582)</f>
        <v>154519.53254000001</v>
      </c>
      <c r="AF582" s="96">
        <f>SUM(V582,W582,X582)</f>
        <v>136196.72028000001</v>
      </c>
      <c r="AG582" s="96">
        <f>SUM(Y582,Z582,AA582)</f>
        <v>139591.92856</v>
      </c>
      <c r="AH582" s="96">
        <f>SUM(AB582,AC582,AD582)</f>
        <v>176789.93484</v>
      </c>
      <c r="AI582" s="96">
        <f>AE582+AF582</f>
        <v>290716.25282000005</v>
      </c>
      <c r="AJ582" s="96">
        <f>AH582+AG582</f>
        <v>316381.86340000003</v>
      </c>
      <c r="AK582" s="96">
        <f>AI582+AJ582</f>
        <v>607098.11622000008</v>
      </c>
      <c r="AM582" s="2161">
        <f ca="1">SUM((INDIRECT(AM$2&amp;(ROW())):INDIRECT(AM$3&amp;(ROW()))))</f>
        <v>55874</v>
      </c>
      <c r="AN582" s="2161">
        <f ca="1">SUM(INDIRECT(AN$1&amp;AN$2&amp;$C582):INDIRECT(AN$1&amp;AN$3&amp;$C582))</f>
        <v>49598.483999999997</v>
      </c>
      <c r="AO582" s="2877">
        <f t="shared" ca="1" si="1147"/>
        <v>6275.5160000000033</v>
      </c>
      <c r="AP582" s="2878">
        <f t="shared" ca="1" si="1129"/>
        <v>1.1265263672171917</v>
      </c>
      <c r="AQ582" s="2161">
        <f ca="1">SUM(INDIRECT(AQ$1&amp;AQ$2&amp;$A582):INDIRECT(AQ$1&amp;AQ$3&amp;$A582))</f>
        <v>51086</v>
      </c>
      <c r="AR582" s="2877">
        <f t="shared" ca="1" si="1148"/>
        <v>4788</v>
      </c>
      <c r="AS582" s="2878">
        <f t="shared" ca="1" si="1130"/>
        <v>1.0937243080295971</v>
      </c>
      <c r="AU582" s="2161">
        <f ca="1">SUM((INDIRECT(AU$2&amp;(ROW())):INDIRECT(AU$3&amp;(ROW()))))</f>
        <v>55874</v>
      </c>
      <c r="AV582" s="2161">
        <f ca="1">SUM(INDIRECT(AV$1&amp;AV$2&amp;$C582):INDIRECT(AV$1&amp;AV$3&amp;$C582))</f>
        <v>49598.483999999997</v>
      </c>
      <c r="AW582" s="2877">
        <f t="shared" ca="1" si="1131"/>
        <v>6275.5160000000033</v>
      </c>
      <c r="AX582" s="2878">
        <f t="shared" ca="1" si="1132"/>
        <v>1.1265263672171917</v>
      </c>
      <c r="AY582" s="2161">
        <f ca="1">SUM(INDIRECT(AY$1&amp;AY$2&amp;$A582):INDIRECT(AY$1&amp;AY$3&amp;$A582))</f>
        <v>51086</v>
      </c>
      <c r="AZ582" s="2877">
        <f t="shared" ca="1" si="1133"/>
        <v>4788</v>
      </c>
      <c r="BA582" s="2878">
        <f t="shared" ca="1" si="1134"/>
        <v>1.0937243080295971</v>
      </c>
      <c r="BC582" s="2161">
        <f ca="1">SUM((INDIRECT(BC$2&amp;(ROW())):INDIRECT(BC$3&amp;(ROW()))))</f>
        <v>55874</v>
      </c>
      <c r="BD582" s="2161">
        <f ca="1">SUM(INDIRECT(BD$1&amp;BD$2&amp;$C582):INDIRECT(BD$1&amp;BD$3&amp;$C582))</f>
        <v>49598.483999999997</v>
      </c>
      <c r="BE582" s="2877">
        <f t="shared" ca="1" si="1135"/>
        <v>6275.5160000000033</v>
      </c>
      <c r="BF582" s="2878">
        <f t="shared" ca="1" si="1136"/>
        <v>1.1265263672171917</v>
      </c>
      <c r="BG582" s="2161">
        <f ca="1">SUM(INDIRECT(BG$1&amp;BG$2&amp;$A582):INDIRECT(BG$1&amp;BG$3&amp;$A582))</f>
        <v>51086</v>
      </c>
      <c r="BH582" s="2877">
        <f t="shared" ca="1" si="1137"/>
        <v>4788</v>
      </c>
      <c r="BI582" s="2878">
        <f t="shared" ca="1" si="1138"/>
        <v>1.0937243080295971</v>
      </c>
    </row>
    <row r="583" spans="1:61" ht="14.5">
      <c r="A583" s="1693">
        <f t="shared" si="1088"/>
        <v>575</v>
      </c>
      <c r="B583" s="616">
        <v>1</v>
      </c>
      <c r="C583" s="1693">
        <f t="shared" si="1087"/>
        <v>583</v>
      </c>
      <c r="D583" s="616">
        <v>1</v>
      </c>
      <c r="F583" s="69"/>
      <c r="J583" s="73"/>
      <c r="K583" s="72"/>
      <c r="L583" s="63"/>
      <c r="M583" s="63"/>
      <c r="O583" s="285"/>
      <c r="P583" s="285"/>
      <c r="Q583" s="285" t="s">
        <v>131</v>
      </c>
      <c r="R583" s="1779" t="str">
        <f>CHOOSE(2, "6722000003494", "S/GP (2) Net Sales Indirect NH KMI Parts")</f>
        <v>S/GP (2) Net Sales Indirect NH KMI Parts</v>
      </c>
      <c r="S583" s="1390"/>
      <c r="T583" s="1245"/>
      <c r="U583" s="1245"/>
      <c r="V583" s="1245"/>
      <c r="W583" s="1245"/>
      <c r="X583" s="1245"/>
      <c r="Y583" s="1245"/>
      <c r="Z583" s="1245"/>
      <c r="AA583" s="1245"/>
      <c r="AB583" s="1245"/>
      <c r="AC583" s="1245"/>
      <c r="AD583" s="1245"/>
      <c r="AE583" s="315">
        <f>SUM(S583,T583,U583)</f>
        <v>0</v>
      </c>
      <c r="AF583" s="287">
        <f>SUM(V583,W583,X583)</f>
        <v>0</v>
      </c>
      <c r="AG583" s="287">
        <f>SUM(Y583,Z583,AA583)</f>
        <v>0</v>
      </c>
      <c r="AH583" s="287">
        <f>SUM(AB583,AC583,AD583)</f>
        <v>0</v>
      </c>
      <c r="AI583" s="287">
        <f>AE583+AF583</f>
        <v>0</v>
      </c>
      <c r="AJ583" s="287">
        <f>AH583+AG583</f>
        <v>0</v>
      </c>
      <c r="AK583" s="287">
        <f>AI583+AJ583</f>
        <v>0</v>
      </c>
      <c r="AM583" s="2183">
        <f ca="1">SUM((INDIRECT(AM$2&amp;(ROW())):INDIRECT(AM$3&amp;(ROW()))))</f>
        <v>0</v>
      </c>
      <c r="AN583" s="2183">
        <f ca="1">SUM(INDIRECT(AN$1&amp;AN$2&amp;$C583):INDIRECT(AN$1&amp;AN$3&amp;$C583))</f>
        <v>0</v>
      </c>
      <c r="AO583" s="2875">
        <f t="shared" ca="1" si="1147"/>
        <v>0</v>
      </c>
      <c r="AP583" s="2876">
        <f t="shared" ca="1" si="1129"/>
        <v>0</v>
      </c>
      <c r="AQ583" s="2183">
        <f ca="1">SUM(INDIRECT(AQ$1&amp;AQ$2&amp;$A583):INDIRECT(AQ$1&amp;AQ$3&amp;$A583))</f>
        <v>0</v>
      </c>
      <c r="AR583" s="2875">
        <f t="shared" ca="1" si="1148"/>
        <v>0</v>
      </c>
      <c r="AS583" s="2876">
        <f t="shared" ca="1" si="1130"/>
        <v>0</v>
      </c>
      <c r="AU583" s="2183">
        <f ca="1">SUM((INDIRECT(AU$2&amp;(ROW())):INDIRECT(AU$3&amp;(ROW()))))</f>
        <v>0</v>
      </c>
      <c r="AV583" s="2183">
        <f ca="1">SUM(INDIRECT(AV$1&amp;AV$2&amp;$C583):INDIRECT(AV$1&amp;AV$3&amp;$C583))</f>
        <v>0</v>
      </c>
      <c r="AW583" s="2875">
        <f t="shared" ca="1" si="1131"/>
        <v>0</v>
      </c>
      <c r="AX583" s="2876">
        <f t="shared" ca="1" si="1132"/>
        <v>0</v>
      </c>
      <c r="AY583" s="2183">
        <f ca="1">SUM(INDIRECT(AY$1&amp;AY$2&amp;$A583):INDIRECT(AY$1&amp;AY$3&amp;$A583))</f>
        <v>0</v>
      </c>
      <c r="AZ583" s="2875">
        <f t="shared" ca="1" si="1133"/>
        <v>0</v>
      </c>
      <c r="BA583" s="2876">
        <f t="shared" ca="1" si="1134"/>
        <v>0</v>
      </c>
      <c r="BC583" s="2183">
        <f ca="1">SUM((INDIRECT(BC$2&amp;(ROW())):INDIRECT(BC$3&amp;(ROW()))))</f>
        <v>0</v>
      </c>
      <c r="BD583" s="2183">
        <f ca="1">SUM(INDIRECT(BD$1&amp;BD$2&amp;$C583):INDIRECT(BD$1&amp;BD$3&amp;$C583))</f>
        <v>0</v>
      </c>
      <c r="BE583" s="2875">
        <f t="shared" ca="1" si="1135"/>
        <v>0</v>
      </c>
      <c r="BF583" s="2876">
        <f t="shared" ca="1" si="1136"/>
        <v>0</v>
      </c>
      <c r="BG583" s="2183">
        <f ca="1">SUM(INDIRECT(BG$1&amp;BG$2&amp;$A583):INDIRECT(BG$1&amp;BG$3&amp;$A583))</f>
        <v>0</v>
      </c>
      <c r="BH583" s="2875">
        <f t="shared" ca="1" si="1137"/>
        <v>0</v>
      </c>
      <c r="BI583" s="2876">
        <f t="shared" ca="1" si="1138"/>
        <v>0</v>
      </c>
    </row>
    <row r="584" spans="1:61" ht="14.5">
      <c r="A584" s="1693">
        <f t="shared" si="1088"/>
        <v>576</v>
      </c>
      <c r="B584" s="616">
        <v>1</v>
      </c>
      <c r="C584" s="1693">
        <f t="shared" si="1087"/>
        <v>584</v>
      </c>
      <c r="D584" s="616">
        <v>1</v>
      </c>
      <c r="F584" s="69"/>
      <c r="J584" s="73"/>
      <c r="K584" s="72"/>
      <c r="L584" s="63"/>
      <c r="M584" s="63"/>
      <c r="O584" s="288" t="s">
        <v>125</v>
      </c>
      <c r="P584" s="288"/>
      <c r="Q584" s="288"/>
      <c r="R584" s="1779" t="str">
        <f>CHOOSE(2, "6722000003495", "S/GP (2) Net Sales Indirect NH 3rd Party")</f>
        <v>S/GP (2) Net Sales Indirect NH 3rd Party</v>
      </c>
      <c r="S584" s="1391"/>
      <c r="T584" s="1246"/>
      <c r="U584" s="1246"/>
      <c r="V584" s="1246"/>
      <c r="W584" s="1246"/>
      <c r="X584" s="1246"/>
      <c r="Y584" s="1246"/>
      <c r="Z584" s="1246"/>
      <c r="AA584" s="1246"/>
      <c r="AB584" s="1246"/>
      <c r="AC584" s="1246"/>
      <c r="AD584" s="1246"/>
      <c r="AE584" s="904">
        <f>SUM(S584,T584,U584)</f>
        <v>0</v>
      </c>
      <c r="AF584" s="289">
        <f>SUM(V584,W584,X584)</f>
        <v>0</v>
      </c>
      <c r="AG584" s="289">
        <f>SUM(Y584,Z584,AA584)</f>
        <v>0</v>
      </c>
      <c r="AH584" s="289">
        <f>SUM(AB584,AC584,AD584)</f>
        <v>0</v>
      </c>
      <c r="AI584" s="289">
        <f>AE584+AF584</f>
        <v>0</v>
      </c>
      <c r="AJ584" s="289">
        <f>AH584+AG584</f>
        <v>0</v>
      </c>
      <c r="AK584" s="289">
        <f>AI584+AJ584</f>
        <v>0</v>
      </c>
      <c r="AM584" s="2186">
        <f ca="1">SUM((INDIRECT(AM$2&amp;(ROW())):INDIRECT(AM$3&amp;(ROW()))))</f>
        <v>0</v>
      </c>
      <c r="AN584" s="2186">
        <f ca="1">SUM(INDIRECT(AN$1&amp;AN$2&amp;$C584):INDIRECT(AN$1&amp;AN$3&amp;$C584))</f>
        <v>0</v>
      </c>
      <c r="AO584" s="2914">
        <f t="shared" ca="1" si="1147"/>
        <v>0</v>
      </c>
      <c r="AP584" s="2915">
        <f t="shared" ca="1" si="1129"/>
        <v>0</v>
      </c>
      <c r="AQ584" s="2186">
        <f ca="1">SUM(INDIRECT(AQ$1&amp;AQ$2&amp;$A584):INDIRECT(AQ$1&amp;AQ$3&amp;$A584))</f>
        <v>0</v>
      </c>
      <c r="AR584" s="2914">
        <f t="shared" ca="1" si="1148"/>
        <v>0</v>
      </c>
      <c r="AS584" s="2915">
        <f t="shared" ca="1" si="1130"/>
        <v>0</v>
      </c>
      <c r="AU584" s="2186">
        <f ca="1">SUM((INDIRECT(AU$2&amp;(ROW())):INDIRECT(AU$3&amp;(ROW()))))</f>
        <v>0</v>
      </c>
      <c r="AV584" s="2186">
        <f ca="1">SUM(INDIRECT(AV$1&amp;AV$2&amp;$C584):INDIRECT(AV$1&amp;AV$3&amp;$C584))</f>
        <v>0</v>
      </c>
      <c r="AW584" s="2914">
        <f t="shared" ca="1" si="1131"/>
        <v>0</v>
      </c>
      <c r="AX584" s="2915">
        <f t="shared" ca="1" si="1132"/>
        <v>0</v>
      </c>
      <c r="AY584" s="2186">
        <f ca="1">SUM(INDIRECT(AY$1&amp;AY$2&amp;$A584):INDIRECT(AY$1&amp;AY$3&amp;$A584))</f>
        <v>0</v>
      </c>
      <c r="AZ584" s="2914">
        <f t="shared" ca="1" si="1133"/>
        <v>0</v>
      </c>
      <c r="BA584" s="2915">
        <f t="shared" ca="1" si="1134"/>
        <v>0</v>
      </c>
      <c r="BC584" s="2186">
        <f ca="1">SUM((INDIRECT(BC$2&amp;(ROW())):INDIRECT(BC$3&amp;(ROW()))))</f>
        <v>0</v>
      </c>
      <c r="BD584" s="2186">
        <f ca="1">SUM(INDIRECT(BD$1&amp;BD$2&amp;$C584):INDIRECT(BD$1&amp;BD$3&amp;$C584))</f>
        <v>0</v>
      </c>
      <c r="BE584" s="2914">
        <f t="shared" ca="1" si="1135"/>
        <v>0</v>
      </c>
      <c r="BF584" s="2915">
        <f t="shared" ca="1" si="1136"/>
        <v>0</v>
      </c>
      <c r="BG584" s="2186">
        <f ca="1">SUM(INDIRECT(BG$1&amp;BG$2&amp;$A584):INDIRECT(BG$1&amp;BG$3&amp;$A584))</f>
        <v>0</v>
      </c>
      <c r="BH584" s="2914">
        <f t="shared" ca="1" si="1137"/>
        <v>0</v>
      </c>
      <c r="BI584" s="2915">
        <f t="shared" ca="1" si="1138"/>
        <v>0</v>
      </c>
    </row>
    <row r="585" spans="1:61" ht="14.5">
      <c r="A585" s="1693">
        <f t="shared" si="1088"/>
        <v>577</v>
      </c>
      <c r="B585" s="616">
        <v>1</v>
      </c>
      <c r="C585" s="1693">
        <f t="shared" si="1087"/>
        <v>585</v>
      </c>
      <c r="D585" s="616">
        <v>1</v>
      </c>
      <c r="F585" s="69"/>
      <c r="J585" s="73"/>
      <c r="K585" s="72"/>
      <c r="L585" s="63"/>
      <c r="M585" s="63"/>
      <c r="N585" s="65" t="s">
        <v>116</v>
      </c>
      <c r="O585" s="284"/>
      <c r="P585" s="284"/>
      <c r="Q585" s="284"/>
      <c r="R585" s="1777" t="str">
        <f>CHOOSE(2, "6722000003496", "S/GP (2) Net Sales Indirect Solution")</f>
        <v>S/GP (2) Net Sales Indirect Solution</v>
      </c>
      <c r="S585" s="1621">
        <f>SUM(S586:S589)</f>
        <v>0</v>
      </c>
      <c r="T585" s="1249">
        <f t="shared" ref="T585:AD585" si="1159">SUM(T586:T589)</f>
        <v>0</v>
      </c>
      <c r="U585" s="1249">
        <f t="shared" si="1159"/>
        <v>0</v>
      </c>
      <c r="V585" s="1249">
        <f t="shared" si="1159"/>
        <v>0</v>
      </c>
      <c r="W585" s="1249">
        <f t="shared" si="1159"/>
        <v>0</v>
      </c>
      <c r="X585" s="1249">
        <f t="shared" si="1159"/>
        <v>0</v>
      </c>
      <c r="Y585" s="1249">
        <f t="shared" si="1159"/>
        <v>0</v>
      </c>
      <c r="Z585" s="1249">
        <f t="shared" si="1159"/>
        <v>0</v>
      </c>
      <c r="AA585" s="1249">
        <f t="shared" si="1159"/>
        <v>0</v>
      </c>
      <c r="AB585" s="1249">
        <f t="shared" si="1159"/>
        <v>0</v>
      </c>
      <c r="AC585" s="1249">
        <f t="shared" si="1159"/>
        <v>0</v>
      </c>
      <c r="AD585" s="1249">
        <f t="shared" si="1159"/>
        <v>0</v>
      </c>
      <c r="AE585" s="898">
        <f t="shared" ref="AE585:AK585" si="1160">SUM(AE586:AE589)</f>
        <v>0</v>
      </c>
      <c r="AF585" s="1249">
        <f t="shared" si="1160"/>
        <v>0</v>
      </c>
      <c r="AG585" s="1249">
        <f t="shared" si="1160"/>
        <v>0</v>
      </c>
      <c r="AH585" s="1249">
        <f t="shared" si="1160"/>
        <v>0</v>
      </c>
      <c r="AI585" s="1249">
        <f t="shared" si="1160"/>
        <v>0</v>
      </c>
      <c r="AJ585" s="1249">
        <f t="shared" si="1160"/>
        <v>0</v>
      </c>
      <c r="AK585" s="1249">
        <f t="shared" si="1160"/>
        <v>0</v>
      </c>
      <c r="AM585" s="2570">
        <f ca="1">SUM((INDIRECT(AM$2&amp;(ROW())):INDIRECT(AM$3&amp;(ROW()))))</f>
        <v>0</v>
      </c>
      <c r="AN585" s="2570">
        <f ca="1">SUM(INDIRECT(AN$1&amp;AN$2&amp;$C585):INDIRECT(AN$1&amp;AN$3&amp;$C585))</f>
        <v>0</v>
      </c>
      <c r="AO585" s="2910">
        <f t="shared" ca="1" si="1147"/>
        <v>0</v>
      </c>
      <c r="AP585" s="2911">
        <f t="shared" ca="1" si="1129"/>
        <v>0</v>
      </c>
      <c r="AQ585" s="2570">
        <f ca="1">SUM(INDIRECT(AQ$1&amp;AQ$2&amp;$A585):INDIRECT(AQ$1&amp;AQ$3&amp;$A585))</f>
        <v>0</v>
      </c>
      <c r="AR585" s="2910">
        <f t="shared" ca="1" si="1148"/>
        <v>0</v>
      </c>
      <c r="AS585" s="2911">
        <f t="shared" ca="1" si="1130"/>
        <v>0</v>
      </c>
      <c r="AU585" s="2570">
        <f ca="1">SUM((INDIRECT(AU$2&amp;(ROW())):INDIRECT(AU$3&amp;(ROW()))))</f>
        <v>0</v>
      </c>
      <c r="AV585" s="2570">
        <f ca="1">SUM(INDIRECT(AV$1&amp;AV$2&amp;$C585):INDIRECT(AV$1&amp;AV$3&amp;$C585))</f>
        <v>0</v>
      </c>
      <c r="AW585" s="2910">
        <f t="shared" ca="1" si="1131"/>
        <v>0</v>
      </c>
      <c r="AX585" s="2911">
        <f t="shared" ca="1" si="1132"/>
        <v>0</v>
      </c>
      <c r="AY585" s="2570">
        <f ca="1">SUM(INDIRECT(AY$1&amp;AY$2&amp;$A585):INDIRECT(AY$1&amp;AY$3&amp;$A585))</f>
        <v>0</v>
      </c>
      <c r="AZ585" s="2910">
        <f t="shared" ca="1" si="1133"/>
        <v>0</v>
      </c>
      <c r="BA585" s="2911">
        <f t="shared" ca="1" si="1134"/>
        <v>0</v>
      </c>
      <c r="BC585" s="2570">
        <f ca="1">SUM((INDIRECT(BC$2&amp;(ROW())):INDIRECT(BC$3&amp;(ROW()))))</f>
        <v>0</v>
      </c>
      <c r="BD585" s="2570">
        <f ca="1">SUM(INDIRECT(BD$1&amp;BD$2&amp;$C585):INDIRECT(BD$1&amp;BD$3&amp;$C585))</f>
        <v>0</v>
      </c>
      <c r="BE585" s="2910">
        <f t="shared" ca="1" si="1135"/>
        <v>0</v>
      </c>
      <c r="BF585" s="2911">
        <f t="shared" ca="1" si="1136"/>
        <v>0</v>
      </c>
      <c r="BG585" s="2570">
        <f ca="1">SUM(INDIRECT(BG$1&amp;BG$2&amp;$A585):INDIRECT(BG$1&amp;BG$3&amp;$A585))</f>
        <v>0</v>
      </c>
      <c r="BH585" s="2910">
        <f t="shared" ca="1" si="1137"/>
        <v>0</v>
      </c>
      <c r="BI585" s="2911">
        <f t="shared" ca="1" si="1138"/>
        <v>0</v>
      </c>
    </row>
    <row r="586" spans="1:61" ht="14.5">
      <c r="A586" s="1693">
        <f t="shared" si="1088"/>
        <v>578</v>
      </c>
      <c r="B586" s="616">
        <v>1</v>
      </c>
      <c r="C586" s="1693">
        <f t="shared" si="1087"/>
        <v>586</v>
      </c>
      <c r="D586" s="616">
        <v>1</v>
      </c>
      <c r="F586" s="69"/>
      <c r="J586" s="73"/>
      <c r="K586" s="72"/>
      <c r="L586" s="63"/>
      <c r="M586" s="63"/>
      <c r="O586" s="97"/>
      <c r="P586" s="97"/>
      <c r="Q586" s="97" t="s">
        <v>53</v>
      </c>
      <c r="R586" s="1779" t="str">
        <f>CHOOSE(2, "6722000003497", "S/GP (2) Net Sales Indirect Solution HWware")</f>
        <v>S/GP (2) Net Sales Indirect Solution HWware</v>
      </c>
      <c r="S586" s="1247"/>
      <c r="T586" s="1227"/>
      <c r="U586" s="1227"/>
      <c r="V586" s="1227"/>
      <c r="W586" s="1227"/>
      <c r="X586" s="1227"/>
      <c r="Y586" s="1227"/>
      <c r="Z586" s="1227"/>
      <c r="AA586" s="1227"/>
      <c r="AB586" s="1227"/>
      <c r="AC586" s="1227"/>
      <c r="AD586" s="1227"/>
      <c r="AE586" s="295">
        <f>SUM(S586,T586,U586)</f>
        <v>0</v>
      </c>
      <c r="AF586" s="96">
        <f>SUM(V586,W586,X586)</f>
        <v>0</v>
      </c>
      <c r="AG586" s="96">
        <f>SUM(Y586,Z586,AA586)</f>
        <v>0</v>
      </c>
      <c r="AH586" s="96">
        <f>SUM(AB586,AC586,AD586)</f>
        <v>0</v>
      </c>
      <c r="AI586" s="96">
        <f>AE586+AF586</f>
        <v>0</v>
      </c>
      <c r="AJ586" s="96">
        <f>AH586+AG586</f>
        <v>0</v>
      </c>
      <c r="AK586" s="96">
        <f>AI586+AJ586</f>
        <v>0</v>
      </c>
      <c r="AM586" s="2161">
        <f ca="1">SUM((INDIRECT(AM$2&amp;(ROW())):INDIRECT(AM$3&amp;(ROW()))))</f>
        <v>0</v>
      </c>
      <c r="AN586" s="2161">
        <f ca="1">SUM(INDIRECT(AN$1&amp;AN$2&amp;$C586):INDIRECT(AN$1&amp;AN$3&amp;$C586))</f>
        <v>0</v>
      </c>
      <c r="AO586" s="2877">
        <f t="shared" ca="1" si="1147"/>
        <v>0</v>
      </c>
      <c r="AP586" s="2878">
        <f t="shared" ca="1" si="1129"/>
        <v>0</v>
      </c>
      <c r="AQ586" s="2161">
        <f ca="1">SUM(INDIRECT(AQ$1&amp;AQ$2&amp;$A586):INDIRECT(AQ$1&amp;AQ$3&amp;$A586))</f>
        <v>0</v>
      </c>
      <c r="AR586" s="2877">
        <f t="shared" ca="1" si="1148"/>
        <v>0</v>
      </c>
      <c r="AS586" s="2878">
        <f t="shared" ca="1" si="1130"/>
        <v>0</v>
      </c>
      <c r="AU586" s="2161">
        <f ca="1">SUM((INDIRECT(AU$2&amp;(ROW())):INDIRECT(AU$3&amp;(ROW()))))</f>
        <v>0</v>
      </c>
      <c r="AV586" s="2161">
        <f ca="1">SUM(INDIRECT(AV$1&amp;AV$2&amp;$C586):INDIRECT(AV$1&amp;AV$3&amp;$C586))</f>
        <v>0</v>
      </c>
      <c r="AW586" s="2877">
        <f t="shared" ca="1" si="1131"/>
        <v>0</v>
      </c>
      <c r="AX586" s="2878">
        <f t="shared" ca="1" si="1132"/>
        <v>0</v>
      </c>
      <c r="AY586" s="2161">
        <f ca="1">SUM(INDIRECT(AY$1&amp;AY$2&amp;$A586):INDIRECT(AY$1&amp;AY$3&amp;$A586))</f>
        <v>0</v>
      </c>
      <c r="AZ586" s="2877">
        <f t="shared" ca="1" si="1133"/>
        <v>0</v>
      </c>
      <c r="BA586" s="2878">
        <f t="shared" ca="1" si="1134"/>
        <v>0</v>
      </c>
      <c r="BC586" s="2161">
        <f ca="1">SUM((INDIRECT(BC$2&amp;(ROW())):INDIRECT(BC$3&amp;(ROW()))))</f>
        <v>0</v>
      </c>
      <c r="BD586" s="2161">
        <f ca="1">SUM(INDIRECT(BD$1&amp;BD$2&amp;$C586):INDIRECT(BD$1&amp;BD$3&amp;$C586))</f>
        <v>0</v>
      </c>
      <c r="BE586" s="2877">
        <f t="shared" ca="1" si="1135"/>
        <v>0</v>
      </c>
      <c r="BF586" s="2878">
        <f t="shared" ca="1" si="1136"/>
        <v>0</v>
      </c>
      <c r="BG586" s="2161">
        <f ca="1">SUM(INDIRECT(BG$1&amp;BG$2&amp;$A586):INDIRECT(BG$1&amp;BG$3&amp;$A586))</f>
        <v>0</v>
      </c>
      <c r="BH586" s="2877">
        <f t="shared" ca="1" si="1137"/>
        <v>0</v>
      </c>
      <c r="BI586" s="2878">
        <f t="shared" ca="1" si="1138"/>
        <v>0</v>
      </c>
    </row>
    <row r="587" spans="1:61" ht="14.5">
      <c r="A587" s="1693">
        <f t="shared" si="1088"/>
        <v>579</v>
      </c>
      <c r="B587" s="616">
        <v>1</v>
      </c>
      <c r="C587" s="1693">
        <f t="shared" si="1087"/>
        <v>587</v>
      </c>
      <c r="D587" s="616">
        <v>1</v>
      </c>
      <c r="F587" s="69"/>
      <c r="J587" s="73"/>
      <c r="K587" s="72"/>
      <c r="L587" s="63"/>
      <c r="M587" s="63"/>
      <c r="Q587" s="8" t="s">
        <v>134</v>
      </c>
      <c r="R587" s="1779" t="str">
        <f>CHOOSE(2, "6722000003498", "S/GP (2) Net Sales Indirect Solution Software")</f>
        <v>S/GP (2) Net Sales Indirect Solution Software</v>
      </c>
      <c r="S587" s="1224"/>
      <c r="T587" s="1217"/>
      <c r="U587" s="1217"/>
      <c r="V587" s="1217"/>
      <c r="W587" s="1217"/>
      <c r="X587" s="1217"/>
      <c r="Y587" s="1217"/>
      <c r="Z587" s="1217"/>
      <c r="AA587" s="1217"/>
      <c r="AB587" s="1217"/>
      <c r="AC587" s="1217"/>
      <c r="AD587" s="1217"/>
      <c r="AE587" s="88">
        <f>SUM(S587,T587,U587)</f>
        <v>0</v>
      </c>
      <c r="AF587" s="17">
        <f>SUM(V587,W587,X587)</f>
        <v>0</v>
      </c>
      <c r="AG587" s="17">
        <f>SUM(Y587,Z587,AA587)</f>
        <v>0</v>
      </c>
      <c r="AH587" s="17">
        <f>SUM(AB587,AC587,AD587)</f>
        <v>0</v>
      </c>
      <c r="AI587" s="17">
        <f>AE587+AF587</f>
        <v>0</v>
      </c>
      <c r="AJ587" s="17">
        <f>AH587+AG587</f>
        <v>0</v>
      </c>
      <c r="AK587" s="17">
        <f>AI587+AJ587</f>
        <v>0</v>
      </c>
      <c r="AM587" s="1926">
        <f ca="1">SUM((INDIRECT(AM$2&amp;(ROW())):INDIRECT(AM$3&amp;(ROW()))))</f>
        <v>0</v>
      </c>
      <c r="AN587" s="1926">
        <f ca="1">SUM(INDIRECT(AN$1&amp;AN$2&amp;$C587):INDIRECT(AN$1&amp;AN$3&amp;$C587))</f>
        <v>0</v>
      </c>
      <c r="AO587" s="2707">
        <f t="shared" ca="1" si="1147"/>
        <v>0</v>
      </c>
      <c r="AP587" s="2708">
        <f t="shared" ca="1" si="1129"/>
        <v>0</v>
      </c>
      <c r="AQ587" s="1926">
        <f ca="1">SUM(INDIRECT(AQ$1&amp;AQ$2&amp;$A587):INDIRECT(AQ$1&amp;AQ$3&amp;$A587))</f>
        <v>0</v>
      </c>
      <c r="AR587" s="2707">
        <f t="shared" ca="1" si="1148"/>
        <v>0</v>
      </c>
      <c r="AS587" s="2708">
        <f t="shared" ca="1" si="1130"/>
        <v>0</v>
      </c>
      <c r="AU587" s="1926">
        <f ca="1">SUM((INDIRECT(AU$2&amp;(ROW())):INDIRECT(AU$3&amp;(ROW()))))</f>
        <v>0</v>
      </c>
      <c r="AV587" s="1926">
        <f ca="1">SUM(INDIRECT(AV$1&amp;AV$2&amp;$C587):INDIRECT(AV$1&amp;AV$3&amp;$C587))</f>
        <v>0</v>
      </c>
      <c r="AW587" s="2707">
        <f t="shared" ca="1" si="1131"/>
        <v>0</v>
      </c>
      <c r="AX587" s="2708">
        <f t="shared" ca="1" si="1132"/>
        <v>0</v>
      </c>
      <c r="AY587" s="1926">
        <f ca="1">SUM(INDIRECT(AY$1&amp;AY$2&amp;$A587):INDIRECT(AY$1&amp;AY$3&amp;$A587))</f>
        <v>0</v>
      </c>
      <c r="AZ587" s="2707">
        <f t="shared" ca="1" si="1133"/>
        <v>0</v>
      </c>
      <c r="BA587" s="2708">
        <f t="shared" ca="1" si="1134"/>
        <v>0</v>
      </c>
      <c r="BC587" s="1926">
        <f ca="1">SUM((INDIRECT(BC$2&amp;(ROW())):INDIRECT(BC$3&amp;(ROW()))))</f>
        <v>0</v>
      </c>
      <c r="BD587" s="1926">
        <f ca="1">SUM(INDIRECT(BD$1&amp;BD$2&amp;$C587):INDIRECT(BD$1&amp;BD$3&amp;$C587))</f>
        <v>0</v>
      </c>
      <c r="BE587" s="2707">
        <f t="shared" ca="1" si="1135"/>
        <v>0</v>
      </c>
      <c r="BF587" s="2708">
        <f t="shared" ca="1" si="1136"/>
        <v>0</v>
      </c>
      <c r="BG587" s="1926">
        <f ca="1">SUM(INDIRECT(BG$1&amp;BG$2&amp;$A587):INDIRECT(BG$1&amp;BG$3&amp;$A587))</f>
        <v>0</v>
      </c>
      <c r="BH587" s="2707">
        <f t="shared" ca="1" si="1137"/>
        <v>0</v>
      </c>
      <c r="BI587" s="2708">
        <f t="shared" ca="1" si="1138"/>
        <v>0</v>
      </c>
    </row>
    <row r="588" spans="1:61" ht="14.5">
      <c r="A588" s="1693">
        <f t="shared" si="1088"/>
        <v>580</v>
      </c>
      <c r="B588" s="616">
        <v>1</v>
      </c>
      <c r="C588" s="1693">
        <f t="shared" si="1087"/>
        <v>588</v>
      </c>
      <c r="D588" s="616">
        <v>1</v>
      </c>
      <c r="F588" s="69"/>
      <c r="J588" s="73"/>
      <c r="K588" s="72"/>
      <c r="L588" s="63"/>
      <c r="M588" s="63"/>
      <c r="Q588" s="8" t="s">
        <v>135</v>
      </c>
      <c r="R588" s="1779" t="str">
        <f>CHOOSE(2, "6722000003499", "S/GP (2) Net Sales Indirect Solution Professional Service")</f>
        <v>S/GP (2) Net Sales Indirect Solution Professional Service</v>
      </c>
      <c r="S588" s="1224"/>
      <c r="T588" s="1217"/>
      <c r="U588" s="1217"/>
      <c r="V588" s="1217"/>
      <c r="W588" s="1217"/>
      <c r="X588" s="1217"/>
      <c r="Y588" s="1217"/>
      <c r="Z588" s="1217"/>
      <c r="AA588" s="1217"/>
      <c r="AB588" s="1217"/>
      <c r="AC588" s="1217"/>
      <c r="AD588" s="1217"/>
      <c r="AE588" s="88">
        <f>SUM(S588,T588,U588)</f>
        <v>0</v>
      </c>
      <c r="AF588" s="17">
        <f>SUM(V588,W588,X588)</f>
        <v>0</v>
      </c>
      <c r="AG588" s="17">
        <f>SUM(Y588,Z588,AA588)</f>
        <v>0</v>
      </c>
      <c r="AH588" s="17">
        <f>SUM(AB588,AC588,AD588)</f>
        <v>0</v>
      </c>
      <c r="AI588" s="17">
        <f>AE588+AF588</f>
        <v>0</v>
      </c>
      <c r="AJ588" s="17">
        <f>AH588+AG588</f>
        <v>0</v>
      </c>
      <c r="AK588" s="17">
        <f>AI588+AJ588</f>
        <v>0</v>
      </c>
      <c r="AL588" s="221"/>
      <c r="AM588" s="1926">
        <f ca="1">SUM((INDIRECT(AM$2&amp;(ROW())):INDIRECT(AM$3&amp;(ROW()))))</f>
        <v>0</v>
      </c>
      <c r="AN588" s="1926">
        <f ca="1">SUM(INDIRECT(AN$1&amp;AN$2&amp;$C588):INDIRECT(AN$1&amp;AN$3&amp;$C588))</f>
        <v>0</v>
      </c>
      <c r="AO588" s="2707">
        <f t="shared" ca="1" si="1147"/>
        <v>0</v>
      </c>
      <c r="AP588" s="2708">
        <f t="shared" ca="1" si="1129"/>
        <v>0</v>
      </c>
      <c r="AQ588" s="1926">
        <f ca="1">SUM(INDIRECT(AQ$1&amp;AQ$2&amp;$A588):INDIRECT(AQ$1&amp;AQ$3&amp;$A588))</f>
        <v>0</v>
      </c>
      <c r="AR588" s="2707">
        <f t="shared" ca="1" si="1148"/>
        <v>0</v>
      </c>
      <c r="AS588" s="2708">
        <f t="shared" ca="1" si="1130"/>
        <v>0</v>
      </c>
      <c r="AU588" s="1926">
        <f ca="1">SUM((INDIRECT(AU$2&amp;(ROW())):INDIRECT(AU$3&amp;(ROW()))))</f>
        <v>0</v>
      </c>
      <c r="AV588" s="1926">
        <f ca="1">SUM(INDIRECT(AV$1&amp;AV$2&amp;$C588):INDIRECT(AV$1&amp;AV$3&amp;$C588))</f>
        <v>0</v>
      </c>
      <c r="AW588" s="2707">
        <f t="shared" ca="1" si="1131"/>
        <v>0</v>
      </c>
      <c r="AX588" s="2708">
        <f t="shared" ca="1" si="1132"/>
        <v>0</v>
      </c>
      <c r="AY588" s="1926">
        <f ca="1">SUM(INDIRECT(AY$1&amp;AY$2&amp;$A588):INDIRECT(AY$1&amp;AY$3&amp;$A588))</f>
        <v>0</v>
      </c>
      <c r="AZ588" s="2707">
        <f t="shared" ca="1" si="1133"/>
        <v>0</v>
      </c>
      <c r="BA588" s="2708">
        <f t="shared" ca="1" si="1134"/>
        <v>0</v>
      </c>
      <c r="BC588" s="1926">
        <f ca="1">SUM((INDIRECT(BC$2&amp;(ROW())):INDIRECT(BC$3&amp;(ROW()))))</f>
        <v>0</v>
      </c>
      <c r="BD588" s="1926">
        <f ca="1">SUM(INDIRECT(BD$1&amp;BD$2&amp;$C588):INDIRECT(BD$1&amp;BD$3&amp;$C588))</f>
        <v>0</v>
      </c>
      <c r="BE588" s="2707">
        <f t="shared" ca="1" si="1135"/>
        <v>0</v>
      </c>
      <c r="BF588" s="2708">
        <f t="shared" ca="1" si="1136"/>
        <v>0</v>
      </c>
      <c r="BG588" s="1926">
        <f ca="1">SUM(INDIRECT(BG$1&amp;BG$2&amp;$A588):INDIRECT(BG$1&amp;BG$3&amp;$A588))</f>
        <v>0</v>
      </c>
      <c r="BH588" s="2707">
        <f t="shared" ca="1" si="1137"/>
        <v>0</v>
      </c>
      <c r="BI588" s="2708">
        <f t="shared" ca="1" si="1138"/>
        <v>0</v>
      </c>
    </row>
    <row r="589" spans="1:61" ht="14.5">
      <c r="A589" s="1693">
        <f t="shared" si="1088"/>
        <v>581</v>
      </c>
      <c r="B589" s="616">
        <v>1</v>
      </c>
      <c r="C589" s="1693">
        <f t="shared" si="1087"/>
        <v>589</v>
      </c>
      <c r="D589" s="616">
        <v>1</v>
      </c>
      <c r="F589" s="69"/>
      <c r="J589" s="73"/>
      <c r="K589" s="72"/>
      <c r="L589" s="63"/>
      <c r="M589" s="63"/>
      <c r="O589" s="11"/>
      <c r="P589" s="11"/>
      <c r="Q589" s="11" t="s">
        <v>51</v>
      </c>
      <c r="R589" s="1779" t="str">
        <f>CHOOSE(2, "6722000003500", "S/GP (2) Net Sales Indirect Solution Others")</f>
        <v>S/GP (2) Net Sales Indirect Solution Others</v>
      </c>
      <c r="S589" s="1225"/>
      <c r="T589" s="1218"/>
      <c r="U589" s="1218"/>
      <c r="V589" s="1218"/>
      <c r="W589" s="1218"/>
      <c r="X589" s="1218"/>
      <c r="Y589" s="1218"/>
      <c r="Z589" s="1218"/>
      <c r="AA589" s="1218"/>
      <c r="AB589" s="1218"/>
      <c r="AC589" s="1218"/>
      <c r="AD589" s="1218"/>
      <c r="AE589" s="87">
        <f>SUM(S589,T589,U589)</f>
        <v>0</v>
      </c>
      <c r="AF589" s="15">
        <f>SUM(V589,W589,X589)</f>
        <v>0</v>
      </c>
      <c r="AG589" s="15">
        <f>SUM(Y589,Z589,AA589)</f>
        <v>0</v>
      </c>
      <c r="AH589" s="15">
        <f>SUM(AB589,AC589,AD589)</f>
        <v>0</v>
      </c>
      <c r="AI589" s="15">
        <f>AE589+AF589</f>
        <v>0</v>
      </c>
      <c r="AJ589" s="15">
        <f>AH589+AG589</f>
        <v>0</v>
      </c>
      <c r="AK589" s="15">
        <f>AI589+AJ589</f>
        <v>0</v>
      </c>
      <c r="AM589" s="1928">
        <f ca="1">SUM((INDIRECT(AM$2&amp;(ROW())):INDIRECT(AM$3&amp;(ROW()))))</f>
        <v>0</v>
      </c>
      <c r="AN589" s="1928">
        <f ca="1">SUM(INDIRECT(AN$1&amp;AN$2&amp;$C589):INDIRECT(AN$1&amp;AN$3&amp;$C589))</f>
        <v>0</v>
      </c>
      <c r="AO589" s="2709">
        <f t="shared" ca="1" si="1147"/>
        <v>0</v>
      </c>
      <c r="AP589" s="2710">
        <f t="shared" ca="1" si="1129"/>
        <v>0</v>
      </c>
      <c r="AQ589" s="1928">
        <f ca="1">SUM(INDIRECT(AQ$1&amp;AQ$2&amp;$A589):INDIRECT(AQ$1&amp;AQ$3&amp;$A589))</f>
        <v>0</v>
      </c>
      <c r="AR589" s="2709">
        <f t="shared" ca="1" si="1148"/>
        <v>0</v>
      </c>
      <c r="AS589" s="2710">
        <f t="shared" ca="1" si="1130"/>
        <v>0</v>
      </c>
      <c r="AU589" s="1928">
        <f ca="1">SUM((INDIRECT(AU$2&amp;(ROW())):INDIRECT(AU$3&amp;(ROW()))))</f>
        <v>0</v>
      </c>
      <c r="AV589" s="1928">
        <f ca="1">SUM(INDIRECT(AV$1&amp;AV$2&amp;$C589):INDIRECT(AV$1&amp;AV$3&amp;$C589))</f>
        <v>0</v>
      </c>
      <c r="AW589" s="2709">
        <f t="shared" ca="1" si="1131"/>
        <v>0</v>
      </c>
      <c r="AX589" s="2710">
        <f t="shared" ca="1" si="1132"/>
        <v>0</v>
      </c>
      <c r="AY589" s="1928">
        <f ca="1">SUM(INDIRECT(AY$1&amp;AY$2&amp;$A589):INDIRECT(AY$1&amp;AY$3&amp;$A589))</f>
        <v>0</v>
      </c>
      <c r="AZ589" s="2709">
        <f t="shared" ca="1" si="1133"/>
        <v>0</v>
      </c>
      <c r="BA589" s="2710">
        <f t="shared" ca="1" si="1134"/>
        <v>0</v>
      </c>
      <c r="BC589" s="1928">
        <f ca="1">SUM((INDIRECT(BC$2&amp;(ROW())):INDIRECT(BC$3&amp;(ROW()))))</f>
        <v>0</v>
      </c>
      <c r="BD589" s="1928">
        <f ca="1">SUM(INDIRECT(BD$1&amp;BD$2&amp;$C589):INDIRECT(BD$1&amp;BD$3&amp;$C589))</f>
        <v>0</v>
      </c>
      <c r="BE589" s="2709">
        <f t="shared" ca="1" si="1135"/>
        <v>0</v>
      </c>
      <c r="BF589" s="2710">
        <f t="shared" ca="1" si="1136"/>
        <v>0</v>
      </c>
      <c r="BG589" s="1928">
        <f ca="1">SUM(INDIRECT(BG$1&amp;BG$2&amp;$A589):INDIRECT(BG$1&amp;BG$3&amp;$A589))</f>
        <v>0</v>
      </c>
      <c r="BH589" s="2709">
        <f t="shared" ca="1" si="1137"/>
        <v>0</v>
      </c>
      <c r="BI589" s="2710">
        <f t="shared" ca="1" si="1138"/>
        <v>0</v>
      </c>
    </row>
    <row r="590" spans="1:61" ht="14.5">
      <c r="A590" s="1693">
        <f t="shared" si="1088"/>
        <v>582</v>
      </c>
      <c r="B590" s="616">
        <v>1</v>
      </c>
      <c r="C590" s="1693">
        <f t="shared" si="1087"/>
        <v>590</v>
      </c>
      <c r="D590" s="616">
        <v>1</v>
      </c>
      <c r="F590" s="69"/>
      <c r="J590" s="73"/>
      <c r="K590" s="72"/>
      <c r="L590" s="62"/>
      <c r="M590" s="62"/>
      <c r="N590" s="20" t="s">
        <v>51</v>
      </c>
      <c r="O590" s="11"/>
      <c r="P590" s="11"/>
      <c r="Q590" s="11"/>
      <c r="R590" s="1779" t="str">
        <f>CHOOSE(2, "6722000003501", "S/GP (2) Net Sales Indirect Others")</f>
        <v>S/GP (2) Net Sales Indirect Others</v>
      </c>
      <c r="S590" s="1280"/>
      <c r="T590" s="1218"/>
      <c r="U590" s="1218"/>
      <c r="V590" s="1218"/>
      <c r="W590" s="1218"/>
      <c r="X590" s="1218"/>
      <c r="Y590" s="1218"/>
      <c r="Z590" s="1218"/>
      <c r="AA590" s="1218"/>
      <c r="AB590" s="1218"/>
      <c r="AC590" s="1218"/>
      <c r="AD590" s="1218"/>
      <c r="AE590" s="87">
        <f>SUM(S590,T590,U590)</f>
        <v>0</v>
      </c>
      <c r="AF590" s="15">
        <f>SUM(V590,W590,X590)</f>
        <v>0</v>
      </c>
      <c r="AG590" s="15">
        <f>SUM(Y590,Z590,AA590)</f>
        <v>0</v>
      </c>
      <c r="AH590" s="15">
        <f>SUM(AB590,AC590,AD590)</f>
        <v>0</v>
      </c>
      <c r="AI590" s="15">
        <f>AE590+AF590</f>
        <v>0</v>
      </c>
      <c r="AJ590" s="15">
        <f>AH590+AG590</f>
        <v>0</v>
      </c>
      <c r="AK590" s="15">
        <f>AI590+AJ590</f>
        <v>0</v>
      </c>
      <c r="AM590" s="1928">
        <f ca="1">SUM((INDIRECT(AM$2&amp;(ROW())):INDIRECT(AM$3&amp;(ROW()))))</f>
        <v>0</v>
      </c>
      <c r="AN590" s="1928">
        <f ca="1">SUM(INDIRECT(AN$1&amp;AN$2&amp;$C590):INDIRECT(AN$1&amp;AN$3&amp;$C590))</f>
        <v>0</v>
      </c>
      <c r="AO590" s="2709">
        <f t="shared" ca="1" si="1147"/>
        <v>0</v>
      </c>
      <c r="AP590" s="2710">
        <f t="shared" ca="1" si="1129"/>
        <v>0</v>
      </c>
      <c r="AQ590" s="1928">
        <f ca="1">SUM(INDIRECT(AQ$1&amp;AQ$2&amp;$A590):INDIRECT(AQ$1&amp;AQ$3&amp;$A590))</f>
        <v>0</v>
      </c>
      <c r="AR590" s="2709">
        <f t="shared" ca="1" si="1148"/>
        <v>0</v>
      </c>
      <c r="AS590" s="2710">
        <f t="shared" ca="1" si="1130"/>
        <v>0</v>
      </c>
      <c r="AU590" s="1928">
        <f ca="1">SUM((INDIRECT(AU$2&amp;(ROW())):INDIRECT(AU$3&amp;(ROW()))))</f>
        <v>0</v>
      </c>
      <c r="AV590" s="1928">
        <f ca="1">SUM(INDIRECT(AV$1&amp;AV$2&amp;$C590):INDIRECT(AV$1&amp;AV$3&amp;$C590))</f>
        <v>0</v>
      </c>
      <c r="AW590" s="2709">
        <f t="shared" ca="1" si="1131"/>
        <v>0</v>
      </c>
      <c r="AX590" s="2710">
        <f t="shared" ca="1" si="1132"/>
        <v>0</v>
      </c>
      <c r="AY590" s="1928">
        <f ca="1">SUM(INDIRECT(AY$1&amp;AY$2&amp;$A590):INDIRECT(AY$1&amp;AY$3&amp;$A590))</f>
        <v>0</v>
      </c>
      <c r="AZ590" s="2709">
        <f t="shared" ca="1" si="1133"/>
        <v>0</v>
      </c>
      <c r="BA590" s="2710">
        <f t="shared" ca="1" si="1134"/>
        <v>0</v>
      </c>
      <c r="BC590" s="1928">
        <f ca="1">SUM((INDIRECT(BC$2&amp;(ROW())):INDIRECT(BC$3&amp;(ROW()))))</f>
        <v>0</v>
      </c>
      <c r="BD590" s="1928">
        <f ca="1">SUM(INDIRECT(BD$1&amp;BD$2&amp;$C590):INDIRECT(BD$1&amp;BD$3&amp;$C590))</f>
        <v>0</v>
      </c>
      <c r="BE590" s="2709">
        <f t="shared" ca="1" si="1135"/>
        <v>0</v>
      </c>
      <c r="BF590" s="2710">
        <f t="shared" ca="1" si="1136"/>
        <v>0</v>
      </c>
      <c r="BG590" s="1928">
        <f ca="1">SUM(INDIRECT(BG$1&amp;BG$2&amp;$A590):INDIRECT(BG$1&amp;BG$3&amp;$A590))</f>
        <v>0</v>
      </c>
      <c r="BH590" s="2709">
        <f t="shared" ca="1" si="1137"/>
        <v>0</v>
      </c>
      <c r="BI590" s="2710">
        <f t="shared" ca="1" si="1138"/>
        <v>0</v>
      </c>
    </row>
    <row r="591" spans="1:61" ht="14.5">
      <c r="A591" s="1693">
        <f t="shared" si="1088"/>
        <v>583</v>
      </c>
      <c r="B591" s="616">
        <v>1</v>
      </c>
      <c r="C591" s="1693">
        <f t="shared" ref="C591:C654" si="1161">C590+1</f>
        <v>591</v>
      </c>
      <c r="D591" s="616">
        <v>1</v>
      </c>
      <c r="F591" s="69"/>
      <c r="J591" s="77" t="s">
        <v>132</v>
      </c>
      <c r="K591" s="76"/>
      <c r="L591" s="282"/>
      <c r="M591" s="282"/>
      <c r="N591" s="235"/>
      <c r="O591" s="235"/>
      <c r="P591" s="235"/>
      <c r="Q591" s="1690"/>
      <c r="R591" s="1815" t="str">
        <f>CHOOSE(2, "6722000003502", "S/GP (2) Gross Profit")</f>
        <v>S/GP (2) Gross Profit</v>
      </c>
      <c r="S591" s="1720">
        <f t="shared" ref="S591:AD591" si="1162">S592+S615</f>
        <v>300932</v>
      </c>
      <c r="T591" s="1720">
        <f t="shared" si="1162"/>
        <v>223184.78195999999</v>
      </c>
      <c r="U591" s="1720">
        <f t="shared" si="1162"/>
        <v>179487.77936874999</v>
      </c>
      <c r="V591" s="1720">
        <f t="shared" si="1162"/>
        <v>173774.98555803846</v>
      </c>
      <c r="W591" s="1720">
        <f t="shared" si="1162"/>
        <v>175209.80230348877</v>
      </c>
      <c r="X591" s="1720">
        <f t="shared" si="1162"/>
        <v>202514.179939642</v>
      </c>
      <c r="Y591" s="1720">
        <f t="shared" si="1162"/>
        <v>179657.39875375002</v>
      </c>
      <c r="Z591" s="1720">
        <f t="shared" si="1162"/>
        <v>201979.68398029424</v>
      </c>
      <c r="AA591" s="1720">
        <f t="shared" si="1162"/>
        <v>197364.95225718629</v>
      </c>
      <c r="AB591" s="1720">
        <f t="shared" si="1162"/>
        <v>217401.32142971407</v>
      </c>
      <c r="AC591" s="1720">
        <f t="shared" si="1162"/>
        <v>265248.75445341913</v>
      </c>
      <c r="AD591" s="1720">
        <f t="shared" si="1162"/>
        <v>161488.64545611272</v>
      </c>
      <c r="AE591" s="1721">
        <f t="shared" ref="AE591:AK591" si="1163">AE592+AE615</f>
        <v>703604.5613287501</v>
      </c>
      <c r="AF591" s="1722">
        <f t="shared" si="1163"/>
        <v>551498.96780116926</v>
      </c>
      <c r="AG591" s="1722">
        <f t="shared" si="1163"/>
        <v>579002.03499123058</v>
      </c>
      <c r="AH591" s="1722">
        <f t="shared" si="1163"/>
        <v>644138.72133924603</v>
      </c>
      <c r="AI591" s="1722">
        <f t="shared" si="1163"/>
        <v>1255103.5291299191</v>
      </c>
      <c r="AJ591" s="1722">
        <f t="shared" si="1163"/>
        <v>1223140.7563304764</v>
      </c>
      <c r="AK591" s="1722">
        <f t="shared" si="1163"/>
        <v>2478244.2854603957</v>
      </c>
      <c r="AM591" s="2116">
        <f ca="1">SUM((INDIRECT(AM$2&amp;(ROW())):INDIRECT(AM$3&amp;(ROW()))))</f>
        <v>300932</v>
      </c>
      <c r="AN591" s="2116">
        <f ca="1">SUM(INDIRECT(AN$1&amp;AN$2&amp;$C591):INDIRECT(AN$1&amp;AN$3&amp;$C591))</f>
        <v>250485.29442764385</v>
      </c>
      <c r="AO591" s="2906">
        <f t="shared" ca="1" si="1147"/>
        <v>50446.70557235615</v>
      </c>
      <c r="AP591" s="2907">
        <f t="shared" ca="1" si="1129"/>
        <v>1.2013958771017927</v>
      </c>
      <c r="AQ591" s="2116">
        <f ca="1">SUM(INDIRECT(AQ$1&amp;AQ$2&amp;$A591):INDIRECT(AQ$1&amp;AQ$3&amp;$A591))</f>
        <v>142665</v>
      </c>
      <c r="AR591" s="2906">
        <f t="shared" ca="1" si="1148"/>
        <v>158267</v>
      </c>
      <c r="AS591" s="2907">
        <f t="shared" ca="1" si="1130"/>
        <v>2.1093610906669471</v>
      </c>
      <c r="AU591" s="2116">
        <f ca="1">SUM((INDIRECT(AU$2&amp;(ROW())):INDIRECT(AU$3&amp;(ROW()))))</f>
        <v>300932</v>
      </c>
      <c r="AV591" s="2116">
        <f ca="1">SUM(INDIRECT(AV$1&amp;AV$2&amp;$C591):INDIRECT(AV$1&amp;AV$3&amp;$C591))</f>
        <v>250485.29442764385</v>
      </c>
      <c r="AW591" s="2906">
        <f t="shared" ca="1" si="1131"/>
        <v>50446.70557235615</v>
      </c>
      <c r="AX591" s="2907">
        <f t="shared" ca="1" si="1132"/>
        <v>1.2013958771017927</v>
      </c>
      <c r="AY591" s="2116">
        <f ca="1">SUM(INDIRECT(AY$1&amp;AY$2&amp;$A591):INDIRECT(AY$1&amp;AY$3&amp;$A591))</f>
        <v>142665</v>
      </c>
      <c r="AZ591" s="2906">
        <f t="shared" ca="1" si="1133"/>
        <v>158267</v>
      </c>
      <c r="BA591" s="2907">
        <f t="shared" ca="1" si="1134"/>
        <v>2.1093610906669471</v>
      </c>
      <c r="BC591" s="2116">
        <f ca="1">SUM((INDIRECT(BC$2&amp;(ROW())):INDIRECT(BC$3&amp;(ROW()))))</f>
        <v>300932</v>
      </c>
      <c r="BD591" s="2116">
        <f ca="1">SUM(INDIRECT(BD$1&amp;BD$2&amp;$C591):INDIRECT(BD$1&amp;BD$3&amp;$C591))</f>
        <v>250485.29442764385</v>
      </c>
      <c r="BE591" s="2906">
        <f t="shared" ca="1" si="1135"/>
        <v>50446.70557235615</v>
      </c>
      <c r="BF591" s="2907">
        <f t="shared" ca="1" si="1136"/>
        <v>1.2013958771017927</v>
      </c>
      <c r="BG591" s="2116">
        <f ca="1">SUM(INDIRECT(BG$1&amp;BG$2&amp;$A591):INDIRECT(BG$1&amp;BG$3&amp;$A591))</f>
        <v>142665</v>
      </c>
      <c r="BH591" s="2906">
        <f t="shared" ca="1" si="1137"/>
        <v>158267</v>
      </c>
      <c r="BI591" s="2907">
        <f t="shared" ca="1" si="1138"/>
        <v>2.1093610906669471</v>
      </c>
    </row>
    <row r="592" spans="1:61" ht="14.5">
      <c r="A592" s="1693">
        <f t="shared" ref="A592:A655" si="1164">A591+1</f>
        <v>584</v>
      </c>
      <c r="B592" s="616">
        <v>1</v>
      </c>
      <c r="C592" s="1693">
        <f t="shared" si="1161"/>
        <v>592</v>
      </c>
      <c r="D592" s="616">
        <v>1</v>
      </c>
      <c r="F592" s="69"/>
      <c r="J592" s="73"/>
      <c r="K592" s="72"/>
      <c r="L592" s="68" t="s">
        <v>120</v>
      </c>
      <c r="M592" s="68"/>
      <c r="N592" s="283"/>
      <c r="O592" s="283"/>
      <c r="P592" s="283"/>
      <c r="Q592" s="68"/>
      <c r="R592" s="1814" t="str">
        <f>CHOOSE(2, "6722000003503", "S/GP (2) Gross Profit Direct")</f>
        <v>S/GP (2) Gross Profit Direct</v>
      </c>
      <c r="S592" s="1714">
        <f>S593+S596+S609+S614</f>
        <v>278408</v>
      </c>
      <c r="T592" s="1714">
        <f t="shared" ref="T592:AD592" si="1165">T593+T596+T609+T614</f>
        <v>201121.35679999998</v>
      </c>
      <c r="U592" s="1714">
        <f t="shared" si="1165"/>
        <v>165185.63111923472</v>
      </c>
      <c r="V592" s="1714">
        <f t="shared" si="1165"/>
        <v>157350.11205173223</v>
      </c>
      <c r="W592" s="1714">
        <f t="shared" si="1165"/>
        <v>152788.71658531856</v>
      </c>
      <c r="X592" s="1714">
        <f t="shared" si="1165"/>
        <v>174435.50227</v>
      </c>
      <c r="Y592" s="1714">
        <f t="shared" si="1165"/>
        <v>157464.33634442755</v>
      </c>
      <c r="Z592" s="1714">
        <f t="shared" si="1165"/>
        <v>175122.20055489294</v>
      </c>
      <c r="AA592" s="1714">
        <f t="shared" si="1165"/>
        <v>176588.36793145855</v>
      </c>
      <c r="AB592" s="1714">
        <f t="shared" si="1165"/>
        <v>190967.00383758391</v>
      </c>
      <c r="AC592" s="1714">
        <f t="shared" si="1165"/>
        <v>242836.57136143939</v>
      </c>
      <c r="AD592" s="1714">
        <f t="shared" si="1165"/>
        <v>130513.17534365048</v>
      </c>
      <c r="AE592" s="1715">
        <f t="shared" ref="AE592:AK592" si="1166">AE593+AE596+AE609+AE614</f>
        <v>644714.98791923479</v>
      </c>
      <c r="AF592" s="1714">
        <f t="shared" si="1166"/>
        <v>484574.33090705081</v>
      </c>
      <c r="AG592" s="1714">
        <f t="shared" si="1166"/>
        <v>509174.90483077907</v>
      </c>
      <c r="AH592" s="1714">
        <f t="shared" si="1166"/>
        <v>564316.75054267386</v>
      </c>
      <c r="AI592" s="1714">
        <f t="shared" si="1166"/>
        <v>1129289.3188262854</v>
      </c>
      <c r="AJ592" s="1714">
        <f t="shared" si="1166"/>
        <v>1073491.6553734527</v>
      </c>
      <c r="AK592" s="1714">
        <f t="shared" si="1166"/>
        <v>2202780.9741997384</v>
      </c>
      <c r="AM592" s="2589">
        <f ca="1">SUM((INDIRECT(AM$2&amp;(ROW())):INDIRECT(AM$3&amp;(ROW()))))</f>
        <v>278408</v>
      </c>
      <c r="AN592" s="2589">
        <f ca="1">SUM(INDIRECT(AN$1&amp;AN$2&amp;$C592):INDIRECT(AN$1&amp;AN$3&amp;$C592))</f>
        <v>228150.47999930658</v>
      </c>
      <c r="AO592" s="2908">
        <f t="shared" ca="1" si="1147"/>
        <v>50257.520000693417</v>
      </c>
      <c r="AP592" s="2909">
        <f t="shared" ca="1" si="1129"/>
        <v>1.2202823329622019</v>
      </c>
      <c r="AQ592" s="2589">
        <f ca="1">SUM(INDIRECT(AQ$1&amp;AQ$2&amp;$A592):INDIRECT(AQ$1&amp;AQ$3&amp;$A592))</f>
        <v>123231</v>
      </c>
      <c r="AR592" s="2908">
        <f t="shared" ca="1" si="1148"/>
        <v>155177</v>
      </c>
      <c r="AS592" s="2909">
        <f t="shared" ca="1" si="1130"/>
        <v>2.2592367180336117</v>
      </c>
      <c r="AU592" s="2589">
        <f ca="1">SUM((INDIRECT(AU$2&amp;(ROW())):INDIRECT(AU$3&amp;(ROW()))))</f>
        <v>278408</v>
      </c>
      <c r="AV592" s="2589">
        <f ca="1">SUM(INDIRECT(AV$1&amp;AV$2&amp;$C592):INDIRECT(AV$1&amp;AV$3&amp;$C592))</f>
        <v>228150.47999930658</v>
      </c>
      <c r="AW592" s="2908">
        <f t="shared" ca="1" si="1131"/>
        <v>50257.520000693417</v>
      </c>
      <c r="AX592" s="2909">
        <f t="shared" ca="1" si="1132"/>
        <v>1.2202823329622019</v>
      </c>
      <c r="AY592" s="2589">
        <f ca="1">SUM(INDIRECT(AY$1&amp;AY$2&amp;$A592):INDIRECT(AY$1&amp;AY$3&amp;$A592))</f>
        <v>123231</v>
      </c>
      <c r="AZ592" s="2908">
        <f t="shared" ca="1" si="1133"/>
        <v>155177</v>
      </c>
      <c r="BA592" s="2909">
        <f t="shared" ca="1" si="1134"/>
        <v>2.2592367180336117</v>
      </c>
      <c r="BC592" s="2589">
        <f ca="1">SUM((INDIRECT(BC$2&amp;(ROW())):INDIRECT(BC$3&amp;(ROW()))))</f>
        <v>278408</v>
      </c>
      <c r="BD592" s="2589">
        <f ca="1">SUM(INDIRECT(BD$1&amp;BD$2&amp;$C592):INDIRECT(BD$1&amp;BD$3&amp;$C592))</f>
        <v>228150.47999930658</v>
      </c>
      <c r="BE592" s="2908">
        <f t="shared" ca="1" si="1135"/>
        <v>50257.520000693417</v>
      </c>
      <c r="BF592" s="2909">
        <f t="shared" ca="1" si="1136"/>
        <v>1.2202823329622019</v>
      </c>
      <c r="BG592" s="2589">
        <f ca="1">SUM(INDIRECT(BG$1&amp;BG$2&amp;$A592):INDIRECT(BG$1&amp;BG$3&amp;$A592))</f>
        <v>123231</v>
      </c>
      <c r="BH592" s="2908">
        <f t="shared" ca="1" si="1137"/>
        <v>155177</v>
      </c>
      <c r="BI592" s="2909">
        <f t="shared" ca="1" si="1138"/>
        <v>2.2592367180336117</v>
      </c>
    </row>
    <row r="593" spans="1:61" ht="14.5">
      <c r="A593" s="1693">
        <f t="shared" si="1164"/>
        <v>585</v>
      </c>
      <c r="B593" s="616">
        <v>1</v>
      </c>
      <c r="C593" s="1693">
        <f t="shared" si="1161"/>
        <v>593</v>
      </c>
      <c r="D593" s="616">
        <v>1</v>
      </c>
      <c r="F593" s="69"/>
      <c r="J593" s="73"/>
      <c r="K593" s="72"/>
      <c r="L593" s="68"/>
      <c r="M593" s="68"/>
      <c r="N593" s="8" t="s">
        <v>121</v>
      </c>
      <c r="O593" s="285"/>
      <c r="P593" s="285"/>
      <c r="Q593" s="285"/>
      <c r="R593" s="1777" t="str">
        <f>CHOOSE(2, "6722000003504", "S/GP (2) Gross Profit Direct HW")</f>
        <v>S/GP (2) Gross Profit Direct HW</v>
      </c>
      <c r="S593" s="1620">
        <f>SUM(S594:S595)</f>
        <v>56966</v>
      </c>
      <c r="T593" s="1248">
        <f t="shared" ref="T593:AD593" si="1167">SUM(T594:T595)</f>
        <v>65167.781509999979</v>
      </c>
      <c r="U593" s="1248">
        <f t="shared" si="1167"/>
        <v>53854.667929324729</v>
      </c>
      <c r="V593" s="1248">
        <f t="shared" si="1167"/>
        <v>52138.798051732236</v>
      </c>
      <c r="W593" s="1248">
        <f t="shared" si="1167"/>
        <v>74752.565307905868</v>
      </c>
      <c r="X593" s="1248">
        <f t="shared" si="1167"/>
        <v>64882</v>
      </c>
      <c r="Y593" s="1248">
        <f t="shared" si="1167"/>
        <v>51138.22582238965</v>
      </c>
      <c r="Z593" s="1248">
        <f t="shared" si="1167"/>
        <v>50588.289554892945</v>
      </c>
      <c r="AA593" s="1248">
        <f t="shared" si="1167"/>
        <v>55033.401940759526</v>
      </c>
      <c r="AB593" s="1248">
        <f t="shared" si="1167"/>
        <v>50347.539858825898</v>
      </c>
      <c r="AC593" s="1248">
        <f t="shared" si="1167"/>
        <v>61042.226622227005</v>
      </c>
      <c r="AD593" s="1248">
        <f t="shared" si="1167"/>
        <v>62702.534</v>
      </c>
      <c r="AE593" s="895">
        <f>SUM(AE594:AE595)</f>
        <v>175988.4494393247</v>
      </c>
      <c r="AF593" s="1248">
        <f t="shared" ref="AF593:AK593" si="1168">SUM(AF594:AF595)</f>
        <v>191773.36335963811</v>
      </c>
      <c r="AG593" s="1248">
        <f t="shared" si="1168"/>
        <v>156759.91731804213</v>
      </c>
      <c r="AH593" s="1248">
        <f t="shared" si="1168"/>
        <v>174092.30048105289</v>
      </c>
      <c r="AI593" s="1248">
        <f t="shared" si="1168"/>
        <v>367761.81279896281</v>
      </c>
      <c r="AJ593" s="1248">
        <f t="shared" si="1168"/>
        <v>330852.21779909503</v>
      </c>
      <c r="AK593" s="1248">
        <f t="shared" si="1168"/>
        <v>698614.0305980579</v>
      </c>
      <c r="AM593" s="2183">
        <f ca="1">SUM((INDIRECT(AM$2&amp;(ROW())):INDIRECT(AM$3&amp;(ROW()))))</f>
        <v>56966</v>
      </c>
      <c r="AN593" s="2183">
        <f ca="1">SUM(INDIRECT(AN$1&amp;AN$2&amp;$C593):INDIRECT(AN$1&amp;AN$3&amp;$C593))</f>
        <v>51265.865210273398</v>
      </c>
      <c r="AO593" s="2875">
        <f t="shared" ca="1" si="1147"/>
        <v>5700.1347897266023</v>
      </c>
      <c r="AP593" s="2876">
        <f t="shared" ca="1" si="1129"/>
        <v>1.1111877224025535</v>
      </c>
      <c r="AQ593" s="2183">
        <f ca="1">SUM(INDIRECT(AQ$1&amp;AQ$2&amp;$A593):INDIRECT(AQ$1&amp;AQ$3&amp;$A593))</f>
        <v>36876</v>
      </c>
      <c r="AR593" s="2875">
        <f t="shared" ca="1" si="1148"/>
        <v>20090</v>
      </c>
      <c r="AS593" s="2876">
        <f t="shared" ca="1" si="1130"/>
        <v>1.5447987851176916</v>
      </c>
      <c r="AU593" s="2183">
        <f ca="1">SUM((INDIRECT(AU$2&amp;(ROW())):INDIRECT(AU$3&amp;(ROW()))))</f>
        <v>56966</v>
      </c>
      <c r="AV593" s="2183">
        <f ca="1">SUM(INDIRECT(AV$1&amp;AV$2&amp;$C593):INDIRECT(AV$1&amp;AV$3&amp;$C593))</f>
        <v>51265.865210273398</v>
      </c>
      <c r="AW593" s="2875">
        <f t="shared" ca="1" si="1131"/>
        <v>5700.1347897266023</v>
      </c>
      <c r="AX593" s="2876">
        <f t="shared" ca="1" si="1132"/>
        <v>1.1111877224025535</v>
      </c>
      <c r="AY593" s="2183">
        <f ca="1">SUM(INDIRECT(AY$1&amp;AY$2&amp;$A593):INDIRECT(AY$1&amp;AY$3&amp;$A593))</f>
        <v>36876</v>
      </c>
      <c r="AZ593" s="2875">
        <f t="shared" ca="1" si="1133"/>
        <v>20090</v>
      </c>
      <c r="BA593" s="2876">
        <f t="shared" ca="1" si="1134"/>
        <v>1.5447987851176916</v>
      </c>
      <c r="BC593" s="2183">
        <f ca="1">SUM((INDIRECT(BC$2&amp;(ROW())):INDIRECT(BC$3&amp;(ROW()))))</f>
        <v>56966</v>
      </c>
      <c r="BD593" s="2183">
        <f ca="1">SUM(INDIRECT(BD$1&amp;BD$2&amp;$C593):INDIRECT(BD$1&amp;BD$3&amp;$C593))</f>
        <v>51265.865210273398</v>
      </c>
      <c r="BE593" s="2875">
        <f t="shared" ca="1" si="1135"/>
        <v>5700.1347897266023</v>
      </c>
      <c r="BF593" s="2876">
        <f t="shared" ca="1" si="1136"/>
        <v>1.1111877224025535</v>
      </c>
      <c r="BG593" s="2183">
        <f ca="1">SUM(INDIRECT(BG$1&amp;BG$2&amp;$A593):INDIRECT(BG$1&amp;BG$3&amp;$A593))</f>
        <v>36876</v>
      </c>
      <c r="BH593" s="2875">
        <f t="shared" ca="1" si="1137"/>
        <v>20090</v>
      </c>
      <c r="BI593" s="2876">
        <f t="shared" ca="1" si="1138"/>
        <v>1.5447987851176916</v>
      </c>
    </row>
    <row r="594" spans="1:61" ht="14.5">
      <c r="A594" s="1693">
        <f t="shared" si="1164"/>
        <v>586</v>
      </c>
      <c r="B594" s="616">
        <v>1</v>
      </c>
      <c r="C594" s="1693">
        <f t="shared" si="1161"/>
        <v>594</v>
      </c>
      <c r="D594" s="616">
        <v>1</v>
      </c>
      <c r="F594" s="69"/>
      <c r="J594" s="73"/>
      <c r="K594" s="72"/>
      <c r="L594" s="68"/>
      <c r="M594" s="68"/>
      <c r="O594" s="97" t="s">
        <v>122</v>
      </c>
      <c r="P594" s="97"/>
      <c r="Q594" s="97"/>
      <c r="R594" s="1779" t="str">
        <f>CHOOSE(2, "6722000003505", "S/GP (2) Gross Profit Direct HW KMI")</f>
        <v>S/GP (2) Gross Profit Direct HW KMI</v>
      </c>
      <c r="S594" s="1247">
        <v>56966</v>
      </c>
      <c r="T594" s="1227">
        <v>65167.781509999979</v>
      </c>
      <c r="U594" s="1227">
        <v>53854.667929324729</v>
      </c>
      <c r="V594" s="1227">
        <v>52138.798051732236</v>
      </c>
      <c r="W594" s="1227">
        <v>74752.565307905868</v>
      </c>
      <c r="X594" s="1227">
        <v>64882</v>
      </c>
      <c r="Y594" s="1227">
        <v>51138.22582238965</v>
      </c>
      <c r="Z594" s="1227">
        <v>50588.289554892945</v>
      </c>
      <c r="AA594" s="1227">
        <v>55033.401940759526</v>
      </c>
      <c r="AB594" s="3450">
        <v>50347.539858825898</v>
      </c>
      <c r="AC594" s="1227">
        <v>61042.226622227005</v>
      </c>
      <c r="AD594" s="1227">
        <v>62702.534</v>
      </c>
      <c r="AE594" s="295">
        <f>SUM(S594,T594,U594)</f>
        <v>175988.4494393247</v>
      </c>
      <c r="AF594" s="96">
        <f>SUM(V594,W594,X594)</f>
        <v>191773.36335963811</v>
      </c>
      <c r="AG594" s="96">
        <f>SUM(Y594,Z594,AA594)</f>
        <v>156759.91731804213</v>
      </c>
      <c r="AH594" s="96">
        <f>SUM(AB594,AC594,AD594)</f>
        <v>174092.30048105289</v>
      </c>
      <c r="AI594" s="96">
        <f>AE594+AF594</f>
        <v>367761.81279896281</v>
      </c>
      <c r="AJ594" s="96">
        <f>AH594+AG594</f>
        <v>330852.21779909503</v>
      </c>
      <c r="AK594" s="96">
        <f>AI594+AJ594</f>
        <v>698614.0305980579</v>
      </c>
      <c r="AM594" s="2161">
        <f ca="1">SUM((INDIRECT(AM$2&amp;(ROW())):INDIRECT(AM$3&amp;(ROW()))))</f>
        <v>56966</v>
      </c>
      <c r="AN594" s="2161">
        <f ca="1">SUM(INDIRECT(AN$1&amp;AN$2&amp;$C594):INDIRECT(AN$1&amp;AN$3&amp;$C594))</f>
        <v>51265.865210273398</v>
      </c>
      <c r="AO594" s="2877">
        <f t="shared" ca="1" si="1147"/>
        <v>5700.1347897266023</v>
      </c>
      <c r="AP594" s="2878">
        <f t="shared" ca="1" si="1129"/>
        <v>1.1111877224025535</v>
      </c>
      <c r="AQ594" s="2161">
        <f ca="1">SUM(INDIRECT(AQ$1&amp;AQ$2&amp;$A594):INDIRECT(AQ$1&amp;AQ$3&amp;$A594))</f>
        <v>36876</v>
      </c>
      <c r="AR594" s="2877">
        <f t="shared" ca="1" si="1148"/>
        <v>20090</v>
      </c>
      <c r="AS594" s="2878">
        <f t="shared" ca="1" si="1130"/>
        <v>1.5447987851176916</v>
      </c>
      <c r="AU594" s="2161">
        <f ca="1">SUM((INDIRECT(AU$2&amp;(ROW())):INDIRECT(AU$3&amp;(ROW()))))</f>
        <v>56966</v>
      </c>
      <c r="AV594" s="2161">
        <f ca="1">SUM(INDIRECT(AV$1&amp;AV$2&amp;$C594):INDIRECT(AV$1&amp;AV$3&amp;$C594))</f>
        <v>51265.865210273398</v>
      </c>
      <c r="AW594" s="2877">
        <f t="shared" ca="1" si="1131"/>
        <v>5700.1347897266023</v>
      </c>
      <c r="AX594" s="2878">
        <f t="shared" ca="1" si="1132"/>
        <v>1.1111877224025535</v>
      </c>
      <c r="AY594" s="2161">
        <f ca="1">SUM(INDIRECT(AY$1&amp;AY$2&amp;$A594):INDIRECT(AY$1&amp;AY$3&amp;$A594))</f>
        <v>36876</v>
      </c>
      <c r="AZ594" s="2877">
        <f t="shared" ca="1" si="1133"/>
        <v>20090</v>
      </c>
      <c r="BA594" s="2878">
        <f t="shared" ca="1" si="1134"/>
        <v>1.5447987851176916</v>
      </c>
      <c r="BC594" s="2161">
        <f ca="1">SUM((INDIRECT(BC$2&amp;(ROW())):INDIRECT(BC$3&amp;(ROW()))))</f>
        <v>56966</v>
      </c>
      <c r="BD594" s="2161">
        <f ca="1">SUM(INDIRECT(BD$1&amp;BD$2&amp;$C594):INDIRECT(BD$1&amp;BD$3&amp;$C594))</f>
        <v>51265.865210273398</v>
      </c>
      <c r="BE594" s="2877">
        <f t="shared" ca="1" si="1135"/>
        <v>5700.1347897266023</v>
      </c>
      <c r="BF594" s="2878">
        <f t="shared" ca="1" si="1136"/>
        <v>1.1111877224025535</v>
      </c>
      <c r="BG594" s="2161">
        <f ca="1">SUM(INDIRECT(BG$1&amp;BG$2&amp;$A594):INDIRECT(BG$1&amp;BG$3&amp;$A594))</f>
        <v>36876</v>
      </c>
      <c r="BH594" s="2877">
        <f t="shared" ca="1" si="1137"/>
        <v>20090</v>
      </c>
      <c r="BI594" s="2878">
        <f t="shared" ca="1" si="1138"/>
        <v>1.5447987851176916</v>
      </c>
    </row>
    <row r="595" spans="1:61" ht="14.5">
      <c r="A595" s="1693">
        <f t="shared" si="1164"/>
        <v>587</v>
      </c>
      <c r="B595" s="616">
        <v>1</v>
      </c>
      <c r="C595" s="1693">
        <f t="shared" si="1161"/>
        <v>595</v>
      </c>
      <c r="D595" s="616">
        <v>1</v>
      </c>
      <c r="F595" s="69"/>
      <c r="J595" s="73"/>
      <c r="K595" s="72"/>
      <c r="L595" s="68"/>
      <c r="M595" s="68"/>
      <c r="O595" s="11" t="s">
        <v>125</v>
      </c>
      <c r="P595" s="11"/>
      <c r="Q595" s="11"/>
      <c r="R595" s="1779" t="str">
        <f>CHOOSE(2, "6722000003506", "S/GP (2) Gross Profit Direct HW 3rd Party")</f>
        <v>S/GP (2) Gross Profit Direct HW 3rd Party</v>
      </c>
      <c r="S595" s="1225"/>
      <c r="T595" s="1218"/>
      <c r="U595" s="1218"/>
      <c r="V595" s="1218"/>
      <c r="W595" s="1218"/>
      <c r="X595" s="1218"/>
      <c r="Y595" s="1218"/>
      <c r="Z595" s="1218"/>
      <c r="AA595" s="1218"/>
      <c r="AB595" s="1218"/>
      <c r="AC595" s="1218"/>
      <c r="AD595" s="1218"/>
      <c r="AE595" s="87">
        <f>SUM(S595,T595,U595)</f>
        <v>0</v>
      </c>
      <c r="AF595" s="15">
        <f>SUM(V595,W595,X595)</f>
        <v>0</v>
      </c>
      <c r="AG595" s="15">
        <f>SUM(Y595,Z595,AA595)</f>
        <v>0</v>
      </c>
      <c r="AH595" s="15">
        <f>SUM(AB595,AC595,AD595)</f>
        <v>0</v>
      </c>
      <c r="AI595" s="15">
        <f>AE595+AF595</f>
        <v>0</v>
      </c>
      <c r="AJ595" s="15">
        <f>AH595+AG595</f>
        <v>0</v>
      </c>
      <c r="AK595" s="15">
        <f>AI595+AJ595</f>
        <v>0</v>
      </c>
      <c r="AM595" s="1928">
        <f ca="1">SUM((INDIRECT(AM$2&amp;(ROW())):INDIRECT(AM$3&amp;(ROW()))))</f>
        <v>0</v>
      </c>
      <c r="AN595" s="1928">
        <f ca="1">SUM(INDIRECT(AN$1&amp;AN$2&amp;$C595):INDIRECT(AN$1&amp;AN$3&amp;$C595))</f>
        <v>0</v>
      </c>
      <c r="AO595" s="2709">
        <f t="shared" ca="1" si="1147"/>
        <v>0</v>
      </c>
      <c r="AP595" s="2710">
        <f t="shared" ca="1" si="1129"/>
        <v>0</v>
      </c>
      <c r="AQ595" s="1928">
        <f ca="1">SUM(INDIRECT(AQ$1&amp;AQ$2&amp;$A595):INDIRECT(AQ$1&amp;AQ$3&amp;$A595))</f>
        <v>0</v>
      </c>
      <c r="AR595" s="2709">
        <f t="shared" ca="1" si="1148"/>
        <v>0</v>
      </c>
      <c r="AS595" s="2710">
        <f t="shared" ca="1" si="1130"/>
        <v>0</v>
      </c>
      <c r="AU595" s="1928">
        <f ca="1">SUM((INDIRECT(AU$2&amp;(ROW())):INDIRECT(AU$3&amp;(ROW()))))</f>
        <v>0</v>
      </c>
      <c r="AV595" s="1928">
        <f ca="1">SUM(INDIRECT(AV$1&amp;AV$2&amp;$C595):INDIRECT(AV$1&amp;AV$3&amp;$C595))</f>
        <v>0</v>
      </c>
      <c r="AW595" s="2709">
        <f t="shared" ca="1" si="1131"/>
        <v>0</v>
      </c>
      <c r="AX595" s="2710">
        <f t="shared" ca="1" si="1132"/>
        <v>0</v>
      </c>
      <c r="AY595" s="1928">
        <f ca="1">SUM(INDIRECT(AY$1&amp;AY$2&amp;$A595):INDIRECT(AY$1&amp;AY$3&amp;$A595))</f>
        <v>0</v>
      </c>
      <c r="AZ595" s="2709">
        <f t="shared" ca="1" si="1133"/>
        <v>0</v>
      </c>
      <c r="BA595" s="2710">
        <f t="shared" ca="1" si="1134"/>
        <v>0</v>
      </c>
      <c r="BC595" s="1928">
        <f ca="1">SUM((INDIRECT(BC$2&amp;(ROW())):INDIRECT(BC$3&amp;(ROW()))))</f>
        <v>0</v>
      </c>
      <c r="BD595" s="1928">
        <f ca="1">SUM(INDIRECT(BD$1&amp;BD$2&amp;$C595):INDIRECT(BD$1&amp;BD$3&amp;$C595))</f>
        <v>0</v>
      </c>
      <c r="BE595" s="2709">
        <f t="shared" ca="1" si="1135"/>
        <v>0</v>
      </c>
      <c r="BF595" s="2710">
        <f t="shared" ca="1" si="1136"/>
        <v>0</v>
      </c>
      <c r="BG595" s="1928">
        <f ca="1">SUM(INDIRECT(BG$1&amp;BG$2&amp;$A595):INDIRECT(BG$1&amp;BG$3&amp;$A595))</f>
        <v>0</v>
      </c>
      <c r="BH595" s="2709">
        <f t="shared" ca="1" si="1137"/>
        <v>0</v>
      </c>
      <c r="BI595" s="2710">
        <f t="shared" ca="1" si="1138"/>
        <v>0</v>
      </c>
    </row>
    <row r="596" spans="1:61" ht="14.5">
      <c r="A596" s="1693">
        <f t="shared" si="1164"/>
        <v>588</v>
      </c>
      <c r="B596" s="616">
        <v>1</v>
      </c>
      <c r="C596" s="1693">
        <f t="shared" si="1161"/>
        <v>596</v>
      </c>
      <c r="D596" s="616">
        <v>1</v>
      </c>
      <c r="F596" s="69"/>
      <c r="J596" s="73"/>
      <c r="K596" s="72"/>
      <c r="L596" s="68"/>
      <c r="M596" s="68"/>
      <c r="N596" s="65" t="s">
        <v>126</v>
      </c>
      <c r="O596" s="284"/>
      <c r="P596" s="284"/>
      <c r="Q596" s="284"/>
      <c r="R596" s="1777" t="str">
        <f>CHOOSE(2, "6722000003507", "S/GP (2) Gross Profit Direct NH")</f>
        <v>S/GP (2) Gross Profit Direct NH</v>
      </c>
      <c r="S596" s="1621">
        <f>S597+S600+S601+S605+S608</f>
        <v>221442</v>
      </c>
      <c r="T596" s="1249">
        <f t="shared" ref="T596:AD596" si="1169">T597+T600+T601+T605+T608</f>
        <v>135953.57529000001</v>
      </c>
      <c r="U596" s="1249">
        <f t="shared" si="1169"/>
        <v>111330.96318990999</v>
      </c>
      <c r="V596" s="1249">
        <f t="shared" si="1169"/>
        <v>105211.314</v>
      </c>
      <c r="W596" s="1249">
        <f t="shared" si="1169"/>
        <v>78036.151277412704</v>
      </c>
      <c r="X596" s="1249">
        <f t="shared" si="1169"/>
        <v>110335.039</v>
      </c>
      <c r="Y596" s="1249">
        <f t="shared" si="1169"/>
        <v>107173.7372020379</v>
      </c>
      <c r="Z596" s="1249">
        <f t="shared" si="1169"/>
        <v>124397.084</v>
      </c>
      <c r="AA596" s="1249">
        <f t="shared" si="1169"/>
        <v>121554.96599069901</v>
      </c>
      <c r="AB596" s="1249">
        <f t="shared" si="1169"/>
        <v>140531.72797875802</v>
      </c>
      <c r="AC596" s="1249">
        <f t="shared" si="1169"/>
        <v>181733.60873921239</v>
      </c>
      <c r="AD596" s="1249">
        <f t="shared" si="1169"/>
        <v>67475.652343650479</v>
      </c>
      <c r="AE596" s="898">
        <f t="shared" ref="AE596:AK596" si="1170">AE597+AE600+AE601+AE605+AE608</f>
        <v>468726.53847991006</v>
      </c>
      <c r="AF596" s="1249">
        <f t="shared" si="1170"/>
        <v>293582.50427741272</v>
      </c>
      <c r="AG596" s="1249">
        <f t="shared" si="1170"/>
        <v>353125.78719273693</v>
      </c>
      <c r="AH596" s="1249">
        <f t="shared" si="1170"/>
        <v>389740.9890616209</v>
      </c>
      <c r="AI596" s="1249">
        <f t="shared" si="1170"/>
        <v>762309.04275732278</v>
      </c>
      <c r="AJ596" s="1249">
        <f t="shared" si="1170"/>
        <v>742866.77625435777</v>
      </c>
      <c r="AK596" s="1249">
        <f t="shared" si="1170"/>
        <v>1505175.8190116805</v>
      </c>
      <c r="AM596" s="2570">
        <f ca="1">SUM((INDIRECT(AM$2&amp;(ROW())):INDIRECT(AM$3&amp;(ROW()))))</f>
        <v>221442</v>
      </c>
      <c r="AN596" s="2570">
        <f ca="1">SUM(INDIRECT(AN$1&amp;AN$2&amp;$C596):INDIRECT(AN$1&amp;AN$3&amp;$C596))</f>
        <v>176634.86478903319</v>
      </c>
      <c r="AO596" s="2910">
        <f t="shared" ca="1" si="1147"/>
        <v>44807.135210966808</v>
      </c>
      <c r="AP596" s="2911">
        <f t="shared" ca="1" si="1129"/>
        <v>1.2536709571153066</v>
      </c>
      <c r="AQ596" s="2570">
        <f ca="1">SUM(INDIRECT(AQ$1&amp;AQ$2&amp;$A596):INDIRECT(AQ$1&amp;AQ$3&amp;$A596))</f>
        <v>86355</v>
      </c>
      <c r="AR596" s="2910">
        <f t="shared" ca="1" si="1148"/>
        <v>135087</v>
      </c>
      <c r="AS596" s="2911">
        <f t="shared" ca="1" si="1130"/>
        <v>2.5643216953274273</v>
      </c>
      <c r="AU596" s="2570">
        <f ca="1">SUM((INDIRECT(AU$2&amp;(ROW())):INDIRECT(AU$3&amp;(ROW()))))</f>
        <v>221442</v>
      </c>
      <c r="AV596" s="2570">
        <f ca="1">SUM(INDIRECT(AV$1&amp;AV$2&amp;$C596):INDIRECT(AV$1&amp;AV$3&amp;$C596))</f>
        <v>176634.86478903319</v>
      </c>
      <c r="AW596" s="2910">
        <f t="shared" ca="1" si="1131"/>
        <v>44807.135210966808</v>
      </c>
      <c r="AX596" s="2911">
        <f t="shared" ca="1" si="1132"/>
        <v>1.2536709571153066</v>
      </c>
      <c r="AY596" s="2570">
        <f ca="1">SUM(INDIRECT(AY$1&amp;AY$2&amp;$A596):INDIRECT(AY$1&amp;AY$3&amp;$A596))</f>
        <v>86355</v>
      </c>
      <c r="AZ596" s="2910">
        <f t="shared" ca="1" si="1133"/>
        <v>135087</v>
      </c>
      <c r="BA596" s="2911">
        <f t="shared" ca="1" si="1134"/>
        <v>2.5643216953274273</v>
      </c>
      <c r="BC596" s="2570">
        <f ca="1">SUM((INDIRECT(BC$2&amp;(ROW())):INDIRECT(BC$3&amp;(ROW()))))</f>
        <v>221442</v>
      </c>
      <c r="BD596" s="2570">
        <f ca="1">SUM(INDIRECT(BD$1&amp;BD$2&amp;$C596):INDIRECT(BD$1&amp;BD$3&amp;$C596))</f>
        <v>176634.86478903319</v>
      </c>
      <c r="BE596" s="2910">
        <f t="shared" ca="1" si="1135"/>
        <v>44807.135210966808</v>
      </c>
      <c r="BF596" s="2911">
        <f t="shared" ca="1" si="1136"/>
        <v>1.2536709571153066</v>
      </c>
      <c r="BG596" s="2570">
        <f ca="1">SUM(INDIRECT(BG$1&amp;BG$2&amp;$A596):INDIRECT(BG$1&amp;BG$3&amp;$A596))</f>
        <v>86355</v>
      </c>
      <c r="BH596" s="2910">
        <f t="shared" ca="1" si="1137"/>
        <v>135087</v>
      </c>
      <c r="BI596" s="2911">
        <f t="shared" ca="1" si="1138"/>
        <v>2.5643216953274273</v>
      </c>
    </row>
    <row r="597" spans="1:61" ht="14.5">
      <c r="A597" s="1693">
        <f t="shared" si="1164"/>
        <v>589</v>
      </c>
      <c r="B597" s="616">
        <v>1</v>
      </c>
      <c r="C597" s="1693">
        <f t="shared" si="1161"/>
        <v>597</v>
      </c>
      <c r="D597" s="616">
        <v>1</v>
      </c>
      <c r="F597" s="69"/>
      <c r="J597" s="73"/>
      <c r="K597" s="72"/>
      <c r="L597" s="68"/>
      <c r="M597" s="68"/>
      <c r="O597" s="97" t="s">
        <v>122</v>
      </c>
      <c r="P597" s="97"/>
      <c r="Q597" s="869"/>
      <c r="R597" s="1777" t="str">
        <f>CHOOSE(2, "6722000003508", "S/GP (2) Gross Profit Direct NH KMI")</f>
        <v>S/GP (2) Gross Profit Direct NH KMI</v>
      </c>
      <c r="S597" s="1622">
        <f>SUM(S598:S599)</f>
        <v>237097</v>
      </c>
      <c r="T597" s="1250">
        <f t="shared" ref="T597:AD597" si="1171">SUM(T598:T599)</f>
        <v>153167.18379000001</v>
      </c>
      <c r="U597" s="1250">
        <f t="shared" si="1171"/>
        <v>129501.11518990999</v>
      </c>
      <c r="V597" s="1250">
        <f t="shared" si="1171"/>
        <v>125527</v>
      </c>
      <c r="W597" s="1250">
        <f t="shared" si="1171"/>
        <v>99843</v>
      </c>
      <c r="X597" s="1250">
        <f t="shared" si="1171"/>
        <v>130686</v>
      </c>
      <c r="Y597" s="1250">
        <f t="shared" si="1171"/>
        <v>127756.7452020379</v>
      </c>
      <c r="Z597" s="1250">
        <f t="shared" si="1171"/>
        <v>147316</v>
      </c>
      <c r="AA597" s="1250">
        <f t="shared" si="1171"/>
        <v>144570.7416585132</v>
      </c>
      <c r="AB597" s="1250">
        <f t="shared" si="1171"/>
        <v>167001.80505904389</v>
      </c>
      <c r="AC597" s="1250">
        <f t="shared" si="1171"/>
        <v>205492.11618831052</v>
      </c>
      <c r="AD597" s="1250">
        <f t="shared" si="1171"/>
        <v>91893.746826433955</v>
      </c>
      <c r="AE597" s="899">
        <f t="shared" ref="AE597:AK597" si="1172">SUM(AE598:AE599)</f>
        <v>519765.29897991003</v>
      </c>
      <c r="AF597" s="1250">
        <f t="shared" si="1172"/>
        <v>356056</v>
      </c>
      <c r="AG597" s="1250">
        <f t="shared" si="1172"/>
        <v>419643.48686055111</v>
      </c>
      <c r="AH597" s="1250">
        <f t="shared" si="1172"/>
        <v>464387.6680737884</v>
      </c>
      <c r="AI597" s="1250">
        <f t="shared" si="1172"/>
        <v>875821.29897991009</v>
      </c>
      <c r="AJ597" s="1250">
        <f t="shared" si="1172"/>
        <v>884031.15493433946</v>
      </c>
      <c r="AK597" s="1250">
        <f t="shared" si="1172"/>
        <v>1759852.4539142495</v>
      </c>
      <c r="AM597" s="2194">
        <f ca="1">SUM((INDIRECT(AM$2&amp;(ROW())):INDIRECT(AM$3&amp;(ROW()))))</f>
        <v>237097</v>
      </c>
      <c r="AN597" s="2194">
        <f ca="1">SUM(INDIRECT(AN$1&amp;AN$2&amp;$C597):INDIRECT(AN$1&amp;AN$3&amp;$C597))</f>
        <v>194538.19812236654</v>
      </c>
      <c r="AO597" s="2912">
        <f t="shared" ca="1" si="1147"/>
        <v>42558.801877633465</v>
      </c>
      <c r="AP597" s="2913">
        <f t="shared" ca="1" si="1129"/>
        <v>1.2187683564893694</v>
      </c>
      <c r="AQ597" s="2194">
        <f ca="1">SUM(INDIRECT(AQ$1&amp;AQ$2&amp;$A597):INDIRECT(AQ$1&amp;AQ$3&amp;$A597))</f>
        <v>100042</v>
      </c>
      <c r="AR597" s="2912">
        <f t="shared" ca="1" si="1148"/>
        <v>137055</v>
      </c>
      <c r="AS597" s="2913">
        <f t="shared" ca="1" si="1130"/>
        <v>2.3699746106635211</v>
      </c>
      <c r="AU597" s="2194">
        <f ca="1">SUM((INDIRECT(AU$2&amp;(ROW())):INDIRECT(AU$3&amp;(ROW()))))</f>
        <v>237097</v>
      </c>
      <c r="AV597" s="2194">
        <f ca="1">SUM(INDIRECT(AV$1&amp;AV$2&amp;$C597):INDIRECT(AV$1&amp;AV$3&amp;$C597))</f>
        <v>194538.19812236654</v>
      </c>
      <c r="AW597" s="2912">
        <f t="shared" ca="1" si="1131"/>
        <v>42558.801877633465</v>
      </c>
      <c r="AX597" s="2913">
        <f t="shared" ca="1" si="1132"/>
        <v>1.2187683564893694</v>
      </c>
      <c r="AY597" s="2194">
        <f ca="1">SUM(INDIRECT(AY$1&amp;AY$2&amp;$A597):INDIRECT(AY$1&amp;AY$3&amp;$A597))</f>
        <v>100042</v>
      </c>
      <c r="AZ597" s="2912">
        <f t="shared" ca="1" si="1133"/>
        <v>137055</v>
      </c>
      <c r="BA597" s="2913">
        <f t="shared" ca="1" si="1134"/>
        <v>2.3699746106635211</v>
      </c>
      <c r="BC597" s="2194">
        <f ca="1">SUM((INDIRECT(BC$2&amp;(ROW())):INDIRECT(BC$3&amp;(ROW()))))</f>
        <v>237097</v>
      </c>
      <c r="BD597" s="2194">
        <f ca="1">SUM(INDIRECT(BD$1&amp;BD$2&amp;$C597):INDIRECT(BD$1&amp;BD$3&amp;$C597))</f>
        <v>194538.19812236654</v>
      </c>
      <c r="BE597" s="2912">
        <f t="shared" ca="1" si="1135"/>
        <v>42558.801877633465</v>
      </c>
      <c r="BF597" s="2913">
        <f t="shared" ca="1" si="1136"/>
        <v>1.2187683564893694</v>
      </c>
      <c r="BG597" s="2194">
        <f ca="1">SUM(INDIRECT(BG$1&amp;BG$2&amp;$A597):INDIRECT(BG$1&amp;BG$3&amp;$A597))</f>
        <v>100042</v>
      </c>
      <c r="BH597" s="2912">
        <f t="shared" ca="1" si="1137"/>
        <v>137055</v>
      </c>
      <c r="BI597" s="2913">
        <f t="shared" ca="1" si="1138"/>
        <v>2.3699746106635211</v>
      </c>
    </row>
    <row r="598" spans="1:61" ht="14.5">
      <c r="A598" s="1693">
        <f t="shared" si="1164"/>
        <v>590</v>
      </c>
      <c r="B598" s="616">
        <v>1</v>
      </c>
      <c r="C598" s="1693">
        <f t="shared" si="1161"/>
        <v>598</v>
      </c>
      <c r="D598" s="616">
        <v>1</v>
      </c>
      <c r="F598" s="69"/>
      <c r="J598" s="73"/>
      <c r="K598" s="72"/>
      <c r="L598" s="68"/>
      <c r="M598" s="68"/>
      <c r="Q598" s="97" t="s">
        <v>127</v>
      </c>
      <c r="R598" s="1779" t="str">
        <f>CHOOSE(2, "6722000003509", "S/GP (2) Gross Profit Direct NH KMI Copy Click")</f>
        <v>S/GP (2) Gross Profit Direct NH KMI Copy Click</v>
      </c>
      <c r="S598" s="1247">
        <f>221442+15655</f>
        <v>237097</v>
      </c>
      <c r="T598" s="1227">
        <f>135953.18379+17214</f>
        <v>153167.18379000001</v>
      </c>
      <c r="U598" s="1227">
        <f>111331.11518991+18170</f>
        <v>129501.11518990999</v>
      </c>
      <c r="V598" s="1227">
        <f>105211+20316</f>
        <v>125527</v>
      </c>
      <c r="W598" s="1227">
        <f>78036+21807</f>
        <v>99843</v>
      </c>
      <c r="X598" s="1227">
        <f>110335+20351</f>
        <v>130686</v>
      </c>
      <c r="Y598" s="1227">
        <v>127756.7452020379</v>
      </c>
      <c r="Z598" s="1227">
        <f>124397+22919</f>
        <v>147316</v>
      </c>
      <c r="AA598" s="1227">
        <f>121554.965990699+23015.7756678142</f>
        <v>144570.7416585132</v>
      </c>
      <c r="AB598" s="1227">
        <v>167001.80505904389</v>
      </c>
      <c r="AC598" s="1227">
        <v>205492.11618831052</v>
      </c>
      <c r="AD598" s="1227">
        <v>91893.746826433955</v>
      </c>
      <c r="AE598" s="295">
        <f>SUM(S598,T598,U598)</f>
        <v>519765.29897991003</v>
      </c>
      <c r="AF598" s="96">
        <f>SUM(V598,W598,X598)</f>
        <v>356056</v>
      </c>
      <c r="AG598" s="96">
        <f>SUM(Y598,Z598,AA598)</f>
        <v>419643.48686055111</v>
      </c>
      <c r="AH598" s="96">
        <f>SUM(AB598,AC598,AD598)</f>
        <v>464387.6680737884</v>
      </c>
      <c r="AI598" s="96">
        <f>AE598+AF598</f>
        <v>875821.29897991009</v>
      </c>
      <c r="AJ598" s="96">
        <f>AH598+AG598</f>
        <v>884031.15493433946</v>
      </c>
      <c r="AK598" s="96">
        <f>AI598+AJ598</f>
        <v>1759852.4539142495</v>
      </c>
      <c r="AM598" s="2161">
        <f ca="1">SUM((INDIRECT(AM$2&amp;(ROW())):INDIRECT(AM$3&amp;(ROW()))))</f>
        <v>237097</v>
      </c>
      <c r="AN598" s="2161">
        <f ca="1">SUM(INDIRECT(AN$1&amp;AN$2&amp;$C598):INDIRECT(AN$1&amp;AN$3&amp;$C598))</f>
        <v>194538.19812236654</v>
      </c>
      <c r="AO598" s="2877">
        <f t="shared" ca="1" si="1147"/>
        <v>42558.801877633465</v>
      </c>
      <c r="AP598" s="2878">
        <f t="shared" ca="1" si="1129"/>
        <v>1.2187683564893694</v>
      </c>
      <c r="AQ598" s="2161">
        <f ca="1">SUM(INDIRECT(AQ$1&amp;AQ$2&amp;$A598):INDIRECT(AQ$1&amp;AQ$3&amp;$A598))</f>
        <v>100042</v>
      </c>
      <c r="AR598" s="2877">
        <f t="shared" ca="1" si="1148"/>
        <v>137055</v>
      </c>
      <c r="AS598" s="2878">
        <f t="shared" ca="1" si="1130"/>
        <v>2.3699746106635211</v>
      </c>
      <c r="AU598" s="2161">
        <f ca="1">SUM((INDIRECT(AU$2&amp;(ROW())):INDIRECT(AU$3&amp;(ROW()))))</f>
        <v>237097</v>
      </c>
      <c r="AV598" s="2161">
        <f ca="1">SUM(INDIRECT(AV$1&amp;AV$2&amp;$C598):INDIRECT(AV$1&amp;AV$3&amp;$C598))</f>
        <v>194538.19812236654</v>
      </c>
      <c r="AW598" s="2877">
        <f t="shared" ca="1" si="1131"/>
        <v>42558.801877633465</v>
      </c>
      <c r="AX598" s="2878">
        <f t="shared" ca="1" si="1132"/>
        <v>1.2187683564893694</v>
      </c>
      <c r="AY598" s="2161">
        <f ca="1">SUM(INDIRECT(AY$1&amp;AY$2&amp;$A598):INDIRECT(AY$1&amp;AY$3&amp;$A598))</f>
        <v>100042</v>
      </c>
      <c r="AZ598" s="2877">
        <f t="shared" ca="1" si="1133"/>
        <v>137055</v>
      </c>
      <c r="BA598" s="2878">
        <f t="shared" ca="1" si="1134"/>
        <v>2.3699746106635211</v>
      </c>
      <c r="BC598" s="2161">
        <f ca="1">SUM((INDIRECT(BC$2&amp;(ROW())):INDIRECT(BC$3&amp;(ROW()))))</f>
        <v>237097</v>
      </c>
      <c r="BD598" s="2161">
        <f ca="1">SUM(INDIRECT(BD$1&amp;BD$2&amp;$C598):INDIRECT(BD$1&amp;BD$3&amp;$C598))</f>
        <v>194538.19812236654</v>
      </c>
      <c r="BE598" s="2877">
        <f t="shared" ca="1" si="1135"/>
        <v>42558.801877633465</v>
      </c>
      <c r="BF598" s="2878">
        <f t="shared" ca="1" si="1136"/>
        <v>1.2187683564893694</v>
      </c>
      <c r="BG598" s="2161">
        <f ca="1">SUM(INDIRECT(BG$1&amp;BG$2&amp;$A598):INDIRECT(BG$1&amp;BG$3&amp;$A598))</f>
        <v>100042</v>
      </c>
      <c r="BH598" s="2877">
        <f t="shared" ca="1" si="1137"/>
        <v>137055</v>
      </c>
      <c r="BI598" s="2878">
        <f t="shared" ca="1" si="1138"/>
        <v>2.3699746106635211</v>
      </c>
    </row>
    <row r="599" spans="1:61" ht="14.5">
      <c r="A599" s="1693">
        <f t="shared" si="1164"/>
        <v>591</v>
      </c>
      <c r="B599" s="616">
        <v>1</v>
      </c>
      <c r="C599" s="1693">
        <f t="shared" si="1161"/>
        <v>599</v>
      </c>
      <c r="D599" s="616">
        <v>1</v>
      </c>
      <c r="F599" s="69"/>
      <c r="J599" s="73"/>
      <c r="K599" s="72"/>
      <c r="L599" s="68"/>
      <c r="M599" s="68"/>
      <c r="O599" s="285"/>
      <c r="P599" s="285"/>
      <c r="Q599" s="285" t="s">
        <v>128</v>
      </c>
      <c r="R599" s="1779" t="str">
        <f>CHOOSE(2, "6722000003510", "S/GP (2) Gross Profit Direct NH KMI NonContract")</f>
        <v>S/GP (2) Gross Profit Direct NH KMI NonContract</v>
      </c>
      <c r="S599" s="1390"/>
      <c r="T599" s="1245"/>
      <c r="U599" s="1245"/>
      <c r="V599" s="1245"/>
      <c r="W599" s="1245"/>
      <c r="X599" s="1245"/>
      <c r="Y599" s="1245"/>
      <c r="Z599" s="1245"/>
      <c r="AA599" s="1245"/>
      <c r="AB599" s="1245"/>
      <c r="AC599" s="1245"/>
      <c r="AD599" s="1245"/>
      <c r="AE599" s="315">
        <f>SUM(S599,T599,U599)</f>
        <v>0</v>
      </c>
      <c r="AF599" s="287">
        <f>SUM(V599,W599,X599)</f>
        <v>0</v>
      </c>
      <c r="AG599" s="287">
        <f>SUM(Y599,Z599,AA599)</f>
        <v>0</v>
      </c>
      <c r="AH599" s="287">
        <f>SUM(AB599,AC599,AD599)</f>
        <v>0</v>
      </c>
      <c r="AI599" s="287">
        <f>AE599+AF599</f>
        <v>0</v>
      </c>
      <c r="AJ599" s="287">
        <f>AH599+AG599</f>
        <v>0</v>
      </c>
      <c r="AK599" s="287">
        <f>AI599+AJ599</f>
        <v>0</v>
      </c>
      <c r="AM599" s="2183">
        <f ca="1">SUM((INDIRECT(AM$2&amp;(ROW())):INDIRECT(AM$3&amp;(ROW()))))</f>
        <v>0</v>
      </c>
      <c r="AN599" s="2183">
        <f ca="1">SUM(INDIRECT(AN$1&amp;AN$2&amp;$C599):INDIRECT(AN$1&amp;AN$3&amp;$C599))</f>
        <v>0</v>
      </c>
      <c r="AO599" s="2875">
        <f t="shared" ca="1" si="1147"/>
        <v>0</v>
      </c>
      <c r="AP599" s="2876">
        <f t="shared" ca="1" si="1129"/>
        <v>0</v>
      </c>
      <c r="AQ599" s="2183">
        <f ca="1">SUM(INDIRECT(AQ$1&amp;AQ$2&amp;$A599):INDIRECT(AQ$1&amp;AQ$3&amp;$A599))</f>
        <v>0</v>
      </c>
      <c r="AR599" s="2875">
        <f t="shared" ca="1" si="1148"/>
        <v>0</v>
      </c>
      <c r="AS599" s="2876">
        <f t="shared" ca="1" si="1130"/>
        <v>0</v>
      </c>
      <c r="AU599" s="2183">
        <f ca="1">SUM((INDIRECT(AU$2&amp;(ROW())):INDIRECT(AU$3&amp;(ROW()))))</f>
        <v>0</v>
      </c>
      <c r="AV599" s="2183">
        <f ca="1">SUM(INDIRECT(AV$1&amp;AV$2&amp;$C599):INDIRECT(AV$1&amp;AV$3&amp;$C599))</f>
        <v>0</v>
      </c>
      <c r="AW599" s="2875">
        <f t="shared" ca="1" si="1131"/>
        <v>0</v>
      </c>
      <c r="AX599" s="2876">
        <f t="shared" ca="1" si="1132"/>
        <v>0</v>
      </c>
      <c r="AY599" s="2183">
        <f ca="1">SUM(INDIRECT(AY$1&amp;AY$2&amp;$A599):INDIRECT(AY$1&amp;AY$3&amp;$A599))</f>
        <v>0</v>
      </c>
      <c r="AZ599" s="2875">
        <f t="shared" ca="1" si="1133"/>
        <v>0</v>
      </c>
      <c r="BA599" s="2876">
        <f t="shared" ca="1" si="1134"/>
        <v>0</v>
      </c>
      <c r="BC599" s="2183">
        <f ca="1">SUM((INDIRECT(BC$2&amp;(ROW())):INDIRECT(BC$3&amp;(ROW()))))</f>
        <v>0</v>
      </c>
      <c r="BD599" s="2183">
        <f ca="1">SUM(INDIRECT(BD$1&amp;BD$2&amp;$C599):INDIRECT(BD$1&amp;BD$3&amp;$C599))</f>
        <v>0</v>
      </c>
      <c r="BE599" s="2875">
        <f t="shared" ca="1" si="1135"/>
        <v>0</v>
      </c>
      <c r="BF599" s="2876">
        <f t="shared" ca="1" si="1136"/>
        <v>0</v>
      </c>
      <c r="BG599" s="2183">
        <f ca="1">SUM(INDIRECT(BG$1&amp;BG$2&amp;$A599):INDIRECT(BG$1&amp;BG$3&amp;$A599))</f>
        <v>0</v>
      </c>
      <c r="BH599" s="2875">
        <f t="shared" ca="1" si="1137"/>
        <v>0</v>
      </c>
      <c r="BI599" s="2876">
        <f t="shared" ca="1" si="1138"/>
        <v>0</v>
      </c>
    </row>
    <row r="600" spans="1:61" ht="14.5">
      <c r="A600" s="1693">
        <f t="shared" si="1164"/>
        <v>592</v>
      </c>
      <c r="B600" s="616">
        <v>1</v>
      </c>
      <c r="C600" s="1693">
        <f t="shared" si="1161"/>
        <v>600</v>
      </c>
      <c r="D600" s="616">
        <v>1</v>
      </c>
      <c r="F600" s="69"/>
      <c r="J600" s="73"/>
      <c r="K600" s="72"/>
      <c r="L600" s="68"/>
      <c r="M600" s="68"/>
      <c r="O600" s="288" t="s">
        <v>125</v>
      </c>
      <c r="R600" s="1779" t="str">
        <f>CHOOSE(2, "6722000003511", "S/GP (2) Gross Profit Direct NH 3rd Party")</f>
        <v>S/GP (2) Gross Profit Direct NH 3rd Party</v>
      </c>
      <c r="S600" s="1217"/>
      <c r="T600" s="1217"/>
      <c r="U600" s="1217"/>
      <c r="V600" s="1217"/>
      <c r="W600" s="1217"/>
      <c r="X600" s="1217"/>
      <c r="Y600" s="1217"/>
      <c r="Z600" s="1217"/>
      <c r="AA600" s="1217"/>
      <c r="AB600" s="1217"/>
      <c r="AC600" s="1217"/>
      <c r="AD600" s="1217"/>
      <c r="AE600" s="88">
        <f>SUM(S600,T600,U600)</f>
        <v>0</v>
      </c>
      <c r="AF600" s="17">
        <f>SUM(V600,W600,X600)</f>
        <v>0</v>
      </c>
      <c r="AG600" s="17">
        <f>SUM(Y600,Z600,AA600)</f>
        <v>0</v>
      </c>
      <c r="AH600" s="17">
        <f>SUM(AB600,AC600,AD600)</f>
        <v>0</v>
      </c>
      <c r="AI600" s="17">
        <f>AE600+AF600</f>
        <v>0</v>
      </c>
      <c r="AJ600" s="17">
        <f>AH600+AG600</f>
        <v>0</v>
      </c>
      <c r="AK600" s="17">
        <f>AI600+AJ600</f>
        <v>0</v>
      </c>
      <c r="AM600" s="1926">
        <f ca="1">SUM((INDIRECT(AM$2&amp;(ROW())):INDIRECT(AM$3&amp;(ROW()))))</f>
        <v>0</v>
      </c>
      <c r="AN600" s="1926">
        <f ca="1">SUM(INDIRECT(AN$1&amp;AN$2&amp;$C600):INDIRECT(AN$1&amp;AN$3&amp;$C600))</f>
        <v>0</v>
      </c>
      <c r="AO600" s="2707">
        <f t="shared" ca="1" si="1147"/>
        <v>0</v>
      </c>
      <c r="AP600" s="2708">
        <f t="shared" ca="1" si="1129"/>
        <v>0</v>
      </c>
      <c r="AQ600" s="1926">
        <f ca="1">SUM(INDIRECT(AQ$1&amp;AQ$2&amp;$A600):INDIRECT(AQ$1&amp;AQ$3&amp;$A600))</f>
        <v>0</v>
      </c>
      <c r="AR600" s="2707">
        <f t="shared" ca="1" si="1148"/>
        <v>0</v>
      </c>
      <c r="AS600" s="2708">
        <f t="shared" ca="1" si="1130"/>
        <v>0</v>
      </c>
      <c r="AU600" s="1926">
        <f ca="1">SUM((INDIRECT(AU$2&amp;(ROW())):INDIRECT(AU$3&amp;(ROW()))))</f>
        <v>0</v>
      </c>
      <c r="AV600" s="1926">
        <f ca="1">SUM(INDIRECT(AV$1&amp;AV$2&amp;$C600):INDIRECT(AV$1&amp;AV$3&amp;$C600))</f>
        <v>0</v>
      </c>
      <c r="AW600" s="2707">
        <f t="shared" ca="1" si="1131"/>
        <v>0</v>
      </c>
      <c r="AX600" s="2708">
        <f t="shared" ca="1" si="1132"/>
        <v>0</v>
      </c>
      <c r="AY600" s="1926">
        <f ca="1">SUM(INDIRECT(AY$1&amp;AY$2&amp;$A600):INDIRECT(AY$1&amp;AY$3&amp;$A600))</f>
        <v>0</v>
      </c>
      <c r="AZ600" s="2707">
        <f t="shared" ca="1" si="1133"/>
        <v>0</v>
      </c>
      <c r="BA600" s="2708">
        <f t="shared" ca="1" si="1134"/>
        <v>0</v>
      </c>
      <c r="BC600" s="1926">
        <f ca="1">SUM((INDIRECT(BC$2&amp;(ROW())):INDIRECT(BC$3&amp;(ROW()))))</f>
        <v>0</v>
      </c>
      <c r="BD600" s="1926">
        <f ca="1">SUM(INDIRECT(BD$1&amp;BD$2&amp;$C600):INDIRECT(BD$1&amp;BD$3&amp;$C600))</f>
        <v>0</v>
      </c>
      <c r="BE600" s="2707">
        <f t="shared" ca="1" si="1135"/>
        <v>0</v>
      </c>
      <c r="BF600" s="2708">
        <f t="shared" ca="1" si="1136"/>
        <v>0</v>
      </c>
      <c r="BG600" s="1926">
        <f ca="1">SUM(INDIRECT(BG$1&amp;BG$2&amp;$A600):INDIRECT(BG$1&amp;BG$3&amp;$A600))</f>
        <v>0</v>
      </c>
      <c r="BH600" s="2707">
        <f t="shared" ca="1" si="1137"/>
        <v>0</v>
      </c>
      <c r="BI600" s="2708">
        <f t="shared" ca="1" si="1138"/>
        <v>0</v>
      </c>
    </row>
    <row r="601" spans="1:61" ht="14.5">
      <c r="A601" s="1693">
        <f t="shared" si="1164"/>
        <v>593</v>
      </c>
      <c r="B601" s="616">
        <v>1</v>
      </c>
      <c r="C601" s="1693">
        <f t="shared" si="1161"/>
        <v>601</v>
      </c>
      <c r="D601" s="616">
        <v>1</v>
      </c>
      <c r="F601" s="69"/>
      <c r="J601" s="73"/>
      <c r="K601" s="72"/>
      <c r="L601" s="68"/>
      <c r="M601" s="68"/>
      <c r="N601" s="208"/>
      <c r="O601" s="290" t="s">
        <v>191</v>
      </c>
      <c r="P601" s="290"/>
      <c r="Q601" s="290"/>
      <c r="R601" s="1777" t="str">
        <f>CHOOSE(2, "6722000003512", "S/GP (2) Gross Profit Direct NH &lt;Direct&gt;FSC(-)")</f>
        <v>S/GP (2) Gross Profit Direct NH &lt;Direct&gt;FSC(-)</v>
      </c>
      <c r="S601" s="1249">
        <f t="shared" ref="S601:AD601" si="1173">SUM(S602:S604)</f>
        <v>-15655</v>
      </c>
      <c r="T601" s="1249">
        <f t="shared" si="1173"/>
        <v>-17213.608499999998</v>
      </c>
      <c r="U601" s="1249">
        <f t="shared" si="1173"/>
        <v>-18170.151999999998</v>
      </c>
      <c r="V601" s="1249">
        <f t="shared" si="1173"/>
        <v>-20315.686000000002</v>
      </c>
      <c r="W601" s="1249">
        <f t="shared" si="1173"/>
        <v>-21806.8487225873</v>
      </c>
      <c r="X601" s="1249">
        <f t="shared" si="1173"/>
        <v>-20350.960999999999</v>
      </c>
      <c r="Y601" s="1249">
        <f t="shared" si="1173"/>
        <v>-20583.007999999998</v>
      </c>
      <c r="Z601" s="1249">
        <f t="shared" si="1173"/>
        <v>-22918.916000000001</v>
      </c>
      <c r="AA601" s="1249">
        <f t="shared" si="1173"/>
        <v>-23015.775667814192</v>
      </c>
      <c r="AB601" s="1249">
        <f t="shared" si="1173"/>
        <v>-26470.077080285879</v>
      </c>
      <c r="AC601" s="1249">
        <f t="shared" si="1173"/>
        <v>-23758.507449098124</v>
      </c>
      <c r="AD601" s="1249">
        <f t="shared" si="1173"/>
        <v>-24418.094482783476</v>
      </c>
      <c r="AE601" s="898">
        <f t="shared" ref="AE601:AK601" si="1174">SUM(AE602:AE604)</f>
        <v>-51038.760499999997</v>
      </c>
      <c r="AF601" s="1249">
        <f t="shared" si="1174"/>
        <v>-62473.495722587293</v>
      </c>
      <c r="AG601" s="1249">
        <f t="shared" si="1174"/>
        <v>-66517.699667814188</v>
      </c>
      <c r="AH601" s="1249">
        <f t="shared" si="1174"/>
        <v>-74646.679012167471</v>
      </c>
      <c r="AI601" s="1249">
        <f t="shared" si="1174"/>
        <v>-113512.2562225873</v>
      </c>
      <c r="AJ601" s="1249">
        <f t="shared" si="1174"/>
        <v>-141164.37867998166</v>
      </c>
      <c r="AK601" s="1249">
        <f t="shared" si="1174"/>
        <v>-254676.63490256894</v>
      </c>
      <c r="AM601" s="2570">
        <f ca="1">SUM((INDIRECT(AM$2&amp;(ROW())):INDIRECT(AM$3&amp;(ROW()))))</f>
        <v>-15655</v>
      </c>
      <c r="AN601" s="2570">
        <f ca="1">SUM(INDIRECT(AN$1&amp;AN$2&amp;$C601):INDIRECT(AN$1&amp;AN$3&amp;$C601))</f>
        <v>-17903.333333333332</v>
      </c>
      <c r="AO601" s="2910">
        <f t="shared" ca="1" si="1147"/>
        <v>2248.3333333333321</v>
      </c>
      <c r="AP601" s="2911">
        <f t="shared" ca="1" si="1129"/>
        <v>0.87441817166263269</v>
      </c>
      <c r="AQ601" s="2570">
        <f ca="1">SUM(INDIRECT(AQ$1&amp;AQ$2&amp;$A601):INDIRECT(AQ$1&amp;AQ$3&amp;$A601))</f>
        <v>-13687</v>
      </c>
      <c r="AR601" s="2910">
        <f t="shared" ca="1" si="1148"/>
        <v>-1968</v>
      </c>
      <c r="AS601" s="2911">
        <f t="shared" ca="1" si="1130"/>
        <v>1.1437860743771462</v>
      </c>
      <c r="AU601" s="2570">
        <f ca="1">SUM((INDIRECT(AU$2&amp;(ROW())):INDIRECT(AU$3&amp;(ROW()))))</f>
        <v>-15655</v>
      </c>
      <c r="AV601" s="2570">
        <f ca="1">SUM(INDIRECT(AV$1&amp;AV$2&amp;$C601):INDIRECT(AV$1&amp;AV$3&amp;$C601))</f>
        <v>-17903.333333333332</v>
      </c>
      <c r="AW601" s="2910">
        <f t="shared" ca="1" si="1131"/>
        <v>2248.3333333333321</v>
      </c>
      <c r="AX601" s="2911">
        <f t="shared" ca="1" si="1132"/>
        <v>0.87441817166263269</v>
      </c>
      <c r="AY601" s="2570">
        <f ca="1">SUM(INDIRECT(AY$1&amp;AY$2&amp;$A601):INDIRECT(AY$1&amp;AY$3&amp;$A601))</f>
        <v>-13687</v>
      </c>
      <c r="AZ601" s="2910">
        <f t="shared" ca="1" si="1133"/>
        <v>-1968</v>
      </c>
      <c r="BA601" s="2911">
        <f t="shared" ca="1" si="1134"/>
        <v>1.1437860743771462</v>
      </c>
      <c r="BC601" s="2570">
        <f ca="1">SUM((INDIRECT(BC$2&amp;(ROW())):INDIRECT(BC$3&amp;(ROW()))))</f>
        <v>-15655</v>
      </c>
      <c r="BD601" s="2570">
        <f ca="1">SUM(INDIRECT(BD$1&amp;BD$2&amp;$C601):INDIRECT(BD$1&amp;BD$3&amp;$C601))</f>
        <v>-17903.333333333332</v>
      </c>
      <c r="BE601" s="2910">
        <f t="shared" ca="1" si="1135"/>
        <v>2248.3333333333321</v>
      </c>
      <c r="BF601" s="2911">
        <f t="shared" ca="1" si="1136"/>
        <v>0.87441817166263269</v>
      </c>
      <c r="BG601" s="2570">
        <f ca="1">SUM(INDIRECT(BG$1&amp;BG$2&amp;$A601):INDIRECT(BG$1&amp;BG$3&amp;$A601))</f>
        <v>-13687</v>
      </c>
      <c r="BH601" s="2910">
        <f t="shared" ca="1" si="1137"/>
        <v>-1968</v>
      </c>
      <c r="BI601" s="2911">
        <f t="shared" ca="1" si="1138"/>
        <v>1.1437860743771462</v>
      </c>
    </row>
    <row r="602" spans="1:61" ht="14.5">
      <c r="A602" s="1693">
        <f t="shared" si="1164"/>
        <v>594</v>
      </c>
      <c r="B602" s="616">
        <v>1</v>
      </c>
      <c r="C602" s="1693">
        <f t="shared" si="1161"/>
        <v>602</v>
      </c>
      <c r="D602" s="616">
        <v>1</v>
      </c>
      <c r="F602" s="69"/>
      <c r="J602" s="73"/>
      <c r="K602" s="72"/>
      <c r="L602" s="68"/>
      <c r="M602" s="68"/>
      <c r="N602" s="208"/>
      <c r="O602" s="291"/>
      <c r="P602" s="291"/>
      <c r="Q602" s="291" t="s">
        <v>212</v>
      </c>
      <c r="R602" s="1779" t="str">
        <f>CHOOSE(2, "6722000003513", "S/GP (2) Gross Profit Direct NH &lt;Direct&gt;FSC(-) PC")</f>
        <v>S/GP (2) Gross Profit Direct NH &lt;Direct&gt;FSC(-) PC</v>
      </c>
      <c r="S602" s="1227">
        <v>-15330</v>
      </c>
      <c r="T602" s="1227">
        <v>-15509.343999999999</v>
      </c>
      <c r="U602" s="1227">
        <v>-15053.341</v>
      </c>
      <c r="V602" s="1227">
        <v>-17161</v>
      </c>
      <c r="W602" s="1227">
        <v>-18631.908722587301</v>
      </c>
      <c r="X602" s="1227">
        <v>-16652.617999999999</v>
      </c>
      <c r="Y602" s="1227">
        <v>-16933.671999999999</v>
      </c>
      <c r="Z602" s="1227">
        <v>-20262.011999999999</v>
      </c>
      <c r="AA602" s="1227">
        <v>-20093.340024495901</v>
      </c>
      <c r="AB602" s="1227">
        <v>-22989.32374115003</v>
      </c>
      <c r="AC602" s="1227">
        <v>-20646.91238577092</v>
      </c>
      <c r="AD602" s="1227">
        <v>-20560.376342764128</v>
      </c>
      <c r="AE602" s="295">
        <f>SUM(S602,T602,U602)</f>
        <v>-45892.684999999998</v>
      </c>
      <c r="AF602" s="96">
        <f>SUM(V602,W602,X602)</f>
        <v>-52445.526722587296</v>
      </c>
      <c r="AG602" s="96">
        <f>SUM(Y602,Z602,AA602)</f>
        <v>-57289.024024495899</v>
      </c>
      <c r="AH602" s="96">
        <f>SUM(AB602,AC602,AD602)</f>
        <v>-64196.612469685075</v>
      </c>
      <c r="AI602" s="96">
        <f>AE602+AF602</f>
        <v>-98338.211722587293</v>
      </c>
      <c r="AJ602" s="96">
        <f>AH602+AG602</f>
        <v>-121485.63649418097</v>
      </c>
      <c r="AK602" s="96">
        <f>AI602+AJ602</f>
        <v>-219823.84821676827</v>
      </c>
      <c r="AM602" s="2161">
        <f ca="1">SUM((INDIRECT(AM$2&amp;(ROW())):INDIRECT(AM$3&amp;(ROW()))))</f>
        <v>-15330</v>
      </c>
      <c r="AN602" s="2161">
        <f ca="1">SUM(INDIRECT(AN$1&amp;AN$2&amp;$C602):INDIRECT(AN$1&amp;AN$3&amp;$C602))</f>
        <v>-14886.666666666666</v>
      </c>
      <c r="AO602" s="2877">
        <f t="shared" ca="1" si="1147"/>
        <v>-443.33333333333394</v>
      </c>
      <c r="AP602" s="2878">
        <f t="shared" ca="1" si="1129"/>
        <v>1.0297805642633229</v>
      </c>
      <c r="AQ602" s="2161">
        <f ca="1">SUM(INDIRECT(AQ$1&amp;AQ$2&amp;$A602):INDIRECT(AQ$1&amp;AQ$3&amp;$A602))</f>
        <v>-13368</v>
      </c>
      <c r="AR602" s="2877">
        <f t="shared" ca="1" si="1148"/>
        <v>-1962</v>
      </c>
      <c r="AS602" s="2878">
        <f t="shared" ca="1" si="1130"/>
        <v>1.1467684021543985</v>
      </c>
      <c r="AU602" s="2161">
        <f ca="1">SUM((INDIRECT(AU$2&amp;(ROW())):INDIRECT(AU$3&amp;(ROW()))))</f>
        <v>-15330</v>
      </c>
      <c r="AV602" s="2161">
        <f ca="1">SUM(INDIRECT(AV$1&amp;AV$2&amp;$C602):INDIRECT(AV$1&amp;AV$3&amp;$C602))</f>
        <v>-14886.666666666666</v>
      </c>
      <c r="AW602" s="2877">
        <f t="shared" ca="1" si="1131"/>
        <v>-443.33333333333394</v>
      </c>
      <c r="AX602" s="2878">
        <f t="shared" ca="1" si="1132"/>
        <v>1.0297805642633229</v>
      </c>
      <c r="AY602" s="2161">
        <f ca="1">SUM(INDIRECT(AY$1&amp;AY$2&amp;$A602):INDIRECT(AY$1&amp;AY$3&amp;$A602))</f>
        <v>-13368</v>
      </c>
      <c r="AZ602" s="2877">
        <f t="shared" ca="1" si="1133"/>
        <v>-1962</v>
      </c>
      <c r="BA602" s="2878">
        <f t="shared" ca="1" si="1134"/>
        <v>1.1467684021543985</v>
      </c>
      <c r="BC602" s="2161">
        <f ca="1">SUM((INDIRECT(BC$2&amp;(ROW())):INDIRECT(BC$3&amp;(ROW()))))</f>
        <v>-15330</v>
      </c>
      <c r="BD602" s="2161">
        <f ca="1">SUM(INDIRECT(BD$1&amp;BD$2&amp;$C602):INDIRECT(BD$1&amp;BD$3&amp;$C602))</f>
        <v>-14886.666666666666</v>
      </c>
      <c r="BE602" s="2877">
        <f t="shared" ca="1" si="1135"/>
        <v>-443.33333333333394</v>
      </c>
      <c r="BF602" s="2878">
        <f t="shared" ca="1" si="1136"/>
        <v>1.0297805642633229</v>
      </c>
      <c r="BG602" s="2161">
        <f ca="1">SUM(INDIRECT(BG$1&amp;BG$2&amp;$A602):INDIRECT(BG$1&amp;BG$3&amp;$A602))</f>
        <v>-13368</v>
      </c>
      <c r="BH602" s="2877">
        <f t="shared" ca="1" si="1137"/>
        <v>-1962</v>
      </c>
      <c r="BI602" s="2878">
        <f t="shared" ca="1" si="1138"/>
        <v>1.1467684021543985</v>
      </c>
    </row>
    <row r="603" spans="1:61" ht="14.5">
      <c r="A603" s="1693">
        <f t="shared" si="1164"/>
        <v>595</v>
      </c>
      <c r="B603" s="616">
        <v>1</v>
      </c>
      <c r="C603" s="1693">
        <f t="shared" si="1161"/>
        <v>603</v>
      </c>
      <c r="D603" s="616">
        <v>1</v>
      </c>
      <c r="F603" s="69"/>
      <c r="J603" s="73"/>
      <c r="K603" s="72"/>
      <c r="L603" s="68"/>
      <c r="M603" s="68"/>
      <c r="N603" s="208"/>
      <c r="O603" s="229"/>
      <c r="P603" s="229"/>
      <c r="Q603" s="229" t="s">
        <v>213</v>
      </c>
      <c r="R603" s="1779" t="str">
        <f>CHOOSE(2, "6722000003514", "S/GP (2) Gross Profit Direct NH &lt;Direct&gt;FSC(-) TE")</f>
        <v>S/GP (2) Gross Profit Direct NH &lt;Direct&gt;FSC(-) TE</v>
      </c>
      <c r="S603" s="1217">
        <v>-38</v>
      </c>
      <c r="T603" s="1217">
        <v>-1416.5119999999999</v>
      </c>
      <c r="U603" s="1217">
        <v>-2829.067</v>
      </c>
      <c r="V603" s="1217">
        <v>-2852.556</v>
      </c>
      <c r="W603" s="1217">
        <v>-2887.192</v>
      </c>
      <c r="X603" s="1217">
        <v>-3367.4490000000001</v>
      </c>
      <c r="Y603" s="1217">
        <v>-3347.2060000000001</v>
      </c>
      <c r="Z603" s="1217">
        <v>-2354.7739999999999</v>
      </c>
      <c r="AA603" s="1217">
        <v>-2611.305643318291</v>
      </c>
      <c r="AB603" s="1217">
        <v>-3178.6233391358483</v>
      </c>
      <c r="AC603" s="1217">
        <v>-2809.4650633272045</v>
      </c>
      <c r="AD603" s="1217">
        <v>-3616.0141400193447</v>
      </c>
      <c r="AE603" s="88">
        <f>SUM(S603,T603,U603)</f>
        <v>-4283.5789999999997</v>
      </c>
      <c r="AF603" s="17">
        <f>SUM(V603,W603,X603)</f>
        <v>-9107.1970000000001</v>
      </c>
      <c r="AG603" s="17">
        <f>SUM(Y603,Z603,AA603)</f>
        <v>-8313.2856433182897</v>
      </c>
      <c r="AH603" s="17">
        <f>SUM(AB603,AC603,AD603)</f>
        <v>-9604.1025424823965</v>
      </c>
      <c r="AI603" s="17">
        <f>AE603+AF603</f>
        <v>-13390.776</v>
      </c>
      <c r="AJ603" s="17">
        <f>AH603+AG603</f>
        <v>-17917.388185800686</v>
      </c>
      <c r="AK603" s="17">
        <f>AI603+AJ603</f>
        <v>-31308.164185800684</v>
      </c>
      <c r="AM603" s="1926">
        <f ca="1">SUM((INDIRECT(AM$2&amp;(ROW())):INDIRECT(AM$3&amp;(ROW()))))</f>
        <v>-38</v>
      </c>
      <c r="AN603" s="1926">
        <f ca="1">SUM(INDIRECT(AN$1&amp;AN$2&amp;$C603):INDIRECT(AN$1&amp;AN$3&amp;$C603))</f>
        <v>-2733.3333333333335</v>
      </c>
      <c r="AO603" s="2707">
        <f t="shared" ca="1" si="1147"/>
        <v>2695.3333333333335</v>
      </c>
      <c r="AP603" s="2708">
        <f t="shared" ca="1" si="1129"/>
        <v>1.3902439024390242E-2</v>
      </c>
      <c r="AQ603" s="1926">
        <f ca="1">SUM(INDIRECT(AQ$1&amp;AQ$2&amp;$A603):INDIRECT(AQ$1&amp;AQ$3&amp;$A603))</f>
        <v>0</v>
      </c>
      <c r="AR603" s="2707">
        <f t="shared" ca="1" si="1148"/>
        <v>-38</v>
      </c>
      <c r="AS603" s="2708">
        <f t="shared" ca="1" si="1130"/>
        <v>0</v>
      </c>
      <c r="AU603" s="1926">
        <f ca="1">SUM((INDIRECT(AU$2&amp;(ROW())):INDIRECT(AU$3&amp;(ROW()))))</f>
        <v>-38</v>
      </c>
      <c r="AV603" s="1926">
        <f ca="1">SUM(INDIRECT(AV$1&amp;AV$2&amp;$C603):INDIRECT(AV$1&amp;AV$3&amp;$C603))</f>
        <v>-2733.3333333333335</v>
      </c>
      <c r="AW603" s="2707">
        <f t="shared" ca="1" si="1131"/>
        <v>2695.3333333333335</v>
      </c>
      <c r="AX603" s="2708">
        <f t="shared" ca="1" si="1132"/>
        <v>1.3902439024390242E-2</v>
      </c>
      <c r="AY603" s="1926">
        <f ca="1">SUM(INDIRECT(AY$1&amp;AY$2&amp;$A603):INDIRECT(AY$1&amp;AY$3&amp;$A603))</f>
        <v>0</v>
      </c>
      <c r="AZ603" s="2707">
        <f t="shared" ca="1" si="1133"/>
        <v>-38</v>
      </c>
      <c r="BA603" s="2708">
        <f t="shared" ca="1" si="1134"/>
        <v>0</v>
      </c>
      <c r="BC603" s="1926">
        <f ca="1">SUM((INDIRECT(BC$2&amp;(ROW())):INDIRECT(BC$3&amp;(ROW()))))</f>
        <v>-38</v>
      </c>
      <c r="BD603" s="1926">
        <f ca="1">SUM(INDIRECT(BD$1&amp;BD$2&amp;$C603):INDIRECT(BD$1&amp;BD$3&amp;$C603))</f>
        <v>-2733.3333333333335</v>
      </c>
      <c r="BE603" s="2707">
        <f t="shared" ca="1" si="1135"/>
        <v>2695.3333333333335</v>
      </c>
      <c r="BF603" s="2708">
        <f t="shared" ca="1" si="1136"/>
        <v>1.3902439024390242E-2</v>
      </c>
      <c r="BG603" s="1926">
        <f ca="1">SUM(INDIRECT(BG$1&amp;BG$2&amp;$A603):INDIRECT(BG$1&amp;BG$3&amp;$A603))</f>
        <v>0</v>
      </c>
      <c r="BH603" s="2707">
        <f t="shared" ca="1" si="1137"/>
        <v>-38</v>
      </c>
      <c r="BI603" s="2708">
        <f t="shared" ca="1" si="1138"/>
        <v>0</v>
      </c>
    </row>
    <row r="604" spans="1:61" ht="14.5">
      <c r="A604" s="1693">
        <f t="shared" si="1164"/>
        <v>596</v>
      </c>
      <c r="B604" s="616">
        <v>1</v>
      </c>
      <c r="C604" s="1693">
        <f t="shared" si="1161"/>
        <v>604</v>
      </c>
      <c r="D604" s="616">
        <v>1</v>
      </c>
      <c r="F604" s="69"/>
      <c r="J604" s="73"/>
      <c r="K604" s="72"/>
      <c r="L604" s="68"/>
      <c r="M604" s="68"/>
      <c r="N604" s="208"/>
      <c r="O604" s="229"/>
      <c r="P604" s="229"/>
      <c r="Q604" s="228" t="s">
        <v>218</v>
      </c>
      <c r="R604" s="1779" t="str">
        <f>CHOOSE(2, "6722000003515", "S/GP (2) Gross Profit Direct NH &lt;Direct&gt;FSC(-) OFC")</f>
        <v>S/GP (2) Gross Profit Direct NH &lt;Direct&gt;FSC(-) OFC</v>
      </c>
      <c r="S604" s="1218">
        <v>-287</v>
      </c>
      <c r="T604" s="1218">
        <v>-287.7525</v>
      </c>
      <c r="U604" s="1218">
        <v>-287.74400000000003</v>
      </c>
      <c r="V604" s="1218">
        <v>-302.13</v>
      </c>
      <c r="W604" s="1218">
        <v>-287.74799999999999</v>
      </c>
      <c r="X604" s="1218">
        <v>-330.89400000000001</v>
      </c>
      <c r="Y604" s="1218">
        <v>-302.13</v>
      </c>
      <c r="Z604" s="1218">
        <v>-302.13</v>
      </c>
      <c r="AA604" s="1218">
        <v>-311.13</v>
      </c>
      <c r="AB604" s="1218">
        <v>-302.13</v>
      </c>
      <c r="AC604" s="1218">
        <v>-302.13</v>
      </c>
      <c r="AD604" s="1218">
        <v>-241.70400000000001</v>
      </c>
      <c r="AE604" s="87">
        <f>SUM(S604,T604,U604)</f>
        <v>-862.49650000000008</v>
      </c>
      <c r="AF604" s="15">
        <f>SUM(V604,W604,X604)</f>
        <v>-920.77199999999993</v>
      </c>
      <c r="AG604" s="15">
        <f>SUM(Y604,Z604,AA604)</f>
        <v>-915.39</v>
      </c>
      <c r="AH604" s="15">
        <f>SUM(AB604,AC604,AD604)</f>
        <v>-845.96399999999994</v>
      </c>
      <c r="AI604" s="15">
        <f>AE604+AF604</f>
        <v>-1783.2685000000001</v>
      </c>
      <c r="AJ604" s="15">
        <f>AH604+AG604</f>
        <v>-1761.3539999999998</v>
      </c>
      <c r="AK604" s="15">
        <f>AI604+AJ604</f>
        <v>-3544.6224999999999</v>
      </c>
      <c r="AM604" s="1928">
        <f ca="1">SUM((INDIRECT(AM$2&amp;(ROW())):INDIRECT(AM$3&amp;(ROW()))))</f>
        <v>-287</v>
      </c>
      <c r="AN604" s="1928">
        <f ca="1">SUM(INDIRECT(AN$1&amp;AN$2&amp;$C604):INDIRECT(AN$1&amp;AN$3&amp;$C604))</f>
        <v>-283.33333333333331</v>
      </c>
      <c r="AO604" s="2709">
        <f t="shared" ca="1" si="1147"/>
        <v>-3.6666666666666856</v>
      </c>
      <c r="AP604" s="2710">
        <f t="shared" ca="1" si="1129"/>
        <v>1.0129411764705882</v>
      </c>
      <c r="AQ604" s="1928">
        <f ca="1">SUM(INDIRECT(AQ$1&amp;AQ$2&amp;$A604):INDIRECT(AQ$1&amp;AQ$3&amp;$A604))</f>
        <v>-319</v>
      </c>
      <c r="AR604" s="2709">
        <f t="shared" ca="1" si="1148"/>
        <v>32</v>
      </c>
      <c r="AS604" s="2710">
        <f t="shared" ca="1" si="1130"/>
        <v>0.89968652037617558</v>
      </c>
      <c r="AU604" s="1928">
        <f ca="1">SUM((INDIRECT(AU$2&amp;(ROW())):INDIRECT(AU$3&amp;(ROW()))))</f>
        <v>-287</v>
      </c>
      <c r="AV604" s="1928">
        <f ca="1">SUM(INDIRECT(AV$1&amp;AV$2&amp;$C604):INDIRECT(AV$1&amp;AV$3&amp;$C604))</f>
        <v>-283.33333333333331</v>
      </c>
      <c r="AW604" s="2709">
        <f t="shared" ca="1" si="1131"/>
        <v>-3.6666666666666856</v>
      </c>
      <c r="AX604" s="2710">
        <f t="shared" ca="1" si="1132"/>
        <v>1.0129411764705882</v>
      </c>
      <c r="AY604" s="1928">
        <f ca="1">SUM(INDIRECT(AY$1&amp;AY$2&amp;$A604):INDIRECT(AY$1&amp;AY$3&amp;$A604))</f>
        <v>-319</v>
      </c>
      <c r="AZ604" s="2709">
        <f t="shared" ca="1" si="1133"/>
        <v>32</v>
      </c>
      <c r="BA604" s="2710">
        <f t="shared" ca="1" si="1134"/>
        <v>0.89968652037617558</v>
      </c>
      <c r="BC604" s="1928">
        <f ca="1">SUM((INDIRECT(BC$2&amp;(ROW())):INDIRECT(BC$3&amp;(ROW()))))</f>
        <v>-287</v>
      </c>
      <c r="BD604" s="1928">
        <f ca="1">SUM(INDIRECT(BD$1&amp;BD$2&amp;$C604):INDIRECT(BD$1&amp;BD$3&amp;$C604))</f>
        <v>-283.33333333333331</v>
      </c>
      <c r="BE604" s="2709">
        <f t="shared" ca="1" si="1135"/>
        <v>-3.6666666666666856</v>
      </c>
      <c r="BF604" s="2710">
        <f t="shared" ca="1" si="1136"/>
        <v>1.0129411764705882</v>
      </c>
      <c r="BG604" s="1928">
        <f ca="1">SUM(INDIRECT(BG$1&amp;BG$2&amp;$A604):INDIRECT(BG$1&amp;BG$3&amp;$A604))</f>
        <v>-319</v>
      </c>
      <c r="BH604" s="2709">
        <f t="shared" ca="1" si="1137"/>
        <v>32</v>
      </c>
      <c r="BI604" s="2710">
        <f t="shared" ca="1" si="1138"/>
        <v>0.89968652037617558</v>
      </c>
    </row>
    <row r="605" spans="1:61" ht="14.5">
      <c r="A605" s="1693">
        <f t="shared" si="1164"/>
        <v>597</v>
      </c>
      <c r="B605" s="616">
        <v>1</v>
      </c>
      <c r="C605" s="1693">
        <f t="shared" si="1161"/>
        <v>605</v>
      </c>
      <c r="D605" s="616">
        <v>1</v>
      </c>
      <c r="F605" s="69"/>
      <c r="J605" s="73"/>
      <c r="K605" s="72"/>
      <c r="L605" s="68"/>
      <c r="M605" s="68"/>
      <c r="N605" s="208"/>
      <c r="O605" s="290" t="s">
        <v>276</v>
      </c>
      <c r="P605" s="290"/>
      <c r="Q605" s="290"/>
      <c r="R605" s="1777" t="str">
        <f>CHOOSE(2, "6722000003516", "S/GP (2) Gross Profit Direct NH &lt;Direct&gt;SDC(-)")</f>
        <v>S/GP (2) Gross Profit Direct NH &lt;Direct&gt;SDC(-)</v>
      </c>
      <c r="S605" s="1249">
        <f t="shared" ref="S605:AD605" si="1175">SUM(S606:S607)</f>
        <v>0</v>
      </c>
      <c r="T605" s="1249">
        <f t="shared" si="1175"/>
        <v>0</v>
      </c>
      <c r="U605" s="1249">
        <f t="shared" si="1175"/>
        <v>0</v>
      </c>
      <c r="V605" s="1249">
        <f t="shared" si="1175"/>
        <v>0</v>
      </c>
      <c r="W605" s="1249">
        <f t="shared" si="1175"/>
        <v>0</v>
      </c>
      <c r="X605" s="1249">
        <f t="shared" si="1175"/>
        <v>0</v>
      </c>
      <c r="Y605" s="1249">
        <f t="shared" si="1175"/>
        <v>0</v>
      </c>
      <c r="Z605" s="1249">
        <f t="shared" si="1175"/>
        <v>0</v>
      </c>
      <c r="AA605" s="1249">
        <f t="shared" si="1175"/>
        <v>0</v>
      </c>
      <c r="AB605" s="1249">
        <f t="shared" si="1175"/>
        <v>0</v>
      </c>
      <c r="AC605" s="1249">
        <f t="shared" si="1175"/>
        <v>0</v>
      </c>
      <c r="AD605" s="1249">
        <f t="shared" si="1175"/>
        <v>0</v>
      </c>
      <c r="AE605" s="898">
        <f t="shared" ref="AE605:AK605" si="1176">SUM(AE606:AE607)</f>
        <v>0</v>
      </c>
      <c r="AF605" s="1249">
        <f t="shared" si="1176"/>
        <v>0</v>
      </c>
      <c r="AG605" s="1249">
        <f t="shared" si="1176"/>
        <v>0</v>
      </c>
      <c r="AH605" s="1249">
        <f t="shared" si="1176"/>
        <v>0</v>
      </c>
      <c r="AI605" s="1249">
        <f t="shared" si="1176"/>
        <v>0</v>
      </c>
      <c r="AJ605" s="1249">
        <f t="shared" si="1176"/>
        <v>0</v>
      </c>
      <c r="AK605" s="1249">
        <f t="shared" si="1176"/>
        <v>0</v>
      </c>
      <c r="AM605" s="2570">
        <f ca="1">SUM((INDIRECT(AM$2&amp;(ROW())):INDIRECT(AM$3&amp;(ROW()))))</f>
        <v>0</v>
      </c>
      <c r="AN605" s="2570">
        <f ca="1">SUM(INDIRECT(AN$1&amp;AN$2&amp;$C605):INDIRECT(AN$1&amp;AN$3&amp;$C605))</f>
        <v>0</v>
      </c>
      <c r="AO605" s="2910">
        <f t="shared" ca="1" si="1147"/>
        <v>0</v>
      </c>
      <c r="AP605" s="2911">
        <f t="shared" ca="1" si="1129"/>
        <v>0</v>
      </c>
      <c r="AQ605" s="2570">
        <f ca="1">SUM(INDIRECT(AQ$1&amp;AQ$2&amp;$A605):INDIRECT(AQ$1&amp;AQ$3&amp;$A605))</f>
        <v>0</v>
      </c>
      <c r="AR605" s="2910">
        <f t="shared" ca="1" si="1148"/>
        <v>0</v>
      </c>
      <c r="AS605" s="2911">
        <f t="shared" ca="1" si="1130"/>
        <v>0</v>
      </c>
      <c r="AU605" s="2570">
        <f ca="1">SUM((INDIRECT(AU$2&amp;(ROW())):INDIRECT(AU$3&amp;(ROW()))))</f>
        <v>0</v>
      </c>
      <c r="AV605" s="2570">
        <f ca="1">SUM(INDIRECT(AV$1&amp;AV$2&amp;$C605):INDIRECT(AV$1&amp;AV$3&amp;$C605))</f>
        <v>0</v>
      </c>
      <c r="AW605" s="2910">
        <f t="shared" ca="1" si="1131"/>
        <v>0</v>
      </c>
      <c r="AX605" s="2911">
        <f t="shared" ca="1" si="1132"/>
        <v>0</v>
      </c>
      <c r="AY605" s="2570">
        <f ca="1">SUM(INDIRECT(AY$1&amp;AY$2&amp;$A605):INDIRECT(AY$1&amp;AY$3&amp;$A605))</f>
        <v>0</v>
      </c>
      <c r="AZ605" s="2910">
        <f t="shared" ca="1" si="1133"/>
        <v>0</v>
      </c>
      <c r="BA605" s="2911">
        <f t="shared" ca="1" si="1134"/>
        <v>0</v>
      </c>
      <c r="BC605" s="2570">
        <f ca="1">SUM((INDIRECT(BC$2&amp;(ROW())):INDIRECT(BC$3&amp;(ROW()))))</f>
        <v>0</v>
      </c>
      <c r="BD605" s="2570">
        <f ca="1">SUM(INDIRECT(BD$1&amp;BD$2&amp;$C605):INDIRECT(BD$1&amp;BD$3&amp;$C605))</f>
        <v>0</v>
      </c>
      <c r="BE605" s="2910">
        <f t="shared" ca="1" si="1135"/>
        <v>0</v>
      </c>
      <c r="BF605" s="2911">
        <f t="shared" ca="1" si="1136"/>
        <v>0</v>
      </c>
      <c r="BG605" s="2570">
        <f ca="1">SUM(INDIRECT(BG$1&amp;BG$2&amp;$A605):INDIRECT(BG$1&amp;BG$3&amp;$A605))</f>
        <v>0</v>
      </c>
      <c r="BH605" s="2910">
        <f t="shared" ca="1" si="1137"/>
        <v>0</v>
      </c>
      <c r="BI605" s="2911">
        <f t="shared" ca="1" si="1138"/>
        <v>0</v>
      </c>
    </row>
    <row r="606" spans="1:61" ht="14.5">
      <c r="A606" s="1693">
        <f t="shared" si="1164"/>
        <v>598</v>
      </c>
      <c r="B606" s="616">
        <v>1</v>
      </c>
      <c r="C606" s="1693">
        <f t="shared" si="1161"/>
        <v>606</v>
      </c>
      <c r="D606" s="616">
        <v>1</v>
      </c>
      <c r="F606" s="69"/>
      <c r="J606" s="73"/>
      <c r="K606" s="72"/>
      <c r="L606" s="68"/>
      <c r="M606" s="68"/>
      <c r="N606" s="208"/>
      <c r="O606" s="292"/>
      <c r="P606" s="291"/>
      <c r="Q606" s="291" t="s">
        <v>223</v>
      </c>
      <c r="R606" s="1779" t="str">
        <f>CHOOSE(2, "6722000003517", "S/GP (2) Gross Profit Direct NH &lt;Direct&gt;SDC(-) PC")</f>
        <v>S/GP (2) Gross Profit Direct NH &lt;Direct&gt;SDC(-) PC</v>
      </c>
      <c r="S606" s="1227"/>
      <c r="T606" s="1227"/>
      <c r="U606" s="1227"/>
      <c r="V606" s="1227"/>
      <c r="W606" s="1227"/>
      <c r="X606" s="1227"/>
      <c r="Y606" s="1227"/>
      <c r="Z606" s="1227"/>
      <c r="AA606" s="1227"/>
      <c r="AB606" s="1227"/>
      <c r="AC606" s="1227"/>
      <c r="AD606" s="1227"/>
      <c r="AE606" s="295">
        <f>SUM(S606,T606,U606)</f>
        <v>0</v>
      </c>
      <c r="AF606" s="96">
        <f>SUM(V606,W606,X606)</f>
        <v>0</v>
      </c>
      <c r="AG606" s="96">
        <f>SUM(Y606,Z606,AA606)</f>
        <v>0</v>
      </c>
      <c r="AH606" s="96">
        <f>SUM(AB606,AC606,AD606)</f>
        <v>0</v>
      </c>
      <c r="AI606" s="96">
        <f>AE606+AF606</f>
        <v>0</v>
      </c>
      <c r="AJ606" s="96">
        <f>AH606+AG606</f>
        <v>0</v>
      </c>
      <c r="AK606" s="96">
        <f>AI606+AJ606</f>
        <v>0</v>
      </c>
      <c r="AM606" s="2161">
        <f ca="1">SUM((INDIRECT(AM$2&amp;(ROW())):INDIRECT(AM$3&amp;(ROW()))))</f>
        <v>0</v>
      </c>
      <c r="AN606" s="2161">
        <f ca="1">SUM(INDIRECT(AN$1&amp;AN$2&amp;$C606):INDIRECT(AN$1&amp;AN$3&amp;$C606))</f>
        <v>0</v>
      </c>
      <c r="AO606" s="2877">
        <f t="shared" ca="1" si="1147"/>
        <v>0</v>
      </c>
      <c r="AP606" s="2878">
        <f t="shared" ca="1" si="1129"/>
        <v>0</v>
      </c>
      <c r="AQ606" s="2161">
        <f ca="1">SUM(INDIRECT(AQ$1&amp;AQ$2&amp;$A606):INDIRECT(AQ$1&amp;AQ$3&amp;$A606))</f>
        <v>0</v>
      </c>
      <c r="AR606" s="2877">
        <f t="shared" ca="1" si="1148"/>
        <v>0</v>
      </c>
      <c r="AS606" s="2878">
        <f t="shared" ca="1" si="1130"/>
        <v>0</v>
      </c>
      <c r="AU606" s="2161">
        <f ca="1">SUM((INDIRECT(AU$2&amp;(ROW())):INDIRECT(AU$3&amp;(ROW()))))</f>
        <v>0</v>
      </c>
      <c r="AV606" s="2161">
        <f ca="1">SUM(INDIRECT(AV$1&amp;AV$2&amp;$C606):INDIRECT(AV$1&amp;AV$3&amp;$C606))</f>
        <v>0</v>
      </c>
      <c r="AW606" s="2877">
        <f t="shared" ca="1" si="1131"/>
        <v>0</v>
      </c>
      <c r="AX606" s="2878">
        <f t="shared" ca="1" si="1132"/>
        <v>0</v>
      </c>
      <c r="AY606" s="2161">
        <f ca="1">SUM(INDIRECT(AY$1&amp;AY$2&amp;$A606):INDIRECT(AY$1&amp;AY$3&amp;$A606))</f>
        <v>0</v>
      </c>
      <c r="AZ606" s="2877">
        <f t="shared" ca="1" si="1133"/>
        <v>0</v>
      </c>
      <c r="BA606" s="2878">
        <f t="shared" ca="1" si="1134"/>
        <v>0</v>
      </c>
      <c r="BC606" s="2161">
        <f ca="1">SUM((INDIRECT(BC$2&amp;(ROW())):INDIRECT(BC$3&amp;(ROW()))))</f>
        <v>0</v>
      </c>
      <c r="BD606" s="2161">
        <f ca="1">SUM(INDIRECT(BD$1&amp;BD$2&amp;$C606):INDIRECT(BD$1&amp;BD$3&amp;$C606))</f>
        <v>0</v>
      </c>
      <c r="BE606" s="2877">
        <f t="shared" ca="1" si="1135"/>
        <v>0</v>
      </c>
      <c r="BF606" s="2878">
        <f t="shared" ca="1" si="1136"/>
        <v>0</v>
      </c>
      <c r="BG606" s="2161">
        <f ca="1">SUM(INDIRECT(BG$1&amp;BG$2&amp;$A606):INDIRECT(BG$1&amp;BG$3&amp;$A606))</f>
        <v>0</v>
      </c>
      <c r="BH606" s="2877">
        <f t="shared" ca="1" si="1137"/>
        <v>0</v>
      </c>
      <c r="BI606" s="2878">
        <f t="shared" ca="1" si="1138"/>
        <v>0</v>
      </c>
    </row>
    <row r="607" spans="1:61" ht="14.5">
      <c r="A607" s="1693">
        <f t="shared" si="1164"/>
        <v>599</v>
      </c>
      <c r="B607" s="616">
        <v>1</v>
      </c>
      <c r="C607" s="1693">
        <f t="shared" si="1161"/>
        <v>607</v>
      </c>
      <c r="D607" s="616">
        <v>1</v>
      </c>
      <c r="F607" s="69"/>
      <c r="J607" s="73"/>
      <c r="K607" s="72"/>
      <c r="L607" s="68"/>
      <c r="M607" s="68"/>
      <c r="N607" s="208"/>
      <c r="O607" s="230"/>
      <c r="P607" s="228"/>
      <c r="Q607" s="228" t="s">
        <v>224</v>
      </c>
      <c r="R607" s="1779" t="str">
        <f>CHOOSE(2, "6722000003518", "S/GP (2) Gross Profit Direct NH &lt;Direct&gt;SDC(-) OFC")</f>
        <v>S/GP (2) Gross Profit Direct NH &lt;Direct&gt;SDC(-) OFC</v>
      </c>
      <c r="S607" s="1218"/>
      <c r="T607" s="1218"/>
      <c r="U607" s="1218"/>
      <c r="V607" s="1218"/>
      <c r="W607" s="1218"/>
      <c r="X607" s="1218"/>
      <c r="Y607" s="1218"/>
      <c r="Z607" s="1218"/>
      <c r="AA607" s="1218"/>
      <c r="AB607" s="1218"/>
      <c r="AC607" s="1218"/>
      <c r="AD607" s="1218"/>
      <c r="AE607" s="87">
        <f>SUM(S607,T607,U607)</f>
        <v>0</v>
      </c>
      <c r="AF607" s="15">
        <f>SUM(V607,W607,X607)</f>
        <v>0</v>
      </c>
      <c r="AG607" s="15">
        <f>SUM(Y607,Z607,AA607)</f>
        <v>0</v>
      </c>
      <c r="AH607" s="15">
        <f>SUM(AB607,AC607,AD607)</f>
        <v>0</v>
      </c>
      <c r="AI607" s="15">
        <f>AE607+AF607</f>
        <v>0</v>
      </c>
      <c r="AJ607" s="15">
        <f>AH607+AG607</f>
        <v>0</v>
      </c>
      <c r="AK607" s="15">
        <f>AI607+AJ607</f>
        <v>0</v>
      </c>
      <c r="AM607" s="1928">
        <f ca="1">SUM((INDIRECT(AM$2&amp;(ROW())):INDIRECT(AM$3&amp;(ROW()))))</f>
        <v>0</v>
      </c>
      <c r="AN607" s="1928">
        <f ca="1">SUM(INDIRECT(AN$1&amp;AN$2&amp;$C607):INDIRECT(AN$1&amp;AN$3&amp;$C607))</f>
        <v>0</v>
      </c>
      <c r="AO607" s="2709">
        <f t="shared" ca="1" si="1147"/>
        <v>0</v>
      </c>
      <c r="AP607" s="2710">
        <f t="shared" ca="1" si="1129"/>
        <v>0</v>
      </c>
      <c r="AQ607" s="1928">
        <f ca="1">SUM(INDIRECT(AQ$1&amp;AQ$2&amp;$A607):INDIRECT(AQ$1&amp;AQ$3&amp;$A607))</f>
        <v>0</v>
      </c>
      <c r="AR607" s="2709">
        <f t="shared" ca="1" si="1148"/>
        <v>0</v>
      </c>
      <c r="AS607" s="2710">
        <f t="shared" ca="1" si="1130"/>
        <v>0</v>
      </c>
      <c r="AU607" s="1928">
        <f ca="1">SUM((INDIRECT(AU$2&amp;(ROW())):INDIRECT(AU$3&amp;(ROW()))))</f>
        <v>0</v>
      </c>
      <c r="AV607" s="1928">
        <f ca="1">SUM(INDIRECT(AV$1&amp;AV$2&amp;$C607):INDIRECT(AV$1&amp;AV$3&amp;$C607))</f>
        <v>0</v>
      </c>
      <c r="AW607" s="2709">
        <f t="shared" ca="1" si="1131"/>
        <v>0</v>
      </c>
      <c r="AX607" s="2710">
        <f t="shared" ca="1" si="1132"/>
        <v>0</v>
      </c>
      <c r="AY607" s="1928">
        <f ca="1">SUM(INDIRECT(AY$1&amp;AY$2&amp;$A607):INDIRECT(AY$1&amp;AY$3&amp;$A607))</f>
        <v>0</v>
      </c>
      <c r="AZ607" s="2709">
        <f t="shared" ca="1" si="1133"/>
        <v>0</v>
      </c>
      <c r="BA607" s="2710">
        <f t="shared" ca="1" si="1134"/>
        <v>0</v>
      </c>
      <c r="BC607" s="1928">
        <f ca="1">SUM((INDIRECT(BC$2&amp;(ROW())):INDIRECT(BC$3&amp;(ROW()))))</f>
        <v>0</v>
      </c>
      <c r="BD607" s="1928">
        <f ca="1">SUM(INDIRECT(BD$1&amp;BD$2&amp;$C607):INDIRECT(BD$1&amp;BD$3&amp;$C607))</f>
        <v>0</v>
      </c>
      <c r="BE607" s="2709">
        <f t="shared" ca="1" si="1135"/>
        <v>0</v>
      </c>
      <c r="BF607" s="2710">
        <f t="shared" ca="1" si="1136"/>
        <v>0</v>
      </c>
      <c r="BG607" s="1928">
        <f ca="1">SUM(INDIRECT(BG$1&amp;BG$2&amp;$A607):INDIRECT(BG$1&amp;BG$3&amp;$A607))</f>
        <v>0</v>
      </c>
      <c r="BH607" s="2709">
        <f t="shared" ca="1" si="1137"/>
        <v>0</v>
      </c>
      <c r="BI607" s="2710">
        <f t="shared" ca="1" si="1138"/>
        <v>0</v>
      </c>
    </row>
    <row r="608" spans="1:61" ht="14.5">
      <c r="A608" s="1693">
        <f t="shared" si="1164"/>
        <v>600</v>
      </c>
      <c r="B608" s="616">
        <v>1</v>
      </c>
      <c r="C608" s="1693">
        <f t="shared" si="1161"/>
        <v>608</v>
      </c>
      <c r="D608" s="616">
        <v>1</v>
      </c>
      <c r="F608" s="69"/>
      <c r="J608" s="73"/>
      <c r="K608" s="72"/>
      <c r="L608" s="68"/>
      <c r="M608" s="68"/>
      <c r="N608" s="208"/>
      <c r="O608" s="309" t="s">
        <v>306</v>
      </c>
      <c r="P608" s="229"/>
      <c r="Q608" s="229"/>
      <c r="R608" s="1779" t="str">
        <f>CHOOSE(2, "6722000003519", "S/GP (2) Gross Profit Direct NH &lt;Direct&gt;D&amp;A (-)")</f>
        <v>S/GP (2) Gross Profit Direct NH &lt;Direct&gt;D&amp;A (-)</v>
      </c>
      <c r="S608" s="1217"/>
      <c r="T608" s="1217"/>
      <c r="U608" s="1217"/>
      <c r="V608" s="1217"/>
      <c r="W608" s="1217"/>
      <c r="X608" s="1217"/>
      <c r="Y608" s="1217"/>
      <c r="Z608" s="1217"/>
      <c r="AA608" s="1217"/>
      <c r="AB608" s="1217"/>
      <c r="AC608" s="1217"/>
      <c r="AD608" s="1217"/>
      <c r="AE608" s="88">
        <f>SUM(S608,T608,U608)</f>
        <v>0</v>
      </c>
      <c r="AF608" s="17">
        <f>SUM(V608,W608,X608)</f>
        <v>0</v>
      </c>
      <c r="AG608" s="17">
        <f>SUM(Y608,Z608,AA608)</f>
        <v>0</v>
      </c>
      <c r="AH608" s="17">
        <f>SUM(AB608,AC608,AD608)</f>
        <v>0</v>
      </c>
      <c r="AI608" s="17">
        <f>AE608+AF608</f>
        <v>0</v>
      </c>
      <c r="AJ608" s="17">
        <f>AH608+AG608</f>
        <v>0</v>
      </c>
      <c r="AK608" s="17">
        <f>AI608+AJ608</f>
        <v>0</v>
      </c>
      <c r="AM608" s="1926">
        <f ca="1">SUM((INDIRECT(AM$2&amp;(ROW())):INDIRECT(AM$3&amp;(ROW()))))</f>
        <v>0</v>
      </c>
      <c r="AN608" s="1926">
        <f ca="1">SUM(INDIRECT(AN$1&amp;AN$2&amp;$C608):INDIRECT(AN$1&amp;AN$3&amp;$C608))</f>
        <v>0</v>
      </c>
      <c r="AO608" s="2707">
        <f t="shared" ca="1" si="1147"/>
        <v>0</v>
      </c>
      <c r="AP608" s="2708">
        <f t="shared" ca="1" si="1129"/>
        <v>0</v>
      </c>
      <c r="AQ608" s="1926">
        <f ca="1">SUM(INDIRECT(AQ$1&amp;AQ$2&amp;$A608):INDIRECT(AQ$1&amp;AQ$3&amp;$A608))</f>
        <v>0</v>
      </c>
      <c r="AR608" s="2707">
        <f t="shared" ca="1" si="1148"/>
        <v>0</v>
      </c>
      <c r="AS608" s="2708">
        <f t="shared" ca="1" si="1130"/>
        <v>0</v>
      </c>
      <c r="AU608" s="1926">
        <f ca="1">SUM((INDIRECT(AU$2&amp;(ROW())):INDIRECT(AU$3&amp;(ROW()))))</f>
        <v>0</v>
      </c>
      <c r="AV608" s="1926">
        <f ca="1">SUM(INDIRECT(AV$1&amp;AV$2&amp;$C608):INDIRECT(AV$1&amp;AV$3&amp;$C608))</f>
        <v>0</v>
      </c>
      <c r="AW608" s="2707">
        <f t="shared" ca="1" si="1131"/>
        <v>0</v>
      </c>
      <c r="AX608" s="2708">
        <f t="shared" ca="1" si="1132"/>
        <v>0</v>
      </c>
      <c r="AY608" s="1926">
        <f ca="1">SUM(INDIRECT(AY$1&amp;AY$2&amp;$A608):INDIRECT(AY$1&amp;AY$3&amp;$A608))</f>
        <v>0</v>
      </c>
      <c r="AZ608" s="2707">
        <f t="shared" ca="1" si="1133"/>
        <v>0</v>
      </c>
      <c r="BA608" s="2708">
        <f t="shared" ca="1" si="1134"/>
        <v>0</v>
      </c>
      <c r="BC608" s="1926">
        <f ca="1">SUM((INDIRECT(BC$2&amp;(ROW())):INDIRECT(BC$3&amp;(ROW()))))</f>
        <v>0</v>
      </c>
      <c r="BD608" s="1926">
        <f ca="1">SUM(INDIRECT(BD$1&amp;BD$2&amp;$C608):INDIRECT(BD$1&amp;BD$3&amp;$C608))</f>
        <v>0</v>
      </c>
      <c r="BE608" s="2707">
        <f t="shared" ca="1" si="1135"/>
        <v>0</v>
      </c>
      <c r="BF608" s="2708">
        <f t="shared" ca="1" si="1136"/>
        <v>0</v>
      </c>
      <c r="BG608" s="1926">
        <f ca="1">SUM(INDIRECT(BG$1&amp;BG$2&amp;$A608):INDIRECT(BG$1&amp;BG$3&amp;$A608))</f>
        <v>0</v>
      </c>
      <c r="BH608" s="2707">
        <f t="shared" ca="1" si="1137"/>
        <v>0</v>
      </c>
      <c r="BI608" s="2708">
        <f t="shared" ca="1" si="1138"/>
        <v>0</v>
      </c>
    </row>
    <row r="609" spans="1:61" ht="14.5">
      <c r="A609" s="1693">
        <f t="shared" si="1164"/>
        <v>601</v>
      </c>
      <c r="B609" s="616">
        <v>1</v>
      </c>
      <c r="C609" s="1693">
        <f t="shared" si="1161"/>
        <v>609</v>
      </c>
      <c r="D609" s="616">
        <v>1</v>
      </c>
      <c r="F609" s="69"/>
      <c r="J609" s="73"/>
      <c r="K609" s="72"/>
      <c r="L609" s="68"/>
      <c r="M609" s="68"/>
      <c r="N609" s="65" t="s">
        <v>116</v>
      </c>
      <c r="O609" s="284"/>
      <c r="P609" s="284"/>
      <c r="Q609" s="284"/>
      <c r="R609" s="1777" t="str">
        <f>CHOOSE(2, "6722000003520", "S/GP (2) Gross Profit Direct Solution")</f>
        <v>S/GP (2) Gross Profit Direct Solution</v>
      </c>
      <c r="S609" s="1249">
        <f>SUM(S610:S613)</f>
        <v>0</v>
      </c>
      <c r="T609" s="1249">
        <f t="shared" ref="T609:AD609" si="1177">SUM(T610:T613)</f>
        <v>0</v>
      </c>
      <c r="U609" s="1249">
        <f t="shared" si="1177"/>
        <v>0</v>
      </c>
      <c r="V609" s="1249">
        <f t="shared" si="1177"/>
        <v>0</v>
      </c>
      <c r="W609" s="1249">
        <f t="shared" si="1177"/>
        <v>0</v>
      </c>
      <c r="X609" s="1249">
        <f t="shared" si="1177"/>
        <v>-781.53673000000015</v>
      </c>
      <c r="Y609" s="1249">
        <f t="shared" si="1177"/>
        <v>-847.62668000000008</v>
      </c>
      <c r="Z609" s="1249">
        <f t="shared" si="1177"/>
        <v>136.827</v>
      </c>
      <c r="AA609" s="1249">
        <f t="shared" si="1177"/>
        <v>0</v>
      </c>
      <c r="AB609" s="1249">
        <f t="shared" si="1177"/>
        <v>87.736000000000004</v>
      </c>
      <c r="AC609" s="1249">
        <f t="shared" si="1177"/>
        <v>60.735999999999997</v>
      </c>
      <c r="AD609" s="1249">
        <f t="shared" si="1177"/>
        <v>334.98899999999998</v>
      </c>
      <c r="AE609" s="898">
        <f t="shared" ref="AE609:AK609" si="1178">SUM(AE610:AE613)</f>
        <v>0</v>
      </c>
      <c r="AF609" s="1249">
        <f t="shared" si="1178"/>
        <v>-781.53673000000015</v>
      </c>
      <c r="AG609" s="1249">
        <f t="shared" si="1178"/>
        <v>-710.79968000000008</v>
      </c>
      <c r="AH609" s="1249">
        <f t="shared" si="1178"/>
        <v>483.46100000000001</v>
      </c>
      <c r="AI609" s="1249">
        <f t="shared" si="1178"/>
        <v>-781.53673000000015</v>
      </c>
      <c r="AJ609" s="1249">
        <f t="shared" si="1178"/>
        <v>-227.33868000000007</v>
      </c>
      <c r="AK609" s="1249">
        <f t="shared" si="1178"/>
        <v>-1008.8754100000002</v>
      </c>
      <c r="AM609" s="2570">
        <f ca="1">SUM((INDIRECT(AM$2&amp;(ROW())):INDIRECT(AM$3&amp;(ROW()))))</f>
        <v>0</v>
      </c>
      <c r="AN609" s="2570">
        <f ca="1">SUM(INDIRECT(AN$1&amp;AN$2&amp;$C609):INDIRECT(AN$1&amp;AN$3&amp;$C609))</f>
        <v>249.75</v>
      </c>
      <c r="AO609" s="2910">
        <f t="shared" ca="1" si="1147"/>
        <v>-249.75</v>
      </c>
      <c r="AP609" s="2911">
        <f t="shared" ca="1" si="1129"/>
        <v>0</v>
      </c>
      <c r="AQ609" s="2570">
        <f ca="1">SUM(INDIRECT(AQ$1&amp;AQ$2&amp;$A609):INDIRECT(AQ$1&amp;AQ$3&amp;$A609))</f>
        <v>0</v>
      </c>
      <c r="AR609" s="2910">
        <f t="shared" ca="1" si="1148"/>
        <v>0</v>
      </c>
      <c r="AS609" s="2911">
        <f t="shared" ca="1" si="1130"/>
        <v>0</v>
      </c>
      <c r="AU609" s="2570">
        <f ca="1">SUM((INDIRECT(AU$2&amp;(ROW())):INDIRECT(AU$3&amp;(ROW()))))</f>
        <v>0</v>
      </c>
      <c r="AV609" s="2570">
        <f ca="1">SUM(INDIRECT(AV$1&amp;AV$2&amp;$C609):INDIRECT(AV$1&amp;AV$3&amp;$C609))</f>
        <v>249.75</v>
      </c>
      <c r="AW609" s="2910">
        <f t="shared" ca="1" si="1131"/>
        <v>-249.75</v>
      </c>
      <c r="AX609" s="2911">
        <f t="shared" ca="1" si="1132"/>
        <v>0</v>
      </c>
      <c r="AY609" s="2570">
        <f ca="1">SUM(INDIRECT(AY$1&amp;AY$2&amp;$A609):INDIRECT(AY$1&amp;AY$3&amp;$A609))</f>
        <v>0</v>
      </c>
      <c r="AZ609" s="2910">
        <f t="shared" ca="1" si="1133"/>
        <v>0</v>
      </c>
      <c r="BA609" s="2911">
        <f t="shared" ca="1" si="1134"/>
        <v>0</v>
      </c>
      <c r="BC609" s="2570">
        <f ca="1">SUM((INDIRECT(BC$2&amp;(ROW())):INDIRECT(BC$3&amp;(ROW()))))</f>
        <v>0</v>
      </c>
      <c r="BD609" s="2570">
        <f ca="1">SUM(INDIRECT(BD$1&amp;BD$2&amp;$C609):INDIRECT(BD$1&amp;BD$3&amp;$C609))</f>
        <v>249.75</v>
      </c>
      <c r="BE609" s="2910">
        <f t="shared" ca="1" si="1135"/>
        <v>-249.75</v>
      </c>
      <c r="BF609" s="2911">
        <f t="shared" ca="1" si="1136"/>
        <v>0</v>
      </c>
      <c r="BG609" s="2570">
        <f ca="1">SUM(INDIRECT(BG$1&amp;BG$2&amp;$A609):INDIRECT(BG$1&amp;BG$3&amp;$A609))</f>
        <v>0</v>
      </c>
      <c r="BH609" s="2910">
        <f t="shared" ca="1" si="1137"/>
        <v>0</v>
      </c>
      <c r="BI609" s="2911">
        <f t="shared" ca="1" si="1138"/>
        <v>0</v>
      </c>
    </row>
    <row r="610" spans="1:61" ht="14.5">
      <c r="A610" s="1693">
        <f t="shared" si="1164"/>
        <v>602</v>
      </c>
      <c r="B610" s="616">
        <v>1</v>
      </c>
      <c r="C610" s="1693">
        <f t="shared" si="1161"/>
        <v>610</v>
      </c>
      <c r="D610" s="616">
        <v>1</v>
      </c>
      <c r="F610" s="69"/>
      <c r="J610" s="73"/>
      <c r="K610" s="72"/>
      <c r="L610" s="68"/>
      <c r="M610" s="68"/>
      <c r="O610" s="97"/>
      <c r="P610" s="97"/>
      <c r="Q610" s="97" t="s">
        <v>53</v>
      </c>
      <c r="R610" s="1779" t="str">
        <f>CHOOSE(2, "6722000003521", "S/GP (2) Gross Profit Direct Solution HWware")</f>
        <v>S/GP (2) Gross Profit Direct Solution HWware</v>
      </c>
      <c r="S610" s="1227"/>
      <c r="T610" s="1227"/>
      <c r="U610" s="1227"/>
      <c r="V610" s="1227"/>
      <c r="W610" s="1227"/>
      <c r="X610" s="1227">
        <v>-781.53673000000015</v>
      </c>
      <c r="Y610" s="1227">
        <v>-847.62668000000008</v>
      </c>
      <c r="Z610" s="1227">
        <v>136.827</v>
      </c>
      <c r="AA610" s="1227"/>
      <c r="AB610" s="1227">
        <v>87.736000000000004</v>
      </c>
      <c r="AC610" s="1227">
        <v>60.735999999999997</v>
      </c>
      <c r="AD610" s="1227">
        <v>334.98899999999998</v>
      </c>
      <c r="AE610" s="295">
        <f>SUM(S610,T610,U610)</f>
        <v>0</v>
      </c>
      <c r="AF610" s="96">
        <f>SUM(V610,W610,X610)</f>
        <v>-781.53673000000015</v>
      </c>
      <c r="AG610" s="96">
        <f>SUM(Y610,Z610,AA610)</f>
        <v>-710.79968000000008</v>
      </c>
      <c r="AH610" s="96">
        <f>SUM(AB610,AC610,AD610)</f>
        <v>483.46100000000001</v>
      </c>
      <c r="AI610" s="96">
        <f>AE610+AF610</f>
        <v>-781.53673000000015</v>
      </c>
      <c r="AJ610" s="96">
        <f>AH610+AG610</f>
        <v>-227.33868000000007</v>
      </c>
      <c r="AK610" s="96">
        <f>AI610+AJ610</f>
        <v>-1008.8754100000002</v>
      </c>
      <c r="AM610" s="2161">
        <f ca="1">SUM((INDIRECT(AM$2&amp;(ROW())):INDIRECT(AM$3&amp;(ROW()))))</f>
        <v>0</v>
      </c>
      <c r="AN610" s="2161">
        <f ca="1">SUM(INDIRECT(AN$1&amp;AN$2&amp;$C610):INDIRECT(AN$1&amp;AN$3&amp;$C610))</f>
        <v>249.75</v>
      </c>
      <c r="AO610" s="2877">
        <f t="shared" ca="1" si="1147"/>
        <v>-249.75</v>
      </c>
      <c r="AP610" s="2878">
        <f t="shared" ca="1" si="1129"/>
        <v>0</v>
      </c>
      <c r="AQ610" s="2161">
        <f ca="1">SUM(INDIRECT(AQ$1&amp;AQ$2&amp;$A610):INDIRECT(AQ$1&amp;AQ$3&amp;$A610))</f>
        <v>0</v>
      </c>
      <c r="AR610" s="2877">
        <f t="shared" ca="1" si="1148"/>
        <v>0</v>
      </c>
      <c r="AS610" s="2878">
        <f t="shared" ca="1" si="1130"/>
        <v>0</v>
      </c>
      <c r="AU610" s="2161">
        <f ca="1">SUM((INDIRECT(AU$2&amp;(ROW())):INDIRECT(AU$3&amp;(ROW()))))</f>
        <v>0</v>
      </c>
      <c r="AV610" s="2161">
        <f ca="1">SUM(INDIRECT(AV$1&amp;AV$2&amp;$C610):INDIRECT(AV$1&amp;AV$3&amp;$C610))</f>
        <v>249.75</v>
      </c>
      <c r="AW610" s="2877">
        <f t="shared" ca="1" si="1131"/>
        <v>-249.75</v>
      </c>
      <c r="AX610" s="2878">
        <f t="shared" ca="1" si="1132"/>
        <v>0</v>
      </c>
      <c r="AY610" s="2161">
        <f ca="1">SUM(INDIRECT(AY$1&amp;AY$2&amp;$A610):INDIRECT(AY$1&amp;AY$3&amp;$A610))</f>
        <v>0</v>
      </c>
      <c r="AZ610" s="2877">
        <f t="shared" ca="1" si="1133"/>
        <v>0</v>
      </c>
      <c r="BA610" s="2878">
        <f t="shared" ca="1" si="1134"/>
        <v>0</v>
      </c>
      <c r="BC610" s="2161">
        <f ca="1">SUM((INDIRECT(BC$2&amp;(ROW())):INDIRECT(BC$3&amp;(ROW()))))</f>
        <v>0</v>
      </c>
      <c r="BD610" s="2161">
        <f ca="1">SUM(INDIRECT(BD$1&amp;BD$2&amp;$C610):INDIRECT(BD$1&amp;BD$3&amp;$C610))</f>
        <v>249.75</v>
      </c>
      <c r="BE610" s="2877">
        <f t="shared" ca="1" si="1135"/>
        <v>-249.75</v>
      </c>
      <c r="BF610" s="2878">
        <f t="shared" ca="1" si="1136"/>
        <v>0</v>
      </c>
      <c r="BG610" s="2161">
        <f ca="1">SUM(INDIRECT(BG$1&amp;BG$2&amp;$A610):INDIRECT(BG$1&amp;BG$3&amp;$A610))</f>
        <v>0</v>
      </c>
      <c r="BH610" s="2877">
        <f t="shared" ca="1" si="1137"/>
        <v>0</v>
      </c>
      <c r="BI610" s="2878">
        <f t="shared" ca="1" si="1138"/>
        <v>0</v>
      </c>
    </row>
    <row r="611" spans="1:61" ht="14.5">
      <c r="A611" s="1693">
        <f t="shared" si="1164"/>
        <v>603</v>
      </c>
      <c r="B611" s="616">
        <v>1</v>
      </c>
      <c r="C611" s="1693">
        <f t="shared" si="1161"/>
        <v>611</v>
      </c>
      <c r="D611" s="616">
        <v>1</v>
      </c>
      <c r="F611" s="69"/>
      <c r="J611" s="73"/>
      <c r="K611" s="72"/>
      <c r="L611" s="68"/>
      <c r="M611" s="68"/>
      <c r="Q611" s="8" t="s">
        <v>134</v>
      </c>
      <c r="R611" s="1779" t="str">
        <f>CHOOSE(2, "6722000003522", "S/GP (2) Gross Profit Direct Solution Software")</f>
        <v>S/GP (2) Gross Profit Direct Solution Software</v>
      </c>
      <c r="S611" s="1217"/>
      <c r="T611" s="1217"/>
      <c r="U611" s="1217"/>
      <c r="V611" s="1217"/>
      <c r="W611" s="1217"/>
      <c r="X611" s="1217"/>
      <c r="Y611" s="1217"/>
      <c r="Z611" s="1217"/>
      <c r="AA611" s="1217"/>
      <c r="AB611" s="1217"/>
      <c r="AC611" s="1217"/>
      <c r="AD611" s="1217"/>
      <c r="AE611" s="88">
        <f>SUM(S611,T611,U611)</f>
        <v>0</v>
      </c>
      <c r="AF611" s="17">
        <f>SUM(V611,W611,X611)</f>
        <v>0</v>
      </c>
      <c r="AG611" s="17">
        <f>SUM(Y611,Z611,AA611)</f>
        <v>0</v>
      </c>
      <c r="AH611" s="17">
        <f>SUM(AB611,AC611,AD611)</f>
        <v>0</v>
      </c>
      <c r="AI611" s="17">
        <f>AE611+AF611</f>
        <v>0</v>
      </c>
      <c r="AJ611" s="17">
        <f>AH611+AG611</f>
        <v>0</v>
      </c>
      <c r="AK611" s="17">
        <f>AI611+AJ611</f>
        <v>0</v>
      </c>
      <c r="AM611" s="1926">
        <f ca="1">SUM((INDIRECT(AM$2&amp;(ROW())):INDIRECT(AM$3&amp;(ROW()))))</f>
        <v>0</v>
      </c>
      <c r="AN611" s="1926">
        <f ca="1">SUM(INDIRECT(AN$1&amp;AN$2&amp;$C611):INDIRECT(AN$1&amp;AN$3&amp;$C611))</f>
        <v>0</v>
      </c>
      <c r="AO611" s="2707">
        <f t="shared" ca="1" si="1147"/>
        <v>0</v>
      </c>
      <c r="AP611" s="2708">
        <f t="shared" ca="1" si="1129"/>
        <v>0</v>
      </c>
      <c r="AQ611" s="1926">
        <f ca="1">SUM(INDIRECT(AQ$1&amp;AQ$2&amp;$A611):INDIRECT(AQ$1&amp;AQ$3&amp;$A611))</f>
        <v>0</v>
      </c>
      <c r="AR611" s="2707">
        <f t="shared" ca="1" si="1148"/>
        <v>0</v>
      </c>
      <c r="AS611" s="2708">
        <f t="shared" ca="1" si="1130"/>
        <v>0</v>
      </c>
      <c r="AU611" s="1926">
        <f ca="1">SUM((INDIRECT(AU$2&amp;(ROW())):INDIRECT(AU$3&amp;(ROW()))))</f>
        <v>0</v>
      </c>
      <c r="AV611" s="1926">
        <f ca="1">SUM(INDIRECT(AV$1&amp;AV$2&amp;$C611):INDIRECT(AV$1&amp;AV$3&amp;$C611))</f>
        <v>0</v>
      </c>
      <c r="AW611" s="2707">
        <f t="shared" ca="1" si="1131"/>
        <v>0</v>
      </c>
      <c r="AX611" s="2708">
        <f t="shared" ca="1" si="1132"/>
        <v>0</v>
      </c>
      <c r="AY611" s="1926">
        <f ca="1">SUM(INDIRECT(AY$1&amp;AY$2&amp;$A611):INDIRECT(AY$1&amp;AY$3&amp;$A611))</f>
        <v>0</v>
      </c>
      <c r="AZ611" s="2707">
        <f t="shared" ca="1" si="1133"/>
        <v>0</v>
      </c>
      <c r="BA611" s="2708">
        <f t="shared" ca="1" si="1134"/>
        <v>0</v>
      </c>
      <c r="BC611" s="1926">
        <f ca="1">SUM((INDIRECT(BC$2&amp;(ROW())):INDIRECT(BC$3&amp;(ROW()))))</f>
        <v>0</v>
      </c>
      <c r="BD611" s="1926">
        <f ca="1">SUM(INDIRECT(BD$1&amp;BD$2&amp;$C611):INDIRECT(BD$1&amp;BD$3&amp;$C611))</f>
        <v>0</v>
      </c>
      <c r="BE611" s="2707">
        <f t="shared" ca="1" si="1135"/>
        <v>0</v>
      </c>
      <c r="BF611" s="2708">
        <f t="shared" ca="1" si="1136"/>
        <v>0</v>
      </c>
      <c r="BG611" s="1926">
        <f ca="1">SUM(INDIRECT(BG$1&amp;BG$2&amp;$A611):INDIRECT(BG$1&amp;BG$3&amp;$A611))</f>
        <v>0</v>
      </c>
      <c r="BH611" s="2707">
        <f t="shared" ca="1" si="1137"/>
        <v>0</v>
      </c>
      <c r="BI611" s="2708">
        <f t="shared" ca="1" si="1138"/>
        <v>0</v>
      </c>
    </row>
    <row r="612" spans="1:61" ht="14.5">
      <c r="A612" s="1693">
        <f t="shared" si="1164"/>
        <v>604</v>
      </c>
      <c r="B612" s="616">
        <v>1</v>
      </c>
      <c r="C612" s="1693">
        <f t="shared" si="1161"/>
        <v>612</v>
      </c>
      <c r="D612" s="616">
        <v>1</v>
      </c>
      <c r="F612" s="69"/>
      <c r="J612" s="73"/>
      <c r="K612" s="72"/>
      <c r="L612" s="68"/>
      <c r="M612" s="68"/>
      <c r="Q612" s="8" t="s">
        <v>135</v>
      </c>
      <c r="R612" s="1779" t="str">
        <f>CHOOSE(2, "6722000003523", "S/GP (2) Gross Profit Direct Solution Professional Service")</f>
        <v>S/GP (2) Gross Profit Direct Solution Professional Service</v>
      </c>
      <c r="S612" s="1217"/>
      <c r="T612" s="1217"/>
      <c r="U612" s="1217"/>
      <c r="V612" s="1217"/>
      <c r="W612" s="1217"/>
      <c r="X612" s="1217"/>
      <c r="Y612" s="1217"/>
      <c r="Z612" s="1217"/>
      <c r="AA612" s="1217"/>
      <c r="AB612" s="1217"/>
      <c r="AC612" s="1217"/>
      <c r="AD612" s="1217"/>
      <c r="AE612" s="88">
        <f>SUM(S612,T612,U612)</f>
        <v>0</v>
      </c>
      <c r="AF612" s="17">
        <f>SUM(V612,W612,X612)</f>
        <v>0</v>
      </c>
      <c r="AG612" s="17">
        <f>SUM(Y612,Z612,AA612)</f>
        <v>0</v>
      </c>
      <c r="AH612" s="17">
        <f>SUM(AB612,AC612,AD612)</f>
        <v>0</v>
      </c>
      <c r="AI612" s="17">
        <f>AE612+AF612</f>
        <v>0</v>
      </c>
      <c r="AJ612" s="17">
        <f>AH612+AG612</f>
        <v>0</v>
      </c>
      <c r="AK612" s="17">
        <f>AI612+AJ612</f>
        <v>0</v>
      </c>
      <c r="AM612" s="1926">
        <f ca="1">SUM((INDIRECT(AM$2&amp;(ROW())):INDIRECT(AM$3&amp;(ROW()))))</f>
        <v>0</v>
      </c>
      <c r="AN612" s="1926">
        <f ca="1">SUM(INDIRECT(AN$1&amp;AN$2&amp;$C612):INDIRECT(AN$1&amp;AN$3&amp;$C612))</f>
        <v>0</v>
      </c>
      <c r="AO612" s="2707">
        <f t="shared" ca="1" si="1147"/>
        <v>0</v>
      </c>
      <c r="AP612" s="2708">
        <f t="shared" ca="1" si="1129"/>
        <v>0</v>
      </c>
      <c r="AQ612" s="1926">
        <f ca="1">SUM(INDIRECT(AQ$1&amp;AQ$2&amp;$A612):INDIRECT(AQ$1&amp;AQ$3&amp;$A612))</f>
        <v>0</v>
      </c>
      <c r="AR612" s="2707">
        <f t="shared" ca="1" si="1148"/>
        <v>0</v>
      </c>
      <c r="AS612" s="2708">
        <f t="shared" ca="1" si="1130"/>
        <v>0</v>
      </c>
      <c r="AU612" s="1926">
        <f ca="1">SUM((INDIRECT(AU$2&amp;(ROW())):INDIRECT(AU$3&amp;(ROW()))))</f>
        <v>0</v>
      </c>
      <c r="AV612" s="1926">
        <f ca="1">SUM(INDIRECT(AV$1&amp;AV$2&amp;$C612):INDIRECT(AV$1&amp;AV$3&amp;$C612))</f>
        <v>0</v>
      </c>
      <c r="AW612" s="2707">
        <f t="shared" ca="1" si="1131"/>
        <v>0</v>
      </c>
      <c r="AX612" s="2708">
        <f t="shared" ca="1" si="1132"/>
        <v>0</v>
      </c>
      <c r="AY612" s="1926">
        <f ca="1">SUM(INDIRECT(AY$1&amp;AY$2&amp;$A612):INDIRECT(AY$1&amp;AY$3&amp;$A612))</f>
        <v>0</v>
      </c>
      <c r="AZ612" s="2707">
        <f t="shared" ca="1" si="1133"/>
        <v>0</v>
      </c>
      <c r="BA612" s="2708">
        <f t="shared" ca="1" si="1134"/>
        <v>0</v>
      </c>
      <c r="BC612" s="1926">
        <f ca="1">SUM((INDIRECT(BC$2&amp;(ROW())):INDIRECT(BC$3&amp;(ROW()))))</f>
        <v>0</v>
      </c>
      <c r="BD612" s="1926">
        <f ca="1">SUM(INDIRECT(BD$1&amp;BD$2&amp;$C612):INDIRECT(BD$1&amp;BD$3&amp;$C612))</f>
        <v>0</v>
      </c>
      <c r="BE612" s="2707">
        <f t="shared" ca="1" si="1135"/>
        <v>0</v>
      </c>
      <c r="BF612" s="2708">
        <f t="shared" ca="1" si="1136"/>
        <v>0</v>
      </c>
      <c r="BG612" s="1926">
        <f ca="1">SUM(INDIRECT(BG$1&amp;BG$2&amp;$A612):INDIRECT(BG$1&amp;BG$3&amp;$A612))</f>
        <v>0</v>
      </c>
      <c r="BH612" s="2707">
        <f t="shared" ca="1" si="1137"/>
        <v>0</v>
      </c>
      <c r="BI612" s="2708">
        <f t="shared" ca="1" si="1138"/>
        <v>0</v>
      </c>
    </row>
    <row r="613" spans="1:61" ht="14.5">
      <c r="A613" s="1693">
        <f t="shared" si="1164"/>
        <v>605</v>
      </c>
      <c r="B613" s="616">
        <v>1</v>
      </c>
      <c r="C613" s="1693">
        <f t="shared" si="1161"/>
        <v>613</v>
      </c>
      <c r="D613" s="616">
        <v>1</v>
      </c>
      <c r="F613" s="69"/>
      <c r="J613" s="73"/>
      <c r="K613" s="72"/>
      <c r="L613" s="68"/>
      <c r="M613" s="68"/>
      <c r="N613" s="11"/>
      <c r="O613" s="11"/>
      <c r="P613" s="11"/>
      <c r="Q613" s="11" t="s">
        <v>51</v>
      </c>
      <c r="R613" s="1779" t="str">
        <f>CHOOSE(2, "6722000003524", "S/GP (2) Gross Profit Direct Solution Others")</f>
        <v>S/GP (2) Gross Profit Direct Solution Others</v>
      </c>
      <c r="S613" s="1218"/>
      <c r="T613" s="1218"/>
      <c r="U613" s="1218"/>
      <c r="V613" s="1218"/>
      <c r="W613" s="1218"/>
      <c r="X613" s="1218"/>
      <c r="Y613" s="1218"/>
      <c r="Z613" s="1218"/>
      <c r="AA613" s="1218"/>
      <c r="AB613" s="1218"/>
      <c r="AC613" s="1218"/>
      <c r="AD613" s="1218"/>
      <c r="AE613" s="87">
        <f>SUM(S613,T613,U613)</f>
        <v>0</v>
      </c>
      <c r="AF613" s="15">
        <f>SUM(V613,W613,X613)</f>
        <v>0</v>
      </c>
      <c r="AG613" s="15">
        <f>SUM(Y613,Z613,AA613)</f>
        <v>0</v>
      </c>
      <c r="AH613" s="15">
        <f>SUM(AB613,AC613,AD613)</f>
        <v>0</v>
      </c>
      <c r="AI613" s="15">
        <f>AE613+AF613</f>
        <v>0</v>
      </c>
      <c r="AJ613" s="15">
        <f>AH613+AG613</f>
        <v>0</v>
      </c>
      <c r="AK613" s="15">
        <f>AI613+AJ613</f>
        <v>0</v>
      </c>
      <c r="AM613" s="1928">
        <f ca="1">SUM((INDIRECT(AM$2&amp;(ROW())):INDIRECT(AM$3&amp;(ROW()))))</f>
        <v>0</v>
      </c>
      <c r="AN613" s="1928">
        <f ca="1">SUM(INDIRECT(AN$1&amp;AN$2&amp;$C613):INDIRECT(AN$1&amp;AN$3&amp;$C613))</f>
        <v>0</v>
      </c>
      <c r="AO613" s="2709">
        <f t="shared" ca="1" si="1147"/>
        <v>0</v>
      </c>
      <c r="AP613" s="2710">
        <f t="shared" ca="1" si="1129"/>
        <v>0</v>
      </c>
      <c r="AQ613" s="1928">
        <f ca="1">SUM(INDIRECT(AQ$1&amp;AQ$2&amp;$A613):INDIRECT(AQ$1&amp;AQ$3&amp;$A613))</f>
        <v>0</v>
      </c>
      <c r="AR613" s="2709">
        <f t="shared" ca="1" si="1148"/>
        <v>0</v>
      </c>
      <c r="AS613" s="2710">
        <f t="shared" ca="1" si="1130"/>
        <v>0</v>
      </c>
      <c r="AU613" s="1928">
        <f ca="1">SUM((INDIRECT(AU$2&amp;(ROW())):INDIRECT(AU$3&amp;(ROW()))))</f>
        <v>0</v>
      </c>
      <c r="AV613" s="1928">
        <f ca="1">SUM(INDIRECT(AV$1&amp;AV$2&amp;$C613):INDIRECT(AV$1&amp;AV$3&amp;$C613))</f>
        <v>0</v>
      </c>
      <c r="AW613" s="2709">
        <f t="shared" ca="1" si="1131"/>
        <v>0</v>
      </c>
      <c r="AX613" s="2710">
        <f t="shared" ca="1" si="1132"/>
        <v>0</v>
      </c>
      <c r="AY613" s="1928">
        <f ca="1">SUM(INDIRECT(AY$1&amp;AY$2&amp;$A613):INDIRECT(AY$1&amp;AY$3&amp;$A613))</f>
        <v>0</v>
      </c>
      <c r="AZ613" s="2709">
        <f t="shared" ca="1" si="1133"/>
        <v>0</v>
      </c>
      <c r="BA613" s="2710">
        <f t="shared" ca="1" si="1134"/>
        <v>0</v>
      </c>
      <c r="BC613" s="1928">
        <f ca="1">SUM((INDIRECT(BC$2&amp;(ROW())):INDIRECT(BC$3&amp;(ROW()))))</f>
        <v>0</v>
      </c>
      <c r="BD613" s="1928">
        <f ca="1">SUM(INDIRECT(BD$1&amp;BD$2&amp;$C613):INDIRECT(BD$1&amp;BD$3&amp;$C613))</f>
        <v>0</v>
      </c>
      <c r="BE613" s="2709">
        <f t="shared" ca="1" si="1135"/>
        <v>0</v>
      </c>
      <c r="BF613" s="2710">
        <f t="shared" ca="1" si="1136"/>
        <v>0</v>
      </c>
      <c r="BG613" s="1928">
        <f ca="1">SUM(INDIRECT(BG$1&amp;BG$2&amp;$A613):INDIRECT(BG$1&amp;BG$3&amp;$A613))</f>
        <v>0</v>
      </c>
      <c r="BH613" s="2709">
        <f t="shared" ca="1" si="1137"/>
        <v>0</v>
      </c>
      <c r="BI613" s="2710">
        <f t="shared" ca="1" si="1138"/>
        <v>0</v>
      </c>
    </row>
    <row r="614" spans="1:61" ht="14.5">
      <c r="A614" s="1693">
        <f t="shared" si="1164"/>
        <v>606</v>
      </c>
      <c r="B614" s="616">
        <v>1</v>
      </c>
      <c r="C614" s="1693">
        <f t="shared" si="1161"/>
        <v>614</v>
      </c>
      <c r="D614" s="616">
        <v>1</v>
      </c>
      <c r="F614" s="69"/>
      <c r="J614" s="73"/>
      <c r="K614" s="72"/>
      <c r="L614" s="68"/>
      <c r="M614" s="68"/>
      <c r="N614" s="8" t="s">
        <v>51</v>
      </c>
      <c r="R614" s="1779" t="str">
        <f>CHOOSE(2, "6722000003525", "S/GP (2) Gross Profit Direct Others")</f>
        <v>S/GP (2) Gross Profit Direct Others</v>
      </c>
      <c r="S614" s="1217"/>
      <c r="T614" s="1217"/>
      <c r="U614" s="1217"/>
      <c r="V614" s="1217"/>
      <c r="W614" s="1217"/>
      <c r="X614" s="1217"/>
      <c r="Y614" s="1217"/>
      <c r="Z614" s="1217"/>
      <c r="AA614" s="1217"/>
      <c r="AB614" s="1217"/>
      <c r="AC614" s="1217"/>
      <c r="AD614" s="1217"/>
      <c r="AE614" s="88">
        <f>SUM(S614,T614,U614)</f>
        <v>0</v>
      </c>
      <c r="AF614" s="17">
        <f>SUM(V614,W614,X614)</f>
        <v>0</v>
      </c>
      <c r="AG614" s="17">
        <f>SUM(Y614,Z614,AA614)</f>
        <v>0</v>
      </c>
      <c r="AH614" s="17">
        <f>SUM(AB614,AC614,AD614)</f>
        <v>0</v>
      </c>
      <c r="AI614" s="17">
        <f>AE614+AF614</f>
        <v>0</v>
      </c>
      <c r="AJ614" s="17">
        <f>AH614+AG614</f>
        <v>0</v>
      </c>
      <c r="AK614" s="17">
        <f>AI614+AJ614</f>
        <v>0</v>
      </c>
      <c r="AM614" s="1926">
        <f ca="1">SUM((INDIRECT(AM$2&amp;(ROW())):INDIRECT(AM$3&amp;(ROW()))))</f>
        <v>0</v>
      </c>
      <c r="AN614" s="1926">
        <f ca="1">SUM(INDIRECT(AN$1&amp;AN$2&amp;$C614):INDIRECT(AN$1&amp;AN$3&amp;$C614))</f>
        <v>0</v>
      </c>
      <c r="AO614" s="2707">
        <f t="shared" ca="1" si="1147"/>
        <v>0</v>
      </c>
      <c r="AP614" s="2708">
        <f t="shared" ca="1" si="1129"/>
        <v>0</v>
      </c>
      <c r="AQ614" s="1926">
        <f ca="1">SUM(INDIRECT(AQ$1&amp;AQ$2&amp;$A614):INDIRECT(AQ$1&amp;AQ$3&amp;$A614))</f>
        <v>0</v>
      </c>
      <c r="AR614" s="2707">
        <f t="shared" ca="1" si="1148"/>
        <v>0</v>
      </c>
      <c r="AS614" s="2708">
        <f t="shared" ca="1" si="1130"/>
        <v>0</v>
      </c>
      <c r="AU614" s="1926">
        <f ca="1">SUM((INDIRECT(AU$2&amp;(ROW())):INDIRECT(AU$3&amp;(ROW()))))</f>
        <v>0</v>
      </c>
      <c r="AV614" s="1926">
        <f ca="1">SUM(INDIRECT(AV$1&amp;AV$2&amp;$C614):INDIRECT(AV$1&amp;AV$3&amp;$C614))</f>
        <v>0</v>
      </c>
      <c r="AW614" s="2707">
        <f t="shared" ca="1" si="1131"/>
        <v>0</v>
      </c>
      <c r="AX614" s="2708">
        <f t="shared" ca="1" si="1132"/>
        <v>0</v>
      </c>
      <c r="AY614" s="1926">
        <f ca="1">SUM(INDIRECT(AY$1&amp;AY$2&amp;$A614):INDIRECT(AY$1&amp;AY$3&amp;$A614))</f>
        <v>0</v>
      </c>
      <c r="AZ614" s="2707">
        <f t="shared" ca="1" si="1133"/>
        <v>0</v>
      </c>
      <c r="BA614" s="2708">
        <f t="shared" ca="1" si="1134"/>
        <v>0</v>
      </c>
      <c r="BC614" s="1926">
        <f ca="1">SUM((INDIRECT(BC$2&amp;(ROW())):INDIRECT(BC$3&amp;(ROW()))))</f>
        <v>0</v>
      </c>
      <c r="BD614" s="1926">
        <f ca="1">SUM(INDIRECT(BD$1&amp;BD$2&amp;$C614):INDIRECT(BD$1&amp;BD$3&amp;$C614))</f>
        <v>0</v>
      </c>
      <c r="BE614" s="2707">
        <f t="shared" ca="1" si="1135"/>
        <v>0</v>
      </c>
      <c r="BF614" s="2708">
        <f t="shared" ca="1" si="1136"/>
        <v>0</v>
      </c>
      <c r="BG614" s="1926">
        <f ca="1">SUM(INDIRECT(BG$1&amp;BG$2&amp;$A614):INDIRECT(BG$1&amp;BG$3&amp;$A614))</f>
        <v>0</v>
      </c>
      <c r="BH614" s="2707">
        <f t="shared" ca="1" si="1137"/>
        <v>0</v>
      </c>
      <c r="BI614" s="2708">
        <f t="shared" ca="1" si="1138"/>
        <v>0</v>
      </c>
    </row>
    <row r="615" spans="1:61" ht="14.5">
      <c r="A615" s="1693">
        <f t="shared" si="1164"/>
        <v>607</v>
      </c>
      <c r="B615" s="616">
        <v>1</v>
      </c>
      <c r="C615" s="1693">
        <f t="shared" si="1161"/>
        <v>615</v>
      </c>
      <c r="D615" s="616">
        <v>1</v>
      </c>
      <c r="F615" s="69"/>
      <c r="J615" s="73"/>
      <c r="K615" s="72"/>
      <c r="L615" s="75" t="s">
        <v>129</v>
      </c>
      <c r="M615" s="75"/>
      <c r="N615" s="74"/>
      <c r="O615" s="74"/>
      <c r="P615" s="74"/>
      <c r="Q615" s="583"/>
      <c r="R615" s="1802" t="str">
        <f>CHOOSE(2, "6722000003526", "S/GP (2) Gross Profit Indirect")</f>
        <v>S/GP (2) Gross Profit Indirect</v>
      </c>
      <c r="S615" s="1716">
        <f t="shared" ref="S615:AD615" si="1179">+S616+S619+S632+S637</f>
        <v>22524</v>
      </c>
      <c r="T615" s="1716">
        <f t="shared" si="1179"/>
        <v>22063.425160000017</v>
      </c>
      <c r="U615" s="1716">
        <f t="shared" si="1179"/>
        <v>14302.14824951526</v>
      </c>
      <c r="V615" s="1716">
        <f t="shared" si="1179"/>
        <v>16424.873506306245</v>
      </c>
      <c r="W615" s="1716">
        <f t="shared" si="1179"/>
        <v>22421.08571817023</v>
      </c>
      <c r="X615" s="1716">
        <f t="shared" si="1179"/>
        <v>28078.677669641987</v>
      </c>
      <c r="Y615" s="1716">
        <f t="shared" si="1179"/>
        <v>22193.062409322469</v>
      </c>
      <c r="Z615" s="1716">
        <f t="shared" si="1179"/>
        <v>26857.483425401308</v>
      </c>
      <c r="AA615" s="1716">
        <f t="shared" si="1179"/>
        <v>20776.584325727745</v>
      </c>
      <c r="AB615" s="1716">
        <f t="shared" si="1179"/>
        <v>26434.317592130148</v>
      </c>
      <c r="AC615" s="1716">
        <f t="shared" si="1179"/>
        <v>22412.183091979761</v>
      </c>
      <c r="AD615" s="1716">
        <f t="shared" si="1179"/>
        <v>30975.470112462248</v>
      </c>
      <c r="AE615" s="1717">
        <f t="shared" ref="AE615:AK615" si="1180">+AE616+AE619+AE632+AE637</f>
        <v>58889.57340951528</v>
      </c>
      <c r="AF615" s="1724">
        <f t="shared" si="1180"/>
        <v>66924.636894118463</v>
      </c>
      <c r="AG615" s="1724">
        <f t="shared" si="1180"/>
        <v>69827.130160451517</v>
      </c>
      <c r="AH615" s="1724">
        <f t="shared" si="1180"/>
        <v>79821.970796572161</v>
      </c>
      <c r="AI615" s="1724">
        <f t="shared" si="1180"/>
        <v>125814.21030363374</v>
      </c>
      <c r="AJ615" s="1724">
        <f t="shared" si="1180"/>
        <v>149649.10095702368</v>
      </c>
      <c r="AK615" s="1724">
        <f t="shared" si="1180"/>
        <v>275463.31126065744</v>
      </c>
      <c r="AM615" s="2203">
        <f ca="1">SUM((INDIRECT(AM$2&amp;(ROW())):INDIRECT(AM$3&amp;(ROW()))))</f>
        <v>22524</v>
      </c>
      <c r="AN615" s="2203">
        <f ca="1">SUM(INDIRECT(AN$1&amp;AN$2&amp;$C615):INDIRECT(AN$1&amp;AN$3&amp;$C615))</f>
        <v>22334.814428337257</v>
      </c>
      <c r="AO615" s="2916">
        <f t="shared" ca="1" si="1147"/>
        <v>189.18557166274331</v>
      </c>
      <c r="AP615" s="2917">
        <f t="shared" ca="1" si="1129"/>
        <v>1.008470434006504</v>
      </c>
      <c r="AQ615" s="2203">
        <f ca="1">SUM(INDIRECT(AQ$1&amp;AQ$2&amp;$A615):INDIRECT(AQ$1&amp;AQ$3&amp;$A615))</f>
        <v>19434</v>
      </c>
      <c r="AR615" s="2916">
        <f t="shared" ca="1" si="1148"/>
        <v>3090</v>
      </c>
      <c r="AS615" s="2917">
        <f t="shared" ca="1" si="1130"/>
        <v>1.1589996912627354</v>
      </c>
      <c r="AU615" s="2203">
        <f ca="1">SUM((INDIRECT(AU$2&amp;(ROW())):INDIRECT(AU$3&amp;(ROW()))))</f>
        <v>22524</v>
      </c>
      <c r="AV615" s="2203">
        <f ca="1">SUM(INDIRECT(AV$1&amp;AV$2&amp;$C615):INDIRECT(AV$1&amp;AV$3&amp;$C615))</f>
        <v>22334.814428337257</v>
      </c>
      <c r="AW615" s="2916">
        <f t="shared" ca="1" si="1131"/>
        <v>189.18557166274331</v>
      </c>
      <c r="AX615" s="2917">
        <f t="shared" ca="1" si="1132"/>
        <v>1.008470434006504</v>
      </c>
      <c r="AY615" s="2203">
        <f ca="1">SUM(INDIRECT(AY$1&amp;AY$2&amp;$A615):INDIRECT(AY$1&amp;AY$3&amp;$A615))</f>
        <v>19434</v>
      </c>
      <c r="AZ615" s="2916">
        <f t="shared" ca="1" si="1133"/>
        <v>3090</v>
      </c>
      <c r="BA615" s="2917">
        <f t="shared" ca="1" si="1134"/>
        <v>1.1589996912627354</v>
      </c>
      <c r="BC615" s="2203">
        <f ca="1">SUM((INDIRECT(BC$2&amp;(ROW())):INDIRECT(BC$3&amp;(ROW()))))</f>
        <v>22524</v>
      </c>
      <c r="BD615" s="2203">
        <f ca="1">SUM(INDIRECT(BD$1&amp;BD$2&amp;$C615):INDIRECT(BD$1&amp;BD$3&amp;$C615))</f>
        <v>22334.814428337257</v>
      </c>
      <c r="BE615" s="2916">
        <f t="shared" ca="1" si="1135"/>
        <v>189.18557166274331</v>
      </c>
      <c r="BF615" s="2917">
        <f t="shared" ca="1" si="1136"/>
        <v>1.008470434006504</v>
      </c>
      <c r="BG615" s="2203">
        <f ca="1">SUM(INDIRECT(BG$1&amp;BG$2&amp;$A615):INDIRECT(BG$1&amp;BG$3&amp;$A615))</f>
        <v>19434</v>
      </c>
      <c r="BH615" s="2916">
        <f t="shared" ca="1" si="1137"/>
        <v>3090</v>
      </c>
      <c r="BI615" s="2917">
        <f t="shared" ca="1" si="1138"/>
        <v>1.1589996912627354</v>
      </c>
    </row>
    <row r="616" spans="1:61" ht="14.5">
      <c r="A616" s="1693">
        <f t="shared" si="1164"/>
        <v>608</v>
      </c>
      <c r="B616" s="616">
        <v>1</v>
      </c>
      <c r="C616" s="1693">
        <f t="shared" si="1161"/>
        <v>616</v>
      </c>
      <c r="D616" s="616">
        <v>1</v>
      </c>
      <c r="F616" s="69"/>
      <c r="J616" s="73"/>
      <c r="K616" s="72"/>
      <c r="L616" s="63"/>
      <c r="M616" s="63"/>
      <c r="N616" s="8" t="s">
        <v>121</v>
      </c>
      <c r="O616" s="285"/>
      <c r="P616" s="285"/>
      <c r="Q616" s="285"/>
      <c r="R616" s="1777" t="str">
        <f>CHOOSE(2, "6722000003527", "S/GP (2) Gross Profit Indirect HW")</f>
        <v>S/GP (2) Gross Profit Indirect HW</v>
      </c>
      <c r="S616" s="1620">
        <f>SUM(S617:S618)</f>
        <v>6287</v>
      </c>
      <c r="T616" s="1248">
        <f t="shared" ref="T616:AD616" si="1181">SUM(T617:T618)</f>
        <v>3839.4855299999995</v>
      </c>
      <c r="U616" s="1248">
        <f t="shared" si="1181"/>
        <v>4000.6483635919335</v>
      </c>
      <c r="V616" s="1248">
        <f t="shared" si="1181"/>
        <v>4238.0206511844344</v>
      </c>
      <c r="W616" s="1248">
        <f t="shared" si="1181"/>
        <v>7607.8360933441336</v>
      </c>
      <c r="X616" s="1248">
        <f t="shared" si="1181"/>
        <v>11304.383708841502</v>
      </c>
      <c r="Y616" s="1248">
        <f t="shared" si="1181"/>
        <v>5656.2528188603565</v>
      </c>
      <c r="Z616" s="1248">
        <f t="shared" si="1181"/>
        <v>12046</v>
      </c>
      <c r="AA616" s="1248">
        <f t="shared" si="1181"/>
        <v>8504.2490692404772</v>
      </c>
      <c r="AB616" s="1248">
        <f t="shared" si="1181"/>
        <v>9141.4279261741067</v>
      </c>
      <c r="AC616" s="1248">
        <f t="shared" si="1181"/>
        <v>6799.1620332623997</v>
      </c>
      <c r="AD616" s="1248">
        <f t="shared" si="1181"/>
        <v>11133.529058896194</v>
      </c>
      <c r="AE616" s="895">
        <f t="shared" ref="AE616:AK616" si="1182">SUM(AE617:AE618)</f>
        <v>14127.133893591934</v>
      </c>
      <c r="AF616" s="1248">
        <f t="shared" si="1182"/>
        <v>23150.240453370068</v>
      </c>
      <c r="AG616" s="1248">
        <f t="shared" si="1182"/>
        <v>26206.501888100836</v>
      </c>
      <c r="AH616" s="1248">
        <f t="shared" si="1182"/>
        <v>27074.119018332702</v>
      </c>
      <c r="AI616" s="1248">
        <f t="shared" si="1182"/>
        <v>37277.374346962002</v>
      </c>
      <c r="AJ616" s="1248">
        <f t="shared" si="1182"/>
        <v>53280.620906433542</v>
      </c>
      <c r="AK616" s="1248">
        <f t="shared" si="1182"/>
        <v>90557.995253395551</v>
      </c>
      <c r="AM616" s="2183">
        <f ca="1">SUM((INDIRECT(AM$2&amp;(ROW())):INDIRECT(AM$3&amp;(ROW()))))</f>
        <v>6287</v>
      </c>
      <c r="AN616" s="2183">
        <f ca="1">SUM(INDIRECT(AN$1&amp;AN$2&amp;$C616):INDIRECT(AN$1&amp;AN$3&amp;$C616))</f>
        <v>5046.929249228062</v>
      </c>
      <c r="AO616" s="2875">
        <f t="shared" ca="1" si="1147"/>
        <v>1240.070750771938</v>
      </c>
      <c r="AP616" s="2876">
        <f t="shared" ca="1" si="1129"/>
        <v>1.2457079720231088</v>
      </c>
      <c r="AQ616" s="2183">
        <f ca="1">SUM(INDIRECT(AQ$1&amp;AQ$2&amp;$A616):INDIRECT(AQ$1&amp;AQ$3&amp;$A616))</f>
        <v>4088</v>
      </c>
      <c r="AR616" s="2875">
        <f t="shared" ca="1" si="1148"/>
        <v>2199</v>
      </c>
      <c r="AS616" s="2876">
        <f t="shared" ca="1" si="1130"/>
        <v>1.5379158512720157</v>
      </c>
      <c r="AU616" s="2183">
        <f ca="1">SUM((INDIRECT(AU$2&amp;(ROW())):INDIRECT(AU$3&amp;(ROW()))))</f>
        <v>6287</v>
      </c>
      <c r="AV616" s="2183">
        <f ca="1">SUM(INDIRECT(AV$1&amp;AV$2&amp;$C616):INDIRECT(AV$1&amp;AV$3&amp;$C616))</f>
        <v>5046.929249228062</v>
      </c>
      <c r="AW616" s="2875">
        <f t="shared" ca="1" si="1131"/>
        <v>1240.070750771938</v>
      </c>
      <c r="AX616" s="2876">
        <f t="shared" ca="1" si="1132"/>
        <v>1.2457079720231088</v>
      </c>
      <c r="AY616" s="2183">
        <f ca="1">SUM(INDIRECT(AY$1&amp;AY$2&amp;$A616):INDIRECT(AY$1&amp;AY$3&amp;$A616))</f>
        <v>4088</v>
      </c>
      <c r="AZ616" s="2875">
        <f t="shared" ca="1" si="1133"/>
        <v>2199</v>
      </c>
      <c r="BA616" s="2876">
        <f t="shared" ca="1" si="1134"/>
        <v>1.5379158512720157</v>
      </c>
      <c r="BC616" s="2183">
        <f ca="1">SUM((INDIRECT(BC$2&amp;(ROW())):INDIRECT(BC$3&amp;(ROW()))))</f>
        <v>6287</v>
      </c>
      <c r="BD616" s="2183">
        <f ca="1">SUM(INDIRECT(BD$1&amp;BD$2&amp;$C616):INDIRECT(BD$1&amp;BD$3&amp;$C616))</f>
        <v>5046.929249228062</v>
      </c>
      <c r="BE616" s="2875">
        <f t="shared" ca="1" si="1135"/>
        <v>1240.070750771938</v>
      </c>
      <c r="BF616" s="2876">
        <f t="shared" ca="1" si="1136"/>
        <v>1.2457079720231088</v>
      </c>
      <c r="BG616" s="2183">
        <f ca="1">SUM(INDIRECT(BG$1&amp;BG$2&amp;$A616):INDIRECT(BG$1&amp;BG$3&amp;$A616))</f>
        <v>4088</v>
      </c>
      <c r="BH616" s="2875">
        <f t="shared" ca="1" si="1137"/>
        <v>2199</v>
      </c>
      <c r="BI616" s="2876">
        <f t="shared" ca="1" si="1138"/>
        <v>1.5379158512720157</v>
      </c>
    </row>
    <row r="617" spans="1:61" ht="14.5">
      <c r="A617" s="1693">
        <f t="shared" si="1164"/>
        <v>609</v>
      </c>
      <c r="B617" s="616">
        <v>1</v>
      </c>
      <c r="C617" s="1693">
        <f t="shared" si="1161"/>
        <v>617</v>
      </c>
      <c r="D617" s="616">
        <v>1</v>
      </c>
      <c r="F617" s="69"/>
      <c r="J617" s="73"/>
      <c r="K617" s="72"/>
      <c r="L617" s="63"/>
      <c r="M617" s="63"/>
      <c r="O617" s="97" t="s">
        <v>122</v>
      </c>
      <c r="P617" s="97"/>
      <c r="Q617" s="97"/>
      <c r="R617" s="1779" t="str">
        <f>CHOOSE(2, "6722000003528", "S/GP (2) Gross Profit Indirect HW KMI")</f>
        <v>S/GP (2) Gross Profit Indirect HW KMI</v>
      </c>
      <c r="S617" s="1247">
        <v>6287</v>
      </c>
      <c r="T617" s="1227">
        <v>3839.4855299999995</v>
      </c>
      <c r="U617" s="1227">
        <v>4000.6483635919335</v>
      </c>
      <c r="V617" s="1227">
        <v>4238.0206511844344</v>
      </c>
      <c r="W617" s="1227">
        <v>7607.8360933441336</v>
      </c>
      <c r="X617" s="1227">
        <v>11304.383708841502</v>
      </c>
      <c r="Y617" s="1227">
        <v>5656.2528188603565</v>
      </c>
      <c r="Z617" s="1227">
        <v>12046</v>
      </c>
      <c r="AA617" s="1227">
        <v>8504.2490692404772</v>
      </c>
      <c r="AB617" s="1227">
        <v>9141.4279261741067</v>
      </c>
      <c r="AC617" s="1227">
        <v>6799.1620332623997</v>
      </c>
      <c r="AD617" s="1227">
        <v>11133.529058896194</v>
      </c>
      <c r="AE617" s="295">
        <f>SUM(S617,T617,U617)</f>
        <v>14127.133893591934</v>
      </c>
      <c r="AF617" s="96">
        <f>SUM(V617,W617,X617)</f>
        <v>23150.240453370068</v>
      </c>
      <c r="AG617" s="96">
        <f>SUM(Y617,Z617,AA617)</f>
        <v>26206.501888100836</v>
      </c>
      <c r="AH617" s="96">
        <f>SUM(AB617,AC617,AD617)</f>
        <v>27074.119018332702</v>
      </c>
      <c r="AI617" s="96">
        <f>AE617+AF617</f>
        <v>37277.374346962002</v>
      </c>
      <c r="AJ617" s="96">
        <f>AH617+AG617</f>
        <v>53280.620906433542</v>
      </c>
      <c r="AK617" s="96">
        <f>AI617+AJ617</f>
        <v>90557.995253395551</v>
      </c>
      <c r="AM617" s="2161">
        <f ca="1">SUM((INDIRECT(AM$2&amp;(ROW())):INDIRECT(AM$3&amp;(ROW()))))</f>
        <v>6287</v>
      </c>
      <c r="AN617" s="2161">
        <f ca="1">SUM(INDIRECT(AN$1&amp;AN$2&amp;$C617):INDIRECT(AN$1&amp;AN$3&amp;$C617))</f>
        <v>5046.929249228062</v>
      </c>
      <c r="AO617" s="2877">
        <f t="shared" ca="1" si="1147"/>
        <v>1240.070750771938</v>
      </c>
      <c r="AP617" s="2878">
        <f t="shared" ca="1" si="1129"/>
        <v>1.2457079720231088</v>
      </c>
      <c r="AQ617" s="2161">
        <f ca="1">SUM(INDIRECT(AQ$1&amp;AQ$2&amp;$A617):INDIRECT(AQ$1&amp;AQ$3&amp;$A617))</f>
        <v>4088</v>
      </c>
      <c r="AR617" s="2877">
        <f t="shared" ca="1" si="1148"/>
        <v>2199</v>
      </c>
      <c r="AS617" s="2878">
        <f t="shared" ca="1" si="1130"/>
        <v>1.5379158512720157</v>
      </c>
      <c r="AU617" s="2161">
        <f ca="1">SUM((INDIRECT(AU$2&amp;(ROW())):INDIRECT(AU$3&amp;(ROW()))))</f>
        <v>6287</v>
      </c>
      <c r="AV617" s="2161">
        <f ca="1">SUM(INDIRECT(AV$1&amp;AV$2&amp;$C617):INDIRECT(AV$1&amp;AV$3&amp;$C617))</f>
        <v>5046.929249228062</v>
      </c>
      <c r="AW617" s="2877">
        <f t="shared" ca="1" si="1131"/>
        <v>1240.070750771938</v>
      </c>
      <c r="AX617" s="2878">
        <f t="shared" ca="1" si="1132"/>
        <v>1.2457079720231088</v>
      </c>
      <c r="AY617" s="2161">
        <f ca="1">SUM(INDIRECT(AY$1&amp;AY$2&amp;$A617):INDIRECT(AY$1&amp;AY$3&amp;$A617))</f>
        <v>4088</v>
      </c>
      <c r="AZ617" s="2877">
        <f t="shared" ca="1" si="1133"/>
        <v>2199</v>
      </c>
      <c r="BA617" s="2878">
        <f t="shared" ca="1" si="1134"/>
        <v>1.5379158512720157</v>
      </c>
      <c r="BC617" s="2161">
        <f ca="1">SUM((INDIRECT(BC$2&amp;(ROW())):INDIRECT(BC$3&amp;(ROW()))))</f>
        <v>6287</v>
      </c>
      <c r="BD617" s="2161">
        <f ca="1">SUM(INDIRECT(BD$1&amp;BD$2&amp;$C617):INDIRECT(BD$1&amp;BD$3&amp;$C617))</f>
        <v>5046.929249228062</v>
      </c>
      <c r="BE617" s="2877">
        <f t="shared" ca="1" si="1135"/>
        <v>1240.070750771938</v>
      </c>
      <c r="BF617" s="2878">
        <f t="shared" ca="1" si="1136"/>
        <v>1.2457079720231088</v>
      </c>
      <c r="BG617" s="2161">
        <f ca="1">SUM(INDIRECT(BG$1&amp;BG$2&amp;$A617):INDIRECT(BG$1&amp;BG$3&amp;$A617))</f>
        <v>4088</v>
      </c>
      <c r="BH617" s="2877">
        <f t="shared" ca="1" si="1137"/>
        <v>2199</v>
      </c>
      <c r="BI617" s="2878">
        <f t="shared" ca="1" si="1138"/>
        <v>1.5379158512720157</v>
      </c>
    </row>
    <row r="618" spans="1:61" ht="14.5">
      <c r="A618" s="1693">
        <f t="shared" si="1164"/>
        <v>610</v>
      </c>
      <c r="B618" s="616">
        <v>1</v>
      </c>
      <c r="C618" s="1693">
        <f t="shared" si="1161"/>
        <v>618</v>
      </c>
      <c r="D618" s="616">
        <v>1</v>
      </c>
      <c r="F618" s="69"/>
      <c r="J618" s="73"/>
      <c r="K618" s="72"/>
      <c r="L618" s="63"/>
      <c r="M618" s="63"/>
      <c r="O618" s="11" t="s">
        <v>125</v>
      </c>
      <c r="P618" s="11"/>
      <c r="Q618" s="11"/>
      <c r="R618" s="1779" t="str">
        <f>CHOOSE(2, "6722000003529", "S/GP (2) Gross Profit Indirect HW 3rd Party")</f>
        <v>S/GP (2) Gross Profit Indirect HW 3rd Party</v>
      </c>
      <c r="S618" s="1225"/>
      <c r="T618" s="1218"/>
      <c r="U618" s="1218"/>
      <c r="V618" s="1218"/>
      <c r="W618" s="1218"/>
      <c r="X618" s="1218"/>
      <c r="Y618" s="1218"/>
      <c r="Z618" s="1218"/>
      <c r="AA618" s="1218"/>
      <c r="AB618" s="1218"/>
      <c r="AC618" s="1218"/>
      <c r="AD618" s="1218"/>
      <c r="AE618" s="87">
        <f>SUM(S618,T618,U618)</f>
        <v>0</v>
      </c>
      <c r="AF618" s="15">
        <f>SUM(V618,W618,X618)</f>
        <v>0</v>
      </c>
      <c r="AG618" s="15">
        <f>SUM(Y618,Z618,AA618)</f>
        <v>0</v>
      </c>
      <c r="AH618" s="15">
        <f>SUM(AB618,AC618,AD618)</f>
        <v>0</v>
      </c>
      <c r="AI618" s="15">
        <f>AE618+AF618</f>
        <v>0</v>
      </c>
      <c r="AJ618" s="15">
        <f>AH618+AG618</f>
        <v>0</v>
      </c>
      <c r="AK618" s="15">
        <f>AI618+AJ618</f>
        <v>0</v>
      </c>
      <c r="AM618" s="1928">
        <f ca="1">SUM((INDIRECT(AM$2&amp;(ROW())):INDIRECT(AM$3&amp;(ROW()))))</f>
        <v>0</v>
      </c>
      <c r="AN618" s="1928">
        <f ca="1">SUM(INDIRECT(AN$1&amp;AN$2&amp;$C618):INDIRECT(AN$1&amp;AN$3&amp;$C618))</f>
        <v>0</v>
      </c>
      <c r="AO618" s="2709">
        <f t="shared" ca="1" si="1147"/>
        <v>0</v>
      </c>
      <c r="AP618" s="2710">
        <f t="shared" ca="1" si="1129"/>
        <v>0</v>
      </c>
      <c r="AQ618" s="1928">
        <f ca="1">SUM(INDIRECT(AQ$1&amp;AQ$2&amp;$A618):INDIRECT(AQ$1&amp;AQ$3&amp;$A618))</f>
        <v>0</v>
      </c>
      <c r="AR618" s="2709">
        <f t="shared" ca="1" si="1148"/>
        <v>0</v>
      </c>
      <c r="AS618" s="2710">
        <f t="shared" ca="1" si="1130"/>
        <v>0</v>
      </c>
      <c r="AU618" s="1928">
        <f ca="1">SUM((INDIRECT(AU$2&amp;(ROW())):INDIRECT(AU$3&amp;(ROW()))))</f>
        <v>0</v>
      </c>
      <c r="AV618" s="1928">
        <f ca="1">SUM(INDIRECT(AV$1&amp;AV$2&amp;$C618):INDIRECT(AV$1&amp;AV$3&amp;$C618))</f>
        <v>0</v>
      </c>
      <c r="AW618" s="2709">
        <f t="shared" ca="1" si="1131"/>
        <v>0</v>
      </c>
      <c r="AX618" s="2710">
        <f t="shared" ca="1" si="1132"/>
        <v>0</v>
      </c>
      <c r="AY618" s="1928">
        <f ca="1">SUM(INDIRECT(AY$1&amp;AY$2&amp;$A618):INDIRECT(AY$1&amp;AY$3&amp;$A618))</f>
        <v>0</v>
      </c>
      <c r="AZ618" s="2709">
        <f t="shared" ca="1" si="1133"/>
        <v>0</v>
      </c>
      <c r="BA618" s="2710">
        <f t="shared" ca="1" si="1134"/>
        <v>0</v>
      </c>
      <c r="BC618" s="1928">
        <f ca="1">SUM((INDIRECT(BC$2&amp;(ROW())):INDIRECT(BC$3&amp;(ROW()))))</f>
        <v>0</v>
      </c>
      <c r="BD618" s="1928">
        <f ca="1">SUM(INDIRECT(BD$1&amp;BD$2&amp;$C618):INDIRECT(BD$1&amp;BD$3&amp;$C618))</f>
        <v>0</v>
      </c>
      <c r="BE618" s="2709">
        <f t="shared" ca="1" si="1135"/>
        <v>0</v>
      </c>
      <c r="BF618" s="2710">
        <f t="shared" ca="1" si="1136"/>
        <v>0</v>
      </c>
      <c r="BG618" s="1928">
        <f ca="1">SUM(INDIRECT(BG$1&amp;BG$2&amp;$A618):INDIRECT(BG$1&amp;BG$3&amp;$A618))</f>
        <v>0</v>
      </c>
      <c r="BH618" s="2709">
        <f t="shared" ca="1" si="1137"/>
        <v>0</v>
      </c>
      <c r="BI618" s="2710">
        <f t="shared" ca="1" si="1138"/>
        <v>0</v>
      </c>
    </row>
    <row r="619" spans="1:61" ht="14.5">
      <c r="A619" s="1693">
        <f t="shared" si="1164"/>
        <v>611</v>
      </c>
      <c r="B619" s="616">
        <v>1</v>
      </c>
      <c r="C619" s="1693">
        <f t="shared" si="1161"/>
        <v>619</v>
      </c>
      <c r="D619" s="616">
        <v>1</v>
      </c>
      <c r="F619" s="69"/>
      <c r="J619" s="73"/>
      <c r="K619" s="72"/>
      <c r="L619" s="63"/>
      <c r="M619" s="63"/>
      <c r="N619" s="65" t="s">
        <v>126</v>
      </c>
      <c r="O619" s="284"/>
      <c r="P619" s="284"/>
      <c r="Q619" s="284"/>
      <c r="R619" s="1777" t="str">
        <f>CHOOSE(2, "6722000003530", "S/GP (2) Gross Profit Indirect NH")</f>
        <v>S/GP (2) Gross Profit Indirect NH</v>
      </c>
      <c r="S619" s="1621">
        <f>S620+S623+S624+S628+S631</f>
        <v>16237</v>
      </c>
      <c r="T619" s="1249">
        <f t="shared" ref="T619:AD619" si="1183">T620+T623+T624+T628+T631</f>
        <v>18223.939630000019</v>
      </c>
      <c r="U619" s="1249">
        <f t="shared" si="1183"/>
        <v>10301.499885923326</v>
      </c>
      <c r="V619" s="1249">
        <f t="shared" si="1183"/>
        <v>12186.85285512181</v>
      </c>
      <c r="W619" s="1249">
        <f t="shared" si="1183"/>
        <v>14813.249624826098</v>
      </c>
      <c r="X619" s="1249">
        <f t="shared" si="1183"/>
        <v>17041.454800800486</v>
      </c>
      <c r="Y619" s="1249">
        <f t="shared" si="1183"/>
        <v>16741.808230462113</v>
      </c>
      <c r="Z619" s="1249">
        <f t="shared" si="1183"/>
        <v>14811.483425401308</v>
      </c>
      <c r="AA619" s="1249">
        <f t="shared" si="1183"/>
        <v>12272.335256487266</v>
      </c>
      <c r="AB619" s="1249">
        <f t="shared" si="1183"/>
        <v>17292.889665956041</v>
      </c>
      <c r="AC619" s="1249">
        <f t="shared" si="1183"/>
        <v>15613.021058717361</v>
      </c>
      <c r="AD619" s="1249">
        <f t="shared" si="1183"/>
        <v>19841.941053566054</v>
      </c>
      <c r="AE619" s="898">
        <f t="shared" ref="AE619:AK619" si="1184">AE620+AE623+AE624+AE628+AE631</f>
        <v>44762.439515923346</v>
      </c>
      <c r="AF619" s="1249">
        <f t="shared" si="1184"/>
        <v>44041.557280748391</v>
      </c>
      <c r="AG619" s="1249">
        <f t="shared" si="1184"/>
        <v>43825.626912350686</v>
      </c>
      <c r="AH619" s="1249">
        <f t="shared" si="1184"/>
        <v>52747.851778239463</v>
      </c>
      <c r="AI619" s="1249">
        <f t="shared" si="1184"/>
        <v>88803.996796671738</v>
      </c>
      <c r="AJ619" s="1249">
        <f t="shared" si="1184"/>
        <v>96573.478690590156</v>
      </c>
      <c r="AK619" s="1249">
        <f t="shared" si="1184"/>
        <v>185377.47548726189</v>
      </c>
      <c r="AM619" s="2570">
        <f ca="1">SUM((INDIRECT(AM$2&amp;(ROW())):INDIRECT(AM$3&amp;(ROW()))))</f>
        <v>16237</v>
      </c>
      <c r="AN619" s="2570">
        <f ca="1">SUM(INDIRECT(AN$1&amp;AN$2&amp;$C619):INDIRECT(AN$1&amp;AN$3&amp;$C619))</f>
        <v>17287.885179109195</v>
      </c>
      <c r="AO619" s="2910">
        <f t="shared" ca="1" si="1147"/>
        <v>-1050.8851791091947</v>
      </c>
      <c r="AP619" s="2911">
        <f t="shared" ca="1" si="1129"/>
        <v>0.93921262385643955</v>
      </c>
      <c r="AQ619" s="2570">
        <f ca="1">SUM(INDIRECT(AQ$1&amp;AQ$2&amp;$A619):INDIRECT(AQ$1&amp;AQ$3&amp;$A619))</f>
        <v>15346</v>
      </c>
      <c r="AR619" s="2910">
        <f t="shared" ca="1" si="1148"/>
        <v>891</v>
      </c>
      <c r="AS619" s="2911">
        <f t="shared" ca="1" si="1130"/>
        <v>1.0580607324384204</v>
      </c>
      <c r="AU619" s="2570">
        <f ca="1">SUM((INDIRECT(AU$2&amp;(ROW())):INDIRECT(AU$3&amp;(ROW()))))</f>
        <v>16237</v>
      </c>
      <c r="AV619" s="2570">
        <f ca="1">SUM(INDIRECT(AV$1&amp;AV$2&amp;$C619):INDIRECT(AV$1&amp;AV$3&amp;$C619))</f>
        <v>17287.885179109195</v>
      </c>
      <c r="AW619" s="2910">
        <f t="shared" ca="1" si="1131"/>
        <v>-1050.8851791091947</v>
      </c>
      <c r="AX619" s="2911">
        <f t="shared" ca="1" si="1132"/>
        <v>0.93921262385643955</v>
      </c>
      <c r="AY619" s="2570">
        <f ca="1">SUM(INDIRECT(AY$1&amp;AY$2&amp;$A619):INDIRECT(AY$1&amp;AY$3&amp;$A619))</f>
        <v>15346</v>
      </c>
      <c r="AZ619" s="2910">
        <f t="shared" ca="1" si="1133"/>
        <v>891</v>
      </c>
      <c r="BA619" s="2911">
        <f t="shared" ca="1" si="1134"/>
        <v>1.0580607324384204</v>
      </c>
      <c r="BC619" s="2570">
        <f ca="1">SUM((INDIRECT(BC$2&amp;(ROW())):INDIRECT(BC$3&amp;(ROW()))))</f>
        <v>16237</v>
      </c>
      <c r="BD619" s="2570">
        <f ca="1">SUM(INDIRECT(BD$1&amp;BD$2&amp;$C619):INDIRECT(BD$1&amp;BD$3&amp;$C619))</f>
        <v>17287.885179109195</v>
      </c>
      <c r="BE619" s="2910">
        <f t="shared" ca="1" si="1135"/>
        <v>-1050.8851791091947</v>
      </c>
      <c r="BF619" s="2911">
        <f t="shared" ca="1" si="1136"/>
        <v>0.93921262385643955</v>
      </c>
      <c r="BG619" s="2570">
        <f ca="1">SUM(INDIRECT(BG$1&amp;BG$2&amp;$A619):INDIRECT(BG$1&amp;BG$3&amp;$A619))</f>
        <v>15346</v>
      </c>
      <c r="BH619" s="2910">
        <f t="shared" ca="1" si="1137"/>
        <v>891</v>
      </c>
      <c r="BI619" s="2911">
        <f t="shared" ca="1" si="1138"/>
        <v>1.0580607324384204</v>
      </c>
    </row>
    <row r="620" spans="1:61" ht="14.5">
      <c r="A620" s="1693">
        <f t="shared" si="1164"/>
        <v>612</v>
      </c>
      <c r="B620" s="616">
        <v>1</v>
      </c>
      <c r="C620" s="1693">
        <f t="shared" si="1161"/>
        <v>620</v>
      </c>
      <c r="D620" s="616">
        <v>1</v>
      </c>
      <c r="F620" s="69"/>
      <c r="J620" s="73"/>
      <c r="K620" s="72"/>
      <c r="L620" s="63"/>
      <c r="M620" s="63"/>
      <c r="O620" s="97" t="s">
        <v>122</v>
      </c>
      <c r="P620" s="97"/>
      <c r="Q620" s="869"/>
      <c r="R620" s="1777" t="str">
        <f>CHOOSE(2, "6722000003531", "S/GP (2) Gross Profit Indirect NH KMI")</f>
        <v>S/GP (2) Gross Profit Indirect NH KMI</v>
      </c>
      <c r="S620" s="1622">
        <f>SUM(S621:S622)</f>
        <v>16237</v>
      </c>
      <c r="T620" s="1250">
        <f t="shared" ref="T620:AD620" si="1185">SUM(T621:T622)</f>
        <v>18223.939630000019</v>
      </c>
      <c r="U620" s="1250">
        <f t="shared" si="1185"/>
        <v>10301.499885923326</v>
      </c>
      <c r="V620" s="1250">
        <f t="shared" si="1185"/>
        <v>12186.85285512181</v>
      </c>
      <c r="W620" s="1250">
        <f t="shared" si="1185"/>
        <v>14813.249624826098</v>
      </c>
      <c r="X620" s="1250">
        <f t="shared" si="1185"/>
        <v>17041.454800800486</v>
      </c>
      <c r="Y620" s="1250">
        <f t="shared" si="1185"/>
        <v>16741.808230462113</v>
      </c>
      <c r="Z620" s="1250">
        <f t="shared" si="1185"/>
        <v>14811.483425401308</v>
      </c>
      <c r="AA620" s="1250">
        <f t="shared" si="1185"/>
        <v>12272.335256487266</v>
      </c>
      <c r="AB620" s="1250">
        <f t="shared" si="1185"/>
        <v>17292.889665956041</v>
      </c>
      <c r="AC620" s="1250">
        <f t="shared" si="1185"/>
        <v>15613.021058717361</v>
      </c>
      <c r="AD620" s="1250">
        <f t="shared" si="1185"/>
        <v>19841.941053566054</v>
      </c>
      <c r="AE620" s="899">
        <f t="shared" ref="AE620:AK620" si="1186">SUM(AE621:AE622)</f>
        <v>44762.439515923346</v>
      </c>
      <c r="AF620" s="1250">
        <f t="shared" si="1186"/>
        <v>44041.557280748391</v>
      </c>
      <c r="AG620" s="1250">
        <f t="shared" si="1186"/>
        <v>43825.626912350686</v>
      </c>
      <c r="AH620" s="1250">
        <f t="shared" si="1186"/>
        <v>52747.851778239463</v>
      </c>
      <c r="AI620" s="1250">
        <f t="shared" si="1186"/>
        <v>88803.996796671738</v>
      </c>
      <c r="AJ620" s="1250">
        <f t="shared" si="1186"/>
        <v>96573.478690590156</v>
      </c>
      <c r="AK620" s="1250">
        <f t="shared" si="1186"/>
        <v>185377.47548726189</v>
      </c>
      <c r="AM620" s="2194">
        <f ca="1">SUM((INDIRECT(AM$2&amp;(ROW())):INDIRECT(AM$3&amp;(ROW()))))</f>
        <v>16237</v>
      </c>
      <c r="AN620" s="2194">
        <f ca="1">SUM(INDIRECT(AN$1&amp;AN$2&amp;$C620):INDIRECT(AN$1&amp;AN$3&amp;$C620))</f>
        <v>17287.885179109195</v>
      </c>
      <c r="AO620" s="2912">
        <f t="shared" ca="1" si="1147"/>
        <v>-1050.8851791091947</v>
      </c>
      <c r="AP620" s="2913">
        <f t="shared" ca="1" si="1129"/>
        <v>0.93921262385643955</v>
      </c>
      <c r="AQ620" s="2194">
        <f ca="1">SUM(INDIRECT(AQ$1&amp;AQ$2&amp;$A620):INDIRECT(AQ$1&amp;AQ$3&amp;$A620))</f>
        <v>15346</v>
      </c>
      <c r="AR620" s="2912">
        <f t="shared" ca="1" si="1148"/>
        <v>891</v>
      </c>
      <c r="AS620" s="2913">
        <f t="shared" ca="1" si="1130"/>
        <v>1.0580607324384204</v>
      </c>
      <c r="AU620" s="2194">
        <f ca="1">SUM((INDIRECT(AU$2&amp;(ROW())):INDIRECT(AU$3&amp;(ROW()))))</f>
        <v>16237</v>
      </c>
      <c r="AV620" s="2194">
        <f ca="1">SUM(INDIRECT(AV$1&amp;AV$2&amp;$C620):INDIRECT(AV$1&amp;AV$3&amp;$C620))</f>
        <v>17287.885179109195</v>
      </c>
      <c r="AW620" s="2912">
        <f t="shared" ca="1" si="1131"/>
        <v>-1050.8851791091947</v>
      </c>
      <c r="AX620" s="2913">
        <f t="shared" ca="1" si="1132"/>
        <v>0.93921262385643955</v>
      </c>
      <c r="AY620" s="2194">
        <f ca="1">SUM(INDIRECT(AY$1&amp;AY$2&amp;$A620):INDIRECT(AY$1&amp;AY$3&amp;$A620))</f>
        <v>15346</v>
      </c>
      <c r="AZ620" s="2912">
        <f t="shared" ca="1" si="1133"/>
        <v>891</v>
      </c>
      <c r="BA620" s="2913">
        <f t="shared" ca="1" si="1134"/>
        <v>1.0580607324384204</v>
      </c>
      <c r="BC620" s="2194">
        <f ca="1">SUM((INDIRECT(BC$2&amp;(ROW())):INDIRECT(BC$3&amp;(ROW()))))</f>
        <v>16237</v>
      </c>
      <c r="BD620" s="2194">
        <f ca="1">SUM(INDIRECT(BD$1&amp;BD$2&amp;$C620):INDIRECT(BD$1&amp;BD$3&amp;$C620))</f>
        <v>17287.885179109195</v>
      </c>
      <c r="BE620" s="2912">
        <f t="shared" ca="1" si="1135"/>
        <v>-1050.8851791091947</v>
      </c>
      <c r="BF620" s="2913">
        <f t="shared" ca="1" si="1136"/>
        <v>0.93921262385643955</v>
      </c>
      <c r="BG620" s="2194">
        <f ca="1">SUM(INDIRECT(BG$1&amp;BG$2&amp;$A620):INDIRECT(BG$1&amp;BG$3&amp;$A620))</f>
        <v>15346</v>
      </c>
      <c r="BH620" s="2912">
        <f t="shared" ca="1" si="1137"/>
        <v>891</v>
      </c>
      <c r="BI620" s="2913">
        <f t="shared" ca="1" si="1138"/>
        <v>1.0580607324384204</v>
      </c>
    </row>
    <row r="621" spans="1:61" ht="14.5">
      <c r="A621" s="1693">
        <f t="shared" si="1164"/>
        <v>613</v>
      </c>
      <c r="B621" s="616">
        <v>1</v>
      </c>
      <c r="C621" s="1693">
        <f t="shared" si="1161"/>
        <v>621</v>
      </c>
      <c r="D621" s="616">
        <v>1</v>
      </c>
      <c r="F621" s="69"/>
      <c r="J621" s="73"/>
      <c r="K621" s="72"/>
      <c r="L621" s="63"/>
      <c r="M621" s="63"/>
      <c r="Q621" s="97" t="s">
        <v>130</v>
      </c>
      <c r="R621" s="1779" t="str">
        <f>CHOOSE(2, "6722000003532", "S/GP (2) Gross Profit Indirect NH KMI Consumables")</f>
        <v>S/GP (2) Gross Profit Indirect NH KMI Consumables</v>
      </c>
      <c r="S621" s="1247">
        <v>16237</v>
      </c>
      <c r="T621" s="1227">
        <v>18223.939630000019</v>
      </c>
      <c r="U621" s="1227">
        <v>10301.499885923326</v>
      </c>
      <c r="V621" s="1227">
        <v>12186.85285512181</v>
      </c>
      <c r="W621" s="1227">
        <v>14813.249624826098</v>
      </c>
      <c r="X621" s="1227">
        <v>17041.454800800486</v>
      </c>
      <c r="Y621" s="1227">
        <v>16741.808230462113</v>
      </c>
      <c r="Z621" s="1227">
        <v>14811.483425401308</v>
      </c>
      <c r="AA621" s="1227">
        <v>12272.335256487266</v>
      </c>
      <c r="AB621" s="1227">
        <v>17292.889665956041</v>
      </c>
      <c r="AC621" s="1227">
        <v>15613.021058717361</v>
      </c>
      <c r="AD621" s="1227">
        <v>19841.941053566054</v>
      </c>
      <c r="AE621" s="295">
        <f>SUM(S621,T621,U621)</f>
        <v>44762.439515923346</v>
      </c>
      <c r="AF621" s="96">
        <f>SUM(V621,W621,X621)</f>
        <v>44041.557280748391</v>
      </c>
      <c r="AG621" s="96">
        <f>SUM(Y621,Z621,AA621)</f>
        <v>43825.626912350686</v>
      </c>
      <c r="AH621" s="96">
        <f>SUM(AB621,AC621,AD621)</f>
        <v>52747.851778239463</v>
      </c>
      <c r="AI621" s="96">
        <f>AE621+AF621</f>
        <v>88803.996796671738</v>
      </c>
      <c r="AJ621" s="96">
        <f>AH621+AG621</f>
        <v>96573.478690590156</v>
      </c>
      <c r="AK621" s="96">
        <f>AI621+AJ621</f>
        <v>185377.47548726189</v>
      </c>
      <c r="AM621" s="2161">
        <f ca="1">SUM((INDIRECT(AM$2&amp;(ROW())):INDIRECT(AM$3&amp;(ROW()))))</f>
        <v>16237</v>
      </c>
      <c r="AN621" s="2161">
        <f ca="1">SUM(INDIRECT(AN$1&amp;AN$2&amp;$C621):INDIRECT(AN$1&amp;AN$3&amp;$C621))</f>
        <v>17287.885179109195</v>
      </c>
      <c r="AO621" s="2877">
        <f t="shared" ca="1" si="1147"/>
        <v>-1050.8851791091947</v>
      </c>
      <c r="AP621" s="2878">
        <f t="shared" ca="1" si="1129"/>
        <v>0.93921262385643955</v>
      </c>
      <c r="AQ621" s="2161">
        <f ca="1">SUM(INDIRECT(AQ$1&amp;AQ$2&amp;$A621):INDIRECT(AQ$1&amp;AQ$3&amp;$A621))</f>
        <v>15346</v>
      </c>
      <c r="AR621" s="2877">
        <f t="shared" ca="1" si="1148"/>
        <v>891</v>
      </c>
      <c r="AS621" s="2878">
        <f t="shared" ca="1" si="1130"/>
        <v>1.0580607324384204</v>
      </c>
      <c r="AU621" s="2161">
        <f ca="1">SUM((INDIRECT(AU$2&amp;(ROW())):INDIRECT(AU$3&amp;(ROW()))))</f>
        <v>16237</v>
      </c>
      <c r="AV621" s="2161">
        <f ca="1">SUM(INDIRECT(AV$1&amp;AV$2&amp;$C621):INDIRECT(AV$1&amp;AV$3&amp;$C621))</f>
        <v>17287.885179109195</v>
      </c>
      <c r="AW621" s="2877">
        <f t="shared" ca="1" si="1131"/>
        <v>-1050.8851791091947</v>
      </c>
      <c r="AX621" s="2878">
        <f t="shared" ca="1" si="1132"/>
        <v>0.93921262385643955</v>
      </c>
      <c r="AY621" s="2161">
        <f ca="1">SUM(INDIRECT(AY$1&amp;AY$2&amp;$A621):INDIRECT(AY$1&amp;AY$3&amp;$A621))</f>
        <v>15346</v>
      </c>
      <c r="AZ621" s="2877">
        <f t="shared" ca="1" si="1133"/>
        <v>891</v>
      </c>
      <c r="BA621" s="2878">
        <f t="shared" ca="1" si="1134"/>
        <v>1.0580607324384204</v>
      </c>
      <c r="BC621" s="2161">
        <f ca="1">SUM((INDIRECT(BC$2&amp;(ROW())):INDIRECT(BC$3&amp;(ROW()))))</f>
        <v>16237</v>
      </c>
      <c r="BD621" s="2161">
        <f ca="1">SUM(INDIRECT(BD$1&amp;BD$2&amp;$C621):INDIRECT(BD$1&amp;BD$3&amp;$C621))</f>
        <v>17287.885179109195</v>
      </c>
      <c r="BE621" s="2877">
        <f t="shared" ca="1" si="1135"/>
        <v>-1050.8851791091947</v>
      </c>
      <c r="BF621" s="2878">
        <f t="shared" ca="1" si="1136"/>
        <v>0.93921262385643955</v>
      </c>
      <c r="BG621" s="2161">
        <f ca="1">SUM(INDIRECT(BG$1&amp;BG$2&amp;$A621):INDIRECT(BG$1&amp;BG$3&amp;$A621))</f>
        <v>15346</v>
      </c>
      <c r="BH621" s="2877">
        <f t="shared" ca="1" si="1137"/>
        <v>891</v>
      </c>
      <c r="BI621" s="2878">
        <f t="shared" ca="1" si="1138"/>
        <v>1.0580607324384204</v>
      </c>
    </row>
    <row r="622" spans="1:61" ht="14.5">
      <c r="A622" s="1693">
        <f t="shared" si="1164"/>
        <v>614</v>
      </c>
      <c r="B622" s="616">
        <v>1</v>
      </c>
      <c r="C622" s="1693">
        <f t="shared" si="1161"/>
        <v>622</v>
      </c>
      <c r="D622" s="616">
        <v>1</v>
      </c>
      <c r="F622" s="69"/>
      <c r="J622" s="73"/>
      <c r="K622" s="72"/>
      <c r="L622" s="63"/>
      <c r="M622" s="63"/>
      <c r="O622" s="285"/>
      <c r="P622" s="285"/>
      <c r="Q622" s="285" t="s">
        <v>131</v>
      </c>
      <c r="R622" s="1779" t="str">
        <f>CHOOSE(2, "6722000003533", "S/GP (2) Gross Profit Indirect NH KMI Parts")</f>
        <v>S/GP (2) Gross Profit Indirect NH KMI Parts</v>
      </c>
      <c r="S622" s="1390"/>
      <c r="T622" s="1245"/>
      <c r="U622" s="1245"/>
      <c r="V622" s="1245"/>
      <c r="W622" s="1245"/>
      <c r="X622" s="1245"/>
      <c r="Y622" s="1245"/>
      <c r="Z622" s="1245"/>
      <c r="AA622" s="1245"/>
      <c r="AB622" s="1245"/>
      <c r="AC622" s="1245"/>
      <c r="AD622" s="1245"/>
      <c r="AE622" s="315">
        <f>SUM(S622,T622,U622)</f>
        <v>0</v>
      </c>
      <c r="AF622" s="287">
        <f>SUM(V622,W622,X622)</f>
        <v>0</v>
      </c>
      <c r="AG622" s="287">
        <f>SUM(Y622,Z622,AA622)</f>
        <v>0</v>
      </c>
      <c r="AH622" s="287">
        <f>SUM(AB622,AC622,AD622)</f>
        <v>0</v>
      </c>
      <c r="AI622" s="287">
        <f>AE622+AF622</f>
        <v>0</v>
      </c>
      <c r="AJ622" s="287">
        <f>AH622+AG622</f>
        <v>0</v>
      </c>
      <c r="AK622" s="287">
        <f>AI622+AJ622</f>
        <v>0</v>
      </c>
      <c r="AM622" s="2183">
        <f ca="1">SUM((INDIRECT(AM$2&amp;(ROW())):INDIRECT(AM$3&amp;(ROW()))))</f>
        <v>0</v>
      </c>
      <c r="AN622" s="2183">
        <f ca="1">SUM(INDIRECT(AN$1&amp;AN$2&amp;$C622):INDIRECT(AN$1&amp;AN$3&amp;$C622))</f>
        <v>0</v>
      </c>
      <c r="AO622" s="2875">
        <f t="shared" ca="1" si="1147"/>
        <v>0</v>
      </c>
      <c r="AP622" s="2876">
        <f t="shared" ca="1" si="1129"/>
        <v>0</v>
      </c>
      <c r="AQ622" s="2183">
        <f ca="1">SUM(INDIRECT(AQ$1&amp;AQ$2&amp;$A622):INDIRECT(AQ$1&amp;AQ$3&amp;$A622))</f>
        <v>0</v>
      </c>
      <c r="AR622" s="2875">
        <f t="shared" ca="1" si="1148"/>
        <v>0</v>
      </c>
      <c r="AS622" s="2876">
        <f t="shared" ca="1" si="1130"/>
        <v>0</v>
      </c>
      <c r="AU622" s="2183">
        <f ca="1">SUM((INDIRECT(AU$2&amp;(ROW())):INDIRECT(AU$3&amp;(ROW()))))</f>
        <v>0</v>
      </c>
      <c r="AV622" s="2183">
        <f ca="1">SUM(INDIRECT(AV$1&amp;AV$2&amp;$C622):INDIRECT(AV$1&amp;AV$3&amp;$C622))</f>
        <v>0</v>
      </c>
      <c r="AW622" s="2875">
        <f t="shared" ca="1" si="1131"/>
        <v>0</v>
      </c>
      <c r="AX622" s="2876">
        <f t="shared" ca="1" si="1132"/>
        <v>0</v>
      </c>
      <c r="AY622" s="2183">
        <f ca="1">SUM(INDIRECT(AY$1&amp;AY$2&amp;$A622):INDIRECT(AY$1&amp;AY$3&amp;$A622))</f>
        <v>0</v>
      </c>
      <c r="AZ622" s="2875">
        <f t="shared" ca="1" si="1133"/>
        <v>0</v>
      </c>
      <c r="BA622" s="2876">
        <f t="shared" ca="1" si="1134"/>
        <v>0</v>
      </c>
      <c r="BC622" s="2183">
        <f ca="1">SUM((INDIRECT(BC$2&amp;(ROW())):INDIRECT(BC$3&amp;(ROW()))))</f>
        <v>0</v>
      </c>
      <c r="BD622" s="2183">
        <f ca="1">SUM(INDIRECT(BD$1&amp;BD$2&amp;$C622):INDIRECT(BD$1&amp;BD$3&amp;$C622))</f>
        <v>0</v>
      </c>
      <c r="BE622" s="2875">
        <f t="shared" ca="1" si="1135"/>
        <v>0</v>
      </c>
      <c r="BF622" s="2876">
        <f t="shared" ca="1" si="1136"/>
        <v>0</v>
      </c>
      <c r="BG622" s="2183">
        <f ca="1">SUM(INDIRECT(BG$1&amp;BG$2&amp;$A622):INDIRECT(BG$1&amp;BG$3&amp;$A622))</f>
        <v>0</v>
      </c>
      <c r="BH622" s="2875">
        <f t="shared" ca="1" si="1137"/>
        <v>0</v>
      </c>
      <c r="BI622" s="2876">
        <f t="shared" ca="1" si="1138"/>
        <v>0</v>
      </c>
    </row>
    <row r="623" spans="1:61" ht="14.5">
      <c r="A623" s="1693">
        <f t="shared" si="1164"/>
        <v>615</v>
      </c>
      <c r="B623" s="616">
        <v>1</v>
      </c>
      <c r="C623" s="1693">
        <f t="shared" si="1161"/>
        <v>623</v>
      </c>
      <c r="D623" s="616">
        <v>1</v>
      </c>
      <c r="F623" s="69"/>
      <c r="J623" s="73"/>
      <c r="K623" s="72"/>
      <c r="L623" s="63"/>
      <c r="M623" s="63"/>
      <c r="O623" s="288" t="s">
        <v>125</v>
      </c>
      <c r="R623" s="1779" t="str">
        <f>CHOOSE(2, "6722000003534", "S/GP (2) Gross Profit Indirect NH 3rd Party")</f>
        <v>S/GP (2) Gross Profit Indirect NH 3rd Party</v>
      </c>
      <c r="S623" s="1217"/>
      <c r="T623" s="1217"/>
      <c r="U623" s="1217"/>
      <c r="V623" s="1217"/>
      <c r="W623" s="1217"/>
      <c r="X623" s="1217"/>
      <c r="Y623" s="1217"/>
      <c r="Z623" s="1217"/>
      <c r="AA623" s="1217"/>
      <c r="AB623" s="1217"/>
      <c r="AC623" s="1217"/>
      <c r="AD623" s="1217"/>
      <c r="AE623" s="88">
        <f>SUM(S623,T623,U623)</f>
        <v>0</v>
      </c>
      <c r="AF623" s="17">
        <f>SUM(V623,W623,X623)</f>
        <v>0</v>
      </c>
      <c r="AG623" s="17">
        <f>SUM(Y623,Z623,AA623)</f>
        <v>0</v>
      </c>
      <c r="AH623" s="17">
        <f>SUM(AB623,AC623,AD623)</f>
        <v>0</v>
      </c>
      <c r="AI623" s="17">
        <f>AE623+AF623</f>
        <v>0</v>
      </c>
      <c r="AJ623" s="17">
        <f>AH623+AG623</f>
        <v>0</v>
      </c>
      <c r="AK623" s="17">
        <f>AI623+AJ623</f>
        <v>0</v>
      </c>
      <c r="AM623" s="1926">
        <f ca="1">SUM((INDIRECT(AM$2&amp;(ROW())):INDIRECT(AM$3&amp;(ROW()))))</f>
        <v>0</v>
      </c>
      <c r="AN623" s="1926">
        <f ca="1">SUM(INDIRECT(AN$1&amp;AN$2&amp;$C623):INDIRECT(AN$1&amp;AN$3&amp;$C623))</f>
        <v>0</v>
      </c>
      <c r="AO623" s="2707">
        <f t="shared" ca="1" si="1147"/>
        <v>0</v>
      </c>
      <c r="AP623" s="2708">
        <f t="shared" ca="1" si="1129"/>
        <v>0</v>
      </c>
      <c r="AQ623" s="1926">
        <f ca="1">SUM(INDIRECT(AQ$1&amp;AQ$2&amp;$A623):INDIRECT(AQ$1&amp;AQ$3&amp;$A623))</f>
        <v>0</v>
      </c>
      <c r="AR623" s="2707">
        <f t="shared" ca="1" si="1148"/>
        <v>0</v>
      </c>
      <c r="AS623" s="2708">
        <f t="shared" ca="1" si="1130"/>
        <v>0</v>
      </c>
      <c r="AU623" s="1926">
        <f ca="1">SUM((INDIRECT(AU$2&amp;(ROW())):INDIRECT(AU$3&amp;(ROW()))))</f>
        <v>0</v>
      </c>
      <c r="AV623" s="1926">
        <f ca="1">SUM(INDIRECT(AV$1&amp;AV$2&amp;$C623):INDIRECT(AV$1&amp;AV$3&amp;$C623))</f>
        <v>0</v>
      </c>
      <c r="AW623" s="2707">
        <f t="shared" ca="1" si="1131"/>
        <v>0</v>
      </c>
      <c r="AX623" s="2708">
        <f t="shared" ca="1" si="1132"/>
        <v>0</v>
      </c>
      <c r="AY623" s="1926">
        <f ca="1">SUM(INDIRECT(AY$1&amp;AY$2&amp;$A623):INDIRECT(AY$1&amp;AY$3&amp;$A623))</f>
        <v>0</v>
      </c>
      <c r="AZ623" s="2707">
        <f t="shared" ca="1" si="1133"/>
        <v>0</v>
      </c>
      <c r="BA623" s="2708">
        <f t="shared" ca="1" si="1134"/>
        <v>0</v>
      </c>
      <c r="BC623" s="1926">
        <f ca="1">SUM((INDIRECT(BC$2&amp;(ROW())):INDIRECT(BC$3&amp;(ROW()))))</f>
        <v>0</v>
      </c>
      <c r="BD623" s="1926">
        <f ca="1">SUM(INDIRECT(BD$1&amp;BD$2&amp;$C623):INDIRECT(BD$1&amp;BD$3&amp;$C623))</f>
        <v>0</v>
      </c>
      <c r="BE623" s="2707">
        <f t="shared" ca="1" si="1135"/>
        <v>0</v>
      </c>
      <c r="BF623" s="2708">
        <f t="shared" ca="1" si="1136"/>
        <v>0</v>
      </c>
      <c r="BG623" s="1926">
        <f ca="1">SUM(INDIRECT(BG$1&amp;BG$2&amp;$A623):INDIRECT(BG$1&amp;BG$3&amp;$A623))</f>
        <v>0</v>
      </c>
      <c r="BH623" s="2707">
        <f t="shared" ca="1" si="1137"/>
        <v>0</v>
      </c>
      <c r="BI623" s="2708">
        <f t="shared" ca="1" si="1138"/>
        <v>0</v>
      </c>
    </row>
    <row r="624" spans="1:61" ht="14.5">
      <c r="A624" s="1693">
        <f t="shared" si="1164"/>
        <v>616</v>
      </c>
      <c r="B624" s="616">
        <v>1</v>
      </c>
      <c r="C624" s="1693">
        <f t="shared" si="1161"/>
        <v>624</v>
      </c>
      <c r="D624" s="616">
        <v>1</v>
      </c>
      <c r="F624" s="69"/>
      <c r="J624" s="73"/>
      <c r="K624" s="72"/>
      <c r="L624" s="63"/>
      <c r="M624" s="63"/>
      <c r="N624" s="208"/>
      <c r="O624" s="290" t="s">
        <v>192</v>
      </c>
      <c r="P624" s="290"/>
      <c r="Q624" s="290"/>
      <c r="R624" s="1777" t="str">
        <f>CHOOSE(2, "6722000003535", "S/GP (2) Gross Profit Indirect NH &lt;Direct&gt;FSC(-)")</f>
        <v>S/GP (2) Gross Profit Indirect NH &lt;Direct&gt;FSC(-)</v>
      </c>
      <c r="S624" s="1249">
        <f t="shared" ref="S624:AD624" si="1187">SUM(S625:S627)</f>
        <v>0</v>
      </c>
      <c r="T624" s="1249">
        <f t="shared" si="1187"/>
        <v>0</v>
      </c>
      <c r="U624" s="1249">
        <f t="shared" si="1187"/>
        <v>0</v>
      </c>
      <c r="V624" s="1249">
        <f t="shared" si="1187"/>
        <v>0</v>
      </c>
      <c r="W624" s="1249">
        <f t="shared" si="1187"/>
        <v>0</v>
      </c>
      <c r="X624" s="1249">
        <f t="shared" si="1187"/>
        <v>0</v>
      </c>
      <c r="Y624" s="1249">
        <f t="shared" si="1187"/>
        <v>0</v>
      </c>
      <c r="Z624" s="1249">
        <f t="shared" si="1187"/>
        <v>0</v>
      </c>
      <c r="AA624" s="1249">
        <f t="shared" si="1187"/>
        <v>0</v>
      </c>
      <c r="AB624" s="1249">
        <f t="shared" si="1187"/>
        <v>0</v>
      </c>
      <c r="AC624" s="1249">
        <f t="shared" si="1187"/>
        <v>0</v>
      </c>
      <c r="AD624" s="1249">
        <f t="shared" si="1187"/>
        <v>0</v>
      </c>
      <c r="AE624" s="898">
        <f t="shared" ref="AE624:AK624" si="1188">SUM(AE625:AE627)</f>
        <v>0</v>
      </c>
      <c r="AF624" s="1249">
        <f t="shared" si="1188"/>
        <v>0</v>
      </c>
      <c r="AG624" s="1249">
        <f t="shared" si="1188"/>
        <v>0</v>
      </c>
      <c r="AH624" s="1249">
        <f t="shared" si="1188"/>
        <v>0</v>
      </c>
      <c r="AI624" s="1249">
        <f t="shared" si="1188"/>
        <v>0</v>
      </c>
      <c r="AJ624" s="1249">
        <f t="shared" si="1188"/>
        <v>0</v>
      </c>
      <c r="AK624" s="1249">
        <f t="shared" si="1188"/>
        <v>0</v>
      </c>
      <c r="AM624" s="2570">
        <f ca="1">SUM((INDIRECT(AM$2&amp;(ROW())):INDIRECT(AM$3&amp;(ROW()))))</f>
        <v>0</v>
      </c>
      <c r="AN624" s="2570">
        <f ca="1">SUM(INDIRECT(AN$1&amp;AN$2&amp;$C624):INDIRECT(AN$1&amp;AN$3&amp;$C624))</f>
        <v>0</v>
      </c>
      <c r="AO624" s="2910">
        <f t="shared" ca="1" si="1147"/>
        <v>0</v>
      </c>
      <c r="AP624" s="2911">
        <f t="shared" ref="AP624:AP637" ca="1" si="1189">IFERROR(AM624/AN624,0)</f>
        <v>0</v>
      </c>
      <c r="AQ624" s="2570">
        <f ca="1">SUM(INDIRECT(AQ$1&amp;AQ$2&amp;$A624):INDIRECT(AQ$1&amp;AQ$3&amp;$A624))</f>
        <v>0</v>
      </c>
      <c r="AR624" s="2910">
        <f t="shared" ca="1" si="1148"/>
        <v>0</v>
      </c>
      <c r="AS624" s="2911">
        <f t="shared" ref="AS624:AS637" ca="1" si="1190">IFERROR(AM624/AQ624,0)</f>
        <v>0</v>
      </c>
      <c r="AU624" s="2570">
        <f ca="1">SUM((INDIRECT(AU$2&amp;(ROW())):INDIRECT(AU$3&amp;(ROW()))))</f>
        <v>0</v>
      </c>
      <c r="AV624" s="2570">
        <f ca="1">SUM(INDIRECT(AV$1&amp;AV$2&amp;$C624):INDIRECT(AV$1&amp;AV$3&amp;$C624))</f>
        <v>0</v>
      </c>
      <c r="AW624" s="2910">
        <f t="shared" ref="AW624:AW637" ca="1" si="1191">AU624-AV624</f>
        <v>0</v>
      </c>
      <c r="AX624" s="2911">
        <f t="shared" ref="AX624:AX637" ca="1" si="1192">IFERROR(AU624/AV624,0)</f>
        <v>0</v>
      </c>
      <c r="AY624" s="2570">
        <f ca="1">SUM(INDIRECT(AY$1&amp;AY$2&amp;$A624):INDIRECT(AY$1&amp;AY$3&amp;$A624))</f>
        <v>0</v>
      </c>
      <c r="AZ624" s="2910">
        <f t="shared" ref="AZ624:AZ637" ca="1" si="1193">AU624-AY624</f>
        <v>0</v>
      </c>
      <c r="BA624" s="2911">
        <f t="shared" ref="BA624:BA637" ca="1" si="1194">IFERROR(AU624/AY624,0)</f>
        <v>0</v>
      </c>
      <c r="BC624" s="2570">
        <f ca="1">SUM((INDIRECT(BC$2&amp;(ROW())):INDIRECT(BC$3&amp;(ROW()))))</f>
        <v>0</v>
      </c>
      <c r="BD624" s="2570">
        <f ca="1">SUM(INDIRECT(BD$1&amp;BD$2&amp;$C624):INDIRECT(BD$1&amp;BD$3&amp;$C624))</f>
        <v>0</v>
      </c>
      <c r="BE624" s="2910">
        <f t="shared" ref="BE624:BE637" ca="1" si="1195">BC624-BD624</f>
        <v>0</v>
      </c>
      <c r="BF624" s="2911">
        <f t="shared" ref="BF624:BF637" ca="1" si="1196">IFERROR(BC624/BD624,0)</f>
        <v>0</v>
      </c>
      <c r="BG624" s="2570">
        <f ca="1">SUM(INDIRECT(BG$1&amp;BG$2&amp;$A624):INDIRECT(BG$1&amp;BG$3&amp;$A624))</f>
        <v>0</v>
      </c>
      <c r="BH624" s="2910">
        <f t="shared" ref="BH624:BH637" ca="1" si="1197">BC624-BG624</f>
        <v>0</v>
      </c>
      <c r="BI624" s="2911">
        <f t="shared" ref="BI624:BI637" ca="1" si="1198">IFERROR(BC624/BG624,0)</f>
        <v>0</v>
      </c>
    </row>
    <row r="625" spans="1:61" ht="14.5">
      <c r="A625" s="1693">
        <f t="shared" si="1164"/>
        <v>617</v>
      </c>
      <c r="B625" s="616">
        <v>1</v>
      </c>
      <c r="C625" s="1693">
        <f t="shared" si="1161"/>
        <v>625</v>
      </c>
      <c r="D625" s="616">
        <v>1</v>
      </c>
      <c r="F625" s="69"/>
      <c r="J625" s="73"/>
      <c r="K625" s="72"/>
      <c r="L625" s="63"/>
      <c r="M625" s="63"/>
      <c r="N625" s="208"/>
      <c r="O625" s="291"/>
      <c r="P625" s="291"/>
      <c r="Q625" s="291" t="s">
        <v>212</v>
      </c>
      <c r="R625" s="1779" t="str">
        <f>CHOOSE(2, "6722000003536", "S/GP (2) Gross Profit Indirect NH &lt;Direct&gt;FSC(-) PC")</f>
        <v>S/GP (2) Gross Profit Indirect NH &lt;Direct&gt;FSC(-) PC</v>
      </c>
      <c r="S625" s="1227"/>
      <c r="T625" s="1227"/>
      <c r="U625" s="1227"/>
      <c r="V625" s="1227"/>
      <c r="W625" s="1227"/>
      <c r="X625" s="1227"/>
      <c r="Y625" s="1227"/>
      <c r="Z625" s="1227"/>
      <c r="AA625" s="1227"/>
      <c r="AB625" s="1227"/>
      <c r="AC625" s="1227"/>
      <c r="AD625" s="1227"/>
      <c r="AE625" s="295">
        <f>SUM(S625,T625,U625)</f>
        <v>0</v>
      </c>
      <c r="AF625" s="96">
        <f>SUM(V625,W625,X625)</f>
        <v>0</v>
      </c>
      <c r="AG625" s="96">
        <f>SUM(Y625,Z625,AA625)</f>
        <v>0</v>
      </c>
      <c r="AH625" s="96">
        <f>SUM(AB625,AC625,AD625)</f>
        <v>0</v>
      </c>
      <c r="AI625" s="96">
        <f>AE625+AF625</f>
        <v>0</v>
      </c>
      <c r="AJ625" s="96">
        <f>AH625+AG625</f>
        <v>0</v>
      </c>
      <c r="AK625" s="96">
        <f>AI625+AJ625</f>
        <v>0</v>
      </c>
      <c r="AM625" s="2161">
        <f ca="1">SUM((INDIRECT(AM$2&amp;(ROW())):INDIRECT(AM$3&amp;(ROW()))))</f>
        <v>0</v>
      </c>
      <c r="AN625" s="2161">
        <f ca="1">SUM(INDIRECT(AN$1&amp;AN$2&amp;$C625):INDIRECT(AN$1&amp;AN$3&amp;$C625))</f>
        <v>0</v>
      </c>
      <c r="AO625" s="2877">
        <f t="shared" ca="1" si="1147"/>
        <v>0</v>
      </c>
      <c r="AP625" s="2878">
        <f t="shared" ca="1" si="1189"/>
        <v>0</v>
      </c>
      <c r="AQ625" s="2161">
        <f ca="1">SUM(INDIRECT(AQ$1&amp;AQ$2&amp;$A625):INDIRECT(AQ$1&amp;AQ$3&amp;$A625))</f>
        <v>0</v>
      </c>
      <c r="AR625" s="2877">
        <f t="shared" ca="1" si="1148"/>
        <v>0</v>
      </c>
      <c r="AS625" s="2878">
        <f t="shared" ca="1" si="1190"/>
        <v>0</v>
      </c>
      <c r="AU625" s="2161">
        <f ca="1">SUM((INDIRECT(AU$2&amp;(ROW())):INDIRECT(AU$3&amp;(ROW()))))</f>
        <v>0</v>
      </c>
      <c r="AV625" s="2161">
        <f ca="1">SUM(INDIRECT(AV$1&amp;AV$2&amp;$C625):INDIRECT(AV$1&amp;AV$3&amp;$C625))</f>
        <v>0</v>
      </c>
      <c r="AW625" s="2877">
        <f t="shared" ca="1" si="1191"/>
        <v>0</v>
      </c>
      <c r="AX625" s="2878">
        <f t="shared" ca="1" si="1192"/>
        <v>0</v>
      </c>
      <c r="AY625" s="2161">
        <f ca="1">SUM(INDIRECT(AY$1&amp;AY$2&amp;$A625):INDIRECT(AY$1&amp;AY$3&amp;$A625))</f>
        <v>0</v>
      </c>
      <c r="AZ625" s="2877">
        <f t="shared" ca="1" si="1193"/>
        <v>0</v>
      </c>
      <c r="BA625" s="2878">
        <f t="shared" ca="1" si="1194"/>
        <v>0</v>
      </c>
      <c r="BC625" s="2161">
        <f ca="1">SUM((INDIRECT(BC$2&amp;(ROW())):INDIRECT(BC$3&amp;(ROW()))))</f>
        <v>0</v>
      </c>
      <c r="BD625" s="2161">
        <f ca="1">SUM(INDIRECT(BD$1&amp;BD$2&amp;$C625):INDIRECT(BD$1&amp;BD$3&amp;$C625))</f>
        <v>0</v>
      </c>
      <c r="BE625" s="2877">
        <f t="shared" ca="1" si="1195"/>
        <v>0</v>
      </c>
      <c r="BF625" s="2878">
        <f t="shared" ca="1" si="1196"/>
        <v>0</v>
      </c>
      <c r="BG625" s="2161">
        <f ca="1">SUM(INDIRECT(BG$1&amp;BG$2&amp;$A625):INDIRECT(BG$1&amp;BG$3&amp;$A625))</f>
        <v>0</v>
      </c>
      <c r="BH625" s="2877">
        <f t="shared" ca="1" si="1197"/>
        <v>0</v>
      </c>
      <c r="BI625" s="2878">
        <f t="shared" ca="1" si="1198"/>
        <v>0</v>
      </c>
    </row>
    <row r="626" spans="1:61" ht="14.5">
      <c r="A626" s="1693">
        <f t="shared" si="1164"/>
        <v>618</v>
      </c>
      <c r="B626" s="616">
        <v>1</v>
      </c>
      <c r="C626" s="1693">
        <f t="shared" si="1161"/>
        <v>626</v>
      </c>
      <c r="D626" s="616">
        <v>1</v>
      </c>
      <c r="F626" s="69"/>
      <c r="J626" s="73"/>
      <c r="K626" s="72"/>
      <c r="L626" s="63"/>
      <c r="M626" s="63"/>
      <c r="N626" s="208"/>
      <c r="O626" s="229"/>
      <c r="P626" s="229"/>
      <c r="Q626" s="229" t="s">
        <v>213</v>
      </c>
      <c r="R626" s="1779" t="str">
        <f>CHOOSE(2, "6722000003537", "S/GP (2) Gross Profit Indirect NH &lt;Direct&gt;FSC(-) TE")</f>
        <v>S/GP (2) Gross Profit Indirect NH &lt;Direct&gt;FSC(-) TE</v>
      </c>
      <c r="S626" s="1217"/>
      <c r="T626" s="1217"/>
      <c r="U626" s="1217"/>
      <c r="V626" s="1217"/>
      <c r="W626" s="1217"/>
      <c r="X626" s="1217"/>
      <c r="Y626" s="1217"/>
      <c r="Z626" s="1217"/>
      <c r="AA626" s="1217"/>
      <c r="AB626" s="1217"/>
      <c r="AC626" s="1217"/>
      <c r="AD626" s="1217"/>
      <c r="AE626" s="88">
        <f>SUM(S626,T626,U626)</f>
        <v>0</v>
      </c>
      <c r="AF626" s="17">
        <f>SUM(V626,W626,X626)</f>
        <v>0</v>
      </c>
      <c r="AG626" s="17">
        <f>SUM(Y626,Z626,AA626)</f>
        <v>0</v>
      </c>
      <c r="AH626" s="17">
        <f>SUM(AB626,AC626,AD626)</f>
        <v>0</v>
      </c>
      <c r="AI626" s="17">
        <f>AE626+AF626</f>
        <v>0</v>
      </c>
      <c r="AJ626" s="17">
        <f>AH626+AG626</f>
        <v>0</v>
      </c>
      <c r="AK626" s="17">
        <f>AI626+AJ626</f>
        <v>0</v>
      </c>
      <c r="AM626" s="1926">
        <f ca="1">SUM((INDIRECT(AM$2&amp;(ROW())):INDIRECT(AM$3&amp;(ROW()))))</f>
        <v>0</v>
      </c>
      <c r="AN626" s="1926">
        <f ca="1">SUM(INDIRECT(AN$1&amp;AN$2&amp;$C626):INDIRECT(AN$1&amp;AN$3&amp;$C626))</f>
        <v>0</v>
      </c>
      <c r="AO626" s="2707">
        <f t="shared" ca="1" si="1147"/>
        <v>0</v>
      </c>
      <c r="AP626" s="2708">
        <f t="shared" ca="1" si="1189"/>
        <v>0</v>
      </c>
      <c r="AQ626" s="1926">
        <f ca="1">SUM(INDIRECT(AQ$1&amp;AQ$2&amp;$A626):INDIRECT(AQ$1&amp;AQ$3&amp;$A626))</f>
        <v>0</v>
      </c>
      <c r="AR626" s="2707">
        <f t="shared" ca="1" si="1148"/>
        <v>0</v>
      </c>
      <c r="AS626" s="2708">
        <f t="shared" ca="1" si="1190"/>
        <v>0</v>
      </c>
      <c r="AU626" s="1926">
        <f ca="1">SUM((INDIRECT(AU$2&amp;(ROW())):INDIRECT(AU$3&amp;(ROW()))))</f>
        <v>0</v>
      </c>
      <c r="AV626" s="1926">
        <f ca="1">SUM(INDIRECT(AV$1&amp;AV$2&amp;$C626):INDIRECT(AV$1&amp;AV$3&amp;$C626))</f>
        <v>0</v>
      </c>
      <c r="AW626" s="2707">
        <f t="shared" ca="1" si="1191"/>
        <v>0</v>
      </c>
      <c r="AX626" s="2708">
        <f t="shared" ca="1" si="1192"/>
        <v>0</v>
      </c>
      <c r="AY626" s="1926">
        <f ca="1">SUM(INDIRECT(AY$1&amp;AY$2&amp;$A626):INDIRECT(AY$1&amp;AY$3&amp;$A626))</f>
        <v>0</v>
      </c>
      <c r="AZ626" s="2707">
        <f t="shared" ca="1" si="1193"/>
        <v>0</v>
      </c>
      <c r="BA626" s="2708">
        <f t="shared" ca="1" si="1194"/>
        <v>0</v>
      </c>
      <c r="BC626" s="1926">
        <f ca="1">SUM((INDIRECT(BC$2&amp;(ROW())):INDIRECT(BC$3&amp;(ROW()))))</f>
        <v>0</v>
      </c>
      <c r="BD626" s="1926">
        <f ca="1">SUM(INDIRECT(BD$1&amp;BD$2&amp;$C626):INDIRECT(BD$1&amp;BD$3&amp;$C626))</f>
        <v>0</v>
      </c>
      <c r="BE626" s="2707">
        <f t="shared" ca="1" si="1195"/>
        <v>0</v>
      </c>
      <c r="BF626" s="2708">
        <f t="shared" ca="1" si="1196"/>
        <v>0</v>
      </c>
      <c r="BG626" s="1926">
        <f ca="1">SUM(INDIRECT(BG$1&amp;BG$2&amp;$A626):INDIRECT(BG$1&amp;BG$3&amp;$A626))</f>
        <v>0</v>
      </c>
      <c r="BH626" s="2707">
        <f t="shared" ca="1" si="1197"/>
        <v>0</v>
      </c>
      <c r="BI626" s="2708">
        <f t="shared" ca="1" si="1198"/>
        <v>0</v>
      </c>
    </row>
    <row r="627" spans="1:61" ht="14.5">
      <c r="A627" s="1693">
        <f t="shared" si="1164"/>
        <v>619</v>
      </c>
      <c r="B627" s="616">
        <v>1</v>
      </c>
      <c r="C627" s="1693">
        <f t="shared" si="1161"/>
        <v>627</v>
      </c>
      <c r="D627" s="616">
        <v>1</v>
      </c>
      <c r="F627" s="69"/>
      <c r="J627" s="73"/>
      <c r="K627" s="72"/>
      <c r="L627" s="63"/>
      <c r="M627" s="63"/>
      <c r="N627" s="208"/>
      <c r="O627" s="229"/>
      <c r="P627" s="229"/>
      <c r="Q627" s="228" t="s">
        <v>218</v>
      </c>
      <c r="R627" s="1779" t="str">
        <f>CHOOSE(2, "6722000003538", "S/GP (2) Gross Profit Indirect NH &lt;Direct&gt;FSC(-) OFC")</f>
        <v>S/GP (2) Gross Profit Indirect NH &lt;Direct&gt;FSC(-) OFC</v>
      </c>
      <c r="S627" s="1218"/>
      <c r="T627" s="1218"/>
      <c r="U627" s="1218"/>
      <c r="V627" s="1218"/>
      <c r="W627" s="1218"/>
      <c r="X627" s="1218"/>
      <c r="Y627" s="1218"/>
      <c r="Z627" s="1218"/>
      <c r="AA627" s="1218"/>
      <c r="AB627" s="1218"/>
      <c r="AC627" s="1218"/>
      <c r="AD627" s="1218"/>
      <c r="AE627" s="87">
        <f>SUM(S627,T627,U627)</f>
        <v>0</v>
      </c>
      <c r="AF627" s="15">
        <f>SUM(V627,W627,X627)</f>
        <v>0</v>
      </c>
      <c r="AG627" s="15">
        <f>SUM(Y627,Z627,AA627)</f>
        <v>0</v>
      </c>
      <c r="AH627" s="15">
        <f>SUM(AB627,AC627,AD627)</f>
        <v>0</v>
      </c>
      <c r="AI627" s="15">
        <f>AE627+AF627</f>
        <v>0</v>
      </c>
      <c r="AJ627" s="15">
        <f>AH627+AG627</f>
        <v>0</v>
      </c>
      <c r="AK627" s="15">
        <f>AI627+AJ627</f>
        <v>0</v>
      </c>
      <c r="AM627" s="1928">
        <f ca="1">SUM((INDIRECT(AM$2&amp;(ROW())):INDIRECT(AM$3&amp;(ROW()))))</f>
        <v>0</v>
      </c>
      <c r="AN627" s="1928">
        <f ca="1">SUM(INDIRECT(AN$1&amp;AN$2&amp;$C627):INDIRECT(AN$1&amp;AN$3&amp;$C627))</f>
        <v>0</v>
      </c>
      <c r="AO627" s="2709">
        <f t="shared" ca="1" si="1147"/>
        <v>0</v>
      </c>
      <c r="AP627" s="2710">
        <f t="shared" ca="1" si="1189"/>
        <v>0</v>
      </c>
      <c r="AQ627" s="1928">
        <f ca="1">SUM(INDIRECT(AQ$1&amp;AQ$2&amp;$A627):INDIRECT(AQ$1&amp;AQ$3&amp;$A627))</f>
        <v>0</v>
      </c>
      <c r="AR627" s="2709">
        <f t="shared" ca="1" si="1148"/>
        <v>0</v>
      </c>
      <c r="AS627" s="2710">
        <f t="shared" ca="1" si="1190"/>
        <v>0</v>
      </c>
      <c r="AU627" s="1928">
        <f ca="1">SUM((INDIRECT(AU$2&amp;(ROW())):INDIRECT(AU$3&amp;(ROW()))))</f>
        <v>0</v>
      </c>
      <c r="AV627" s="1928">
        <f ca="1">SUM(INDIRECT(AV$1&amp;AV$2&amp;$C627):INDIRECT(AV$1&amp;AV$3&amp;$C627))</f>
        <v>0</v>
      </c>
      <c r="AW627" s="2709">
        <f t="shared" ca="1" si="1191"/>
        <v>0</v>
      </c>
      <c r="AX627" s="2710">
        <f t="shared" ca="1" si="1192"/>
        <v>0</v>
      </c>
      <c r="AY627" s="1928">
        <f ca="1">SUM(INDIRECT(AY$1&amp;AY$2&amp;$A627):INDIRECT(AY$1&amp;AY$3&amp;$A627))</f>
        <v>0</v>
      </c>
      <c r="AZ627" s="2709">
        <f t="shared" ca="1" si="1193"/>
        <v>0</v>
      </c>
      <c r="BA627" s="2710">
        <f t="shared" ca="1" si="1194"/>
        <v>0</v>
      </c>
      <c r="BC627" s="1928">
        <f ca="1">SUM((INDIRECT(BC$2&amp;(ROW())):INDIRECT(BC$3&amp;(ROW()))))</f>
        <v>0</v>
      </c>
      <c r="BD627" s="1928">
        <f ca="1">SUM(INDIRECT(BD$1&amp;BD$2&amp;$C627):INDIRECT(BD$1&amp;BD$3&amp;$C627))</f>
        <v>0</v>
      </c>
      <c r="BE627" s="2709">
        <f t="shared" ca="1" si="1195"/>
        <v>0</v>
      </c>
      <c r="BF627" s="2710">
        <f t="shared" ca="1" si="1196"/>
        <v>0</v>
      </c>
      <c r="BG627" s="1928">
        <f ca="1">SUM(INDIRECT(BG$1&amp;BG$2&amp;$A627):INDIRECT(BG$1&amp;BG$3&amp;$A627))</f>
        <v>0</v>
      </c>
      <c r="BH627" s="2709">
        <f t="shared" ca="1" si="1197"/>
        <v>0</v>
      </c>
      <c r="BI627" s="2710">
        <f t="shared" ca="1" si="1198"/>
        <v>0</v>
      </c>
    </row>
    <row r="628" spans="1:61" ht="14.5">
      <c r="A628" s="1693">
        <f t="shared" si="1164"/>
        <v>620</v>
      </c>
      <c r="B628" s="616">
        <v>1</v>
      </c>
      <c r="C628" s="1693">
        <f t="shared" si="1161"/>
        <v>628</v>
      </c>
      <c r="D628" s="616">
        <v>1</v>
      </c>
      <c r="F628" s="69"/>
      <c r="J628" s="73"/>
      <c r="K628" s="72"/>
      <c r="L628" s="63"/>
      <c r="M628" s="63"/>
      <c r="N628" s="208"/>
      <c r="O628" s="290" t="s">
        <v>219</v>
      </c>
      <c r="P628" s="290"/>
      <c r="Q628" s="290"/>
      <c r="R628" s="1777" t="str">
        <f>CHOOSE(2, "6722000003539", "S/GP (2) Gross Profit Indirect NH &lt;Direct&gt;SDC(-)")</f>
        <v>S/GP (2) Gross Profit Indirect NH &lt;Direct&gt;SDC(-)</v>
      </c>
      <c r="S628" s="1249">
        <f>SUM(S629:S630)</f>
        <v>0</v>
      </c>
      <c r="T628" s="1249">
        <f t="shared" ref="T628:AD628" si="1199">SUM(T629:T630)</f>
        <v>0</v>
      </c>
      <c r="U628" s="1249">
        <f t="shared" si="1199"/>
        <v>0</v>
      </c>
      <c r="V628" s="1249">
        <f t="shared" si="1199"/>
        <v>0</v>
      </c>
      <c r="W628" s="1249">
        <f t="shared" si="1199"/>
        <v>0</v>
      </c>
      <c r="X628" s="1249">
        <f t="shared" si="1199"/>
        <v>0</v>
      </c>
      <c r="Y628" s="1249">
        <f t="shared" si="1199"/>
        <v>0</v>
      </c>
      <c r="Z628" s="1249">
        <f t="shared" si="1199"/>
        <v>0</v>
      </c>
      <c r="AA628" s="1249">
        <f t="shared" si="1199"/>
        <v>0</v>
      </c>
      <c r="AB628" s="1249">
        <f t="shared" si="1199"/>
        <v>0</v>
      </c>
      <c r="AC628" s="1249">
        <f t="shared" si="1199"/>
        <v>0</v>
      </c>
      <c r="AD628" s="1249">
        <f t="shared" si="1199"/>
        <v>0</v>
      </c>
      <c r="AE628" s="898">
        <f t="shared" ref="AE628:AK628" si="1200">SUM(AE629:AE630)</f>
        <v>0</v>
      </c>
      <c r="AF628" s="1249">
        <f t="shared" si="1200"/>
        <v>0</v>
      </c>
      <c r="AG628" s="1249">
        <f t="shared" si="1200"/>
        <v>0</v>
      </c>
      <c r="AH628" s="1249">
        <f t="shared" si="1200"/>
        <v>0</v>
      </c>
      <c r="AI628" s="1249">
        <f t="shared" si="1200"/>
        <v>0</v>
      </c>
      <c r="AJ628" s="1249">
        <f t="shared" si="1200"/>
        <v>0</v>
      </c>
      <c r="AK628" s="1249">
        <f t="shared" si="1200"/>
        <v>0</v>
      </c>
      <c r="AM628" s="2570">
        <f ca="1">SUM((INDIRECT(AM$2&amp;(ROW())):INDIRECT(AM$3&amp;(ROW()))))</f>
        <v>0</v>
      </c>
      <c r="AN628" s="2570">
        <f ca="1">SUM(INDIRECT(AN$1&amp;AN$2&amp;$C628):INDIRECT(AN$1&amp;AN$3&amp;$C628))</f>
        <v>0</v>
      </c>
      <c r="AO628" s="2910">
        <f t="shared" ca="1" si="1147"/>
        <v>0</v>
      </c>
      <c r="AP628" s="2911">
        <f t="shared" ca="1" si="1189"/>
        <v>0</v>
      </c>
      <c r="AQ628" s="2570">
        <f ca="1">SUM(INDIRECT(AQ$1&amp;AQ$2&amp;$A628):INDIRECT(AQ$1&amp;AQ$3&amp;$A628))</f>
        <v>0</v>
      </c>
      <c r="AR628" s="2910">
        <f t="shared" ca="1" si="1148"/>
        <v>0</v>
      </c>
      <c r="AS628" s="2911">
        <f t="shared" ca="1" si="1190"/>
        <v>0</v>
      </c>
      <c r="AU628" s="2570">
        <f ca="1">SUM((INDIRECT(AU$2&amp;(ROW())):INDIRECT(AU$3&amp;(ROW()))))</f>
        <v>0</v>
      </c>
      <c r="AV628" s="2570">
        <f ca="1">SUM(INDIRECT(AV$1&amp;AV$2&amp;$C628):INDIRECT(AV$1&amp;AV$3&amp;$C628))</f>
        <v>0</v>
      </c>
      <c r="AW628" s="2910">
        <f t="shared" ca="1" si="1191"/>
        <v>0</v>
      </c>
      <c r="AX628" s="2911">
        <f t="shared" ca="1" si="1192"/>
        <v>0</v>
      </c>
      <c r="AY628" s="2570">
        <f ca="1">SUM(INDIRECT(AY$1&amp;AY$2&amp;$A628):INDIRECT(AY$1&amp;AY$3&amp;$A628))</f>
        <v>0</v>
      </c>
      <c r="AZ628" s="2910">
        <f t="shared" ca="1" si="1193"/>
        <v>0</v>
      </c>
      <c r="BA628" s="2911">
        <f t="shared" ca="1" si="1194"/>
        <v>0</v>
      </c>
      <c r="BC628" s="2570">
        <f ca="1">SUM((INDIRECT(BC$2&amp;(ROW())):INDIRECT(BC$3&amp;(ROW()))))</f>
        <v>0</v>
      </c>
      <c r="BD628" s="2570">
        <f ca="1">SUM(INDIRECT(BD$1&amp;BD$2&amp;$C628):INDIRECT(BD$1&amp;BD$3&amp;$C628))</f>
        <v>0</v>
      </c>
      <c r="BE628" s="2910">
        <f t="shared" ca="1" si="1195"/>
        <v>0</v>
      </c>
      <c r="BF628" s="2911">
        <f t="shared" ca="1" si="1196"/>
        <v>0</v>
      </c>
      <c r="BG628" s="2570">
        <f ca="1">SUM(INDIRECT(BG$1&amp;BG$2&amp;$A628):INDIRECT(BG$1&amp;BG$3&amp;$A628))</f>
        <v>0</v>
      </c>
      <c r="BH628" s="2910">
        <f t="shared" ca="1" si="1197"/>
        <v>0</v>
      </c>
      <c r="BI628" s="2911">
        <f t="shared" ca="1" si="1198"/>
        <v>0</v>
      </c>
    </row>
    <row r="629" spans="1:61" ht="14.5">
      <c r="A629" s="1693">
        <f t="shared" si="1164"/>
        <v>621</v>
      </c>
      <c r="B629" s="616">
        <v>1</v>
      </c>
      <c r="C629" s="1693">
        <f t="shared" si="1161"/>
        <v>629</v>
      </c>
      <c r="D629" s="616">
        <v>1</v>
      </c>
      <c r="F629" s="69"/>
      <c r="J629" s="73"/>
      <c r="K629" s="72"/>
      <c r="L629" s="63"/>
      <c r="M629" s="63"/>
      <c r="N629" s="208"/>
      <c r="O629" s="292"/>
      <c r="P629" s="291"/>
      <c r="Q629" s="291" t="s">
        <v>223</v>
      </c>
      <c r="R629" s="1779" t="str">
        <f>CHOOSE(2, "6722000003540", "S/GP (2) Gross Profit Indirect NH &lt;Direct&gt;SDC(-) PC")</f>
        <v>S/GP (2) Gross Profit Indirect NH &lt;Direct&gt;SDC(-) PC</v>
      </c>
      <c r="S629" s="1227"/>
      <c r="T629" s="1227"/>
      <c r="U629" s="1227"/>
      <c r="V629" s="1227"/>
      <c r="W629" s="1227"/>
      <c r="X629" s="1227"/>
      <c r="Y629" s="1227"/>
      <c r="Z629" s="1227"/>
      <c r="AA629" s="1227"/>
      <c r="AB629" s="1227"/>
      <c r="AC629" s="1227"/>
      <c r="AD629" s="1227"/>
      <c r="AE629" s="295">
        <f>SUM(S629,T629,U629)</f>
        <v>0</v>
      </c>
      <c r="AF629" s="96">
        <f>SUM(V629,W629,X629)</f>
        <v>0</v>
      </c>
      <c r="AG629" s="96">
        <f>SUM(Y629,Z629,AA629)</f>
        <v>0</v>
      </c>
      <c r="AH629" s="96">
        <f>SUM(AB629,AC629,AD629)</f>
        <v>0</v>
      </c>
      <c r="AI629" s="96">
        <f>AE629+AF629</f>
        <v>0</v>
      </c>
      <c r="AJ629" s="96">
        <f>AH629+AG629</f>
        <v>0</v>
      </c>
      <c r="AK629" s="96">
        <f>AI629+AJ629</f>
        <v>0</v>
      </c>
      <c r="AM629" s="2161">
        <f ca="1">SUM((INDIRECT(AM$2&amp;(ROW())):INDIRECT(AM$3&amp;(ROW()))))</f>
        <v>0</v>
      </c>
      <c r="AN629" s="2161">
        <f ca="1">SUM(INDIRECT(AN$1&amp;AN$2&amp;$C629):INDIRECT(AN$1&amp;AN$3&amp;$C629))</f>
        <v>0</v>
      </c>
      <c r="AO629" s="2877">
        <f t="shared" ca="1" si="1147"/>
        <v>0</v>
      </c>
      <c r="AP629" s="2878">
        <f t="shared" ca="1" si="1189"/>
        <v>0</v>
      </c>
      <c r="AQ629" s="2161">
        <f ca="1">SUM(INDIRECT(AQ$1&amp;AQ$2&amp;$A629):INDIRECT(AQ$1&amp;AQ$3&amp;$A629))</f>
        <v>0</v>
      </c>
      <c r="AR629" s="2877">
        <f t="shared" ca="1" si="1148"/>
        <v>0</v>
      </c>
      <c r="AS629" s="2878">
        <f t="shared" ca="1" si="1190"/>
        <v>0</v>
      </c>
      <c r="AU629" s="2161">
        <f ca="1">SUM((INDIRECT(AU$2&amp;(ROW())):INDIRECT(AU$3&amp;(ROW()))))</f>
        <v>0</v>
      </c>
      <c r="AV629" s="2161">
        <f ca="1">SUM(INDIRECT(AV$1&amp;AV$2&amp;$C629):INDIRECT(AV$1&amp;AV$3&amp;$C629))</f>
        <v>0</v>
      </c>
      <c r="AW629" s="2877">
        <f t="shared" ca="1" si="1191"/>
        <v>0</v>
      </c>
      <c r="AX629" s="2878">
        <f t="shared" ca="1" si="1192"/>
        <v>0</v>
      </c>
      <c r="AY629" s="2161">
        <f ca="1">SUM(INDIRECT(AY$1&amp;AY$2&amp;$A629):INDIRECT(AY$1&amp;AY$3&amp;$A629))</f>
        <v>0</v>
      </c>
      <c r="AZ629" s="2877">
        <f t="shared" ca="1" si="1193"/>
        <v>0</v>
      </c>
      <c r="BA629" s="2878">
        <f t="shared" ca="1" si="1194"/>
        <v>0</v>
      </c>
      <c r="BC629" s="2161">
        <f ca="1">SUM((INDIRECT(BC$2&amp;(ROW())):INDIRECT(BC$3&amp;(ROW()))))</f>
        <v>0</v>
      </c>
      <c r="BD629" s="2161">
        <f ca="1">SUM(INDIRECT(BD$1&amp;BD$2&amp;$C629):INDIRECT(BD$1&amp;BD$3&amp;$C629))</f>
        <v>0</v>
      </c>
      <c r="BE629" s="2877">
        <f t="shared" ca="1" si="1195"/>
        <v>0</v>
      </c>
      <c r="BF629" s="2878">
        <f t="shared" ca="1" si="1196"/>
        <v>0</v>
      </c>
      <c r="BG629" s="2161">
        <f ca="1">SUM(INDIRECT(BG$1&amp;BG$2&amp;$A629):INDIRECT(BG$1&amp;BG$3&amp;$A629))</f>
        <v>0</v>
      </c>
      <c r="BH629" s="2877">
        <f t="shared" ca="1" si="1197"/>
        <v>0</v>
      </c>
      <c r="BI629" s="2878">
        <f t="shared" ca="1" si="1198"/>
        <v>0</v>
      </c>
    </row>
    <row r="630" spans="1:61" ht="14.5">
      <c r="A630" s="1693">
        <f t="shared" si="1164"/>
        <v>622</v>
      </c>
      <c r="B630" s="616">
        <v>1</v>
      </c>
      <c r="C630" s="1693">
        <f t="shared" si="1161"/>
        <v>630</v>
      </c>
      <c r="D630" s="616">
        <v>1</v>
      </c>
      <c r="F630" s="69"/>
      <c r="J630" s="73"/>
      <c r="K630" s="72"/>
      <c r="L630" s="63"/>
      <c r="M630" s="63"/>
      <c r="N630" s="208"/>
      <c r="O630" s="228"/>
      <c r="P630" s="228"/>
      <c r="Q630" s="228" t="s">
        <v>224</v>
      </c>
      <c r="R630" s="1779" t="str">
        <f>CHOOSE(2, "6722000003541", "S/GP (2) Gross Profit Indirect NH &lt;Direct&gt;SDC(-) OFC")</f>
        <v>S/GP (2) Gross Profit Indirect NH &lt;Direct&gt;SDC(-) OFC</v>
      </c>
      <c r="S630" s="1218"/>
      <c r="T630" s="1218"/>
      <c r="U630" s="1218"/>
      <c r="V630" s="1218"/>
      <c r="W630" s="1218"/>
      <c r="X630" s="1218"/>
      <c r="Y630" s="1218"/>
      <c r="Z630" s="1218"/>
      <c r="AA630" s="1218"/>
      <c r="AB630" s="1218"/>
      <c r="AC630" s="1218"/>
      <c r="AD630" s="1218"/>
      <c r="AE630" s="87">
        <f>SUM(S630,T630,U630)</f>
        <v>0</v>
      </c>
      <c r="AF630" s="15">
        <f>SUM(V630,W630,X630)</f>
        <v>0</v>
      </c>
      <c r="AG630" s="15">
        <f>SUM(Y630,Z630,AA630)</f>
        <v>0</v>
      </c>
      <c r="AH630" s="15">
        <f>SUM(AB630,AC630,AD630)</f>
        <v>0</v>
      </c>
      <c r="AI630" s="15">
        <f>AE630+AF630</f>
        <v>0</v>
      </c>
      <c r="AJ630" s="15">
        <f>AH630+AG630</f>
        <v>0</v>
      </c>
      <c r="AK630" s="15">
        <f>AI630+AJ630</f>
        <v>0</v>
      </c>
      <c r="AM630" s="1928">
        <f ca="1">SUM((INDIRECT(AM$2&amp;(ROW())):INDIRECT(AM$3&amp;(ROW()))))</f>
        <v>0</v>
      </c>
      <c r="AN630" s="1928">
        <f ca="1">SUM(INDIRECT(AN$1&amp;AN$2&amp;$C630):INDIRECT(AN$1&amp;AN$3&amp;$C630))</f>
        <v>0</v>
      </c>
      <c r="AO630" s="2709">
        <f t="shared" ca="1" si="1147"/>
        <v>0</v>
      </c>
      <c r="AP630" s="2710">
        <f t="shared" ca="1" si="1189"/>
        <v>0</v>
      </c>
      <c r="AQ630" s="1928">
        <f ca="1">SUM(INDIRECT(AQ$1&amp;AQ$2&amp;$A630):INDIRECT(AQ$1&amp;AQ$3&amp;$A630))</f>
        <v>0</v>
      </c>
      <c r="AR630" s="2709">
        <f t="shared" ca="1" si="1148"/>
        <v>0</v>
      </c>
      <c r="AS630" s="2710">
        <f t="shared" ca="1" si="1190"/>
        <v>0</v>
      </c>
      <c r="AU630" s="1928">
        <f ca="1">SUM((INDIRECT(AU$2&amp;(ROW())):INDIRECT(AU$3&amp;(ROW()))))</f>
        <v>0</v>
      </c>
      <c r="AV630" s="1928">
        <f ca="1">SUM(INDIRECT(AV$1&amp;AV$2&amp;$C630):INDIRECT(AV$1&amp;AV$3&amp;$C630))</f>
        <v>0</v>
      </c>
      <c r="AW630" s="2709">
        <f t="shared" ca="1" si="1191"/>
        <v>0</v>
      </c>
      <c r="AX630" s="2710">
        <f t="shared" ca="1" si="1192"/>
        <v>0</v>
      </c>
      <c r="AY630" s="1928">
        <f ca="1">SUM(INDIRECT(AY$1&amp;AY$2&amp;$A630):INDIRECT(AY$1&amp;AY$3&amp;$A630))</f>
        <v>0</v>
      </c>
      <c r="AZ630" s="2709">
        <f t="shared" ca="1" si="1193"/>
        <v>0</v>
      </c>
      <c r="BA630" s="2710">
        <f t="shared" ca="1" si="1194"/>
        <v>0</v>
      </c>
      <c r="BC630" s="1928">
        <f ca="1">SUM((INDIRECT(BC$2&amp;(ROW())):INDIRECT(BC$3&amp;(ROW()))))</f>
        <v>0</v>
      </c>
      <c r="BD630" s="1928">
        <f ca="1">SUM(INDIRECT(BD$1&amp;BD$2&amp;$C630):INDIRECT(BD$1&amp;BD$3&amp;$C630))</f>
        <v>0</v>
      </c>
      <c r="BE630" s="2709">
        <f t="shared" ca="1" si="1195"/>
        <v>0</v>
      </c>
      <c r="BF630" s="2710">
        <f t="shared" ca="1" si="1196"/>
        <v>0</v>
      </c>
      <c r="BG630" s="1928">
        <f ca="1">SUM(INDIRECT(BG$1&amp;BG$2&amp;$A630):INDIRECT(BG$1&amp;BG$3&amp;$A630))</f>
        <v>0</v>
      </c>
      <c r="BH630" s="2709">
        <f t="shared" ca="1" si="1197"/>
        <v>0</v>
      </c>
      <c r="BI630" s="2710">
        <f t="shared" ca="1" si="1198"/>
        <v>0</v>
      </c>
    </row>
    <row r="631" spans="1:61" ht="14.5">
      <c r="A631" s="1693">
        <f t="shared" si="1164"/>
        <v>623</v>
      </c>
      <c r="B631" s="616">
        <v>1</v>
      </c>
      <c r="C631" s="1693">
        <f t="shared" si="1161"/>
        <v>631</v>
      </c>
      <c r="D631" s="616">
        <v>1</v>
      </c>
      <c r="F631" s="69"/>
      <c r="J631" s="73"/>
      <c r="K631" s="72"/>
      <c r="L631" s="63"/>
      <c r="M631" s="63"/>
      <c r="N631" s="208"/>
      <c r="O631" s="309" t="s">
        <v>307</v>
      </c>
      <c r="P631" s="229"/>
      <c r="Q631" s="229"/>
      <c r="R631" s="1779" t="str">
        <f>CHOOSE(2, "6722000003542", "S/GP (2) Gross Profit Indirect NH &lt;Direct&gt;D&amp;A (-)")</f>
        <v>S/GP (2) Gross Profit Indirect NH &lt;Direct&gt;D&amp;A (-)</v>
      </c>
      <c r="S631" s="1217"/>
      <c r="T631" s="1217"/>
      <c r="U631" s="1217"/>
      <c r="V631" s="1217"/>
      <c r="W631" s="1217"/>
      <c r="X631" s="1217"/>
      <c r="Y631" s="1217"/>
      <c r="Z631" s="1217"/>
      <c r="AA631" s="1217"/>
      <c r="AB631" s="1217"/>
      <c r="AC631" s="1217"/>
      <c r="AD631" s="1217"/>
      <c r="AE631" s="88">
        <f>SUM(S631,T631,U631)</f>
        <v>0</v>
      </c>
      <c r="AF631" s="17">
        <f>SUM(V631,W631,X631)</f>
        <v>0</v>
      </c>
      <c r="AG631" s="17">
        <f>SUM(Y631,Z631,AA631)</f>
        <v>0</v>
      </c>
      <c r="AH631" s="17">
        <f>SUM(AB631,AC631,AD631)</f>
        <v>0</v>
      </c>
      <c r="AI631" s="17">
        <f>AE631+AF631</f>
        <v>0</v>
      </c>
      <c r="AJ631" s="17">
        <f>AH631+AG631</f>
        <v>0</v>
      </c>
      <c r="AK631" s="17">
        <f>AI631+AJ631</f>
        <v>0</v>
      </c>
      <c r="AM631" s="1926">
        <f ca="1">SUM((INDIRECT(AM$2&amp;(ROW())):INDIRECT(AM$3&amp;(ROW()))))</f>
        <v>0</v>
      </c>
      <c r="AN631" s="1926">
        <f ca="1">SUM(INDIRECT(AN$1&amp;AN$2&amp;$C631):INDIRECT(AN$1&amp;AN$3&amp;$C631))</f>
        <v>0</v>
      </c>
      <c r="AO631" s="2707">
        <f t="shared" ca="1" si="1147"/>
        <v>0</v>
      </c>
      <c r="AP631" s="2708">
        <f t="shared" ca="1" si="1189"/>
        <v>0</v>
      </c>
      <c r="AQ631" s="1926">
        <f ca="1">SUM(INDIRECT(AQ$1&amp;AQ$2&amp;$A631):INDIRECT(AQ$1&amp;AQ$3&amp;$A631))</f>
        <v>0</v>
      </c>
      <c r="AR631" s="2707">
        <f t="shared" ca="1" si="1148"/>
        <v>0</v>
      </c>
      <c r="AS631" s="2708">
        <f t="shared" ca="1" si="1190"/>
        <v>0</v>
      </c>
      <c r="AU631" s="1926">
        <f ca="1">SUM((INDIRECT(AU$2&amp;(ROW())):INDIRECT(AU$3&amp;(ROW()))))</f>
        <v>0</v>
      </c>
      <c r="AV631" s="1926">
        <f ca="1">SUM(INDIRECT(AV$1&amp;AV$2&amp;$C631):INDIRECT(AV$1&amp;AV$3&amp;$C631))</f>
        <v>0</v>
      </c>
      <c r="AW631" s="2707">
        <f t="shared" ca="1" si="1191"/>
        <v>0</v>
      </c>
      <c r="AX631" s="2708">
        <f t="shared" ca="1" si="1192"/>
        <v>0</v>
      </c>
      <c r="AY631" s="1926">
        <f ca="1">SUM(INDIRECT(AY$1&amp;AY$2&amp;$A631):INDIRECT(AY$1&amp;AY$3&amp;$A631))</f>
        <v>0</v>
      </c>
      <c r="AZ631" s="2707">
        <f t="shared" ca="1" si="1193"/>
        <v>0</v>
      </c>
      <c r="BA631" s="2708">
        <f t="shared" ca="1" si="1194"/>
        <v>0</v>
      </c>
      <c r="BC631" s="1926">
        <f ca="1">SUM((INDIRECT(BC$2&amp;(ROW())):INDIRECT(BC$3&amp;(ROW()))))</f>
        <v>0</v>
      </c>
      <c r="BD631" s="1926">
        <f ca="1">SUM(INDIRECT(BD$1&amp;BD$2&amp;$C631):INDIRECT(BD$1&amp;BD$3&amp;$C631))</f>
        <v>0</v>
      </c>
      <c r="BE631" s="2707">
        <f t="shared" ca="1" si="1195"/>
        <v>0</v>
      </c>
      <c r="BF631" s="2708">
        <f t="shared" ca="1" si="1196"/>
        <v>0</v>
      </c>
      <c r="BG631" s="1926">
        <f ca="1">SUM(INDIRECT(BG$1&amp;BG$2&amp;$A631):INDIRECT(BG$1&amp;BG$3&amp;$A631))</f>
        <v>0</v>
      </c>
      <c r="BH631" s="2707">
        <f t="shared" ca="1" si="1197"/>
        <v>0</v>
      </c>
      <c r="BI631" s="2708">
        <f t="shared" ca="1" si="1198"/>
        <v>0</v>
      </c>
    </row>
    <row r="632" spans="1:61" ht="14.5">
      <c r="A632" s="1693">
        <f t="shared" si="1164"/>
        <v>624</v>
      </c>
      <c r="B632" s="616">
        <v>1</v>
      </c>
      <c r="C632" s="1693">
        <f t="shared" si="1161"/>
        <v>632</v>
      </c>
      <c r="D632" s="616">
        <v>1</v>
      </c>
      <c r="F632" s="69"/>
      <c r="J632" s="73"/>
      <c r="K632" s="72"/>
      <c r="L632" s="63"/>
      <c r="M632" s="63"/>
      <c r="N632" s="65" t="s">
        <v>116</v>
      </c>
      <c r="O632" s="284"/>
      <c r="P632" s="284"/>
      <c r="Q632" s="284"/>
      <c r="R632" s="1777" t="str">
        <f>CHOOSE(2, "6722000003543", "S/GP (2) Gross Profit Indirect Solution")</f>
        <v>S/GP (2) Gross Profit Indirect Solution</v>
      </c>
      <c r="S632" s="1249">
        <f>SUM(S633:S636)</f>
        <v>0</v>
      </c>
      <c r="T632" s="1249">
        <f t="shared" ref="T632:AD632" si="1201">SUM(T633:T636)</f>
        <v>0</v>
      </c>
      <c r="U632" s="1249">
        <f t="shared" si="1201"/>
        <v>0</v>
      </c>
      <c r="V632" s="1249">
        <f t="shared" si="1201"/>
        <v>0</v>
      </c>
      <c r="W632" s="1249">
        <f t="shared" si="1201"/>
        <v>0</v>
      </c>
      <c r="X632" s="1249">
        <f t="shared" si="1201"/>
        <v>-267.16084000000001</v>
      </c>
      <c r="Y632" s="1249">
        <f t="shared" si="1201"/>
        <v>-204.99864000000002</v>
      </c>
      <c r="Z632" s="1249">
        <f t="shared" si="1201"/>
        <v>0</v>
      </c>
      <c r="AA632" s="1249">
        <f t="shared" si="1201"/>
        <v>0</v>
      </c>
      <c r="AB632" s="1249">
        <f t="shared" si="1201"/>
        <v>0</v>
      </c>
      <c r="AC632" s="1249">
        <f t="shared" si="1201"/>
        <v>0</v>
      </c>
      <c r="AD632" s="1249">
        <f t="shared" si="1201"/>
        <v>0</v>
      </c>
      <c r="AE632" s="898">
        <f t="shared" ref="AE632:AK632" si="1202">SUM(AE633:AE636)</f>
        <v>0</v>
      </c>
      <c r="AF632" s="1249">
        <f t="shared" si="1202"/>
        <v>-267.16084000000001</v>
      </c>
      <c r="AG632" s="1249">
        <f t="shared" si="1202"/>
        <v>-204.99864000000002</v>
      </c>
      <c r="AH632" s="1249">
        <f t="shared" si="1202"/>
        <v>0</v>
      </c>
      <c r="AI632" s="1249">
        <f t="shared" si="1202"/>
        <v>-267.16084000000001</v>
      </c>
      <c r="AJ632" s="1249">
        <f t="shared" si="1202"/>
        <v>-204.99864000000002</v>
      </c>
      <c r="AK632" s="1249">
        <f t="shared" si="1202"/>
        <v>-472.15948000000003</v>
      </c>
      <c r="AM632" s="2570">
        <f ca="1">SUM((INDIRECT(AM$2&amp;(ROW())):INDIRECT(AM$3&amp;(ROW()))))</f>
        <v>0</v>
      </c>
      <c r="AN632" s="2570">
        <f ca="1">SUM(INDIRECT(AN$1&amp;AN$2&amp;$C632):INDIRECT(AN$1&amp;AN$3&amp;$C632))</f>
        <v>0</v>
      </c>
      <c r="AO632" s="2910">
        <f t="shared" ca="1" si="1147"/>
        <v>0</v>
      </c>
      <c r="AP632" s="2911">
        <f t="shared" ca="1" si="1189"/>
        <v>0</v>
      </c>
      <c r="AQ632" s="2570">
        <f ca="1">SUM(INDIRECT(AQ$1&amp;AQ$2&amp;$A632):INDIRECT(AQ$1&amp;AQ$3&amp;$A632))</f>
        <v>0</v>
      </c>
      <c r="AR632" s="2910">
        <f t="shared" ca="1" si="1148"/>
        <v>0</v>
      </c>
      <c r="AS632" s="2911">
        <f t="shared" ca="1" si="1190"/>
        <v>0</v>
      </c>
      <c r="AU632" s="2570">
        <f ca="1">SUM((INDIRECT(AU$2&amp;(ROW())):INDIRECT(AU$3&amp;(ROW()))))</f>
        <v>0</v>
      </c>
      <c r="AV632" s="2570">
        <f ca="1">SUM(INDIRECT(AV$1&amp;AV$2&amp;$C632):INDIRECT(AV$1&amp;AV$3&amp;$C632))</f>
        <v>0</v>
      </c>
      <c r="AW632" s="2910">
        <f t="shared" ca="1" si="1191"/>
        <v>0</v>
      </c>
      <c r="AX632" s="2911">
        <f t="shared" ca="1" si="1192"/>
        <v>0</v>
      </c>
      <c r="AY632" s="2570">
        <f ca="1">SUM(INDIRECT(AY$1&amp;AY$2&amp;$A632):INDIRECT(AY$1&amp;AY$3&amp;$A632))</f>
        <v>0</v>
      </c>
      <c r="AZ632" s="2910">
        <f t="shared" ca="1" si="1193"/>
        <v>0</v>
      </c>
      <c r="BA632" s="2911">
        <f t="shared" ca="1" si="1194"/>
        <v>0</v>
      </c>
      <c r="BC632" s="2570">
        <f ca="1">SUM((INDIRECT(BC$2&amp;(ROW())):INDIRECT(BC$3&amp;(ROW()))))</f>
        <v>0</v>
      </c>
      <c r="BD632" s="2570">
        <f ca="1">SUM(INDIRECT(BD$1&amp;BD$2&amp;$C632):INDIRECT(BD$1&amp;BD$3&amp;$C632))</f>
        <v>0</v>
      </c>
      <c r="BE632" s="2910">
        <f t="shared" ca="1" si="1195"/>
        <v>0</v>
      </c>
      <c r="BF632" s="2911">
        <f t="shared" ca="1" si="1196"/>
        <v>0</v>
      </c>
      <c r="BG632" s="2570">
        <f ca="1">SUM(INDIRECT(BG$1&amp;BG$2&amp;$A632):INDIRECT(BG$1&amp;BG$3&amp;$A632))</f>
        <v>0</v>
      </c>
      <c r="BH632" s="2910">
        <f t="shared" ca="1" si="1197"/>
        <v>0</v>
      </c>
      <c r="BI632" s="2911">
        <f t="shared" ca="1" si="1198"/>
        <v>0</v>
      </c>
    </row>
    <row r="633" spans="1:61" ht="14.5">
      <c r="A633" s="1693">
        <f t="shared" si="1164"/>
        <v>625</v>
      </c>
      <c r="B633" s="616">
        <v>1</v>
      </c>
      <c r="C633" s="1693">
        <f t="shared" si="1161"/>
        <v>633</v>
      </c>
      <c r="D633" s="616">
        <v>1</v>
      </c>
      <c r="F633" s="69"/>
      <c r="J633" s="73"/>
      <c r="K633" s="72"/>
      <c r="L633" s="63"/>
      <c r="M633" s="63"/>
      <c r="O633" s="97"/>
      <c r="P633" s="97"/>
      <c r="Q633" s="97" t="s">
        <v>53</v>
      </c>
      <c r="R633" s="1779" t="str">
        <f>CHOOSE(2, "6722000003544", "S/GP (2) Gross Profit Indirect Solution HWware")</f>
        <v>S/GP (2) Gross Profit Indirect Solution HWware</v>
      </c>
      <c r="S633" s="1227"/>
      <c r="T633" s="1227"/>
      <c r="U633" s="1227"/>
      <c r="V633" s="1227"/>
      <c r="W633" s="1227"/>
      <c r="X633" s="1227">
        <v>-267.16084000000001</v>
      </c>
      <c r="Y633" s="1227">
        <v>-204.99864000000002</v>
      </c>
      <c r="Z633" s="1227"/>
      <c r="AA633" s="1227"/>
      <c r="AB633" s="1227"/>
      <c r="AC633" s="1227"/>
      <c r="AD633" s="1227"/>
      <c r="AE633" s="295">
        <f>SUM(S633,T633,U633)</f>
        <v>0</v>
      </c>
      <c r="AF633" s="96">
        <f>SUM(V633,W633,X633)</f>
        <v>-267.16084000000001</v>
      </c>
      <c r="AG633" s="96">
        <f>SUM(Y633,Z633,AA633)</f>
        <v>-204.99864000000002</v>
      </c>
      <c r="AH633" s="96">
        <f>SUM(AB633,AC633,AD633)</f>
        <v>0</v>
      </c>
      <c r="AI633" s="96">
        <f>AE633+AF633</f>
        <v>-267.16084000000001</v>
      </c>
      <c r="AJ633" s="96">
        <f>AH633+AG633</f>
        <v>-204.99864000000002</v>
      </c>
      <c r="AK633" s="96">
        <f>AI633+AJ633</f>
        <v>-472.15948000000003</v>
      </c>
      <c r="AM633" s="2161">
        <f ca="1">SUM((INDIRECT(AM$2&amp;(ROW())):INDIRECT(AM$3&amp;(ROW()))))</f>
        <v>0</v>
      </c>
      <c r="AN633" s="2161">
        <f ca="1">SUM(INDIRECT(AN$1&amp;AN$2&amp;$C633):INDIRECT(AN$1&amp;AN$3&amp;$C633))</f>
        <v>0</v>
      </c>
      <c r="AO633" s="2877">
        <f t="shared" ca="1" si="1147"/>
        <v>0</v>
      </c>
      <c r="AP633" s="2878">
        <f t="shared" ca="1" si="1189"/>
        <v>0</v>
      </c>
      <c r="AQ633" s="2161">
        <f ca="1">SUM(INDIRECT(AQ$1&amp;AQ$2&amp;$A633):INDIRECT(AQ$1&amp;AQ$3&amp;$A633))</f>
        <v>0</v>
      </c>
      <c r="AR633" s="2877">
        <f t="shared" ca="1" si="1148"/>
        <v>0</v>
      </c>
      <c r="AS633" s="2878">
        <f t="shared" ca="1" si="1190"/>
        <v>0</v>
      </c>
      <c r="AU633" s="2161">
        <f ca="1">SUM((INDIRECT(AU$2&amp;(ROW())):INDIRECT(AU$3&amp;(ROW()))))</f>
        <v>0</v>
      </c>
      <c r="AV633" s="2161">
        <f ca="1">SUM(INDIRECT(AV$1&amp;AV$2&amp;$C633):INDIRECT(AV$1&amp;AV$3&amp;$C633))</f>
        <v>0</v>
      </c>
      <c r="AW633" s="2877">
        <f t="shared" ca="1" si="1191"/>
        <v>0</v>
      </c>
      <c r="AX633" s="2878">
        <f t="shared" ca="1" si="1192"/>
        <v>0</v>
      </c>
      <c r="AY633" s="2161">
        <f ca="1">SUM(INDIRECT(AY$1&amp;AY$2&amp;$A633):INDIRECT(AY$1&amp;AY$3&amp;$A633))</f>
        <v>0</v>
      </c>
      <c r="AZ633" s="2877">
        <f t="shared" ca="1" si="1193"/>
        <v>0</v>
      </c>
      <c r="BA633" s="2878">
        <f t="shared" ca="1" si="1194"/>
        <v>0</v>
      </c>
      <c r="BC633" s="2161">
        <f ca="1">SUM((INDIRECT(BC$2&amp;(ROW())):INDIRECT(BC$3&amp;(ROW()))))</f>
        <v>0</v>
      </c>
      <c r="BD633" s="2161">
        <f ca="1">SUM(INDIRECT(BD$1&amp;BD$2&amp;$C633):INDIRECT(BD$1&amp;BD$3&amp;$C633))</f>
        <v>0</v>
      </c>
      <c r="BE633" s="2877">
        <f t="shared" ca="1" si="1195"/>
        <v>0</v>
      </c>
      <c r="BF633" s="2878">
        <f t="shared" ca="1" si="1196"/>
        <v>0</v>
      </c>
      <c r="BG633" s="2161">
        <f ca="1">SUM(INDIRECT(BG$1&amp;BG$2&amp;$A633):INDIRECT(BG$1&amp;BG$3&amp;$A633))</f>
        <v>0</v>
      </c>
      <c r="BH633" s="2877">
        <f t="shared" ca="1" si="1197"/>
        <v>0</v>
      </c>
      <c r="BI633" s="2878">
        <f t="shared" ca="1" si="1198"/>
        <v>0</v>
      </c>
    </row>
    <row r="634" spans="1:61" ht="14.5">
      <c r="A634" s="1693">
        <f t="shared" si="1164"/>
        <v>626</v>
      </c>
      <c r="B634" s="616">
        <v>1</v>
      </c>
      <c r="C634" s="1693">
        <f t="shared" si="1161"/>
        <v>634</v>
      </c>
      <c r="D634" s="616">
        <v>1</v>
      </c>
      <c r="F634" s="69"/>
      <c r="J634" s="73"/>
      <c r="K634" s="72"/>
      <c r="L634" s="63"/>
      <c r="M634" s="63"/>
      <c r="Q634" s="8" t="s">
        <v>134</v>
      </c>
      <c r="R634" s="1779" t="str">
        <f>CHOOSE(2, "6722000003545", "S/GP (2) Gross Profit Indirect Solution Software")</f>
        <v>S/GP (2) Gross Profit Indirect Solution Software</v>
      </c>
      <c r="S634" s="1217"/>
      <c r="T634" s="1217"/>
      <c r="U634" s="1217"/>
      <c r="V634" s="1217"/>
      <c r="W634" s="1217"/>
      <c r="X634" s="1217"/>
      <c r="Y634" s="1217"/>
      <c r="Z634" s="1217"/>
      <c r="AA634" s="1217"/>
      <c r="AB634" s="1217"/>
      <c r="AC634" s="1217"/>
      <c r="AD634" s="1217"/>
      <c r="AE634" s="88">
        <f>SUM(S634,T634,U634)</f>
        <v>0</v>
      </c>
      <c r="AF634" s="17">
        <f>SUM(V634,W634,X634)</f>
        <v>0</v>
      </c>
      <c r="AG634" s="17">
        <f>SUM(Y634,Z634,AA634)</f>
        <v>0</v>
      </c>
      <c r="AH634" s="17">
        <f>SUM(AB634,AC634,AD634)</f>
        <v>0</v>
      </c>
      <c r="AI634" s="17">
        <f>AE634+AF634</f>
        <v>0</v>
      </c>
      <c r="AJ634" s="17">
        <f>AH634+AG634</f>
        <v>0</v>
      </c>
      <c r="AK634" s="17">
        <f>AI634+AJ634</f>
        <v>0</v>
      </c>
      <c r="AM634" s="1926">
        <f ca="1">SUM((INDIRECT(AM$2&amp;(ROW())):INDIRECT(AM$3&amp;(ROW()))))</f>
        <v>0</v>
      </c>
      <c r="AN634" s="1926">
        <f ca="1">SUM(INDIRECT(AN$1&amp;AN$2&amp;$C634):INDIRECT(AN$1&amp;AN$3&amp;$C634))</f>
        <v>0</v>
      </c>
      <c r="AO634" s="2707">
        <f t="shared" ca="1" si="1147"/>
        <v>0</v>
      </c>
      <c r="AP634" s="2708">
        <f t="shared" ca="1" si="1189"/>
        <v>0</v>
      </c>
      <c r="AQ634" s="1926">
        <f ca="1">SUM(INDIRECT(AQ$1&amp;AQ$2&amp;$A634):INDIRECT(AQ$1&amp;AQ$3&amp;$A634))</f>
        <v>0</v>
      </c>
      <c r="AR634" s="2707">
        <f t="shared" ca="1" si="1148"/>
        <v>0</v>
      </c>
      <c r="AS634" s="2708">
        <f t="shared" ca="1" si="1190"/>
        <v>0</v>
      </c>
      <c r="AU634" s="1926">
        <f ca="1">SUM((INDIRECT(AU$2&amp;(ROW())):INDIRECT(AU$3&amp;(ROW()))))</f>
        <v>0</v>
      </c>
      <c r="AV634" s="1926">
        <f ca="1">SUM(INDIRECT(AV$1&amp;AV$2&amp;$C634):INDIRECT(AV$1&amp;AV$3&amp;$C634))</f>
        <v>0</v>
      </c>
      <c r="AW634" s="2707">
        <f t="shared" ca="1" si="1191"/>
        <v>0</v>
      </c>
      <c r="AX634" s="2708">
        <f t="shared" ca="1" si="1192"/>
        <v>0</v>
      </c>
      <c r="AY634" s="1926">
        <f ca="1">SUM(INDIRECT(AY$1&amp;AY$2&amp;$A634):INDIRECT(AY$1&amp;AY$3&amp;$A634))</f>
        <v>0</v>
      </c>
      <c r="AZ634" s="2707">
        <f t="shared" ca="1" si="1193"/>
        <v>0</v>
      </c>
      <c r="BA634" s="2708">
        <f t="shared" ca="1" si="1194"/>
        <v>0</v>
      </c>
      <c r="BC634" s="1926">
        <f ca="1">SUM((INDIRECT(BC$2&amp;(ROW())):INDIRECT(BC$3&amp;(ROW()))))</f>
        <v>0</v>
      </c>
      <c r="BD634" s="1926">
        <f ca="1">SUM(INDIRECT(BD$1&amp;BD$2&amp;$C634):INDIRECT(BD$1&amp;BD$3&amp;$C634))</f>
        <v>0</v>
      </c>
      <c r="BE634" s="2707">
        <f t="shared" ca="1" si="1195"/>
        <v>0</v>
      </c>
      <c r="BF634" s="2708">
        <f t="shared" ca="1" si="1196"/>
        <v>0</v>
      </c>
      <c r="BG634" s="1926">
        <f ca="1">SUM(INDIRECT(BG$1&amp;BG$2&amp;$A634):INDIRECT(BG$1&amp;BG$3&amp;$A634))</f>
        <v>0</v>
      </c>
      <c r="BH634" s="2707">
        <f t="shared" ca="1" si="1197"/>
        <v>0</v>
      </c>
      <c r="BI634" s="2708">
        <f t="shared" ca="1" si="1198"/>
        <v>0</v>
      </c>
    </row>
    <row r="635" spans="1:61" ht="14.5">
      <c r="A635" s="1693">
        <f t="shared" si="1164"/>
        <v>627</v>
      </c>
      <c r="B635" s="616">
        <v>1</v>
      </c>
      <c r="C635" s="1693">
        <f t="shared" si="1161"/>
        <v>635</v>
      </c>
      <c r="D635" s="616">
        <v>1</v>
      </c>
      <c r="F635" s="69"/>
      <c r="J635" s="73"/>
      <c r="K635" s="72"/>
      <c r="L635" s="63"/>
      <c r="M635" s="63"/>
      <c r="Q635" s="8" t="s">
        <v>135</v>
      </c>
      <c r="R635" s="1779" t="str">
        <f>CHOOSE(2, "6722000003546", "S/GP (2) Gross Profit Indirect Solution Professional Service")</f>
        <v>S/GP (2) Gross Profit Indirect Solution Professional Service</v>
      </c>
      <c r="S635" s="1217"/>
      <c r="T635" s="1217"/>
      <c r="U635" s="1217"/>
      <c r="V635" s="1217"/>
      <c r="W635" s="1217"/>
      <c r="X635" s="1217"/>
      <c r="Y635" s="1217"/>
      <c r="Z635" s="1217"/>
      <c r="AA635" s="1217"/>
      <c r="AB635" s="1217"/>
      <c r="AC635" s="1217"/>
      <c r="AD635" s="1217"/>
      <c r="AE635" s="88">
        <f>SUM(S635,T635,U635)</f>
        <v>0</v>
      </c>
      <c r="AF635" s="17">
        <f>SUM(V635,W635,X635)</f>
        <v>0</v>
      </c>
      <c r="AG635" s="17">
        <f>SUM(Y635,Z635,AA635)</f>
        <v>0</v>
      </c>
      <c r="AH635" s="17">
        <f>SUM(AB635,AC635,AD635)</f>
        <v>0</v>
      </c>
      <c r="AI635" s="17">
        <f>AE635+AF635</f>
        <v>0</v>
      </c>
      <c r="AJ635" s="17">
        <f>AH635+AG635</f>
        <v>0</v>
      </c>
      <c r="AK635" s="17">
        <f>AI635+AJ635</f>
        <v>0</v>
      </c>
      <c r="AM635" s="1926">
        <f ca="1">SUM((INDIRECT(AM$2&amp;(ROW())):INDIRECT(AM$3&amp;(ROW()))))</f>
        <v>0</v>
      </c>
      <c r="AN635" s="1926">
        <f ca="1">SUM(INDIRECT(AN$1&amp;AN$2&amp;$C635):INDIRECT(AN$1&amp;AN$3&amp;$C635))</f>
        <v>0</v>
      </c>
      <c r="AO635" s="2707">
        <f t="shared" ca="1" si="1147"/>
        <v>0</v>
      </c>
      <c r="AP635" s="2708">
        <f t="shared" ca="1" si="1189"/>
        <v>0</v>
      </c>
      <c r="AQ635" s="1926">
        <f ca="1">SUM(INDIRECT(AQ$1&amp;AQ$2&amp;$A635):INDIRECT(AQ$1&amp;AQ$3&amp;$A635))</f>
        <v>0</v>
      </c>
      <c r="AR635" s="2707">
        <f t="shared" ca="1" si="1148"/>
        <v>0</v>
      </c>
      <c r="AS635" s="2708">
        <f t="shared" ca="1" si="1190"/>
        <v>0</v>
      </c>
      <c r="AU635" s="1926">
        <f ca="1">SUM((INDIRECT(AU$2&amp;(ROW())):INDIRECT(AU$3&amp;(ROW()))))</f>
        <v>0</v>
      </c>
      <c r="AV635" s="1926">
        <f ca="1">SUM(INDIRECT(AV$1&amp;AV$2&amp;$C635):INDIRECT(AV$1&amp;AV$3&amp;$C635))</f>
        <v>0</v>
      </c>
      <c r="AW635" s="2707">
        <f t="shared" ca="1" si="1191"/>
        <v>0</v>
      </c>
      <c r="AX635" s="2708">
        <f t="shared" ca="1" si="1192"/>
        <v>0</v>
      </c>
      <c r="AY635" s="1926">
        <f ca="1">SUM(INDIRECT(AY$1&amp;AY$2&amp;$A635):INDIRECT(AY$1&amp;AY$3&amp;$A635))</f>
        <v>0</v>
      </c>
      <c r="AZ635" s="2707">
        <f t="shared" ca="1" si="1193"/>
        <v>0</v>
      </c>
      <c r="BA635" s="2708">
        <f t="shared" ca="1" si="1194"/>
        <v>0</v>
      </c>
      <c r="BC635" s="1926">
        <f ca="1">SUM((INDIRECT(BC$2&amp;(ROW())):INDIRECT(BC$3&amp;(ROW()))))</f>
        <v>0</v>
      </c>
      <c r="BD635" s="1926">
        <f ca="1">SUM(INDIRECT(BD$1&amp;BD$2&amp;$C635):INDIRECT(BD$1&amp;BD$3&amp;$C635))</f>
        <v>0</v>
      </c>
      <c r="BE635" s="2707">
        <f t="shared" ca="1" si="1195"/>
        <v>0</v>
      </c>
      <c r="BF635" s="2708">
        <f t="shared" ca="1" si="1196"/>
        <v>0</v>
      </c>
      <c r="BG635" s="1926">
        <f ca="1">SUM(INDIRECT(BG$1&amp;BG$2&amp;$A635):INDIRECT(BG$1&amp;BG$3&amp;$A635))</f>
        <v>0</v>
      </c>
      <c r="BH635" s="2707">
        <f t="shared" ca="1" si="1197"/>
        <v>0</v>
      </c>
      <c r="BI635" s="2708">
        <f t="shared" ca="1" si="1198"/>
        <v>0</v>
      </c>
    </row>
    <row r="636" spans="1:61" ht="14.5">
      <c r="A636" s="1693">
        <f t="shared" si="1164"/>
        <v>628</v>
      </c>
      <c r="B636" s="616">
        <v>1</v>
      </c>
      <c r="C636" s="1693">
        <f t="shared" si="1161"/>
        <v>636</v>
      </c>
      <c r="D636" s="616">
        <v>1</v>
      </c>
      <c r="F636" s="69"/>
      <c r="J636" s="73"/>
      <c r="K636" s="72"/>
      <c r="L636" s="63"/>
      <c r="M636" s="63"/>
      <c r="O636" s="11"/>
      <c r="P636" s="11"/>
      <c r="Q636" s="11" t="s">
        <v>51</v>
      </c>
      <c r="R636" s="1779" t="str">
        <f>CHOOSE(2, "6722000003547", "S/GP (2) Gross Profit Indirect Solution Others")</f>
        <v>S/GP (2) Gross Profit Indirect Solution Others</v>
      </c>
      <c r="S636" s="1218"/>
      <c r="T636" s="1218"/>
      <c r="U636" s="1218"/>
      <c r="V636" s="1218"/>
      <c r="W636" s="1218"/>
      <c r="X636" s="1218"/>
      <c r="Y636" s="1218"/>
      <c r="Z636" s="1218"/>
      <c r="AA636" s="1218"/>
      <c r="AB636" s="1218"/>
      <c r="AC636" s="1218"/>
      <c r="AD636" s="1218"/>
      <c r="AE636" s="87">
        <f>SUM(S636,T636,U636)</f>
        <v>0</v>
      </c>
      <c r="AF636" s="15">
        <f>SUM(V636,W636,X636)</f>
        <v>0</v>
      </c>
      <c r="AG636" s="15">
        <f>SUM(Y636,Z636,AA636)</f>
        <v>0</v>
      </c>
      <c r="AH636" s="15">
        <f>SUM(AB636,AC636,AD636)</f>
        <v>0</v>
      </c>
      <c r="AI636" s="15">
        <f>AE636+AF636</f>
        <v>0</v>
      </c>
      <c r="AJ636" s="15">
        <f>AH636+AG636</f>
        <v>0</v>
      </c>
      <c r="AK636" s="15">
        <f>AI636+AJ636</f>
        <v>0</v>
      </c>
      <c r="AM636" s="1928">
        <f ca="1">SUM((INDIRECT(AM$2&amp;(ROW())):INDIRECT(AM$3&amp;(ROW()))))</f>
        <v>0</v>
      </c>
      <c r="AN636" s="1928">
        <f ca="1">SUM(INDIRECT(AN$1&amp;AN$2&amp;$C636):INDIRECT(AN$1&amp;AN$3&amp;$C636))</f>
        <v>0</v>
      </c>
      <c r="AO636" s="2709">
        <f t="shared" ca="1" si="1147"/>
        <v>0</v>
      </c>
      <c r="AP636" s="2710">
        <f t="shared" ca="1" si="1189"/>
        <v>0</v>
      </c>
      <c r="AQ636" s="1928">
        <f ca="1">SUM(INDIRECT(AQ$1&amp;AQ$2&amp;$A636):INDIRECT(AQ$1&amp;AQ$3&amp;$A636))</f>
        <v>0</v>
      </c>
      <c r="AR636" s="2709">
        <f t="shared" ca="1" si="1148"/>
        <v>0</v>
      </c>
      <c r="AS636" s="2710">
        <f t="shared" ca="1" si="1190"/>
        <v>0</v>
      </c>
      <c r="AU636" s="1928">
        <f ca="1">SUM((INDIRECT(AU$2&amp;(ROW())):INDIRECT(AU$3&amp;(ROW()))))</f>
        <v>0</v>
      </c>
      <c r="AV636" s="1928">
        <f ca="1">SUM(INDIRECT(AV$1&amp;AV$2&amp;$C636):INDIRECT(AV$1&amp;AV$3&amp;$C636))</f>
        <v>0</v>
      </c>
      <c r="AW636" s="2709">
        <f t="shared" ca="1" si="1191"/>
        <v>0</v>
      </c>
      <c r="AX636" s="2710">
        <f t="shared" ca="1" si="1192"/>
        <v>0</v>
      </c>
      <c r="AY636" s="1928">
        <f ca="1">SUM(INDIRECT(AY$1&amp;AY$2&amp;$A636):INDIRECT(AY$1&amp;AY$3&amp;$A636))</f>
        <v>0</v>
      </c>
      <c r="AZ636" s="2709">
        <f t="shared" ca="1" si="1193"/>
        <v>0</v>
      </c>
      <c r="BA636" s="2710">
        <f t="shared" ca="1" si="1194"/>
        <v>0</v>
      </c>
      <c r="BC636" s="1928">
        <f ca="1">SUM((INDIRECT(BC$2&amp;(ROW())):INDIRECT(BC$3&amp;(ROW()))))</f>
        <v>0</v>
      </c>
      <c r="BD636" s="1928">
        <f ca="1">SUM(INDIRECT(BD$1&amp;BD$2&amp;$C636):INDIRECT(BD$1&amp;BD$3&amp;$C636))</f>
        <v>0</v>
      </c>
      <c r="BE636" s="2709">
        <f t="shared" ca="1" si="1195"/>
        <v>0</v>
      </c>
      <c r="BF636" s="2710">
        <f t="shared" ca="1" si="1196"/>
        <v>0</v>
      </c>
      <c r="BG636" s="1928">
        <f ca="1">SUM(INDIRECT(BG$1&amp;BG$2&amp;$A636):INDIRECT(BG$1&amp;BG$3&amp;$A636))</f>
        <v>0</v>
      </c>
      <c r="BH636" s="2709">
        <f t="shared" ca="1" si="1197"/>
        <v>0</v>
      </c>
      <c r="BI636" s="2710">
        <f t="shared" ca="1" si="1198"/>
        <v>0</v>
      </c>
    </row>
    <row r="637" spans="1:61" ht="14.5">
      <c r="A637" s="1693">
        <f t="shared" si="1164"/>
        <v>629</v>
      </c>
      <c r="B637" s="616">
        <v>1</v>
      </c>
      <c r="C637" s="1693">
        <f t="shared" si="1161"/>
        <v>637</v>
      </c>
      <c r="D637" s="616">
        <v>1</v>
      </c>
      <c r="F637" s="69"/>
      <c r="J637" s="71"/>
      <c r="K637" s="70"/>
      <c r="L637" s="62"/>
      <c r="M637" s="62"/>
      <c r="N637" s="20" t="s">
        <v>51</v>
      </c>
      <c r="O637" s="11"/>
      <c r="P637" s="11"/>
      <c r="Q637" s="11"/>
      <c r="R637" s="1779" t="str">
        <f>CHOOSE(2, "6722000003548", "S/GP (2) Gross Profit Indirect Others")</f>
        <v>S/GP (2) Gross Profit Indirect Others</v>
      </c>
      <c r="S637" s="1218"/>
      <c r="T637" s="1218"/>
      <c r="U637" s="1218"/>
      <c r="V637" s="1218"/>
      <c r="W637" s="1218"/>
      <c r="X637" s="1218"/>
      <c r="Y637" s="1218"/>
      <c r="Z637" s="1218"/>
      <c r="AA637" s="1218"/>
      <c r="AB637" s="1218"/>
      <c r="AC637" s="1218"/>
      <c r="AD637" s="1218"/>
      <c r="AE637" s="87">
        <f>SUM(S637,T637,U637)</f>
        <v>0</v>
      </c>
      <c r="AF637" s="15">
        <f>SUM(V637,W637,X637)</f>
        <v>0</v>
      </c>
      <c r="AG637" s="15">
        <f>SUM(Y637,Z637,AA637)</f>
        <v>0</v>
      </c>
      <c r="AH637" s="15">
        <f>SUM(AB637,AC637,AD637)</f>
        <v>0</v>
      </c>
      <c r="AI637" s="15">
        <f>AE637+AF637</f>
        <v>0</v>
      </c>
      <c r="AJ637" s="15">
        <f>AH637+AG637</f>
        <v>0</v>
      </c>
      <c r="AK637" s="15">
        <f>AI637+AJ637</f>
        <v>0</v>
      </c>
      <c r="AM637" s="1928">
        <f ca="1">SUM((INDIRECT(AM$2&amp;(ROW())):INDIRECT(AM$3&amp;(ROW()))))</f>
        <v>0</v>
      </c>
      <c r="AN637" s="1928">
        <f ca="1">SUM(INDIRECT(AN$1&amp;AN$2&amp;$C637):INDIRECT(AN$1&amp;AN$3&amp;$C637))</f>
        <v>0</v>
      </c>
      <c r="AO637" s="2709">
        <f t="shared" ca="1" si="1147"/>
        <v>0</v>
      </c>
      <c r="AP637" s="2710">
        <f t="shared" ca="1" si="1189"/>
        <v>0</v>
      </c>
      <c r="AQ637" s="1928">
        <f ca="1">SUM(INDIRECT(AQ$1&amp;AQ$2&amp;$A637):INDIRECT(AQ$1&amp;AQ$3&amp;$A637))</f>
        <v>0</v>
      </c>
      <c r="AR637" s="2709">
        <f t="shared" ca="1" si="1148"/>
        <v>0</v>
      </c>
      <c r="AS637" s="2710">
        <f t="shared" ca="1" si="1190"/>
        <v>0</v>
      </c>
      <c r="AU637" s="1928">
        <f ca="1">SUM((INDIRECT(AU$2&amp;(ROW())):INDIRECT(AU$3&amp;(ROW()))))</f>
        <v>0</v>
      </c>
      <c r="AV637" s="1928">
        <f ca="1">SUM(INDIRECT(AV$1&amp;AV$2&amp;$C637):INDIRECT(AV$1&amp;AV$3&amp;$C637))</f>
        <v>0</v>
      </c>
      <c r="AW637" s="2709">
        <f t="shared" ca="1" si="1191"/>
        <v>0</v>
      </c>
      <c r="AX637" s="2710">
        <f t="shared" ca="1" si="1192"/>
        <v>0</v>
      </c>
      <c r="AY637" s="1928">
        <f ca="1">SUM(INDIRECT(AY$1&amp;AY$2&amp;$A637):INDIRECT(AY$1&amp;AY$3&amp;$A637))</f>
        <v>0</v>
      </c>
      <c r="AZ637" s="2709">
        <f t="shared" ca="1" si="1193"/>
        <v>0</v>
      </c>
      <c r="BA637" s="2710">
        <f t="shared" ca="1" si="1194"/>
        <v>0</v>
      </c>
      <c r="BC637" s="1928">
        <f ca="1">SUM((INDIRECT(BC$2&amp;(ROW())):INDIRECT(BC$3&amp;(ROW()))))</f>
        <v>0</v>
      </c>
      <c r="BD637" s="1928">
        <f ca="1">SUM(INDIRECT(BD$1&amp;BD$2&amp;$C637):INDIRECT(BD$1&amp;BD$3&amp;$C637))</f>
        <v>0</v>
      </c>
      <c r="BE637" s="2709">
        <f t="shared" ca="1" si="1195"/>
        <v>0</v>
      </c>
      <c r="BF637" s="2710">
        <f t="shared" ca="1" si="1196"/>
        <v>0</v>
      </c>
      <c r="BG637" s="1928">
        <f ca="1">SUM(INDIRECT(BG$1&amp;BG$2&amp;$A637):INDIRECT(BG$1&amp;BG$3&amp;$A637))</f>
        <v>0</v>
      </c>
      <c r="BH637" s="2709">
        <f t="shared" ca="1" si="1197"/>
        <v>0</v>
      </c>
      <c r="BI637" s="2710">
        <f t="shared" ca="1" si="1198"/>
        <v>0</v>
      </c>
    </row>
    <row r="638" spans="1:61" ht="14.5">
      <c r="A638" s="1693">
        <f t="shared" si="1164"/>
        <v>630</v>
      </c>
      <c r="B638" s="616">
        <v>1</v>
      </c>
      <c r="C638" s="1693">
        <f t="shared" si="1161"/>
        <v>638</v>
      </c>
      <c r="D638" s="616">
        <v>1</v>
      </c>
      <c r="F638" s="69"/>
      <c r="J638" s="22"/>
      <c r="K638" s="69"/>
      <c r="L638" s="22"/>
      <c r="M638" s="22"/>
      <c r="N638" s="69"/>
      <c r="O638" s="69"/>
      <c r="P638" s="69"/>
      <c r="Q638" s="69"/>
      <c r="R638" s="1772" t="str">
        <f>CHOOSE(2, "6722000003549", "▷ Blank 21")</f>
        <v>▷ Blank 21</v>
      </c>
      <c r="S638" s="1125"/>
      <c r="T638" s="1366"/>
      <c r="U638" s="1366"/>
      <c r="V638" s="1366"/>
      <c r="W638" s="1366"/>
      <c r="X638" s="1366"/>
      <c r="Y638" s="1366"/>
      <c r="Z638" s="1366"/>
      <c r="AA638" s="1366"/>
      <c r="AB638" s="1366"/>
      <c r="AC638" s="1366"/>
      <c r="AD638" s="1366"/>
      <c r="AE638" s="1366"/>
      <c r="AF638" s="1366"/>
      <c r="AG638" s="1366"/>
      <c r="AH638" s="1366"/>
      <c r="AI638" s="1366"/>
      <c r="AJ638" s="1366"/>
      <c r="AK638" s="1366"/>
      <c r="AM638" s="1210"/>
      <c r="AN638" s="1210"/>
      <c r="AO638" s="1210"/>
      <c r="AP638" s="1210"/>
      <c r="AQ638" s="1210"/>
      <c r="AR638" s="1210"/>
      <c r="AS638" s="1210"/>
      <c r="AU638" s="1210"/>
      <c r="AV638" s="1210"/>
      <c r="AW638" s="1210"/>
      <c r="AX638" s="1210"/>
      <c r="AY638" s="1210"/>
      <c r="AZ638" s="1210"/>
      <c r="BA638" s="1210"/>
      <c r="BC638" s="1210"/>
      <c r="BD638" s="1210"/>
      <c r="BE638" s="1210"/>
      <c r="BF638" s="1210"/>
      <c r="BG638" s="1210"/>
      <c r="BH638" s="1210"/>
      <c r="BI638" s="1210"/>
    </row>
    <row r="639" spans="1:61" ht="14.5">
      <c r="A639" s="1693">
        <f t="shared" si="1164"/>
        <v>631</v>
      </c>
      <c r="B639" s="616">
        <v>1</v>
      </c>
      <c r="C639" s="1693">
        <f t="shared" si="1161"/>
        <v>639</v>
      </c>
      <c r="D639" s="616">
        <v>1</v>
      </c>
      <c r="F639" s="69"/>
      <c r="I639" s="22" t="s">
        <v>284</v>
      </c>
      <c r="J639" s="22"/>
      <c r="K639" s="69"/>
      <c r="L639" s="22"/>
      <c r="M639" s="22"/>
      <c r="N639" s="69"/>
      <c r="O639" s="69"/>
      <c r="P639" s="69"/>
      <c r="Q639" s="222"/>
      <c r="R639" s="1772" t="str">
        <f>CHOOSE(2, "6722000003550", "S/GP (3) IP")</f>
        <v>S/GP (3) IP</v>
      </c>
      <c r="S639" s="1125"/>
      <c r="T639" s="1366"/>
      <c r="U639" s="1366"/>
      <c r="V639" s="1366"/>
      <c r="W639" s="1366"/>
      <c r="X639" s="1366"/>
      <c r="Y639" s="1366"/>
      <c r="Z639" s="1366"/>
      <c r="AA639" s="1366"/>
      <c r="AB639" s="1366"/>
      <c r="AC639" s="1366"/>
      <c r="AD639" s="1366"/>
      <c r="AE639" s="1366"/>
      <c r="AF639" s="1366"/>
      <c r="AG639" s="1366"/>
      <c r="AH639" s="1366"/>
      <c r="AI639" s="1366"/>
      <c r="AJ639" s="1366"/>
      <c r="AK639" s="1366"/>
      <c r="AM639" s="1210"/>
      <c r="AN639" s="1210"/>
      <c r="AO639" s="1210"/>
      <c r="AP639" s="1210"/>
      <c r="AQ639" s="1210"/>
      <c r="AR639" s="1210"/>
      <c r="AS639" s="1210"/>
      <c r="AU639" s="1210"/>
      <c r="AV639" s="1210"/>
      <c r="AW639" s="1210"/>
      <c r="AX639" s="1210"/>
      <c r="AY639" s="1210"/>
      <c r="AZ639" s="1210"/>
      <c r="BA639" s="1210"/>
      <c r="BC639" s="1210"/>
      <c r="BD639" s="1210"/>
      <c r="BE639" s="1210"/>
      <c r="BF639" s="1210"/>
      <c r="BG639" s="1210"/>
      <c r="BH639" s="1210"/>
      <c r="BI639" s="1210"/>
    </row>
    <row r="640" spans="1:61" ht="14.5">
      <c r="A640" s="1693">
        <f t="shared" si="1164"/>
        <v>632</v>
      </c>
      <c r="B640" s="616">
        <v>1</v>
      </c>
      <c r="C640" s="1693">
        <f t="shared" si="1161"/>
        <v>640</v>
      </c>
      <c r="D640" s="616">
        <v>1</v>
      </c>
      <c r="F640" s="69"/>
      <c r="J640" s="350" t="s">
        <v>119</v>
      </c>
      <c r="K640" s="351"/>
      <c r="L640" s="356"/>
      <c r="M640" s="356"/>
      <c r="N640" s="357"/>
      <c r="O640" s="357"/>
      <c r="P640" s="357"/>
      <c r="Q640" s="581"/>
      <c r="R640" s="1795" t="str">
        <f>CHOOSE(2, "6722000003551", "S/GP (3) Net Sales")</f>
        <v>S/GP (3) Net Sales</v>
      </c>
      <c r="S640" s="1307">
        <f>S641+S656</f>
        <v>86686</v>
      </c>
      <c r="T640" s="1307">
        <f t="shared" ref="T640:AD640" si="1203">T641+T656</f>
        <v>17939.617999999999</v>
      </c>
      <c r="U640" s="1307">
        <f t="shared" si="1203"/>
        <v>37506.743000000002</v>
      </c>
      <c r="V640" s="1307">
        <f t="shared" si="1203"/>
        <v>7925.893</v>
      </c>
      <c r="W640" s="1307">
        <f t="shared" si="1203"/>
        <v>36041.862000000001</v>
      </c>
      <c r="X640" s="1307">
        <f t="shared" si="1203"/>
        <v>69002.597000000009</v>
      </c>
      <c r="Y640" s="1307">
        <f t="shared" si="1203"/>
        <v>11993.526000000002</v>
      </c>
      <c r="Z640" s="1307">
        <f t="shared" si="1203"/>
        <v>49334.861000000004</v>
      </c>
      <c r="AA640" s="1307">
        <f t="shared" si="1203"/>
        <v>30765.53</v>
      </c>
      <c r="AB640" s="1307">
        <f t="shared" si="1203"/>
        <v>18618.551100000001</v>
      </c>
      <c r="AC640" s="1307">
        <f t="shared" si="1203"/>
        <v>19432.557000000001</v>
      </c>
      <c r="AD640" s="1307">
        <f t="shared" si="1203"/>
        <v>68984.304000000004</v>
      </c>
      <c r="AE640" s="886">
        <f t="shared" ref="AE640:AK640" si="1204">AE641+AE656</f>
        <v>142132.361</v>
      </c>
      <c r="AF640" s="1713">
        <f t="shared" si="1204"/>
        <v>112970.352</v>
      </c>
      <c r="AG640" s="1713">
        <f t="shared" si="1204"/>
        <v>92093.917000000001</v>
      </c>
      <c r="AH640" s="1713">
        <f t="shared" si="1204"/>
        <v>107035.4121</v>
      </c>
      <c r="AI640" s="1713">
        <f t="shared" si="1204"/>
        <v>255102.71299999999</v>
      </c>
      <c r="AJ640" s="1713">
        <f t="shared" si="1204"/>
        <v>199129.3291</v>
      </c>
      <c r="AK640" s="1713">
        <f t="shared" si="1204"/>
        <v>454232.04209999996</v>
      </c>
      <c r="AM640" s="2287">
        <f ca="1">SUM((INDIRECT(AM$2&amp;(ROW())):INDIRECT(AM$3&amp;(ROW()))))</f>
        <v>86686</v>
      </c>
      <c r="AN640" s="2287">
        <f ca="1">SUM(INDIRECT(AN$1&amp;AN$2&amp;$C640):INDIRECT(AN$1&amp;AN$3&amp;$C640))</f>
        <v>91600</v>
      </c>
      <c r="AO640" s="2918">
        <f t="shared" ca="1" si="1147"/>
        <v>-4914</v>
      </c>
      <c r="AP640" s="2919">
        <f t="shared" ref="AP640:AP703" ca="1" si="1205">IFERROR(AM640/AN640,0)</f>
        <v>0.94635371179039296</v>
      </c>
      <c r="AQ640" s="2287">
        <f ca="1">SUM(INDIRECT(AQ$1&amp;AQ$2&amp;$A640):INDIRECT(AQ$1&amp;AQ$3&amp;$A640))</f>
        <v>15308</v>
      </c>
      <c r="AR640" s="2918">
        <f t="shared" ca="1" si="1148"/>
        <v>71378</v>
      </c>
      <c r="AS640" s="2919">
        <f t="shared" ref="AS640:AS703" ca="1" si="1206">IFERROR(AM640/AQ640,0)</f>
        <v>5.6627906976744189</v>
      </c>
      <c r="AU640" s="2287">
        <f ca="1">SUM((INDIRECT(AU$2&amp;(ROW())):INDIRECT(AU$3&amp;(ROW()))))</f>
        <v>86686</v>
      </c>
      <c r="AV640" s="2287">
        <f ca="1">SUM(INDIRECT(AV$1&amp;AV$2&amp;$C640):INDIRECT(AV$1&amp;AV$3&amp;$C640))</f>
        <v>91600</v>
      </c>
      <c r="AW640" s="2918">
        <f t="shared" ref="AW640:AW703" ca="1" si="1207">AU640-AV640</f>
        <v>-4914</v>
      </c>
      <c r="AX640" s="2919">
        <f t="shared" ref="AX640:AX703" ca="1" si="1208">IFERROR(AU640/AV640,0)</f>
        <v>0.94635371179039296</v>
      </c>
      <c r="AY640" s="2287">
        <f ca="1">SUM(INDIRECT(AY$1&amp;AY$2&amp;$A640):INDIRECT(AY$1&amp;AY$3&amp;$A640))</f>
        <v>15308</v>
      </c>
      <c r="AZ640" s="2918">
        <f t="shared" ref="AZ640:AZ703" ca="1" si="1209">AU640-AY640</f>
        <v>71378</v>
      </c>
      <c r="BA640" s="2919">
        <f t="shared" ref="BA640:BA703" ca="1" si="1210">IFERROR(AU640/AY640,0)</f>
        <v>5.6627906976744189</v>
      </c>
      <c r="BC640" s="2287">
        <f ca="1">SUM((INDIRECT(BC$2&amp;(ROW())):INDIRECT(BC$3&amp;(ROW()))))</f>
        <v>86686</v>
      </c>
      <c r="BD640" s="2287">
        <f ca="1">SUM(INDIRECT(BD$1&amp;BD$2&amp;$C640):INDIRECT(BD$1&amp;BD$3&amp;$C640))</f>
        <v>91600</v>
      </c>
      <c r="BE640" s="2918">
        <f t="shared" ref="BE640:BE703" ca="1" si="1211">BC640-BD640</f>
        <v>-4914</v>
      </c>
      <c r="BF640" s="2919">
        <f t="shared" ref="BF640:BF703" ca="1" si="1212">IFERROR(BC640/BD640,0)</f>
        <v>0.94635371179039296</v>
      </c>
      <c r="BG640" s="2287">
        <f ca="1">SUM(INDIRECT(BG$1&amp;BG$2&amp;$A640):INDIRECT(BG$1&amp;BG$3&amp;$A640))</f>
        <v>15308</v>
      </c>
      <c r="BH640" s="2918">
        <f t="shared" ref="BH640:BH703" ca="1" si="1213">BC640-BG640</f>
        <v>71378</v>
      </c>
      <c r="BI640" s="2919">
        <f t="shared" ref="BI640:BI703" ca="1" si="1214">IFERROR(BC640/BG640,0)</f>
        <v>5.6627906976744189</v>
      </c>
    </row>
    <row r="641" spans="1:61" ht="14.5">
      <c r="A641" s="1693">
        <f t="shared" si="1164"/>
        <v>633</v>
      </c>
      <c r="B641" s="616">
        <v>1</v>
      </c>
      <c r="C641" s="1693">
        <f t="shared" si="1161"/>
        <v>641</v>
      </c>
      <c r="D641" s="616">
        <v>1</v>
      </c>
      <c r="F641" s="69"/>
      <c r="J641" s="352"/>
      <c r="K641" s="353"/>
      <c r="L641" s="68" t="s">
        <v>120</v>
      </c>
      <c r="M641" s="68"/>
      <c r="N641" s="283"/>
      <c r="O641" s="283"/>
      <c r="P641" s="283"/>
      <c r="Q641" s="68"/>
      <c r="R641" s="1814" t="str">
        <f>CHOOSE(2, "6722000003552", "S/GP (3) Net Sales Direct")</f>
        <v>S/GP (3) Net Sales Direct</v>
      </c>
      <c r="S641" s="1714">
        <f>S642+S649</f>
        <v>86686</v>
      </c>
      <c r="T641" s="1714">
        <f t="shared" ref="T641:AD641" si="1215">T642+T649</f>
        <v>17939.617999999999</v>
      </c>
      <c r="U641" s="1714">
        <f t="shared" si="1215"/>
        <v>37506.743000000002</v>
      </c>
      <c r="V641" s="1714">
        <f t="shared" si="1215"/>
        <v>7925.893</v>
      </c>
      <c r="W641" s="1714">
        <f t="shared" si="1215"/>
        <v>36041.862000000001</v>
      </c>
      <c r="X641" s="1714">
        <f t="shared" si="1215"/>
        <v>69002.597000000009</v>
      </c>
      <c r="Y641" s="1714">
        <f t="shared" si="1215"/>
        <v>11993.526000000002</v>
      </c>
      <c r="Z641" s="1714">
        <f t="shared" si="1215"/>
        <v>49334.861000000004</v>
      </c>
      <c r="AA641" s="1714">
        <f t="shared" si="1215"/>
        <v>30765.53</v>
      </c>
      <c r="AB641" s="1714">
        <f t="shared" si="1215"/>
        <v>18618.551100000001</v>
      </c>
      <c r="AC641" s="1714">
        <f t="shared" si="1215"/>
        <v>19432.557000000001</v>
      </c>
      <c r="AD641" s="1714">
        <f t="shared" si="1215"/>
        <v>68984.304000000004</v>
      </c>
      <c r="AE641" s="1715">
        <f t="shared" ref="AE641:AK641" si="1216">AE642+AE649</f>
        <v>142132.361</v>
      </c>
      <c r="AF641" s="1714">
        <f t="shared" si="1216"/>
        <v>112970.352</v>
      </c>
      <c r="AG641" s="1714">
        <f t="shared" si="1216"/>
        <v>92093.917000000001</v>
      </c>
      <c r="AH641" s="1714">
        <f t="shared" si="1216"/>
        <v>107035.4121</v>
      </c>
      <c r="AI641" s="1714">
        <f t="shared" si="1216"/>
        <v>255102.71299999999</v>
      </c>
      <c r="AJ641" s="1714">
        <f t="shared" si="1216"/>
        <v>199129.3291</v>
      </c>
      <c r="AK641" s="1714">
        <f t="shared" si="1216"/>
        <v>454232.04209999996</v>
      </c>
      <c r="AM641" s="2589">
        <f ca="1">SUM((INDIRECT(AM$2&amp;(ROW())):INDIRECT(AM$3&amp;(ROW()))))</f>
        <v>86686</v>
      </c>
      <c r="AN641" s="2589">
        <f ca="1">SUM(INDIRECT(AN$1&amp;AN$2&amp;$C641):INDIRECT(AN$1&amp;AN$3&amp;$C641))</f>
        <v>91600</v>
      </c>
      <c r="AO641" s="2908">
        <f t="shared" ca="1" si="1147"/>
        <v>-4914</v>
      </c>
      <c r="AP641" s="2909">
        <f t="shared" ca="1" si="1205"/>
        <v>0.94635371179039296</v>
      </c>
      <c r="AQ641" s="2589">
        <f ca="1">SUM(INDIRECT(AQ$1&amp;AQ$2&amp;$A641):INDIRECT(AQ$1&amp;AQ$3&amp;$A641))</f>
        <v>15308</v>
      </c>
      <c r="AR641" s="2908">
        <f t="shared" ca="1" si="1148"/>
        <v>71378</v>
      </c>
      <c r="AS641" s="2909">
        <f t="shared" ca="1" si="1206"/>
        <v>5.6627906976744189</v>
      </c>
      <c r="AU641" s="2589">
        <f ca="1">SUM((INDIRECT(AU$2&amp;(ROW())):INDIRECT(AU$3&amp;(ROW()))))</f>
        <v>86686</v>
      </c>
      <c r="AV641" s="2589">
        <f ca="1">SUM(INDIRECT(AV$1&amp;AV$2&amp;$C641):INDIRECT(AV$1&amp;AV$3&amp;$C641))</f>
        <v>91600</v>
      </c>
      <c r="AW641" s="2908">
        <f t="shared" ca="1" si="1207"/>
        <v>-4914</v>
      </c>
      <c r="AX641" s="2909">
        <f t="shared" ca="1" si="1208"/>
        <v>0.94635371179039296</v>
      </c>
      <c r="AY641" s="2589">
        <f ca="1">SUM(INDIRECT(AY$1&amp;AY$2&amp;$A641):INDIRECT(AY$1&amp;AY$3&amp;$A641))</f>
        <v>15308</v>
      </c>
      <c r="AZ641" s="2908">
        <f t="shared" ca="1" si="1209"/>
        <v>71378</v>
      </c>
      <c r="BA641" s="2909">
        <f t="shared" ca="1" si="1210"/>
        <v>5.6627906976744189</v>
      </c>
      <c r="BC641" s="2589">
        <f ca="1">SUM((INDIRECT(BC$2&amp;(ROW())):INDIRECT(BC$3&amp;(ROW()))))</f>
        <v>86686</v>
      </c>
      <c r="BD641" s="2589">
        <f ca="1">SUM(INDIRECT(BD$1&amp;BD$2&amp;$C641):INDIRECT(BD$1&amp;BD$3&amp;$C641))</f>
        <v>91600</v>
      </c>
      <c r="BE641" s="2908">
        <f t="shared" ca="1" si="1211"/>
        <v>-4914</v>
      </c>
      <c r="BF641" s="2909">
        <f t="shared" ca="1" si="1212"/>
        <v>0.94635371179039296</v>
      </c>
      <c r="BG641" s="2589">
        <f ca="1">SUM(INDIRECT(BG$1&amp;BG$2&amp;$A641):INDIRECT(BG$1&amp;BG$3&amp;$A641))</f>
        <v>15308</v>
      </c>
      <c r="BH641" s="2908">
        <f t="shared" ca="1" si="1213"/>
        <v>71378</v>
      </c>
      <c r="BI641" s="2909">
        <f t="shared" ca="1" si="1214"/>
        <v>5.6627906976744189</v>
      </c>
    </row>
    <row r="642" spans="1:61" ht="14.5">
      <c r="A642" s="1693">
        <f t="shared" si="1164"/>
        <v>634</v>
      </c>
      <c r="B642" s="616">
        <v>1</v>
      </c>
      <c r="C642" s="1693">
        <f t="shared" si="1161"/>
        <v>642</v>
      </c>
      <c r="D642" s="616">
        <v>1</v>
      </c>
      <c r="F642" s="69"/>
      <c r="J642" s="352"/>
      <c r="K642" s="353"/>
      <c r="L642" s="68"/>
      <c r="M642" s="68"/>
      <c r="N642" s="69" t="s">
        <v>187</v>
      </c>
      <c r="O642" s="302"/>
      <c r="P642" s="302"/>
      <c r="Q642" s="302"/>
      <c r="R642" s="1777" t="str">
        <f>CHOOSE(2, "6722000003553", "S/GP (3) Net Sales Direct HW &amp; Solution")</f>
        <v>S/GP (3) Net Sales Direct HW &amp; Solution</v>
      </c>
      <c r="S642" s="1248">
        <f>SUM(S643:S648)</f>
        <v>78751</v>
      </c>
      <c r="T642" s="1248">
        <f t="shared" ref="T642:AD642" si="1217">SUM(T643:T648)</f>
        <v>9852</v>
      </c>
      <c r="U642" s="1248">
        <f t="shared" si="1217"/>
        <v>29570</v>
      </c>
      <c r="V642" s="1248">
        <f t="shared" si="1217"/>
        <v>0</v>
      </c>
      <c r="W642" s="1248">
        <f t="shared" si="1217"/>
        <v>26500</v>
      </c>
      <c r="X642" s="1248">
        <f t="shared" si="1217"/>
        <v>57338</v>
      </c>
      <c r="Y642" s="1248">
        <f t="shared" si="1217"/>
        <v>0</v>
      </c>
      <c r="Z642" s="1248">
        <f t="shared" si="1217"/>
        <v>40400</v>
      </c>
      <c r="AA642" s="1248">
        <f t="shared" si="1217"/>
        <v>21068.915999999997</v>
      </c>
      <c r="AB642" s="1248">
        <f t="shared" si="1217"/>
        <v>9000</v>
      </c>
      <c r="AC642" s="1248">
        <f t="shared" si="1217"/>
        <v>9000</v>
      </c>
      <c r="AD642" s="1248">
        <f t="shared" si="1217"/>
        <v>60500</v>
      </c>
      <c r="AE642" s="895">
        <f t="shared" ref="AE642:AK642" si="1218">SUM(AE643:AE648)</f>
        <v>118173</v>
      </c>
      <c r="AF642" s="1248">
        <f t="shared" si="1218"/>
        <v>83838</v>
      </c>
      <c r="AG642" s="1248">
        <f t="shared" si="1218"/>
        <v>61468.915999999997</v>
      </c>
      <c r="AH642" s="1248">
        <f t="shared" si="1218"/>
        <v>78500</v>
      </c>
      <c r="AI642" s="1248">
        <f t="shared" si="1218"/>
        <v>202011</v>
      </c>
      <c r="AJ642" s="1248">
        <f t="shared" si="1218"/>
        <v>139968.916</v>
      </c>
      <c r="AK642" s="1248">
        <f t="shared" si="1218"/>
        <v>341979.91599999997</v>
      </c>
      <c r="AM642" s="2183">
        <f ca="1">SUM((INDIRECT(AM$2&amp;(ROW())):INDIRECT(AM$3&amp;(ROW()))))</f>
        <v>78751</v>
      </c>
      <c r="AN642" s="2183">
        <f ca="1">SUM(INDIRECT(AN$1&amp;AN$2&amp;$C642):INDIRECT(AN$1&amp;AN$3&amp;$C642))</f>
        <v>84900</v>
      </c>
      <c r="AO642" s="2875">
        <f t="shared" ca="1" si="1147"/>
        <v>-6149</v>
      </c>
      <c r="AP642" s="2876">
        <f t="shared" ca="1" si="1205"/>
        <v>0.92757361601884569</v>
      </c>
      <c r="AQ642" s="2183">
        <f ca="1">SUM(INDIRECT(AQ$1&amp;AQ$2&amp;$A642):INDIRECT(AQ$1&amp;AQ$3&amp;$A642))</f>
        <v>9502</v>
      </c>
      <c r="AR642" s="2875">
        <f t="shared" ca="1" si="1148"/>
        <v>69249</v>
      </c>
      <c r="AS642" s="2876">
        <f t="shared" ca="1" si="1206"/>
        <v>8.2878341401810154</v>
      </c>
      <c r="AU642" s="2183">
        <f ca="1">SUM((INDIRECT(AU$2&amp;(ROW())):INDIRECT(AU$3&amp;(ROW()))))</f>
        <v>78751</v>
      </c>
      <c r="AV642" s="2183">
        <f ca="1">SUM(INDIRECT(AV$1&amp;AV$2&amp;$C642):INDIRECT(AV$1&amp;AV$3&amp;$C642))</f>
        <v>84900</v>
      </c>
      <c r="AW642" s="2875">
        <f t="shared" ca="1" si="1207"/>
        <v>-6149</v>
      </c>
      <c r="AX642" s="2876">
        <f t="shared" ca="1" si="1208"/>
        <v>0.92757361601884569</v>
      </c>
      <c r="AY642" s="2183">
        <f ca="1">SUM(INDIRECT(AY$1&amp;AY$2&amp;$A642):INDIRECT(AY$1&amp;AY$3&amp;$A642))</f>
        <v>9502</v>
      </c>
      <c r="AZ642" s="2875">
        <f t="shared" ca="1" si="1209"/>
        <v>69249</v>
      </c>
      <c r="BA642" s="2876">
        <f t="shared" ca="1" si="1210"/>
        <v>8.2878341401810154</v>
      </c>
      <c r="BC642" s="2183">
        <f ca="1">SUM((INDIRECT(BC$2&amp;(ROW())):INDIRECT(BC$3&amp;(ROW()))))</f>
        <v>78751</v>
      </c>
      <c r="BD642" s="2183">
        <f ca="1">SUM(INDIRECT(BD$1&amp;BD$2&amp;$C642):INDIRECT(BD$1&amp;BD$3&amp;$C642))</f>
        <v>84900</v>
      </c>
      <c r="BE642" s="2875">
        <f t="shared" ca="1" si="1211"/>
        <v>-6149</v>
      </c>
      <c r="BF642" s="2876">
        <f t="shared" ca="1" si="1212"/>
        <v>0.92757361601884569</v>
      </c>
      <c r="BG642" s="2183">
        <f ca="1">SUM(INDIRECT(BG$1&amp;BG$2&amp;$A642):INDIRECT(BG$1&amp;BG$3&amp;$A642))</f>
        <v>9502</v>
      </c>
      <c r="BH642" s="2875">
        <f t="shared" ca="1" si="1213"/>
        <v>69249</v>
      </c>
      <c r="BI642" s="2876">
        <f t="shared" ca="1" si="1214"/>
        <v>8.2878341401810154</v>
      </c>
    </row>
    <row r="643" spans="1:61" ht="14.5">
      <c r="A643" s="1693">
        <f t="shared" si="1164"/>
        <v>635</v>
      </c>
      <c r="B643" s="616">
        <v>1</v>
      </c>
      <c r="C643" s="1693">
        <f t="shared" si="1161"/>
        <v>643</v>
      </c>
      <c r="D643" s="616">
        <v>1</v>
      </c>
      <c r="F643" s="69"/>
      <c r="J643" s="352"/>
      <c r="K643" s="353"/>
      <c r="L643" s="68"/>
      <c r="M643" s="68"/>
      <c r="N643" s="69"/>
      <c r="O643" s="740" t="s">
        <v>670</v>
      </c>
      <c r="P643" s="296"/>
      <c r="Q643" s="296"/>
      <c r="R643" s="1779" t="str">
        <f>CHOOSE(2, "6722000003554", "S/GP (3) Net Sales Direct HW &amp; Solution KM-1/KM-1e")</f>
        <v>S/GP (3) Net Sales Direct HW &amp; Solution KM-1/KM-1e</v>
      </c>
      <c r="S643" s="1227">
        <v>77500</v>
      </c>
      <c r="T643" s="1227"/>
      <c r="U643" s="1227"/>
      <c r="V643" s="1227"/>
      <c r="W643" s="1227"/>
      <c r="X643" s="1227">
        <v>0</v>
      </c>
      <c r="Y643" s="1227"/>
      <c r="Z643" s="1227"/>
      <c r="AA643" s="1227"/>
      <c r="AB643" s="1227"/>
      <c r="AC643" s="1227"/>
      <c r="AD643" s="1227"/>
      <c r="AE643" s="295">
        <f t="shared" ref="AE643:AE648" si="1219">SUM(S643,T643,U643)</f>
        <v>77500</v>
      </c>
      <c r="AF643" s="96">
        <f t="shared" ref="AF643:AF648" si="1220">SUM(V643,W643,X643)</f>
        <v>0</v>
      </c>
      <c r="AG643" s="96">
        <f t="shared" ref="AG643:AG648" si="1221">SUM(Y643,Z643,AA643)</f>
        <v>0</v>
      </c>
      <c r="AH643" s="96">
        <f t="shared" ref="AH643:AH648" si="1222">SUM(AB643,AC643,AD643)</f>
        <v>0</v>
      </c>
      <c r="AI643" s="96">
        <f t="shared" ref="AI643:AI648" si="1223">AE643+AF643</f>
        <v>77500</v>
      </c>
      <c r="AJ643" s="96">
        <f t="shared" ref="AJ643:AJ648" si="1224">AH643+AG643</f>
        <v>0</v>
      </c>
      <c r="AK643" s="96">
        <f t="shared" ref="AK643:AK648" si="1225">AI643+AJ643</f>
        <v>77500</v>
      </c>
      <c r="AM643" s="2161">
        <f ca="1">SUM((INDIRECT(AM$2&amp;(ROW())):INDIRECT(AM$3&amp;(ROW()))))</f>
        <v>77500</v>
      </c>
      <c r="AN643" s="2161">
        <f ca="1">SUM(INDIRECT(AN$1&amp;AN$2&amp;$C643):INDIRECT(AN$1&amp;AN$3&amp;$C643))</f>
        <v>75200</v>
      </c>
      <c r="AO643" s="2877">
        <f t="shared" ca="1" si="1147"/>
        <v>2300</v>
      </c>
      <c r="AP643" s="2878">
        <f t="shared" ca="1" si="1205"/>
        <v>1.0305851063829787</v>
      </c>
      <c r="AQ643" s="2161">
        <f ca="1">SUM(INDIRECT(AQ$1&amp;AQ$2&amp;$A643):INDIRECT(AQ$1&amp;AQ$3&amp;$A643))</f>
        <v>0</v>
      </c>
      <c r="AR643" s="2877">
        <f t="shared" ca="1" si="1148"/>
        <v>77500</v>
      </c>
      <c r="AS643" s="2878">
        <f t="shared" ca="1" si="1206"/>
        <v>0</v>
      </c>
      <c r="AU643" s="2161">
        <f ca="1">SUM((INDIRECT(AU$2&amp;(ROW())):INDIRECT(AU$3&amp;(ROW()))))</f>
        <v>77500</v>
      </c>
      <c r="AV643" s="2161">
        <f ca="1">SUM(INDIRECT(AV$1&amp;AV$2&amp;$C643):INDIRECT(AV$1&amp;AV$3&amp;$C643))</f>
        <v>75200</v>
      </c>
      <c r="AW643" s="2877">
        <f t="shared" ca="1" si="1207"/>
        <v>2300</v>
      </c>
      <c r="AX643" s="2878">
        <f t="shared" ca="1" si="1208"/>
        <v>1.0305851063829787</v>
      </c>
      <c r="AY643" s="2161">
        <f ca="1">SUM(INDIRECT(AY$1&amp;AY$2&amp;$A643):INDIRECT(AY$1&amp;AY$3&amp;$A643))</f>
        <v>0</v>
      </c>
      <c r="AZ643" s="2877">
        <f t="shared" ca="1" si="1209"/>
        <v>77500</v>
      </c>
      <c r="BA643" s="2878">
        <f t="shared" ca="1" si="1210"/>
        <v>0</v>
      </c>
      <c r="BC643" s="2161">
        <f ca="1">SUM((INDIRECT(BC$2&amp;(ROW())):INDIRECT(BC$3&amp;(ROW()))))</f>
        <v>77500</v>
      </c>
      <c r="BD643" s="2161">
        <f ca="1">SUM(INDIRECT(BD$1&amp;BD$2&amp;$C643):INDIRECT(BD$1&amp;BD$3&amp;$C643))</f>
        <v>75200</v>
      </c>
      <c r="BE643" s="2877">
        <f t="shared" ca="1" si="1211"/>
        <v>2300</v>
      </c>
      <c r="BF643" s="2878">
        <f t="shared" ca="1" si="1212"/>
        <v>1.0305851063829787</v>
      </c>
      <c r="BG643" s="2161">
        <f ca="1">SUM(INDIRECT(BG$1&amp;BG$2&amp;$A643):INDIRECT(BG$1&amp;BG$3&amp;$A643))</f>
        <v>0</v>
      </c>
      <c r="BH643" s="2877">
        <f t="shared" ca="1" si="1213"/>
        <v>77500</v>
      </c>
      <c r="BI643" s="2878">
        <f t="shared" ca="1" si="1214"/>
        <v>0</v>
      </c>
    </row>
    <row r="644" spans="1:61" ht="14.5">
      <c r="A644" s="1693">
        <f t="shared" si="1164"/>
        <v>636</v>
      </c>
      <c r="B644" s="616">
        <v>1</v>
      </c>
      <c r="C644" s="1693">
        <f t="shared" si="1161"/>
        <v>644</v>
      </c>
      <c r="D644" s="616">
        <v>1</v>
      </c>
      <c r="F644" s="69"/>
      <c r="J644" s="352"/>
      <c r="K644" s="353"/>
      <c r="L644" s="68"/>
      <c r="M644" s="68"/>
      <c r="N644" s="69"/>
      <c r="O644" s="69" t="s">
        <v>117</v>
      </c>
      <c r="P644" s="69"/>
      <c r="Q644" s="69"/>
      <c r="R644" s="1779" t="str">
        <f>CHOOSE(2, "6722000003555", "S/GP (3) Net Sales Direct HW &amp; Solution Label Printer")</f>
        <v>S/GP (3) Net Sales Direct HW &amp; Solution Label Printer</v>
      </c>
      <c r="S644" s="1217">
        <v>999</v>
      </c>
      <c r="T644" s="1217"/>
      <c r="U644" s="1217">
        <v>8100</v>
      </c>
      <c r="V644" s="1217"/>
      <c r="W644" s="1217"/>
      <c r="X644" s="1217">
        <v>45638</v>
      </c>
      <c r="Y644" s="1217"/>
      <c r="Z644" s="1217">
        <v>9900</v>
      </c>
      <c r="AA644" s="1217">
        <v>8568.9159999999993</v>
      </c>
      <c r="AB644" s="1217">
        <v>9000</v>
      </c>
      <c r="AC644" s="1217">
        <v>9000</v>
      </c>
      <c r="AD644" s="1217">
        <v>29000</v>
      </c>
      <c r="AE644" s="88">
        <f t="shared" si="1219"/>
        <v>9099</v>
      </c>
      <c r="AF644" s="17">
        <f t="shared" si="1220"/>
        <v>45638</v>
      </c>
      <c r="AG644" s="17">
        <f t="shared" si="1221"/>
        <v>18468.915999999997</v>
      </c>
      <c r="AH644" s="17">
        <f t="shared" si="1222"/>
        <v>47000</v>
      </c>
      <c r="AI644" s="17">
        <f t="shared" si="1223"/>
        <v>54737</v>
      </c>
      <c r="AJ644" s="17">
        <f t="shared" si="1224"/>
        <v>65468.915999999997</v>
      </c>
      <c r="AK644" s="17">
        <f t="shared" si="1225"/>
        <v>120205.916</v>
      </c>
      <c r="AM644" s="1926">
        <f ca="1">SUM((INDIRECT(AM$2&amp;(ROW())):INDIRECT(AM$3&amp;(ROW()))))</f>
        <v>999</v>
      </c>
      <c r="AN644" s="1926">
        <f ca="1">SUM(INDIRECT(AN$1&amp;AN$2&amp;$C644):INDIRECT(AN$1&amp;AN$3&amp;$C644))</f>
        <v>0</v>
      </c>
      <c r="AO644" s="2707">
        <f t="shared" ca="1" si="1147"/>
        <v>999</v>
      </c>
      <c r="AP644" s="2708">
        <f t="shared" ca="1" si="1205"/>
        <v>0</v>
      </c>
      <c r="AQ644" s="1926">
        <f ca="1">SUM(INDIRECT(AQ$1&amp;AQ$2&amp;$A644):INDIRECT(AQ$1&amp;AQ$3&amp;$A644))</f>
        <v>0</v>
      </c>
      <c r="AR644" s="2707">
        <f t="shared" ca="1" si="1148"/>
        <v>999</v>
      </c>
      <c r="AS644" s="2708">
        <f t="shared" ca="1" si="1206"/>
        <v>0</v>
      </c>
      <c r="AU644" s="1926">
        <f ca="1">SUM((INDIRECT(AU$2&amp;(ROW())):INDIRECT(AU$3&amp;(ROW()))))</f>
        <v>999</v>
      </c>
      <c r="AV644" s="1926">
        <f ca="1">SUM(INDIRECT(AV$1&amp;AV$2&amp;$C644):INDIRECT(AV$1&amp;AV$3&amp;$C644))</f>
        <v>0</v>
      </c>
      <c r="AW644" s="2707">
        <f t="shared" ca="1" si="1207"/>
        <v>999</v>
      </c>
      <c r="AX644" s="2708">
        <f t="shared" ca="1" si="1208"/>
        <v>0</v>
      </c>
      <c r="AY644" s="1926">
        <f ca="1">SUM(INDIRECT(AY$1&amp;AY$2&amp;$A644):INDIRECT(AY$1&amp;AY$3&amp;$A644))</f>
        <v>0</v>
      </c>
      <c r="AZ644" s="2707">
        <f t="shared" ca="1" si="1209"/>
        <v>999</v>
      </c>
      <c r="BA644" s="2708">
        <f t="shared" ca="1" si="1210"/>
        <v>0</v>
      </c>
      <c r="BC644" s="1926">
        <f ca="1">SUM((INDIRECT(BC$2&amp;(ROW())):INDIRECT(BC$3&amp;(ROW()))))</f>
        <v>999</v>
      </c>
      <c r="BD644" s="1926">
        <f ca="1">SUM(INDIRECT(BD$1&amp;BD$2&amp;$C644):INDIRECT(BD$1&amp;BD$3&amp;$C644))</f>
        <v>0</v>
      </c>
      <c r="BE644" s="2707">
        <f t="shared" ca="1" si="1211"/>
        <v>999</v>
      </c>
      <c r="BF644" s="2708">
        <f t="shared" ca="1" si="1212"/>
        <v>0</v>
      </c>
      <c r="BG644" s="1926">
        <f ca="1">SUM(INDIRECT(BG$1&amp;BG$2&amp;$A644):INDIRECT(BG$1&amp;BG$3&amp;$A644))</f>
        <v>0</v>
      </c>
      <c r="BH644" s="2707">
        <f t="shared" ca="1" si="1213"/>
        <v>999</v>
      </c>
      <c r="BI644" s="2708">
        <f t="shared" ca="1" si="1214"/>
        <v>0</v>
      </c>
    </row>
    <row r="645" spans="1:61" ht="14.5">
      <c r="A645" s="1693">
        <f t="shared" si="1164"/>
        <v>637</v>
      </c>
      <c r="B645" s="616">
        <v>1</v>
      </c>
      <c r="C645" s="1693">
        <f t="shared" si="1161"/>
        <v>645</v>
      </c>
      <c r="D645" s="616">
        <v>1</v>
      </c>
      <c r="F645" s="69"/>
      <c r="J645" s="352"/>
      <c r="K645" s="353"/>
      <c r="L645" s="68"/>
      <c r="M645" s="68"/>
      <c r="N645" s="69"/>
      <c r="O645" s="69" t="s">
        <v>52</v>
      </c>
      <c r="P645" s="69"/>
      <c r="Q645" s="69"/>
      <c r="R645" s="1779" t="str">
        <f>CHOOSE(2, "6722000003556", "S/GP (3) Net Sales Direct HW &amp; Solution MGI")</f>
        <v>S/GP (3) Net Sales Direct HW &amp; Solution MGI</v>
      </c>
      <c r="S645" s="1217">
        <v>252</v>
      </c>
      <c r="T645" s="1217">
        <v>9852</v>
      </c>
      <c r="U645" s="1217">
        <v>21470</v>
      </c>
      <c r="V645" s="1217"/>
      <c r="W645" s="1217">
        <v>26500</v>
      </c>
      <c r="X645" s="1217">
        <v>11700</v>
      </c>
      <c r="Y645" s="1217"/>
      <c r="Z645" s="1217">
        <v>30500</v>
      </c>
      <c r="AA645" s="1217">
        <v>12500</v>
      </c>
      <c r="AB645" s="1217"/>
      <c r="AC645" s="1217"/>
      <c r="AD645" s="1217">
        <v>31500</v>
      </c>
      <c r="AE645" s="88">
        <f t="shared" si="1219"/>
        <v>31574</v>
      </c>
      <c r="AF645" s="17">
        <f t="shared" si="1220"/>
        <v>38200</v>
      </c>
      <c r="AG645" s="17">
        <f t="shared" si="1221"/>
        <v>43000</v>
      </c>
      <c r="AH645" s="17">
        <f t="shared" si="1222"/>
        <v>31500</v>
      </c>
      <c r="AI645" s="17">
        <f t="shared" si="1223"/>
        <v>69774</v>
      </c>
      <c r="AJ645" s="17">
        <f t="shared" si="1224"/>
        <v>74500</v>
      </c>
      <c r="AK645" s="17">
        <f t="shared" si="1225"/>
        <v>144274</v>
      </c>
      <c r="AM645" s="1926">
        <f ca="1">SUM((INDIRECT(AM$2&amp;(ROW())):INDIRECT(AM$3&amp;(ROW()))))</f>
        <v>252</v>
      </c>
      <c r="AN645" s="1926">
        <f ca="1">SUM(INDIRECT(AN$1&amp;AN$2&amp;$C645):INDIRECT(AN$1&amp;AN$3&amp;$C645))</f>
        <v>9700</v>
      </c>
      <c r="AO645" s="2707">
        <f t="shared" ca="1" si="1147"/>
        <v>-9448</v>
      </c>
      <c r="AP645" s="2708">
        <f t="shared" ca="1" si="1205"/>
        <v>2.597938144329897E-2</v>
      </c>
      <c r="AQ645" s="1926">
        <f ca="1">SUM(INDIRECT(AQ$1&amp;AQ$2&amp;$A645):INDIRECT(AQ$1&amp;AQ$3&amp;$A645))</f>
        <v>9502</v>
      </c>
      <c r="AR645" s="2707">
        <f t="shared" ca="1" si="1148"/>
        <v>-9250</v>
      </c>
      <c r="AS645" s="2708">
        <f t="shared" ca="1" si="1206"/>
        <v>2.6520732477373184E-2</v>
      </c>
      <c r="AU645" s="1926">
        <f ca="1">SUM((INDIRECT(AU$2&amp;(ROW())):INDIRECT(AU$3&amp;(ROW()))))</f>
        <v>252</v>
      </c>
      <c r="AV645" s="1926">
        <f ca="1">SUM(INDIRECT(AV$1&amp;AV$2&amp;$C645):INDIRECT(AV$1&amp;AV$3&amp;$C645))</f>
        <v>9700</v>
      </c>
      <c r="AW645" s="2707">
        <f t="shared" ca="1" si="1207"/>
        <v>-9448</v>
      </c>
      <c r="AX645" s="2708">
        <f t="shared" ca="1" si="1208"/>
        <v>2.597938144329897E-2</v>
      </c>
      <c r="AY645" s="1926">
        <f ca="1">SUM(INDIRECT(AY$1&amp;AY$2&amp;$A645):INDIRECT(AY$1&amp;AY$3&amp;$A645))</f>
        <v>9502</v>
      </c>
      <c r="AZ645" s="2707">
        <f t="shared" ca="1" si="1209"/>
        <v>-9250</v>
      </c>
      <c r="BA645" s="2708">
        <f t="shared" ca="1" si="1210"/>
        <v>2.6520732477373184E-2</v>
      </c>
      <c r="BC645" s="1926">
        <f ca="1">SUM((INDIRECT(BC$2&amp;(ROW())):INDIRECT(BC$3&amp;(ROW()))))</f>
        <v>252</v>
      </c>
      <c r="BD645" s="1926">
        <f ca="1">SUM(INDIRECT(BD$1&amp;BD$2&amp;$C645):INDIRECT(BD$1&amp;BD$3&amp;$C645))</f>
        <v>9700</v>
      </c>
      <c r="BE645" s="2707">
        <f t="shared" ca="1" si="1211"/>
        <v>-9448</v>
      </c>
      <c r="BF645" s="2708">
        <f t="shared" ca="1" si="1212"/>
        <v>2.597938144329897E-2</v>
      </c>
      <c r="BG645" s="1926">
        <f ca="1">SUM(INDIRECT(BG$1&amp;BG$2&amp;$A645):INDIRECT(BG$1&amp;BG$3&amp;$A645))</f>
        <v>9502</v>
      </c>
      <c r="BH645" s="2707">
        <f t="shared" ca="1" si="1213"/>
        <v>-9250</v>
      </c>
      <c r="BI645" s="2708">
        <f t="shared" ca="1" si="1214"/>
        <v>2.6520732477373184E-2</v>
      </c>
    </row>
    <row r="646" spans="1:61" ht="14.5">
      <c r="A646" s="1693">
        <f t="shared" si="1164"/>
        <v>638</v>
      </c>
      <c r="B646" s="616">
        <v>1</v>
      </c>
      <c r="C646" s="1693">
        <f t="shared" si="1161"/>
        <v>646</v>
      </c>
      <c r="D646" s="616">
        <v>1</v>
      </c>
      <c r="F646" s="69"/>
      <c r="J646" s="352"/>
      <c r="K646" s="353"/>
      <c r="L646" s="68"/>
      <c r="M646" s="68"/>
      <c r="N646" s="69"/>
      <c r="O646" s="69" t="s">
        <v>118</v>
      </c>
      <c r="P646" s="69"/>
      <c r="Q646" s="69"/>
      <c r="R646" s="1779" t="str">
        <f>CHOOSE(2, "6722000003557", "S/GP (3) Net Sales Direct HW &amp; Solution EFI/LF")</f>
        <v>S/GP (3) Net Sales Direct HW &amp; Solution EFI/LF</v>
      </c>
      <c r="S646" s="1217"/>
      <c r="T646" s="1217"/>
      <c r="U646" s="1217"/>
      <c r="V646" s="1217"/>
      <c r="W646" s="1217"/>
      <c r="X646" s="1217"/>
      <c r="Y646" s="1217"/>
      <c r="Z646" s="1217"/>
      <c r="AA646" s="1217"/>
      <c r="AB646" s="1217"/>
      <c r="AC646" s="1217"/>
      <c r="AD646" s="1217"/>
      <c r="AE646" s="88">
        <f t="shared" si="1219"/>
        <v>0</v>
      </c>
      <c r="AF646" s="17">
        <f t="shared" si="1220"/>
        <v>0</v>
      </c>
      <c r="AG646" s="17">
        <f t="shared" si="1221"/>
        <v>0</v>
      </c>
      <c r="AH646" s="17">
        <f t="shared" si="1222"/>
        <v>0</v>
      </c>
      <c r="AI646" s="17">
        <f t="shared" si="1223"/>
        <v>0</v>
      </c>
      <c r="AJ646" s="17">
        <f t="shared" si="1224"/>
        <v>0</v>
      </c>
      <c r="AK646" s="17">
        <f t="shared" si="1225"/>
        <v>0</v>
      </c>
      <c r="AM646" s="1926">
        <f ca="1">SUM((INDIRECT(AM$2&amp;(ROW())):INDIRECT(AM$3&amp;(ROW()))))</f>
        <v>0</v>
      </c>
      <c r="AN646" s="1926">
        <f ca="1">SUM(INDIRECT(AN$1&amp;AN$2&amp;$C646):INDIRECT(AN$1&amp;AN$3&amp;$C646))</f>
        <v>0</v>
      </c>
      <c r="AO646" s="2707">
        <f t="shared" ca="1" si="1147"/>
        <v>0</v>
      </c>
      <c r="AP646" s="2708">
        <f t="shared" ca="1" si="1205"/>
        <v>0</v>
      </c>
      <c r="AQ646" s="1926">
        <f ca="1">SUM(INDIRECT(AQ$1&amp;AQ$2&amp;$A646):INDIRECT(AQ$1&amp;AQ$3&amp;$A646))</f>
        <v>0</v>
      </c>
      <c r="AR646" s="2707">
        <f t="shared" ca="1" si="1148"/>
        <v>0</v>
      </c>
      <c r="AS646" s="2708">
        <f t="shared" ca="1" si="1206"/>
        <v>0</v>
      </c>
      <c r="AU646" s="1926">
        <f ca="1">SUM((INDIRECT(AU$2&amp;(ROW())):INDIRECT(AU$3&amp;(ROW()))))</f>
        <v>0</v>
      </c>
      <c r="AV646" s="1926">
        <f ca="1">SUM(INDIRECT(AV$1&amp;AV$2&amp;$C646):INDIRECT(AV$1&amp;AV$3&amp;$C646))</f>
        <v>0</v>
      </c>
      <c r="AW646" s="2707">
        <f t="shared" ca="1" si="1207"/>
        <v>0</v>
      </c>
      <c r="AX646" s="2708">
        <f t="shared" ca="1" si="1208"/>
        <v>0</v>
      </c>
      <c r="AY646" s="1926">
        <f ca="1">SUM(INDIRECT(AY$1&amp;AY$2&amp;$A646):INDIRECT(AY$1&amp;AY$3&amp;$A646))</f>
        <v>0</v>
      </c>
      <c r="AZ646" s="2707">
        <f t="shared" ca="1" si="1209"/>
        <v>0</v>
      </c>
      <c r="BA646" s="2708">
        <f t="shared" ca="1" si="1210"/>
        <v>0</v>
      </c>
      <c r="BC646" s="1926">
        <f ca="1">SUM((INDIRECT(BC$2&amp;(ROW())):INDIRECT(BC$3&amp;(ROW()))))</f>
        <v>0</v>
      </c>
      <c r="BD646" s="1926">
        <f ca="1">SUM(INDIRECT(BD$1&amp;BD$2&amp;$C646):INDIRECT(BD$1&amp;BD$3&amp;$C646))</f>
        <v>0</v>
      </c>
      <c r="BE646" s="2707">
        <f t="shared" ca="1" si="1211"/>
        <v>0</v>
      </c>
      <c r="BF646" s="2708">
        <f t="shared" ca="1" si="1212"/>
        <v>0</v>
      </c>
      <c r="BG646" s="1926">
        <f ca="1">SUM(INDIRECT(BG$1&amp;BG$2&amp;$A646):INDIRECT(BG$1&amp;BG$3&amp;$A646))</f>
        <v>0</v>
      </c>
      <c r="BH646" s="2707">
        <f t="shared" ca="1" si="1213"/>
        <v>0</v>
      </c>
      <c r="BI646" s="2708">
        <f t="shared" ca="1" si="1214"/>
        <v>0</v>
      </c>
    </row>
    <row r="647" spans="1:61" ht="14.5">
      <c r="A647" s="1693">
        <f t="shared" si="1164"/>
        <v>639</v>
      </c>
      <c r="B647" s="616">
        <v>1</v>
      </c>
      <c r="C647" s="1693">
        <f t="shared" si="1161"/>
        <v>647</v>
      </c>
      <c r="D647" s="616">
        <v>1</v>
      </c>
      <c r="F647" s="69"/>
      <c r="J647" s="352"/>
      <c r="K647" s="353"/>
      <c r="L647" s="68"/>
      <c r="M647" s="68"/>
      <c r="N647" s="69"/>
      <c r="O647" s="69" t="s">
        <v>180</v>
      </c>
      <c r="P647" s="69"/>
      <c r="Q647" s="69"/>
      <c r="R647" s="1779" t="str">
        <f>CHOOSE(2, "6722000003558", "S/GP (3) Net Sales Direct HW &amp; Solution Textile Printer")</f>
        <v>S/GP (3) Net Sales Direct HW &amp; Solution Textile Printer</v>
      </c>
      <c r="S647" s="1217"/>
      <c r="T647" s="1217"/>
      <c r="U647" s="1217"/>
      <c r="V647" s="1217"/>
      <c r="W647" s="1217"/>
      <c r="X647" s="1217"/>
      <c r="Y647" s="1217"/>
      <c r="Z647" s="1217"/>
      <c r="AA647" s="1217"/>
      <c r="AB647" s="1217"/>
      <c r="AC647" s="1217"/>
      <c r="AD647" s="1217"/>
      <c r="AE647" s="88">
        <f t="shared" si="1219"/>
        <v>0</v>
      </c>
      <c r="AF647" s="17">
        <f t="shared" si="1220"/>
        <v>0</v>
      </c>
      <c r="AG647" s="17">
        <f t="shared" si="1221"/>
        <v>0</v>
      </c>
      <c r="AH647" s="17">
        <f t="shared" si="1222"/>
        <v>0</v>
      </c>
      <c r="AI647" s="17">
        <f t="shared" si="1223"/>
        <v>0</v>
      </c>
      <c r="AJ647" s="17">
        <f t="shared" si="1224"/>
        <v>0</v>
      </c>
      <c r="AK647" s="17">
        <f t="shared" si="1225"/>
        <v>0</v>
      </c>
      <c r="AM647" s="1926">
        <f ca="1">SUM((INDIRECT(AM$2&amp;(ROW())):INDIRECT(AM$3&amp;(ROW()))))</f>
        <v>0</v>
      </c>
      <c r="AN647" s="1926">
        <f ca="1">SUM(INDIRECT(AN$1&amp;AN$2&amp;$C647):INDIRECT(AN$1&amp;AN$3&amp;$C647))</f>
        <v>0</v>
      </c>
      <c r="AO647" s="2707">
        <f t="shared" ref="AO647:AO710" ca="1" si="1226">AM647-AN647</f>
        <v>0</v>
      </c>
      <c r="AP647" s="2708">
        <f t="shared" ca="1" si="1205"/>
        <v>0</v>
      </c>
      <c r="AQ647" s="1926">
        <f ca="1">SUM(INDIRECT(AQ$1&amp;AQ$2&amp;$A647):INDIRECT(AQ$1&amp;AQ$3&amp;$A647))</f>
        <v>0</v>
      </c>
      <c r="AR647" s="2707">
        <f t="shared" ref="AR647:AR710" ca="1" si="1227">AM647-AQ647</f>
        <v>0</v>
      </c>
      <c r="AS647" s="2708">
        <f t="shared" ca="1" si="1206"/>
        <v>0</v>
      </c>
      <c r="AU647" s="1926">
        <f ca="1">SUM((INDIRECT(AU$2&amp;(ROW())):INDIRECT(AU$3&amp;(ROW()))))</f>
        <v>0</v>
      </c>
      <c r="AV647" s="1926">
        <f ca="1">SUM(INDIRECT(AV$1&amp;AV$2&amp;$C647):INDIRECT(AV$1&amp;AV$3&amp;$C647))</f>
        <v>0</v>
      </c>
      <c r="AW647" s="2707">
        <f t="shared" ca="1" si="1207"/>
        <v>0</v>
      </c>
      <c r="AX647" s="2708">
        <f t="shared" ca="1" si="1208"/>
        <v>0</v>
      </c>
      <c r="AY647" s="1926">
        <f ca="1">SUM(INDIRECT(AY$1&amp;AY$2&amp;$A647):INDIRECT(AY$1&amp;AY$3&amp;$A647))</f>
        <v>0</v>
      </c>
      <c r="AZ647" s="2707">
        <f t="shared" ca="1" si="1209"/>
        <v>0</v>
      </c>
      <c r="BA647" s="2708">
        <f t="shared" ca="1" si="1210"/>
        <v>0</v>
      </c>
      <c r="BC647" s="1926">
        <f ca="1">SUM((INDIRECT(BC$2&amp;(ROW())):INDIRECT(BC$3&amp;(ROW()))))</f>
        <v>0</v>
      </c>
      <c r="BD647" s="1926">
        <f ca="1">SUM(INDIRECT(BD$1&amp;BD$2&amp;$C647):INDIRECT(BD$1&amp;BD$3&amp;$C647))</f>
        <v>0</v>
      </c>
      <c r="BE647" s="2707">
        <f t="shared" ca="1" si="1211"/>
        <v>0</v>
      </c>
      <c r="BF647" s="2708">
        <f t="shared" ca="1" si="1212"/>
        <v>0</v>
      </c>
      <c r="BG647" s="1926">
        <f ca="1">SUM(INDIRECT(BG$1&amp;BG$2&amp;$A647):INDIRECT(BG$1&amp;BG$3&amp;$A647))</f>
        <v>0</v>
      </c>
      <c r="BH647" s="2707">
        <f t="shared" ca="1" si="1213"/>
        <v>0</v>
      </c>
      <c r="BI647" s="2708">
        <f t="shared" ca="1" si="1214"/>
        <v>0</v>
      </c>
    </row>
    <row r="648" spans="1:61" ht="14.5">
      <c r="A648" s="1693">
        <f t="shared" si="1164"/>
        <v>640</v>
      </c>
      <c r="B648" s="616">
        <v>1</v>
      </c>
      <c r="C648" s="1693">
        <f t="shared" si="1161"/>
        <v>648</v>
      </c>
      <c r="D648" s="616">
        <v>1</v>
      </c>
      <c r="F648" s="69"/>
      <c r="J648" s="352"/>
      <c r="K648" s="353"/>
      <c r="L648" s="68"/>
      <c r="M648" s="68"/>
      <c r="N648" s="211"/>
      <c r="O648" s="211" t="s">
        <v>51</v>
      </c>
      <c r="P648" s="211"/>
      <c r="Q648" s="211"/>
      <c r="R648" s="1779" t="str">
        <f>CHOOSE(2, "6722000003559", "S/GP (3) Net Sales Direct HW &amp; Solution Others")</f>
        <v>S/GP (3) Net Sales Direct HW &amp; Solution Others</v>
      </c>
      <c r="S648" s="1218"/>
      <c r="T648" s="1218"/>
      <c r="U648" s="1218"/>
      <c r="V648" s="1218"/>
      <c r="W648" s="1218"/>
      <c r="X648" s="1218"/>
      <c r="Y648" s="1218"/>
      <c r="Z648" s="1218"/>
      <c r="AA648" s="1218"/>
      <c r="AB648" s="1218"/>
      <c r="AC648" s="1218"/>
      <c r="AD648" s="1218"/>
      <c r="AE648" s="87">
        <f t="shared" si="1219"/>
        <v>0</v>
      </c>
      <c r="AF648" s="15">
        <f t="shared" si="1220"/>
        <v>0</v>
      </c>
      <c r="AG648" s="15">
        <f t="shared" si="1221"/>
        <v>0</v>
      </c>
      <c r="AH648" s="15">
        <f t="shared" si="1222"/>
        <v>0</v>
      </c>
      <c r="AI648" s="15">
        <f t="shared" si="1223"/>
        <v>0</v>
      </c>
      <c r="AJ648" s="15">
        <f t="shared" si="1224"/>
        <v>0</v>
      </c>
      <c r="AK648" s="15">
        <f t="shared" si="1225"/>
        <v>0</v>
      </c>
      <c r="AM648" s="1928">
        <f ca="1">SUM((INDIRECT(AM$2&amp;(ROW())):INDIRECT(AM$3&amp;(ROW()))))</f>
        <v>0</v>
      </c>
      <c r="AN648" s="1928">
        <f ca="1">SUM(INDIRECT(AN$1&amp;AN$2&amp;$C648):INDIRECT(AN$1&amp;AN$3&amp;$C648))</f>
        <v>0</v>
      </c>
      <c r="AO648" s="2709">
        <f t="shared" ca="1" si="1226"/>
        <v>0</v>
      </c>
      <c r="AP648" s="2710">
        <f t="shared" ca="1" si="1205"/>
        <v>0</v>
      </c>
      <c r="AQ648" s="1928">
        <f ca="1">SUM(INDIRECT(AQ$1&amp;AQ$2&amp;$A648):INDIRECT(AQ$1&amp;AQ$3&amp;$A648))</f>
        <v>0</v>
      </c>
      <c r="AR648" s="2709">
        <f t="shared" ca="1" si="1227"/>
        <v>0</v>
      </c>
      <c r="AS648" s="2710">
        <f t="shared" ca="1" si="1206"/>
        <v>0</v>
      </c>
      <c r="AU648" s="1928">
        <f ca="1">SUM((INDIRECT(AU$2&amp;(ROW())):INDIRECT(AU$3&amp;(ROW()))))</f>
        <v>0</v>
      </c>
      <c r="AV648" s="1928">
        <f ca="1">SUM(INDIRECT(AV$1&amp;AV$2&amp;$C648):INDIRECT(AV$1&amp;AV$3&amp;$C648))</f>
        <v>0</v>
      </c>
      <c r="AW648" s="2709">
        <f t="shared" ca="1" si="1207"/>
        <v>0</v>
      </c>
      <c r="AX648" s="2710">
        <f t="shared" ca="1" si="1208"/>
        <v>0</v>
      </c>
      <c r="AY648" s="1928">
        <f ca="1">SUM(INDIRECT(AY$1&amp;AY$2&amp;$A648):INDIRECT(AY$1&amp;AY$3&amp;$A648))</f>
        <v>0</v>
      </c>
      <c r="AZ648" s="2709">
        <f t="shared" ca="1" si="1209"/>
        <v>0</v>
      </c>
      <c r="BA648" s="2710">
        <f t="shared" ca="1" si="1210"/>
        <v>0</v>
      </c>
      <c r="BC648" s="1928">
        <f ca="1">SUM((INDIRECT(BC$2&amp;(ROW())):INDIRECT(BC$3&amp;(ROW()))))</f>
        <v>0</v>
      </c>
      <c r="BD648" s="1928">
        <f ca="1">SUM(INDIRECT(BD$1&amp;BD$2&amp;$C648):INDIRECT(BD$1&amp;BD$3&amp;$C648))</f>
        <v>0</v>
      </c>
      <c r="BE648" s="2709">
        <f t="shared" ca="1" si="1211"/>
        <v>0</v>
      </c>
      <c r="BF648" s="2710">
        <f t="shared" ca="1" si="1212"/>
        <v>0</v>
      </c>
      <c r="BG648" s="1928">
        <f ca="1">SUM(INDIRECT(BG$1&amp;BG$2&amp;$A648):INDIRECT(BG$1&amp;BG$3&amp;$A648))</f>
        <v>0</v>
      </c>
      <c r="BH648" s="2709">
        <f t="shared" ca="1" si="1213"/>
        <v>0</v>
      </c>
      <c r="BI648" s="2710">
        <f t="shared" ca="1" si="1214"/>
        <v>0</v>
      </c>
    </row>
    <row r="649" spans="1:61" ht="14.5">
      <c r="A649" s="1693">
        <f t="shared" si="1164"/>
        <v>641</v>
      </c>
      <c r="B649" s="616">
        <v>1</v>
      </c>
      <c r="C649" s="1693">
        <f t="shared" si="1161"/>
        <v>649</v>
      </c>
      <c r="D649" s="616">
        <v>1</v>
      </c>
      <c r="F649" s="69"/>
      <c r="J649" s="352"/>
      <c r="K649" s="353"/>
      <c r="L649" s="68"/>
      <c r="M649" s="68"/>
      <c r="N649" s="69" t="s">
        <v>189</v>
      </c>
      <c r="O649" s="302"/>
      <c r="P649" s="302"/>
      <c r="Q649" s="302"/>
      <c r="R649" s="1777" t="str">
        <f>CHOOSE(2, "6722000003560", "S/GP (3) Net Sales Direct NH")</f>
        <v>S/GP (3) Net Sales Direct NH</v>
      </c>
      <c r="S649" s="1248">
        <f t="shared" ref="S649:AD649" si="1228">SUM(S650:S655)</f>
        <v>7935</v>
      </c>
      <c r="T649" s="1248">
        <f t="shared" si="1228"/>
        <v>8087.6179999999995</v>
      </c>
      <c r="U649" s="1248">
        <f t="shared" si="1228"/>
        <v>7936.7429999999995</v>
      </c>
      <c r="V649" s="1248">
        <f t="shared" si="1228"/>
        <v>7925.893</v>
      </c>
      <c r="W649" s="1248">
        <f t="shared" si="1228"/>
        <v>9541.862000000001</v>
      </c>
      <c r="X649" s="1248">
        <f t="shared" si="1228"/>
        <v>11664.597000000002</v>
      </c>
      <c r="Y649" s="1248">
        <f t="shared" si="1228"/>
        <v>11993.526000000002</v>
      </c>
      <c r="Z649" s="1248">
        <f t="shared" si="1228"/>
        <v>8934.8610000000008</v>
      </c>
      <c r="AA649" s="1248">
        <f t="shared" si="1228"/>
        <v>9696.6139999999996</v>
      </c>
      <c r="AB649" s="1248">
        <f t="shared" si="1228"/>
        <v>9618.5511000000006</v>
      </c>
      <c r="AC649" s="1248">
        <f t="shared" si="1228"/>
        <v>10432.557000000001</v>
      </c>
      <c r="AD649" s="1248">
        <f t="shared" si="1228"/>
        <v>8484.3040000000001</v>
      </c>
      <c r="AE649" s="895">
        <f t="shared" ref="AE649:AK649" si="1229">SUM(AE650:AE655)</f>
        <v>23959.360999999997</v>
      </c>
      <c r="AF649" s="1248">
        <f t="shared" si="1229"/>
        <v>29132.352000000003</v>
      </c>
      <c r="AG649" s="1248">
        <f t="shared" si="1229"/>
        <v>30625.001000000004</v>
      </c>
      <c r="AH649" s="1248">
        <f t="shared" si="1229"/>
        <v>28535.412100000001</v>
      </c>
      <c r="AI649" s="1248">
        <f t="shared" si="1229"/>
        <v>53091.713000000003</v>
      </c>
      <c r="AJ649" s="1248">
        <f t="shared" si="1229"/>
        <v>59160.413100000005</v>
      </c>
      <c r="AK649" s="1248">
        <f t="shared" si="1229"/>
        <v>112252.12610000001</v>
      </c>
      <c r="AM649" s="2183">
        <f ca="1">SUM((INDIRECT(AM$2&amp;(ROW())):INDIRECT(AM$3&amp;(ROW()))))</f>
        <v>7935</v>
      </c>
      <c r="AN649" s="2183">
        <f ca="1">SUM(INDIRECT(AN$1&amp;AN$2&amp;$C649):INDIRECT(AN$1&amp;AN$3&amp;$C649))</f>
        <v>6700</v>
      </c>
      <c r="AO649" s="2875">
        <f t="shared" ca="1" si="1226"/>
        <v>1235</v>
      </c>
      <c r="AP649" s="2876">
        <f t="shared" ca="1" si="1205"/>
        <v>1.1843283582089552</v>
      </c>
      <c r="AQ649" s="2183">
        <f ca="1">SUM(INDIRECT(AQ$1&amp;AQ$2&amp;$A649):INDIRECT(AQ$1&amp;AQ$3&amp;$A649))</f>
        <v>5806</v>
      </c>
      <c r="AR649" s="2875">
        <f t="shared" ca="1" si="1227"/>
        <v>2129</v>
      </c>
      <c r="AS649" s="2876">
        <f t="shared" ca="1" si="1206"/>
        <v>1.3666896314157768</v>
      </c>
      <c r="AU649" s="2183">
        <f ca="1">SUM((INDIRECT(AU$2&amp;(ROW())):INDIRECT(AU$3&amp;(ROW()))))</f>
        <v>7935</v>
      </c>
      <c r="AV649" s="2183">
        <f ca="1">SUM(INDIRECT(AV$1&amp;AV$2&amp;$C649):INDIRECT(AV$1&amp;AV$3&amp;$C649))</f>
        <v>6700</v>
      </c>
      <c r="AW649" s="2875">
        <f t="shared" ca="1" si="1207"/>
        <v>1235</v>
      </c>
      <c r="AX649" s="2876">
        <f t="shared" ca="1" si="1208"/>
        <v>1.1843283582089552</v>
      </c>
      <c r="AY649" s="2183">
        <f ca="1">SUM(INDIRECT(AY$1&amp;AY$2&amp;$A649):INDIRECT(AY$1&amp;AY$3&amp;$A649))</f>
        <v>5806</v>
      </c>
      <c r="AZ649" s="2875">
        <f t="shared" ca="1" si="1209"/>
        <v>2129</v>
      </c>
      <c r="BA649" s="2876">
        <f t="shared" ca="1" si="1210"/>
        <v>1.3666896314157768</v>
      </c>
      <c r="BC649" s="2183">
        <f ca="1">SUM((INDIRECT(BC$2&amp;(ROW())):INDIRECT(BC$3&amp;(ROW()))))</f>
        <v>7935</v>
      </c>
      <c r="BD649" s="2183">
        <f ca="1">SUM(INDIRECT(BD$1&amp;BD$2&amp;$C649):INDIRECT(BD$1&amp;BD$3&amp;$C649))</f>
        <v>6700</v>
      </c>
      <c r="BE649" s="2875">
        <f t="shared" ca="1" si="1211"/>
        <v>1235</v>
      </c>
      <c r="BF649" s="2876">
        <f t="shared" ca="1" si="1212"/>
        <v>1.1843283582089552</v>
      </c>
      <c r="BG649" s="2183">
        <f ca="1">SUM(INDIRECT(BG$1&amp;BG$2&amp;$A649):INDIRECT(BG$1&amp;BG$3&amp;$A649))</f>
        <v>5806</v>
      </c>
      <c r="BH649" s="2875">
        <f t="shared" ca="1" si="1213"/>
        <v>2129</v>
      </c>
      <c r="BI649" s="2876">
        <f t="shared" ca="1" si="1214"/>
        <v>1.3666896314157768</v>
      </c>
    </row>
    <row r="650" spans="1:61" ht="14.5">
      <c r="A650" s="1693">
        <f t="shared" si="1164"/>
        <v>642</v>
      </c>
      <c r="B650" s="616">
        <v>1</v>
      </c>
      <c r="C650" s="1693">
        <f t="shared" si="1161"/>
        <v>650</v>
      </c>
      <c r="D650" s="616">
        <v>1</v>
      </c>
      <c r="F650" s="69"/>
      <c r="J650" s="352"/>
      <c r="K650" s="353"/>
      <c r="L650" s="68"/>
      <c r="M650" s="68"/>
      <c r="N650" s="69"/>
      <c r="O650" s="740" t="s">
        <v>670</v>
      </c>
      <c r="P650" s="296"/>
      <c r="Q650" s="296"/>
      <c r="R650" s="1779" t="str">
        <f>CHOOSE(2, "6722000003561", "S/GP (3) Net Sales Direct NH KM-1/KM-1e")</f>
        <v>S/GP (3) Net Sales Direct NH KM-1/KM-1e</v>
      </c>
      <c r="S650" s="1227">
        <v>425</v>
      </c>
      <c r="T650" s="1227">
        <v>684.94100000000003</v>
      </c>
      <c r="U650" s="1227">
        <v>287.15499999999997</v>
      </c>
      <c r="V650" s="1227">
        <v>560.71199999999999</v>
      </c>
      <c r="W650" s="1227">
        <v>1428.527</v>
      </c>
      <c r="X650" s="1227">
        <v>401.71100000000001</v>
      </c>
      <c r="Y650" s="1227">
        <v>1263.796</v>
      </c>
      <c r="Z650" s="1227">
        <v>514.04600000000005</v>
      </c>
      <c r="AA650" s="1227">
        <v>1344.1289999999999</v>
      </c>
      <c r="AB650" s="1227">
        <v>1143.8309999999999</v>
      </c>
      <c r="AC650" s="1227">
        <v>577.62900000000002</v>
      </c>
      <c r="AD650" s="1227">
        <v>1222.3430000000001</v>
      </c>
      <c r="AE650" s="295">
        <f t="shared" ref="AE650:AE655" si="1230">SUM(S650,T650,U650)</f>
        <v>1397.096</v>
      </c>
      <c r="AF650" s="96">
        <f t="shared" ref="AF650:AF655" si="1231">SUM(V650,W650,X650)</f>
        <v>2390.9499999999998</v>
      </c>
      <c r="AG650" s="96">
        <f t="shared" ref="AG650:AG655" si="1232">SUM(Y650,Z650,AA650)</f>
        <v>3121.971</v>
      </c>
      <c r="AH650" s="96">
        <f t="shared" ref="AH650:AH655" si="1233">SUM(AB650,AC650,AD650)</f>
        <v>2943.8029999999999</v>
      </c>
      <c r="AI650" s="96">
        <f t="shared" ref="AI650:AI655" si="1234">AE650+AF650</f>
        <v>3788.0459999999998</v>
      </c>
      <c r="AJ650" s="96">
        <f t="shared" ref="AJ650:AJ655" si="1235">AH650+AG650</f>
        <v>6065.7739999999994</v>
      </c>
      <c r="AK650" s="96">
        <f t="shared" ref="AK650:AK655" si="1236">AI650+AJ650</f>
        <v>9853.82</v>
      </c>
      <c r="AM650" s="2161">
        <f ca="1">SUM((INDIRECT(AM$2&amp;(ROW())):INDIRECT(AM$3&amp;(ROW()))))</f>
        <v>425</v>
      </c>
      <c r="AN650" s="2161">
        <f ca="1">SUM(INDIRECT(AN$1&amp;AN$2&amp;$C650):INDIRECT(AN$1&amp;AN$3&amp;$C650))</f>
        <v>700</v>
      </c>
      <c r="AO650" s="2877">
        <f t="shared" ca="1" si="1226"/>
        <v>-275</v>
      </c>
      <c r="AP650" s="2878">
        <f t="shared" ca="1" si="1205"/>
        <v>0.6071428571428571</v>
      </c>
      <c r="AQ650" s="2161">
        <f ca="1">SUM(INDIRECT(AQ$1&amp;AQ$2&amp;$A650):INDIRECT(AQ$1&amp;AQ$3&amp;$A650))</f>
        <v>938</v>
      </c>
      <c r="AR650" s="2877">
        <f t="shared" ca="1" si="1227"/>
        <v>-513</v>
      </c>
      <c r="AS650" s="2878">
        <f t="shared" ca="1" si="1206"/>
        <v>0.453091684434968</v>
      </c>
      <c r="AU650" s="2161">
        <f ca="1">SUM((INDIRECT(AU$2&amp;(ROW())):INDIRECT(AU$3&amp;(ROW()))))</f>
        <v>425</v>
      </c>
      <c r="AV650" s="2161">
        <f ca="1">SUM(INDIRECT(AV$1&amp;AV$2&amp;$C650):INDIRECT(AV$1&amp;AV$3&amp;$C650))</f>
        <v>700</v>
      </c>
      <c r="AW650" s="2877">
        <f t="shared" ca="1" si="1207"/>
        <v>-275</v>
      </c>
      <c r="AX650" s="2878">
        <f t="shared" ca="1" si="1208"/>
        <v>0.6071428571428571</v>
      </c>
      <c r="AY650" s="2161">
        <f ca="1">SUM(INDIRECT(AY$1&amp;AY$2&amp;$A650):INDIRECT(AY$1&amp;AY$3&amp;$A650))</f>
        <v>938</v>
      </c>
      <c r="AZ650" s="2877">
        <f t="shared" ca="1" si="1209"/>
        <v>-513</v>
      </c>
      <c r="BA650" s="2878">
        <f t="shared" ca="1" si="1210"/>
        <v>0.453091684434968</v>
      </c>
      <c r="BC650" s="2161">
        <f ca="1">SUM((INDIRECT(BC$2&amp;(ROW())):INDIRECT(BC$3&amp;(ROW()))))</f>
        <v>425</v>
      </c>
      <c r="BD650" s="2161">
        <f ca="1">SUM(INDIRECT(BD$1&amp;BD$2&amp;$C650):INDIRECT(BD$1&amp;BD$3&amp;$C650))</f>
        <v>700</v>
      </c>
      <c r="BE650" s="2877">
        <f t="shared" ca="1" si="1211"/>
        <v>-275</v>
      </c>
      <c r="BF650" s="2878">
        <f t="shared" ca="1" si="1212"/>
        <v>0.6071428571428571</v>
      </c>
      <c r="BG650" s="2161">
        <f ca="1">SUM(INDIRECT(BG$1&amp;BG$2&amp;$A650):INDIRECT(BG$1&amp;BG$3&amp;$A650))</f>
        <v>938</v>
      </c>
      <c r="BH650" s="2877">
        <f t="shared" ca="1" si="1213"/>
        <v>-513</v>
      </c>
      <c r="BI650" s="2878">
        <f t="shared" ca="1" si="1214"/>
        <v>0.453091684434968</v>
      </c>
    </row>
    <row r="651" spans="1:61" ht="14.5">
      <c r="A651" s="1693">
        <f t="shared" si="1164"/>
        <v>643</v>
      </c>
      <c r="B651" s="616">
        <v>1</v>
      </c>
      <c r="C651" s="1693">
        <f t="shared" si="1161"/>
        <v>651</v>
      </c>
      <c r="D651" s="616">
        <v>1</v>
      </c>
      <c r="F651" s="69"/>
      <c r="J651" s="352"/>
      <c r="K651" s="353"/>
      <c r="L651" s="68"/>
      <c r="M651" s="68"/>
      <c r="N651" s="69"/>
      <c r="O651" s="69" t="s">
        <v>117</v>
      </c>
      <c r="P651" s="69"/>
      <c r="Q651" s="69"/>
      <c r="R651" s="1779" t="str">
        <f>CHOOSE(2, "6722000003562", "S/GP (3) Net Sales Direct NH Label Printer")</f>
        <v>S/GP (3) Net Sales Direct NH Label Printer</v>
      </c>
      <c r="S651" s="1217">
        <v>3783</v>
      </c>
      <c r="T651" s="1217">
        <v>2497.3389999999999</v>
      </c>
      <c r="U651" s="1217">
        <v>2325.1509999999998</v>
      </c>
      <c r="V651" s="1217">
        <v>2858.1590000000001</v>
      </c>
      <c r="W651" s="1217">
        <v>2608.8040000000001</v>
      </c>
      <c r="X651" s="1217">
        <v>3916.6840000000002</v>
      </c>
      <c r="Y651" s="1217">
        <v>2882.4740000000002</v>
      </c>
      <c r="Z651" s="1217">
        <v>3210.85</v>
      </c>
      <c r="AA651" s="1217">
        <v>3861.44</v>
      </c>
      <c r="AB651" s="1217">
        <v>4224.6949999999997</v>
      </c>
      <c r="AC651" s="1217">
        <v>4620.3329999999996</v>
      </c>
      <c r="AD651" s="1217">
        <v>3922.1</v>
      </c>
      <c r="AE651" s="88">
        <f t="shared" si="1230"/>
        <v>8605.49</v>
      </c>
      <c r="AF651" s="17">
        <f t="shared" si="1231"/>
        <v>9383.6470000000008</v>
      </c>
      <c r="AG651" s="17">
        <f t="shared" si="1232"/>
        <v>9954.764000000001</v>
      </c>
      <c r="AH651" s="17">
        <f t="shared" si="1233"/>
        <v>12767.127999999999</v>
      </c>
      <c r="AI651" s="17">
        <f t="shared" si="1234"/>
        <v>17989.137000000002</v>
      </c>
      <c r="AJ651" s="17">
        <f t="shared" si="1235"/>
        <v>22721.892</v>
      </c>
      <c r="AK651" s="17">
        <f t="shared" si="1236"/>
        <v>40711.029000000002</v>
      </c>
      <c r="AM651" s="1926">
        <f ca="1">SUM((INDIRECT(AM$2&amp;(ROW())):INDIRECT(AM$3&amp;(ROW()))))</f>
        <v>3783</v>
      </c>
      <c r="AN651" s="1926">
        <f ca="1">SUM(INDIRECT(AN$1&amp;AN$2&amp;$C651):INDIRECT(AN$1&amp;AN$3&amp;$C651))</f>
        <v>3200</v>
      </c>
      <c r="AO651" s="2707">
        <f t="shared" ca="1" si="1226"/>
        <v>583</v>
      </c>
      <c r="AP651" s="2708">
        <f t="shared" ca="1" si="1205"/>
        <v>1.1821874999999999</v>
      </c>
      <c r="AQ651" s="1926">
        <f ca="1">SUM(INDIRECT(AQ$1&amp;AQ$2&amp;$A651):INDIRECT(AQ$1&amp;AQ$3&amp;$A651))</f>
        <v>2340</v>
      </c>
      <c r="AR651" s="2707">
        <f t="shared" ca="1" si="1227"/>
        <v>1443</v>
      </c>
      <c r="AS651" s="2708">
        <f t="shared" ca="1" si="1206"/>
        <v>1.6166666666666667</v>
      </c>
      <c r="AU651" s="1926">
        <f ca="1">SUM((INDIRECT(AU$2&amp;(ROW())):INDIRECT(AU$3&amp;(ROW()))))</f>
        <v>3783</v>
      </c>
      <c r="AV651" s="1926">
        <f ca="1">SUM(INDIRECT(AV$1&amp;AV$2&amp;$C651):INDIRECT(AV$1&amp;AV$3&amp;$C651))</f>
        <v>3200</v>
      </c>
      <c r="AW651" s="2707">
        <f t="shared" ca="1" si="1207"/>
        <v>583</v>
      </c>
      <c r="AX651" s="2708">
        <f t="shared" ca="1" si="1208"/>
        <v>1.1821874999999999</v>
      </c>
      <c r="AY651" s="1926">
        <f ca="1">SUM(INDIRECT(AY$1&amp;AY$2&amp;$A651):INDIRECT(AY$1&amp;AY$3&amp;$A651))</f>
        <v>2340</v>
      </c>
      <c r="AZ651" s="2707">
        <f t="shared" ca="1" si="1209"/>
        <v>1443</v>
      </c>
      <c r="BA651" s="2708">
        <f t="shared" ca="1" si="1210"/>
        <v>1.6166666666666667</v>
      </c>
      <c r="BC651" s="1926">
        <f ca="1">SUM((INDIRECT(BC$2&amp;(ROW())):INDIRECT(BC$3&amp;(ROW()))))</f>
        <v>3783</v>
      </c>
      <c r="BD651" s="1926">
        <f ca="1">SUM(INDIRECT(BD$1&amp;BD$2&amp;$C651):INDIRECT(BD$1&amp;BD$3&amp;$C651))</f>
        <v>3200</v>
      </c>
      <c r="BE651" s="2707">
        <f t="shared" ca="1" si="1211"/>
        <v>583</v>
      </c>
      <c r="BF651" s="2708">
        <f t="shared" ca="1" si="1212"/>
        <v>1.1821874999999999</v>
      </c>
      <c r="BG651" s="1926">
        <f ca="1">SUM(INDIRECT(BG$1&amp;BG$2&amp;$A651):INDIRECT(BG$1&amp;BG$3&amp;$A651))</f>
        <v>2340</v>
      </c>
      <c r="BH651" s="2707">
        <f t="shared" ca="1" si="1213"/>
        <v>1443</v>
      </c>
      <c r="BI651" s="2708">
        <f t="shared" ca="1" si="1214"/>
        <v>1.6166666666666667</v>
      </c>
    </row>
    <row r="652" spans="1:61" ht="14.5">
      <c r="A652" s="1693">
        <f t="shared" si="1164"/>
        <v>644</v>
      </c>
      <c r="B652" s="616">
        <v>1</v>
      </c>
      <c r="C652" s="1693">
        <f t="shared" si="1161"/>
        <v>652</v>
      </c>
      <c r="D652" s="616">
        <v>1</v>
      </c>
      <c r="F652" s="69"/>
      <c r="J652" s="352"/>
      <c r="K652" s="353"/>
      <c r="L652" s="68"/>
      <c r="M652" s="68"/>
      <c r="N652" s="69"/>
      <c r="O652" s="69" t="s">
        <v>52</v>
      </c>
      <c r="P652" s="69"/>
      <c r="Q652" s="69"/>
      <c r="R652" s="1779" t="str">
        <f>CHOOSE(2, "6722000003563", "S/GP (3) Net Sales Direct NH MGI")</f>
        <v>S/GP (3) Net Sales Direct NH MGI</v>
      </c>
      <c r="S652" s="1217">
        <v>3727</v>
      </c>
      <c r="T652" s="1217">
        <v>4905.3379999999997</v>
      </c>
      <c r="U652" s="1217">
        <v>5324.4369999999999</v>
      </c>
      <c r="V652" s="1217">
        <v>4507.0219999999999</v>
      </c>
      <c r="W652" s="1217">
        <v>5504.5309999999999</v>
      </c>
      <c r="X652" s="1217">
        <v>7346.2020000000002</v>
      </c>
      <c r="Y652" s="1217">
        <v>7847.2560000000003</v>
      </c>
      <c r="Z652" s="1217">
        <v>5209.9650000000001</v>
      </c>
      <c r="AA652" s="1217">
        <v>4491.0450000000001</v>
      </c>
      <c r="AB652" s="1217">
        <v>4250.0250999999998</v>
      </c>
      <c r="AC652" s="1217">
        <v>5234.5950000000003</v>
      </c>
      <c r="AD652" s="1217">
        <v>3339.8609999999999</v>
      </c>
      <c r="AE652" s="88">
        <f t="shared" si="1230"/>
        <v>13956.775</v>
      </c>
      <c r="AF652" s="17">
        <f t="shared" si="1231"/>
        <v>17357.755000000001</v>
      </c>
      <c r="AG652" s="17">
        <f t="shared" si="1232"/>
        <v>17548.266000000003</v>
      </c>
      <c r="AH652" s="17">
        <f t="shared" si="1233"/>
        <v>12824.481100000001</v>
      </c>
      <c r="AI652" s="17">
        <f t="shared" si="1234"/>
        <v>31314.53</v>
      </c>
      <c r="AJ652" s="17">
        <f t="shared" si="1235"/>
        <v>30372.747100000004</v>
      </c>
      <c r="AK652" s="17">
        <f t="shared" si="1236"/>
        <v>61687.277100000007</v>
      </c>
      <c r="AM652" s="1926">
        <f ca="1">SUM((INDIRECT(AM$2&amp;(ROW())):INDIRECT(AM$3&amp;(ROW()))))</f>
        <v>3727</v>
      </c>
      <c r="AN652" s="1926">
        <f ca="1">SUM(INDIRECT(AN$1&amp;AN$2&amp;$C652):INDIRECT(AN$1&amp;AN$3&amp;$C652))</f>
        <v>2800</v>
      </c>
      <c r="AO652" s="2707">
        <f t="shared" ca="1" si="1226"/>
        <v>927</v>
      </c>
      <c r="AP652" s="2708">
        <f t="shared" ca="1" si="1205"/>
        <v>1.3310714285714285</v>
      </c>
      <c r="AQ652" s="1926">
        <f ca="1">SUM(INDIRECT(AQ$1&amp;AQ$2&amp;$A652):INDIRECT(AQ$1&amp;AQ$3&amp;$A652))</f>
        <v>2528</v>
      </c>
      <c r="AR652" s="2707">
        <f t="shared" ca="1" si="1227"/>
        <v>1199</v>
      </c>
      <c r="AS652" s="2708">
        <f t="shared" ca="1" si="1206"/>
        <v>1.4742879746835442</v>
      </c>
      <c r="AU652" s="1926">
        <f ca="1">SUM((INDIRECT(AU$2&amp;(ROW())):INDIRECT(AU$3&amp;(ROW()))))</f>
        <v>3727</v>
      </c>
      <c r="AV652" s="1926">
        <f ca="1">SUM(INDIRECT(AV$1&amp;AV$2&amp;$C652):INDIRECT(AV$1&amp;AV$3&amp;$C652))</f>
        <v>2800</v>
      </c>
      <c r="AW652" s="2707">
        <f t="shared" ca="1" si="1207"/>
        <v>927</v>
      </c>
      <c r="AX652" s="2708">
        <f t="shared" ca="1" si="1208"/>
        <v>1.3310714285714285</v>
      </c>
      <c r="AY652" s="1926">
        <f ca="1">SUM(INDIRECT(AY$1&amp;AY$2&amp;$A652):INDIRECT(AY$1&amp;AY$3&amp;$A652))</f>
        <v>2528</v>
      </c>
      <c r="AZ652" s="2707">
        <f t="shared" ca="1" si="1209"/>
        <v>1199</v>
      </c>
      <c r="BA652" s="2708">
        <f t="shared" ca="1" si="1210"/>
        <v>1.4742879746835442</v>
      </c>
      <c r="BC652" s="1926">
        <f ca="1">SUM((INDIRECT(BC$2&amp;(ROW())):INDIRECT(BC$3&amp;(ROW()))))</f>
        <v>3727</v>
      </c>
      <c r="BD652" s="1926">
        <f ca="1">SUM(INDIRECT(BD$1&amp;BD$2&amp;$C652):INDIRECT(BD$1&amp;BD$3&amp;$C652))</f>
        <v>2800</v>
      </c>
      <c r="BE652" s="2707">
        <f t="shared" ca="1" si="1211"/>
        <v>927</v>
      </c>
      <c r="BF652" s="2708">
        <f t="shared" ca="1" si="1212"/>
        <v>1.3310714285714285</v>
      </c>
      <c r="BG652" s="1926">
        <f ca="1">SUM(INDIRECT(BG$1&amp;BG$2&amp;$A652):INDIRECT(BG$1&amp;BG$3&amp;$A652))</f>
        <v>2528</v>
      </c>
      <c r="BH652" s="2707">
        <f t="shared" ca="1" si="1213"/>
        <v>1199</v>
      </c>
      <c r="BI652" s="2708">
        <f t="shared" ca="1" si="1214"/>
        <v>1.4742879746835442</v>
      </c>
    </row>
    <row r="653" spans="1:61" ht="14.5">
      <c r="A653" s="1693">
        <f t="shared" si="1164"/>
        <v>645</v>
      </c>
      <c r="B653" s="616">
        <v>1</v>
      </c>
      <c r="C653" s="1693">
        <f t="shared" si="1161"/>
        <v>653</v>
      </c>
      <c r="D653" s="616">
        <v>1</v>
      </c>
      <c r="F653" s="69"/>
      <c r="J653" s="352"/>
      <c r="K653" s="353"/>
      <c r="L653" s="68"/>
      <c r="M653" s="68"/>
      <c r="N653" s="69"/>
      <c r="O653" s="69" t="s">
        <v>118</v>
      </c>
      <c r="P653" s="69"/>
      <c r="Q653" s="69"/>
      <c r="R653" s="1779" t="str">
        <f>CHOOSE(2, "6722000003564", "S/GP (3) Net Sales Direct NH EFI/LF")</f>
        <v>S/GP (3) Net Sales Direct NH EFI/LF</v>
      </c>
      <c r="S653" s="1217"/>
      <c r="T653" s="1217"/>
      <c r="U653" s="1217"/>
      <c r="V653" s="1217"/>
      <c r="W653" s="1217"/>
      <c r="X653" s="1217"/>
      <c r="Y653" s="1217"/>
      <c r="Z653" s="1217"/>
      <c r="AA653" s="1217"/>
      <c r="AB653" s="1217"/>
      <c r="AC653" s="1217"/>
      <c r="AD653" s="1217"/>
      <c r="AE653" s="88">
        <f t="shared" si="1230"/>
        <v>0</v>
      </c>
      <c r="AF653" s="17">
        <f t="shared" si="1231"/>
        <v>0</v>
      </c>
      <c r="AG653" s="17">
        <f t="shared" si="1232"/>
        <v>0</v>
      </c>
      <c r="AH653" s="17">
        <f t="shared" si="1233"/>
        <v>0</v>
      </c>
      <c r="AI653" s="17">
        <f t="shared" si="1234"/>
        <v>0</v>
      </c>
      <c r="AJ653" s="17">
        <f t="shared" si="1235"/>
        <v>0</v>
      </c>
      <c r="AK653" s="17">
        <f t="shared" si="1236"/>
        <v>0</v>
      </c>
      <c r="AM653" s="1926">
        <f ca="1">SUM((INDIRECT(AM$2&amp;(ROW())):INDIRECT(AM$3&amp;(ROW()))))</f>
        <v>0</v>
      </c>
      <c r="AN653" s="1926">
        <f ca="1">SUM(INDIRECT(AN$1&amp;AN$2&amp;$C653):INDIRECT(AN$1&amp;AN$3&amp;$C653))</f>
        <v>0</v>
      </c>
      <c r="AO653" s="2707">
        <f t="shared" ca="1" si="1226"/>
        <v>0</v>
      </c>
      <c r="AP653" s="2708">
        <f t="shared" ca="1" si="1205"/>
        <v>0</v>
      </c>
      <c r="AQ653" s="1926">
        <f ca="1">SUM(INDIRECT(AQ$1&amp;AQ$2&amp;$A653):INDIRECT(AQ$1&amp;AQ$3&amp;$A653))</f>
        <v>0</v>
      </c>
      <c r="AR653" s="2707">
        <f t="shared" ca="1" si="1227"/>
        <v>0</v>
      </c>
      <c r="AS653" s="2708">
        <f t="shared" ca="1" si="1206"/>
        <v>0</v>
      </c>
      <c r="AU653" s="1926">
        <f ca="1">SUM((INDIRECT(AU$2&amp;(ROW())):INDIRECT(AU$3&amp;(ROW()))))</f>
        <v>0</v>
      </c>
      <c r="AV653" s="1926">
        <f ca="1">SUM(INDIRECT(AV$1&amp;AV$2&amp;$C653):INDIRECT(AV$1&amp;AV$3&amp;$C653))</f>
        <v>0</v>
      </c>
      <c r="AW653" s="2707">
        <f t="shared" ca="1" si="1207"/>
        <v>0</v>
      </c>
      <c r="AX653" s="2708">
        <f t="shared" ca="1" si="1208"/>
        <v>0</v>
      </c>
      <c r="AY653" s="1926">
        <f ca="1">SUM(INDIRECT(AY$1&amp;AY$2&amp;$A653):INDIRECT(AY$1&amp;AY$3&amp;$A653))</f>
        <v>0</v>
      </c>
      <c r="AZ653" s="2707">
        <f t="shared" ca="1" si="1209"/>
        <v>0</v>
      </c>
      <c r="BA653" s="2708">
        <f t="shared" ca="1" si="1210"/>
        <v>0</v>
      </c>
      <c r="BC653" s="1926">
        <f ca="1">SUM((INDIRECT(BC$2&amp;(ROW())):INDIRECT(BC$3&amp;(ROW()))))</f>
        <v>0</v>
      </c>
      <c r="BD653" s="1926">
        <f ca="1">SUM(INDIRECT(BD$1&amp;BD$2&amp;$C653):INDIRECT(BD$1&amp;BD$3&amp;$C653))</f>
        <v>0</v>
      </c>
      <c r="BE653" s="2707">
        <f t="shared" ca="1" si="1211"/>
        <v>0</v>
      </c>
      <c r="BF653" s="2708">
        <f t="shared" ca="1" si="1212"/>
        <v>0</v>
      </c>
      <c r="BG653" s="1926">
        <f ca="1">SUM(INDIRECT(BG$1&amp;BG$2&amp;$A653):INDIRECT(BG$1&amp;BG$3&amp;$A653))</f>
        <v>0</v>
      </c>
      <c r="BH653" s="2707">
        <f t="shared" ca="1" si="1213"/>
        <v>0</v>
      </c>
      <c r="BI653" s="2708">
        <f t="shared" ca="1" si="1214"/>
        <v>0</v>
      </c>
    </row>
    <row r="654" spans="1:61" ht="14.5">
      <c r="A654" s="1693">
        <f t="shared" si="1164"/>
        <v>646</v>
      </c>
      <c r="B654" s="616">
        <v>1</v>
      </c>
      <c r="C654" s="1693">
        <f t="shared" si="1161"/>
        <v>654</v>
      </c>
      <c r="D654" s="616">
        <v>1</v>
      </c>
      <c r="F654" s="69"/>
      <c r="J654" s="352"/>
      <c r="K654" s="353"/>
      <c r="L654" s="68"/>
      <c r="M654" s="68"/>
      <c r="N654" s="69"/>
      <c r="O654" s="69" t="s">
        <v>180</v>
      </c>
      <c r="P654" s="69"/>
      <c r="Q654" s="69"/>
      <c r="R654" s="1779" t="str">
        <f>CHOOSE(2, "6722000003565", "S/GP (3) Net Sales Direct NH Textile Printer")</f>
        <v>S/GP (3) Net Sales Direct NH Textile Printer</v>
      </c>
      <c r="S654" s="1217"/>
      <c r="T654" s="1217"/>
      <c r="U654" s="1217"/>
      <c r="V654" s="1217"/>
      <c r="W654" s="1217"/>
      <c r="X654" s="1217"/>
      <c r="Y654" s="1217"/>
      <c r="Z654" s="1217"/>
      <c r="AA654" s="1217"/>
      <c r="AB654" s="1217"/>
      <c r="AC654" s="1217"/>
      <c r="AD654" s="1217"/>
      <c r="AE654" s="88">
        <f t="shared" si="1230"/>
        <v>0</v>
      </c>
      <c r="AF654" s="17">
        <f t="shared" si="1231"/>
        <v>0</v>
      </c>
      <c r="AG654" s="17">
        <f t="shared" si="1232"/>
        <v>0</v>
      </c>
      <c r="AH654" s="17">
        <f t="shared" si="1233"/>
        <v>0</v>
      </c>
      <c r="AI654" s="17">
        <f t="shared" si="1234"/>
        <v>0</v>
      </c>
      <c r="AJ654" s="17">
        <f t="shared" si="1235"/>
        <v>0</v>
      </c>
      <c r="AK654" s="17">
        <f t="shared" si="1236"/>
        <v>0</v>
      </c>
      <c r="AM654" s="1926">
        <f ca="1">SUM((INDIRECT(AM$2&amp;(ROW())):INDIRECT(AM$3&amp;(ROW()))))</f>
        <v>0</v>
      </c>
      <c r="AN654" s="1926">
        <f ca="1">SUM(INDIRECT(AN$1&amp;AN$2&amp;$C654):INDIRECT(AN$1&amp;AN$3&amp;$C654))</f>
        <v>0</v>
      </c>
      <c r="AO654" s="2707">
        <f t="shared" ca="1" si="1226"/>
        <v>0</v>
      </c>
      <c r="AP654" s="2708">
        <f t="shared" ca="1" si="1205"/>
        <v>0</v>
      </c>
      <c r="AQ654" s="1926">
        <f ca="1">SUM(INDIRECT(AQ$1&amp;AQ$2&amp;$A654):INDIRECT(AQ$1&amp;AQ$3&amp;$A654))</f>
        <v>0</v>
      </c>
      <c r="AR654" s="2707">
        <f t="shared" ca="1" si="1227"/>
        <v>0</v>
      </c>
      <c r="AS654" s="2708">
        <f t="shared" ca="1" si="1206"/>
        <v>0</v>
      </c>
      <c r="AU654" s="1926">
        <f ca="1">SUM((INDIRECT(AU$2&amp;(ROW())):INDIRECT(AU$3&amp;(ROW()))))</f>
        <v>0</v>
      </c>
      <c r="AV654" s="1926">
        <f ca="1">SUM(INDIRECT(AV$1&amp;AV$2&amp;$C654):INDIRECT(AV$1&amp;AV$3&amp;$C654))</f>
        <v>0</v>
      </c>
      <c r="AW654" s="2707">
        <f t="shared" ca="1" si="1207"/>
        <v>0</v>
      </c>
      <c r="AX654" s="2708">
        <f t="shared" ca="1" si="1208"/>
        <v>0</v>
      </c>
      <c r="AY654" s="1926">
        <f ca="1">SUM(INDIRECT(AY$1&amp;AY$2&amp;$A654):INDIRECT(AY$1&amp;AY$3&amp;$A654))</f>
        <v>0</v>
      </c>
      <c r="AZ654" s="2707">
        <f t="shared" ca="1" si="1209"/>
        <v>0</v>
      </c>
      <c r="BA654" s="2708">
        <f t="shared" ca="1" si="1210"/>
        <v>0</v>
      </c>
      <c r="BC654" s="1926">
        <f ca="1">SUM((INDIRECT(BC$2&amp;(ROW())):INDIRECT(BC$3&amp;(ROW()))))</f>
        <v>0</v>
      </c>
      <c r="BD654" s="1926">
        <f ca="1">SUM(INDIRECT(BD$1&amp;BD$2&amp;$C654):INDIRECT(BD$1&amp;BD$3&amp;$C654))</f>
        <v>0</v>
      </c>
      <c r="BE654" s="2707">
        <f t="shared" ca="1" si="1211"/>
        <v>0</v>
      </c>
      <c r="BF654" s="2708">
        <f t="shared" ca="1" si="1212"/>
        <v>0</v>
      </c>
      <c r="BG654" s="1926">
        <f ca="1">SUM(INDIRECT(BG$1&amp;BG$2&amp;$A654):INDIRECT(BG$1&amp;BG$3&amp;$A654))</f>
        <v>0</v>
      </c>
      <c r="BH654" s="2707">
        <f t="shared" ca="1" si="1213"/>
        <v>0</v>
      </c>
      <c r="BI654" s="2708">
        <f t="shared" ca="1" si="1214"/>
        <v>0</v>
      </c>
    </row>
    <row r="655" spans="1:61" ht="14.5">
      <c r="A655" s="1693">
        <f t="shared" si="1164"/>
        <v>647</v>
      </c>
      <c r="B655" s="616">
        <v>1</v>
      </c>
      <c r="C655" s="1693">
        <f t="shared" ref="C655:C718" si="1237">C654+1</f>
        <v>655</v>
      </c>
      <c r="D655" s="616">
        <v>1</v>
      </c>
      <c r="F655" s="69"/>
      <c r="J655" s="352"/>
      <c r="K655" s="353"/>
      <c r="L655" s="67"/>
      <c r="M655" s="67"/>
      <c r="N655" s="69"/>
      <c r="O655" s="211" t="s">
        <v>51</v>
      </c>
      <c r="P655" s="211"/>
      <c r="Q655" s="211"/>
      <c r="R655" s="1779" t="str">
        <f>CHOOSE(2, "6722000003566", "S/GP (3) Net Sales Direct NH Others")</f>
        <v>S/GP (3) Net Sales Direct NH Others</v>
      </c>
      <c r="S655" s="1218"/>
      <c r="T655" s="1218"/>
      <c r="U655" s="1218"/>
      <c r="V655" s="1218"/>
      <c r="W655" s="1218"/>
      <c r="X655" s="1218"/>
      <c r="Y655" s="1218"/>
      <c r="Z655" s="1218"/>
      <c r="AA655" s="1218"/>
      <c r="AB655" s="1218"/>
      <c r="AC655" s="1218"/>
      <c r="AD655" s="1218"/>
      <c r="AE655" s="87">
        <f t="shared" si="1230"/>
        <v>0</v>
      </c>
      <c r="AF655" s="15">
        <f t="shared" si="1231"/>
        <v>0</v>
      </c>
      <c r="AG655" s="15">
        <f t="shared" si="1232"/>
        <v>0</v>
      </c>
      <c r="AH655" s="15">
        <f t="shared" si="1233"/>
        <v>0</v>
      </c>
      <c r="AI655" s="15">
        <f t="shared" si="1234"/>
        <v>0</v>
      </c>
      <c r="AJ655" s="15">
        <f t="shared" si="1235"/>
        <v>0</v>
      </c>
      <c r="AK655" s="15">
        <f t="shared" si="1236"/>
        <v>0</v>
      </c>
      <c r="AM655" s="1928">
        <f ca="1">SUM((INDIRECT(AM$2&amp;(ROW())):INDIRECT(AM$3&amp;(ROW()))))</f>
        <v>0</v>
      </c>
      <c r="AN655" s="1928">
        <f ca="1">SUM(INDIRECT(AN$1&amp;AN$2&amp;$C655):INDIRECT(AN$1&amp;AN$3&amp;$C655))</f>
        <v>0</v>
      </c>
      <c r="AO655" s="2709">
        <f t="shared" ca="1" si="1226"/>
        <v>0</v>
      </c>
      <c r="AP655" s="2710">
        <f t="shared" ca="1" si="1205"/>
        <v>0</v>
      </c>
      <c r="AQ655" s="1928">
        <f ca="1">SUM(INDIRECT(AQ$1&amp;AQ$2&amp;$A655):INDIRECT(AQ$1&amp;AQ$3&amp;$A655))</f>
        <v>0</v>
      </c>
      <c r="AR655" s="2709">
        <f t="shared" ca="1" si="1227"/>
        <v>0</v>
      </c>
      <c r="AS655" s="2710">
        <f t="shared" ca="1" si="1206"/>
        <v>0</v>
      </c>
      <c r="AU655" s="1928">
        <f ca="1">SUM((INDIRECT(AU$2&amp;(ROW())):INDIRECT(AU$3&amp;(ROW()))))</f>
        <v>0</v>
      </c>
      <c r="AV655" s="1928">
        <f ca="1">SUM(INDIRECT(AV$1&amp;AV$2&amp;$C655):INDIRECT(AV$1&amp;AV$3&amp;$C655))</f>
        <v>0</v>
      </c>
      <c r="AW655" s="2709">
        <f t="shared" ca="1" si="1207"/>
        <v>0</v>
      </c>
      <c r="AX655" s="2710">
        <f t="shared" ca="1" si="1208"/>
        <v>0</v>
      </c>
      <c r="AY655" s="1928">
        <f ca="1">SUM(INDIRECT(AY$1&amp;AY$2&amp;$A655):INDIRECT(AY$1&amp;AY$3&amp;$A655))</f>
        <v>0</v>
      </c>
      <c r="AZ655" s="2709">
        <f t="shared" ca="1" si="1209"/>
        <v>0</v>
      </c>
      <c r="BA655" s="2710">
        <f t="shared" ca="1" si="1210"/>
        <v>0</v>
      </c>
      <c r="BC655" s="1928">
        <f ca="1">SUM((INDIRECT(BC$2&amp;(ROW())):INDIRECT(BC$3&amp;(ROW()))))</f>
        <v>0</v>
      </c>
      <c r="BD655" s="1928">
        <f ca="1">SUM(INDIRECT(BD$1&amp;BD$2&amp;$C655):INDIRECT(BD$1&amp;BD$3&amp;$C655))</f>
        <v>0</v>
      </c>
      <c r="BE655" s="2709">
        <f t="shared" ca="1" si="1211"/>
        <v>0</v>
      </c>
      <c r="BF655" s="2710">
        <f t="shared" ca="1" si="1212"/>
        <v>0</v>
      </c>
      <c r="BG655" s="1928">
        <f ca="1">SUM(INDIRECT(BG$1&amp;BG$2&amp;$A655):INDIRECT(BG$1&amp;BG$3&amp;$A655))</f>
        <v>0</v>
      </c>
      <c r="BH655" s="2709">
        <f t="shared" ca="1" si="1213"/>
        <v>0</v>
      </c>
      <c r="BI655" s="2710">
        <f t="shared" ca="1" si="1214"/>
        <v>0</v>
      </c>
    </row>
    <row r="656" spans="1:61" ht="14.5">
      <c r="A656" s="1693">
        <f t="shared" ref="A656:A719" si="1238">A655+1</f>
        <v>648</v>
      </c>
      <c r="B656" s="616">
        <v>1</v>
      </c>
      <c r="C656" s="1693">
        <f t="shared" si="1237"/>
        <v>656</v>
      </c>
      <c r="D656" s="616">
        <v>1</v>
      </c>
      <c r="F656" s="69"/>
      <c r="J656" s="352"/>
      <c r="K656" s="353"/>
      <c r="L656" s="63" t="s">
        <v>129</v>
      </c>
      <c r="M656" s="63"/>
      <c r="N656" s="303"/>
      <c r="O656" s="303"/>
      <c r="P656" s="303"/>
      <c r="Q656" s="583"/>
      <c r="R656" s="1802" t="str">
        <f>CHOOSE(2, "6722000003567", "S/GP (3) Net Sales Indirect")</f>
        <v>S/GP (3) Net Sales Indirect</v>
      </c>
      <c r="S656" s="1716">
        <f t="shared" ref="S656:AD656" si="1239">S657+S664</f>
        <v>0</v>
      </c>
      <c r="T656" s="1716">
        <f t="shared" si="1239"/>
        <v>0</v>
      </c>
      <c r="U656" s="1716">
        <f t="shared" si="1239"/>
        <v>0</v>
      </c>
      <c r="V656" s="1716">
        <f t="shared" si="1239"/>
        <v>0</v>
      </c>
      <c r="W656" s="1716">
        <f t="shared" si="1239"/>
        <v>0</v>
      </c>
      <c r="X656" s="1716">
        <f t="shared" si="1239"/>
        <v>0</v>
      </c>
      <c r="Y656" s="1716">
        <f t="shared" si="1239"/>
        <v>0</v>
      </c>
      <c r="Z656" s="1716">
        <f t="shared" si="1239"/>
        <v>0</v>
      </c>
      <c r="AA656" s="1716">
        <f t="shared" si="1239"/>
        <v>0</v>
      </c>
      <c r="AB656" s="1716">
        <f t="shared" si="1239"/>
        <v>0</v>
      </c>
      <c r="AC656" s="1716">
        <f t="shared" si="1239"/>
        <v>0</v>
      </c>
      <c r="AD656" s="1716">
        <f t="shared" si="1239"/>
        <v>0</v>
      </c>
      <c r="AE656" s="1717">
        <f t="shared" ref="AE656:AK656" si="1240">AE657+AE664</f>
        <v>0</v>
      </c>
      <c r="AF656" s="1718">
        <f t="shared" si="1240"/>
        <v>0</v>
      </c>
      <c r="AG656" s="1718">
        <f t="shared" si="1240"/>
        <v>0</v>
      </c>
      <c r="AH656" s="1718">
        <f t="shared" si="1240"/>
        <v>0</v>
      </c>
      <c r="AI656" s="1718">
        <f t="shared" si="1240"/>
        <v>0</v>
      </c>
      <c r="AJ656" s="1718">
        <f t="shared" si="1240"/>
        <v>0</v>
      </c>
      <c r="AK656" s="1718">
        <f t="shared" si="1240"/>
        <v>0</v>
      </c>
      <c r="AM656" s="2203">
        <f ca="1">SUM((INDIRECT(AM$2&amp;(ROW())):INDIRECT(AM$3&amp;(ROW()))))</f>
        <v>0</v>
      </c>
      <c r="AN656" s="2203">
        <f ca="1">SUM(INDIRECT(AN$1&amp;AN$2&amp;$C656):INDIRECT(AN$1&amp;AN$3&amp;$C656))</f>
        <v>0</v>
      </c>
      <c r="AO656" s="2916">
        <f t="shared" ca="1" si="1226"/>
        <v>0</v>
      </c>
      <c r="AP656" s="2917">
        <f t="shared" ca="1" si="1205"/>
        <v>0</v>
      </c>
      <c r="AQ656" s="2203">
        <f ca="1">SUM(INDIRECT(AQ$1&amp;AQ$2&amp;$A656):INDIRECT(AQ$1&amp;AQ$3&amp;$A656))</f>
        <v>0</v>
      </c>
      <c r="AR656" s="2916">
        <f t="shared" ca="1" si="1227"/>
        <v>0</v>
      </c>
      <c r="AS656" s="2917">
        <f t="shared" ca="1" si="1206"/>
        <v>0</v>
      </c>
      <c r="AU656" s="2203">
        <f ca="1">SUM((INDIRECT(AU$2&amp;(ROW())):INDIRECT(AU$3&amp;(ROW()))))</f>
        <v>0</v>
      </c>
      <c r="AV656" s="2203">
        <f ca="1">SUM(INDIRECT(AV$1&amp;AV$2&amp;$C656):INDIRECT(AV$1&amp;AV$3&amp;$C656))</f>
        <v>0</v>
      </c>
      <c r="AW656" s="2916">
        <f t="shared" ca="1" si="1207"/>
        <v>0</v>
      </c>
      <c r="AX656" s="2917">
        <f t="shared" ca="1" si="1208"/>
        <v>0</v>
      </c>
      <c r="AY656" s="2203">
        <f ca="1">SUM(INDIRECT(AY$1&amp;AY$2&amp;$A656):INDIRECT(AY$1&amp;AY$3&amp;$A656))</f>
        <v>0</v>
      </c>
      <c r="AZ656" s="2916">
        <f t="shared" ca="1" si="1209"/>
        <v>0</v>
      </c>
      <c r="BA656" s="2917">
        <f t="shared" ca="1" si="1210"/>
        <v>0</v>
      </c>
      <c r="BC656" s="2203">
        <f ca="1">SUM((INDIRECT(BC$2&amp;(ROW())):INDIRECT(BC$3&amp;(ROW()))))</f>
        <v>0</v>
      </c>
      <c r="BD656" s="2203">
        <f ca="1">SUM(INDIRECT(BD$1&amp;BD$2&amp;$C656):INDIRECT(BD$1&amp;BD$3&amp;$C656))</f>
        <v>0</v>
      </c>
      <c r="BE656" s="2916">
        <f t="shared" ca="1" si="1211"/>
        <v>0</v>
      </c>
      <c r="BF656" s="2917">
        <f t="shared" ca="1" si="1212"/>
        <v>0</v>
      </c>
      <c r="BG656" s="2203">
        <f ca="1">SUM(INDIRECT(BG$1&amp;BG$2&amp;$A656):INDIRECT(BG$1&amp;BG$3&amp;$A656))</f>
        <v>0</v>
      </c>
      <c r="BH656" s="2916">
        <f t="shared" ca="1" si="1213"/>
        <v>0</v>
      </c>
      <c r="BI656" s="2917">
        <f t="shared" ca="1" si="1214"/>
        <v>0</v>
      </c>
    </row>
    <row r="657" spans="1:61" ht="14.5">
      <c r="A657" s="1693">
        <f t="shared" si="1238"/>
        <v>649</v>
      </c>
      <c r="B657" s="616">
        <v>1</v>
      </c>
      <c r="C657" s="1693">
        <f t="shared" si="1237"/>
        <v>657</v>
      </c>
      <c r="D657" s="616">
        <v>1</v>
      </c>
      <c r="F657" s="69"/>
      <c r="J657" s="352"/>
      <c r="K657" s="353"/>
      <c r="L657" s="63"/>
      <c r="M657" s="63"/>
      <c r="N657" s="69" t="s">
        <v>187</v>
      </c>
      <c r="O657" s="302"/>
      <c r="P657" s="302"/>
      <c r="Q657" s="302"/>
      <c r="R657" s="1777" t="str">
        <f>CHOOSE(2, "6722000003568", "S/GP (3) Net Sales Indirect HW &amp; Solution")</f>
        <v>S/GP (3) Net Sales Indirect HW &amp; Solution</v>
      </c>
      <c r="S657" s="1248">
        <f t="shared" ref="S657:AD657" si="1241">SUM(S658:S663)</f>
        <v>0</v>
      </c>
      <c r="T657" s="1248">
        <f t="shared" si="1241"/>
        <v>0</v>
      </c>
      <c r="U657" s="1248">
        <f t="shared" si="1241"/>
        <v>0</v>
      </c>
      <c r="V657" s="1248">
        <f t="shared" si="1241"/>
        <v>0</v>
      </c>
      <c r="W657" s="1248">
        <f t="shared" si="1241"/>
        <v>0</v>
      </c>
      <c r="X657" s="1248">
        <f t="shared" si="1241"/>
        <v>0</v>
      </c>
      <c r="Y657" s="1248">
        <f t="shared" si="1241"/>
        <v>0</v>
      </c>
      <c r="Z657" s="1248">
        <f t="shared" si="1241"/>
        <v>0</v>
      </c>
      <c r="AA657" s="1248">
        <f t="shared" si="1241"/>
        <v>0</v>
      </c>
      <c r="AB657" s="1248">
        <f t="shared" si="1241"/>
        <v>0</v>
      </c>
      <c r="AC657" s="1248">
        <f t="shared" si="1241"/>
        <v>0</v>
      </c>
      <c r="AD657" s="1248">
        <f t="shared" si="1241"/>
        <v>0</v>
      </c>
      <c r="AE657" s="895">
        <f t="shared" ref="AE657:AK657" si="1242">SUM(AE658:AE663)</f>
        <v>0</v>
      </c>
      <c r="AF657" s="1248">
        <f t="shared" si="1242"/>
        <v>0</v>
      </c>
      <c r="AG657" s="1248">
        <f t="shared" si="1242"/>
        <v>0</v>
      </c>
      <c r="AH657" s="1248">
        <f t="shared" si="1242"/>
        <v>0</v>
      </c>
      <c r="AI657" s="1248">
        <f t="shared" si="1242"/>
        <v>0</v>
      </c>
      <c r="AJ657" s="1248">
        <f t="shared" si="1242"/>
        <v>0</v>
      </c>
      <c r="AK657" s="1248">
        <f t="shared" si="1242"/>
        <v>0</v>
      </c>
      <c r="AM657" s="2183">
        <f ca="1">SUM((INDIRECT(AM$2&amp;(ROW())):INDIRECT(AM$3&amp;(ROW()))))</f>
        <v>0</v>
      </c>
      <c r="AN657" s="2183">
        <f ca="1">SUM(INDIRECT(AN$1&amp;AN$2&amp;$C657):INDIRECT(AN$1&amp;AN$3&amp;$C657))</f>
        <v>0</v>
      </c>
      <c r="AO657" s="2875">
        <f t="shared" ca="1" si="1226"/>
        <v>0</v>
      </c>
      <c r="AP657" s="2876">
        <f t="shared" ca="1" si="1205"/>
        <v>0</v>
      </c>
      <c r="AQ657" s="2183">
        <f ca="1">SUM(INDIRECT(AQ$1&amp;AQ$2&amp;$A657):INDIRECT(AQ$1&amp;AQ$3&amp;$A657))</f>
        <v>0</v>
      </c>
      <c r="AR657" s="2875">
        <f t="shared" ca="1" si="1227"/>
        <v>0</v>
      </c>
      <c r="AS657" s="2876">
        <f t="shared" ca="1" si="1206"/>
        <v>0</v>
      </c>
      <c r="AU657" s="2183">
        <f ca="1">SUM((INDIRECT(AU$2&amp;(ROW())):INDIRECT(AU$3&amp;(ROW()))))</f>
        <v>0</v>
      </c>
      <c r="AV657" s="2183">
        <f ca="1">SUM(INDIRECT(AV$1&amp;AV$2&amp;$C657):INDIRECT(AV$1&amp;AV$3&amp;$C657))</f>
        <v>0</v>
      </c>
      <c r="AW657" s="2875">
        <f t="shared" ca="1" si="1207"/>
        <v>0</v>
      </c>
      <c r="AX657" s="2876">
        <f t="shared" ca="1" si="1208"/>
        <v>0</v>
      </c>
      <c r="AY657" s="2183">
        <f ca="1">SUM(INDIRECT(AY$1&amp;AY$2&amp;$A657):INDIRECT(AY$1&amp;AY$3&amp;$A657))</f>
        <v>0</v>
      </c>
      <c r="AZ657" s="2875">
        <f t="shared" ca="1" si="1209"/>
        <v>0</v>
      </c>
      <c r="BA657" s="2876">
        <f t="shared" ca="1" si="1210"/>
        <v>0</v>
      </c>
      <c r="BC657" s="2183">
        <f ca="1">SUM((INDIRECT(BC$2&amp;(ROW())):INDIRECT(BC$3&amp;(ROW()))))</f>
        <v>0</v>
      </c>
      <c r="BD657" s="2183">
        <f ca="1">SUM(INDIRECT(BD$1&amp;BD$2&amp;$C657):INDIRECT(BD$1&amp;BD$3&amp;$C657))</f>
        <v>0</v>
      </c>
      <c r="BE657" s="2875">
        <f t="shared" ca="1" si="1211"/>
        <v>0</v>
      </c>
      <c r="BF657" s="2876">
        <f t="shared" ca="1" si="1212"/>
        <v>0</v>
      </c>
      <c r="BG657" s="2183">
        <f ca="1">SUM(INDIRECT(BG$1&amp;BG$2&amp;$A657):INDIRECT(BG$1&amp;BG$3&amp;$A657))</f>
        <v>0</v>
      </c>
      <c r="BH657" s="2875">
        <f t="shared" ca="1" si="1213"/>
        <v>0</v>
      </c>
      <c r="BI657" s="2876">
        <f t="shared" ca="1" si="1214"/>
        <v>0</v>
      </c>
    </row>
    <row r="658" spans="1:61" ht="14.5">
      <c r="A658" s="1693">
        <f t="shared" si="1238"/>
        <v>650</v>
      </c>
      <c r="B658" s="616">
        <v>1</v>
      </c>
      <c r="C658" s="1693">
        <f t="shared" si="1237"/>
        <v>658</v>
      </c>
      <c r="D658" s="616">
        <v>1</v>
      </c>
      <c r="F658" s="69"/>
      <c r="J658" s="352"/>
      <c r="K658" s="353"/>
      <c r="L658" s="63"/>
      <c r="M658" s="63"/>
      <c r="N658" s="69"/>
      <c r="O658" s="740" t="s">
        <v>670</v>
      </c>
      <c r="P658" s="296"/>
      <c r="Q658" s="296"/>
      <c r="R658" s="1779" t="str">
        <f>CHOOSE(2, "6722000003569", "S/GP (3) Net Sales Indirect HW &amp; Solution KM-1/KM-1e")</f>
        <v>S/GP (3) Net Sales Indirect HW &amp; Solution KM-1/KM-1e</v>
      </c>
      <c r="S658" s="1227"/>
      <c r="T658" s="1227"/>
      <c r="U658" s="1227"/>
      <c r="V658" s="1227"/>
      <c r="W658" s="1227"/>
      <c r="X658" s="1227"/>
      <c r="Y658" s="1227"/>
      <c r="Z658" s="1227"/>
      <c r="AA658" s="1227"/>
      <c r="AB658" s="1227"/>
      <c r="AC658" s="1227"/>
      <c r="AD658" s="1227"/>
      <c r="AE658" s="295">
        <f t="shared" ref="AE658:AE663" si="1243">SUM(S658,T658,U658)</f>
        <v>0</v>
      </c>
      <c r="AF658" s="96">
        <f t="shared" ref="AF658:AF663" si="1244">SUM(V658,W658,X658)</f>
        <v>0</v>
      </c>
      <c r="AG658" s="96">
        <f t="shared" ref="AG658:AG663" si="1245">SUM(Y658,Z658,AA658)</f>
        <v>0</v>
      </c>
      <c r="AH658" s="96">
        <f t="shared" ref="AH658:AH663" si="1246">SUM(AB658,AC658,AD658)</f>
        <v>0</v>
      </c>
      <c r="AI658" s="96">
        <f t="shared" ref="AI658:AI663" si="1247">AE658+AF658</f>
        <v>0</v>
      </c>
      <c r="AJ658" s="96">
        <f t="shared" ref="AJ658:AJ663" si="1248">AH658+AG658</f>
        <v>0</v>
      </c>
      <c r="AK658" s="96">
        <f t="shared" ref="AK658:AK663" si="1249">AI658+AJ658</f>
        <v>0</v>
      </c>
      <c r="AM658" s="2161">
        <f ca="1">SUM((INDIRECT(AM$2&amp;(ROW())):INDIRECT(AM$3&amp;(ROW()))))</f>
        <v>0</v>
      </c>
      <c r="AN658" s="2161">
        <f ca="1">SUM(INDIRECT(AN$1&amp;AN$2&amp;$C658):INDIRECT(AN$1&amp;AN$3&amp;$C658))</f>
        <v>0</v>
      </c>
      <c r="AO658" s="2877">
        <f t="shared" ca="1" si="1226"/>
        <v>0</v>
      </c>
      <c r="AP658" s="2878">
        <f t="shared" ca="1" si="1205"/>
        <v>0</v>
      </c>
      <c r="AQ658" s="2161">
        <f ca="1">SUM(INDIRECT(AQ$1&amp;AQ$2&amp;$A658):INDIRECT(AQ$1&amp;AQ$3&amp;$A658))</f>
        <v>0</v>
      </c>
      <c r="AR658" s="2877">
        <f t="shared" ca="1" si="1227"/>
        <v>0</v>
      </c>
      <c r="AS658" s="2878">
        <f t="shared" ca="1" si="1206"/>
        <v>0</v>
      </c>
      <c r="AU658" s="2161">
        <f ca="1">SUM((INDIRECT(AU$2&amp;(ROW())):INDIRECT(AU$3&amp;(ROW()))))</f>
        <v>0</v>
      </c>
      <c r="AV658" s="2161">
        <f ca="1">SUM(INDIRECT(AV$1&amp;AV$2&amp;$C658):INDIRECT(AV$1&amp;AV$3&amp;$C658))</f>
        <v>0</v>
      </c>
      <c r="AW658" s="2877">
        <f t="shared" ca="1" si="1207"/>
        <v>0</v>
      </c>
      <c r="AX658" s="2878">
        <f t="shared" ca="1" si="1208"/>
        <v>0</v>
      </c>
      <c r="AY658" s="2161">
        <f ca="1">SUM(INDIRECT(AY$1&amp;AY$2&amp;$A658):INDIRECT(AY$1&amp;AY$3&amp;$A658))</f>
        <v>0</v>
      </c>
      <c r="AZ658" s="2877">
        <f t="shared" ca="1" si="1209"/>
        <v>0</v>
      </c>
      <c r="BA658" s="2878">
        <f t="shared" ca="1" si="1210"/>
        <v>0</v>
      </c>
      <c r="BC658" s="2161">
        <f ca="1">SUM((INDIRECT(BC$2&amp;(ROW())):INDIRECT(BC$3&amp;(ROW()))))</f>
        <v>0</v>
      </c>
      <c r="BD658" s="2161">
        <f ca="1">SUM(INDIRECT(BD$1&amp;BD$2&amp;$C658):INDIRECT(BD$1&amp;BD$3&amp;$C658))</f>
        <v>0</v>
      </c>
      <c r="BE658" s="2877">
        <f t="shared" ca="1" si="1211"/>
        <v>0</v>
      </c>
      <c r="BF658" s="2878">
        <f t="shared" ca="1" si="1212"/>
        <v>0</v>
      </c>
      <c r="BG658" s="2161">
        <f ca="1">SUM(INDIRECT(BG$1&amp;BG$2&amp;$A658):INDIRECT(BG$1&amp;BG$3&amp;$A658))</f>
        <v>0</v>
      </c>
      <c r="BH658" s="2877">
        <f t="shared" ca="1" si="1213"/>
        <v>0</v>
      </c>
      <c r="BI658" s="2878">
        <f t="shared" ca="1" si="1214"/>
        <v>0</v>
      </c>
    </row>
    <row r="659" spans="1:61" ht="14.5">
      <c r="A659" s="1693">
        <f t="shared" si="1238"/>
        <v>651</v>
      </c>
      <c r="B659" s="616">
        <v>1</v>
      </c>
      <c r="C659" s="1693">
        <f t="shared" si="1237"/>
        <v>659</v>
      </c>
      <c r="D659" s="616">
        <v>1</v>
      </c>
      <c r="F659" s="69"/>
      <c r="J659" s="352"/>
      <c r="K659" s="353"/>
      <c r="L659" s="63"/>
      <c r="M659" s="63"/>
      <c r="N659" s="69"/>
      <c r="O659" s="69" t="s">
        <v>117</v>
      </c>
      <c r="P659" s="69"/>
      <c r="Q659" s="69"/>
      <c r="R659" s="1779" t="str">
        <f>CHOOSE(2, "6722000003570", "S/GP (3) Net Sales Indirect HW &amp; Solution Label Printer")</f>
        <v>S/GP (3) Net Sales Indirect HW &amp; Solution Label Printer</v>
      </c>
      <c r="S659" s="1217"/>
      <c r="T659" s="1217"/>
      <c r="U659" s="1217"/>
      <c r="V659" s="1217"/>
      <c r="W659" s="1217"/>
      <c r="X659" s="1217"/>
      <c r="Y659" s="1217"/>
      <c r="Z659" s="1217"/>
      <c r="AA659" s="1217"/>
      <c r="AB659" s="1217"/>
      <c r="AC659" s="1217"/>
      <c r="AD659" s="1217"/>
      <c r="AE659" s="88">
        <f t="shared" si="1243"/>
        <v>0</v>
      </c>
      <c r="AF659" s="17">
        <f t="shared" si="1244"/>
        <v>0</v>
      </c>
      <c r="AG659" s="17">
        <f t="shared" si="1245"/>
        <v>0</v>
      </c>
      <c r="AH659" s="17">
        <f t="shared" si="1246"/>
        <v>0</v>
      </c>
      <c r="AI659" s="17">
        <f t="shared" si="1247"/>
        <v>0</v>
      </c>
      <c r="AJ659" s="17">
        <f t="shared" si="1248"/>
        <v>0</v>
      </c>
      <c r="AK659" s="17">
        <f t="shared" si="1249"/>
        <v>0</v>
      </c>
      <c r="AM659" s="1926">
        <f ca="1">SUM((INDIRECT(AM$2&amp;(ROW())):INDIRECT(AM$3&amp;(ROW()))))</f>
        <v>0</v>
      </c>
      <c r="AN659" s="1926">
        <f ca="1">SUM(INDIRECT(AN$1&amp;AN$2&amp;$C659):INDIRECT(AN$1&amp;AN$3&amp;$C659))</f>
        <v>0</v>
      </c>
      <c r="AO659" s="2707">
        <f t="shared" ca="1" si="1226"/>
        <v>0</v>
      </c>
      <c r="AP659" s="2708">
        <f t="shared" ca="1" si="1205"/>
        <v>0</v>
      </c>
      <c r="AQ659" s="1926">
        <f ca="1">SUM(INDIRECT(AQ$1&amp;AQ$2&amp;$A659):INDIRECT(AQ$1&amp;AQ$3&amp;$A659))</f>
        <v>0</v>
      </c>
      <c r="AR659" s="2707">
        <f t="shared" ca="1" si="1227"/>
        <v>0</v>
      </c>
      <c r="AS659" s="2708">
        <f t="shared" ca="1" si="1206"/>
        <v>0</v>
      </c>
      <c r="AU659" s="1926">
        <f ca="1">SUM((INDIRECT(AU$2&amp;(ROW())):INDIRECT(AU$3&amp;(ROW()))))</f>
        <v>0</v>
      </c>
      <c r="AV659" s="1926">
        <f ca="1">SUM(INDIRECT(AV$1&amp;AV$2&amp;$C659):INDIRECT(AV$1&amp;AV$3&amp;$C659))</f>
        <v>0</v>
      </c>
      <c r="AW659" s="2707">
        <f t="shared" ca="1" si="1207"/>
        <v>0</v>
      </c>
      <c r="AX659" s="2708">
        <f t="shared" ca="1" si="1208"/>
        <v>0</v>
      </c>
      <c r="AY659" s="1926">
        <f ca="1">SUM(INDIRECT(AY$1&amp;AY$2&amp;$A659):INDIRECT(AY$1&amp;AY$3&amp;$A659))</f>
        <v>0</v>
      </c>
      <c r="AZ659" s="2707">
        <f t="shared" ca="1" si="1209"/>
        <v>0</v>
      </c>
      <c r="BA659" s="2708">
        <f t="shared" ca="1" si="1210"/>
        <v>0</v>
      </c>
      <c r="BC659" s="1926">
        <f ca="1">SUM((INDIRECT(BC$2&amp;(ROW())):INDIRECT(BC$3&amp;(ROW()))))</f>
        <v>0</v>
      </c>
      <c r="BD659" s="1926">
        <f ca="1">SUM(INDIRECT(BD$1&amp;BD$2&amp;$C659):INDIRECT(BD$1&amp;BD$3&amp;$C659))</f>
        <v>0</v>
      </c>
      <c r="BE659" s="2707">
        <f t="shared" ca="1" si="1211"/>
        <v>0</v>
      </c>
      <c r="BF659" s="2708">
        <f t="shared" ca="1" si="1212"/>
        <v>0</v>
      </c>
      <c r="BG659" s="1926">
        <f ca="1">SUM(INDIRECT(BG$1&amp;BG$2&amp;$A659):INDIRECT(BG$1&amp;BG$3&amp;$A659))</f>
        <v>0</v>
      </c>
      <c r="BH659" s="2707">
        <f t="shared" ca="1" si="1213"/>
        <v>0</v>
      </c>
      <c r="BI659" s="2708">
        <f t="shared" ca="1" si="1214"/>
        <v>0</v>
      </c>
    </row>
    <row r="660" spans="1:61" ht="14.5">
      <c r="A660" s="1693">
        <f t="shared" si="1238"/>
        <v>652</v>
      </c>
      <c r="B660" s="616">
        <v>1</v>
      </c>
      <c r="C660" s="1693">
        <f t="shared" si="1237"/>
        <v>660</v>
      </c>
      <c r="D660" s="616">
        <v>1</v>
      </c>
      <c r="F660" s="69"/>
      <c r="J660" s="352"/>
      <c r="K660" s="353"/>
      <c r="L660" s="63"/>
      <c r="M660" s="63"/>
      <c r="N660" s="69"/>
      <c r="O660" s="69" t="s">
        <v>52</v>
      </c>
      <c r="P660" s="69"/>
      <c r="Q660" s="69"/>
      <c r="R660" s="1779" t="str">
        <f>CHOOSE(2, "6722000003571", "S/GP (3) Net Sales Indirect HW &amp; Solution MGI")</f>
        <v>S/GP (3) Net Sales Indirect HW &amp; Solution MGI</v>
      </c>
      <c r="S660" s="1217"/>
      <c r="T660" s="1217"/>
      <c r="U660" s="1217"/>
      <c r="V660" s="1217"/>
      <c r="W660" s="1217"/>
      <c r="X660" s="1217"/>
      <c r="Y660" s="1217"/>
      <c r="Z660" s="1217"/>
      <c r="AA660" s="1217"/>
      <c r="AB660" s="1217"/>
      <c r="AC660" s="1217"/>
      <c r="AD660" s="1217"/>
      <c r="AE660" s="88">
        <f t="shared" si="1243"/>
        <v>0</v>
      </c>
      <c r="AF660" s="17">
        <f t="shared" si="1244"/>
        <v>0</v>
      </c>
      <c r="AG660" s="17">
        <f t="shared" si="1245"/>
        <v>0</v>
      </c>
      <c r="AH660" s="17">
        <f t="shared" si="1246"/>
        <v>0</v>
      </c>
      <c r="AI660" s="17">
        <f t="shared" si="1247"/>
        <v>0</v>
      </c>
      <c r="AJ660" s="17">
        <f t="shared" si="1248"/>
        <v>0</v>
      </c>
      <c r="AK660" s="17">
        <f t="shared" si="1249"/>
        <v>0</v>
      </c>
      <c r="AM660" s="1926">
        <f ca="1">SUM((INDIRECT(AM$2&amp;(ROW())):INDIRECT(AM$3&amp;(ROW()))))</f>
        <v>0</v>
      </c>
      <c r="AN660" s="1926">
        <f ca="1">SUM(INDIRECT(AN$1&amp;AN$2&amp;$C660):INDIRECT(AN$1&amp;AN$3&amp;$C660))</f>
        <v>0</v>
      </c>
      <c r="AO660" s="2707">
        <f t="shared" ca="1" si="1226"/>
        <v>0</v>
      </c>
      <c r="AP660" s="2708">
        <f t="shared" ca="1" si="1205"/>
        <v>0</v>
      </c>
      <c r="AQ660" s="1926">
        <f ca="1">SUM(INDIRECT(AQ$1&amp;AQ$2&amp;$A660):INDIRECT(AQ$1&amp;AQ$3&amp;$A660))</f>
        <v>0</v>
      </c>
      <c r="AR660" s="2707">
        <f t="shared" ca="1" si="1227"/>
        <v>0</v>
      </c>
      <c r="AS660" s="2708">
        <f t="shared" ca="1" si="1206"/>
        <v>0</v>
      </c>
      <c r="AU660" s="1926">
        <f ca="1">SUM((INDIRECT(AU$2&amp;(ROW())):INDIRECT(AU$3&amp;(ROW()))))</f>
        <v>0</v>
      </c>
      <c r="AV660" s="1926">
        <f ca="1">SUM(INDIRECT(AV$1&amp;AV$2&amp;$C660):INDIRECT(AV$1&amp;AV$3&amp;$C660))</f>
        <v>0</v>
      </c>
      <c r="AW660" s="2707">
        <f t="shared" ca="1" si="1207"/>
        <v>0</v>
      </c>
      <c r="AX660" s="2708">
        <f t="shared" ca="1" si="1208"/>
        <v>0</v>
      </c>
      <c r="AY660" s="1926">
        <f ca="1">SUM(INDIRECT(AY$1&amp;AY$2&amp;$A660):INDIRECT(AY$1&amp;AY$3&amp;$A660))</f>
        <v>0</v>
      </c>
      <c r="AZ660" s="2707">
        <f t="shared" ca="1" si="1209"/>
        <v>0</v>
      </c>
      <c r="BA660" s="2708">
        <f t="shared" ca="1" si="1210"/>
        <v>0</v>
      </c>
      <c r="BC660" s="1926">
        <f ca="1">SUM((INDIRECT(BC$2&amp;(ROW())):INDIRECT(BC$3&amp;(ROW()))))</f>
        <v>0</v>
      </c>
      <c r="BD660" s="1926">
        <f ca="1">SUM(INDIRECT(BD$1&amp;BD$2&amp;$C660):INDIRECT(BD$1&amp;BD$3&amp;$C660))</f>
        <v>0</v>
      </c>
      <c r="BE660" s="2707">
        <f t="shared" ca="1" si="1211"/>
        <v>0</v>
      </c>
      <c r="BF660" s="2708">
        <f t="shared" ca="1" si="1212"/>
        <v>0</v>
      </c>
      <c r="BG660" s="1926">
        <f ca="1">SUM(INDIRECT(BG$1&amp;BG$2&amp;$A660):INDIRECT(BG$1&amp;BG$3&amp;$A660))</f>
        <v>0</v>
      </c>
      <c r="BH660" s="2707">
        <f t="shared" ca="1" si="1213"/>
        <v>0</v>
      </c>
      <c r="BI660" s="2708">
        <f t="shared" ca="1" si="1214"/>
        <v>0</v>
      </c>
    </row>
    <row r="661" spans="1:61" ht="14.5">
      <c r="A661" s="1693">
        <f t="shared" si="1238"/>
        <v>653</v>
      </c>
      <c r="B661" s="616">
        <v>1</v>
      </c>
      <c r="C661" s="1693">
        <f t="shared" si="1237"/>
        <v>661</v>
      </c>
      <c r="D661" s="616">
        <v>1</v>
      </c>
      <c r="F661" s="69"/>
      <c r="J661" s="352"/>
      <c r="K661" s="353"/>
      <c r="L661" s="63"/>
      <c r="M661" s="63"/>
      <c r="N661" s="69"/>
      <c r="O661" s="69" t="s">
        <v>118</v>
      </c>
      <c r="P661" s="69"/>
      <c r="Q661" s="69"/>
      <c r="R661" s="1779" t="str">
        <f>CHOOSE(2, "6722000003572", "S/GP (3) Net Sales Indirect HW &amp; Solution EFI/LF")</f>
        <v>S/GP (3) Net Sales Indirect HW &amp; Solution EFI/LF</v>
      </c>
      <c r="S661" s="1217"/>
      <c r="T661" s="1217"/>
      <c r="U661" s="1217"/>
      <c r="V661" s="1217"/>
      <c r="W661" s="1217"/>
      <c r="X661" s="1217"/>
      <c r="Y661" s="1217"/>
      <c r="Z661" s="1217"/>
      <c r="AA661" s="1217"/>
      <c r="AB661" s="1217"/>
      <c r="AC661" s="1217"/>
      <c r="AD661" s="1217"/>
      <c r="AE661" s="88">
        <f t="shared" si="1243"/>
        <v>0</v>
      </c>
      <c r="AF661" s="17">
        <f t="shared" si="1244"/>
        <v>0</v>
      </c>
      <c r="AG661" s="17">
        <f t="shared" si="1245"/>
        <v>0</v>
      </c>
      <c r="AH661" s="17">
        <f t="shared" si="1246"/>
        <v>0</v>
      </c>
      <c r="AI661" s="17">
        <f t="shared" si="1247"/>
        <v>0</v>
      </c>
      <c r="AJ661" s="17">
        <f t="shared" si="1248"/>
        <v>0</v>
      </c>
      <c r="AK661" s="17">
        <f t="shared" si="1249"/>
        <v>0</v>
      </c>
      <c r="AM661" s="1926">
        <f ca="1">SUM((INDIRECT(AM$2&amp;(ROW())):INDIRECT(AM$3&amp;(ROW()))))</f>
        <v>0</v>
      </c>
      <c r="AN661" s="1926">
        <f ca="1">SUM(INDIRECT(AN$1&amp;AN$2&amp;$C661):INDIRECT(AN$1&amp;AN$3&amp;$C661))</f>
        <v>0</v>
      </c>
      <c r="AO661" s="2707">
        <f t="shared" ca="1" si="1226"/>
        <v>0</v>
      </c>
      <c r="AP661" s="2708">
        <f t="shared" ca="1" si="1205"/>
        <v>0</v>
      </c>
      <c r="AQ661" s="1926">
        <f ca="1">SUM(INDIRECT(AQ$1&amp;AQ$2&amp;$A661):INDIRECT(AQ$1&amp;AQ$3&amp;$A661))</f>
        <v>0</v>
      </c>
      <c r="AR661" s="2707">
        <f t="shared" ca="1" si="1227"/>
        <v>0</v>
      </c>
      <c r="AS661" s="2708">
        <f t="shared" ca="1" si="1206"/>
        <v>0</v>
      </c>
      <c r="AU661" s="1926">
        <f ca="1">SUM((INDIRECT(AU$2&amp;(ROW())):INDIRECT(AU$3&amp;(ROW()))))</f>
        <v>0</v>
      </c>
      <c r="AV661" s="1926">
        <f ca="1">SUM(INDIRECT(AV$1&amp;AV$2&amp;$C661):INDIRECT(AV$1&amp;AV$3&amp;$C661))</f>
        <v>0</v>
      </c>
      <c r="AW661" s="2707">
        <f t="shared" ca="1" si="1207"/>
        <v>0</v>
      </c>
      <c r="AX661" s="2708">
        <f t="shared" ca="1" si="1208"/>
        <v>0</v>
      </c>
      <c r="AY661" s="1926">
        <f ca="1">SUM(INDIRECT(AY$1&amp;AY$2&amp;$A661):INDIRECT(AY$1&amp;AY$3&amp;$A661))</f>
        <v>0</v>
      </c>
      <c r="AZ661" s="2707">
        <f t="shared" ca="1" si="1209"/>
        <v>0</v>
      </c>
      <c r="BA661" s="2708">
        <f t="shared" ca="1" si="1210"/>
        <v>0</v>
      </c>
      <c r="BC661" s="1926">
        <f ca="1">SUM((INDIRECT(BC$2&amp;(ROW())):INDIRECT(BC$3&amp;(ROW()))))</f>
        <v>0</v>
      </c>
      <c r="BD661" s="1926">
        <f ca="1">SUM(INDIRECT(BD$1&amp;BD$2&amp;$C661):INDIRECT(BD$1&amp;BD$3&amp;$C661))</f>
        <v>0</v>
      </c>
      <c r="BE661" s="2707">
        <f t="shared" ca="1" si="1211"/>
        <v>0</v>
      </c>
      <c r="BF661" s="2708">
        <f t="shared" ca="1" si="1212"/>
        <v>0</v>
      </c>
      <c r="BG661" s="1926">
        <f ca="1">SUM(INDIRECT(BG$1&amp;BG$2&amp;$A661):INDIRECT(BG$1&amp;BG$3&amp;$A661))</f>
        <v>0</v>
      </c>
      <c r="BH661" s="2707">
        <f t="shared" ca="1" si="1213"/>
        <v>0</v>
      </c>
      <c r="BI661" s="2708">
        <f t="shared" ca="1" si="1214"/>
        <v>0</v>
      </c>
    </row>
    <row r="662" spans="1:61" ht="14.5">
      <c r="A662" s="1693">
        <f t="shared" si="1238"/>
        <v>654</v>
      </c>
      <c r="B662" s="616">
        <v>1</v>
      </c>
      <c r="C662" s="1693">
        <f t="shared" si="1237"/>
        <v>662</v>
      </c>
      <c r="D662" s="616">
        <v>1</v>
      </c>
      <c r="F662" s="69"/>
      <c r="J662" s="352"/>
      <c r="K662" s="353"/>
      <c r="L662" s="63"/>
      <c r="M662" s="63"/>
      <c r="N662" s="69"/>
      <c r="O662" s="69" t="s">
        <v>180</v>
      </c>
      <c r="P662" s="69"/>
      <c r="Q662" s="69"/>
      <c r="R662" s="1779" t="str">
        <f>CHOOSE(2, "6722000003573", "S/GP (3) Net Sales Indirect HW &amp; Solution Textile Printer")</f>
        <v>S/GP (3) Net Sales Indirect HW &amp; Solution Textile Printer</v>
      </c>
      <c r="S662" s="1217"/>
      <c r="T662" s="1217"/>
      <c r="U662" s="1217"/>
      <c r="V662" s="1217"/>
      <c r="W662" s="1217"/>
      <c r="X662" s="1217"/>
      <c r="Y662" s="1217"/>
      <c r="Z662" s="1217"/>
      <c r="AA662" s="1217"/>
      <c r="AB662" s="1217"/>
      <c r="AC662" s="1217"/>
      <c r="AD662" s="1217"/>
      <c r="AE662" s="88">
        <f t="shared" si="1243"/>
        <v>0</v>
      </c>
      <c r="AF662" s="17">
        <f t="shared" si="1244"/>
        <v>0</v>
      </c>
      <c r="AG662" s="17">
        <f t="shared" si="1245"/>
        <v>0</v>
      </c>
      <c r="AH662" s="17">
        <f t="shared" si="1246"/>
        <v>0</v>
      </c>
      <c r="AI662" s="17">
        <f t="shared" si="1247"/>
        <v>0</v>
      </c>
      <c r="AJ662" s="17">
        <f t="shared" si="1248"/>
        <v>0</v>
      </c>
      <c r="AK662" s="17">
        <f t="shared" si="1249"/>
        <v>0</v>
      </c>
      <c r="AM662" s="1926">
        <f ca="1">SUM((INDIRECT(AM$2&amp;(ROW())):INDIRECT(AM$3&amp;(ROW()))))</f>
        <v>0</v>
      </c>
      <c r="AN662" s="1926">
        <f ca="1">SUM(INDIRECT(AN$1&amp;AN$2&amp;$C662):INDIRECT(AN$1&amp;AN$3&amp;$C662))</f>
        <v>0</v>
      </c>
      <c r="AO662" s="2707">
        <f t="shared" ca="1" si="1226"/>
        <v>0</v>
      </c>
      <c r="AP662" s="2708">
        <f t="shared" ca="1" si="1205"/>
        <v>0</v>
      </c>
      <c r="AQ662" s="1926">
        <f ca="1">SUM(INDIRECT(AQ$1&amp;AQ$2&amp;$A662):INDIRECT(AQ$1&amp;AQ$3&amp;$A662))</f>
        <v>0</v>
      </c>
      <c r="AR662" s="2707">
        <f t="shared" ca="1" si="1227"/>
        <v>0</v>
      </c>
      <c r="AS662" s="2708">
        <f t="shared" ca="1" si="1206"/>
        <v>0</v>
      </c>
      <c r="AU662" s="1926">
        <f ca="1">SUM((INDIRECT(AU$2&amp;(ROW())):INDIRECT(AU$3&amp;(ROW()))))</f>
        <v>0</v>
      </c>
      <c r="AV662" s="1926">
        <f ca="1">SUM(INDIRECT(AV$1&amp;AV$2&amp;$C662):INDIRECT(AV$1&amp;AV$3&amp;$C662))</f>
        <v>0</v>
      </c>
      <c r="AW662" s="2707">
        <f t="shared" ca="1" si="1207"/>
        <v>0</v>
      </c>
      <c r="AX662" s="2708">
        <f t="shared" ca="1" si="1208"/>
        <v>0</v>
      </c>
      <c r="AY662" s="1926">
        <f ca="1">SUM(INDIRECT(AY$1&amp;AY$2&amp;$A662):INDIRECT(AY$1&amp;AY$3&amp;$A662))</f>
        <v>0</v>
      </c>
      <c r="AZ662" s="2707">
        <f t="shared" ca="1" si="1209"/>
        <v>0</v>
      </c>
      <c r="BA662" s="2708">
        <f t="shared" ca="1" si="1210"/>
        <v>0</v>
      </c>
      <c r="BC662" s="1926">
        <f ca="1">SUM((INDIRECT(BC$2&amp;(ROW())):INDIRECT(BC$3&amp;(ROW()))))</f>
        <v>0</v>
      </c>
      <c r="BD662" s="1926">
        <f ca="1">SUM(INDIRECT(BD$1&amp;BD$2&amp;$C662):INDIRECT(BD$1&amp;BD$3&amp;$C662))</f>
        <v>0</v>
      </c>
      <c r="BE662" s="2707">
        <f t="shared" ca="1" si="1211"/>
        <v>0</v>
      </c>
      <c r="BF662" s="2708">
        <f t="shared" ca="1" si="1212"/>
        <v>0</v>
      </c>
      <c r="BG662" s="1926">
        <f ca="1">SUM(INDIRECT(BG$1&amp;BG$2&amp;$A662):INDIRECT(BG$1&amp;BG$3&amp;$A662))</f>
        <v>0</v>
      </c>
      <c r="BH662" s="2707">
        <f t="shared" ca="1" si="1213"/>
        <v>0</v>
      </c>
      <c r="BI662" s="2708">
        <f t="shared" ca="1" si="1214"/>
        <v>0</v>
      </c>
    </row>
    <row r="663" spans="1:61" ht="14.5">
      <c r="A663" s="1693">
        <f t="shared" si="1238"/>
        <v>655</v>
      </c>
      <c r="B663" s="616">
        <v>1</v>
      </c>
      <c r="C663" s="1693">
        <f t="shared" si="1237"/>
        <v>663</v>
      </c>
      <c r="D663" s="616">
        <v>1</v>
      </c>
      <c r="F663" s="69"/>
      <c r="J663" s="352"/>
      <c r="K663" s="353"/>
      <c r="L663" s="63"/>
      <c r="M663" s="63"/>
      <c r="N663" s="69"/>
      <c r="O663" s="211" t="s">
        <v>51</v>
      </c>
      <c r="P663" s="211"/>
      <c r="Q663" s="211"/>
      <c r="R663" s="1779" t="str">
        <f>CHOOSE(2, "6722000003574", "S/GP (3) Net Sales Indirect HW &amp; Solution Others")</f>
        <v>S/GP (3) Net Sales Indirect HW &amp; Solution Others</v>
      </c>
      <c r="S663" s="1218"/>
      <c r="T663" s="1218"/>
      <c r="U663" s="1218"/>
      <c r="V663" s="1218"/>
      <c r="W663" s="1218"/>
      <c r="X663" s="1218"/>
      <c r="Y663" s="1218"/>
      <c r="Z663" s="1218"/>
      <c r="AA663" s="1218"/>
      <c r="AB663" s="1218"/>
      <c r="AC663" s="1218"/>
      <c r="AD663" s="1218"/>
      <c r="AE663" s="87">
        <f t="shared" si="1243"/>
        <v>0</v>
      </c>
      <c r="AF663" s="15">
        <f t="shared" si="1244"/>
        <v>0</v>
      </c>
      <c r="AG663" s="15">
        <f t="shared" si="1245"/>
        <v>0</v>
      </c>
      <c r="AH663" s="15">
        <f t="shared" si="1246"/>
        <v>0</v>
      </c>
      <c r="AI663" s="15">
        <f t="shared" si="1247"/>
        <v>0</v>
      </c>
      <c r="AJ663" s="15">
        <f t="shared" si="1248"/>
        <v>0</v>
      </c>
      <c r="AK663" s="15">
        <f t="shared" si="1249"/>
        <v>0</v>
      </c>
      <c r="AM663" s="1928">
        <f ca="1">SUM((INDIRECT(AM$2&amp;(ROW())):INDIRECT(AM$3&amp;(ROW()))))</f>
        <v>0</v>
      </c>
      <c r="AN663" s="1928">
        <f ca="1">SUM(INDIRECT(AN$1&amp;AN$2&amp;$C663):INDIRECT(AN$1&amp;AN$3&amp;$C663))</f>
        <v>0</v>
      </c>
      <c r="AO663" s="2709">
        <f t="shared" ca="1" si="1226"/>
        <v>0</v>
      </c>
      <c r="AP663" s="2710">
        <f t="shared" ca="1" si="1205"/>
        <v>0</v>
      </c>
      <c r="AQ663" s="1928">
        <f ca="1">SUM(INDIRECT(AQ$1&amp;AQ$2&amp;$A663):INDIRECT(AQ$1&amp;AQ$3&amp;$A663))</f>
        <v>0</v>
      </c>
      <c r="AR663" s="2709">
        <f t="shared" ca="1" si="1227"/>
        <v>0</v>
      </c>
      <c r="AS663" s="2710">
        <f t="shared" ca="1" si="1206"/>
        <v>0</v>
      </c>
      <c r="AU663" s="1928">
        <f ca="1">SUM((INDIRECT(AU$2&amp;(ROW())):INDIRECT(AU$3&amp;(ROW()))))</f>
        <v>0</v>
      </c>
      <c r="AV663" s="1928">
        <f ca="1">SUM(INDIRECT(AV$1&amp;AV$2&amp;$C663):INDIRECT(AV$1&amp;AV$3&amp;$C663))</f>
        <v>0</v>
      </c>
      <c r="AW663" s="2709">
        <f t="shared" ca="1" si="1207"/>
        <v>0</v>
      </c>
      <c r="AX663" s="2710">
        <f t="shared" ca="1" si="1208"/>
        <v>0</v>
      </c>
      <c r="AY663" s="1928">
        <f ca="1">SUM(INDIRECT(AY$1&amp;AY$2&amp;$A663):INDIRECT(AY$1&amp;AY$3&amp;$A663))</f>
        <v>0</v>
      </c>
      <c r="AZ663" s="2709">
        <f t="shared" ca="1" si="1209"/>
        <v>0</v>
      </c>
      <c r="BA663" s="2710">
        <f t="shared" ca="1" si="1210"/>
        <v>0</v>
      </c>
      <c r="BC663" s="1928">
        <f ca="1">SUM((INDIRECT(BC$2&amp;(ROW())):INDIRECT(BC$3&amp;(ROW()))))</f>
        <v>0</v>
      </c>
      <c r="BD663" s="1928">
        <f ca="1">SUM(INDIRECT(BD$1&amp;BD$2&amp;$C663):INDIRECT(BD$1&amp;BD$3&amp;$C663))</f>
        <v>0</v>
      </c>
      <c r="BE663" s="2709">
        <f t="shared" ca="1" si="1211"/>
        <v>0</v>
      </c>
      <c r="BF663" s="2710">
        <f t="shared" ca="1" si="1212"/>
        <v>0</v>
      </c>
      <c r="BG663" s="1928">
        <f ca="1">SUM(INDIRECT(BG$1&amp;BG$2&amp;$A663):INDIRECT(BG$1&amp;BG$3&amp;$A663))</f>
        <v>0</v>
      </c>
      <c r="BH663" s="2709">
        <f t="shared" ca="1" si="1213"/>
        <v>0</v>
      </c>
      <c r="BI663" s="2710">
        <f t="shared" ca="1" si="1214"/>
        <v>0</v>
      </c>
    </row>
    <row r="664" spans="1:61" ht="14.5">
      <c r="A664" s="1693">
        <f t="shared" si="1238"/>
        <v>656</v>
      </c>
      <c r="B664" s="616">
        <v>1</v>
      </c>
      <c r="C664" s="1693">
        <f t="shared" si="1237"/>
        <v>664</v>
      </c>
      <c r="D664" s="616">
        <v>1</v>
      </c>
      <c r="F664" s="69"/>
      <c r="J664" s="352"/>
      <c r="K664" s="353"/>
      <c r="L664" s="63"/>
      <c r="M664" s="63"/>
      <c r="N664" s="218" t="s">
        <v>189</v>
      </c>
      <c r="O664" s="302"/>
      <c r="P664" s="302"/>
      <c r="Q664" s="302"/>
      <c r="R664" s="1777" t="str">
        <f>CHOOSE(2, "6722000003575", "S/GP (3) Net Sales Indirect NH")</f>
        <v>S/GP (3) Net Sales Indirect NH</v>
      </c>
      <c r="S664" s="1248">
        <f t="shared" ref="S664:AD664" si="1250">SUM(S665:S670)</f>
        <v>0</v>
      </c>
      <c r="T664" s="1248">
        <f t="shared" si="1250"/>
        <v>0</v>
      </c>
      <c r="U664" s="1248">
        <f t="shared" si="1250"/>
        <v>0</v>
      </c>
      <c r="V664" s="1248">
        <f t="shared" si="1250"/>
        <v>0</v>
      </c>
      <c r="W664" s="1248">
        <f t="shared" si="1250"/>
        <v>0</v>
      </c>
      <c r="X664" s="1248">
        <f t="shared" si="1250"/>
        <v>0</v>
      </c>
      <c r="Y664" s="1248">
        <f t="shared" si="1250"/>
        <v>0</v>
      </c>
      <c r="Z664" s="1248">
        <f t="shared" si="1250"/>
        <v>0</v>
      </c>
      <c r="AA664" s="1248">
        <f t="shared" si="1250"/>
        <v>0</v>
      </c>
      <c r="AB664" s="1248">
        <f t="shared" si="1250"/>
        <v>0</v>
      </c>
      <c r="AC664" s="1248">
        <f t="shared" si="1250"/>
        <v>0</v>
      </c>
      <c r="AD664" s="1248">
        <f t="shared" si="1250"/>
        <v>0</v>
      </c>
      <c r="AE664" s="895">
        <f t="shared" ref="AE664:AK664" si="1251">SUM(AE665:AE670)</f>
        <v>0</v>
      </c>
      <c r="AF664" s="1248">
        <f t="shared" si="1251"/>
        <v>0</v>
      </c>
      <c r="AG664" s="1248">
        <f t="shared" si="1251"/>
        <v>0</v>
      </c>
      <c r="AH664" s="1248">
        <f t="shared" si="1251"/>
        <v>0</v>
      </c>
      <c r="AI664" s="1248">
        <f t="shared" si="1251"/>
        <v>0</v>
      </c>
      <c r="AJ664" s="1248">
        <f t="shared" si="1251"/>
        <v>0</v>
      </c>
      <c r="AK664" s="1248">
        <f t="shared" si="1251"/>
        <v>0</v>
      </c>
      <c r="AM664" s="2183">
        <f ca="1">SUM((INDIRECT(AM$2&amp;(ROW())):INDIRECT(AM$3&amp;(ROW()))))</f>
        <v>0</v>
      </c>
      <c r="AN664" s="2183">
        <f ca="1">SUM(INDIRECT(AN$1&amp;AN$2&amp;$C664):INDIRECT(AN$1&amp;AN$3&amp;$C664))</f>
        <v>0</v>
      </c>
      <c r="AO664" s="2875">
        <f t="shared" ca="1" si="1226"/>
        <v>0</v>
      </c>
      <c r="AP664" s="2876">
        <f t="shared" ca="1" si="1205"/>
        <v>0</v>
      </c>
      <c r="AQ664" s="2183">
        <f ca="1">SUM(INDIRECT(AQ$1&amp;AQ$2&amp;$A664):INDIRECT(AQ$1&amp;AQ$3&amp;$A664))</f>
        <v>0</v>
      </c>
      <c r="AR664" s="2875">
        <f t="shared" ca="1" si="1227"/>
        <v>0</v>
      </c>
      <c r="AS664" s="2876">
        <f t="shared" ca="1" si="1206"/>
        <v>0</v>
      </c>
      <c r="AU664" s="2183">
        <f ca="1">SUM((INDIRECT(AU$2&amp;(ROW())):INDIRECT(AU$3&amp;(ROW()))))</f>
        <v>0</v>
      </c>
      <c r="AV664" s="2183">
        <f ca="1">SUM(INDIRECT(AV$1&amp;AV$2&amp;$C664):INDIRECT(AV$1&amp;AV$3&amp;$C664))</f>
        <v>0</v>
      </c>
      <c r="AW664" s="2875">
        <f t="shared" ca="1" si="1207"/>
        <v>0</v>
      </c>
      <c r="AX664" s="2876">
        <f t="shared" ca="1" si="1208"/>
        <v>0</v>
      </c>
      <c r="AY664" s="2183">
        <f ca="1">SUM(INDIRECT(AY$1&amp;AY$2&amp;$A664):INDIRECT(AY$1&amp;AY$3&amp;$A664))</f>
        <v>0</v>
      </c>
      <c r="AZ664" s="2875">
        <f t="shared" ca="1" si="1209"/>
        <v>0</v>
      </c>
      <c r="BA664" s="2876">
        <f t="shared" ca="1" si="1210"/>
        <v>0</v>
      </c>
      <c r="BC664" s="2183">
        <f ca="1">SUM((INDIRECT(BC$2&amp;(ROW())):INDIRECT(BC$3&amp;(ROW()))))</f>
        <v>0</v>
      </c>
      <c r="BD664" s="2183">
        <f ca="1">SUM(INDIRECT(BD$1&amp;BD$2&amp;$C664):INDIRECT(BD$1&amp;BD$3&amp;$C664))</f>
        <v>0</v>
      </c>
      <c r="BE664" s="2875">
        <f t="shared" ca="1" si="1211"/>
        <v>0</v>
      </c>
      <c r="BF664" s="2876">
        <f t="shared" ca="1" si="1212"/>
        <v>0</v>
      </c>
      <c r="BG664" s="2183">
        <f ca="1">SUM(INDIRECT(BG$1&amp;BG$2&amp;$A664):INDIRECT(BG$1&amp;BG$3&amp;$A664))</f>
        <v>0</v>
      </c>
      <c r="BH664" s="2875">
        <f t="shared" ca="1" si="1213"/>
        <v>0</v>
      </c>
      <c r="BI664" s="2876">
        <f t="shared" ca="1" si="1214"/>
        <v>0</v>
      </c>
    </row>
    <row r="665" spans="1:61" ht="14.5">
      <c r="A665" s="1693">
        <f t="shared" si="1238"/>
        <v>657</v>
      </c>
      <c r="B665" s="616">
        <v>1</v>
      </c>
      <c r="C665" s="1693">
        <f t="shared" si="1237"/>
        <v>665</v>
      </c>
      <c r="D665" s="616">
        <v>1</v>
      </c>
      <c r="F665" s="69"/>
      <c r="J665" s="352"/>
      <c r="K665" s="353"/>
      <c r="L665" s="63"/>
      <c r="M665" s="63"/>
      <c r="N665" s="69"/>
      <c r="O665" s="740" t="s">
        <v>670</v>
      </c>
      <c r="P665" s="296"/>
      <c r="Q665" s="296"/>
      <c r="R665" s="1779" t="str">
        <f>CHOOSE(2, "6722000003576", "S/GP (3) Net Sales Indirect NH KM-1/KM-1e")</f>
        <v>S/GP (3) Net Sales Indirect NH KM-1/KM-1e</v>
      </c>
      <c r="S665" s="1227"/>
      <c r="T665" s="1227"/>
      <c r="U665" s="1227"/>
      <c r="V665" s="1227"/>
      <c r="W665" s="1227"/>
      <c r="X665" s="1227"/>
      <c r="Y665" s="1227"/>
      <c r="Z665" s="1227"/>
      <c r="AA665" s="1227"/>
      <c r="AB665" s="1227"/>
      <c r="AC665" s="1227"/>
      <c r="AD665" s="1227"/>
      <c r="AE665" s="295">
        <f t="shared" ref="AE665:AE670" si="1252">SUM(S665,T665,U665)</f>
        <v>0</v>
      </c>
      <c r="AF665" s="96">
        <f t="shared" ref="AF665:AF670" si="1253">SUM(V665,W665,X665)</f>
        <v>0</v>
      </c>
      <c r="AG665" s="96">
        <f t="shared" ref="AG665:AG670" si="1254">SUM(Y665,Z665,AA665)</f>
        <v>0</v>
      </c>
      <c r="AH665" s="96">
        <f t="shared" ref="AH665:AH670" si="1255">SUM(AB665,AC665,AD665)</f>
        <v>0</v>
      </c>
      <c r="AI665" s="96">
        <f t="shared" ref="AI665:AI670" si="1256">AE665+AF665</f>
        <v>0</v>
      </c>
      <c r="AJ665" s="96">
        <f t="shared" ref="AJ665:AJ670" si="1257">AH665+AG665</f>
        <v>0</v>
      </c>
      <c r="AK665" s="96">
        <f t="shared" ref="AK665:AK670" si="1258">AI665+AJ665</f>
        <v>0</v>
      </c>
      <c r="AM665" s="2161">
        <f ca="1">SUM((INDIRECT(AM$2&amp;(ROW())):INDIRECT(AM$3&amp;(ROW()))))</f>
        <v>0</v>
      </c>
      <c r="AN665" s="2161">
        <f ca="1">SUM(INDIRECT(AN$1&amp;AN$2&amp;$C665):INDIRECT(AN$1&amp;AN$3&amp;$C665))</f>
        <v>0</v>
      </c>
      <c r="AO665" s="2877">
        <f t="shared" ca="1" si="1226"/>
        <v>0</v>
      </c>
      <c r="AP665" s="2878">
        <f t="shared" ca="1" si="1205"/>
        <v>0</v>
      </c>
      <c r="AQ665" s="2161">
        <f ca="1">SUM(INDIRECT(AQ$1&amp;AQ$2&amp;$A665):INDIRECT(AQ$1&amp;AQ$3&amp;$A665))</f>
        <v>0</v>
      </c>
      <c r="AR665" s="2877">
        <f t="shared" ca="1" si="1227"/>
        <v>0</v>
      </c>
      <c r="AS665" s="2878">
        <f t="shared" ca="1" si="1206"/>
        <v>0</v>
      </c>
      <c r="AU665" s="2161">
        <f ca="1">SUM((INDIRECT(AU$2&amp;(ROW())):INDIRECT(AU$3&amp;(ROW()))))</f>
        <v>0</v>
      </c>
      <c r="AV665" s="2161">
        <f ca="1">SUM(INDIRECT(AV$1&amp;AV$2&amp;$C665):INDIRECT(AV$1&amp;AV$3&amp;$C665))</f>
        <v>0</v>
      </c>
      <c r="AW665" s="2877">
        <f t="shared" ca="1" si="1207"/>
        <v>0</v>
      </c>
      <c r="AX665" s="2878">
        <f t="shared" ca="1" si="1208"/>
        <v>0</v>
      </c>
      <c r="AY665" s="2161">
        <f ca="1">SUM(INDIRECT(AY$1&amp;AY$2&amp;$A665):INDIRECT(AY$1&amp;AY$3&amp;$A665))</f>
        <v>0</v>
      </c>
      <c r="AZ665" s="2877">
        <f t="shared" ca="1" si="1209"/>
        <v>0</v>
      </c>
      <c r="BA665" s="2878">
        <f t="shared" ca="1" si="1210"/>
        <v>0</v>
      </c>
      <c r="BC665" s="2161">
        <f ca="1">SUM((INDIRECT(BC$2&amp;(ROW())):INDIRECT(BC$3&amp;(ROW()))))</f>
        <v>0</v>
      </c>
      <c r="BD665" s="2161">
        <f ca="1">SUM(INDIRECT(BD$1&amp;BD$2&amp;$C665):INDIRECT(BD$1&amp;BD$3&amp;$C665))</f>
        <v>0</v>
      </c>
      <c r="BE665" s="2877">
        <f t="shared" ca="1" si="1211"/>
        <v>0</v>
      </c>
      <c r="BF665" s="2878">
        <f t="shared" ca="1" si="1212"/>
        <v>0</v>
      </c>
      <c r="BG665" s="2161">
        <f ca="1">SUM(INDIRECT(BG$1&amp;BG$2&amp;$A665):INDIRECT(BG$1&amp;BG$3&amp;$A665))</f>
        <v>0</v>
      </c>
      <c r="BH665" s="2877">
        <f t="shared" ca="1" si="1213"/>
        <v>0</v>
      </c>
      <c r="BI665" s="2878">
        <f t="shared" ca="1" si="1214"/>
        <v>0</v>
      </c>
    </row>
    <row r="666" spans="1:61" ht="14.5">
      <c r="A666" s="1693">
        <f t="shared" si="1238"/>
        <v>658</v>
      </c>
      <c r="B666" s="616">
        <v>1</v>
      </c>
      <c r="C666" s="1693">
        <f t="shared" si="1237"/>
        <v>666</v>
      </c>
      <c r="D666" s="616">
        <v>1</v>
      </c>
      <c r="F666" s="69"/>
      <c r="J666" s="352"/>
      <c r="K666" s="353"/>
      <c r="L666" s="63"/>
      <c r="M666" s="63"/>
      <c r="N666" s="69"/>
      <c r="O666" s="69" t="s">
        <v>117</v>
      </c>
      <c r="P666" s="69"/>
      <c r="Q666" s="69"/>
      <c r="R666" s="1779" t="str">
        <f>CHOOSE(2, "6722000003577", "S/GP (3) Net Sales Indirect NH Label Printer")</f>
        <v>S/GP (3) Net Sales Indirect NH Label Printer</v>
      </c>
      <c r="S666" s="1217"/>
      <c r="T666" s="1217"/>
      <c r="U666" s="1217"/>
      <c r="V666" s="1217"/>
      <c r="W666" s="1217"/>
      <c r="X666" s="1217"/>
      <c r="Y666" s="1217"/>
      <c r="Z666" s="1217"/>
      <c r="AA666" s="1217"/>
      <c r="AB666" s="1217"/>
      <c r="AC666" s="1217"/>
      <c r="AD666" s="1217"/>
      <c r="AE666" s="88">
        <f t="shared" si="1252"/>
        <v>0</v>
      </c>
      <c r="AF666" s="17">
        <f t="shared" si="1253"/>
        <v>0</v>
      </c>
      <c r="AG666" s="17">
        <f t="shared" si="1254"/>
        <v>0</v>
      </c>
      <c r="AH666" s="17">
        <f t="shared" si="1255"/>
        <v>0</v>
      </c>
      <c r="AI666" s="17">
        <f t="shared" si="1256"/>
        <v>0</v>
      </c>
      <c r="AJ666" s="17">
        <f t="shared" si="1257"/>
        <v>0</v>
      </c>
      <c r="AK666" s="17">
        <f t="shared" si="1258"/>
        <v>0</v>
      </c>
      <c r="AM666" s="1926">
        <f ca="1">SUM((INDIRECT(AM$2&amp;(ROW())):INDIRECT(AM$3&amp;(ROW()))))</f>
        <v>0</v>
      </c>
      <c r="AN666" s="1926">
        <f ca="1">SUM(INDIRECT(AN$1&amp;AN$2&amp;$C666):INDIRECT(AN$1&amp;AN$3&amp;$C666))</f>
        <v>0</v>
      </c>
      <c r="AO666" s="2707">
        <f t="shared" ca="1" si="1226"/>
        <v>0</v>
      </c>
      <c r="AP666" s="2708">
        <f t="shared" ca="1" si="1205"/>
        <v>0</v>
      </c>
      <c r="AQ666" s="1926">
        <f ca="1">SUM(INDIRECT(AQ$1&amp;AQ$2&amp;$A666):INDIRECT(AQ$1&amp;AQ$3&amp;$A666))</f>
        <v>0</v>
      </c>
      <c r="AR666" s="2707">
        <f t="shared" ca="1" si="1227"/>
        <v>0</v>
      </c>
      <c r="AS666" s="2708">
        <f t="shared" ca="1" si="1206"/>
        <v>0</v>
      </c>
      <c r="AU666" s="1926">
        <f ca="1">SUM((INDIRECT(AU$2&amp;(ROW())):INDIRECT(AU$3&amp;(ROW()))))</f>
        <v>0</v>
      </c>
      <c r="AV666" s="1926">
        <f ca="1">SUM(INDIRECT(AV$1&amp;AV$2&amp;$C666):INDIRECT(AV$1&amp;AV$3&amp;$C666))</f>
        <v>0</v>
      </c>
      <c r="AW666" s="2707">
        <f t="shared" ca="1" si="1207"/>
        <v>0</v>
      </c>
      <c r="AX666" s="2708">
        <f t="shared" ca="1" si="1208"/>
        <v>0</v>
      </c>
      <c r="AY666" s="1926">
        <f ca="1">SUM(INDIRECT(AY$1&amp;AY$2&amp;$A666):INDIRECT(AY$1&amp;AY$3&amp;$A666))</f>
        <v>0</v>
      </c>
      <c r="AZ666" s="2707">
        <f t="shared" ca="1" si="1209"/>
        <v>0</v>
      </c>
      <c r="BA666" s="2708">
        <f t="shared" ca="1" si="1210"/>
        <v>0</v>
      </c>
      <c r="BC666" s="1926">
        <f ca="1">SUM((INDIRECT(BC$2&amp;(ROW())):INDIRECT(BC$3&amp;(ROW()))))</f>
        <v>0</v>
      </c>
      <c r="BD666" s="1926">
        <f ca="1">SUM(INDIRECT(BD$1&amp;BD$2&amp;$C666):INDIRECT(BD$1&amp;BD$3&amp;$C666))</f>
        <v>0</v>
      </c>
      <c r="BE666" s="2707">
        <f t="shared" ca="1" si="1211"/>
        <v>0</v>
      </c>
      <c r="BF666" s="2708">
        <f t="shared" ca="1" si="1212"/>
        <v>0</v>
      </c>
      <c r="BG666" s="1926">
        <f ca="1">SUM(INDIRECT(BG$1&amp;BG$2&amp;$A666):INDIRECT(BG$1&amp;BG$3&amp;$A666))</f>
        <v>0</v>
      </c>
      <c r="BH666" s="2707">
        <f t="shared" ca="1" si="1213"/>
        <v>0</v>
      </c>
      <c r="BI666" s="2708">
        <f t="shared" ca="1" si="1214"/>
        <v>0</v>
      </c>
    </row>
    <row r="667" spans="1:61" ht="14.5">
      <c r="A667" s="1693">
        <f t="shared" si="1238"/>
        <v>659</v>
      </c>
      <c r="B667" s="616">
        <v>1</v>
      </c>
      <c r="C667" s="1693">
        <f t="shared" si="1237"/>
        <v>667</v>
      </c>
      <c r="D667" s="616">
        <v>1</v>
      </c>
      <c r="F667" s="69"/>
      <c r="J667" s="352"/>
      <c r="K667" s="353"/>
      <c r="L667" s="63"/>
      <c r="M667" s="63"/>
      <c r="N667" s="69"/>
      <c r="O667" s="69" t="s">
        <v>52</v>
      </c>
      <c r="P667" s="69"/>
      <c r="Q667" s="69"/>
      <c r="R667" s="1779" t="str">
        <f>CHOOSE(2, "6722000003578", "S/GP (3) Net Sales Indirect NH MGI")</f>
        <v>S/GP (3) Net Sales Indirect NH MGI</v>
      </c>
      <c r="S667" s="1217"/>
      <c r="T667" s="1217"/>
      <c r="U667" s="1217"/>
      <c r="V667" s="1217"/>
      <c r="W667" s="1217"/>
      <c r="X667" s="1217"/>
      <c r="Y667" s="1217"/>
      <c r="Z667" s="1217"/>
      <c r="AA667" s="1217"/>
      <c r="AB667" s="1217"/>
      <c r="AC667" s="1217"/>
      <c r="AD667" s="1217"/>
      <c r="AE667" s="88">
        <f t="shared" si="1252"/>
        <v>0</v>
      </c>
      <c r="AF667" s="17">
        <f t="shared" si="1253"/>
        <v>0</v>
      </c>
      <c r="AG667" s="17">
        <f t="shared" si="1254"/>
        <v>0</v>
      </c>
      <c r="AH667" s="17">
        <f t="shared" si="1255"/>
        <v>0</v>
      </c>
      <c r="AI667" s="17">
        <f t="shared" si="1256"/>
        <v>0</v>
      </c>
      <c r="AJ667" s="17">
        <f t="shared" si="1257"/>
        <v>0</v>
      </c>
      <c r="AK667" s="17">
        <f t="shared" si="1258"/>
        <v>0</v>
      </c>
      <c r="AM667" s="1926">
        <f ca="1">SUM((INDIRECT(AM$2&amp;(ROW())):INDIRECT(AM$3&amp;(ROW()))))</f>
        <v>0</v>
      </c>
      <c r="AN667" s="1926">
        <f ca="1">SUM(INDIRECT(AN$1&amp;AN$2&amp;$C667):INDIRECT(AN$1&amp;AN$3&amp;$C667))</f>
        <v>0</v>
      </c>
      <c r="AO667" s="2707">
        <f t="shared" ca="1" si="1226"/>
        <v>0</v>
      </c>
      <c r="AP667" s="2708">
        <f t="shared" ca="1" si="1205"/>
        <v>0</v>
      </c>
      <c r="AQ667" s="1926">
        <f ca="1">SUM(INDIRECT(AQ$1&amp;AQ$2&amp;$A667):INDIRECT(AQ$1&amp;AQ$3&amp;$A667))</f>
        <v>0</v>
      </c>
      <c r="AR667" s="2707">
        <f t="shared" ca="1" si="1227"/>
        <v>0</v>
      </c>
      <c r="AS667" s="2708">
        <f t="shared" ca="1" si="1206"/>
        <v>0</v>
      </c>
      <c r="AU667" s="1926">
        <f ca="1">SUM((INDIRECT(AU$2&amp;(ROW())):INDIRECT(AU$3&amp;(ROW()))))</f>
        <v>0</v>
      </c>
      <c r="AV667" s="1926">
        <f ca="1">SUM(INDIRECT(AV$1&amp;AV$2&amp;$C667):INDIRECT(AV$1&amp;AV$3&amp;$C667))</f>
        <v>0</v>
      </c>
      <c r="AW667" s="2707">
        <f t="shared" ca="1" si="1207"/>
        <v>0</v>
      </c>
      <c r="AX667" s="2708">
        <f t="shared" ca="1" si="1208"/>
        <v>0</v>
      </c>
      <c r="AY667" s="1926">
        <f ca="1">SUM(INDIRECT(AY$1&amp;AY$2&amp;$A667):INDIRECT(AY$1&amp;AY$3&amp;$A667))</f>
        <v>0</v>
      </c>
      <c r="AZ667" s="2707">
        <f t="shared" ca="1" si="1209"/>
        <v>0</v>
      </c>
      <c r="BA667" s="2708">
        <f t="shared" ca="1" si="1210"/>
        <v>0</v>
      </c>
      <c r="BC667" s="1926">
        <f ca="1">SUM((INDIRECT(BC$2&amp;(ROW())):INDIRECT(BC$3&amp;(ROW()))))</f>
        <v>0</v>
      </c>
      <c r="BD667" s="1926">
        <f ca="1">SUM(INDIRECT(BD$1&amp;BD$2&amp;$C667):INDIRECT(BD$1&amp;BD$3&amp;$C667))</f>
        <v>0</v>
      </c>
      <c r="BE667" s="2707">
        <f t="shared" ca="1" si="1211"/>
        <v>0</v>
      </c>
      <c r="BF667" s="2708">
        <f t="shared" ca="1" si="1212"/>
        <v>0</v>
      </c>
      <c r="BG667" s="1926">
        <f ca="1">SUM(INDIRECT(BG$1&amp;BG$2&amp;$A667):INDIRECT(BG$1&amp;BG$3&amp;$A667))</f>
        <v>0</v>
      </c>
      <c r="BH667" s="2707">
        <f t="shared" ca="1" si="1213"/>
        <v>0</v>
      </c>
      <c r="BI667" s="2708">
        <f t="shared" ca="1" si="1214"/>
        <v>0</v>
      </c>
    </row>
    <row r="668" spans="1:61" ht="14.5">
      <c r="A668" s="1693">
        <f t="shared" si="1238"/>
        <v>660</v>
      </c>
      <c r="B668" s="616">
        <v>1</v>
      </c>
      <c r="C668" s="1693">
        <f t="shared" si="1237"/>
        <v>668</v>
      </c>
      <c r="D668" s="616">
        <v>1</v>
      </c>
      <c r="F668" s="69"/>
      <c r="J668" s="352"/>
      <c r="K668" s="353"/>
      <c r="L668" s="63"/>
      <c r="M668" s="63"/>
      <c r="N668" s="69"/>
      <c r="O668" s="69" t="s">
        <v>118</v>
      </c>
      <c r="P668" s="69"/>
      <c r="Q668" s="69"/>
      <c r="R668" s="1779" t="str">
        <f>CHOOSE(2, "6722000003579", "S/GP (3) Net Sales Indirect NH EFI/LF")</f>
        <v>S/GP (3) Net Sales Indirect NH EFI/LF</v>
      </c>
      <c r="S668" s="1217"/>
      <c r="T668" s="1217"/>
      <c r="U668" s="1217"/>
      <c r="V668" s="1217"/>
      <c r="W668" s="1217"/>
      <c r="X668" s="1217"/>
      <c r="Y668" s="1217"/>
      <c r="Z668" s="1217"/>
      <c r="AA668" s="1217"/>
      <c r="AB668" s="1217"/>
      <c r="AC668" s="1217"/>
      <c r="AD668" s="1217"/>
      <c r="AE668" s="88">
        <f t="shared" si="1252"/>
        <v>0</v>
      </c>
      <c r="AF668" s="17">
        <f t="shared" si="1253"/>
        <v>0</v>
      </c>
      <c r="AG668" s="17">
        <f t="shared" si="1254"/>
        <v>0</v>
      </c>
      <c r="AH668" s="17">
        <f t="shared" si="1255"/>
        <v>0</v>
      </c>
      <c r="AI668" s="17">
        <f t="shared" si="1256"/>
        <v>0</v>
      </c>
      <c r="AJ668" s="17">
        <f t="shared" si="1257"/>
        <v>0</v>
      </c>
      <c r="AK668" s="17">
        <f t="shared" si="1258"/>
        <v>0</v>
      </c>
      <c r="AM668" s="1926">
        <f ca="1">SUM((INDIRECT(AM$2&amp;(ROW())):INDIRECT(AM$3&amp;(ROW()))))</f>
        <v>0</v>
      </c>
      <c r="AN668" s="1926">
        <f ca="1">SUM(INDIRECT(AN$1&amp;AN$2&amp;$C668):INDIRECT(AN$1&amp;AN$3&amp;$C668))</f>
        <v>0</v>
      </c>
      <c r="AO668" s="2707">
        <f t="shared" ca="1" si="1226"/>
        <v>0</v>
      </c>
      <c r="AP668" s="2708">
        <f t="shared" ca="1" si="1205"/>
        <v>0</v>
      </c>
      <c r="AQ668" s="1926">
        <f ca="1">SUM(INDIRECT(AQ$1&amp;AQ$2&amp;$A668):INDIRECT(AQ$1&amp;AQ$3&amp;$A668))</f>
        <v>0</v>
      </c>
      <c r="AR668" s="2707">
        <f t="shared" ca="1" si="1227"/>
        <v>0</v>
      </c>
      <c r="AS668" s="2708">
        <f t="shared" ca="1" si="1206"/>
        <v>0</v>
      </c>
      <c r="AU668" s="1926">
        <f ca="1">SUM((INDIRECT(AU$2&amp;(ROW())):INDIRECT(AU$3&amp;(ROW()))))</f>
        <v>0</v>
      </c>
      <c r="AV668" s="1926">
        <f ca="1">SUM(INDIRECT(AV$1&amp;AV$2&amp;$C668):INDIRECT(AV$1&amp;AV$3&amp;$C668))</f>
        <v>0</v>
      </c>
      <c r="AW668" s="2707">
        <f t="shared" ca="1" si="1207"/>
        <v>0</v>
      </c>
      <c r="AX668" s="2708">
        <f t="shared" ca="1" si="1208"/>
        <v>0</v>
      </c>
      <c r="AY668" s="1926">
        <f ca="1">SUM(INDIRECT(AY$1&amp;AY$2&amp;$A668):INDIRECT(AY$1&amp;AY$3&amp;$A668))</f>
        <v>0</v>
      </c>
      <c r="AZ668" s="2707">
        <f t="shared" ca="1" si="1209"/>
        <v>0</v>
      </c>
      <c r="BA668" s="2708">
        <f t="shared" ca="1" si="1210"/>
        <v>0</v>
      </c>
      <c r="BC668" s="1926">
        <f ca="1">SUM((INDIRECT(BC$2&amp;(ROW())):INDIRECT(BC$3&amp;(ROW()))))</f>
        <v>0</v>
      </c>
      <c r="BD668" s="1926">
        <f ca="1">SUM(INDIRECT(BD$1&amp;BD$2&amp;$C668):INDIRECT(BD$1&amp;BD$3&amp;$C668))</f>
        <v>0</v>
      </c>
      <c r="BE668" s="2707">
        <f t="shared" ca="1" si="1211"/>
        <v>0</v>
      </c>
      <c r="BF668" s="2708">
        <f t="shared" ca="1" si="1212"/>
        <v>0</v>
      </c>
      <c r="BG668" s="1926">
        <f ca="1">SUM(INDIRECT(BG$1&amp;BG$2&amp;$A668):INDIRECT(BG$1&amp;BG$3&amp;$A668))</f>
        <v>0</v>
      </c>
      <c r="BH668" s="2707">
        <f t="shared" ca="1" si="1213"/>
        <v>0</v>
      </c>
      <c r="BI668" s="2708">
        <f t="shared" ca="1" si="1214"/>
        <v>0</v>
      </c>
    </row>
    <row r="669" spans="1:61" ht="14.5">
      <c r="A669" s="1693">
        <f t="shared" si="1238"/>
        <v>661</v>
      </c>
      <c r="B669" s="616">
        <v>1</v>
      </c>
      <c r="C669" s="1693">
        <f t="shared" si="1237"/>
        <v>669</v>
      </c>
      <c r="D669" s="616">
        <v>1</v>
      </c>
      <c r="F669" s="69"/>
      <c r="J669" s="352"/>
      <c r="K669" s="353"/>
      <c r="L669" s="63"/>
      <c r="M669" s="63"/>
      <c r="N669" s="69"/>
      <c r="O669" s="69" t="s">
        <v>180</v>
      </c>
      <c r="P669" s="69"/>
      <c r="Q669" s="69"/>
      <c r="R669" s="1779" t="str">
        <f>CHOOSE(2, "6722000003580", "S/GP (3) Net Sales Indirect NH Textile Printer")</f>
        <v>S/GP (3) Net Sales Indirect NH Textile Printer</v>
      </c>
      <c r="S669" s="1217"/>
      <c r="T669" s="1217"/>
      <c r="U669" s="1217"/>
      <c r="V669" s="1217"/>
      <c r="W669" s="1217"/>
      <c r="X669" s="1217"/>
      <c r="Y669" s="1217"/>
      <c r="Z669" s="1217"/>
      <c r="AA669" s="1217"/>
      <c r="AB669" s="1217"/>
      <c r="AC669" s="1217"/>
      <c r="AD669" s="1217"/>
      <c r="AE669" s="88">
        <f t="shared" si="1252"/>
        <v>0</v>
      </c>
      <c r="AF669" s="17">
        <f t="shared" si="1253"/>
        <v>0</v>
      </c>
      <c r="AG669" s="17">
        <f t="shared" si="1254"/>
        <v>0</v>
      </c>
      <c r="AH669" s="17">
        <f t="shared" si="1255"/>
        <v>0</v>
      </c>
      <c r="AI669" s="17">
        <f t="shared" si="1256"/>
        <v>0</v>
      </c>
      <c r="AJ669" s="17">
        <f t="shared" si="1257"/>
        <v>0</v>
      </c>
      <c r="AK669" s="17">
        <f t="shared" si="1258"/>
        <v>0</v>
      </c>
      <c r="AM669" s="1926">
        <f ca="1">SUM((INDIRECT(AM$2&amp;(ROW())):INDIRECT(AM$3&amp;(ROW()))))</f>
        <v>0</v>
      </c>
      <c r="AN669" s="1926">
        <f ca="1">SUM(INDIRECT(AN$1&amp;AN$2&amp;$C669):INDIRECT(AN$1&amp;AN$3&amp;$C669))</f>
        <v>0</v>
      </c>
      <c r="AO669" s="2707">
        <f t="shared" ca="1" si="1226"/>
        <v>0</v>
      </c>
      <c r="AP669" s="2708">
        <f t="shared" ca="1" si="1205"/>
        <v>0</v>
      </c>
      <c r="AQ669" s="1926">
        <f ca="1">SUM(INDIRECT(AQ$1&amp;AQ$2&amp;$A669):INDIRECT(AQ$1&amp;AQ$3&amp;$A669))</f>
        <v>0</v>
      </c>
      <c r="AR669" s="2707">
        <f t="shared" ca="1" si="1227"/>
        <v>0</v>
      </c>
      <c r="AS669" s="2708">
        <f t="shared" ca="1" si="1206"/>
        <v>0</v>
      </c>
      <c r="AU669" s="1926">
        <f ca="1">SUM((INDIRECT(AU$2&amp;(ROW())):INDIRECT(AU$3&amp;(ROW()))))</f>
        <v>0</v>
      </c>
      <c r="AV669" s="1926">
        <f ca="1">SUM(INDIRECT(AV$1&amp;AV$2&amp;$C669):INDIRECT(AV$1&amp;AV$3&amp;$C669))</f>
        <v>0</v>
      </c>
      <c r="AW669" s="2707">
        <f t="shared" ca="1" si="1207"/>
        <v>0</v>
      </c>
      <c r="AX669" s="2708">
        <f t="shared" ca="1" si="1208"/>
        <v>0</v>
      </c>
      <c r="AY669" s="1926">
        <f ca="1">SUM(INDIRECT(AY$1&amp;AY$2&amp;$A669):INDIRECT(AY$1&amp;AY$3&amp;$A669))</f>
        <v>0</v>
      </c>
      <c r="AZ669" s="2707">
        <f t="shared" ca="1" si="1209"/>
        <v>0</v>
      </c>
      <c r="BA669" s="2708">
        <f t="shared" ca="1" si="1210"/>
        <v>0</v>
      </c>
      <c r="BC669" s="1926">
        <f ca="1">SUM((INDIRECT(BC$2&amp;(ROW())):INDIRECT(BC$3&amp;(ROW()))))</f>
        <v>0</v>
      </c>
      <c r="BD669" s="1926">
        <f ca="1">SUM(INDIRECT(BD$1&amp;BD$2&amp;$C669):INDIRECT(BD$1&amp;BD$3&amp;$C669))</f>
        <v>0</v>
      </c>
      <c r="BE669" s="2707">
        <f t="shared" ca="1" si="1211"/>
        <v>0</v>
      </c>
      <c r="BF669" s="2708">
        <f t="shared" ca="1" si="1212"/>
        <v>0</v>
      </c>
      <c r="BG669" s="1926">
        <f ca="1">SUM(INDIRECT(BG$1&amp;BG$2&amp;$A669):INDIRECT(BG$1&amp;BG$3&amp;$A669))</f>
        <v>0</v>
      </c>
      <c r="BH669" s="2707">
        <f t="shared" ca="1" si="1213"/>
        <v>0</v>
      </c>
      <c r="BI669" s="2708">
        <f t="shared" ca="1" si="1214"/>
        <v>0</v>
      </c>
    </row>
    <row r="670" spans="1:61" ht="14.5">
      <c r="A670" s="1693">
        <f t="shared" si="1238"/>
        <v>662</v>
      </c>
      <c r="B670" s="616">
        <v>1</v>
      </c>
      <c r="C670" s="1693">
        <f t="shared" si="1237"/>
        <v>670</v>
      </c>
      <c r="D670" s="616">
        <v>1</v>
      </c>
      <c r="F670" s="69"/>
      <c r="J670" s="352"/>
      <c r="K670" s="353"/>
      <c r="L670" s="63"/>
      <c r="M670" s="63"/>
      <c r="N670" s="69"/>
      <c r="O670" s="211" t="s">
        <v>51</v>
      </c>
      <c r="P670" s="211"/>
      <c r="Q670" s="211"/>
      <c r="R670" s="1779" t="str">
        <f>CHOOSE(2, "6722000003581", "S/GP (3) Net Sales Indirect NH Others")</f>
        <v>S/GP (3) Net Sales Indirect NH Others</v>
      </c>
      <c r="S670" s="1218"/>
      <c r="T670" s="1218"/>
      <c r="U670" s="1218"/>
      <c r="V670" s="1218"/>
      <c r="W670" s="1218"/>
      <c r="X670" s="1218"/>
      <c r="Y670" s="1218"/>
      <c r="Z670" s="1218"/>
      <c r="AA670" s="1218"/>
      <c r="AB670" s="1218"/>
      <c r="AC670" s="1218"/>
      <c r="AD670" s="1218"/>
      <c r="AE670" s="87">
        <f t="shared" si="1252"/>
        <v>0</v>
      </c>
      <c r="AF670" s="15">
        <f t="shared" si="1253"/>
        <v>0</v>
      </c>
      <c r="AG670" s="15">
        <f t="shared" si="1254"/>
        <v>0</v>
      </c>
      <c r="AH670" s="15">
        <f t="shared" si="1255"/>
        <v>0</v>
      </c>
      <c r="AI670" s="15">
        <f t="shared" si="1256"/>
        <v>0</v>
      </c>
      <c r="AJ670" s="15">
        <f t="shared" si="1257"/>
        <v>0</v>
      </c>
      <c r="AK670" s="15">
        <f t="shared" si="1258"/>
        <v>0</v>
      </c>
      <c r="AM670" s="1928">
        <f ca="1">SUM((INDIRECT(AM$2&amp;(ROW())):INDIRECT(AM$3&amp;(ROW()))))</f>
        <v>0</v>
      </c>
      <c r="AN670" s="1928">
        <f ca="1">SUM(INDIRECT(AN$1&amp;AN$2&amp;$C670):INDIRECT(AN$1&amp;AN$3&amp;$C670))</f>
        <v>0</v>
      </c>
      <c r="AO670" s="2709">
        <f t="shared" ca="1" si="1226"/>
        <v>0</v>
      </c>
      <c r="AP670" s="2710">
        <f t="shared" ca="1" si="1205"/>
        <v>0</v>
      </c>
      <c r="AQ670" s="1928">
        <f ca="1">SUM(INDIRECT(AQ$1&amp;AQ$2&amp;$A670):INDIRECT(AQ$1&amp;AQ$3&amp;$A670))</f>
        <v>0</v>
      </c>
      <c r="AR670" s="2709">
        <f t="shared" ca="1" si="1227"/>
        <v>0</v>
      </c>
      <c r="AS670" s="2710">
        <f t="shared" ca="1" si="1206"/>
        <v>0</v>
      </c>
      <c r="AU670" s="1928">
        <f ca="1">SUM((INDIRECT(AU$2&amp;(ROW())):INDIRECT(AU$3&amp;(ROW()))))</f>
        <v>0</v>
      </c>
      <c r="AV670" s="1928">
        <f ca="1">SUM(INDIRECT(AV$1&amp;AV$2&amp;$C670):INDIRECT(AV$1&amp;AV$3&amp;$C670))</f>
        <v>0</v>
      </c>
      <c r="AW670" s="2709">
        <f t="shared" ca="1" si="1207"/>
        <v>0</v>
      </c>
      <c r="AX670" s="2710">
        <f t="shared" ca="1" si="1208"/>
        <v>0</v>
      </c>
      <c r="AY670" s="1928">
        <f ca="1">SUM(INDIRECT(AY$1&amp;AY$2&amp;$A670):INDIRECT(AY$1&amp;AY$3&amp;$A670))</f>
        <v>0</v>
      </c>
      <c r="AZ670" s="2709">
        <f t="shared" ca="1" si="1209"/>
        <v>0</v>
      </c>
      <c r="BA670" s="2710">
        <f t="shared" ca="1" si="1210"/>
        <v>0</v>
      </c>
      <c r="BC670" s="1928">
        <f ca="1">SUM((INDIRECT(BC$2&amp;(ROW())):INDIRECT(BC$3&amp;(ROW()))))</f>
        <v>0</v>
      </c>
      <c r="BD670" s="1928">
        <f ca="1">SUM(INDIRECT(BD$1&amp;BD$2&amp;$C670):INDIRECT(BD$1&amp;BD$3&amp;$C670))</f>
        <v>0</v>
      </c>
      <c r="BE670" s="2709">
        <f t="shared" ca="1" si="1211"/>
        <v>0</v>
      </c>
      <c r="BF670" s="2710">
        <f t="shared" ca="1" si="1212"/>
        <v>0</v>
      </c>
      <c r="BG670" s="1928">
        <f ca="1">SUM(INDIRECT(BG$1&amp;BG$2&amp;$A670):INDIRECT(BG$1&amp;BG$3&amp;$A670))</f>
        <v>0</v>
      </c>
      <c r="BH670" s="2709">
        <f t="shared" ca="1" si="1213"/>
        <v>0</v>
      </c>
      <c r="BI670" s="2710">
        <f t="shared" ca="1" si="1214"/>
        <v>0</v>
      </c>
    </row>
    <row r="671" spans="1:61" ht="14.5">
      <c r="A671" s="1693">
        <f t="shared" si="1238"/>
        <v>663</v>
      </c>
      <c r="B671" s="616">
        <v>1</v>
      </c>
      <c r="C671" s="1693">
        <f t="shared" si="1237"/>
        <v>671</v>
      </c>
      <c r="D671" s="616">
        <v>1</v>
      </c>
      <c r="F671" s="69"/>
      <c r="J671" s="350" t="s">
        <v>132</v>
      </c>
      <c r="K671" s="351"/>
      <c r="L671" s="356"/>
      <c r="M671" s="356"/>
      <c r="N671" s="357"/>
      <c r="O671" s="357"/>
      <c r="P671" s="357"/>
      <c r="Q671" s="581"/>
      <c r="R671" s="1795" t="str">
        <f>CHOOSE(2, "6722000003582", "S/GP (3) Gross Profit")</f>
        <v>S/GP (3) Gross Profit</v>
      </c>
      <c r="S671" s="1307">
        <f t="shared" ref="S671:AD671" si="1259">S672+S716</f>
        <v>1316</v>
      </c>
      <c r="T671" s="1307">
        <f t="shared" si="1259"/>
        <v>-34.608975833333147</v>
      </c>
      <c r="U671" s="1307">
        <f t="shared" si="1259"/>
        <v>6589.2438141666671</v>
      </c>
      <c r="V671" s="1307">
        <f t="shared" si="1259"/>
        <v>861.52477791666718</v>
      </c>
      <c r="W671" s="1307">
        <f t="shared" si="1259"/>
        <v>12801.757513477411</v>
      </c>
      <c r="X671" s="1307">
        <f t="shared" si="1259"/>
        <v>22258.179317916667</v>
      </c>
      <c r="Y671" s="1307">
        <f t="shared" si="1259"/>
        <v>-729.15434208333397</v>
      </c>
      <c r="Z671" s="1307">
        <f t="shared" si="1259"/>
        <v>13286.160767916668</v>
      </c>
      <c r="AA671" s="1307">
        <f t="shared" si="1259"/>
        <v>2208.8905891688482</v>
      </c>
      <c r="AB671" s="1307">
        <f t="shared" si="1259"/>
        <v>1444.7169499957645</v>
      </c>
      <c r="AC671" s="1307">
        <f t="shared" si="1259"/>
        <v>8161.3898490986066</v>
      </c>
      <c r="AD671" s="1307">
        <f t="shared" si="1259"/>
        <v>20079.505278896271</v>
      </c>
      <c r="AE671" s="886">
        <f t="shared" ref="AE671:AK671" si="1260">AE672+AE716</f>
        <v>7870.6348383333325</v>
      </c>
      <c r="AF671" s="1713">
        <f t="shared" si="1260"/>
        <v>35921.461609310747</v>
      </c>
      <c r="AG671" s="1713">
        <f t="shared" si="1260"/>
        <v>14765.897015002181</v>
      </c>
      <c r="AH671" s="1713">
        <f t="shared" si="1260"/>
        <v>29685.612077990641</v>
      </c>
      <c r="AI671" s="1713">
        <f t="shared" si="1260"/>
        <v>43792.096447644071</v>
      </c>
      <c r="AJ671" s="1713">
        <f t="shared" si="1260"/>
        <v>44451.509092992826</v>
      </c>
      <c r="AK671" s="1713">
        <f t="shared" si="1260"/>
        <v>88243.605540636898</v>
      </c>
      <c r="AM671" s="2287">
        <f ca="1">SUM((INDIRECT(AM$2&amp;(ROW())):INDIRECT(AM$3&amp;(ROW()))))</f>
        <v>1316</v>
      </c>
      <c r="AN671" s="2287">
        <f ca="1">SUM(INDIRECT(AN$1&amp;AN$2&amp;$C671):INDIRECT(AN$1&amp;AN$3&amp;$C671))</f>
        <v>12930.734</v>
      </c>
      <c r="AO671" s="2918">
        <f t="shared" ca="1" si="1226"/>
        <v>-11614.734</v>
      </c>
      <c r="AP671" s="2919">
        <f t="shared" ca="1" si="1205"/>
        <v>0.10177303160052631</v>
      </c>
      <c r="AQ671" s="2287">
        <f ca="1">SUM(INDIRECT(AQ$1&amp;AQ$2&amp;$A671):INDIRECT(AQ$1&amp;AQ$3&amp;$A671))</f>
        <v>1055</v>
      </c>
      <c r="AR671" s="2918">
        <f t="shared" ca="1" si="1227"/>
        <v>261</v>
      </c>
      <c r="AS671" s="2919">
        <f t="shared" ca="1" si="1206"/>
        <v>1.24739336492891</v>
      </c>
      <c r="AU671" s="2287">
        <f ca="1">SUM((INDIRECT(AU$2&amp;(ROW())):INDIRECT(AU$3&amp;(ROW()))))</f>
        <v>1316</v>
      </c>
      <c r="AV671" s="2287">
        <f ca="1">SUM(INDIRECT(AV$1&amp;AV$2&amp;$C671):INDIRECT(AV$1&amp;AV$3&amp;$C671))</f>
        <v>12930.734</v>
      </c>
      <c r="AW671" s="2918">
        <f t="shared" ca="1" si="1207"/>
        <v>-11614.734</v>
      </c>
      <c r="AX671" s="2919">
        <f t="shared" ca="1" si="1208"/>
        <v>0.10177303160052631</v>
      </c>
      <c r="AY671" s="2287">
        <f ca="1">SUM(INDIRECT(AY$1&amp;AY$2&amp;$A671):INDIRECT(AY$1&amp;AY$3&amp;$A671))</f>
        <v>1055</v>
      </c>
      <c r="AZ671" s="2918">
        <f t="shared" ca="1" si="1209"/>
        <v>261</v>
      </c>
      <c r="BA671" s="2919">
        <f t="shared" ca="1" si="1210"/>
        <v>1.24739336492891</v>
      </c>
      <c r="BC671" s="2287">
        <f ca="1">SUM((INDIRECT(BC$2&amp;(ROW())):INDIRECT(BC$3&amp;(ROW()))))</f>
        <v>1316</v>
      </c>
      <c r="BD671" s="2287">
        <f ca="1">SUM(INDIRECT(BD$1&amp;BD$2&amp;$C671):INDIRECT(BD$1&amp;BD$3&amp;$C671))</f>
        <v>12930.734</v>
      </c>
      <c r="BE671" s="2918">
        <f t="shared" ca="1" si="1211"/>
        <v>-11614.734</v>
      </c>
      <c r="BF671" s="2919">
        <f t="shared" ca="1" si="1212"/>
        <v>0.10177303160052631</v>
      </c>
      <c r="BG671" s="2287">
        <f ca="1">SUM(INDIRECT(BG$1&amp;BG$2&amp;$A671):INDIRECT(BG$1&amp;BG$3&amp;$A671))</f>
        <v>1055</v>
      </c>
      <c r="BH671" s="2918">
        <f t="shared" ca="1" si="1213"/>
        <v>261</v>
      </c>
      <c r="BI671" s="2919">
        <f t="shared" ca="1" si="1214"/>
        <v>1.24739336492891</v>
      </c>
    </row>
    <row r="672" spans="1:61" ht="14.5">
      <c r="A672" s="1693">
        <f t="shared" si="1238"/>
        <v>664</v>
      </c>
      <c r="B672" s="616">
        <v>1</v>
      </c>
      <c r="C672" s="1693">
        <f t="shared" si="1237"/>
        <v>672</v>
      </c>
      <c r="D672" s="616">
        <v>1</v>
      </c>
      <c r="F672" s="69"/>
      <c r="J672" s="352"/>
      <c r="K672" s="353"/>
      <c r="L672" s="68" t="s">
        <v>120</v>
      </c>
      <c r="M672" s="68"/>
      <c r="N672" s="283"/>
      <c r="O672" s="283"/>
      <c r="P672" s="283"/>
      <c r="Q672" s="68"/>
      <c r="R672" s="1814" t="str">
        <f>CHOOSE(2, "6722000003583", "S/GP (3) Gross Profit Direct")</f>
        <v>S/GP (3) Gross Profit Direct</v>
      </c>
      <c r="S672" s="1714">
        <f>S673+S680</f>
        <v>1316</v>
      </c>
      <c r="T672" s="1714">
        <f t="shared" ref="T672:AD672" si="1261">T673+T680</f>
        <v>-34.608975833333147</v>
      </c>
      <c r="U672" s="1714">
        <f t="shared" si="1261"/>
        <v>6589.2438141666671</v>
      </c>
      <c r="V672" s="1714">
        <f t="shared" si="1261"/>
        <v>861.52477791666718</v>
      </c>
      <c r="W672" s="1714">
        <f t="shared" si="1261"/>
        <v>12801.757513477411</v>
      </c>
      <c r="X672" s="1714">
        <f t="shared" si="1261"/>
        <v>22258.179317916667</v>
      </c>
      <c r="Y672" s="1714">
        <f t="shared" si="1261"/>
        <v>-729.15434208333397</v>
      </c>
      <c r="Z672" s="1714">
        <f t="shared" si="1261"/>
        <v>13286.160767916668</v>
      </c>
      <c r="AA672" s="1714">
        <f t="shared" si="1261"/>
        <v>2208.8905891688482</v>
      </c>
      <c r="AB672" s="1714">
        <f t="shared" si="1261"/>
        <v>1444.7169499957645</v>
      </c>
      <c r="AC672" s="1714">
        <f t="shared" si="1261"/>
        <v>8161.3898490986066</v>
      </c>
      <c r="AD672" s="1714">
        <f t="shared" si="1261"/>
        <v>20079.505278896271</v>
      </c>
      <c r="AE672" s="1715">
        <f t="shared" ref="AE672:AK672" si="1262">AE673+AE680</f>
        <v>7870.6348383333325</v>
      </c>
      <c r="AF672" s="1714">
        <f t="shared" si="1262"/>
        <v>35921.461609310747</v>
      </c>
      <c r="AG672" s="1714">
        <f t="shared" si="1262"/>
        <v>14765.897015002181</v>
      </c>
      <c r="AH672" s="1714">
        <f t="shared" si="1262"/>
        <v>29685.612077990641</v>
      </c>
      <c r="AI672" s="1714">
        <f t="shared" si="1262"/>
        <v>43792.096447644071</v>
      </c>
      <c r="AJ672" s="1714">
        <f t="shared" si="1262"/>
        <v>44451.509092992826</v>
      </c>
      <c r="AK672" s="1714">
        <f t="shared" si="1262"/>
        <v>88243.605540636898</v>
      </c>
      <c r="AM672" s="2589">
        <f ca="1">SUM((INDIRECT(AM$2&amp;(ROW())):INDIRECT(AM$3&amp;(ROW()))))</f>
        <v>1316</v>
      </c>
      <c r="AN672" s="2589">
        <f ca="1">SUM(INDIRECT(AN$1&amp;AN$2&amp;$C672):INDIRECT(AN$1&amp;AN$3&amp;$C672))</f>
        <v>12930.734</v>
      </c>
      <c r="AO672" s="2908">
        <f t="shared" ca="1" si="1226"/>
        <v>-11614.734</v>
      </c>
      <c r="AP672" s="2909">
        <f t="shared" ca="1" si="1205"/>
        <v>0.10177303160052631</v>
      </c>
      <c r="AQ672" s="2589">
        <f ca="1">SUM(INDIRECT(AQ$1&amp;AQ$2&amp;$A672):INDIRECT(AQ$1&amp;AQ$3&amp;$A672))</f>
        <v>1055</v>
      </c>
      <c r="AR672" s="2908">
        <f t="shared" ca="1" si="1227"/>
        <v>261</v>
      </c>
      <c r="AS672" s="2909">
        <f t="shared" ca="1" si="1206"/>
        <v>1.24739336492891</v>
      </c>
      <c r="AU672" s="2589">
        <f ca="1">SUM((INDIRECT(AU$2&amp;(ROW())):INDIRECT(AU$3&amp;(ROW()))))</f>
        <v>1316</v>
      </c>
      <c r="AV672" s="2589">
        <f ca="1">SUM(INDIRECT(AV$1&amp;AV$2&amp;$C672):INDIRECT(AV$1&amp;AV$3&amp;$C672))</f>
        <v>12930.734</v>
      </c>
      <c r="AW672" s="2908">
        <f t="shared" ca="1" si="1207"/>
        <v>-11614.734</v>
      </c>
      <c r="AX672" s="2909">
        <f t="shared" ca="1" si="1208"/>
        <v>0.10177303160052631</v>
      </c>
      <c r="AY672" s="2589">
        <f ca="1">SUM(INDIRECT(AY$1&amp;AY$2&amp;$A672):INDIRECT(AY$1&amp;AY$3&amp;$A672))</f>
        <v>1055</v>
      </c>
      <c r="AZ672" s="2908">
        <f t="shared" ca="1" si="1209"/>
        <v>261</v>
      </c>
      <c r="BA672" s="2909">
        <f t="shared" ca="1" si="1210"/>
        <v>1.24739336492891</v>
      </c>
      <c r="BC672" s="2589">
        <f ca="1">SUM((INDIRECT(BC$2&amp;(ROW())):INDIRECT(BC$3&amp;(ROW()))))</f>
        <v>1316</v>
      </c>
      <c r="BD672" s="2589">
        <f ca="1">SUM(INDIRECT(BD$1&amp;BD$2&amp;$C672):INDIRECT(BD$1&amp;BD$3&amp;$C672))</f>
        <v>12930.734</v>
      </c>
      <c r="BE672" s="2908">
        <f t="shared" ca="1" si="1211"/>
        <v>-11614.734</v>
      </c>
      <c r="BF672" s="2909">
        <f t="shared" ca="1" si="1212"/>
        <v>0.10177303160052631</v>
      </c>
      <c r="BG672" s="2589">
        <f ca="1">SUM(INDIRECT(BG$1&amp;BG$2&amp;$A672):INDIRECT(BG$1&amp;BG$3&amp;$A672))</f>
        <v>1055</v>
      </c>
      <c r="BH672" s="2908">
        <f t="shared" ca="1" si="1213"/>
        <v>261</v>
      </c>
      <c r="BI672" s="2909">
        <f t="shared" ca="1" si="1214"/>
        <v>1.24739336492891</v>
      </c>
    </row>
    <row r="673" spans="1:61" ht="14.5">
      <c r="A673" s="1693">
        <f t="shared" si="1238"/>
        <v>665</v>
      </c>
      <c r="B673" s="616">
        <v>1</v>
      </c>
      <c r="C673" s="1693">
        <f t="shared" si="1237"/>
        <v>673</v>
      </c>
      <c r="D673" s="616">
        <v>1</v>
      </c>
      <c r="F673" s="69"/>
      <c r="J673" s="352"/>
      <c r="K673" s="353"/>
      <c r="L673" s="68"/>
      <c r="M673" s="68"/>
      <c r="N673" s="69" t="s">
        <v>187</v>
      </c>
      <c r="O673" s="302"/>
      <c r="P673" s="302"/>
      <c r="Q673" s="302"/>
      <c r="R673" s="1777" t="str">
        <f>CHOOSE(2, "6722000003584", "S/GP (3) Gross Profit Direct HW &amp; Solution")</f>
        <v>S/GP (3) Gross Profit Direct HW &amp; Solution</v>
      </c>
      <c r="S673" s="1248">
        <f t="shared" ref="S673:AD673" si="1263">SUM(S674:S679)</f>
        <v>3102</v>
      </c>
      <c r="T673" s="1248">
        <f t="shared" si="1263"/>
        <v>136.23000000000002</v>
      </c>
      <c r="U673" s="1248">
        <f t="shared" si="1263"/>
        <v>6122</v>
      </c>
      <c r="V673" s="1248">
        <f t="shared" si="1263"/>
        <v>-634.02670625000007</v>
      </c>
      <c r="W673" s="1248">
        <f t="shared" si="1263"/>
        <v>11382</v>
      </c>
      <c r="X673" s="1248">
        <f t="shared" si="1263"/>
        <v>20168.34029375</v>
      </c>
      <c r="Y673" s="1248">
        <f t="shared" si="1263"/>
        <v>-1196.7551762500011</v>
      </c>
      <c r="Z673" s="1248">
        <f t="shared" si="1263"/>
        <v>11051.023393750002</v>
      </c>
      <c r="AA673" s="1248">
        <f t="shared" si="1263"/>
        <v>-780.55362625000043</v>
      </c>
      <c r="AB673" s="1248">
        <f t="shared" si="1263"/>
        <v>-706.51549625000007</v>
      </c>
      <c r="AC673" s="1248">
        <f t="shared" si="1263"/>
        <v>4244.35172375</v>
      </c>
      <c r="AD673" s="1248">
        <f t="shared" si="1263"/>
        <v>19375.909420000004</v>
      </c>
      <c r="AE673" s="895">
        <f t="shared" ref="AE673:AK673" si="1264">SUM(AE674:AE679)</f>
        <v>9360.23</v>
      </c>
      <c r="AF673" s="1248">
        <f t="shared" si="1264"/>
        <v>30916.313587500001</v>
      </c>
      <c r="AG673" s="1248">
        <f t="shared" si="1264"/>
        <v>9073.7145912499982</v>
      </c>
      <c r="AH673" s="1248">
        <f t="shared" si="1264"/>
        <v>22913.7456475</v>
      </c>
      <c r="AI673" s="1248">
        <f t="shared" si="1264"/>
        <v>40276.543587499997</v>
      </c>
      <c r="AJ673" s="1248">
        <f t="shared" si="1264"/>
        <v>31987.460238749998</v>
      </c>
      <c r="AK673" s="1248">
        <f t="shared" si="1264"/>
        <v>72264.003826250002</v>
      </c>
      <c r="AM673" s="2183">
        <f ca="1">SUM((INDIRECT(AM$2&amp;(ROW())):INDIRECT(AM$3&amp;(ROW()))))</f>
        <v>3102</v>
      </c>
      <c r="AN673" s="2183">
        <f ca="1">SUM(INDIRECT(AN$1&amp;AN$2&amp;$C673):INDIRECT(AN$1&amp;AN$3&amp;$C673))</f>
        <v>10703.334000000001</v>
      </c>
      <c r="AO673" s="2875">
        <f t="shared" ca="1" si="1226"/>
        <v>-7601.3340000000007</v>
      </c>
      <c r="AP673" s="2876">
        <f t="shared" ca="1" si="1205"/>
        <v>0.28981623856641303</v>
      </c>
      <c r="AQ673" s="2183">
        <f ca="1">SUM(INDIRECT(AQ$1&amp;AQ$2&amp;$A673):INDIRECT(AQ$1&amp;AQ$3&amp;$A673))</f>
        <v>466</v>
      </c>
      <c r="AR673" s="2875">
        <f t="shared" ca="1" si="1227"/>
        <v>2636</v>
      </c>
      <c r="AS673" s="2876">
        <f t="shared" ca="1" si="1206"/>
        <v>6.6566523605150216</v>
      </c>
      <c r="AU673" s="2183">
        <f ca="1">SUM((INDIRECT(AU$2&amp;(ROW())):INDIRECT(AU$3&amp;(ROW()))))</f>
        <v>3102</v>
      </c>
      <c r="AV673" s="2183">
        <f ca="1">SUM(INDIRECT(AV$1&amp;AV$2&amp;$C673):INDIRECT(AV$1&amp;AV$3&amp;$C673))</f>
        <v>10703.334000000001</v>
      </c>
      <c r="AW673" s="2875">
        <f t="shared" ca="1" si="1207"/>
        <v>-7601.3340000000007</v>
      </c>
      <c r="AX673" s="2876">
        <f t="shared" ca="1" si="1208"/>
        <v>0.28981623856641303</v>
      </c>
      <c r="AY673" s="2183">
        <f ca="1">SUM(INDIRECT(AY$1&amp;AY$2&amp;$A673):INDIRECT(AY$1&amp;AY$3&amp;$A673))</f>
        <v>466</v>
      </c>
      <c r="AZ673" s="2875">
        <f t="shared" ca="1" si="1209"/>
        <v>2636</v>
      </c>
      <c r="BA673" s="2876">
        <f t="shared" ca="1" si="1210"/>
        <v>6.6566523605150216</v>
      </c>
      <c r="BC673" s="2183">
        <f ca="1">SUM((INDIRECT(BC$2&amp;(ROW())):INDIRECT(BC$3&amp;(ROW()))))</f>
        <v>3102</v>
      </c>
      <c r="BD673" s="2183">
        <f ca="1">SUM(INDIRECT(BD$1&amp;BD$2&amp;$C673):INDIRECT(BD$1&amp;BD$3&amp;$C673))</f>
        <v>10703.334000000001</v>
      </c>
      <c r="BE673" s="2875">
        <f t="shared" ca="1" si="1211"/>
        <v>-7601.3340000000007</v>
      </c>
      <c r="BF673" s="2876">
        <f t="shared" ca="1" si="1212"/>
        <v>0.28981623856641303</v>
      </c>
      <c r="BG673" s="2183">
        <f ca="1">SUM(INDIRECT(BG$1&amp;BG$2&amp;$A673):INDIRECT(BG$1&amp;BG$3&amp;$A673))</f>
        <v>466</v>
      </c>
      <c r="BH673" s="2875">
        <f t="shared" ca="1" si="1213"/>
        <v>2636</v>
      </c>
      <c r="BI673" s="2876">
        <f t="shared" ca="1" si="1214"/>
        <v>6.6566523605150216</v>
      </c>
    </row>
    <row r="674" spans="1:61" ht="14.5">
      <c r="A674" s="1693">
        <f t="shared" si="1238"/>
        <v>666</v>
      </c>
      <c r="B674" s="616">
        <v>1</v>
      </c>
      <c r="C674" s="1693">
        <f t="shared" si="1237"/>
        <v>674</v>
      </c>
      <c r="D674" s="616">
        <v>1</v>
      </c>
      <c r="F674" s="69"/>
      <c r="J674" s="352"/>
      <c r="K674" s="353"/>
      <c r="L674" s="68"/>
      <c r="M674" s="68"/>
      <c r="N674" s="69"/>
      <c r="O674" s="740" t="s">
        <v>670</v>
      </c>
      <c r="P674" s="296"/>
      <c r="Q674" s="296"/>
      <c r="R674" s="1779" t="str">
        <f>CHOOSE(2, "6722000003585", "S/GP (3) Gross Profit Direct HW &amp; Solution KM-1/KM-1e")</f>
        <v>S/GP (3) Gross Profit Direct HW &amp; Solution KM-1/KM-1e</v>
      </c>
      <c r="S674" s="1227">
        <v>12596</v>
      </c>
      <c r="T674" s="1227"/>
      <c r="U674" s="1227"/>
      <c r="V674" s="1227"/>
      <c r="W674" s="1227"/>
      <c r="X674" s="1227">
        <v>0</v>
      </c>
      <c r="Y674" s="1227"/>
      <c r="Z674" s="1227"/>
      <c r="AA674" s="1227"/>
      <c r="AB674" s="1227"/>
      <c r="AC674" s="1227"/>
      <c r="AD674" s="1227"/>
      <c r="AE674" s="295">
        <f t="shared" ref="AE674:AE679" si="1265">SUM(S674,T674,U674)</f>
        <v>12596</v>
      </c>
      <c r="AF674" s="96">
        <f t="shared" ref="AF674:AF679" si="1266">SUM(V674,W674,X674)</f>
        <v>0</v>
      </c>
      <c r="AG674" s="96">
        <f t="shared" ref="AG674:AG679" si="1267">SUM(Y674,Z674,AA674)</f>
        <v>0</v>
      </c>
      <c r="AH674" s="96">
        <f t="shared" ref="AH674:AH679" si="1268">SUM(AB674,AC674,AD674)</f>
        <v>0</v>
      </c>
      <c r="AI674" s="96">
        <f t="shared" ref="AI674:AI679" si="1269">AE674+AF674</f>
        <v>12596</v>
      </c>
      <c r="AJ674" s="96">
        <f t="shared" ref="AJ674:AJ679" si="1270">AH674+AG674</f>
        <v>0</v>
      </c>
      <c r="AK674" s="96">
        <f t="shared" ref="AK674:AK679" si="1271">AI674+AJ674</f>
        <v>12596</v>
      </c>
      <c r="AM674" s="2161">
        <f ca="1">SUM((INDIRECT(AM$2&amp;(ROW())):INDIRECT(AM$3&amp;(ROW()))))</f>
        <v>12596</v>
      </c>
      <c r="AN674" s="2161">
        <f ca="1">SUM(INDIRECT(AN$1&amp;AN$2&amp;$C674):INDIRECT(AN$1&amp;AN$3&amp;$C674))</f>
        <v>10000</v>
      </c>
      <c r="AO674" s="2877">
        <f t="shared" ca="1" si="1226"/>
        <v>2596</v>
      </c>
      <c r="AP674" s="2878">
        <f t="shared" ca="1" si="1205"/>
        <v>1.2596000000000001</v>
      </c>
      <c r="AQ674" s="2161">
        <f ca="1">SUM(INDIRECT(AQ$1&amp;AQ$2&amp;$A674):INDIRECT(AQ$1&amp;AQ$3&amp;$A674))</f>
        <v>0</v>
      </c>
      <c r="AR674" s="2877">
        <f t="shared" ca="1" si="1227"/>
        <v>12596</v>
      </c>
      <c r="AS674" s="2878">
        <f t="shared" ca="1" si="1206"/>
        <v>0</v>
      </c>
      <c r="AU674" s="2161">
        <f ca="1">SUM((INDIRECT(AU$2&amp;(ROW())):INDIRECT(AU$3&amp;(ROW()))))</f>
        <v>12596</v>
      </c>
      <c r="AV674" s="2161">
        <f ca="1">SUM(INDIRECT(AV$1&amp;AV$2&amp;$C674):INDIRECT(AV$1&amp;AV$3&amp;$C674))</f>
        <v>10000</v>
      </c>
      <c r="AW674" s="2877">
        <f t="shared" ca="1" si="1207"/>
        <v>2596</v>
      </c>
      <c r="AX674" s="2878">
        <f t="shared" ca="1" si="1208"/>
        <v>1.2596000000000001</v>
      </c>
      <c r="AY674" s="2161">
        <f ca="1">SUM(INDIRECT(AY$1&amp;AY$2&amp;$A674):INDIRECT(AY$1&amp;AY$3&amp;$A674))</f>
        <v>0</v>
      </c>
      <c r="AZ674" s="2877">
        <f t="shared" ca="1" si="1209"/>
        <v>12596</v>
      </c>
      <c r="BA674" s="2878">
        <f t="shared" ca="1" si="1210"/>
        <v>0</v>
      </c>
      <c r="BC674" s="2161">
        <f ca="1">SUM((INDIRECT(BC$2&amp;(ROW())):INDIRECT(BC$3&amp;(ROW()))))</f>
        <v>12596</v>
      </c>
      <c r="BD674" s="2161">
        <f ca="1">SUM(INDIRECT(BD$1&amp;BD$2&amp;$C674):INDIRECT(BD$1&amp;BD$3&amp;$C674))</f>
        <v>10000</v>
      </c>
      <c r="BE674" s="2877">
        <f t="shared" ca="1" si="1211"/>
        <v>2596</v>
      </c>
      <c r="BF674" s="2878">
        <f t="shared" ca="1" si="1212"/>
        <v>1.2596000000000001</v>
      </c>
      <c r="BG674" s="2161">
        <f ca="1">SUM(INDIRECT(BG$1&amp;BG$2&amp;$A674):INDIRECT(BG$1&amp;BG$3&amp;$A674))</f>
        <v>0</v>
      </c>
      <c r="BH674" s="2877">
        <f t="shared" ca="1" si="1213"/>
        <v>12596</v>
      </c>
      <c r="BI674" s="2878">
        <f t="shared" ca="1" si="1214"/>
        <v>0</v>
      </c>
    </row>
    <row r="675" spans="1:61" ht="14.5">
      <c r="A675" s="1693">
        <f t="shared" si="1238"/>
        <v>667</v>
      </c>
      <c r="B675" s="616">
        <v>1</v>
      </c>
      <c r="C675" s="1693">
        <f t="shared" si="1237"/>
        <v>675</v>
      </c>
      <c r="D675" s="616">
        <v>1</v>
      </c>
      <c r="F675" s="69"/>
      <c r="J675" s="352"/>
      <c r="K675" s="353"/>
      <c r="L675" s="68"/>
      <c r="M675" s="68"/>
      <c r="N675" s="69"/>
      <c r="O675" s="69" t="s">
        <v>117</v>
      </c>
      <c r="P675" s="69"/>
      <c r="Q675" s="69"/>
      <c r="R675" s="1779" t="str">
        <f>CHOOSE(2, "6722000003586", "S/GP (3) Gross Profit Direct HW &amp; Solution Label Printer")</f>
        <v>S/GP (3) Gross Profit Direct HW &amp; Solution Label Printer</v>
      </c>
      <c r="S675" s="1217">
        <v>-9746</v>
      </c>
      <c r="T675" s="1217">
        <v>-746.21199999999999</v>
      </c>
      <c r="U675" s="1217">
        <v>5596</v>
      </c>
      <c r="V675" s="1217"/>
      <c r="W675" s="1217"/>
      <c r="X675" s="1217">
        <v>19190</v>
      </c>
      <c r="Y675" s="1217">
        <v>-284.31335000000121</v>
      </c>
      <c r="Z675" s="1217">
        <v>5711.5578800000003</v>
      </c>
      <c r="AA675" s="1217">
        <v>4040.27468</v>
      </c>
      <c r="AB675" s="1217">
        <v>4672.4276500000005</v>
      </c>
      <c r="AC675" s="1217">
        <v>4724.3474500000002</v>
      </c>
      <c r="AD675" s="1217">
        <v>9878.3989999999994</v>
      </c>
      <c r="AE675" s="88">
        <f t="shared" si="1265"/>
        <v>-4896.2119999999995</v>
      </c>
      <c r="AF675" s="17">
        <f t="shared" si="1266"/>
        <v>19190</v>
      </c>
      <c r="AG675" s="17">
        <f t="shared" si="1267"/>
        <v>9467.5192099999986</v>
      </c>
      <c r="AH675" s="17">
        <f t="shared" si="1268"/>
        <v>19275.1741</v>
      </c>
      <c r="AI675" s="17">
        <f t="shared" si="1269"/>
        <v>14293.788</v>
      </c>
      <c r="AJ675" s="17">
        <f t="shared" si="1270"/>
        <v>28742.693309999999</v>
      </c>
      <c r="AK675" s="17">
        <f t="shared" si="1271"/>
        <v>43036.481310000003</v>
      </c>
      <c r="AL675" s="69"/>
      <c r="AM675" s="1926">
        <f ca="1">SUM((INDIRECT(AM$2&amp;(ROW())):INDIRECT(AM$3&amp;(ROW()))))</f>
        <v>-9746</v>
      </c>
      <c r="AN675" s="1926">
        <f ca="1">SUM(INDIRECT(AN$1&amp;AN$2&amp;$C675):INDIRECT(AN$1&amp;AN$3&amp;$C675))</f>
        <v>0</v>
      </c>
      <c r="AO675" s="2707">
        <f t="shared" ca="1" si="1226"/>
        <v>-9746</v>
      </c>
      <c r="AP675" s="2708">
        <f t="shared" ca="1" si="1205"/>
        <v>0</v>
      </c>
      <c r="AQ675" s="1926">
        <f ca="1">SUM(INDIRECT(AQ$1&amp;AQ$2&amp;$A675):INDIRECT(AQ$1&amp;AQ$3&amp;$A675))</f>
        <v>0</v>
      </c>
      <c r="AR675" s="2707">
        <f t="shared" ca="1" si="1227"/>
        <v>-9746</v>
      </c>
      <c r="AS675" s="2708">
        <f t="shared" ca="1" si="1206"/>
        <v>0</v>
      </c>
      <c r="AU675" s="1926">
        <f ca="1">SUM((INDIRECT(AU$2&amp;(ROW())):INDIRECT(AU$3&amp;(ROW()))))</f>
        <v>-9746</v>
      </c>
      <c r="AV675" s="1926">
        <f ca="1">SUM(INDIRECT(AV$1&amp;AV$2&amp;$C675):INDIRECT(AV$1&amp;AV$3&amp;$C675))</f>
        <v>0</v>
      </c>
      <c r="AW675" s="2707">
        <f t="shared" ca="1" si="1207"/>
        <v>-9746</v>
      </c>
      <c r="AX675" s="2708">
        <f t="shared" ca="1" si="1208"/>
        <v>0</v>
      </c>
      <c r="AY675" s="1926">
        <f ca="1">SUM(INDIRECT(AY$1&amp;AY$2&amp;$A675):INDIRECT(AY$1&amp;AY$3&amp;$A675))</f>
        <v>0</v>
      </c>
      <c r="AZ675" s="2707">
        <f t="shared" ca="1" si="1209"/>
        <v>-9746</v>
      </c>
      <c r="BA675" s="2708">
        <f t="shared" ca="1" si="1210"/>
        <v>0</v>
      </c>
      <c r="BC675" s="1926">
        <f ca="1">SUM((INDIRECT(BC$2&amp;(ROW())):INDIRECT(BC$3&amp;(ROW()))))</f>
        <v>-9746</v>
      </c>
      <c r="BD675" s="1926">
        <f ca="1">SUM(INDIRECT(BD$1&amp;BD$2&amp;$C675):INDIRECT(BD$1&amp;BD$3&amp;$C675))</f>
        <v>0</v>
      </c>
      <c r="BE675" s="2707">
        <f t="shared" ca="1" si="1211"/>
        <v>-9746</v>
      </c>
      <c r="BF675" s="2708">
        <f t="shared" ca="1" si="1212"/>
        <v>0</v>
      </c>
      <c r="BG675" s="1926">
        <f ca="1">SUM(INDIRECT(BG$1&amp;BG$2&amp;$A675):INDIRECT(BG$1&amp;BG$3&amp;$A675))</f>
        <v>0</v>
      </c>
      <c r="BH675" s="2707">
        <f t="shared" ca="1" si="1213"/>
        <v>-9746</v>
      </c>
      <c r="BI675" s="2708">
        <f t="shared" ca="1" si="1214"/>
        <v>0</v>
      </c>
    </row>
    <row r="676" spans="1:61" ht="14.5">
      <c r="A676" s="1693">
        <f t="shared" si="1238"/>
        <v>668</v>
      </c>
      <c r="B676" s="616">
        <v>1</v>
      </c>
      <c r="C676" s="1693">
        <f t="shared" si="1237"/>
        <v>676</v>
      </c>
      <c r="D676" s="616">
        <v>1</v>
      </c>
      <c r="F676" s="69"/>
      <c r="J676" s="352"/>
      <c r="K676" s="353"/>
      <c r="L676" s="68"/>
      <c r="M676" s="68"/>
      <c r="N676" s="69"/>
      <c r="O676" s="69" t="s">
        <v>52</v>
      </c>
      <c r="P676" s="69"/>
      <c r="Q676" s="69"/>
      <c r="R676" s="1779" t="str">
        <f>CHOOSE(2, "6722000003587", "S/GP (3) Gross Profit Direct HW &amp; Solution MGI")</f>
        <v>S/GP (3) Gross Profit Direct HW &amp; Solution MGI</v>
      </c>
      <c r="S676" s="1217">
        <v>252</v>
      </c>
      <c r="T676" s="1217">
        <v>882.44200000000001</v>
      </c>
      <c r="U676" s="1217">
        <v>526</v>
      </c>
      <c r="V676" s="1217">
        <v>-634.02670625000007</v>
      </c>
      <c r="W676" s="1217">
        <v>11382</v>
      </c>
      <c r="X676" s="1217">
        <v>978.34029375000011</v>
      </c>
      <c r="Y676" s="1217">
        <v>-912.44182624999996</v>
      </c>
      <c r="Z676" s="1217">
        <v>5339.4655137500004</v>
      </c>
      <c r="AA676" s="1217">
        <v>-4820.8283062500004</v>
      </c>
      <c r="AB676" s="1217">
        <v>-5378.9431462500006</v>
      </c>
      <c r="AC676" s="1217">
        <v>-479.99572624999996</v>
      </c>
      <c r="AD676" s="1217">
        <v>9497.5104200000023</v>
      </c>
      <c r="AE676" s="88">
        <f t="shared" si="1265"/>
        <v>1660.442</v>
      </c>
      <c r="AF676" s="17">
        <f t="shared" si="1266"/>
        <v>11726.313587499999</v>
      </c>
      <c r="AG676" s="17">
        <f t="shared" si="1267"/>
        <v>-393.80461875000037</v>
      </c>
      <c r="AH676" s="17">
        <f t="shared" si="1268"/>
        <v>3638.5715475000015</v>
      </c>
      <c r="AI676" s="17">
        <f t="shared" si="1269"/>
        <v>13386.7555875</v>
      </c>
      <c r="AJ676" s="17">
        <f t="shared" si="1270"/>
        <v>3244.7669287500012</v>
      </c>
      <c r="AK676" s="17">
        <f t="shared" si="1271"/>
        <v>16631.522516249999</v>
      </c>
      <c r="AL676" s="69"/>
      <c r="AM676" s="1926">
        <f ca="1">SUM((INDIRECT(AM$2&amp;(ROW())):INDIRECT(AM$3&amp;(ROW()))))</f>
        <v>252</v>
      </c>
      <c r="AN676" s="1926">
        <f ca="1">SUM(INDIRECT(AN$1&amp;AN$2&amp;$C676):INDIRECT(AN$1&amp;AN$3&amp;$C676))</f>
        <v>703.33399999999995</v>
      </c>
      <c r="AO676" s="2707">
        <f t="shared" ca="1" si="1226"/>
        <v>-451.33399999999995</v>
      </c>
      <c r="AP676" s="2708">
        <f t="shared" ca="1" si="1205"/>
        <v>0.35829349924786802</v>
      </c>
      <c r="AQ676" s="1926">
        <f ca="1">SUM(INDIRECT(AQ$1&amp;AQ$2&amp;$A676):INDIRECT(AQ$1&amp;AQ$3&amp;$A676))</f>
        <v>466</v>
      </c>
      <c r="AR676" s="2707">
        <f t="shared" ca="1" si="1227"/>
        <v>-214</v>
      </c>
      <c r="AS676" s="2708">
        <f t="shared" ca="1" si="1206"/>
        <v>0.54077253218884125</v>
      </c>
      <c r="AU676" s="1926">
        <f ca="1">SUM((INDIRECT(AU$2&amp;(ROW())):INDIRECT(AU$3&amp;(ROW()))))</f>
        <v>252</v>
      </c>
      <c r="AV676" s="1926">
        <f ca="1">SUM(INDIRECT(AV$1&amp;AV$2&amp;$C676):INDIRECT(AV$1&amp;AV$3&amp;$C676))</f>
        <v>703.33399999999995</v>
      </c>
      <c r="AW676" s="2707">
        <f t="shared" ca="1" si="1207"/>
        <v>-451.33399999999995</v>
      </c>
      <c r="AX676" s="2708">
        <f t="shared" ca="1" si="1208"/>
        <v>0.35829349924786802</v>
      </c>
      <c r="AY676" s="1926">
        <f ca="1">SUM(INDIRECT(AY$1&amp;AY$2&amp;$A676):INDIRECT(AY$1&amp;AY$3&amp;$A676))</f>
        <v>466</v>
      </c>
      <c r="AZ676" s="2707">
        <f t="shared" ca="1" si="1209"/>
        <v>-214</v>
      </c>
      <c r="BA676" s="2708">
        <f t="shared" ca="1" si="1210"/>
        <v>0.54077253218884125</v>
      </c>
      <c r="BC676" s="1926">
        <f ca="1">SUM((INDIRECT(BC$2&amp;(ROW())):INDIRECT(BC$3&amp;(ROW()))))</f>
        <v>252</v>
      </c>
      <c r="BD676" s="1926">
        <f ca="1">SUM(INDIRECT(BD$1&amp;BD$2&amp;$C676):INDIRECT(BD$1&amp;BD$3&amp;$C676))</f>
        <v>703.33399999999995</v>
      </c>
      <c r="BE676" s="2707">
        <f t="shared" ca="1" si="1211"/>
        <v>-451.33399999999995</v>
      </c>
      <c r="BF676" s="2708">
        <f t="shared" ca="1" si="1212"/>
        <v>0.35829349924786802</v>
      </c>
      <c r="BG676" s="1926">
        <f ca="1">SUM(INDIRECT(BG$1&amp;BG$2&amp;$A676):INDIRECT(BG$1&amp;BG$3&amp;$A676))</f>
        <v>466</v>
      </c>
      <c r="BH676" s="2707">
        <f t="shared" ca="1" si="1213"/>
        <v>-214</v>
      </c>
      <c r="BI676" s="2708">
        <f t="shared" ca="1" si="1214"/>
        <v>0.54077253218884125</v>
      </c>
    </row>
    <row r="677" spans="1:61" ht="14.5">
      <c r="A677" s="1693">
        <f t="shared" si="1238"/>
        <v>669</v>
      </c>
      <c r="B677" s="616">
        <v>1</v>
      </c>
      <c r="C677" s="1693">
        <f t="shared" si="1237"/>
        <v>677</v>
      </c>
      <c r="D677" s="616">
        <v>1</v>
      </c>
      <c r="F677" s="69"/>
      <c r="J677" s="352"/>
      <c r="K677" s="353"/>
      <c r="L677" s="68"/>
      <c r="M677" s="68"/>
      <c r="N677" s="69"/>
      <c r="O677" s="69" t="s">
        <v>118</v>
      </c>
      <c r="P677" s="69"/>
      <c r="Q677" s="69"/>
      <c r="R677" s="1779" t="str">
        <f>CHOOSE(2, "6722000003588", "S/GP (3) Gross Profit Direct HW &amp; Solution EFI/LF")</f>
        <v>S/GP (3) Gross Profit Direct HW &amp; Solution EFI/LF</v>
      </c>
      <c r="S677" s="1217"/>
      <c r="T677" s="1217"/>
      <c r="U677" s="1217"/>
      <c r="V677" s="1217"/>
      <c r="W677" s="1217"/>
      <c r="X677" s="1217"/>
      <c r="Y677" s="1217"/>
      <c r="Z677" s="1217"/>
      <c r="AA677" s="1217"/>
      <c r="AB677" s="1217"/>
      <c r="AC677" s="1217"/>
      <c r="AD677" s="1217"/>
      <c r="AE677" s="88">
        <f t="shared" si="1265"/>
        <v>0</v>
      </c>
      <c r="AF677" s="17">
        <f t="shared" si="1266"/>
        <v>0</v>
      </c>
      <c r="AG677" s="17">
        <f t="shared" si="1267"/>
        <v>0</v>
      </c>
      <c r="AH677" s="17">
        <f t="shared" si="1268"/>
        <v>0</v>
      </c>
      <c r="AI677" s="17">
        <f t="shared" si="1269"/>
        <v>0</v>
      </c>
      <c r="AJ677" s="17">
        <f t="shared" si="1270"/>
        <v>0</v>
      </c>
      <c r="AK677" s="17">
        <f t="shared" si="1271"/>
        <v>0</v>
      </c>
      <c r="AL677" s="69"/>
      <c r="AM677" s="1926">
        <f ca="1">SUM((INDIRECT(AM$2&amp;(ROW())):INDIRECT(AM$3&amp;(ROW()))))</f>
        <v>0</v>
      </c>
      <c r="AN677" s="1926">
        <f ca="1">SUM(INDIRECT(AN$1&amp;AN$2&amp;$C677):INDIRECT(AN$1&amp;AN$3&amp;$C677))</f>
        <v>0</v>
      </c>
      <c r="AO677" s="2707">
        <f t="shared" ca="1" si="1226"/>
        <v>0</v>
      </c>
      <c r="AP677" s="2708">
        <f t="shared" ca="1" si="1205"/>
        <v>0</v>
      </c>
      <c r="AQ677" s="1926">
        <f ca="1">SUM(INDIRECT(AQ$1&amp;AQ$2&amp;$A677):INDIRECT(AQ$1&amp;AQ$3&amp;$A677))</f>
        <v>0</v>
      </c>
      <c r="AR677" s="2707">
        <f t="shared" ca="1" si="1227"/>
        <v>0</v>
      </c>
      <c r="AS677" s="2708">
        <f t="shared" ca="1" si="1206"/>
        <v>0</v>
      </c>
      <c r="AU677" s="1926">
        <f ca="1">SUM((INDIRECT(AU$2&amp;(ROW())):INDIRECT(AU$3&amp;(ROW()))))</f>
        <v>0</v>
      </c>
      <c r="AV677" s="1926">
        <f ca="1">SUM(INDIRECT(AV$1&amp;AV$2&amp;$C677):INDIRECT(AV$1&amp;AV$3&amp;$C677))</f>
        <v>0</v>
      </c>
      <c r="AW677" s="2707">
        <f t="shared" ca="1" si="1207"/>
        <v>0</v>
      </c>
      <c r="AX677" s="2708">
        <f t="shared" ca="1" si="1208"/>
        <v>0</v>
      </c>
      <c r="AY677" s="1926">
        <f ca="1">SUM(INDIRECT(AY$1&amp;AY$2&amp;$A677):INDIRECT(AY$1&amp;AY$3&amp;$A677))</f>
        <v>0</v>
      </c>
      <c r="AZ677" s="2707">
        <f t="shared" ca="1" si="1209"/>
        <v>0</v>
      </c>
      <c r="BA677" s="2708">
        <f t="shared" ca="1" si="1210"/>
        <v>0</v>
      </c>
      <c r="BC677" s="1926">
        <f ca="1">SUM((INDIRECT(BC$2&amp;(ROW())):INDIRECT(BC$3&amp;(ROW()))))</f>
        <v>0</v>
      </c>
      <c r="BD677" s="1926">
        <f ca="1">SUM(INDIRECT(BD$1&amp;BD$2&amp;$C677):INDIRECT(BD$1&amp;BD$3&amp;$C677))</f>
        <v>0</v>
      </c>
      <c r="BE677" s="2707">
        <f t="shared" ca="1" si="1211"/>
        <v>0</v>
      </c>
      <c r="BF677" s="2708">
        <f t="shared" ca="1" si="1212"/>
        <v>0</v>
      </c>
      <c r="BG677" s="1926">
        <f ca="1">SUM(INDIRECT(BG$1&amp;BG$2&amp;$A677):INDIRECT(BG$1&amp;BG$3&amp;$A677))</f>
        <v>0</v>
      </c>
      <c r="BH677" s="2707">
        <f t="shared" ca="1" si="1213"/>
        <v>0</v>
      </c>
      <c r="BI677" s="2708">
        <f t="shared" ca="1" si="1214"/>
        <v>0</v>
      </c>
    </row>
    <row r="678" spans="1:61" ht="14.5">
      <c r="A678" s="1693">
        <f t="shared" si="1238"/>
        <v>670</v>
      </c>
      <c r="B678" s="616">
        <v>1</v>
      </c>
      <c r="C678" s="1693">
        <f t="shared" si="1237"/>
        <v>678</v>
      </c>
      <c r="D678" s="616">
        <v>1</v>
      </c>
      <c r="F678" s="69"/>
      <c r="J678" s="352"/>
      <c r="K678" s="353"/>
      <c r="L678" s="68"/>
      <c r="M678" s="68"/>
      <c r="N678" s="69"/>
      <c r="O678" s="69" t="s">
        <v>180</v>
      </c>
      <c r="P678" s="69"/>
      <c r="Q678" s="69"/>
      <c r="R678" s="1779" t="str">
        <f>CHOOSE(2, "6722000003589", "S/GP (3) Gross Profit Direct HW &amp; Solution Textile Printer")</f>
        <v>S/GP (3) Gross Profit Direct HW &amp; Solution Textile Printer</v>
      </c>
      <c r="S678" s="1217"/>
      <c r="T678" s="1217"/>
      <c r="U678" s="1217"/>
      <c r="V678" s="1217"/>
      <c r="W678" s="1217"/>
      <c r="X678" s="1217"/>
      <c r="Y678" s="1217"/>
      <c r="Z678" s="1217"/>
      <c r="AA678" s="1217"/>
      <c r="AB678" s="1217"/>
      <c r="AC678" s="1217"/>
      <c r="AD678" s="1217"/>
      <c r="AE678" s="88">
        <f t="shared" si="1265"/>
        <v>0</v>
      </c>
      <c r="AF678" s="17">
        <f t="shared" si="1266"/>
        <v>0</v>
      </c>
      <c r="AG678" s="17">
        <f t="shared" si="1267"/>
        <v>0</v>
      </c>
      <c r="AH678" s="17">
        <f t="shared" si="1268"/>
        <v>0</v>
      </c>
      <c r="AI678" s="17">
        <f t="shared" si="1269"/>
        <v>0</v>
      </c>
      <c r="AJ678" s="17">
        <f t="shared" si="1270"/>
        <v>0</v>
      </c>
      <c r="AK678" s="17">
        <f t="shared" si="1271"/>
        <v>0</v>
      </c>
      <c r="AL678" s="69"/>
      <c r="AM678" s="1926">
        <f ca="1">SUM((INDIRECT(AM$2&amp;(ROW())):INDIRECT(AM$3&amp;(ROW()))))</f>
        <v>0</v>
      </c>
      <c r="AN678" s="1926">
        <f ca="1">SUM(INDIRECT(AN$1&amp;AN$2&amp;$C678):INDIRECT(AN$1&amp;AN$3&amp;$C678))</f>
        <v>0</v>
      </c>
      <c r="AO678" s="2707">
        <f t="shared" ca="1" si="1226"/>
        <v>0</v>
      </c>
      <c r="AP678" s="2708">
        <f t="shared" ca="1" si="1205"/>
        <v>0</v>
      </c>
      <c r="AQ678" s="1926">
        <f ca="1">SUM(INDIRECT(AQ$1&amp;AQ$2&amp;$A678):INDIRECT(AQ$1&amp;AQ$3&amp;$A678))</f>
        <v>0</v>
      </c>
      <c r="AR678" s="2707">
        <f t="shared" ca="1" si="1227"/>
        <v>0</v>
      </c>
      <c r="AS678" s="2708">
        <f t="shared" ca="1" si="1206"/>
        <v>0</v>
      </c>
      <c r="AU678" s="1926">
        <f ca="1">SUM((INDIRECT(AU$2&amp;(ROW())):INDIRECT(AU$3&amp;(ROW()))))</f>
        <v>0</v>
      </c>
      <c r="AV678" s="1926">
        <f ca="1">SUM(INDIRECT(AV$1&amp;AV$2&amp;$C678):INDIRECT(AV$1&amp;AV$3&amp;$C678))</f>
        <v>0</v>
      </c>
      <c r="AW678" s="2707">
        <f t="shared" ca="1" si="1207"/>
        <v>0</v>
      </c>
      <c r="AX678" s="2708">
        <f t="shared" ca="1" si="1208"/>
        <v>0</v>
      </c>
      <c r="AY678" s="1926">
        <f ca="1">SUM(INDIRECT(AY$1&amp;AY$2&amp;$A678):INDIRECT(AY$1&amp;AY$3&amp;$A678))</f>
        <v>0</v>
      </c>
      <c r="AZ678" s="2707">
        <f t="shared" ca="1" si="1209"/>
        <v>0</v>
      </c>
      <c r="BA678" s="2708">
        <f t="shared" ca="1" si="1210"/>
        <v>0</v>
      </c>
      <c r="BC678" s="1926">
        <f ca="1">SUM((INDIRECT(BC$2&amp;(ROW())):INDIRECT(BC$3&amp;(ROW()))))</f>
        <v>0</v>
      </c>
      <c r="BD678" s="1926">
        <f ca="1">SUM(INDIRECT(BD$1&amp;BD$2&amp;$C678):INDIRECT(BD$1&amp;BD$3&amp;$C678))</f>
        <v>0</v>
      </c>
      <c r="BE678" s="2707">
        <f t="shared" ca="1" si="1211"/>
        <v>0</v>
      </c>
      <c r="BF678" s="2708">
        <f t="shared" ca="1" si="1212"/>
        <v>0</v>
      </c>
      <c r="BG678" s="1926">
        <f ca="1">SUM(INDIRECT(BG$1&amp;BG$2&amp;$A678):INDIRECT(BG$1&amp;BG$3&amp;$A678))</f>
        <v>0</v>
      </c>
      <c r="BH678" s="2707">
        <f t="shared" ca="1" si="1213"/>
        <v>0</v>
      </c>
      <c r="BI678" s="2708">
        <f t="shared" ca="1" si="1214"/>
        <v>0</v>
      </c>
    </row>
    <row r="679" spans="1:61" ht="14.5">
      <c r="A679" s="1693">
        <f t="shared" si="1238"/>
        <v>671</v>
      </c>
      <c r="B679" s="616">
        <v>1</v>
      </c>
      <c r="C679" s="1693">
        <f t="shared" si="1237"/>
        <v>679</v>
      </c>
      <c r="D679" s="616">
        <v>1</v>
      </c>
      <c r="F679" s="69"/>
      <c r="J679" s="352"/>
      <c r="K679" s="353"/>
      <c r="L679" s="68"/>
      <c r="M679" s="68"/>
      <c r="N679" s="69"/>
      <c r="O679" s="211" t="s">
        <v>51</v>
      </c>
      <c r="P679" s="211"/>
      <c r="Q679" s="211"/>
      <c r="R679" s="1779" t="str">
        <f>CHOOSE(2, "6722000003590", "S/GP (3) Gross Profit Direct HW &amp; Solution Others")</f>
        <v>S/GP (3) Gross Profit Direct HW &amp; Solution Others</v>
      </c>
      <c r="S679" s="1218"/>
      <c r="T679" s="1218"/>
      <c r="U679" s="1218"/>
      <c r="V679" s="1218"/>
      <c r="W679" s="1218"/>
      <c r="X679" s="1218"/>
      <c r="Y679" s="1218"/>
      <c r="Z679" s="1218"/>
      <c r="AA679" s="1218"/>
      <c r="AB679" s="1218"/>
      <c r="AC679" s="1218"/>
      <c r="AD679" s="1218"/>
      <c r="AE679" s="87">
        <f t="shared" si="1265"/>
        <v>0</v>
      </c>
      <c r="AF679" s="15">
        <f t="shared" si="1266"/>
        <v>0</v>
      </c>
      <c r="AG679" s="15">
        <f t="shared" si="1267"/>
        <v>0</v>
      </c>
      <c r="AH679" s="15">
        <f t="shared" si="1268"/>
        <v>0</v>
      </c>
      <c r="AI679" s="15">
        <f t="shared" si="1269"/>
        <v>0</v>
      </c>
      <c r="AJ679" s="15">
        <f t="shared" si="1270"/>
        <v>0</v>
      </c>
      <c r="AK679" s="15">
        <f t="shared" si="1271"/>
        <v>0</v>
      </c>
      <c r="AM679" s="1928">
        <f ca="1">SUM((INDIRECT(AM$2&amp;(ROW())):INDIRECT(AM$3&amp;(ROW()))))</f>
        <v>0</v>
      </c>
      <c r="AN679" s="1928">
        <f ca="1">SUM(INDIRECT(AN$1&amp;AN$2&amp;$C679):INDIRECT(AN$1&amp;AN$3&amp;$C679))</f>
        <v>0</v>
      </c>
      <c r="AO679" s="2709">
        <f t="shared" ca="1" si="1226"/>
        <v>0</v>
      </c>
      <c r="AP679" s="2710">
        <f t="shared" ca="1" si="1205"/>
        <v>0</v>
      </c>
      <c r="AQ679" s="1928">
        <f ca="1">SUM(INDIRECT(AQ$1&amp;AQ$2&amp;$A679):INDIRECT(AQ$1&amp;AQ$3&amp;$A679))</f>
        <v>0</v>
      </c>
      <c r="AR679" s="2709">
        <f t="shared" ca="1" si="1227"/>
        <v>0</v>
      </c>
      <c r="AS679" s="2710">
        <f t="shared" ca="1" si="1206"/>
        <v>0</v>
      </c>
      <c r="AU679" s="1928">
        <f ca="1">SUM((INDIRECT(AU$2&amp;(ROW())):INDIRECT(AU$3&amp;(ROW()))))</f>
        <v>0</v>
      </c>
      <c r="AV679" s="1928">
        <f ca="1">SUM(INDIRECT(AV$1&amp;AV$2&amp;$C679):INDIRECT(AV$1&amp;AV$3&amp;$C679))</f>
        <v>0</v>
      </c>
      <c r="AW679" s="2709">
        <f t="shared" ca="1" si="1207"/>
        <v>0</v>
      </c>
      <c r="AX679" s="2710">
        <f t="shared" ca="1" si="1208"/>
        <v>0</v>
      </c>
      <c r="AY679" s="1928">
        <f ca="1">SUM(INDIRECT(AY$1&amp;AY$2&amp;$A679):INDIRECT(AY$1&amp;AY$3&amp;$A679))</f>
        <v>0</v>
      </c>
      <c r="AZ679" s="2709">
        <f t="shared" ca="1" si="1209"/>
        <v>0</v>
      </c>
      <c r="BA679" s="2710">
        <f t="shared" ca="1" si="1210"/>
        <v>0</v>
      </c>
      <c r="BC679" s="1928">
        <f ca="1">SUM((INDIRECT(BC$2&amp;(ROW())):INDIRECT(BC$3&amp;(ROW()))))</f>
        <v>0</v>
      </c>
      <c r="BD679" s="1928">
        <f ca="1">SUM(INDIRECT(BD$1&amp;BD$2&amp;$C679):INDIRECT(BD$1&amp;BD$3&amp;$C679))</f>
        <v>0</v>
      </c>
      <c r="BE679" s="2709">
        <f t="shared" ca="1" si="1211"/>
        <v>0</v>
      </c>
      <c r="BF679" s="2710">
        <f t="shared" ca="1" si="1212"/>
        <v>0</v>
      </c>
      <c r="BG679" s="1928">
        <f ca="1">SUM(INDIRECT(BG$1&amp;BG$2&amp;$A679):INDIRECT(BG$1&amp;BG$3&amp;$A679))</f>
        <v>0</v>
      </c>
      <c r="BH679" s="2709">
        <f t="shared" ca="1" si="1213"/>
        <v>0</v>
      </c>
      <c r="BI679" s="2710">
        <f t="shared" ca="1" si="1214"/>
        <v>0</v>
      </c>
    </row>
    <row r="680" spans="1:61" ht="14.5">
      <c r="A680" s="1693">
        <f t="shared" si="1238"/>
        <v>672</v>
      </c>
      <c r="B680" s="616">
        <v>1</v>
      </c>
      <c r="C680" s="1693">
        <f t="shared" si="1237"/>
        <v>680</v>
      </c>
      <c r="D680" s="616">
        <v>1</v>
      </c>
      <c r="F680" s="69"/>
      <c r="J680" s="352"/>
      <c r="K680" s="353"/>
      <c r="L680" s="68"/>
      <c r="M680" s="68"/>
      <c r="N680" s="218" t="s">
        <v>189</v>
      </c>
      <c r="O680" s="234"/>
      <c r="P680" s="234"/>
      <c r="Q680" s="234"/>
      <c r="R680" s="1777" t="str">
        <f>CHOOSE(2, "6722000003591", "S/GP (3) Gross Profit Direct NH")</f>
        <v>S/GP (3) Gross Profit Direct NH</v>
      </c>
      <c r="S680" s="1551">
        <f>S681+S687+S693+S699+S705+S711+S714+S715</f>
        <v>-1786</v>
      </c>
      <c r="T680" s="1551">
        <f t="shared" ref="T680:AD680" si="1272">T681+T687+T693+T699+T705+T711+T714+T715</f>
        <v>-170.83897583333317</v>
      </c>
      <c r="U680" s="1551">
        <f t="shared" si="1272"/>
        <v>467.24381416666699</v>
      </c>
      <c r="V680" s="1551">
        <f t="shared" si="1272"/>
        <v>1495.5514841666673</v>
      </c>
      <c r="W680" s="1551">
        <f t="shared" si="1272"/>
        <v>1419.7575134774106</v>
      </c>
      <c r="X680" s="1551">
        <f t="shared" si="1272"/>
        <v>2089.8390241666666</v>
      </c>
      <c r="Y680" s="1551">
        <f t="shared" si="1272"/>
        <v>467.60083416666714</v>
      </c>
      <c r="Z680" s="1551">
        <f t="shared" si="1272"/>
        <v>2235.1373741666671</v>
      </c>
      <c r="AA680" s="1551">
        <f t="shared" si="1272"/>
        <v>2989.4442154188487</v>
      </c>
      <c r="AB680" s="1551">
        <f t="shared" si="1272"/>
        <v>2151.2324462457645</v>
      </c>
      <c r="AC680" s="1551">
        <f t="shared" si="1272"/>
        <v>3917.0381253486066</v>
      </c>
      <c r="AD680" s="1551">
        <f t="shared" si="1272"/>
        <v>703.59585889626874</v>
      </c>
      <c r="AE680" s="900">
        <f t="shared" ref="AE680:AK680" si="1273">AE681+AE687+AE693+AE699+AE705+AE711+AE714+AE715</f>
        <v>-1489.5951616666669</v>
      </c>
      <c r="AF680" s="475">
        <f t="shared" si="1273"/>
        <v>5005.1480218107454</v>
      </c>
      <c r="AG680" s="475">
        <f t="shared" si="1273"/>
        <v>5692.1824237521832</v>
      </c>
      <c r="AH680" s="475">
        <f t="shared" si="1273"/>
        <v>6771.8664304906397</v>
      </c>
      <c r="AI680" s="475">
        <f t="shared" si="1273"/>
        <v>3515.5528601440783</v>
      </c>
      <c r="AJ680" s="475">
        <f t="shared" si="1273"/>
        <v>12464.048854242825</v>
      </c>
      <c r="AK680" s="475">
        <f t="shared" si="1273"/>
        <v>15979.601714386903</v>
      </c>
      <c r="AM680" s="2197">
        <f ca="1">SUM((INDIRECT(AM$2&amp;(ROW())):INDIRECT(AM$3&amp;(ROW()))))</f>
        <v>-1786</v>
      </c>
      <c r="AN680" s="2197">
        <f ca="1">SUM(INDIRECT(AN$1&amp;AN$2&amp;$C680):INDIRECT(AN$1&amp;AN$3&amp;$C680))</f>
        <v>2227.4</v>
      </c>
      <c r="AO680" s="2703">
        <f t="shared" ca="1" si="1226"/>
        <v>-4013.4</v>
      </c>
      <c r="AP680" s="2704">
        <f t="shared" ca="1" si="1205"/>
        <v>-0.80183173206429015</v>
      </c>
      <c r="AQ680" s="2197">
        <f ca="1">SUM(INDIRECT(AQ$1&amp;AQ$2&amp;$A680):INDIRECT(AQ$1&amp;AQ$3&amp;$A680))</f>
        <v>589</v>
      </c>
      <c r="AR680" s="2703">
        <f t="shared" ca="1" si="1227"/>
        <v>-2375</v>
      </c>
      <c r="AS680" s="2704">
        <f t="shared" ca="1" si="1206"/>
        <v>-3.032258064516129</v>
      </c>
      <c r="AU680" s="2197">
        <f ca="1">SUM((INDIRECT(AU$2&amp;(ROW())):INDIRECT(AU$3&amp;(ROW()))))</f>
        <v>-1786</v>
      </c>
      <c r="AV680" s="2197">
        <f ca="1">SUM(INDIRECT(AV$1&amp;AV$2&amp;$C680):INDIRECT(AV$1&amp;AV$3&amp;$C680))</f>
        <v>2227.4</v>
      </c>
      <c r="AW680" s="2703">
        <f t="shared" ca="1" si="1207"/>
        <v>-4013.4</v>
      </c>
      <c r="AX680" s="2704">
        <f t="shared" ca="1" si="1208"/>
        <v>-0.80183173206429015</v>
      </c>
      <c r="AY680" s="2197">
        <f ca="1">SUM(INDIRECT(AY$1&amp;AY$2&amp;$A680):INDIRECT(AY$1&amp;AY$3&amp;$A680))</f>
        <v>589</v>
      </c>
      <c r="AZ680" s="2703">
        <f t="shared" ca="1" si="1209"/>
        <v>-2375</v>
      </c>
      <c r="BA680" s="2704">
        <f t="shared" ca="1" si="1210"/>
        <v>-3.032258064516129</v>
      </c>
      <c r="BC680" s="2197">
        <f ca="1">SUM((INDIRECT(BC$2&amp;(ROW())):INDIRECT(BC$3&amp;(ROW()))))</f>
        <v>-1786</v>
      </c>
      <c r="BD680" s="2197">
        <f ca="1">SUM(INDIRECT(BD$1&amp;BD$2&amp;$C680):INDIRECT(BD$1&amp;BD$3&amp;$C680))</f>
        <v>2227.4</v>
      </c>
      <c r="BE680" s="2703">
        <f t="shared" ca="1" si="1211"/>
        <v>-4013.4</v>
      </c>
      <c r="BF680" s="2704">
        <f t="shared" ca="1" si="1212"/>
        <v>-0.80183173206429015</v>
      </c>
      <c r="BG680" s="2197">
        <f ca="1">SUM(INDIRECT(BG$1&amp;BG$2&amp;$A680):INDIRECT(BG$1&amp;BG$3&amp;$A680))</f>
        <v>589</v>
      </c>
      <c r="BH680" s="2703">
        <f t="shared" ca="1" si="1213"/>
        <v>-2375</v>
      </c>
      <c r="BI680" s="2704">
        <f t="shared" ca="1" si="1214"/>
        <v>-3.032258064516129</v>
      </c>
    </row>
    <row r="681" spans="1:61" ht="14.5">
      <c r="A681" s="1693">
        <f t="shared" si="1238"/>
        <v>673</v>
      </c>
      <c r="B681" s="616">
        <v>1</v>
      </c>
      <c r="C681" s="1693">
        <f t="shared" si="1237"/>
        <v>681</v>
      </c>
      <c r="D681" s="616">
        <v>1</v>
      </c>
      <c r="F681" s="69"/>
      <c r="J681" s="352"/>
      <c r="K681" s="353"/>
      <c r="L681" s="68"/>
      <c r="M681" s="68"/>
      <c r="N681" s="69"/>
      <c r="O681" s="740" t="s">
        <v>670</v>
      </c>
      <c r="P681" s="302"/>
      <c r="Q681" s="302"/>
      <c r="R681" s="1777" t="str">
        <f>CHOOSE(2, "6722000003592", "S/GP (3) Gross Profit Direct NH KM-1/KM-1e")</f>
        <v>S/GP (3) Gross Profit Direct NH KM-1/KM-1e</v>
      </c>
      <c r="S681" s="1248">
        <f>S682+S683</f>
        <v>-2906</v>
      </c>
      <c r="T681" s="1248">
        <f t="shared" ref="T681:AD681" si="1274">T682+T683</f>
        <v>-355.56859668066159</v>
      </c>
      <c r="U681" s="1248">
        <f>U682+U683</f>
        <v>-1031.7093465135899</v>
      </c>
      <c r="V681" s="1248">
        <f t="shared" si="1274"/>
        <v>-225.93294125895719</v>
      </c>
      <c r="W681" s="1248">
        <f t="shared" si="1274"/>
        <v>72.303426197291998</v>
      </c>
      <c r="X681" s="1248">
        <f t="shared" si="1274"/>
        <v>-1162.4844672506545</v>
      </c>
      <c r="Y681" s="1248">
        <f t="shared" si="1274"/>
        <v>-1158.3212672506545</v>
      </c>
      <c r="Z681" s="1248">
        <f t="shared" si="1274"/>
        <v>-23.293971887105045</v>
      </c>
      <c r="AA681" s="1248">
        <f t="shared" si="1274"/>
        <v>548.70514428998138</v>
      </c>
      <c r="AB681" s="1248">
        <f t="shared" si="1274"/>
        <v>-1042.2944287228488</v>
      </c>
      <c r="AC681" s="1248">
        <f t="shared" si="1274"/>
        <v>146.15513017783519</v>
      </c>
      <c r="AD681" s="1248">
        <f t="shared" si="1274"/>
        <v>135.94519755279299</v>
      </c>
      <c r="AE681" s="895">
        <f t="shared" ref="AE681:AJ681" si="1275">AE682+AE683</f>
        <v>-4293.2779431942517</v>
      </c>
      <c r="AF681" s="1248">
        <f t="shared" si="1275"/>
        <v>-1316.1139823123196</v>
      </c>
      <c r="AG681" s="1248">
        <f t="shared" si="1275"/>
        <v>-632.91009484777817</v>
      </c>
      <c r="AH681" s="1248">
        <f t="shared" si="1275"/>
        <v>-760.19410099222057</v>
      </c>
      <c r="AI681" s="1248">
        <f t="shared" si="1275"/>
        <v>-5609.3919255065712</v>
      </c>
      <c r="AJ681" s="1248">
        <f t="shared" si="1275"/>
        <v>-1393.1041958399987</v>
      </c>
      <c r="AK681" s="1248">
        <f>AK682+AK683</f>
        <v>-7002.4961213465695</v>
      </c>
      <c r="AL681" s="69"/>
      <c r="AM681" s="2183">
        <f ca="1">SUM((INDIRECT(AM$2&amp;(ROW())):INDIRECT(AM$3&amp;(ROW()))))</f>
        <v>-2906</v>
      </c>
      <c r="AN681" s="2183">
        <f ca="1">SUM(INDIRECT(AN$1&amp;AN$2&amp;$C681):INDIRECT(AN$1&amp;AN$3&amp;$C681))</f>
        <v>-200</v>
      </c>
      <c r="AO681" s="2875">
        <f t="shared" ca="1" si="1226"/>
        <v>-2706</v>
      </c>
      <c r="AP681" s="2876">
        <f t="shared" ca="1" si="1205"/>
        <v>14.53</v>
      </c>
      <c r="AQ681" s="2183">
        <f ca="1">SUM(INDIRECT(AQ$1&amp;AQ$2&amp;$A681):INDIRECT(AQ$1&amp;AQ$3&amp;$A681))</f>
        <v>-360</v>
      </c>
      <c r="AR681" s="2875">
        <f t="shared" ca="1" si="1227"/>
        <v>-2546</v>
      </c>
      <c r="AS681" s="2876">
        <f t="shared" ca="1" si="1206"/>
        <v>8.0722222222222229</v>
      </c>
      <c r="AU681" s="2183">
        <f ca="1">SUM((INDIRECT(AU$2&amp;(ROW())):INDIRECT(AU$3&amp;(ROW()))))</f>
        <v>-2906</v>
      </c>
      <c r="AV681" s="2183">
        <f ca="1">SUM(INDIRECT(AV$1&amp;AV$2&amp;$C681):INDIRECT(AV$1&amp;AV$3&amp;$C681))</f>
        <v>-200</v>
      </c>
      <c r="AW681" s="2875">
        <f t="shared" ca="1" si="1207"/>
        <v>-2706</v>
      </c>
      <c r="AX681" s="2876">
        <f t="shared" ca="1" si="1208"/>
        <v>14.53</v>
      </c>
      <c r="AY681" s="2183">
        <f ca="1">SUM(INDIRECT(AY$1&amp;AY$2&amp;$A681):INDIRECT(AY$1&amp;AY$3&amp;$A681))</f>
        <v>-360</v>
      </c>
      <c r="AZ681" s="2875">
        <f t="shared" ca="1" si="1209"/>
        <v>-2546</v>
      </c>
      <c r="BA681" s="2876">
        <f t="shared" ca="1" si="1210"/>
        <v>8.0722222222222229</v>
      </c>
      <c r="BC681" s="2183">
        <f ca="1">SUM((INDIRECT(BC$2&amp;(ROW())):INDIRECT(BC$3&amp;(ROW()))))</f>
        <v>-2906</v>
      </c>
      <c r="BD681" s="2183">
        <f ca="1">SUM(INDIRECT(BD$1&amp;BD$2&amp;$C681):INDIRECT(BD$1&amp;BD$3&amp;$C681))</f>
        <v>-200</v>
      </c>
      <c r="BE681" s="2875">
        <f t="shared" ca="1" si="1211"/>
        <v>-2706</v>
      </c>
      <c r="BF681" s="2876">
        <f t="shared" ca="1" si="1212"/>
        <v>14.53</v>
      </c>
      <c r="BG681" s="2183">
        <f ca="1">SUM(INDIRECT(BG$1&amp;BG$2&amp;$A681):INDIRECT(BG$1&amp;BG$3&amp;$A681))</f>
        <v>-360</v>
      </c>
      <c r="BH681" s="2875">
        <f t="shared" ca="1" si="1213"/>
        <v>-2546</v>
      </c>
      <c r="BI681" s="2876">
        <f t="shared" ca="1" si="1214"/>
        <v>8.0722222222222229</v>
      </c>
    </row>
    <row r="682" spans="1:61" ht="14.5">
      <c r="A682" s="1693">
        <f t="shared" si="1238"/>
        <v>674</v>
      </c>
      <c r="B682" s="616">
        <v>1</v>
      </c>
      <c r="C682" s="1693">
        <f t="shared" si="1237"/>
        <v>682</v>
      </c>
      <c r="D682" s="616">
        <v>1</v>
      </c>
      <c r="F682" s="69"/>
      <c r="J682" s="352"/>
      <c r="K682" s="353"/>
      <c r="L682" s="68"/>
      <c r="M682" s="68"/>
      <c r="N682" s="69"/>
      <c r="O682" s="69"/>
      <c r="P682" s="740" t="s">
        <v>670</v>
      </c>
      <c r="Q682" s="305"/>
      <c r="R682" s="1779" t="str">
        <f>CHOOSE(2, "6722000003593", "S/GP (3) Gross Profit Direct NH KM-1/KM-1e KM-1/KM-1e")</f>
        <v>S/GP (3) Gross Profit Direct NH KM-1/KM-1e KM-1/KM-1e</v>
      </c>
      <c r="S682" s="1254">
        <v>-2715</v>
      </c>
      <c r="T682" s="1254">
        <v>-147.56859668066161</v>
      </c>
      <c r="U682" s="1254">
        <v>-813.70934651359005</v>
      </c>
      <c r="V682" s="1254">
        <v>-20.615941258957182</v>
      </c>
      <c r="W682" s="1254">
        <v>273</v>
      </c>
      <c r="X682" s="1254">
        <v>-961.51246725065448</v>
      </c>
      <c r="Y682" s="1254">
        <v>-947.46126725065449</v>
      </c>
      <c r="Z682" s="1254">
        <v>214.40702811289495</v>
      </c>
      <c r="AA682" s="1254">
        <v>1071.9425218550837</v>
      </c>
      <c r="AB682" s="1254">
        <v>-779.65847072412873</v>
      </c>
      <c r="AC682" s="1254">
        <v>399.62142927587104</v>
      </c>
      <c r="AD682" s="1254">
        <f>131.572957346487+236.164</f>
        <v>367.73695734648697</v>
      </c>
      <c r="AE682" s="903">
        <f>SUM(S682,T682,U682)</f>
        <v>-3676.2779431942517</v>
      </c>
      <c r="AF682" s="58">
        <f>SUM(V682,W682,X682)</f>
        <v>-709.12840850961163</v>
      </c>
      <c r="AG682" s="58">
        <f>SUM(Y682,Z682,AA682)</f>
        <v>338.88828271732416</v>
      </c>
      <c r="AH682" s="58">
        <f>SUM(AB682,AC682,AD682)</f>
        <v>-12.300084101770722</v>
      </c>
      <c r="AI682" s="58">
        <f>AE682+AF682</f>
        <v>-4385.406351703863</v>
      </c>
      <c r="AJ682" s="58">
        <f>AH682+AG682</f>
        <v>326.58819861555344</v>
      </c>
      <c r="AK682" s="58">
        <f>AI682+AJ682</f>
        <v>-4058.8181530883094</v>
      </c>
      <c r="AL682" s="69"/>
      <c r="AM682" s="2194">
        <f ca="1">SUM((INDIRECT(AM$2&amp;(ROW())):INDIRECT(AM$3&amp;(ROW()))))</f>
        <v>-2715</v>
      </c>
      <c r="AN682" s="2194">
        <f ca="1">SUM(INDIRECT(AN$1&amp;AN$2&amp;$C682):INDIRECT(AN$1&amp;AN$3&amp;$C682))</f>
        <v>10</v>
      </c>
      <c r="AO682" s="2912">
        <f t="shared" ca="1" si="1226"/>
        <v>-2725</v>
      </c>
      <c r="AP682" s="2913">
        <f t="shared" ca="1" si="1205"/>
        <v>-271.5</v>
      </c>
      <c r="AQ682" s="2194">
        <f ca="1">SUM(INDIRECT(AQ$1&amp;AQ$2&amp;$A682):INDIRECT(AQ$1&amp;AQ$3&amp;$A682))</f>
        <v>-201</v>
      </c>
      <c r="AR682" s="2912">
        <f t="shared" ca="1" si="1227"/>
        <v>-2514</v>
      </c>
      <c r="AS682" s="2913">
        <f t="shared" ca="1" si="1206"/>
        <v>13.507462686567164</v>
      </c>
      <c r="AU682" s="2194">
        <f ca="1">SUM((INDIRECT(AU$2&amp;(ROW())):INDIRECT(AU$3&amp;(ROW()))))</f>
        <v>-2715</v>
      </c>
      <c r="AV682" s="2194">
        <f ca="1">SUM(INDIRECT(AV$1&amp;AV$2&amp;$C682):INDIRECT(AV$1&amp;AV$3&amp;$C682))</f>
        <v>10</v>
      </c>
      <c r="AW682" s="2912">
        <f t="shared" ca="1" si="1207"/>
        <v>-2725</v>
      </c>
      <c r="AX682" s="2913">
        <f t="shared" ca="1" si="1208"/>
        <v>-271.5</v>
      </c>
      <c r="AY682" s="2194">
        <f ca="1">SUM(INDIRECT(AY$1&amp;AY$2&amp;$A682):INDIRECT(AY$1&amp;AY$3&amp;$A682))</f>
        <v>-201</v>
      </c>
      <c r="AZ682" s="2912">
        <f t="shared" ca="1" si="1209"/>
        <v>-2514</v>
      </c>
      <c r="BA682" s="2913">
        <f t="shared" ca="1" si="1210"/>
        <v>13.507462686567164</v>
      </c>
      <c r="BC682" s="2194">
        <f ca="1">SUM((INDIRECT(BC$2&amp;(ROW())):INDIRECT(BC$3&amp;(ROW()))))</f>
        <v>-2715</v>
      </c>
      <c r="BD682" s="2194">
        <f ca="1">SUM(INDIRECT(BD$1&amp;BD$2&amp;$C682):INDIRECT(BD$1&amp;BD$3&amp;$C682))</f>
        <v>10</v>
      </c>
      <c r="BE682" s="2912">
        <f t="shared" ca="1" si="1211"/>
        <v>-2725</v>
      </c>
      <c r="BF682" s="2913">
        <f t="shared" ca="1" si="1212"/>
        <v>-271.5</v>
      </c>
      <c r="BG682" s="2194">
        <f ca="1">SUM(INDIRECT(BG$1&amp;BG$2&amp;$A682):INDIRECT(BG$1&amp;BG$3&amp;$A682))</f>
        <v>-201</v>
      </c>
      <c r="BH682" s="2912">
        <f t="shared" ca="1" si="1213"/>
        <v>-2514</v>
      </c>
      <c r="BI682" s="2913">
        <f t="shared" ca="1" si="1214"/>
        <v>13.507462686567164</v>
      </c>
    </row>
    <row r="683" spans="1:61" s="69" customFormat="1" ht="14.5">
      <c r="A683" s="1693">
        <f t="shared" si="1238"/>
        <v>675</v>
      </c>
      <c r="B683" s="616">
        <v>1</v>
      </c>
      <c r="C683" s="1693">
        <f t="shared" si="1237"/>
        <v>683</v>
      </c>
      <c r="D683" s="616">
        <v>1</v>
      </c>
      <c r="G683" s="9"/>
      <c r="H683" s="9"/>
      <c r="I683" s="22"/>
      <c r="J683" s="352"/>
      <c r="K683" s="353"/>
      <c r="L683" s="68"/>
      <c r="M683" s="68"/>
      <c r="P683" s="306" t="s">
        <v>133</v>
      </c>
      <c r="Q683" s="306"/>
      <c r="R683" s="1782" t="str">
        <f>CHOOSE(2, "6722000003594", "S/GP (3) Gross Profit Direct NH KM-1/KM-1e FSC (-)")</f>
        <v>S/GP (3) Gross Profit Direct NH KM-1/KM-1e FSC (-)</v>
      </c>
      <c r="S683" s="1250">
        <f t="shared" ref="S683:AD683" si="1276">SUM(S684:S686)</f>
        <v>-191</v>
      </c>
      <c r="T683" s="1250">
        <f t="shared" si="1276"/>
        <v>-208</v>
      </c>
      <c r="U683" s="1250">
        <f t="shared" si="1276"/>
        <v>-218</v>
      </c>
      <c r="V683" s="1250">
        <f t="shared" si="1276"/>
        <v>-205.31700000000001</v>
      </c>
      <c r="W683" s="1250">
        <f t="shared" si="1276"/>
        <v>-200.696573802708</v>
      </c>
      <c r="X683" s="1250">
        <f t="shared" si="1276"/>
        <v>-200.97200000000001</v>
      </c>
      <c r="Y683" s="1250">
        <f t="shared" si="1276"/>
        <v>-210.86</v>
      </c>
      <c r="Z683" s="1250">
        <f t="shared" si="1276"/>
        <v>-237.70099999999999</v>
      </c>
      <c r="AA683" s="1250">
        <f t="shared" si="1276"/>
        <v>-523.23737756510229</v>
      </c>
      <c r="AB683" s="1250">
        <f t="shared" si="1276"/>
        <v>-262.63595799872013</v>
      </c>
      <c r="AC683" s="1250">
        <f t="shared" si="1276"/>
        <v>-253.46629909803585</v>
      </c>
      <c r="AD683" s="1250">
        <f t="shared" si="1276"/>
        <v>-231.79175979369398</v>
      </c>
      <c r="AE683" s="899">
        <f>SUM(S683:U683)</f>
        <v>-617</v>
      </c>
      <c r="AF683" s="1250">
        <f>SUM(V683:X683)</f>
        <v>-606.98557380270802</v>
      </c>
      <c r="AG683" s="1250">
        <f>SUM(Y683:AA683)</f>
        <v>-971.79837756510233</v>
      </c>
      <c r="AH683" s="1250">
        <f>SUM(AB683:AD683)</f>
        <v>-747.89401689044985</v>
      </c>
      <c r="AI683" s="1250">
        <f>AE683+AF683</f>
        <v>-1223.9855738027081</v>
      </c>
      <c r="AJ683" s="1250">
        <f>AH683+AG683</f>
        <v>-1719.6923944555522</v>
      </c>
      <c r="AK683" s="1250">
        <f>AI683+AJ683</f>
        <v>-2943.6779682582601</v>
      </c>
      <c r="AM683" s="2145">
        <f ca="1">SUM((INDIRECT(AM$2&amp;(ROW())):INDIRECT(AM$3&amp;(ROW()))))</f>
        <v>-191</v>
      </c>
      <c r="AN683" s="2145">
        <f ca="1">SUM(INDIRECT(AN$1&amp;AN$2&amp;$C683):INDIRECT(AN$1&amp;AN$3&amp;$C683))</f>
        <v>-210</v>
      </c>
      <c r="AO683" s="2887">
        <f t="shared" ca="1" si="1226"/>
        <v>19</v>
      </c>
      <c r="AP683" s="2888">
        <f t="shared" ca="1" si="1205"/>
        <v>0.90952380952380951</v>
      </c>
      <c r="AQ683" s="2145">
        <f ca="1">SUM(INDIRECT(AQ$1&amp;AQ$2&amp;$A683):INDIRECT(AQ$1&amp;AQ$3&amp;$A683))</f>
        <v>-159</v>
      </c>
      <c r="AR683" s="2887">
        <f t="shared" ca="1" si="1227"/>
        <v>-32</v>
      </c>
      <c r="AS683" s="2888">
        <f t="shared" ca="1" si="1206"/>
        <v>1.2012578616352201</v>
      </c>
      <c r="AU683" s="2145">
        <f ca="1">SUM((INDIRECT(AU$2&amp;(ROW())):INDIRECT(AU$3&amp;(ROW()))))</f>
        <v>-191</v>
      </c>
      <c r="AV683" s="2145">
        <f ca="1">SUM(INDIRECT(AV$1&amp;AV$2&amp;$C683):INDIRECT(AV$1&amp;AV$3&amp;$C683))</f>
        <v>-210</v>
      </c>
      <c r="AW683" s="2887">
        <f t="shared" ca="1" si="1207"/>
        <v>19</v>
      </c>
      <c r="AX683" s="2888">
        <f t="shared" ca="1" si="1208"/>
        <v>0.90952380952380951</v>
      </c>
      <c r="AY683" s="2145">
        <f ca="1">SUM(INDIRECT(AY$1&amp;AY$2&amp;$A683):INDIRECT(AY$1&amp;AY$3&amp;$A683))</f>
        <v>-159</v>
      </c>
      <c r="AZ683" s="2887">
        <f t="shared" ca="1" si="1209"/>
        <v>-32</v>
      </c>
      <c r="BA683" s="2888">
        <f t="shared" ca="1" si="1210"/>
        <v>1.2012578616352201</v>
      </c>
      <c r="BC683" s="2145">
        <f ca="1">SUM((INDIRECT(BC$2&amp;(ROW())):INDIRECT(BC$3&amp;(ROW()))))</f>
        <v>-191</v>
      </c>
      <c r="BD683" s="2145">
        <f ca="1">SUM(INDIRECT(BD$1&amp;BD$2&amp;$C683):INDIRECT(BD$1&amp;BD$3&amp;$C683))</f>
        <v>-210</v>
      </c>
      <c r="BE683" s="2887">
        <f t="shared" ca="1" si="1211"/>
        <v>19</v>
      </c>
      <c r="BF683" s="2888">
        <f t="shared" ca="1" si="1212"/>
        <v>0.90952380952380951</v>
      </c>
      <c r="BG683" s="2145">
        <f ca="1">SUM(INDIRECT(BG$1&amp;BG$2&amp;$A683):INDIRECT(BG$1&amp;BG$3&amp;$A683))</f>
        <v>-159</v>
      </c>
      <c r="BH683" s="2887">
        <f t="shared" ca="1" si="1213"/>
        <v>-32</v>
      </c>
      <c r="BI683" s="2888">
        <f t="shared" ca="1" si="1214"/>
        <v>1.2012578616352201</v>
      </c>
    </row>
    <row r="684" spans="1:61" s="69" customFormat="1" ht="14.5">
      <c r="A684" s="1693">
        <f t="shared" si="1238"/>
        <v>676</v>
      </c>
      <c r="B684" s="616">
        <v>1</v>
      </c>
      <c r="C684" s="1693">
        <f t="shared" si="1237"/>
        <v>684</v>
      </c>
      <c r="D684" s="616">
        <v>1</v>
      </c>
      <c r="G684" s="9"/>
      <c r="H684" s="9"/>
      <c r="I684" s="22"/>
      <c r="J684" s="352"/>
      <c r="K684" s="353"/>
      <c r="L684" s="68"/>
      <c r="M684" s="68"/>
      <c r="P684" s="307"/>
      <c r="Q684" s="291" t="s">
        <v>212</v>
      </c>
      <c r="R684" s="1779" t="str">
        <f>CHOOSE(2, "6722000003595", "S/GP (3) Gross Profit Direct NH KM-1/KM-1e FSC (-) PC")</f>
        <v>S/GP (3) Gross Profit Direct NH KM-1/KM-1e FSC (-) PC</v>
      </c>
      <c r="S684" s="1227">
        <v>-191</v>
      </c>
      <c r="T684" s="1227">
        <v>-183</v>
      </c>
      <c r="U684" s="1227">
        <v>-196</v>
      </c>
      <c r="V684" s="1227">
        <v>-192.96899999999999</v>
      </c>
      <c r="W684" s="1227">
        <v>-180.96857380270799</v>
      </c>
      <c r="X684" s="1227">
        <v>-180.5</v>
      </c>
      <c r="Y684" s="1227">
        <v>-180.5</v>
      </c>
      <c r="Z684" s="1227">
        <v>-216.72499999999999</v>
      </c>
      <c r="AA684" s="1227">
        <v>-496.26212271780497</v>
      </c>
      <c r="AB684" s="1227">
        <v>-252.61260562831748</v>
      </c>
      <c r="AC684" s="1227">
        <v>-221.196772142426</v>
      </c>
      <c r="AD684" s="1227">
        <v>-212.3753534222659</v>
      </c>
      <c r="AE684" s="896">
        <f>SUM(S684,T684,U684)</f>
        <v>-570</v>
      </c>
      <c r="AF684" s="95">
        <f>SUM(V684,W684,X684)</f>
        <v>-554.43757380270802</v>
      </c>
      <c r="AG684" s="95">
        <f>SUM(Y684,Z684,AA684)</f>
        <v>-893.48712271780505</v>
      </c>
      <c r="AH684" s="95">
        <f>SUM(AB684,AC684,AD684)</f>
        <v>-686.18473119300938</v>
      </c>
      <c r="AI684" s="95">
        <f>AE684+AF684</f>
        <v>-1124.4375738027079</v>
      </c>
      <c r="AJ684" s="95">
        <f>AH684+AG684</f>
        <v>-1579.6718539108144</v>
      </c>
      <c r="AK684" s="95">
        <f>AI684+AJ684</f>
        <v>-2704.1094277135226</v>
      </c>
      <c r="AM684" s="2138">
        <f ca="1">SUM((INDIRECT(AM$2&amp;(ROW())):INDIRECT(AM$3&amp;(ROW()))))</f>
        <v>-191</v>
      </c>
      <c r="AN684" s="2138">
        <f ca="1">SUM(INDIRECT(AN$1&amp;AN$2&amp;$C684):INDIRECT(AN$1&amp;AN$3&amp;$C684))</f>
        <v>-190</v>
      </c>
      <c r="AO684" s="2879">
        <f t="shared" ca="1" si="1226"/>
        <v>-1</v>
      </c>
      <c r="AP684" s="2880">
        <f t="shared" ca="1" si="1205"/>
        <v>1.0052631578947369</v>
      </c>
      <c r="AQ684" s="2138">
        <f ca="1">SUM(INDIRECT(AQ$1&amp;AQ$2&amp;$A684):INDIRECT(AQ$1&amp;AQ$3&amp;$A684))</f>
        <v>-159</v>
      </c>
      <c r="AR684" s="2879">
        <f t="shared" ca="1" si="1227"/>
        <v>-32</v>
      </c>
      <c r="AS684" s="2880">
        <f t="shared" ca="1" si="1206"/>
        <v>1.2012578616352201</v>
      </c>
      <c r="AU684" s="2138">
        <f ca="1">SUM((INDIRECT(AU$2&amp;(ROW())):INDIRECT(AU$3&amp;(ROW()))))</f>
        <v>-191</v>
      </c>
      <c r="AV684" s="2138">
        <f ca="1">SUM(INDIRECT(AV$1&amp;AV$2&amp;$C684):INDIRECT(AV$1&amp;AV$3&amp;$C684))</f>
        <v>-190</v>
      </c>
      <c r="AW684" s="2879">
        <f t="shared" ca="1" si="1207"/>
        <v>-1</v>
      </c>
      <c r="AX684" s="2880">
        <f t="shared" ca="1" si="1208"/>
        <v>1.0052631578947369</v>
      </c>
      <c r="AY684" s="2138">
        <f ca="1">SUM(INDIRECT(AY$1&amp;AY$2&amp;$A684):INDIRECT(AY$1&amp;AY$3&amp;$A684))</f>
        <v>-159</v>
      </c>
      <c r="AZ684" s="2879">
        <f t="shared" ca="1" si="1209"/>
        <v>-32</v>
      </c>
      <c r="BA684" s="2880">
        <f t="shared" ca="1" si="1210"/>
        <v>1.2012578616352201</v>
      </c>
      <c r="BC684" s="2138">
        <f ca="1">SUM((INDIRECT(BC$2&amp;(ROW())):INDIRECT(BC$3&amp;(ROW()))))</f>
        <v>-191</v>
      </c>
      <c r="BD684" s="2138">
        <f ca="1">SUM(INDIRECT(BD$1&amp;BD$2&amp;$C684):INDIRECT(BD$1&amp;BD$3&amp;$C684))</f>
        <v>-190</v>
      </c>
      <c r="BE684" s="2879">
        <f t="shared" ca="1" si="1211"/>
        <v>-1</v>
      </c>
      <c r="BF684" s="2880">
        <f t="shared" ca="1" si="1212"/>
        <v>1.0052631578947369</v>
      </c>
      <c r="BG684" s="2138">
        <f ca="1">SUM(INDIRECT(BG$1&amp;BG$2&amp;$A684):INDIRECT(BG$1&amp;BG$3&amp;$A684))</f>
        <v>-159</v>
      </c>
      <c r="BH684" s="2879">
        <f t="shared" ca="1" si="1213"/>
        <v>-32</v>
      </c>
      <c r="BI684" s="2880">
        <f t="shared" ca="1" si="1214"/>
        <v>1.2012578616352201</v>
      </c>
    </row>
    <row r="685" spans="1:61" s="69" customFormat="1" ht="14.5">
      <c r="A685" s="1693">
        <f t="shared" si="1238"/>
        <v>677</v>
      </c>
      <c r="B685" s="616">
        <v>1</v>
      </c>
      <c r="C685" s="1693">
        <f t="shared" si="1237"/>
        <v>685</v>
      </c>
      <c r="D685" s="616">
        <v>1</v>
      </c>
      <c r="G685" s="9"/>
      <c r="H685" s="9"/>
      <c r="I685" s="22"/>
      <c r="J685" s="352"/>
      <c r="K685" s="353"/>
      <c r="L685" s="68"/>
      <c r="M685" s="68"/>
      <c r="P685" s="231"/>
      <c r="Q685" s="229" t="s">
        <v>213</v>
      </c>
      <c r="R685" s="1779" t="str">
        <f>CHOOSE(2, "6722000003596", "S/GP (3) Gross Profit Direct NH KM-1/KM-1e FSC (-) TE")</f>
        <v>S/GP (3) Gross Profit Direct NH KM-1/KM-1e FSC (-) TE</v>
      </c>
      <c r="S685" s="1217"/>
      <c r="T685" s="1217">
        <v>-25</v>
      </c>
      <c r="U685" s="1217">
        <v>-22</v>
      </c>
      <c r="V685" s="1217">
        <v>-12.348000000000001</v>
      </c>
      <c r="W685" s="1217">
        <v>-19.728000000000002</v>
      </c>
      <c r="X685" s="1217">
        <v>-20.472000000000001</v>
      </c>
      <c r="Y685" s="1217">
        <v>-30.36</v>
      </c>
      <c r="Z685" s="1217">
        <v>-20.975999999999999</v>
      </c>
      <c r="AA685" s="1217">
        <v>-26.975254847297283</v>
      </c>
      <c r="AB685" s="1217">
        <v>-10.023352370402629</v>
      </c>
      <c r="AC685" s="1217">
        <v>-32.269526955609862</v>
      </c>
      <c r="AD685" s="1217">
        <v>-19.416406371428092</v>
      </c>
      <c r="AE685" s="783">
        <f>SUM(S685,T685,U685)</f>
        <v>-47</v>
      </c>
      <c r="AF685" s="1226">
        <f>SUM(V685,W685,X685)</f>
        <v>-52.548000000000002</v>
      </c>
      <c r="AG685" s="1226">
        <f>SUM(Y685,Z685,AA685)</f>
        <v>-78.311254847297278</v>
      </c>
      <c r="AH685" s="1226">
        <f>SUM(AB685,AC685,AD685)</f>
        <v>-61.709285697440578</v>
      </c>
      <c r="AI685" s="1226">
        <f>AE685+AF685</f>
        <v>-99.548000000000002</v>
      </c>
      <c r="AJ685" s="1226">
        <f>AH685+AG685</f>
        <v>-140.02054054473786</v>
      </c>
      <c r="AK685" s="1226">
        <f>AI685+AJ685</f>
        <v>-239.56854054473786</v>
      </c>
      <c r="AL685" s="8"/>
      <c r="AM685" s="579">
        <f ca="1">SUM((INDIRECT(AM$2&amp;(ROW())):INDIRECT(AM$3&amp;(ROW()))))</f>
        <v>0</v>
      </c>
      <c r="AN685" s="579">
        <f ca="1">SUM(INDIRECT(AN$1&amp;AN$2&amp;$C685):INDIRECT(AN$1&amp;AN$3&amp;$C685))</f>
        <v>-20</v>
      </c>
      <c r="AO685" s="2889">
        <f t="shared" ca="1" si="1226"/>
        <v>20</v>
      </c>
      <c r="AP685" s="2890">
        <f t="shared" ca="1" si="1205"/>
        <v>0</v>
      </c>
      <c r="AQ685" s="579">
        <f ca="1">SUM(INDIRECT(AQ$1&amp;AQ$2&amp;$A685):INDIRECT(AQ$1&amp;AQ$3&amp;$A685))</f>
        <v>0</v>
      </c>
      <c r="AR685" s="2889">
        <f t="shared" ca="1" si="1227"/>
        <v>0</v>
      </c>
      <c r="AS685" s="2890">
        <f t="shared" ca="1" si="1206"/>
        <v>0</v>
      </c>
      <c r="AU685" s="579">
        <f ca="1">SUM((INDIRECT(AU$2&amp;(ROW())):INDIRECT(AU$3&amp;(ROW()))))</f>
        <v>0</v>
      </c>
      <c r="AV685" s="579">
        <f ca="1">SUM(INDIRECT(AV$1&amp;AV$2&amp;$C685):INDIRECT(AV$1&amp;AV$3&amp;$C685))</f>
        <v>-20</v>
      </c>
      <c r="AW685" s="2889">
        <f t="shared" ca="1" si="1207"/>
        <v>20</v>
      </c>
      <c r="AX685" s="2890">
        <f t="shared" ca="1" si="1208"/>
        <v>0</v>
      </c>
      <c r="AY685" s="579">
        <f ca="1">SUM(INDIRECT(AY$1&amp;AY$2&amp;$A685):INDIRECT(AY$1&amp;AY$3&amp;$A685))</f>
        <v>0</v>
      </c>
      <c r="AZ685" s="2889">
        <f t="shared" ca="1" si="1209"/>
        <v>0</v>
      </c>
      <c r="BA685" s="2890">
        <f t="shared" ca="1" si="1210"/>
        <v>0</v>
      </c>
      <c r="BC685" s="579">
        <f ca="1">SUM((INDIRECT(BC$2&amp;(ROW())):INDIRECT(BC$3&amp;(ROW()))))</f>
        <v>0</v>
      </c>
      <c r="BD685" s="579">
        <f ca="1">SUM(INDIRECT(BD$1&amp;BD$2&amp;$C685):INDIRECT(BD$1&amp;BD$3&amp;$C685))</f>
        <v>-20</v>
      </c>
      <c r="BE685" s="2889">
        <f t="shared" ca="1" si="1211"/>
        <v>20</v>
      </c>
      <c r="BF685" s="2890">
        <f t="shared" ca="1" si="1212"/>
        <v>0</v>
      </c>
      <c r="BG685" s="579">
        <f ca="1">SUM(INDIRECT(BG$1&amp;BG$2&amp;$A685):INDIRECT(BG$1&amp;BG$3&amp;$A685))</f>
        <v>0</v>
      </c>
      <c r="BH685" s="2889">
        <f t="shared" ca="1" si="1213"/>
        <v>0</v>
      </c>
      <c r="BI685" s="2890">
        <f t="shared" ca="1" si="1214"/>
        <v>0</v>
      </c>
    </row>
    <row r="686" spans="1:61" s="69" customFormat="1" ht="14.5">
      <c r="A686" s="1693">
        <f t="shared" si="1238"/>
        <v>678</v>
      </c>
      <c r="B686" s="616">
        <v>1</v>
      </c>
      <c r="C686" s="1693">
        <f t="shared" si="1237"/>
        <v>686</v>
      </c>
      <c r="D686" s="616">
        <v>1</v>
      </c>
      <c r="G686" s="9"/>
      <c r="H686" s="9"/>
      <c r="I686" s="22"/>
      <c r="J686" s="352"/>
      <c r="K686" s="353"/>
      <c r="L686" s="68"/>
      <c r="M686" s="68"/>
      <c r="O686" s="211"/>
      <c r="P686" s="232"/>
      <c r="Q686" s="228" t="s">
        <v>218</v>
      </c>
      <c r="R686" s="1779" t="str">
        <f>CHOOSE(2, "6722000003597", "S/GP (3) Gross Profit Direct NH KM-1/KM-1e FSC (-) OFC")</f>
        <v>S/GP (3) Gross Profit Direct NH KM-1/KM-1e FSC (-) OFC</v>
      </c>
      <c r="S686" s="1218"/>
      <c r="T686" s="1218"/>
      <c r="U686" s="1218"/>
      <c r="V686" s="1218"/>
      <c r="W686" s="1218"/>
      <c r="X686" s="1218"/>
      <c r="Y686" s="1218"/>
      <c r="Z686" s="1218"/>
      <c r="AA686" s="1218"/>
      <c r="AB686" s="1218"/>
      <c r="AC686" s="1218"/>
      <c r="AD686" s="1218"/>
      <c r="AE686" s="783">
        <f>SUM(S686,T686,U686)</f>
        <v>0</v>
      </c>
      <c r="AF686" s="1226">
        <f>SUM(V686,W686,X686)</f>
        <v>0</v>
      </c>
      <c r="AG686" s="1226">
        <f>SUM(Y686,Z686,AA686)</f>
        <v>0</v>
      </c>
      <c r="AH686" s="1226">
        <f>SUM(AB686,AC686,AD686)</f>
        <v>0</v>
      </c>
      <c r="AI686" s="1226">
        <f>AE686+AF686</f>
        <v>0</v>
      </c>
      <c r="AJ686" s="1226">
        <f>AH686+AG686</f>
        <v>0</v>
      </c>
      <c r="AK686" s="1226">
        <f>AI686+AJ686</f>
        <v>0</v>
      </c>
      <c r="AL686" s="8"/>
      <c r="AM686" s="579">
        <f ca="1">SUM((INDIRECT(AM$2&amp;(ROW())):INDIRECT(AM$3&amp;(ROW()))))</f>
        <v>0</v>
      </c>
      <c r="AN686" s="579">
        <f ca="1">SUM(INDIRECT(AN$1&amp;AN$2&amp;$C686):INDIRECT(AN$1&amp;AN$3&amp;$C686))</f>
        <v>0</v>
      </c>
      <c r="AO686" s="2889">
        <f t="shared" ca="1" si="1226"/>
        <v>0</v>
      </c>
      <c r="AP686" s="2890">
        <f t="shared" ca="1" si="1205"/>
        <v>0</v>
      </c>
      <c r="AQ686" s="579">
        <f ca="1">SUM(INDIRECT(AQ$1&amp;AQ$2&amp;$A686):INDIRECT(AQ$1&amp;AQ$3&amp;$A686))</f>
        <v>0</v>
      </c>
      <c r="AR686" s="2889">
        <f t="shared" ca="1" si="1227"/>
        <v>0</v>
      </c>
      <c r="AS686" s="2890">
        <f t="shared" ca="1" si="1206"/>
        <v>0</v>
      </c>
      <c r="AU686" s="579">
        <f ca="1">SUM((INDIRECT(AU$2&amp;(ROW())):INDIRECT(AU$3&amp;(ROW()))))</f>
        <v>0</v>
      </c>
      <c r="AV686" s="579">
        <f ca="1">SUM(INDIRECT(AV$1&amp;AV$2&amp;$C686):INDIRECT(AV$1&amp;AV$3&amp;$C686))</f>
        <v>0</v>
      </c>
      <c r="AW686" s="2889">
        <f t="shared" ca="1" si="1207"/>
        <v>0</v>
      </c>
      <c r="AX686" s="2890">
        <f t="shared" ca="1" si="1208"/>
        <v>0</v>
      </c>
      <c r="AY686" s="579">
        <f ca="1">SUM(INDIRECT(AY$1&amp;AY$2&amp;$A686):INDIRECT(AY$1&amp;AY$3&amp;$A686))</f>
        <v>0</v>
      </c>
      <c r="AZ686" s="2889">
        <f t="shared" ca="1" si="1209"/>
        <v>0</v>
      </c>
      <c r="BA686" s="2890">
        <f t="shared" ca="1" si="1210"/>
        <v>0</v>
      </c>
      <c r="BC686" s="579">
        <f ca="1">SUM((INDIRECT(BC$2&amp;(ROW())):INDIRECT(BC$3&amp;(ROW()))))</f>
        <v>0</v>
      </c>
      <c r="BD686" s="579">
        <f ca="1">SUM(INDIRECT(BD$1&amp;BD$2&amp;$C686):INDIRECT(BD$1&amp;BD$3&amp;$C686))</f>
        <v>0</v>
      </c>
      <c r="BE686" s="2889">
        <f t="shared" ca="1" si="1211"/>
        <v>0</v>
      </c>
      <c r="BF686" s="2890">
        <f t="shared" ca="1" si="1212"/>
        <v>0</v>
      </c>
      <c r="BG686" s="579">
        <f ca="1">SUM(INDIRECT(BG$1&amp;BG$2&amp;$A686):INDIRECT(BG$1&amp;BG$3&amp;$A686))</f>
        <v>0</v>
      </c>
      <c r="BH686" s="2889">
        <f t="shared" ca="1" si="1213"/>
        <v>0</v>
      </c>
      <c r="BI686" s="2890">
        <f t="shared" ca="1" si="1214"/>
        <v>0</v>
      </c>
    </row>
    <row r="687" spans="1:61" ht="14.5">
      <c r="A687" s="1693">
        <f t="shared" si="1238"/>
        <v>679</v>
      </c>
      <c r="B687" s="616">
        <v>1</v>
      </c>
      <c r="C687" s="1693">
        <f t="shared" si="1237"/>
        <v>687</v>
      </c>
      <c r="D687" s="616">
        <v>1</v>
      </c>
      <c r="F687" s="69"/>
      <c r="J687" s="352"/>
      <c r="K687" s="353"/>
      <c r="L687" s="68"/>
      <c r="M687" s="68"/>
      <c r="N687" s="69"/>
      <c r="O687" s="69" t="s">
        <v>117</v>
      </c>
      <c r="P687" s="302"/>
      <c r="Q687" s="302"/>
      <c r="R687" s="1777" t="str">
        <f>CHOOSE(2, "6722000003598", "S/GP (3) Gross Profit Direct NH Label Printer")</f>
        <v>S/GP (3) Gross Profit Direct NH Label Printer</v>
      </c>
      <c r="S687" s="1250">
        <f t="shared" ref="S687:AD687" si="1277">S688+S689</f>
        <v>2824</v>
      </c>
      <c r="T687" s="1250">
        <f t="shared" si="1277"/>
        <v>367.06041624769614</v>
      </c>
      <c r="U687" s="1250">
        <f t="shared" si="1277"/>
        <v>1633.0227764322733</v>
      </c>
      <c r="V687" s="1250">
        <f t="shared" si="1277"/>
        <v>951.91831874973275</v>
      </c>
      <c r="W687" s="1250">
        <f t="shared" si="1277"/>
        <v>1531.5704228673526</v>
      </c>
      <c r="X687" s="1250">
        <f t="shared" si="1277"/>
        <v>2631.3432242818117</v>
      </c>
      <c r="Y687" s="1250">
        <f t="shared" si="1277"/>
        <v>1181.468014281812</v>
      </c>
      <c r="Z687" s="1250">
        <f t="shared" si="1277"/>
        <v>2027.6636458358373</v>
      </c>
      <c r="AA687" s="1250">
        <f t="shared" si="1277"/>
        <v>2590.7651822454486</v>
      </c>
      <c r="AB687" s="1250">
        <f t="shared" si="1277"/>
        <v>2857.9709874250657</v>
      </c>
      <c r="AC687" s="1250">
        <f t="shared" si="1277"/>
        <v>3298.7148622250088</v>
      </c>
      <c r="AD687" s="1250">
        <f t="shared" si="1277"/>
        <v>1235.6811214371883</v>
      </c>
      <c r="AE687" s="899">
        <f t="shared" ref="AE687:AK687" si="1278">AE688+AE689</f>
        <v>4824.0831926799692</v>
      </c>
      <c r="AF687" s="1250">
        <f t="shared" si="1278"/>
        <v>5114.8319658988976</v>
      </c>
      <c r="AG687" s="1250">
        <f t="shared" si="1278"/>
        <v>5799.8968423630986</v>
      </c>
      <c r="AH687" s="1250">
        <f t="shared" si="1278"/>
        <v>7392.3669710872628</v>
      </c>
      <c r="AI687" s="1250">
        <f t="shared" si="1278"/>
        <v>9938.9151585788659</v>
      </c>
      <c r="AJ687" s="1250">
        <f t="shared" si="1278"/>
        <v>13192.263813450361</v>
      </c>
      <c r="AK687" s="1250">
        <f t="shared" si="1278"/>
        <v>23131.178972029229</v>
      </c>
      <c r="AL687" s="69"/>
      <c r="AM687" s="2194">
        <f ca="1">SUM((INDIRECT(AM$2&amp;(ROW())):INDIRECT(AM$3&amp;(ROW()))))</f>
        <v>2824</v>
      </c>
      <c r="AN687" s="2194">
        <f ca="1">SUM(INDIRECT(AN$1&amp;AN$2&amp;$C687):INDIRECT(AN$1&amp;AN$3&amp;$C687))</f>
        <v>2427.4</v>
      </c>
      <c r="AO687" s="2912">
        <f t="shared" ca="1" si="1226"/>
        <v>396.59999999999991</v>
      </c>
      <c r="AP687" s="2913">
        <f t="shared" ca="1" si="1205"/>
        <v>1.1633846914394002</v>
      </c>
      <c r="AQ687" s="2194">
        <f ca="1">SUM(INDIRECT(AQ$1&amp;AQ$2&amp;$A687):INDIRECT(AQ$1&amp;AQ$3&amp;$A687))</f>
        <v>1806</v>
      </c>
      <c r="AR687" s="2912">
        <f t="shared" ca="1" si="1227"/>
        <v>1018</v>
      </c>
      <c r="AS687" s="2913">
        <f t="shared" ca="1" si="1206"/>
        <v>1.5636766334440753</v>
      </c>
      <c r="AU687" s="2194">
        <f ca="1">SUM((INDIRECT(AU$2&amp;(ROW())):INDIRECT(AU$3&amp;(ROW()))))</f>
        <v>2824</v>
      </c>
      <c r="AV687" s="2194">
        <f ca="1">SUM(INDIRECT(AV$1&amp;AV$2&amp;$C687):INDIRECT(AV$1&amp;AV$3&amp;$C687))</f>
        <v>2427.4</v>
      </c>
      <c r="AW687" s="2912">
        <f t="shared" ca="1" si="1207"/>
        <v>396.59999999999991</v>
      </c>
      <c r="AX687" s="2913">
        <f t="shared" ca="1" si="1208"/>
        <v>1.1633846914394002</v>
      </c>
      <c r="AY687" s="2194">
        <f ca="1">SUM(INDIRECT(AY$1&amp;AY$2&amp;$A687):INDIRECT(AY$1&amp;AY$3&amp;$A687))</f>
        <v>1806</v>
      </c>
      <c r="AZ687" s="2912">
        <f t="shared" ca="1" si="1209"/>
        <v>1018</v>
      </c>
      <c r="BA687" s="2913">
        <f t="shared" ca="1" si="1210"/>
        <v>1.5636766334440753</v>
      </c>
      <c r="BC687" s="2194">
        <f ca="1">SUM((INDIRECT(BC$2&amp;(ROW())):INDIRECT(BC$3&amp;(ROW()))))</f>
        <v>2824</v>
      </c>
      <c r="BD687" s="2194">
        <f ca="1">SUM(INDIRECT(BD$1&amp;BD$2&amp;$C687):INDIRECT(BD$1&amp;BD$3&amp;$C687))</f>
        <v>2427.4</v>
      </c>
      <c r="BE687" s="2912">
        <f t="shared" ca="1" si="1211"/>
        <v>396.59999999999991</v>
      </c>
      <c r="BF687" s="2913">
        <f t="shared" ca="1" si="1212"/>
        <v>1.1633846914394002</v>
      </c>
      <c r="BG687" s="2194">
        <f ca="1">SUM(INDIRECT(BG$1&amp;BG$2&amp;$A687):INDIRECT(BG$1&amp;BG$3&amp;$A687))</f>
        <v>1806</v>
      </c>
      <c r="BH687" s="2912">
        <f t="shared" ca="1" si="1213"/>
        <v>1018</v>
      </c>
      <c r="BI687" s="2913">
        <f t="shared" ca="1" si="1214"/>
        <v>1.5636766334440753</v>
      </c>
    </row>
    <row r="688" spans="1:61" ht="14.5">
      <c r="A688" s="1693">
        <f t="shared" si="1238"/>
        <v>680</v>
      </c>
      <c r="B688" s="616">
        <v>1</v>
      </c>
      <c r="C688" s="1693">
        <f t="shared" si="1237"/>
        <v>688</v>
      </c>
      <c r="D688" s="616">
        <v>1</v>
      </c>
      <c r="F688" s="69"/>
      <c r="J688" s="352"/>
      <c r="K688" s="353"/>
      <c r="L688" s="68"/>
      <c r="M688" s="68"/>
      <c r="N688" s="69"/>
      <c r="O688" s="69"/>
      <c r="P688" s="305" t="s">
        <v>214</v>
      </c>
      <c r="Q688" s="305"/>
      <c r="R688" s="1779" t="str">
        <f>CHOOSE(2, "6722000003599", "S/GP (3) Gross Profit Direct NH Label Printer Label Printer")</f>
        <v>S/GP (3) Gross Profit Direct NH Label Printer Label Printer</v>
      </c>
      <c r="S688" s="1254">
        <v>2886</v>
      </c>
      <c r="T688" s="1254">
        <v>428.64041624769612</v>
      </c>
      <c r="U688" s="1254">
        <v>1706.0227764322733</v>
      </c>
      <c r="V688" s="1254">
        <v>1016.6523187497328</v>
      </c>
      <c r="W688" s="1254">
        <v>1638</v>
      </c>
      <c r="X688" s="1254">
        <v>2711.8922242818117</v>
      </c>
      <c r="Y688" s="1254">
        <v>1253.3830142818119</v>
      </c>
      <c r="Z688" s="1254">
        <v>2117.7656458358374</v>
      </c>
      <c r="AA688" s="1254">
        <v>2742.3934802990293</v>
      </c>
      <c r="AB688" s="1254">
        <v>2977.0717308127487</v>
      </c>
      <c r="AC688" s="1254">
        <v>3395.0395008127493</v>
      </c>
      <c r="AD688" s="1254">
        <v>1319.4960100000001</v>
      </c>
      <c r="AE688" s="903">
        <f>SUM(S688,T688,U688)</f>
        <v>5020.6631926799691</v>
      </c>
      <c r="AF688" s="58">
        <f>SUM(V688,W688,X688)</f>
        <v>5366.5445430315449</v>
      </c>
      <c r="AG688" s="58">
        <f>SUM(Y688,Z688,AA688)</f>
        <v>6113.5421404166791</v>
      </c>
      <c r="AH688" s="58">
        <f>SUM(AB688,AC688,AD688)</f>
        <v>7691.6072416254983</v>
      </c>
      <c r="AI688" s="58">
        <f>AE688+AF688</f>
        <v>10387.207735711514</v>
      </c>
      <c r="AJ688" s="58">
        <f>AH688+AG688</f>
        <v>13805.149382042178</v>
      </c>
      <c r="AK688" s="58">
        <f>AI688+AJ688</f>
        <v>24192.357117753694</v>
      </c>
      <c r="AL688" s="69"/>
      <c r="AM688" s="2194">
        <f ca="1">SUM((INDIRECT(AM$2&amp;(ROW())):INDIRECT(AM$3&amp;(ROW()))))</f>
        <v>2886</v>
      </c>
      <c r="AN688" s="2194">
        <f ca="1">SUM(INDIRECT(AN$1&amp;AN$2&amp;$C688):INDIRECT(AN$1&amp;AN$3&amp;$C688))</f>
        <v>2502.4</v>
      </c>
      <c r="AO688" s="2912">
        <f t="shared" ca="1" si="1226"/>
        <v>383.59999999999991</v>
      </c>
      <c r="AP688" s="2913">
        <f t="shared" ca="1" si="1205"/>
        <v>1.1532928388746804</v>
      </c>
      <c r="AQ688" s="2194">
        <f ca="1">SUM(INDIRECT(AQ$1&amp;AQ$2&amp;$A688):INDIRECT(AQ$1&amp;AQ$3&amp;$A688))</f>
        <v>1860</v>
      </c>
      <c r="AR688" s="2912">
        <f t="shared" ca="1" si="1227"/>
        <v>1026</v>
      </c>
      <c r="AS688" s="2913">
        <f t="shared" ca="1" si="1206"/>
        <v>1.5516129032258064</v>
      </c>
      <c r="AU688" s="2194">
        <f ca="1">SUM((INDIRECT(AU$2&amp;(ROW())):INDIRECT(AU$3&amp;(ROW()))))</f>
        <v>2886</v>
      </c>
      <c r="AV688" s="2194">
        <f ca="1">SUM(INDIRECT(AV$1&amp;AV$2&amp;$C688):INDIRECT(AV$1&amp;AV$3&amp;$C688))</f>
        <v>2502.4</v>
      </c>
      <c r="AW688" s="2912">
        <f t="shared" ca="1" si="1207"/>
        <v>383.59999999999991</v>
      </c>
      <c r="AX688" s="2913">
        <f t="shared" ca="1" si="1208"/>
        <v>1.1532928388746804</v>
      </c>
      <c r="AY688" s="2194">
        <f ca="1">SUM(INDIRECT(AY$1&amp;AY$2&amp;$A688):INDIRECT(AY$1&amp;AY$3&amp;$A688))</f>
        <v>1860</v>
      </c>
      <c r="AZ688" s="2912">
        <f t="shared" ca="1" si="1209"/>
        <v>1026</v>
      </c>
      <c r="BA688" s="2913">
        <f t="shared" ca="1" si="1210"/>
        <v>1.5516129032258064</v>
      </c>
      <c r="BC688" s="2194">
        <f ca="1">SUM((INDIRECT(BC$2&amp;(ROW())):INDIRECT(BC$3&amp;(ROW()))))</f>
        <v>2886</v>
      </c>
      <c r="BD688" s="2194">
        <f ca="1">SUM(INDIRECT(BD$1&amp;BD$2&amp;$C688):INDIRECT(BD$1&amp;BD$3&amp;$C688))</f>
        <v>2502.4</v>
      </c>
      <c r="BE688" s="2912">
        <f t="shared" ca="1" si="1211"/>
        <v>383.59999999999991</v>
      </c>
      <c r="BF688" s="2913">
        <f t="shared" ca="1" si="1212"/>
        <v>1.1532928388746804</v>
      </c>
      <c r="BG688" s="2194">
        <f ca="1">SUM(INDIRECT(BG$1&amp;BG$2&amp;$A688):INDIRECT(BG$1&amp;BG$3&amp;$A688))</f>
        <v>1860</v>
      </c>
      <c r="BH688" s="2912">
        <f t="shared" ca="1" si="1213"/>
        <v>1026</v>
      </c>
      <c r="BI688" s="2913">
        <f t="shared" ca="1" si="1214"/>
        <v>1.5516129032258064</v>
      </c>
    </row>
    <row r="689" spans="1:61" s="69" customFormat="1" ht="14.5">
      <c r="A689" s="1693">
        <f t="shared" si="1238"/>
        <v>681</v>
      </c>
      <c r="B689" s="616">
        <v>1</v>
      </c>
      <c r="C689" s="1693">
        <f t="shared" si="1237"/>
        <v>689</v>
      </c>
      <c r="D689" s="616">
        <v>1</v>
      </c>
      <c r="G689" s="9"/>
      <c r="H689" s="9"/>
      <c r="I689" s="22"/>
      <c r="J689" s="352"/>
      <c r="K689" s="353"/>
      <c r="L689" s="68"/>
      <c r="M689" s="68"/>
      <c r="P689" s="306" t="s">
        <v>133</v>
      </c>
      <c r="Q689" s="306"/>
      <c r="R689" s="1782" t="str">
        <f>CHOOSE(2, "6722000003600", "S/GP (3) Gross Profit Direct NH Label Printer FSC (-)")</f>
        <v>S/GP (3) Gross Profit Direct NH Label Printer FSC (-)</v>
      </c>
      <c r="S689" s="1250">
        <f t="shared" ref="S689:AD689" si="1279">SUM(S690:S692)</f>
        <v>-62</v>
      </c>
      <c r="T689" s="1250">
        <f t="shared" si="1279"/>
        <v>-61.58</v>
      </c>
      <c r="U689" s="1250">
        <f t="shared" si="1279"/>
        <v>-73</v>
      </c>
      <c r="V689" s="1250">
        <f t="shared" si="1279"/>
        <v>-64.733999999999995</v>
      </c>
      <c r="W689" s="1250">
        <f t="shared" si="1279"/>
        <v>-106.4295771326474</v>
      </c>
      <c r="X689" s="1250">
        <f t="shared" si="1279"/>
        <v>-80.549000000000007</v>
      </c>
      <c r="Y689" s="1250">
        <f t="shared" si="1279"/>
        <v>-71.915000000000006</v>
      </c>
      <c r="Z689" s="1250">
        <f t="shared" si="1279"/>
        <v>-90.102000000000004</v>
      </c>
      <c r="AA689" s="1250">
        <f t="shared" si="1279"/>
        <v>-151.62829805358075</v>
      </c>
      <c r="AB689" s="1250">
        <f t="shared" si="1279"/>
        <v>-119.1007433876832</v>
      </c>
      <c r="AC689" s="1250">
        <f t="shared" si="1279"/>
        <v>-96.324638587740466</v>
      </c>
      <c r="AD689" s="1250">
        <f t="shared" si="1279"/>
        <v>-83.814888562811831</v>
      </c>
      <c r="AE689" s="899">
        <f>SUM(S689:U689)</f>
        <v>-196.57999999999998</v>
      </c>
      <c r="AF689" s="1250">
        <f>SUM(V689:X689)</f>
        <v>-251.7125771326474</v>
      </c>
      <c r="AG689" s="1250">
        <f>SUM(Y689:AA689)</f>
        <v>-313.64529805358075</v>
      </c>
      <c r="AH689" s="1250">
        <f>SUM(AB689:AD689)</f>
        <v>-299.24027053823545</v>
      </c>
      <c r="AI689" s="1250">
        <f>AE689+AF689</f>
        <v>-448.29257713264735</v>
      </c>
      <c r="AJ689" s="1250">
        <f>AH689+AG689</f>
        <v>-612.8855685918162</v>
      </c>
      <c r="AK689" s="1250">
        <f>AI689+AJ689</f>
        <v>-1061.1781457244635</v>
      </c>
      <c r="AM689" s="2145">
        <f ca="1">SUM((INDIRECT(AM$2&amp;(ROW())):INDIRECT(AM$3&amp;(ROW()))))</f>
        <v>-62</v>
      </c>
      <c r="AN689" s="2145">
        <f ca="1">SUM(INDIRECT(AN$1&amp;AN$2&amp;$C689):INDIRECT(AN$1&amp;AN$3&amp;$C689))</f>
        <v>-75</v>
      </c>
      <c r="AO689" s="2887">
        <f t="shared" ca="1" si="1226"/>
        <v>13</v>
      </c>
      <c r="AP689" s="2888">
        <f t="shared" ca="1" si="1205"/>
        <v>0.82666666666666666</v>
      </c>
      <c r="AQ689" s="2145">
        <f ca="1">SUM(INDIRECT(AQ$1&amp;AQ$2&amp;$A689):INDIRECT(AQ$1&amp;AQ$3&amp;$A689))</f>
        <v>-54</v>
      </c>
      <c r="AR689" s="2887">
        <f t="shared" ca="1" si="1227"/>
        <v>-8</v>
      </c>
      <c r="AS689" s="2888">
        <f t="shared" ca="1" si="1206"/>
        <v>1.1481481481481481</v>
      </c>
      <c r="AU689" s="2145">
        <f ca="1">SUM((INDIRECT(AU$2&amp;(ROW())):INDIRECT(AU$3&amp;(ROW()))))</f>
        <v>-62</v>
      </c>
      <c r="AV689" s="2145">
        <f ca="1">SUM(INDIRECT(AV$1&amp;AV$2&amp;$C689):INDIRECT(AV$1&amp;AV$3&amp;$C689))</f>
        <v>-75</v>
      </c>
      <c r="AW689" s="2887">
        <f t="shared" ca="1" si="1207"/>
        <v>13</v>
      </c>
      <c r="AX689" s="2888">
        <f t="shared" ca="1" si="1208"/>
        <v>0.82666666666666666</v>
      </c>
      <c r="AY689" s="2145">
        <f ca="1">SUM(INDIRECT(AY$1&amp;AY$2&amp;$A689):INDIRECT(AY$1&amp;AY$3&amp;$A689))</f>
        <v>-54</v>
      </c>
      <c r="AZ689" s="2887">
        <f t="shared" ca="1" si="1209"/>
        <v>-8</v>
      </c>
      <c r="BA689" s="2888">
        <f t="shared" ca="1" si="1210"/>
        <v>1.1481481481481481</v>
      </c>
      <c r="BC689" s="2145">
        <f ca="1">SUM((INDIRECT(BC$2&amp;(ROW())):INDIRECT(BC$3&amp;(ROW()))))</f>
        <v>-62</v>
      </c>
      <c r="BD689" s="2145">
        <f ca="1">SUM(INDIRECT(BD$1&amp;BD$2&amp;$C689):INDIRECT(BD$1&amp;BD$3&amp;$C689))</f>
        <v>-75</v>
      </c>
      <c r="BE689" s="2887">
        <f t="shared" ca="1" si="1211"/>
        <v>13</v>
      </c>
      <c r="BF689" s="2888">
        <f t="shared" ca="1" si="1212"/>
        <v>0.82666666666666666</v>
      </c>
      <c r="BG689" s="2145">
        <f ca="1">SUM(INDIRECT(BG$1&amp;BG$2&amp;$A689):INDIRECT(BG$1&amp;BG$3&amp;$A689))</f>
        <v>-54</v>
      </c>
      <c r="BH689" s="2887">
        <f t="shared" ca="1" si="1213"/>
        <v>-8</v>
      </c>
      <c r="BI689" s="2888">
        <f t="shared" ca="1" si="1214"/>
        <v>1.1481481481481481</v>
      </c>
    </row>
    <row r="690" spans="1:61" s="69" customFormat="1" ht="14.5">
      <c r="A690" s="1693">
        <f t="shared" si="1238"/>
        <v>682</v>
      </c>
      <c r="B690" s="616">
        <v>1</v>
      </c>
      <c r="C690" s="1693">
        <f t="shared" si="1237"/>
        <v>690</v>
      </c>
      <c r="D690" s="616">
        <v>1</v>
      </c>
      <c r="G690" s="9"/>
      <c r="H690" s="9"/>
      <c r="I690" s="22"/>
      <c r="J690" s="352"/>
      <c r="K690" s="353"/>
      <c r="L690" s="68"/>
      <c r="M690" s="68"/>
      <c r="P690" s="307"/>
      <c r="Q690" s="291" t="s">
        <v>212</v>
      </c>
      <c r="R690" s="1779" t="str">
        <f>CHOOSE(2, "6722000003601", "S/GP (3) Gross Profit Direct NH Label Printer FSC (-) PC")</f>
        <v>S/GP (3) Gross Profit Direct NH Label Printer FSC (-) PC</v>
      </c>
      <c r="S690" s="1227">
        <v>-62</v>
      </c>
      <c r="T690" s="1227">
        <v>-61.58</v>
      </c>
      <c r="U690" s="1227">
        <v>-56</v>
      </c>
      <c r="V690" s="1227">
        <v>-64.733999999999995</v>
      </c>
      <c r="W690" s="1227">
        <v>-89.429577132647395</v>
      </c>
      <c r="X690" s="1227">
        <v>-69.033000000000001</v>
      </c>
      <c r="Y690" s="1227">
        <v>-69.033000000000001</v>
      </c>
      <c r="Z690" s="1227">
        <v>-82.887</v>
      </c>
      <c r="AA690" s="1227">
        <v>-142.3497671743259</v>
      </c>
      <c r="AB690" s="1227">
        <v>-102.41129676772132</v>
      </c>
      <c r="AC690" s="1227">
        <v>-84.597655242704036</v>
      </c>
      <c r="AD690" s="1227">
        <v>-83.814888562811831</v>
      </c>
      <c r="AE690" s="896">
        <f>SUM(S690,T690,U690)</f>
        <v>-179.57999999999998</v>
      </c>
      <c r="AF690" s="95">
        <f>SUM(V690,W690,X690)</f>
        <v>-223.19657713264741</v>
      </c>
      <c r="AG690" s="95">
        <f>SUM(Y690,Z690,AA690)</f>
        <v>-294.26976717432592</v>
      </c>
      <c r="AH690" s="95">
        <f>SUM(AB690,AC690,AD690)</f>
        <v>-270.82384057323719</v>
      </c>
      <c r="AI690" s="95">
        <f>AE690+AF690</f>
        <v>-402.77657713264739</v>
      </c>
      <c r="AJ690" s="95">
        <f>AH690+AG690</f>
        <v>-565.09360774756306</v>
      </c>
      <c r="AK690" s="95">
        <f>AI690+AJ690</f>
        <v>-967.87018488021045</v>
      </c>
      <c r="AM690" s="2138">
        <f ca="1">SUM((INDIRECT(AM$2&amp;(ROW())):INDIRECT(AM$3&amp;(ROW()))))</f>
        <v>-62</v>
      </c>
      <c r="AN690" s="2138">
        <f ca="1">SUM(INDIRECT(AN$1&amp;AN$2&amp;$C690):INDIRECT(AN$1&amp;AN$3&amp;$C690))</f>
        <v>-60</v>
      </c>
      <c r="AO690" s="2879">
        <f t="shared" ca="1" si="1226"/>
        <v>-2</v>
      </c>
      <c r="AP690" s="2880">
        <f t="shared" ca="1" si="1205"/>
        <v>1.0333333333333334</v>
      </c>
      <c r="AQ690" s="2138">
        <f ca="1">SUM(INDIRECT(AQ$1&amp;AQ$2&amp;$A690):INDIRECT(AQ$1&amp;AQ$3&amp;$A690))</f>
        <v>-54</v>
      </c>
      <c r="AR690" s="2879">
        <f t="shared" ca="1" si="1227"/>
        <v>-8</v>
      </c>
      <c r="AS690" s="2880">
        <f t="shared" ca="1" si="1206"/>
        <v>1.1481481481481481</v>
      </c>
      <c r="AU690" s="2138">
        <f ca="1">SUM((INDIRECT(AU$2&amp;(ROW())):INDIRECT(AU$3&amp;(ROW()))))</f>
        <v>-62</v>
      </c>
      <c r="AV690" s="2138">
        <f ca="1">SUM(INDIRECT(AV$1&amp;AV$2&amp;$C690):INDIRECT(AV$1&amp;AV$3&amp;$C690))</f>
        <v>-60</v>
      </c>
      <c r="AW690" s="2879">
        <f t="shared" ca="1" si="1207"/>
        <v>-2</v>
      </c>
      <c r="AX690" s="2880">
        <f t="shared" ca="1" si="1208"/>
        <v>1.0333333333333334</v>
      </c>
      <c r="AY690" s="2138">
        <f ca="1">SUM(INDIRECT(AY$1&amp;AY$2&amp;$A690):INDIRECT(AY$1&amp;AY$3&amp;$A690))</f>
        <v>-54</v>
      </c>
      <c r="AZ690" s="2879">
        <f t="shared" ca="1" si="1209"/>
        <v>-8</v>
      </c>
      <c r="BA690" s="2880">
        <f t="shared" ca="1" si="1210"/>
        <v>1.1481481481481481</v>
      </c>
      <c r="BC690" s="2138">
        <f ca="1">SUM((INDIRECT(BC$2&amp;(ROW())):INDIRECT(BC$3&amp;(ROW()))))</f>
        <v>-62</v>
      </c>
      <c r="BD690" s="2138">
        <f ca="1">SUM(INDIRECT(BD$1&amp;BD$2&amp;$C690):INDIRECT(BD$1&amp;BD$3&amp;$C690))</f>
        <v>-60</v>
      </c>
      <c r="BE690" s="2879">
        <f t="shared" ca="1" si="1211"/>
        <v>-2</v>
      </c>
      <c r="BF690" s="2880">
        <f t="shared" ca="1" si="1212"/>
        <v>1.0333333333333334</v>
      </c>
      <c r="BG690" s="2138">
        <f ca="1">SUM(INDIRECT(BG$1&amp;BG$2&amp;$A690):INDIRECT(BG$1&amp;BG$3&amp;$A690))</f>
        <v>-54</v>
      </c>
      <c r="BH690" s="2879">
        <f t="shared" ca="1" si="1213"/>
        <v>-8</v>
      </c>
      <c r="BI690" s="2880">
        <f t="shared" ca="1" si="1214"/>
        <v>1.1481481481481481</v>
      </c>
    </row>
    <row r="691" spans="1:61" s="69" customFormat="1" ht="14.5">
      <c r="A691" s="1693">
        <f t="shared" si="1238"/>
        <v>683</v>
      </c>
      <c r="B691" s="616">
        <v>1</v>
      </c>
      <c r="C691" s="1693">
        <f t="shared" si="1237"/>
        <v>691</v>
      </c>
      <c r="D691" s="616">
        <v>1</v>
      </c>
      <c r="G691" s="9"/>
      <c r="H691" s="9"/>
      <c r="I691" s="22"/>
      <c r="J691" s="352"/>
      <c r="K691" s="353"/>
      <c r="L691" s="68"/>
      <c r="M691" s="68"/>
      <c r="P691" s="231"/>
      <c r="Q691" s="229" t="s">
        <v>213</v>
      </c>
      <c r="R691" s="1779" t="str">
        <f>CHOOSE(2, "6722000003602", "S/GP (3) Gross Profit Direct NH Label Printer FSC (-) TE")</f>
        <v>S/GP (3) Gross Profit Direct NH Label Printer FSC (-) TE</v>
      </c>
      <c r="S691" s="1217"/>
      <c r="T691" s="1217"/>
      <c r="U691" s="1217">
        <v>-17</v>
      </c>
      <c r="V691" s="1217"/>
      <c r="W691" s="1217">
        <v>-17</v>
      </c>
      <c r="X691" s="1217">
        <v>-11.516</v>
      </c>
      <c r="Y691" s="1217">
        <v>-2.8820000000000001</v>
      </c>
      <c r="Z691" s="1217">
        <v>-7.2149999999999999</v>
      </c>
      <c r="AA691" s="1217">
        <v>-9.2785308792548573</v>
      </c>
      <c r="AB691" s="1217">
        <v>-16.689446619961867</v>
      </c>
      <c r="AC691" s="1217">
        <v>-11.726983345036427</v>
      </c>
      <c r="AD691" s="1217"/>
      <c r="AE691" s="783">
        <f>SUM(S691,T691,U691)</f>
        <v>-17</v>
      </c>
      <c r="AF691" s="1226">
        <f>SUM(V691,W691,X691)</f>
        <v>-28.515999999999998</v>
      </c>
      <c r="AG691" s="1226">
        <f>SUM(Y691,Z691,AA691)</f>
        <v>-19.375530879254857</v>
      </c>
      <c r="AH691" s="1226">
        <f>SUM(AB691,AC691,AD691)</f>
        <v>-28.416429964998294</v>
      </c>
      <c r="AI691" s="1226">
        <f>AE691+AF691</f>
        <v>-45.515999999999998</v>
      </c>
      <c r="AJ691" s="1226">
        <f>AH691+AG691</f>
        <v>-47.791960844253154</v>
      </c>
      <c r="AK691" s="1226">
        <f>AI691+AJ691</f>
        <v>-93.307960844253159</v>
      </c>
      <c r="AL691" s="8"/>
      <c r="AM691" s="579">
        <f ca="1">SUM((INDIRECT(AM$2&amp;(ROW())):INDIRECT(AM$3&amp;(ROW()))))</f>
        <v>0</v>
      </c>
      <c r="AN691" s="579">
        <f ca="1">SUM(INDIRECT(AN$1&amp;AN$2&amp;$C691):INDIRECT(AN$1&amp;AN$3&amp;$C691))</f>
        <v>-15</v>
      </c>
      <c r="AO691" s="2889">
        <f t="shared" ca="1" si="1226"/>
        <v>15</v>
      </c>
      <c r="AP691" s="2890">
        <f t="shared" ca="1" si="1205"/>
        <v>0</v>
      </c>
      <c r="AQ691" s="579">
        <f ca="1">SUM(INDIRECT(AQ$1&amp;AQ$2&amp;$A691):INDIRECT(AQ$1&amp;AQ$3&amp;$A691))</f>
        <v>0</v>
      </c>
      <c r="AR691" s="2889">
        <f t="shared" ca="1" si="1227"/>
        <v>0</v>
      </c>
      <c r="AS691" s="2890">
        <f t="shared" ca="1" si="1206"/>
        <v>0</v>
      </c>
      <c r="AU691" s="579">
        <f ca="1">SUM((INDIRECT(AU$2&amp;(ROW())):INDIRECT(AU$3&amp;(ROW()))))</f>
        <v>0</v>
      </c>
      <c r="AV691" s="579">
        <f ca="1">SUM(INDIRECT(AV$1&amp;AV$2&amp;$C691):INDIRECT(AV$1&amp;AV$3&amp;$C691))</f>
        <v>-15</v>
      </c>
      <c r="AW691" s="2889">
        <f t="shared" ca="1" si="1207"/>
        <v>15</v>
      </c>
      <c r="AX691" s="2890">
        <f t="shared" ca="1" si="1208"/>
        <v>0</v>
      </c>
      <c r="AY691" s="579">
        <f ca="1">SUM(INDIRECT(AY$1&amp;AY$2&amp;$A691):INDIRECT(AY$1&amp;AY$3&amp;$A691))</f>
        <v>0</v>
      </c>
      <c r="AZ691" s="2889">
        <f t="shared" ca="1" si="1209"/>
        <v>0</v>
      </c>
      <c r="BA691" s="2890">
        <f t="shared" ca="1" si="1210"/>
        <v>0</v>
      </c>
      <c r="BC691" s="579">
        <f ca="1">SUM((INDIRECT(BC$2&amp;(ROW())):INDIRECT(BC$3&amp;(ROW()))))</f>
        <v>0</v>
      </c>
      <c r="BD691" s="579">
        <f ca="1">SUM(INDIRECT(BD$1&amp;BD$2&amp;$C691):INDIRECT(BD$1&amp;BD$3&amp;$C691))</f>
        <v>-15</v>
      </c>
      <c r="BE691" s="2889">
        <f t="shared" ca="1" si="1211"/>
        <v>15</v>
      </c>
      <c r="BF691" s="2890">
        <f t="shared" ca="1" si="1212"/>
        <v>0</v>
      </c>
      <c r="BG691" s="579">
        <f ca="1">SUM(INDIRECT(BG$1&amp;BG$2&amp;$A691):INDIRECT(BG$1&amp;BG$3&amp;$A691))</f>
        <v>0</v>
      </c>
      <c r="BH691" s="2889">
        <f t="shared" ca="1" si="1213"/>
        <v>0</v>
      </c>
      <c r="BI691" s="2890">
        <f t="shared" ca="1" si="1214"/>
        <v>0</v>
      </c>
    </row>
    <row r="692" spans="1:61" s="69" customFormat="1" ht="14.5">
      <c r="A692" s="1693">
        <f t="shared" si="1238"/>
        <v>684</v>
      </c>
      <c r="B692" s="616">
        <v>1</v>
      </c>
      <c r="C692" s="1693">
        <f t="shared" si="1237"/>
        <v>692</v>
      </c>
      <c r="D692" s="616">
        <v>1</v>
      </c>
      <c r="G692" s="9"/>
      <c r="H692" s="9"/>
      <c r="I692" s="22"/>
      <c r="J692" s="352"/>
      <c r="K692" s="353"/>
      <c r="L692" s="68"/>
      <c r="M692" s="68"/>
      <c r="O692" s="211"/>
      <c r="P692" s="232"/>
      <c r="Q692" s="228" t="s">
        <v>218</v>
      </c>
      <c r="R692" s="1779" t="str">
        <f>CHOOSE(2, "6722000003603", "S/GP (3) Gross Profit Direct NH Label Printer FSC (-) OFC")</f>
        <v>S/GP (3) Gross Profit Direct NH Label Printer FSC (-) OFC</v>
      </c>
      <c r="S692" s="1218"/>
      <c r="T692" s="1218"/>
      <c r="U692" s="1218"/>
      <c r="V692" s="1218"/>
      <c r="W692" s="1218"/>
      <c r="X692" s="1218"/>
      <c r="Y692" s="1218"/>
      <c r="Z692" s="1218"/>
      <c r="AA692" s="1218"/>
      <c r="AB692" s="1218"/>
      <c r="AC692" s="1218"/>
      <c r="AD692" s="1218"/>
      <c r="AE692" s="783">
        <f>SUM(S692,T692,U692)</f>
        <v>0</v>
      </c>
      <c r="AF692" s="1226">
        <f>SUM(V692,W692,X692)</f>
        <v>0</v>
      </c>
      <c r="AG692" s="1226">
        <f>SUM(Y692,Z692,AA692)</f>
        <v>0</v>
      </c>
      <c r="AH692" s="1226">
        <f>SUM(AB692,AC692,AD692)</f>
        <v>0</v>
      </c>
      <c r="AI692" s="1226">
        <f>AE692+AF692</f>
        <v>0</v>
      </c>
      <c r="AJ692" s="1226">
        <f>AH692+AG692</f>
        <v>0</v>
      </c>
      <c r="AK692" s="1226">
        <f>AI692+AJ692</f>
        <v>0</v>
      </c>
      <c r="AL692" s="8"/>
      <c r="AM692" s="579">
        <f ca="1">SUM((INDIRECT(AM$2&amp;(ROW())):INDIRECT(AM$3&amp;(ROW()))))</f>
        <v>0</v>
      </c>
      <c r="AN692" s="579">
        <f ca="1">SUM(INDIRECT(AN$1&amp;AN$2&amp;$C692):INDIRECT(AN$1&amp;AN$3&amp;$C692))</f>
        <v>0</v>
      </c>
      <c r="AO692" s="2889">
        <f t="shared" ca="1" si="1226"/>
        <v>0</v>
      </c>
      <c r="AP692" s="2890">
        <f t="shared" ca="1" si="1205"/>
        <v>0</v>
      </c>
      <c r="AQ692" s="579">
        <f ca="1">SUM(INDIRECT(AQ$1&amp;AQ$2&amp;$A692):INDIRECT(AQ$1&amp;AQ$3&amp;$A692))</f>
        <v>0</v>
      </c>
      <c r="AR692" s="2889">
        <f t="shared" ca="1" si="1227"/>
        <v>0</v>
      </c>
      <c r="AS692" s="2890">
        <f t="shared" ca="1" si="1206"/>
        <v>0</v>
      </c>
      <c r="AU692" s="579">
        <f ca="1">SUM((INDIRECT(AU$2&amp;(ROW())):INDIRECT(AU$3&amp;(ROW()))))</f>
        <v>0</v>
      </c>
      <c r="AV692" s="579">
        <f ca="1">SUM(INDIRECT(AV$1&amp;AV$2&amp;$C692):INDIRECT(AV$1&amp;AV$3&amp;$C692))</f>
        <v>0</v>
      </c>
      <c r="AW692" s="2889">
        <f t="shared" ca="1" si="1207"/>
        <v>0</v>
      </c>
      <c r="AX692" s="2890">
        <f t="shared" ca="1" si="1208"/>
        <v>0</v>
      </c>
      <c r="AY692" s="579">
        <f ca="1">SUM(INDIRECT(AY$1&amp;AY$2&amp;$A692):INDIRECT(AY$1&amp;AY$3&amp;$A692))</f>
        <v>0</v>
      </c>
      <c r="AZ692" s="2889">
        <f t="shared" ca="1" si="1209"/>
        <v>0</v>
      </c>
      <c r="BA692" s="2890">
        <f t="shared" ca="1" si="1210"/>
        <v>0</v>
      </c>
      <c r="BC692" s="579">
        <f ca="1">SUM((INDIRECT(BC$2&amp;(ROW())):INDIRECT(BC$3&amp;(ROW()))))</f>
        <v>0</v>
      </c>
      <c r="BD692" s="579">
        <f ca="1">SUM(INDIRECT(BD$1&amp;BD$2&amp;$C692):INDIRECT(BD$1&amp;BD$3&amp;$C692))</f>
        <v>0</v>
      </c>
      <c r="BE692" s="2889">
        <f t="shared" ca="1" si="1211"/>
        <v>0</v>
      </c>
      <c r="BF692" s="2890">
        <f t="shared" ca="1" si="1212"/>
        <v>0</v>
      </c>
      <c r="BG692" s="579">
        <f ca="1">SUM(INDIRECT(BG$1&amp;BG$2&amp;$A692):INDIRECT(BG$1&amp;BG$3&amp;$A692))</f>
        <v>0</v>
      </c>
      <c r="BH692" s="2889">
        <f t="shared" ca="1" si="1213"/>
        <v>0</v>
      </c>
      <c r="BI692" s="2890">
        <f t="shared" ca="1" si="1214"/>
        <v>0</v>
      </c>
    </row>
    <row r="693" spans="1:61" ht="14.5">
      <c r="A693" s="1693">
        <f t="shared" si="1238"/>
        <v>685</v>
      </c>
      <c r="B693" s="616">
        <v>1</v>
      </c>
      <c r="C693" s="1693">
        <f t="shared" si="1237"/>
        <v>693</v>
      </c>
      <c r="D693" s="616">
        <v>1</v>
      </c>
      <c r="F693" s="69"/>
      <c r="J693" s="352"/>
      <c r="K693" s="353"/>
      <c r="L693" s="68"/>
      <c r="M693" s="68"/>
      <c r="N693" s="69"/>
      <c r="O693" s="69" t="s">
        <v>52</v>
      </c>
      <c r="P693" s="302"/>
      <c r="Q693" s="302"/>
      <c r="R693" s="1777" t="str">
        <f>CHOOSE(2, "6722000003604", "S/GP (3) Gross Profit Direct NH MGI")</f>
        <v>S/GP (3) Gross Profit Direct NH MGI</v>
      </c>
      <c r="S693" s="1250">
        <f t="shared" ref="S693:AD693" si="1280">S694+S695</f>
        <v>-1704</v>
      </c>
      <c r="T693" s="1250">
        <f t="shared" si="1280"/>
        <v>-182.33079540036772</v>
      </c>
      <c r="U693" s="1250">
        <f t="shared" si="1280"/>
        <v>-134.06961575201638</v>
      </c>
      <c r="V693" s="1250">
        <f t="shared" si="1280"/>
        <v>769.56610667589177</v>
      </c>
      <c r="W693" s="1250">
        <f t="shared" si="1280"/>
        <v>-184.11633558723395</v>
      </c>
      <c r="X693" s="1250">
        <f t="shared" si="1280"/>
        <v>620.98026713550962</v>
      </c>
      <c r="Y693" s="1250">
        <f t="shared" si="1280"/>
        <v>444.45408713550967</v>
      </c>
      <c r="Z693" s="1250">
        <f t="shared" si="1280"/>
        <v>230.76770021793482</v>
      </c>
      <c r="AA693" s="1250">
        <f t="shared" si="1280"/>
        <v>-150.02611111658132</v>
      </c>
      <c r="AB693" s="1250">
        <f t="shared" si="1280"/>
        <v>335.5558875435479</v>
      </c>
      <c r="AC693" s="1250">
        <f t="shared" si="1280"/>
        <v>472.1681329457623</v>
      </c>
      <c r="AD693" s="1250">
        <f t="shared" si="1280"/>
        <v>-668.03046009371246</v>
      </c>
      <c r="AE693" s="899">
        <f t="shared" ref="AE693:AK693" si="1281">AE694+AE695</f>
        <v>-2020.4004111523843</v>
      </c>
      <c r="AF693" s="1250">
        <f t="shared" si="1281"/>
        <v>1206.4300382241674</v>
      </c>
      <c r="AG693" s="1250">
        <f t="shared" si="1281"/>
        <v>525.19567623686316</v>
      </c>
      <c r="AH693" s="1250">
        <f t="shared" si="1281"/>
        <v>139.69356039559761</v>
      </c>
      <c r="AI693" s="1250">
        <f t="shared" si="1281"/>
        <v>-813.97037292821642</v>
      </c>
      <c r="AJ693" s="1250">
        <f t="shared" si="1281"/>
        <v>664.88923663246078</v>
      </c>
      <c r="AK693" s="1250">
        <f t="shared" si="1281"/>
        <v>-149.08113629575746</v>
      </c>
      <c r="AL693" s="69"/>
      <c r="AM693" s="2194">
        <f ca="1">SUM((INDIRECT(AM$2&amp;(ROW())):INDIRECT(AM$3&amp;(ROW()))))</f>
        <v>-1704</v>
      </c>
      <c r="AN693" s="2194">
        <f ca="1">SUM(INDIRECT(AN$1&amp;AN$2&amp;$C693):INDIRECT(AN$1&amp;AN$3&amp;$C693))</f>
        <v>0</v>
      </c>
      <c r="AO693" s="2912">
        <f t="shared" ca="1" si="1226"/>
        <v>-1704</v>
      </c>
      <c r="AP693" s="2913">
        <f t="shared" ca="1" si="1205"/>
        <v>0</v>
      </c>
      <c r="AQ693" s="2194">
        <f ca="1">SUM(INDIRECT(AQ$1&amp;AQ$2&amp;$A693):INDIRECT(AQ$1&amp;AQ$3&amp;$A693))</f>
        <v>-857</v>
      </c>
      <c r="AR693" s="2912">
        <f t="shared" ca="1" si="1227"/>
        <v>-847</v>
      </c>
      <c r="AS693" s="2913">
        <f t="shared" ca="1" si="1206"/>
        <v>1.9883313885647609</v>
      </c>
      <c r="AU693" s="2194">
        <f ca="1">SUM((INDIRECT(AU$2&amp;(ROW())):INDIRECT(AU$3&amp;(ROW()))))</f>
        <v>-1704</v>
      </c>
      <c r="AV693" s="2194">
        <f ca="1">SUM(INDIRECT(AV$1&amp;AV$2&amp;$C693):INDIRECT(AV$1&amp;AV$3&amp;$C693))</f>
        <v>0</v>
      </c>
      <c r="AW693" s="2912">
        <f t="shared" ca="1" si="1207"/>
        <v>-1704</v>
      </c>
      <c r="AX693" s="2913">
        <f t="shared" ca="1" si="1208"/>
        <v>0</v>
      </c>
      <c r="AY693" s="2194">
        <f ca="1">SUM(INDIRECT(AY$1&amp;AY$2&amp;$A693):INDIRECT(AY$1&amp;AY$3&amp;$A693))</f>
        <v>-857</v>
      </c>
      <c r="AZ693" s="2912">
        <f t="shared" ca="1" si="1209"/>
        <v>-847</v>
      </c>
      <c r="BA693" s="2913">
        <f t="shared" ca="1" si="1210"/>
        <v>1.9883313885647609</v>
      </c>
      <c r="BC693" s="2194">
        <f ca="1">SUM((INDIRECT(BC$2&amp;(ROW())):INDIRECT(BC$3&amp;(ROW()))))</f>
        <v>-1704</v>
      </c>
      <c r="BD693" s="2194">
        <f ca="1">SUM(INDIRECT(BD$1&amp;BD$2&amp;$C693):INDIRECT(BD$1&amp;BD$3&amp;$C693))</f>
        <v>0</v>
      </c>
      <c r="BE693" s="2912">
        <f t="shared" ca="1" si="1211"/>
        <v>-1704</v>
      </c>
      <c r="BF693" s="2913">
        <f t="shared" ca="1" si="1212"/>
        <v>0</v>
      </c>
      <c r="BG693" s="2194">
        <f ca="1">SUM(INDIRECT(BG$1&amp;BG$2&amp;$A693):INDIRECT(BG$1&amp;BG$3&amp;$A693))</f>
        <v>-857</v>
      </c>
      <c r="BH693" s="2912">
        <f t="shared" ca="1" si="1213"/>
        <v>-847</v>
      </c>
      <c r="BI693" s="2913">
        <f t="shared" ca="1" si="1214"/>
        <v>1.9883313885647609</v>
      </c>
    </row>
    <row r="694" spans="1:61" ht="14.5">
      <c r="A694" s="1693">
        <f t="shared" si="1238"/>
        <v>686</v>
      </c>
      <c r="B694" s="616">
        <v>1</v>
      </c>
      <c r="C694" s="1693">
        <f t="shared" si="1237"/>
        <v>694</v>
      </c>
      <c r="D694" s="616">
        <v>1</v>
      </c>
      <c r="F694" s="69"/>
      <c r="J694" s="352"/>
      <c r="K694" s="353"/>
      <c r="L694" s="68"/>
      <c r="M694" s="68"/>
      <c r="N694" s="69"/>
      <c r="O694" s="69"/>
      <c r="P694" s="305" t="s">
        <v>144</v>
      </c>
      <c r="Q694" s="305"/>
      <c r="R694" s="1779" t="str">
        <f>CHOOSE(2, "6722000003605", "S/GP (3) Gross Profit Direct NH MGI MGI")</f>
        <v>S/GP (3) Gross Profit Direct NH MGI MGI</v>
      </c>
      <c r="S694" s="1254">
        <v>-926</v>
      </c>
      <c r="T694" s="1254">
        <v>666.30820459963229</v>
      </c>
      <c r="U694" s="1254">
        <v>815.24538424798357</v>
      </c>
      <c r="V694" s="1254">
        <v>1487.6191066758918</v>
      </c>
      <c r="W694" s="1254">
        <v>472</v>
      </c>
      <c r="X694" s="1254">
        <v>1289.4322671355096</v>
      </c>
      <c r="Y694" s="1254">
        <v>1077.6900871355097</v>
      </c>
      <c r="Z694" s="1254">
        <v>1004.2387002179348</v>
      </c>
      <c r="AA694" s="1254">
        <v>844.41235951255373</v>
      </c>
      <c r="AB694" s="1254">
        <v>1132.3581640780469</v>
      </c>
      <c r="AC694" s="1254">
        <v>1239.6430240780464</v>
      </c>
      <c r="AD694" s="1254">
        <v>201.64028000000002</v>
      </c>
      <c r="AE694" s="903">
        <f>SUM(S694,T694,U694)</f>
        <v>555.55358884761586</v>
      </c>
      <c r="AF694" s="58">
        <f>SUM(V694,W694,X694)</f>
        <v>3249.0513738114014</v>
      </c>
      <c r="AG694" s="58">
        <f>SUM(Y694,Z694,AA694)</f>
        <v>2926.3411468659983</v>
      </c>
      <c r="AH694" s="58">
        <f>SUM(AB694,AC694,AD694)</f>
        <v>2573.6414681560932</v>
      </c>
      <c r="AI694" s="58">
        <f>AE694+AF694</f>
        <v>3804.6049626590175</v>
      </c>
      <c r="AJ694" s="58">
        <f>AH694+AG694</f>
        <v>5499.9826150220915</v>
      </c>
      <c r="AK694" s="58">
        <f>AI694+AJ694</f>
        <v>9304.5875776811081</v>
      </c>
      <c r="AL694" s="69"/>
      <c r="AM694" s="2194">
        <f ca="1">SUM((INDIRECT(AM$2&amp;(ROW())):INDIRECT(AM$3&amp;(ROW()))))</f>
        <v>-926</v>
      </c>
      <c r="AN694" s="2194">
        <f ca="1">SUM(INDIRECT(AN$1&amp;AN$2&amp;$C694):INDIRECT(AN$1&amp;AN$3&amp;$C694))</f>
        <v>835</v>
      </c>
      <c r="AO694" s="2912">
        <f t="shared" ca="1" si="1226"/>
        <v>-1761</v>
      </c>
      <c r="AP694" s="2913">
        <f t="shared" ca="1" si="1205"/>
        <v>-1.1089820359281437</v>
      </c>
      <c r="AQ694" s="2194">
        <f ca="1">SUM(INDIRECT(AQ$1&amp;AQ$2&amp;$A694):INDIRECT(AQ$1&amp;AQ$3&amp;$A694))</f>
        <v>-197</v>
      </c>
      <c r="AR694" s="2912">
        <f t="shared" ca="1" si="1227"/>
        <v>-729</v>
      </c>
      <c r="AS694" s="2913">
        <f t="shared" ca="1" si="1206"/>
        <v>4.7005076142131976</v>
      </c>
      <c r="AU694" s="2194">
        <f ca="1">SUM((INDIRECT(AU$2&amp;(ROW())):INDIRECT(AU$3&amp;(ROW()))))</f>
        <v>-926</v>
      </c>
      <c r="AV694" s="2194">
        <f ca="1">SUM(INDIRECT(AV$1&amp;AV$2&amp;$C694):INDIRECT(AV$1&amp;AV$3&amp;$C694))</f>
        <v>835</v>
      </c>
      <c r="AW694" s="2912">
        <f t="shared" ca="1" si="1207"/>
        <v>-1761</v>
      </c>
      <c r="AX694" s="2913">
        <f t="shared" ca="1" si="1208"/>
        <v>-1.1089820359281437</v>
      </c>
      <c r="AY694" s="2194">
        <f ca="1">SUM(INDIRECT(AY$1&amp;AY$2&amp;$A694):INDIRECT(AY$1&amp;AY$3&amp;$A694))</f>
        <v>-197</v>
      </c>
      <c r="AZ694" s="2912">
        <f t="shared" ca="1" si="1209"/>
        <v>-729</v>
      </c>
      <c r="BA694" s="2913">
        <f t="shared" ca="1" si="1210"/>
        <v>4.7005076142131976</v>
      </c>
      <c r="BC694" s="2194">
        <f ca="1">SUM((INDIRECT(BC$2&amp;(ROW())):INDIRECT(BC$3&amp;(ROW()))))</f>
        <v>-926</v>
      </c>
      <c r="BD694" s="2194">
        <f ca="1">SUM(INDIRECT(BD$1&amp;BD$2&amp;$C694):INDIRECT(BD$1&amp;BD$3&amp;$C694))</f>
        <v>835</v>
      </c>
      <c r="BE694" s="2912">
        <f t="shared" ca="1" si="1211"/>
        <v>-1761</v>
      </c>
      <c r="BF694" s="2913">
        <f t="shared" ca="1" si="1212"/>
        <v>-1.1089820359281437</v>
      </c>
      <c r="BG694" s="2194">
        <f ca="1">SUM(INDIRECT(BG$1&amp;BG$2&amp;$A694):INDIRECT(BG$1&amp;BG$3&amp;$A694))</f>
        <v>-197</v>
      </c>
      <c r="BH694" s="2912">
        <f t="shared" ca="1" si="1213"/>
        <v>-729</v>
      </c>
      <c r="BI694" s="2913">
        <f t="shared" ca="1" si="1214"/>
        <v>4.7005076142131976</v>
      </c>
    </row>
    <row r="695" spans="1:61" s="69" customFormat="1" ht="14.5">
      <c r="A695" s="1693">
        <f t="shared" si="1238"/>
        <v>687</v>
      </c>
      <c r="B695" s="616">
        <v>1</v>
      </c>
      <c r="C695" s="1693">
        <f t="shared" si="1237"/>
        <v>695</v>
      </c>
      <c r="D695" s="616">
        <v>1</v>
      </c>
      <c r="G695" s="9"/>
      <c r="H695" s="9"/>
      <c r="I695" s="22"/>
      <c r="J695" s="352"/>
      <c r="K695" s="353"/>
      <c r="L695" s="68"/>
      <c r="M695" s="68"/>
      <c r="P695" s="306" t="s">
        <v>133</v>
      </c>
      <c r="Q695" s="306"/>
      <c r="R695" s="1782" t="str">
        <f>CHOOSE(2, "6722000003606", "S/GP (3) Gross Profit Direct NH MGI FSC (-)")</f>
        <v>S/GP (3) Gross Profit Direct NH MGI FSC (-)</v>
      </c>
      <c r="S695" s="1250">
        <f t="shared" ref="S695:AD695" si="1282">SUM(S696:S698)</f>
        <v>-778</v>
      </c>
      <c r="T695" s="1250">
        <f t="shared" si="1282"/>
        <v>-848.63900000000001</v>
      </c>
      <c r="U695" s="1250">
        <f t="shared" si="1282"/>
        <v>-949.31499999999994</v>
      </c>
      <c r="V695" s="1250">
        <f t="shared" si="1282"/>
        <v>-718.053</v>
      </c>
      <c r="W695" s="1250">
        <f t="shared" si="1282"/>
        <v>-656.11633558723395</v>
      </c>
      <c r="X695" s="1250">
        <f t="shared" si="1282"/>
        <v>-668.452</v>
      </c>
      <c r="Y695" s="1250">
        <f t="shared" si="1282"/>
        <v>-633.23599999999999</v>
      </c>
      <c r="Z695" s="1250">
        <f t="shared" si="1282"/>
        <v>-773.471</v>
      </c>
      <c r="AA695" s="1250">
        <f t="shared" si="1282"/>
        <v>-994.43847062913505</v>
      </c>
      <c r="AB695" s="1250">
        <f t="shared" si="1282"/>
        <v>-796.80227653449901</v>
      </c>
      <c r="AC695" s="1250">
        <f t="shared" si="1282"/>
        <v>-767.47489113228414</v>
      </c>
      <c r="AD695" s="1250">
        <f t="shared" si="1282"/>
        <v>-869.67074009371242</v>
      </c>
      <c r="AE695" s="899">
        <f>SUM(S695:U695)</f>
        <v>-2575.9540000000002</v>
      </c>
      <c r="AF695" s="1250">
        <f>SUM(V695:X695)</f>
        <v>-2042.6213355872339</v>
      </c>
      <c r="AG695" s="1250">
        <f>SUM(Y695:AA695)</f>
        <v>-2401.1454706291352</v>
      </c>
      <c r="AH695" s="1250">
        <f>SUM(AB695:AD695)</f>
        <v>-2433.9479077604956</v>
      </c>
      <c r="AI695" s="1250">
        <f>AE695+AF695</f>
        <v>-4618.5753355872339</v>
      </c>
      <c r="AJ695" s="1250">
        <f>AH695+AG695</f>
        <v>-4835.0933783896307</v>
      </c>
      <c r="AK695" s="1250">
        <f>AI695+AJ695</f>
        <v>-9453.6687139768655</v>
      </c>
      <c r="AM695" s="2145">
        <f ca="1">SUM((INDIRECT(AM$2&amp;(ROW())):INDIRECT(AM$3&amp;(ROW()))))</f>
        <v>-778</v>
      </c>
      <c r="AN695" s="2145">
        <f ca="1">SUM(INDIRECT(AN$1&amp;AN$2&amp;$C695):INDIRECT(AN$1&amp;AN$3&amp;$C695))</f>
        <v>-835</v>
      </c>
      <c r="AO695" s="2887">
        <f t="shared" ca="1" si="1226"/>
        <v>57</v>
      </c>
      <c r="AP695" s="2888">
        <f t="shared" ca="1" si="1205"/>
        <v>0.93173652694610776</v>
      </c>
      <c r="AQ695" s="2145">
        <f ca="1">SUM(INDIRECT(AQ$1&amp;AQ$2&amp;$A695):INDIRECT(AQ$1&amp;AQ$3&amp;$A695))</f>
        <v>-660</v>
      </c>
      <c r="AR695" s="2887">
        <f t="shared" ca="1" si="1227"/>
        <v>-118</v>
      </c>
      <c r="AS695" s="2888">
        <f t="shared" ca="1" si="1206"/>
        <v>1.1787878787878787</v>
      </c>
      <c r="AU695" s="2145">
        <f ca="1">SUM((INDIRECT(AU$2&amp;(ROW())):INDIRECT(AU$3&amp;(ROW()))))</f>
        <v>-778</v>
      </c>
      <c r="AV695" s="2145">
        <f ca="1">SUM(INDIRECT(AV$1&amp;AV$2&amp;$C695):INDIRECT(AV$1&amp;AV$3&amp;$C695))</f>
        <v>-835</v>
      </c>
      <c r="AW695" s="2887">
        <f t="shared" ca="1" si="1207"/>
        <v>57</v>
      </c>
      <c r="AX695" s="2888">
        <f t="shared" ca="1" si="1208"/>
        <v>0.93173652694610776</v>
      </c>
      <c r="AY695" s="2145">
        <f ca="1">SUM(INDIRECT(AY$1&amp;AY$2&amp;$A695):INDIRECT(AY$1&amp;AY$3&amp;$A695))</f>
        <v>-660</v>
      </c>
      <c r="AZ695" s="2887">
        <f t="shared" ca="1" si="1209"/>
        <v>-118</v>
      </c>
      <c r="BA695" s="2888">
        <f t="shared" ca="1" si="1210"/>
        <v>1.1787878787878787</v>
      </c>
      <c r="BC695" s="2145">
        <f ca="1">SUM((INDIRECT(BC$2&amp;(ROW())):INDIRECT(BC$3&amp;(ROW()))))</f>
        <v>-778</v>
      </c>
      <c r="BD695" s="2145">
        <f ca="1">SUM(INDIRECT(BD$1&amp;BD$2&amp;$C695):INDIRECT(BD$1&amp;BD$3&amp;$C695))</f>
        <v>-835</v>
      </c>
      <c r="BE695" s="2887">
        <f t="shared" ca="1" si="1211"/>
        <v>57</v>
      </c>
      <c r="BF695" s="2888">
        <f t="shared" ca="1" si="1212"/>
        <v>0.93173652694610776</v>
      </c>
      <c r="BG695" s="2145">
        <f ca="1">SUM(INDIRECT(BG$1&amp;BG$2&amp;$A695):INDIRECT(BG$1&amp;BG$3&amp;$A695))</f>
        <v>-660</v>
      </c>
      <c r="BH695" s="2887">
        <f t="shared" ca="1" si="1213"/>
        <v>-118</v>
      </c>
      <c r="BI695" s="2888">
        <f t="shared" ca="1" si="1214"/>
        <v>1.1787878787878787</v>
      </c>
    </row>
    <row r="696" spans="1:61" s="69" customFormat="1" ht="14.5">
      <c r="A696" s="1693">
        <f t="shared" si="1238"/>
        <v>688</v>
      </c>
      <c r="B696" s="616">
        <v>1</v>
      </c>
      <c r="C696" s="1693">
        <f t="shared" si="1237"/>
        <v>696</v>
      </c>
      <c r="D696" s="616">
        <v>1</v>
      </c>
      <c r="G696" s="9"/>
      <c r="H696" s="9"/>
      <c r="I696" s="22"/>
      <c r="J696" s="352"/>
      <c r="K696" s="353"/>
      <c r="L696" s="68"/>
      <c r="M696" s="68"/>
      <c r="P696" s="307"/>
      <c r="Q696" s="291" t="s">
        <v>212</v>
      </c>
      <c r="R696" s="1779" t="str">
        <f>CHOOSE(2, "6722000003607", "S/GP (3) Gross Profit Direct NH MGI FSC (-) PC")</f>
        <v>S/GP (3) Gross Profit Direct NH MGI FSC (-) PC</v>
      </c>
      <c r="S696" s="1227">
        <v>-778</v>
      </c>
      <c r="T696" s="1227">
        <v>-765.40800000000002</v>
      </c>
      <c r="U696" s="1227">
        <v>-811.69799999999998</v>
      </c>
      <c r="V696" s="1227">
        <v>-674.32500000000005</v>
      </c>
      <c r="W696" s="1227">
        <v>-615.508335587234</v>
      </c>
      <c r="X696" s="1227">
        <v>-580.31600000000003</v>
      </c>
      <c r="Y696" s="1227">
        <v>-585.31600000000003</v>
      </c>
      <c r="Z696" s="1227">
        <v>-696.78</v>
      </c>
      <c r="AA696" s="1227">
        <v>-895.813410107869</v>
      </c>
      <c r="AB696" s="1227">
        <v>-740.55407992933499</v>
      </c>
      <c r="AC696" s="1227">
        <v>-703.16064203657902</v>
      </c>
      <c r="AD696" s="1227">
        <v>-790.07549651350212</v>
      </c>
      <c r="AE696" s="896">
        <f>SUM(S696,T696,U696)</f>
        <v>-2355.1059999999998</v>
      </c>
      <c r="AF696" s="95">
        <f>SUM(V696,W696,X696)</f>
        <v>-1870.1493355872342</v>
      </c>
      <c r="AG696" s="95">
        <f>SUM(Y696,Z696,AA696)</f>
        <v>-2177.909410107869</v>
      </c>
      <c r="AH696" s="95">
        <f>SUM(AB696,AC696,AD696)</f>
        <v>-2233.7902184794161</v>
      </c>
      <c r="AI696" s="95">
        <f>AE696+AF696</f>
        <v>-4225.2553355872342</v>
      </c>
      <c r="AJ696" s="95">
        <f>AH696+AG696</f>
        <v>-4411.6996285872847</v>
      </c>
      <c r="AK696" s="95">
        <f>AI696+AJ696</f>
        <v>-8636.954964174518</v>
      </c>
      <c r="AM696" s="2138">
        <f ca="1">SUM((INDIRECT(AM$2&amp;(ROW())):INDIRECT(AM$3&amp;(ROW()))))</f>
        <v>-778</v>
      </c>
      <c r="AN696" s="2138">
        <f ca="1">SUM(INDIRECT(AN$1&amp;AN$2&amp;$C696):INDIRECT(AN$1&amp;AN$3&amp;$C696))</f>
        <v>-750</v>
      </c>
      <c r="AO696" s="2879">
        <f t="shared" ca="1" si="1226"/>
        <v>-28</v>
      </c>
      <c r="AP696" s="2880">
        <f t="shared" ca="1" si="1205"/>
        <v>1.0373333333333334</v>
      </c>
      <c r="AQ696" s="2138">
        <f ca="1">SUM(INDIRECT(AQ$1&amp;AQ$2&amp;$A696):INDIRECT(AQ$1&amp;AQ$3&amp;$A696))</f>
        <v>-660</v>
      </c>
      <c r="AR696" s="2879">
        <f t="shared" ca="1" si="1227"/>
        <v>-118</v>
      </c>
      <c r="AS696" s="2880">
        <f t="shared" ca="1" si="1206"/>
        <v>1.1787878787878787</v>
      </c>
      <c r="AU696" s="2138">
        <f ca="1">SUM((INDIRECT(AU$2&amp;(ROW())):INDIRECT(AU$3&amp;(ROW()))))</f>
        <v>-778</v>
      </c>
      <c r="AV696" s="2138">
        <f ca="1">SUM(INDIRECT(AV$1&amp;AV$2&amp;$C696):INDIRECT(AV$1&amp;AV$3&amp;$C696))</f>
        <v>-750</v>
      </c>
      <c r="AW696" s="2879">
        <f t="shared" ca="1" si="1207"/>
        <v>-28</v>
      </c>
      <c r="AX696" s="2880">
        <f t="shared" ca="1" si="1208"/>
        <v>1.0373333333333334</v>
      </c>
      <c r="AY696" s="2138">
        <f ca="1">SUM(INDIRECT(AY$1&amp;AY$2&amp;$A696):INDIRECT(AY$1&amp;AY$3&amp;$A696))</f>
        <v>-660</v>
      </c>
      <c r="AZ696" s="2879">
        <f t="shared" ca="1" si="1209"/>
        <v>-118</v>
      </c>
      <c r="BA696" s="2880">
        <f t="shared" ca="1" si="1210"/>
        <v>1.1787878787878787</v>
      </c>
      <c r="BC696" s="2138">
        <f ca="1">SUM((INDIRECT(BC$2&amp;(ROW())):INDIRECT(BC$3&amp;(ROW()))))</f>
        <v>-778</v>
      </c>
      <c r="BD696" s="2138">
        <f ca="1">SUM(INDIRECT(BD$1&amp;BD$2&amp;$C696):INDIRECT(BD$1&amp;BD$3&amp;$C696))</f>
        <v>-750</v>
      </c>
      <c r="BE696" s="2879">
        <f t="shared" ca="1" si="1211"/>
        <v>-28</v>
      </c>
      <c r="BF696" s="2880">
        <f t="shared" ca="1" si="1212"/>
        <v>1.0373333333333334</v>
      </c>
      <c r="BG696" s="2138">
        <f ca="1">SUM(INDIRECT(BG$1&amp;BG$2&amp;$A696):INDIRECT(BG$1&amp;BG$3&amp;$A696))</f>
        <v>-660</v>
      </c>
      <c r="BH696" s="2879">
        <f t="shared" ca="1" si="1213"/>
        <v>-118</v>
      </c>
      <c r="BI696" s="2880">
        <f t="shared" ca="1" si="1214"/>
        <v>1.1787878787878787</v>
      </c>
    </row>
    <row r="697" spans="1:61" s="69" customFormat="1" ht="14.5">
      <c r="A697" s="1693">
        <f t="shared" si="1238"/>
        <v>689</v>
      </c>
      <c r="B697" s="616">
        <v>1</v>
      </c>
      <c r="C697" s="1693">
        <f t="shared" si="1237"/>
        <v>697</v>
      </c>
      <c r="D697" s="616">
        <v>1</v>
      </c>
      <c r="G697" s="9"/>
      <c r="H697" s="9"/>
      <c r="I697" s="22"/>
      <c r="J697" s="352"/>
      <c r="K697" s="353"/>
      <c r="L697" s="68"/>
      <c r="M697" s="68"/>
      <c r="P697" s="231"/>
      <c r="Q697" s="229" t="s">
        <v>213</v>
      </c>
      <c r="R697" s="1779" t="str">
        <f>CHOOSE(2, "6722000003608", "S/GP (3) Gross Profit Direct NH MGI FSC (-) TE")</f>
        <v>S/GP (3) Gross Profit Direct NH MGI FSC (-) TE</v>
      </c>
      <c r="S697" s="1217"/>
      <c r="T697" s="1217">
        <v>-83.230999999999995</v>
      </c>
      <c r="U697" s="1217">
        <v>-137.61699999999999</v>
      </c>
      <c r="V697" s="1217">
        <v>-43.728000000000002</v>
      </c>
      <c r="W697" s="1217">
        <v>-40.607999999999997</v>
      </c>
      <c r="X697" s="1217">
        <v>-88.135999999999996</v>
      </c>
      <c r="Y697" s="1217">
        <v>-47.92</v>
      </c>
      <c r="Z697" s="1217">
        <v>-76.691000000000003</v>
      </c>
      <c r="AA697" s="1217">
        <v>-98.625060521266008</v>
      </c>
      <c r="AB697" s="1217">
        <v>-56.248196605164026</v>
      </c>
      <c r="AC697" s="1217">
        <v>-64.314249095705122</v>
      </c>
      <c r="AD697" s="1217">
        <v>-79.595243580210322</v>
      </c>
      <c r="AE697" s="783">
        <f>SUM(S697,T697,U697)</f>
        <v>-220.84799999999998</v>
      </c>
      <c r="AF697" s="1226">
        <f>SUM(V697,W697,X697)</f>
        <v>-172.47199999999998</v>
      </c>
      <c r="AG697" s="1226">
        <f>SUM(Y697,Z697,AA697)</f>
        <v>-223.23606052126601</v>
      </c>
      <c r="AH697" s="1226">
        <f>SUM(AB697,AC697,AD697)</f>
        <v>-200.15768928107946</v>
      </c>
      <c r="AI697" s="1226">
        <f>AE697+AF697</f>
        <v>-393.31999999999994</v>
      </c>
      <c r="AJ697" s="1226">
        <f>AH697+AG697</f>
        <v>-423.3937498023455</v>
      </c>
      <c r="AK697" s="1226">
        <f>AI697+AJ697</f>
        <v>-816.71374980234543</v>
      </c>
      <c r="AL697" s="8"/>
      <c r="AM697" s="579">
        <f ca="1">SUM((INDIRECT(AM$2&amp;(ROW())):INDIRECT(AM$3&amp;(ROW()))))</f>
        <v>0</v>
      </c>
      <c r="AN697" s="579">
        <f ca="1">SUM(INDIRECT(AN$1&amp;AN$2&amp;$C697):INDIRECT(AN$1&amp;AN$3&amp;$C697))</f>
        <v>-85</v>
      </c>
      <c r="AO697" s="2889">
        <f t="shared" ca="1" si="1226"/>
        <v>85</v>
      </c>
      <c r="AP697" s="2890">
        <f t="shared" ca="1" si="1205"/>
        <v>0</v>
      </c>
      <c r="AQ697" s="579">
        <f ca="1">SUM(INDIRECT(AQ$1&amp;AQ$2&amp;$A697):INDIRECT(AQ$1&amp;AQ$3&amp;$A697))</f>
        <v>0</v>
      </c>
      <c r="AR697" s="2889">
        <f t="shared" ca="1" si="1227"/>
        <v>0</v>
      </c>
      <c r="AS697" s="2890">
        <f t="shared" ca="1" si="1206"/>
        <v>0</v>
      </c>
      <c r="AU697" s="579">
        <f ca="1">SUM((INDIRECT(AU$2&amp;(ROW())):INDIRECT(AU$3&amp;(ROW()))))</f>
        <v>0</v>
      </c>
      <c r="AV697" s="579">
        <f ca="1">SUM(INDIRECT(AV$1&amp;AV$2&amp;$C697):INDIRECT(AV$1&amp;AV$3&amp;$C697))</f>
        <v>-85</v>
      </c>
      <c r="AW697" s="2889">
        <f t="shared" ca="1" si="1207"/>
        <v>85</v>
      </c>
      <c r="AX697" s="2890">
        <f t="shared" ca="1" si="1208"/>
        <v>0</v>
      </c>
      <c r="AY697" s="579">
        <f ca="1">SUM(INDIRECT(AY$1&amp;AY$2&amp;$A697):INDIRECT(AY$1&amp;AY$3&amp;$A697))</f>
        <v>0</v>
      </c>
      <c r="AZ697" s="2889">
        <f t="shared" ca="1" si="1209"/>
        <v>0</v>
      </c>
      <c r="BA697" s="2890">
        <f t="shared" ca="1" si="1210"/>
        <v>0</v>
      </c>
      <c r="BC697" s="579">
        <f ca="1">SUM((INDIRECT(BC$2&amp;(ROW())):INDIRECT(BC$3&amp;(ROW()))))</f>
        <v>0</v>
      </c>
      <c r="BD697" s="579">
        <f ca="1">SUM(INDIRECT(BD$1&amp;BD$2&amp;$C697):INDIRECT(BD$1&amp;BD$3&amp;$C697))</f>
        <v>-85</v>
      </c>
      <c r="BE697" s="2889">
        <f t="shared" ca="1" si="1211"/>
        <v>85</v>
      </c>
      <c r="BF697" s="2890">
        <f t="shared" ca="1" si="1212"/>
        <v>0</v>
      </c>
      <c r="BG697" s="579">
        <f ca="1">SUM(INDIRECT(BG$1&amp;BG$2&amp;$A697):INDIRECT(BG$1&amp;BG$3&amp;$A697))</f>
        <v>0</v>
      </c>
      <c r="BH697" s="2889">
        <f t="shared" ca="1" si="1213"/>
        <v>0</v>
      </c>
      <c r="BI697" s="2890">
        <f t="shared" ca="1" si="1214"/>
        <v>0</v>
      </c>
    </row>
    <row r="698" spans="1:61" s="69" customFormat="1" ht="14.5">
      <c r="A698" s="1693">
        <f t="shared" si="1238"/>
        <v>690</v>
      </c>
      <c r="B698" s="616">
        <v>1</v>
      </c>
      <c r="C698" s="1693">
        <f t="shared" si="1237"/>
        <v>698</v>
      </c>
      <c r="D698" s="616">
        <v>1</v>
      </c>
      <c r="G698" s="9"/>
      <c r="H698" s="9"/>
      <c r="I698" s="22"/>
      <c r="J698" s="352"/>
      <c r="K698" s="353"/>
      <c r="L698" s="68"/>
      <c r="M698" s="68"/>
      <c r="O698" s="211"/>
      <c r="P698" s="232"/>
      <c r="Q698" s="228" t="s">
        <v>218</v>
      </c>
      <c r="R698" s="1779" t="str">
        <f>CHOOSE(2, "6722000003609", "S/GP (3) Gross Profit Direct NH MGI FSC (-) OFC")</f>
        <v>S/GP (3) Gross Profit Direct NH MGI FSC (-) OFC</v>
      </c>
      <c r="S698" s="1218"/>
      <c r="T698" s="1218"/>
      <c r="U698" s="1218"/>
      <c r="V698" s="1218"/>
      <c r="W698" s="1218"/>
      <c r="X698" s="1218"/>
      <c r="Y698" s="1218"/>
      <c r="Z698" s="1218"/>
      <c r="AA698" s="1218"/>
      <c r="AB698" s="1218"/>
      <c r="AC698" s="1218"/>
      <c r="AD698" s="1218"/>
      <c r="AE698" s="783">
        <f>SUM(S698,T698,U698)</f>
        <v>0</v>
      </c>
      <c r="AF698" s="1226">
        <f>SUM(V698,W698,X698)</f>
        <v>0</v>
      </c>
      <c r="AG698" s="1226">
        <f>SUM(Y698,Z698,AA698)</f>
        <v>0</v>
      </c>
      <c r="AH698" s="1226">
        <f>SUM(AB698,AC698,AD698)</f>
        <v>0</v>
      </c>
      <c r="AI698" s="1226">
        <f>AE698+AF698</f>
        <v>0</v>
      </c>
      <c r="AJ698" s="1226">
        <f>AH698+AG698</f>
        <v>0</v>
      </c>
      <c r="AK698" s="1226">
        <f>AI698+AJ698</f>
        <v>0</v>
      </c>
      <c r="AL698" s="8"/>
      <c r="AM698" s="579">
        <f ca="1">SUM((INDIRECT(AM$2&amp;(ROW())):INDIRECT(AM$3&amp;(ROW()))))</f>
        <v>0</v>
      </c>
      <c r="AN698" s="579">
        <f ca="1">SUM(INDIRECT(AN$1&amp;AN$2&amp;$C698):INDIRECT(AN$1&amp;AN$3&amp;$C698))</f>
        <v>0</v>
      </c>
      <c r="AO698" s="2889">
        <f t="shared" ca="1" si="1226"/>
        <v>0</v>
      </c>
      <c r="AP698" s="2890">
        <f t="shared" ca="1" si="1205"/>
        <v>0</v>
      </c>
      <c r="AQ698" s="579">
        <f ca="1">SUM(INDIRECT(AQ$1&amp;AQ$2&amp;$A698):INDIRECT(AQ$1&amp;AQ$3&amp;$A698))</f>
        <v>0</v>
      </c>
      <c r="AR698" s="2889">
        <f t="shared" ca="1" si="1227"/>
        <v>0</v>
      </c>
      <c r="AS698" s="2890">
        <f t="shared" ca="1" si="1206"/>
        <v>0</v>
      </c>
      <c r="AU698" s="579">
        <f ca="1">SUM((INDIRECT(AU$2&amp;(ROW())):INDIRECT(AU$3&amp;(ROW()))))</f>
        <v>0</v>
      </c>
      <c r="AV698" s="579">
        <f ca="1">SUM(INDIRECT(AV$1&amp;AV$2&amp;$C698):INDIRECT(AV$1&amp;AV$3&amp;$C698))</f>
        <v>0</v>
      </c>
      <c r="AW698" s="2889">
        <f t="shared" ca="1" si="1207"/>
        <v>0</v>
      </c>
      <c r="AX698" s="2890">
        <f t="shared" ca="1" si="1208"/>
        <v>0</v>
      </c>
      <c r="AY698" s="579">
        <f ca="1">SUM(INDIRECT(AY$1&amp;AY$2&amp;$A698):INDIRECT(AY$1&amp;AY$3&amp;$A698))</f>
        <v>0</v>
      </c>
      <c r="AZ698" s="2889">
        <f t="shared" ca="1" si="1209"/>
        <v>0</v>
      </c>
      <c r="BA698" s="2890">
        <f t="shared" ca="1" si="1210"/>
        <v>0</v>
      </c>
      <c r="BC698" s="579">
        <f ca="1">SUM((INDIRECT(BC$2&amp;(ROW())):INDIRECT(BC$3&amp;(ROW()))))</f>
        <v>0</v>
      </c>
      <c r="BD698" s="579">
        <f ca="1">SUM(INDIRECT(BD$1&amp;BD$2&amp;$C698):INDIRECT(BD$1&amp;BD$3&amp;$C698))</f>
        <v>0</v>
      </c>
      <c r="BE698" s="2889">
        <f t="shared" ca="1" si="1211"/>
        <v>0</v>
      </c>
      <c r="BF698" s="2890">
        <f t="shared" ca="1" si="1212"/>
        <v>0</v>
      </c>
      <c r="BG698" s="579">
        <f ca="1">SUM(INDIRECT(BG$1&amp;BG$2&amp;$A698):INDIRECT(BG$1&amp;BG$3&amp;$A698))</f>
        <v>0</v>
      </c>
      <c r="BH698" s="2889">
        <f t="shared" ca="1" si="1213"/>
        <v>0</v>
      </c>
      <c r="BI698" s="2890">
        <f t="shared" ca="1" si="1214"/>
        <v>0</v>
      </c>
    </row>
    <row r="699" spans="1:61" ht="14.5">
      <c r="A699" s="1693">
        <f t="shared" si="1238"/>
        <v>691</v>
      </c>
      <c r="B699" s="616">
        <v>1</v>
      </c>
      <c r="C699" s="1693">
        <f t="shared" si="1237"/>
        <v>699</v>
      </c>
      <c r="D699" s="616">
        <v>1</v>
      </c>
      <c r="F699" s="69"/>
      <c r="J699" s="352"/>
      <c r="K699" s="353"/>
      <c r="L699" s="68"/>
      <c r="M699" s="68"/>
      <c r="N699" s="69"/>
      <c r="O699" s="69" t="s">
        <v>118</v>
      </c>
      <c r="P699" s="302"/>
      <c r="Q699" s="302"/>
      <c r="R699" s="1777" t="str">
        <f>CHOOSE(2, "6722000003610", "S/GP (3) Gross Profit Direct NH EFI/LF")</f>
        <v>S/GP (3) Gross Profit Direct NH EFI/LF</v>
      </c>
      <c r="S699" s="1250">
        <f t="shared" ref="S699:AD699" si="1283">S700+S701</f>
        <v>0</v>
      </c>
      <c r="T699" s="1250">
        <f t="shared" si="1283"/>
        <v>0</v>
      </c>
      <c r="U699" s="1250">
        <f t="shared" si="1283"/>
        <v>0</v>
      </c>
      <c r="V699" s="1250">
        <f t="shared" si="1283"/>
        <v>0</v>
      </c>
      <c r="W699" s="1250">
        <f t="shared" si="1283"/>
        <v>0</v>
      </c>
      <c r="X699" s="1250">
        <f t="shared" si="1283"/>
        <v>0</v>
      </c>
      <c r="Y699" s="1250">
        <f t="shared" si="1283"/>
        <v>0</v>
      </c>
      <c r="Z699" s="1250">
        <f t="shared" si="1283"/>
        <v>0</v>
      </c>
      <c r="AA699" s="1250">
        <f t="shared" si="1283"/>
        <v>0</v>
      </c>
      <c r="AB699" s="1250">
        <f t="shared" si="1283"/>
        <v>0</v>
      </c>
      <c r="AC699" s="1250">
        <f t="shared" si="1283"/>
        <v>0</v>
      </c>
      <c r="AD699" s="1250">
        <f t="shared" si="1283"/>
        <v>0</v>
      </c>
      <c r="AE699" s="899">
        <f t="shared" ref="AE699:AK699" si="1284">AE700+AE701</f>
        <v>0</v>
      </c>
      <c r="AF699" s="1250">
        <f t="shared" si="1284"/>
        <v>0</v>
      </c>
      <c r="AG699" s="1250">
        <f t="shared" si="1284"/>
        <v>0</v>
      </c>
      <c r="AH699" s="1250">
        <f t="shared" si="1284"/>
        <v>0</v>
      </c>
      <c r="AI699" s="1250">
        <f t="shared" si="1284"/>
        <v>0</v>
      </c>
      <c r="AJ699" s="1250">
        <f t="shared" si="1284"/>
        <v>0</v>
      </c>
      <c r="AK699" s="1250">
        <f t="shared" si="1284"/>
        <v>0</v>
      </c>
      <c r="AL699" s="69"/>
      <c r="AM699" s="2194">
        <f ca="1">SUM((INDIRECT(AM$2&amp;(ROW())):INDIRECT(AM$3&amp;(ROW()))))</f>
        <v>0</v>
      </c>
      <c r="AN699" s="2194">
        <f ca="1">SUM(INDIRECT(AN$1&amp;AN$2&amp;$C699):INDIRECT(AN$1&amp;AN$3&amp;$C699))</f>
        <v>0</v>
      </c>
      <c r="AO699" s="2912">
        <f t="shared" ca="1" si="1226"/>
        <v>0</v>
      </c>
      <c r="AP699" s="2913">
        <f t="shared" ca="1" si="1205"/>
        <v>0</v>
      </c>
      <c r="AQ699" s="2194">
        <f ca="1">SUM(INDIRECT(AQ$1&amp;AQ$2&amp;$A699):INDIRECT(AQ$1&amp;AQ$3&amp;$A699))</f>
        <v>0</v>
      </c>
      <c r="AR699" s="2912">
        <f t="shared" ca="1" si="1227"/>
        <v>0</v>
      </c>
      <c r="AS699" s="2913">
        <f t="shared" ca="1" si="1206"/>
        <v>0</v>
      </c>
      <c r="AU699" s="2194">
        <f ca="1">SUM((INDIRECT(AU$2&amp;(ROW())):INDIRECT(AU$3&amp;(ROW()))))</f>
        <v>0</v>
      </c>
      <c r="AV699" s="2194">
        <f ca="1">SUM(INDIRECT(AV$1&amp;AV$2&amp;$C699):INDIRECT(AV$1&amp;AV$3&amp;$C699))</f>
        <v>0</v>
      </c>
      <c r="AW699" s="2912">
        <f t="shared" ca="1" si="1207"/>
        <v>0</v>
      </c>
      <c r="AX699" s="2913">
        <f t="shared" ca="1" si="1208"/>
        <v>0</v>
      </c>
      <c r="AY699" s="2194">
        <f ca="1">SUM(INDIRECT(AY$1&amp;AY$2&amp;$A699):INDIRECT(AY$1&amp;AY$3&amp;$A699))</f>
        <v>0</v>
      </c>
      <c r="AZ699" s="2912">
        <f t="shared" ca="1" si="1209"/>
        <v>0</v>
      </c>
      <c r="BA699" s="2913">
        <f t="shared" ca="1" si="1210"/>
        <v>0</v>
      </c>
      <c r="BC699" s="2194">
        <f ca="1">SUM((INDIRECT(BC$2&amp;(ROW())):INDIRECT(BC$3&amp;(ROW()))))</f>
        <v>0</v>
      </c>
      <c r="BD699" s="2194">
        <f ca="1">SUM(INDIRECT(BD$1&amp;BD$2&amp;$C699):INDIRECT(BD$1&amp;BD$3&amp;$C699))</f>
        <v>0</v>
      </c>
      <c r="BE699" s="2912">
        <f t="shared" ca="1" si="1211"/>
        <v>0</v>
      </c>
      <c r="BF699" s="2913">
        <f t="shared" ca="1" si="1212"/>
        <v>0</v>
      </c>
      <c r="BG699" s="2194">
        <f ca="1">SUM(INDIRECT(BG$1&amp;BG$2&amp;$A699):INDIRECT(BG$1&amp;BG$3&amp;$A699))</f>
        <v>0</v>
      </c>
      <c r="BH699" s="2912">
        <f t="shared" ca="1" si="1213"/>
        <v>0</v>
      </c>
      <c r="BI699" s="2913">
        <f t="shared" ca="1" si="1214"/>
        <v>0</v>
      </c>
    </row>
    <row r="700" spans="1:61" ht="14.5">
      <c r="A700" s="1693">
        <f t="shared" si="1238"/>
        <v>692</v>
      </c>
      <c r="B700" s="616">
        <v>1</v>
      </c>
      <c r="C700" s="1693">
        <f t="shared" si="1237"/>
        <v>700</v>
      </c>
      <c r="D700" s="616">
        <v>1</v>
      </c>
      <c r="F700" s="69"/>
      <c r="J700" s="352"/>
      <c r="K700" s="353"/>
      <c r="L700" s="68"/>
      <c r="M700" s="68"/>
      <c r="N700" s="69"/>
      <c r="O700" s="69"/>
      <c r="P700" s="305" t="s">
        <v>215</v>
      </c>
      <c r="Q700" s="305"/>
      <c r="R700" s="1779" t="str">
        <f>CHOOSE(2, "6722000003611", "S/GP (3) Gross Profit Direct NH EFI/LF EFI/LF")</f>
        <v>S/GP (3) Gross Profit Direct NH EFI/LF EFI/LF</v>
      </c>
      <c r="S700" s="1254"/>
      <c r="T700" s="1254"/>
      <c r="U700" s="1254"/>
      <c r="V700" s="1254"/>
      <c r="W700" s="1254"/>
      <c r="X700" s="1254"/>
      <c r="Y700" s="1254"/>
      <c r="Z700" s="1254"/>
      <c r="AA700" s="1254"/>
      <c r="AB700" s="1254"/>
      <c r="AC700" s="1254"/>
      <c r="AD700" s="1254"/>
      <c r="AE700" s="903">
        <f>SUM(S700,T700,U700)</f>
        <v>0</v>
      </c>
      <c r="AF700" s="58">
        <f>SUM(V700,W700,X700)</f>
        <v>0</v>
      </c>
      <c r="AG700" s="58">
        <f>SUM(Y700,Z700,AA700)</f>
        <v>0</v>
      </c>
      <c r="AH700" s="58">
        <f>SUM(AB700,AC700,AD700)</f>
        <v>0</v>
      </c>
      <c r="AI700" s="58">
        <f>AE700+AF700</f>
        <v>0</v>
      </c>
      <c r="AJ700" s="58">
        <f>AH700+AG700</f>
        <v>0</v>
      </c>
      <c r="AK700" s="58">
        <f>AI700+AJ700</f>
        <v>0</v>
      </c>
      <c r="AL700" s="69"/>
      <c r="AM700" s="2194">
        <f ca="1">SUM((INDIRECT(AM$2&amp;(ROW())):INDIRECT(AM$3&amp;(ROW()))))</f>
        <v>0</v>
      </c>
      <c r="AN700" s="2194">
        <f ca="1">SUM(INDIRECT(AN$1&amp;AN$2&amp;$C700):INDIRECT(AN$1&amp;AN$3&amp;$C700))</f>
        <v>0</v>
      </c>
      <c r="AO700" s="2912">
        <f t="shared" ca="1" si="1226"/>
        <v>0</v>
      </c>
      <c r="AP700" s="2913">
        <f t="shared" ca="1" si="1205"/>
        <v>0</v>
      </c>
      <c r="AQ700" s="2194">
        <f ca="1">SUM(INDIRECT(AQ$1&amp;AQ$2&amp;$A700):INDIRECT(AQ$1&amp;AQ$3&amp;$A700))</f>
        <v>0</v>
      </c>
      <c r="AR700" s="2912">
        <f t="shared" ca="1" si="1227"/>
        <v>0</v>
      </c>
      <c r="AS700" s="2913">
        <f t="shared" ca="1" si="1206"/>
        <v>0</v>
      </c>
      <c r="AU700" s="2194">
        <f ca="1">SUM((INDIRECT(AU$2&amp;(ROW())):INDIRECT(AU$3&amp;(ROW()))))</f>
        <v>0</v>
      </c>
      <c r="AV700" s="2194">
        <f ca="1">SUM(INDIRECT(AV$1&amp;AV$2&amp;$C700):INDIRECT(AV$1&amp;AV$3&amp;$C700))</f>
        <v>0</v>
      </c>
      <c r="AW700" s="2912">
        <f t="shared" ca="1" si="1207"/>
        <v>0</v>
      </c>
      <c r="AX700" s="2913">
        <f t="shared" ca="1" si="1208"/>
        <v>0</v>
      </c>
      <c r="AY700" s="2194">
        <f ca="1">SUM(INDIRECT(AY$1&amp;AY$2&amp;$A700):INDIRECT(AY$1&amp;AY$3&amp;$A700))</f>
        <v>0</v>
      </c>
      <c r="AZ700" s="2912">
        <f t="shared" ca="1" si="1209"/>
        <v>0</v>
      </c>
      <c r="BA700" s="2913">
        <f t="shared" ca="1" si="1210"/>
        <v>0</v>
      </c>
      <c r="BC700" s="2194">
        <f ca="1">SUM((INDIRECT(BC$2&amp;(ROW())):INDIRECT(BC$3&amp;(ROW()))))</f>
        <v>0</v>
      </c>
      <c r="BD700" s="2194">
        <f ca="1">SUM(INDIRECT(BD$1&amp;BD$2&amp;$C700):INDIRECT(BD$1&amp;BD$3&amp;$C700))</f>
        <v>0</v>
      </c>
      <c r="BE700" s="2912">
        <f t="shared" ca="1" si="1211"/>
        <v>0</v>
      </c>
      <c r="BF700" s="2913">
        <f t="shared" ca="1" si="1212"/>
        <v>0</v>
      </c>
      <c r="BG700" s="2194">
        <f ca="1">SUM(INDIRECT(BG$1&amp;BG$2&amp;$A700):INDIRECT(BG$1&amp;BG$3&amp;$A700))</f>
        <v>0</v>
      </c>
      <c r="BH700" s="2912">
        <f t="shared" ca="1" si="1213"/>
        <v>0</v>
      </c>
      <c r="BI700" s="2913">
        <f t="shared" ca="1" si="1214"/>
        <v>0</v>
      </c>
    </row>
    <row r="701" spans="1:61" s="69" customFormat="1" ht="14.5">
      <c r="A701" s="1693">
        <f t="shared" si="1238"/>
        <v>693</v>
      </c>
      <c r="B701" s="616">
        <v>1</v>
      </c>
      <c r="C701" s="1693">
        <f t="shared" si="1237"/>
        <v>701</v>
      </c>
      <c r="D701" s="616">
        <v>1</v>
      </c>
      <c r="G701" s="9"/>
      <c r="H701" s="9"/>
      <c r="I701" s="22"/>
      <c r="J701" s="352"/>
      <c r="K701" s="353"/>
      <c r="L701" s="68"/>
      <c r="M701" s="68"/>
      <c r="P701" s="306" t="s">
        <v>133</v>
      </c>
      <c r="Q701" s="306"/>
      <c r="R701" s="1782" t="str">
        <f>CHOOSE(2, "6722000003612", "S/GP (3) Gross Profit Direct NH EFI/LF FSC (-)")</f>
        <v>S/GP (3) Gross Profit Direct NH EFI/LF FSC (-)</v>
      </c>
      <c r="S701" s="1250">
        <f t="shared" ref="S701:AD701" si="1285">SUM(S702:S704)</f>
        <v>0</v>
      </c>
      <c r="T701" s="1250">
        <f t="shared" si="1285"/>
        <v>0</v>
      </c>
      <c r="U701" s="1250">
        <f t="shared" si="1285"/>
        <v>0</v>
      </c>
      <c r="V701" s="1250">
        <f t="shared" si="1285"/>
        <v>0</v>
      </c>
      <c r="W701" s="1250">
        <f t="shared" si="1285"/>
        <v>0</v>
      </c>
      <c r="X701" s="1250">
        <f t="shared" si="1285"/>
        <v>0</v>
      </c>
      <c r="Y701" s="1250">
        <f t="shared" si="1285"/>
        <v>0</v>
      </c>
      <c r="Z701" s="1250">
        <f t="shared" si="1285"/>
        <v>0</v>
      </c>
      <c r="AA701" s="1250">
        <f t="shared" si="1285"/>
        <v>0</v>
      </c>
      <c r="AB701" s="1250">
        <f t="shared" si="1285"/>
        <v>0</v>
      </c>
      <c r="AC701" s="1250">
        <f t="shared" si="1285"/>
        <v>0</v>
      </c>
      <c r="AD701" s="1250">
        <f t="shared" si="1285"/>
        <v>0</v>
      </c>
      <c r="AE701" s="899">
        <f>SUM(S701:U701)</f>
        <v>0</v>
      </c>
      <c r="AF701" s="1250">
        <f>SUM(V701:X701)</f>
        <v>0</v>
      </c>
      <c r="AG701" s="1250">
        <f>SUM(Y701:AA701)</f>
        <v>0</v>
      </c>
      <c r="AH701" s="1250">
        <f>SUM(AB701:AD701)</f>
        <v>0</v>
      </c>
      <c r="AI701" s="1250">
        <f>AE701+AF701</f>
        <v>0</v>
      </c>
      <c r="AJ701" s="1250">
        <f>AH701+AG701</f>
        <v>0</v>
      </c>
      <c r="AK701" s="1250">
        <f>AI701+AJ701</f>
        <v>0</v>
      </c>
      <c r="AM701" s="2145">
        <f ca="1">SUM((INDIRECT(AM$2&amp;(ROW())):INDIRECT(AM$3&amp;(ROW()))))</f>
        <v>0</v>
      </c>
      <c r="AN701" s="2145">
        <f ca="1">SUM(INDIRECT(AN$1&amp;AN$2&amp;$C701):INDIRECT(AN$1&amp;AN$3&amp;$C701))</f>
        <v>0</v>
      </c>
      <c r="AO701" s="2887">
        <f t="shared" ca="1" si="1226"/>
        <v>0</v>
      </c>
      <c r="AP701" s="2888">
        <f t="shared" ca="1" si="1205"/>
        <v>0</v>
      </c>
      <c r="AQ701" s="2145">
        <f ca="1">SUM(INDIRECT(AQ$1&amp;AQ$2&amp;$A701):INDIRECT(AQ$1&amp;AQ$3&amp;$A701))</f>
        <v>0</v>
      </c>
      <c r="AR701" s="2887">
        <f t="shared" ca="1" si="1227"/>
        <v>0</v>
      </c>
      <c r="AS701" s="2888">
        <f t="shared" ca="1" si="1206"/>
        <v>0</v>
      </c>
      <c r="AU701" s="2145">
        <f ca="1">SUM((INDIRECT(AU$2&amp;(ROW())):INDIRECT(AU$3&amp;(ROW()))))</f>
        <v>0</v>
      </c>
      <c r="AV701" s="2145">
        <f ca="1">SUM(INDIRECT(AV$1&amp;AV$2&amp;$C701):INDIRECT(AV$1&amp;AV$3&amp;$C701))</f>
        <v>0</v>
      </c>
      <c r="AW701" s="2887">
        <f t="shared" ca="1" si="1207"/>
        <v>0</v>
      </c>
      <c r="AX701" s="2888">
        <f t="shared" ca="1" si="1208"/>
        <v>0</v>
      </c>
      <c r="AY701" s="2145">
        <f ca="1">SUM(INDIRECT(AY$1&amp;AY$2&amp;$A701):INDIRECT(AY$1&amp;AY$3&amp;$A701))</f>
        <v>0</v>
      </c>
      <c r="AZ701" s="2887">
        <f t="shared" ca="1" si="1209"/>
        <v>0</v>
      </c>
      <c r="BA701" s="2888">
        <f t="shared" ca="1" si="1210"/>
        <v>0</v>
      </c>
      <c r="BC701" s="2145">
        <f ca="1">SUM((INDIRECT(BC$2&amp;(ROW())):INDIRECT(BC$3&amp;(ROW()))))</f>
        <v>0</v>
      </c>
      <c r="BD701" s="2145">
        <f ca="1">SUM(INDIRECT(BD$1&amp;BD$2&amp;$C701):INDIRECT(BD$1&amp;BD$3&amp;$C701))</f>
        <v>0</v>
      </c>
      <c r="BE701" s="2887">
        <f t="shared" ca="1" si="1211"/>
        <v>0</v>
      </c>
      <c r="BF701" s="2888">
        <f t="shared" ca="1" si="1212"/>
        <v>0</v>
      </c>
      <c r="BG701" s="2145">
        <f ca="1">SUM(INDIRECT(BG$1&amp;BG$2&amp;$A701):INDIRECT(BG$1&amp;BG$3&amp;$A701))</f>
        <v>0</v>
      </c>
      <c r="BH701" s="2887">
        <f t="shared" ca="1" si="1213"/>
        <v>0</v>
      </c>
      <c r="BI701" s="2888">
        <f t="shared" ca="1" si="1214"/>
        <v>0</v>
      </c>
    </row>
    <row r="702" spans="1:61" s="69" customFormat="1" ht="14.5">
      <c r="A702" s="1693">
        <f t="shared" si="1238"/>
        <v>694</v>
      </c>
      <c r="B702" s="616">
        <v>1</v>
      </c>
      <c r="C702" s="1693">
        <f t="shared" si="1237"/>
        <v>702</v>
      </c>
      <c r="D702" s="616">
        <v>1</v>
      </c>
      <c r="G702" s="9"/>
      <c r="H702" s="9"/>
      <c r="I702" s="22"/>
      <c r="J702" s="352"/>
      <c r="K702" s="353"/>
      <c r="L702" s="68"/>
      <c r="M702" s="68"/>
      <c r="P702" s="307"/>
      <c r="Q702" s="291" t="s">
        <v>212</v>
      </c>
      <c r="R702" s="1779" t="str">
        <f>CHOOSE(2, "6722000003613", "S/GP (3) Gross Profit Direct NH EFI/LF FSC (-) PC")</f>
        <v>S/GP (3) Gross Profit Direct NH EFI/LF FSC (-) PC</v>
      </c>
      <c r="S702" s="1227"/>
      <c r="T702" s="1227"/>
      <c r="U702" s="1227"/>
      <c r="V702" s="1227"/>
      <c r="W702" s="1227"/>
      <c r="X702" s="1227"/>
      <c r="Y702" s="1227"/>
      <c r="Z702" s="1227"/>
      <c r="AA702" s="1227"/>
      <c r="AB702" s="1227"/>
      <c r="AC702" s="1227"/>
      <c r="AD702" s="1227"/>
      <c r="AE702" s="896">
        <f>SUM(S702,T702,U702)</f>
        <v>0</v>
      </c>
      <c r="AF702" s="95">
        <f>SUM(V702,W702,X702)</f>
        <v>0</v>
      </c>
      <c r="AG702" s="95">
        <f>SUM(Y702,Z702,AA702)</f>
        <v>0</v>
      </c>
      <c r="AH702" s="95">
        <f>SUM(AB702,AC702,AD702)</f>
        <v>0</v>
      </c>
      <c r="AI702" s="95">
        <f>AE702+AF702</f>
        <v>0</v>
      </c>
      <c r="AJ702" s="95">
        <f>AH702+AG702</f>
        <v>0</v>
      </c>
      <c r="AK702" s="95">
        <f>AI702+AJ702</f>
        <v>0</v>
      </c>
      <c r="AM702" s="2138">
        <f ca="1">SUM((INDIRECT(AM$2&amp;(ROW())):INDIRECT(AM$3&amp;(ROW()))))</f>
        <v>0</v>
      </c>
      <c r="AN702" s="2138">
        <f ca="1">SUM(INDIRECT(AN$1&amp;AN$2&amp;$C702):INDIRECT(AN$1&amp;AN$3&amp;$C702))</f>
        <v>0</v>
      </c>
      <c r="AO702" s="2879">
        <f t="shared" ca="1" si="1226"/>
        <v>0</v>
      </c>
      <c r="AP702" s="2880">
        <f t="shared" ca="1" si="1205"/>
        <v>0</v>
      </c>
      <c r="AQ702" s="2138">
        <f ca="1">SUM(INDIRECT(AQ$1&amp;AQ$2&amp;$A702):INDIRECT(AQ$1&amp;AQ$3&amp;$A702))</f>
        <v>0</v>
      </c>
      <c r="AR702" s="2879">
        <f t="shared" ca="1" si="1227"/>
        <v>0</v>
      </c>
      <c r="AS702" s="2880">
        <f t="shared" ca="1" si="1206"/>
        <v>0</v>
      </c>
      <c r="AU702" s="2138">
        <f ca="1">SUM((INDIRECT(AU$2&amp;(ROW())):INDIRECT(AU$3&amp;(ROW()))))</f>
        <v>0</v>
      </c>
      <c r="AV702" s="2138">
        <f ca="1">SUM(INDIRECT(AV$1&amp;AV$2&amp;$C702):INDIRECT(AV$1&amp;AV$3&amp;$C702))</f>
        <v>0</v>
      </c>
      <c r="AW702" s="2879">
        <f t="shared" ca="1" si="1207"/>
        <v>0</v>
      </c>
      <c r="AX702" s="2880">
        <f t="shared" ca="1" si="1208"/>
        <v>0</v>
      </c>
      <c r="AY702" s="2138">
        <f ca="1">SUM(INDIRECT(AY$1&amp;AY$2&amp;$A702):INDIRECT(AY$1&amp;AY$3&amp;$A702))</f>
        <v>0</v>
      </c>
      <c r="AZ702" s="2879">
        <f t="shared" ca="1" si="1209"/>
        <v>0</v>
      </c>
      <c r="BA702" s="2880">
        <f t="shared" ca="1" si="1210"/>
        <v>0</v>
      </c>
      <c r="BC702" s="2138">
        <f ca="1">SUM((INDIRECT(BC$2&amp;(ROW())):INDIRECT(BC$3&amp;(ROW()))))</f>
        <v>0</v>
      </c>
      <c r="BD702" s="2138">
        <f ca="1">SUM(INDIRECT(BD$1&amp;BD$2&amp;$C702):INDIRECT(BD$1&amp;BD$3&amp;$C702))</f>
        <v>0</v>
      </c>
      <c r="BE702" s="2879">
        <f t="shared" ca="1" si="1211"/>
        <v>0</v>
      </c>
      <c r="BF702" s="2880">
        <f t="shared" ca="1" si="1212"/>
        <v>0</v>
      </c>
      <c r="BG702" s="2138">
        <f ca="1">SUM(INDIRECT(BG$1&amp;BG$2&amp;$A702):INDIRECT(BG$1&amp;BG$3&amp;$A702))</f>
        <v>0</v>
      </c>
      <c r="BH702" s="2879">
        <f t="shared" ca="1" si="1213"/>
        <v>0</v>
      </c>
      <c r="BI702" s="2880">
        <f t="shared" ca="1" si="1214"/>
        <v>0</v>
      </c>
    </row>
    <row r="703" spans="1:61" s="69" customFormat="1" ht="14.5">
      <c r="A703" s="1693">
        <f t="shared" si="1238"/>
        <v>695</v>
      </c>
      <c r="B703" s="616">
        <v>1</v>
      </c>
      <c r="C703" s="1693">
        <f t="shared" si="1237"/>
        <v>703</v>
      </c>
      <c r="D703" s="616">
        <v>1</v>
      </c>
      <c r="G703" s="9"/>
      <c r="H703" s="9"/>
      <c r="I703" s="22"/>
      <c r="J703" s="352"/>
      <c r="K703" s="353"/>
      <c r="L703" s="68"/>
      <c r="M703" s="68"/>
      <c r="P703" s="231"/>
      <c r="Q703" s="229" t="s">
        <v>213</v>
      </c>
      <c r="R703" s="1779" t="str">
        <f>CHOOSE(2, "6722000003614", "S/GP (3) Gross Profit Direct NH EFI/LF FSC (-) TE")</f>
        <v>S/GP (3) Gross Profit Direct NH EFI/LF FSC (-) TE</v>
      </c>
      <c r="S703" s="1217"/>
      <c r="T703" s="1217"/>
      <c r="U703" s="1217"/>
      <c r="V703" s="1217"/>
      <c r="W703" s="1217"/>
      <c r="X703" s="1217"/>
      <c r="Y703" s="1217"/>
      <c r="Z703" s="1217"/>
      <c r="AA703" s="1217"/>
      <c r="AB703" s="1217"/>
      <c r="AC703" s="1217"/>
      <c r="AD703" s="1217"/>
      <c r="AE703" s="783">
        <f>SUM(S703,T703,U703)</f>
        <v>0</v>
      </c>
      <c r="AF703" s="1226">
        <f>SUM(V703,W703,X703)</f>
        <v>0</v>
      </c>
      <c r="AG703" s="1226">
        <f>SUM(Y703,Z703,AA703)</f>
        <v>0</v>
      </c>
      <c r="AH703" s="1226">
        <f>SUM(AB703,AC703,AD703)</f>
        <v>0</v>
      </c>
      <c r="AI703" s="1226">
        <f>AE703+AF703</f>
        <v>0</v>
      </c>
      <c r="AJ703" s="1226">
        <f>AH703+AG703</f>
        <v>0</v>
      </c>
      <c r="AK703" s="1226">
        <f>AI703+AJ703</f>
        <v>0</v>
      </c>
      <c r="AM703" s="579">
        <f ca="1">SUM((INDIRECT(AM$2&amp;(ROW())):INDIRECT(AM$3&amp;(ROW()))))</f>
        <v>0</v>
      </c>
      <c r="AN703" s="579">
        <f ca="1">SUM(INDIRECT(AN$1&amp;AN$2&amp;$C703):INDIRECT(AN$1&amp;AN$3&amp;$C703))</f>
        <v>0</v>
      </c>
      <c r="AO703" s="2889">
        <f t="shared" ca="1" si="1226"/>
        <v>0</v>
      </c>
      <c r="AP703" s="2890">
        <f t="shared" ca="1" si="1205"/>
        <v>0</v>
      </c>
      <c r="AQ703" s="579">
        <f ca="1">SUM(INDIRECT(AQ$1&amp;AQ$2&amp;$A703):INDIRECT(AQ$1&amp;AQ$3&amp;$A703))</f>
        <v>0</v>
      </c>
      <c r="AR703" s="2889">
        <f t="shared" ca="1" si="1227"/>
        <v>0</v>
      </c>
      <c r="AS703" s="2890">
        <f t="shared" ca="1" si="1206"/>
        <v>0</v>
      </c>
      <c r="AU703" s="579">
        <f ca="1">SUM((INDIRECT(AU$2&amp;(ROW())):INDIRECT(AU$3&amp;(ROW()))))</f>
        <v>0</v>
      </c>
      <c r="AV703" s="579">
        <f ca="1">SUM(INDIRECT(AV$1&amp;AV$2&amp;$C703):INDIRECT(AV$1&amp;AV$3&amp;$C703))</f>
        <v>0</v>
      </c>
      <c r="AW703" s="2889">
        <f t="shared" ca="1" si="1207"/>
        <v>0</v>
      </c>
      <c r="AX703" s="2890">
        <f t="shared" ca="1" si="1208"/>
        <v>0</v>
      </c>
      <c r="AY703" s="579">
        <f ca="1">SUM(INDIRECT(AY$1&amp;AY$2&amp;$A703):INDIRECT(AY$1&amp;AY$3&amp;$A703))</f>
        <v>0</v>
      </c>
      <c r="AZ703" s="2889">
        <f t="shared" ca="1" si="1209"/>
        <v>0</v>
      </c>
      <c r="BA703" s="2890">
        <f t="shared" ca="1" si="1210"/>
        <v>0</v>
      </c>
      <c r="BC703" s="579">
        <f ca="1">SUM((INDIRECT(BC$2&amp;(ROW())):INDIRECT(BC$3&amp;(ROW()))))</f>
        <v>0</v>
      </c>
      <c r="BD703" s="579">
        <f ca="1">SUM(INDIRECT(BD$1&amp;BD$2&amp;$C703):INDIRECT(BD$1&amp;BD$3&amp;$C703))</f>
        <v>0</v>
      </c>
      <c r="BE703" s="2889">
        <f t="shared" ca="1" si="1211"/>
        <v>0</v>
      </c>
      <c r="BF703" s="2890">
        <f t="shared" ca="1" si="1212"/>
        <v>0</v>
      </c>
      <c r="BG703" s="579">
        <f ca="1">SUM(INDIRECT(BG$1&amp;BG$2&amp;$A703):INDIRECT(BG$1&amp;BG$3&amp;$A703))</f>
        <v>0</v>
      </c>
      <c r="BH703" s="2889">
        <f t="shared" ca="1" si="1213"/>
        <v>0</v>
      </c>
      <c r="BI703" s="2890">
        <f t="shared" ca="1" si="1214"/>
        <v>0</v>
      </c>
    </row>
    <row r="704" spans="1:61" s="69" customFormat="1" ht="14.5">
      <c r="A704" s="1693">
        <f t="shared" si="1238"/>
        <v>696</v>
      </c>
      <c r="B704" s="616">
        <v>1</v>
      </c>
      <c r="C704" s="1693">
        <f t="shared" si="1237"/>
        <v>704</v>
      </c>
      <c r="D704" s="616">
        <v>1</v>
      </c>
      <c r="G704" s="9"/>
      <c r="H704" s="9"/>
      <c r="I704" s="22"/>
      <c r="J704" s="352"/>
      <c r="K704" s="353"/>
      <c r="L704" s="68"/>
      <c r="M704" s="68"/>
      <c r="O704" s="211"/>
      <c r="P704" s="232"/>
      <c r="Q704" s="228" t="s">
        <v>218</v>
      </c>
      <c r="R704" s="1779" t="str">
        <f>CHOOSE(2, "6722000003615", "S/GP (3) Gross Profit Direct NH EFI/LF FSC (-) OFC")</f>
        <v>S/GP (3) Gross Profit Direct NH EFI/LF FSC (-) OFC</v>
      </c>
      <c r="S704" s="1218"/>
      <c r="T704" s="1218"/>
      <c r="U704" s="1218"/>
      <c r="V704" s="1218"/>
      <c r="W704" s="1218"/>
      <c r="X704" s="1218"/>
      <c r="Y704" s="1218"/>
      <c r="Z704" s="1218"/>
      <c r="AA704" s="1218"/>
      <c r="AB704" s="1218"/>
      <c r="AC704" s="1218"/>
      <c r="AD704" s="1218"/>
      <c r="AE704" s="783">
        <f>SUM(S704,T704,U704)</f>
        <v>0</v>
      </c>
      <c r="AF704" s="1226">
        <f>SUM(V704,W704,X704)</f>
        <v>0</v>
      </c>
      <c r="AG704" s="1226">
        <f>SUM(Y704,Z704,AA704)</f>
        <v>0</v>
      </c>
      <c r="AH704" s="1226">
        <f>SUM(AB704,AC704,AD704)</f>
        <v>0</v>
      </c>
      <c r="AI704" s="1226">
        <f>AE704+AF704</f>
        <v>0</v>
      </c>
      <c r="AJ704" s="1226">
        <f>AH704+AG704</f>
        <v>0</v>
      </c>
      <c r="AK704" s="1226">
        <f>AI704+AJ704</f>
        <v>0</v>
      </c>
      <c r="AM704" s="579">
        <f ca="1">SUM((INDIRECT(AM$2&amp;(ROW())):INDIRECT(AM$3&amp;(ROW()))))</f>
        <v>0</v>
      </c>
      <c r="AN704" s="579">
        <f ca="1">SUM(INDIRECT(AN$1&amp;AN$2&amp;$C704):INDIRECT(AN$1&amp;AN$3&amp;$C704))</f>
        <v>0</v>
      </c>
      <c r="AO704" s="2889">
        <f t="shared" ca="1" si="1226"/>
        <v>0</v>
      </c>
      <c r="AP704" s="2890">
        <f t="shared" ref="AP704:AP759" ca="1" si="1286">IFERROR(AM704/AN704,0)</f>
        <v>0</v>
      </c>
      <c r="AQ704" s="579">
        <f ca="1">SUM(INDIRECT(AQ$1&amp;AQ$2&amp;$A704):INDIRECT(AQ$1&amp;AQ$3&amp;$A704))</f>
        <v>0</v>
      </c>
      <c r="AR704" s="2889">
        <f t="shared" ca="1" si="1227"/>
        <v>0</v>
      </c>
      <c r="AS704" s="2890">
        <f t="shared" ref="AS704:AS759" ca="1" si="1287">IFERROR(AM704/AQ704,0)</f>
        <v>0</v>
      </c>
      <c r="AU704" s="579">
        <f ca="1">SUM((INDIRECT(AU$2&amp;(ROW())):INDIRECT(AU$3&amp;(ROW()))))</f>
        <v>0</v>
      </c>
      <c r="AV704" s="579">
        <f ca="1">SUM(INDIRECT(AV$1&amp;AV$2&amp;$C704):INDIRECT(AV$1&amp;AV$3&amp;$C704))</f>
        <v>0</v>
      </c>
      <c r="AW704" s="2889">
        <f t="shared" ref="AW704:AW759" ca="1" si="1288">AU704-AV704</f>
        <v>0</v>
      </c>
      <c r="AX704" s="2890">
        <f t="shared" ref="AX704:AX759" ca="1" si="1289">IFERROR(AU704/AV704,0)</f>
        <v>0</v>
      </c>
      <c r="AY704" s="579">
        <f ca="1">SUM(INDIRECT(AY$1&amp;AY$2&amp;$A704):INDIRECT(AY$1&amp;AY$3&amp;$A704))</f>
        <v>0</v>
      </c>
      <c r="AZ704" s="2889">
        <f t="shared" ref="AZ704:AZ759" ca="1" si="1290">AU704-AY704</f>
        <v>0</v>
      </c>
      <c r="BA704" s="2890">
        <f t="shared" ref="BA704:BA759" ca="1" si="1291">IFERROR(AU704/AY704,0)</f>
        <v>0</v>
      </c>
      <c r="BC704" s="579">
        <f ca="1">SUM((INDIRECT(BC$2&amp;(ROW())):INDIRECT(BC$3&amp;(ROW()))))</f>
        <v>0</v>
      </c>
      <c r="BD704" s="579">
        <f ca="1">SUM(INDIRECT(BD$1&amp;BD$2&amp;$C704):INDIRECT(BD$1&amp;BD$3&amp;$C704))</f>
        <v>0</v>
      </c>
      <c r="BE704" s="2889">
        <f t="shared" ref="BE704:BE759" ca="1" si="1292">BC704-BD704</f>
        <v>0</v>
      </c>
      <c r="BF704" s="2890">
        <f t="shared" ref="BF704:BF759" ca="1" si="1293">IFERROR(BC704/BD704,0)</f>
        <v>0</v>
      </c>
      <c r="BG704" s="579">
        <f ca="1">SUM(INDIRECT(BG$1&amp;BG$2&amp;$A704):INDIRECT(BG$1&amp;BG$3&amp;$A704))</f>
        <v>0</v>
      </c>
      <c r="BH704" s="2889">
        <f t="shared" ref="BH704:BH759" ca="1" si="1294">BC704-BG704</f>
        <v>0</v>
      </c>
      <c r="BI704" s="2890">
        <f t="shared" ref="BI704:BI759" ca="1" si="1295">IFERROR(BC704/BG704,0)</f>
        <v>0</v>
      </c>
    </row>
    <row r="705" spans="1:61" ht="14.5">
      <c r="A705" s="1693">
        <f t="shared" si="1238"/>
        <v>697</v>
      </c>
      <c r="B705" s="616">
        <v>1</v>
      </c>
      <c r="C705" s="1693">
        <f t="shared" si="1237"/>
        <v>705</v>
      </c>
      <c r="D705" s="616">
        <v>1</v>
      </c>
      <c r="F705" s="69"/>
      <c r="J705" s="352"/>
      <c r="K705" s="353"/>
      <c r="L705" s="68"/>
      <c r="M705" s="68"/>
      <c r="N705" s="69"/>
      <c r="O705" s="69" t="s">
        <v>180</v>
      </c>
      <c r="P705" s="302"/>
      <c r="Q705" s="302"/>
      <c r="R705" s="1777" t="str">
        <f>CHOOSE(2, "6722000003616", "S/GP (3) Gross Profit Direct NH Textile Printer")</f>
        <v>S/GP (3) Gross Profit Direct NH Textile Printer</v>
      </c>
      <c r="S705" s="1250">
        <f t="shared" ref="S705:AD705" si="1296">S706+S707</f>
        <v>0</v>
      </c>
      <c r="T705" s="1250">
        <f t="shared" si="1296"/>
        <v>0</v>
      </c>
      <c r="U705" s="1250">
        <f t="shared" si="1296"/>
        <v>0</v>
      </c>
      <c r="V705" s="1250">
        <f t="shared" si="1296"/>
        <v>0</v>
      </c>
      <c r="W705" s="1250">
        <f t="shared" si="1296"/>
        <v>0</v>
      </c>
      <c r="X705" s="1250">
        <f t="shared" si="1296"/>
        <v>0</v>
      </c>
      <c r="Y705" s="1250">
        <f t="shared" si="1296"/>
        <v>0</v>
      </c>
      <c r="Z705" s="1250">
        <f t="shared" si="1296"/>
        <v>0</v>
      </c>
      <c r="AA705" s="1250">
        <f t="shared" si="1296"/>
        <v>0</v>
      </c>
      <c r="AB705" s="1250">
        <f t="shared" si="1296"/>
        <v>0</v>
      </c>
      <c r="AC705" s="1250">
        <f t="shared" si="1296"/>
        <v>0</v>
      </c>
      <c r="AD705" s="1250">
        <f t="shared" si="1296"/>
        <v>0</v>
      </c>
      <c r="AE705" s="899">
        <f t="shared" ref="AE705:AK705" si="1297">AE706+AE707</f>
        <v>0</v>
      </c>
      <c r="AF705" s="1250">
        <f t="shared" si="1297"/>
        <v>0</v>
      </c>
      <c r="AG705" s="1250">
        <f t="shared" si="1297"/>
        <v>0</v>
      </c>
      <c r="AH705" s="1250">
        <f t="shared" si="1297"/>
        <v>0</v>
      </c>
      <c r="AI705" s="1250">
        <f t="shared" si="1297"/>
        <v>0</v>
      </c>
      <c r="AJ705" s="1250">
        <f t="shared" si="1297"/>
        <v>0</v>
      </c>
      <c r="AK705" s="1250">
        <f t="shared" si="1297"/>
        <v>0</v>
      </c>
      <c r="AL705" s="69"/>
      <c r="AM705" s="2194">
        <f ca="1">SUM((INDIRECT(AM$2&amp;(ROW())):INDIRECT(AM$3&amp;(ROW()))))</f>
        <v>0</v>
      </c>
      <c r="AN705" s="2194">
        <f ca="1">SUM(INDIRECT(AN$1&amp;AN$2&amp;$C705):INDIRECT(AN$1&amp;AN$3&amp;$C705))</f>
        <v>0</v>
      </c>
      <c r="AO705" s="2912">
        <f t="shared" ca="1" si="1226"/>
        <v>0</v>
      </c>
      <c r="AP705" s="2913">
        <f t="shared" ca="1" si="1286"/>
        <v>0</v>
      </c>
      <c r="AQ705" s="2194">
        <f ca="1">SUM(INDIRECT(AQ$1&amp;AQ$2&amp;$A705):INDIRECT(AQ$1&amp;AQ$3&amp;$A705))</f>
        <v>0</v>
      </c>
      <c r="AR705" s="2912">
        <f t="shared" ca="1" si="1227"/>
        <v>0</v>
      </c>
      <c r="AS705" s="2913">
        <f t="shared" ca="1" si="1287"/>
        <v>0</v>
      </c>
      <c r="AU705" s="2194">
        <f ca="1">SUM((INDIRECT(AU$2&amp;(ROW())):INDIRECT(AU$3&amp;(ROW()))))</f>
        <v>0</v>
      </c>
      <c r="AV705" s="2194">
        <f ca="1">SUM(INDIRECT(AV$1&amp;AV$2&amp;$C705):INDIRECT(AV$1&amp;AV$3&amp;$C705))</f>
        <v>0</v>
      </c>
      <c r="AW705" s="2912">
        <f t="shared" ca="1" si="1288"/>
        <v>0</v>
      </c>
      <c r="AX705" s="2913">
        <f t="shared" ca="1" si="1289"/>
        <v>0</v>
      </c>
      <c r="AY705" s="2194">
        <f ca="1">SUM(INDIRECT(AY$1&amp;AY$2&amp;$A705):INDIRECT(AY$1&amp;AY$3&amp;$A705))</f>
        <v>0</v>
      </c>
      <c r="AZ705" s="2912">
        <f t="shared" ca="1" si="1290"/>
        <v>0</v>
      </c>
      <c r="BA705" s="2913">
        <f t="shared" ca="1" si="1291"/>
        <v>0</v>
      </c>
      <c r="BC705" s="2194">
        <f ca="1">SUM((INDIRECT(BC$2&amp;(ROW())):INDIRECT(BC$3&amp;(ROW()))))</f>
        <v>0</v>
      </c>
      <c r="BD705" s="2194">
        <f ca="1">SUM(INDIRECT(BD$1&amp;BD$2&amp;$C705):INDIRECT(BD$1&amp;BD$3&amp;$C705))</f>
        <v>0</v>
      </c>
      <c r="BE705" s="2912">
        <f t="shared" ca="1" si="1292"/>
        <v>0</v>
      </c>
      <c r="BF705" s="2913">
        <f t="shared" ca="1" si="1293"/>
        <v>0</v>
      </c>
      <c r="BG705" s="2194">
        <f ca="1">SUM(INDIRECT(BG$1&amp;BG$2&amp;$A705):INDIRECT(BG$1&amp;BG$3&amp;$A705))</f>
        <v>0</v>
      </c>
      <c r="BH705" s="2912">
        <f t="shared" ca="1" si="1294"/>
        <v>0</v>
      </c>
      <c r="BI705" s="2913">
        <f t="shared" ca="1" si="1295"/>
        <v>0</v>
      </c>
    </row>
    <row r="706" spans="1:61" ht="14.5">
      <c r="A706" s="1693">
        <f t="shared" si="1238"/>
        <v>698</v>
      </c>
      <c r="B706" s="616">
        <v>1</v>
      </c>
      <c r="C706" s="1693">
        <f t="shared" si="1237"/>
        <v>706</v>
      </c>
      <c r="D706" s="616">
        <v>1</v>
      </c>
      <c r="F706" s="69"/>
      <c r="J706" s="352"/>
      <c r="K706" s="353"/>
      <c r="L706" s="68"/>
      <c r="M706" s="68"/>
      <c r="N706" s="69"/>
      <c r="O706" s="69"/>
      <c r="P706" s="305" t="s">
        <v>216</v>
      </c>
      <c r="Q706" s="305"/>
      <c r="R706" s="1779" t="str">
        <f>CHOOSE(2, "6722000003617", "S/GP (3) Gross Profit Direct NH Textile Printer TP")</f>
        <v>S/GP (3) Gross Profit Direct NH Textile Printer TP</v>
      </c>
      <c r="S706" s="1254"/>
      <c r="T706" s="1254"/>
      <c r="U706" s="1254"/>
      <c r="V706" s="1254"/>
      <c r="W706" s="1254"/>
      <c r="X706" s="1254"/>
      <c r="Y706" s="1254"/>
      <c r="Z706" s="1254"/>
      <c r="AA706" s="1254"/>
      <c r="AB706" s="1254"/>
      <c r="AC706" s="1254"/>
      <c r="AD706" s="1254"/>
      <c r="AE706" s="903">
        <f>SUM(S706,T706,U706)</f>
        <v>0</v>
      </c>
      <c r="AF706" s="58">
        <f>SUM(V706,W706,X706)</f>
        <v>0</v>
      </c>
      <c r="AG706" s="58">
        <f>SUM(Y706,Z706,AA706)</f>
        <v>0</v>
      </c>
      <c r="AH706" s="58">
        <f>SUM(AB706,AC706,AD706)</f>
        <v>0</v>
      </c>
      <c r="AI706" s="58">
        <f t="shared" ref="AI706:AI715" si="1298">AE706+AF706</f>
        <v>0</v>
      </c>
      <c r="AJ706" s="58">
        <f t="shared" ref="AJ706:AJ715" si="1299">AH706+AG706</f>
        <v>0</v>
      </c>
      <c r="AK706" s="58">
        <f t="shared" ref="AK706:AK715" si="1300">AI706+AJ706</f>
        <v>0</v>
      </c>
      <c r="AL706" s="69"/>
      <c r="AM706" s="2194">
        <f ca="1">SUM((INDIRECT(AM$2&amp;(ROW())):INDIRECT(AM$3&amp;(ROW()))))</f>
        <v>0</v>
      </c>
      <c r="AN706" s="2194">
        <f ca="1">SUM(INDIRECT(AN$1&amp;AN$2&amp;$C706):INDIRECT(AN$1&amp;AN$3&amp;$C706))</f>
        <v>0</v>
      </c>
      <c r="AO706" s="2912">
        <f t="shared" ca="1" si="1226"/>
        <v>0</v>
      </c>
      <c r="AP706" s="2913">
        <f t="shared" ca="1" si="1286"/>
        <v>0</v>
      </c>
      <c r="AQ706" s="2194">
        <f ca="1">SUM(INDIRECT(AQ$1&amp;AQ$2&amp;$A706):INDIRECT(AQ$1&amp;AQ$3&amp;$A706))</f>
        <v>0</v>
      </c>
      <c r="AR706" s="2912">
        <f t="shared" ca="1" si="1227"/>
        <v>0</v>
      </c>
      <c r="AS706" s="2913">
        <f t="shared" ca="1" si="1287"/>
        <v>0</v>
      </c>
      <c r="AU706" s="2194">
        <f ca="1">SUM((INDIRECT(AU$2&amp;(ROW())):INDIRECT(AU$3&amp;(ROW()))))</f>
        <v>0</v>
      </c>
      <c r="AV706" s="2194">
        <f ca="1">SUM(INDIRECT(AV$1&amp;AV$2&amp;$C706):INDIRECT(AV$1&amp;AV$3&amp;$C706))</f>
        <v>0</v>
      </c>
      <c r="AW706" s="2912">
        <f t="shared" ca="1" si="1288"/>
        <v>0</v>
      </c>
      <c r="AX706" s="2913">
        <f t="shared" ca="1" si="1289"/>
        <v>0</v>
      </c>
      <c r="AY706" s="2194">
        <f ca="1">SUM(INDIRECT(AY$1&amp;AY$2&amp;$A706):INDIRECT(AY$1&amp;AY$3&amp;$A706))</f>
        <v>0</v>
      </c>
      <c r="AZ706" s="2912">
        <f t="shared" ca="1" si="1290"/>
        <v>0</v>
      </c>
      <c r="BA706" s="2913">
        <f t="shared" ca="1" si="1291"/>
        <v>0</v>
      </c>
      <c r="BC706" s="2194">
        <f ca="1">SUM((INDIRECT(BC$2&amp;(ROW())):INDIRECT(BC$3&amp;(ROW()))))</f>
        <v>0</v>
      </c>
      <c r="BD706" s="2194">
        <f ca="1">SUM(INDIRECT(BD$1&amp;BD$2&amp;$C706):INDIRECT(BD$1&amp;BD$3&amp;$C706))</f>
        <v>0</v>
      </c>
      <c r="BE706" s="2912">
        <f t="shared" ca="1" si="1292"/>
        <v>0</v>
      </c>
      <c r="BF706" s="2913">
        <f t="shared" ca="1" si="1293"/>
        <v>0</v>
      </c>
      <c r="BG706" s="2194">
        <f ca="1">SUM(INDIRECT(BG$1&amp;BG$2&amp;$A706):INDIRECT(BG$1&amp;BG$3&amp;$A706))</f>
        <v>0</v>
      </c>
      <c r="BH706" s="2912">
        <f t="shared" ca="1" si="1294"/>
        <v>0</v>
      </c>
      <c r="BI706" s="2913">
        <f t="shared" ca="1" si="1295"/>
        <v>0</v>
      </c>
    </row>
    <row r="707" spans="1:61" s="69" customFormat="1" ht="14.5">
      <c r="A707" s="1693">
        <f t="shared" si="1238"/>
        <v>699</v>
      </c>
      <c r="B707" s="616">
        <v>1</v>
      </c>
      <c r="C707" s="1693">
        <f t="shared" si="1237"/>
        <v>707</v>
      </c>
      <c r="D707" s="616">
        <v>1</v>
      </c>
      <c r="G707" s="9"/>
      <c r="H707" s="9"/>
      <c r="I707" s="22"/>
      <c r="J707" s="352"/>
      <c r="K707" s="353"/>
      <c r="L707" s="68"/>
      <c r="M707" s="68"/>
      <c r="P707" s="306" t="s">
        <v>133</v>
      </c>
      <c r="Q707" s="306"/>
      <c r="R707" s="1782" t="str">
        <f>CHOOSE(2, "6722000003618", "S/GP (3) Gross Profit Direct NH Textile Printer FSC (-)")</f>
        <v>S/GP (3) Gross Profit Direct NH Textile Printer FSC (-)</v>
      </c>
      <c r="S707" s="1250">
        <f t="shared" ref="S707:AD707" si="1301">SUM(S708:S710)</f>
        <v>0</v>
      </c>
      <c r="T707" s="1250">
        <f t="shared" si="1301"/>
        <v>0</v>
      </c>
      <c r="U707" s="1250">
        <f t="shared" si="1301"/>
        <v>0</v>
      </c>
      <c r="V707" s="1250">
        <f t="shared" si="1301"/>
        <v>0</v>
      </c>
      <c r="W707" s="1250">
        <f t="shared" si="1301"/>
        <v>0</v>
      </c>
      <c r="X707" s="1250">
        <f t="shared" si="1301"/>
        <v>0</v>
      </c>
      <c r="Y707" s="1250">
        <f t="shared" si="1301"/>
        <v>0</v>
      </c>
      <c r="Z707" s="1250">
        <f t="shared" si="1301"/>
        <v>0</v>
      </c>
      <c r="AA707" s="1250">
        <f t="shared" si="1301"/>
        <v>0</v>
      </c>
      <c r="AB707" s="1250">
        <f t="shared" si="1301"/>
        <v>0</v>
      </c>
      <c r="AC707" s="1250">
        <f t="shared" si="1301"/>
        <v>0</v>
      </c>
      <c r="AD707" s="1250">
        <f t="shared" si="1301"/>
        <v>0</v>
      </c>
      <c r="AE707" s="899">
        <f>SUM(S707:U707)</f>
        <v>0</v>
      </c>
      <c r="AF707" s="1250">
        <f>SUM(V707:X707)</f>
        <v>0</v>
      </c>
      <c r="AG707" s="1250">
        <f>SUM(Y707:AA707)</f>
        <v>0</v>
      </c>
      <c r="AH707" s="1250">
        <f>SUM(AB707:AD707)</f>
        <v>0</v>
      </c>
      <c r="AI707" s="1250">
        <f t="shared" si="1298"/>
        <v>0</v>
      </c>
      <c r="AJ707" s="1250">
        <f t="shared" si="1299"/>
        <v>0</v>
      </c>
      <c r="AK707" s="1250">
        <f t="shared" si="1300"/>
        <v>0</v>
      </c>
      <c r="AL707" s="8"/>
      <c r="AM707" s="2145">
        <f ca="1">SUM((INDIRECT(AM$2&amp;(ROW())):INDIRECT(AM$3&amp;(ROW()))))</f>
        <v>0</v>
      </c>
      <c r="AN707" s="2145">
        <f ca="1">SUM(INDIRECT(AN$1&amp;AN$2&amp;$C707):INDIRECT(AN$1&amp;AN$3&amp;$C707))</f>
        <v>0</v>
      </c>
      <c r="AO707" s="2887">
        <f t="shared" ca="1" si="1226"/>
        <v>0</v>
      </c>
      <c r="AP707" s="2888">
        <f t="shared" ca="1" si="1286"/>
        <v>0</v>
      </c>
      <c r="AQ707" s="2145">
        <f ca="1">SUM(INDIRECT(AQ$1&amp;AQ$2&amp;$A707):INDIRECT(AQ$1&amp;AQ$3&amp;$A707))</f>
        <v>0</v>
      </c>
      <c r="AR707" s="2887">
        <f t="shared" ca="1" si="1227"/>
        <v>0</v>
      </c>
      <c r="AS707" s="2888">
        <f t="shared" ca="1" si="1287"/>
        <v>0</v>
      </c>
      <c r="AU707" s="2145">
        <f ca="1">SUM((INDIRECT(AU$2&amp;(ROW())):INDIRECT(AU$3&amp;(ROW()))))</f>
        <v>0</v>
      </c>
      <c r="AV707" s="2145">
        <f ca="1">SUM(INDIRECT(AV$1&amp;AV$2&amp;$C707):INDIRECT(AV$1&amp;AV$3&amp;$C707))</f>
        <v>0</v>
      </c>
      <c r="AW707" s="2887">
        <f t="shared" ca="1" si="1288"/>
        <v>0</v>
      </c>
      <c r="AX707" s="2888">
        <f t="shared" ca="1" si="1289"/>
        <v>0</v>
      </c>
      <c r="AY707" s="2145">
        <f ca="1">SUM(INDIRECT(AY$1&amp;AY$2&amp;$A707):INDIRECT(AY$1&amp;AY$3&amp;$A707))</f>
        <v>0</v>
      </c>
      <c r="AZ707" s="2887">
        <f t="shared" ca="1" si="1290"/>
        <v>0</v>
      </c>
      <c r="BA707" s="2888">
        <f t="shared" ca="1" si="1291"/>
        <v>0</v>
      </c>
      <c r="BC707" s="2145">
        <f ca="1">SUM((INDIRECT(BC$2&amp;(ROW())):INDIRECT(BC$3&amp;(ROW()))))</f>
        <v>0</v>
      </c>
      <c r="BD707" s="2145">
        <f ca="1">SUM(INDIRECT(BD$1&amp;BD$2&amp;$C707):INDIRECT(BD$1&amp;BD$3&amp;$C707))</f>
        <v>0</v>
      </c>
      <c r="BE707" s="2887">
        <f t="shared" ca="1" si="1292"/>
        <v>0</v>
      </c>
      <c r="BF707" s="2888">
        <f t="shared" ca="1" si="1293"/>
        <v>0</v>
      </c>
      <c r="BG707" s="2145">
        <f ca="1">SUM(INDIRECT(BG$1&amp;BG$2&amp;$A707):INDIRECT(BG$1&amp;BG$3&amp;$A707))</f>
        <v>0</v>
      </c>
      <c r="BH707" s="2887">
        <f t="shared" ca="1" si="1294"/>
        <v>0</v>
      </c>
      <c r="BI707" s="2888">
        <f t="shared" ca="1" si="1295"/>
        <v>0</v>
      </c>
    </row>
    <row r="708" spans="1:61" s="69" customFormat="1" ht="14.5">
      <c r="A708" s="1693">
        <f t="shared" si="1238"/>
        <v>700</v>
      </c>
      <c r="B708" s="616">
        <v>1</v>
      </c>
      <c r="C708" s="1693">
        <f t="shared" si="1237"/>
        <v>708</v>
      </c>
      <c r="D708" s="616">
        <v>1</v>
      </c>
      <c r="G708" s="9"/>
      <c r="H708" s="9"/>
      <c r="I708" s="22"/>
      <c r="J708" s="352"/>
      <c r="K708" s="353"/>
      <c r="L708" s="68"/>
      <c r="M708" s="68"/>
      <c r="P708" s="307"/>
      <c r="Q708" s="291" t="s">
        <v>212</v>
      </c>
      <c r="R708" s="1779" t="str">
        <f>CHOOSE(2, "6722000003619", "S/GP (3) Gross Profit Direct NH Textile Printer FSC (-) PC")</f>
        <v>S/GP (3) Gross Profit Direct NH Textile Printer FSC (-) PC</v>
      </c>
      <c r="S708" s="1227"/>
      <c r="T708" s="1227"/>
      <c r="U708" s="1227"/>
      <c r="V708" s="1227"/>
      <c r="W708" s="1227"/>
      <c r="X708" s="1227"/>
      <c r="Y708" s="1227"/>
      <c r="Z708" s="1227"/>
      <c r="AA708" s="1227"/>
      <c r="AB708" s="1227"/>
      <c r="AC708" s="1227"/>
      <c r="AD708" s="1227"/>
      <c r="AE708" s="896">
        <f>SUM(S708,T708,U708)</f>
        <v>0</v>
      </c>
      <c r="AF708" s="95">
        <f>SUM(V708,W708,X708)</f>
        <v>0</v>
      </c>
      <c r="AG708" s="95">
        <f>SUM(Y708,Z708,AA708)</f>
        <v>0</v>
      </c>
      <c r="AH708" s="95">
        <f>SUM(AB708,AC708,AD708)</f>
        <v>0</v>
      </c>
      <c r="AI708" s="95">
        <f t="shared" si="1298"/>
        <v>0</v>
      </c>
      <c r="AJ708" s="95">
        <f t="shared" si="1299"/>
        <v>0</v>
      </c>
      <c r="AK708" s="95">
        <f t="shared" si="1300"/>
        <v>0</v>
      </c>
      <c r="AL708" s="8"/>
      <c r="AM708" s="2138">
        <f ca="1">SUM((INDIRECT(AM$2&amp;(ROW())):INDIRECT(AM$3&amp;(ROW()))))</f>
        <v>0</v>
      </c>
      <c r="AN708" s="2138">
        <f ca="1">SUM(INDIRECT(AN$1&amp;AN$2&amp;$C708):INDIRECT(AN$1&amp;AN$3&amp;$C708))</f>
        <v>0</v>
      </c>
      <c r="AO708" s="2879">
        <f t="shared" ca="1" si="1226"/>
        <v>0</v>
      </c>
      <c r="AP708" s="2880">
        <f t="shared" ca="1" si="1286"/>
        <v>0</v>
      </c>
      <c r="AQ708" s="2138">
        <f ca="1">SUM(INDIRECT(AQ$1&amp;AQ$2&amp;$A708):INDIRECT(AQ$1&amp;AQ$3&amp;$A708))</f>
        <v>0</v>
      </c>
      <c r="AR708" s="2879">
        <f t="shared" ca="1" si="1227"/>
        <v>0</v>
      </c>
      <c r="AS708" s="2880">
        <f t="shared" ca="1" si="1287"/>
        <v>0</v>
      </c>
      <c r="AU708" s="2138">
        <f ca="1">SUM((INDIRECT(AU$2&amp;(ROW())):INDIRECT(AU$3&amp;(ROW()))))</f>
        <v>0</v>
      </c>
      <c r="AV708" s="2138">
        <f ca="1">SUM(INDIRECT(AV$1&amp;AV$2&amp;$C708):INDIRECT(AV$1&amp;AV$3&amp;$C708))</f>
        <v>0</v>
      </c>
      <c r="AW708" s="2879">
        <f t="shared" ca="1" si="1288"/>
        <v>0</v>
      </c>
      <c r="AX708" s="2880">
        <f t="shared" ca="1" si="1289"/>
        <v>0</v>
      </c>
      <c r="AY708" s="2138">
        <f ca="1">SUM(INDIRECT(AY$1&amp;AY$2&amp;$A708):INDIRECT(AY$1&amp;AY$3&amp;$A708))</f>
        <v>0</v>
      </c>
      <c r="AZ708" s="2879">
        <f t="shared" ca="1" si="1290"/>
        <v>0</v>
      </c>
      <c r="BA708" s="2880">
        <f t="shared" ca="1" si="1291"/>
        <v>0</v>
      </c>
      <c r="BC708" s="2138">
        <f ca="1">SUM((INDIRECT(BC$2&amp;(ROW())):INDIRECT(BC$3&amp;(ROW()))))</f>
        <v>0</v>
      </c>
      <c r="BD708" s="2138">
        <f ca="1">SUM(INDIRECT(BD$1&amp;BD$2&amp;$C708):INDIRECT(BD$1&amp;BD$3&amp;$C708))</f>
        <v>0</v>
      </c>
      <c r="BE708" s="2879">
        <f t="shared" ca="1" si="1292"/>
        <v>0</v>
      </c>
      <c r="BF708" s="2880">
        <f t="shared" ca="1" si="1293"/>
        <v>0</v>
      </c>
      <c r="BG708" s="2138">
        <f ca="1">SUM(INDIRECT(BG$1&amp;BG$2&amp;$A708):INDIRECT(BG$1&amp;BG$3&amp;$A708))</f>
        <v>0</v>
      </c>
      <c r="BH708" s="2879">
        <f t="shared" ca="1" si="1294"/>
        <v>0</v>
      </c>
      <c r="BI708" s="2880">
        <f t="shared" ca="1" si="1295"/>
        <v>0</v>
      </c>
    </row>
    <row r="709" spans="1:61" s="69" customFormat="1" ht="14.5">
      <c r="A709" s="1693">
        <f t="shared" si="1238"/>
        <v>701</v>
      </c>
      <c r="B709" s="616">
        <v>1</v>
      </c>
      <c r="C709" s="1693">
        <f t="shared" si="1237"/>
        <v>709</v>
      </c>
      <c r="D709" s="616">
        <v>1</v>
      </c>
      <c r="G709" s="9"/>
      <c r="H709" s="9"/>
      <c r="I709" s="22"/>
      <c r="J709" s="352"/>
      <c r="K709" s="353"/>
      <c r="L709" s="68"/>
      <c r="M709" s="68"/>
      <c r="P709" s="231"/>
      <c r="Q709" s="229" t="s">
        <v>213</v>
      </c>
      <c r="R709" s="1779" t="str">
        <f>CHOOSE(2, "6722000003620", "S/GP (3) Gross Profit Direct NH Textile Printer FSC (-) TE")</f>
        <v>S/GP (3) Gross Profit Direct NH Textile Printer FSC (-) TE</v>
      </c>
      <c r="S709" s="1217"/>
      <c r="T709" s="1217"/>
      <c r="U709" s="1217"/>
      <c r="V709" s="1217"/>
      <c r="W709" s="1217"/>
      <c r="X709" s="1217"/>
      <c r="Y709" s="1217"/>
      <c r="Z709" s="1217"/>
      <c r="AA709" s="1217"/>
      <c r="AB709" s="1217"/>
      <c r="AC709" s="1217"/>
      <c r="AD709" s="1217"/>
      <c r="AE709" s="783">
        <f>SUM(S709,T709,U709)</f>
        <v>0</v>
      </c>
      <c r="AF709" s="1226">
        <f>SUM(V709,W709,X709)</f>
        <v>0</v>
      </c>
      <c r="AG709" s="1226">
        <f>SUM(Y709,Z709,AA709)</f>
        <v>0</v>
      </c>
      <c r="AH709" s="1226">
        <f>SUM(AB709,AC709,AD709)</f>
        <v>0</v>
      </c>
      <c r="AI709" s="1226">
        <f t="shared" si="1298"/>
        <v>0</v>
      </c>
      <c r="AJ709" s="1226">
        <f t="shared" si="1299"/>
        <v>0</v>
      </c>
      <c r="AK709" s="1226">
        <f t="shared" si="1300"/>
        <v>0</v>
      </c>
      <c r="AL709" s="8"/>
      <c r="AM709" s="579">
        <f ca="1">SUM((INDIRECT(AM$2&amp;(ROW())):INDIRECT(AM$3&amp;(ROW()))))</f>
        <v>0</v>
      </c>
      <c r="AN709" s="579">
        <f ca="1">SUM(INDIRECT(AN$1&amp;AN$2&amp;$C709):INDIRECT(AN$1&amp;AN$3&amp;$C709))</f>
        <v>0</v>
      </c>
      <c r="AO709" s="2889">
        <f t="shared" ca="1" si="1226"/>
        <v>0</v>
      </c>
      <c r="AP709" s="2890">
        <f t="shared" ca="1" si="1286"/>
        <v>0</v>
      </c>
      <c r="AQ709" s="579">
        <f ca="1">SUM(INDIRECT(AQ$1&amp;AQ$2&amp;$A709):INDIRECT(AQ$1&amp;AQ$3&amp;$A709))</f>
        <v>0</v>
      </c>
      <c r="AR709" s="2889">
        <f t="shared" ca="1" si="1227"/>
        <v>0</v>
      </c>
      <c r="AS709" s="2890">
        <f t="shared" ca="1" si="1287"/>
        <v>0</v>
      </c>
      <c r="AU709" s="579">
        <f ca="1">SUM((INDIRECT(AU$2&amp;(ROW())):INDIRECT(AU$3&amp;(ROW()))))</f>
        <v>0</v>
      </c>
      <c r="AV709" s="579">
        <f ca="1">SUM(INDIRECT(AV$1&amp;AV$2&amp;$C709):INDIRECT(AV$1&amp;AV$3&amp;$C709))</f>
        <v>0</v>
      </c>
      <c r="AW709" s="2889">
        <f t="shared" ca="1" si="1288"/>
        <v>0</v>
      </c>
      <c r="AX709" s="2890">
        <f t="shared" ca="1" si="1289"/>
        <v>0</v>
      </c>
      <c r="AY709" s="579">
        <f ca="1">SUM(INDIRECT(AY$1&amp;AY$2&amp;$A709):INDIRECT(AY$1&amp;AY$3&amp;$A709))</f>
        <v>0</v>
      </c>
      <c r="AZ709" s="2889">
        <f t="shared" ca="1" si="1290"/>
        <v>0</v>
      </c>
      <c r="BA709" s="2890">
        <f t="shared" ca="1" si="1291"/>
        <v>0</v>
      </c>
      <c r="BC709" s="579">
        <f ca="1">SUM((INDIRECT(BC$2&amp;(ROW())):INDIRECT(BC$3&amp;(ROW()))))</f>
        <v>0</v>
      </c>
      <c r="BD709" s="579">
        <f ca="1">SUM(INDIRECT(BD$1&amp;BD$2&amp;$C709):INDIRECT(BD$1&amp;BD$3&amp;$C709))</f>
        <v>0</v>
      </c>
      <c r="BE709" s="2889">
        <f t="shared" ca="1" si="1292"/>
        <v>0</v>
      </c>
      <c r="BF709" s="2890">
        <f t="shared" ca="1" si="1293"/>
        <v>0</v>
      </c>
      <c r="BG709" s="579">
        <f ca="1">SUM(INDIRECT(BG$1&amp;BG$2&amp;$A709):INDIRECT(BG$1&amp;BG$3&amp;$A709))</f>
        <v>0</v>
      </c>
      <c r="BH709" s="2889">
        <f t="shared" ca="1" si="1294"/>
        <v>0</v>
      </c>
      <c r="BI709" s="2890">
        <f t="shared" ca="1" si="1295"/>
        <v>0</v>
      </c>
    </row>
    <row r="710" spans="1:61" s="69" customFormat="1" ht="14.5">
      <c r="A710" s="1693">
        <f t="shared" si="1238"/>
        <v>702</v>
      </c>
      <c r="B710" s="616">
        <v>1</v>
      </c>
      <c r="C710" s="1693">
        <f t="shared" si="1237"/>
        <v>710</v>
      </c>
      <c r="D710" s="616">
        <v>1</v>
      </c>
      <c r="G710" s="9"/>
      <c r="H710" s="9"/>
      <c r="I710" s="22"/>
      <c r="J710" s="352"/>
      <c r="K710" s="353"/>
      <c r="L710" s="68"/>
      <c r="M710" s="68"/>
      <c r="O710" s="211"/>
      <c r="P710" s="232"/>
      <c r="Q710" s="228" t="s">
        <v>218</v>
      </c>
      <c r="R710" s="1779" t="str">
        <f>CHOOSE(2, "6722000003621", "S/GP (3) Gross Profit Direct NH Textile Printer FSC (-) OFC")</f>
        <v>S/GP (3) Gross Profit Direct NH Textile Printer FSC (-) OFC</v>
      </c>
      <c r="S710" s="1218"/>
      <c r="T710" s="1218"/>
      <c r="U710" s="1218"/>
      <c r="V710" s="1218"/>
      <c r="W710" s="1218"/>
      <c r="X710" s="1218"/>
      <c r="Y710" s="1218"/>
      <c r="Z710" s="1218"/>
      <c r="AA710" s="1218"/>
      <c r="AB710" s="1218"/>
      <c r="AC710" s="1218"/>
      <c r="AD710" s="1218"/>
      <c r="AE710" s="783">
        <f>SUM(S710,T710,U710)</f>
        <v>0</v>
      </c>
      <c r="AF710" s="1226">
        <f>SUM(V710,W710,X710)</f>
        <v>0</v>
      </c>
      <c r="AG710" s="1226">
        <f>SUM(Y710,Z710,AA710)</f>
        <v>0</v>
      </c>
      <c r="AH710" s="1226">
        <f>SUM(AB710,AC710,AD710)</f>
        <v>0</v>
      </c>
      <c r="AI710" s="1226">
        <f t="shared" si="1298"/>
        <v>0</v>
      </c>
      <c r="AJ710" s="1226">
        <f t="shared" si="1299"/>
        <v>0</v>
      </c>
      <c r="AK710" s="1226">
        <f t="shared" si="1300"/>
        <v>0</v>
      </c>
      <c r="AL710" s="8"/>
      <c r="AM710" s="579">
        <f ca="1">SUM((INDIRECT(AM$2&amp;(ROW())):INDIRECT(AM$3&amp;(ROW()))))</f>
        <v>0</v>
      </c>
      <c r="AN710" s="579">
        <f ca="1">SUM(INDIRECT(AN$1&amp;AN$2&amp;$C710):INDIRECT(AN$1&amp;AN$3&amp;$C710))</f>
        <v>0</v>
      </c>
      <c r="AO710" s="2889">
        <f t="shared" ca="1" si="1226"/>
        <v>0</v>
      </c>
      <c r="AP710" s="2890">
        <f t="shared" ca="1" si="1286"/>
        <v>0</v>
      </c>
      <c r="AQ710" s="579">
        <f ca="1">SUM(INDIRECT(AQ$1&amp;AQ$2&amp;$A710):INDIRECT(AQ$1&amp;AQ$3&amp;$A710))</f>
        <v>0</v>
      </c>
      <c r="AR710" s="2889">
        <f t="shared" ca="1" si="1227"/>
        <v>0</v>
      </c>
      <c r="AS710" s="2890">
        <f t="shared" ca="1" si="1287"/>
        <v>0</v>
      </c>
      <c r="AU710" s="579">
        <f ca="1">SUM((INDIRECT(AU$2&amp;(ROW())):INDIRECT(AU$3&amp;(ROW()))))</f>
        <v>0</v>
      </c>
      <c r="AV710" s="579">
        <f ca="1">SUM(INDIRECT(AV$1&amp;AV$2&amp;$C710):INDIRECT(AV$1&amp;AV$3&amp;$C710))</f>
        <v>0</v>
      </c>
      <c r="AW710" s="2889">
        <f t="shared" ca="1" si="1288"/>
        <v>0</v>
      </c>
      <c r="AX710" s="2890">
        <f t="shared" ca="1" si="1289"/>
        <v>0</v>
      </c>
      <c r="AY710" s="579">
        <f ca="1">SUM(INDIRECT(AY$1&amp;AY$2&amp;$A710):INDIRECT(AY$1&amp;AY$3&amp;$A710))</f>
        <v>0</v>
      </c>
      <c r="AZ710" s="2889">
        <f t="shared" ca="1" si="1290"/>
        <v>0</v>
      </c>
      <c r="BA710" s="2890">
        <f t="shared" ca="1" si="1291"/>
        <v>0</v>
      </c>
      <c r="BC710" s="579">
        <f ca="1">SUM((INDIRECT(BC$2&amp;(ROW())):INDIRECT(BC$3&amp;(ROW()))))</f>
        <v>0</v>
      </c>
      <c r="BD710" s="579">
        <f ca="1">SUM(INDIRECT(BD$1&amp;BD$2&amp;$C710):INDIRECT(BD$1&amp;BD$3&amp;$C710))</f>
        <v>0</v>
      </c>
      <c r="BE710" s="2889">
        <f t="shared" ca="1" si="1292"/>
        <v>0</v>
      </c>
      <c r="BF710" s="2890">
        <f t="shared" ca="1" si="1293"/>
        <v>0</v>
      </c>
      <c r="BG710" s="579">
        <f ca="1">SUM(INDIRECT(BG$1&amp;BG$2&amp;$A710):INDIRECT(BG$1&amp;BG$3&amp;$A710))</f>
        <v>0</v>
      </c>
      <c r="BH710" s="2889">
        <f t="shared" ca="1" si="1294"/>
        <v>0</v>
      </c>
      <c r="BI710" s="2890">
        <f t="shared" ca="1" si="1295"/>
        <v>0</v>
      </c>
    </row>
    <row r="711" spans="1:61" s="69" customFormat="1" ht="14.5">
      <c r="A711" s="1693">
        <f t="shared" si="1238"/>
        <v>703</v>
      </c>
      <c r="B711" s="616">
        <v>1</v>
      </c>
      <c r="C711" s="1693">
        <f t="shared" si="1237"/>
        <v>711</v>
      </c>
      <c r="D711" s="616">
        <v>1</v>
      </c>
      <c r="G711" s="9"/>
      <c r="H711" s="9"/>
      <c r="I711" s="22"/>
      <c r="J711" s="352"/>
      <c r="K711" s="353"/>
      <c r="L711" s="68"/>
      <c r="M711" s="68"/>
      <c r="O711" s="245" t="s">
        <v>277</v>
      </c>
      <c r="P711" s="293"/>
      <c r="Q711" s="293"/>
      <c r="R711" s="1782" t="str">
        <f>CHOOSE(2, "6722000003622", "S/GP (3) Gross Profit Direct NH &lt;Direct&gt; SDC (-)")</f>
        <v>S/GP (3) Gross Profit Direct NH &lt;Direct&gt; SDC (-)</v>
      </c>
      <c r="S711" s="1249">
        <f>SUM(S712:S713)</f>
        <v>0</v>
      </c>
      <c r="T711" s="1249">
        <f t="shared" ref="T711:AD711" si="1302">SUM(T712:T713)</f>
        <v>0</v>
      </c>
      <c r="U711" s="1249">
        <f t="shared" si="1302"/>
        <v>0</v>
      </c>
      <c r="V711" s="1249">
        <f t="shared" si="1302"/>
        <v>0</v>
      </c>
      <c r="W711" s="1249">
        <f t="shared" si="1302"/>
        <v>0</v>
      </c>
      <c r="X711" s="1249">
        <f t="shared" si="1302"/>
        <v>0</v>
      </c>
      <c r="Y711" s="1249">
        <f t="shared" si="1302"/>
        <v>0</v>
      </c>
      <c r="Z711" s="1249">
        <f t="shared" si="1302"/>
        <v>0</v>
      </c>
      <c r="AA711" s="1249">
        <f t="shared" si="1302"/>
        <v>0</v>
      </c>
      <c r="AB711" s="1249">
        <f t="shared" si="1302"/>
        <v>0</v>
      </c>
      <c r="AC711" s="1249">
        <f t="shared" si="1302"/>
        <v>0</v>
      </c>
      <c r="AD711" s="1249">
        <f t="shared" si="1302"/>
        <v>0</v>
      </c>
      <c r="AE711" s="898">
        <f>SUM(S711:U711)</f>
        <v>0</v>
      </c>
      <c r="AF711" s="1249">
        <f>SUM(V711:X711)</f>
        <v>0</v>
      </c>
      <c r="AG711" s="1249">
        <f>SUM(Y711:AA711)</f>
        <v>0</v>
      </c>
      <c r="AH711" s="1249">
        <f>SUM(AB711:AD711)</f>
        <v>0</v>
      </c>
      <c r="AI711" s="1249">
        <f t="shared" si="1298"/>
        <v>0</v>
      </c>
      <c r="AJ711" s="1249">
        <f t="shared" si="1299"/>
        <v>0</v>
      </c>
      <c r="AK711" s="1249">
        <f t="shared" si="1300"/>
        <v>0</v>
      </c>
      <c r="AL711" s="8"/>
      <c r="AM711" s="1987">
        <f ca="1">SUM((INDIRECT(AM$2&amp;(ROW())):INDIRECT(AM$3&amp;(ROW()))))</f>
        <v>0</v>
      </c>
      <c r="AN711" s="1987">
        <f ca="1">SUM(INDIRECT(AN$1&amp;AN$2&amp;$C711):INDIRECT(AN$1&amp;AN$3&amp;$C711))</f>
        <v>0</v>
      </c>
      <c r="AO711" s="2885">
        <f t="shared" ref="AO711:AO759" ca="1" si="1303">AM711-AN711</f>
        <v>0</v>
      </c>
      <c r="AP711" s="2886">
        <f t="shared" ca="1" si="1286"/>
        <v>0</v>
      </c>
      <c r="AQ711" s="1987">
        <f ca="1">SUM(INDIRECT(AQ$1&amp;AQ$2&amp;$A711):INDIRECT(AQ$1&amp;AQ$3&amp;$A711))</f>
        <v>0</v>
      </c>
      <c r="AR711" s="2885">
        <f t="shared" ref="AR711:AR759" ca="1" si="1304">AM711-AQ711</f>
        <v>0</v>
      </c>
      <c r="AS711" s="2886">
        <f t="shared" ca="1" si="1287"/>
        <v>0</v>
      </c>
      <c r="AU711" s="1987">
        <f ca="1">SUM((INDIRECT(AU$2&amp;(ROW())):INDIRECT(AU$3&amp;(ROW()))))</f>
        <v>0</v>
      </c>
      <c r="AV711" s="1987">
        <f ca="1">SUM(INDIRECT(AV$1&amp;AV$2&amp;$C711):INDIRECT(AV$1&amp;AV$3&amp;$C711))</f>
        <v>0</v>
      </c>
      <c r="AW711" s="2885">
        <f t="shared" ca="1" si="1288"/>
        <v>0</v>
      </c>
      <c r="AX711" s="2886">
        <f t="shared" ca="1" si="1289"/>
        <v>0</v>
      </c>
      <c r="AY711" s="1987">
        <f ca="1">SUM(INDIRECT(AY$1&amp;AY$2&amp;$A711):INDIRECT(AY$1&amp;AY$3&amp;$A711))</f>
        <v>0</v>
      </c>
      <c r="AZ711" s="2885">
        <f t="shared" ca="1" si="1290"/>
        <v>0</v>
      </c>
      <c r="BA711" s="2886">
        <f t="shared" ca="1" si="1291"/>
        <v>0</v>
      </c>
      <c r="BC711" s="1987">
        <f ca="1">SUM((INDIRECT(BC$2&amp;(ROW())):INDIRECT(BC$3&amp;(ROW()))))</f>
        <v>0</v>
      </c>
      <c r="BD711" s="1987">
        <f ca="1">SUM(INDIRECT(BD$1&amp;BD$2&amp;$C711):INDIRECT(BD$1&amp;BD$3&amp;$C711))</f>
        <v>0</v>
      </c>
      <c r="BE711" s="2885">
        <f t="shared" ca="1" si="1292"/>
        <v>0</v>
      </c>
      <c r="BF711" s="2886">
        <f t="shared" ca="1" si="1293"/>
        <v>0</v>
      </c>
      <c r="BG711" s="1987">
        <f ca="1">SUM(INDIRECT(BG$1&amp;BG$2&amp;$A711):INDIRECT(BG$1&amp;BG$3&amp;$A711))</f>
        <v>0</v>
      </c>
      <c r="BH711" s="2885">
        <f t="shared" ca="1" si="1294"/>
        <v>0</v>
      </c>
      <c r="BI711" s="2886">
        <f t="shared" ca="1" si="1295"/>
        <v>0</v>
      </c>
    </row>
    <row r="712" spans="1:61" s="69" customFormat="1" ht="14.5">
      <c r="A712" s="1693">
        <f t="shared" si="1238"/>
        <v>704</v>
      </c>
      <c r="B712" s="616">
        <v>1</v>
      </c>
      <c r="C712" s="1693">
        <f t="shared" si="1237"/>
        <v>712</v>
      </c>
      <c r="D712" s="616">
        <v>1</v>
      </c>
      <c r="G712" s="9"/>
      <c r="H712" s="9"/>
      <c r="I712" s="22"/>
      <c r="J712" s="352"/>
      <c r="K712" s="353"/>
      <c r="L712" s="68"/>
      <c r="M712" s="68"/>
      <c r="O712" s="231"/>
      <c r="P712" s="307"/>
      <c r="Q712" s="307" t="s">
        <v>223</v>
      </c>
      <c r="R712" s="1779" t="str">
        <f>CHOOSE(2, "6722000003623", "S/GP (3) Gross Profit Direct NH &lt;Direct&gt; SDC (-) PC")</f>
        <v>S/GP (3) Gross Profit Direct NH &lt;Direct&gt; SDC (-) PC</v>
      </c>
      <c r="S712" s="1227"/>
      <c r="T712" s="1227"/>
      <c r="U712" s="1227"/>
      <c r="V712" s="1227"/>
      <c r="W712" s="1227"/>
      <c r="X712" s="1227"/>
      <c r="Y712" s="1227"/>
      <c r="Z712" s="1227"/>
      <c r="AA712" s="1227"/>
      <c r="AB712" s="1227"/>
      <c r="AC712" s="1227"/>
      <c r="AD712" s="1227"/>
      <c r="AE712" s="896">
        <f>SUM(S712,T712,U712)</f>
        <v>0</v>
      </c>
      <c r="AF712" s="95">
        <f>SUM(V712,W712,X712)</f>
        <v>0</v>
      </c>
      <c r="AG712" s="95">
        <f>SUM(Y712,Z712,AA712)</f>
        <v>0</v>
      </c>
      <c r="AH712" s="95">
        <f>SUM(AB712,AC712,AD712)</f>
        <v>0</v>
      </c>
      <c r="AI712" s="95">
        <f t="shared" si="1298"/>
        <v>0</v>
      </c>
      <c r="AJ712" s="95">
        <f t="shared" si="1299"/>
        <v>0</v>
      </c>
      <c r="AK712" s="95">
        <f t="shared" si="1300"/>
        <v>0</v>
      </c>
      <c r="AL712" s="8"/>
      <c r="AM712" s="2138">
        <f ca="1">SUM((INDIRECT(AM$2&amp;(ROW())):INDIRECT(AM$3&amp;(ROW()))))</f>
        <v>0</v>
      </c>
      <c r="AN712" s="2138">
        <f ca="1">SUM(INDIRECT(AN$1&amp;AN$2&amp;$C712):INDIRECT(AN$1&amp;AN$3&amp;$C712))</f>
        <v>0</v>
      </c>
      <c r="AO712" s="2879">
        <f t="shared" ca="1" si="1303"/>
        <v>0</v>
      </c>
      <c r="AP712" s="2880">
        <f t="shared" ca="1" si="1286"/>
        <v>0</v>
      </c>
      <c r="AQ712" s="2138">
        <f ca="1">SUM(INDIRECT(AQ$1&amp;AQ$2&amp;$A712):INDIRECT(AQ$1&amp;AQ$3&amp;$A712))</f>
        <v>0</v>
      </c>
      <c r="AR712" s="2879">
        <f t="shared" ca="1" si="1304"/>
        <v>0</v>
      </c>
      <c r="AS712" s="2880">
        <f t="shared" ca="1" si="1287"/>
        <v>0</v>
      </c>
      <c r="AU712" s="2138">
        <f ca="1">SUM((INDIRECT(AU$2&amp;(ROW())):INDIRECT(AU$3&amp;(ROW()))))</f>
        <v>0</v>
      </c>
      <c r="AV712" s="2138">
        <f ca="1">SUM(INDIRECT(AV$1&amp;AV$2&amp;$C712):INDIRECT(AV$1&amp;AV$3&amp;$C712))</f>
        <v>0</v>
      </c>
      <c r="AW712" s="2879">
        <f t="shared" ca="1" si="1288"/>
        <v>0</v>
      </c>
      <c r="AX712" s="2880">
        <f t="shared" ca="1" si="1289"/>
        <v>0</v>
      </c>
      <c r="AY712" s="2138">
        <f ca="1">SUM(INDIRECT(AY$1&amp;AY$2&amp;$A712):INDIRECT(AY$1&amp;AY$3&amp;$A712))</f>
        <v>0</v>
      </c>
      <c r="AZ712" s="2879">
        <f t="shared" ca="1" si="1290"/>
        <v>0</v>
      </c>
      <c r="BA712" s="2880">
        <f t="shared" ca="1" si="1291"/>
        <v>0</v>
      </c>
      <c r="BC712" s="2138">
        <f ca="1">SUM((INDIRECT(BC$2&amp;(ROW())):INDIRECT(BC$3&amp;(ROW()))))</f>
        <v>0</v>
      </c>
      <c r="BD712" s="2138">
        <f ca="1">SUM(INDIRECT(BD$1&amp;BD$2&amp;$C712):INDIRECT(BD$1&amp;BD$3&amp;$C712))</f>
        <v>0</v>
      </c>
      <c r="BE712" s="2879">
        <f t="shared" ca="1" si="1292"/>
        <v>0</v>
      </c>
      <c r="BF712" s="2880">
        <f t="shared" ca="1" si="1293"/>
        <v>0</v>
      </c>
      <c r="BG712" s="2138">
        <f ca="1">SUM(INDIRECT(BG$1&amp;BG$2&amp;$A712):INDIRECT(BG$1&amp;BG$3&amp;$A712))</f>
        <v>0</v>
      </c>
      <c r="BH712" s="2879">
        <f t="shared" ca="1" si="1294"/>
        <v>0</v>
      </c>
      <c r="BI712" s="2880">
        <f t="shared" ca="1" si="1295"/>
        <v>0</v>
      </c>
    </row>
    <row r="713" spans="1:61" s="69" customFormat="1" ht="14.5">
      <c r="A713" s="1693">
        <f t="shared" si="1238"/>
        <v>705</v>
      </c>
      <c r="B713" s="616">
        <v>1</v>
      </c>
      <c r="C713" s="1693">
        <f t="shared" si="1237"/>
        <v>713</v>
      </c>
      <c r="D713" s="616">
        <v>1</v>
      </c>
      <c r="G713" s="9"/>
      <c r="H713" s="9"/>
      <c r="I713" s="22"/>
      <c r="J713" s="352"/>
      <c r="K713" s="353"/>
      <c r="L713" s="68"/>
      <c r="M713" s="68"/>
      <c r="O713" s="232"/>
      <c r="P713" s="232"/>
      <c r="Q713" s="232" t="s">
        <v>224</v>
      </c>
      <c r="R713" s="1779" t="str">
        <f>CHOOSE(2, "6722000003624", "S/GP (3) Gross Profit Direct NH &lt;Direct&gt; SDC (-) OFC")</f>
        <v>S/GP (3) Gross Profit Direct NH &lt;Direct&gt; SDC (-) OFC</v>
      </c>
      <c r="S713" s="1218"/>
      <c r="T713" s="1218"/>
      <c r="U713" s="1218"/>
      <c r="V713" s="1218"/>
      <c r="W713" s="1218"/>
      <c r="X713" s="1218"/>
      <c r="Y713" s="1218"/>
      <c r="Z713" s="1218"/>
      <c r="AA713" s="1218"/>
      <c r="AB713" s="1218"/>
      <c r="AC713" s="1218"/>
      <c r="AD713" s="1218"/>
      <c r="AE713" s="783">
        <f>SUM(S713,T713,U713)</f>
        <v>0</v>
      </c>
      <c r="AF713" s="1226">
        <f>SUM(V713,W713,X713)</f>
        <v>0</v>
      </c>
      <c r="AG713" s="1226">
        <f>SUM(Y713,Z713,AA713)</f>
        <v>0</v>
      </c>
      <c r="AH713" s="1226">
        <f>SUM(AB713,AC713,AD713)</f>
        <v>0</v>
      </c>
      <c r="AI713" s="1226">
        <f t="shared" si="1298"/>
        <v>0</v>
      </c>
      <c r="AJ713" s="1226">
        <f t="shared" si="1299"/>
        <v>0</v>
      </c>
      <c r="AK713" s="1226">
        <f t="shared" si="1300"/>
        <v>0</v>
      </c>
      <c r="AL713" s="8"/>
      <c r="AM713" s="579">
        <f ca="1">SUM((INDIRECT(AM$2&amp;(ROW())):INDIRECT(AM$3&amp;(ROW()))))</f>
        <v>0</v>
      </c>
      <c r="AN713" s="579">
        <f ca="1">SUM(INDIRECT(AN$1&amp;AN$2&amp;$C713):INDIRECT(AN$1&amp;AN$3&amp;$C713))</f>
        <v>0</v>
      </c>
      <c r="AO713" s="2889">
        <f t="shared" ca="1" si="1303"/>
        <v>0</v>
      </c>
      <c r="AP713" s="2890">
        <f t="shared" ca="1" si="1286"/>
        <v>0</v>
      </c>
      <c r="AQ713" s="579">
        <f ca="1">SUM(INDIRECT(AQ$1&amp;AQ$2&amp;$A713):INDIRECT(AQ$1&amp;AQ$3&amp;$A713))</f>
        <v>0</v>
      </c>
      <c r="AR713" s="2889">
        <f t="shared" ca="1" si="1304"/>
        <v>0</v>
      </c>
      <c r="AS713" s="2890">
        <f t="shared" ca="1" si="1287"/>
        <v>0</v>
      </c>
      <c r="AU713" s="579">
        <f ca="1">SUM((INDIRECT(AU$2&amp;(ROW())):INDIRECT(AU$3&amp;(ROW()))))</f>
        <v>0</v>
      </c>
      <c r="AV713" s="579">
        <f ca="1">SUM(INDIRECT(AV$1&amp;AV$2&amp;$C713):INDIRECT(AV$1&amp;AV$3&amp;$C713))</f>
        <v>0</v>
      </c>
      <c r="AW713" s="2889">
        <f t="shared" ca="1" si="1288"/>
        <v>0</v>
      </c>
      <c r="AX713" s="2890">
        <f t="shared" ca="1" si="1289"/>
        <v>0</v>
      </c>
      <c r="AY713" s="579">
        <f ca="1">SUM(INDIRECT(AY$1&amp;AY$2&amp;$A713):INDIRECT(AY$1&amp;AY$3&amp;$A713))</f>
        <v>0</v>
      </c>
      <c r="AZ713" s="2889">
        <f t="shared" ca="1" si="1290"/>
        <v>0</v>
      </c>
      <c r="BA713" s="2890">
        <f t="shared" ca="1" si="1291"/>
        <v>0</v>
      </c>
      <c r="BC713" s="579">
        <f ca="1">SUM((INDIRECT(BC$2&amp;(ROW())):INDIRECT(BC$3&amp;(ROW()))))</f>
        <v>0</v>
      </c>
      <c r="BD713" s="579">
        <f ca="1">SUM(INDIRECT(BD$1&amp;BD$2&amp;$C713):INDIRECT(BD$1&amp;BD$3&amp;$C713))</f>
        <v>0</v>
      </c>
      <c r="BE713" s="2889">
        <f t="shared" ca="1" si="1292"/>
        <v>0</v>
      </c>
      <c r="BF713" s="2890">
        <f t="shared" ca="1" si="1293"/>
        <v>0</v>
      </c>
      <c r="BG713" s="579">
        <f ca="1">SUM(INDIRECT(BG$1&amp;BG$2&amp;$A713):INDIRECT(BG$1&amp;BG$3&amp;$A713))</f>
        <v>0</v>
      </c>
      <c r="BH713" s="2889">
        <f t="shared" ca="1" si="1294"/>
        <v>0</v>
      </c>
      <c r="BI713" s="2890">
        <f t="shared" ca="1" si="1295"/>
        <v>0</v>
      </c>
    </row>
    <row r="714" spans="1:61" s="69" customFormat="1" ht="14.5">
      <c r="A714" s="1693">
        <f t="shared" si="1238"/>
        <v>706</v>
      </c>
      <c r="B714" s="616">
        <v>1</v>
      </c>
      <c r="C714" s="1693">
        <f t="shared" si="1237"/>
        <v>714</v>
      </c>
      <c r="D714" s="616">
        <v>1</v>
      </c>
      <c r="G714" s="9"/>
      <c r="H714" s="9"/>
      <c r="I714" s="22"/>
      <c r="J714" s="352"/>
      <c r="K714" s="353"/>
      <c r="L714" s="68"/>
      <c r="M714" s="68"/>
      <c r="O714" s="231" t="s">
        <v>308</v>
      </c>
      <c r="P714" s="231"/>
      <c r="Q714" s="232"/>
      <c r="R714" s="1779" t="str">
        <f>CHOOSE(2, "6722000003625", "S/GP (3) Gross Profit Direct NH &lt;Direct&gt; D &amp; A (-)")</f>
        <v>S/GP (3) Gross Profit Direct NH &lt;Direct&gt; D &amp; A (-)</v>
      </c>
      <c r="S714" s="1218"/>
      <c r="T714" s="1218"/>
      <c r="U714" s="1218"/>
      <c r="V714" s="1218"/>
      <c r="W714" s="1218"/>
      <c r="X714" s="1218"/>
      <c r="Y714" s="1218"/>
      <c r="Z714" s="1218"/>
      <c r="AA714" s="1218"/>
      <c r="AB714" s="1218"/>
      <c r="AC714" s="1218"/>
      <c r="AD714" s="1218"/>
      <c r="AE714" s="783">
        <f>SUM(S714,T714,U714)</f>
        <v>0</v>
      </c>
      <c r="AF714" s="1226">
        <f>SUM(V714,W714,X714)</f>
        <v>0</v>
      </c>
      <c r="AG714" s="1226">
        <f>SUM(Y714,Z714,AA714)</f>
        <v>0</v>
      </c>
      <c r="AH714" s="1226">
        <f>SUM(AB714,AC714,AD714)</f>
        <v>0</v>
      </c>
      <c r="AI714" s="1226">
        <f>AE714+AF714</f>
        <v>0</v>
      </c>
      <c r="AJ714" s="1226">
        <f>AH714+AG714</f>
        <v>0</v>
      </c>
      <c r="AK714" s="1226">
        <f>AI714+AJ714</f>
        <v>0</v>
      </c>
      <c r="AL714" s="8"/>
      <c r="AM714" s="579">
        <f ca="1">SUM((INDIRECT(AM$2&amp;(ROW())):INDIRECT(AM$3&amp;(ROW()))))</f>
        <v>0</v>
      </c>
      <c r="AN714" s="579">
        <f ca="1">SUM(INDIRECT(AN$1&amp;AN$2&amp;$C714):INDIRECT(AN$1&amp;AN$3&amp;$C714))</f>
        <v>0</v>
      </c>
      <c r="AO714" s="2889">
        <f t="shared" ca="1" si="1303"/>
        <v>0</v>
      </c>
      <c r="AP714" s="2890">
        <f t="shared" ca="1" si="1286"/>
        <v>0</v>
      </c>
      <c r="AQ714" s="579">
        <f ca="1">SUM(INDIRECT(AQ$1&amp;AQ$2&amp;$A714):INDIRECT(AQ$1&amp;AQ$3&amp;$A714))</f>
        <v>0</v>
      </c>
      <c r="AR714" s="2889">
        <f t="shared" ca="1" si="1304"/>
        <v>0</v>
      </c>
      <c r="AS714" s="2890">
        <f t="shared" ca="1" si="1287"/>
        <v>0</v>
      </c>
      <c r="AU714" s="579">
        <f ca="1">SUM((INDIRECT(AU$2&amp;(ROW())):INDIRECT(AU$3&amp;(ROW()))))</f>
        <v>0</v>
      </c>
      <c r="AV714" s="579">
        <f ca="1">SUM(INDIRECT(AV$1&amp;AV$2&amp;$C714):INDIRECT(AV$1&amp;AV$3&amp;$C714))</f>
        <v>0</v>
      </c>
      <c r="AW714" s="2889">
        <f t="shared" ca="1" si="1288"/>
        <v>0</v>
      </c>
      <c r="AX714" s="2890">
        <f t="shared" ca="1" si="1289"/>
        <v>0</v>
      </c>
      <c r="AY714" s="579">
        <f ca="1">SUM(INDIRECT(AY$1&amp;AY$2&amp;$A714):INDIRECT(AY$1&amp;AY$3&amp;$A714))</f>
        <v>0</v>
      </c>
      <c r="AZ714" s="2889">
        <f t="shared" ca="1" si="1290"/>
        <v>0</v>
      </c>
      <c r="BA714" s="2890">
        <f t="shared" ca="1" si="1291"/>
        <v>0</v>
      </c>
      <c r="BC714" s="579">
        <f ca="1">SUM((INDIRECT(BC$2&amp;(ROW())):INDIRECT(BC$3&amp;(ROW()))))</f>
        <v>0</v>
      </c>
      <c r="BD714" s="579">
        <f ca="1">SUM(INDIRECT(BD$1&amp;BD$2&amp;$C714):INDIRECT(BD$1&amp;BD$3&amp;$C714))</f>
        <v>0</v>
      </c>
      <c r="BE714" s="2889">
        <f t="shared" ca="1" si="1292"/>
        <v>0</v>
      </c>
      <c r="BF714" s="2890">
        <f t="shared" ca="1" si="1293"/>
        <v>0</v>
      </c>
      <c r="BG714" s="579">
        <f ca="1">SUM(INDIRECT(BG$1&amp;BG$2&amp;$A714):INDIRECT(BG$1&amp;BG$3&amp;$A714))</f>
        <v>0</v>
      </c>
      <c r="BH714" s="2889">
        <f t="shared" ca="1" si="1294"/>
        <v>0</v>
      </c>
      <c r="BI714" s="2890">
        <f t="shared" ca="1" si="1295"/>
        <v>0</v>
      </c>
    </row>
    <row r="715" spans="1:61" ht="14.5">
      <c r="A715" s="1693">
        <f t="shared" si="1238"/>
        <v>707</v>
      </c>
      <c r="B715" s="616">
        <v>1</v>
      </c>
      <c r="C715" s="1693">
        <f t="shared" si="1237"/>
        <v>715</v>
      </c>
      <c r="D715" s="616">
        <v>1</v>
      </c>
      <c r="F715" s="69"/>
      <c r="J715" s="352"/>
      <c r="K715" s="353"/>
      <c r="L715" s="67"/>
      <c r="M715" s="67"/>
      <c r="N715" s="211"/>
      <c r="O715" s="21" t="s">
        <v>51</v>
      </c>
      <c r="P715" s="21"/>
      <c r="Q715" s="234"/>
      <c r="R715" s="1779" t="str">
        <f>CHOOSE(2, "6722000003626", "S/GP (3) Gross Profit Direct NH Others")</f>
        <v>S/GP (3) Gross Profit Direct NH Others</v>
      </c>
      <c r="S715" s="1280"/>
      <c r="T715" s="1280"/>
      <c r="U715" s="1280"/>
      <c r="V715" s="1280"/>
      <c r="W715" s="1280"/>
      <c r="X715" s="1280"/>
      <c r="Y715" s="1280"/>
      <c r="Z715" s="1280"/>
      <c r="AA715" s="1280"/>
      <c r="AB715" s="1280"/>
      <c r="AC715" s="1280"/>
      <c r="AD715" s="1280"/>
      <c r="AE715" s="879">
        <f>SUM(S715,T715,U715)</f>
        <v>0</v>
      </c>
      <c r="AF715" s="18">
        <f>SUM(V715,W715,X715)</f>
        <v>0</v>
      </c>
      <c r="AG715" s="18">
        <f>SUM(Y715,Z715,AA715)</f>
        <v>0</v>
      </c>
      <c r="AH715" s="18">
        <f>SUM(AB715,AC715,AD715)</f>
        <v>0</v>
      </c>
      <c r="AI715" s="18">
        <f t="shared" si="1298"/>
        <v>0</v>
      </c>
      <c r="AJ715" s="18">
        <f t="shared" si="1299"/>
        <v>0</v>
      </c>
      <c r="AK715" s="18">
        <f t="shared" si="1300"/>
        <v>0</v>
      </c>
      <c r="AM715" s="2197">
        <f ca="1">SUM((INDIRECT(AM$2&amp;(ROW())):INDIRECT(AM$3&amp;(ROW()))))</f>
        <v>0</v>
      </c>
      <c r="AN715" s="2197">
        <f ca="1">SUM(INDIRECT(AN$1&amp;AN$2&amp;$C715):INDIRECT(AN$1&amp;AN$3&amp;$C715))</f>
        <v>0</v>
      </c>
      <c r="AO715" s="2703">
        <f t="shared" ca="1" si="1303"/>
        <v>0</v>
      </c>
      <c r="AP715" s="2704">
        <f t="shared" ca="1" si="1286"/>
        <v>0</v>
      </c>
      <c r="AQ715" s="2197">
        <f ca="1">SUM(INDIRECT(AQ$1&amp;AQ$2&amp;$A715):INDIRECT(AQ$1&amp;AQ$3&amp;$A715))</f>
        <v>0</v>
      </c>
      <c r="AR715" s="2703">
        <f t="shared" ca="1" si="1304"/>
        <v>0</v>
      </c>
      <c r="AS715" s="2704">
        <f t="shared" ca="1" si="1287"/>
        <v>0</v>
      </c>
      <c r="AU715" s="2197">
        <f ca="1">SUM((INDIRECT(AU$2&amp;(ROW())):INDIRECT(AU$3&amp;(ROW()))))</f>
        <v>0</v>
      </c>
      <c r="AV715" s="2197">
        <f ca="1">SUM(INDIRECT(AV$1&amp;AV$2&amp;$C715):INDIRECT(AV$1&amp;AV$3&amp;$C715))</f>
        <v>0</v>
      </c>
      <c r="AW715" s="2703">
        <f t="shared" ca="1" si="1288"/>
        <v>0</v>
      </c>
      <c r="AX715" s="2704">
        <f t="shared" ca="1" si="1289"/>
        <v>0</v>
      </c>
      <c r="AY715" s="2197">
        <f ca="1">SUM(INDIRECT(AY$1&amp;AY$2&amp;$A715):INDIRECT(AY$1&amp;AY$3&amp;$A715))</f>
        <v>0</v>
      </c>
      <c r="AZ715" s="2703">
        <f t="shared" ca="1" si="1290"/>
        <v>0</v>
      </c>
      <c r="BA715" s="2704">
        <f t="shared" ca="1" si="1291"/>
        <v>0</v>
      </c>
      <c r="BC715" s="2197">
        <f ca="1">SUM((INDIRECT(BC$2&amp;(ROW())):INDIRECT(BC$3&amp;(ROW()))))</f>
        <v>0</v>
      </c>
      <c r="BD715" s="2197">
        <f ca="1">SUM(INDIRECT(BD$1&amp;BD$2&amp;$C715):INDIRECT(BD$1&amp;BD$3&amp;$C715))</f>
        <v>0</v>
      </c>
      <c r="BE715" s="2703">
        <f t="shared" ca="1" si="1292"/>
        <v>0</v>
      </c>
      <c r="BF715" s="2704">
        <f t="shared" ca="1" si="1293"/>
        <v>0</v>
      </c>
      <c r="BG715" s="2197">
        <f ca="1">SUM(INDIRECT(BG$1&amp;BG$2&amp;$A715):INDIRECT(BG$1&amp;BG$3&amp;$A715))</f>
        <v>0</v>
      </c>
      <c r="BH715" s="2703">
        <f t="shared" ca="1" si="1294"/>
        <v>0</v>
      </c>
      <c r="BI715" s="2704">
        <f t="shared" ca="1" si="1295"/>
        <v>0</v>
      </c>
    </row>
    <row r="716" spans="1:61" ht="14.5">
      <c r="A716" s="1693">
        <f t="shared" si="1238"/>
        <v>708</v>
      </c>
      <c r="B716" s="616">
        <v>1</v>
      </c>
      <c r="C716" s="1693">
        <f t="shared" si="1237"/>
        <v>716</v>
      </c>
      <c r="D716" s="616">
        <v>1</v>
      </c>
      <c r="F716" s="69"/>
      <c r="J716" s="352"/>
      <c r="K716" s="353"/>
      <c r="L716" s="63" t="s">
        <v>129</v>
      </c>
      <c r="M716" s="63"/>
      <c r="N716" s="303"/>
      <c r="O716" s="303"/>
      <c r="P716" s="303"/>
      <c r="Q716" s="583"/>
      <c r="R716" s="1802" t="str">
        <f>CHOOSE(2, "6722000003627", "S/GP (3) Gross Profit Indirect")</f>
        <v>S/GP (3) Gross Profit Indirect</v>
      </c>
      <c r="S716" s="1716">
        <f t="shared" ref="S716:AD716" si="1305">S717+S724</f>
        <v>0</v>
      </c>
      <c r="T716" s="1716">
        <f t="shared" si="1305"/>
        <v>0</v>
      </c>
      <c r="U716" s="1716">
        <f t="shared" si="1305"/>
        <v>0</v>
      </c>
      <c r="V716" s="1716">
        <f t="shared" si="1305"/>
        <v>0</v>
      </c>
      <c r="W716" s="1716">
        <f t="shared" si="1305"/>
        <v>0</v>
      </c>
      <c r="X716" s="1716">
        <f t="shared" si="1305"/>
        <v>0</v>
      </c>
      <c r="Y716" s="1716">
        <f t="shared" si="1305"/>
        <v>0</v>
      </c>
      <c r="Z716" s="1716">
        <f t="shared" si="1305"/>
        <v>0</v>
      </c>
      <c r="AA716" s="1716">
        <f t="shared" si="1305"/>
        <v>0</v>
      </c>
      <c r="AB716" s="1716">
        <f t="shared" si="1305"/>
        <v>0</v>
      </c>
      <c r="AC716" s="1716">
        <f t="shared" si="1305"/>
        <v>0</v>
      </c>
      <c r="AD716" s="1716">
        <f t="shared" si="1305"/>
        <v>0</v>
      </c>
      <c r="AE716" s="1717">
        <f t="shared" ref="AE716:AK716" si="1306">AE717+AE724</f>
        <v>0</v>
      </c>
      <c r="AF716" s="1718">
        <f t="shared" si="1306"/>
        <v>0</v>
      </c>
      <c r="AG716" s="1718">
        <f t="shared" si="1306"/>
        <v>0</v>
      </c>
      <c r="AH716" s="1718">
        <f t="shared" si="1306"/>
        <v>0</v>
      </c>
      <c r="AI716" s="1718">
        <f t="shared" si="1306"/>
        <v>0</v>
      </c>
      <c r="AJ716" s="1718">
        <f t="shared" si="1306"/>
        <v>0</v>
      </c>
      <c r="AK716" s="1718">
        <f t="shared" si="1306"/>
        <v>0</v>
      </c>
      <c r="AM716" s="2203">
        <f ca="1">SUM((INDIRECT(AM$2&amp;(ROW())):INDIRECT(AM$3&amp;(ROW()))))</f>
        <v>0</v>
      </c>
      <c r="AN716" s="2203">
        <f ca="1">SUM(INDIRECT(AN$1&amp;AN$2&amp;$C716):INDIRECT(AN$1&amp;AN$3&amp;$C716))</f>
        <v>0</v>
      </c>
      <c r="AO716" s="2916">
        <f t="shared" ca="1" si="1303"/>
        <v>0</v>
      </c>
      <c r="AP716" s="2917">
        <f t="shared" ca="1" si="1286"/>
        <v>0</v>
      </c>
      <c r="AQ716" s="2203">
        <f ca="1">SUM(INDIRECT(AQ$1&amp;AQ$2&amp;$A716):INDIRECT(AQ$1&amp;AQ$3&amp;$A716))</f>
        <v>0</v>
      </c>
      <c r="AR716" s="2916">
        <f t="shared" ca="1" si="1304"/>
        <v>0</v>
      </c>
      <c r="AS716" s="2917">
        <f t="shared" ca="1" si="1287"/>
        <v>0</v>
      </c>
      <c r="AU716" s="2203">
        <f ca="1">SUM((INDIRECT(AU$2&amp;(ROW())):INDIRECT(AU$3&amp;(ROW()))))</f>
        <v>0</v>
      </c>
      <c r="AV716" s="2203">
        <f ca="1">SUM(INDIRECT(AV$1&amp;AV$2&amp;$C716):INDIRECT(AV$1&amp;AV$3&amp;$C716))</f>
        <v>0</v>
      </c>
      <c r="AW716" s="2916">
        <f t="shared" ca="1" si="1288"/>
        <v>0</v>
      </c>
      <c r="AX716" s="2917">
        <f t="shared" ca="1" si="1289"/>
        <v>0</v>
      </c>
      <c r="AY716" s="2203">
        <f ca="1">SUM(INDIRECT(AY$1&amp;AY$2&amp;$A716):INDIRECT(AY$1&amp;AY$3&amp;$A716))</f>
        <v>0</v>
      </c>
      <c r="AZ716" s="2916">
        <f t="shared" ca="1" si="1290"/>
        <v>0</v>
      </c>
      <c r="BA716" s="2917">
        <f t="shared" ca="1" si="1291"/>
        <v>0</v>
      </c>
      <c r="BC716" s="2203">
        <f ca="1">SUM((INDIRECT(BC$2&amp;(ROW())):INDIRECT(BC$3&amp;(ROW()))))</f>
        <v>0</v>
      </c>
      <c r="BD716" s="2203">
        <f ca="1">SUM(INDIRECT(BD$1&amp;BD$2&amp;$C716):INDIRECT(BD$1&amp;BD$3&amp;$C716))</f>
        <v>0</v>
      </c>
      <c r="BE716" s="2916">
        <f t="shared" ca="1" si="1292"/>
        <v>0</v>
      </c>
      <c r="BF716" s="2917">
        <f t="shared" ca="1" si="1293"/>
        <v>0</v>
      </c>
      <c r="BG716" s="2203">
        <f ca="1">SUM(INDIRECT(BG$1&amp;BG$2&amp;$A716):INDIRECT(BG$1&amp;BG$3&amp;$A716))</f>
        <v>0</v>
      </c>
      <c r="BH716" s="2916">
        <f t="shared" ca="1" si="1294"/>
        <v>0</v>
      </c>
      <c r="BI716" s="2917">
        <f t="shared" ca="1" si="1295"/>
        <v>0</v>
      </c>
    </row>
    <row r="717" spans="1:61" ht="14.5">
      <c r="A717" s="1693">
        <f t="shared" si="1238"/>
        <v>709</v>
      </c>
      <c r="B717" s="616">
        <v>1</v>
      </c>
      <c r="C717" s="1693">
        <f t="shared" si="1237"/>
        <v>717</v>
      </c>
      <c r="D717" s="616">
        <v>1</v>
      </c>
      <c r="F717" s="69"/>
      <c r="J717" s="352"/>
      <c r="K717" s="353"/>
      <c r="L717" s="68"/>
      <c r="M717" s="68"/>
      <c r="N717" s="69" t="s">
        <v>187</v>
      </c>
      <c r="O717" s="302"/>
      <c r="P717" s="302"/>
      <c r="Q717" s="302"/>
      <c r="R717" s="1777" t="str">
        <f>CHOOSE(2, "6722000003628", "S/GP (3) Gross Profit Indirect HW &amp; Solution")</f>
        <v>S/GP (3) Gross Profit Indirect HW &amp; Solution</v>
      </c>
      <c r="S717" s="1248">
        <f t="shared" ref="S717:AD717" si="1307">SUM(S718:S723)</f>
        <v>0</v>
      </c>
      <c r="T717" s="1248">
        <f t="shared" si="1307"/>
        <v>0</v>
      </c>
      <c r="U717" s="1248">
        <f t="shared" si="1307"/>
        <v>0</v>
      </c>
      <c r="V717" s="1248">
        <f t="shared" si="1307"/>
        <v>0</v>
      </c>
      <c r="W717" s="1248">
        <f t="shared" si="1307"/>
        <v>0</v>
      </c>
      <c r="X717" s="1248">
        <f t="shared" si="1307"/>
        <v>0</v>
      </c>
      <c r="Y717" s="1248">
        <f t="shared" si="1307"/>
        <v>0</v>
      </c>
      <c r="Z717" s="1248">
        <f t="shared" si="1307"/>
        <v>0</v>
      </c>
      <c r="AA717" s="1248">
        <f t="shared" si="1307"/>
        <v>0</v>
      </c>
      <c r="AB717" s="1248">
        <f t="shared" si="1307"/>
        <v>0</v>
      </c>
      <c r="AC717" s="1248">
        <f t="shared" si="1307"/>
        <v>0</v>
      </c>
      <c r="AD717" s="1248">
        <f t="shared" si="1307"/>
        <v>0</v>
      </c>
      <c r="AE717" s="895">
        <f t="shared" ref="AE717:AK717" si="1308">SUM(AE718:AE723)</f>
        <v>0</v>
      </c>
      <c r="AF717" s="1248">
        <f t="shared" si="1308"/>
        <v>0</v>
      </c>
      <c r="AG717" s="1248">
        <f t="shared" si="1308"/>
        <v>0</v>
      </c>
      <c r="AH717" s="1248">
        <f t="shared" si="1308"/>
        <v>0</v>
      </c>
      <c r="AI717" s="1248">
        <f t="shared" si="1308"/>
        <v>0</v>
      </c>
      <c r="AJ717" s="1248">
        <f t="shared" si="1308"/>
        <v>0</v>
      </c>
      <c r="AK717" s="1248">
        <f t="shared" si="1308"/>
        <v>0</v>
      </c>
      <c r="AM717" s="2183">
        <f ca="1">SUM((INDIRECT(AM$2&amp;(ROW())):INDIRECT(AM$3&amp;(ROW()))))</f>
        <v>0</v>
      </c>
      <c r="AN717" s="2183">
        <f ca="1">SUM(INDIRECT(AN$1&amp;AN$2&amp;$C717):INDIRECT(AN$1&amp;AN$3&amp;$C717))</f>
        <v>0</v>
      </c>
      <c r="AO717" s="2875">
        <f t="shared" ca="1" si="1303"/>
        <v>0</v>
      </c>
      <c r="AP717" s="2876">
        <f t="shared" ca="1" si="1286"/>
        <v>0</v>
      </c>
      <c r="AQ717" s="2183">
        <f ca="1">SUM(INDIRECT(AQ$1&amp;AQ$2&amp;$A717):INDIRECT(AQ$1&amp;AQ$3&amp;$A717))</f>
        <v>0</v>
      </c>
      <c r="AR717" s="2875">
        <f t="shared" ca="1" si="1304"/>
        <v>0</v>
      </c>
      <c r="AS717" s="2876">
        <f t="shared" ca="1" si="1287"/>
        <v>0</v>
      </c>
      <c r="AU717" s="2183">
        <f ca="1">SUM((INDIRECT(AU$2&amp;(ROW())):INDIRECT(AU$3&amp;(ROW()))))</f>
        <v>0</v>
      </c>
      <c r="AV717" s="2183">
        <f ca="1">SUM(INDIRECT(AV$1&amp;AV$2&amp;$C717):INDIRECT(AV$1&amp;AV$3&amp;$C717))</f>
        <v>0</v>
      </c>
      <c r="AW717" s="2875">
        <f t="shared" ca="1" si="1288"/>
        <v>0</v>
      </c>
      <c r="AX717" s="2876">
        <f t="shared" ca="1" si="1289"/>
        <v>0</v>
      </c>
      <c r="AY717" s="2183">
        <f ca="1">SUM(INDIRECT(AY$1&amp;AY$2&amp;$A717):INDIRECT(AY$1&amp;AY$3&amp;$A717))</f>
        <v>0</v>
      </c>
      <c r="AZ717" s="2875">
        <f t="shared" ca="1" si="1290"/>
        <v>0</v>
      </c>
      <c r="BA717" s="2876">
        <f t="shared" ca="1" si="1291"/>
        <v>0</v>
      </c>
      <c r="BC717" s="2183">
        <f ca="1">SUM((INDIRECT(BC$2&amp;(ROW())):INDIRECT(BC$3&amp;(ROW()))))</f>
        <v>0</v>
      </c>
      <c r="BD717" s="2183">
        <f ca="1">SUM(INDIRECT(BD$1&amp;BD$2&amp;$C717):INDIRECT(BD$1&amp;BD$3&amp;$C717))</f>
        <v>0</v>
      </c>
      <c r="BE717" s="2875">
        <f t="shared" ca="1" si="1292"/>
        <v>0</v>
      </c>
      <c r="BF717" s="2876">
        <f t="shared" ca="1" si="1293"/>
        <v>0</v>
      </c>
      <c r="BG717" s="2183">
        <f ca="1">SUM(INDIRECT(BG$1&amp;BG$2&amp;$A717):INDIRECT(BG$1&amp;BG$3&amp;$A717))</f>
        <v>0</v>
      </c>
      <c r="BH717" s="2875">
        <f t="shared" ca="1" si="1294"/>
        <v>0</v>
      </c>
      <c r="BI717" s="2876">
        <f t="shared" ca="1" si="1295"/>
        <v>0</v>
      </c>
    </row>
    <row r="718" spans="1:61" ht="14.5">
      <c r="A718" s="1693">
        <f t="shared" si="1238"/>
        <v>710</v>
      </c>
      <c r="B718" s="616">
        <v>1</v>
      </c>
      <c r="C718" s="1693">
        <f t="shared" si="1237"/>
        <v>718</v>
      </c>
      <c r="D718" s="616">
        <v>1</v>
      </c>
      <c r="F718" s="69"/>
      <c r="J718" s="352"/>
      <c r="K718" s="353"/>
      <c r="L718" s="68"/>
      <c r="M718" s="68"/>
      <c r="N718" s="69"/>
      <c r="O718" s="740" t="s">
        <v>610</v>
      </c>
      <c r="P718" s="296"/>
      <c r="Q718" s="296"/>
      <c r="R718" s="1779" t="str">
        <f>CHOOSE(2, "6722000003629", "S/GP (3) Gross Profit Indirect HW &amp; Solution KM-1/KM-1e")</f>
        <v>S/GP (3) Gross Profit Indirect HW &amp; Solution KM-1/KM-1e</v>
      </c>
      <c r="S718" s="1227"/>
      <c r="T718" s="1227"/>
      <c r="U718" s="1227"/>
      <c r="V718" s="1227"/>
      <c r="W718" s="1227"/>
      <c r="X718" s="1227"/>
      <c r="Y718" s="1227"/>
      <c r="Z718" s="1227"/>
      <c r="AA718" s="1227"/>
      <c r="AB718" s="1227"/>
      <c r="AC718" s="1227"/>
      <c r="AD718" s="1227"/>
      <c r="AE718" s="295">
        <f t="shared" ref="AE718:AE723" si="1309">SUM(S718,T718,U718)</f>
        <v>0</v>
      </c>
      <c r="AF718" s="96">
        <f t="shared" ref="AF718:AF723" si="1310">SUM(V718,W718,X718)</f>
        <v>0</v>
      </c>
      <c r="AG718" s="96">
        <f t="shared" ref="AG718:AG723" si="1311">SUM(Y718,Z718,AA718)</f>
        <v>0</v>
      </c>
      <c r="AH718" s="96">
        <f t="shared" ref="AH718:AH723" si="1312">SUM(AB718,AC718,AD718)</f>
        <v>0</v>
      </c>
      <c r="AI718" s="96">
        <f t="shared" ref="AI718:AI723" si="1313">AE718+AF718</f>
        <v>0</v>
      </c>
      <c r="AJ718" s="96">
        <f t="shared" ref="AJ718:AJ723" si="1314">AH718+AG718</f>
        <v>0</v>
      </c>
      <c r="AK718" s="96">
        <f t="shared" ref="AK718:AK723" si="1315">AI718+AJ718</f>
        <v>0</v>
      </c>
      <c r="AM718" s="2161">
        <f ca="1">SUM((INDIRECT(AM$2&amp;(ROW())):INDIRECT(AM$3&amp;(ROW()))))</f>
        <v>0</v>
      </c>
      <c r="AN718" s="2161">
        <f ca="1">SUM(INDIRECT(AN$1&amp;AN$2&amp;$C718):INDIRECT(AN$1&amp;AN$3&amp;$C718))</f>
        <v>0</v>
      </c>
      <c r="AO718" s="2877">
        <f t="shared" ca="1" si="1303"/>
        <v>0</v>
      </c>
      <c r="AP718" s="2878">
        <f t="shared" ca="1" si="1286"/>
        <v>0</v>
      </c>
      <c r="AQ718" s="2161">
        <f ca="1">SUM(INDIRECT(AQ$1&amp;AQ$2&amp;$A718):INDIRECT(AQ$1&amp;AQ$3&amp;$A718))</f>
        <v>0</v>
      </c>
      <c r="AR718" s="2877">
        <f t="shared" ca="1" si="1304"/>
        <v>0</v>
      </c>
      <c r="AS718" s="2878">
        <f t="shared" ca="1" si="1287"/>
        <v>0</v>
      </c>
      <c r="AU718" s="2161">
        <f ca="1">SUM((INDIRECT(AU$2&amp;(ROW())):INDIRECT(AU$3&amp;(ROW()))))</f>
        <v>0</v>
      </c>
      <c r="AV718" s="2161">
        <f ca="1">SUM(INDIRECT(AV$1&amp;AV$2&amp;$C718):INDIRECT(AV$1&amp;AV$3&amp;$C718))</f>
        <v>0</v>
      </c>
      <c r="AW718" s="2877">
        <f t="shared" ca="1" si="1288"/>
        <v>0</v>
      </c>
      <c r="AX718" s="2878">
        <f t="shared" ca="1" si="1289"/>
        <v>0</v>
      </c>
      <c r="AY718" s="2161">
        <f ca="1">SUM(INDIRECT(AY$1&amp;AY$2&amp;$A718):INDIRECT(AY$1&amp;AY$3&amp;$A718))</f>
        <v>0</v>
      </c>
      <c r="AZ718" s="2877">
        <f t="shared" ca="1" si="1290"/>
        <v>0</v>
      </c>
      <c r="BA718" s="2878">
        <f t="shared" ca="1" si="1291"/>
        <v>0</v>
      </c>
      <c r="BC718" s="2161">
        <f ca="1">SUM((INDIRECT(BC$2&amp;(ROW())):INDIRECT(BC$3&amp;(ROW()))))</f>
        <v>0</v>
      </c>
      <c r="BD718" s="2161">
        <f ca="1">SUM(INDIRECT(BD$1&amp;BD$2&amp;$C718):INDIRECT(BD$1&amp;BD$3&amp;$C718))</f>
        <v>0</v>
      </c>
      <c r="BE718" s="2877">
        <f t="shared" ca="1" si="1292"/>
        <v>0</v>
      </c>
      <c r="BF718" s="2878">
        <f t="shared" ca="1" si="1293"/>
        <v>0</v>
      </c>
      <c r="BG718" s="2161">
        <f ca="1">SUM(INDIRECT(BG$1&amp;BG$2&amp;$A718):INDIRECT(BG$1&amp;BG$3&amp;$A718))</f>
        <v>0</v>
      </c>
      <c r="BH718" s="2877">
        <f t="shared" ca="1" si="1294"/>
        <v>0</v>
      </c>
      <c r="BI718" s="2878">
        <f t="shared" ca="1" si="1295"/>
        <v>0</v>
      </c>
    </row>
    <row r="719" spans="1:61" ht="14.5">
      <c r="A719" s="1693">
        <f t="shared" si="1238"/>
        <v>711</v>
      </c>
      <c r="B719" s="616">
        <v>1</v>
      </c>
      <c r="C719" s="1693">
        <f t="shared" ref="C719:C782" si="1316">C718+1</f>
        <v>719</v>
      </c>
      <c r="D719" s="616">
        <v>1</v>
      </c>
      <c r="F719" s="69"/>
      <c r="J719" s="352"/>
      <c r="K719" s="353"/>
      <c r="L719" s="68"/>
      <c r="M719" s="68"/>
      <c r="N719" s="69"/>
      <c r="O719" s="69" t="s">
        <v>117</v>
      </c>
      <c r="P719" s="69"/>
      <c r="Q719" s="69"/>
      <c r="R719" s="1779" t="str">
        <f>CHOOSE(2, "6722000003630", "S/GP (3) Gross Profit Indirect HW &amp; Solution Label Printer")</f>
        <v>S/GP (3) Gross Profit Indirect HW &amp; Solution Label Printer</v>
      </c>
      <c r="S719" s="1217"/>
      <c r="T719" s="1217"/>
      <c r="U719" s="1217"/>
      <c r="V719" s="1217"/>
      <c r="W719" s="1217"/>
      <c r="X719" s="1217"/>
      <c r="Y719" s="1217"/>
      <c r="Z719" s="1217"/>
      <c r="AA719" s="1217"/>
      <c r="AB719" s="1217"/>
      <c r="AC719" s="1217"/>
      <c r="AD719" s="1217"/>
      <c r="AE719" s="88">
        <f t="shared" si="1309"/>
        <v>0</v>
      </c>
      <c r="AF719" s="17">
        <f t="shared" si="1310"/>
        <v>0</v>
      </c>
      <c r="AG719" s="17">
        <f t="shared" si="1311"/>
        <v>0</v>
      </c>
      <c r="AH719" s="17">
        <f t="shared" si="1312"/>
        <v>0</v>
      </c>
      <c r="AI719" s="17">
        <f t="shared" si="1313"/>
        <v>0</v>
      </c>
      <c r="AJ719" s="17">
        <f t="shared" si="1314"/>
        <v>0</v>
      </c>
      <c r="AK719" s="17">
        <f t="shared" si="1315"/>
        <v>0</v>
      </c>
      <c r="AL719" s="69"/>
      <c r="AM719" s="1926">
        <f ca="1">SUM((INDIRECT(AM$2&amp;(ROW())):INDIRECT(AM$3&amp;(ROW()))))</f>
        <v>0</v>
      </c>
      <c r="AN719" s="1926">
        <f ca="1">SUM(INDIRECT(AN$1&amp;AN$2&amp;$C719):INDIRECT(AN$1&amp;AN$3&amp;$C719))</f>
        <v>0</v>
      </c>
      <c r="AO719" s="2707">
        <f t="shared" ca="1" si="1303"/>
        <v>0</v>
      </c>
      <c r="AP719" s="2708">
        <f t="shared" ca="1" si="1286"/>
        <v>0</v>
      </c>
      <c r="AQ719" s="1926">
        <f ca="1">SUM(INDIRECT(AQ$1&amp;AQ$2&amp;$A719):INDIRECT(AQ$1&amp;AQ$3&amp;$A719))</f>
        <v>0</v>
      </c>
      <c r="AR719" s="2707">
        <f t="shared" ca="1" si="1304"/>
        <v>0</v>
      </c>
      <c r="AS719" s="2708">
        <f t="shared" ca="1" si="1287"/>
        <v>0</v>
      </c>
      <c r="AU719" s="1926">
        <f ca="1">SUM((INDIRECT(AU$2&amp;(ROW())):INDIRECT(AU$3&amp;(ROW()))))</f>
        <v>0</v>
      </c>
      <c r="AV719" s="1926">
        <f ca="1">SUM(INDIRECT(AV$1&amp;AV$2&amp;$C719):INDIRECT(AV$1&amp;AV$3&amp;$C719))</f>
        <v>0</v>
      </c>
      <c r="AW719" s="2707">
        <f t="shared" ca="1" si="1288"/>
        <v>0</v>
      </c>
      <c r="AX719" s="2708">
        <f t="shared" ca="1" si="1289"/>
        <v>0</v>
      </c>
      <c r="AY719" s="1926">
        <f ca="1">SUM(INDIRECT(AY$1&amp;AY$2&amp;$A719):INDIRECT(AY$1&amp;AY$3&amp;$A719))</f>
        <v>0</v>
      </c>
      <c r="AZ719" s="2707">
        <f t="shared" ca="1" si="1290"/>
        <v>0</v>
      </c>
      <c r="BA719" s="2708">
        <f t="shared" ca="1" si="1291"/>
        <v>0</v>
      </c>
      <c r="BC719" s="1926">
        <f ca="1">SUM((INDIRECT(BC$2&amp;(ROW())):INDIRECT(BC$3&amp;(ROW()))))</f>
        <v>0</v>
      </c>
      <c r="BD719" s="1926">
        <f ca="1">SUM(INDIRECT(BD$1&amp;BD$2&amp;$C719):INDIRECT(BD$1&amp;BD$3&amp;$C719))</f>
        <v>0</v>
      </c>
      <c r="BE719" s="2707">
        <f t="shared" ca="1" si="1292"/>
        <v>0</v>
      </c>
      <c r="BF719" s="2708">
        <f t="shared" ca="1" si="1293"/>
        <v>0</v>
      </c>
      <c r="BG719" s="1926">
        <f ca="1">SUM(INDIRECT(BG$1&amp;BG$2&amp;$A719):INDIRECT(BG$1&amp;BG$3&amp;$A719))</f>
        <v>0</v>
      </c>
      <c r="BH719" s="2707">
        <f t="shared" ca="1" si="1294"/>
        <v>0</v>
      </c>
      <c r="BI719" s="2708">
        <f t="shared" ca="1" si="1295"/>
        <v>0</v>
      </c>
    </row>
    <row r="720" spans="1:61" ht="14.5">
      <c r="A720" s="1693">
        <f t="shared" ref="A720:A783" si="1317">A719+1</f>
        <v>712</v>
      </c>
      <c r="B720" s="616">
        <v>1</v>
      </c>
      <c r="C720" s="1693">
        <f t="shared" si="1316"/>
        <v>720</v>
      </c>
      <c r="D720" s="616">
        <v>1</v>
      </c>
      <c r="F720" s="69"/>
      <c r="J720" s="352"/>
      <c r="K720" s="353"/>
      <c r="L720" s="68"/>
      <c r="M720" s="68"/>
      <c r="N720" s="69"/>
      <c r="O720" s="69" t="s">
        <v>52</v>
      </c>
      <c r="P720" s="69"/>
      <c r="Q720" s="69"/>
      <c r="R720" s="1779" t="str">
        <f>CHOOSE(2, "6722000003631", "S/GP (3) Gross Profit Indirect HW &amp; Solution MGI")</f>
        <v>S/GP (3) Gross Profit Indirect HW &amp; Solution MGI</v>
      </c>
      <c r="S720" s="1217"/>
      <c r="T720" s="1217"/>
      <c r="U720" s="1217"/>
      <c r="V720" s="1217"/>
      <c r="W720" s="1217"/>
      <c r="X720" s="1217"/>
      <c r="Y720" s="1217"/>
      <c r="Z720" s="1217"/>
      <c r="AA720" s="1217"/>
      <c r="AB720" s="1217"/>
      <c r="AC720" s="1217"/>
      <c r="AD720" s="1217"/>
      <c r="AE720" s="88">
        <f t="shared" si="1309"/>
        <v>0</v>
      </c>
      <c r="AF720" s="17">
        <f t="shared" si="1310"/>
        <v>0</v>
      </c>
      <c r="AG720" s="17">
        <f t="shared" si="1311"/>
        <v>0</v>
      </c>
      <c r="AH720" s="17">
        <f t="shared" si="1312"/>
        <v>0</v>
      </c>
      <c r="AI720" s="17">
        <f t="shared" si="1313"/>
        <v>0</v>
      </c>
      <c r="AJ720" s="17">
        <f t="shared" si="1314"/>
        <v>0</v>
      </c>
      <c r="AK720" s="17">
        <f t="shared" si="1315"/>
        <v>0</v>
      </c>
      <c r="AL720" s="69"/>
      <c r="AM720" s="1926">
        <f ca="1">SUM((INDIRECT(AM$2&amp;(ROW())):INDIRECT(AM$3&amp;(ROW()))))</f>
        <v>0</v>
      </c>
      <c r="AN720" s="1926">
        <f ca="1">SUM(INDIRECT(AN$1&amp;AN$2&amp;$C720):INDIRECT(AN$1&amp;AN$3&amp;$C720))</f>
        <v>0</v>
      </c>
      <c r="AO720" s="2707">
        <f t="shared" ca="1" si="1303"/>
        <v>0</v>
      </c>
      <c r="AP720" s="2708">
        <f t="shared" ca="1" si="1286"/>
        <v>0</v>
      </c>
      <c r="AQ720" s="1926">
        <f ca="1">SUM(INDIRECT(AQ$1&amp;AQ$2&amp;$A720):INDIRECT(AQ$1&amp;AQ$3&amp;$A720))</f>
        <v>0</v>
      </c>
      <c r="AR720" s="2707">
        <f t="shared" ca="1" si="1304"/>
        <v>0</v>
      </c>
      <c r="AS720" s="2708">
        <f t="shared" ca="1" si="1287"/>
        <v>0</v>
      </c>
      <c r="AU720" s="1926">
        <f ca="1">SUM((INDIRECT(AU$2&amp;(ROW())):INDIRECT(AU$3&amp;(ROW()))))</f>
        <v>0</v>
      </c>
      <c r="AV720" s="1926">
        <f ca="1">SUM(INDIRECT(AV$1&amp;AV$2&amp;$C720):INDIRECT(AV$1&amp;AV$3&amp;$C720))</f>
        <v>0</v>
      </c>
      <c r="AW720" s="2707">
        <f t="shared" ca="1" si="1288"/>
        <v>0</v>
      </c>
      <c r="AX720" s="2708">
        <f t="shared" ca="1" si="1289"/>
        <v>0</v>
      </c>
      <c r="AY720" s="1926">
        <f ca="1">SUM(INDIRECT(AY$1&amp;AY$2&amp;$A720):INDIRECT(AY$1&amp;AY$3&amp;$A720))</f>
        <v>0</v>
      </c>
      <c r="AZ720" s="2707">
        <f t="shared" ca="1" si="1290"/>
        <v>0</v>
      </c>
      <c r="BA720" s="2708">
        <f t="shared" ca="1" si="1291"/>
        <v>0</v>
      </c>
      <c r="BC720" s="1926">
        <f ca="1">SUM((INDIRECT(BC$2&amp;(ROW())):INDIRECT(BC$3&amp;(ROW()))))</f>
        <v>0</v>
      </c>
      <c r="BD720" s="1926">
        <f ca="1">SUM(INDIRECT(BD$1&amp;BD$2&amp;$C720):INDIRECT(BD$1&amp;BD$3&amp;$C720))</f>
        <v>0</v>
      </c>
      <c r="BE720" s="2707">
        <f t="shared" ca="1" si="1292"/>
        <v>0</v>
      </c>
      <c r="BF720" s="2708">
        <f t="shared" ca="1" si="1293"/>
        <v>0</v>
      </c>
      <c r="BG720" s="1926">
        <f ca="1">SUM(INDIRECT(BG$1&amp;BG$2&amp;$A720):INDIRECT(BG$1&amp;BG$3&amp;$A720))</f>
        <v>0</v>
      </c>
      <c r="BH720" s="2707">
        <f t="shared" ca="1" si="1294"/>
        <v>0</v>
      </c>
      <c r="BI720" s="2708">
        <f t="shared" ca="1" si="1295"/>
        <v>0</v>
      </c>
    </row>
    <row r="721" spans="1:61" ht="14.5">
      <c r="A721" s="1693">
        <f t="shared" si="1317"/>
        <v>713</v>
      </c>
      <c r="B721" s="616">
        <v>1</v>
      </c>
      <c r="C721" s="1693">
        <f t="shared" si="1316"/>
        <v>721</v>
      </c>
      <c r="D721" s="616">
        <v>1</v>
      </c>
      <c r="F721" s="69"/>
      <c r="J721" s="352"/>
      <c r="K721" s="353"/>
      <c r="L721" s="68"/>
      <c r="M721" s="68"/>
      <c r="N721" s="69"/>
      <c r="O721" s="69" t="s">
        <v>118</v>
      </c>
      <c r="P721" s="69"/>
      <c r="Q721" s="69"/>
      <c r="R721" s="1779" t="str">
        <f>CHOOSE(2, "6722000003632", "S/GP (3) Gross Profit Indirect HW &amp; Solution EFI/LF")</f>
        <v>S/GP (3) Gross Profit Indirect HW &amp; Solution EFI/LF</v>
      </c>
      <c r="S721" s="1217"/>
      <c r="T721" s="1217"/>
      <c r="U721" s="1217"/>
      <c r="V721" s="1217"/>
      <c r="W721" s="1217"/>
      <c r="X721" s="1217"/>
      <c r="Y721" s="1217"/>
      <c r="Z721" s="1217"/>
      <c r="AA721" s="1217"/>
      <c r="AB721" s="1217"/>
      <c r="AC721" s="1217"/>
      <c r="AD721" s="1217"/>
      <c r="AE721" s="88">
        <f t="shared" si="1309"/>
        <v>0</v>
      </c>
      <c r="AF721" s="17">
        <f t="shared" si="1310"/>
        <v>0</v>
      </c>
      <c r="AG721" s="17">
        <f t="shared" si="1311"/>
        <v>0</v>
      </c>
      <c r="AH721" s="17">
        <f t="shared" si="1312"/>
        <v>0</v>
      </c>
      <c r="AI721" s="17">
        <f t="shared" si="1313"/>
        <v>0</v>
      </c>
      <c r="AJ721" s="17">
        <f t="shared" si="1314"/>
        <v>0</v>
      </c>
      <c r="AK721" s="17">
        <f t="shared" si="1315"/>
        <v>0</v>
      </c>
      <c r="AL721" s="69"/>
      <c r="AM721" s="1926">
        <f ca="1">SUM((INDIRECT(AM$2&amp;(ROW())):INDIRECT(AM$3&amp;(ROW()))))</f>
        <v>0</v>
      </c>
      <c r="AN721" s="1926">
        <f ca="1">SUM(INDIRECT(AN$1&amp;AN$2&amp;$C721):INDIRECT(AN$1&amp;AN$3&amp;$C721))</f>
        <v>0</v>
      </c>
      <c r="AO721" s="2707">
        <f t="shared" ca="1" si="1303"/>
        <v>0</v>
      </c>
      <c r="AP721" s="2708">
        <f t="shared" ca="1" si="1286"/>
        <v>0</v>
      </c>
      <c r="AQ721" s="1926">
        <f ca="1">SUM(INDIRECT(AQ$1&amp;AQ$2&amp;$A721):INDIRECT(AQ$1&amp;AQ$3&amp;$A721))</f>
        <v>0</v>
      </c>
      <c r="AR721" s="2707">
        <f t="shared" ca="1" si="1304"/>
        <v>0</v>
      </c>
      <c r="AS721" s="2708">
        <f t="shared" ca="1" si="1287"/>
        <v>0</v>
      </c>
      <c r="AU721" s="1926">
        <f ca="1">SUM((INDIRECT(AU$2&amp;(ROW())):INDIRECT(AU$3&amp;(ROW()))))</f>
        <v>0</v>
      </c>
      <c r="AV721" s="1926">
        <f ca="1">SUM(INDIRECT(AV$1&amp;AV$2&amp;$C721):INDIRECT(AV$1&amp;AV$3&amp;$C721))</f>
        <v>0</v>
      </c>
      <c r="AW721" s="2707">
        <f t="shared" ca="1" si="1288"/>
        <v>0</v>
      </c>
      <c r="AX721" s="2708">
        <f t="shared" ca="1" si="1289"/>
        <v>0</v>
      </c>
      <c r="AY721" s="1926">
        <f ca="1">SUM(INDIRECT(AY$1&amp;AY$2&amp;$A721):INDIRECT(AY$1&amp;AY$3&amp;$A721))</f>
        <v>0</v>
      </c>
      <c r="AZ721" s="2707">
        <f t="shared" ca="1" si="1290"/>
        <v>0</v>
      </c>
      <c r="BA721" s="2708">
        <f t="shared" ca="1" si="1291"/>
        <v>0</v>
      </c>
      <c r="BC721" s="1926">
        <f ca="1">SUM((INDIRECT(BC$2&amp;(ROW())):INDIRECT(BC$3&amp;(ROW()))))</f>
        <v>0</v>
      </c>
      <c r="BD721" s="1926">
        <f ca="1">SUM(INDIRECT(BD$1&amp;BD$2&amp;$C721):INDIRECT(BD$1&amp;BD$3&amp;$C721))</f>
        <v>0</v>
      </c>
      <c r="BE721" s="2707">
        <f t="shared" ca="1" si="1292"/>
        <v>0</v>
      </c>
      <c r="BF721" s="2708">
        <f t="shared" ca="1" si="1293"/>
        <v>0</v>
      </c>
      <c r="BG721" s="1926">
        <f ca="1">SUM(INDIRECT(BG$1&amp;BG$2&amp;$A721):INDIRECT(BG$1&amp;BG$3&amp;$A721))</f>
        <v>0</v>
      </c>
      <c r="BH721" s="2707">
        <f t="shared" ca="1" si="1294"/>
        <v>0</v>
      </c>
      <c r="BI721" s="2708">
        <f t="shared" ca="1" si="1295"/>
        <v>0</v>
      </c>
    </row>
    <row r="722" spans="1:61" ht="14.5">
      <c r="A722" s="1693">
        <f t="shared" si="1317"/>
        <v>714</v>
      </c>
      <c r="B722" s="616">
        <v>1</v>
      </c>
      <c r="C722" s="1693">
        <f t="shared" si="1316"/>
        <v>722</v>
      </c>
      <c r="D722" s="616">
        <v>1</v>
      </c>
      <c r="F722" s="69"/>
      <c r="J722" s="352"/>
      <c r="K722" s="353"/>
      <c r="L722" s="68"/>
      <c r="M722" s="68"/>
      <c r="N722" s="69"/>
      <c r="O722" s="69" t="s">
        <v>180</v>
      </c>
      <c r="P722" s="69"/>
      <c r="Q722" s="69"/>
      <c r="R722" s="1779" t="str">
        <f>CHOOSE(2, "6722000003633", "S/GP (3) Gross Profit Indirect HW &amp; Solution Textile Printer")</f>
        <v>S/GP (3) Gross Profit Indirect HW &amp; Solution Textile Printer</v>
      </c>
      <c r="S722" s="1217"/>
      <c r="T722" s="1217"/>
      <c r="U722" s="1217"/>
      <c r="V722" s="1217"/>
      <c r="W722" s="1217"/>
      <c r="X722" s="1217"/>
      <c r="Y722" s="1217"/>
      <c r="Z722" s="1217"/>
      <c r="AA722" s="1217"/>
      <c r="AB722" s="1217"/>
      <c r="AC722" s="1217"/>
      <c r="AD722" s="1217"/>
      <c r="AE722" s="88">
        <f t="shared" si="1309"/>
        <v>0</v>
      </c>
      <c r="AF722" s="17">
        <f t="shared" si="1310"/>
        <v>0</v>
      </c>
      <c r="AG722" s="17">
        <f t="shared" si="1311"/>
        <v>0</v>
      </c>
      <c r="AH722" s="17">
        <f t="shared" si="1312"/>
        <v>0</v>
      </c>
      <c r="AI722" s="17">
        <f t="shared" si="1313"/>
        <v>0</v>
      </c>
      <c r="AJ722" s="17">
        <f t="shared" si="1314"/>
        <v>0</v>
      </c>
      <c r="AK722" s="17">
        <f t="shared" si="1315"/>
        <v>0</v>
      </c>
      <c r="AL722" s="69"/>
      <c r="AM722" s="1926">
        <f ca="1">SUM((INDIRECT(AM$2&amp;(ROW())):INDIRECT(AM$3&amp;(ROW()))))</f>
        <v>0</v>
      </c>
      <c r="AN722" s="1926">
        <f ca="1">SUM(INDIRECT(AN$1&amp;AN$2&amp;$C722):INDIRECT(AN$1&amp;AN$3&amp;$C722))</f>
        <v>0</v>
      </c>
      <c r="AO722" s="2707">
        <f t="shared" ca="1" si="1303"/>
        <v>0</v>
      </c>
      <c r="AP722" s="2708">
        <f t="shared" ca="1" si="1286"/>
        <v>0</v>
      </c>
      <c r="AQ722" s="1926">
        <f ca="1">SUM(INDIRECT(AQ$1&amp;AQ$2&amp;$A722):INDIRECT(AQ$1&amp;AQ$3&amp;$A722))</f>
        <v>0</v>
      </c>
      <c r="AR722" s="2707">
        <f t="shared" ca="1" si="1304"/>
        <v>0</v>
      </c>
      <c r="AS722" s="2708">
        <f t="shared" ca="1" si="1287"/>
        <v>0</v>
      </c>
      <c r="AU722" s="1926">
        <f ca="1">SUM((INDIRECT(AU$2&amp;(ROW())):INDIRECT(AU$3&amp;(ROW()))))</f>
        <v>0</v>
      </c>
      <c r="AV722" s="1926">
        <f ca="1">SUM(INDIRECT(AV$1&amp;AV$2&amp;$C722):INDIRECT(AV$1&amp;AV$3&amp;$C722))</f>
        <v>0</v>
      </c>
      <c r="AW722" s="2707">
        <f t="shared" ca="1" si="1288"/>
        <v>0</v>
      </c>
      <c r="AX722" s="2708">
        <f t="shared" ca="1" si="1289"/>
        <v>0</v>
      </c>
      <c r="AY722" s="1926">
        <f ca="1">SUM(INDIRECT(AY$1&amp;AY$2&amp;$A722):INDIRECT(AY$1&amp;AY$3&amp;$A722))</f>
        <v>0</v>
      </c>
      <c r="AZ722" s="2707">
        <f t="shared" ca="1" si="1290"/>
        <v>0</v>
      </c>
      <c r="BA722" s="2708">
        <f t="shared" ca="1" si="1291"/>
        <v>0</v>
      </c>
      <c r="BC722" s="1926">
        <f ca="1">SUM((INDIRECT(BC$2&amp;(ROW())):INDIRECT(BC$3&amp;(ROW()))))</f>
        <v>0</v>
      </c>
      <c r="BD722" s="1926">
        <f ca="1">SUM(INDIRECT(BD$1&amp;BD$2&amp;$C722):INDIRECT(BD$1&amp;BD$3&amp;$C722))</f>
        <v>0</v>
      </c>
      <c r="BE722" s="2707">
        <f t="shared" ca="1" si="1292"/>
        <v>0</v>
      </c>
      <c r="BF722" s="2708">
        <f t="shared" ca="1" si="1293"/>
        <v>0</v>
      </c>
      <c r="BG722" s="1926">
        <f ca="1">SUM(INDIRECT(BG$1&amp;BG$2&amp;$A722):INDIRECT(BG$1&amp;BG$3&amp;$A722))</f>
        <v>0</v>
      </c>
      <c r="BH722" s="2707">
        <f t="shared" ca="1" si="1294"/>
        <v>0</v>
      </c>
      <c r="BI722" s="2708">
        <f t="shared" ca="1" si="1295"/>
        <v>0</v>
      </c>
    </row>
    <row r="723" spans="1:61" ht="14.5">
      <c r="A723" s="1693">
        <f t="shared" si="1317"/>
        <v>715</v>
      </c>
      <c r="B723" s="616">
        <v>1</v>
      </c>
      <c r="C723" s="1693">
        <f t="shared" si="1316"/>
        <v>723</v>
      </c>
      <c r="D723" s="616">
        <v>1</v>
      </c>
      <c r="F723" s="69"/>
      <c r="J723" s="352"/>
      <c r="K723" s="353"/>
      <c r="L723" s="68"/>
      <c r="M723" s="68"/>
      <c r="N723" s="69"/>
      <c r="O723" s="211" t="s">
        <v>51</v>
      </c>
      <c r="P723" s="211"/>
      <c r="Q723" s="211"/>
      <c r="R723" s="1779" t="str">
        <f>CHOOSE(2, "6722000003634", "S/GP (3) Gross Profit Indirect HW &amp; Solution Others")</f>
        <v>S/GP (3) Gross Profit Indirect HW &amp; Solution Others</v>
      </c>
      <c r="S723" s="1218"/>
      <c r="T723" s="1218"/>
      <c r="U723" s="1218"/>
      <c r="V723" s="1218"/>
      <c r="W723" s="1218"/>
      <c r="X723" s="1218"/>
      <c r="Y723" s="1218"/>
      <c r="Z723" s="1218"/>
      <c r="AA723" s="1218"/>
      <c r="AB723" s="1218"/>
      <c r="AC723" s="1218"/>
      <c r="AD723" s="1218"/>
      <c r="AE723" s="87">
        <f t="shared" si="1309"/>
        <v>0</v>
      </c>
      <c r="AF723" s="15">
        <f t="shared" si="1310"/>
        <v>0</v>
      </c>
      <c r="AG723" s="15">
        <f t="shared" si="1311"/>
        <v>0</v>
      </c>
      <c r="AH723" s="15">
        <f t="shared" si="1312"/>
        <v>0</v>
      </c>
      <c r="AI723" s="15">
        <f t="shared" si="1313"/>
        <v>0</v>
      </c>
      <c r="AJ723" s="15">
        <f t="shared" si="1314"/>
        <v>0</v>
      </c>
      <c r="AK723" s="15">
        <f t="shared" si="1315"/>
        <v>0</v>
      </c>
      <c r="AM723" s="1928">
        <f ca="1">SUM((INDIRECT(AM$2&amp;(ROW())):INDIRECT(AM$3&amp;(ROW()))))</f>
        <v>0</v>
      </c>
      <c r="AN723" s="1928">
        <f ca="1">SUM(INDIRECT(AN$1&amp;AN$2&amp;$C723):INDIRECT(AN$1&amp;AN$3&amp;$C723))</f>
        <v>0</v>
      </c>
      <c r="AO723" s="2709">
        <f t="shared" ca="1" si="1303"/>
        <v>0</v>
      </c>
      <c r="AP723" s="2710">
        <f t="shared" ca="1" si="1286"/>
        <v>0</v>
      </c>
      <c r="AQ723" s="1928">
        <f ca="1">SUM(INDIRECT(AQ$1&amp;AQ$2&amp;$A723):INDIRECT(AQ$1&amp;AQ$3&amp;$A723))</f>
        <v>0</v>
      </c>
      <c r="AR723" s="2709">
        <f t="shared" ca="1" si="1304"/>
        <v>0</v>
      </c>
      <c r="AS723" s="2710">
        <f t="shared" ca="1" si="1287"/>
        <v>0</v>
      </c>
      <c r="AU723" s="1928">
        <f ca="1">SUM((INDIRECT(AU$2&amp;(ROW())):INDIRECT(AU$3&amp;(ROW()))))</f>
        <v>0</v>
      </c>
      <c r="AV723" s="1928">
        <f ca="1">SUM(INDIRECT(AV$1&amp;AV$2&amp;$C723):INDIRECT(AV$1&amp;AV$3&amp;$C723))</f>
        <v>0</v>
      </c>
      <c r="AW723" s="2709">
        <f t="shared" ca="1" si="1288"/>
        <v>0</v>
      </c>
      <c r="AX723" s="2710">
        <f t="shared" ca="1" si="1289"/>
        <v>0</v>
      </c>
      <c r="AY723" s="1928">
        <f ca="1">SUM(INDIRECT(AY$1&amp;AY$2&amp;$A723):INDIRECT(AY$1&amp;AY$3&amp;$A723))</f>
        <v>0</v>
      </c>
      <c r="AZ723" s="2709">
        <f t="shared" ca="1" si="1290"/>
        <v>0</v>
      </c>
      <c r="BA723" s="2710">
        <f t="shared" ca="1" si="1291"/>
        <v>0</v>
      </c>
      <c r="BC723" s="1928">
        <f ca="1">SUM((INDIRECT(BC$2&amp;(ROW())):INDIRECT(BC$3&amp;(ROW()))))</f>
        <v>0</v>
      </c>
      <c r="BD723" s="1928">
        <f ca="1">SUM(INDIRECT(BD$1&amp;BD$2&amp;$C723):INDIRECT(BD$1&amp;BD$3&amp;$C723))</f>
        <v>0</v>
      </c>
      <c r="BE723" s="2709">
        <f t="shared" ca="1" si="1292"/>
        <v>0</v>
      </c>
      <c r="BF723" s="2710">
        <f t="shared" ca="1" si="1293"/>
        <v>0</v>
      </c>
      <c r="BG723" s="1928">
        <f ca="1">SUM(INDIRECT(BG$1&amp;BG$2&amp;$A723):INDIRECT(BG$1&amp;BG$3&amp;$A723))</f>
        <v>0</v>
      </c>
      <c r="BH723" s="2709">
        <f t="shared" ca="1" si="1294"/>
        <v>0</v>
      </c>
      <c r="BI723" s="2710">
        <f t="shared" ca="1" si="1295"/>
        <v>0</v>
      </c>
    </row>
    <row r="724" spans="1:61" ht="14.5">
      <c r="A724" s="1693">
        <f t="shared" si="1317"/>
        <v>716</v>
      </c>
      <c r="B724" s="616">
        <v>1</v>
      </c>
      <c r="C724" s="1693">
        <f t="shared" si="1316"/>
        <v>724</v>
      </c>
      <c r="D724" s="616">
        <v>1</v>
      </c>
      <c r="F724" s="69"/>
      <c r="J724" s="352"/>
      <c r="K724" s="353"/>
      <c r="L724" s="68"/>
      <c r="M724" s="68"/>
      <c r="N724" s="218" t="s">
        <v>189</v>
      </c>
      <c r="O724" s="218"/>
      <c r="P724" s="218"/>
      <c r="Q724" s="786"/>
      <c r="R724" s="1777" t="str">
        <f>CHOOSE(2, "6722000003635", "S/GP (3) Gross Profit Indirect NH")</f>
        <v>S/GP (3) Gross Profit Indirect NH</v>
      </c>
      <c r="S724" s="1384">
        <f t="shared" ref="S724:AD724" si="1318">S725+S731+S737+S743+S749+S755+S758+S759</f>
        <v>0</v>
      </c>
      <c r="T724" s="1384">
        <f t="shared" si="1318"/>
        <v>0</v>
      </c>
      <c r="U724" s="1384">
        <f t="shared" si="1318"/>
        <v>0</v>
      </c>
      <c r="V724" s="1384">
        <f t="shared" si="1318"/>
        <v>0</v>
      </c>
      <c r="W724" s="1384">
        <f t="shared" si="1318"/>
        <v>0</v>
      </c>
      <c r="X724" s="1384">
        <f t="shared" si="1318"/>
        <v>0</v>
      </c>
      <c r="Y724" s="1384">
        <f t="shared" si="1318"/>
        <v>0</v>
      </c>
      <c r="Z724" s="1384">
        <f t="shared" si="1318"/>
        <v>0</v>
      </c>
      <c r="AA724" s="1384">
        <f t="shared" si="1318"/>
        <v>0</v>
      </c>
      <c r="AB724" s="1384">
        <f t="shared" si="1318"/>
        <v>0</v>
      </c>
      <c r="AC724" s="1384">
        <f t="shared" si="1318"/>
        <v>0</v>
      </c>
      <c r="AD724" s="1384">
        <f t="shared" si="1318"/>
        <v>0</v>
      </c>
      <c r="AE724" s="1623">
        <f t="shared" ref="AE724:AK724" si="1319">AE725+AE731+AE737+AE743+AE749+AE755+AE758+AE759</f>
        <v>0</v>
      </c>
      <c r="AF724" s="1624">
        <f t="shared" si="1319"/>
        <v>0</v>
      </c>
      <c r="AG724" s="1624">
        <f t="shared" si="1319"/>
        <v>0</v>
      </c>
      <c r="AH724" s="1624">
        <f t="shared" si="1319"/>
        <v>0</v>
      </c>
      <c r="AI724" s="1624">
        <f t="shared" si="1319"/>
        <v>0</v>
      </c>
      <c r="AJ724" s="1624">
        <f t="shared" si="1319"/>
        <v>0</v>
      </c>
      <c r="AK724" s="1624">
        <f t="shared" si="1319"/>
        <v>0</v>
      </c>
      <c r="AM724" s="1924">
        <f ca="1">SUM((INDIRECT(AM$2&amp;(ROW())):INDIRECT(AM$3&amp;(ROW()))))</f>
        <v>0</v>
      </c>
      <c r="AN724" s="1924">
        <f ca="1">SUM(INDIRECT(AN$1&amp;AN$2&amp;$C724):INDIRECT(AN$1&amp;AN$3&amp;$C724))</f>
        <v>0</v>
      </c>
      <c r="AO724" s="2705">
        <f t="shared" ca="1" si="1303"/>
        <v>0</v>
      </c>
      <c r="AP724" s="2706">
        <f t="shared" ca="1" si="1286"/>
        <v>0</v>
      </c>
      <c r="AQ724" s="1924">
        <f ca="1">SUM(INDIRECT(AQ$1&amp;AQ$2&amp;$A724):INDIRECT(AQ$1&amp;AQ$3&amp;$A724))</f>
        <v>0</v>
      </c>
      <c r="AR724" s="2705">
        <f t="shared" ca="1" si="1304"/>
        <v>0</v>
      </c>
      <c r="AS724" s="2706">
        <f t="shared" ca="1" si="1287"/>
        <v>0</v>
      </c>
      <c r="AU724" s="1924">
        <f ca="1">SUM((INDIRECT(AU$2&amp;(ROW())):INDIRECT(AU$3&amp;(ROW()))))</f>
        <v>0</v>
      </c>
      <c r="AV724" s="1924">
        <f ca="1">SUM(INDIRECT(AV$1&amp;AV$2&amp;$C724):INDIRECT(AV$1&amp;AV$3&amp;$C724))</f>
        <v>0</v>
      </c>
      <c r="AW724" s="2705">
        <f t="shared" ca="1" si="1288"/>
        <v>0</v>
      </c>
      <c r="AX724" s="2706">
        <f t="shared" ca="1" si="1289"/>
        <v>0</v>
      </c>
      <c r="AY724" s="1924">
        <f ca="1">SUM(INDIRECT(AY$1&amp;AY$2&amp;$A724):INDIRECT(AY$1&amp;AY$3&amp;$A724))</f>
        <v>0</v>
      </c>
      <c r="AZ724" s="2705">
        <f t="shared" ca="1" si="1290"/>
        <v>0</v>
      </c>
      <c r="BA724" s="2706">
        <f t="shared" ca="1" si="1291"/>
        <v>0</v>
      </c>
      <c r="BC724" s="1924">
        <f ca="1">SUM((INDIRECT(BC$2&amp;(ROW())):INDIRECT(BC$3&amp;(ROW()))))</f>
        <v>0</v>
      </c>
      <c r="BD724" s="1924">
        <f ca="1">SUM(INDIRECT(BD$1&amp;BD$2&amp;$C724):INDIRECT(BD$1&amp;BD$3&amp;$C724))</f>
        <v>0</v>
      </c>
      <c r="BE724" s="2705">
        <f t="shared" ca="1" si="1292"/>
        <v>0</v>
      </c>
      <c r="BF724" s="2706">
        <f t="shared" ca="1" si="1293"/>
        <v>0</v>
      </c>
      <c r="BG724" s="1924">
        <f ca="1">SUM(INDIRECT(BG$1&amp;BG$2&amp;$A724):INDIRECT(BG$1&amp;BG$3&amp;$A724))</f>
        <v>0</v>
      </c>
      <c r="BH724" s="2705">
        <f t="shared" ca="1" si="1294"/>
        <v>0</v>
      </c>
      <c r="BI724" s="2706">
        <f t="shared" ca="1" si="1295"/>
        <v>0</v>
      </c>
    </row>
    <row r="725" spans="1:61" ht="14.5">
      <c r="A725" s="1693">
        <f t="shared" si="1317"/>
        <v>717</v>
      </c>
      <c r="B725" s="616">
        <v>1</v>
      </c>
      <c r="C725" s="1693">
        <f t="shared" si="1316"/>
        <v>725</v>
      </c>
      <c r="D725" s="616">
        <v>1</v>
      </c>
      <c r="F725" s="69"/>
      <c r="J725" s="352"/>
      <c r="K725" s="353"/>
      <c r="L725" s="68"/>
      <c r="M725" s="68"/>
      <c r="N725" s="69"/>
      <c r="O725" s="740" t="s">
        <v>670</v>
      </c>
      <c r="P725" s="302"/>
      <c r="Q725" s="302"/>
      <c r="R725" s="1777" t="str">
        <f>CHOOSE(2, "6722000003636", "S/GP (3) Gross Profit Indirect NH KM-1/KM-1e")</f>
        <v>S/GP (3) Gross Profit Indirect NH KM-1/KM-1e</v>
      </c>
      <c r="S725" s="1248">
        <f t="shared" ref="S725:AD725" si="1320">S726+S727</f>
        <v>0</v>
      </c>
      <c r="T725" s="1248">
        <f t="shared" si="1320"/>
        <v>0</v>
      </c>
      <c r="U725" s="1248">
        <f t="shared" si="1320"/>
        <v>0</v>
      </c>
      <c r="V725" s="1248">
        <f t="shared" si="1320"/>
        <v>0</v>
      </c>
      <c r="W725" s="1248">
        <f t="shared" si="1320"/>
        <v>0</v>
      </c>
      <c r="X725" s="1248">
        <f t="shared" si="1320"/>
        <v>0</v>
      </c>
      <c r="Y725" s="1248">
        <f t="shared" si="1320"/>
        <v>0</v>
      </c>
      <c r="Z725" s="1248">
        <f t="shared" si="1320"/>
        <v>0</v>
      </c>
      <c r="AA725" s="1248">
        <f t="shared" si="1320"/>
        <v>0</v>
      </c>
      <c r="AB725" s="1248">
        <f t="shared" si="1320"/>
        <v>0</v>
      </c>
      <c r="AC725" s="1248">
        <f t="shared" si="1320"/>
        <v>0</v>
      </c>
      <c r="AD725" s="1248">
        <f t="shared" si="1320"/>
        <v>0</v>
      </c>
      <c r="AE725" s="895">
        <f t="shared" ref="AE725:AK725" si="1321">AE726+AE727</f>
        <v>0</v>
      </c>
      <c r="AF725" s="1248">
        <f t="shared" si="1321"/>
        <v>0</v>
      </c>
      <c r="AG725" s="1248">
        <f t="shared" si="1321"/>
        <v>0</v>
      </c>
      <c r="AH725" s="1248">
        <f t="shared" si="1321"/>
        <v>0</v>
      </c>
      <c r="AI725" s="1248">
        <f t="shared" si="1321"/>
        <v>0</v>
      </c>
      <c r="AJ725" s="1248">
        <f t="shared" si="1321"/>
        <v>0</v>
      </c>
      <c r="AK725" s="1248">
        <f t="shared" si="1321"/>
        <v>0</v>
      </c>
      <c r="AL725" s="69"/>
      <c r="AM725" s="2183">
        <f ca="1">SUM((INDIRECT(AM$2&amp;(ROW())):INDIRECT(AM$3&amp;(ROW()))))</f>
        <v>0</v>
      </c>
      <c r="AN725" s="2183">
        <f ca="1">SUM(INDIRECT(AN$1&amp;AN$2&amp;$C725):INDIRECT(AN$1&amp;AN$3&amp;$C725))</f>
        <v>0</v>
      </c>
      <c r="AO725" s="2875">
        <f t="shared" ca="1" si="1303"/>
        <v>0</v>
      </c>
      <c r="AP725" s="2876">
        <f t="shared" ca="1" si="1286"/>
        <v>0</v>
      </c>
      <c r="AQ725" s="2183">
        <f ca="1">SUM(INDIRECT(AQ$1&amp;AQ$2&amp;$A725):INDIRECT(AQ$1&amp;AQ$3&amp;$A725))</f>
        <v>0</v>
      </c>
      <c r="AR725" s="2875">
        <f t="shared" ca="1" si="1304"/>
        <v>0</v>
      </c>
      <c r="AS725" s="2876">
        <f t="shared" ca="1" si="1287"/>
        <v>0</v>
      </c>
      <c r="AU725" s="2183">
        <f ca="1">SUM((INDIRECT(AU$2&amp;(ROW())):INDIRECT(AU$3&amp;(ROW()))))</f>
        <v>0</v>
      </c>
      <c r="AV725" s="2183">
        <f ca="1">SUM(INDIRECT(AV$1&amp;AV$2&amp;$C725):INDIRECT(AV$1&amp;AV$3&amp;$C725))</f>
        <v>0</v>
      </c>
      <c r="AW725" s="2875">
        <f t="shared" ca="1" si="1288"/>
        <v>0</v>
      </c>
      <c r="AX725" s="2876">
        <f t="shared" ca="1" si="1289"/>
        <v>0</v>
      </c>
      <c r="AY725" s="2183">
        <f ca="1">SUM(INDIRECT(AY$1&amp;AY$2&amp;$A725):INDIRECT(AY$1&amp;AY$3&amp;$A725))</f>
        <v>0</v>
      </c>
      <c r="AZ725" s="2875">
        <f t="shared" ca="1" si="1290"/>
        <v>0</v>
      </c>
      <c r="BA725" s="2876">
        <f t="shared" ca="1" si="1291"/>
        <v>0</v>
      </c>
      <c r="BC725" s="2183">
        <f ca="1">SUM((INDIRECT(BC$2&amp;(ROW())):INDIRECT(BC$3&amp;(ROW()))))</f>
        <v>0</v>
      </c>
      <c r="BD725" s="2183">
        <f ca="1">SUM(INDIRECT(BD$1&amp;BD$2&amp;$C725):INDIRECT(BD$1&amp;BD$3&amp;$C725))</f>
        <v>0</v>
      </c>
      <c r="BE725" s="2875">
        <f t="shared" ca="1" si="1292"/>
        <v>0</v>
      </c>
      <c r="BF725" s="2876">
        <f t="shared" ca="1" si="1293"/>
        <v>0</v>
      </c>
      <c r="BG725" s="2183">
        <f ca="1">SUM(INDIRECT(BG$1&amp;BG$2&amp;$A725):INDIRECT(BG$1&amp;BG$3&amp;$A725))</f>
        <v>0</v>
      </c>
      <c r="BH725" s="2875">
        <f t="shared" ca="1" si="1294"/>
        <v>0</v>
      </c>
      <c r="BI725" s="2876">
        <f t="shared" ca="1" si="1295"/>
        <v>0</v>
      </c>
    </row>
    <row r="726" spans="1:61" ht="14.5">
      <c r="A726" s="1693">
        <f t="shared" si="1317"/>
        <v>718</v>
      </c>
      <c r="B726" s="616">
        <v>1</v>
      </c>
      <c r="C726" s="1693">
        <f t="shared" si="1316"/>
        <v>726</v>
      </c>
      <c r="D726" s="616">
        <v>1</v>
      </c>
      <c r="F726" s="69"/>
      <c r="J726" s="352"/>
      <c r="K726" s="353"/>
      <c r="L726" s="68"/>
      <c r="M726" s="68"/>
      <c r="N726" s="69"/>
      <c r="O726" s="69"/>
      <c r="P726" s="740" t="s">
        <v>670</v>
      </c>
      <c r="Q726" s="305"/>
      <c r="R726" s="1779" t="str">
        <f>CHOOSE(2, "6722000003637", "S/GP (3) Gross Profit Indirect NH KM-1/KM-1e KM-1/KM-1e")</f>
        <v>S/GP (3) Gross Profit Indirect NH KM-1/KM-1e KM-1/KM-1e</v>
      </c>
      <c r="S726" s="1254"/>
      <c r="T726" s="1254"/>
      <c r="U726" s="1254"/>
      <c r="V726" s="1254"/>
      <c r="W726" s="1254"/>
      <c r="X726" s="1254"/>
      <c r="Y726" s="1254"/>
      <c r="Z726" s="1254"/>
      <c r="AA726" s="1254"/>
      <c r="AB726" s="1254"/>
      <c r="AC726" s="1254"/>
      <c r="AD726" s="1254"/>
      <c r="AE726" s="903">
        <f>SUM(S726,T726,U726)</f>
        <v>0</v>
      </c>
      <c r="AF726" s="58">
        <f>SUM(V726,W726,X726)</f>
        <v>0</v>
      </c>
      <c r="AG726" s="58">
        <f>SUM(Y726,Z726,AA726)</f>
        <v>0</v>
      </c>
      <c r="AH726" s="58">
        <f>SUM(AB726,AC726,AD726)</f>
        <v>0</v>
      </c>
      <c r="AI726" s="58">
        <f>AE726+AF726</f>
        <v>0</v>
      </c>
      <c r="AJ726" s="58">
        <f>AH726+AG726</f>
        <v>0</v>
      </c>
      <c r="AK726" s="58">
        <f>AI726+AJ726</f>
        <v>0</v>
      </c>
      <c r="AL726" s="69"/>
      <c r="AM726" s="2194">
        <f ca="1">SUM((INDIRECT(AM$2&amp;(ROW())):INDIRECT(AM$3&amp;(ROW()))))</f>
        <v>0</v>
      </c>
      <c r="AN726" s="2194">
        <f ca="1">SUM(INDIRECT(AN$1&amp;AN$2&amp;$C726):INDIRECT(AN$1&amp;AN$3&amp;$C726))</f>
        <v>0</v>
      </c>
      <c r="AO726" s="2912">
        <f t="shared" ca="1" si="1303"/>
        <v>0</v>
      </c>
      <c r="AP726" s="2913">
        <f t="shared" ca="1" si="1286"/>
        <v>0</v>
      </c>
      <c r="AQ726" s="2194">
        <f ca="1">SUM(INDIRECT(AQ$1&amp;AQ$2&amp;$A726):INDIRECT(AQ$1&amp;AQ$3&amp;$A726))</f>
        <v>0</v>
      </c>
      <c r="AR726" s="2912">
        <f t="shared" ca="1" si="1304"/>
        <v>0</v>
      </c>
      <c r="AS726" s="2913">
        <f t="shared" ca="1" si="1287"/>
        <v>0</v>
      </c>
      <c r="AU726" s="2194">
        <f ca="1">SUM((INDIRECT(AU$2&amp;(ROW())):INDIRECT(AU$3&amp;(ROW()))))</f>
        <v>0</v>
      </c>
      <c r="AV726" s="2194">
        <f ca="1">SUM(INDIRECT(AV$1&amp;AV$2&amp;$C726):INDIRECT(AV$1&amp;AV$3&amp;$C726))</f>
        <v>0</v>
      </c>
      <c r="AW726" s="2912">
        <f t="shared" ca="1" si="1288"/>
        <v>0</v>
      </c>
      <c r="AX726" s="2913">
        <f t="shared" ca="1" si="1289"/>
        <v>0</v>
      </c>
      <c r="AY726" s="2194">
        <f ca="1">SUM(INDIRECT(AY$1&amp;AY$2&amp;$A726):INDIRECT(AY$1&amp;AY$3&amp;$A726))</f>
        <v>0</v>
      </c>
      <c r="AZ726" s="2912">
        <f t="shared" ca="1" si="1290"/>
        <v>0</v>
      </c>
      <c r="BA726" s="2913">
        <f t="shared" ca="1" si="1291"/>
        <v>0</v>
      </c>
      <c r="BC726" s="2194">
        <f ca="1">SUM((INDIRECT(BC$2&amp;(ROW())):INDIRECT(BC$3&amp;(ROW()))))</f>
        <v>0</v>
      </c>
      <c r="BD726" s="2194">
        <f ca="1">SUM(INDIRECT(BD$1&amp;BD$2&amp;$C726):INDIRECT(BD$1&amp;BD$3&amp;$C726))</f>
        <v>0</v>
      </c>
      <c r="BE726" s="2912">
        <f t="shared" ca="1" si="1292"/>
        <v>0</v>
      </c>
      <c r="BF726" s="2913">
        <f t="shared" ca="1" si="1293"/>
        <v>0</v>
      </c>
      <c r="BG726" s="2194">
        <f ca="1">SUM(INDIRECT(BG$1&amp;BG$2&amp;$A726):INDIRECT(BG$1&amp;BG$3&amp;$A726))</f>
        <v>0</v>
      </c>
      <c r="BH726" s="2912">
        <f t="shared" ca="1" si="1294"/>
        <v>0</v>
      </c>
      <c r="BI726" s="2913">
        <f t="shared" ca="1" si="1295"/>
        <v>0</v>
      </c>
    </row>
    <row r="727" spans="1:61" s="69" customFormat="1" ht="14.5">
      <c r="A727" s="1693">
        <f t="shared" si="1317"/>
        <v>719</v>
      </c>
      <c r="B727" s="616">
        <v>1</v>
      </c>
      <c r="C727" s="1693">
        <f t="shared" si="1316"/>
        <v>727</v>
      </c>
      <c r="D727" s="616">
        <v>1</v>
      </c>
      <c r="G727" s="9"/>
      <c r="H727" s="9"/>
      <c r="I727" s="22"/>
      <c r="J727" s="352"/>
      <c r="K727" s="353"/>
      <c r="L727" s="68"/>
      <c r="M727" s="68"/>
      <c r="P727" s="306" t="s">
        <v>133</v>
      </c>
      <c r="Q727" s="306"/>
      <c r="R727" s="1782" t="str">
        <f>CHOOSE(2, "6722000003638", "S/GP (3) Gross Profit Indirect NH KM-1/KM-1e FSC (-)")</f>
        <v>S/GP (3) Gross Profit Indirect NH KM-1/KM-1e FSC (-)</v>
      </c>
      <c r="S727" s="1250">
        <f t="shared" ref="S727:AD727" si="1322">SUM(S728:S730)</f>
        <v>0</v>
      </c>
      <c r="T727" s="1250">
        <f t="shared" si="1322"/>
        <v>0</v>
      </c>
      <c r="U727" s="1250">
        <f t="shared" si="1322"/>
        <v>0</v>
      </c>
      <c r="V727" s="1250">
        <f t="shared" si="1322"/>
        <v>0</v>
      </c>
      <c r="W727" s="1250">
        <f t="shared" si="1322"/>
        <v>0</v>
      </c>
      <c r="X727" s="1250">
        <f t="shared" si="1322"/>
        <v>0</v>
      </c>
      <c r="Y727" s="1250">
        <f t="shared" si="1322"/>
        <v>0</v>
      </c>
      <c r="Z727" s="1250">
        <f t="shared" si="1322"/>
        <v>0</v>
      </c>
      <c r="AA727" s="1250">
        <f t="shared" si="1322"/>
        <v>0</v>
      </c>
      <c r="AB727" s="1250">
        <f t="shared" si="1322"/>
        <v>0</v>
      </c>
      <c r="AC727" s="1250">
        <f t="shared" si="1322"/>
        <v>0</v>
      </c>
      <c r="AD727" s="1250">
        <f t="shared" si="1322"/>
        <v>0</v>
      </c>
      <c r="AE727" s="899">
        <f>SUM(S727:U727)</f>
        <v>0</v>
      </c>
      <c r="AF727" s="1250">
        <f>SUM(V727:X727)</f>
        <v>0</v>
      </c>
      <c r="AG727" s="1250">
        <f>SUM(Y727:AA727)</f>
        <v>0</v>
      </c>
      <c r="AH727" s="1250">
        <f>SUM(AB727:AD727)</f>
        <v>0</v>
      </c>
      <c r="AI727" s="1250">
        <f>AE727+AF727</f>
        <v>0</v>
      </c>
      <c r="AJ727" s="1250">
        <f>AH727+AG727</f>
        <v>0</v>
      </c>
      <c r="AK727" s="1250">
        <f>AI727+AJ727</f>
        <v>0</v>
      </c>
      <c r="AM727" s="2145">
        <f ca="1">SUM((INDIRECT(AM$2&amp;(ROW())):INDIRECT(AM$3&amp;(ROW()))))</f>
        <v>0</v>
      </c>
      <c r="AN727" s="2145">
        <f ca="1">SUM(INDIRECT(AN$1&amp;AN$2&amp;$C727):INDIRECT(AN$1&amp;AN$3&amp;$C727))</f>
        <v>0</v>
      </c>
      <c r="AO727" s="2887">
        <f t="shared" ca="1" si="1303"/>
        <v>0</v>
      </c>
      <c r="AP727" s="2888">
        <f t="shared" ca="1" si="1286"/>
        <v>0</v>
      </c>
      <c r="AQ727" s="2145">
        <f ca="1">SUM(INDIRECT(AQ$1&amp;AQ$2&amp;$A727):INDIRECT(AQ$1&amp;AQ$3&amp;$A727))</f>
        <v>0</v>
      </c>
      <c r="AR727" s="2887">
        <f t="shared" ca="1" si="1304"/>
        <v>0</v>
      </c>
      <c r="AS727" s="2888">
        <f t="shared" ca="1" si="1287"/>
        <v>0</v>
      </c>
      <c r="AU727" s="2145">
        <f ca="1">SUM((INDIRECT(AU$2&amp;(ROW())):INDIRECT(AU$3&amp;(ROW()))))</f>
        <v>0</v>
      </c>
      <c r="AV727" s="2145">
        <f ca="1">SUM(INDIRECT(AV$1&amp;AV$2&amp;$C727):INDIRECT(AV$1&amp;AV$3&amp;$C727))</f>
        <v>0</v>
      </c>
      <c r="AW727" s="2887">
        <f t="shared" ca="1" si="1288"/>
        <v>0</v>
      </c>
      <c r="AX727" s="2888">
        <f t="shared" ca="1" si="1289"/>
        <v>0</v>
      </c>
      <c r="AY727" s="2145">
        <f ca="1">SUM(INDIRECT(AY$1&amp;AY$2&amp;$A727):INDIRECT(AY$1&amp;AY$3&amp;$A727))</f>
        <v>0</v>
      </c>
      <c r="AZ727" s="2887">
        <f t="shared" ca="1" si="1290"/>
        <v>0</v>
      </c>
      <c r="BA727" s="2888">
        <f t="shared" ca="1" si="1291"/>
        <v>0</v>
      </c>
      <c r="BC727" s="2145">
        <f ca="1">SUM((INDIRECT(BC$2&amp;(ROW())):INDIRECT(BC$3&amp;(ROW()))))</f>
        <v>0</v>
      </c>
      <c r="BD727" s="2145">
        <f ca="1">SUM(INDIRECT(BD$1&amp;BD$2&amp;$C727):INDIRECT(BD$1&amp;BD$3&amp;$C727))</f>
        <v>0</v>
      </c>
      <c r="BE727" s="2887">
        <f t="shared" ca="1" si="1292"/>
        <v>0</v>
      </c>
      <c r="BF727" s="2888">
        <f t="shared" ca="1" si="1293"/>
        <v>0</v>
      </c>
      <c r="BG727" s="2145">
        <f ca="1">SUM(INDIRECT(BG$1&amp;BG$2&amp;$A727):INDIRECT(BG$1&amp;BG$3&amp;$A727))</f>
        <v>0</v>
      </c>
      <c r="BH727" s="2887">
        <f t="shared" ca="1" si="1294"/>
        <v>0</v>
      </c>
      <c r="BI727" s="2888">
        <f t="shared" ca="1" si="1295"/>
        <v>0</v>
      </c>
    </row>
    <row r="728" spans="1:61" s="69" customFormat="1" ht="14.5">
      <c r="A728" s="1693">
        <f t="shared" si="1317"/>
        <v>720</v>
      </c>
      <c r="B728" s="616">
        <v>1</v>
      </c>
      <c r="C728" s="1693">
        <f t="shared" si="1316"/>
        <v>728</v>
      </c>
      <c r="D728" s="616">
        <v>1</v>
      </c>
      <c r="G728" s="9"/>
      <c r="H728" s="9"/>
      <c r="I728" s="22"/>
      <c r="J728" s="352"/>
      <c r="K728" s="353"/>
      <c r="L728" s="68"/>
      <c r="M728" s="68"/>
      <c r="P728" s="307"/>
      <c r="Q728" s="291" t="s">
        <v>212</v>
      </c>
      <c r="R728" s="1779" t="str">
        <f>CHOOSE(2, "6722000003639", "S/GP (3) Gross Profit Indirect NH KM-1/KM-1e FSC (-) PC")</f>
        <v>S/GP (3) Gross Profit Indirect NH KM-1/KM-1e FSC (-) PC</v>
      </c>
      <c r="S728" s="1227"/>
      <c r="T728" s="1227"/>
      <c r="U728" s="1227"/>
      <c r="V728" s="1227"/>
      <c r="W728" s="1227"/>
      <c r="X728" s="1227"/>
      <c r="Y728" s="1227"/>
      <c r="Z728" s="1227"/>
      <c r="AA728" s="1227"/>
      <c r="AB728" s="1227"/>
      <c r="AC728" s="1227"/>
      <c r="AD728" s="1227"/>
      <c r="AE728" s="896">
        <f>SUM(S728,T728,U728)</f>
        <v>0</v>
      </c>
      <c r="AF728" s="95">
        <f>SUM(V728,W728,X728)</f>
        <v>0</v>
      </c>
      <c r="AG728" s="95">
        <f>SUM(Y728,Z728,AA728)</f>
        <v>0</v>
      </c>
      <c r="AH728" s="95">
        <f>SUM(AB728,AC728,AD728)</f>
        <v>0</v>
      </c>
      <c r="AI728" s="95">
        <f>AE728+AF728</f>
        <v>0</v>
      </c>
      <c r="AJ728" s="95">
        <f>AH728+AG728</f>
        <v>0</v>
      </c>
      <c r="AK728" s="95">
        <f>AI728+AJ728</f>
        <v>0</v>
      </c>
      <c r="AM728" s="2138">
        <f ca="1">SUM((INDIRECT(AM$2&amp;(ROW())):INDIRECT(AM$3&amp;(ROW()))))</f>
        <v>0</v>
      </c>
      <c r="AN728" s="2138">
        <f ca="1">SUM(INDIRECT(AN$1&amp;AN$2&amp;$C728):INDIRECT(AN$1&amp;AN$3&amp;$C728))</f>
        <v>0</v>
      </c>
      <c r="AO728" s="2879">
        <f t="shared" ca="1" si="1303"/>
        <v>0</v>
      </c>
      <c r="AP728" s="2880">
        <f t="shared" ca="1" si="1286"/>
        <v>0</v>
      </c>
      <c r="AQ728" s="2138">
        <f ca="1">SUM(INDIRECT(AQ$1&amp;AQ$2&amp;$A728):INDIRECT(AQ$1&amp;AQ$3&amp;$A728))</f>
        <v>0</v>
      </c>
      <c r="AR728" s="2879">
        <f t="shared" ca="1" si="1304"/>
        <v>0</v>
      </c>
      <c r="AS728" s="2880">
        <f t="shared" ca="1" si="1287"/>
        <v>0</v>
      </c>
      <c r="AU728" s="2138">
        <f ca="1">SUM((INDIRECT(AU$2&amp;(ROW())):INDIRECT(AU$3&amp;(ROW()))))</f>
        <v>0</v>
      </c>
      <c r="AV728" s="2138">
        <f ca="1">SUM(INDIRECT(AV$1&amp;AV$2&amp;$C728):INDIRECT(AV$1&amp;AV$3&amp;$C728))</f>
        <v>0</v>
      </c>
      <c r="AW728" s="2879">
        <f t="shared" ca="1" si="1288"/>
        <v>0</v>
      </c>
      <c r="AX728" s="2880">
        <f t="shared" ca="1" si="1289"/>
        <v>0</v>
      </c>
      <c r="AY728" s="2138">
        <f ca="1">SUM(INDIRECT(AY$1&amp;AY$2&amp;$A728):INDIRECT(AY$1&amp;AY$3&amp;$A728))</f>
        <v>0</v>
      </c>
      <c r="AZ728" s="2879">
        <f t="shared" ca="1" si="1290"/>
        <v>0</v>
      </c>
      <c r="BA728" s="2880">
        <f t="shared" ca="1" si="1291"/>
        <v>0</v>
      </c>
      <c r="BC728" s="2138">
        <f ca="1">SUM((INDIRECT(BC$2&amp;(ROW())):INDIRECT(BC$3&amp;(ROW()))))</f>
        <v>0</v>
      </c>
      <c r="BD728" s="2138">
        <f ca="1">SUM(INDIRECT(BD$1&amp;BD$2&amp;$C728):INDIRECT(BD$1&amp;BD$3&amp;$C728))</f>
        <v>0</v>
      </c>
      <c r="BE728" s="2879">
        <f t="shared" ca="1" si="1292"/>
        <v>0</v>
      </c>
      <c r="BF728" s="2880">
        <f t="shared" ca="1" si="1293"/>
        <v>0</v>
      </c>
      <c r="BG728" s="2138">
        <f ca="1">SUM(INDIRECT(BG$1&amp;BG$2&amp;$A728):INDIRECT(BG$1&amp;BG$3&amp;$A728))</f>
        <v>0</v>
      </c>
      <c r="BH728" s="2879">
        <f t="shared" ca="1" si="1294"/>
        <v>0</v>
      </c>
      <c r="BI728" s="2880">
        <f t="shared" ca="1" si="1295"/>
        <v>0</v>
      </c>
    </row>
    <row r="729" spans="1:61" s="69" customFormat="1" ht="14.5">
      <c r="A729" s="1693">
        <f t="shared" si="1317"/>
        <v>721</v>
      </c>
      <c r="B729" s="616">
        <v>1</v>
      </c>
      <c r="C729" s="1693">
        <f t="shared" si="1316"/>
        <v>729</v>
      </c>
      <c r="D729" s="616">
        <v>1</v>
      </c>
      <c r="G729" s="9"/>
      <c r="H729" s="9"/>
      <c r="I729" s="22"/>
      <c r="J729" s="352"/>
      <c r="K729" s="353"/>
      <c r="L729" s="68"/>
      <c r="M729" s="68"/>
      <c r="P729" s="231"/>
      <c r="Q729" s="229" t="s">
        <v>213</v>
      </c>
      <c r="R729" s="1779" t="str">
        <f>CHOOSE(2, "6722000003640", "S/GP (3) Gross Profit Indirect NH KM-1/KM-1e FSC (-) TE")</f>
        <v>S/GP (3) Gross Profit Indirect NH KM-1/KM-1e FSC (-) TE</v>
      </c>
      <c r="S729" s="1217"/>
      <c r="T729" s="1217"/>
      <c r="U729" s="1217"/>
      <c r="V729" s="1217"/>
      <c r="W729" s="1217"/>
      <c r="X729" s="1217"/>
      <c r="Y729" s="1217"/>
      <c r="Z729" s="1217"/>
      <c r="AA729" s="1217"/>
      <c r="AB729" s="1217"/>
      <c r="AC729" s="1217"/>
      <c r="AD729" s="1217"/>
      <c r="AE729" s="783">
        <f>SUM(S729,T729,U729)</f>
        <v>0</v>
      </c>
      <c r="AF729" s="1226">
        <f>SUM(V729,W729,X729)</f>
        <v>0</v>
      </c>
      <c r="AG729" s="1226">
        <f>SUM(Y729,Z729,AA729)</f>
        <v>0</v>
      </c>
      <c r="AH729" s="1226">
        <f>SUM(AB729,AC729,AD729)</f>
        <v>0</v>
      </c>
      <c r="AI729" s="1226">
        <f>AE729+AF729</f>
        <v>0</v>
      </c>
      <c r="AJ729" s="1226">
        <f>AH729+AG729</f>
        <v>0</v>
      </c>
      <c r="AK729" s="1226">
        <f>AI729+AJ729</f>
        <v>0</v>
      </c>
      <c r="AL729" s="8"/>
      <c r="AM729" s="579">
        <f ca="1">SUM((INDIRECT(AM$2&amp;(ROW())):INDIRECT(AM$3&amp;(ROW()))))</f>
        <v>0</v>
      </c>
      <c r="AN729" s="579">
        <f ca="1">SUM(INDIRECT(AN$1&amp;AN$2&amp;$C729):INDIRECT(AN$1&amp;AN$3&amp;$C729))</f>
        <v>0</v>
      </c>
      <c r="AO729" s="2889">
        <f t="shared" ca="1" si="1303"/>
        <v>0</v>
      </c>
      <c r="AP729" s="2890">
        <f t="shared" ca="1" si="1286"/>
        <v>0</v>
      </c>
      <c r="AQ729" s="579">
        <f ca="1">SUM(INDIRECT(AQ$1&amp;AQ$2&amp;$A729):INDIRECT(AQ$1&amp;AQ$3&amp;$A729))</f>
        <v>0</v>
      </c>
      <c r="AR729" s="2889">
        <f t="shared" ca="1" si="1304"/>
        <v>0</v>
      </c>
      <c r="AS729" s="2890">
        <f t="shared" ca="1" si="1287"/>
        <v>0</v>
      </c>
      <c r="AU729" s="579">
        <f ca="1">SUM((INDIRECT(AU$2&amp;(ROW())):INDIRECT(AU$3&amp;(ROW()))))</f>
        <v>0</v>
      </c>
      <c r="AV729" s="579">
        <f ca="1">SUM(INDIRECT(AV$1&amp;AV$2&amp;$C729):INDIRECT(AV$1&amp;AV$3&amp;$C729))</f>
        <v>0</v>
      </c>
      <c r="AW729" s="2889">
        <f t="shared" ca="1" si="1288"/>
        <v>0</v>
      </c>
      <c r="AX729" s="2890">
        <f t="shared" ca="1" si="1289"/>
        <v>0</v>
      </c>
      <c r="AY729" s="579">
        <f ca="1">SUM(INDIRECT(AY$1&amp;AY$2&amp;$A729):INDIRECT(AY$1&amp;AY$3&amp;$A729))</f>
        <v>0</v>
      </c>
      <c r="AZ729" s="2889">
        <f t="shared" ca="1" si="1290"/>
        <v>0</v>
      </c>
      <c r="BA729" s="2890">
        <f t="shared" ca="1" si="1291"/>
        <v>0</v>
      </c>
      <c r="BC729" s="579">
        <f ca="1">SUM((INDIRECT(BC$2&amp;(ROW())):INDIRECT(BC$3&amp;(ROW()))))</f>
        <v>0</v>
      </c>
      <c r="BD729" s="579">
        <f ca="1">SUM(INDIRECT(BD$1&amp;BD$2&amp;$C729):INDIRECT(BD$1&amp;BD$3&amp;$C729))</f>
        <v>0</v>
      </c>
      <c r="BE729" s="2889">
        <f t="shared" ca="1" si="1292"/>
        <v>0</v>
      </c>
      <c r="BF729" s="2890">
        <f t="shared" ca="1" si="1293"/>
        <v>0</v>
      </c>
      <c r="BG729" s="579">
        <f ca="1">SUM(INDIRECT(BG$1&amp;BG$2&amp;$A729):INDIRECT(BG$1&amp;BG$3&amp;$A729))</f>
        <v>0</v>
      </c>
      <c r="BH729" s="2889">
        <f t="shared" ca="1" si="1294"/>
        <v>0</v>
      </c>
      <c r="BI729" s="2890">
        <f t="shared" ca="1" si="1295"/>
        <v>0</v>
      </c>
    </row>
    <row r="730" spans="1:61" s="69" customFormat="1" ht="14.5">
      <c r="A730" s="1693">
        <f t="shared" si="1317"/>
        <v>722</v>
      </c>
      <c r="B730" s="616">
        <v>1</v>
      </c>
      <c r="C730" s="1693">
        <f t="shared" si="1316"/>
        <v>730</v>
      </c>
      <c r="D730" s="616">
        <v>1</v>
      </c>
      <c r="G730" s="9"/>
      <c r="H730" s="9"/>
      <c r="I730" s="22"/>
      <c r="J730" s="352"/>
      <c r="K730" s="353"/>
      <c r="L730" s="68"/>
      <c r="M730" s="68"/>
      <c r="O730" s="211"/>
      <c r="P730" s="232"/>
      <c r="Q730" s="228" t="s">
        <v>218</v>
      </c>
      <c r="R730" s="1779" t="str">
        <f>CHOOSE(2, "6722000003641", "S/GP (3) Gross Profit Indirect NH KM-1/KM-1e FSC (-) OFC")</f>
        <v>S/GP (3) Gross Profit Indirect NH KM-1/KM-1e FSC (-) OFC</v>
      </c>
      <c r="S730" s="1218"/>
      <c r="T730" s="1218"/>
      <c r="U730" s="1218"/>
      <c r="V730" s="1218"/>
      <c r="W730" s="1218"/>
      <c r="X730" s="1218"/>
      <c r="Y730" s="1218"/>
      <c r="Z730" s="1218"/>
      <c r="AA730" s="1218"/>
      <c r="AB730" s="1218"/>
      <c r="AC730" s="1218"/>
      <c r="AD730" s="1218"/>
      <c r="AE730" s="783">
        <f>SUM(S730,T730,U730)</f>
        <v>0</v>
      </c>
      <c r="AF730" s="1226">
        <f>SUM(V730,W730,X730)</f>
        <v>0</v>
      </c>
      <c r="AG730" s="1226">
        <f>SUM(Y730,Z730,AA730)</f>
        <v>0</v>
      </c>
      <c r="AH730" s="1226">
        <f>SUM(AB730,AC730,AD730)</f>
        <v>0</v>
      </c>
      <c r="AI730" s="1226">
        <f>AE730+AF730</f>
        <v>0</v>
      </c>
      <c r="AJ730" s="1226">
        <f>AH730+AG730</f>
        <v>0</v>
      </c>
      <c r="AK730" s="1226">
        <f>AI730+AJ730</f>
        <v>0</v>
      </c>
      <c r="AL730" s="8"/>
      <c r="AM730" s="579">
        <f ca="1">SUM((INDIRECT(AM$2&amp;(ROW())):INDIRECT(AM$3&amp;(ROW()))))</f>
        <v>0</v>
      </c>
      <c r="AN730" s="579">
        <f ca="1">SUM(INDIRECT(AN$1&amp;AN$2&amp;$C730):INDIRECT(AN$1&amp;AN$3&amp;$C730))</f>
        <v>0</v>
      </c>
      <c r="AO730" s="2889">
        <f t="shared" ca="1" si="1303"/>
        <v>0</v>
      </c>
      <c r="AP730" s="2890">
        <f t="shared" ca="1" si="1286"/>
        <v>0</v>
      </c>
      <c r="AQ730" s="579">
        <f ca="1">SUM(INDIRECT(AQ$1&amp;AQ$2&amp;$A730):INDIRECT(AQ$1&amp;AQ$3&amp;$A730))</f>
        <v>0</v>
      </c>
      <c r="AR730" s="2889">
        <f t="shared" ca="1" si="1304"/>
        <v>0</v>
      </c>
      <c r="AS730" s="2890">
        <f t="shared" ca="1" si="1287"/>
        <v>0</v>
      </c>
      <c r="AU730" s="579">
        <f ca="1">SUM((INDIRECT(AU$2&amp;(ROW())):INDIRECT(AU$3&amp;(ROW()))))</f>
        <v>0</v>
      </c>
      <c r="AV730" s="579">
        <f ca="1">SUM(INDIRECT(AV$1&amp;AV$2&amp;$C730):INDIRECT(AV$1&amp;AV$3&amp;$C730))</f>
        <v>0</v>
      </c>
      <c r="AW730" s="2889">
        <f t="shared" ca="1" si="1288"/>
        <v>0</v>
      </c>
      <c r="AX730" s="2890">
        <f t="shared" ca="1" si="1289"/>
        <v>0</v>
      </c>
      <c r="AY730" s="579">
        <f ca="1">SUM(INDIRECT(AY$1&amp;AY$2&amp;$A730):INDIRECT(AY$1&amp;AY$3&amp;$A730))</f>
        <v>0</v>
      </c>
      <c r="AZ730" s="2889">
        <f t="shared" ca="1" si="1290"/>
        <v>0</v>
      </c>
      <c r="BA730" s="2890">
        <f t="shared" ca="1" si="1291"/>
        <v>0</v>
      </c>
      <c r="BC730" s="579">
        <f ca="1">SUM((INDIRECT(BC$2&amp;(ROW())):INDIRECT(BC$3&amp;(ROW()))))</f>
        <v>0</v>
      </c>
      <c r="BD730" s="579">
        <f ca="1">SUM(INDIRECT(BD$1&amp;BD$2&amp;$C730):INDIRECT(BD$1&amp;BD$3&amp;$C730))</f>
        <v>0</v>
      </c>
      <c r="BE730" s="2889">
        <f t="shared" ca="1" si="1292"/>
        <v>0</v>
      </c>
      <c r="BF730" s="2890">
        <f t="shared" ca="1" si="1293"/>
        <v>0</v>
      </c>
      <c r="BG730" s="579">
        <f ca="1">SUM(INDIRECT(BG$1&amp;BG$2&amp;$A730):INDIRECT(BG$1&amp;BG$3&amp;$A730))</f>
        <v>0</v>
      </c>
      <c r="BH730" s="2889">
        <f t="shared" ca="1" si="1294"/>
        <v>0</v>
      </c>
      <c r="BI730" s="2890">
        <f t="shared" ca="1" si="1295"/>
        <v>0</v>
      </c>
    </row>
    <row r="731" spans="1:61" ht="14.5">
      <c r="A731" s="1693">
        <f t="shared" si="1317"/>
        <v>723</v>
      </c>
      <c r="B731" s="616">
        <v>1</v>
      </c>
      <c r="C731" s="1693">
        <f t="shared" si="1316"/>
        <v>731</v>
      </c>
      <c r="D731" s="616">
        <v>1</v>
      </c>
      <c r="F731" s="69"/>
      <c r="J731" s="352"/>
      <c r="K731" s="353"/>
      <c r="L731" s="68"/>
      <c r="M731" s="68"/>
      <c r="N731" s="69"/>
      <c r="O731" s="69" t="s">
        <v>117</v>
      </c>
      <c r="P731" s="302"/>
      <c r="Q731" s="302"/>
      <c r="R731" s="1777" t="str">
        <f>CHOOSE(2, "6722000003642", "S/GP (3) Gross Profit Indirect NH Label Printer")</f>
        <v>S/GP (3) Gross Profit Indirect NH Label Printer</v>
      </c>
      <c r="S731" s="1250">
        <f t="shared" ref="S731:AD731" si="1323">S732+S733</f>
        <v>0</v>
      </c>
      <c r="T731" s="1250">
        <f t="shared" si="1323"/>
        <v>0</v>
      </c>
      <c r="U731" s="1250">
        <f t="shared" si="1323"/>
        <v>0</v>
      </c>
      <c r="V731" s="1250">
        <f t="shared" si="1323"/>
        <v>0</v>
      </c>
      <c r="W731" s="1250">
        <f t="shared" si="1323"/>
        <v>0</v>
      </c>
      <c r="X731" s="1250">
        <f t="shared" si="1323"/>
        <v>0</v>
      </c>
      <c r="Y731" s="1250">
        <f t="shared" si="1323"/>
        <v>0</v>
      </c>
      <c r="Z731" s="1250">
        <f t="shared" si="1323"/>
        <v>0</v>
      </c>
      <c r="AA731" s="1250">
        <f t="shared" si="1323"/>
        <v>0</v>
      </c>
      <c r="AB731" s="1250">
        <f t="shared" si="1323"/>
        <v>0</v>
      </c>
      <c r="AC731" s="1250">
        <f t="shared" si="1323"/>
        <v>0</v>
      </c>
      <c r="AD731" s="1250">
        <f t="shared" si="1323"/>
        <v>0</v>
      </c>
      <c r="AE731" s="899">
        <f t="shared" ref="AE731:AK731" si="1324">AE732+AE733</f>
        <v>0</v>
      </c>
      <c r="AF731" s="1250">
        <f t="shared" si="1324"/>
        <v>0</v>
      </c>
      <c r="AG731" s="1250">
        <f t="shared" si="1324"/>
        <v>0</v>
      </c>
      <c r="AH731" s="1250">
        <f t="shared" si="1324"/>
        <v>0</v>
      </c>
      <c r="AI731" s="1250">
        <f t="shared" si="1324"/>
        <v>0</v>
      </c>
      <c r="AJ731" s="1250">
        <f t="shared" si="1324"/>
        <v>0</v>
      </c>
      <c r="AK731" s="1250">
        <f t="shared" si="1324"/>
        <v>0</v>
      </c>
      <c r="AL731" s="69"/>
      <c r="AM731" s="2194">
        <f ca="1">SUM((INDIRECT(AM$2&amp;(ROW())):INDIRECT(AM$3&amp;(ROW()))))</f>
        <v>0</v>
      </c>
      <c r="AN731" s="2194">
        <f ca="1">SUM(INDIRECT(AN$1&amp;AN$2&amp;$C731):INDIRECT(AN$1&amp;AN$3&amp;$C731))</f>
        <v>0</v>
      </c>
      <c r="AO731" s="2912">
        <f t="shared" ca="1" si="1303"/>
        <v>0</v>
      </c>
      <c r="AP731" s="2913">
        <f t="shared" ca="1" si="1286"/>
        <v>0</v>
      </c>
      <c r="AQ731" s="2194">
        <f ca="1">SUM(INDIRECT(AQ$1&amp;AQ$2&amp;$A731):INDIRECT(AQ$1&amp;AQ$3&amp;$A731))</f>
        <v>0</v>
      </c>
      <c r="AR731" s="2912">
        <f t="shared" ca="1" si="1304"/>
        <v>0</v>
      </c>
      <c r="AS731" s="2913">
        <f t="shared" ca="1" si="1287"/>
        <v>0</v>
      </c>
      <c r="AU731" s="2194">
        <f ca="1">SUM((INDIRECT(AU$2&amp;(ROW())):INDIRECT(AU$3&amp;(ROW()))))</f>
        <v>0</v>
      </c>
      <c r="AV731" s="2194">
        <f ca="1">SUM(INDIRECT(AV$1&amp;AV$2&amp;$C731):INDIRECT(AV$1&amp;AV$3&amp;$C731))</f>
        <v>0</v>
      </c>
      <c r="AW731" s="2912">
        <f t="shared" ca="1" si="1288"/>
        <v>0</v>
      </c>
      <c r="AX731" s="2913">
        <f t="shared" ca="1" si="1289"/>
        <v>0</v>
      </c>
      <c r="AY731" s="2194">
        <f ca="1">SUM(INDIRECT(AY$1&amp;AY$2&amp;$A731):INDIRECT(AY$1&amp;AY$3&amp;$A731))</f>
        <v>0</v>
      </c>
      <c r="AZ731" s="2912">
        <f t="shared" ca="1" si="1290"/>
        <v>0</v>
      </c>
      <c r="BA731" s="2913">
        <f t="shared" ca="1" si="1291"/>
        <v>0</v>
      </c>
      <c r="BC731" s="2194">
        <f ca="1">SUM((INDIRECT(BC$2&amp;(ROW())):INDIRECT(BC$3&amp;(ROW()))))</f>
        <v>0</v>
      </c>
      <c r="BD731" s="2194">
        <f ca="1">SUM(INDIRECT(BD$1&amp;BD$2&amp;$C731):INDIRECT(BD$1&amp;BD$3&amp;$C731))</f>
        <v>0</v>
      </c>
      <c r="BE731" s="2912">
        <f t="shared" ca="1" si="1292"/>
        <v>0</v>
      </c>
      <c r="BF731" s="2913">
        <f t="shared" ca="1" si="1293"/>
        <v>0</v>
      </c>
      <c r="BG731" s="2194">
        <f ca="1">SUM(INDIRECT(BG$1&amp;BG$2&amp;$A731):INDIRECT(BG$1&amp;BG$3&amp;$A731))</f>
        <v>0</v>
      </c>
      <c r="BH731" s="2912">
        <f t="shared" ca="1" si="1294"/>
        <v>0</v>
      </c>
      <c r="BI731" s="2913">
        <f t="shared" ca="1" si="1295"/>
        <v>0</v>
      </c>
    </row>
    <row r="732" spans="1:61" ht="14.5">
      <c r="A732" s="1693">
        <f t="shared" si="1317"/>
        <v>724</v>
      </c>
      <c r="B732" s="616">
        <v>1</v>
      </c>
      <c r="C732" s="1693">
        <f t="shared" si="1316"/>
        <v>732</v>
      </c>
      <c r="D732" s="616">
        <v>1</v>
      </c>
      <c r="F732" s="69"/>
      <c r="J732" s="352"/>
      <c r="K732" s="353"/>
      <c r="L732" s="68"/>
      <c r="M732" s="68"/>
      <c r="N732" s="69"/>
      <c r="O732" s="69"/>
      <c r="P732" s="305" t="s">
        <v>217</v>
      </c>
      <c r="Q732" s="305"/>
      <c r="R732" s="1779" t="str">
        <f>CHOOSE(2, "6722000003643", "S/GP (3) Gross Profit Indirect NH Label Printer LP")</f>
        <v>S/GP (3) Gross Profit Indirect NH Label Printer LP</v>
      </c>
      <c r="S732" s="1254"/>
      <c r="T732" s="1254"/>
      <c r="U732" s="1254"/>
      <c r="V732" s="1254"/>
      <c r="W732" s="1254"/>
      <c r="X732" s="1254"/>
      <c r="Y732" s="1254"/>
      <c r="Z732" s="1254"/>
      <c r="AA732" s="1254"/>
      <c r="AB732" s="1254"/>
      <c r="AC732" s="1254"/>
      <c r="AD732" s="1254"/>
      <c r="AE732" s="903">
        <f>SUM(S732,T732,U732)</f>
        <v>0</v>
      </c>
      <c r="AF732" s="58">
        <f>SUM(V732,W732,X732)</f>
        <v>0</v>
      </c>
      <c r="AG732" s="58">
        <f>SUM(Y732,Z732,AA732)</f>
        <v>0</v>
      </c>
      <c r="AH732" s="58">
        <f>SUM(AB732,AC732,AD732)</f>
        <v>0</v>
      </c>
      <c r="AI732" s="58">
        <f>AE732+AF732</f>
        <v>0</v>
      </c>
      <c r="AJ732" s="58">
        <f>AH732+AG732</f>
        <v>0</v>
      </c>
      <c r="AK732" s="58">
        <f>AI732+AJ732</f>
        <v>0</v>
      </c>
      <c r="AL732" s="69"/>
      <c r="AM732" s="2194">
        <f ca="1">SUM((INDIRECT(AM$2&amp;(ROW())):INDIRECT(AM$3&amp;(ROW()))))</f>
        <v>0</v>
      </c>
      <c r="AN732" s="2194">
        <f ca="1">SUM(INDIRECT(AN$1&amp;AN$2&amp;$C732):INDIRECT(AN$1&amp;AN$3&amp;$C732))</f>
        <v>0</v>
      </c>
      <c r="AO732" s="2912">
        <f t="shared" ca="1" si="1303"/>
        <v>0</v>
      </c>
      <c r="AP732" s="2913">
        <f t="shared" ca="1" si="1286"/>
        <v>0</v>
      </c>
      <c r="AQ732" s="2194">
        <f ca="1">SUM(INDIRECT(AQ$1&amp;AQ$2&amp;$A732):INDIRECT(AQ$1&amp;AQ$3&amp;$A732))</f>
        <v>0</v>
      </c>
      <c r="AR732" s="2912">
        <f t="shared" ca="1" si="1304"/>
        <v>0</v>
      </c>
      <c r="AS732" s="2913">
        <f t="shared" ca="1" si="1287"/>
        <v>0</v>
      </c>
      <c r="AU732" s="2194">
        <f ca="1">SUM((INDIRECT(AU$2&amp;(ROW())):INDIRECT(AU$3&amp;(ROW()))))</f>
        <v>0</v>
      </c>
      <c r="AV732" s="2194">
        <f ca="1">SUM(INDIRECT(AV$1&amp;AV$2&amp;$C732):INDIRECT(AV$1&amp;AV$3&amp;$C732))</f>
        <v>0</v>
      </c>
      <c r="AW732" s="2912">
        <f t="shared" ca="1" si="1288"/>
        <v>0</v>
      </c>
      <c r="AX732" s="2913">
        <f t="shared" ca="1" si="1289"/>
        <v>0</v>
      </c>
      <c r="AY732" s="2194">
        <f ca="1">SUM(INDIRECT(AY$1&amp;AY$2&amp;$A732):INDIRECT(AY$1&amp;AY$3&amp;$A732))</f>
        <v>0</v>
      </c>
      <c r="AZ732" s="2912">
        <f t="shared" ca="1" si="1290"/>
        <v>0</v>
      </c>
      <c r="BA732" s="2913">
        <f t="shared" ca="1" si="1291"/>
        <v>0</v>
      </c>
      <c r="BC732" s="2194">
        <f ca="1">SUM((INDIRECT(BC$2&amp;(ROW())):INDIRECT(BC$3&amp;(ROW()))))</f>
        <v>0</v>
      </c>
      <c r="BD732" s="2194">
        <f ca="1">SUM(INDIRECT(BD$1&amp;BD$2&amp;$C732):INDIRECT(BD$1&amp;BD$3&amp;$C732))</f>
        <v>0</v>
      </c>
      <c r="BE732" s="2912">
        <f t="shared" ca="1" si="1292"/>
        <v>0</v>
      </c>
      <c r="BF732" s="2913">
        <f t="shared" ca="1" si="1293"/>
        <v>0</v>
      </c>
      <c r="BG732" s="2194">
        <f ca="1">SUM(INDIRECT(BG$1&amp;BG$2&amp;$A732):INDIRECT(BG$1&amp;BG$3&amp;$A732))</f>
        <v>0</v>
      </c>
      <c r="BH732" s="2912">
        <f t="shared" ca="1" si="1294"/>
        <v>0</v>
      </c>
      <c r="BI732" s="2913">
        <f t="shared" ca="1" si="1295"/>
        <v>0</v>
      </c>
    </row>
    <row r="733" spans="1:61" s="69" customFormat="1" ht="14.5">
      <c r="A733" s="1693">
        <f t="shared" si="1317"/>
        <v>725</v>
      </c>
      <c r="B733" s="616">
        <v>1</v>
      </c>
      <c r="C733" s="1693">
        <f t="shared" si="1316"/>
        <v>733</v>
      </c>
      <c r="D733" s="616">
        <v>1</v>
      </c>
      <c r="G733" s="9"/>
      <c r="H733" s="9"/>
      <c r="I733" s="22"/>
      <c r="J733" s="352"/>
      <c r="K733" s="353"/>
      <c r="L733" s="68"/>
      <c r="M733" s="68"/>
      <c r="P733" s="306" t="s">
        <v>133</v>
      </c>
      <c r="Q733" s="306"/>
      <c r="R733" s="1782" t="str">
        <f>CHOOSE(2, "6722000003644", "S/GP (3) Gross Profit Indirect NH Label Printer FSC (-)")</f>
        <v>S/GP (3) Gross Profit Indirect NH Label Printer FSC (-)</v>
      </c>
      <c r="S733" s="1250">
        <f t="shared" ref="S733:AD733" si="1325">SUM(S734:S736)</f>
        <v>0</v>
      </c>
      <c r="T733" s="1250">
        <f t="shared" si="1325"/>
        <v>0</v>
      </c>
      <c r="U733" s="1250">
        <f t="shared" si="1325"/>
        <v>0</v>
      </c>
      <c r="V733" s="1250">
        <f t="shared" si="1325"/>
        <v>0</v>
      </c>
      <c r="W733" s="1250">
        <f t="shared" si="1325"/>
        <v>0</v>
      </c>
      <c r="X733" s="1250">
        <f t="shared" si="1325"/>
        <v>0</v>
      </c>
      <c r="Y733" s="1250">
        <f t="shared" si="1325"/>
        <v>0</v>
      </c>
      <c r="Z733" s="1250">
        <f t="shared" si="1325"/>
        <v>0</v>
      </c>
      <c r="AA733" s="1250">
        <f t="shared" si="1325"/>
        <v>0</v>
      </c>
      <c r="AB733" s="1250">
        <f t="shared" si="1325"/>
        <v>0</v>
      </c>
      <c r="AC733" s="1250">
        <f t="shared" si="1325"/>
        <v>0</v>
      </c>
      <c r="AD733" s="1250">
        <f t="shared" si="1325"/>
        <v>0</v>
      </c>
      <c r="AE733" s="899">
        <f>SUM(S733:U733)</f>
        <v>0</v>
      </c>
      <c r="AF733" s="1250">
        <f>SUM(V733:X733)</f>
        <v>0</v>
      </c>
      <c r="AG733" s="1250">
        <f>SUM(Y733:AA733)</f>
        <v>0</v>
      </c>
      <c r="AH733" s="1250">
        <f>SUM(AB733:AD733)</f>
        <v>0</v>
      </c>
      <c r="AI733" s="1250">
        <f>AE733+AF733</f>
        <v>0</v>
      </c>
      <c r="AJ733" s="1250">
        <f>AH733+AG733</f>
        <v>0</v>
      </c>
      <c r="AK733" s="1250">
        <f>AI733+AJ733</f>
        <v>0</v>
      </c>
      <c r="AM733" s="2145">
        <f ca="1">SUM((INDIRECT(AM$2&amp;(ROW())):INDIRECT(AM$3&amp;(ROW()))))</f>
        <v>0</v>
      </c>
      <c r="AN733" s="2145">
        <f ca="1">SUM(INDIRECT(AN$1&amp;AN$2&amp;$C733):INDIRECT(AN$1&amp;AN$3&amp;$C733))</f>
        <v>0</v>
      </c>
      <c r="AO733" s="2887">
        <f t="shared" ca="1" si="1303"/>
        <v>0</v>
      </c>
      <c r="AP733" s="2888">
        <f t="shared" ca="1" si="1286"/>
        <v>0</v>
      </c>
      <c r="AQ733" s="2145">
        <f ca="1">SUM(INDIRECT(AQ$1&amp;AQ$2&amp;$A733):INDIRECT(AQ$1&amp;AQ$3&amp;$A733))</f>
        <v>0</v>
      </c>
      <c r="AR733" s="2887">
        <f t="shared" ca="1" si="1304"/>
        <v>0</v>
      </c>
      <c r="AS733" s="2888">
        <f t="shared" ca="1" si="1287"/>
        <v>0</v>
      </c>
      <c r="AU733" s="2145">
        <f ca="1">SUM((INDIRECT(AU$2&amp;(ROW())):INDIRECT(AU$3&amp;(ROW()))))</f>
        <v>0</v>
      </c>
      <c r="AV733" s="2145">
        <f ca="1">SUM(INDIRECT(AV$1&amp;AV$2&amp;$C733):INDIRECT(AV$1&amp;AV$3&amp;$C733))</f>
        <v>0</v>
      </c>
      <c r="AW733" s="2887">
        <f t="shared" ca="1" si="1288"/>
        <v>0</v>
      </c>
      <c r="AX733" s="2888">
        <f t="shared" ca="1" si="1289"/>
        <v>0</v>
      </c>
      <c r="AY733" s="2145">
        <f ca="1">SUM(INDIRECT(AY$1&amp;AY$2&amp;$A733):INDIRECT(AY$1&amp;AY$3&amp;$A733))</f>
        <v>0</v>
      </c>
      <c r="AZ733" s="2887">
        <f t="shared" ca="1" si="1290"/>
        <v>0</v>
      </c>
      <c r="BA733" s="2888">
        <f t="shared" ca="1" si="1291"/>
        <v>0</v>
      </c>
      <c r="BC733" s="2145">
        <f ca="1">SUM((INDIRECT(BC$2&amp;(ROW())):INDIRECT(BC$3&amp;(ROW()))))</f>
        <v>0</v>
      </c>
      <c r="BD733" s="2145">
        <f ca="1">SUM(INDIRECT(BD$1&amp;BD$2&amp;$C733):INDIRECT(BD$1&amp;BD$3&amp;$C733))</f>
        <v>0</v>
      </c>
      <c r="BE733" s="2887">
        <f t="shared" ca="1" si="1292"/>
        <v>0</v>
      </c>
      <c r="BF733" s="2888">
        <f t="shared" ca="1" si="1293"/>
        <v>0</v>
      </c>
      <c r="BG733" s="2145">
        <f ca="1">SUM(INDIRECT(BG$1&amp;BG$2&amp;$A733):INDIRECT(BG$1&amp;BG$3&amp;$A733))</f>
        <v>0</v>
      </c>
      <c r="BH733" s="2887">
        <f t="shared" ca="1" si="1294"/>
        <v>0</v>
      </c>
      <c r="BI733" s="2888">
        <f t="shared" ca="1" si="1295"/>
        <v>0</v>
      </c>
    </row>
    <row r="734" spans="1:61" s="69" customFormat="1" ht="14.5">
      <c r="A734" s="1693">
        <f t="shared" si="1317"/>
        <v>726</v>
      </c>
      <c r="B734" s="616">
        <v>1</v>
      </c>
      <c r="C734" s="1693">
        <f t="shared" si="1316"/>
        <v>734</v>
      </c>
      <c r="D734" s="616">
        <v>1</v>
      </c>
      <c r="G734" s="9"/>
      <c r="H734" s="9"/>
      <c r="I734" s="22"/>
      <c r="J734" s="352"/>
      <c r="K734" s="353"/>
      <c r="L734" s="68"/>
      <c r="M734" s="68"/>
      <c r="P734" s="307"/>
      <c r="Q734" s="291" t="s">
        <v>212</v>
      </c>
      <c r="R734" s="1779" t="str">
        <f>CHOOSE(2, "6722000003645", "S/GP (3) Gross Profit Indirect NH Label Printer FSC (-) PC")</f>
        <v>S/GP (3) Gross Profit Indirect NH Label Printer FSC (-) PC</v>
      </c>
      <c r="S734" s="1227"/>
      <c r="T734" s="1227"/>
      <c r="U734" s="1227"/>
      <c r="V734" s="1227"/>
      <c r="W734" s="1227"/>
      <c r="X734" s="1227"/>
      <c r="Y734" s="1227"/>
      <c r="Z734" s="1227"/>
      <c r="AA734" s="1227"/>
      <c r="AB734" s="1227"/>
      <c r="AC734" s="1227"/>
      <c r="AD734" s="1227"/>
      <c r="AE734" s="896">
        <f>SUM(S734,T734,U734)</f>
        <v>0</v>
      </c>
      <c r="AF734" s="95">
        <f>SUM(V734,W734,X734)</f>
        <v>0</v>
      </c>
      <c r="AG734" s="95">
        <f>SUM(Y734,Z734,AA734)</f>
        <v>0</v>
      </c>
      <c r="AH734" s="95">
        <f>SUM(AB734,AC734,AD734)</f>
        <v>0</v>
      </c>
      <c r="AI734" s="95">
        <f>AE734+AF734</f>
        <v>0</v>
      </c>
      <c r="AJ734" s="95">
        <f>AH734+AG734</f>
        <v>0</v>
      </c>
      <c r="AK734" s="95">
        <f>AI734+AJ734</f>
        <v>0</v>
      </c>
      <c r="AM734" s="2138">
        <f ca="1">SUM((INDIRECT(AM$2&amp;(ROW())):INDIRECT(AM$3&amp;(ROW()))))</f>
        <v>0</v>
      </c>
      <c r="AN734" s="2138">
        <f ca="1">SUM(INDIRECT(AN$1&amp;AN$2&amp;$C734):INDIRECT(AN$1&amp;AN$3&amp;$C734))</f>
        <v>0</v>
      </c>
      <c r="AO734" s="2879">
        <f t="shared" ca="1" si="1303"/>
        <v>0</v>
      </c>
      <c r="AP734" s="2880">
        <f t="shared" ca="1" si="1286"/>
        <v>0</v>
      </c>
      <c r="AQ734" s="2138">
        <f ca="1">SUM(INDIRECT(AQ$1&amp;AQ$2&amp;$A734):INDIRECT(AQ$1&amp;AQ$3&amp;$A734))</f>
        <v>0</v>
      </c>
      <c r="AR734" s="2879">
        <f t="shared" ca="1" si="1304"/>
        <v>0</v>
      </c>
      <c r="AS734" s="2880">
        <f t="shared" ca="1" si="1287"/>
        <v>0</v>
      </c>
      <c r="AU734" s="2138">
        <f ca="1">SUM((INDIRECT(AU$2&amp;(ROW())):INDIRECT(AU$3&amp;(ROW()))))</f>
        <v>0</v>
      </c>
      <c r="AV734" s="2138">
        <f ca="1">SUM(INDIRECT(AV$1&amp;AV$2&amp;$C734):INDIRECT(AV$1&amp;AV$3&amp;$C734))</f>
        <v>0</v>
      </c>
      <c r="AW734" s="2879">
        <f t="shared" ca="1" si="1288"/>
        <v>0</v>
      </c>
      <c r="AX734" s="2880">
        <f t="shared" ca="1" si="1289"/>
        <v>0</v>
      </c>
      <c r="AY734" s="2138">
        <f ca="1">SUM(INDIRECT(AY$1&amp;AY$2&amp;$A734):INDIRECT(AY$1&amp;AY$3&amp;$A734))</f>
        <v>0</v>
      </c>
      <c r="AZ734" s="2879">
        <f t="shared" ca="1" si="1290"/>
        <v>0</v>
      </c>
      <c r="BA734" s="2880">
        <f t="shared" ca="1" si="1291"/>
        <v>0</v>
      </c>
      <c r="BC734" s="2138">
        <f ca="1">SUM((INDIRECT(BC$2&amp;(ROW())):INDIRECT(BC$3&amp;(ROW()))))</f>
        <v>0</v>
      </c>
      <c r="BD734" s="2138">
        <f ca="1">SUM(INDIRECT(BD$1&amp;BD$2&amp;$C734):INDIRECT(BD$1&amp;BD$3&amp;$C734))</f>
        <v>0</v>
      </c>
      <c r="BE734" s="2879">
        <f t="shared" ca="1" si="1292"/>
        <v>0</v>
      </c>
      <c r="BF734" s="2880">
        <f t="shared" ca="1" si="1293"/>
        <v>0</v>
      </c>
      <c r="BG734" s="2138">
        <f ca="1">SUM(INDIRECT(BG$1&amp;BG$2&amp;$A734):INDIRECT(BG$1&amp;BG$3&amp;$A734))</f>
        <v>0</v>
      </c>
      <c r="BH734" s="2879">
        <f t="shared" ca="1" si="1294"/>
        <v>0</v>
      </c>
      <c r="BI734" s="2880">
        <f t="shared" ca="1" si="1295"/>
        <v>0</v>
      </c>
    </row>
    <row r="735" spans="1:61" s="69" customFormat="1" ht="14.5">
      <c r="A735" s="1693">
        <f t="shared" si="1317"/>
        <v>727</v>
      </c>
      <c r="B735" s="616">
        <v>1</v>
      </c>
      <c r="C735" s="1693">
        <f t="shared" si="1316"/>
        <v>735</v>
      </c>
      <c r="D735" s="616">
        <v>1</v>
      </c>
      <c r="G735" s="9"/>
      <c r="H735" s="9"/>
      <c r="I735" s="22"/>
      <c r="J735" s="352"/>
      <c r="K735" s="353"/>
      <c r="L735" s="68"/>
      <c r="M735" s="68"/>
      <c r="P735" s="231"/>
      <c r="Q735" s="229" t="s">
        <v>213</v>
      </c>
      <c r="R735" s="1779" t="str">
        <f>CHOOSE(2, "6722000003646", "S/GP (3) Gross Profit Indirect NH Label Printer FSC (-) TE")</f>
        <v>S/GP (3) Gross Profit Indirect NH Label Printer FSC (-) TE</v>
      </c>
      <c r="S735" s="1217"/>
      <c r="T735" s="1217"/>
      <c r="U735" s="1217"/>
      <c r="V735" s="1217"/>
      <c r="W735" s="1217"/>
      <c r="X735" s="1217"/>
      <c r="Y735" s="1217"/>
      <c r="Z735" s="1217"/>
      <c r="AA735" s="1217"/>
      <c r="AB735" s="1217"/>
      <c r="AC735" s="1217"/>
      <c r="AD735" s="1217"/>
      <c r="AE735" s="783">
        <f>SUM(S735,T735,U735)</f>
        <v>0</v>
      </c>
      <c r="AF735" s="1226">
        <f>SUM(V735,W735,X735)</f>
        <v>0</v>
      </c>
      <c r="AG735" s="1226">
        <f>SUM(Y735,Z735,AA735)</f>
        <v>0</v>
      </c>
      <c r="AH735" s="1226">
        <f>SUM(AB735,AC735,AD735)</f>
        <v>0</v>
      </c>
      <c r="AI735" s="1226">
        <f>AE735+AF735</f>
        <v>0</v>
      </c>
      <c r="AJ735" s="1226">
        <f>AH735+AG735</f>
        <v>0</v>
      </c>
      <c r="AK735" s="1226">
        <f>AI735+AJ735</f>
        <v>0</v>
      </c>
      <c r="AL735" s="8"/>
      <c r="AM735" s="579">
        <f ca="1">SUM((INDIRECT(AM$2&amp;(ROW())):INDIRECT(AM$3&amp;(ROW()))))</f>
        <v>0</v>
      </c>
      <c r="AN735" s="579">
        <f ca="1">SUM(INDIRECT(AN$1&amp;AN$2&amp;$C735):INDIRECT(AN$1&amp;AN$3&amp;$C735))</f>
        <v>0</v>
      </c>
      <c r="AO735" s="2889">
        <f t="shared" ca="1" si="1303"/>
        <v>0</v>
      </c>
      <c r="AP735" s="2890">
        <f t="shared" ca="1" si="1286"/>
        <v>0</v>
      </c>
      <c r="AQ735" s="579">
        <f ca="1">SUM(INDIRECT(AQ$1&amp;AQ$2&amp;$A735):INDIRECT(AQ$1&amp;AQ$3&amp;$A735))</f>
        <v>0</v>
      </c>
      <c r="AR735" s="2889">
        <f t="shared" ca="1" si="1304"/>
        <v>0</v>
      </c>
      <c r="AS735" s="2890">
        <f t="shared" ca="1" si="1287"/>
        <v>0</v>
      </c>
      <c r="AU735" s="579">
        <f ca="1">SUM((INDIRECT(AU$2&amp;(ROW())):INDIRECT(AU$3&amp;(ROW()))))</f>
        <v>0</v>
      </c>
      <c r="AV735" s="579">
        <f ca="1">SUM(INDIRECT(AV$1&amp;AV$2&amp;$C735):INDIRECT(AV$1&amp;AV$3&amp;$C735))</f>
        <v>0</v>
      </c>
      <c r="AW735" s="2889">
        <f t="shared" ca="1" si="1288"/>
        <v>0</v>
      </c>
      <c r="AX735" s="2890">
        <f t="shared" ca="1" si="1289"/>
        <v>0</v>
      </c>
      <c r="AY735" s="579">
        <f ca="1">SUM(INDIRECT(AY$1&amp;AY$2&amp;$A735):INDIRECT(AY$1&amp;AY$3&amp;$A735))</f>
        <v>0</v>
      </c>
      <c r="AZ735" s="2889">
        <f t="shared" ca="1" si="1290"/>
        <v>0</v>
      </c>
      <c r="BA735" s="2890">
        <f t="shared" ca="1" si="1291"/>
        <v>0</v>
      </c>
      <c r="BC735" s="579">
        <f ca="1">SUM((INDIRECT(BC$2&amp;(ROW())):INDIRECT(BC$3&amp;(ROW()))))</f>
        <v>0</v>
      </c>
      <c r="BD735" s="579">
        <f ca="1">SUM(INDIRECT(BD$1&amp;BD$2&amp;$C735):INDIRECT(BD$1&amp;BD$3&amp;$C735))</f>
        <v>0</v>
      </c>
      <c r="BE735" s="2889">
        <f t="shared" ca="1" si="1292"/>
        <v>0</v>
      </c>
      <c r="BF735" s="2890">
        <f t="shared" ca="1" si="1293"/>
        <v>0</v>
      </c>
      <c r="BG735" s="579">
        <f ca="1">SUM(INDIRECT(BG$1&amp;BG$2&amp;$A735):INDIRECT(BG$1&amp;BG$3&amp;$A735))</f>
        <v>0</v>
      </c>
      <c r="BH735" s="2889">
        <f t="shared" ca="1" si="1294"/>
        <v>0</v>
      </c>
      <c r="BI735" s="2890">
        <f t="shared" ca="1" si="1295"/>
        <v>0</v>
      </c>
    </row>
    <row r="736" spans="1:61" s="69" customFormat="1" ht="14.5">
      <c r="A736" s="1693">
        <f t="shared" si="1317"/>
        <v>728</v>
      </c>
      <c r="B736" s="616">
        <v>1</v>
      </c>
      <c r="C736" s="1693">
        <f t="shared" si="1316"/>
        <v>736</v>
      </c>
      <c r="D736" s="616">
        <v>1</v>
      </c>
      <c r="G736" s="9"/>
      <c r="H736" s="9"/>
      <c r="I736" s="22"/>
      <c r="J736" s="352"/>
      <c r="K736" s="353"/>
      <c r="L736" s="68"/>
      <c r="M736" s="68"/>
      <c r="O736" s="211"/>
      <c r="P736" s="232"/>
      <c r="Q736" s="228" t="s">
        <v>218</v>
      </c>
      <c r="R736" s="1779" t="str">
        <f>CHOOSE(2, "6722000003647", "S/GP (3) Gross Profit Indirect NH Label Printer FSC (-) OFC")</f>
        <v>S/GP (3) Gross Profit Indirect NH Label Printer FSC (-) OFC</v>
      </c>
      <c r="S736" s="1218"/>
      <c r="T736" s="1218"/>
      <c r="U736" s="1218"/>
      <c r="V736" s="1218"/>
      <c r="W736" s="1218"/>
      <c r="X736" s="1218"/>
      <c r="Y736" s="1218"/>
      <c r="Z736" s="1218"/>
      <c r="AA736" s="1218"/>
      <c r="AB736" s="1218"/>
      <c r="AC736" s="1218"/>
      <c r="AD736" s="1218"/>
      <c r="AE736" s="783">
        <f>SUM(S736,T736,U736)</f>
        <v>0</v>
      </c>
      <c r="AF736" s="1226">
        <f>SUM(V736,W736,X736)</f>
        <v>0</v>
      </c>
      <c r="AG736" s="1226">
        <f>SUM(Y736,Z736,AA736)</f>
        <v>0</v>
      </c>
      <c r="AH736" s="1226">
        <f>SUM(AB736,AC736,AD736)</f>
        <v>0</v>
      </c>
      <c r="AI736" s="1226">
        <f>AE736+AF736</f>
        <v>0</v>
      </c>
      <c r="AJ736" s="1226">
        <f>AH736+AG736</f>
        <v>0</v>
      </c>
      <c r="AK736" s="1226">
        <f>AI736+AJ736</f>
        <v>0</v>
      </c>
      <c r="AL736" s="8"/>
      <c r="AM736" s="579">
        <f ca="1">SUM((INDIRECT(AM$2&amp;(ROW())):INDIRECT(AM$3&amp;(ROW()))))</f>
        <v>0</v>
      </c>
      <c r="AN736" s="579">
        <f ca="1">SUM(INDIRECT(AN$1&amp;AN$2&amp;$C736):INDIRECT(AN$1&amp;AN$3&amp;$C736))</f>
        <v>0</v>
      </c>
      <c r="AO736" s="2889">
        <f t="shared" ca="1" si="1303"/>
        <v>0</v>
      </c>
      <c r="AP736" s="2890">
        <f t="shared" ca="1" si="1286"/>
        <v>0</v>
      </c>
      <c r="AQ736" s="579">
        <f ca="1">SUM(INDIRECT(AQ$1&amp;AQ$2&amp;$A736):INDIRECT(AQ$1&amp;AQ$3&amp;$A736))</f>
        <v>0</v>
      </c>
      <c r="AR736" s="2889">
        <f t="shared" ca="1" si="1304"/>
        <v>0</v>
      </c>
      <c r="AS736" s="2890">
        <f t="shared" ca="1" si="1287"/>
        <v>0</v>
      </c>
      <c r="AU736" s="579">
        <f ca="1">SUM((INDIRECT(AU$2&amp;(ROW())):INDIRECT(AU$3&amp;(ROW()))))</f>
        <v>0</v>
      </c>
      <c r="AV736" s="579">
        <f ca="1">SUM(INDIRECT(AV$1&amp;AV$2&amp;$C736):INDIRECT(AV$1&amp;AV$3&amp;$C736))</f>
        <v>0</v>
      </c>
      <c r="AW736" s="2889">
        <f t="shared" ca="1" si="1288"/>
        <v>0</v>
      </c>
      <c r="AX736" s="2890">
        <f t="shared" ca="1" si="1289"/>
        <v>0</v>
      </c>
      <c r="AY736" s="579">
        <f ca="1">SUM(INDIRECT(AY$1&amp;AY$2&amp;$A736):INDIRECT(AY$1&amp;AY$3&amp;$A736))</f>
        <v>0</v>
      </c>
      <c r="AZ736" s="2889">
        <f t="shared" ca="1" si="1290"/>
        <v>0</v>
      </c>
      <c r="BA736" s="2890">
        <f t="shared" ca="1" si="1291"/>
        <v>0</v>
      </c>
      <c r="BC736" s="579">
        <f ca="1">SUM((INDIRECT(BC$2&amp;(ROW())):INDIRECT(BC$3&amp;(ROW()))))</f>
        <v>0</v>
      </c>
      <c r="BD736" s="579">
        <f ca="1">SUM(INDIRECT(BD$1&amp;BD$2&amp;$C736):INDIRECT(BD$1&amp;BD$3&amp;$C736))</f>
        <v>0</v>
      </c>
      <c r="BE736" s="2889">
        <f t="shared" ca="1" si="1292"/>
        <v>0</v>
      </c>
      <c r="BF736" s="2890">
        <f t="shared" ca="1" si="1293"/>
        <v>0</v>
      </c>
      <c r="BG736" s="579">
        <f ca="1">SUM(INDIRECT(BG$1&amp;BG$2&amp;$A736):INDIRECT(BG$1&amp;BG$3&amp;$A736))</f>
        <v>0</v>
      </c>
      <c r="BH736" s="2889">
        <f t="shared" ca="1" si="1294"/>
        <v>0</v>
      </c>
      <c r="BI736" s="2890">
        <f t="shared" ca="1" si="1295"/>
        <v>0</v>
      </c>
    </row>
    <row r="737" spans="1:61" ht="14.5">
      <c r="A737" s="1693">
        <f t="shared" si="1317"/>
        <v>729</v>
      </c>
      <c r="B737" s="616">
        <v>1</v>
      </c>
      <c r="C737" s="1693">
        <f t="shared" si="1316"/>
        <v>737</v>
      </c>
      <c r="D737" s="616">
        <v>1</v>
      </c>
      <c r="F737" s="69"/>
      <c r="J737" s="352"/>
      <c r="K737" s="353"/>
      <c r="L737" s="68"/>
      <c r="M737" s="68"/>
      <c r="N737" s="69"/>
      <c r="O737" s="69" t="s">
        <v>52</v>
      </c>
      <c r="P737" s="302"/>
      <c r="Q737" s="302"/>
      <c r="R737" s="1777" t="str">
        <f>CHOOSE(2, "6722000003648", "S/GP (3) Gross Profit Indirect NH MGI")</f>
        <v>S/GP (3) Gross Profit Indirect NH MGI</v>
      </c>
      <c r="S737" s="1250">
        <f t="shared" ref="S737:AD737" si="1326">S738+S739</f>
        <v>0</v>
      </c>
      <c r="T737" s="1250">
        <f t="shared" si="1326"/>
        <v>0</v>
      </c>
      <c r="U737" s="1250">
        <f t="shared" si="1326"/>
        <v>0</v>
      </c>
      <c r="V737" s="1250">
        <f t="shared" si="1326"/>
        <v>0</v>
      </c>
      <c r="W737" s="1250">
        <f t="shared" si="1326"/>
        <v>0</v>
      </c>
      <c r="X737" s="1250">
        <f t="shared" si="1326"/>
        <v>0</v>
      </c>
      <c r="Y737" s="1250">
        <f t="shared" si="1326"/>
        <v>0</v>
      </c>
      <c r="Z737" s="1250">
        <f t="shared" si="1326"/>
        <v>0</v>
      </c>
      <c r="AA737" s="1250">
        <f t="shared" si="1326"/>
        <v>0</v>
      </c>
      <c r="AB737" s="1250">
        <f t="shared" si="1326"/>
        <v>0</v>
      </c>
      <c r="AC737" s="1250">
        <f t="shared" si="1326"/>
        <v>0</v>
      </c>
      <c r="AD737" s="1250">
        <f t="shared" si="1326"/>
        <v>0</v>
      </c>
      <c r="AE737" s="899">
        <f t="shared" ref="AE737:AK737" si="1327">AE738+AE739</f>
        <v>0</v>
      </c>
      <c r="AF737" s="1250">
        <f t="shared" si="1327"/>
        <v>0</v>
      </c>
      <c r="AG737" s="1250">
        <f t="shared" si="1327"/>
        <v>0</v>
      </c>
      <c r="AH737" s="1250">
        <f t="shared" si="1327"/>
        <v>0</v>
      </c>
      <c r="AI737" s="1250">
        <f t="shared" si="1327"/>
        <v>0</v>
      </c>
      <c r="AJ737" s="1250">
        <f t="shared" si="1327"/>
        <v>0</v>
      </c>
      <c r="AK737" s="1250">
        <f t="shared" si="1327"/>
        <v>0</v>
      </c>
      <c r="AL737" s="69"/>
      <c r="AM737" s="2194">
        <f ca="1">SUM((INDIRECT(AM$2&amp;(ROW())):INDIRECT(AM$3&amp;(ROW()))))</f>
        <v>0</v>
      </c>
      <c r="AN737" s="2194">
        <f ca="1">SUM(INDIRECT(AN$1&amp;AN$2&amp;$C737):INDIRECT(AN$1&amp;AN$3&amp;$C737))</f>
        <v>0</v>
      </c>
      <c r="AO737" s="2912">
        <f t="shared" ca="1" si="1303"/>
        <v>0</v>
      </c>
      <c r="AP737" s="2913">
        <f t="shared" ca="1" si="1286"/>
        <v>0</v>
      </c>
      <c r="AQ737" s="2194">
        <f ca="1">SUM(INDIRECT(AQ$1&amp;AQ$2&amp;$A737):INDIRECT(AQ$1&amp;AQ$3&amp;$A737))</f>
        <v>0</v>
      </c>
      <c r="AR737" s="2912">
        <f t="shared" ca="1" si="1304"/>
        <v>0</v>
      </c>
      <c r="AS737" s="2913">
        <f t="shared" ca="1" si="1287"/>
        <v>0</v>
      </c>
      <c r="AU737" s="2194">
        <f ca="1">SUM((INDIRECT(AU$2&amp;(ROW())):INDIRECT(AU$3&amp;(ROW()))))</f>
        <v>0</v>
      </c>
      <c r="AV737" s="2194">
        <f ca="1">SUM(INDIRECT(AV$1&amp;AV$2&amp;$C737):INDIRECT(AV$1&amp;AV$3&amp;$C737))</f>
        <v>0</v>
      </c>
      <c r="AW737" s="2912">
        <f t="shared" ca="1" si="1288"/>
        <v>0</v>
      </c>
      <c r="AX737" s="2913">
        <f t="shared" ca="1" si="1289"/>
        <v>0</v>
      </c>
      <c r="AY737" s="2194">
        <f ca="1">SUM(INDIRECT(AY$1&amp;AY$2&amp;$A737):INDIRECT(AY$1&amp;AY$3&amp;$A737))</f>
        <v>0</v>
      </c>
      <c r="AZ737" s="2912">
        <f t="shared" ca="1" si="1290"/>
        <v>0</v>
      </c>
      <c r="BA737" s="2913">
        <f t="shared" ca="1" si="1291"/>
        <v>0</v>
      </c>
      <c r="BC737" s="2194">
        <f ca="1">SUM((INDIRECT(BC$2&amp;(ROW())):INDIRECT(BC$3&amp;(ROW()))))</f>
        <v>0</v>
      </c>
      <c r="BD737" s="2194">
        <f ca="1">SUM(INDIRECT(BD$1&amp;BD$2&amp;$C737):INDIRECT(BD$1&amp;BD$3&amp;$C737))</f>
        <v>0</v>
      </c>
      <c r="BE737" s="2912">
        <f t="shared" ca="1" si="1292"/>
        <v>0</v>
      </c>
      <c r="BF737" s="2913">
        <f t="shared" ca="1" si="1293"/>
        <v>0</v>
      </c>
      <c r="BG737" s="2194">
        <f ca="1">SUM(INDIRECT(BG$1&amp;BG$2&amp;$A737):INDIRECT(BG$1&amp;BG$3&amp;$A737))</f>
        <v>0</v>
      </c>
      <c r="BH737" s="2912">
        <f t="shared" ca="1" si="1294"/>
        <v>0</v>
      </c>
      <c r="BI737" s="2913">
        <f t="shared" ca="1" si="1295"/>
        <v>0</v>
      </c>
    </row>
    <row r="738" spans="1:61" ht="14.5">
      <c r="A738" s="1693">
        <f t="shared" si="1317"/>
        <v>730</v>
      </c>
      <c r="B738" s="616">
        <v>1</v>
      </c>
      <c r="C738" s="1693">
        <f t="shared" si="1316"/>
        <v>738</v>
      </c>
      <c r="D738" s="616">
        <v>1</v>
      </c>
      <c r="F738" s="69"/>
      <c r="J738" s="352"/>
      <c r="K738" s="353"/>
      <c r="L738" s="68"/>
      <c r="M738" s="68"/>
      <c r="N738" s="69"/>
      <c r="O738" s="69"/>
      <c r="P738" s="305" t="s">
        <v>144</v>
      </c>
      <c r="Q738" s="305"/>
      <c r="R738" s="1779" t="str">
        <f>CHOOSE(2, "6722000003649", "S/GP (3) Gross Profit Indirect NH MGI MGI")</f>
        <v>S/GP (3) Gross Profit Indirect NH MGI MGI</v>
      </c>
      <c r="S738" s="1254"/>
      <c r="T738" s="1254"/>
      <c r="U738" s="1254"/>
      <c r="V738" s="1254"/>
      <c r="W738" s="1254"/>
      <c r="X738" s="1254"/>
      <c r="Y738" s="1254"/>
      <c r="Z738" s="1254"/>
      <c r="AA738" s="1254"/>
      <c r="AB738" s="1254"/>
      <c r="AC738" s="1254"/>
      <c r="AD738" s="1254"/>
      <c r="AE738" s="903">
        <f>SUM(S738,T738,U738)</f>
        <v>0</v>
      </c>
      <c r="AF738" s="58">
        <f>SUM(V738,W738,X738)</f>
        <v>0</v>
      </c>
      <c r="AG738" s="58">
        <f>SUM(Y738,Z738,AA738)</f>
        <v>0</v>
      </c>
      <c r="AH738" s="58">
        <f>SUM(AB738,AC738,AD738)</f>
        <v>0</v>
      </c>
      <c r="AI738" s="58">
        <f>AE738+AF738</f>
        <v>0</v>
      </c>
      <c r="AJ738" s="58">
        <f>AH738+AG738</f>
        <v>0</v>
      </c>
      <c r="AK738" s="58">
        <f>AI738+AJ738</f>
        <v>0</v>
      </c>
      <c r="AL738" s="69"/>
      <c r="AM738" s="2194">
        <f ca="1">SUM((INDIRECT(AM$2&amp;(ROW())):INDIRECT(AM$3&amp;(ROW()))))</f>
        <v>0</v>
      </c>
      <c r="AN738" s="2194">
        <f ca="1">SUM(INDIRECT(AN$1&amp;AN$2&amp;$C738):INDIRECT(AN$1&amp;AN$3&amp;$C738))</f>
        <v>0</v>
      </c>
      <c r="AO738" s="2912">
        <f t="shared" ca="1" si="1303"/>
        <v>0</v>
      </c>
      <c r="AP738" s="2913">
        <f t="shared" ca="1" si="1286"/>
        <v>0</v>
      </c>
      <c r="AQ738" s="2194">
        <f ca="1">SUM(INDIRECT(AQ$1&amp;AQ$2&amp;$A738):INDIRECT(AQ$1&amp;AQ$3&amp;$A738))</f>
        <v>0</v>
      </c>
      <c r="AR738" s="2912">
        <f t="shared" ca="1" si="1304"/>
        <v>0</v>
      </c>
      <c r="AS738" s="2913">
        <f t="shared" ca="1" si="1287"/>
        <v>0</v>
      </c>
      <c r="AU738" s="2194">
        <f ca="1">SUM((INDIRECT(AU$2&amp;(ROW())):INDIRECT(AU$3&amp;(ROW()))))</f>
        <v>0</v>
      </c>
      <c r="AV738" s="2194">
        <f ca="1">SUM(INDIRECT(AV$1&amp;AV$2&amp;$C738):INDIRECT(AV$1&amp;AV$3&amp;$C738))</f>
        <v>0</v>
      </c>
      <c r="AW738" s="2912">
        <f t="shared" ca="1" si="1288"/>
        <v>0</v>
      </c>
      <c r="AX738" s="2913">
        <f t="shared" ca="1" si="1289"/>
        <v>0</v>
      </c>
      <c r="AY738" s="2194">
        <f ca="1">SUM(INDIRECT(AY$1&amp;AY$2&amp;$A738):INDIRECT(AY$1&amp;AY$3&amp;$A738))</f>
        <v>0</v>
      </c>
      <c r="AZ738" s="2912">
        <f t="shared" ca="1" si="1290"/>
        <v>0</v>
      </c>
      <c r="BA738" s="2913">
        <f t="shared" ca="1" si="1291"/>
        <v>0</v>
      </c>
      <c r="BC738" s="2194">
        <f ca="1">SUM((INDIRECT(BC$2&amp;(ROW())):INDIRECT(BC$3&amp;(ROW()))))</f>
        <v>0</v>
      </c>
      <c r="BD738" s="2194">
        <f ca="1">SUM(INDIRECT(BD$1&amp;BD$2&amp;$C738):INDIRECT(BD$1&amp;BD$3&amp;$C738))</f>
        <v>0</v>
      </c>
      <c r="BE738" s="2912">
        <f t="shared" ca="1" si="1292"/>
        <v>0</v>
      </c>
      <c r="BF738" s="2913">
        <f t="shared" ca="1" si="1293"/>
        <v>0</v>
      </c>
      <c r="BG738" s="2194">
        <f ca="1">SUM(INDIRECT(BG$1&amp;BG$2&amp;$A738):INDIRECT(BG$1&amp;BG$3&amp;$A738))</f>
        <v>0</v>
      </c>
      <c r="BH738" s="2912">
        <f t="shared" ca="1" si="1294"/>
        <v>0</v>
      </c>
      <c r="BI738" s="2913">
        <f t="shared" ca="1" si="1295"/>
        <v>0</v>
      </c>
    </row>
    <row r="739" spans="1:61" s="69" customFormat="1" ht="14.5">
      <c r="A739" s="1693">
        <f t="shared" si="1317"/>
        <v>731</v>
      </c>
      <c r="B739" s="616">
        <v>1</v>
      </c>
      <c r="C739" s="1693">
        <f t="shared" si="1316"/>
        <v>739</v>
      </c>
      <c r="D739" s="616">
        <v>1</v>
      </c>
      <c r="G739" s="9"/>
      <c r="H739" s="9"/>
      <c r="I739" s="22"/>
      <c r="J739" s="352"/>
      <c r="K739" s="353"/>
      <c r="L739" s="68"/>
      <c r="M739" s="68"/>
      <c r="P739" s="306" t="s">
        <v>133</v>
      </c>
      <c r="Q739" s="306"/>
      <c r="R739" s="1782" t="str">
        <f>CHOOSE(2, "6722000003650", "S/GP (3) Gross Profit Indirect NH MGI FSC (-)")</f>
        <v>S/GP (3) Gross Profit Indirect NH MGI FSC (-)</v>
      </c>
      <c r="S739" s="1250">
        <f t="shared" ref="S739:AD739" si="1328">SUM(S740:S742)</f>
        <v>0</v>
      </c>
      <c r="T739" s="1250">
        <f t="shared" si="1328"/>
        <v>0</v>
      </c>
      <c r="U739" s="1250">
        <f t="shared" si="1328"/>
        <v>0</v>
      </c>
      <c r="V739" s="1250">
        <f t="shared" si="1328"/>
        <v>0</v>
      </c>
      <c r="W739" s="1250">
        <f t="shared" si="1328"/>
        <v>0</v>
      </c>
      <c r="X739" s="1250">
        <f t="shared" si="1328"/>
        <v>0</v>
      </c>
      <c r="Y739" s="1250">
        <f t="shared" si="1328"/>
        <v>0</v>
      </c>
      <c r="Z739" s="1250">
        <f t="shared" si="1328"/>
        <v>0</v>
      </c>
      <c r="AA739" s="1250">
        <f t="shared" si="1328"/>
        <v>0</v>
      </c>
      <c r="AB739" s="1250">
        <f t="shared" si="1328"/>
        <v>0</v>
      </c>
      <c r="AC739" s="1250">
        <f t="shared" si="1328"/>
        <v>0</v>
      </c>
      <c r="AD739" s="1250">
        <f t="shared" si="1328"/>
        <v>0</v>
      </c>
      <c r="AE739" s="899">
        <f>SUM(S739:U739)</f>
        <v>0</v>
      </c>
      <c r="AF739" s="1250">
        <f>SUM(V739:X739)</f>
        <v>0</v>
      </c>
      <c r="AG739" s="1250">
        <f>SUM(Y739:AA739)</f>
        <v>0</v>
      </c>
      <c r="AH739" s="1250">
        <f>SUM(AB739:AD739)</f>
        <v>0</v>
      </c>
      <c r="AI739" s="1250">
        <f>AE739+AF739</f>
        <v>0</v>
      </c>
      <c r="AJ739" s="1250">
        <f>AH739+AG739</f>
        <v>0</v>
      </c>
      <c r="AK739" s="1250">
        <f>AI739+AJ739</f>
        <v>0</v>
      </c>
      <c r="AM739" s="2145">
        <f ca="1">SUM((INDIRECT(AM$2&amp;(ROW())):INDIRECT(AM$3&amp;(ROW()))))</f>
        <v>0</v>
      </c>
      <c r="AN739" s="2145">
        <f ca="1">SUM(INDIRECT(AN$1&amp;AN$2&amp;$C739):INDIRECT(AN$1&amp;AN$3&amp;$C739))</f>
        <v>0</v>
      </c>
      <c r="AO739" s="2887">
        <f t="shared" ca="1" si="1303"/>
        <v>0</v>
      </c>
      <c r="AP739" s="2888">
        <f t="shared" ca="1" si="1286"/>
        <v>0</v>
      </c>
      <c r="AQ739" s="2145">
        <f ca="1">SUM(INDIRECT(AQ$1&amp;AQ$2&amp;$A739):INDIRECT(AQ$1&amp;AQ$3&amp;$A739))</f>
        <v>0</v>
      </c>
      <c r="AR739" s="2887">
        <f t="shared" ca="1" si="1304"/>
        <v>0</v>
      </c>
      <c r="AS739" s="2888">
        <f t="shared" ca="1" si="1287"/>
        <v>0</v>
      </c>
      <c r="AU739" s="2145">
        <f ca="1">SUM((INDIRECT(AU$2&amp;(ROW())):INDIRECT(AU$3&amp;(ROW()))))</f>
        <v>0</v>
      </c>
      <c r="AV739" s="2145">
        <f ca="1">SUM(INDIRECT(AV$1&amp;AV$2&amp;$C739):INDIRECT(AV$1&amp;AV$3&amp;$C739))</f>
        <v>0</v>
      </c>
      <c r="AW739" s="2887">
        <f t="shared" ca="1" si="1288"/>
        <v>0</v>
      </c>
      <c r="AX739" s="2888">
        <f t="shared" ca="1" si="1289"/>
        <v>0</v>
      </c>
      <c r="AY739" s="2145">
        <f ca="1">SUM(INDIRECT(AY$1&amp;AY$2&amp;$A739):INDIRECT(AY$1&amp;AY$3&amp;$A739))</f>
        <v>0</v>
      </c>
      <c r="AZ739" s="2887">
        <f t="shared" ca="1" si="1290"/>
        <v>0</v>
      </c>
      <c r="BA739" s="2888">
        <f t="shared" ca="1" si="1291"/>
        <v>0</v>
      </c>
      <c r="BC739" s="2145">
        <f ca="1">SUM((INDIRECT(BC$2&amp;(ROW())):INDIRECT(BC$3&amp;(ROW()))))</f>
        <v>0</v>
      </c>
      <c r="BD739" s="2145">
        <f ca="1">SUM(INDIRECT(BD$1&amp;BD$2&amp;$C739):INDIRECT(BD$1&amp;BD$3&amp;$C739))</f>
        <v>0</v>
      </c>
      <c r="BE739" s="2887">
        <f t="shared" ca="1" si="1292"/>
        <v>0</v>
      </c>
      <c r="BF739" s="2888">
        <f t="shared" ca="1" si="1293"/>
        <v>0</v>
      </c>
      <c r="BG739" s="2145">
        <f ca="1">SUM(INDIRECT(BG$1&amp;BG$2&amp;$A739):INDIRECT(BG$1&amp;BG$3&amp;$A739))</f>
        <v>0</v>
      </c>
      <c r="BH739" s="2887">
        <f t="shared" ca="1" si="1294"/>
        <v>0</v>
      </c>
      <c r="BI739" s="2888">
        <f t="shared" ca="1" si="1295"/>
        <v>0</v>
      </c>
    </row>
    <row r="740" spans="1:61" s="69" customFormat="1" ht="14.5">
      <c r="A740" s="1693">
        <f t="shared" si="1317"/>
        <v>732</v>
      </c>
      <c r="B740" s="616">
        <v>1</v>
      </c>
      <c r="C740" s="1693">
        <f t="shared" si="1316"/>
        <v>740</v>
      </c>
      <c r="D740" s="616">
        <v>1</v>
      </c>
      <c r="G740" s="9"/>
      <c r="H740" s="9"/>
      <c r="I740" s="22"/>
      <c r="J740" s="352"/>
      <c r="K740" s="353"/>
      <c r="L740" s="68"/>
      <c r="M740" s="68"/>
      <c r="P740" s="307"/>
      <c r="Q740" s="291" t="s">
        <v>212</v>
      </c>
      <c r="R740" s="1779" t="str">
        <f>CHOOSE(2, "6722000003651", "S/GP (3) Gross Profit Indirect NH MGI FSC (-) PC")</f>
        <v>S/GP (3) Gross Profit Indirect NH MGI FSC (-) PC</v>
      </c>
      <c r="S740" s="1227"/>
      <c r="T740" s="1227"/>
      <c r="U740" s="1227"/>
      <c r="V740" s="1227"/>
      <c r="W740" s="1227"/>
      <c r="X740" s="1227"/>
      <c r="Y740" s="1227"/>
      <c r="Z740" s="1227"/>
      <c r="AA740" s="1227"/>
      <c r="AB740" s="1227"/>
      <c r="AC740" s="1227"/>
      <c r="AD740" s="1227"/>
      <c r="AE740" s="896">
        <f>SUM(S740,T740,U740)</f>
        <v>0</v>
      </c>
      <c r="AF740" s="95">
        <f>SUM(V740,W740,X740)</f>
        <v>0</v>
      </c>
      <c r="AG740" s="95">
        <f>SUM(Y740,Z740,AA740)</f>
        <v>0</v>
      </c>
      <c r="AH740" s="95">
        <f>SUM(AB740,AC740,AD740)</f>
        <v>0</v>
      </c>
      <c r="AI740" s="95">
        <f>AE740+AF740</f>
        <v>0</v>
      </c>
      <c r="AJ740" s="95">
        <f>AH740+AG740</f>
        <v>0</v>
      </c>
      <c r="AK740" s="95">
        <f>AI740+AJ740</f>
        <v>0</v>
      </c>
      <c r="AM740" s="2138">
        <f ca="1">SUM((INDIRECT(AM$2&amp;(ROW())):INDIRECT(AM$3&amp;(ROW()))))</f>
        <v>0</v>
      </c>
      <c r="AN740" s="2138">
        <f ca="1">SUM(INDIRECT(AN$1&amp;AN$2&amp;$C740):INDIRECT(AN$1&amp;AN$3&amp;$C740))</f>
        <v>0</v>
      </c>
      <c r="AO740" s="2879">
        <f t="shared" ca="1" si="1303"/>
        <v>0</v>
      </c>
      <c r="AP740" s="2880">
        <f t="shared" ca="1" si="1286"/>
        <v>0</v>
      </c>
      <c r="AQ740" s="2138">
        <f ca="1">SUM(INDIRECT(AQ$1&amp;AQ$2&amp;$A740):INDIRECT(AQ$1&amp;AQ$3&amp;$A740))</f>
        <v>0</v>
      </c>
      <c r="AR740" s="2879">
        <f t="shared" ca="1" si="1304"/>
        <v>0</v>
      </c>
      <c r="AS740" s="2880">
        <f t="shared" ca="1" si="1287"/>
        <v>0</v>
      </c>
      <c r="AU740" s="2138">
        <f ca="1">SUM((INDIRECT(AU$2&amp;(ROW())):INDIRECT(AU$3&amp;(ROW()))))</f>
        <v>0</v>
      </c>
      <c r="AV740" s="2138">
        <f ca="1">SUM(INDIRECT(AV$1&amp;AV$2&amp;$C740):INDIRECT(AV$1&amp;AV$3&amp;$C740))</f>
        <v>0</v>
      </c>
      <c r="AW740" s="2879">
        <f t="shared" ca="1" si="1288"/>
        <v>0</v>
      </c>
      <c r="AX740" s="2880">
        <f t="shared" ca="1" si="1289"/>
        <v>0</v>
      </c>
      <c r="AY740" s="2138">
        <f ca="1">SUM(INDIRECT(AY$1&amp;AY$2&amp;$A740):INDIRECT(AY$1&amp;AY$3&amp;$A740))</f>
        <v>0</v>
      </c>
      <c r="AZ740" s="2879">
        <f t="shared" ca="1" si="1290"/>
        <v>0</v>
      </c>
      <c r="BA740" s="2880">
        <f t="shared" ca="1" si="1291"/>
        <v>0</v>
      </c>
      <c r="BC740" s="2138">
        <f ca="1">SUM((INDIRECT(BC$2&amp;(ROW())):INDIRECT(BC$3&amp;(ROW()))))</f>
        <v>0</v>
      </c>
      <c r="BD740" s="2138">
        <f ca="1">SUM(INDIRECT(BD$1&amp;BD$2&amp;$C740):INDIRECT(BD$1&amp;BD$3&amp;$C740))</f>
        <v>0</v>
      </c>
      <c r="BE740" s="2879">
        <f t="shared" ca="1" si="1292"/>
        <v>0</v>
      </c>
      <c r="BF740" s="2880">
        <f t="shared" ca="1" si="1293"/>
        <v>0</v>
      </c>
      <c r="BG740" s="2138">
        <f ca="1">SUM(INDIRECT(BG$1&amp;BG$2&amp;$A740):INDIRECT(BG$1&amp;BG$3&amp;$A740))</f>
        <v>0</v>
      </c>
      <c r="BH740" s="2879">
        <f t="shared" ca="1" si="1294"/>
        <v>0</v>
      </c>
      <c r="BI740" s="2880">
        <f t="shared" ca="1" si="1295"/>
        <v>0</v>
      </c>
    </row>
    <row r="741" spans="1:61" s="69" customFormat="1" ht="14.5">
      <c r="A741" s="1693">
        <f t="shared" si="1317"/>
        <v>733</v>
      </c>
      <c r="B741" s="616">
        <v>1</v>
      </c>
      <c r="C741" s="1693">
        <f t="shared" si="1316"/>
        <v>741</v>
      </c>
      <c r="D741" s="616">
        <v>1</v>
      </c>
      <c r="G741" s="9"/>
      <c r="H741" s="9"/>
      <c r="I741" s="22"/>
      <c r="J741" s="352"/>
      <c r="K741" s="353"/>
      <c r="L741" s="68"/>
      <c r="M741" s="68"/>
      <c r="P741" s="231"/>
      <c r="Q741" s="229" t="s">
        <v>213</v>
      </c>
      <c r="R741" s="1779" t="str">
        <f>CHOOSE(2, "6722000003652", "S/GP (3) Gross Profit Indirect NH MGI FSC (-) TE")</f>
        <v>S/GP (3) Gross Profit Indirect NH MGI FSC (-) TE</v>
      </c>
      <c r="S741" s="1217"/>
      <c r="T741" s="1217"/>
      <c r="U741" s="1217"/>
      <c r="V741" s="1217"/>
      <c r="W741" s="1217"/>
      <c r="X741" s="1217"/>
      <c r="Y741" s="1217"/>
      <c r="Z741" s="1217"/>
      <c r="AA741" s="1217"/>
      <c r="AB741" s="1217"/>
      <c r="AC741" s="1217"/>
      <c r="AD741" s="1217"/>
      <c r="AE741" s="783">
        <f>SUM(S741,T741,U741)</f>
        <v>0</v>
      </c>
      <c r="AF741" s="1226">
        <f>SUM(V741,W741,X741)</f>
        <v>0</v>
      </c>
      <c r="AG741" s="1226">
        <f>SUM(Y741,Z741,AA741)</f>
        <v>0</v>
      </c>
      <c r="AH741" s="1226">
        <f>SUM(AB741,AC741,AD741)</f>
        <v>0</v>
      </c>
      <c r="AI741" s="1226">
        <f>AE741+AF741</f>
        <v>0</v>
      </c>
      <c r="AJ741" s="1226">
        <f>AH741+AG741</f>
        <v>0</v>
      </c>
      <c r="AK741" s="1226">
        <f>AI741+AJ741</f>
        <v>0</v>
      </c>
      <c r="AL741" s="8"/>
      <c r="AM741" s="579">
        <f ca="1">SUM((INDIRECT(AM$2&amp;(ROW())):INDIRECT(AM$3&amp;(ROW()))))</f>
        <v>0</v>
      </c>
      <c r="AN741" s="579">
        <f ca="1">SUM(INDIRECT(AN$1&amp;AN$2&amp;$C741):INDIRECT(AN$1&amp;AN$3&amp;$C741))</f>
        <v>0</v>
      </c>
      <c r="AO741" s="2889">
        <f t="shared" ca="1" si="1303"/>
        <v>0</v>
      </c>
      <c r="AP741" s="2890">
        <f t="shared" ca="1" si="1286"/>
        <v>0</v>
      </c>
      <c r="AQ741" s="579">
        <f ca="1">SUM(INDIRECT(AQ$1&amp;AQ$2&amp;$A741):INDIRECT(AQ$1&amp;AQ$3&amp;$A741))</f>
        <v>0</v>
      </c>
      <c r="AR741" s="2889">
        <f t="shared" ca="1" si="1304"/>
        <v>0</v>
      </c>
      <c r="AS741" s="2890">
        <f t="shared" ca="1" si="1287"/>
        <v>0</v>
      </c>
      <c r="AU741" s="579">
        <f ca="1">SUM((INDIRECT(AU$2&amp;(ROW())):INDIRECT(AU$3&amp;(ROW()))))</f>
        <v>0</v>
      </c>
      <c r="AV741" s="579">
        <f ca="1">SUM(INDIRECT(AV$1&amp;AV$2&amp;$C741):INDIRECT(AV$1&amp;AV$3&amp;$C741))</f>
        <v>0</v>
      </c>
      <c r="AW741" s="2889">
        <f t="shared" ca="1" si="1288"/>
        <v>0</v>
      </c>
      <c r="AX741" s="2890">
        <f t="shared" ca="1" si="1289"/>
        <v>0</v>
      </c>
      <c r="AY741" s="579">
        <f ca="1">SUM(INDIRECT(AY$1&amp;AY$2&amp;$A741):INDIRECT(AY$1&amp;AY$3&amp;$A741))</f>
        <v>0</v>
      </c>
      <c r="AZ741" s="2889">
        <f t="shared" ca="1" si="1290"/>
        <v>0</v>
      </c>
      <c r="BA741" s="2890">
        <f t="shared" ca="1" si="1291"/>
        <v>0</v>
      </c>
      <c r="BC741" s="579">
        <f ca="1">SUM((INDIRECT(BC$2&amp;(ROW())):INDIRECT(BC$3&amp;(ROW()))))</f>
        <v>0</v>
      </c>
      <c r="BD741" s="579">
        <f ca="1">SUM(INDIRECT(BD$1&amp;BD$2&amp;$C741):INDIRECT(BD$1&amp;BD$3&amp;$C741))</f>
        <v>0</v>
      </c>
      <c r="BE741" s="2889">
        <f t="shared" ca="1" si="1292"/>
        <v>0</v>
      </c>
      <c r="BF741" s="2890">
        <f t="shared" ca="1" si="1293"/>
        <v>0</v>
      </c>
      <c r="BG741" s="579">
        <f ca="1">SUM(INDIRECT(BG$1&amp;BG$2&amp;$A741):INDIRECT(BG$1&amp;BG$3&amp;$A741))</f>
        <v>0</v>
      </c>
      <c r="BH741" s="2889">
        <f t="shared" ca="1" si="1294"/>
        <v>0</v>
      </c>
      <c r="BI741" s="2890">
        <f t="shared" ca="1" si="1295"/>
        <v>0</v>
      </c>
    </row>
    <row r="742" spans="1:61" s="69" customFormat="1" ht="14.5">
      <c r="A742" s="1693">
        <f t="shared" si="1317"/>
        <v>734</v>
      </c>
      <c r="B742" s="616">
        <v>1</v>
      </c>
      <c r="C742" s="1693">
        <f t="shared" si="1316"/>
        <v>742</v>
      </c>
      <c r="D742" s="616">
        <v>1</v>
      </c>
      <c r="G742" s="9"/>
      <c r="H742" s="9"/>
      <c r="I742" s="22"/>
      <c r="J742" s="352"/>
      <c r="K742" s="353"/>
      <c r="L742" s="68"/>
      <c r="M742" s="68"/>
      <c r="O742" s="211"/>
      <c r="P742" s="232"/>
      <c r="Q742" s="228" t="s">
        <v>218</v>
      </c>
      <c r="R742" s="1779" t="str">
        <f>CHOOSE(2, "6722000003653", "S/GP (3) Gross Profit Indirect NH MGI FSC (-) OFC")</f>
        <v>S/GP (3) Gross Profit Indirect NH MGI FSC (-) OFC</v>
      </c>
      <c r="S742" s="1218"/>
      <c r="T742" s="1218"/>
      <c r="U742" s="1218"/>
      <c r="V742" s="1218"/>
      <c r="W742" s="1218"/>
      <c r="X742" s="1218"/>
      <c r="Y742" s="1218"/>
      <c r="Z742" s="1218"/>
      <c r="AA742" s="1218"/>
      <c r="AB742" s="1218"/>
      <c r="AC742" s="1218"/>
      <c r="AD742" s="1218"/>
      <c r="AE742" s="783">
        <f>SUM(S742,T742,U742)</f>
        <v>0</v>
      </c>
      <c r="AF742" s="1226">
        <f>SUM(V742,W742,X742)</f>
        <v>0</v>
      </c>
      <c r="AG742" s="1226">
        <f>SUM(Y742,Z742,AA742)</f>
        <v>0</v>
      </c>
      <c r="AH742" s="1226">
        <f>SUM(AB742,AC742,AD742)</f>
        <v>0</v>
      </c>
      <c r="AI742" s="1226">
        <f>AE742+AF742</f>
        <v>0</v>
      </c>
      <c r="AJ742" s="1226">
        <f>AH742+AG742</f>
        <v>0</v>
      </c>
      <c r="AK742" s="1226">
        <f>AI742+AJ742</f>
        <v>0</v>
      </c>
      <c r="AL742" s="8"/>
      <c r="AM742" s="579">
        <f ca="1">SUM((INDIRECT(AM$2&amp;(ROW())):INDIRECT(AM$3&amp;(ROW()))))</f>
        <v>0</v>
      </c>
      <c r="AN742" s="579">
        <f ca="1">SUM(INDIRECT(AN$1&amp;AN$2&amp;$C742):INDIRECT(AN$1&amp;AN$3&amp;$C742))</f>
        <v>0</v>
      </c>
      <c r="AO742" s="2889">
        <f t="shared" ca="1" si="1303"/>
        <v>0</v>
      </c>
      <c r="AP742" s="2890">
        <f t="shared" ca="1" si="1286"/>
        <v>0</v>
      </c>
      <c r="AQ742" s="579">
        <f ca="1">SUM(INDIRECT(AQ$1&amp;AQ$2&amp;$A742):INDIRECT(AQ$1&amp;AQ$3&amp;$A742))</f>
        <v>0</v>
      </c>
      <c r="AR742" s="2889">
        <f t="shared" ca="1" si="1304"/>
        <v>0</v>
      </c>
      <c r="AS742" s="2890">
        <f t="shared" ca="1" si="1287"/>
        <v>0</v>
      </c>
      <c r="AU742" s="579">
        <f ca="1">SUM((INDIRECT(AU$2&amp;(ROW())):INDIRECT(AU$3&amp;(ROW()))))</f>
        <v>0</v>
      </c>
      <c r="AV742" s="579">
        <f ca="1">SUM(INDIRECT(AV$1&amp;AV$2&amp;$C742):INDIRECT(AV$1&amp;AV$3&amp;$C742))</f>
        <v>0</v>
      </c>
      <c r="AW742" s="2889">
        <f t="shared" ca="1" si="1288"/>
        <v>0</v>
      </c>
      <c r="AX742" s="2890">
        <f t="shared" ca="1" si="1289"/>
        <v>0</v>
      </c>
      <c r="AY742" s="579">
        <f ca="1">SUM(INDIRECT(AY$1&amp;AY$2&amp;$A742):INDIRECT(AY$1&amp;AY$3&amp;$A742))</f>
        <v>0</v>
      </c>
      <c r="AZ742" s="2889">
        <f t="shared" ca="1" si="1290"/>
        <v>0</v>
      </c>
      <c r="BA742" s="2890">
        <f t="shared" ca="1" si="1291"/>
        <v>0</v>
      </c>
      <c r="BC742" s="579">
        <f ca="1">SUM((INDIRECT(BC$2&amp;(ROW())):INDIRECT(BC$3&amp;(ROW()))))</f>
        <v>0</v>
      </c>
      <c r="BD742" s="579">
        <f ca="1">SUM(INDIRECT(BD$1&amp;BD$2&amp;$C742):INDIRECT(BD$1&amp;BD$3&amp;$C742))</f>
        <v>0</v>
      </c>
      <c r="BE742" s="2889">
        <f t="shared" ca="1" si="1292"/>
        <v>0</v>
      </c>
      <c r="BF742" s="2890">
        <f t="shared" ca="1" si="1293"/>
        <v>0</v>
      </c>
      <c r="BG742" s="579">
        <f ca="1">SUM(INDIRECT(BG$1&amp;BG$2&amp;$A742):INDIRECT(BG$1&amp;BG$3&amp;$A742))</f>
        <v>0</v>
      </c>
      <c r="BH742" s="2889">
        <f t="shared" ca="1" si="1294"/>
        <v>0</v>
      </c>
      <c r="BI742" s="2890">
        <f t="shared" ca="1" si="1295"/>
        <v>0</v>
      </c>
    </row>
    <row r="743" spans="1:61" ht="14.5">
      <c r="A743" s="1693">
        <f t="shared" si="1317"/>
        <v>735</v>
      </c>
      <c r="B743" s="616">
        <v>1</v>
      </c>
      <c r="C743" s="1693">
        <f t="shared" si="1316"/>
        <v>743</v>
      </c>
      <c r="D743" s="616">
        <v>1</v>
      </c>
      <c r="F743" s="69"/>
      <c r="J743" s="352"/>
      <c r="K743" s="353"/>
      <c r="L743" s="68"/>
      <c r="M743" s="68"/>
      <c r="N743" s="69"/>
      <c r="O743" s="69" t="s">
        <v>118</v>
      </c>
      <c r="P743" s="302"/>
      <c r="Q743" s="302"/>
      <c r="R743" s="1777" t="str">
        <f>CHOOSE(2, "6722000003654", "S/GP (3) Gross Profit Indirect NH EFI/LF")</f>
        <v>S/GP (3) Gross Profit Indirect NH EFI/LF</v>
      </c>
      <c r="S743" s="1250">
        <f t="shared" ref="S743:AD743" si="1329">S744+S745</f>
        <v>0</v>
      </c>
      <c r="T743" s="1250">
        <f t="shared" si="1329"/>
        <v>0</v>
      </c>
      <c r="U743" s="1250">
        <f t="shared" si="1329"/>
        <v>0</v>
      </c>
      <c r="V743" s="1250">
        <f t="shared" si="1329"/>
        <v>0</v>
      </c>
      <c r="W743" s="1250">
        <f t="shared" si="1329"/>
        <v>0</v>
      </c>
      <c r="X743" s="1250">
        <f t="shared" si="1329"/>
        <v>0</v>
      </c>
      <c r="Y743" s="1250">
        <f t="shared" si="1329"/>
        <v>0</v>
      </c>
      <c r="Z743" s="1250">
        <f t="shared" si="1329"/>
        <v>0</v>
      </c>
      <c r="AA743" s="1250">
        <f t="shared" si="1329"/>
        <v>0</v>
      </c>
      <c r="AB743" s="1250">
        <f t="shared" si="1329"/>
        <v>0</v>
      </c>
      <c r="AC743" s="1250">
        <f t="shared" si="1329"/>
        <v>0</v>
      </c>
      <c r="AD743" s="1250">
        <f t="shared" si="1329"/>
        <v>0</v>
      </c>
      <c r="AE743" s="899">
        <f t="shared" ref="AE743:AK743" si="1330">AE744+AE745</f>
        <v>0</v>
      </c>
      <c r="AF743" s="1250">
        <f t="shared" si="1330"/>
        <v>0</v>
      </c>
      <c r="AG743" s="1250">
        <f t="shared" si="1330"/>
        <v>0</v>
      </c>
      <c r="AH743" s="1250">
        <f t="shared" si="1330"/>
        <v>0</v>
      </c>
      <c r="AI743" s="1250">
        <f t="shared" si="1330"/>
        <v>0</v>
      </c>
      <c r="AJ743" s="1250">
        <f t="shared" si="1330"/>
        <v>0</v>
      </c>
      <c r="AK743" s="1250">
        <f t="shared" si="1330"/>
        <v>0</v>
      </c>
      <c r="AL743" s="69"/>
      <c r="AM743" s="2194">
        <f ca="1">SUM((INDIRECT(AM$2&amp;(ROW())):INDIRECT(AM$3&amp;(ROW()))))</f>
        <v>0</v>
      </c>
      <c r="AN743" s="2194">
        <f ca="1">SUM(INDIRECT(AN$1&amp;AN$2&amp;$C743):INDIRECT(AN$1&amp;AN$3&amp;$C743))</f>
        <v>0</v>
      </c>
      <c r="AO743" s="2912">
        <f t="shared" ca="1" si="1303"/>
        <v>0</v>
      </c>
      <c r="AP743" s="2913">
        <f t="shared" ca="1" si="1286"/>
        <v>0</v>
      </c>
      <c r="AQ743" s="2194">
        <f ca="1">SUM(INDIRECT(AQ$1&amp;AQ$2&amp;$A743):INDIRECT(AQ$1&amp;AQ$3&amp;$A743))</f>
        <v>0</v>
      </c>
      <c r="AR743" s="2912">
        <f t="shared" ca="1" si="1304"/>
        <v>0</v>
      </c>
      <c r="AS743" s="2913">
        <f t="shared" ca="1" si="1287"/>
        <v>0</v>
      </c>
      <c r="AU743" s="2194">
        <f ca="1">SUM((INDIRECT(AU$2&amp;(ROW())):INDIRECT(AU$3&amp;(ROW()))))</f>
        <v>0</v>
      </c>
      <c r="AV743" s="2194">
        <f ca="1">SUM(INDIRECT(AV$1&amp;AV$2&amp;$C743):INDIRECT(AV$1&amp;AV$3&amp;$C743))</f>
        <v>0</v>
      </c>
      <c r="AW743" s="2912">
        <f t="shared" ca="1" si="1288"/>
        <v>0</v>
      </c>
      <c r="AX743" s="2913">
        <f t="shared" ca="1" si="1289"/>
        <v>0</v>
      </c>
      <c r="AY743" s="2194">
        <f ca="1">SUM(INDIRECT(AY$1&amp;AY$2&amp;$A743):INDIRECT(AY$1&amp;AY$3&amp;$A743))</f>
        <v>0</v>
      </c>
      <c r="AZ743" s="2912">
        <f t="shared" ca="1" si="1290"/>
        <v>0</v>
      </c>
      <c r="BA743" s="2913">
        <f t="shared" ca="1" si="1291"/>
        <v>0</v>
      </c>
      <c r="BC743" s="2194">
        <f ca="1">SUM((INDIRECT(BC$2&amp;(ROW())):INDIRECT(BC$3&amp;(ROW()))))</f>
        <v>0</v>
      </c>
      <c r="BD743" s="2194">
        <f ca="1">SUM(INDIRECT(BD$1&amp;BD$2&amp;$C743):INDIRECT(BD$1&amp;BD$3&amp;$C743))</f>
        <v>0</v>
      </c>
      <c r="BE743" s="2912">
        <f t="shared" ca="1" si="1292"/>
        <v>0</v>
      </c>
      <c r="BF743" s="2913">
        <f t="shared" ca="1" si="1293"/>
        <v>0</v>
      </c>
      <c r="BG743" s="2194">
        <f ca="1">SUM(INDIRECT(BG$1&amp;BG$2&amp;$A743):INDIRECT(BG$1&amp;BG$3&amp;$A743))</f>
        <v>0</v>
      </c>
      <c r="BH743" s="2912">
        <f t="shared" ca="1" si="1294"/>
        <v>0</v>
      </c>
      <c r="BI743" s="2913">
        <f t="shared" ca="1" si="1295"/>
        <v>0</v>
      </c>
    </row>
    <row r="744" spans="1:61" ht="14.5">
      <c r="A744" s="1693">
        <f t="shared" si="1317"/>
        <v>736</v>
      </c>
      <c r="B744" s="616">
        <v>1</v>
      </c>
      <c r="C744" s="1693">
        <f t="shared" si="1316"/>
        <v>744</v>
      </c>
      <c r="D744" s="616">
        <v>1</v>
      </c>
      <c r="F744" s="69"/>
      <c r="J744" s="352"/>
      <c r="K744" s="353"/>
      <c r="L744" s="68"/>
      <c r="M744" s="68"/>
      <c r="N744" s="69"/>
      <c r="O744" s="69"/>
      <c r="P744" s="305" t="s">
        <v>215</v>
      </c>
      <c r="Q744" s="305"/>
      <c r="R744" s="1779" t="str">
        <f>CHOOSE(2, "6722000003655", "S/GP (3) Gross Profit Indirect NH EFI/LF EFI/LF")</f>
        <v>S/GP (3) Gross Profit Indirect NH EFI/LF EFI/LF</v>
      </c>
      <c r="S744" s="1254"/>
      <c r="T744" s="1254"/>
      <c r="U744" s="1254"/>
      <c r="V744" s="1254"/>
      <c r="W744" s="1254"/>
      <c r="X744" s="1254"/>
      <c r="Y744" s="1254"/>
      <c r="Z744" s="1254"/>
      <c r="AA744" s="1254"/>
      <c r="AB744" s="1254"/>
      <c r="AC744" s="1254"/>
      <c r="AD744" s="1254"/>
      <c r="AE744" s="903">
        <f>SUM(S744,T744,U744)</f>
        <v>0</v>
      </c>
      <c r="AF744" s="58">
        <f>SUM(V744,W744,X744)</f>
        <v>0</v>
      </c>
      <c r="AG744" s="58">
        <f>SUM(Y744,Z744,AA744)</f>
        <v>0</v>
      </c>
      <c r="AH744" s="58">
        <f>SUM(AB744,AC744,AD744)</f>
        <v>0</v>
      </c>
      <c r="AI744" s="58">
        <f>AE744+AF744</f>
        <v>0</v>
      </c>
      <c r="AJ744" s="58">
        <f>AH744+AG744</f>
        <v>0</v>
      </c>
      <c r="AK744" s="58">
        <f>AI744+AJ744</f>
        <v>0</v>
      </c>
      <c r="AL744" s="69"/>
      <c r="AM744" s="2194">
        <f ca="1">SUM((INDIRECT(AM$2&amp;(ROW())):INDIRECT(AM$3&amp;(ROW()))))</f>
        <v>0</v>
      </c>
      <c r="AN744" s="2194">
        <f ca="1">SUM(INDIRECT(AN$1&amp;AN$2&amp;$C744):INDIRECT(AN$1&amp;AN$3&amp;$C744))</f>
        <v>0</v>
      </c>
      <c r="AO744" s="2912">
        <f t="shared" ca="1" si="1303"/>
        <v>0</v>
      </c>
      <c r="AP744" s="2913">
        <f t="shared" ca="1" si="1286"/>
        <v>0</v>
      </c>
      <c r="AQ744" s="2194">
        <f ca="1">SUM(INDIRECT(AQ$1&amp;AQ$2&amp;$A744):INDIRECT(AQ$1&amp;AQ$3&amp;$A744))</f>
        <v>0</v>
      </c>
      <c r="AR744" s="2912">
        <f t="shared" ca="1" si="1304"/>
        <v>0</v>
      </c>
      <c r="AS744" s="2913">
        <f t="shared" ca="1" si="1287"/>
        <v>0</v>
      </c>
      <c r="AU744" s="2194">
        <f ca="1">SUM((INDIRECT(AU$2&amp;(ROW())):INDIRECT(AU$3&amp;(ROW()))))</f>
        <v>0</v>
      </c>
      <c r="AV744" s="2194">
        <f ca="1">SUM(INDIRECT(AV$1&amp;AV$2&amp;$C744):INDIRECT(AV$1&amp;AV$3&amp;$C744))</f>
        <v>0</v>
      </c>
      <c r="AW744" s="2912">
        <f t="shared" ca="1" si="1288"/>
        <v>0</v>
      </c>
      <c r="AX744" s="2913">
        <f t="shared" ca="1" si="1289"/>
        <v>0</v>
      </c>
      <c r="AY744" s="2194">
        <f ca="1">SUM(INDIRECT(AY$1&amp;AY$2&amp;$A744):INDIRECT(AY$1&amp;AY$3&amp;$A744))</f>
        <v>0</v>
      </c>
      <c r="AZ744" s="2912">
        <f t="shared" ca="1" si="1290"/>
        <v>0</v>
      </c>
      <c r="BA744" s="2913">
        <f t="shared" ca="1" si="1291"/>
        <v>0</v>
      </c>
      <c r="BC744" s="2194">
        <f ca="1">SUM((INDIRECT(BC$2&amp;(ROW())):INDIRECT(BC$3&amp;(ROW()))))</f>
        <v>0</v>
      </c>
      <c r="BD744" s="2194">
        <f ca="1">SUM(INDIRECT(BD$1&amp;BD$2&amp;$C744):INDIRECT(BD$1&amp;BD$3&amp;$C744))</f>
        <v>0</v>
      </c>
      <c r="BE744" s="2912">
        <f t="shared" ca="1" si="1292"/>
        <v>0</v>
      </c>
      <c r="BF744" s="2913">
        <f t="shared" ca="1" si="1293"/>
        <v>0</v>
      </c>
      <c r="BG744" s="2194">
        <f ca="1">SUM(INDIRECT(BG$1&amp;BG$2&amp;$A744):INDIRECT(BG$1&amp;BG$3&amp;$A744))</f>
        <v>0</v>
      </c>
      <c r="BH744" s="2912">
        <f t="shared" ca="1" si="1294"/>
        <v>0</v>
      </c>
      <c r="BI744" s="2913">
        <f t="shared" ca="1" si="1295"/>
        <v>0</v>
      </c>
    </row>
    <row r="745" spans="1:61" s="69" customFormat="1" ht="14.5">
      <c r="A745" s="1693">
        <f t="shared" si="1317"/>
        <v>737</v>
      </c>
      <c r="B745" s="616">
        <v>1</v>
      </c>
      <c r="C745" s="1693">
        <f t="shared" si="1316"/>
        <v>745</v>
      </c>
      <c r="D745" s="616">
        <v>1</v>
      </c>
      <c r="G745" s="9"/>
      <c r="H745" s="9"/>
      <c r="I745" s="22"/>
      <c r="J745" s="352"/>
      <c r="K745" s="353"/>
      <c r="L745" s="68"/>
      <c r="M745" s="68"/>
      <c r="P745" s="306" t="s">
        <v>133</v>
      </c>
      <c r="Q745" s="306"/>
      <c r="R745" s="1782" t="str">
        <f>CHOOSE(2, "6722000003656", "S/GP (3) Gross Profit Indirect NH EFI/LF FSC (-)")</f>
        <v>S/GP (3) Gross Profit Indirect NH EFI/LF FSC (-)</v>
      </c>
      <c r="S745" s="1250">
        <f t="shared" ref="S745:AD745" si="1331">SUM(S746:S748)</f>
        <v>0</v>
      </c>
      <c r="T745" s="1250">
        <f t="shared" si="1331"/>
        <v>0</v>
      </c>
      <c r="U745" s="1250">
        <f t="shared" si="1331"/>
        <v>0</v>
      </c>
      <c r="V745" s="1250">
        <f t="shared" si="1331"/>
        <v>0</v>
      </c>
      <c r="W745" s="1250">
        <f t="shared" si="1331"/>
        <v>0</v>
      </c>
      <c r="X745" s="1250">
        <f t="shared" si="1331"/>
        <v>0</v>
      </c>
      <c r="Y745" s="1250">
        <f t="shared" si="1331"/>
        <v>0</v>
      </c>
      <c r="Z745" s="1250">
        <f t="shared" si="1331"/>
        <v>0</v>
      </c>
      <c r="AA745" s="1250">
        <f t="shared" si="1331"/>
        <v>0</v>
      </c>
      <c r="AB745" s="1250">
        <f t="shared" si="1331"/>
        <v>0</v>
      </c>
      <c r="AC745" s="1250">
        <f t="shared" si="1331"/>
        <v>0</v>
      </c>
      <c r="AD745" s="1250">
        <f t="shared" si="1331"/>
        <v>0</v>
      </c>
      <c r="AE745" s="899">
        <f>SUM(S745:U745)</f>
        <v>0</v>
      </c>
      <c r="AF745" s="1250">
        <f>SUM(V745:X745)</f>
        <v>0</v>
      </c>
      <c r="AG745" s="1250">
        <f>SUM(Y745:AA745)</f>
        <v>0</v>
      </c>
      <c r="AH745" s="1250">
        <f>SUM(AB745:AD745)</f>
        <v>0</v>
      </c>
      <c r="AI745" s="1250">
        <f>AE745+AF745</f>
        <v>0</v>
      </c>
      <c r="AJ745" s="1250">
        <f>AH745+AG745</f>
        <v>0</v>
      </c>
      <c r="AK745" s="1250">
        <f>AI745+AJ745</f>
        <v>0</v>
      </c>
      <c r="AM745" s="2145">
        <f ca="1">SUM((INDIRECT(AM$2&amp;(ROW())):INDIRECT(AM$3&amp;(ROW()))))</f>
        <v>0</v>
      </c>
      <c r="AN745" s="2145">
        <f ca="1">SUM(INDIRECT(AN$1&amp;AN$2&amp;$C745):INDIRECT(AN$1&amp;AN$3&amp;$C745))</f>
        <v>0</v>
      </c>
      <c r="AO745" s="2887">
        <f t="shared" ca="1" si="1303"/>
        <v>0</v>
      </c>
      <c r="AP745" s="2888">
        <f t="shared" ca="1" si="1286"/>
        <v>0</v>
      </c>
      <c r="AQ745" s="2145">
        <f ca="1">SUM(INDIRECT(AQ$1&amp;AQ$2&amp;$A745):INDIRECT(AQ$1&amp;AQ$3&amp;$A745))</f>
        <v>0</v>
      </c>
      <c r="AR745" s="2887">
        <f t="shared" ca="1" si="1304"/>
        <v>0</v>
      </c>
      <c r="AS745" s="2888">
        <f t="shared" ca="1" si="1287"/>
        <v>0</v>
      </c>
      <c r="AU745" s="2145">
        <f ca="1">SUM((INDIRECT(AU$2&amp;(ROW())):INDIRECT(AU$3&amp;(ROW()))))</f>
        <v>0</v>
      </c>
      <c r="AV745" s="2145">
        <f ca="1">SUM(INDIRECT(AV$1&amp;AV$2&amp;$C745):INDIRECT(AV$1&amp;AV$3&amp;$C745))</f>
        <v>0</v>
      </c>
      <c r="AW745" s="2887">
        <f t="shared" ca="1" si="1288"/>
        <v>0</v>
      </c>
      <c r="AX745" s="2888">
        <f t="shared" ca="1" si="1289"/>
        <v>0</v>
      </c>
      <c r="AY745" s="2145">
        <f ca="1">SUM(INDIRECT(AY$1&amp;AY$2&amp;$A745):INDIRECT(AY$1&amp;AY$3&amp;$A745))</f>
        <v>0</v>
      </c>
      <c r="AZ745" s="2887">
        <f t="shared" ca="1" si="1290"/>
        <v>0</v>
      </c>
      <c r="BA745" s="2888">
        <f t="shared" ca="1" si="1291"/>
        <v>0</v>
      </c>
      <c r="BC745" s="2145">
        <f ca="1">SUM((INDIRECT(BC$2&amp;(ROW())):INDIRECT(BC$3&amp;(ROW()))))</f>
        <v>0</v>
      </c>
      <c r="BD745" s="2145">
        <f ca="1">SUM(INDIRECT(BD$1&amp;BD$2&amp;$C745):INDIRECT(BD$1&amp;BD$3&amp;$C745))</f>
        <v>0</v>
      </c>
      <c r="BE745" s="2887">
        <f t="shared" ca="1" si="1292"/>
        <v>0</v>
      </c>
      <c r="BF745" s="2888">
        <f t="shared" ca="1" si="1293"/>
        <v>0</v>
      </c>
      <c r="BG745" s="2145">
        <f ca="1">SUM(INDIRECT(BG$1&amp;BG$2&amp;$A745):INDIRECT(BG$1&amp;BG$3&amp;$A745))</f>
        <v>0</v>
      </c>
      <c r="BH745" s="2887">
        <f t="shared" ca="1" si="1294"/>
        <v>0</v>
      </c>
      <c r="BI745" s="2888">
        <f t="shared" ca="1" si="1295"/>
        <v>0</v>
      </c>
    </row>
    <row r="746" spans="1:61" s="69" customFormat="1" ht="14.5">
      <c r="A746" s="1693">
        <f t="shared" si="1317"/>
        <v>738</v>
      </c>
      <c r="B746" s="616">
        <v>1</v>
      </c>
      <c r="C746" s="1693">
        <f t="shared" si="1316"/>
        <v>746</v>
      </c>
      <c r="D746" s="616">
        <v>1</v>
      </c>
      <c r="G746" s="9"/>
      <c r="H746" s="9"/>
      <c r="I746" s="22"/>
      <c r="J746" s="352"/>
      <c r="K746" s="353"/>
      <c r="L746" s="68"/>
      <c r="M746" s="68"/>
      <c r="P746" s="307"/>
      <c r="Q746" s="291" t="s">
        <v>212</v>
      </c>
      <c r="R746" s="1779" t="str">
        <f>CHOOSE(2, "6722000003657", "S/GP (3) Gross Profit Indirect NH EFI/LF FSC (-) PC")</f>
        <v>S/GP (3) Gross Profit Indirect NH EFI/LF FSC (-) PC</v>
      </c>
      <c r="S746" s="1227"/>
      <c r="T746" s="1227"/>
      <c r="U746" s="1227"/>
      <c r="V746" s="1227"/>
      <c r="W746" s="1227"/>
      <c r="X746" s="1227"/>
      <c r="Y746" s="1227"/>
      <c r="Z746" s="1227"/>
      <c r="AA746" s="1227"/>
      <c r="AB746" s="1227"/>
      <c r="AC746" s="1227"/>
      <c r="AD746" s="1227"/>
      <c r="AE746" s="896">
        <f>SUM(S746,T746,U746)</f>
        <v>0</v>
      </c>
      <c r="AF746" s="95">
        <f>SUM(V746,W746,X746)</f>
        <v>0</v>
      </c>
      <c r="AG746" s="95">
        <f>SUM(Y746,Z746,AA746)</f>
        <v>0</v>
      </c>
      <c r="AH746" s="95">
        <f>SUM(AB746,AC746,AD746)</f>
        <v>0</v>
      </c>
      <c r="AI746" s="95">
        <f>AE746+AF746</f>
        <v>0</v>
      </c>
      <c r="AJ746" s="95">
        <f>AH746+AG746</f>
        <v>0</v>
      </c>
      <c r="AK746" s="95">
        <f>AI746+AJ746</f>
        <v>0</v>
      </c>
      <c r="AM746" s="2138">
        <f ca="1">SUM((INDIRECT(AM$2&amp;(ROW())):INDIRECT(AM$3&amp;(ROW()))))</f>
        <v>0</v>
      </c>
      <c r="AN746" s="2138">
        <f ca="1">SUM(INDIRECT(AN$1&amp;AN$2&amp;$C746):INDIRECT(AN$1&amp;AN$3&amp;$C746))</f>
        <v>0</v>
      </c>
      <c r="AO746" s="2879">
        <f t="shared" ca="1" si="1303"/>
        <v>0</v>
      </c>
      <c r="AP746" s="2880">
        <f t="shared" ca="1" si="1286"/>
        <v>0</v>
      </c>
      <c r="AQ746" s="2138">
        <f ca="1">SUM(INDIRECT(AQ$1&amp;AQ$2&amp;$A746):INDIRECT(AQ$1&amp;AQ$3&amp;$A746))</f>
        <v>0</v>
      </c>
      <c r="AR746" s="2879">
        <f t="shared" ca="1" si="1304"/>
        <v>0</v>
      </c>
      <c r="AS746" s="2880">
        <f t="shared" ca="1" si="1287"/>
        <v>0</v>
      </c>
      <c r="AU746" s="2138">
        <f ca="1">SUM((INDIRECT(AU$2&amp;(ROW())):INDIRECT(AU$3&amp;(ROW()))))</f>
        <v>0</v>
      </c>
      <c r="AV746" s="2138">
        <f ca="1">SUM(INDIRECT(AV$1&amp;AV$2&amp;$C746):INDIRECT(AV$1&amp;AV$3&amp;$C746))</f>
        <v>0</v>
      </c>
      <c r="AW746" s="2879">
        <f t="shared" ca="1" si="1288"/>
        <v>0</v>
      </c>
      <c r="AX746" s="2880">
        <f t="shared" ca="1" si="1289"/>
        <v>0</v>
      </c>
      <c r="AY746" s="2138">
        <f ca="1">SUM(INDIRECT(AY$1&amp;AY$2&amp;$A746):INDIRECT(AY$1&amp;AY$3&amp;$A746))</f>
        <v>0</v>
      </c>
      <c r="AZ746" s="2879">
        <f t="shared" ca="1" si="1290"/>
        <v>0</v>
      </c>
      <c r="BA746" s="2880">
        <f t="shared" ca="1" si="1291"/>
        <v>0</v>
      </c>
      <c r="BC746" s="2138">
        <f ca="1">SUM((INDIRECT(BC$2&amp;(ROW())):INDIRECT(BC$3&amp;(ROW()))))</f>
        <v>0</v>
      </c>
      <c r="BD746" s="2138">
        <f ca="1">SUM(INDIRECT(BD$1&amp;BD$2&amp;$C746):INDIRECT(BD$1&amp;BD$3&amp;$C746))</f>
        <v>0</v>
      </c>
      <c r="BE746" s="2879">
        <f t="shared" ca="1" si="1292"/>
        <v>0</v>
      </c>
      <c r="BF746" s="2880">
        <f t="shared" ca="1" si="1293"/>
        <v>0</v>
      </c>
      <c r="BG746" s="2138">
        <f ca="1">SUM(INDIRECT(BG$1&amp;BG$2&amp;$A746):INDIRECT(BG$1&amp;BG$3&amp;$A746))</f>
        <v>0</v>
      </c>
      <c r="BH746" s="2879">
        <f t="shared" ca="1" si="1294"/>
        <v>0</v>
      </c>
      <c r="BI746" s="2880">
        <f t="shared" ca="1" si="1295"/>
        <v>0</v>
      </c>
    </row>
    <row r="747" spans="1:61" s="69" customFormat="1" ht="14.5">
      <c r="A747" s="1693">
        <f t="shared" si="1317"/>
        <v>739</v>
      </c>
      <c r="B747" s="616">
        <v>1</v>
      </c>
      <c r="C747" s="1693">
        <f t="shared" si="1316"/>
        <v>747</v>
      </c>
      <c r="D747" s="616">
        <v>1</v>
      </c>
      <c r="G747" s="9"/>
      <c r="H747" s="9"/>
      <c r="I747" s="22"/>
      <c r="J747" s="352"/>
      <c r="K747" s="353"/>
      <c r="L747" s="68"/>
      <c r="M747" s="68"/>
      <c r="P747" s="231"/>
      <c r="Q747" s="229" t="s">
        <v>213</v>
      </c>
      <c r="R747" s="1779" t="str">
        <f>CHOOSE(2, "6722000003658", "S/GP (3) Gross Profit Indirect NH EFI/LF FSC (-) TE")</f>
        <v>S/GP (3) Gross Profit Indirect NH EFI/LF FSC (-) TE</v>
      </c>
      <c r="S747" s="1217"/>
      <c r="T747" s="1217"/>
      <c r="U747" s="1217"/>
      <c r="V747" s="1217"/>
      <c r="W747" s="1217"/>
      <c r="X747" s="1217"/>
      <c r="Y747" s="1217"/>
      <c r="Z747" s="1217"/>
      <c r="AA747" s="1217"/>
      <c r="AB747" s="1217"/>
      <c r="AC747" s="1217"/>
      <c r="AD747" s="1217"/>
      <c r="AE747" s="783">
        <f>SUM(S747,T747,U747)</f>
        <v>0</v>
      </c>
      <c r="AF747" s="1226">
        <f>SUM(V747,W747,X747)</f>
        <v>0</v>
      </c>
      <c r="AG747" s="1226">
        <f>SUM(Y747,Z747,AA747)</f>
        <v>0</v>
      </c>
      <c r="AH747" s="1226">
        <f>SUM(AB747,AC747,AD747)</f>
        <v>0</v>
      </c>
      <c r="AI747" s="1226">
        <f>AE747+AF747</f>
        <v>0</v>
      </c>
      <c r="AJ747" s="1226">
        <f>AH747+AG747</f>
        <v>0</v>
      </c>
      <c r="AK747" s="1226">
        <f>AI747+AJ747</f>
        <v>0</v>
      </c>
      <c r="AM747" s="579">
        <f ca="1">SUM((INDIRECT(AM$2&amp;(ROW())):INDIRECT(AM$3&amp;(ROW()))))</f>
        <v>0</v>
      </c>
      <c r="AN747" s="579">
        <f ca="1">SUM(INDIRECT(AN$1&amp;AN$2&amp;$C747):INDIRECT(AN$1&amp;AN$3&amp;$C747))</f>
        <v>0</v>
      </c>
      <c r="AO747" s="2889">
        <f t="shared" ca="1" si="1303"/>
        <v>0</v>
      </c>
      <c r="AP747" s="2890">
        <f t="shared" ca="1" si="1286"/>
        <v>0</v>
      </c>
      <c r="AQ747" s="579">
        <f ca="1">SUM(INDIRECT(AQ$1&amp;AQ$2&amp;$A747):INDIRECT(AQ$1&amp;AQ$3&amp;$A747))</f>
        <v>0</v>
      </c>
      <c r="AR747" s="2889">
        <f t="shared" ca="1" si="1304"/>
        <v>0</v>
      </c>
      <c r="AS747" s="2890">
        <f t="shared" ca="1" si="1287"/>
        <v>0</v>
      </c>
      <c r="AU747" s="579">
        <f ca="1">SUM((INDIRECT(AU$2&amp;(ROW())):INDIRECT(AU$3&amp;(ROW()))))</f>
        <v>0</v>
      </c>
      <c r="AV747" s="579">
        <f ca="1">SUM(INDIRECT(AV$1&amp;AV$2&amp;$C747):INDIRECT(AV$1&amp;AV$3&amp;$C747))</f>
        <v>0</v>
      </c>
      <c r="AW747" s="2889">
        <f t="shared" ca="1" si="1288"/>
        <v>0</v>
      </c>
      <c r="AX747" s="2890">
        <f t="shared" ca="1" si="1289"/>
        <v>0</v>
      </c>
      <c r="AY747" s="579">
        <f ca="1">SUM(INDIRECT(AY$1&amp;AY$2&amp;$A747):INDIRECT(AY$1&amp;AY$3&amp;$A747))</f>
        <v>0</v>
      </c>
      <c r="AZ747" s="2889">
        <f t="shared" ca="1" si="1290"/>
        <v>0</v>
      </c>
      <c r="BA747" s="2890">
        <f t="shared" ca="1" si="1291"/>
        <v>0</v>
      </c>
      <c r="BC747" s="579">
        <f ca="1">SUM((INDIRECT(BC$2&amp;(ROW())):INDIRECT(BC$3&amp;(ROW()))))</f>
        <v>0</v>
      </c>
      <c r="BD747" s="579">
        <f ca="1">SUM(INDIRECT(BD$1&amp;BD$2&amp;$C747):INDIRECT(BD$1&amp;BD$3&amp;$C747))</f>
        <v>0</v>
      </c>
      <c r="BE747" s="2889">
        <f t="shared" ca="1" si="1292"/>
        <v>0</v>
      </c>
      <c r="BF747" s="2890">
        <f t="shared" ca="1" si="1293"/>
        <v>0</v>
      </c>
      <c r="BG747" s="579">
        <f ca="1">SUM(INDIRECT(BG$1&amp;BG$2&amp;$A747):INDIRECT(BG$1&amp;BG$3&amp;$A747))</f>
        <v>0</v>
      </c>
      <c r="BH747" s="2889">
        <f t="shared" ca="1" si="1294"/>
        <v>0</v>
      </c>
      <c r="BI747" s="2890">
        <f t="shared" ca="1" si="1295"/>
        <v>0</v>
      </c>
    </row>
    <row r="748" spans="1:61" s="69" customFormat="1" ht="14.5">
      <c r="A748" s="1693">
        <f t="shared" si="1317"/>
        <v>740</v>
      </c>
      <c r="B748" s="616">
        <v>1</v>
      </c>
      <c r="C748" s="1693">
        <f t="shared" si="1316"/>
        <v>748</v>
      </c>
      <c r="D748" s="616">
        <v>1</v>
      </c>
      <c r="G748" s="9"/>
      <c r="H748" s="9"/>
      <c r="I748" s="22"/>
      <c r="J748" s="352"/>
      <c r="K748" s="353"/>
      <c r="L748" s="68"/>
      <c r="M748" s="68"/>
      <c r="O748" s="211"/>
      <c r="P748" s="232"/>
      <c r="Q748" s="228" t="s">
        <v>218</v>
      </c>
      <c r="R748" s="1779" t="str">
        <f>CHOOSE(2, "6722000003659", "S/GP (3) Gross Profit Indirect NH EFI/LF FSC (-) OFC")</f>
        <v>S/GP (3) Gross Profit Indirect NH EFI/LF FSC (-) OFC</v>
      </c>
      <c r="S748" s="1218"/>
      <c r="T748" s="1218"/>
      <c r="U748" s="1218"/>
      <c r="V748" s="1218"/>
      <c r="W748" s="1218"/>
      <c r="X748" s="1218"/>
      <c r="Y748" s="1218"/>
      <c r="Z748" s="1218"/>
      <c r="AA748" s="1218"/>
      <c r="AB748" s="1218"/>
      <c r="AC748" s="1218"/>
      <c r="AD748" s="1218"/>
      <c r="AE748" s="783">
        <f>SUM(S748,T748,U748)</f>
        <v>0</v>
      </c>
      <c r="AF748" s="1226">
        <f>SUM(V748,W748,X748)</f>
        <v>0</v>
      </c>
      <c r="AG748" s="1226">
        <f>SUM(Y748,Z748,AA748)</f>
        <v>0</v>
      </c>
      <c r="AH748" s="1226">
        <f>SUM(AB748,AC748,AD748)</f>
        <v>0</v>
      </c>
      <c r="AI748" s="1226">
        <f>AE748+AF748</f>
        <v>0</v>
      </c>
      <c r="AJ748" s="1226">
        <f>AH748+AG748</f>
        <v>0</v>
      </c>
      <c r="AK748" s="1226">
        <f>AI748+AJ748</f>
        <v>0</v>
      </c>
      <c r="AM748" s="579">
        <f ca="1">SUM((INDIRECT(AM$2&amp;(ROW())):INDIRECT(AM$3&amp;(ROW()))))</f>
        <v>0</v>
      </c>
      <c r="AN748" s="579">
        <f ca="1">SUM(INDIRECT(AN$1&amp;AN$2&amp;$C748):INDIRECT(AN$1&amp;AN$3&amp;$C748))</f>
        <v>0</v>
      </c>
      <c r="AO748" s="2889">
        <f t="shared" ca="1" si="1303"/>
        <v>0</v>
      </c>
      <c r="AP748" s="2890">
        <f t="shared" ca="1" si="1286"/>
        <v>0</v>
      </c>
      <c r="AQ748" s="579">
        <f ca="1">SUM(INDIRECT(AQ$1&amp;AQ$2&amp;$A748):INDIRECT(AQ$1&amp;AQ$3&amp;$A748))</f>
        <v>0</v>
      </c>
      <c r="AR748" s="2889">
        <f t="shared" ca="1" si="1304"/>
        <v>0</v>
      </c>
      <c r="AS748" s="2890">
        <f t="shared" ca="1" si="1287"/>
        <v>0</v>
      </c>
      <c r="AU748" s="579">
        <f ca="1">SUM((INDIRECT(AU$2&amp;(ROW())):INDIRECT(AU$3&amp;(ROW()))))</f>
        <v>0</v>
      </c>
      <c r="AV748" s="579">
        <f ca="1">SUM(INDIRECT(AV$1&amp;AV$2&amp;$C748):INDIRECT(AV$1&amp;AV$3&amp;$C748))</f>
        <v>0</v>
      </c>
      <c r="AW748" s="2889">
        <f t="shared" ca="1" si="1288"/>
        <v>0</v>
      </c>
      <c r="AX748" s="2890">
        <f t="shared" ca="1" si="1289"/>
        <v>0</v>
      </c>
      <c r="AY748" s="579">
        <f ca="1">SUM(INDIRECT(AY$1&amp;AY$2&amp;$A748):INDIRECT(AY$1&amp;AY$3&amp;$A748))</f>
        <v>0</v>
      </c>
      <c r="AZ748" s="2889">
        <f t="shared" ca="1" si="1290"/>
        <v>0</v>
      </c>
      <c r="BA748" s="2890">
        <f t="shared" ca="1" si="1291"/>
        <v>0</v>
      </c>
      <c r="BC748" s="579">
        <f ca="1">SUM((INDIRECT(BC$2&amp;(ROW())):INDIRECT(BC$3&amp;(ROW()))))</f>
        <v>0</v>
      </c>
      <c r="BD748" s="579">
        <f ca="1">SUM(INDIRECT(BD$1&amp;BD$2&amp;$C748):INDIRECT(BD$1&amp;BD$3&amp;$C748))</f>
        <v>0</v>
      </c>
      <c r="BE748" s="2889">
        <f t="shared" ca="1" si="1292"/>
        <v>0</v>
      </c>
      <c r="BF748" s="2890">
        <f t="shared" ca="1" si="1293"/>
        <v>0</v>
      </c>
      <c r="BG748" s="579">
        <f ca="1">SUM(INDIRECT(BG$1&amp;BG$2&amp;$A748):INDIRECT(BG$1&amp;BG$3&amp;$A748))</f>
        <v>0</v>
      </c>
      <c r="BH748" s="2889">
        <f t="shared" ca="1" si="1294"/>
        <v>0</v>
      </c>
      <c r="BI748" s="2890">
        <f t="shared" ca="1" si="1295"/>
        <v>0</v>
      </c>
    </row>
    <row r="749" spans="1:61" ht="14.5">
      <c r="A749" s="1693">
        <f t="shared" si="1317"/>
        <v>741</v>
      </c>
      <c r="B749" s="616">
        <v>1</v>
      </c>
      <c r="C749" s="1693">
        <f t="shared" si="1316"/>
        <v>749</v>
      </c>
      <c r="D749" s="616">
        <v>1</v>
      </c>
      <c r="F749" s="69"/>
      <c r="J749" s="352"/>
      <c r="K749" s="353"/>
      <c r="L749" s="68"/>
      <c r="M749" s="68"/>
      <c r="N749" s="69"/>
      <c r="O749" s="69" t="s">
        <v>180</v>
      </c>
      <c r="P749" s="302"/>
      <c r="Q749" s="302"/>
      <c r="R749" s="1777" t="str">
        <f>CHOOSE(2, "6722000003660", "S/GP (3) Gross Profit Indirect NH TextilePrinter")</f>
        <v>S/GP (3) Gross Profit Indirect NH TextilePrinter</v>
      </c>
      <c r="S749" s="1250">
        <f t="shared" ref="S749:AD749" si="1332">S750+S751</f>
        <v>0</v>
      </c>
      <c r="T749" s="1250">
        <f t="shared" si="1332"/>
        <v>0</v>
      </c>
      <c r="U749" s="1250">
        <f t="shared" si="1332"/>
        <v>0</v>
      </c>
      <c r="V749" s="1250">
        <f t="shared" si="1332"/>
        <v>0</v>
      </c>
      <c r="W749" s="1250">
        <f t="shared" si="1332"/>
        <v>0</v>
      </c>
      <c r="X749" s="1250">
        <f t="shared" si="1332"/>
        <v>0</v>
      </c>
      <c r="Y749" s="1250">
        <f t="shared" si="1332"/>
        <v>0</v>
      </c>
      <c r="Z749" s="1250">
        <f t="shared" si="1332"/>
        <v>0</v>
      </c>
      <c r="AA749" s="1250">
        <f t="shared" si="1332"/>
        <v>0</v>
      </c>
      <c r="AB749" s="1250">
        <f t="shared" si="1332"/>
        <v>0</v>
      </c>
      <c r="AC749" s="1250">
        <f t="shared" si="1332"/>
        <v>0</v>
      </c>
      <c r="AD749" s="1250">
        <f t="shared" si="1332"/>
        <v>0</v>
      </c>
      <c r="AE749" s="899">
        <f t="shared" ref="AE749:AK749" si="1333">AE750+AE751</f>
        <v>0</v>
      </c>
      <c r="AF749" s="1250">
        <f t="shared" si="1333"/>
        <v>0</v>
      </c>
      <c r="AG749" s="1250">
        <f t="shared" si="1333"/>
        <v>0</v>
      </c>
      <c r="AH749" s="1250">
        <f t="shared" si="1333"/>
        <v>0</v>
      </c>
      <c r="AI749" s="1250">
        <f t="shared" si="1333"/>
        <v>0</v>
      </c>
      <c r="AJ749" s="1250">
        <f t="shared" si="1333"/>
        <v>0</v>
      </c>
      <c r="AK749" s="1250">
        <f t="shared" si="1333"/>
        <v>0</v>
      </c>
      <c r="AL749" s="69"/>
      <c r="AM749" s="2194">
        <f ca="1">SUM((INDIRECT(AM$2&amp;(ROW())):INDIRECT(AM$3&amp;(ROW()))))</f>
        <v>0</v>
      </c>
      <c r="AN749" s="2194">
        <f ca="1">SUM(INDIRECT(AN$1&amp;AN$2&amp;$C749):INDIRECT(AN$1&amp;AN$3&amp;$C749))</f>
        <v>0</v>
      </c>
      <c r="AO749" s="2912">
        <f t="shared" ca="1" si="1303"/>
        <v>0</v>
      </c>
      <c r="AP749" s="2913">
        <f t="shared" ca="1" si="1286"/>
        <v>0</v>
      </c>
      <c r="AQ749" s="2194">
        <f ca="1">SUM(INDIRECT(AQ$1&amp;AQ$2&amp;$A749):INDIRECT(AQ$1&amp;AQ$3&amp;$A749))</f>
        <v>0</v>
      </c>
      <c r="AR749" s="2912">
        <f t="shared" ca="1" si="1304"/>
        <v>0</v>
      </c>
      <c r="AS749" s="2913">
        <f t="shared" ca="1" si="1287"/>
        <v>0</v>
      </c>
      <c r="AU749" s="2194">
        <f ca="1">SUM((INDIRECT(AU$2&amp;(ROW())):INDIRECT(AU$3&amp;(ROW()))))</f>
        <v>0</v>
      </c>
      <c r="AV749" s="2194">
        <f ca="1">SUM(INDIRECT(AV$1&amp;AV$2&amp;$C749):INDIRECT(AV$1&amp;AV$3&amp;$C749))</f>
        <v>0</v>
      </c>
      <c r="AW749" s="2912">
        <f t="shared" ca="1" si="1288"/>
        <v>0</v>
      </c>
      <c r="AX749" s="2913">
        <f t="shared" ca="1" si="1289"/>
        <v>0</v>
      </c>
      <c r="AY749" s="2194">
        <f ca="1">SUM(INDIRECT(AY$1&amp;AY$2&amp;$A749):INDIRECT(AY$1&amp;AY$3&amp;$A749))</f>
        <v>0</v>
      </c>
      <c r="AZ749" s="2912">
        <f t="shared" ca="1" si="1290"/>
        <v>0</v>
      </c>
      <c r="BA749" s="2913">
        <f t="shared" ca="1" si="1291"/>
        <v>0</v>
      </c>
      <c r="BC749" s="2194">
        <f ca="1">SUM((INDIRECT(BC$2&amp;(ROW())):INDIRECT(BC$3&amp;(ROW()))))</f>
        <v>0</v>
      </c>
      <c r="BD749" s="2194">
        <f ca="1">SUM(INDIRECT(BD$1&amp;BD$2&amp;$C749):INDIRECT(BD$1&amp;BD$3&amp;$C749))</f>
        <v>0</v>
      </c>
      <c r="BE749" s="2912">
        <f t="shared" ca="1" si="1292"/>
        <v>0</v>
      </c>
      <c r="BF749" s="2913">
        <f t="shared" ca="1" si="1293"/>
        <v>0</v>
      </c>
      <c r="BG749" s="2194">
        <f ca="1">SUM(INDIRECT(BG$1&amp;BG$2&amp;$A749):INDIRECT(BG$1&amp;BG$3&amp;$A749))</f>
        <v>0</v>
      </c>
      <c r="BH749" s="2912">
        <f t="shared" ca="1" si="1294"/>
        <v>0</v>
      </c>
      <c r="BI749" s="2913">
        <f t="shared" ca="1" si="1295"/>
        <v>0</v>
      </c>
    </row>
    <row r="750" spans="1:61" ht="14.5">
      <c r="A750" s="1693">
        <f t="shared" si="1317"/>
        <v>742</v>
      </c>
      <c r="B750" s="616">
        <v>1</v>
      </c>
      <c r="C750" s="1693">
        <f t="shared" si="1316"/>
        <v>750</v>
      </c>
      <c r="D750" s="616">
        <v>1</v>
      </c>
      <c r="F750" s="69"/>
      <c r="J750" s="352"/>
      <c r="K750" s="353"/>
      <c r="L750" s="68"/>
      <c r="M750" s="68"/>
      <c r="N750" s="69"/>
      <c r="O750" s="69"/>
      <c r="P750" s="305" t="s">
        <v>216</v>
      </c>
      <c r="Q750" s="305"/>
      <c r="R750" s="1779" t="str">
        <f>CHOOSE(2, "6722000003661", "S/GP (3) Gross Profit Indirect NH TextilePrinter TP")</f>
        <v>S/GP (3) Gross Profit Indirect NH TextilePrinter TP</v>
      </c>
      <c r="S750" s="1254"/>
      <c r="T750" s="1254"/>
      <c r="U750" s="1254"/>
      <c r="V750" s="1254"/>
      <c r="W750" s="1254"/>
      <c r="X750" s="1254"/>
      <c r="Y750" s="1254"/>
      <c r="Z750" s="1254"/>
      <c r="AA750" s="1254"/>
      <c r="AB750" s="1254"/>
      <c r="AC750" s="1254"/>
      <c r="AD750" s="1254"/>
      <c r="AE750" s="903">
        <f>SUM(S750,T750,U750)</f>
        <v>0</v>
      </c>
      <c r="AF750" s="58">
        <f>SUM(V750,W750,X750)</f>
        <v>0</v>
      </c>
      <c r="AG750" s="58">
        <f>SUM(Y750,Z750,AA750)</f>
        <v>0</v>
      </c>
      <c r="AH750" s="58">
        <f>SUM(AB750,AC750,AD750)</f>
        <v>0</v>
      </c>
      <c r="AI750" s="58">
        <f t="shared" ref="AI750:AI759" si="1334">AE750+AF750</f>
        <v>0</v>
      </c>
      <c r="AJ750" s="58">
        <f t="shared" ref="AJ750:AJ759" si="1335">AH750+AG750</f>
        <v>0</v>
      </c>
      <c r="AK750" s="58">
        <f t="shared" ref="AK750:AK759" si="1336">AI750+AJ750</f>
        <v>0</v>
      </c>
      <c r="AL750" s="69"/>
      <c r="AM750" s="2194">
        <f ca="1">SUM((INDIRECT(AM$2&amp;(ROW())):INDIRECT(AM$3&amp;(ROW()))))</f>
        <v>0</v>
      </c>
      <c r="AN750" s="2194">
        <f ca="1">SUM(INDIRECT(AN$1&amp;AN$2&amp;$C750):INDIRECT(AN$1&amp;AN$3&amp;$C750))</f>
        <v>0</v>
      </c>
      <c r="AO750" s="2912">
        <f t="shared" ca="1" si="1303"/>
        <v>0</v>
      </c>
      <c r="AP750" s="2913">
        <f t="shared" ca="1" si="1286"/>
        <v>0</v>
      </c>
      <c r="AQ750" s="2194">
        <f ca="1">SUM(INDIRECT(AQ$1&amp;AQ$2&amp;$A750):INDIRECT(AQ$1&amp;AQ$3&amp;$A750))</f>
        <v>0</v>
      </c>
      <c r="AR750" s="2912">
        <f t="shared" ca="1" si="1304"/>
        <v>0</v>
      </c>
      <c r="AS750" s="2913">
        <f t="shared" ca="1" si="1287"/>
        <v>0</v>
      </c>
      <c r="AU750" s="2194">
        <f ca="1">SUM((INDIRECT(AU$2&amp;(ROW())):INDIRECT(AU$3&amp;(ROW()))))</f>
        <v>0</v>
      </c>
      <c r="AV750" s="2194">
        <f ca="1">SUM(INDIRECT(AV$1&amp;AV$2&amp;$C750):INDIRECT(AV$1&amp;AV$3&amp;$C750))</f>
        <v>0</v>
      </c>
      <c r="AW750" s="2912">
        <f t="shared" ca="1" si="1288"/>
        <v>0</v>
      </c>
      <c r="AX750" s="2913">
        <f t="shared" ca="1" si="1289"/>
        <v>0</v>
      </c>
      <c r="AY750" s="2194">
        <f ca="1">SUM(INDIRECT(AY$1&amp;AY$2&amp;$A750):INDIRECT(AY$1&amp;AY$3&amp;$A750))</f>
        <v>0</v>
      </c>
      <c r="AZ750" s="2912">
        <f t="shared" ca="1" si="1290"/>
        <v>0</v>
      </c>
      <c r="BA750" s="2913">
        <f t="shared" ca="1" si="1291"/>
        <v>0</v>
      </c>
      <c r="BC750" s="2194">
        <f ca="1">SUM((INDIRECT(BC$2&amp;(ROW())):INDIRECT(BC$3&amp;(ROW()))))</f>
        <v>0</v>
      </c>
      <c r="BD750" s="2194">
        <f ca="1">SUM(INDIRECT(BD$1&amp;BD$2&amp;$C750):INDIRECT(BD$1&amp;BD$3&amp;$C750))</f>
        <v>0</v>
      </c>
      <c r="BE750" s="2912">
        <f t="shared" ca="1" si="1292"/>
        <v>0</v>
      </c>
      <c r="BF750" s="2913">
        <f t="shared" ca="1" si="1293"/>
        <v>0</v>
      </c>
      <c r="BG750" s="2194">
        <f ca="1">SUM(INDIRECT(BG$1&amp;BG$2&amp;$A750):INDIRECT(BG$1&amp;BG$3&amp;$A750))</f>
        <v>0</v>
      </c>
      <c r="BH750" s="2912">
        <f t="shared" ca="1" si="1294"/>
        <v>0</v>
      </c>
      <c r="BI750" s="2913">
        <f t="shared" ca="1" si="1295"/>
        <v>0</v>
      </c>
    </row>
    <row r="751" spans="1:61" s="69" customFormat="1" ht="14.5">
      <c r="A751" s="1693">
        <f t="shared" si="1317"/>
        <v>743</v>
      </c>
      <c r="B751" s="616">
        <v>1</v>
      </c>
      <c r="C751" s="1693">
        <f t="shared" si="1316"/>
        <v>751</v>
      </c>
      <c r="D751" s="616">
        <v>1</v>
      </c>
      <c r="G751" s="9"/>
      <c r="H751" s="9"/>
      <c r="I751" s="22"/>
      <c r="J751" s="352"/>
      <c r="K751" s="353"/>
      <c r="L751" s="68"/>
      <c r="M751" s="68"/>
      <c r="P751" s="306" t="s">
        <v>133</v>
      </c>
      <c r="Q751" s="306"/>
      <c r="R751" s="1782" t="str">
        <f>CHOOSE(2, "6722000003662", "S/GP (3) Gross Profit Indirect NH TextilePrinter FSC (-)")</f>
        <v>S/GP (3) Gross Profit Indirect NH TextilePrinter FSC (-)</v>
      </c>
      <c r="S751" s="1250">
        <f t="shared" ref="S751:AD751" si="1337">SUM(S752:S754)</f>
        <v>0</v>
      </c>
      <c r="T751" s="1250">
        <f t="shared" si="1337"/>
        <v>0</v>
      </c>
      <c r="U751" s="1250">
        <f t="shared" si="1337"/>
        <v>0</v>
      </c>
      <c r="V751" s="1250">
        <f t="shared" si="1337"/>
        <v>0</v>
      </c>
      <c r="W751" s="1250">
        <f t="shared" si="1337"/>
        <v>0</v>
      </c>
      <c r="X751" s="1250">
        <f t="shared" si="1337"/>
        <v>0</v>
      </c>
      <c r="Y751" s="1250">
        <f t="shared" si="1337"/>
        <v>0</v>
      </c>
      <c r="Z751" s="1250">
        <f t="shared" si="1337"/>
        <v>0</v>
      </c>
      <c r="AA751" s="1250">
        <f t="shared" si="1337"/>
        <v>0</v>
      </c>
      <c r="AB751" s="1250">
        <f t="shared" si="1337"/>
        <v>0</v>
      </c>
      <c r="AC751" s="1250">
        <f t="shared" si="1337"/>
        <v>0</v>
      </c>
      <c r="AD751" s="1250">
        <f t="shared" si="1337"/>
        <v>0</v>
      </c>
      <c r="AE751" s="899">
        <f>SUM(S751:U751)</f>
        <v>0</v>
      </c>
      <c r="AF751" s="1250">
        <f>SUM(V751:X751)</f>
        <v>0</v>
      </c>
      <c r="AG751" s="1250">
        <f>SUM(Y751:AA751)</f>
        <v>0</v>
      </c>
      <c r="AH751" s="1250">
        <f>SUM(AB751:AD751)</f>
        <v>0</v>
      </c>
      <c r="AI751" s="1250">
        <f t="shared" si="1334"/>
        <v>0</v>
      </c>
      <c r="AJ751" s="1250">
        <f t="shared" si="1335"/>
        <v>0</v>
      </c>
      <c r="AK751" s="1250">
        <f t="shared" si="1336"/>
        <v>0</v>
      </c>
      <c r="AL751" s="8"/>
      <c r="AM751" s="2145">
        <f ca="1">SUM((INDIRECT(AM$2&amp;(ROW())):INDIRECT(AM$3&amp;(ROW()))))</f>
        <v>0</v>
      </c>
      <c r="AN751" s="2145">
        <f ca="1">SUM(INDIRECT(AN$1&amp;AN$2&amp;$C751):INDIRECT(AN$1&amp;AN$3&amp;$C751))</f>
        <v>0</v>
      </c>
      <c r="AO751" s="2887">
        <f t="shared" ca="1" si="1303"/>
        <v>0</v>
      </c>
      <c r="AP751" s="2888">
        <f t="shared" ca="1" si="1286"/>
        <v>0</v>
      </c>
      <c r="AQ751" s="2145">
        <f ca="1">SUM(INDIRECT(AQ$1&amp;AQ$2&amp;$A751):INDIRECT(AQ$1&amp;AQ$3&amp;$A751))</f>
        <v>0</v>
      </c>
      <c r="AR751" s="2887">
        <f t="shared" ca="1" si="1304"/>
        <v>0</v>
      </c>
      <c r="AS751" s="2888">
        <f t="shared" ca="1" si="1287"/>
        <v>0</v>
      </c>
      <c r="AU751" s="2145">
        <f ca="1">SUM((INDIRECT(AU$2&amp;(ROW())):INDIRECT(AU$3&amp;(ROW()))))</f>
        <v>0</v>
      </c>
      <c r="AV751" s="2145">
        <f ca="1">SUM(INDIRECT(AV$1&amp;AV$2&amp;$C751):INDIRECT(AV$1&amp;AV$3&amp;$C751))</f>
        <v>0</v>
      </c>
      <c r="AW751" s="2887">
        <f t="shared" ca="1" si="1288"/>
        <v>0</v>
      </c>
      <c r="AX751" s="2888">
        <f t="shared" ca="1" si="1289"/>
        <v>0</v>
      </c>
      <c r="AY751" s="2145">
        <f ca="1">SUM(INDIRECT(AY$1&amp;AY$2&amp;$A751):INDIRECT(AY$1&amp;AY$3&amp;$A751))</f>
        <v>0</v>
      </c>
      <c r="AZ751" s="2887">
        <f t="shared" ca="1" si="1290"/>
        <v>0</v>
      </c>
      <c r="BA751" s="2888">
        <f t="shared" ca="1" si="1291"/>
        <v>0</v>
      </c>
      <c r="BC751" s="2145">
        <f ca="1">SUM((INDIRECT(BC$2&amp;(ROW())):INDIRECT(BC$3&amp;(ROW()))))</f>
        <v>0</v>
      </c>
      <c r="BD751" s="2145">
        <f ca="1">SUM(INDIRECT(BD$1&amp;BD$2&amp;$C751):INDIRECT(BD$1&amp;BD$3&amp;$C751))</f>
        <v>0</v>
      </c>
      <c r="BE751" s="2887">
        <f t="shared" ca="1" si="1292"/>
        <v>0</v>
      </c>
      <c r="BF751" s="2888">
        <f t="shared" ca="1" si="1293"/>
        <v>0</v>
      </c>
      <c r="BG751" s="2145">
        <f ca="1">SUM(INDIRECT(BG$1&amp;BG$2&amp;$A751):INDIRECT(BG$1&amp;BG$3&amp;$A751))</f>
        <v>0</v>
      </c>
      <c r="BH751" s="2887">
        <f t="shared" ca="1" si="1294"/>
        <v>0</v>
      </c>
      <c r="BI751" s="2888">
        <f t="shared" ca="1" si="1295"/>
        <v>0</v>
      </c>
    </row>
    <row r="752" spans="1:61" s="69" customFormat="1" ht="14.5">
      <c r="A752" s="1693">
        <f t="shared" si="1317"/>
        <v>744</v>
      </c>
      <c r="B752" s="616">
        <v>1</v>
      </c>
      <c r="C752" s="1693">
        <f t="shared" si="1316"/>
        <v>752</v>
      </c>
      <c r="D752" s="616">
        <v>1</v>
      </c>
      <c r="G752" s="9"/>
      <c r="H752" s="9"/>
      <c r="I752" s="22"/>
      <c r="J752" s="352"/>
      <c r="K752" s="353"/>
      <c r="L752" s="68"/>
      <c r="M752" s="68"/>
      <c r="P752" s="307"/>
      <c r="Q752" s="291" t="s">
        <v>212</v>
      </c>
      <c r="R752" s="1779" t="str">
        <f>CHOOSE(2, "6722000003663", "S/GP (3) Gross Profit Indirect NH TextilePrinter FSC (-) PC")</f>
        <v>S/GP (3) Gross Profit Indirect NH TextilePrinter FSC (-) PC</v>
      </c>
      <c r="S752" s="1227"/>
      <c r="T752" s="1227"/>
      <c r="U752" s="1227"/>
      <c r="V752" s="1227"/>
      <c r="W752" s="1227"/>
      <c r="X752" s="1227"/>
      <c r="Y752" s="1227"/>
      <c r="Z752" s="1227"/>
      <c r="AA752" s="1227"/>
      <c r="AB752" s="1227"/>
      <c r="AC752" s="1227"/>
      <c r="AD752" s="1227"/>
      <c r="AE752" s="896">
        <f>SUM(S752,T752,U752)</f>
        <v>0</v>
      </c>
      <c r="AF752" s="95">
        <f>SUM(V752,W752,X752)</f>
        <v>0</v>
      </c>
      <c r="AG752" s="95">
        <f>SUM(Y752,Z752,AA752)</f>
        <v>0</v>
      </c>
      <c r="AH752" s="95">
        <f>SUM(AB752,AC752,AD752)</f>
        <v>0</v>
      </c>
      <c r="AI752" s="95">
        <f t="shared" si="1334"/>
        <v>0</v>
      </c>
      <c r="AJ752" s="95">
        <f t="shared" si="1335"/>
        <v>0</v>
      </c>
      <c r="AK752" s="95">
        <f t="shared" si="1336"/>
        <v>0</v>
      </c>
      <c r="AM752" s="2138">
        <f ca="1">SUM((INDIRECT(AM$2&amp;(ROW())):INDIRECT(AM$3&amp;(ROW()))))</f>
        <v>0</v>
      </c>
      <c r="AN752" s="2138">
        <f ca="1">SUM(INDIRECT(AN$1&amp;AN$2&amp;$C752):INDIRECT(AN$1&amp;AN$3&amp;$C752))</f>
        <v>0</v>
      </c>
      <c r="AO752" s="2879">
        <f t="shared" ca="1" si="1303"/>
        <v>0</v>
      </c>
      <c r="AP752" s="2880">
        <f t="shared" ca="1" si="1286"/>
        <v>0</v>
      </c>
      <c r="AQ752" s="2138">
        <f ca="1">SUM(INDIRECT(AQ$1&amp;AQ$2&amp;$A752):INDIRECT(AQ$1&amp;AQ$3&amp;$A752))</f>
        <v>0</v>
      </c>
      <c r="AR752" s="2879">
        <f t="shared" ca="1" si="1304"/>
        <v>0</v>
      </c>
      <c r="AS752" s="2880">
        <f t="shared" ca="1" si="1287"/>
        <v>0</v>
      </c>
      <c r="AU752" s="2138">
        <f ca="1">SUM((INDIRECT(AU$2&amp;(ROW())):INDIRECT(AU$3&amp;(ROW()))))</f>
        <v>0</v>
      </c>
      <c r="AV752" s="2138">
        <f ca="1">SUM(INDIRECT(AV$1&amp;AV$2&amp;$C752):INDIRECT(AV$1&amp;AV$3&amp;$C752))</f>
        <v>0</v>
      </c>
      <c r="AW752" s="2879">
        <f t="shared" ca="1" si="1288"/>
        <v>0</v>
      </c>
      <c r="AX752" s="2880">
        <f t="shared" ca="1" si="1289"/>
        <v>0</v>
      </c>
      <c r="AY752" s="2138">
        <f ca="1">SUM(INDIRECT(AY$1&amp;AY$2&amp;$A752):INDIRECT(AY$1&amp;AY$3&amp;$A752))</f>
        <v>0</v>
      </c>
      <c r="AZ752" s="2879">
        <f t="shared" ca="1" si="1290"/>
        <v>0</v>
      </c>
      <c r="BA752" s="2880">
        <f t="shared" ca="1" si="1291"/>
        <v>0</v>
      </c>
      <c r="BC752" s="2138">
        <f ca="1">SUM((INDIRECT(BC$2&amp;(ROW())):INDIRECT(BC$3&amp;(ROW()))))</f>
        <v>0</v>
      </c>
      <c r="BD752" s="2138">
        <f ca="1">SUM(INDIRECT(BD$1&amp;BD$2&amp;$C752):INDIRECT(BD$1&amp;BD$3&amp;$C752))</f>
        <v>0</v>
      </c>
      <c r="BE752" s="2879">
        <f t="shared" ca="1" si="1292"/>
        <v>0</v>
      </c>
      <c r="BF752" s="2880">
        <f t="shared" ca="1" si="1293"/>
        <v>0</v>
      </c>
      <c r="BG752" s="2138">
        <f ca="1">SUM(INDIRECT(BG$1&amp;BG$2&amp;$A752):INDIRECT(BG$1&amp;BG$3&amp;$A752))</f>
        <v>0</v>
      </c>
      <c r="BH752" s="2879">
        <f t="shared" ca="1" si="1294"/>
        <v>0</v>
      </c>
      <c r="BI752" s="2880">
        <f t="shared" ca="1" si="1295"/>
        <v>0</v>
      </c>
    </row>
    <row r="753" spans="1:61" s="69" customFormat="1" ht="14.5">
      <c r="A753" s="1693">
        <f t="shared" si="1317"/>
        <v>745</v>
      </c>
      <c r="B753" s="616">
        <v>1</v>
      </c>
      <c r="C753" s="1693">
        <f t="shared" si="1316"/>
        <v>753</v>
      </c>
      <c r="D753" s="616">
        <v>1</v>
      </c>
      <c r="G753" s="9"/>
      <c r="H753" s="9"/>
      <c r="I753" s="22"/>
      <c r="J753" s="352"/>
      <c r="K753" s="353"/>
      <c r="L753" s="68"/>
      <c r="M753" s="68"/>
      <c r="P753" s="231"/>
      <c r="Q753" s="229" t="s">
        <v>213</v>
      </c>
      <c r="R753" s="1779" t="str">
        <f>CHOOSE(2, "6722000003664", "S/GP (3) Gross Profit Indirect NH TextilePrinter FSC (-) TE")</f>
        <v>S/GP (3) Gross Profit Indirect NH TextilePrinter FSC (-) TE</v>
      </c>
      <c r="S753" s="1217"/>
      <c r="T753" s="1217"/>
      <c r="U753" s="1217"/>
      <c r="V753" s="1217"/>
      <c r="W753" s="1217"/>
      <c r="X753" s="1217"/>
      <c r="Y753" s="1217"/>
      <c r="Z753" s="1217"/>
      <c r="AA753" s="1217"/>
      <c r="AB753" s="1217"/>
      <c r="AC753" s="1217"/>
      <c r="AD753" s="1217"/>
      <c r="AE753" s="783">
        <f>SUM(S753,T753,U753)</f>
        <v>0</v>
      </c>
      <c r="AF753" s="1226">
        <f>SUM(V753,W753,X753)</f>
        <v>0</v>
      </c>
      <c r="AG753" s="1226">
        <f>SUM(Y753,Z753,AA753)</f>
        <v>0</v>
      </c>
      <c r="AH753" s="1226">
        <f>SUM(AB753,AC753,AD753)</f>
        <v>0</v>
      </c>
      <c r="AI753" s="1226">
        <f t="shared" si="1334"/>
        <v>0</v>
      </c>
      <c r="AJ753" s="1226">
        <f t="shared" si="1335"/>
        <v>0</v>
      </c>
      <c r="AK753" s="1226">
        <f t="shared" si="1336"/>
        <v>0</v>
      </c>
      <c r="AL753" s="8"/>
      <c r="AM753" s="579">
        <f ca="1">SUM((INDIRECT(AM$2&amp;(ROW())):INDIRECT(AM$3&amp;(ROW()))))</f>
        <v>0</v>
      </c>
      <c r="AN753" s="579">
        <f ca="1">SUM(INDIRECT(AN$1&amp;AN$2&amp;$C753):INDIRECT(AN$1&amp;AN$3&amp;$C753))</f>
        <v>0</v>
      </c>
      <c r="AO753" s="2889">
        <f t="shared" ca="1" si="1303"/>
        <v>0</v>
      </c>
      <c r="AP753" s="2890">
        <f t="shared" ca="1" si="1286"/>
        <v>0</v>
      </c>
      <c r="AQ753" s="579">
        <f ca="1">SUM(INDIRECT(AQ$1&amp;AQ$2&amp;$A753):INDIRECT(AQ$1&amp;AQ$3&amp;$A753))</f>
        <v>0</v>
      </c>
      <c r="AR753" s="2889">
        <f t="shared" ca="1" si="1304"/>
        <v>0</v>
      </c>
      <c r="AS753" s="2890">
        <f t="shared" ca="1" si="1287"/>
        <v>0</v>
      </c>
      <c r="AU753" s="579">
        <f ca="1">SUM((INDIRECT(AU$2&amp;(ROW())):INDIRECT(AU$3&amp;(ROW()))))</f>
        <v>0</v>
      </c>
      <c r="AV753" s="579">
        <f ca="1">SUM(INDIRECT(AV$1&amp;AV$2&amp;$C753):INDIRECT(AV$1&amp;AV$3&amp;$C753))</f>
        <v>0</v>
      </c>
      <c r="AW753" s="2889">
        <f t="shared" ca="1" si="1288"/>
        <v>0</v>
      </c>
      <c r="AX753" s="2890">
        <f t="shared" ca="1" si="1289"/>
        <v>0</v>
      </c>
      <c r="AY753" s="579">
        <f ca="1">SUM(INDIRECT(AY$1&amp;AY$2&amp;$A753):INDIRECT(AY$1&amp;AY$3&amp;$A753))</f>
        <v>0</v>
      </c>
      <c r="AZ753" s="2889">
        <f t="shared" ca="1" si="1290"/>
        <v>0</v>
      </c>
      <c r="BA753" s="2890">
        <f t="shared" ca="1" si="1291"/>
        <v>0</v>
      </c>
      <c r="BC753" s="579">
        <f ca="1">SUM((INDIRECT(BC$2&amp;(ROW())):INDIRECT(BC$3&amp;(ROW()))))</f>
        <v>0</v>
      </c>
      <c r="BD753" s="579">
        <f ca="1">SUM(INDIRECT(BD$1&amp;BD$2&amp;$C753):INDIRECT(BD$1&amp;BD$3&amp;$C753))</f>
        <v>0</v>
      </c>
      <c r="BE753" s="2889">
        <f t="shared" ca="1" si="1292"/>
        <v>0</v>
      </c>
      <c r="BF753" s="2890">
        <f t="shared" ca="1" si="1293"/>
        <v>0</v>
      </c>
      <c r="BG753" s="579">
        <f ca="1">SUM(INDIRECT(BG$1&amp;BG$2&amp;$A753):INDIRECT(BG$1&amp;BG$3&amp;$A753))</f>
        <v>0</v>
      </c>
      <c r="BH753" s="2889">
        <f t="shared" ca="1" si="1294"/>
        <v>0</v>
      </c>
      <c r="BI753" s="2890">
        <f t="shared" ca="1" si="1295"/>
        <v>0</v>
      </c>
    </row>
    <row r="754" spans="1:61" s="69" customFormat="1" ht="14.5">
      <c r="A754" s="1693">
        <f t="shared" si="1317"/>
        <v>746</v>
      </c>
      <c r="B754" s="616">
        <v>1</v>
      </c>
      <c r="C754" s="1693">
        <f t="shared" si="1316"/>
        <v>754</v>
      </c>
      <c r="D754" s="616">
        <v>1</v>
      </c>
      <c r="G754" s="9"/>
      <c r="H754" s="9"/>
      <c r="I754" s="22"/>
      <c r="J754" s="352"/>
      <c r="K754" s="353"/>
      <c r="L754" s="68"/>
      <c r="M754" s="68"/>
      <c r="O754" s="211"/>
      <c r="P754" s="232"/>
      <c r="Q754" s="228" t="s">
        <v>218</v>
      </c>
      <c r="R754" s="1779" t="str">
        <f>CHOOSE(2, "6722000003665", "S/GP (3) Gross Profit Indirect NH TextilePrinter FSC (-) OFC")</f>
        <v>S/GP (3) Gross Profit Indirect NH TextilePrinter FSC (-) OFC</v>
      </c>
      <c r="S754" s="1218"/>
      <c r="T754" s="1218"/>
      <c r="U754" s="1218"/>
      <c r="V754" s="1218"/>
      <c r="W754" s="1218"/>
      <c r="X754" s="1218"/>
      <c r="Y754" s="1218"/>
      <c r="Z754" s="1218"/>
      <c r="AA754" s="1218"/>
      <c r="AB754" s="1218"/>
      <c r="AC754" s="1218"/>
      <c r="AD754" s="1218"/>
      <c r="AE754" s="783">
        <f>SUM(S754,T754,U754)</f>
        <v>0</v>
      </c>
      <c r="AF754" s="1226">
        <f>SUM(V754,W754,X754)</f>
        <v>0</v>
      </c>
      <c r="AG754" s="1226">
        <f>SUM(Y754,Z754,AA754)</f>
        <v>0</v>
      </c>
      <c r="AH754" s="1226">
        <f>SUM(AB754,AC754,AD754)</f>
        <v>0</v>
      </c>
      <c r="AI754" s="1226">
        <f t="shared" si="1334"/>
        <v>0</v>
      </c>
      <c r="AJ754" s="1226">
        <f t="shared" si="1335"/>
        <v>0</v>
      </c>
      <c r="AK754" s="1226">
        <f t="shared" si="1336"/>
        <v>0</v>
      </c>
      <c r="AL754" s="8"/>
      <c r="AM754" s="579">
        <f ca="1">SUM((INDIRECT(AM$2&amp;(ROW())):INDIRECT(AM$3&amp;(ROW()))))</f>
        <v>0</v>
      </c>
      <c r="AN754" s="579">
        <f ca="1">SUM(INDIRECT(AN$1&amp;AN$2&amp;$C754):INDIRECT(AN$1&amp;AN$3&amp;$C754))</f>
        <v>0</v>
      </c>
      <c r="AO754" s="2889">
        <f t="shared" ca="1" si="1303"/>
        <v>0</v>
      </c>
      <c r="AP754" s="2890">
        <f t="shared" ca="1" si="1286"/>
        <v>0</v>
      </c>
      <c r="AQ754" s="579">
        <f ca="1">SUM(INDIRECT(AQ$1&amp;AQ$2&amp;$A754):INDIRECT(AQ$1&amp;AQ$3&amp;$A754))</f>
        <v>0</v>
      </c>
      <c r="AR754" s="2889">
        <f t="shared" ca="1" si="1304"/>
        <v>0</v>
      </c>
      <c r="AS754" s="2890">
        <f t="shared" ca="1" si="1287"/>
        <v>0</v>
      </c>
      <c r="AU754" s="579">
        <f ca="1">SUM((INDIRECT(AU$2&amp;(ROW())):INDIRECT(AU$3&amp;(ROW()))))</f>
        <v>0</v>
      </c>
      <c r="AV754" s="579">
        <f ca="1">SUM(INDIRECT(AV$1&amp;AV$2&amp;$C754):INDIRECT(AV$1&amp;AV$3&amp;$C754))</f>
        <v>0</v>
      </c>
      <c r="AW754" s="2889">
        <f t="shared" ca="1" si="1288"/>
        <v>0</v>
      </c>
      <c r="AX754" s="2890">
        <f t="shared" ca="1" si="1289"/>
        <v>0</v>
      </c>
      <c r="AY754" s="579">
        <f ca="1">SUM(INDIRECT(AY$1&amp;AY$2&amp;$A754):INDIRECT(AY$1&amp;AY$3&amp;$A754))</f>
        <v>0</v>
      </c>
      <c r="AZ754" s="2889">
        <f t="shared" ca="1" si="1290"/>
        <v>0</v>
      </c>
      <c r="BA754" s="2890">
        <f t="shared" ca="1" si="1291"/>
        <v>0</v>
      </c>
      <c r="BC754" s="579">
        <f ca="1">SUM((INDIRECT(BC$2&amp;(ROW())):INDIRECT(BC$3&amp;(ROW()))))</f>
        <v>0</v>
      </c>
      <c r="BD754" s="579">
        <f ca="1">SUM(INDIRECT(BD$1&amp;BD$2&amp;$C754):INDIRECT(BD$1&amp;BD$3&amp;$C754))</f>
        <v>0</v>
      </c>
      <c r="BE754" s="2889">
        <f t="shared" ca="1" si="1292"/>
        <v>0</v>
      </c>
      <c r="BF754" s="2890">
        <f t="shared" ca="1" si="1293"/>
        <v>0</v>
      </c>
      <c r="BG754" s="579">
        <f ca="1">SUM(INDIRECT(BG$1&amp;BG$2&amp;$A754):INDIRECT(BG$1&amp;BG$3&amp;$A754))</f>
        <v>0</v>
      </c>
      <c r="BH754" s="2889">
        <f t="shared" ca="1" si="1294"/>
        <v>0</v>
      </c>
      <c r="BI754" s="2890">
        <f t="shared" ca="1" si="1295"/>
        <v>0</v>
      </c>
    </row>
    <row r="755" spans="1:61" s="69" customFormat="1" ht="14.5">
      <c r="A755" s="1693">
        <f t="shared" si="1317"/>
        <v>747</v>
      </c>
      <c r="B755" s="616">
        <v>1</v>
      </c>
      <c r="C755" s="1693">
        <f t="shared" si="1316"/>
        <v>755</v>
      </c>
      <c r="D755" s="616">
        <v>1</v>
      </c>
      <c r="G755" s="9"/>
      <c r="H755" s="9"/>
      <c r="I755" s="22"/>
      <c r="J755" s="352"/>
      <c r="K755" s="353"/>
      <c r="L755" s="68"/>
      <c r="M755" s="68"/>
      <c r="O755" s="245" t="s">
        <v>278</v>
      </c>
      <c r="P755" s="293"/>
      <c r="Q755" s="293"/>
      <c r="R755" s="1782" t="str">
        <f>CHOOSE(2, "6722000003666", "S/GP (3) Gross Profit Indirect NH &lt;Direct&gt; SDC (-)")</f>
        <v>S/GP (3) Gross Profit Indirect NH &lt;Direct&gt; SDC (-)</v>
      </c>
      <c r="S755" s="1249">
        <f>SUM(S756:S757)</f>
        <v>0</v>
      </c>
      <c r="T755" s="1249">
        <f t="shared" ref="T755:AD755" si="1338">SUM(T756:T757)</f>
        <v>0</v>
      </c>
      <c r="U755" s="1249">
        <f t="shared" si="1338"/>
        <v>0</v>
      </c>
      <c r="V755" s="1249">
        <f t="shared" si="1338"/>
        <v>0</v>
      </c>
      <c r="W755" s="1249">
        <f t="shared" si="1338"/>
        <v>0</v>
      </c>
      <c r="X755" s="1249">
        <f t="shared" si="1338"/>
        <v>0</v>
      </c>
      <c r="Y755" s="1249">
        <f t="shared" si="1338"/>
        <v>0</v>
      </c>
      <c r="Z755" s="1249">
        <f t="shared" si="1338"/>
        <v>0</v>
      </c>
      <c r="AA755" s="1249">
        <f t="shared" si="1338"/>
        <v>0</v>
      </c>
      <c r="AB755" s="1249">
        <f t="shared" si="1338"/>
        <v>0</v>
      </c>
      <c r="AC755" s="1249">
        <f t="shared" si="1338"/>
        <v>0</v>
      </c>
      <c r="AD755" s="1249">
        <f t="shared" si="1338"/>
        <v>0</v>
      </c>
      <c r="AE755" s="898">
        <f>SUM(S755:U755)</f>
        <v>0</v>
      </c>
      <c r="AF755" s="1249">
        <f>SUM(V755:X755)</f>
        <v>0</v>
      </c>
      <c r="AG755" s="1249">
        <f>SUM(Y755:AA755)</f>
        <v>0</v>
      </c>
      <c r="AH755" s="1249">
        <f>SUM(AB755:AD755)</f>
        <v>0</v>
      </c>
      <c r="AI755" s="1249">
        <f t="shared" si="1334"/>
        <v>0</v>
      </c>
      <c r="AJ755" s="1249">
        <f t="shared" si="1335"/>
        <v>0</v>
      </c>
      <c r="AK755" s="1249">
        <f t="shared" si="1336"/>
        <v>0</v>
      </c>
      <c r="AL755" s="8"/>
      <c r="AM755" s="1987">
        <f ca="1">SUM((INDIRECT(AM$2&amp;(ROW())):INDIRECT(AM$3&amp;(ROW()))))</f>
        <v>0</v>
      </c>
      <c r="AN755" s="1987">
        <f ca="1">SUM(INDIRECT(AN$1&amp;AN$2&amp;$C755):INDIRECT(AN$1&amp;AN$3&amp;$C755))</f>
        <v>0</v>
      </c>
      <c r="AO755" s="2885">
        <f t="shared" ca="1" si="1303"/>
        <v>0</v>
      </c>
      <c r="AP755" s="2886">
        <f t="shared" ca="1" si="1286"/>
        <v>0</v>
      </c>
      <c r="AQ755" s="1987">
        <f ca="1">SUM(INDIRECT(AQ$1&amp;AQ$2&amp;$A755):INDIRECT(AQ$1&amp;AQ$3&amp;$A755))</f>
        <v>0</v>
      </c>
      <c r="AR755" s="2885">
        <f t="shared" ca="1" si="1304"/>
        <v>0</v>
      </c>
      <c r="AS755" s="2886">
        <f t="shared" ca="1" si="1287"/>
        <v>0</v>
      </c>
      <c r="AU755" s="1987">
        <f ca="1">SUM((INDIRECT(AU$2&amp;(ROW())):INDIRECT(AU$3&amp;(ROW()))))</f>
        <v>0</v>
      </c>
      <c r="AV755" s="1987">
        <f ca="1">SUM(INDIRECT(AV$1&amp;AV$2&amp;$C755):INDIRECT(AV$1&amp;AV$3&amp;$C755))</f>
        <v>0</v>
      </c>
      <c r="AW755" s="2885">
        <f t="shared" ca="1" si="1288"/>
        <v>0</v>
      </c>
      <c r="AX755" s="2886">
        <f t="shared" ca="1" si="1289"/>
        <v>0</v>
      </c>
      <c r="AY755" s="1987">
        <f ca="1">SUM(INDIRECT(AY$1&amp;AY$2&amp;$A755):INDIRECT(AY$1&amp;AY$3&amp;$A755))</f>
        <v>0</v>
      </c>
      <c r="AZ755" s="2885">
        <f t="shared" ca="1" si="1290"/>
        <v>0</v>
      </c>
      <c r="BA755" s="2886">
        <f t="shared" ca="1" si="1291"/>
        <v>0</v>
      </c>
      <c r="BC755" s="1987">
        <f ca="1">SUM((INDIRECT(BC$2&amp;(ROW())):INDIRECT(BC$3&amp;(ROW()))))</f>
        <v>0</v>
      </c>
      <c r="BD755" s="1987">
        <f ca="1">SUM(INDIRECT(BD$1&amp;BD$2&amp;$C755):INDIRECT(BD$1&amp;BD$3&amp;$C755))</f>
        <v>0</v>
      </c>
      <c r="BE755" s="2885">
        <f t="shared" ca="1" si="1292"/>
        <v>0</v>
      </c>
      <c r="BF755" s="2886">
        <f t="shared" ca="1" si="1293"/>
        <v>0</v>
      </c>
      <c r="BG755" s="1987">
        <f ca="1">SUM(INDIRECT(BG$1&amp;BG$2&amp;$A755):INDIRECT(BG$1&amp;BG$3&amp;$A755))</f>
        <v>0</v>
      </c>
      <c r="BH755" s="2885">
        <f t="shared" ca="1" si="1294"/>
        <v>0</v>
      </c>
      <c r="BI755" s="2886">
        <f t="shared" ca="1" si="1295"/>
        <v>0</v>
      </c>
    </row>
    <row r="756" spans="1:61" s="69" customFormat="1" ht="14.5">
      <c r="A756" s="1693">
        <f t="shared" si="1317"/>
        <v>748</v>
      </c>
      <c r="B756" s="616">
        <v>1</v>
      </c>
      <c r="C756" s="1693">
        <f t="shared" si="1316"/>
        <v>756</v>
      </c>
      <c r="D756" s="616">
        <v>1</v>
      </c>
      <c r="G756" s="9"/>
      <c r="H756" s="9"/>
      <c r="I756" s="22"/>
      <c r="J756" s="352"/>
      <c r="K756" s="353"/>
      <c r="L756" s="68"/>
      <c r="M756" s="68"/>
      <c r="O756" s="231"/>
      <c r="P756" s="307"/>
      <c r="Q756" s="307" t="s">
        <v>223</v>
      </c>
      <c r="R756" s="1779" t="str">
        <f>CHOOSE(2, "6722000003667", "S/GP (3) Gross Profit Indirect NH &lt;Direct&gt; SDC (-) PC")</f>
        <v>S/GP (3) Gross Profit Indirect NH &lt;Direct&gt; SDC (-) PC</v>
      </c>
      <c r="S756" s="1227"/>
      <c r="T756" s="1227"/>
      <c r="U756" s="1227"/>
      <c r="V756" s="1227"/>
      <c r="W756" s="1227"/>
      <c r="X756" s="1227"/>
      <c r="Y756" s="1227"/>
      <c r="Z756" s="1227"/>
      <c r="AA756" s="1227"/>
      <c r="AB756" s="1227"/>
      <c r="AC756" s="1227"/>
      <c r="AD756" s="1227"/>
      <c r="AE756" s="896">
        <f>SUM(S756,T756,U756)</f>
        <v>0</v>
      </c>
      <c r="AF756" s="95">
        <f>SUM(V756,W756,X756)</f>
        <v>0</v>
      </c>
      <c r="AG756" s="95">
        <f>SUM(Y756,Z756,AA756)</f>
        <v>0</v>
      </c>
      <c r="AH756" s="95">
        <f>SUM(AB756,AC756,AD756)</f>
        <v>0</v>
      </c>
      <c r="AI756" s="95">
        <f t="shared" si="1334"/>
        <v>0</v>
      </c>
      <c r="AJ756" s="95">
        <f t="shared" si="1335"/>
        <v>0</v>
      </c>
      <c r="AK756" s="95">
        <f t="shared" si="1336"/>
        <v>0</v>
      </c>
      <c r="AL756" s="8"/>
      <c r="AM756" s="2138">
        <f ca="1">SUM((INDIRECT(AM$2&amp;(ROW())):INDIRECT(AM$3&amp;(ROW()))))</f>
        <v>0</v>
      </c>
      <c r="AN756" s="2138">
        <f ca="1">SUM(INDIRECT(AN$1&amp;AN$2&amp;$C756):INDIRECT(AN$1&amp;AN$3&amp;$C756))</f>
        <v>0</v>
      </c>
      <c r="AO756" s="2879">
        <f t="shared" ca="1" si="1303"/>
        <v>0</v>
      </c>
      <c r="AP756" s="2880">
        <f t="shared" ca="1" si="1286"/>
        <v>0</v>
      </c>
      <c r="AQ756" s="2138">
        <f ca="1">SUM(INDIRECT(AQ$1&amp;AQ$2&amp;$A756):INDIRECT(AQ$1&amp;AQ$3&amp;$A756))</f>
        <v>0</v>
      </c>
      <c r="AR756" s="2879">
        <f t="shared" ca="1" si="1304"/>
        <v>0</v>
      </c>
      <c r="AS756" s="2880">
        <f t="shared" ca="1" si="1287"/>
        <v>0</v>
      </c>
      <c r="AU756" s="2138">
        <f ca="1">SUM((INDIRECT(AU$2&amp;(ROW())):INDIRECT(AU$3&amp;(ROW()))))</f>
        <v>0</v>
      </c>
      <c r="AV756" s="2138">
        <f ca="1">SUM(INDIRECT(AV$1&amp;AV$2&amp;$C756):INDIRECT(AV$1&amp;AV$3&amp;$C756))</f>
        <v>0</v>
      </c>
      <c r="AW756" s="2879">
        <f t="shared" ca="1" si="1288"/>
        <v>0</v>
      </c>
      <c r="AX756" s="2880">
        <f t="shared" ca="1" si="1289"/>
        <v>0</v>
      </c>
      <c r="AY756" s="2138">
        <f ca="1">SUM(INDIRECT(AY$1&amp;AY$2&amp;$A756):INDIRECT(AY$1&amp;AY$3&amp;$A756))</f>
        <v>0</v>
      </c>
      <c r="AZ756" s="2879">
        <f t="shared" ca="1" si="1290"/>
        <v>0</v>
      </c>
      <c r="BA756" s="2880">
        <f t="shared" ca="1" si="1291"/>
        <v>0</v>
      </c>
      <c r="BC756" s="2138">
        <f ca="1">SUM((INDIRECT(BC$2&amp;(ROW())):INDIRECT(BC$3&amp;(ROW()))))</f>
        <v>0</v>
      </c>
      <c r="BD756" s="2138">
        <f ca="1">SUM(INDIRECT(BD$1&amp;BD$2&amp;$C756):INDIRECT(BD$1&amp;BD$3&amp;$C756))</f>
        <v>0</v>
      </c>
      <c r="BE756" s="2879">
        <f t="shared" ca="1" si="1292"/>
        <v>0</v>
      </c>
      <c r="BF756" s="2880">
        <f t="shared" ca="1" si="1293"/>
        <v>0</v>
      </c>
      <c r="BG756" s="2138">
        <f ca="1">SUM(INDIRECT(BG$1&amp;BG$2&amp;$A756):INDIRECT(BG$1&amp;BG$3&amp;$A756))</f>
        <v>0</v>
      </c>
      <c r="BH756" s="2879">
        <f t="shared" ca="1" si="1294"/>
        <v>0</v>
      </c>
      <c r="BI756" s="2880">
        <f t="shared" ca="1" si="1295"/>
        <v>0</v>
      </c>
    </row>
    <row r="757" spans="1:61" s="69" customFormat="1" ht="14.5">
      <c r="A757" s="1693">
        <f t="shared" si="1317"/>
        <v>749</v>
      </c>
      <c r="B757" s="616">
        <v>1</v>
      </c>
      <c r="C757" s="1693">
        <f t="shared" si="1316"/>
        <v>757</v>
      </c>
      <c r="D757" s="616">
        <v>1</v>
      </c>
      <c r="G757" s="9"/>
      <c r="H757" s="9"/>
      <c r="I757" s="22"/>
      <c r="J757" s="352"/>
      <c r="K757" s="353"/>
      <c r="L757" s="68"/>
      <c r="M757" s="68"/>
      <c r="O757" s="232"/>
      <c r="P757" s="232"/>
      <c r="Q757" s="232" t="s">
        <v>224</v>
      </c>
      <c r="R757" s="1779" t="str">
        <f>CHOOSE(2, "6722000003668", "S/GP (3) Gross Profit Indirect NH &lt;Direct&gt; SDC (-) OFC")</f>
        <v>S/GP (3) Gross Profit Indirect NH &lt;Direct&gt; SDC (-) OFC</v>
      </c>
      <c r="S757" s="1218"/>
      <c r="T757" s="1218"/>
      <c r="U757" s="1218"/>
      <c r="V757" s="1218"/>
      <c r="W757" s="1218"/>
      <c r="X757" s="1218"/>
      <c r="Y757" s="1218"/>
      <c r="Z757" s="1218"/>
      <c r="AA757" s="1218"/>
      <c r="AB757" s="1218"/>
      <c r="AC757" s="1218"/>
      <c r="AD757" s="1218"/>
      <c r="AE757" s="783">
        <f>SUM(S757,T757,U757)</f>
        <v>0</v>
      </c>
      <c r="AF757" s="1226">
        <f>SUM(V757,W757,X757)</f>
        <v>0</v>
      </c>
      <c r="AG757" s="1226">
        <f>SUM(Y757,Z757,AA757)</f>
        <v>0</v>
      </c>
      <c r="AH757" s="1226">
        <f>SUM(AB757,AC757,AD757)</f>
        <v>0</v>
      </c>
      <c r="AI757" s="1226">
        <f t="shared" si="1334"/>
        <v>0</v>
      </c>
      <c r="AJ757" s="1226">
        <f t="shared" si="1335"/>
        <v>0</v>
      </c>
      <c r="AK757" s="1226">
        <f t="shared" si="1336"/>
        <v>0</v>
      </c>
      <c r="AL757" s="8"/>
      <c r="AM757" s="579">
        <f ca="1">SUM((INDIRECT(AM$2&amp;(ROW())):INDIRECT(AM$3&amp;(ROW()))))</f>
        <v>0</v>
      </c>
      <c r="AN757" s="579">
        <f ca="1">SUM(INDIRECT(AN$1&amp;AN$2&amp;$C757):INDIRECT(AN$1&amp;AN$3&amp;$C757))</f>
        <v>0</v>
      </c>
      <c r="AO757" s="2889">
        <f t="shared" ca="1" si="1303"/>
        <v>0</v>
      </c>
      <c r="AP757" s="2890">
        <f t="shared" ca="1" si="1286"/>
        <v>0</v>
      </c>
      <c r="AQ757" s="579">
        <f ca="1">SUM(INDIRECT(AQ$1&amp;AQ$2&amp;$A757):INDIRECT(AQ$1&amp;AQ$3&amp;$A757))</f>
        <v>0</v>
      </c>
      <c r="AR757" s="2889">
        <f t="shared" ca="1" si="1304"/>
        <v>0</v>
      </c>
      <c r="AS757" s="2890">
        <f t="shared" ca="1" si="1287"/>
        <v>0</v>
      </c>
      <c r="AU757" s="579">
        <f ca="1">SUM((INDIRECT(AU$2&amp;(ROW())):INDIRECT(AU$3&amp;(ROW()))))</f>
        <v>0</v>
      </c>
      <c r="AV757" s="579">
        <f ca="1">SUM(INDIRECT(AV$1&amp;AV$2&amp;$C757):INDIRECT(AV$1&amp;AV$3&amp;$C757))</f>
        <v>0</v>
      </c>
      <c r="AW757" s="2889">
        <f t="shared" ca="1" si="1288"/>
        <v>0</v>
      </c>
      <c r="AX757" s="2890">
        <f t="shared" ca="1" si="1289"/>
        <v>0</v>
      </c>
      <c r="AY757" s="579">
        <f ca="1">SUM(INDIRECT(AY$1&amp;AY$2&amp;$A757):INDIRECT(AY$1&amp;AY$3&amp;$A757))</f>
        <v>0</v>
      </c>
      <c r="AZ757" s="2889">
        <f t="shared" ca="1" si="1290"/>
        <v>0</v>
      </c>
      <c r="BA757" s="2890">
        <f t="shared" ca="1" si="1291"/>
        <v>0</v>
      </c>
      <c r="BC757" s="579">
        <f ca="1">SUM((INDIRECT(BC$2&amp;(ROW())):INDIRECT(BC$3&amp;(ROW()))))</f>
        <v>0</v>
      </c>
      <c r="BD757" s="579">
        <f ca="1">SUM(INDIRECT(BD$1&amp;BD$2&amp;$C757):INDIRECT(BD$1&amp;BD$3&amp;$C757))</f>
        <v>0</v>
      </c>
      <c r="BE757" s="2889">
        <f t="shared" ca="1" si="1292"/>
        <v>0</v>
      </c>
      <c r="BF757" s="2890">
        <f t="shared" ca="1" si="1293"/>
        <v>0</v>
      </c>
      <c r="BG757" s="579">
        <f ca="1">SUM(INDIRECT(BG$1&amp;BG$2&amp;$A757):INDIRECT(BG$1&amp;BG$3&amp;$A757))</f>
        <v>0</v>
      </c>
      <c r="BH757" s="2889">
        <f t="shared" ca="1" si="1294"/>
        <v>0</v>
      </c>
      <c r="BI757" s="2890">
        <f t="shared" ca="1" si="1295"/>
        <v>0</v>
      </c>
    </row>
    <row r="758" spans="1:61" s="69" customFormat="1" ht="14.5">
      <c r="A758" s="1693">
        <f t="shared" si="1317"/>
        <v>750</v>
      </c>
      <c r="B758" s="616">
        <v>1</v>
      </c>
      <c r="C758" s="1693">
        <f t="shared" si="1316"/>
        <v>758</v>
      </c>
      <c r="D758" s="616">
        <v>1</v>
      </c>
      <c r="G758" s="9"/>
      <c r="H758" s="9"/>
      <c r="I758" s="22"/>
      <c r="J758" s="352"/>
      <c r="K758" s="353"/>
      <c r="L758" s="68"/>
      <c r="M758" s="68"/>
      <c r="O758" s="231" t="s">
        <v>309</v>
      </c>
      <c r="P758" s="231"/>
      <c r="Q758" s="307"/>
      <c r="R758" s="1779" t="str">
        <f>CHOOSE(2, "6722000003669", "S/GP (3) Gross Profit Indirect NH &lt;Direct&gt; D &amp; A (-)")</f>
        <v>S/GP (3) Gross Profit Indirect NH &lt;Direct&gt; D &amp; A (-)</v>
      </c>
      <c r="S758" s="1227"/>
      <c r="T758" s="1227"/>
      <c r="U758" s="1227"/>
      <c r="V758" s="1227"/>
      <c r="W758" s="1227"/>
      <c r="X758" s="1227"/>
      <c r="Y758" s="1227"/>
      <c r="Z758" s="1227"/>
      <c r="AA758" s="1227"/>
      <c r="AB758" s="1227"/>
      <c r="AC758" s="1227"/>
      <c r="AD758" s="1227"/>
      <c r="AE758" s="896">
        <f>SUM(S758,T758,U758)</f>
        <v>0</v>
      </c>
      <c r="AF758" s="95">
        <f>SUM(V758,W758,X758)</f>
        <v>0</v>
      </c>
      <c r="AG758" s="95">
        <f>SUM(Y758,Z758,AA758)</f>
        <v>0</v>
      </c>
      <c r="AH758" s="95">
        <f>SUM(AB758,AC758,AD758)</f>
        <v>0</v>
      </c>
      <c r="AI758" s="95">
        <f>AE758+AF758</f>
        <v>0</v>
      </c>
      <c r="AJ758" s="95">
        <f>AH758+AG758</f>
        <v>0</v>
      </c>
      <c r="AK758" s="95">
        <f>AI758+AJ758</f>
        <v>0</v>
      </c>
      <c r="AL758" s="8"/>
      <c r="AM758" s="2138">
        <f ca="1">SUM((INDIRECT(AM$2&amp;(ROW())):INDIRECT(AM$3&amp;(ROW()))))</f>
        <v>0</v>
      </c>
      <c r="AN758" s="2138">
        <f ca="1">SUM(INDIRECT(AN$1&amp;AN$2&amp;$C758):INDIRECT(AN$1&amp;AN$3&amp;$C758))</f>
        <v>0</v>
      </c>
      <c r="AO758" s="2879">
        <f t="shared" ca="1" si="1303"/>
        <v>0</v>
      </c>
      <c r="AP758" s="2880">
        <f t="shared" ca="1" si="1286"/>
        <v>0</v>
      </c>
      <c r="AQ758" s="2138">
        <f ca="1">SUM(INDIRECT(AQ$1&amp;AQ$2&amp;$A758):INDIRECT(AQ$1&amp;AQ$3&amp;$A758))</f>
        <v>0</v>
      </c>
      <c r="AR758" s="2879">
        <f t="shared" ca="1" si="1304"/>
        <v>0</v>
      </c>
      <c r="AS758" s="2880">
        <f t="shared" ca="1" si="1287"/>
        <v>0</v>
      </c>
      <c r="AU758" s="2138">
        <f ca="1">SUM((INDIRECT(AU$2&amp;(ROW())):INDIRECT(AU$3&amp;(ROW()))))</f>
        <v>0</v>
      </c>
      <c r="AV758" s="2138">
        <f ca="1">SUM(INDIRECT(AV$1&amp;AV$2&amp;$C758):INDIRECT(AV$1&amp;AV$3&amp;$C758))</f>
        <v>0</v>
      </c>
      <c r="AW758" s="2879">
        <f t="shared" ca="1" si="1288"/>
        <v>0</v>
      </c>
      <c r="AX758" s="2880">
        <f t="shared" ca="1" si="1289"/>
        <v>0</v>
      </c>
      <c r="AY758" s="2138">
        <f ca="1">SUM(INDIRECT(AY$1&amp;AY$2&amp;$A758):INDIRECT(AY$1&amp;AY$3&amp;$A758))</f>
        <v>0</v>
      </c>
      <c r="AZ758" s="2879">
        <f t="shared" ca="1" si="1290"/>
        <v>0</v>
      </c>
      <c r="BA758" s="2880">
        <f t="shared" ca="1" si="1291"/>
        <v>0</v>
      </c>
      <c r="BC758" s="2138">
        <f ca="1">SUM((INDIRECT(BC$2&amp;(ROW())):INDIRECT(BC$3&amp;(ROW()))))</f>
        <v>0</v>
      </c>
      <c r="BD758" s="2138">
        <f ca="1">SUM(INDIRECT(BD$1&amp;BD$2&amp;$C758):INDIRECT(BD$1&amp;BD$3&amp;$C758))</f>
        <v>0</v>
      </c>
      <c r="BE758" s="2879">
        <f t="shared" ca="1" si="1292"/>
        <v>0</v>
      </c>
      <c r="BF758" s="2880">
        <f t="shared" ca="1" si="1293"/>
        <v>0</v>
      </c>
      <c r="BG758" s="2138">
        <f ca="1">SUM(INDIRECT(BG$1&amp;BG$2&amp;$A758):INDIRECT(BG$1&amp;BG$3&amp;$A758))</f>
        <v>0</v>
      </c>
      <c r="BH758" s="2879">
        <f t="shared" ca="1" si="1294"/>
        <v>0</v>
      </c>
      <c r="BI758" s="2880">
        <f t="shared" ca="1" si="1295"/>
        <v>0</v>
      </c>
    </row>
    <row r="759" spans="1:61" ht="14.5">
      <c r="A759" s="1693">
        <f t="shared" si="1317"/>
        <v>751</v>
      </c>
      <c r="B759" s="616">
        <v>1</v>
      </c>
      <c r="C759" s="1693">
        <f t="shared" si="1316"/>
        <v>759</v>
      </c>
      <c r="D759" s="616">
        <v>1</v>
      </c>
      <c r="F759" s="69"/>
      <c r="J759" s="354"/>
      <c r="K759" s="355"/>
      <c r="L759" s="67"/>
      <c r="M759" s="67"/>
      <c r="N759" s="211"/>
      <c r="O759" s="21" t="s">
        <v>51</v>
      </c>
      <c r="P759" s="21"/>
      <c r="Q759" s="234"/>
      <c r="R759" s="1779" t="str">
        <f>CHOOSE(2, "6722000003670", "S/GP (3) Gross Profit Indirect NH Others")</f>
        <v>S/GP (3) Gross Profit Indirect NH Others</v>
      </c>
      <c r="S759" s="1280"/>
      <c r="T759" s="1280"/>
      <c r="U759" s="1280"/>
      <c r="V759" s="1280"/>
      <c r="W759" s="1280"/>
      <c r="X759" s="1280"/>
      <c r="Y759" s="1280"/>
      <c r="Z759" s="1280"/>
      <c r="AA759" s="1280"/>
      <c r="AB759" s="1280"/>
      <c r="AC759" s="1280"/>
      <c r="AD759" s="1280"/>
      <c r="AE759" s="879">
        <f>SUM(S759,T759,U759)</f>
        <v>0</v>
      </c>
      <c r="AF759" s="18">
        <f>SUM(V759,W759,X759)</f>
        <v>0</v>
      </c>
      <c r="AG759" s="18">
        <f>SUM(Y759,Z759,AA759)</f>
        <v>0</v>
      </c>
      <c r="AH759" s="18">
        <f>SUM(AB759,AC759,AD759)</f>
        <v>0</v>
      </c>
      <c r="AI759" s="18">
        <f t="shared" si="1334"/>
        <v>0</v>
      </c>
      <c r="AJ759" s="18">
        <f t="shared" si="1335"/>
        <v>0</v>
      </c>
      <c r="AK759" s="18">
        <f t="shared" si="1336"/>
        <v>0</v>
      </c>
      <c r="AM759" s="2197">
        <f ca="1">SUM((INDIRECT(AM$2&amp;(ROW())):INDIRECT(AM$3&amp;(ROW()))))</f>
        <v>0</v>
      </c>
      <c r="AN759" s="2197">
        <f ca="1">SUM(INDIRECT(AN$1&amp;AN$2&amp;$C759):INDIRECT(AN$1&amp;AN$3&amp;$C759))</f>
        <v>0</v>
      </c>
      <c r="AO759" s="2703">
        <f t="shared" ca="1" si="1303"/>
        <v>0</v>
      </c>
      <c r="AP759" s="2704">
        <f t="shared" ca="1" si="1286"/>
        <v>0</v>
      </c>
      <c r="AQ759" s="2197">
        <f ca="1">SUM(INDIRECT(AQ$1&amp;AQ$2&amp;$A759):INDIRECT(AQ$1&amp;AQ$3&amp;$A759))</f>
        <v>0</v>
      </c>
      <c r="AR759" s="2703">
        <f t="shared" ca="1" si="1304"/>
        <v>0</v>
      </c>
      <c r="AS759" s="2704">
        <f t="shared" ca="1" si="1287"/>
        <v>0</v>
      </c>
      <c r="AU759" s="2197">
        <f ca="1">SUM((INDIRECT(AU$2&amp;(ROW())):INDIRECT(AU$3&amp;(ROW()))))</f>
        <v>0</v>
      </c>
      <c r="AV759" s="2197">
        <f ca="1">SUM(INDIRECT(AV$1&amp;AV$2&amp;$C759):INDIRECT(AV$1&amp;AV$3&amp;$C759))</f>
        <v>0</v>
      </c>
      <c r="AW759" s="2703">
        <f t="shared" ca="1" si="1288"/>
        <v>0</v>
      </c>
      <c r="AX759" s="2704">
        <f t="shared" ca="1" si="1289"/>
        <v>0</v>
      </c>
      <c r="AY759" s="2197">
        <f ca="1">SUM(INDIRECT(AY$1&amp;AY$2&amp;$A759):INDIRECT(AY$1&amp;AY$3&amp;$A759))</f>
        <v>0</v>
      </c>
      <c r="AZ759" s="2703">
        <f t="shared" ca="1" si="1290"/>
        <v>0</v>
      </c>
      <c r="BA759" s="2704">
        <f t="shared" ca="1" si="1291"/>
        <v>0</v>
      </c>
      <c r="BC759" s="2197">
        <f ca="1">SUM((INDIRECT(BC$2&amp;(ROW())):INDIRECT(BC$3&amp;(ROW()))))</f>
        <v>0</v>
      </c>
      <c r="BD759" s="2197">
        <f ca="1">SUM(INDIRECT(BD$1&amp;BD$2&amp;$C759):INDIRECT(BD$1&amp;BD$3&amp;$C759))</f>
        <v>0</v>
      </c>
      <c r="BE759" s="2703">
        <f t="shared" ca="1" si="1292"/>
        <v>0</v>
      </c>
      <c r="BF759" s="2704">
        <f t="shared" ca="1" si="1293"/>
        <v>0</v>
      </c>
      <c r="BG759" s="2197">
        <f ca="1">SUM(INDIRECT(BG$1&amp;BG$2&amp;$A759):INDIRECT(BG$1&amp;BG$3&amp;$A759))</f>
        <v>0</v>
      </c>
      <c r="BH759" s="2703">
        <f t="shared" ca="1" si="1294"/>
        <v>0</v>
      </c>
      <c r="BI759" s="2704">
        <f t="shared" ca="1" si="1295"/>
        <v>0</v>
      </c>
    </row>
    <row r="760" spans="1:61" s="69" customFormat="1" ht="14.5">
      <c r="A760" s="1693">
        <f t="shared" si="1317"/>
        <v>752</v>
      </c>
      <c r="B760" s="616"/>
      <c r="C760" s="1693">
        <f t="shared" si="1316"/>
        <v>760</v>
      </c>
      <c r="D760" s="616">
        <v>1</v>
      </c>
      <c r="G760" s="4"/>
      <c r="H760" s="4"/>
      <c r="I760" s="4"/>
      <c r="J760" s="12"/>
      <c r="K760" s="28"/>
      <c r="L760" s="22"/>
      <c r="M760" s="22"/>
      <c r="N760" s="28"/>
      <c r="O760" s="3"/>
      <c r="P760" s="3"/>
      <c r="Q760" s="3"/>
      <c r="R760" s="1784" t="str">
        <f>CHOOSE(2, "6722000003671", "▷ Blank 22")</f>
        <v>▷ Blank 22</v>
      </c>
      <c r="S760" s="1392"/>
      <c r="T760" s="1220"/>
      <c r="U760" s="1220"/>
      <c r="V760" s="1220"/>
      <c r="W760" s="1220"/>
      <c r="X760" s="1220"/>
      <c r="Y760" s="1220"/>
      <c r="Z760" s="1220"/>
      <c r="AA760" s="1220"/>
      <c r="AB760" s="1220"/>
      <c r="AC760" s="1220"/>
      <c r="AD760" s="1220"/>
      <c r="AE760" s="1220"/>
      <c r="AF760" s="1220"/>
      <c r="AG760" s="1220"/>
      <c r="AH760" s="1220"/>
      <c r="AI760" s="1220"/>
      <c r="AJ760" s="1220"/>
      <c r="AK760" s="1220"/>
      <c r="AL760" s="8"/>
      <c r="AM760" s="2200"/>
      <c r="AN760" s="2200"/>
      <c r="AO760" s="2200"/>
      <c r="AP760" s="2200"/>
      <c r="AQ760" s="2200"/>
      <c r="AR760" s="2200"/>
      <c r="AS760" s="2200"/>
      <c r="AU760" s="2200"/>
      <c r="AV760" s="2200"/>
      <c r="AW760" s="2200"/>
      <c r="AX760" s="2200"/>
      <c r="AY760" s="2200"/>
      <c r="AZ760" s="2200"/>
      <c r="BA760" s="2200"/>
      <c r="BC760" s="2200"/>
      <c r="BD760" s="2200"/>
      <c r="BE760" s="2200"/>
      <c r="BF760" s="2200"/>
      <c r="BG760" s="2200"/>
      <c r="BH760" s="2200"/>
      <c r="BI760" s="2200"/>
    </row>
    <row r="761" spans="1:61" ht="14.5">
      <c r="A761" s="1693">
        <f t="shared" si="1317"/>
        <v>753</v>
      </c>
      <c r="B761" s="616">
        <v>1</v>
      </c>
      <c r="C761" s="1693">
        <f t="shared" si="1316"/>
        <v>761</v>
      </c>
      <c r="D761" s="616">
        <v>1</v>
      </c>
      <c r="F761" s="69"/>
      <c r="G761" s="8"/>
      <c r="H761" s="22"/>
      <c r="I761" s="4" t="s">
        <v>539</v>
      </c>
      <c r="Q761" s="222"/>
      <c r="R761" s="1772" t="str">
        <f>CHOOSE(2, "6722000003672", "S/GP (5) DW-DX")</f>
        <v>S/GP (5) DW-DX</v>
      </c>
      <c r="S761" s="1125"/>
      <c r="T761" s="1366"/>
      <c r="U761" s="1366"/>
      <c r="V761" s="1366"/>
      <c r="W761" s="1366"/>
      <c r="X761" s="1366"/>
      <c r="Y761" s="1366"/>
      <c r="Z761" s="1366"/>
      <c r="AA761" s="1366"/>
      <c r="AB761" s="1366"/>
      <c r="AC761" s="1366"/>
      <c r="AD761" s="1366"/>
      <c r="AE761" s="1366"/>
      <c r="AF761" s="1366"/>
      <c r="AG761" s="1366"/>
      <c r="AH761" s="1366"/>
      <c r="AI761" s="1366"/>
      <c r="AJ761" s="1366"/>
      <c r="AK761" s="1366"/>
      <c r="AM761" s="1210"/>
      <c r="AN761" s="1210"/>
      <c r="AO761" s="1210"/>
      <c r="AP761" s="1210"/>
      <c r="AQ761" s="1210"/>
      <c r="AR761" s="1210"/>
      <c r="AS761" s="1210"/>
      <c r="AU761" s="1210"/>
      <c r="AV761" s="1210"/>
      <c r="AW761" s="1210"/>
      <c r="AX761" s="1210"/>
      <c r="AY761" s="1210"/>
      <c r="AZ761" s="1210"/>
      <c r="BA761" s="1210"/>
      <c r="BC761" s="1210"/>
      <c r="BD761" s="1210"/>
      <c r="BE761" s="1210"/>
      <c r="BF761" s="1210"/>
      <c r="BG761" s="1210"/>
      <c r="BH761" s="1210"/>
      <c r="BI761" s="1210"/>
    </row>
    <row r="762" spans="1:61" ht="14.5">
      <c r="A762" s="1693">
        <f t="shared" si="1317"/>
        <v>754</v>
      </c>
      <c r="B762" s="616">
        <v>1</v>
      </c>
      <c r="C762" s="1693">
        <f t="shared" si="1316"/>
        <v>762</v>
      </c>
      <c r="D762" s="616">
        <v>1</v>
      </c>
      <c r="F762" s="69"/>
      <c r="J762" s="14" t="s">
        <v>119</v>
      </c>
      <c r="K762" s="90"/>
      <c r="L762" s="313"/>
      <c r="M762" s="313"/>
      <c r="N762" s="313"/>
      <c r="O762" s="313"/>
      <c r="P762" s="313"/>
      <c r="Q762" s="471"/>
      <c r="R762" s="1801" t="str">
        <f>CHOOSE(2, "6722000003673", "S/GP (5) Net Sales")</f>
        <v>S/GP (5) Net Sales</v>
      </c>
      <c r="S762" s="1260">
        <f t="shared" ref="S762:AC762" si="1339">S763+S794</f>
        <v>121</v>
      </c>
      <c r="T762" s="1209">
        <f t="shared" si="1339"/>
        <v>1708.8130000000001</v>
      </c>
      <c r="U762" s="1260">
        <f t="shared" si="1339"/>
        <v>170.2</v>
      </c>
      <c r="V762" s="1260">
        <f t="shared" si="1339"/>
        <v>776.61400000000003</v>
      </c>
      <c r="W762" s="1260">
        <f t="shared" si="1339"/>
        <v>1010.1</v>
      </c>
      <c r="X762" s="1260">
        <f t="shared" si="1339"/>
        <v>1791</v>
      </c>
      <c r="Y762" s="1260">
        <f t="shared" si="1339"/>
        <v>85.1</v>
      </c>
      <c r="Z762" s="1260">
        <f t="shared" si="1339"/>
        <v>1875</v>
      </c>
      <c r="AA762" s="1260">
        <f t="shared" si="1339"/>
        <v>95.39</v>
      </c>
      <c r="AB762" s="1260">
        <f t="shared" si="1339"/>
        <v>3166</v>
      </c>
      <c r="AC762" s="1260">
        <f t="shared" si="1339"/>
        <v>3288.5439999999999</v>
      </c>
      <c r="AD762" s="1260">
        <f>AD763+AD794</f>
        <v>4094.8540000000003</v>
      </c>
      <c r="AE762" s="554">
        <f t="shared" ref="AE762:AK762" si="1340">AE763+AE794</f>
        <v>2000.0130000000001</v>
      </c>
      <c r="AF762" s="314">
        <f t="shared" si="1340"/>
        <v>3577.7139999999999</v>
      </c>
      <c r="AG762" s="314">
        <f t="shared" si="1340"/>
        <v>2055.4899999999998</v>
      </c>
      <c r="AH762" s="314">
        <f t="shared" si="1340"/>
        <v>10549.398000000001</v>
      </c>
      <c r="AI762" s="314">
        <f t="shared" si="1340"/>
        <v>5577.7269999999999</v>
      </c>
      <c r="AJ762" s="314">
        <f t="shared" si="1340"/>
        <v>12604.888000000001</v>
      </c>
      <c r="AK762" s="89">
        <f t="shared" si="1340"/>
        <v>18182.614999999998</v>
      </c>
      <c r="AM762" s="2059">
        <f ca="1">SUM((INDIRECT(AM$2&amp;(ROW())):INDIRECT(AM$3&amp;(ROW()))))</f>
        <v>121</v>
      </c>
      <c r="AN762" s="2060">
        <f ca="1">SUM(INDIRECT(AN$1&amp;AN$2&amp;$C762):INDIRECT(AN$1&amp;AN$3&amp;$C762))</f>
        <v>1000</v>
      </c>
      <c r="AO762" s="2819">
        <f t="shared" ref="AO762:AO827" ca="1" si="1341">AM762-AN762</f>
        <v>-879</v>
      </c>
      <c r="AP762" s="2820">
        <f t="shared" ref="AP762:AP839" ca="1" si="1342">IFERROR(AM762/AN762,0)</f>
        <v>0.121</v>
      </c>
      <c r="AQ762" s="2920">
        <f t="shared" ref="AQ762" ca="1" si="1343">AQ763+AQ794</f>
        <v>360</v>
      </c>
      <c r="AR762" s="2819">
        <f t="shared" ref="AR762:AR827" ca="1" si="1344">AM762-AQ762</f>
        <v>-239</v>
      </c>
      <c r="AS762" s="2820">
        <f t="shared" ref="AS762:AS839" ca="1" si="1345">IFERROR(AM762/AQ762,0)</f>
        <v>0.33611111111111114</v>
      </c>
      <c r="AU762" s="2059">
        <f ca="1">SUM((INDIRECT(AU$2&amp;(ROW())):INDIRECT(AU$3&amp;(ROW()))))</f>
        <v>121</v>
      </c>
      <c r="AV762" s="2060">
        <f ca="1">SUM(INDIRECT(AV$1&amp;AV$2&amp;$C762):INDIRECT(AV$1&amp;AV$3&amp;$C762))</f>
        <v>1000</v>
      </c>
      <c r="AW762" s="2819">
        <f t="shared" ref="AW762:AW839" ca="1" si="1346">AU762-AV762</f>
        <v>-879</v>
      </c>
      <c r="AX762" s="2820">
        <f t="shared" ref="AX762:AX839" ca="1" si="1347">IFERROR(AU762/AV762,0)</f>
        <v>0.121</v>
      </c>
      <c r="AY762" s="2920">
        <f t="shared" ref="AY762" ca="1" si="1348">AY763+AY794</f>
        <v>360</v>
      </c>
      <c r="AZ762" s="2819">
        <f t="shared" ref="AZ762:AZ839" ca="1" si="1349">AU762-AY762</f>
        <v>-239</v>
      </c>
      <c r="BA762" s="2820">
        <f t="shared" ref="BA762:BA839" ca="1" si="1350">IFERROR(AU762/AY762,0)</f>
        <v>0.33611111111111114</v>
      </c>
      <c r="BC762" s="2059">
        <f ca="1">SUM((INDIRECT(BC$2&amp;(ROW())):INDIRECT(BC$3&amp;(ROW()))))</f>
        <v>121</v>
      </c>
      <c r="BD762" s="2060">
        <f ca="1">SUM(INDIRECT(BD$1&amp;BD$2&amp;$C762):INDIRECT(BD$1&amp;BD$3&amp;$C762))</f>
        <v>1000</v>
      </c>
      <c r="BE762" s="2819">
        <f t="shared" ref="BE762:BE839" ca="1" si="1351">BC762-BD762</f>
        <v>-879</v>
      </c>
      <c r="BF762" s="2820">
        <f t="shared" ref="BF762:BF839" ca="1" si="1352">IFERROR(BC762/BD762,0)</f>
        <v>0.121</v>
      </c>
      <c r="BG762" s="2920">
        <f t="shared" ref="BG762" ca="1" si="1353">BG763+BG794</f>
        <v>360</v>
      </c>
      <c r="BH762" s="2819">
        <f t="shared" ref="BH762:BH839" ca="1" si="1354">BC762-BG762</f>
        <v>-239</v>
      </c>
      <c r="BI762" s="2820">
        <f t="shared" ref="BI762:BI839" ca="1" si="1355">IFERROR(BC762/BG762,0)</f>
        <v>0.33611111111111114</v>
      </c>
    </row>
    <row r="763" spans="1:61" ht="14.5">
      <c r="A763" s="1693">
        <f t="shared" si="1317"/>
        <v>755</v>
      </c>
      <c r="B763" s="616">
        <v>1</v>
      </c>
      <c r="C763" s="1693">
        <f t="shared" si="1316"/>
        <v>763</v>
      </c>
      <c r="D763" s="616">
        <v>1</v>
      </c>
      <c r="F763" s="69"/>
      <c r="J763" s="86"/>
      <c r="K763" s="85"/>
      <c r="L763" s="68" t="s">
        <v>120</v>
      </c>
      <c r="M763" s="68"/>
      <c r="N763" s="457"/>
      <c r="O763" s="283"/>
      <c r="P763" s="283"/>
      <c r="Q763" s="68"/>
      <c r="R763" s="1814" t="str">
        <f>CHOOSE(2, "6722000003674", "S/GP (5) Net Sales Direct")</f>
        <v>S/GP (5) Net Sales Direct</v>
      </c>
      <c r="S763" s="1714">
        <f>S769+S764+S774+S779+S784+S789</f>
        <v>121</v>
      </c>
      <c r="T763" s="1723">
        <f t="shared" ref="T763:AC763" si="1356">T769+T764+T774+T779+T784+T789</f>
        <v>1708.8130000000001</v>
      </c>
      <c r="U763" s="1714">
        <f t="shared" si="1356"/>
        <v>170.2</v>
      </c>
      <c r="V763" s="1714">
        <f t="shared" si="1356"/>
        <v>776.61400000000003</v>
      </c>
      <c r="W763" s="1714">
        <f t="shared" si="1356"/>
        <v>1010.1</v>
      </c>
      <c r="X763" s="1714">
        <f t="shared" si="1356"/>
        <v>1791</v>
      </c>
      <c r="Y763" s="1714">
        <f t="shared" si="1356"/>
        <v>85.1</v>
      </c>
      <c r="Z763" s="1714">
        <f t="shared" si="1356"/>
        <v>1875</v>
      </c>
      <c r="AA763" s="1714">
        <f t="shared" si="1356"/>
        <v>95.39</v>
      </c>
      <c r="AB763" s="1714">
        <f t="shared" si="1356"/>
        <v>1014</v>
      </c>
      <c r="AC763" s="1714">
        <f t="shared" si="1356"/>
        <v>171.44399999999999</v>
      </c>
      <c r="AD763" s="1714">
        <f>AD769+AD764+AD774+AD779+AD784+AD789</f>
        <v>1730.2439999999999</v>
      </c>
      <c r="AE763" s="1715">
        <f t="shared" ref="AE763:AK763" si="1357">AE769+AE764+AE774+AE779+AE784+AE789</f>
        <v>2000.0130000000001</v>
      </c>
      <c r="AF763" s="1714">
        <f t="shared" si="1357"/>
        <v>3577.7139999999999</v>
      </c>
      <c r="AG763" s="1714">
        <f t="shared" si="1357"/>
        <v>2055.4899999999998</v>
      </c>
      <c r="AH763" s="1714">
        <f t="shared" si="1357"/>
        <v>2915.6879999999996</v>
      </c>
      <c r="AI763" s="1714">
        <f t="shared" si="1357"/>
        <v>5577.7269999999999</v>
      </c>
      <c r="AJ763" s="1714">
        <f t="shared" si="1357"/>
        <v>4971.1779999999999</v>
      </c>
      <c r="AK763" s="1715">
        <f t="shared" si="1357"/>
        <v>10548.904999999999</v>
      </c>
      <c r="AM763" s="2589">
        <f ca="1">SUM((INDIRECT(AM$2&amp;(ROW())):INDIRECT(AM$3&amp;(ROW()))))</f>
        <v>121</v>
      </c>
      <c r="AN763" s="2590">
        <f ca="1">SUM(INDIRECT(AN$1&amp;AN$2&amp;$C763):INDIRECT(AN$1&amp;AN$3&amp;$C763))</f>
        <v>1000</v>
      </c>
      <c r="AO763" s="2921">
        <f t="shared" ca="1" si="1341"/>
        <v>-879</v>
      </c>
      <c r="AP763" s="2922">
        <f t="shared" ca="1" si="1342"/>
        <v>0.121</v>
      </c>
      <c r="AQ763" s="2923">
        <f t="shared" ref="AQ763" ca="1" si="1358">AQ769+AQ764+AQ774+AQ779+AQ784+AQ789</f>
        <v>360</v>
      </c>
      <c r="AR763" s="2921">
        <f t="shared" ca="1" si="1344"/>
        <v>-239</v>
      </c>
      <c r="AS763" s="2922">
        <f t="shared" ca="1" si="1345"/>
        <v>0.33611111111111114</v>
      </c>
      <c r="AU763" s="2589">
        <f ca="1">SUM((INDIRECT(AU$2&amp;(ROW())):INDIRECT(AU$3&amp;(ROW()))))</f>
        <v>121</v>
      </c>
      <c r="AV763" s="2590">
        <f ca="1">SUM(INDIRECT(AV$1&amp;AV$2&amp;$C763):INDIRECT(AV$1&amp;AV$3&amp;$C763))</f>
        <v>1000</v>
      </c>
      <c r="AW763" s="2921">
        <f t="shared" ca="1" si="1346"/>
        <v>-879</v>
      </c>
      <c r="AX763" s="2922">
        <f t="shared" ca="1" si="1347"/>
        <v>0.121</v>
      </c>
      <c r="AY763" s="2923">
        <f t="shared" ref="AY763" ca="1" si="1359">AY769+AY764+AY774+AY779+AY784+AY789</f>
        <v>360</v>
      </c>
      <c r="AZ763" s="2921">
        <f t="shared" ca="1" si="1349"/>
        <v>-239</v>
      </c>
      <c r="BA763" s="2922">
        <f t="shared" ca="1" si="1350"/>
        <v>0.33611111111111114</v>
      </c>
      <c r="BC763" s="2589">
        <f ca="1">SUM((INDIRECT(BC$2&amp;(ROW())):INDIRECT(BC$3&amp;(ROW()))))</f>
        <v>121</v>
      </c>
      <c r="BD763" s="2590">
        <f ca="1">SUM(INDIRECT(BD$1&amp;BD$2&amp;$C763):INDIRECT(BD$1&amp;BD$3&amp;$C763))</f>
        <v>1000</v>
      </c>
      <c r="BE763" s="2921">
        <f t="shared" ca="1" si="1351"/>
        <v>-879</v>
      </c>
      <c r="BF763" s="2922">
        <f t="shared" ca="1" si="1352"/>
        <v>0.121</v>
      </c>
      <c r="BG763" s="2923">
        <f t="shared" ref="BG763" ca="1" si="1360">BG769+BG764+BG774+BG779+BG784+BG789</f>
        <v>360</v>
      </c>
      <c r="BH763" s="2921">
        <f t="shared" ca="1" si="1354"/>
        <v>-239</v>
      </c>
      <c r="BI763" s="2922">
        <f t="shared" ca="1" si="1355"/>
        <v>0.33611111111111114</v>
      </c>
    </row>
    <row r="764" spans="1:61" ht="14.5">
      <c r="A764" s="1693">
        <f t="shared" si="1317"/>
        <v>756</v>
      </c>
      <c r="B764" s="616">
        <v>1</v>
      </c>
      <c r="C764" s="1693">
        <f t="shared" si="1316"/>
        <v>764</v>
      </c>
      <c r="D764" s="616">
        <v>1</v>
      </c>
      <c r="F764" s="69"/>
      <c r="H764" s="22"/>
      <c r="J764" s="86"/>
      <c r="K764" s="85"/>
      <c r="L764" s="68"/>
      <c r="M764" s="68"/>
      <c r="N764" s="8" t="s">
        <v>418</v>
      </c>
      <c r="O764" s="284"/>
      <c r="P764" s="284"/>
      <c r="Q764" s="284"/>
      <c r="R764" s="1777" t="str">
        <f>CHOOSE(2, "6722000003675", "S/GP (5) Net Sales Direct IMS")</f>
        <v>S/GP (5) Net Sales Direct IMS</v>
      </c>
      <c r="S764" s="1249">
        <f>SUM(S765:S768)</f>
        <v>0</v>
      </c>
      <c r="T764" s="1621">
        <f t="shared" ref="T764:AD764" si="1361">SUM(T765:T768)</f>
        <v>510</v>
      </c>
      <c r="U764" s="1249">
        <f t="shared" si="1361"/>
        <v>0</v>
      </c>
      <c r="V764" s="1249">
        <f t="shared" si="1361"/>
        <v>510</v>
      </c>
      <c r="W764" s="1249">
        <f t="shared" si="1361"/>
        <v>0</v>
      </c>
      <c r="X764" s="1249">
        <f t="shared" si="1361"/>
        <v>0</v>
      </c>
      <c r="Y764" s="1249">
        <f t="shared" si="1361"/>
        <v>0</v>
      </c>
      <c r="Z764" s="1249">
        <f t="shared" si="1361"/>
        <v>0</v>
      </c>
      <c r="AA764" s="1249">
        <f t="shared" si="1361"/>
        <v>0</v>
      </c>
      <c r="AB764" s="1249">
        <f t="shared" si="1361"/>
        <v>0</v>
      </c>
      <c r="AC764" s="1249">
        <f t="shared" si="1361"/>
        <v>171.44399999999999</v>
      </c>
      <c r="AD764" s="1249">
        <f t="shared" si="1361"/>
        <v>171</v>
      </c>
      <c r="AE764" s="898">
        <f t="shared" ref="AE764:AK764" si="1362">SUM(AE765:AE768)</f>
        <v>510</v>
      </c>
      <c r="AF764" s="1249">
        <f t="shared" si="1362"/>
        <v>510</v>
      </c>
      <c r="AG764" s="1249">
        <f t="shared" si="1362"/>
        <v>0</v>
      </c>
      <c r="AH764" s="1249">
        <f t="shared" si="1362"/>
        <v>342.44399999999996</v>
      </c>
      <c r="AI764" s="1249">
        <f t="shared" si="1362"/>
        <v>1020</v>
      </c>
      <c r="AJ764" s="1249">
        <f t="shared" si="1362"/>
        <v>342.44399999999996</v>
      </c>
      <c r="AK764" s="898">
        <f t="shared" si="1362"/>
        <v>1362.444</v>
      </c>
      <c r="AM764" s="2570">
        <f ca="1">SUM((INDIRECT(AM$2&amp;(ROW())):INDIRECT(AM$3&amp;(ROW()))))</f>
        <v>0</v>
      </c>
      <c r="AN764" s="2591">
        <f ca="1">SUM(INDIRECT(AN$1&amp;AN$2&amp;$C764):INDIRECT(AN$1&amp;AN$3&amp;$C764))</f>
        <v>500</v>
      </c>
      <c r="AO764" s="2898">
        <f t="shared" ca="1" si="1341"/>
        <v>-500</v>
      </c>
      <c r="AP764" s="2899">
        <f t="shared" ca="1" si="1342"/>
        <v>0</v>
      </c>
      <c r="AQ764" s="2591">
        <f ca="1">SUM(INDIRECT(AQ$1&amp;AQ$2&amp;$A764):INDIRECT(AQ$1&amp;AQ$3&amp;$A764))+SUM(INDIRECT(AQ$1&amp;AQ$2&amp;$B764):INDIRECT(AQ$1&amp;AQ$3&amp;$B764))</f>
        <v>0</v>
      </c>
      <c r="AR764" s="2898">
        <f t="shared" ca="1" si="1344"/>
        <v>0</v>
      </c>
      <c r="AS764" s="2899">
        <f t="shared" ca="1" si="1345"/>
        <v>0</v>
      </c>
      <c r="AU764" s="2570">
        <f ca="1">SUM((INDIRECT(AU$2&amp;(ROW())):INDIRECT(AU$3&amp;(ROW()))))</f>
        <v>0</v>
      </c>
      <c r="AV764" s="2591">
        <f ca="1">SUM(INDIRECT(AV$1&amp;AV$2&amp;$C764):INDIRECT(AV$1&amp;AV$3&amp;$C764))</f>
        <v>500</v>
      </c>
      <c r="AW764" s="2898">
        <f t="shared" ca="1" si="1346"/>
        <v>-500</v>
      </c>
      <c r="AX764" s="2899">
        <f t="shared" ca="1" si="1347"/>
        <v>0</v>
      </c>
      <c r="AY764" s="2591">
        <f ca="1">SUM(INDIRECT(AY$1&amp;AY$2&amp;$A764):INDIRECT(AY$1&amp;AY$3&amp;$A764))+SUM(INDIRECT(AY$1&amp;AY$2&amp;$B764):INDIRECT(AY$1&amp;AY$3&amp;$B764))</f>
        <v>0</v>
      </c>
      <c r="AZ764" s="2898">
        <f t="shared" ca="1" si="1349"/>
        <v>0</v>
      </c>
      <c r="BA764" s="2899">
        <f t="shared" ca="1" si="1350"/>
        <v>0</v>
      </c>
      <c r="BC764" s="2570">
        <f ca="1">SUM((INDIRECT(BC$2&amp;(ROW())):INDIRECT(BC$3&amp;(ROW()))))</f>
        <v>0</v>
      </c>
      <c r="BD764" s="2591">
        <f ca="1">SUM(INDIRECT(BD$1&amp;BD$2&amp;$C764):INDIRECT(BD$1&amp;BD$3&amp;$C764))</f>
        <v>500</v>
      </c>
      <c r="BE764" s="2898">
        <f t="shared" ca="1" si="1351"/>
        <v>-500</v>
      </c>
      <c r="BF764" s="2899">
        <f t="shared" ca="1" si="1352"/>
        <v>0</v>
      </c>
      <c r="BG764" s="2591">
        <f ca="1">SUM(INDIRECT(BG$1&amp;BG$2&amp;$A764):INDIRECT(BG$1&amp;BG$3&amp;$A764))+SUM(INDIRECT(BG$1&amp;BG$2&amp;$B764):INDIRECT(BG$1&amp;BG$3&amp;$B764))</f>
        <v>0</v>
      </c>
      <c r="BH764" s="2898">
        <f t="shared" ca="1" si="1354"/>
        <v>0</v>
      </c>
      <c r="BI764" s="2899">
        <f t="shared" ca="1" si="1355"/>
        <v>0</v>
      </c>
    </row>
    <row r="765" spans="1:61" ht="14.5">
      <c r="A765" s="1693">
        <f t="shared" si="1317"/>
        <v>757</v>
      </c>
      <c r="B765" s="616">
        <v>1</v>
      </c>
      <c r="C765" s="1693">
        <f t="shared" si="1316"/>
        <v>765</v>
      </c>
      <c r="D765" s="616">
        <v>1</v>
      </c>
      <c r="F765" s="69"/>
      <c r="H765" s="22"/>
      <c r="J765" s="86"/>
      <c r="K765" s="85"/>
      <c r="L765" s="68"/>
      <c r="M765" s="68"/>
      <c r="O765" s="97" t="s">
        <v>523</v>
      </c>
      <c r="P765" s="97"/>
      <c r="Q765" s="97"/>
      <c r="R765" s="1779" t="str">
        <f>CHOOSE(2, "6722000003676", "S/GP (5) Net Sales Direct IMS OSP")</f>
        <v>S/GP (5) Net Sales Direct IMS OSP</v>
      </c>
      <c r="S765" s="1227"/>
      <c r="T765" s="1247"/>
      <c r="U765" s="1227"/>
      <c r="V765" s="1227"/>
      <c r="W765" s="1227"/>
      <c r="X765" s="1227"/>
      <c r="Y765" s="1227"/>
      <c r="Z765" s="1227"/>
      <c r="AA765" s="1227"/>
      <c r="AB765" s="1227"/>
      <c r="AC765" s="1227"/>
      <c r="AD765" s="1227"/>
      <c r="AE765" s="295">
        <f>SUM(S765,T765,U765)</f>
        <v>0</v>
      </c>
      <c r="AF765" s="96">
        <f>SUM(V765,W765,X765)</f>
        <v>0</v>
      </c>
      <c r="AG765" s="96">
        <f>SUM(Y765,Z765,AA765)</f>
        <v>0</v>
      </c>
      <c r="AH765" s="96">
        <f>SUM(AB765,AC765,AD765)</f>
        <v>0</v>
      </c>
      <c r="AI765" s="96">
        <f>AE765+AF765</f>
        <v>0</v>
      </c>
      <c r="AJ765" s="96">
        <f>AH765+AG765</f>
        <v>0</v>
      </c>
      <c r="AK765" s="295">
        <f>AI765+AJ765</f>
        <v>0</v>
      </c>
      <c r="AM765" s="2161">
        <f ca="1">SUM((INDIRECT(AM$2&amp;(ROW())):INDIRECT(AM$3&amp;(ROW()))))</f>
        <v>0</v>
      </c>
      <c r="AN765" s="2160">
        <f ca="1">SUM(INDIRECT(AN$1&amp;AN$2&amp;$C765):INDIRECT(AN$1&amp;AN$3&amp;$C765))</f>
        <v>0</v>
      </c>
      <c r="AO765" s="2900">
        <f t="shared" ca="1" si="1341"/>
        <v>0</v>
      </c>
      <c r="AP765" s="2901">
        <f t="shared" ca="1" si="1342"/>
        <v>0</v>
      </c>
      <c r="AQ765" s="2160">
        <f ca="1">SUM(INDIRECT(AQ$1&amp;AQ$2&amp;$A765):INDIRECT(AQ$1&amp;AQ$3&amp;$A765))+SUM(INDIRECT(AQ$1&amp;AQ$2&amp;$B765):INDIRECT(AQ$1&amp;AQ$3&amp;$B765))</f>
        <v>0</v>
      </c>
      <c r="AR765" s="2900">
        <f t="shared" ca="1" si="1344"/>
        <v>0</v>
      </c>
      <c r="AS765" s="2901">
        <f t="shared" ca="1" si="1345"/>
        <v>0</v>
      </c>
      <c r="AU765" s="2161">
        <f ca="1">SUM((INDIRECT(AU$2&amp;(ROW())):INDIRECT(AU$3&amp;(ROW()))))</f>
        <v>0</v>
      </c>
      <c r="AV765" s="2160">
        <f ca="1">SUM(INDIRECT(AV$1&amp;AV$2&amp;$C765):INDIRECT(AV$1&amp;AV$3&amp;$C765))</f>
        <v>0</v>
      </c>
      <c r="AW765" s="2900">
        <f t="shared" ca="1" si="1346"/>
        <v>0</v>
      </c>
      <c r="AX765" s="2901">
        <f t="shared" ca="1" si="1347"/>
        <v>0</v>
      </c>
      <c r="AY765" s="2160">
        <f ca="1">SUM(INDIRECT(AY$1&amp;AY$2&amp;$A765):INDIRECT(AY$1&amp;AY$3&amp;$A765))+SUM(INDIRECT(AY$1&amp;AY$2&amp;$B765):INDIRECT(AY$1&amp;AY$3&amp;$B765))</f>
        <v>0</v>
      </c>
      <c r="AZ765" s="2900">
        <f t="shared" ca="1" si="1349"/>
        <v>0</v>
      </c>
      <c r="BA765" s="2901">
        <f t="shared" ca="1" si="1350"/>
        <v>0</v>
      </c>
      <c r="BC765" s="2161">
        <f ca="1">SUM((INDIRECT(BC$2&amp;(ROW())):INDIRECT(BC$3&amp;(ROW()))))</f>
        <v>0</v>
      </c>
      <c r="BD765" s="2160">
        <f ca="1">SUM(INDIRECT(BD$1&amp;BD$2&amp;$C765):INDIRECT(BD$1&amp;BD$3&amp;$C765))</f>
        <v>0</v>
      </c>
      <c r="BE765" s="2900">
        <f t="shared" ca="1" si="1351"/>
        <v>0</v>
      </c>
      <c r="BF765" s="2901">
        <f t="shared" ca="1" si="1352"/>
        <v>0</v>
      </c>
      <c r="BG765" s="2160">
        <f ca="1">SUM(INDIRECT(BG$1&amp;BG$2&amp;$A765):INDIRECT(BG$1&amp;BG$3&amp;$A765))+SUM(INDIRECT(BG$1&amp;BG$2&amp;$B765):INDIRECT(BG$1&amp;BG$3&amp;$B765))</f>
        <v>0</v>
      </c>
      <c r="BH765" s="2900">
        <f t="shared" ca="1" si="1354"/>
        <v>0</v>
      </c>
      <c r="BI765" s="2901">
        <f t="shared" ca="1" si="1355"/>
        <v>0</v>
      </c>
    </row>
    <row r="766" spans="1:61" ht="14.5">
      <c r="A766" s="1693">
        <f t="shared" si="1317"/>
        <v>758</v>
      </c>
      <c r="B766" s="616">
        <v>1</v>
      </c>
      <c r="C766" s="1693">
        <f t="shared" si="1316"/>
        <v>766</v>
      </c>
      <c r="D766" s="616">
        <v>1</v>
      </c>
      <c r="F766" s="69"/>
      <c r="H766" s="22"/>
      <c r="J766" s="86"/>
      <c r="K766" s="85"/>
      <c r="L766" s="68"/>
      <c r="M766" s="68"/>
      <c r="O766" s="8" t="s">
        <v>524</v>
      </c>
      <c r="R766" s="1779" t="str">
        <f>CHOOSE(2, "6722000003677", "S/GP (5) Net Sales Direct IMS RP")</f>
        <v>S/GP (5) Net Sales Direct IMS RP</v>
      </c>
      <c r="S766" s="1217"/>
      <c r="T766" s="1224">
        <v>510</v>
      </c>
      <c r="U766" s="1227"/>
      <c r="V766" s="1224">
        <v>510</v>
      </c>
      <c r="W766" s="1227"/>
      <c r="X766" s="1217"/>
      <c r="Y766" s="1217"/>
      <c r="Z766" s="1217"/>
      <c r="AA766" s="1217"/>
      <c r="AB766" s="1217"/>
      <c r="AC766" s="1217">
        <v>171.44399999999999</v>
      </c>
      <c r="AD766" s="1217">
        <v>171</v>
      </c>
      <c r="AE766" s="88">
        <f>SUM(S766,T766,U766)</f>
        <v>510</v>
      </c>
      <c r="AF766" s="17">
        <f>SUM(V766,W766,X766)</f>
        <v>510</v>
      </c>
      <c r="AG766" s="17">
        <f>SUM(Y766,Z766,AA766)</f>
        <v>0</v>
      </c>
      <c r="AH766" s="17">
        <f>SUM(AB766,AC766,AD766)</f>
        <v>342.44399999999996</v>
      </c>
      <c r="AI766" s="17">
        <f>AE766+AF766</f>
        <v>1020</v>
      </c>
      <c r="AJ766" s="17">
        <f>AH766+AG766</f>
        <v>342.44399999999996</v>
      </c>
      <c r="AK766" s="88">
        <f>AI766+AJ766</f>
        <v>1362.444</v>
      </c>
      <c r="AM766" s="1926">
        <f ca="1">SUM((INDIRECT(AM$2&amp;(ROW())):INDIRECT(AM$3&amp;(ROW()))))</f>
        <v>0</v>
      </c>
      <c r="AN766" s="1925">
        <f ca="1">SUM(INDIRECT(AN$1&amp;AN$2&amp;$C766):INDIRECT(AN$1&amp;AN$3&amp;$C766))</f>
        <v>500</v>
      </c>
      <c r="AO766" s="2902">
        <f t="shared" ca="1" si="1341"/>
        <v>-500</v>
      </c>
      <c r="AP766" s="2903">
        <f t="shared" ca="1" si="1342"/>
        <v>0</v>
      </c>
      <c r="AQ766" s="1925">
        <f ca="1">SUM(INDIRECT(AQ$1&amp;AQ$2&amp;$A766):INDIRECT(AQ$1&amp;AQ$3&amp;$A766))+SUM(INDIRECT(AQ$1&amp;AQ$2&amp;$B766):INDIRECT(AQ$1&amp;AQ$3&amp;$B766))</f>
        <v>0</v>
      </c>
      <c r="AR766" s="2902">
        <f t="shared" ca="1" si="1344"/>
        <v>0</v>
      </c>
      <c r="AS766" s="2903">
        <f t="shared" ca="1" si="1345"/>
        <v>0</v>
      </c>
      <c r="AU766" s="1926">
        <f ca="1">SUM((INDIRECT(AU$2&amp;(ROW())):INDIRECT(AU$3&amp;(ROW()))))</f>
        <v>0</v>
      </c>
      <c r="AV766" s="1925">
        <f ca="1">SUM(INDIRECT(AV$1&amp;AV$2&amp;$C766):INDIRECT(AV$1&amp;AV$3&amp;$C766))</f>
        <v>500</v>
      </c>
      <c r="AW766" s="2902">
        <f t="shared" ca="1" si="1346"/>
        <v>-500</v>
      </c>
      <c r="AX766" s="2903">
        <f t="shared" ca="1" si="1347"/>
        <v>0</v>
      </c>
      <c r="AY766" s="1925">
        <f ca="1">SUM(INDIRECT(AY$1&amp;AY$2&amp;$A766):INDIRECT(AY$1&amp;AY$3&amp;$A766))+SUM(INDIRECT(AY$1&amp;AY$2&amp;$B766):INDIRECT(AY$1&amp;AY$3&amp;$B766))</f>
        <v>0</v>
      </c>
      <c r="AZ766" s="2902">
        <f t="shared" ca="1" si="1349"/>
        <v>0</v>
      </c>
      <c r="BA766" s="2903">
        <f t="shared" ca="1" si="1350"/>
        <v>0</v>
      </c>
      <c r="BC766" s="1926">
        <f ca="1">SUM((INDIRECT(BC$2&amp;(ROW())):INDIRECT(BC$3&amp;(ROW()))))</f>
        <v>0</v>
      </c>
      <c r="BD766" s="1925">
        <f ca="1">SUM(INDIRECT(BD$1&amp;BD$2&amp;$C766):INDIRECT(BD$1&amp;BD$3&amp;$C766))</f>
        <v>500</v>
      </c>
      <c r="BE766" s="2902">
        <f t="shared" ca="1" si="1351"/>
        <v>-500</v>
      </c>
      <c r="BF766" s="2903">
        <f t="shared" ca="1" si="1352"/>
        <v>0</v>
      </c>
      <c r="BG766" s="1925">
        <f ca="1">SUM(INDIRECT(BG$1&amp;BG$2&amp;$A766):INDIRECT(BG$1&amp;BG$3&amp;$A766))+SUM(INDIRECT(BG$1&amp;BG$2&amp;$B766):INDIRECT(BG$1&amp;BG$3&amp;$B766))</f>
        <v>0</v>
      </c>
      <c r="BH766" s="2902">
        <f t="shared" ca="1" si="1354"/>
        <v>0</v>
      </c>
      <c r="BI766" s="2903">
        <f t="shared" ca="1" si="1355"/>
        <v>0</v>
      </c>
    </row>
    <row r="767" spans="1:61" ht="14.5">
      <c r="A767" s="1693">
        <f t="shared" si="1317"/>
        <v>759</v>
      </c>
      <c r="B767" s="616">
        <v>1</v>
      </c>
      <c r="C767" s="1693">
        <f t="shared" si="1316"/>
        <v>767</v>
      </c>
      <c r="D767" s="616">
        <v>1</v>
      </c>
      <c r="F767" s="69"/>
      <c r="H767" s="22"/>
      <c r="J767" s="86"/>
      <c r="K767" s="85"/>
      <c r="L767" s="68"/>
      <c r="M767" s="68"/>
      <c r="O767" s="8" t="s">
        <v>525</v>
      </c>
      <c r="R767" s="1779" t="str">
        <f>CHOOSE(2, "6722000003678", "S/GP (5) Net Sales Direct IMS OSP service")</f>
        <v>S/GP (5) Net Sales Direct IMS OSP service</v>
      </c>
      <c r="S767" s="1217"/>
      <c r="T767" s="1224"/>
      <c r="U767" s="1217"/>
      <c r="V767" s="1217"/>
      <c r="W767" s="1217"/>
      <c r="X767" s="1217"/>
      <c r="Y767" s="1217"/>
      <c r="Z767" s="1217"/>
      <c r="AA767" s="1217"/>
      <c r="AB767" s="1217"/>
      <c r="AC767" s="1217"/>
      <c r="AD767" s="1217"/>
      <c r="AE767" s="88">
        <f>SUM(S767,T767,U767)</f>
        <v>0</v>
      </c>
      <c r="AF767" s="17">
        <f>SUM(V767,W767,X767)</f>
        <v>0</v>
      </c>
      <c r="AG767" s="17">
        <f>SUM(Y767,Z767,AA767)</f>
        <v>0</v>
      </c>
      <c r="AH767" s="17">
        <f>SUM(AB767,AC767,AD767)</f>
        <v>0</v>
      </c>
      <c r="AI767" s="17">
        <f>AE767+AF767</f>
        <v>0</v>
      </c>
      <c r="AJ767" s="17">
        <f>AH767+AG767</f>
        <v>0</v>
      </c>
      <c r="AK767" s="88">
        <f>AI767+AJ767</f>
        <v>0</v>
      </c>
      <c r="AM767" s="1926">
        <f ca="1">SUM((INDIRECT(AM$2&amp;(ROW())):INDIRECT(AM$3&amp;(ROW()))))</f>
        <v>0</v>
      </c>
      <c r="AN767" s="1925">
        <f ca="1">SUM(INDIRECT(AN$1&amp;AN$2&amp;$C767):INDIRECT(AN$1&amp;AN$3&amp;$C767))</f>
        <v>0</v>
      </c>
      <c r="AO767" s="2902">
        <f t="shared" ca="1" si="1341"/>
        <v>0</v>
      </c>
      <c r="AP767" s="2903">
        <f t="shared" ca="1" si="1342"/>
        <v>0</v>
      </c>
      <c r="AQ767" s="1925">
        <f ca="1">SUM(INDIRECT(AQ$1&amp;AQ$2&amp;$A767):INDIRECT(AQ$1&amp;AQ$3&amp;$A767))+SUM(INDIRECT(AQ$1&amp;AQ$2&amp;$B767):INDIRECT(AQ$1&amp;AQ$3&amp;$B767))</f>
        <v>0</v>
      </c>
      <c r="AR767" s="2902">
        <f t="shared" ca="1" si="1344"/>
        <v>0</v>
      </c>
      <c r="AS767" s="2903">
        <f t="shared" ca="1" si="1345"/>
        <v>0</v>
      </c>
      <c r="AU767" s="1926">
        <f ca="1">SUM((INDIRECT(AU$2&amp;(ROW())):INDIRECT(AU$3&amp;(ROW()))))</f>
        <v>0</v>
      </c>
      <c r="AV767" s="1925">
        <f ca="1">SUM(INDIRECT(AV$1&amp;AV$2&amp;$C767):INDIRECT(AV$1&amp;AV$3&amp;$C767))</f>
        <v>0</v>
      </c>
      <c r="AW767" s="2902">
        <f t="shared" ca="1" si="1346"/>
        <v>0</v>
      </c>
      <c r="AX767" s="2903">
        <f t="shared" ca="1" si="1347"/>
        <v>0</v>
      </c>
      <c r="AY767" s="1925">
        <f ca="1">SUM(INDIRECT(AY$1&amp;AY$2&amp;$A767):INDIRECT(AY$1&amp;AY$3&amp;$A767))+SUM(INDIRECT(AY$1&amp;AY$2&amp;$B767):INDIRECT(AY$1&amp;AY$3&amp;$B767))</f>
        <v>0</v>
      </c>
      <c r="AZ767" s="2902">
        <f t="shared" ca="1" si="1349"/>
        <v>0</v>
      </c>
      <c r="BA767" s="2903">
        <f t="shared" ca="1" si="1350"/>
        <v>0</v>
      </c>
      <c r="BC767" s="1926">
        <f ca="1">SUM((INDIRECT(BC$2&amp;(ROW())):INDIRECT(BC$3&amp;(ROW()))))</f>
        <v>0</v>
      </c>
      <c r="BD767" s="1925">
        <f ca="1">SUM(INDIRECT(BD$1&amp;BD$2&amp;$C767):INDIRECT(BD$1&amp;BD$3&amp;$C767))</f>
        <v>0</v>
      </c>
      <c r="BE767" s="2902">
        <f t="shared" ca="1" si="1351"/>
        <v>0</v>
      </c>
      <c r="BF767" s="2903">
        <f t="shared" ca="1" si="1352"/>
        <v>0</v>
      </c>
      <c r="BG767" s="1925">
        <f ca="1">SUM(INDIRECT(BG$1&amp;BG$2&amp;$A767):INDIRECT(BG$1&amp;BG$3&amp;$A767))+SUM(INDIRECT(BG$1&amp;BG$2&amp;$B767):INDIRECT(BG$1&amp;BG$3&amp;$B767))</f>
        <v>0</v>
      </c>
      <c r="BH767" s="2902">
        <f t="shared" ca="1" si="1354"/>
        <v>0</v>
      </c>
      <c r="BI767" s="2903">
        <f t="shared" ca="1" si="1355"/>
        <v>0</v>
      </c>
    </row>
    <row r="768" spans="1:61" ht="14.5">
      <c r="A768" s="1693">
        <f t="shared" si="1317"/>
        <v>760</v>
      </c>
      <c r="B768" s="616">
        <v>1</v>
      </c>
      <c r="C768" s="1693">
        <f t="shared" si="1316"/>
        <v>768</v>
      </c>
      <c r="D768" s="616">
        <v>1</v>
      </c>
      <c r="F768" s="69"/>
      <c r="H768" s="22"/>
      <c r="J768" s="86"/>
      <c r="K768" s="85"/>
      <c r="L768" s="68"/>
      <c r="M768" s="68"/>
      <c r="N768" s="11"/>
      <c r="O768" s="8" t="s">
        <v>526</v>
      </c>
      <c r="R768" s="1779" t="str">
        <f>CHOOSE(2, "6722000003679", "S/GP (5) Net Sales Direct IMS RP service")</f>
        <v>S/GP (5) Net Sales Direct IMS RP service</v>
      </c>
      <c r="S768" s="1217"/>
      <c r="T768" s="1224"/>
      <c r="U768" s="1217"/>
      <c r="V768" s="1217"/>
      <c r="W768" s="1217"/>
      <c r="X768" s="1217"/>
      <c r="Y768" s="1217"/>
      <c r="Z768" s="1217"/>
      <c r="AA768" s="1217"/>
      <c r="AB768" s="1217"/>
      <c r="AC768" s="1217"/>
      <c r="AD768" s="1217"/>
      <c r="AE768" s="88">
        <f>SUM(S768,T768,U768)</f>
        <v>0</v>
      </c>
      <c r="AF768" s="17">
        <f>SUM(V768,W768,X768)</f>
        <v>0</v>
      </c>
      <c r="AG768" s="17">
        <f>SUM(Y768,Z768,AA768)</f>
        <v>0</v>
      </c>
      <c r="AH768" s="17">
        <f>SUM(AB768,AC768,AD768)</f>
        <v>0</v>
      </c>
      <c r="AI768" s="17">
        <f>AE768+AF768</f>
        <v>0</v>
      </c>
      <c r="AJ768" s="17">
        <f>AH768+AG768</f>
        <v>0</v>
      </c>
      <c r="AK768" s="88">
        <f>AI768+AJ768</f>
        <v>0</v>
      </c>
      <c r="AM768" s="1926">
        <f ca="1">SUM((INDIRECT(AM$2&amp;(ROW())):INDIRECT(AM$3&amp;(ROW()))))</f>
        <v>0</v>
      </c>
      <c r="AN768" s="1925">
        <f ca="1">SUM(INDIRECT(AN$1&amp;AN$2&amp;$C768):INDIRECT(AN$1&amp;AN$3&amp;$C768))</f>
        <v>0</v>
      </c>
      <c r="AO768" s="2902">
        <f t="shared" ca="1" si="1341"/>
        <v>0</v>
      </c>
      <c r="AP768" s="2903">
        <f t="shared" ca="1" si="1342"/>
        <v>0</v>
      </c>
      <c r="AQ768" s="1925">
        <f ca="1">SUM(INDIRECT(AQ$1&amp;AQ$2&amp;$A768):INDIRECT(AQ$1&amp;AQ$3&amp;$A768))+SUM(INDIRECT(AQ$1&amp;AQ$2&amp;$B768):INDIRECT(AQ$1&amp;AQ$3&amp;$B768))</f>
        <v>0</v>
      </c>
      <c r="AR768" s="2902">
        <f t="shared" ca="1" si="1344"/>
        <v>0</v>
      </c>
      <c r="AS768" s="2903">
        <f t="shared" ca="1" si="1345"/>
        <v>0</v>
      </c>
      <c r="AU768" s="1926">
        <f ca="1">SUM((INDIRECT(AU$2&amp;(ROW())):INDIRECT(AU$3&amp;(ROW()))))</f>
        <v>0</v>
      </c>
      <c r="AV768" s="1925">
        <f ca="1">SUM(INDIRECT(AV$1&amp;AV$2&amp;$C768):INDIRECT(AV$1&amp;AV$3&amp;$C768))</f>
        <v>0</v>
      </c>
      <c r="AW768" s="2902">
        <f t="shared" ca="1" si="1346"/>
        <v>0</v>
      </c>
      <c r="AX768" s="2903">
        <f t="shared" ca="1" si="1347"/>
        <v>0</v>
      </c>
      <c r="AY768" s="1925">
        <f ca="1">SUM(INDIRECT(AY$1&amp;AY$2&amp;$A768):INDIRECT(AY$1&amp;AY$3&amp;$A768))+SUM(INDIRECT(AY$1&amp;AY$2&amp;$B768):INDIRECT(AY$1&amp;AY$3&amp;$B768))</f>
        <v>0</v>
      </c>
      <c r="AZ768" s="2902">
        <f t="shared" ca="1" si="1349"/>
        <v>0</v>
      </c>
      <c r="BA768" s="2903">
        <f t="shared" ca="1" si="1350"/>
        <v>0</v>
      </c>
      <c r="BC768" s="1926">
        <f ca="1">SUM((INDIRECT(BC$2&amp;(ROW())):INDIRECT(BC$3&amp;(ROW()))))</f>
        <v>0</v>
      </c>
      <c r="BD768" s="1925">
        <f ca="1">SUM(INDIRECT(BD$1&amp;BD$2&amp;$C768):INDIRECT(BD$1&amp;BD$3&amp;$C768))</f>
        <v>0</v>
      </c>
      <c r="BE768" s="2902">
        <f t="shared" ca="1" si="1351"/>
        <v>0</v>
      </c>
      <c r="BF768" s="2903">
        <f t="shared" ca="1" si="1352"/>
        <v>0</v>
      </c>
      <c r="BG768" s="1925">
        <f ca="1">SUM(INDIRECT(BG$1&amp;BG$2&amp;$A768):INDIRECT(BG$1&amp;BG$3&amp;$A768))+SUM(INDIRECT(BG$1&amp;BG$2&amp;$B768):INDIRECT(BG$1&amp;BG$3&amp;$B768))</f>
        <v>0</v>
      </c>
      <c r="BH768" s="2902">
        <f t="shared" ca="1" si="1354"/>
        <v>0</v>
      </c>
      <c r="BI768" s="2903">
        <f t="shared" ca="1" si="1355"/>
        <v>0</v>
      </c>
    </row>
    <row r="769" spans="1:61" ht="14.5">
      <c r="A769" s="1693">
        <f t="shared" si="1317"/>
        <v>761</v>
      </c>
      <c r="B769" s="616">
        <v>1</v>
      </c>
      <c r="C769" s="1693">
        <f t="shared" si="1316"/>
        <v>769</v>
      </c>
      <c r="D769" s="616">
        <v>644</v>
      </c>
      <c r="F769" s="69"/>
      <c r="H769" s="737"/>
      <c r="J769" s="86"/>
      <c r="K769" s="85"/>
      <c r="L769" s="68"/>
      <c r="M769" s="68"/>
      <c r="N769" s="3" t="s">
        <v>608</v>
      </c>
      <c r="O769" s="284"/>
      <c r="P769" s="284"/>
      <c r="Q769" s="284"/>
      <c r="R769" s="1777" t="str">
        <f>CHOOSE(2, "6722000003680", "S/GP (5) Net Sales Direct ICW-IT")</f>
        <v>S/GP (5) Net Sales Direct ICW-IT</v>
      </c>
      <c r="S769" s="1249">
        <f>SUM(S770:S773)</f>
        <v>0</v>
      </c>
      <c r="T769" s="1621">
        <f t="shared" ref="T769:AD769" si="1363">SUM(T770:T773)</f>
        <v>0</v>
      </c>
      <c r="U769" s="1249">
        <f t="shared" si="1363"/>
        <v>0</v>
      </c>
      <c r="V769" s="1249">
        <f t="shared" si="1363"/>
        <v>0</v>
      </c>
      <c r="W769" s="1249">
        <f t="shared" si="1363"/>
        <v>0</v>
      </c>
      <c r="X769" s="1249">
        <f t="shared" si="1363"/>
        <v>0</v>
      </c>
      <c r="Y769" s="1249">
        <f t="shared" si="1363"/>
        <v>0</v>
      </c>
      <c r="Z769" s="1249">
        <f t="shared" si="1363"/>
        <v>0</v>
      </c>
      <c r="AA769" s="1249">
        <f t="shared" si="1363"/>
        <v>0</v>
      </c>
      <c r="AB769" s="1249">
        <f t="shared" si="1363"/>
        <v>0</v>
      </c>
      <c r="AC769" s="1249">
        <f t="shared" si="1363"/>
        <v>0</v>
      </c>
      <c r="AD769" s="1249">
        <f t="shared" si="1363"/>
        <v>0</v>
      </c>
      <c r="AE769" s="898">
        <f t="shared" ref="AE769:AK769" si="1364">SUM(AE770:AE773)</f>
        <v>0</v>
      </c>
      <c r="AF769" s="1249">
        <f t="shared" si="1364"/>
        <v>0</v>
      </c>
      <c r="AG769" s="1249">
        <f t="shared" si="1364"/>
        <v>0</v>
      </c>
      <c r="AH769" s="1249">
        <f t="shared" si="1364"/>
        <v>0</v>
      </c>
      <c r="AI769" s="1249">
        <f t="shared" si="1364"/>
        <v>0</v>
      </c>
      <c r="AJ769" s="1249">
        <f t="shared" si="1364"/>
        <v>0</v>
      </c>
      <c r="AK769" s="898">
        <f t="shared" si="1364"/>
        <v>0</v>
      </c>
      <c r="AM769" s="2570">
        <f ca="1">SUM((INDIRECT(AM$2&amp;(ROW())):INDIRECT(AM$3&amp;(ROW()))))</f>
        <v>0</v>
      </c>
      <c r="AN769" s="2591">
        <f ca="1">SUM(INDIRECT(AN$1&amp;AN$2&amp;$C769):INDIRECT(AN$1&amp;AN$3&amp;$C769))</f>
        <v>0</v>
      </c>
      <c r="AO769" s="2898">
        <f ca="1">AM769-AN769</f>
        <v>0</v>
      </c>
      <c r="AP769" s="2899">
        <f ca="1">IFERROR(AM769/AN769,0)</f>
        <v>0</v>
      </c>
      <c r="AQ769" s="2591">
        <f ca="1">SUM(INDIRECT(AQ$1&amp;AQ$2&amp;$A769):INDIRECT(AQ$1&amp;AQ$3&amp;$A769))+SUM(INDIRECT(AQ$1&amp;AQ$2&amp;$B769):INDIRECT(AQ$1&amp;AQ$3&amp;$B769))</f>
        <v>0</v>
      </c>
      <c r="AR769" s="2898">
        <f ca="1">AM769-AQ769</f>
        <v>0</v>
      </c>
      <c r="AS769" s="2899">
        <f ca="1">IFERROR(AM769/AQ769,0)</f>
        <v>0</v>
      </c>
      <c r="AU769" s="2570">
        <f ca="1">SUM((INDIRECT(AU$2&amp;(ROW())):INDIRECT(AU$3&amp;(ROW()))))</f>
        <v>0</v>
      </c>
      <c r="AV769" s="2591">
        <f ca="1">SUM(INDIRECT(AV$1&amp;AV$2&amp;$C769):INDIRECT(AV$1&amp;AV$3&amp;$C769))</f>
        <v>0</v>
      </c>
      <c r="AW769" s="2898">
        <f ca="1">AU769-AV769</f>
        <v>0</v>
      </c>
      <c r="AX769" s="2899">
        <f ca="1">IFERROR(AU769/AV769,0)</f>
        <v>0</v>
      </c>
      <c r="AY769" s="2591">
        <f ca="1">SUM(INDIRECT(AY$1&amp;AY$2&amp;$A769):INDIRECT(AY$1&amp;AY$3&amp;$A769))+SUM(INDIRECT(AY$1&amp;AY$2&amp;$B769):INDIRECT(AY$1&amp;AY$3&amp;$B769))</f>
        <v>0</v>
      </c>
      <c r="AZ769" s="2898">
        <f ca="1">AU769-AY769</f>
        <v>0</v>
      </c>
      <c r="BA769" s="2899">
        <f ca="1">IFERROR(AU769/AY769,0)</f>
        <v>0</v>
      </c>
      <c r="BC769" s="2570">
        <f ca="1">SUM((INDIRECT(BC$2&amp;(ROW())):INDIRECT(BC$3&amp;(ROW()))))</f>
        <v>0</v>
      </c>
      <c r="BD769" s="2591">
        <f ca="1">SUM(INDIRECT(BD$1&amp;BD$2&amp;$C769):INDIRECT(BD$1&amp;BD$3&amp;$C769))</f>
        <v>0</v>
      </c>
      <c r="BE769" s="2898">
        <f ca="1">BC769-BD769</f>
        <v>0</v>
      </c>
      <c r="BF769" s="2899">
        <f ca="1">IFERROR(BC769/BD769,0)</f>
        <v>0</v>
      </c>
      <c r="BG769" s="2591">
        <f ca="1">SUM(INDIRECT(BG$1&amp;BG$2&amp;$A769):INDIRECT(BG$1&amp;BG$3&amp;$A769))+SUM(INDIRECT(BG$1&amp;BG$2&amp;$B769):INDIRECT(BG$1&amp;BG$3&amp;$B769))</f>
        <v>0</v>
      </c>
      <c r="BH769" s="2898">
        <f ca="1">BC769-BG769</f>
        <v>0</v>
      </c>
      <c r="BI769" s="2899">
        <f ca="1">IFERROR(BC769/BG769,0)</f>
        <v>0</v>
      </c>
    </row>
    <row r="770" spans="1:61" ht="14.5">
      <c r="A770" s="1693">
        <f t="shared" si="1317"/>
        <v>762</v>
      </c>
      <c r="B770" s="616">
        <v>1</v>
      </c>
      <c r="C770" s="1693">
        <f t="shared" si="1316"/>
        <v>770</v>
      </c>
      <c r="D770" s="616">
        <f>D769+1</f>
        <v>645</v>
      </c>
      <c r="F770" s="69"/>
      <c r="H770" s="737"/>
      <c r="J770" s="86"/>
      <c r="K770" s="85"/>
      <c r="L770" s="68"/>
      <c r="M770" s="68"/>
      <c r="O770" s="97" t="s">
        <v>523</v>
      </c>
      <c r="P770" s="97"/>
      <c r="Q770" s="97"/>
      <c r="R770" s="1779" t="str">
        <f>CHOOSE(2, "6722000003681", "S/GP (5) Net Sales Direct ICW-IT OSP")</f>
        <v>S/GP (5) Net Sales Direct ICW-IT OSP</v>
      </c>
      <c r="S770" s="1227"/>
      <c r="T770" s="1247"/>
      <c r="U770" s="1227"/>
      <c r="V770" s="1227"/>
      <c r="W770" s="1227"/>
      <c r="X770" s="1227"/>
      <c r="Y770" s="1227"/>
      <c r="Z770" s="1227"/>
      <c r="AA770" s="1227"/>
      <c r="AB770" s="1227"/>
      <c r="AC770" s="1227"/>
      <c r="AD770" s="1227"/>
      <c r="AE770" s="295">
        <f>SUM(S770,T770,U770)</f>
        <v>0</v>
      </c>
      <c r="AF770" s="96">
        <f>SUM(V770,W770,X770)</f>
        <v>0</v>
      </c>
      <c r="AG770" s="96">
        <f>SUM(Y770,Z770,AA770)</f>
        <v>0</v>
      </c>
      <c r="AH770" s="96">
        <f>SUM(AB770,AC770,AD770)</f>
        <v>0</v>
      </c>
      <c r="AI770" s="96">
        <f>AE770+AF770</f>
        <v>0</v>
      </c>
      <c r="AJ770" s="96">
        <f>AH770+AG770</f>
        <v>0</v>
      </c>
      <c r="AK770" s="295">
        <f>AI770+AJ770</f>
        <v>0</v>
      </c>
      <c r="AM770" s="2161">
        <f ca="1">SUM((INDIRECT(AM$2&amp;(ROW())):INDIRECT(AM$3&amp;(ROW()))))</f>
        <v>0</v>
      </c>
      <c r="AN770" s="2160">
        <f ca="1">SUM(INDIRECT(AN$1&amp;AN$2&amp;$C770):INDIRECT(AN$1&amp;AN$3&amp;$C770))</f>
        <v>0</v>
      </c>
      <c r="AO770" s="2900">
        <f ca="1">AM770-AN770</f>
        <v>0</v>
      </c>
      <c r="AP770" s="2901">
        <f ca="1">IFERROR(AM770/AN770,0)</f>
        <v>0</v>
      </c>
      <c r="AQ770" s="2160">
        <f ca="1">SUM(INDIRECT(AQ$1&amp;AQ$2&amp;$A770):INDIRECT(AQ$1&amp;AQ$3&amp;$A770))+SUM(INDIRECT(AQ$1&amp;AQ$2&amp;$B770):INDIRECT(AQ$1&amp;AQ$3&amp;$B770))</f>
        <v>0</v>
      </c>
      <c r="AR770" s="2900">
        <f ca="1">AM770-AQ770</f>
        <v>0</v>
      </c>
      <c r="AS770" s="2901">
        <f ca="1">IFERROR(AM770/AQ770,0)</f>
        <v>0</v>
      </c>
      <c r="AU770" s="2161">
        <f ca="1">SUM((INDIRECT(AU$2&amp;(ROW())):INDIRECT(AU$3&amp;(ROW()))))</f>
        <v>0</v>
      </c>
      <c r="AV770" s="2160">
        <f ca="1">SUM(INDIRECT(AV$1&amp;AV$2&amp;$C770):INDIRECT(AV$1&amp;AV$3&amp;$C770))</f>
        <v>0</v>
      </c>
      <c r="AW770" s="2900">
        <f ca="1">AU770-AV770</f>
        <v>0</v>
      </c>
      <c r="AX770" s="2901">
        <f ca="1">IFERROR(AU770/AV770,0)</f>
        <v>0</v>
      </c>
      <c r="AY770" s="2160">
        <f ca="1">SUM(INDIRECT(AY$1&amp;AY$2&amp;$A770):INDIRECT(AY$1&amp;AY$3&amp;$A770))+SUM(INDIRECT(AY$1&amp;AY$2&amp;$B770):INDIRECT(AY$1&amp;AY$3&amp;$B770))</f>
        <v>0</v>
      </c>
      <c r="AZ770" s="2900">
        <f ca="1">AU770-AY770</f>
        <v>0</v>
      </c>
      <c r="BA770" s="2901">
        <f ca="1">IFERROR(AU770/AY770,0)</f>
        <v>0</v>
      </c>
      <c r="BC770" s="2161">
        <f ca="1">SUM((INDIRECT(BC$2&amp;(ROW())):INDIRECT(BC$3&amp;(ROW()))))</f>
        <v>0</v>
      </c>
      <c r="BD770" s="2160">
        <f ca="1">SUM(INDIRECT(BD$1&amp;BD$2&amp;$C770):INDIRECT(BD$1&amp;BD$3&amp;$C770))</f>
        <v>0</v>
      </c>
      <c r="BE770" s="2900">
        <f ca="1">BC770-BD770</f>
        <v>0</v>
      </c>
      <c r="BF770" s="2901">
        <f ca="1">IFERROR(BC770/BD770,0)</f>
        <v>0</v>
      </c>
      <c r="BG770" s="2160">
        <f ca="1">SUM(INDIRECT(BG$1&amp;BG$2&amp;$A770):INDIRECT(BG$1&amp;BG$3&amp;$A770))+SUM(INDIRECT(BG$1&amp;BG$2&amp;$B770):INDIRECT(BG$1&amp;BG$3&amp;$B770))</f>
        <v>0</v>
      </c>
      <c r="BH770" s="2900">
        <f ca="1">BC770-BG770</f>
        <v>0</v>
      </c>
      <c r="BI770" s="2901">
        <f ca="1">IFERROR(BC770/BG770,0)</f>
        <v>0</v>
      </c>
    </row>
    <row r="771" spans="1:61" ht="14.5">
      <c r="A771" s="1693">
        <f t="shared" si="1317"/>
        <v>763</v>
      </c>
      <c r="B771" s="616">
        <v>1</v>
      </c>
      <c r="C771" s="1693">
        <f t="shared" si="1316"/>
        <v>771</v>
      </c>
      <c r="D771" s="616">
        <f>D770+1</f>
        <v>646</v>
      </c>
      <c r="F771" s="69"/>
      <c r="H771" s="737"/>
      <c r="J771" s="86"/>
      <c r="K771" s="85"/>
      <c r="L771" s="68"/>
      <c r="M771" s="68"/>
      <c r="O771" s="8" t="s">
        <v>524</v>
      </c>
      <c r="R771" s="1779" t="str">
        <f>CHOOSE(2, "6722000003682", "S/GP (5) Net Sales Direct ICW-IT RP")</f>
        <v>S/GP (5) Net Sales Direct ICW-IT RP</v>
      </c>
      <c r="S771" s="1217"/>
      <c r="T771" s="1224"/>
      <c r="U771" s="1217"/>
      <c r="V771" s="1217"/>
      <c r="W771" s="1217"/>
      <c r="X771" s="1217"/>
      <c r="Y771" s="1217"/>
      <c r="Z771" s="1217"/>
      <c r="AA771" s="1217"/>
      <c r="AB771" s="1217"/>
      <c r="AC771" s="1217"/>
      <c r="AD771" s="1217"/>
      <c r="AE771" s="88">
        <f>SUM(S771,T771,U771)</f>
        <v>0</v>
      </c>
      <c r="AF771" s="17">
        <f>SUM(V771,W771,X771)</f>
        <v>0</v>
      </c>
      <c r="AG771" s="17">
        <f>SUM(Y771,Z771,AA771)</f>
        <v>0</v>
      </c>
      <c r="AH771" s="17">
        <f>SUM(AB771,AC771,AD771)</f>
        <v>0</v>
      </c>
      <c r="AI771" s="17">
        <f>AE771+AF771</f>
        <v>0</v>
      </c>
      <c r="AJ771" s="17">
        <f>AH771+AG771</f>
        <v>0</v>
      </c>
      <c r="AK771" s="88">
        <f>AI771+AJ771</f>
        <v>0</v>
      </c>
      <c r="AM771" s="1926">
        <f ca="1">SUM((INDIRECT(AM$2&amp;(ROW())):INDIRECT(AM$3&amp;(ROW()))))</f>
        <v>0</v>
      </c>
      <c r="AN771" s="1925">
        <f ca="1">SUM(INDIRECT(AN$1&amp;AN$2&amp;$C771):INDIRECT(AN$1&amp;AN$3&amp;$C771))</f>
        <v>0</v>
      </c>
      <c r="AO771" s="2902">
        <f ca="1">AM771-AN771</f>
        <v>0</v>
      </c>
      <c r="AP771" s="2903">
        <f ca="1">IFERROR(AM771/AN771,0)</f>
        <v>0</v>
      </c>
      <c r="AQ771" s="1925">
        <f ca="1">SUM(INDIRECT(AQ$1&amp;AQ$2&amp;$A771):INDIRECT(AQ$1&amp;AQ$3&amp;$A771))+SUM(INDIRECT(AQ$1&amp;AQ$2&amp;$B771):INDIRECT(AQ$1&amp;AQ$3&amp;$B771))</f>
        <v>0</v>
      </c>
      <c r="AR771" s="2902">
        <f ca="1">AM771-AQ771</f>
        <v>0</v>
      </c>
      <c r="AS771" s="2903">
        <f ca="1">IFERROR(AM771/AQ771,0)</f>
        <v>0</v>
      </c>
      <c r="AU771" s="1926">
        <f ca="1">SUM((INDIRECT(AU$2&amp;(ROW())):INDIRECT(AU$3&amp;(ROW()))))</f>
        <v>0</v>
      </c>
      <c r="AV771" s="1925">
        <f ca="1">SUM(INDIRECT(AV$1&amp;AV$2&amp;$C771):INDIRECT(AV$1&amp;AV$3&amp;$C771))</f>
        <v>0</v>
      </c>
      <c r="AW771" s="2902">
        <f ca="1">AU771-AV771</f>
        <v>0</v>
      </c>
      <c r="AX771" s="2903">
        <f ca="1">IFERROR(AU771/AV771,0)</f>
        <v>0</v>
      </c>
      <c r="AY771" s="1925">
        <f ca="1">SUM(INDIRECT(AY$1&amp;AY$2&amp;$A771):INDIRECT(AY$1&amp;AY$3&amp;$A771))+SUM(INDIRECT(AY$1&amp;AY$2&amp;$B771):INDIRECT(AY$1&amp;AY$3&amp;$B771))</f>
        <v>0</v>
      </c>
      <c r="AZ771" s="2902">
        <f ca="1">AU771-AY771</f>
        <v>0</v>
      </c>
      <c r="BA771" s="2903">
        <f ca="1">IFERROR(AU771/AY771,0)</f>
        <v>0</v>
      </c>
      <c r="BC771" s="1926">
        <f ca="1">SUM((INDIRECT(BC$2&amp;(ROW())):INDIRECT(BC$3&amp;(ROW()))))</f>
        <v>0</v>
      </c>
      <c r="BD771" s="1925">
        <f ca="1">SUM(INDIRECT(BD$1&amp;BD$2&amp;$C771):INDIRECT(BD$1&amp;BD$3&amp;$C771))</f>
        <v>0</v>
      </c>
      <c r="BE771" s="2902">
        <f ca="1">BC771-BD771</f>
        <v>0</v>
      </c>
      <c r="BF771" s="2903">
        <f ca="1">IFERROR(BC771/BD771,0)</f>
        <v>0</v>
      </c>
      <c r="BG771" s="1925">
        <f ca="1">SUM(INDIRECT(BG$1&amp;BG$2&amp;$A771):INDIRECT(BG$1&amp;BG$3&amp;$A771))+SUM(INDIRECT(BG$1&amp;BG$2&amp;$B771):INDIRECT(BG$1&amp;BG$3&amp;$B771))</f>
        <v>0</v>
      </c>
      <c r="BH771" s="2902">
        <f ca="1">BC771-BG771</f>
        <v>0</v>
      </c>
      <c r="BI771" s="2903">
        <f ca="1">IFERROR(BC771/BG771,0)</f>
        <v>0</v>
      </c>
    </row>
    <row r="772" spans="1:61" ht="14.5">
      <c r="A772" s="1693">
        <f t="shared" si="1317"/>
        <v>764</v>
      </c>
      <c r="B772" s="616">
        <v>1</v>
      </c>
      <c r="C772" s="1693">
        <f t="shared" si="1316"/>
        <v>772</v>
      </c>
      <c r="D772" s="616">
        <v>1</v>
      </c>
      <c r="F772" s="69"/>
      <c r="H772" s="737"/>
      <c r="J772" s="86"/>
      <c r="K772" s="85"/>
      <c r="L772" s="68"/>
      <c r="M772" s="68"/>
      <c r="O772" s="8" t="s">
        <v>525</v>
      </c>
      <c r="R772" s="1779" t="str">
        <f>CHOOSE(2, "6722000003683", "S/GP (5) Net Sales Direct ICW-IT OSP service")</f>
        <v>S/GP (5) Net Sales Direct ICW-IT OSP service</v>
      </c>
      <c r="S772" s="1217"/>
      <c r="T772" s="1224"/>
      <c r="U772" s="1217"/>
      <c r="V772" s="1217"/>
      <c r="W772" s="1217"/>
      <c r="X772" s="1217"/>
      <c r="Y772" s="1217"/>
      <c r="Z772" s="1217"/>
      <c r="AA772" s="1217"/>
      <c r="AB772" s="1217"/>
      <c r="AC772" s="1217"/>
      <c r="AD772" s="1217"/>
      <c r="AE772" s="88">
        <f>SUM(S772,T772,U772)</f>
        <v>0</v>
      </c>
      <c r="AF772" s="17">
        <f>SUM(V772,W772,X772)</f>
        <v>0</v>
      </c>
      <c r="AG772" s="17">
        <f>SUM(Y772,Z772,AA772)</f>
        <v>0</v>
      </c>
      <c r="AH772" s="17">
        <f>SUM(AB772,AC772,AD772)</f>
        <v>0</v>
      </c>
      <c r="AI772" s="17">
        <f>AE772+AF772</f>
        <v>0</v>
      </c>
      <c r="AJ772" s="17">
        <f>AH772+AG772</f>
        <v>0</v>
      </c>
      <c r="AK772" s="88">
        <f>AI772+AJ772</f>
        <v>0</v>
      </c>
      <c r="AM772" s="1926">
        <f ca="1">SUM((INDIRECT(AM$2&amp;(ROW())):INDIRECT(AM$3&amp;(ROW()))))</f>
        <v>0</v>
      </c>
      <c r="AN772" s="1925">
        <f ca="1">SUM(INDIRECT(AN$1&amp;AN$2&amp;$C772):INDIRECT(AN$1&amp;AN$3&amp;$C772))</f>
        <v>0</v>
      </c>
      <c r="AO772" s="2902">
        <f ca="1">AM772-AN772</f>
        <v>0</v>
      </c>
      <c r="AP772" s="2903">
        <f ca="1">IFERROR(AM772/AN772,0)</f>
        <v>0</v>
      </c>
      <c r="AQ772" s="2147">
        <f ca="1">SUM(INDIRECT(AQ$1&amp;AQ$2&amp;$A772):INDIRECT(AQ$1&amp;AQ$3&amp;$A772))+SUM(INDIRECT(AQ$1&amp;AQ$2&amp;$B772):INDIRECT(AQ$1&amp;AQ$3&amp;$B772))</f>
        <v>0</v>
      </c>
      <c r="AR772" s="2924">
        <f ca="1">AM772-AQ772</f>
        <v>0</v>
      </c>
      <c r="AS772" s="2925">
        <f ca="1">IFERROR(AM772/AQ772,0)</f>
        <v>0</v>
      </c>
      <c r="AT772" s="69"/>
      <c r="AU772" s="579">
        <f ca="1">SUM((INDIRECT(AU$2&amp;(ROW())):INDIRECT(AU$3&amp;(ROW()))))</f>
        <v>0</v>
      </c>
      <c r="AV772" s="2147">
        <f ca="1">SUM(INDIRECT(AV$1&amp;AV$2&amp;$C772):INDIRECT(AV$1&amp;AV$3&amp;$C772))</f>
        <v>0</v>
      </c>
      <c r="AW772" s="2924">
        <f ca="1">AU772-AV772</f>
        <v>0</v>
      </c>
      <c r="AX772" s="2925">
        <f ca="1">IFERROR(AU772/AV772,0)</f>
        <v>0</v>
      </c>
      <c r="AY772" s="2147">
        <f ca="1">SUM(INDIRECT(AY$1&amp;AY$2&amp;$A772):INDIRECT(AY$1&amp;AY$3&amp;$A772))+SUM(INDIRECT(AY$1&amp;AY$2&amp;$B772):INDIRECT(AY$1&amp;AY$3&amp;$B772))</f>
        <v>0</v>
      </c>
      <c r="AZ772" s="2924">
        <f ca="1">AU772-AY772</f>
        <v>0</v>
      </c>
      <c r="BA772" s="2925">
        <f ca="1">IFERROR(AU772/AY772,0)</f>
        <v>0</v>
      </c>
      <c r="BB772" s="69"/>
      <c r="BC772" s="579">
        <f ca="1">SUM((INDIRECT(BC$2&amp;(ROW())):INDIRECT(BC$3&amp;(ROW()))))</f>
        <v>0</v>
      </c>
      <c r="BD772" s="2147">
        <f ca="1">SUM(INDIRECT(BD$1&amp;BD$2&amp;$C772):INDIRECT(BD$1&amp;BD$3&amp;$C772))</f>
        <v>0</v>
      </c>
      <c r="BE772" s="2924">
        <f ca="1">BC772-BD772</f>
        <v>0</v>
      </c>
      <c r="BF772" s="2925">
        <f ca="1">IFERROR(BC772/BD772,0)</f>
        <v>0</v>
      </c>
      <c r="BG772" s="2147">
        <f ca="1">SUM(INDIRECT(BG$1&amp;BG$2&amp;$A772):INDIRECT(BG$1&amp;BG$3&amp;$A772))+SUM(INDIRECT(BG$1&amp;BG$2&amp;$B772):INDIRECT(BG$1&amp;BG$3&amp;$B772))</f>
        <v>0</v>
      </c>
      <c r="BH772" s="2924">
        <f ca="1">BC772-BG772</f>
        <v>0</v>
      </c>
      <c r="BI772" s="2925">
        <f ca="1">IFERROR(BC772/BG772,0)</f>
        <v>0</v>
      </c>
    </row>
    <row r="773" spans="1:61" ht="14.5">
      <c r="A773" s="1693">
        <f t="shared" si="1317"/>
        <v>765</v>
      </c>
      <c r="B773" s="616">
        <v>1</v>
      </c>
      <c r="C773" s="1693">
        <f t="shared" si="1316"/>
        <v>773</v>
      </c>
      <c r="D773" s="616">
        <v>1</v>
      </c>
      <c r="F773" s="69"/>
      <c r="H773" s="737"/>
      <c r="J773" s="86"/>
      <c r="K773" s="85"/>
      <c r="L773" s="68"/>
      <c r="M773" s="68"/>
      <c r="O773" s="8" t="s">
        <v>526</v>
      </c>
      <c r="R773" s="1779" t="str">
        <f>CHOOSE(2, "6722000003684", "S/GP (5) Net Sales Direct ICW-IT RP service")</f>
        <v>S/GP (5) Net Sales Direct ICW-IT RP service</v>
      </c>
      <c r="S773" s="1217"/>
      <c r="T773" s="1224"/>
      <c r="U773" s="1217"/>
      <c r="V773" s="1217"/>
      <c r="W773" s="1217"/>
      <c r="X773" s="1217"/>
      <c r="Y773" s="1217"/>
      <c r="Z773" s="1217"/>
      <c r="AA773" s="1217"/>
      <c r="AB773" s="1217"/>
      <c r="AC773" s="1217"/>
      <c r="AD773" s="1217"/>
      <c r="AE773" s="88">
        <f>SUM(S773,T773,U773)</f>
        <v>0</v>
      </c>
      <c r="AF773" s="17">
        <f>SUM(V773,W773,X773)</f>
        <v>0</v>
      </c>
      <c r="AG773" s="17">
        <f>SUM(Y773,Z773,AA773)</f>
        <v>0</v>
      </c>
      <c r="AH773" s="17">
        <f>SUM(AB773,AC773,AD773)</f>
        <v>0</v>
      </c>
      <c r="AI773" s="17">
        <f>AE773+AF773</f>
        <v>0</v>
      </c>
      <c r="AJ773" s="17">
        <f>AH773+AG773</f>
        <v>0</v>
      </c>
      <c r="AK773" s="88">
        <f>AI773+AJ773</f>
        <v>0</v>
      </c>
      <c r="AM773" s="1926">
        <f ca="1">SUM((INDIRECT(AM$2&amp;(ROW())):INDIRECT(AM$3&amp;(ROW()))))</f>
        <v>0</v>
      </c>
      <c r="AN773" s="1925">
        <f ca="1">SUM(INDIRECT(AN$1&amp;AN$2&amp;$C773):INDIRECT(AN$1&amp;AN$3&amp;$C773))</f>
        <v>0</v>
      </c>
      <c r="AO773" s="2902">
        <f ca="1">AM773-AN773</f>
        <v>0</v>
      </c>
      <c r="AP773" s="2903">
        <f ca="1">IFERROR(AM773/AN773,0)</f>
        <v>0</v>
      </c>
      <c r="AQ773" s="2147">
        <f ca="1">SUM(INDIRECT(AQ$1&amp;AQ$2&amp;$A773):INDIRECT(AQ$1&amp;AQ$3&amp;$A773))+SUM(INDIRECT(AQ$1&amp;AQ$2&amp;$B773):INDIRECT(AQ$1&amp;AQ$3&amp;$B773))</f>
        <v>0</v>
      </c>
      <c r="AR773" s="2924">
        <f ca="1">AM773-AQ773</f>
        <v>0</v>
      </c>
      <c r="AS773" s="2925">
        <f ca="1">IFERROR(AM773/AQ773,0)</f>
        <v>0</v>
      </c>
      <c r="AT773" s="69"/>
      <c r="AU773" s="579">
        <f ca="1">SUM((INDIRECT(AU$2&amp;(ROW())):INDIRECT(AU$3&amp;(ROW()))))</f>
        <v>0</v>
      </c>
      <c r="AV773" s="2147">
        <f ca="1">SUM(INDIRECT(AV$1&amp;AV$2&amp;$C773):INDIRECT(AV$1&amp;AV$3&amp;$C773))</f>
        <v>0</v>
      </c>
      <c r="AW773" s="2924">
        <f ca="1">AU773-AV773</f>
        <v>0</v>
      </c>
      <c r="AX773" s="2925">
        <f ca="1">IFERROR(AU773/AV773,0)</f>
        <v>0</v>
      </c>
      <c r="AY773" s="2147">
        <f ca="1">SUM(INDIRECT(AY$1&amp;AY$2&amp;$A773):INDIRECT(AY$1&amp;AY$3&amp;$A773))+SUM(INDIRECT(AY$1&amp;AY$2&amp;$B773):INDIRECT(AY$1&amp;AY$3&amp;$B773))</f>
        <v>0</v>
      </c>
      <c r="AZ773" s="2924">
        <f ca="1">AU773-AY773</f>
        <v>0</v>
      </c>
      <c r="BA773" s="2925">
        <f ca="1">IFERROR(AU773/AY773,0)</f>
        <v>0</v>
      </c>
      <c r="BB773" s="69"/>
      <c r="BC773" s="579">
        <f ca="1">SUM((INDIRECT(BC$2&amp;(ROW())):INDIRECT(BC$3&amp;(ROW()))))</f>
        <v>0</v>
      </c>
      <c r="BD773" s="2147">
        <f ca="1">SUM(INDIRECT(BD$1&amp;BD$2&amp;$C773):INDIRECT(BD$1&amp;BD$3&amp;$C773))</f>
        <v>0</v>
      </c>
      <c r="BE773" s="2924">
        <f ca="1">BC773-BD773</f>
        <v>0</v>
      </c>
      <c r="BF773" s="2925">
        <f ca="1">IFERROR(BC773/BD773,0)</f>
        <v>0</v>
      </c>
      <c r="BG773" s="2147">
        <f ca="1">SUM(INDIRECT(BG$1&amp;BG$2&amp;$A773):INDIRECT(BG$1&amp;BG$3&amp;$A773))+SUM(INDIRECT(BG$1&amp;BG$2&amp;$B773):INDIRECT(BG$1&amp;BG$3&amp;$B773))</f>
        <v>0</v>
      </c>
      <c r="BH773" s="2924">
        <f ca="1">BC773-BG773</f>
        <v>0</v>
      </c>
      <c r="BI773" s="2925">
        <f ca="1">IFERROR(BC773/BG773,0)</f>
        <v>0</v>
      </c>
    </row>
    <row r="774" spans="1:61" ht="14.5">
      <c r="A774" s="1693">
        <f t="shared" si="1317"/>
        <v>766</v>
      </c>
      <c r="B774" s="616">
        <v>1</v>
      </c>
      <c r="C774" s="1693">
        <f t="shared" si="1316"/>
        <v>774</v>
      </c>
      <c r="D774" s="616">
        <v>1</v>
      </c>
      <c r="F774" s="69"/>
      <c r="H774" s="22"/>
      <c r="J774" s="86"/>
      <c r="K774" s="85"/>
      <c r="L774" s="68"/>
      <c r="M774" s="68"/>
      <c r="N774" s="65" t="s">
        <v>419</v>
      </c>
      <c r="O774" s="284"/>
      <c r="P774" s="284"/>
      <c r="Q774" s="284"/>
      <c r="R774" s="1777" t="str">
        <f>CHOOSE(2, "6722000003685", "S/GP (5) Net Sales Direct MCS")</f>
        <v>S/GP (5) Net Sales Direct MCS</v>
      </c>
      <c r="S774" s="1249">
        <f>SUM(S775:S778)</f>
        <v>121</v>
      </c>
      <c r="T774" s="1621">
        <f t="shared" ref="T774:AD774" si="1365">SUM(T775:T778)</f>
        <v>1198.8130000000001</v>
      </c>
      <c r="U774" s="1249">
        <f t="shared" si="1365"/>
        <v>170.2</v>
      </c>
      <c r="V774" s="1249">
        <f t="shared" si="1365"/>
        <v>266.61400000000003</v>
      </c>
      <c r="W774" s="1249">
        <f t="shared" si="1365"/>
        <v>1010.1</v>
      </c>
      <c r="X774" s="1249">
        <f t="shared" si="1365"/>
        <v>1791</v>
      </c>
      <c r="Y774" s="1249">
        <f t="shared" si="1365"/>
        <v>85.1</v>
      </c>
      <c r="Z774" s="1249">
        <f t="shared" si="1365"/>
        <v>1875</v>
      </c>
      <c r="AA774" s="1249">
        <f t="shared" si="1365"/>
        <v>95.39</v>
      </c>
      <c r="AB774" s="1249">
        <f t="shared" si="1365"/>
        <v>1014</v>
      </c>
      <c r="AC774" s="1249">
        <f t="shared" si="1365"/>
        <v>0</v>
      </c>
      <c r="AD774" s="1249">
        <f t="shared" si="1365"/>
        <v>1559.2439999999999</v>
      </c>
      <c r="AE774" s="898">
        <f t="shared" ref="AE774:AK774" si="1366">SUM(AE775:AE778)</f>
        <v>1490.0130000000001</v>
      </c>
      <c r="AF774" s="1249">
        <f t="shared" si="1366"/>
        <v>3067.7139999999999</v>
      </c>
      <c r="AG774" s="1249">
        <f t="shared" si="1366"/>
        <v>2055.4899999999998</v>
      </c>
      <c r="AH774" s="1249">
        <f t="shared" si="1366"/>
        <v>2573.2439999999997</v>
      </c>
      <c r="AI774" s="1249">
        <f t="shared" si="1366"/>
        <v>4557.7269999999999</v>
      </c>
      <c r="AJ774" s="1249">
        <f t="shared" si="1366"/>
        <v>4628.7339999999995</v>
      </c>
      <c r="AK774" s="898">
        <f t="shared" si="1366"/>
        <v>9186.4609999999993</v>
      </c>
      <c r="AM774" s="2570">
        <f ca="1">SUM((INDIRECT(AM$2&amp;(ROW())):INDIRECT(AM$3&amp;(ROW()))))</f>
        <v>121</v>
      </c>
      <c r="AN774" s="2591">
        <f ca="1">SUM(INDIRECT(AN$1&amp;AN$2&amp;$C774):INDIRECT(AN$1&amp;AN$3&amp;$C774))</f>
        <v>500</v>
      </c>
      <c r="AO774" s="2898">
        <f t="shared" ca="1" si="1341"/>
        <v>-379</v>
      </c>
      <c r="AP774" s="2899">
        <f t="shared" ca="1" si="1342"/>
        <v>0.24199999999999999</v>
      </c>
      <c r="AQ774" s="2591">
        <f ca="1">SUM(INDIRECT(AQ$1&amp;AQ$2&amp;$A774):INDIRECT(AQ$1&amp;AQ$3&amp;$A774))+SUM(INDIRECT(AQ$1&amp;AQ$2&amp;$B774):INDIRECT(AQ$1&amp;AQ$3&amp;$B774))</f>
        <v>360</v>
      </c>
      <c r="AR774" s="2898">
        <f t="shared" ca="1" si="1344"/>
        <v>-239</v>
      </c>
      <c r="AS774" s="2899">
        <f t="shared" ca="1" si="1345"/>
        <v>0.33611111111111114</v>
      </c>
      <c r="AU774" s="2570">
        <f ca="1">SUM((INDIRECT(AU$2&amp;(ROW())):INDIRECT(AU$3&amp;(ROW()))))</f>
        <v>121</v>
      </c>
      <c r="AV774" s="2591">
        <f ca="1">SUM(INDIRECT(AV$1&amp;AV$2&amp;$C774):INDIRECT(AV$1&amp;AV$3&amp;$C774))</f>
        <v>500</v>
      </c>
      <c r="AW774" s="2898">
        <f t="shared" ca="1" si="1346"/>
        <v>-379</v>
      </c>
      <c r="AX774" s="2899">
        <f t="shared" ca="1" si="1347"/>
        <v>0.24199999999999999</v>
      </c>
      <c r="AY774" s="2591">
        <f ca="1">SUM(INDIRECT(AY$1&amp;AY$2&amp;$A774):INDIRECT(AY$1&amp;AY$3&amp;$A774))+SUM(INDIRECT(AY$1&amp;AY$2&amp;$B774):INDIRECT(AY$1&amp;AY$3&amp;$B774))</f>
        <v>360</v>
      </c>
      <c r="AZ774" s="2898">
        <f t="shared" ca="1" si="1349"/>
        <v>-239</v>
      </c>
      <c r="BA774" s="2899">
        <f t="shared" ca="1" si="1350"/>
        <v>0.33611111111111114</v>
      </c>
      <c r="BC774" s="2570">
        <f ca="1">SUM((INDIRECT(BC$2&amp;(ROW())):INDIRECT(BC$3&amp;(ROW()))))</f>
        <v>121</v>
      </c>
      <c r="BD774" s="2591">
        <f ca="1">SUM(INDIRECT(BD$1&amp;BD$2&amp;$C774):INDIRECT(BD$1&amp;BD$3&amp;$C774))</f>
        <v>500</v>
      </c>
      <c r="BE774" s="2898">
        <f t="shared" ca="1" si="1351"/>
        <v>-379</v>
      </c>
      <c r="BF774" s="2899">
        <f t="shared" ca="1" si="1352"/>
        <v>0.24199999999999999</v>
      </c>
      <c r="BG774" s="2591">
        <f ca="1">SUM(INDIRECT(BG$1&amp;BG$2&amp;$A774):INDIRECT(BG$1&amp;BG$3&amp;$A774))+SUM(INDIRECT(BG$1&amp;BG$2&amp;$B774):INDIRECT(BG$1&amp;BG$3&amp;$B774))</f>
        <v>360</v>
      </c>
      <c r="BH774" s="2898">
        <f t="shared" ca="1" si="1354"/>
        <v>-239</v>
      </c>
      <c r="BI774" s="2899">
        <f t="shared" ca="1" si="1355"/>
        <v>0.33611111111111114</v>
      </c>
    </row>
    <row r="775" spans="1:61" ht="14.5">
      <c r="A775" s="1693">
        <f t="shared" si="1317"/>
        <v>767</v>
      </c>
      <c r="B775" s="616">
        <v>1</v>
      </c>
      <c r="C775" s="1693">
        <f t="shared" si="1316"/>
        <v>775</v>
      </c>
      <c r="D775" s="616">
        <v>1</v>
      </c>
      <c r="F775" s="69"/>
      <c r="H775" s="22"/>
      <c r="J775" s="86"/>
      <c r="K775" s="85"/>
      <c r="L775" s="68"/>
      <c r="M775" s="68"/>
      <c r="O775" s="97" t="s">
        <v>523</v>
      </c>
      <c r="P775" s="97"/>
      <c r="Q775" s="97"/>
      <c r="R775" s="1779" t="str">
        <f>CHOOSE(2, "6722000003686", "S/GP (5) Net Sales Direct MCS OSP")</f>
        <v>S/GP (5) Net Sales Direct MCS OSP</v>
      </c>
      <c r="S775" s="1227"/>
      <c r="T775" s="1247"/>
      <c r="U775" s="1227"/>
      <c r="V775" s="1227"/>
      <c r="W775" s="1227"/>
      <c r="X775" s="1227"/>
      <c r="Y775" s="1227"/>
      <c r="Z775" s="1227"/>
      <c r="AA775" s="1217">
        <v>95.39</v>
      </c>
      <c r="AB775" s="1227"/>
      <c r="AC775" s="1227"/>
      <c r="AD775" s="1227"/>
      <c r="AE775" s="295">
        <f>SUM(S775,T775,U775)</f>
        <v>0</v>
      </c>
      <c r="AF775" s="96">
        <f>SUM(V775,W775,X775)</f>
        <v>0</v>
      </c>
      <c r="AG775" s="96">
        <f>SUM(Y775,Z775,AA775)</f>
        <v>95.39</v>
      </c>
      <c r="AH775" s="96">
        <f>SUM(AB775,AC775,AD775)</f>
        <v>0</v>
      </c>
      <c r="AI775" s="96">
        <f>AE775+AF775</f>
        <v>0</v>
      </c>
      <c r="AJ775" s="96">
        <f>AH775+AG775</f>
        <v>95.39</v>
      </c>
      <c r="AK775" s="295">
        <f>AI775+AJ775</f>
        <v>95.39</v>
      </c>
      <c r="AM775" s="2161">
        <f ca="1">SUM((INDIRECT(AM$2&amp;(ROW())):INDIRECT(AM$3&amp;(ROW()))))</f>
        <v>0</v>
      </c>
      <c r="AN775" s="2160">
        <f ca="1">SUM(INDIRECT(AN$1&amp;AN$2&amp;$C775):INDIRECT(AN$1&amp;AN$3&amp;$C775))</f>
        <v>0</v>
      </c>
      <c r="AO775" s="2900">
        <f t="shared" ca="1" si="1341"/>
        <v>0</v>
      </c>
      <c r="AP775" s="2901">
        <f t="shared" ca="1" si="1342"/>
        <v>0</v>
      </c>
      <c r="AQ775" s="2160">
        <f ca="1">SUM(INDIRECT(AQ$1&amp;AQ$2&amp;$A775):INDIRECT(AQ$1&amp;AQ$3&amp;$A775))+SUM(INDIRECT(AQ$1&amp;AQ$2&amp;$B775):INDIRECT(AQ$1&amp;AQ$3&amp;$B775))</f>
        <v>89</v>
      </c>
      <c r="AR775" s="2900">
        <f t="shared" ca="1" si="1344"/>
        <v>-89</v>
      </c>
      <c r="AS775" s="2901">
        <f t="shared" ca="1" si="1345"/>
        <v>0</v>
      </c>
      <c r="AU775" s="2161">
        <f ca="1">SUM((INDIRECT(AU$2&amp;(ROW())):INDIRECT(AU$3&amp;(ROW()))))</f>
        <v>0</v>
      </c>
      <c r="AV775" s="2160">
        <f ca="1">SUM(INDIRECT(AV$1&amp;AV$2&amp;$C775):INDIRECT(AV$1&amp;AV$3&amp;$C775))</f>
        <v>0</v>
      </c>
      <c r="AW775" s="2900">
        <f t="shared" ca="1" si="1346"/>
        <v>0</v>
      </c>
      <c r="AX775" s="2901">
        <f t="shared" ca="1" si="1347"/>
        <v>0</v>
      </c>
      <c r="AY775" s="2160">
        <f ca="1">SUM(INDIRECT(AY$1&amp;AY$2&amp;$A775):INDIRECT(AY$1&amp;AY$3&amp;$A775))+SUM(INDIRECT(AY$1&amp;AY$2&amp;$B775):INDIRECT(AY$1&amp;AY$3&amp;$B775))</f>
        <v>89</v>
      </c>
      <c r="AZ775" s="2900">
        <f t="shared" ca="1" si="1349"/>
        <v>-89</v>
      </c>
      <c r="BA775" s="2901">
        <f t="shared" ca="1" si="1350"/>
        <v>0</v>
      </c>
      <c r="BC775" s="2161">
        <f ca="1">SUM((INDIRECT(BC$2&amp;(ROW())):INDIRECT(BC$3&amp;(ROW()))))</f>
        <v>0</v>
      </c>
      <c r="BD775" s="2160">
        <f ca="1">SUM(INDIRECT(BD$1&amp;BD$2&amp;$C775):INDIRECT(BD$1&amp;BD$3&amp;$C775))</f>
        <v>0</v>
      </c>
      <c r="BE775" s="2900">
        <f t="shared" ca="1" si="1351"/>
        <v>0</v>
      </c>
      <c r="BF775" s="2901">
        <f t="shared" ca="1" si="1352"/>
        <v>0</v>
      </c>
      <c r="BG775" s="2160">
        <f ca="1">SUM(INDIRECT(BG$1&amp;BG$2&amp;$A775):INDIRECT(BG$1&amp;BG$3&amp;$A775))+SUM(INDIRECT(BG$1&amp;BG$2&amp;$B775):INDIRECT(BG$1&amp;BG$3&amp;$B775))</f>
        <v>89</v>
      </c>
      <c r="BH775" s="2900">
        <f t="shared" ca="1" si="1354"/>
        <v>-89</v>
      </c>
      <c r="BI775" s="2901">
        <f t="shared" ca="1" si="1355"/>
        <v>0</v>
      </c>
    </row>
    <row r="776" spans="1:61" ht="14.5">
      <c r="A776" s="1693">
        <f t="shared" si="1317"/>
        <v>768</v>
      </c>
      <c r="B776" s="616">
        <v>1</v>
      </c>
      <c r="C776" s="1693">
        <f t="shared" si="1316"/>
        <v>776</v>
      </c>
      <c r="D776" s="616">
        <v>1</v>
      </c>
      <c r="F776" s="69"/>
      <c r="H776" s="22"/>
      <c r="J776" s="86"/>
      <c r="K776" s="85"/>
      <c r="L776" s="68"/>
      <c r="M776" s="68"/>
      <c r="O776" s="8" t="s">
        <v>524</v>
      </c>
      <c r="R776" s="1779" t="str">
        <f>CHOOSE(2, "6722000003687", "S/GP (5) Net Sales Direct MCS RP")</f>
        <v>S/GP (5) Net Sales Direct MCS RP</v>
      </c>
      <c r="S776" s="1217">
        <v>121</v>
      </c>
      <c r="T776" s="1224">
        <f>1708.813-510</f>
        <v>1198.8130000000001</v>
      </c>
      <c r="U776" s="1217">
        <v>170.2</v>
      </c>
      <c r="V776" s="1217">
        <f>776.614-510</f>
        <v>266.61400000000003</v>
      </c>
      <c r="W776" s="1227">
        <v>1010.1</v>
      </c>
      <c r="X776" s="1217">
        <v>1791</v>
      </c>
      <c r="Y776" s="1217">
        <v>85.1</v>
      </c>
      <c r="Z776" s="1217">
        <v>1875</v>
      </c>
      <c r="AA776" s="1217"/>
      <c r="AB776" s="1217">
        <v>1014</v>
      </c>
      <c r="AC776" s="1217">
        <v>0</v>
      </c>
      <c r="AD776" s="1217">
        <f>1730.244-171</f>
        <v>1559.2439999999999</v>
      </c>
      <c r="AE776" s="88">
        <f>SUM(S776,T776,U776)</f>
        <v>1490.0130000000001</v>
      </c>
      <c r="AF776" s="17">
        <f>SUM(V776,W776,X776)</f>
        <v>3067.7139999999999</v>
      </c>
      <c r="AG776" s="17">
        <f>SUM(Y776,Z776,AA776)</f>
        <v>1960.1</v>
      </c>
      <c r="AH776" s="17">
        <f>SUM(AB776,AC776,AD776)</f>
        <v>2573.2439999999997</v>
      </c>
      <c r="AI776" s="17">
        <f>AE776+AF776</f>
        <v>4557.7269999999999</v>
      </c>
      <c r="AJ776" s="17">
        <f>AH776+AG776</f>
        <v>4533.3439999999991</v>
      </c>
      <c r="AK776" s="88">
        <f>AI776+AJ776</f>
        <v>9091.0709999999999</v>
      </c>
      <c r="AM776" s="1926">
        <f ca="1">SUM((INDIRECT(AM$2&amp;(ROW())):INDIRECT(AM$3&amp;(ROW()))))</f>
        <v>121</v>
      </c>
      <c r="AN776" s="1925">
        <f ca="1">SUM(INDIRECT(AN$1&amp;AN$2&amp;$C776):INDIRECT(AN$1&amp;AN$3&amp;$C776))</f>
        <v>500</v>
      </c>
      <c r="AO776" s="2902">
        <f t="shared" ca="1" si="1341"/>
        <v>-379</v>
      </c>
      <c r="AP776" s="2903">
        <f t="shared" ca="1" si="1342"/>
        <v>0.24199999999999999</v>
      </c>
      <c r="AQ776" s="1925">
        <f ca="1">SUM(INDIRECT(AQ$1&amp;AQ$2&amp;$A776):INDIRECT(AQ$1&amp;AQ$3&amp;$A776))+SUM(INDIRECT(AQ$1&amp;AQ$2&amp;$B776):INDIRECT(AQ$1&amp;AQ$3&amp;$B776))</f>
        <v>271</v>
      </c>
      <c r="AR776" s="2902">
        <f t="shared" ca="1" si="1344"/>
        <v>-150</v>
      </c>
      <c r="AS776" s="2903">
        <f t="shared" ca="1" si="1345"/>
        <v>0.44649446494464945</v>
      </c>
      <c r="AU776" s="1926">
        <f ca="1">SUM((INDIRECT(AU$2&amp;(ROW())):INDIRECT(AU$3&amp;(ROW()))))</f>
        <v>121</v>
      </c>
      <c r="AV776" s="1925">
        <f ca="1">SUM(INDIRECT(AV$1&amp;AV$2&amp;$C776):INDIRECT(AV$1&amp;AV$3&amp;$C776))</f>
        <v>500</v>
      </c>
      <c r="AW776" s="2902">
        <f t="shared" ca="1" si="1346"/>
        <v>-379</v>
      </c>
      <c r="AX776" s="2903">
        <f t="shared" ca="1" si="1347"/>
        <v>0.24199999999999999</v>
      </c>
      <c r="AY776" s="1925">
        <f ca="1">SUM(INDIRECT(AY$1&amp;AY$2&amp;$A776):INDIRECT(AY$1&amp;AY$3&amp;$A776))+SUM(INDIRECT(AY$1&amp;AY$2&amp;$B776):INDIRECT(AY$1&amp;AY$3&amp;$B776))</f>
        <v>271</v>
      </c>
      <c r="AZ776" s="2902">
        <f t="shared" ca="1" si="1349"/>
        <v>-150</v>
      </c>
      <c r="BA776" s="2903">
        <f t="shared" ca="1" si="1350"/>
        <v>0.44649446494464945</v>
      </c>
      <c r="BC776" s="1926">
        <f ca="1">SUM((INDIRECT(BC$2&amp;(ROW())):INDIRECT(BC$3&amp;(ROW()))))</f>
        <v>121</v>
      </c>
      <c r="BD776" s="1925">
        <f ca="1">SUM(INDIRECT(BD$1&amp;BD$2&amp;$C776):INDIRECT(BD$1&amp;BD$3&amp;$C776))</f>
        <v>500</v>
      </c>
      <c r="BE776" s="2902">
        <f t="shared" ca="1" si="1351"/>
        <v>-379</v>
      </c>
      <c r="BF776" s="2903">
        <f t="shared" ca="1" si="1352"/>
        <v>0.24199999999999999</v>
      </c>
      <c r="BG776" s="1925">
        <f ca="1">SUM(INDIRECT(BG$1&amp;BG$2&amp;$A776):INDIRECT(BG$1&amp;BG$3&amp;$A776))+SUM(INDIRECT(BG$1&amp;BG$2&amp;$B776):INDIRECT(BG$1&amp;BG$3&amp;$B776))</f>
        <v>271</v>
      </c>
      <c r="BH776" s="2902">
        <f t="shared" ca="1" si="1354"/>
        <v>-150</v>
      </c>
      <c r="BI776" s="2903">
        <f t="shared" ca="1" si="1355"/>
        <v>0.44649446494464945</v>
      </c>
    </row>
    <row r="777" spans="1:61" ht="14.5">
      <c r="A777" s="1693">
        <f t="shared" si="1317"/>
        <v>769</v>
      </c>
      <c r="B777" s="616">
        <v>1</v>
      </c>
      <c r="C777" s="1693">
        <f t="shared" si="1316"/>
        <v>777</v>
      </c>
      <c r="D777" s="616">
        <v>1</v>
      </c>
      <c r="F777" s="69"/>
      <c r="H777" s="22"/>
      <c r="J777" s="86"/>
      <c r="K777" s="85"/>
      <c r="L777" s="68"/>
      <c r="M777" s="68"/>
      <c r="O777" s="8" t="s">
        <v>525</v>
      </c>
      <c r="R777" s="1779" t="str">
        <f>CHOOSE(2, "6722000003688", "S/GP (5) Net Sales Direct MCS OSP service")</f>
        <v>S/GP (5) Net Sales Direct MCS OSP service</v>
      </c>
      <c r="S777" s="1217"/>
      <c r="T777" s="1224"/>
      <c r="U777" s="1217"/>
      <c r="V777" s="1217"/>
      <c r="W777" s="1217"/>
      <c r="X777" s="1217"/>
      <c r="Y777" s="1217"/>
      <c r="Z777" s="1217"/>
      <c r="AA777" s="1217"/>
      <c r="AB777" s="1217"/>
      <c r="AC777" s="1217"/>
      <c r="AD777" s="1217"/>
      <c r="AE777" s="88">
        <f>SUM(S777,T777,U777)</f>
        <v>0</v>
      </c>
      <c r="AF777" s="17">
        <f>SUM(V777,W777,X777)</f>
        <v>0</v>
      </c>
      <c r="AG777" s="17">
        <f>SUM(Y777,Z777,AA777)</f>
        <v>0</v>
      </c>
      <c r="AH777" s="17">
        <f>SUM(AB777,AC777,AD777)</f>
        <v>0</v>
      </c>
      <c r="AI777" s="17">
        <f>AE777+AF777</f>
        <v>0</v>
      </c>
      <c r="AJ777" s="17">
        <f>AH777+AG777</f>
        <v>0</v>
      </c>
      <c r="AK777" s="88">
        <f>AI777+AJ777</f>
        <v>0</v>
      </c>
      <c r="AM777" s="1926">
        <f ca="1">SUM((INDIRECT(AM$2&amp;(ROW())):INDIRECT(AM$3&amp;(ROW()))))</f>
        <v>0</v>
      </c>
      <c r="AN777" s="1925">
        <f ca="1">SUM(INDIRECT(AN$1&amp;AN$2&amp;$C777):INDIRECT(AN$1&amp;AN$3&amp;$C777))</f>
        <v>0</v>
      </c>
      <c r="AO777" s="2902">
        <f t="shared" ca="1" si="1341"/>
        <v>0</v>
      </c>
      <c r="AP777" s="2903">
        <f t="shared" ca="1" si="1342"/>
        <v>0</v>
      </c>
      <c r="AQ777" s="1925">
        <f ca="1">SUM(INDIRECT(AQ$1&amp;AQ$2&amp;$A777):INDIRECT(AQ$1&amp;AQ$3&amp;$A777))+SUM(INDIRECT(AQ$1&amp;AQ$2&amp;$B777):INDIRECT(AQ$1&amp;AQ$3&amp;$B777))</f>
        <v>0</v>
      </c>
      <c r="AR777" s="2902">
        <f t="shared" ca="1" si="1344"/>
        <v>0</v>
      </c>
      <c r="AS777" s="2903">
        <f t="shared" ca="1" si="1345"/>
        <v>0</v>
      </c>
      <c r="AU777" s="1926">
        <f ca="1">SUM((INDIRECT(AU$2&amp;(ROW())):INDIRECT(AU$3&amp;(ROW()))))</f>
        <v>0</v>
      </c>
      <c r="AV777" s="1925">
        <f ca="1">SUM(INDIRECT(AV$1&amp;AV$2&amp;$C777):INDIRECT(AV$1&amp;AV$3&amp;$C777))</f>
        <v>0</v>
      </c>
      <c r="AW777" s="2902">
        <f t="shared" ca="1" si="1346"/>
        <v>0</v>
      </c>
      <c r="AX777" s="2903">
        <f t="shared" ca="1" si="1347"/>
        <v>0</v>
      </c>
      <c r="AY777" s="1925">
        <f ca="1">SUM(INDIRECT(AY$1&amp;AY$2&amp;$A777):INDIRECT(AY$1&amp;AY$3&amp;$A777))+SUM(INDIRECT(AY$1&amp;AY$2&amp;$B777):INDIRECT(AY$1&amp;AY$3&amp;$B777))</f>
        <v>0</v>
      </c>
      <c r="AZ777" s="2902">
        <f t="shared" ca="1" si="1349"/>
        <v>0</v>
      </c>
      <c r="BA777" s="2903">
        <f t="shared" ca="1" si="1350"/>
        <v>0</v>
      </c>
      <c r="BC777" s="1926">
        <f ca="1">SUM((INDIRECT(BC$2&amp;(ROW())):INDIRECT(BC$3&amp;(ROW()))))</f>
        <v>0</v>
      </c>
      <c r="BD777" s="1925">
        <f ca="1">SUM(INDIRECT(BD$1&amp;BD$2&amp;$C777):INDIRECT(BD$1&amp;BD$3&amp;$C777))</f>
        <v>0</v>
      </c>
      <c r="BE777" s="2902">
        <f t="shared" ca="1" si="1351"/>
        <v>0</v>
      </c>
      <c r="BF777" s="2903">
        <f t="shared" ca="1" si="1352"/>
        <v>0</v>
      </c>
      <c r="BG777" s="1925">
        <f ca="1">SUM(INDIRECT(BG$1&amp;BG$2&amp;$A777):INDIRECT(BG$1&amp;BG$3&amp;$A777))+SUM(INDIRECT(BG$1&amp;BG$2&amp;$B777):INDIRECT(BG$1&amp;BG$3&amp;$B777))</f>
        <v>0</v>
      </c>
      <c r="BH777" s="2902">
        <f t="shared" ca="1" si="1354"/>
        <v>0</v>
      </c>
      <c r="BI777" s="2903">
        <f t="shared" ca="1" si="1355"/>
        <v>0</v>
      </c>
    </row>
    <row r="778" spans="1:61" ht="14.5">
      <c r="A778" s="1693">
        <f t="shared" si="1317"/>
        <v>770</v>
      </c>
      <c r="B778" s="616">
        <v>1</v>
      </c>
      <c r="C778" s="1693">
        <f t="shared" si="1316"/>
        <v>778</v>
      </c>
      <c r="D778" s="616">
        <v>1</v>
      </c>
      <c r="F778" s="69"/>
      <c r="H778" s="22"/>
      <c r="J778" s="86"/>
      <c r="K778" s="85"/>
      <c r="L778" s="68"/>
      <c r="M778" s="68"/>
      <c r="O778" s="8" t="s">
        <v>526</v>
      </c>
      <c r="R778" s="1779" t="str">
        <f>CHOOSE(2, "6722000003689", "S/GP (5) Net Sales Direct MCS RP service")</f>
        <v>S/GP (5) Net Sales Direct MCS RP service</v>
      </c>
      <c r="S778" s="1217"/>
      <c r="T778" s="1224"/>
      <c r="U778" s="1217"/>
      <c r="V778" s="1217"/>
      <c r="W778" s="1217"/>
      <c r="X778" s="1217"/>
      <c r="Y778" s="1217"/>
      <c r="Z778" s="1217"/>
      <c r="AA778" s="1217"/>
      <c r="AB778" s="1217"/>
      <c r="AC778" s="1217"/>
      <c r="AD778" s="1217"/>
      <c r="AE778" s="88">
        <f>SUM(S778,T778,U778)</f>
        <v>0</v>
      </c>
      <c r="AF778" s="17">
        <f>SUM(V778,W778,X778)</f>
        <v>0</v>
      </c>
      <c r="AG778" s="17">
        <f>SUM(Y778,Z778,AA778)</f>
        <v>0</v>
      </c>
      <c r="AH778" s="17">
        <f>SUM(AB778,AC778,AD778)</f>
        <v>0</v>
      </c>
      <c r="AI778" s="17">
        <f>AE778+AF778</f>
        <v>0</v>
      </c>
      <c r="AJ778" s="17">
        <f>AH778+AG778</f>
        <v>0</v>
      </c>
      <c r="AK778" s="88">
        <f>AI778+AJ778</f>
        <v>0</v>
      </c>
      <c r="AM778" s="1926">
        <f ca="1">SUM((INDIRECT(AM$2&amp;(ROW())):INDIRECT(AM$3&amp;(ROW()))))</f>
        <v>0</v>
      </c>
      <c r="AN778" s="1925">
        <f ca="1">SUM(INDIRECT(AN$1&amp;AN$2&amp;$C778):INDIRECT(AN$1&amp;AN$3&amp;$C778))</f>
        <v>0</v>
      </c>
      <c r="AO778" s="2902">
        <f t="shared" ca="1" si="1341"/>
        <v>0</v>
      </c>
      <c r="AP778" s="2903">
        <f t="shared" ca="1" si="1342"/>
        <v>0</v>
      </c>
      <c r="AQ778" s="1925">
        <f ca="1">SUM(INDIRECT(AQ$1&amp;AQ$2&amp;$A778):INDIRECT(AQ$1&amp;AQ$3&amp;$A778))+SUM(INDIRECT(AQ$1&amp;AQ$2&amp;$B778):INDIRECT(AQ$1&amp;AQ$3&amp;$B778))</f>
        <v>0</v>
      </c>
      <c r="AR778" s="2902">
        <f t="shared" ca="1" si="1344"/>
        <v>0</v>
      </c>
      <c r="AS778" s="2903">
        <f t="shared" ca="1" si="1345"/>
        <v>0</v>
      </c>
      <c r="AU778" s="1926">
        <f ca="1">SUM((INDIRECT(AU$2&amp;(ROW())):INDIRECT(AU$3&amp;(ROW()))))</f>
        <v>0</v>
      </c>
      <c r="AV778" s="1925">
        <f ca="1">SUM(INDIRECT(AV$1&amp;AV$2&amp;$C778):INDIRECT(AV$1&amp;AV$3&amp;$C778))</f>
        <v>0</v>
      </c>
      <c r="AW778" s="2902">
        <f t="shared" ca="1" si="1346"/>
        <v>0</v>
      </c>
      <c r="AX778" s="2903">
        <f t="shared" ca="1" si="1347"/>
        <v>0</v>
      </c>
      <c r="AY778" s="1925">
        <f ca="1">SUM(INDIRECT(AY$1&amp;AY$2&amp;$A778):INDIRECT(AY$1&amp;AY$3&amp;$A778))+SUM(INDIRECT(AY$1&amp;AY$2&amp;$B778):INDIRECT(AY$1&amp;AY$3&amp;$B778))</f>
        <v>0</v>
      </c>
      <c r="AZ778" s="2902">
        <f t="shared" ca="1" si="1349"/>
        <v>0</v>
      </c>
      <c r="BA778" s="2903">
        <f t="shared" ca="1" si="1350"/>
        <v>0</v>
      </c>
      <c r="BC778" s="1926">
        <f ca="1">SUM((INDIRECT(BC$2&amp;(ROW())):INDIRECT(BC$3&amp;(ROW()))))</f>
        <v>0</v>
      </c>
      <c r="BD778" s="1925">
        <f ca="1">SUM(INDIRECT(BD$1&amp;BD$2&amp;$C778):INDIRECT(BD$1&amp;BD$3&amp;$C778))</f>
        <v>0</v>
      </c>
      <c r="BE778" s="2902">
        <f t="shared" ca="1" si="1351"/>
        <v>0</v>
      </c>
      <c r="BF778" s="2903">
        <f t="shared" ca="1" si="1352"/>
        <v>0</v>
      </c>
      <c r="BG778" s="1925">
        <f ca="1">SUM(INDIRECT(BG$1&amp;BG$2&amp;$A778):INDIRECT(BG$1&amp;BG$3&amp;$A778))+SUM(INDIRECT(BG$1&amp;BG$2&amp;$B778):INDIRECT(BG$1&amp;BG$3&amp;$B778))</f>
        <v>0</v>
      </c>
      <c r="BH778" s="2902">
        <f t="shared" ca="1" si="1354"/>
        <v>0</v>
      </c>
      <c r="BI778" s="2903">
        <f t="shared" ca="1" si="1355"/>
        <v>0</v>
      </c>
    </row>
    <row r="779" spans="1:61" ht="14.5">
      <c r="A779" s="1693">
        <f t="shared" si="1317"/>
        <v>771</v>
      </c>
      <c r="B779" s="616">
        <v>1</v>
      </c>
      <c r="C779" s="1693">
        <f t="shared" si="1316"/>
        <v>779</v>
      </c>
      <c r="D779" s="616">
        <v>1</v>
      </c>
      <c r="F779" s="69"/>
      <c r="H779" s="22"/>
      <c r="J779" s="86"/>
      <c r="K779" s="85"/>
      <c r="L779" s="68"/>
      <c r="M779" s="68"/>
      <c r="N779" s="65" t="s">
        <v>602</v>
      </c>
      <c r="O779" s="284"/>
      <c r="P779" s="284"/>
      <c r="Q779" s="284"/>
      <c r="R779" s="1777" t="str">
        <f>CHOOSE(2, "6722000003690", "S/GP (5) Net Sales Direct BPS")</f>
        <v>S/GP (5) Net Sales Direct BPS</v>
      </c>
      <c r="S779" s="1249">
        <f>SUM(S780:S783)</f>
        <v>0</v>
      </c>
      <c r="T779" s="1621">
        <f t="shared" ref="T779:AD779" si="1367">SUM(T780:T783)</f>
        <v>0</v>
      </c>
      <c r="U779" s="1249">
        <f t="shared" si="1367"/>
        <v>0</v>
      </c>
      <c r="V779" s="1249">
        <f t="shared" si="1367"/>
        <v>0</v>
      </c>
      <c r="W779" s="1249">
        <f t="shared" si="1367"/>
        <v>0</v>
      </c>
      <c r="X779" s="1249">
        <f t="shared" si="1367"/>
        <v>0</v>
      </c>
      <c r="Y779" s="1249">
        <f t="shared" si="1367"/>
        <v>0</v>
      </c>
      <c r="Z779" s="1249">
        <f t="shared" si="1367"/>
        <v>0</v>
      </c>
      <c r="AA779" s="1249">
        <f t="shared" si="1367"/>
        <v>0</v>
      </c>
      <c r="AB779" s="1249">
        <f t="shared" si="1367"/>
        <v>0</v>
      </c>
      <c r="AC779" s="1249">
        <f t="shared" si="1367"/>
        <v>0</v>
      </c>
      <c r="AD779" s="1249">
        <f t="shared" si="1367"/>
        <v>0</v>
      </c>
      <c r="AE779" s="898">
        <f t="shared" ref="AE779:AK779" si="1368">SUM(AE780:AE783)</f>
        <v>0</v>
      </c>
      <c r="AF779" s="1249">
        <f t="shared" si="1368"/>
        <v>0</v>
      </c>
      <c r="AG779" s="1249">
        <f t="shared" si="1368"/>
        <v>0</v>
      </c>
      <c r="AH779" s="1249">
        <f t="shared" si="1368"/>
        <v>0</v>
      </c>
      <c r="AI779" s="1249">
        <f t="shared" si="1368"/>
        <v>0</v>
      </c>
      <c r="AJ779" s="1249">
        <f t="shared" si="1368"/>
        <v>0</v>
      </c>
      <c r="AK779" s="898">
        <f t="shared" si="1368"/>
        <v>0</v>
      </c>
      <c r="AM779" s="2570">
        <f ca="1">SUM((INDIRECT(AM$2&amp;(ROW())):INDIRECT(AM$3&amp;(ROW()))))</f>
        <v>0</v>
      </c>
      <c r="AN779" s="2591">
        <f ca="1">SUM(INDIRECT(AN$1&amp;AN$2&amp;$C779):INDIRECT(AN$1&amp;AN$3&amp;$C779))</f>
        <v>0</v>
      </c>
      <c r="AO779" s="2898">
        <f t="shared" ca="1" si="1341"/>
        <v>0</v>
      </c>
      <c r="AP779" s="2899">
        <f t="shared" ca="1" si="1342"/>
        <v>0</v>
      </c>
      <c r="AQ779" s="2591">
        <f ca="1">SUM(INDIRECT(AQ$1&amp;AQ$2&amp;$A779):INDIRECT(AQ$1&amp;AQ$3&amp;$A779))+SUM(INDIRECT(AQ$1&amp;AQ$2&amp;$B779):INDIRECT(AQ$1&amp;AQ$3&amp;$B779))</f>
        <v>0</v>
      </c>
      <c r="AR779" s="2898">
        <f t="shared" ca="1" si="1344"/>
        <v>0</v>
      </c>
      <c r="AS779" s="2899">
        <f t="shared" ca="1" si="1345"/>
        <v>0</v>
      </c>
      <c r="AU779" s="2570">
        <f ca="1">SUM((INDIRECT(AU$2&amp;(ROW())):INDIRECT(AU$3&amp;(ROW()))))</f>
        <v>0</v>
      </c>
      <c r="AV779" s="2591">
        <f ca="1">SUM(INDIRECT(AV$1&amp;AV$2&amp;$C779):INDIRECT(AV$1&amp;AV$3&amp;$C779))</f>
        <v>0</v>
      </c>
      <c r="AW779" s="2898">
        <f t="shared" ca="1" si="1346"/>
        <v>0</v>
      </c>
      <c r="AX779" s="2899">
        <f t="shared" ca="1" si="1347"/>
        <v>0</v>
      </c>
      <c r="AY779" s="2591">
        <f ca="1">SUM(INDIRECT(AY$1&amp;AY$2&amp;$A779):INDIRECT(AY$1&amp;AY$3&amp;$A779))+SUM(INDIRECT(AY$1&amp;AY$2&amp;$B779):INDIRECT(AY$1&amp;AY$3&amp;$B779))</f>
        <v>0</v>
      </c>
      <c r="AZ779" s="2898">
        <f t="shared" ca="1" si="1349"/>
        <v>0</v>
      </c>
      <c r="BA779" s="2899">
        <f t="shared" ca="1" si="1350"/>
        <v>0</v>
      </c>
      <c r="BC779" s="2570">
        <f ca="1">SUM((INDIRECT(BC$2&amp;(ROW())):INDIRECT(BC$3&amp;(ROW()))))</f>
        <v>0</v>
      </c>
      <c r="BD779" s="2591">
        <f ca="1">SUM(INDIRECT(BD$1&amp;BD$2&amp;$C779):INDIRECT(BD$1&amp;BD$3&amp;$C779))</f>
        <v>0</v>
      </c>
      <c r="BE779" s="2898">
        <f t="shared" ca="1" si="1351"/>
        <v>0</v>
      </c>
      <c r="BF779" s="2899">
        <f t="shared" ca="1" si="1352"/>
        <v>0</v>
      </c>
      <c r="BG779" s="2591">
        <f ca="1">SUM(INDIRECT(BG$1&amp;BG$2&amp;$A779):INDIRECT(BG$1&amp;BG$3&amp;$A779))+SUM(INDIRECT(BG$1&amp;BG$2&amp;$B779):INDIRECT(BG$1&amp;BG$3&amp;$B779))</f>
        <v>0</v>
      </c>
      <c r="BH779" s="2898">
        <f t="shared" ca="1" si="1354"/>
        <v>0</v>
      </c>
      <c r="BI779" s="2899">
        <f t="shared" ca="1" si="1355"/>
        <v>0</v>
      </c>
    </row>
    <row r="780" spans="1:61" ht="14.5">
      <c r="A780" s="1693">
        <f t="shared" si="1317"/>
        <v>772</v>
      </c>
      <c r="B780" s="616">
        <v>1</v>
      </c>
      <c r="C780" s="1693">
        <f t="shared" si="1316"/>
        <v>780</v>
      </c>
      <c r="D780" s="616">
        <v>1</v>
      </c>
      <c r="F780" s="69"/>
      <c r="H780" s="22"/>
      <c r="J780" s="86"/>
      <c r="K780" s="85"/>
      <c r="L780" s="68"/>
      <c r="M780" s="68"/>
      <c r="O780" s="97" t="s">
        <v>523</v>
      </c>
      <c r="P780" s="97"/>
      <c r="Q780" s="97"/>
      <c r="R780" s="1779" t="str">
        <f>CHOOSE(2, "6722000003691", "S/GP (5) Net Sales Direct BPS OSP")</f>
        <v>S/GP (5) Net Sales Direct BPS OSP</v>
      </c>
      <c r="S780" s="1227"/>
      <c r="T780" s="1247"/>
      <c r="U780" s="1227"/>
      <c r="V780" s="1227"/>
      <c r="W780" s="1227"/>
      <c r="X780" s="1227"/>
      <c r="Y780" s="1227"/>
      <c r="Z780" s="1227"/>
      <c r="AA780" s="1227"/>
      <c r="AB780" s="1227"/>
      <c r="AC780" s="1227"/>
      <c r="AD780" s="1227"/>
      <c r="AE780" s="295">
        <f>SUM(S780,T780,U780)</f>
        <v>0</v>
      </c>
      <c r="AF780" s="96">
        <f>SUM(V780,W780,X780)</f>
        <v>0</v>
      </c>
      <c r="AG780" s="96">
        <f>SUM(Y780,Z780,AA780)</f>
        <v>0</v>
      </c>
      <c r="AH780" s="96">
        <f>SUM(AB780,AC780,AD780)</f>
        <v>0</v>
      </c>
      <c r="AI780" s="96">
        <f>AE780+AF780</f>
        <v>0</v>
      </c>
      <c r="AJ780" s="96">
        <f>AH780+AG780</f>
        <v>0</v>
      </c>
      <c r="AK780" s="295">
        <f>AI780+AJ780</f>
        <v>0</v>
      </c>
      <c r="AM780" s="2161">
        <f ca="1">SUM((INDIRECT(AM$2&amp;(ROW())):INDIRECT(AM$3&amp;(ROW()))))</f>
        <v>0</v>
      </c>
      <c r="AN780" s="2160">
        <f ca="1">SUM(INDIRECT(AN$1&amp;AN$2&amp;$C780):INDIRECT(AN$1&amp;AN$3&amp;$C780))</f>
        <v>0</v>
      </c>
      <c r="AO780" s="2900">
        <f t="shared" ca="1" si="1341"/>
        <v>0</v>
      </c>
      <c r="AP780" s="2901">
        <f t="shared" ca="1" si="1342"/>
        <v>0</v>
      </c>
      <c r="AQ780" s="2160">
        <f ca="1">SUM(INDIRECT(AQ$1&amp;AQ$2&amp;$A780):INDIRECT(AQ$1&amp;AQ$3&amp;$A780))+SUM(INDIRECT(AQ$1&amp;AQ$2&amp;$B780):INDIRECT(AQ$1&amp;AQ$3&amp;$B780))</f>
        <v>0</v>
      </c>
      <c r="AR780" s="2900">
        <f t="shared" ca="1" si="1344"/>
        <v>0</v>
      </c>
      <c r="AS780" s="2901">
        <f t="shared" ca="1" si="1345"/>
        <v>0</v>
      </c>
      <c r="AU780" s="2161">
        <f ca="1">SUM((INDIRECT(AU$2&amp;(ROW())):INDIRECT(AU$3&amp;(ROW()))))</f>
        <v>0</v>
      </c>
      <c r="AV780" s="2160">
        <f ca="1">SUM(INDIRECT(AV$1&amp;AV$2&amp;$C780):INDIRECT(AV$1&amp;AV$3&amp;$C780))</f>
        <v>0</v>
      </c>
      <c r="AW780" s="2900">
        <f t="shared" ca="1" si="1346"/>
        <v>0</v>
      </c>
      <c r="AX780" s="2901">
        <f t="shared" ca="1" si="1347"/>
        <v>0</v>
      </c>
      <c r="AY780" s="2160">
        <f ca="1">SUM(INDIRECT(AY$1&amp;AY$2&amp;$A780):INDIRECT(AY$1&amp;AY$3&amp;$A780))+SUM(INDIRECT(AY$1&amp;AY$2&amp;$B780):INDIRECT(AY$1&amp;AY$3&amp;$B780))</f>
        <v>0</v>
      </c>
      <c r="AZ780" s="2900">
        <f t="shared" ca="1" si="1349"/>
        <v>0</v>
      </c>
      <c r="BA780" s="2901">
        <f t="shared" ca="1" si="1350"/>
        <v>0</v>
      </c>
      <c r="BC780" s="2161">
        <f ca="1">SUM((INDIRECT(BC$2&amp;(ROW())):INDIRECT(BC$3&amp;(ROW()))))</f>
        <v>0</v>
      </c>
      <c r="BD780" s="2160">
        <f ca="1">SUM(INDIRECT(BD$1&amp;BD$2&amp;$C780):INDIRECT(BD$1&amp;BD$3&amp;$C780))</f>
        <v>0</v>
      </c>
      <c r="BE780" s="2900">
        <f t="shared" ca="1" si="1351"/>
        <v>0</v>
      </c>
      <c r="BF780" s="2901">
        <f t="shared" ca="1" si="1352"/>
        <v>0</v>
      </c>
      <c r="BG780" s="2160">
        <f ca="1">SUM(INDIRECT(BG$1&amp;BG$2&amp;$A780):INDIRECT(BG$1&amp;BG$3&amp;$A780))+SUM(INDIRECT(BG$1&amp;BG$2&amp;$B780):INDIRECT(BG$1&amp;BG$3&amp;$B780))</f>
        <v>0</v>
      </c>
      <c r="BH780" s="2900">
        <f t="shared" ca="1" si="1354"/>
        <v>0</v>
      </c>
      <c r="BI780" s="2901">
        <f t="shared" ca="1" si="1355"/>
        <v>0</v>
      </c>
    </row>
    <row r="781" spans="1:61" ht="14.5">
      <c r="A781" s="1693">
        <f t="shared" si="1317"/>
        <v>773</v>
      </c>
      <c r="B781" s="616">
        <v>1</v>
      </c>
      <c r="C781" s="1693">
        <f t="shared" si="1316"/>
        <v>781</v>
      </c>
      <c r="D781" s="616">
        <v>1</v>
      </c>
      <c r="F781" s="69"/>
      <c r="H781" s="22"/>
      <c r="J781" s="86"/>
      <c r="K781" s="85"/>
      <c r="L781" s="68"/>
      <c r="M781" s="68"/>
      <c r="O781" s="8" t="s">
        <v>524</v>
      </c>
      <c r="R781" s="1779" t="str">
        <f>CHOOSE(2, "6722000003692", "S/GP (5) Net Sales Direct BPS RP")</f>
        <v>S/GP (5) Net Sales Direct BPS RP</v>
      </c>
      <c r="S781" s="1217"/>
      <c r="T781" s="1224"/>
      <c r="U781" s="1217"/>
      <c r="V781" s="1217"/>
      <c r="W781" s="1217"/>
      <c r="X781" s="1217"/>
      <c r="Y781" s="1217"/>
      <c r="Z781" s="1217"/>
      <c r="AA781" s="1217"/>
      <c r="AB781" s="1217"/>
      <c r="AC781" s="1217"/>
      <c r="AD781" s="1217"/>
      <c r="AE781" s="88">
        <f>SUM(S781,T781,U781)</f>
        <v>0</v>
      </c>
      <c r="AF781" s="17">
        <f>SUM(V781,W781,X781)</f>
        <v>0</v>
      </c>
      <c r="AG781" s="17">
        <f>SUM(Y781,Z781,AA781)</f>
        <v>0</v>
      </c>
      <c r="AH781" s="17">
        <f>SUM(AB781,AC781,AD781)</f>
        <v>0</v>
      </c>
      <c r="AI781" s="17">
        <f>AE781+AF781</f>
        <v>0</v>
      </c>
      <c r="AJ781" s="17">
        <f>AH781+AG781</f>
        <v>0</v>
      </c>
      <c r="AK781" s="88">
        <f>AI781+AJ781</f>
        <v>0</v>
      </c>
      <c r="AM781" s="1926">
        <f ca="1">SUM((INDIRECT(AM$2&amp;(ROW())):INDIRECT(AM$3&amp;(ROW()))))</f>
        <v>0</v>
      </c>
      <c r="AN781" s="1925">
        <f ca="1">SUM(INDIRECT(AN$1&amp;AN$2&amp;$C781):INDIRECT(AN$1&amp;AN$3&amp;$C781))</f>
        <v>0</v>
      </c>
      <c r="AO781" s="2902">
        <f t="shared" ca="1" si="1341"/>
        <v>0</v>
      </c>
      <c r="AP781" s="2903">
        <f t="shared" ca="1" si="1342"/>
        <v>0</v>
      </c>
      <c r="AQ781" s="1925">
        <f ca="1">SUM(INDIRECT(AQ$1&amp;AQ$2&amp;$A781):INDIRECT(AQ$1&amp;AQ$3&amp;$A781))+SUM(INDIRECT(AQ$1&amp;AQ$2&amp;$B781):INDIRECT(AQ$1&amp;AQ$3&amp;$B781))</f>
        <v>0</v>
      </c>
      <c r="AR781" s="2902">
        <f t="shared" ca="1" si="1344"/>
        <v>0</v>
      </c>
      <c r="AS781" s="2903">
        <f t="shared" ca="1" si="1345"/>
        <v>0</v>
      </c>
      <c r="AU781" s="1926">
        <f ca="1">SUM((INDIRECT(AU$2&amp;(ROW())):INDIRECT(AU$3&amp;(ROW()))))</f>
        <v>0</v>
      </c>
      <c r="AV781" s="1925">
        <f ca="1">SUM(INDIRECT(AV$1&amp;AV$2&amp;$C781):INDIRECT(AV$1&amp;AV$3&amp;$C781))</f>
        <v>0</v>
      </c>
      <c r="AW781" s="2902">
        <f t="shared" ca="1" si="1346"/>
        <v>0</v>
      </c>
      <c r="AX781" s="2903">
        <f t="shared" ca="1" si="1347"/>
        <v>0</v>
      </c>
      <c r="AY781" s="1925">
        <f ca="1">SUM(INDIRECT(AY$1&amp;AY$2&amp;$A781):INDIRECT(AY$1&amp;AY$3&amp;$A781))+SUM(INDIRECT(AY$1&amp;AY$2&amp;$B781):INDIRECT(AY$1&amp;AY$3&amp;$B781))</f>
        <v>0</v>
      </c>
      <c r="AZ781" s="2902">
        <f t="shared" ca="1" si="1349"/>
        <v>0</v>
      </c>
      <c r="BA781" s="2903">
        <f t="shared" ca="1" si="1350"/>
        <v>0</v>
      </c>
      <c r="BC781" s="1926">
        <f ca="1">SUM((INDIRECT(BC$2&amp;(ROW())):INDIRECT(BC$3&amp;(ROW()))))</f>
        <v>0</v>
      </c>
      <c r="BD781" s="1925">
        <f ca="1">SUM(INDIRECT(BD$1&amp;BD$2&amp;$C781):INDIRECT(BD$1&amp;BD$3&amp;$C781))</f>
        <v>0</v>
      </c>
      <c r="BE781" s="2902">
        <f t="shared" ca="1" si="1351"/>
        <v>0</v>
      </c>
      <c r="BF781" s="2903">
        <f t="shared" ca="1" si="1352"/>
        <v>0</v>
      </c>
      <c r="BG781" s="1925">
        <f ca="1">SUM(INDIRECT(BG$1&amp;BG$2&amp;$A781):INDIRECT(BG$1&amp;BG$3&amp;$A781))+SUM(INDIRECT(BG$1&amp;BG$2&amp;$B781):INDIRECT(BG$1&amp;BG$3&amp;$B781))</f>
        <v>0</v>
      </c>
      <c r="BH781" s="2902">
        <f t="shared" ca="1" si="1354"/>
        <v>0</v>
      </c>
      <c r="BI781" s="2903">
        <f t="shared" ca="1" si="1355"/>
        <v>0</v>
      </c>
    </row>
    <row r="782" spans="1:61" ht="14.5">
      <c r="A782" s="1693">
        <f t="shared" si="1317"/>
        <v>774</v>
      </c>
      <c r="B782" s="616">
        <v>1</v>
      </c>
      <c r="C782" s="1693">
        <f t="shared" si="1316"/>
        <v>782</v>
      </c>
      <c r="D782" s="616">
        <v>1</v>
      </c>
      <c r="F782" s="69"/>
      <c r="H782" s="22"/>
      <c r="J782" s="86"/>
      <c r="K782" s="85"/>
      <c r="L782" s="68"/>
      <c r="M782" s="68"/>
      <c r="O782" s="8" t="s">
        <v>525</v>
      </c>
      <c r="R782" s="1779" t="str">
        <f>CHOOSE(2, "6722000003693", "S/GP (5) Net Sales Direct BPS OSP service")</f>
        <v>S/GP (5) Net Sales Direct BPS OSP service</v>
      </c>
      <c r="S782" s="1217"/>
      <c r="T782" s="1224"/>
      <c r="U782" s="1217"/>
      <c r="V782" s="1217"/>
      <c r="W782" s="1217"/>
      <c r="X782" s="1217"/>
      <c r="Y782" s="1217"/>
      <c r="Z782" s="1217"/>
      <c r="AA782" s="1217"/>
      <c r="AB782" s="1217"/>
      <c r="AC782" s="1217"/>
      <c r="AD782" s="1217"/>
      <c r="AE782" s="88">
        <f>SUM(S782,T782,U782)</f>
        <v>0</v>
      </c>
      <c r="AF782" s="17">
        <f>SUM(V782,W782,X782)</f>
        <v>0</v>
      </c>
      <c r="AG782" s="17">
        <f>SUM(Y782,Z782,AA782)</f>
        <v>0</v>
      </c>
      <c r="AH782" s="17">
        <f>SUM(AB782,AC782,AD782)</f>
        <v>0</v>
      </c>
      <c r="AI782" s="17">
        <f>AE782+AF782</f>
        <v>0</v>
      </c>
      <c r="AJ782" s="17">
        <f>AH782+AG782</f>
        <v>0</v>
      </c>
      <c r="AK782" s="88">
        <f>AI782+AJ782</f>
        <v>0</v>
      </c>
      <c r="AM782" s="1926">
        <f ca="1">SUM((INDIRECT(AM$2&amp;(ROW())):INDIRECT(AM$3&amp;(ROW()))))</f>
        <v>0</v>
      </c>
      <c r="AN782" s="1925">
        <f ca="1">SUM(INDIRECT(AN$1&amp;AN$2&amp;$C782):INDIRECT(AN$1&amp;AN$3&amp;$C782))</f>
        <v>0</v>
      </c>
      <c r="AO782" s="2902">
        <f t="shared" ca="1" si="1341"/>
        <v>0</v>
      </c>
      <c r="AP782" s="2903">
        <f t="shared" ca="1" si="1342"/>
        <v>0</v>
      </c>
      <c r="AQ782" s="1925">
        <f ca="1">SUM(INDIRECT(AQ$1&amp;AQ$2&amp;$A782):INDIRECT(AQ$1&amp;AQ$3&amp;$A782))+SUM(INDIRECT(AQ$1&amp;AQ$2&amp;$B782):INDIRECT(AQ$1&amp;AQ$3&amp;$B782))</f>
        <v>0</v>
      </c>
      <c r="AR782" s="2902">
        <f t="shared" ca="1" si="1344"/>
        <v>0</v>
      </c>
      <c r="AS782" s="2903">
        <f t="shared" ca="1" si="1345"/>
        <v>0</v>
      </c>
      <c r="AU782" s="1926">
        <f ca="1">SUM((INDIRECT(AU$2&amp;(ROW())):INDIRECT(AU$3&amp;(ROW()))))</f>
        <v>0</v>
      </c>
      <c r="AV782" s="1925">
        <f ca="1">SUM(INDIRECT(AV$1&amp;AV$2&amp;$C782):INDIRECT(AV$1&amp;AV$3&amp;$C782))</f>
        <v>0</v>
      </c>
      <c r="AW782" s="2902">
        <f t="shared" ca="1" si="1346"/>
        <v>0</v>
      </c>
      <c r="AX782" s="2903">
        <f t="shared" ca="1" si="1347"/>
        <v>0</v>
      </c>
      <c r="AY782" s="1925">
        <f ca="1">SUM(INDIRECT(AY$1&amp;AY$2&amp;$A782):INDIRECT(AY$1&amp;AY$3&amp;$A782))+SUM(INDIRECT(AY$1&amp;AY$2&amp;$B782):INDIRECT(AY$1&amp;AY$3&amp;$B782))</f>
        <v>0</v>
      </c>
      <c r="AZ782" s="2902">
        <f t="shared" ca="1" si="1349"/>
        <v>0</v>
      </c>
      <c r="BA782" s="2903">
        <f t="shared" ca="1" si="1350"/>
        <v>0</v>
      </c>
      <c r="BC782" s="1926">
        <f ca="1">SUM((INDIRECT(BC$2&amp;(ROW())):INDIRECT(BC$3&amp;(ROW()))))</f>
        <v>0</v>
      </c>
      <c r="BD782" s="1925">
        <f ca="1">SUM(INDIRECT(BD$1&amp;BD$2&amp;$C782):INDIRECT(BD$1&amp;BD$3&amp;$C782))</f>
        <v>0</v>
      </c>
      <c r="BE782" s="2902">
        <f t="shared" ca="1" si="1351"/>
        <v>0</v>
      </c>
      <c r="BF782" s="2903">
        <f t="shared" ca="1" si="1352"/>
        <v>0</v>
      </c>
      <c r="BG782" s="1925">
        <f ca="1">SUM(INDIRECT(BG$1&amp;BG$2&amp;$A782):INDIRECT(BG$1&amp;BG$3&amp;$A782))+SUM(INDIRECT(BG$1&amp;BG$2&amp;$B782):INDIRECT(BG$1&amp;BG$3&amp;$B782))</f>
        <v>0</v>
      </c>
      <c r="BH782" s="2902">
        <f t="shared" ca="1" si="1354"/>
        <v>0</v>
      </c>
      <c r="BI782" s="2903">
        <f t="shared" ca="1" si="1355"/>
        <v>0</v>
      </c>
    </row>
    <row r="783" spans="1:61" ht="14.5">
      <c r="A783" s="1693">
        <f t="shared" si="1317"/>
        <v>775</v>
      </c>
      <c r="B783" s="616">
        <v>1</v>
      </c>
      <c r="C783" s="1693">
        <f t="shared" ref="C783:C846" si="1369">C782+1</f>
        <v>783</v>
      </c>
      <c r="D783" s="616">
        <v>1</v>
      </c>
      <c r="F783" s="69"/>
      <c r="H783" s="22"/>
      <c r="J783" s="86"/>
      <c r="K783" s="85"/>
      <c r="L783" s="68"/>
      <c r="M783" s="68"/>
      <c r="N783" s="11"/>
      <c r="O783" s="8" t="s">
        <v>526</v>
      </c>
      <c r="R783" s="1779" t="str">
        <f>CHOOSE(2, "6722000003694", "S/GP (5) Net Sales Direct BPS RP service")</f>
        <v>S/GP (5) Net Sales Direct BPS RP service</v>
      </c>
      <c r="S783" s="1217"/>
      <c r="T783" s="1224"/>
      <c r="U783" s="1217"/>
      <c r="V783" s="1217"/>
      <c r="W783" s="1217"/>
      <c r="X783" s="1217"/>
      <c r="Y783" s="1217"/>
      <c r="Z783" s="1217"/>
      <c r="AA783" s="1217"/>
      <c r="AB783" s="1217"/>
      <c r="AC783" s="1217"/>
      <c r="AD783" s="1217"/>
      <c r="AE783" s="88">
        <f>SUM(S783,T783,U783)</f>
        <v>0</v>
      </c>
      <c r="AF783" s="17">
        <f>SUM(V783,W783,X783)</f>
        <v>0</v>
      </c>
      <c r="AG783" s="17">
        <f>SUM(Y783,Z783,AA783)</f>
        <v>0</v>
      </c>
      <c r="AH783" s="17">
        <f>SUM(AB783,AC783,AD783)</f>
        <v>0</v>
      </c>
      <c r="AI783" s="17">
        <f>AE783+AF783</f>
        <v>0</v>
      </c>
      <c r="AJ783" s="17">
        <f>AH783+AG783</f>
        <v>0</v>
      </c>
      <c r="AK783" s="88">
        <f>AI783+AJ783</f>
        <v>0</v>
      </c>
      <c r="AM783" s="1926">
        <f ca="1">SUM((INDIRECT(AM$2&amp;(ROW())):INDIRECT(AM$3&amp;(ROW()))))</f>
        <v>0</v>
      </c>
      <c r="AN783" s="1925">
        <f ca="1">SUM(INDIRECT(AN$1&amp;AN$2&amp;$C783):INDIRECT(AN$1&amp;AN$3&amp;$C783))</f>
        <v>0</v>
      </c>
      <c r="AO783" s="2902">
        <f t="shared" ca="1" si="1341"/>
        <v>0</v>
      </c>
      <c r="AP783" s="2903">
        <f t="shared" ca="1" si="1342"/>
        <v>0</v>
      </c>
      <c r="AQ783" s="1925">
        <f ca="1">SUM(INDIRECT(AQ$1&amp;AQ$2&amp;$A783):INDIRECT(AQ$1&amp;AQ$3&amp;$A783))+SUM(INDIRECT(AQ$1&amp;AQ$2&amp;$B783):INDIRECT(AQ$1&amp;AQ$3&amp;$B783))</f>
        <v>0</v>
      </c>
      <c r="AR783" s="2902">
        <f t="shared" ca="1" si="1344"/>
        <v>0</v>
      </c>
      <c r="AS783" s="2903">
        <f t="shared" ca="1" si="1345"/>
        <v>0</v>
      </c>
      <c r="AU783" s="1926">
        <f ca="1">SUM((INDIRECT(AU$2&amp;(ROW())):INDIRECT(AU$3&amp;(ROW()))))</f>
        <v>0</v>
      </c>
      <c r="AV783" s="1925">
        <f ca="1">SUM(INDIRECT(AV$1&amp;AV$2&amp;$C783):INDIRECT(AV$1&amp;AV$3&amp;$C783))</f>
        <v>0</v>
      </c>
      <c r="AW783" s="2902">
        <f t="shared" ca="1" si="1346"/>
        <v>0</v>
      </c>
      <c r="AX783" s="2903">
        <f t="shared" ca="1" si="1347"/>
        <v>0</v>
      </c>
      <c r="AY783" s="1925">
        <f ca="1">SUM(INDIRECT(AY$1&amp;AY$2&amp;$A783):INDIRECT(AY$1&amp;AY$3&amp;$A783))+SUM(INDIRECT(AY$1&amp;AY$2&amp;$B783):INDIRECT(AY$1&amp;AY$3&amp;$B783))</f>
        <v>0</v>
      </c>
      <c r="AZ783" s="2902">
        <f t="shared" ca="1" si="1349"/>
        <v>0</v>
      </c>
      <c r="BA783" s="2903">
        <f t="shared" ca="1" si="1350"/>
        <v>0</v>
      </c>
      <c r="BC783" s="1926">
        <f ca="1">SUM((INDIRECT(BC$2&amp;(ROW())):INDIRECT(BC$3&amp;(ROW()))))</f>
        <v>0</v>
      </c>
      <c r="BD783" s="1925">
        <f ca="1">SUM(INDIRECT(BD$1&amp;BD$2&amp;$C783):INDIRECT(BD$1&amp;BD$3&amp;$C783))</f>
        <v>0</v>
      </c>
      <c r="BE783" s="2902">
        <f t="shared" ca="1" si="1351"/>
        <v>0</v>
      </c>
      <c r="BF783" s="2903">
        <f t="shared" ca="1" si="1352"/>
        <v>0</v>
      </c>
      <c r="BG783" s="1925">
        <f ca="1">SUM(INDIRECT(BG$1&amp;BG$2&amp;$A783):INDIRECT(BG$1&amp;BG$3&amp;$A783))+SUM(INDIRECT(BG$1&amp;BG$2&amp;$B783):INDIRECT(BG$1&amp;BG$3&amp;$B783))</f>
        <v>0</v>
      </c>
      <c r="BH783" s="2902">
        <f t="shared" ca="1" si="1354"/>
        <v>0</v>
      </c>
      <c r="BI783" s="2903">
        <f t="shared" ca="1" si="1355"/>
        <v>0</v>
      </c>
    </row>
    <row r="784" spans="1:61" ht="14.5">
      <c r="A784" s="1693">
        <f t="shared" ref="A784:A847" si="1370">A783+1</f>
        <v>776</v>
      </c>
      <c r="B784" s="616">
        <v>1</v>
      </c>
      <c r="C784" s="1693">
        <f t="shared" si="1369"/>
        <v>784</v>
      </c>
      <c r="D784" s="616">
        <v>647</v>
      </c>
      <c r="F784" s="69"/>
      <c r="H784" s="22"/>
      <c r="J784" s="86"/>
      <c r="K784" s="85"/>
      <c r="L784" s="68"/>
      <c r="M784" s="68"/>
      <c r="N784" s="3" t="s">
        <v>669</v>
      </c>
      <c r="O784" s="284"/>
      <c r="P784" s="284"/>
      <c r="Q784" s="284"/>
      <c r="R784" s="1777" t="str">
        <f>CHOOSE(2, "6722000003695", "S/GP (5) Net Sales Direct ICW-WK")</f>
        <v>S/GP (5) Net Sales Direct ICW-WK</v>
      </c>
      <c r="S784" s="1249">
        <f>SUM(S785:S788)</f>
        <v>0</v>
      </c>
      <c r="T784" s="1621">
        <f t="shared" ref="T784:AD784" si="1371">SUM(T785:T788)</f>
        <v>0</v>
      </c>
      <c r="U784" s="1249">
        <f t="shared" si="1371"/>
        <v>0</v>
      </c>
      <c r="V784" s="1249">
        <f t="shared" si="1371"/>
        <v>0</v>
      </c>
      <c r="W784" s="1249">
        <f t="shared" si="1371"/>
        <v>0</v>
      </c>
      <c r="X784" s="1249">
        <f t="shared" si="1371"/>
        <v>0</v>
      </c>
      <c r="Y784" s="1249">
        <f t="shared" si="1371"/>
        <v>0</v>
      </c>
      <c r="Z784" s="1249">
        <f t="shared" si="1371"/>
        <v>0</v>
      </c>
      <c r="AA784" s="1249">
        <f t="shared" si="1371"/>
        <v>0</v>
      </c>
      <c r="AB784" s="1249">
        <f t="shared" si="1371"/>
        <v>0</v>
      </c>
      <c r="AC784" s="1249">
        <f t="shared" si="1371"/>
        <v>0</v>
      </c>
      <c r="AD784" s="1249">
        <f t="shared" si="1371"/>
        <v>0</v>
      </c>
      <c r="AE784" s="898">
        <f t="shared" ref="AE784:AK784" si="1372">SUM(AE785:AE788)</f>
        <v>0</v>
      </c>
      <c r="AF784" s="1249">
        <f t="shared" si="1372"/>
        <v>0</v>
      </c>
      <c r="AG784" s="1249">
        <f t="shared" si="1372"/>
        <v>0</v>
      </c>
      <c r="AH784" s="1249">
        <f t="shared" si="1372"/>
        <v>0</v>
      </c>
      <c r="AI784" s="1249">
        <f t="shared" si="1372"/>
        <v>0</v>
      </c>
      <c r="AJ784" s="1249">
        <f t="shared" si="1372"/>
        <v>0</v>
      </c>
      <c r="AK784" s="898">
        <f t="shared" si="1372"/>
        <v>0</v>
      </c>
      <c r="AM784" s="2570">
        <f ca="1">SUM((INDIRECT(AM$2&amp;(ROW())):INDIRECT(AM$3&amp;(ROW()))))</f>
        <v>0</v>
      </c>
      <c r="AN784" s="2591">
        <f ca="1">SUM(INDIRECT(AN$1&amp;AN$2&amp;$C784):INDIRECT(AN$1&amp;AN$3&amp;$C784))</f>
        <v>0</v>
      </c>
      <c r="AO784" s="2898">
        <f t="shared" ca="1" si="1341"/>
        <v>0</v>
      </c>
      <c r="AP784" s="2899">
        <f t="shared" ca="1" si="1342"/>
        <v>0</v>
      </c>
      <c r="AQ784" s="2591">
        <f ca="1">SUM(INDIRECT(AQ$1&amp;AQ$2&amp;$A784):INDIRECT(AQ$1&amp;AQ$3&amp;$A784))+SUM(INDIRECT(AQ$1&amp;AQ$2&amp;$B784):INDIRECT(AQ$1&amp;AQ$3&amp;$B784))</f>
        <v>0</v>
      </c>
      <c r="AR784" s="2898">
        <f t="shared" ca="1" si="1344"/>
        <v>0</v>
      </c>
      <c r="AS784" s="2899">
        <f t="shared" ca="1" si="1345"/>
        <v>0</v>
      </c>
      <c r="AU784" s="2570">
        <f ca="1">SUM((INDIRECT(AU$2&amp;(ROW())):INDIRECT(AU$3&amp;(ROW()))))</f>
        <v>0</v>
      </c>
      <c r="AV784" s="2591">
        <f ca="1">SUM(INDIRECT(AV$1&amp;AV$2&amp;$C784):INDIRECT(AV$1&amp;AV$3&amp;$C784))</f>
        <v>0</v>
      </c>
      <c r="AW784" s="2898">
        <f t="shared" ca="1" si="1346"/>
        <v>0</v>
      </c>
      <c r="AX784" s="2899">
        <f t="shared" ca="1" si="1347"/>
        <v>0</v>
      </c>
      <c r="AY784" s="2591">
        <f ca="1">SUM(INDIRECT(AY$1&amp;AY$2&amp;$A784):INDIRECT(AY$1&amp;AY$3&amp;$A784))+SUM(INDIRECT(AY$1&amp;AY$2&amp;$B784):INDIRECT(AY$1&amp;AY$3&amp;$B784))</f>
        <v>0</v>
      </c>
      <c r="AZ784" s="2898">
        <f t="shared" ca="1" si="1349"/>
        <v>0</v>
      </c>
      <c r="BA784" s="2899">
        <f t="shared" ca="1" si="1350"/>
        <v>0</v>
      </c>
      <c r="BC784" s="2570">
        <f ca="1">SUM((INDIRECT(BC$2&amp;(ROW())):INDIRECT(BC$3&amp;(ROW()))))</f>
        <v>0</v>
      </c>
      <c r="BD784" s="2591">
        <f ca="1">SUM(INDIRECT(BD$1&amp;BD$2&amp;$C784):INDIRECT(BD$1&amp;BD$3&amp;$C784))</f>
        <v>0</v>
      </c>
      <c r="BE784" s="2898">
        <f t="shared" ca="1" si="1351"/>
        <v>0</v>
      </c>
      <c r="BF784" s="2899">
        <f t="shared" ca="1" si="1352"/>
        <v>0</v>
      </c>
      <c r="BG784" s="2591">
        <f ca="1">SUM(INDIRECT(BG$1&amp;BG$2&amp;$A784):INDIRECT(BG$1&amp;BG$3&amp;$A784))+SUM(INDIRECT(BG$1&amp;BG$2&amp;$B784):INDIRECT(BG$1&amp;BG$3&amp;$B784))</f>
        <v>0</v>
      </c>
      <c r="BH784" s="2898">
        <f t="shared" ca="1" si="1354"/>
        <v>0</v>
      </c>
      <c r="BI784" s="2899">
        <f t="shared" ca="1" si="1355"/>
        <v>0</v>
      </c>
    </row>
    <row r="785" spans="1:61" ht="14.5">
      <c r="A785" s="1693">
        <f t="shared" si="1370"/>
        <v>777</v>
      </c>
      <c r="B785" s="616">
        <v>1</v>
      </c>
      <c r="C785" s="1693">
        <f t="shared" si="1369"/>
        <v>785</v>
      </c>
      <c r="D785" s="616">
        <f>D784+1</f>
        <v>648</v>
      </c>
      <c r="F785" s="69"/>
      <c r="H785" s="22"/>
      <c r="J785" s="86"/>
      <c r="K785" s="85"/>
      <c r="L785" s="68"/>
      <c r="M785" s="68"/>
      <c r="O785" s="97" t="s">
        <v>523</v>
      </c>
      <c r="P785" s="97"/>
      <c r="Q785" s="97"/>
      <c r="R785" s="1779" t="str">
        <f>CHOOSE(2, "6722000003696", "S/GP (5) Net Sales Direct ICW-WK OSP")</f>
        <v>S/GP (5) Net Sales Direct ICW-WK OSP</v>
      </c>
      <c r="S785" s="1227"/>
      <c r="T785" s="1247"/>
      <c r="U785" s="1227"/>
      <c r="V785" s="1227"/>
      <c r="W785" s="1227"/>
      <c r="X785" s="1227"/>
      <c r="Y785" s="1227"/>
      <c r="Z785" s="1227"/>
      <c r="AA785" s="1227"/>
      <c r="AB785" s="1227"/>
      <c r="AC785" s="1227"/>
      <c r="AD785" s="1227"/>
      <c r="AE785" s="295">
        <f>SUM(S785,T785,U785)</f>
        <v>0</v>
      </c>
      <c r="AF785" s="96">
        <f>SUM(V785,W785,X785)</f>
        <v>0</v>
      </c>
      <c r="AG785" s="96">
        <f>SUM(Y785,Z785,AA785)</f>
        <v>0</v>
      </c>
      <c r="AH785" s="96">
        <f>SUM(AB785,AC785,AD785)</f>
        <v>0</v>
      </c>
      <c r="AI785" s="96">
        <f>AE785+AF785</f>
        <v>0</v>
      </c>
      <c r="AJ785" s="96">
        <f>AH785+AG785</f>
        <v>0</v>
      </c>
      <c r="AK785" s="295">
        <f>AI785+AJ785</f>
        <v>0</v>
      </c>
      <c r="AM785" s="2161">
        <f ca="1">SUM((INDIRECT(AM$2&amp;(ROW())):INDIRECT(AM$3&amp;(ROW()))))</f>
        <v>0</v>
      </c>
      <c r="AN785" s="2160">
        <f ca="1">SUM(INDIRECT(AN$1&amp;AN$2&amp;$C785):INDIRECT(AN$1&amp;AN$3&amp;$C785))</f>
        <v>0</v>
      </c>
      <c r="AO785" s="2900">
        <f t="shared" ca="1" si="1341"/>
        <v>0</v>
      </c>
      <c r="AP785" s="2901">
        <f t="shared" ca="1" si="1342"/>
        <v>0</v>
      </c>
      <c r="AQ785" s="2160">
        <f ca="1">SUM(INDIRECT(AQ$1&amp;AQ$2&amp;$A785):INDIRECT(AQ$1&amp;AQ$3&amp;$A785))+SUM(INDIRECT(AQ$1&amp;AQ$2&amp;$B785):INDIRECT(AQ$1&amp;AQ$3&amp;$B785))</f>
        <v>0</v>
      </c>
      <c r="AR785" s="2900">
        <f t="shared" ca="1" si="1344"/>
        <v>0</v>
      </c>
      <c r="AS785" s="2901">
        <f t="shared" ca="1" si="1345"/>
        <v>0</v>
      </c>
      <c r="AU785" s="2161">
        <f ca="1">SUM((INDIRECT(AU$2&amp;(ROW())):INDIRECT(AU$3&amp;(ROW()))))</f>
        <v>0</v>
      </c>
      <c r="AV785" s="2160">
        <f ca="1">SUM(INDIRECT(AV$1&amp;AV$2&amp;$C785):INDIRECT(AV$1&amp;AV$3&amp;$C785))</f>
        <v>0</v>
      </c>
      <c r="AW785" s="2900">
        <f t="shared" ca="1" si="1346"/>
        <v>0</v>
      </c>
      <c r="AX785" s="2901">
        <f t="shared" ca="1" si="1347"/>
        <v>0</v>
      </c>
      <c r="AY785" s="2160">
        <f ca="1">SUM(INDIRECT(AY$1&amp;AY$2&amp;$A785):INDIRECT(AY$1&amp;AY$3&amp;$A785))+SUM(INDIRECT(AY$1&amp;AY$2&amp;$B785):INDIRECT(AY$1&amp;AY$3&amp;$B785))</f>
        <v>0</v>
      </c>
      <c r="AZ785" s="2900">
        <f t="shared" ca="1" si="1349"/>
        <v>0</v>
      </c>
      <c r="BA785" s="2901">
        <f t="shared" ca="1" si="1350"/>
        <v>0</v>
      </c>
      <c r="BC785" s="2161">
        <f ca="1">SUM((INDIRECT(BC$2&amp;(ROW())):INDIRECT(BC$3&amp;(ROW()))))</f>
        <v>0</v>
      </c>
      <c r="BD785" s="2160">
        <f ca="1">SUM(INDIRECT(BD$1&amp;BD$2&amp;$C785):INDIRECT(BD$1&amp;BD$3&amp;$C785))</f>
        <v>0</v>
      </c>
      <c r="BE785" s="2900">
        <f t="shared" ca="1" si="1351"/>
        <v>0</v>
      </c>
      <c r="BF785" s="2901">
        <f t="shared" ca="1" si="1352"/>
        <v>0</v>
      </c>
      <c r="BG785" s="2160">
        <f ca="1">SUM(INDIRECT(BG$1&amp;BG$2&amp;$A785):INDIRECT(BG$1&amp;BG$3&amp;$A785))+SUM(INDIRECT(BG$1&amp;BG$2&amp;$B785):INDIRECT(BG$1&amp;BG$3&amp;$B785))</f>
        <v>0</v>
      </c>
      <c r="BH785" s="2900">
        <f t="shared" ca="1" si="1354"/>
        <v>0</v>
      </c>
      <c r="BI785" s="2901">
        <f t="shared" ca="1" si="1355"/>
        <v>0</v>
      </c>
    </row>
    <row r="786" spans="1:61" ht="14.5">
      <c r="A786" s="1693">
        <f t="shared" si="1370"/>
        <v>778</v>
      </c>
      <c r="B786" s="616">
        <v>1</v>
      </c>
      <c r="C786" s="1693">
        <f t="shared" si="1369"/>
        <v>786</v>
      </c>
      <c r="D786" s="616">
        <f>D785+1</f>
        <v>649</v>
      </c>
      <c r="F786" s="69"/>
      <c r="H786" s="22"/>
      <c r="J786" s="86"/>
      <c r="K786" s="85"/>
      <c r="L786" s="68"/>
      <c r="M786" s="68"/>
      <c r="O786" s="8" t="s">
        <v>524</v>
      </c>
      <c r="R786" s="1779" t="str">
        <f>CHOOSE(2, "6722000003697", "S/GP (5) Net Sales Direct ICW-WK RP")</f>
        <v>S/GP (5) Net Sales Direct ICW-WK RP</v>
      </c>
      <c r="S786" s="1217"/>
      <c r="T786" s="1224"/>
      <c r="U786" s="1217"/>
      <c r="V786" s="1217"/>
      <c r="W786" s="1217"/>
      <c r="X786" s="1217"/>
      <c r="Y786" s="1217"/>
      <c r="Z786" s="1217"/>
      <c r="AA786" s="1217"/>
      <c r="AB786" s="1217"/>
      <c r="AC786" s="1217"/>
      <c r="AD786" s="1217"/>
      <c r="AE786" s="88">
        <f>SUM(S786,T786,U786)</f>
        <v>0</v>
      </c>
      <c r="AF786" s="17">
        <f>SUM(V786,W786,X786)</f>
        <v>0</v>
      </c>
      <c r="AG786" s="17">
        <f>SUM(Y786,Z786,AA786)</f>
        <v>0</v>
      </c>
      <c r="AH786" s="17">
        <f>SUM(AB786,AC786,AD786)</f>
        <v>0</v>
      </c>
      <c r="AI786" s="17">
        <f>AE786+AF786</f>
        <v>0</v>
      </c>
      <c r="AJ786" s="17">
        <f>AH786+AG786</f>
        <v>0</v>
      </c>
      <c r="AK786" s="88">
        <f>AI786+AJ786</f>
        <v>0</v>
      </c>
      <c r="AM786" s="1926">
        <f ca="1">SUM((INDIRECT(AM$2&amp;(ROW())):INDIRECT(AM$3&amp;(ROW()))))</f>
        <v>0</v>
      </c>
      <c r="AN786" s="1925">
        <f ca="1">SUM(INDIRECT(AN$1&amp;AN$2&amp;$C786):INDIRECT(AN$1&amp;AN$3&amp;$C786))</f>
        <v>0</v>
      </c>
      <c r="AO786" s="2902">
        <f t="shared" ca="1" si="1341"/>
        <v>0</v>
      </c>
      <c r="AP786" s="2903">
        <f t="shared" ca="1" si="1342"/>
        <v>0</v>
      </c>
      <c r="AQ786" s="1925">
        <f ca="1">SUM(INDIRECT(AQ$1&amp;AQ$2&amp;$A786):INDIRECT(AQ$1&amp;AQ$3&amp;$A786))+SUM(INDIRECT(AQ$1&amp;AQ$2&amp;$B786):INDIRECT(AQ$1&amp;AQ$3&amp;$B786))</f>
        <v>0</v>
      </c>
      <c r="AR786" s="2902">
        <f t="shared" ca="1" si="1344"/>
        <v>0</v>
      </c>
      <c r="AS786" s="2903">
        <f t="shared" ca="1" si="1345"/>
        <v>0</v>
      </c>
      <c r="AU786" s="1926">
        <f ca="1">SUM((INDIRECT(AU$2&amp;(ROW())):INDIRECT(AU$3&amp;(ROW()))))</f>
        <v>0</v>
      </c>
      <c r="AV786" s="1925">
        <f ca="1">SUM(INDIRECT(AV$1&amp;AV$2&amp;$C786):INDIRECT(AV$1&amp;AV$3&amp;$C786))</f>
        <v>0</v>
      </c>
      <c r="AW786" s="2902">
        <f t="shared" ca="1" si="1346"/>
        <v>0</v>
      </c>
      <c r="AX786" s="2903">
        <f t="shared" ca="1" si="1347"/>
        <v>0</v>
      </c>
      <c r="AY786" s="1925">
        <f ca="1">SUM(INDIRECT(AY$1&amp;AY$2&amp;$A786):INDIRECT(AY$1&amp;AY$3&amp;$A786))+SUM(INDIRECT(AY$1&amp;AY$2&amp;$B786):INDIRECT(AY$1&amp;AY$3&amp;$B786))</f>
        <v>0</v>
      </c>
      <c r="AZ786" s="2902">
        <f t="shared" ca="1" si="1349"/>
        <v>0</v>
      </c>
      <c r="BA786" s="2903">
        <f t="shared" ca="1" si="1350"/>
        <v>0</v>
      </c>
      <c r="BC786" s="1926">
        <f ca="1">SUM((INDIRECT(BC$2&amp;(ROW())):INDIRECT(BC$3&amp;(ROW()))))</f>
        <v>0</v>
      </c>
      <c r="BD786" s="1925">
        <f ca="1">SUM(INDIRECT(BD$1&amp;BD$2&amp;$C786):INDIRECT(BD$1&amp;BD$3&amp;$C786))</f>
        <v>0</v>
      </c>
      <c r="BE786" s="2902">
        <f t="shared" ca="1" si="1351"/>
        <v>0</v>
      </c>
      <c r="BF786" s="2903">
        <f t="shared" ca="1" si="1352"/>
        <v>0</v>
      </c>
      <c r="BG786" s="1925">
        <f ca="1">SUM(INDIRECT(BG$1&amp;BG$2&amp;$A786):INDIRECT(BG$1&amp;BG$3&amp;$A786))+SUM(INDIRECT(BG$1&amp;BG$2&amp;$B786):INDIRECT(BG$1&amp;BG$3&amp;$B786))</f>
        <v>0</v>
      </c>
      <c r="BH786" s="2902">
        <f t="shared" ca="1" si="1354"/>
        <v>0</v>
      </c>
      <c r="BI786" s="2903">
        <f t="shared" ca="1" si="1355"/>
        <v>0</v>
      </c>
    </row>
    <row r="787" spans="1:61" ht="14.5">
      <c r="A787" s="1693">
        <f t="shared" si="1370"/>
        <v>779</v>
      </c>
      <c r="B787" s="616">
        <v>1</v>
      </c>
      <c r="C787" s="1693">
        <f t="shared" si="1369"/>
        <v>787</v>
      </c>
      <c r="D787" s="616">
        <f>D786+1</f>
        <v>650</v>
      </c>
      <c r="F787" s="69"/>
      <c r="H787" s="22"/>
      <c r="J787" s="86"/>
      <c r="K787" s="85"/>
      <c r="L787" s="68"/>
      <c r="M787" s="68"/>
      <c r="O787" s="8" t="s">
        <v>525</v>
      </c>
      <c r="R787" s="1779" t="str">
        <f>CHOOSE(2, "6722000003698", "S/GP (5) Net Sales Direct ICW-WK OSP service")</f>
        <v>S/GP (5) Net Sales Direct ICW-WK OSP service</v>
      </c>
      <c r="S787" s="1217"/>
      <c r="T787" s="1224"/>
      <c r="U787" s="1217"/>
      <c r="V787" s="1217"/>
      <c r="W787" s="1217"/>
      <c r="X787" s="1217"/>
      <c r="Y787" s="1217"/>
      <c r="Z787" s="1217"/>
      <c r="AA787" s="1217"/>
      <c r="AB787" s="1217"/>
      <c r="AC787" s="1217"/>
      <c r="AD787" s="1217"/>
      <c r="AE787" s="88">
        <f>SUM(S787,T787,U787)</f>
        <v>0</v>
      </c>
      <c r="AF787" s="17">
        <f>SUM(V787,W787,X787)</f>
        <v>0</v>
      </c>
      <c r="AG787" s="17">
        <f>SUM(Y787,Z787,AA787)</f>
        <v>0</v>
      </c>
      <c r="AH787" s="17">
        <f>SUM(AB787,AC787,AD787)</f>
        <v>0</v>
      </c>
      <c r="AI787" s="17">
        <f>AE787+AF787</f>
        <v>0</v>
      </c>
      <c r="AJ787" s="17">
        <f>AH787+AG787</f>
        <v>0</v>
      </c>
      <c r="AK787" s="88">
        <f>AI787+AJ787</f>
        <v>0</v>
      </c>
      <c r="AM787" s="1926">
        <f ca="1">SUM((INDIRECT(AM$2&amp;(ROW())):INDIRECT(AM$3&amp;(ROW()))))</f>
        <v>0</v>
      </c>
      <c r="AN787" s="1925">
        <f ca="1">SUM(INDIRECT(AN$1&amp;AN$2&amp;$C787):INDIRECT(AN$1&amp;AN$3&amp;$C787))</f>
        <v>0</v>
      </c>
      <c r="AO787" s="2902">
        <f t="shared" ca="1" si="1341"/>
        <v>0</v>
      </c>
      <c r="AP787" s="2903">
        <f t="shared" ca="1" si="1342"/>
        <v>0</v>
      </c>
      <c r="AQ787" s="1925">
        <f ca="1">SUM(INDIRECT(AQ$1&amp;AQ$2&amp;$A787):INDIRECT(AQ$1&amp;AQ$3&amp;$A787))+SUM(INDIRECT(AQ$1&amp;AQ$2&amp;$B787):INDIRECT(AQ$1&amp;AQ$3&amp;$B787))</f>
        <v>0</v>
      </c>
      <c r="AR787" s="2902">
        <f t="shared" ca="1" si="1344"/>
        <v>0</v>
      </c>
      <c r="AS787" s="2903">
        <f t="shared" ca="1" si="1345"/>
        <v>0</v>
      </c>
      <c r="AU787" s="1926">
        <f ca="1">SUM((INDIRECT(AU$2&amp;(ROW())):INDIRECT(AU$3&amp;(ROW()))))</f>
        <v>0</v>
      </c>
      <c r="AV787" s="1925">
        <f ca="1">SUM(INDIRECT(AV$1&amp;AV$2&amp;$C787):INDIRECT(AV$1&amp;AV$3&amp;$C787))</f>
        <v>0</v>
      </c>
      <c r="AW787" s="2902">
        <f t="shared" ca="1" si="1346"/>
        <v>0</v>
      </c>
      <c r="AX787" s="2903">
        <f t="shared" ca="1" si="1347"/>
        <v>0</v>
      </c>
      <c r="AY787" s="1925">
        <f ca="1">SUM(INDIRECT(AY$1&amp;AY$2&amp;$A787):INDIRECT(AY$1&amp;AY$3&amp;$A787))+SUM(INDIRECT(AY$1&amp;AY$2&amp;$B787):INDIRECT(AY$1&amp;AY$3&amp;$B787))</f>
        <v>0</v>
      </c>
      <c r="AZ787" s="2902">
        <f t="shared" ca="1" si="1349"/>
        <v>0</v>
      </c>
      <c r="BA787" s="2903">
        <f t="shared" ca="1" si="1350"/>
        <v>0</v>
      </c>
      <c r="BC787" s="1926">
        <f ca="1">SUM((INDIRECT(BC$2&amp;(ROW())):INDIRECT(BC$3&amp;(ROW()))))</f>
        <v>0</v>
      </c>
      <c r="BD787" s="1925">
        <f ca="1">SUM(INDIRECT(BD$1&amp;BD$2&amp;$C787):INDIRECT(BD$1&amp;BD$3&amp;$C787))</f>
        <v>0</v>
      </c>
      <c r="BE787" s="2902">
        <f t="shared" ca="1" si="1351"/>
        <v>0</v>
      </c>
      <c r="BF787" s="2903">
        <f t="shared" ca="1" si="1352"/>
        <v>0</v>
      </c>
      <c r="BG787" s="1925">
        <f ca="1">SUM(INDIRECT(BG$1&amp;BG$2&amp;$A787):INDIRECT(BG$1&amp;BG$3&amp;$A787))+SUM(INDIRECT(BG$1&amp;BG$2&amp;$B787):INDIRECT(BG$1&amp;BG$3&amp;$B787))</f>
        <v>0</v>
      </c>
      <c r="BH787" s="2902">
        <f t="shared" ca="1" si="1354"/>
        <v>0</v>
      </c>
      <c r="BI787" s="2903">
        <f t="shared" ca="1" si="1355"/>
        <v>0</v>
      </c>
    </row>
    <row r="788" spans="1:61" ht="14.5">
      <c r="A788" s="1693">
        <f t="shared" si="1370"/>
        <v>780</v>
      </c>
      <c r="B788" s="616">
        <v>1</v>
      </c>
      <c r="C788" s="1693">
        <f t="shared" si="1369"/>
        <v>788</v>
      </c>
      <c r="D788" s="616">
        <f>D787+1</f>
        <v>651</v>
      </c>
      <c r="F788" s="69"/>
      <c r="H788" s="22"/>
      <c r="J788" s="86"/>
      <c r="K788" s="85"/>
      <c r="L788" s="68"/>
      <c r="M788" s="68"/>
      <c r="N788" s="11"/>
      <c r="O788" s="8" t="s">
        <v>526</v>
      </c>
      <c r="R788" s="1779" t="str">
        <f>CHOOSE(2, "6722000003699", "S/GP (5) Net Sales Direct ICW-WK RP service")</f>
        <v>S/GP (5) Net Sales Direct ICW-WK RP service</v>
      </c>
      <c r="S788" s="1217"/>
      <c r="T788" s="1224"/>
      <c r="U788" s="1217"/>
      <c r="V788" s="1217"/>
      <c r="W788" s="1217"/>
      <c r="X788" s="1217"/>
      <c r="Y788" s="1217"/>
      <c r="Z788" s="1217"/>
      <c r="AA788" s="1217"/>
      <c r="AB788" s="1217"/>
      <c r="AC788" s="1217"/>
      <c r="AD788" s="1217"/>
      <c r="AE788" s="88">
        <f>SUM(S788,T788,U788)</f>
        <v>0</v>
      </c>
      <c r="AF788" s="17">
        <f>SUM(V788,W788,X788)</f>
        <v>0</v>
      </c>
      <c r="AG788" s="17">
        <f>SUM(Y788,Z788,AA788)</f>
        <v>0</v>
      </c>
      <c r="AH788" s="17">
        <f>SUM(AB788,AC788,AD788)</f>
        <v>0</v>
      </c>
      <c r="AI788" s="17">
        <f>AE788+AF788</f>
        <v>0</v>
      </c>
      <c r="AJ788" s="17">
        <f>AH788+AG788</f>
        <v>0</v>
      </c>
      <c r="AK788" s="88">
        <f>AI788+AJ788</f>
        <v>0</v>
      </c>
      <c r="AM788" s="1926">
        <f ca="1">SUM((INDIRECT(AM$2&amp;(ROW())):INDIRECT(AM$3&amp;(ROW()))))</f>
        <v>0</v>
      </c>
      <c r="AN788" s="1925">
        <f ca="1">SUM(INDIRECT(AN$1&amp;AN$2&amp;$C788):INDIRECT(AN$1&amp;AN$3&amp;$C788))</f>
        <v>0</v>
      </c>
      <c r="AO788" s="2902">
        <f t="shared" ca="1" si="1341"/>
        <v>0</v>
      </c>
      <c r="AP788" s="2903">
        <f t="shared" ca="1" si="1342"/>
        <v>0</v>
      </c>
      <c r="AQ788" s="1925">
        <f ca="1">SUM(INDIRECT(AQ$1&amp;AQ$2&amp;$A788):INDIRECT(AQ$1&amp;AQ$3&amp;$A788))+SUM(INDIRECT(AQ$1&amp;AQ$2&amp;$B788):INDIRECT(AQ$1&amp;AQ$3&amp;$B788))</f>
        <v>0</v>
      </c>
      <c r="AR788" s="2902">
        <f t="shared" ca="1" si="1344"/>
        <v>0</v>
      </c>
      <c r="AS788" s="2903">
        <f t="shared" ca="1" si="1345"/>
        <v>0</v>
      </c>
      <c r="AU788" s="1926">
        <f ca="1">SUM((INDIRECT(AU$2&amp;(ROW())):INDIRECT(AU$3&amp;(ROW()))))</f>
        <v>0</v>
      </c>
      <c r="AV788" s="1925">
        <f ca="1">SUM(INDIRECT(AV$1&amp;AV$2&amp;$C788):INDIRECT(AV$1&amp;AV$3&amp;$C788))</f>
        <v>0</v>
      </c>
      <c r="AW788" s="2902">
        <f t="shared" ca="1" si="1346"/>
        <v>0</v>
      </c>
      <c r="AX788" s="2903">
        <f t="shared" ca="1" si="1347"/>
        <v>0</v>
      </c>
      <c r="AY788" s="1925">
        <f ca="1">SUM(INDIRECT(AY$1&amp;AY$2&amp;$A788):INDIRECT(AY$1&amp;AY$3&amp;$A788))+SUM(INDIRECT(AY$1&amp;AY$2&amp;$B788):INDIRECT(AY$1&amp;AY$3&amp;$B788))</f>
        <v>0</v>
      </c>
      <c r="AZ788" s="2902">
        <f t="shared" ca="1" si="1349"/>
        <v>0</v>
      </c>
      <c r="BA788" s="2903">
        <f t="shared" ca="1" si="1350"/>
        <v>0</v>
      </c>
      <c r="BC788" s="1926">
        <f ca="1">SUM((INDIRECT(BC$2&amp;(ROW())):INDIRECT(BC$3&amp;(ROW()))))</f>
        <v>0</v>
      </c>
      <c r="BD788" s="1925">
        <f ca="1">SUM(INDIRECT(BD$1&amp;BD$2&amp;$C788):INDIRECT(BD$1&amp;BD$3&amp;$C788))</f>
        <v>0</v>
      </c>
      <c r="BE788" s="2902">
        <f t="shared" ca="1" si="1351"/>
        <v>0</v>
      </c>
      <c r="BF788" s="2903">
        <f t="shared" ca="1" si="1352"/>
        <v>0</v>
      </c>
      <c r="BG788" s="1925">
        <f ca="1">SUM(INDIRECT(BG$1&amp;BG$2&amp;$A788):INDIRECT(BG$1&amp;BG$3&amp;$A788))+SUM(INDIRECT(BG$1&amp;BG$2&amp;$B788):INDIRECT(BG$1&amp;BG$3&amp;$B788))</f>
        <v>0</v>
      </c>
      <c r="BH788" s="2902">
        <f t="shared" ca="1" si="1354"/>
        <v>0</v>
      </c>
      <c r="BI788" s="2903">
        <f t="shared" ca="1" si="1355"/>
        <v>0</v>
      </c>
    </row>
    <row r="789" spans="1:61" ht="14.5">
      <c r="A789" s="1693">
        <f t="shared" si="1370"/>
        <v>781</v>
      </c>
      <c r="B789" s="616">
        <v>1</v>
      </c>
      <c r="C789" s="1693">
        <f t="shared" si="1369"/>
        <v>789</v>
      </c>
      <c r="D789" s="616">
        <v>1</v>
      </c>
      <c r="F789" s="69"/>
      <c r="H789" s="22"/>
      <c r="J789" s="86"/>
      <c r="K789" s="85"/>
      <c r="L789" s="68"/>
      <c r="M789" s="68"/>
      <c r="N789" s="3" t="s">
        <v>609</v>
      </c>
      <c r="O789" s="284"/>
      <c r="P789" s="284"/>
      <c r="Q789" s="284"/>
      <c r="R789" s="1777" t="str">
        <f>CHOOSE(2, "6722000003700", "S/GP (5) Net Sales Direct ICW-P")</f>
        <v>S/GP (5) Net Sales Direct ICW-P</v>
      </c>
      <c r="S789" s="1249">
        <f>SUM(S790:S793)</f>
        <v>0</v>
      </c>
      <c r="T789" s="1621">
        <f t="shared" ref="T789:AD789" si="1373">SUM(T790:T793)</f>
        <v>0</v>
      </c>
      <c r="U789" s="1249">
        <f t="shared" si="1373"/>
        <v>0</v>
      </c>
      <c r="V789" s="1249">
        <f t="shared" si="1373"/>
        <v>0</v>
      </c>
      <c r="W789" s="1249">
        <f t="shared" si="1373"/>
        <v>0</v>
      </c>
      <c r="X789" s="1249">
        <f t="shared" si="1373"/>
        <v>0</v>
      </c>
      <c r="Y789" s="1249">
        <f t="shared" si="1373"/>
        <v>0</v>
      </c>
      <c r="Z789" s="1249">
        <f t="shared" si="1373"/>
        <v>0</v>
      </c>
      <c r="AA789" s="1249">
        <f t="shared" si="1373"/>
        <v>0</v>
      </c>
      <c r="AB789" s="1249">
        <f t="shared" si="1373"/>
        <v>0</v>
      </c>
      <c r="AC789" s="1249">
        <f t="shared" si="1373"/>
        <v>0</v>
      </c>
      <c r="AD789" s="1249">
        <f t="shared" si="1373"/>
        <v>0</v>
      </c>
      <c r="AE789" s="898">
        <f t="shared" ref="AE789:AK789" si="1374">SUM(AE790:AE793)</f>
        <v>0</v>
      </c>
      <c r="AF789" s="1249">
        <f t="shared" si="1374"/>
        <v>0</v>
      </c>
      <c r="AG789" s="1249">
        <f t="shared" si="1374"/>
        <v>0</v>
      </c>
      <c r="AH789" s="1249">
        <f t="shared" si="1374"/>
        <v>0</v>
      </c>
      <c r="AI789" s="1249">
        <f t="shared" si="1374"/>
        <v>0</v>
      </c>
      <c r="AJ789" s="1249">
        <f t="shared" si="1374"/>
        <v>0</v>
      </c>
      <c r="AK789" s="898">
        <f t="shared" si="1374"/>
        <v>0</v>
      </c>
      <c r="AM789" s="2570">
        <f ca="1">SUM((INDIRECT(AM$2&amp;(ROW())):INDIRECT(AM$3&amp;(ROW()))))</f>
        <v>0</v>
      </c>
      <c r="AN789" s="2591">
        <f ca="1">SUM(INDIRECT(AN$1&amp;AN$2&amp;$C789):INDIRECT(AN$1&amp;AN$3&amp;$C789))</f>
        <v>0</v>
      </c>
      <c r="AO789" s="2898">
        <f t="shared" ca="1" si="1341"/>
        <v>0</v>
      </c>
      <c r="AP789" s="2899">
        <f t="shared" ca="1" si="1342"/>
        <v>0</v>
      </c>
      <c r="AQ789" s="2591">
        <f ca="1">SUM(INDIRECT(AQ$1&amp;AQ$2&amp;$A789):INDIRECT(AQ$1&amp;AQ$3&amp;$A789))+SUM(INDIRECT(AQ$1&amp;AQ$2&amp;$B789):INDIRECT(AQ$1&amp;AQ$3&amp;$B789))</f>
        <v>0</v>
      </c>
      <c r="AR789" s="2898">
        <f t="shared" ca="1" si="1344"/>
        <v>0</v>
      </c>
      <c r="AS789" s="2899">
        <f t="shared" ca="1" si="1345"/>
        <v>0</v>
      </c>
      <c r="AU789" s="2570">
        <f ca="1">SUM((INDIRECT(AU$2&amp;(ROW())):INDIRECT(AU$3&amp;(ROW()))))</f>
        <v>0</v>
      </c>
      <c r="AV789" s="2591">
        <f ca="1">SUM(INDIRECT(AV$1&amp;AV$2&amp;$C789):INDIRECT(AV$1&amp;AV$3&amp;$C789))</f>
        <v>0</v>
      </c>
      <c r="AW789" s="2898">
        <f t="shared" ca="1" si="1346"/>
        <v>0</v>
      </c>
      <c r="AX789" s="2899">
        <f t="shared" ca="1" si="1347"/>
        <v>0</v>
      </c>
      <c r="AY789" s="2591">
        <f ca="1">SUM(INDIRECT(AY$1&amp;AY$2&amp;$A789):INDIRECT(AY$1&amp;AY$3&amp;$A789))+SUM(INDIRECT(AY$1&amp;AY$2&amp;$B789):INDIRECT(AY$1&amp;AY$3&amp;$B789))</f>
        <v>0</v>
      </c>
      <c r="AZ789" s="2898">
        <f t="shared" ca="1" si="1349"/>
        <v>0</v>
      </c>
      <c r="BA789" s="2899">
        <f t="shared" ca="1" si="1350"/>
        <v>0</v>
      </c>
      <c r="BC789" s="2570">
        <f ca="1">SUM((INDIRECT(BC$2&amp;(ROW())):INDIRECT(BC$3&amp;(ROW()))))</f>
        <v>0</v>
      </c>
      <c r="BD789" s="2591">
        <f ca="1">SUM(INDIRECT(BD$1&amp;BD$2&amp;$C789):INDIRECT(BD$1&amp;BD$3&amp;$C789))</f>
        <v>0</v>
      </c>
      <c r="BE789" s="2898">
        <f t="shared" ca="1" si="1351"/>
        <v>0</v>
      </c>
      <c r="BF789" s="2899">
        <f t="shared" ca="1" si="1352"/>
        <v>0</v>
      </c>
      <c r="BG789" s="2591">
        <f ca="1">SUM(INDIRECT(BG$1&amp;BG$2&amp;$A789):INDIRECT(BG$1&amp;BG$3&amp;$A789))+SUM(INDIRECT(BG$1&amp;BG$2&amp;$B789):INDIRECT(BG$1&amp;BG$3&amp;$B789))</f>
        <v>0</v>
      </c>
      <c r="BH789" s="2898">
        <f t="shared" ca="1" si="1354"/>
        <v>0</v>
      </c>
      <c r="BI789" s="2899">
        <f t="shared" ca="1" si="1355"/>
        <v>0</v>
      </c>
    </row>
    <row r="790" spans="1:61" ht="14.5">
      <c r="A790" s="1693">
        <f t="shared" si="1370"/>
        <v>782</v>
      </c>
      <c r="B790" s="616">
        <v>1</v>
      </c>
      <c r="C790" s="1693">
        <f t="shared" si="1369"/>
        <v>790</v>
      </c>
      <c r="D790" s="616">
        <v>1</v>
      </c>
      <c r="F790" s="69"/>
      <c r="H790" s="22"/>
      <c r="J790" s="86"/>
      <c r="K790" s="85"/>
      <c r="L790" s="68"/>
      <c r="M790" s="68"/>
      <c r="O790" s="97" t="s">
        <v>523</v>
      </c>
      <c r="P790" s="97"/>
      <c r="Q790" s="97"/>
      <c r="R790" s="1779" t="str">
        <f>CHOOSE(2, "6722000003701", "S/GP (5) Net Sales Direct ICW-P OSP")</f>
        <v>S/GP (5) Net Sales Direct ICW-P OSP</v>
      </c>
      <c r="S790" s="1227"/>
      <c r="T790" s="1247"/>
      <c r="U790" s="1227"/>
      <c r="V790" s="1227"/>
      <c r="W790" s="1227"/>
      <c r="X790" s="1227"/>
      <c r="Y790" s="1227"/>
      <c r="Z790" s="1227"/>
      <c r="AA790" s="1227"/>
      <c r="AB790" s="1227"/>
      <c r="AC790" s="1227"/>
      <c r="AD790" s="1227"/>
      <c r="AE790" s="295">
        <f>SUM(S790,T790,U790)</f>
        <v>0</v>
      </c>
      <c r="AF790" s="96">
        <f>SUM(V790,W790,X790)</f>
        <v>0</v>
      </c>
      <c r="AG790" s="96">
        <f>SUM(Y790,Z790,AA790)</f>
        <v>0</v>
      </c>
      <c r="AH790" s="96">
        <f>SUM(AB790,AC790,AD790)</f>
        <v>0</v>
      </c>
      <c r="AI790" s="96">
        <f>AE790+AF790</f>
        <v>0</v>
      </c>
      <c r="AJ790" s="96">
        <f>AH790+AG790</f>
        <v>0</v>
      </c>
      <c r="AK790" s="295">
        <f>AI790+AJ790</f>
        <v>0</v>
      </c>
      <c r="AM790" s="2161">
        <f ca="1">SUM((INDIRECT(AM$2&amp;(ROW())):INDIRECT(AM$3&amp;(ROW()))))</f>
        <v>0</v>
      </c>
      <c r="AN790" s="2160">
        <f ca="1">SUM(INDIRECT(AN$1&amp;AN$2&amp;$C790):INDIRECT(AN$1&amp;AN$3&amp;$C790))</f>
        <v>0</v>
      </c>
      <c r="AO790" s="2900">
        <f t="shared" ca="1" si="1341"/>
        <v>0</v>
      </c>
      <c r="AP790" s="2901">
        <f t="shared" ca="1" si="1342"/>
        <v>0</v>
      </c>
      <c r="AQ790" s="2160">
        <f ca="1">SUM(INDIRECT(AQ$1&amp;AQ$2&amp;$A790):INDIRECT(AQ$1&amp;AQ$3&amp;$A790))+SUM(INDIRECT(AQ$1&amp;AQ$2&amp;$B790):INDIRECT(AQ$1&amp;AQ$3&amp;$B790))</f>
        <v>0</v>
      </c>
      <c r="AR790" s="2900">
        <f t="shared" ca="1" si="1344"/>
        <v>0</v>
      </c>
      <c r="AS790" s="2901">
        <f t="shared" ca="1" si="1345"/>
        <v>0</v>
      </c>
      <c r="AU790" s="2161">
        <f ca="1">SUM((INDIRECT(AU$2&amp;(ROW())):INDIRECT(AU$3&amp;(ROW()))))</f>
        <v>0</v>
      </c>
      <c r="AV790" s="2160">
        <f ca="1">SUM(INDIRECT(AV$1&amp;AV$2&amp;$C790):INDIRECT(AV$1&amp;AV$3&amp;$C790))</f>
        <v>0</v>
      </c>
      <c r="AW790" s="2900">
        <f t="shared" ca="1" si="1346"/>
        <v>0</v>
      </c>
      <c r="AX790" s="2901">
        <f t="shared" ca="1" si="1347"/>
        <v>0</v>
      </c>
      <c r="AY790" s="2160">
        <f ca="1">SUM(INDIRECT(AY$1&amp;AY$2&amp;$A790):INDIRECT(AY$1&amp;AY$3&amp;$A790))+SUM(INDIRECT(AY$1&amp;AY$2&amp;$B790):INDIRECT(AY$1&amp;AY$3&amp;$B790))</f>
        <v>0</v>
      </c>
      <c r="AZ790" s="2900">
        <f t="shared" ca="1" si="1349"/>
        <v>0</v>
      </c>
      <c r="BA790" s="2901">
        <f t="shared" ca="1" si="1350"/>
        <v>0</v>
      </c>
      <c r="BC790" s="2161">
        <f ca="1">SUM((INDIRECT(BC$2&amp;(ROW())):INDIRECT(BC$3&amp;(ROW()))))</f>
        <v>0</v>
      </c>
      <c r="BD790" s="2160">
        <f ca="1">SUM(INDIRECT(BD$1&amp;BD$2&amp;$C790):INDIRECT(BD$1&amp;BD$3&amp;$C790))</f>
        <v>0</v>
      </c>
      <c r="BE790" s="2900">
        <f t="shared" ca="1" si="1351"/>
        <v>0</v>
      </c>
      <c r="BF790" s="2901">
        <f t="shared" ca="1" si="1352"/>
        <v>0</v>
      </c>
      <c r="BG790" s="2160">
        <f ca="1">SUM(INDIRECT(BG$1&amp;BG$2&amp;$A790):INDIRECT(BG$1&amp;BG$3&amp;$A790))+SUM(INDIRECT(BG$1&amp;BG$2&amp;$B790):INDIRECT(BG$1&amp;BG$3&amp;$B790))</f>
        <v>0</v>
      </c>
      <c r="BH790" s="2900">
        <f t="shared" ca="1" si="1354"/>
        <v>0</v>
      </c>
      <c r="BI790" s="2901">
        <f t="shared" ca="1" si="1355"/>
        <v>0</v>
      </c>
    </row>
    <row r="791" spans="1:61" ht="14.5">
      <c r="A791" s="1693">
        <f t="shared" si="1370"/>
        <v>783</v>
      </c>
      <c r="B791" s="616">
        <v>1</v>
      </c>
      <c r="C791" s="1693">
        <f t="shared" si="1369"/>
        <v>791</v>
      </c>
      <c r="D791" s="616">
        <v>1</v>
      </c>
      <c r="F791" s="69"/>
      <c r="H791" s="22"/>
      <c r="J791" s="86"/>
      <c r="K791" s="85"/>
      <c r="L791" s="68"/>
      <c r="M791" s="68"/>
      <c r="O791" s="8" t="s">
        <v>524</v>
      </c>
      <c r="R791" s="1779" t="str">
        <f>CHOOSE(2, "6722000003702", "S/GP (5) Net Sales Direct ICW-P RP")</f>
        <v>S/GP (5) Net Sales Direct ICW-P RP</v>
      </c>
      <c r="S791" s="1217"/>
      <c r="T791" s="1224"/>
      <c r="U791" s="1217"/>
      <c r="V791" s="1217"/>
      <c r="W791" s="1217"/>
      <c r="X791" s="1217"/>
      <c r="Y791" s="1217"/>
      <c r="Z791" s="1217"/>
      <c r="AA791" s="1217"/>
      <c r="AB791" s="1217"/>
      <c r="AC791" s="1217"/>
      <c r="AD791" s="1217"/>
      <c r="AE791" s="88">
        <f>SUM(S791,T791,U791)</f>
        <v>0</v>
      </c>
      <c r="AF791" s="17">
        <f>SUM(V791,W791,X791)</f>
        <v>0</v>
      </c>
      <c r="AG791" s="17">
        <f>SUM(Y791,Z791,AA791)</f>
        <v>0</v>
      </c>
      <c r="AH791" s="17">
        <f>SUM(AB791,AC791,AD791)</f>
        <v>0</v>
      </c>
      <c r="AI791" s="17">
        <f>AE791+AF791</f>
        <v>0</v>
      </c>
      <c r="AJ791" s="17">
        <f>AH791+AG791</f>
        <v>0</v>
      </c>
      <c r="AK791" s="88">
        <f>AI791+AJ791</f>
        <v>0</v>
      </c>
      <c r="AM791" s="1926">
        <f ca="1">SUM((INDIRECT(AM$2&amp;(ROW())):INDIRECT(AM$3&amp;(ROW()))))</f>
        <v>0</v>
      </c>
      <c r="AN791" s="1925">
        <f ca="1">SUM(INDIRECT(AN$1&amp;AN$2&amp;$C791):INDIRECT(AN$1&amp;AN$3&amp;$C791))</f>
        <v>0</v>
      </c>
      <c r="AO791" s="2902">
        <f t="shared" ca="1" si="1341"/>
        <v>0</v>
      </c>
      <c r="AP791" s="2903">
        <f t="shared" ca="1" si="1342"/>
        <v>0</v>
      </c>
      <c r="AQ791" s="1925">
        <f ca="1">SUM(INDIRECT(AQ$1&amp;AQ$2&amp;$A791):INDIRECT(AQ$1&amp;AQ$3&amp;$A791))+SUM(INDIRECT(AQ$1&amp;AQ$2&amp;$B791):INDIRECT(AQ$1&amp;AQ$3&amp;$B791))</f>
        <v>0</v>
      </c>
      <c r="AR791" s="2902">
        <f t="shared" ca="1" si="1344"/>
        <v>0</v>
      </c>
      <c r="AS791" s="2903">
        <f t="shared" ca="1" si="1345"/>
        <v>0</v>
      </c>
      <c r="AU791" s="1926">
        <f ca="1">SUM((INDIRECT(AU$2&amp;(ROW())):INDIRECT(AU$3&amp;(ROW()))))</f>
        <v>0</v>
      </c>
      <c r="AV791" s="1925">
        <f ca="1">SUM(INDIRECT(AV$1&amp;AV$2&amp;$C791):INDIRECT(AV$1&amp;AV$3&amp;$C791))</f>
        <v>0</v>
      </c>
      <c r="AW791" s="2902">
        <f t="shared" ca="1" si="1346"/>
        <v>0</v>
      </c>
      <c r="AX791" s="2903">
        <f t="shared" ca="1" si="1347"/>
        <v>0</v>
      </c>
      <c r="AY791" s="1925">
        <f ca="1">SUM(INDIRECT(AY$1&amp;AY$2&amp;$A791):INDIRECT(AY$1&amp;AY$3&amp;$A791))+SUM(INDIRECT(AY$1&amp;AY$2&amp;$B791):INDIRECT(AY$1&amp;AY$3&amp;$B791))</f>
        <v>0</v>
      </c>
      <c r="AZ791" s="2902">
        <f t="shared" ca="1" si="1349"/>
        <v>0</v>
      </c>
      <c r="BA791" s="2903">
        <f t="shared" ca="1" si="1350"/>
        <v>0</v>
      </c>
      <c r="BC791" s="1926">
        <f ca="1">SUM((INDIRECT(BC$2&amp;(ROW())):INDIRECT(BC$3&amp;(ROW()))))</f>
        <v>0</v>
      </c>
      <c r="BD791" s="1925">
        <f ca="1">SUM(INDIRECT(BD$1&amp;BD$2&amp;$C791):INDIRECT(BD$1&amp;BD$3&amp;$C791))</f>
        <v>0</v>
      </c>
      <c r="BE791" s="2902">
        <f t="shared" ca="1" si="1351"/>
        <v>0</v>
      </c>
      <c r="BF791" s="2903">
        <f t="shared" ca="1" si="1352"/>
        <v>0</v>
      </c>
      <c r="BG791" s="1925">
        <f ca="1">SUM(INDIRECT(BG$1&amp;BG$2&amp;$A791):INDIRECT(BG$1&amp;BG$3&amp;$A791))+SUM(INDIRECT(BG$1&amp;BG$2&amp;$B791):INDIRECT(BG$1&amp;BG$3&amp;$B791))</f>
        <v>0</v>
      </c>
      <c r="BH791" s="2902">
        <f t="shared" ca="1" si="1354"/>
        <v>0</v>
      </c>
      <c r="BI791" s="2903">
        <f t="shared" ca="1" si="1355"/>
        <v>0</v>
      </c>
    </row>
    <row r="792" spans="1:61" ht="14.5">
      <c r="A792" s="1693">
        <f t="shared" si="1370"/>
        <v>784</v>
      </c>
      <c r="B792" s="616">
        <v>1</v>
      </c>
      <c r="C792" s="1693">
        <f t="shared" si="1369"/>
        <v>792</v>
      </c>
      <c r="D792" s="616">
        <v>1</v>
      </c>
      <c r="F792" s="69"/>
      <c r="H792" s="22"/>
      <c r="J792" s="86"/>
      <c r="K792" s="85"/>
      <c r="L792" s="68"/>
      <c r="M792" s="68"/>
      <c r="O792" s="8" t="s">
        <v>525</v>
      </c>
      <c r="R792" s="1779" t="str">
        <f>CHOOSE(2, "6722000003703", "S/GP (5) Net Sales Direct ICW-P OSP service")</f>
        <v>S/GP (5) Net Sales Direct ICW-P OSP service</v>
      </c>
      <c r="S792" s="1217"/>
      <c r="T792" s="1224"/>
      <c r="U792" s="1217"/>
      <c r="V792" s="1217"/>
      <c r="W792" s="1217"/>
      <c r="X792" s="1217"/>
      <c r="Y792" s="1217"/>
      <c r="Z792" s="1217"/>
      <c r="AA792" s="1217"/>
      <c r="AB792" s="1217"/>
      <c r="AC792" s="1217"/>
      <c r="AD792" s="1217"/>
      <c r="AE792" s="88">
        <f>SUM(S792,T792,U792)</f>
        <v>0</v>
      </c>
      <c r="AF792" s="17">
        <f>SUM(V792,W792,X792)</f>
        <v>0</v>
      </c>
      <c r="AG792" s="17">
        <f>SUM(Y792,Z792,AA792)</f>
        <v>0</v>
      </c>
      <c r="AH792" s="17">
        <f>SUM(AB792,AC792,AD792)</f>
        <v>0</v>
      </c>
      <c r="AI792" s="17">
        <f>AE792+AF792</f>
        <v>0</v>
      </c>
      <c r="AJ792" s="17">
        <f>AH792+AG792</f>
        <v>0</v>
      </c>
      <c r="AK792" s="88">
        <f>AI792+AJ792</f>
        <v>0</v>
      </c>
      <c r="AM792" s="1926">
        <f ca="1">SUM((INDIRECT(AM$2&amp;(ROW())):INDIRECT(AM$3&amp;(ROW()))))</f>
        <v>0</v>
      </c>
      <c r="AN792" s="1925">
        <f ca="1">SUM(INDIRECT(AN$1&amp;AN$2&amp;$C792):INDIRECT(AN$1&amp;AN$3&amp;$C792))</f>
        <v>0</v>
      </c>
      <c r="AO792" s="2902">
        <f t="shared" ca="1" si="1341"/>
        <v>0</v>
      </c>
      <c r="AP792" s="2903">
        <f t="shared" ca="1" si="1342"/>
        <v>0</v>
      </c>
      <c r="AQ792" s="1925">
        <f ca="1">SUM(INDIRECT(AQ$1&amp;AQ$2&amp;$A792):INDIRECT(AQ$1&amp;AQ$3&amp;$A792))+SUM(INDIRECT(AQ$1&amp;AQ$2&amp;$B792):INDIRECT(AQ$1&amp;AQ$3&amp;$B792))</f>
        <v>0</v>
      </c>
      <c r="AR792" s="2902">
        <f t="shared" ca="1" si="1344"/>
        <v>0</v>
      </c>
      <c r="AS792" s="2903">
        <f t="shared" ca="1" si="1345"/>
        <v>0</v>
      </c>
      <c r="AU792" s="1926">
        <f ca="1">SUM((INDIRECT(AU$2&amp;(ROW())):INDIRECT(AU$3&amp;(ROW()))))</f>
        <v>0</v>
      </c>
      <c r="AV792" s="1925">
        <f ca="1">SUM(INDIRECT(AV$1&amp;AV$2&amp;$C792):INDIRECT(AV$1&amp;AV$3&amp;$C792))</f>
        <v>0</v>
      </c>
      <c r="AW792" s="2902">
        <f t="shared" ca="1" si="1346"/>
        <v>0</v>
      </c>
      <c r="AX792" s="2903">
        <f t="shared" ca="1" si="1347"/>
        <v>0</v>
      </c>
      <c r="AY792" s="1925">
        <f ca="1">SUM(INDIRECT(AY$1&amp;AY$2&amp;$A792):INDIRECT(AY$1&amp;AY$3&amp;$A792))+SUM(INDIRECT(AY$1&amp;AY$2&amp;$B792):INDIRECT(AY$1&amp;AY$3&amp;$B792))</f>
        <v>0</v>
      </c>
      <c r="AZ792" s="2902">
        <f t="shared" ca="1" si="1349"/>
        <v>0</v>
      </c>
      <c r="BA792" s="2903">
        <f t="shared" ca="1" si="1350"/>
        <v>0</v>
      </c>
      <c r="BC792" s="1926">
        <f ca="1">SUM((INDIRECT(BC$2&amp;(ROW())):INDIRECT(BC$3&amp;(ROW()))))</f>
        <v>0</v>
      </c>
      <c r="BD792" s="1925">
        <f ca="1">SUM(INDIRECT(BD$1&amp;BD$2&amp;$C792):INDIRECT(BD$1&amp;BD$3&amp;$C792))</f>
        <v>0</v>
      </c>
      <c r="BE792" s="2902">
        <f t="shared" ca="1" si="1351"/>
        <v>0</v>
      </c>
      <c r="BF792" s="2903">
        <f t="shared" ca="1" si="1352"/>
        <v>0</v>
      </c>
      <c r="BG792" s="1925">
        <f ca="1">SUM(INDIRECT(BG$1&amp;BG$2&amp;$A792):INDIRECT(BG$1&amp;BG$3&amp;$A792))+SUM(INDIRECT(BG$1&amp;BG$2&amp;$B792):INDIRECT(BG$1&amp;BG$3&amp;$B792))</f>
        <v>0</v>
      </c>
      <c r="BH792" s="2902">
        <f t="shared" ca="1" si="1354"/>
        <v>0</v>
      </c>
      <c r="BI792" s="2903">
        <f t="shared" ca="1" si="1355"/>
        <v>0</v>
      </c>
    </row>
    <row r="793" spans="1:61" ht="14.5">
      <c r="A793" s="1693">
        <f t="shared" si="1370"/>
        <v>785</v>
      </c>
      <c r="B793" s="616">
        <v>1</v>
      </c>
      <c r="C793" s="1693">
        <f t="shared" si="1369"/>
        <v>793</v>
      </c>
      <c r="D793" s="616">
        <v>1</v>
      </c>
      <c r="F793" s="69"/>
      <c r="H793" s="22"/>
      <c r="J793" s="86"/>
      <c r="K793" s="85"/>
      <c r="L793" s="67"/>
      <c r="M793" s="67"/>
      <c r="O793" s="8" t="s">
        <v>526</v>
      </c>
      <c r="R793" s="1779" t="str">
        <f>CHOOSE(2, "6722000003704", "S/GP (5) Net Sales Direct ICW-P RP service")</f>
        <v>S/GP (5) Net Sales Direct ICW-P RP service</v>
      </c>
      <c r="S793" s="1217"/>
      <c r="T793" s="1224"/>
      <c r="U793" s="1217"/>
      <c r="V793" s="1217"/>
      <c r="W793" s="1217"/>
      <c r="X793" s="1217"/>
      <c r="Y793" s="1217"/>
      <c r="Z793" s="1217"/>
      <c r="AA793" s="1217"/>
      <c r="AB793" s="1217"/>
      <c r="AC793" s="1217"/>
      <c r="AD793" s="1217"/>
      <c r="AE793" s="88">
        <f>SUM(S793,T793,U793)</f>
        <v>0</v>
      </c>
      <c r="AF793" s="17">
        <f>SUM(V793,W793,X793)</f>
        <v>0</v>
      </c>
      <c r="AG793" s="17">
        <f>SUM(Y793,Z793,AA793)</f>
        <v>0</v>
      </c>
      <c r="AH793" s="17">
        <f>SUM(AB793,AC793,AD793)</f>
        <v>0</v>
      </c>
      <c r="AI793" s="17">
        <f>AE793+AF793</f>
        <v>0</v>
      </c>
      <c r="AJ793" s="17">
        <f>AH793+AG793</f>
        <v>0</v>
      </c>
      <c r="AK793" s="88">
        <f>AI793+AJ793</f>
        <v>0</v>
      </c>
      <c r="AM793" s="1926">
        <f ca="1">SUM((INDIRECT(AM$2&amp;(ROW())):INDIRECT(AM$3&amp;(ROW()))))</f>
        <v>0</v>
      </c>
      <c r="AN793" s="1925">
        <f ca="1">SUM(INDIRECT(AN$1&amp;AN$2&amp;$C793):INDIRECT(AN$1&amp;AN$3&amp;$C793))</f>
        <v>0</v>
      </c>
      <c r="AO793" s="2902">
        <f t="shared" ca="1" si="1341"/>
        <v>0</v>
      </c>
      <c r="AP793" s="2903">
        <f t="shared" ca="1" si="1342"/>
        <v>0</v>
      </c>
      <c r="AQ793" s="1925">
        <f ca="1">SUM(INDIRECT(AQ$1&amp;AQ$2&amp;$A793):INDIRECT(AQ$1&amp;AQ$3&amp;$A793))+SUM(INDIRECT(AQ$1&amp;AQ$2&amp;$B793):INDIRECT(AQ$1&amp;AQ$3&amp;$B793))</f>
        <v>0</v>
      </c>
      <c r="AR793" s="2902">
        <f t="shared" ca="1" si="1344"/>
        <v>0</v>
      </c>
      <c r="AS793" s="2903">
        <f t="shared" ca="1" si="1345"/>
        <v>0</v>
      </c>
      <c r="AU793" s="1926">
        <f ca="1">SUM((INDIRECT(AU$2&amp;(ROW())):INDIRECT(AU$3&amp;(ROW()))))</f>
        <v>0</v>
      </c>
      <c r="AV793" s="1925">
        <f ca="1">SUM(INDIRECT(AV$1&amp;AV$2&amp;$C793):INDIRECT(AV$1&amp;AV$3&amp;$C793))</f>
        <v>0</v>
      </c>
      <c r="AW793" s="2902">
        <f t="shared" ca="1" si="1346"/>
        <v>0</v>
      </c>
      <c r="AX793" s="2903">
        <f t="shared" ca="1" si="1347"/>
        <v>0</v>
      </c>
      <c r="AY793" s="1925">
        <f ca="1">SUM(INDIRECT(AY$1&amp;AY$2&amp;$A793):INDIRECT(AY$1&amp;AY$3&amp;$A793))+SUM(INDIRECT(AY$1&amp;AY$2&amp;$B793):INDIRECT(AY$1&amp;AY$3&amp;$B793))</f>
        <v>0</v>
      </c>
      <c r="AZ793" s="2902">
        <f t="shared" ca="1" si="1349"/>
        <v>0</v>
      </c>
      <c r="BA793" s="2903">
        <f t="shared" ca="1" si="1350"/>
        <v>0</v>
      </c>
      <c r="BC793" s="1926">
        <f ca="1">SUM((INDIRECT(BC$2&amp;(ROW())):INDIRECT(BC$3&amp;(ROW()))))</f>
        <v>0</v>
      </c>
      <c r="BD793" s="1925">
        <f ca="1">SUM(INDIRECT(BD$1&amp;BD$2&amp;$C793):INDIRECT(BD$1&amp;BD$3&amp;$C793))</f>
        <v>0</v>
      </c>
      <c r="BE793" s="2902">
        <f t="shared" ca="1" si="1351"/>
        <v>0</v>
      </c>
      <c r="BF793" s="2903">
        <f t="shared" ca="1" si="1352"/>
        <v>0</v>
      </c>
      <c r="BG793" s="1925">
        <f ca="1">SUM(INDIRECT(BG$1&amp;BG$2&amp;$A793):INDIRECT(BG$1&amp;BG$3&amp;$A793))+SUM(INDIRECT(BG$1&amp;BG$2&amp;$B793):INDIRECT(BG$1&amp;BG$3&amp;$B793))</f>
        <v>0</v>
      </c>
      <c r="BH793" s="2902">
        <f t="shared" ca="1" si="1354"/>
        <v>0</v>
      </c>
      <c r="BI793" s="2903">
        <f t="shared" ca="1" si="1355"/>
        <v>0</v>
      </c>
    </row>
    <row r="794" spans="1:61" ht="14.5">
      <c r="A794" s="1693">
        <f t="shared" si="1370"/>
        <v>786</v>
      </c>
      <c r="B794" s="616">
        <v>1</v>
      </c>
      <c r="C794" s="1695">
        <f t="shared" si="1369"/>
        <v>794</v>
      </c>
      <c r="D794" s="616">
        <v>1</v>
      </c>
      <c r="F794" s="69"/>
      <c r="J794" s="86"/>
      <c r="K794" s="85"/>
      <c r="L794" s="63" t="s">
        <v>129</v>
      </c>
      <c r="M794" s="63"/>
      <c r="N794" s="495"/>
      <c r="O794" s="495"/>
      <c r="P794" s="495"/>
      <c r="Q794" s="495"/>
      <c r="R794" s="1802" t="str">
        <f>CHOOSE(2, "6722000003705", "S/GP (5) Net Sales Indirect")</f>
        <v>S/GP (5) Net Sales Indirect</v>
      </c>
      <c r="S794" s="1253">
        <f t="shared" ref="S794:AD794" si="1375">SUM(S795:S800)</f>
        <v>0</v>
      </c>
      <c r="T794" s="1185">
        <f t="shared" si="1375"/>
        <v>0</v>
      </c>
      <c r="U794" s="1253">
        <f t="shared" si="1375"/>
        <v>0</v>
      </c>
      <c r="V794" s="1253">
        <f t="shared" si="1375"/>
        <v>0</v>
      </c>
      <c r="W794" s="1253">
        <f t="shared" si="1375"/>
        <v>0</v>
      </c>
      <c r="X794" s="1253">
        <f t="shared" si="1375"/>
        <v>0</v>
      </c>
      <c r="Y794" s="1253">
        <f t="shared" si="1375"/>
        <v>0</v>
      </c>
      <c r="Z794" s="1253">
        <f t="shared" si="1375"/>
        <v>0</v>
      </c>
      <c r="AA794" s="1253">
        <f t="shared" si="1375"/>
        <v>0</v>
      </c>
      <c r="AB794" s="1253">
        <f t="shared" si="1375"/>
        <v>2152</v>
      </c>
      <c r="AC794" s="1253">
        <f t="shared" si="1375"/>
        <v>3117.1</v>
      </c>
      <c r="AD794" s="1253">
        <f t="shared" si="1375"/>
        <v>2364.61</v>
      </c>
      <c r="AE794" s="496">
        <f t="shared" ref="AE794:AK794" si="1376">SUM(AE795:AE800)</f>
        <v>0</v>
      </c>
      <c r="AF794" s="304">
        <f t="shared" si="1376"/>
        <v>0</v>
      </c>
      <c r="AG794" s="304">
        <f t="shared" si="1376"/>
        <v>0</v>
      </c>
      <c r="AH794" s="304">
        <f t="shared" si="1376"/>
        <v>7633.7100000000009</v>
      </c>
      <c r="AI794" s="304">
        <f t="shared" si="1376"/>
        <v>0</v>
      </c>
      <c r="AJ794" s="304">
        <f t="shared" si="1376"/>
        <v>7633.7100000000009</v>
      </c>
      <c r="AK794" s="496">
        <f t="shared" si="1376"/>
        <v>7633.7100000000009</v>
      </c>
      <c r="AM794" s="2203">
        <f ca="1">SUM((INDIRECT(AM$2&amp;(ROW())):INDIRECT(AM$3&amp;(ROW()))))</f>
        <v>0</v>
      </c>
      <c r="AN794" s="2205">
        <f ca="1">SUM(INDIRECT(AN$1&amp;AN$2&amp;$C794):INDIRECT(AN$1&amp;AN$3&amp;$C794))</f>
        <v>0</v>
      </c>
      <c r="AO794" s="2926">
        <f t="shared" ca="1" si="1341"/>
        <v>0</v>
      </c>
      <c r="AP794" s="2927">
        <f t="shared" ca="1" si="1342"/>
        <v>0</v>
      </c>
      <c r="AQ794" s="2928">
        <f t="shared" ref="AQ794" ca="1" si="1377">SUM(AQ795:AQ800)</f>
        <v>0</v>
      </c>
      <c r="AR794" s="2926">
        <f t="shared" ca="1" si="1344"/>
        <v>0</v>
      </c>
      <c r="AS794" s="2927">
        <f t="shared" ca="1" si="1345"/>
        <v>0</v>
      </c>
      <c r="AU794" s="2203">
        <f ca="1">SUM((INDIRECT(AU$2&amp;(ROW())):INDIRECT(AU$3&amp;(ROW()))))</f>
        <v>0</v>
      </c>
      <c r="AV794" s="2205">
        <f ca="1">SUM(INDIRECT(AV$1&amp;AV$2&amp;$C794):INDIRECT(AV$1&amp;AV$3&amp;$C794))</f>
        <v>0</v>
      </c>
      <c r="AW794" s="2926">
        <f t="shared" ca="1" si="1346"/>
        <v>0</v>
      </c>
      <c r="AX794" s="2927">
        <f t="shared" ca="1" si="1347"/>
        <v>0</v>
      </c>
      <c r="AY794" s="2928">
        <f t="shared" ref="AY794" ca="1" si="1378">SUM(AY795:AY800)</f>
        <v>0</v>
      </c>
      <c r="AZ794" s="2926">
        <f t="shared" ca="1" si="1349"/>
        <v>0</v>
      </c>
      <c r="BA794" s="2927">
        <f t="shared" ca="1" si="1350"/>
        <v>0</v>
      </c>
      <c r="BC794" s="2203">
        <f ca="1">SUM((INDIRECT(BC$2&amp;(ROW())):INDIRECT(BC$3&amp;(ROW()))))</f>
        <v>0</v>
      </c>
      <c r="BD794" s="2205">
        <f ca="1">SUM(INDIRECT(BD$1&amp;BD$2&amp;$C794):INDIRECT(BD$1&amp;BD$3&amp;$C794))</f>
        <v>0</v>
      </c>
      <c r="BE794" s="2926">
        <f t="shared" ca="1" si="1351"/>
        <v>0</v>
      </c>
      <c r="BF794" s="2927">
        <f t="shared" ca="1" si="1352"/>
        <v>0</v>
      </c>
      <c r="BG794" s="2928">
        <f t="shared" ref="BG794" ca="1" si="1379">SUM(BG795:BG800)</f>
        <v>0</v>
      </c>
      <c r="BH794" s="2926">
        <f t="shared" ca="1" si="1354"/>
        <v>0</v>
      </c>
      <c r="BI794" s="2927">
        <f t="shared" ca="1" si="1355"/>
        <v>0</v>
      </c>
    </row>
    <row r="795" spans="1:61" ht="14.5">
      <c r="A795" s="1693">
        <f t="shared" si="1370"/>
        <v>787</v>
      </c>
      <c r="B795" s="616">
        <v>1</v>
      </c>
      <c r="C795" s="1693">
        <f t="shared" si="1369"/>
        <v>795</v>
      </c>
      <c r="D795" s="616">
        <v>1</v>
      </c>
      <c r="F795" s="69"/>
      <c r="H795" s="737"/>
      <c r="J795" s="86"/>
      <c r="K795" s="85"/>
      <c r="L795" s="63"/>
      <c r="M795" s="63"/>
      <c r="N795" s="3" t="s">
        <v>418</v>
      </c>
      <c r="R795" s="1779" t="str">
        <f>CHOOSE(2, "6722000003706", "S/GP (5) Net Sales Indirect IMS")</f>
        <v>S/GP (5) Net Sales Indirect IMS</v>
      </c>
      <c r="S795" s="1217"/>
      <c r="T795" s="1224"/>
      <c r="U795" s="1217"/>
      <c r="V795" s="1217"/>
      <c r="W795" s="1217"/>
      <c r="X795" s="1217"/>
      <c r="Y795" s="1217"/>
      <c r="Z795" s="1217"/>
      <c r="AA795" s="1217"/>
      <c r="AB795" s="1217">
        <v>2152</v>
      </c>
      <c r="AC795" s="1217">
        <v>3117.1</v>
      </c>
      <c r="AD795" s="1217">
        <v>2364.61</v>
      </c>
      <c r="AE795" s="88">
        <f t="shared" ref="AE795:AE800" si="1380">SUM(S795,T795,U795)</f>
        <v>0</v>
      </c>
      <c r="AF795" s="17">
        <f t="shared" ref="AF795:AF800" si="1381">SUM(V795,W795,X795)</f>
        <v>0</v>
      </c>
      <c r="AG795" s="17">
        <f t="shared" ref="AG795:AG800" si="1382">SUM(Y795,Z795,AA795)</f>
        <v>0</v>
      </c>
      <c r="AH795" s="17">
        <f t="shared" ref="AH795:AH800" si="1383">SUM(AB795,AC795,AD795)</f>
        <v>7633.7100000000009</v>
      </c>
      <c r="AI795" s="17">
        <f t="shared" ref="AI795:AI800" si="1384">AE795+AF795</f>
        <v>0</v>
      </c>
      <c r="AJ795" s="17">
        <f t="shared" ref="AJ795:AJ800" si="1385">AH795+AG795</f>
        <v>7633.7100000000009</v>
      </c>
      <c r="AK795" s="88">
        <f t="shared" ref="AK795:AK800" si="1386">AI795+AJ795</f>
        <v>7633.7100000000009</v>
      </c>
      <c r="AM795" s="1926">
        <f ca="1">SUM((INDIRECT(AM$2&amp;(ROW())):INDIRECT(AM$3&amp;(ROW()))))</f>
        <v>0</v>
      </c>
      <c r="AN795" s="1925">
        <f ca="1">SUM(INDIRECT(AN$1&amp;AN$2&amp;$C795):INDIRECT(AN$1&amp;AN$3&amp;$C795))</f>
        <v>0</v>
      </c>
      <c r="AO795" s="2902">
        <f t="shared" ca="1" si="1341"/>
        <v>0</v>
      </c>
      <c r="AP795" s="2903">
        <f t="shared" ca="1" si="1342"/>
        <v>0</v>
      </c>
      <c r="AQ795" s="1925">
        <f ca="1">SUM(INDIRECT(AQ$1&amp;AQ$2&amp;$A795):INDIRECT(AQ$1&amp;AQ$3&amp;$A795))+SUM(INDIRECT(AQ$1&amp;AQ$2&amp;$B795):INDIRECT(AQ$1&amp;AQ$3&amp;$B795))</f>
        <v>0</v>
      </c>
      <c r="AR795" s="2902">
        <f t="shared" ca="1" si="1344"/>
        <v>0</v>
      </c>
      <c r="AS795" s="2903">
        <f t="shared" ca="1" si="1345"/>
        <v>0</v>
      </c>
      <c r="AU795" s="1926">
        <f ca="1">SUM((INDIRECT(AU$2&amp;(ROW())):INDIRECT(AU$3&amp;(ROW()))))</f>
        <v>0</v>
      </c>
      <c r="AV795" s="1925">
        <f ca="1">SUM(INDIRECT(AV$1&amp;AV$2&amp;$C795):INDIRECT(AV$1&amp;AV$3&amp;$C795))</f>
        <v>0</v>
      </c>
      <c r="AW795" s="2902">
        <f t="shared" ca="1" si="1346"/>
        <v>0</v>
      </c>
      <c r="AX795" s="2903">
        <f t="shared" ca="1" si="1347"/>
        <v>0</v>
      </c>
      <c r="AY795" s="1925">
        <f ca="1">SUM(INDIRECT(AY$1&amp;AY$2&amp;$A795):INDIRECT(AY$1&amp;AY$3&amp;$A795))+SUM(INDIRECT(AY$1&amp;AY$2&amp;$B795):INDIRECT(AY$1&amp;AY$3&amp;$B795))</f>
        <v>0</v>
      </c>
      <c r="AZ795" s="2902">
        <f t="shared" ca="1" si="1349"/>
        <v>0</v>
      </c>
      <c r="BA795" s="2903">
        <f t="shared" ca="1" si="1350"/>
        <v>0</v>
      </c>
      <c r="BC795" s="1926">
        <f ca="1">SUM((INDIRECT(BC$2&amp;(ROW())):INDIRECT(BC$3&amp;(ROW()))))</f>
        <v>0</v>
      </c>
      <c r="BD795" s="1925">
        <f ca="1">SUM(INDIRECT(BD$1&amp;BD$2&amp;$C795):INDIRECT(BD$1&amp;BD$3&amp;$C795))</f>
        <v>0</v>
      </c>
      <c r="BE795" s="2902">
        <f t="shared" ca="1" si="1351"/>
        <v>0</v>
      </c>
      <c r="BF795" s="2903">
        <f t="shared" ca="1" si="1352"/>
        <v>0</v>
      </c>
      <c r="BG795" s="1925">
        <f ca="1">SUM(INDIRECT(BG$1&amp;BG$2&amp;$A795):INDIRECT(BG$1&amp;BG$3&amp;$A795))+SUM(INDIRECT(BG$1&amp;BG$2&amp;$B795):INDIRECT(BG$1&amp;BG$3&amp;$B795))</f>
        <v>0</v>
      </c>
      <c r="BH795" s="2902">
        <f t="shared" ca="1" si="1354"/>
        <v>0</v>
      </c>
      <c r="BI795" s="2903">
        <f t="shared" ca="1" si="1355"/>
        <v>0</v>
      </c>
    </row>
    <row r="796" spans="1:61" ht="14.5">
      <c r="A796" s="1693">
        <f t="shared" si="1370"/>
        <v>788</v>
      </c>
      <c r="B796" s="616">
        <v>1</v>
      </c>
      <c r="C796" s="1693">
        <f t="shared" si="1369"/>
        <v>796</v>
      </c>
      <c r="D796" s="616">
        <v>653</v>
      </c>
      <c r="F796" s="69"/>
      <c r="H796" s="22"/>
      <c r="J796" s="86"/>
      <c r="K796" s="85"/>
      <c r="L796" s="63"/>
      <c r="M796" s="63"/>
      <c r="N796" s="3" t="s">
        <v>608</v>
      </c>
      <c r="R796" s="1779" t="str">
        <f>CHOOSE(2, "6722000003707", "S/GP (5) Net Sales Indirect ICW-IT")</f>
        <v>S/GP (5) Net Sales Indirect ICW-IT</v>
      </c>
      <c r="S796" s="1217"/>
      <c r="T796" s="1224"/>
      <c r="U796" s="1217"/>
      <c r="V796" s="1217"/>
      <c r="W796" s="1217"/>
      <c r="X796" s="1217"/>
      <c r="Y796" s="1217"/>
      <c r="Z796" s="1217"/>
      <c r="AA796" s="1217"/>
      <c r="AB796" s="1217"/>
      <c r="AC796" s="1217"/>
      <c r="AD796" s="1217"/>
      <c r="AE796" s="88">
        <f t="shared" si="1380"/>
        <v>0</v>
      </c>
      <c r="AF796" s="17">
        <f t="shared" si="1381"/>
        <v>0</v>
      </c>
      <c r="AG796" s="17">
        <f t="shared" si="1382"/>
        <v>0</v>
      </c>
      <c r="AH796" s="17">
        <f t="shared" si="1383"/>
        <v>0</v>
      </c>
      <c r="AI796" s="17">
        <f t="shared" si="1384"/>
        <v>0</v>
      </c>
      <c r="AJ796" s="17">
        <f t="shared" si="1385"/>
        <v>0</v>
      </c>
      <c r="AK796" s="88">
        <f t="shared" si="1386"/>
        <v>0</v>
      </c>
      <c r="AM796" s="1926">
        <f ca="1">SUM((INDIRECT(AM$2&amp;(ROW())):INDIRECT(AM$3&amp;(ROW()))))</f>
        <v>0</v>
      </c>
      <c r="AN796" s="1925">
        <f ca="1">SUM(INDIRECT(AN$1&amp;AN$2&amp;$C796):INDIRECT(AN$1&amp;AN$3&amp;$C796))</f>
        <v>0</v>
      </c>
      <c r="AO796" s="2902">
        <f t="shared" ca="1" si="1341"/>
        <v>0</v>
      </c>
      <c r="AP796" s="2903">
        <f t="shared" ca="1" si="1342"/>
        <v>0</v>
      </c>
      <c r="AQ796" s="1925">
        <f ca="1">SUM(INDIRECT(AQ$1&amp;AQ$2&amp;$A796):INDIRECT(AQ$1&amp;AQ$3&amp;$A796))+SUM(INDIRECT(AQ$1&amp;AQ$2&amp;$B796):INDIRECT(AQ$1&amp;AQ$3&amp;$B796))</f>
        <v>0</v>
      </c>
      <c r="AR796" s="2902">
        <f t="shared" ca="1" si="1344"/>
        <v>0</v>
      </c>
      <c r="AS796" s="2903">
        <f t="shared" ca="1" si="1345"/>
        <v>0</v>
      </c>
      <c r="AU796" s="1926">
        <f ca="1">SUM((INDIRECT(AU$2&amp;(ROW())):INDIRECT(AU$3&amp;(ROW()))))</f>
        <v>0</v>
      </c>
      <c r="AV796" s="1925">
        <f ca="1">SUM(INDIRECT(AV$1&amp;AV$2&amp;$C796):INDIRECT(AV$1&amp;AV$3&amp;$C796))</f>
        <v>0</v>
      </c>
      <c r="AW796" s="2902">
        <f t="shared" ca="1" si="1346"/>
        <v>0</v>
      </c>
      <c r="AX796" s="2903">
        <f t="shared" ca="1" si="1347"/>
        <v>0</v>
      </c>
      <c r="AY796" s="1925">
        <f ca="1">SUM(INDIRECT(AY$1&amp;AY$2&amp;$A796):INDIRECT(AY$1&amp;AY$3&amp;$A796))+SUM(INDIRECT(AY$1&amp;AY$2&amp;$B796):INDIRECT(AY$1&amp;AY$3&amp;$B796))</f>
        <v>0</v>
      </c>
      <c r="AZ796" s="2902">
        <f t="shared" ca="1" si="1349"/>
        <v>0</v>
      </c>
      <c r="BA796" s="2903">
        <f t="shared" ca="1" si="1350"/>
        <v>0</v>
      </c>
      <c r="BC796" s="1926">
        <f ca="1">SUM((INDIRECT(BC$2&amp;(ROW())):INDIRECT(BC$3&amp;(ROW()))))</f>
        <v>0</v>
      </c>
      <c r="BD796" s="1925">
        <f ca="1">SUM(INDIRECT(BD$1&amp;BD$2&amp;$C796):INDIRECT(BD$1&amp;BD$3&amp;$C796))</f>
        <v>0</v>
      </c>
      <c r="BE796" s="2902">
        <f t="shared" ca="1" si="1351"/>
        <v>0</v>
      </c>
      <c r="BF796" s="2903">
        <f t="shared" ca="1" si="1352"/>
        <v>0</v>
      </c>
      <c r="BG796" s="1925">
        <f ca="1">SUM(INDIRECT(BG$1&amp;BG$2&amp;$A796):INDIRECT(BG$1&amp;BG$3&amp;$A796))+SUM(INDIRECT(BG$1&amp;BG$2&amp;$B796):INDIRECT(BG$1&amp;BG$3&amp;$B796))</f>
        <v>0</v>
      </c>
      <c r="BH796" s="2902">
        <f t="shared" ca="1" si="1354"/>
        <v>0</v>
      </c>
      <c r="BI796" s="2903">
        <f t="shared" ca="1" si="1355"/>
        <v>0</v>
      </c>
    </row>
    <row r="797" spans="1:61" ht="14.5">
      <c r="A797" s="1693">
        <f t="shared" si="1370"/>
        <v>789</v>
      </c>
      <c r="B797" s="616">
        <v>1</v>
      </c>
      <c r="C797" s="1693">
        <f t="shared" si="1369"/>
        <v>797</v>
      </c>
      <c r="D797" s="616">
        <v>1</v>
      </c>
      <c r="F797" s="69"/>
      <c r="H797" s="22"/>
      <c r="J797" s="86"/>
      <c r="K797" s="85"/>
      <c r="L797" s="63"/>
      <c r="M797" s="63"/>
      <c r="N797" s="3" t="s">
        <v>419</v>
      </c>
      <c r="R797" s="1779" t="str">
        <f>CHOOSE(2, "6722000003708", "S/GP (5) Net Sales Indirect MCS")</f>
        <v>S/GP (5) Net Sales Indirect MCS</v>
      </c>
      <c r="S797" s="1217"/>
      <c r="T797" s="1224"/>
      <c r="U797" s="1217"/>
      <c r="V797" s="1217"/>
      <c r="W797" s="1217"/>
      <c r="X797" s="1217"/>
      <c r="Y797" s="1217"/>
      <c r="Z797" s="1217"/>
      <c r="AA797" s="1217"/>
      <c r="AB797" s="1217"/>
      <c r="AC797" s="1217"/>
      <c r="AD797" s="1217"/>
      <c r="AE797" s="88">
        <f t="shared" si="1380"/>
        <v>0</v>
      </c>
      <c r="AF797" s="17">
        <f>SUM(V797,W797,X797)</f>
        <v>0</v>
      </c>
      <c r="AG797" s="17">
        <f>SUM(Y797,Z797,AA797)</f>
        <v>0</v>
      </c>
      <c r="AH797" s="17">
        <f>SUM(AB797,AC797,AD797)</f>
        <v>0</v>
      </c>
      <c r="AI797" s="17">
        <f t="shared" si="1384"/>
        <v>0</v>
      </c>
      <c r="AJ797" s="17">
        <f t="shared" si="1385"/>
        <v>0</v>
      </c>
      <c r="AK797" s="88">
        <f t="shared" si="1386"/>
        <v>0</v>
      </c>
      <c r="AM797" s="1926">
        <f ca="1">SUM((INDIRECT(AM$2&amp;(ROW())):INDIRECT(AM$3&amp;(ROW()))))</f>
        <v>0</v>
      </c>
      <c r="AN797" s="1925">
        <f ca="1">SUM(INDIRECT(AN$1&amp;AN$2&amp;$C797):INDIRECT(AN$1&amp;AN$3&amp;$C797))</f>
        <v>0</v>
      </c>
      <c r="AO797" s="2902">
        <f t="shared" ca="1" si="1341"/>
        <v>0</v>
      </c>
      <c r="AP797" s="2903">
        <f t="shared" ca="1" si="1342"/>
        <v>0</v>
      </c>
      <c r="AQ797" s="1925">
        <f ca="1">SUM(INDIRECT(AQ$1&amp;AQ$2&amp;$A797):INDIRECT(AQ$1&amp;AQ$3&amp;$A797))+SUM(INDIRECT(AQ$1&amp;AQ$2&amp;$B797):INDIRECT(AQ$1&amp;AQ$3&amp;$B797))</f>
        <v>0</v>
      </c>
      <c r="AR797" s="2902">
        <f t="shared" ca="1" si="1344"/>
        <v>0</v>
      </c>
      <c r="AS797" s="2903">
        <f t="shared" ca="1" si="1345"/>
        <v>0</v>
      </c>
      <c r="AU797" s="1926">
        <f ca="1">SUM((INDIRECT(AU$2&amp;(ROW())):INDIRECT(AU$3&amp;(ROW()))))</f>
        <v>0</v>
      </c>
      <c r="AV797" s="1925">
        <f ca="1">SUM(INDIRECT(AV$1&amp;AV$2&amp;$C797):INDIRECT(AV$1&amp;AV$3&amp;$C797))</f>
        <v>0</v>
      </c>
      <c r="AW797" s="2902">
        <f t="shared" ca="1" si="1346"/>
        <v>0</v>
      </c>
      <c r="AX797" s="2903">
        <f t="shared" ca="1" si="1347"/>
        <v>0</v>
      </c>
      <c r="AY797" s="1925">
        <f ca="1">SUM(INDIRECT(AY$1&amp;AY$2&amp;$A797):INDIRECT(AY$1&amp;AY$3&amp;$A797))+SUM(INDIRECT(AY$1&amp;AY$2&amp;$B797):INDIRECT(AY$1&amp;AY$3&amp;$B797))</f>
        <v>0</v>
      </c>
      <c r="AZ797" s="2902">
        <f t="shared" ca="1" si="1349"/>
        <v>0</v>
      </c>
      <c r="BA797" s="2903">
        <f t="shared" ca="1" si="1350"/>
        <v>0</v>
      </c>
      <c r="BC797" s="1926">
        <f ca="1">SUM((INDIRECT(BC$2&amp;(ROW())):INDIRECT(BC$3&amp;(ROW()))))</f>
        <v>0</v>
      </c>
      <c r="BD797" s="1925">
        <f ca="1">SUM(INDIRECT(BD$1&amp;BD$2&amp;$C797):INDIRECT(BD$1&amp;BD$3&amp;$C797))</f>
        <v>0</v>
      </c>
      <c r="BE797" s="2902">
        <f t="shared" ca="1" si="1351"/>
        <v>0</v>
      </c>
      <c r="BF797" s="2903">
        <f t="shared" ca="1" si="1352"/>
        <v>0</v>
      </c>
      <c r="BG797" s="1925">
        <f ca="1">SUM(INDIRECT(BG$1&amp;BG$2&amp;$A797):INDIRECT(BG$1&amp;BG$3&amp;$A797))+SUM(INDIRECT(BG$1&amp;BG$2&amp;$B797):INDIRECT(BG$1&amp;BG$3&amp;$B797))</f>
        <v>0</v>
      </c>
      <c r="BH797" s="2902">
        <f t="shared" ca="1" si="1354"/>
        <v>0</v>
      </c>
      <c r="BI797" s="2903">
        <f t="shared" ca="1" si="1355"/>
        <v>0</v>
      </c>
    </row>
    <row r="798" spans="1:61" ht="14.5">
      <c r="A798" s="1693">
        <f t="shared" si="1370"/>
        <v>790</v>
      </c>
      <c r="B798" s="616">
        <v>1</v>
      </c>
      <c r="C798" s="1693">
        <f t="shared" si="1369"/>
        <v>798</v>
      </c>
      <c r="D798" s="616">
        <v>1</v>
      </c>
      <c r="F798" s="69"/>
      <c r="H798" s="22"/>
      <c r="J798" s="86"/>
      <c r="K798" s="85"/>
      <c r="L798" s="63"/>
      <c r="M798" s="63"/>
      <c r="N798" s="3" t="s">
        <v>603</v>
      </c>
      <c r="R798" s="1779" t="str">
        <f>CHOOSE(2, "6722000003709", "S/GP (5) Net Sales Indirect BPS")</f>
        <v>S/GP (5) Net Sales Indirect BPS</v>
      </c>
      <c r="S798" s="1217"/>
      <c r="T798" s="1224"/>
      <c r="U798" s="1217"/>
      <c r="V798" s="1217"/>
      <c r="W798" s="1217"/>
      <c r="X798" s="1217"/>
      <c r="Y798" s="1217"/>
      <c r="Z798" s="1217"/>
      <c r="AA798" s="1217"/>
      <c r="AB798" s="1217"/>
      <c r="AC798" s="1217"/>
      <c r="AD798" s="1217"/>
      <c r="AE798" s="88">
        <f t="shared" si="1380"/>
        <v>0</v>
      </c>
      <c r="AF798" s="17">
        <f>SUM(V798,W798,X798)</f>
        <v>0</v>
      </c>
      <c r="AG798" s="17">
        <f>SUM(Y798,Z798,AA798)</f>
        <v>0</v>
      </c>
      <c r="AH798" s="17">
        <f>SUM(AB798,AC798,AD798)</f>
        <v>0</v>
      </c>
      <c r="AI798" s="17">
        <f t="shared" si="1384"/>
        <v>0</v>
      </c>
      <c r="AJ798" s="17">
        <f t="shared" si="1385"/>
        <v>0</v>
      </c>
      <c r="AK798" s="88">
        <f t="shared" si="1386"/>
        <v>0</v>
      </c>
      <c r="AM798" s="1926">
        <f ca="1">SUM((INDIRECT(AM$2&amp;(ROW())):INDIRECT(AM$3&amp;(ROW()))))</f>
        <v>0</v>
      </c>
      <c r="AN798" s="1925">
        <f ca="1">SUM(INDIRECT(AN$1&amp;AN$2&amp;$C798):INDIRECT(AN$1&amp;AN$3&amp;$C798))</f>
        <v>0</v>
      </c>
      <c r="AO798" s="2902">
        <f t="shared" ca="1" si="1341"/>
        <v>0</v>
      </c>
      <c r="AP798" s="2903">
        <f t="shared" ca="1" si="1342"/>
        <v>0</v>
      </c>
      <c r="AQ798" s="1925">
        <f ca="1">SUM(INDIRECT(AQ$1&amp;AQ$2&amp;$A798):INDIRECT(AQ$1&amp;AQ$3&amp;$A798))+SUM(INDIRECT(AQ$1&amp;AQ$2&amp;$B798):INDIRECT(AQ$1&amp;AQ$3&amp;$B798))</f>
        <v>0</v>
      </c>
      <c r="AR798" s="2902">
        <f t="shared" ca="1" si="1344"/>
        <v>0</v>
      </c>
      <c r="AS798" s="2903">
        <f t="shared" ca="1" si="1345"/>
        <v>0</v>
      </c>
      <c r="AU798" s="1926">
        <f ca="1">SUM((INDIRECT(AU$2&amp;(ROW())):INDIRECT(AU$3&amp;(ROW()))))</f>
        <v>0</v>
      </c>
      <c r="AV798" s="1925">
        <f ca="1">SUM(INDIRECT(AV$1&amp;AV$2&amp;$C798):INDIRECT(AV$1&amp;AV$3&amp;$C798))</f>
        <v>0</v>
      </c>
      <c r="AW798" s="2902">
        <f t="shared" ca="1" si="1346"/>
        <v>0</v>
      </c>
      <c r="AX798" s="2903">
        <f t="shared" ca="1" si="1347"/>
        <v>0</v>
      </c>
      <c r="AY798" s="1925">
        <f ca="1">SUM(INDIRECT(AY$1&amp;AY$2&amp;$A798):INDIRECT(AY$1&amp;AY$3&amp;$A798))+SUM(INDIRECT(AY$1&amp;AY$2&amp;$B798):INDIRECT(AY$1&amp;AY$3&amp;$B798))</f>
        <v>0</v>
      </c>
      <c r="AZ798" s="2902">
        <f t="shared" ca="1" si="1349"/>
        <v>0</v>
      </c>
      <c r="BA798" s="2903">
        <f t="shared" ca="1" si="1350"/>
        <v>0</v>
      </c>
      <c r="BC798" s="1926">
        <f ca="1">SUM((INDIRECT(BC$2&amp;(ROW())):INDIRECT(BC$3&amp;(ROW()))))</f>
        <v>0</v>
      </c>
      <c r="BD798" s="1925">
        <f ca="1">SUM(INDIRECT(BD$1&amp;BD$2&amp;$C798):INDIRECT(BD$1&amp;BD$3&amp;$C798))</f>
        <v>0</v>
      </c>
      <c r="BE798" s="2902">
        <f t="shared" ca="1" si="1351"/>
        <v>0</v>
      </c>
      <c r="BF798" s="2903">
        <f t="shared" ca="1" si="1352"/>
        <v>0</v>
      </c>
      <c r="BG798" s="1925">
        <f ca="1">SUM(INDIRECT(BG$1&amp;BG$2&amp;$A798):INDIRECT(BG$1&amp;BG$3&amp;$A798))+SUM(INDIRECT(BG$1&amp;BG$2&amp;$B798):INDIRECT(BG$1&amp;BG$3&amp;$B798))</f>
        <v>0</v>
      </c>
      <c r="BH798" s="2902">
        <f t="shared" ca="1" si="1354"/>
        <v>0</v>
      </c>
      <c r="BI798" s="2903">
        <f t="shared" ca="1" si="1355"/>
        <v>0</v>
      </c>
    </row>
    <row r="799" spans="1:61" ht="14.5">
      <c r="A799" s="1693">
        <f t="shared" si="1370"/>
        <v>791</v>
      </c>
      <c r="B799" s="616">
        <v>1</v>
      </c>
      <c r="C799" s="1693">
        <f t="shared" si="1369"/>
        <v>799</v>
      </c>
      <c r="D799" s="616">
        <v>654</v>
      </c>
      <c r="F799" s="69"/>
      <c r="H799" s="22"/>
      <c r="J799" s="86"/>
      <c r="K799" s="85"/>
      <c r="L799" s="63"/>
      <c r="M799" s="63"/>
      <c r="N799" s="3" t="s">
        <v>669</v>
      </c>
      <c r="R799" s="1779" t="str">
        <f>CHOOSE(2, "6722000003710", "S/GP (5) Net Sales Indirect ICW-WK")</f>
        <v>S/GP (5) Net Sales Indirect ICW-WK</v>
      </c>
      <c r="S799" s="1217"/>
      <c r="T799" s="1224"/>
      <c r="U799" s="1217"/>
      <c r="V799" s="1217"/>
      <c r="W799" s="1217"/>
      <c r="X799" s="1217"/>
      <c r="Y799" s="1217"/>
      <c r="Z799" s="1217"/>
      <c r="AA799" s="1217"/>
      <c r="AB799" s="1217"/>
      <c r="AC799" s="1217"/>
      <c r="AD799" s="1217"/>
      <c r="AE799" s="88">
        <f t="shared" si="1380"/>
        <v>0</v>
      </c>
      <c r="AF799" s="17">
        <f t="shared" si="1381"/>
        <v>0</v>
      </c>
      <c r="AG799" s="17">
        <f t="shared" si="1382"/>
        <v>0</v>
      </c>
      <c r="AH799" s="17">
        <f t="shared" si="1383"/>
        <v>0</v>
      </c>
      <c r="AI799" s="17">
        <f t="shared" si="1384"/>
        <v>0</v>
      </c>
      <c r="AJ799" s="17">
        <f t="shared" si="1385"/>
        <v>0</v>
      </c>
      <c r="AK799" s="88">
        <f t="shared" si="1386"/>
        <v>0</v>
      </c>
      <c r="AM799" s="1926">
        <f ca="1">SUM((INDIRECT(AM$2&amp;(ROW())):INDIRECT(AM$3&amp;(ROW()))))</f>
        <v>0</v>
      </c>
      <c r="AN799" s="1925">
        <f ca="1">SUM(INDIRECT(AN$1&amp;AN$2&amp;$C799):INDIRECT(AN$1&amp;AN$3&amp;$C799))</f>
        <v>0</v>
      </c>
      <c r="AO799" s="2902">
        <f t="shared" ca="1" si="1341"/>
        <v>0</v>
      </c>
      <c r="AP799" s="2903">
        <f t="shared" ca="1" si="1342"/>
        <v>0</v>
      </c>
      <c r="AQ799" s="1925">
        <f ca="1">SUM(INDIRECT(AQ$1&amp;AQ$2&amp;$A799):INDIRECT(AQ$1&amp;AQ$3&amp;$A799))+SUM(INDIRECT(AQ$1&amp;AQ$2&amp;$B799):INDIRECT(AQ$1&amp;AQ$3&amp;$B799))</f>
        <v>0</v>
      </c>
      <c r="AR799" s="2902">
        <f t="shared" ca="1" si="1344"/>
        <v>0</v>
      </c>
      <c r="AS799" s="2903">
        <f t="shared" ca="1" si="1345"/>
        <v>0</v>
      </c>
      <c r="AU799" s="1926">
        <f ca="1">SUM((INDIRECT(AU$2&amp;(ROW())):INDIRECT(AU$3&amp;(ROW()))))</f>
        <v>0</v>
      </c>
      <c r="AV799" s="1925">
        <f ca="1">SUM(INDIRECT(AV$1&amp;AV$2&amp;$C799):INDIRECT(AV$1&amp;AV$3&amp;$C799))</f>
        <v>0</v>
      </c>
      <c r="AW799" s="2902">
        <f t="shared" ca="1" si="1346"/>
        <v>0</v>
      </c>
      <c r="AX799" s="2903">
        <f t="shared" ca="1" si="1347"/>
        <v>0</v>
      </c>
      <c r="AY799" s="1925">
        <f ca="1">SUM(INDIRECT(AY$1&amp;AY$2&amp;$A799):INDIRECT(AY$1&amp;AY$3&amp;$A799))+SUM(INDIRECT(AY$1&amp;AY$2&amp;$B799):INDIRECT(AY$1&amp;AY$3&amp;$B799))</f>
        <v>0</v>
      </c>
      <c r="AZ799" s="2902">
        <f t="shared" ca="1" si="1349"/>
        <v>0</v>
      </c>
      <c r="BA799" s="2903">
        <f t="shared" ca="1" si="1350"/>
        <v>0</v>
      </c>
      <c r="BC799" s="1926">
        <f ca="1">SUM((INDIRECT(BC$2&amp;(ROW())):INDIRECT(BC$3&amp;(ROW()))))</f>
        <v>0</v>
      </c>
      <c r="BD799" s="1925">
        <f ca="1">SUM(INDIRECT(BD$1&amp;BD$2&amp;$C799):INDIRECT(BD$1&amp;BD$3&amp;$C799))</f>
        <v>0</v>
      </c>
      <c r="BE799" s="2902">
        <f t="shared" ca="1" si="1351"/>
        <v>0</v>
      </c>
      <c r="BF799" s="2903">
        <f t="shared" ca="1" si="1352"/>
        <v>0</v>
      </c>
      <c r="BG799" s="1925">
        <f ca="1">SUM(INDIRECT(BG$1&amp;BG$2&amp;$A799):INDIRECT(BG$1&amp;BG$3&amp;$A799))+SUM(INDIRECT(BG$1&amp;BG$2&amp;$B799):INDIRECT(BG$1&amp;BG$3&amp;$B799))</f>
        <v>0</v>
      </c>
      <c r="BH799" s="2902">
        <f t="shared" ca="1" si="1354"/>
        <v>0</v>
      </c>
      <c r="BI799" s="2903">
        <f t="shared" ca="1" si="1355"/>
        <v>0</v>
      </c>
    </row>
    <row r="800" spans="1:61" ht="14.5">
      <c r="A800" s="1693">
        <f t="shared" si="1370"/>
        <v>792</v>
      </c>
      <c r="B800" s="616">
        <v>1</v>
      </c>
      <c r="C800" s="1693">
        <f t="shared" si="1369"/>
        <v>800</v>
      </c>
      <c r="D800" s="616">
        <v>1</v>
      </c>
      <c r="F800" s="69"/>
      <c r="H800" s="22"/>
      <c r="J800" s="86"/>
      <c r="K800" s="85"/>
      <c r="L800" s="63"/>
      <c r="M800" s="63"/>
      <c r="N800" s="3" t="s">
        <v>609</v>
      </c>
      <c r="O800" s="69"/>
      <c r="P800" s="69"/>
      <c r="Q800" s="69"/>
      <c r="R800" s="1779" t="str">
        <f>CHOOSE(2, "6722000003711", "S/GP (5) Net Sales Indirect ICW-P")</f>
        <v>S/GP (5) Net Sales Indirect ICW-P</v>
      </c>
      <c r="S800" s="1217"/>
      <c r="T800" s="1224"/>
      <c r="U800" s="1217"/>
      <c r="V800" s="1217"/>
      <c r="W800" s="1217"/>
      <c r="X800" s="1217"/>
      <c r="Y800" s="1217"/>
      <c r="Z800" s="1217"/>
      <c r="AA800" s="1217"/>
      <c r="AB800" s="1217"/>
      <c r="AC800" s="1217"/>
      <c r="AD800" s="1217"/>
      <c r="AE800" s="88">
        <f t="shared" si="1380"/>
        <v>0</v>
      </c>
      <c r="AF800" s="17">
        <f t="shared" si="1381"/>
        <v>0</v>
      </c>
      <c r="AG800" s="17">
        <f t="shared" si="1382"/>
        <v>0</v>
      </c>
      <c r="AH800" s="17">
        <f t="shared" si="1383"/>
        <v>0</v>
      </c>
      <c r="AI800" s="17">
        <f t="shared" si="1384"/>
        <v>0</v>
      </c>
      <c r="AJ800" s="17">
        <f t="shared" si="1385"/>
        <v>0</v>
      </c>
      <c r="AK800" s="88">
        <f t="shared" si="1386"/>
        <v>0</v>
      </c>
      <c r="AM800" s="1926">
        <f ca="1">SUM((INDIRECT(AM$2&amp;(ROW())):INDIRECT(AM$3&amp;(ROW()))))</f>
        <v>0</v>
      </c>
      <c r="AN800" s="1925">
        <f ca="1">SUM(INDIRECT(AN$1&amp;AN$2&amp;$C800):INDIRECT(AN$1&amp;AN$3&amp;$C800))</f>
        <v>0</v>
      </c>
      <c r="AO800" s="2902">
        <f t="shared" ca="1" si="1341"/>
        <v>0</v>
      </c>
      <c r="AP800" s="2903">
        <f t="shared" ca="1" si="1342"/>
        <v>0</v>
      </c>
      <c r="AQ800" s="1925">
        <f ca="1">SUM(INDIRECT(AQ$1&amp;AQ$2&amp;$A800):INDIRECT(AQ$1&amp;AQ$3&amp;$A800))+SUM(INDIRECT(AQ$1&amp;AQ$2&amp;$B800):INDIRECT(AQ$1&amp;AQ$3&amp;$B800))</f>
        <v>0</v>
      </c>
      <c r="AR800" s="2902">
        <f t="shared" ca="1" si="1344"/>
        <v>0</v>
      </c>
      <c r="AS800" s="2903">
        <f t="shared" ca="1" si="1345"/>
        <v>0</v>
      </c>
      <c r="AU800" s="1926">
        <f ca="1">SUM((INDIRECT(AU$2&amp;(ROW())):INDIRECT(AU$3&amp;(ROW()))))</f>
        <v>0</v>
      </c>
      <c r="AV800" s="1925">
        <f ca="1">SUM(INDIRECT(AV$1&amp;AV$2&amp;$C800):INDIRECT(AV$1&amp;AV$3&amp;$C800))</f>
        <v>0</v>
      </c>
      <c r="AW800" s="2902">
        <f t="shared" ca="1" si="1346"/>
        <v>0</v>
      </c>
      <c r="AX800" s="2903">
        <f t="shared" ca="1" si="1347"/>
        <v>0</v>
      </c>
      <c r="AY800" s="1925">
        <f ca="1">SUM(INDIRECT(AY$1&amp;AY$2&amp;$A800):INDIRECT(AY$1&amp;AY$3&amp;$A800))+SUM(INDIRECT(AY$1&amp;AY$2&amp;$B800):INDIRECT(AY$1&amp;AY$3&amp;$B800))</f>
        <v>0</v>
      </c>
      <c r="AZ800" s="2902">
        <f t="shared" ca="1" si="1349"/>
        <v>0</v>
      </c>
      <c r="BA800" s="2903">
        <f t="shared" ca="1" si="1350"/>
        <v>0</v>
      </c>
      <c r="BC800" s="1926">
        <f ca="1">SUM((INDIRECT(BC$2&amp;(ROW())):INDIRECT(BC$3&amp;(ROW()))))</f>
        <v>0</v>
      </c>
      <c r="BD800" s="1925">
        <f ca="1">SUM(INDIRECT(BD$1&amp;BD$2&amp;$C800):INDIRECT(BD$1&amp;BD$3&amp;$C800))</f>
        <v>0</v>
      </c>
      <c r="BE800" s="2902">
        <f t="shared" ca="1" si="1351"/>
        <v>0</v>
      </c>
      <c r="BF800" s="2903">
        <f t="shared" ca="1" si="1352"/>
        <v>0</v>
      </c>
      <c r="BG800" s="1925">
        <f ca="1">SUM(INDIRECT(BG$1&amp;BG$2&amp;$A800):INDIRECT(BG$1&amp;BG$3&amp;$A800))+SUM(INDIRECT(BG$1&amp;BG$2&amp;$B800):INDIRECT(BG$1&amp;BG$3&amp;$B800))</f>
        <v>0</v>
      </c>
      <c r="BH800" s="2902">
        <f t="shared" ca="1" si="1354"/>
        <v>0</v>
      </c>
      <c r="BI800" s="2903">
        <f t="shared" ca="1" si="1355"/>
        <v>0</v>
      </c>
    </row>
    <row r="801" spans="1:61" ht="14.5">
      <c r="A801" s="1693">
        <f t="shared" si="1370"/>
        <v>793</v>
      </c>
      <c r="B801" s="616">
        <v>1</v>
      </c>
      <c r="C801" s="1693">
        <f t="shared" si="1369"/>
        <v>801</v>
      </c>
      <c r="D801" s="616">
        <v>1</v>
      </c>
      <c r="F801" s="69"/>
      <c r="J801" s="14" t="s">
        <v>132</v>
      </c>
      <c r="K801" s="90"/>
      <c r="L801" s="313"/>
      <c r="M801" s="313"/>
      <c r="N801" s="313"/>
      <c r="O801" s="313"/>
      <c r="P801" s="313"/>
      <c r="Q801" s="471"/>
      <c r="R801" s="1801" t="str">
        <f>CHOOSE(2, "6722000003712", "S/GP (5) Gross Profit")</f>
        <v>S/GP (5) Gross Profit</v>
      </c>
      <c r="S801" s="1260">
        <f t="shared" ref="S801:AD801" si="1387">+S802+S833</f>
        <v>-103</v>
      </c>
      <c r="T801" s="1209">
        <f t="shared" si="1387"/>
        <v>740</v>
      </c>
      <c r="U801" s="1260">
        <f t="shared" si="1387"/>
        <v>227.60400000000001</v>
      </c>
      <c r="V801" s="1260">
        <f t="shared" si="1387"/>
        <v>339.50799999999998</v>
      </c>
      <c r="W801" s="1260">
        <f t="shared" si="1387"/>
        <v>488</v>
      </c>
      <c r="X801" s="1260">
        <f t="shared" si="1387"/>
        <v>1467.963</v>
      </c>
      <c r="Y801" s="1260">
        <f t="shared" si="1387"/>
        <v>56.046500000000002</v>
      </c>
      <c r="Z801" s="1260">
        <f t="shared" si="1387"/>
        <v>947.38900000000001</v>
      </c>
      <c r="AA801" s="1260">
        <f t="shared" si="1387"/>
        <v>66.12903</v>
      </c>
      <c r="AB801" s="1260">
        <f t="shared" si="1387"/>
        <v>1781</v>
      </c>
      <c r="AC801" s="1260">
        <f t="shared" si="1387"/>
        <v>1510.3489600000003</v>
      </c>
      <c r="AD801" s="1260">
        <f t="shared" si="1387"/>
        <v>1988.3090999999999</v>
      </c>
      <c r="AE801" s="554">
        <f t="shared" ref="AE801:AK801" si="1388">+AE802+AE833</f>
        <v>864.60400000000004</v>
      </c>
      <c r="AF801" s="314">
        <f t="shared" si="1388"/>
        <v>2295.471</v>
      </c>
      <c r="AG801" s="314">
        <f t="shared" si="1388"/>
        <v>1069.5645300000001</v>
      </c>
      <c r="AH801" s="314">
        <f t="shared" si="1388"/>
        <v>5279.6580600000007</v>
      </c>
      <c r="AI801" s="314">
        <f t="shared" si="1388"/>
        <v>3160.0749999999998</v>
      </c>
      <c r="AJ801" s="314">
        <f t="shared" si="1388"/>
        <v>6349.2225900000003</v>
      </c>
      <c r="AK801" s="89">
        <f t="shared" si="1388"/>
        <v>9509.2975900000019</v>
      </c>
      <c r="AM801" s="2059">
        <f ca="1">SUM((INDIRECT(AM$2&amp;(ROW())):INDIRECT(AM$3&amp;(ROW()))))</f>
        <v>-103</v>
      </c>
      <c r="AN801" s="2060">
        <f ca="1">SUM(INDIRECT(AN$1&amp;AN$2&amp;$C801):INDIRECT(AN$1&amp;AN$3&amp;$C801))</f>
        <v>370</v>
      </c>
      <c r="AO801" s="2819">
        <f t="shared" ca="1" si="1341"/>
        <v>-473</v>
      </c>
      <c r="AP801" s="2820">
        <f t="shared" ca="1" si="1342"/>
        <v>-0.27837837837837837</v>
      </c>
      <c r="AQ801" s="2920">
        <f t="shared" ref="AQ801" ca="1" si="1389">+AQ802+AQ833</f>
        <v>155</v>
      </c>
      <c r="AR801" s="2819">
        <f t="shared" ca="1" si="1344"/>
        <v>-258</v>
      </c>
      <c r="AS801" s="2820">
        <f t="shared" ca="1" si="1345"/>
        <v>-0.6645161290322581</v>
      </c>
      <c r="AU801" s="2059">
        <f ca="1">SUM((INDIRECT(AU$2&amp;(ROW())):INDIRECT(AU$3&amp;(ROW()))))</f>
        <v>-103</v>
      </c>
      <c r="AV801" s="2060">
        <f ca="1">SUM(INDIRECT(AV$1&amp;AV$2&amp;$C801):INDIRECT(AV$1&amp;AV$3&amp;$C801))</f>
        <v>370</v>
      </c>
      <c r="AW801" s="2819">
        <f t="shared" ca="1" si="1346"/>
        <v>-473</v>
      </c>
      <c r="AX801" s="2820">
        <f t="shared" ca="1" si="1347"/>
        <v>-0.27837837837837837</v>
      </c>
      <c r="AY801" s="2920">
        <f t="shared" ref="AY801" ca="1" si="1390">+AY802+AY833</f>
        <v>155</v>
      </c>
      <c r="AZ801" s="2819">
        <f t="shared" ca="1" si="1349"/>
        <v>-258</v>
      </c>
      <c r="BA801" s="2820">
        <f t="shared" ca="1" si="1350"/>
        <v>-0.6645161290322581</v>
      </c>
      <c r="BC801" s="2059">
        <f ca="1">SUM((INDIRECT(BC$2&amp;(ROW())):INDIRECT(BC$3&amp;(ROW()))))</f>
        <v>-103</v>
      </c>
      <c r="BD801" s="2060">
        <f ca="1">SUM(INDIRECT(BD$1&amp;BD$2&amp;$C801):INDIRECT(BD$1&amp;BD$3&amp;$C801))</f>
        <v>370</v>
      </c>
      <c r="BE801" s="2819">
        <f t="shared" ca="1" si="1351"/>
        <v>-473</v>
      </c>
      <c r="BF801" s="2820">
        <f t="shared" ca="1" si="1352"/>
        <v>-0.27837837837837837</v>
      </c>
      <c r="BG801" s="2920">
        <f t="shared" ref="BG801" ca="1" si="1391">+BG802+BG833</f>
        <v>155</v>
      </c>
      <c r="BH801" s="2819">
        <f t="shared" ca="1" si="1354"/>
        <v>-258</v>
      </c>
      <c r="BI801" s="2820">
        <f t="shared" ca="1" si="1355"/>
        <v>-0.6645161290322581</v>
      </c>
    </row>
    <row r="802" spans="1:61" ht="14.5">
      <c r="A802" s="1693">
        <f t="shared" si="1370"/>
        <v>794</v>
      </c>
      <c r="B802" s="616">
        <v>1</v>
      </c>
      <c r="C802" s="1693">
        <f t="shared" si="1369"/>
        <v>802</v>
      </c>
      <c r="D802" s="616">
        <v>1</v>
      </c>
      <c r="F802" s="69"/>
      <c r="J802" s="86"/>
      <c r="K802" s="85"/>
      <c r="L802" s="68" t="s">
        <v>120</v>
      </c>
      <c r="M802" s="68"/>
      <c r="N802" s="457"/>
      <c r="O802" s="283"/>
      <c r="P802" s="283"/>
      <c r="Q802" s="68"/>
      <c r="R802" s="1814" t="str">
        <f>CHOOSE(2, "6722000003713", "S/GP (5) Gross Profit Direct")</f>
        <v>S/GP (5) Gross Profit Direct</v>
      </c>
      <c r="S802" s="1714">
        <f>S808+S803+S813+S818+S823+S828</f>
        <v>-103</v>
      </c>
      <c r="T802" s="1723">
        <f t="shared" ref="T802:AD802" si="1392">T808+T803+T813+T818+T823+T828</f>
        <v>740</v>
      </c>
      <c r="U802" s="1714">
        <f t="shared" si="1392"/>
        <v>227.60400000000001</v>
      </c>
      <c r="V802" s="1714">
        <f t="shared" si="1392"/>
        <v>339.50799999999998</v>
      </c>
      <c r="W802" s="1714">
        <f t="shared" si="1392"/>
        <v>488</v>
      </c>
      <c r="X802" s="1714">
        <f t="shared" si="1392"/>
        <v>1467.963</v>
      </c>
      <c r="Y802" s="1714">
        <f t="shared" si="1392"/>
        <v>56.046500000000002</v>
      </c>
      <c r="Z802" s="1714">
        <f t="shared" si="1392"/>
        <v>947.38900000000001</v>
      </c>
      <c r="AA802" s="1714">
        <f t="shared" si="1392"/>
        <v>66.12903</v>
      </c>
      <c r="AB802" s="1714">
        <f t="shared" si="1392"/>
        <v>856</v>
      </c>
      <c r="AC802" s="1714">
        <f t="shared" si="1392"/>
        <v>56.442999999999998</v>
      </c>
      <c r="AD802" s="1714">
        <f t="shared" si="1392"/>
        <v>1280.04017</v>
      </c>
      <c r="AE802" s="1715">
        <f t="shared" ref="AE802:AK802" si="1393">AE808+AE803+AE813+AE818+AE823+AE828</f>
        <v>864.60400000000004</v>
      </c>
      <c r="AF802" s="1714">
        <f t="shared" si="1393"/>
        <v>2295.471</v>
      </c>
      <c r="AG802" s="1714">
        <f t="shared" si="1393"/>
        <v>1069.5645300000001</v>
      </c>
      <c r="AH802" s="1714">
        <f t="shared" si="1393"/>
        <v>2192.4831700000004</v>
      </c>
      <c r="AI802" s="1714">
        <f t="shared" si="1393"/>
        <v>3160.0749999999998</v>
      </c>
      <c r="AJ802" s="1714">
        <f t="shared" si="1393"/>
        <v>3262.0477000000001</v>
      </c>
      <c r="AK802" s="1715">
        <f t="shared" si="1393"/>
        <v>6422.1227000000008</v>
      </c>
      <c r="AM802" s="2589">
        <f ca="1">SUM((INDIRECT(AM$2&amp;(ROW())):INDIRECT(AM$3&amp;(ROW()))))</f>
        <v>-103</v>
      </c>
      <c r="AN802" s="2590">
        <f ca="1">SUM(INDIRECT(AN$1&amp;AN$2&amp;$C802):INDIRECT(AN$1&amp;AN$3&amp;$C802))</f>
        <v>370</v>
      </c>
      <c r="AO802" s="2921">
        <f t="shared" ca="1" si="1341"/>
        <v>-473</v>
      </c>
      <c r="AP802" s="2922">
        <f t="shared" ca="1" si="1342"/>
        <v>-0.27837837837837837</v>
      </c>
      <c r="AQ802" s="2923">
        <f t="shared" ref="AQ802" ca="1" si="1394">AQ808+AQ803+AQ813+AQ818+AQ823+AQ828</f>
        <v>155</v>
      </c>
      <c r="AR802" s="2921">
        <f t="shared" ca="1" si="1344"/>
        <v>-258</v>
      </c>
      <c r="AS802" s="2922">
        <f t="shared" ca="1" si="1345"/>
        <v>-0.6645161290322581</v>
      </c>
      <c r="AU802" s="2589">
        <f ca="1">SUM((INDIRECT(AU$2&amp;(ROW())):INDIRECT(AU$3&amp;(ROW()))))</f>
        <v>-103</v>
      </c>
      <c r="AV802" s="2590">
        <f ca="1">SUM(INDIRECT(AV$1&amp;AV$2&amp;$C802):INDIRECT(AV$1&amp;AV$3&amp;$C802))</f>
        <v>370</v>
      </c>
      <c r="AW802" s="2921">
        <f t="shared" ca="1" si="1346"/>
        <v>-473</v>
      </c>
      <c r="AX802" s="2922">
        <f t="shared" ca="1" si="1347"/>
        <v>-0.27837837837837837</v>
      </c>
      <c r="AY802" s="2923">
        <f t="shared" ref="AY802" ca="1" si="1395">AY808+AY803+AY813+AY818+AY823+AY828</f>
        <v>155</v>
      </c>
      <c r="AZ802" s="2921">
        <f t="shared" ca="1" si="1349"/>
        <v>-258</v>
      </c>
      <c r="BA802" s="2922">
        <f t="shared" ca="1" si="1350"/>
        <v>-0.6645161290322581</v>
      </c>
      <c r="BC802" s="2589">
        <f ca="1">SUM((INDIRECT(BC$2&amp;(ROW())):INDIRECT(BC$3&amp;(ROW()))))</f>
        <v>-103</v>
      </c>
      <c r="BD802" s="2590">
        <f ca="1">SUM(INDIRECT(BD$1&amp;BD$2&amp;$C802):INDIRECT(BD$1&amp;BD$3&amp;$C802))</f>
        <v>370</v>
      </c>
      <c r="BE802" s="2921">
        <f t="shared" ca="1" si="1351"/>
        <v>-473</v>
      </c>
      <c r="BF802" s="2922">
        <f t="shared" ca="1" si="1352"/>
        <v>-0.27837837837837837</v>
      </c>
      <c r="BG802" s="2923">
        <f t="shared" ref="BG802" ca="1" si="1396">BG808+BG803+BG813+BG818+BG823+BG828</f>
        <v>155</v>
      </c>
      <c r="BH802" s="2921">
        <f t="shared" ca="1" si="1354"/>
        <v>-258</v>
      </c>
      <c r="BI802" s="2922">
        <f t="shared" ca="1" si="1355"/>
        <v>-0.6645161290322581</v>
      </c>
    </row>
    <row r="803" spans="1:61" ht="14.5">
      <c r="A803" s="1693">
        <f t="shared" si="1370"/>
        <v>795</v>
      </c>
      <c r="B803" s="616">
        <v>1</v>
      </c>
      <c r="C803" s="1693">
        <f t="shared" si="1369"/>
        <v>803</v>
      </c>
      <c r="D803" s="616">
        <v>1</v>
      </c>
      <c r="F803" s="69"/>
      <c r="H803" s="737"/>
      <c r="J803" s="86"/>
      <c r="K803" s="85"/>
      <c r="L803" s="68"/>
      <c r="M803" s="68"/>
      <c r="N803" s="8" t="s">
        <v>418</v>
      </c>
      <c r="O803" s="284"/>
      <c r="P803" s="284"/>
      <c r="Q803" s="284"/>
      <c r="R803" s="1777" t="str">
        <f>CHOOSE(2, "6722000003714", "S/GP (5) Gross Profit Direct IMS")</f>
        <v>S/GP (5) Gross Profit Direct IMS</v>
      </c>
      <c r="S803" s="1249">
        <f>SUM(S804:S807)</f>
        <v>0</v>
      </c>
      <c r="T803" s="1621">
        <f t="shared" ref="T803:AD803" si="1397">SUM(T804:T807)</f>
        <v>50</v>
      </c>
      <c r="U803" s="1249">
        <f t="shared" si="1397"/>
        <v>0</v>
      </c>
      <c r="V803" s="1249">
        <f t="shared" si="1397"/>
        <v>0</v>
      </c>
      <c r="W803" s="1249">
        <f t="shared" si="1397"/>
        <v>0</v>
      </c>
      <c r="X803" s="1249">
        <f t="shared" si="1397"/>
        <v>0</v>
      </c>
      <c r="Y803" s="1249">
        <f t="shared" si="1397"/>
        <v>0</v>
      </c>
      <c r="Z803" s="1249">
        <f t="shared" si="1397"/>
        <v>165</v>
      </c>
      <c r="AA803" s="1249">
        <f t="shared" si="1397"/>
        <v>0</v>
      </c>
      <c r="AB803" s="1249">
        <f t="shared" si="1397"/>
        <v>0</v>
      </c>
      <c r="AC803" s="1249">
        <f t="shared" si="1397"/>
        <v>56.442999999999998</v>
      </c>
      <c r="AD803" s="1249">
        <f t="shared" si="1397"/>
        <v>56</v>
      </c>
      <c r="AE803" s="898">
        <f t="shared" ref="AE803:AK803" si="1398">SUM(AE804:AE807)</f>
        <v>50</v>
      </c>
      <c r="AF803" s="1249">
        <f t="shared" si="1398"/>
        <v>0</v>
      </c>
      <c r="AG803" s="1249">
        <f t="shared" si="1398"/>
        <v>165</v>
      </c>
      <c r="AH803" s="1249">
        <f t="shared" si="1398"/>
        <v>112.443</v>
      </c>
      <c r="AI803" s="1249">
        <f t="shared" si="1398"/>
        <v>50</v>
      </c>
      <c r="AJ803" s="1249">
        <f t="shared" si="1398"/>
        <v>277.44299999999998</v>
      </c>
      <c r="AK803" s="898">
        <f t="shared" si="1398"/>
        <v>327.44299999999998</v>
      </c>
      <c r="AM803" s="2570">
        <f ca="1">SUM((INDIRECT(AM$2&amp;(ROW())):INDIRECT(AM$3&amp;(ROW()))))</f>
        <v>0</v>
      </c>
      <c r="AN803" s="2591">
        <f ca="1">SUM(INDIRECT(AN$1&amp;AN$2&amp;$C803):INDIRECT(AN$1&amp;AN$3&amp;$C803))</f>
        <v>150</v>
      </c>
      <c r="AO803" s="2898">
        <f ca="1">AM803-AN803</f>
        <v>-150</v>
      </c>
      <c r="AP803" s="2899">
        <f ca="1">IFERROR(AM803/AN803,0)</f>
        <v>0</v>
      </c>
      <c r="AQ803" s="2591">
        <f ca="1">SUM(INDIRECT(AQ$1&amp;AQ$2&amp;$A803):INDIRECT(AQ$1&amp;AQ$3&amp;$A803))+SUM(INDIRECT(AQ$1&amp;AQ$2&amp;$B803):INDIRECT(AQ$1&amp;AQ$3&amp;$B803))</f>
        <v>0</v>
      </c>
      <c r="AR803" s="2898">
        <f ca="1">AM803-AQ803</f>
        <v>0</v>
      </c>
      <c r="AS803" s="2899">
        <f ca="1">IFERROR(AM803/AQ803,0)</f>
        <v>0</v>
      </c>
      <c r="AU803" s="2570">
        <f ca="1">SUM((INDIRECT(AU$2&amp;(ROW())):INDIRECT(AU$3&amp;(ROW()))))</f>
        <v>0</v>
      </c>
      <c r="AV803" s="2591">
        <f ca="1">SUM(INDIRECT(AV$1&amp;AV$2&amp;$C803):INDIRECT(AV$1&amp;AV$3&amp;$C803))</f>
        <v>150</v>
      </c>
      <c r="AW803" s="2898">
        <f ca="1">AU803-AV803</f>
        <v>-150</v>
      </c>
      <c r="AX803" s="2899">
        <f ca="1">IFERROR(AU803/AV803,0)</f>
        <v>0</v>
      </c>
      <c r="AY803" s="2591">
        <f ca="1">SUM(INDIRECT(AY$1&amp;AY$2&amp;$A803):INDIRECT(AY$1&amp;AY$3&amp;$A803))+SUM(INDIRECT(AY$1&amp;AY$2&amp;$B803):INDIRECT(AY$1&amp;AY$3&amp;$B803))</f>
        <v>0</v>
      </c>
      <c r="AZ803" s="2898">
        <f ca="1">AU803-AY803</f>
        <v>0</v>
      </c>
      <c r="BA803" s="2899">
        <f ca="1">IFERROR(AU803/AY803,0)</f>
        <v>0</v>
      </c>
      <c r="BC803" s="2570">
        <f ca="1">SUM((INDIRECT(BC$2&amp;(ROW())):INDIRECT(BC$3&amp;(ROW()))))</f>
        <v>0</v>
      </c>
      <c r="BD803" s="2591">
        <f ca="1">SUM(INDIRECT(BD$1&amp;BD$2&amp;$C803):INDIRECT(BD$1&amp;BD$3&amp;$C803))</f>
        <v>150</v>
      </c>
      <c r="BE803" s="2898">
        <f ca="1">BC803-BD803</f>
        <v>-150</v>
      </c>
      <c r="BF803" s="2899">
        <f ca="1">IFERROR(BC803/BD803,0)</f>
        <v>0</v>
      </c>
      <c r="BG803" s="2591">
        <f ca="1">SUM(INDIRECT(BG$1&amp;BG$2&amp;$A803):INDIRECT(BG$1&amp;BG$3&amp;$A803))+SUM(INDIRECT(BG$1&amp;BG$2&amp;$B803):INDIRECT(BG$1&amp;BG$3&amp;$B803))</f>
        <v>0</v>
      </c>
      <c r="BH803" s="2898">
        <f ca="1">BC803-BG803</f>
        <v>0</v>
      </c>
      <c r="BI803" s="2899">
        <f ca="1">IFERROR(BC803/BG803,0)</f>
        <v>0</v>
      </c>
    </row>
    <row r="804" spans="1:61" ht="14.5">
      <c r="A804" s="1693">
        <f t="shared" si="1370"/>
        <v>796</v>
      </c>
      <c r="B804" s="616">
        <v>1</v>
      </c>
      <c r="C804" s="1693">
        <f t="shared" si="1369"/>
        <v>804</v>
      </c>
      <c r="D804" s="616">
        <v>1</v>
      </c>
      <c r="F804" s="69"/>
      <c r="H804" s="737"/>
      <c r="J804" s="86"/>
      <c r="K804" s="85"/>
      <c r="L804" s="68"/>
      <c r="M804" s="68"/>
      <c r="O804" s="97" t="s">
        <v>523</v>
      </c>
      <c r="P804" s="97"/>
      <c r="Q804" s="97"/>
      <c r="R804" s="1779" t="str">
        <f>CHOOSE(2, "6722000003715", "S/GP (5) Gross Profit Direct IMS OSP")</f>
        <v>S/GP (5) Gross Profit Direct IMS OSP</v>
      </c>
      <c r="S804" s="1227"/>
      <c r="T804" s="1247"/>
      <c r="U804" s="1227"/>
      <c r="V804" s="1227"/>
      <c r="W804" s="1227"/>
      <c r="X804" s="1227"/>
      <c r="Y804" s="1227"/>
      <c r="Z804" s="1227"/>
      <c r="AA804" s="1227"/>
      <c r="AB804" s="1227"/>
      <c r="AC804" s="1227"/>
      <c r="AD804" s="1227"/>
      <c r="AE804" s="295">
        <f>SUM(S804,T804,U804)</f>
        <v>0</v>
      </c>
      <c r="AF804" s="96">
        <f>SUM(V804,W804,X804)</f>
        <v>0</v>
      </c>
      <c r="AG804" s="96">
        <f>SUM(Y804,Z804,AA804)</f>
        <v>0</v>
      </c>
      <c r="AH804" s="96">
        <f>SUM(AB804,AC804,AD804)</f>
        <v>0</v>
      </c>
      <c r="AI804" s="96">
        <f>AE804+AF804</f>
        <v>0</v>
      </c>
      <c r="AJ804" s="96">
        <f>AH804+AG804</f>
        <v>0</v>
      </c>
      <c r="AK804" s="295">
        <f>AI804+AJ804</f>
        <v>0</v>
      </c>
      <c r="AM804" s="2161">
        <f ca="1">SUM((INDIRECT(AM$2&amp;(ROW())):INDIRECT(AM$3&amp;(ROW()))))</f>
        <v>0</v>
      </c>
      <c r="AN804" s="2160">
        <f ca="1">SUM(INDIRECT(AN$1&amp;AN$2&amp;$C804):INDIRECT(AN$1&amp;AN$3&amp;$C804))</f>
        <v>0</v>
      </c>
      <c r="AO804" s="2900">
        <f ca="1">AM804-AN804</f>
        <v>0</v>
      </c>
      <c r="AP804" s="2901">
        <f ca="1">IFERROR(AM804/AN804,0)</f>
        <v>0</v>
      </c>
      <c r="AQ804" s="2160">
        <f ca="1">SUM(INDIRECT(AQ$1&amp;AQ$2&amp;$A804):INDIRECT(AQ$1&amp;AQ$3&amp;$A804))+SUM(INDIRECT(AQ$1&amp;AQ$2&amp;$B804):INDIRECT(AQ$1&amp;AQ$3&amp;$B804))</f>
        <v>0</v>
      </c>
      <c r="AR804" s="2900">
        <f ca="1">AM804-AQ804</f>
        <v>0</v>
      </c>
      <c r="AS804" s="2901">
        <f ca="1">IFERROR(AM804/AQ804,0)</f>
        <v>0</v>
      </c>
      <c r="AU804" s="2161">
        <f ca="1">SUM((INDIRECT(AU$2&amp;(ROW())):INDIRECT(AU$3&amp;(ROW()))))</f>
        <v>0</v>
      </c>
      <c r="AV804" s="2160">
        <f ca="1">SUM(INDIRECT(AV$1&amp;AV$2&amp;$C804):INDIRECT(AV$1&amp;AV$3&amp;$C804))</f>
        <v>0</v>
      </c>
      <c r="AW804" s="2900">
        <f ca="1">AU804-AV804</f>
        <v>0</v>
      </c>
      <c r="AX804" s="2901">
        <f ca="1">IFERROR(AU804/AV804,0)</f>
        <v>0</v>
      </c>
      <c r="AY804" s="2160">
        <f ca="1">SUM(INDIRECT(AY$1&amp;AY$2&amp;$A804):INDIRECT(AY$1&amp;AY$3&amp;$A804))+SUM(INDIRECT(AY$1&amp;AY$2&amp;$B804):INDIRECT(AY$1&amp;AY$3&amp;$B804))</f>
        <v>0</v>
      </c>
      <c r="AZ804" s="2900">
        <f ca="1">AU804-AY804</f>
        <v>0</v>
      </c>
      <c r="BA804" s="2901">
        <f ca="1">IFERROR(AU804/AY804,0)</f>
        <v>0</v>
      </c>
      <c r="BC804" s="2161">
        <f ca="1">SUM((INDIRECT(BC$2&amp;(ROW())):INDIRECT(BC$3&amp;(ROW()))))</f>
        <v>0</v>
      </c>
      <c r="BD804" s="2160">
        <f ca="1">SUM(INDIRECT(BD$1&amp;BD$2&amp;$C804):INDIRECT(BD$1&amp;BD$3&amp;$C804))</f>
        <v>0</v>
      </c>
      <c r="BE804" s="2900">
        <f ca="1">BC804-BD804</f>
        <v>0</v>
      </c>
      <c r="BF804" s="2901">
        <f ca="1">IFERROR(BC804/BD804,0)</f>
        <v>0</v>
      </c>
      <c r="BG804" s="2160">
        <f ca="1">SUM(INDIRECT(BG$1&amp;BG$2&amp;$A804):INDIRECT(BG$1&amp;BG$3&amp;$A804))+SUM(INDIRECT(BG$1&amp;BG$2&amp;$B804):INDIRECT(BG$1&amp;BG$3&amp;$B804))</f>
        <v>0</v>
      </c>
      <c r="BH804" s="2900">
        <f ca="1">BC804-BG804</f>
        <v>0</v>
      </c>
      <c r="BI804" s="2901">
        <f ca="1">IFERROR(BC804/BG804,0)</f>
        <v>0</v>
      </c>
    </row>
    <row r="805" spans="1:61" ht="14.5">
      <c r="A805" s="1693">
        <f t="shared" si="1370"/>
        <v>797</v>
      </c>
      <c r="B805" s="616">
        <v>1</v>
      </c>
      <c r="C805" s="1693">
        <f t="shared" si="1369"/>
        <v>805</v>
      </c>
      <c r="D805" s="616">
        <v>1</v>
      </c>
      <c r="F805" s="69"/>
      <c r="H805" s="737"/>
      <c r="J805" s="86"/>
      <c r="K805" s="85"/>
      <c r="L805" s="68"/>
      <c r="M805" s="68"/>
      <c r="O805" s="8" t="s">
        <v>524</v>
      </c>
      <c r="R805" s="1779" t="str">
        <f>CHOOSE(2, "6722000003716", "S/GP (5) Gross Profit Direct IMS RP")</f>
        <v>S/GP (5) Gross Profit Direct IMS RP</v>
      </c>
      <c r="S805" s="1217"/>
      <c r="T805" s="1224">
        <v>50</v>
      </c>
      <c r="U805" s="1217"/>
      <c r="V805" s="1217"/>
      <c r="W805" s="1217"/>
      <c r="X805" s="1217"/>
      <c r="Y805" s="1217"/>
      <c r="Z805" s="1217">
        <f>510-345</f>
        <v>165</v>
      </c>
      <c r="AA805" s="1217"/>
      <c r="AB805" s="1217"/>
      <c r="AC805" s="1217">
        <v>56.442999999999998</v>
      </c>
      <c r="AD805" s="1217">
        <v>56</v>
      </c>
      <c r="AE805" s="88">
        <f>SUM(S805,T805,U805)</f>
        <v>50</v>
      </c>
      <c r="AF805" s="17">
        <f>SUM(V805,W805,X805)</f>
        <v>0</v>
      </c>
      <c r="AG805" s="17">
        <f>SUM(Y805,Z805,AA805)</f>
        <v>165</v>
      </c>
      <c r="AH805" s="17">
        <f>SUM(AB805,AC805,AD805)</f>
        <v>112.443</v>
      </c>
      <c r="AI805" s="17">
        <f>AE805+AF805</f>
        <v>50</v>
      </c>
      <c r="AJ805" s="17">
        <f>AH805+AG805</f>
        <v>277.44299999999998</v>
      </c>
      <c r="AK805" s="88">
        <f>AI805+AJ805</f>
        <v>327.44299999999998</v>
      </c>
      <c r="AM805" s="1926">
        <f ca="1">SUM((INDIRECT(AM$2&amp;(ROW())):INDIRECT(AM$3&amp;(ROW()))))</f>
        <v>0</v>
      </c>
      <c r="AN805" s="1925">
        <f ca="1">SUM(INDIRECT(AN$1&amp;AN$2&amp;$C805):INDIRECT(AN$1&amp;AN$3&amp;$C805))</f>
        <v>150</v>
      </c>
      <c r="AO805" s="2902">
        <f ca="1">AM805-AN805</f>
        <v>-150</v>
      </c>
      <c r="AP805" s="2903">
        <f ca="1">IFERROR(AM805/AN805,0)</f>
        <v>0</v>
      </c>
      <c r="AQ805" s="1925">
        <f ca="1">SUM(INDIRECT(AQ$1&amp;AQ$2&amp;$A805):INDIRECT(AQ$1&amp;AQ$3&amp;$A805))+SUM(INDIRECT(AQ$1&amp;AQ$2&amp;$B805):INDIRECT(AQ$1&amp;AQ$3&amp;$B805))</f>
        <v>0</v>
      </c>
      <c r="AR805" s="2902">
        <f ca="1">AM805-AQ805</f>
        <v>0</v>
      </c>
      <c r="AS805" s="2903">
        <f ca="1">IFERROR(AM805/AQ805,0)</f>
        <v>0</v>
      </c>
      <c r="AU805" s="1926">
        <f ca="1">SUM((INDIRECT(AU$2&amp;(ROW())):INDIRECT(AU$3&amp;(ROW()))))</f>
        <v>0</v>
      </c>
      <c r="AV805" s="1925">
        <f ca="1">SUM(INDIRECT(AV$1&amp;AV$2&amp;$C805):INDIRECT(AV$1&amp;AV$3&amp;$C805))</f>
        <v>150</v>
      </c>
      <c r="AW805" s="2902">
        <f ca="1">AU805-AV805</f>
        <v>-150</v>
      </c>
      <c r="AX805" s="2903">
        <f ca="1">IFERROR(AU805/AV805,0)</f>
        <v>0</v>
      </c>
      <c r="AY805" s="1925">
        <f ca="1">SUM(INDIRECT(AY$1&amp;AY$2&amp;$A805):INDIRECT(AY$1&amp;AY$3&amp;$A805))+SUM(INDIRECT(AY$1&amp;AY$2&amp;$B805):INDIRECT(AY$1&amp;AY$3&amp;$B805))</f>
        <v>0</v>
      </c>
      <c r="AZ805" s="2902">
        <f ca="1">AU805-AY805</f>
        <v>0</v>
      </c>
      <c r="BA805" s="2903">
        <f ca="1">IFERROR(AU805/AY805,0)</f>
        <v>0</v>
      </c>
      <c r="BC805" s="1926">
        <f ca="1">SUM((INDIRECT(BC$2&amp;(ROW())):INDIRECT(BC$3&amp;(ROW()))))</f>
        <v>0</v>
      </c>
      <c r="BD805" s="1925">
        <f ca="1">SUM(INDIRECT(BD$1&amp;BD$2&amp;$C805):INDIRECT(BD$1&amp;BD$3&amp;$C805))</f>
        <v>150</v>
      </c>
      <c r="BE805" s="2902">
        <f ca="1">BC805-BD805</f>
        <v>-150</v>
      </c>
      <c r="BF805" s="2903">
        <f ca="1">IFERROR(BC805/BD805,0)</f>
        <v>0</v>
      </c>
      <c r="BG805" s="1925">
        <f ca="1">SUM(INDIRECT(BG$1&amp;BG$2&amp;$A805):INDIRECT(BG$1&amp;BG$3&amp;$A805))+SUM(INDIRECT(BG$1&amp;BG$2&amp;$B805):INDIRECT(BG$1&amp;BG$3&amp;$B805))</f>
        <v>0</v>
      </c>
      <c r="BH805" s="2902">
        <f ca="1">BC805-BG805</f>
        <v>0</v>
      </c>
      <c r="BI805" s="2903">
        <f ca="1">IFERROR(BC805/BG805,0)</f>
        <v>0</v>
      </c>
    </row>
    <row r="806" spans="1:61" ht="14.5">
      <c r="A806" s="1693">
        <f t="shared" si="1370"/>
        <v>798</v>
      </c>
      <c r="B806" s="616">
        <v>1</v>
      </c>
      <c r="C806" s="1693">
        <f t="shared" si="1369"/>
        <v>806</v>
      </c>
      <c r="D806" s="616">
        <v>1</v>
      </c>
      <c r="F806" s="69"/>
      <c r="H806" s="737"/>
      <c r="J806" s="86"/>
      <c r="K806" s="85"/>
      <c r="L806" s="68"/>
      <c r="M806" s="68"/>
      <c r="O806" s="8" t="s">
        <v>525</v>
      </c>
      <c r="R806" s="1779" t="str">
        <f>CHOOSE(2, "6722000003717", "S/GP (5) Gross Profit Direct IMS OSP service")</f>
        <v>S/GP (5) Gross Profit Direct IMS OSP service</v>
      </c>
      <c r="S806" s="1217"/>
      <c r="T806" s="1224"/>
      <c r="U806" s="1217"/>
      <c r="V806" s="1217"/>
      <c r="W806" s="1217"/>
      <c r="X806" s="1217"/>
      <c r="Y806" s="1217"/>
      <c r="Z806" s="1217"/>
      <c r="AA806" s="1217"/>
      <c r="AB806" s="1217"/>
      <c r="AC806" s="1217"/>
      <c r="AD806" s="1217"/>
      <c r="AE806" s="88">
        <f>SUM(S806,T806,U806)</f>
        <v>0</v>
      </c>
      <c r="AF806" s="17">
        <f>SUM(V806,W806,X806)</f>
        <v>0</v>
      </c>
      <c r="AG806" s="17">
        <f>SUM(Y806,Z806,AA806)</f>
        <v>0</v>
      </c>
      <c r="AH806" s="17">
        <f>SUM(AB806,AC806,AD806)</f>
        <v>0</v>
      </c>
      <c r="AI806" s="17">
        <f>AE806+AF806</f>
        <v>0</v>
      </c>
      <c r="AJ806" s="17">
        <f>AH806+AG806</f>
        <v>0</v>
      </c>
      <c r="AK806" s="88">
        <f>AI806+AJ806</f>
        <v>0</v>
      </c>
      <c r="AM806" s="1926">
        <f ca="1">SUM((INDIRECT(AM$2&amp;(ROW())):INDIRECT(AM$3&amp;(ROW()))))</f>
        <v>0</v>
      </c>
      <c r="AN806" s="1925">
        <f ca="1">SUM(INDIRECT(AN$1&amp;AN$2&amp;$C806):INDIRECT(AN$1&amp;AN$3&amp;$C806))</f>
        <v>0</v>
      </c>
      <c r="AO806" s="2902">
        <f ca="1">AM806-AN806</f>
        <v>0</v>
      </c>
      <c r="AP806" s="2903">
        <f ca="1">IFERROR(AM806/AN806,0)</f>
        <v>0</v>
      </c>
      <c r="AQ806" s="2147">
        <f ca="1">SUM(INDIRECT(AQ$1&amp;AQ$2&amp;$A806):INDIRECT(AQ$1&amp;AQ$3&amp;$A806))+SUM(INDIRECT(AQ$1&amp;AQ$2&amp;$B806):INDIRECT(AQ$1&amp;AQ$3&amp;$B806))</f>
        <v>0</v>
      </c>
      <c r="AR806" s="2924">
        <f ca="1">AM806-AQ806</f>
        <v>0</v>
      </c>
      <c r="AS806" s="2925">
        <f ca="1">IFERROR(AM806/AQ806,0)</f>
        <v>0</v>
      </c>
      <c r="AT806" s="69"/>
      <c r="AU806" s="579">
        <f ca="1">SUM((INDIRECT(AU$2&amp;(ROW())):INDIRECT(AU$3&amp;(ROW()))))</f>
        <v>0</v>
      </c>
      <c r="AV806" s="2147">
        <f ca="1">SUM(INDIRECT(AV$1&amp;AV$2&amp;$C806):INDIRECT(AV$1&amp;AV$3&amp;$C806))</f>
        <v>0</v>
      </c>
      <c r="AW806" s="2924">
        <f ca="1">AU806-AV806</f>
        <v>0</v>
      </c>
      <c r="AX806" s="2925">
        <f ca="1">IFERROR(AU806/AV806,0)</f>
        <v>0</v>
      </c>
      <c r="AY806" s="2147">
        <f ca="1">SUM(INDIRECT(AY$1&amp;AY$2&amp;$A806):INDIRECT(AY$1&amp;AY$3&amp;$A806))+SUM(INDIRECT(AY$1&amp;AY$2&amp;$B806):INDIRECT(AY$1&amp;AY$3&amp;$B806))</f>
        <v>0</v>
      </c>
      <c r="AZ806" s="2924">
        <f ca="1">AU806-AY806</f>
        <v>0</v>
      </c>
      <c r="BA806" s="2925">
        <f ca="1">IFERROR(AU806/AY806,0)</f>
        <v>0</v>
      </c>
      <c r="BB806" s="69"/>
      <c r="BC806" s="579">
        <f ca="1">SUM((INDIRECT(BC$2&amp;(ROW())):INDIRECT(BC$3&amp;(ROW()))))</f>
        <v>0</v>
      </c>
      <c r="BD806" s="2147">
        <f ca="1">SUM(INDIRECT(BD$1&amp;BD$2&amp;$C806):INDIRECT(BD$1&amp;BD$3&amp;$C806))</f>
        <v>0</v>
      </c>
      <c r="BE806" s="2924">
        <f ca="1">BC806-BD806</f>
        <v>0</v>
      </c>
      <c r="BF806" s="2925">
        <f ca="1">IFERROR(BC806/BD806,0)</f>
        <v>0</v>
      </c>
      <c r="BG806" s="2147">
        <f ca="1">SUM(INDIRECT(BG$1&amp;BG$2&amp;$A806):INDIRECT(BG$1&amp;BG$3&amp;$A806))+SUM(INDIRECT(BG$1&amp;BG$2&amp;$B806):INDIRECT(BG$1&amp;BG$3&amp;$B806))</f>
        <v>0</v>
      </c>
      <c r="BH806" s="2924">
        <f ca="1">BC806-BG806</f>
        <v>0</v>
      </c>
      <c r="BI806" s="2925">
        <f ca="1">IFERROR(BC806/BG806,0)</f>
        <v>0</v>
      </c>
    </row>
    <row r="807" spans="1:61" ht="14.5">
      <c r="A807" s="1693">
        <f t="shared" si="1370"/>
        <v>799</v>
      </c>
      <c r="B807" s="616">
        <v>1</v>
      </c>
      <c r="C807" s="1693">
        <f t="shared" si="1369"/>
        <v>807</v>
      </c>
      <c r="D807" s="616">
        <v>1</v>
      </c>
      <c r="F807" s="69"/>
      <c r="H807" s="737"/>
      <c r="J807" s="86"/>
      <c r="K807" s="85"/>
      <c r="L807" s="68"/>
      <c r="M807" s="68"/>
      <c r="N807" s="11"/>
      <c r="O807" s="8" t="s">
        <v>526</v>
      </c>
      <c r="Q807" s="11"/>
      <c r="R807" s="1779" t="str">
        <f>CHOOSE(2, "6722000003718", "S/GP (5) Gross Profit Direct IMS RP service")</f>
        <v>S/GP (5) Gross Profit Direct IMS RP service</v>
      </c>
      <c r="S807" s="1218"/>
      <c r="T807" s="1225"/>
      <c r="U807" s="1218"/>
      <c r="V807" s="1218"/>
      <c r="W807" s="1218"/>
      <c r="X807" s="1218"/>
      <c r="Y807" s="1218"/>
      <c r="Z807" s="1218"/>
      <c r="AA807" s="1218"/>
      <c r="AB807" s="1218"/>
      <c r="AC807" s="1218"/>
      <c r="AD807" s="1218"/>
      <c r="AE807" s="87">
        <f>SUM(S807,T807,U807)</f>
        <v>0</v>
      </c>
      <c r="AF807" s="15">
        <f>SUM(V807,W807,X807)</f>
        <v>0</v>
      </c>
      <c r="AG807" s="15">
        <f>SUM(Y807,Z807,AA807)</f>
        <v>0</v>
      </c>
      <c r="AH807" s="15">
        <f>SUM(AB807,AC807,AD807)</f>
        <v>0</v>
      </c>
      <c r="AI807" s="15">
        <f>AE807+AF807</f>
        <v>0</v>
      </c>
      <c r="AJ807" s="15">
        <f>AH807+AG807</f>
        <v>0</v>
      </c>
      <c r="AK807" s="87">
        <f>AI807+AJ807</f>
        <v>0</v>
      </c>
      <c r="AM807" s="1928">
        <f ca="1">SUM((INDIRECT(AM$2&amp;(ROW())):INDIRECT(AM$3&amp;(ROW()))))</f>
        <v>0</v>
      </c>
      <c r="AN807" s="1927">
        <f ca="1">SUM(INDIRECT(AN$1&amp;AN$2&amp;$C807):INDIRECT(AN$1&amp;AN$3&amp;$C807))</f>
        <v>0</v>
      </c>
      <c r="AO807" s="2904">
        <f ca="1">AM807-AN807</f>
        <v>0</v>
      </c>
      <c r="AP807" s="2905">
        <f ca="1">IFERROR(AM807/AN807,0)</f>
        <v>0</v>
      </c>
      <c r="AQ807" s="2154">
        <f ca="1">SUM(INDIRECT(AQ$1&amp;AQ$2&amp;$A807):INDIRECT(AQ$1&amp;AQ$3&amp;$A807))+SUM(INDIRECT(AQ$1&amp;AQ$2&amp;$B807):INDIRECT(AQ$1&amp;AQ$3&amp;$B807))</f>
        <v>0</v>
      </c>
      <c r="AR807" s="2929">
        <f ca="1">AM807-AQ807</f>
        <v>0</v>
      </c>
      <c r="AS807" s="2930">
        <f ca="1">IFERROR(AM807/AQ807,0)</f>
        <v>0</v>
      </c>
      <c r="AT807" s="69"/>
      <c r="AU807" s="584">
        <f ca="1">SUM((INDIRECT(AU$2&amp;(ROW())):INDIRECT(AU$3&amp;(ROW()))))</f>
        <v>0</v>
      </c>
      <c r="AV807" s="2154">
        <f ca="1">SUM(INDIRECT(AV$1&amp;AV$2&amp;$C807):INDIRECT(AV$1&amp;AV$3&amp;$C807))</f>
        <v>0</v>
      </c>
      <c r="AW807" s="2929">
        <f ca="1">AU807-AV807</f>
        <v>0</v>
      </c>
      <c r="AX807" s="2930">
        <f ca="1">IFERROR(AU807/AV807,0)</f>
        <v>0</v>
      </c>
      <c r="AY807" s="2154">
        <f ca="1">SUM(INDIRECT(AY$1&amp;AY$2&amp;$A807):INDIRECT(AY$1&amp;AY$3&amp;$A807))+SUM(INDIRECT(AY$1&amp;AY$2&amp;$B807):INDIRECT(AY$1&amp;AY$3&amp;$B807))</f>
        <v>0</v>
      </c>
      <c r="AZ807" s="2929">
        <f ca="1">AU807-AY807</f>
        <v>0</v>
      </c>
      <c r="BA807" s="2930">
        <f ca="1">IFERROR(AU807/AY807,0)</f>
        <v>0</v>
      </c>
      <c r="BB807" s="69"/>
      <c r="BC807" s="584">
        <f ca="1">SUM((INDIRECT(BC$2&amp;(ROW())):INDIRECT(BC$3&amp;(ROW()))))</f>
        <v>0</v>
      </c>
      <c r="BD807" s="2154">
        <f ca="1">SUM(INDIRECT(BD$1&amp;BD$2&amp;$C807):INDIRECT(BD$1&amp;BD$3&amp;$C807))</f>
        <v>0</v>
      </c>
      <c r="BE807" s="2929">
        <f ca="1">BC807-BD807</f>
        <v>0</v>
      </c>
      <c r="BF807" s="2930">
        <f ca="1">IFERROR(BC807/BD807,0)</f>
        <v>0</v>
      </c>
      <c r="BG807" s="2154">
        <f ca="1">SUM(INDIRECT(BG$1&amp;BG$2&amp;$A807):INDIRECT(BG$1&amp;BG$3&amp;$A807))+SUM(INDIRECT(BG$1&amp;BG$2&amp;$B807):INDIRECT(BG$1&amp;BG$3&amp;$B807))</f>
        <v>0</v>
      </c>
      <c r="BH807" s="2929">
        <f ca="1">BC807-BG807</f>
        <v>0</v>
      </c>
      <c r="BI807" s="2930">
        <f ca="1">IFERROR(BC807/BG807,0)</f>
        <v>0</v>
      </c>
    </row>
    <row r="808" spans="1:61" ht="14.5">
      <c r="A808" s="1693">
        <f t="shared" si="1370"/>
        <v>800</v>
      </c>
      <c r="B808" s="616">
        <v>1</v>
      </c>
      <c r="C808" s="1693">
        <f t="shared" si="1369"/>
        <v>808</v>
      </c>
      <c r="D808" s="616">
        <v>657</v>
      </c>
      <c r="F808" s="69"/>
      <c r="H808" s="22"/>
      <c r="J808" s="86"/>
      <c r="K808" s="85"/>
      <c r="L808" s="68"/>
      <c r="M808" s="68"/>
      <c r="N808" s="3" t="s">
        <v>608</v>
      </c>
      <c r="O808" s="284"/>
      <c r="P808" s="284"/>
      <c r="Q808" s="285"/>
      <c r="R808" s="1777" t="str">
        <f>CHOOSE(2, "6722000003719", "S/GP (5) Gross Profit Direct ICW-IT")</f>
        <v>S/GP (5) Gross Profit Direct ICW-IT</v>
      </c>
      <c r="S808" s="1248">
        <f>SUM(S809:S812)</f>
        <v>0</v>
      </c>
      <c r="T808" s="1620">
        <f t="shared" ref="T808:AD808" si="1399">SUM(T809:T812)</f>
        <v>0</v>
      </c>
      <c r="U808" s="1248">
        <f t="shared" si="1399"/>
        <v>0</v>
      </c>
      <c r="V808" s="1248">
        <f t="shared" si="1399"/>
        <v>0</v>
      </c>
      <c r="W808" s="1248">
        <f t="shared" si="1399"/>
        <v>0</v>
      </c>
      <c r="X808" s="1248">
        <f t="shared" si="1399"/>
        <v>0</v>
      </c>
      <c r="Y808" s="1248">
        <f t="shared" si="1399"/>
        <v>0</v>
      </c>
      <c r="Z808" s="1248">
        <f t="shared" si="1399"/>
        <v>0</v>
      </c>
      <c r="AA808" s="1248">
        <f t="shared" si="1399"/>
        <v>66.12903</v>
      </c>
      <c r="AB808" s="1248">
        <f t="shared" si="1399"/>
        <v>0</v>
      </c>
      <c r="AC808" s="1248">
        <f t="shared" si="1399"/>
        <v>0</v>
      </c>
      <c r="AD808" s="1248">
        <f t="shared" si="1399"/>
        <v>0</v>
      </c>
      <c r="AE808" s="895">
        <f t="shared" ref="AE808:AK808" si="1400">SUM(AE809:AE812)</f>
        <v>0</v>
      </c>
      <c r="AF808" s="1248">
        <f t="shared" si="1400"/>
        <v>0</v>
      </c>
      <c r="AG808" s="1248">
        <f t="shared" si="1400"/>
        <v>66.12903</v>
      </c>
      <c r="AH808" s="1248">
        <f t="shared" si="1400"/>
        <v>0</v>
      </c>
      <c r="AI808" s="1248">
        <f t="shared" si="1400"/>
        <v>0</v>
      </c>
      <c r="AJ808" s="1248">
        <f t="shared" si="1400"/>
        <v>66.12903</v>
      </c>
      <c r="AK808" s="895">
        <f t="shared" si="1400"/>
        <v>66.12903</v>
      </c>
      <c r="AM808" s="2183">
        <f ca="1">SUM((INDIRECT(AM$2&amp;(ROW())):INDIRECT(AM$3&amp;(ROW()))))</f>
        <v>0</v>
      </c>
      <c r="AN808" s="2182">
        <f ca="1">SUM(INDIRECT(AN$1&amp;AN$2&amp;$C808):INDIRECT(AN$1&amp;AN$3&amp;$C808))</f>
        <v>0</v>
      </c>
      <c r="AO808" s="2931">
        <f t="shared" ca="1" si="1341"/>
        <v>0</v>
      </c>
      <c r="AP808" s="2932">
        <f t="shared" ca="1" si="1342"/>
        <v>0</v>
      </c>
      <c r="AQ808" s="2182">
        <f ca="1">SUM(INDIRECT(AQ$1&amp;AQ$2&amp;$A808):INDIRECT(AQ$1&amp;AQ$3&amp;$A808))+SUM(INDIRECT(AQ$1&amp;AQ$2&amp;$B808):INDIRECT(AQ$1&amp;AQ$3&amp;$B808))</f>
        <v>0</v>
      </c>
      <c r="AR808" s="2931">
        <f t="shared" ca="1" si="1344"/>
        <v>0</v>
      </c>
      <c r="AS808" s="2932">
        <f t="shared" ca="1" si="1345"/>
        <v>0</v>
      </c>
      <c r="AU808" s="2183">
        <f ca="1">SUM((INDIRECT(AU$2&amp;(ROW())):INDIRECT(AU$3&amp;(ROW()))))</f>
        <v>0</v>
      </c>
      <c r="AV808" s="2182">
        <f ca="1">SUM(INDIRECT(AV$1&amp;AV$2&amp;$C808):INDIRECT(AV$1&amp;AV$3&amp;$C808))</f>
        <v>0</v>
      </c>
      <c r="AW808" s="2931">
        <f t="shared" ca="1" si="1346"/>
        <v>0</v>
      </c>
      <c r="AX808" s="2932">
        <f t="shared" ca="1" si="1347"/>
        <v>0</v>
      </c>
      <c r="AY808" s="2182">
        <f ca="1">SUM(INDIRECT(AY$1&amp;AY$2&amp;$A808):INDIRECT(AY$1&amp;AY$3&amp;$A808))+SUM(INDIRECT(AY$1&amp;AY$2&amp;$B808):INDIRECT(AY$1&amp;AY$3&amp;$B808))</f>
        <v>0</v>
      </c>
      <c r="AZ808" s="2931">
        <f t="shared" ca="1" si="1349"/>
        <v>0</v>
      </c>
      <c r="BA808" s="2932">
        <f t="shared" ca="1" si="1350"/>
        <v>0</v>
      </c>
      <c r="BC808" s="2183">
        <f ca="1">SUM((INDIRECT(BC$2&amp;(ROW())):INDIRECT(BC$3&amp;(ROW()))))</f>
        <v>0</v>
      </c>
      <c r="BD808" s="2182">
        <f ca="1">SUM(INDIRECT(BD$1&amp;BD$2&amp;$C808):INDIRECT(BD$1&amp;BD$3&amp;$C808))</f>
        <v>0</v>
      </c>
      <c r="BE808" s="2931">
        <f t="shared" ca="1" si="1351"/>
        <v>0</v>
      </c>
      <c r="BF808" s="2932">
        <f t="shared" ca="1" si="1352"/>
        <v>0</v>
      </c>
      <c r="BG808" s="2182">
        <f ca="1">SUM(INDIRECT(BG$1&amp;BG$2&amp;$A808):INDIRECT(BG$1&amp;BG$3&amp;$A808))+SUM(INDIRECT(BG$1&amp;BG$2&amp;$B808):INDIRECT(BG$1&amp;BG$3&amp;$B808))</f>
        <v>0</v>
      </c>
      <c r="BH808" s="2931">
        <f t="shared" ca="1" si="1354"/>
        <v>0</v>
      </c>
      <c r="BI808" s="2932">
        <f t="shared" ca="1" si="1355"/>
        <v>0</v>
      </c>
    </row>
    <row r="809" spans="1:61" ht="14.5">
      <c r="A809" s="1693">
        <f t="shared" si="1370"/>
        <v>801</v>
      </c>
      <c r="B809" s="616">
        <v>1</v>
      </c>
      <c r="C809" s="1693">
        <f t="shared" si="1369"/>
        <v>809</v>
      </c>
      <c r="D809" s="616">
        <f>D808+1</f>
        <v>658</v>
      </c>
      <c r="F809" s="69"/>
      <c r="H809" s="22"/>
      <c r="J809" s="86"/>
      <c r="K809" s="85"/>
      <c r="L809" s="68"/>
      <c r="M809" s="68"/>
      <c r="O809" s="97" t="s">
        <v>523</v>
      </c>
      <c r="P809" s="97"/>
      <c r="Q809" s="97"/>
      <c r="R809" s="1779" t="str">
        <f>CHOOSE(2, "6722000003720", "S/GP (5) Gross Profit Direct ICW-IT OSP")</f>
        <v>S/GP (5) Gross Profit Direct ICW-IT OSP</v>
      </c>
      <c r="S809" s="1227"/>
      <c r="T809" s="1247"/>
      <c r="U809" s="1227"/>
      <c r="V809" s="1227"/>
      <c r="W809" s="1227"/>
      <c r="X809" s="1227"/>
      <c r="Y809" s="1227"/>
      <c r="Z809" s="1227"/>
      <c r="AA809" s="1227">
        <v>66.12903</v>
      </c>
      <c r="AB809" s="1227"/>
      <c r="AC809" s="1227"/>
      <c r="AD809" s="1227"/>
      <c r="AE809" s="295">
        <f>SUM(S809,T809,U809)</f>
        <v>0</v>
      </c>
      <c r="AF809" s="96">
        <f>SUM(V809,W809,X809)</f>
        <v>0</v>
      </c>
      <c r="AG809" s="96">
        <f>SUM(Y809,Z809,AA809)</f>
        <v>66.12903</v>
      </c>
      <c r="AH809" s="96">
        <f>SUM(AB809,AC809,AD809)</f>
        <v>0</v>
      </c>
      <c r="AI809" s="96">
        <f>AE809+AF809</f>
        <v>0</v>
      </c>
      <c r="AJ809" s="96">
        <f>AH809+AG809</f>
        <v>66.12903</v>
      </c>
      <c r="AK809" s="295">
        <f>AI809+AJ809</f>
        <v>66.12903</v>
      </c>
      <c r="AM809" s="2161">
        <f ca="1">SUM((INDIRECT(AM$2&amp;(ROW())):INDIRECT(AM$3&amp;(ROW()))))</f>
        <v>0</v>
      </c>
      <c r="AN809" s="2160">
        <f ca="1">SUM(INDIRECT(AN$1&amp;AN$2&amp;$C809):INDIRECT(AN$1&amp;AN$3&amp;$C809))</f>
        <v>0</v>
      </c>
      <c r="AO809" s="2900">
        <f t="shared" ca="1" si="1341"/>
        <v>0</v>
      </c>
      <c r="AP809" s="2901">
        <f t="shared" ca="1" si="1342"/>
        <v>0</v>
      </c>
      <c r="AQ809" s="2160">
        <f ca="1">SUM(INDIRECT(AQ$1&amp;AQ$2&amp;$A809):INDIRECT(AQ$1&amp;AQ$3&amp;$A809))+SUM(INDIRECT(AQ$1&amp;AQ$2&amp;$B809):INDIRECT(AQ$1&amp;AQ$3&amp;$B809))</f>
        <v>0</v>
      </c>
      <c r="AR809" s="2900">
        <f t="shared" ca="1" si="1344"/>
        <v>0</v>
      </c>
      <c r="AS809" s="2901">
        <f t="shared" ca="1" si="1345"/>
        <v>0</v>
      </c>
      <c r="AU809" s="2161">
        <f ca="1">SUM((INDIRECT(AU$2&amp;(ROW())):INDIRECT(AU$3&amp;(ROW()))))</f>
        <v>0</v>
      </c>
      <c r="AV809" s="2160">
        <f ca="1">SUM(INDIRECT(AV$1&amp;AV$2&amp;$C809):INDIRECT(AV$1&amp;AV$3&amp;$C809))</f>
        <v>0</v>
      </c>
      <c r="AW809" s="2900">
        <f t="shared" ca="1" si="1346"/>
        <v>0</v>
      </c>
      <c r="AX809" s="2901">
        <f t="shared" ca="1" si="1347"/>
        <v>0</v>
      </c>
      <c r="AY809" s="2160">
        <f ca="1">SUM(INDIRECT(AY$1&amp;AY$2&amp;$A809):INDIRECT(AY$1&amp;AY$3&amp;$A809))+SUM(INDIRECT(AY$1&amp;AY$2&amp;$B809):INDIRECT(AY$1&amp;AY$3&amp;$B809))</f>
        <v>0</v>
      </c>
      <c r="AZ809" s="2900">
        <f t="shared" ca="1" si="1349"/>
        <v>0</v>
      </c>
      <c r="BA809" s="2901">
        <f t="shared" ca="1" si="1350"/>
        <v>0</v>
      </c>
      <c r="BC809" s="2161">
        <f ca="1">SUM((INDIRECT(BC$2&amp;(ROW())):INDIRECT(BC$3&amp;(ROW()))))</f>
        <v>0</v>
      </c>
      <c r="BD809" s="2160">
        <f ca="1">SUM(INDIRECT(BD$1&amp;BD$2&amp;$C809):INDIRECT(BD$1&amp;BD$3&amp;$C809))</f>
        <v>0</v>
      </c>
      <c r="BE809" s="2900">
        <f t="shared" ca="1" si="1351"/>
        <v>0</v>
      </c>
      <c r="BF809" s="2901">
        <f t="shared" ca="1" si="1352"/>
        <v>0</v>
      </c>
      <c r="BG809" s="2160">
        <f ca="1">SUM(INDIRECT(BG$1&amp;BG$2&amp;$A809):INDIRECT(BG$1&amp;BG$3&amp;$A809))+SUM(INDIRECT(BG$1&amp;BG$2&amp;$B809):INDIRECT(BG$1&amp;BG$3&amp;$B809))</f>
        <v>0</v>
      </c>
      <c r="BH809" s="2900">
        <f t="shared" ca="1" si="1354"/>
        <v>0</v>
      </c>
      <c r="BI809" s="2901">
        <f t="shared" ca="1" si="1355"/>
        <v>0</v>
      </c>
    </row>
    <row r="810" spans="1:61" ht="14.5">
      <c r="A810" s="1693">
        <f t="shared" si="1370"/>
        <v>802</v>
      </c>
      <c r="B810" s="616">
        <v>1</v>
      </c>
      <c r="C810" s="1693">
        <f t="shared" si="1369"/>
        <v>810</v>
      </c>
      <c r="D810" s="616">
        <f>D809+1</f>
        <v>659</v>
      </c>
      <c r="F810" s="69"/>
      <c r="H810" s="22"/>
      <c r="J810" s="86"/>
      <c r="K810" s="85"/>
      <c r="L810" s="68"/>
      <c r="M810" s="68"/>
      <c r="O810" s="8" t="s">
        <v>524</v>
      </c>
      <c r="R810" s="1779" t="str">
        <f>CHOOSE(2, "6722000003721", "S/GP (5) Gross Profit Direct ICW-IT RP")</f>
        <v>S/GP (5) Gross Profit Direct ICW-IT RP</v>
      </c>
      <c r="S810" s="1217"/>
      <c r="T810" s="1224"/>
      <c r="U810" s="1217"/>
      <c r="V810" s="1217"/>
      <c r="W810" s="1217"/>
      <c r="X810" s="1217"/>
      <c r="Y810" s="1217"/>
      <c r="Z810" s="1217"/>
      <c r="AA810" s="1217"/>
      <c r="AB810" s="1217"/>
      <c r="AC810" s="1217"/>
      <c r="AD810" s="1217"/>
      <c r="AE810" s="88">
        <f>SUM(S810,T810,U810)</f>
        <v>0</v>
      </c>
      <c r="AF810" s="17">
        <f>SUM(V810,W810,X810)</f>
        <v>0</v>
      </c>
      <c r="AG810" s="17">
        <f>SUM(Y810,Z810,AA810)</f>
        <v>0</v>
      </c>
      <c r="AH810" s="17">
        <f>SUM(AB810,AC810,AD810)</f>
        <v>0</v>
      </c>
      <c r="AI810" s="17">
        <f>AE810+AF810</f>
        <v>0</v>
      </c>
      <c r="AJ810" s="17">
        <f>AH810+AG810</f>
        <v>0</v>
      </c>
      <c r="AK810" s="88">
        <f>AI810+AJ810</f>
        <v>0</v>
      </c>
      <c r="AM810" s="1926">
        <f ca="1">SUM((INDIRECT(AM$2&amp;(ROW())):INDIRECT(AM$3&amp;(ROW()))))</f>
        <v>0</v>
      </c>
      <c r="AN810" s="1925">
        <f ca="1">SUM(INDIRECT(AN$1&amp;AN$2&amp;$C810):INDIRECT(AN$1&amp;AN$3&amp;$C810))</f>
        <v>0</v>
      </c>
      <c r="AO810" s="2902">
        <f t="shared" ca="1" si="1341"/>
        <v>0</v>
      </c>
      <c r="AP810" s="2903">
        <f t="shared" ca="1" si="1342"/>
        <v>0</v>
      </c>
      <c r="AQ810" s="1925">
        <f ca="1">SUM(INDIRECT(AQ$1&amp;AQ$2&amp;$A810):INDIRECT(AQ$1&amp;AQ$3&amp;$A810))+SUM(INDIRECT(AQ$1&amp;AQ$2&amp;$B810):INDIRECT(AQ$1&amp;AQ$3&amp;$B810))</f>
        <v>0</v>
      </c>
      <c r="AR810" s="2902">
        <f t="shared" ca="1" si="1344"/>
        <v>0</v>
      </c>
      <c r="AS810" s="2903">
        <f t="shared" ca="1" si="1345"/>
        <v>0</v>
      </c>
      <c r="AU810" s="1926">
        <f ca="1">SUM((INDIRECT(AU$2&amp;(ROW())):INDIRECT(AU$3&amp;(ROW()))))</f>
        <v>0</v>
      </c>
      <c r="AV810" s="1925">
        <f ca="1">SUM(INDIRECT(AV$1&amp;AV$2&amp;$C810):INDIRECT(AV$1&amp;AV$3&amp;$C810))</f>
        <v>0</v>
      </c>
      <c r="AW810" s="2902">
        <f t="shared" ca="1" si="1346"/>
        <v>0</v>
      </c>
      <c r="AX810" s="2903">
        <f t="shared" ca="1" si="1347"/>
        <v>0</v>
      </c>
      <c r="AY810" s="1925">
        <f ca="1">SUM(INDIRECT(AY$1&amp;AY$2&amp;$A810):INDIRECT(AY$1&amp;AY$3&amp;$A810))+SUM(INDIRECT(AY$1&amp;AY$2&amp;$B810):INDIRECT(AY$1&amp;AY$3&amp;$B810))</f>
        <v>0</v>
      </c>
      <c r="AZ810" s="2902">
        <f t="shared" ca="1" si="1349"/>
        <v>0</v>
      </c>
      <c r="BA810" s="2903">
        <f t="shared" ca="1" si="1350"/>
        <v>0</v>
      </c>
      <c r="BC810" s="1926">
        <f ca="1">SUM((INDIRECT(BC$2&amp;(ROW())):INDIRECT(BC$3&amp;(ROW()))))</f>
        <v>0</v>
      </c>
      <c r="BD810" s="1925">
        <f ca="1">SUM(INDIRECT(BD$1&amp;BD$2&amp;$C810):INDIRECT(BD$1&amp;BD$3&amp;$C810))</f>
        <v>0</v>
      </c>
      <c r="BE810" s="2902">
        <f t="shared" ca="1" si="1351"/>
        <v>0</v>
      </c>
      <c r="BF810" s="2903">
        <f t="shared" ca="1" si="1352"/>
        <v>0</v>
      </c>
      <c r="BG810" s="1925">
        <f ca="1">SUM(INDIRECT(BG$1&amp;BG$2&amp;$A810):INDIRECT(BG$1&amp;BG$3&amp;$A810))+SUM(INDIRECT(BG$1&amp;BG$2&amp;$B810):INDIRECT(BG$1&amp;BG$3&amp;$B810))</f>
        <v>0</v>
      </c>
      <c r="BH810" s="2902">
        <f t="shared" ca="1" si="1354"/>
        <v>0</v>
      </c>
      <c r="BI810" s="2903">
        <f t="shared" ca="1" si="1355"/>
        <v>0</v>
      </c>
    </row>
    <row r="811" spans="1:61" ht="14.5">
      <c r="A811" s="1693">
        <f t="shared" si="1370"/>
        <v>803</v>
      </c>
      <c r="B811" s="616">
        <v>1</v>
      </c>
      <c r="C811" s="1693">
        <f t="shared" si="1369"/>
        <v>811</v>
      </c>
      <c r="D811" s="616">
        <v>1</v>
      </c>
      <c r="F811" s="69"/>
      <c r="H811" s="22"/>
      <c r="J811" s="86"/>
      <c r="K811" s="85"/>
      <c r="L811" s="68"/>
      <c r="M811" s="68"/>
      <c r="O811" s="8" t="s">
        <v>525</v>
      </c>
      <c r="R811" s="1779" t="str">
        <f>CHOOSE(2, "6722000003722", "S/GP (5) Gross Profit Direct ICW-IT OSP service")</f>
        <v>S/GP (5) Gross Profit Direct ICW-IT OSP service</v>
      </c>
      <c r="S811" s="1217"/>
      <c r="T811" s="1217"/>
      <c r="U811" s="1217"/>
      <c r="V811" s="1217"/>
      <c r="W811" s="1217"/>
      <c r="X811" s="1217"/>
      <c r="Y811" s="1217"/>
      <c r="Z811" s="1217"/>
      <c r="AA811" s="1217"/>
      <c r="AB811" s="1217"/>
      <c r="AC811" s="1217"/>
      <c r="AD811" s="1217"/>
      <c r="AE811" s="88">
        <f>SUM(S811,T811,U811)</f>
        <v>0</v>
      </c>
      <c r="AF811" s="17">
        <f>SUM(V811,W811,X811)</f>
        <v>0</v>
      </c>
      <c r="AG811" s="17">
        <f>SUM(Y811,Z811,AA811)</f>
        <v>0</v>
      </c>
      <c r="AH811" s="17">
        <f>SUM(AB811,AC811,AD811)</f>
        <v>0</v>
      </c>
      <c r="AI811" s="17">
        <f>AE811+AF811</f>
        <v>0</v>
      </c>
      <c r="AJ811" s="17">
        <f>AH811+AG811</f>
        <v>0</v>
      </c>
      <c r="AK811" s="88">
        <f>AI811+AJ811</f>
        <v>0</v>
      </c>
      <c r="AM811" s="1926">
        <f ca="1">SUM((INDIRECT(AM$2&amp;(ROW())):INDIRECT(AM$3&amp;(ROW()))))</f>
        <v>0</v>
      </c>
      <c r="AN811" s="1925">
        <f ca="1">SUM(INDIRECT(AN$1&amp;AN$2&amp;$C811):INDIRECT(AN$1&amp;AN$3&amp;$C811))</f>
        <v>0</v>
      </c>
      <c r="AO811" s="2902">
        <f t="shared" ca="1" si="1341"/>
        <v>0</v>
      </c>
      <c r="AP811" s="2903">
        <f t="shared" ca="1" si="1342"/>
        <v>0</v>
      </c>
      <c r="AQ811" s="1925">
        <f ca="1">SUM(INDIRECT(AQ$1&amp;AQ$2&amp;$A811):INDIRECT(AQ$1&amp;AQ$3&amp;$A811))+SUM(INDIRECT(AQ$1&amp;AQ$2&amp;$B811):INDIRECT(AQ$1&amp;AQ$3&amp;$B811))</f>
        <v>0</v>
      </c>
      <c r="AR811" s="2902">
        <f t="shared" ca="1" si="1344"/>
        <v>0</v>
      </c>
      <c r="AS811" s="2903">
        <f t="shared" ca="1" si="1345"/>
        <v>0</v>
      </c>
      <c r="AU811" s="1926">
        <f ca="1">SUM((INDIRECT(AU$2&amp;(ROW())):INDIRECT(AU$3&amp;(ROW()))))</f>
        <v>0</v>
      </c>
      <c r="AV811" s="1925">
        <f ca="1">SUM(INDIRECT(AV$1&amp;AV$2&amp;$C811):INDIRECT(AV$1&amp;AV$3&amp;$C811))</f>
        <v>0</v>
      </c>
      <c r="AW811" s="2902">
        <f t="shared" ca="1" si="1346"/>
        <v>0</v>
      </c>
      <c r="AX811" s="2903">
        <f t="shared" ca="1" si="1347"/>
        <v>0</v>
      </c>
      <c r="AY811" s="1925">
        <f ca="1">SUM(INDIRECT(AY$1&amp;AY$2&amp;$A811):INDIRECT(AY$1&amp;AY$3&amp;$A811))+SUM(INDIRECT(AY$1&amp;AY$2&amp;$B811):INDIRECT(AY$1&amp;AY$3&amp;$B811))</f>
        <v>0</v>
      </c>
      <c r="AZ811" s="2902">
        <f t="shared" ca="1" si="1349"/>
        <v>0</v>
      </c>
      <c r="BA811" s="2903">
        <f t="shared" ca="1" si="1350"/>
        <v>0</v>
      </c>
      <c r="BC811" s="1926">
        <f ca="1">SUM((INDIRECT(BC$2&amp;(ROW())):INDIRECT(BC$3&amp;(ROW()))))</f>
        <v>0</v>
      </c>
      <c r="BD811" s="1925">
        <f ca="1">SUM(INDIRECT(BD$1&amp;BD$2&amp;$C811):INDIRECT(BD$1&amp;BD$3&amp;$C811))</f>
        <v>0</v>
      </c>
      <c r="BE811" s="2902">
        <f t="shared" ca="1" si="1351"/>
        <v>0</v>
      </c>
      <c r="BF811" s="2903">
        <f t="shared" ca="1" si="1352"/>
        <v>0</v>
      </c>
      <c r="BG811" s="1925">
        <f ca="1">SUM(INDIRECT(BG$1&amp;BG$2&amp;$A811):INDIRECT(BG$1&amp;BG$3&amp;$A811))+SUM(INDIRECT(BG$1&amp;BG$2&amp;$B811):INDIRECT(BG$1&amp;BG$3&amp;$B811))</f>
        <v>0</v>
      </c>
      <c r="BH811" s="2902">
        <f t="shared" ca="1" si="1354"/>
        <v>0</v>
      </c>
      <c r="BI811" s="2903">
        <f t="shared" ca="1" si="1355"/>
        <v>0</v>
      </c>
    </row>
    <row r="812" spans="1:61" ht="14.5">
      <c r="A812" s="1693">
        <f t="shared" si="1370"/>
        <v>804</v>
      </c>
      <c r="B812" s="616">
        <v>1</v>
      </c>
      <c r="C812" s="1693">
        <f t="shared" si="1369"/>
        <v>812</v>
      </c>
      <c r="D812" s="616">
        <v>1</v>
      </c>
      <c r="F812" s="69"/>
      <c r="H812" s="22"/>
      <c r="J812" s="86"/>
      <c r="K812" s="85"/>
      <c r="L812" s="68"/>
      <c r="M812" s="68"/>
      <c r="O812" s="8" t="s">
        <v>526</v>
      </c>
      <c r="Q812" s="11"/>
      <c r="R812" s="1779" t="str">
        <f>CHOOSE(2, "6722000003723", "S/GP (5) Gross Profit Direct ICW-IT RP service")</f>
        <v>S/GP (5) Gross Profit Direct ICW-IT RP service</v>
      </c>
      <c r="S812" s="1218"/>
      <c r="T812" s="1218"/>
      <c r="U812" s="1218"/>
      <c r="V812" s="1218"/>
      <c r="W812" s="1218"/>
      <c r="X812" s="1218"/>
      <c r="Y812" s="1218"/>
      <c r="Z812" s="1218"/>
      <c r="AA812" s="1218"/>
      <c r="AB812" s="1218"/>
      <c r="AC812" s="1218"/>
      <c r="AD812" s="1218"/>
      <c r="AE812" s="87">
        <f>SUM(S812,T812,U812)</f>
        <v>0</v>
      </c>
      <c r="AF812" s="15">
        <f>SUM(V812,W812,X812)</f>
        <v>0</v>
      </c>
      <c r="AG812" s="15">
        <f>SUM(Y812,Z812,AA812)</f>
        <v>0</v>
      </c>
      <c r="AH812" s="15">
        <f>SUM(AB812,AC812,AD812)</f>
        <v>0</v>
      </c>
      <c r="AI812" s="15">
        <f>AE812+AF812</f>
        <v>0</v>
      </c>
      <c r="AJ812" s="15">
        <f>AH812+AG812</f>
        <v>0</v>
      </c>
      <c r="AK812" s="87">
        <f>AI812+AJ812</f>
        <v>0</v>
      </c>
      <c r="AM812" s="1928">
        <f ca="1">SUM((INDIRECT(AM$2&amp;(ROW())):INDIRECT(AM$3&amp;(ROW()))))</f>
        <v>0</v>
      </c>
      <c r="AN812" s="1927">
        <f ca="1">SUM(INDIRECT(AN$1&amp;AN$2&amp;$C812):INDIRECT(AN$1&amp;AN$3&amp;$C812))</f>
        <v>0</v>
      </c>
      <c r="AO812" s="2904">
        <f t="shared" ca="1" si="1341"/>
        <v>0</v>
      </c>
      <c r="AP812" s="2905">
        <f t="shared" ca="1" si="1342"/>
        <v>0</v>
      </c>
      <c r="AQ812" s="1927">
        <f ca="1">SUM(INDIRECT(AQ$1&amp;AQ$2&amp;$A812):INDIRECT(AQ$1&amp;AQ$3&amp;$A812))+SUM(INDIRECT(AQ$1&amp;AQ$2&amp;$B812):INDIRECT(AQ$1&amp;AQ$3&amp;$B812))</f>
        <v>0</v>
      </c>
      <c r="AR812" s="2904">
        <f t="shared" ca="1" si="1344"/>
        <v>0</v>
      </c>
      <c r="AS812" s="2905">
        <f t="shared" ca="1" si="1345"/>
        <v>0</v>
      </c>
      <c r="AU812" s="1928">
        <f ca="1">SUM((INDIRECT(AU$2&amp;(ROW())):INDIRECT(AU$3&amp;(ROW()))))</f>
        <v>0</v>
      </c>
      <c r="AV812" s="1927">
        <f ca="1">SUM(INDIRECT(AV$1&amp;AV$2&amp;$C812):INDIRECT(AV$1&amp;AV$3&amp;$C812))</f>
        <v>0</v>
      </c>
      <c r="AW812" s="2904">
        <f t="shared" ca="1" si="1346"/>
        <v>0</v>
      </c>
      <c r="AX812" s="2905">
        <f t="shared" ca="1" si="1347"/>
        <v>0</v>
      </c>
      <c r="AY812" s="1927">
        <f ca="1">SUM(INDIRECT(AY$1&amp;AY$2&amp;$A812):INDIRECT(AY$1&amp;AY$3&amp;$A812))+SUM(INDIRECT(AY$1&amp;AY$2&amp;$B812):INDIRECT(AY$1&amp;AY$3&amp;$B812))</f>
        <v>0</v>
      </c>
      <c r="AZ812" s="2904">
        <f t="shared" ca="1" si="1349"/>
        <v>0</v>
      </c>
      <c r="BA812" s="2905">
        <f t="shared" ca="1" si="1350"/>
        <v>0</v>
      </c>
      <c r="BC812" s="1928">
        <f ca="1">SUM((INDIRECT(BC$2&amp;(ROW())):INDIRECT(BC$3&amp;(ROW()))))</f>
        <v>0</v>
      </c>
      <c r="BD812" s="1927">
        <f ca="1">SUM(INDIRECT(BD$1&amp;BD$2&amp;$C812):INDIRECT(BD$1&amp;BD$3&amp;$C812))</f>
        <v>0</v>
      </c>
      <c r="BE812" s="2904">
        <f t="shared" ca="1" si="1351"/>
        <v>0</v>
      </c>
      <c r="BF812" s="2905">
        <f t="shared" ca="1" si="1352"/>
        <v>0</v>
      </c>
      <c r="BG812" s="1927">
        <f ca="1">SUM(INDIRECT(BG$1&amp;BG$2&amp;$A812):INDIRECT(BG$1&amp;BG$3&amp;$A812))+SUM(INDIRECT(BG$1&amp;BG$2&amp;$B812):INDIRECT(BG$1&amp;BG$3&amp;$B812))</f>
        <v>0</v>
      </c>
      <c r="BH812" s="2904">
        <f t="shared" ca="1" si="1354"/>
        <v>0</v>
      </c>
      <c r="BI812" s="2905">
        <f t="shared" ca="1" si="1355"/>
        <v>0</v>
      </c>
    </row>
    <row r="813" spans="1:61" ht="14.5">
      <c r="A813" s="1693">
        <f t="shared" si="1370"/>
        <v>805</v>
      </c>
      <c r="B813" s="616">
        <v>1</v>
      </c>
      <c r="C813" s="1693">
        <f t="shared" si="1369"/>
        <v>813</v>
      </c>
      <c r="D813" s="616">
        <v>1</v>
      </c>
      <c r="F813" s="69"/>
      <c r="H813" s="22"/>
      <c r="J813" s="86"/>
      <c r="K813" s="85"/>
      <c r="L813" s="68"/>
      <c r="M813" s="68"/>
      <c r="N813" s="65" t="s">
        <v>419</v>
      </c>
      <c r="O813" s="284"/>
      <c r="P813" s="284"/>
      <c r="Q813" s="284"/>
      <c r="R813" s="1777" t="str">
        <f>CHOOSE(2, "6722000003724", "S/GP (5) Gross Profit Direct MCS")</f>
        <v>S/GP (5) Gross Profit Direct MCS</v>
      </c>
      <c r="S813" s="1248">
        <f>SUM(S814:S817)</f>
        <v>-103</v>
      </c>
      <c r="T813" s="1620">
        <f t="shared" ref="T813:AD813" si="1401">SUM(T814:T817)</f>
        <v>690</v>
      </c>
      <c r="U813" s="1248">
        <f t="shared" si="1401"/>
        <v>227.60400000000001</v>
      </c>
      <c r="V813" s="1248">
        <f t="shared" si="1401"/>
        <v>339.50799999999998</v>
      </c>
      <c r="W813" s="1248">
        <f t="shared" si="1401"/>
        <v>488</v>
      </c>
      <c r="X813" s="1248">
        <f t="shared" si="1401"/>
        <v>1467.963</v>
      </c>
      <c r="Y813" s="1248">
        <f t="shared" si="1401"/>
        <v>56.046500000000002</v>
      </c>
      <c r="Z813" s="1248">
        <f t="shared" si="1401"/>
        <v>782.38900000000001</v>
      </c>
      <c r="AA813" s="1248">
        <f t="shared" si="1401"/>
        <v>0</v>
      </c>
      <c r="AB813" s="1248">
        <f t="shared" si="1401"/>
        <v>856</v>
      </c>
      <c r="AC813" s="1248">
        <f t="shared" si="1401"/>
        <v>0</v>
      </c>
      <c r="AD813" s="1248">
        <f t="shared" si="1401"/>
        <v>1224.04017</v>
      </c>
      <c r="AE813" s="895">
        <f t="shared" ref="AE813:AK813" si="1402">SUM(AE814:AE817)</f>
        <v>814.60400000000004</v>
      </c>
      <c r="AF813" s="1248">
        <f t="shared" si="1402"/>
        <v>2295.471</v>
      </c>
      <c r="AG813" s="1248">
        <f t="shared" si="1402"/>
        <v>838.43550000000005</v>
      </c>
      <c r="AH813" s="1248">
        <f t="shared" si="1402"/>
        <v>2080.0401700000002</v>
      </c>
      <c r="AI813" s="1248">
        <f t="shared" si="1402"/>
        <v>3110.0749999999998</v>
      </c>
      <c r="AJ813" s="1248">
        <f t="shared" si="1402"/>
        <v>2918.4756700000003</v>
      </c>
      <c r="AK813" s="895">
        <f t="shared" si="1402"/>
        <v>6028.5506700000005</v>
      </c>
      <c r="AM813" s="2183">
        <f ca="1">SUM((INDIRECT(AM$2&amp;(ROW())):INDIRECT(AM$3&amp;(ROW()))))</f>
        <v>-103</v>
      </c>
      <c r="AN813" s="2182">
        <f ca="1">SUM(INDIRECT(AN$1&amp;AN$2&amp;$C813):INDIRECT(AN$1&amp;AN$3&amp;$C813))</f>
        <v>220</v>
      </c>
      <c r="AO813" s="2931">
        <f t="shared" ca="1" si="1341"/>
        <v>-323</v>
      </c>
      <c r="AP813" s="2932">
        <f t="shared" ca="1" si="1342"/>
        <v>-0.4681818181818182</v>
      </c>
      <c r="AQ813" s="2182">
        <f ca="1">SUM(INDIRECT(AQ$1&amp;AQ$2&amp;$A813):INDIRECT(AQ$1&amp;AQ$3&amp;$A813))+SUM(INDIRECT(AQ$1&amp;AQ$2&amp;$B813):INDIRECT(AQ$1&amp;AQ$3&amp;$B813))</f>
        <v>155</v>
      </c>
      <c r="AR813" s="2931">
        <f t="shared" ca="1" si="1344"/>
        <v>-258</v>
      </c>
      <c r="AS813" s="2932">
        <f t="shared" ca="1" si="1345"/>
        <v>-0.6645161290322581</v>
      </c>
      <c r="AU813" s="2183">
        <f ca="1">SUM((INDIRECT(AU$2&amp;(ROW())):INDIRECT(AU$3&amp;(ROW()))))</f>
        <v>-103</v>
      </c>
      <c r="AV813" s="2182">
        <f ca="1">SUM(INDIRECT(AV$1&amp;AV$2&amp;$C813):INDIRECT(AV$1&amp;AV$3&amp;$C813))</f>
        <v>220</v>
      </c>
      <c r="AW813" s="2931">
        <f t="shared" ca="1" si="1346"/>
        <v>-323</v>
      </c>
      <c r="AX813" s="2932">
        <f t="shared" ca="1" si="1347"/>
        <v>-0.4681818181818182</v>
      </c>
      <c r="AY813" s="2182">
        <f ca="1">SUM(INDIRECT(AY$1&amp;AY$2&amp;$A813):INDIRECT(AY$1&amp;AY$3&amp;$A813))+SUM(INDIRECT(AY$1&amp;AY$2&amp;$B813):INDIRECT(AY$1&amp;AY$3&amp;$B813))</f>
        <v>155</v>
      </c>
      <c r="AZ813" s="2931">
        <f t="shared" ca="1" si="1349"/>
        <v>-258</v>
      </c>
      <c r="BA813" s="2932">
        <f t="shared" ca="1" si="1350"/>
        <v>-0.6645161290322581</v>
      </c>
      <c r="BC813" s="2183">
        <f ca="1">SUM((INDIRECT(BC$2&amp;(ROW())):INDIRECT(BC$3&amp;(ROW()))))</f>
        <v>-103</v>
      </c>
      <c r="BD813" s="2182">
        <f ca="1">SUM(INDIRECT(BD$1&amp;BD$2&amp;$C813):INDIRECT(BD$1&amp;BD$3&amp;$C813))</f>
        <v>220</v>
      </c>
      <c r="BE813" s="2931">
        <f t="shared" ca="1" si="1351"/>
        <v>-323</v>
      </c>
      <c r="BF813" s="2932">
        <f t="shared" ca="1" si="1352"/>
        <v>-0.4681818181818182</v>
      </c>
      <c r="BG813" s="2182">
        <f ca="1">SUM(INDIRECT(BG$1&amp;BG$2&amp;$A813):INDIRECT(BG$1&amp;BG$3&amp;$A813))+SUM(INDIRECT(BG$1&amp;BG$2&amp;$B813):INDIRECT(BG$1&amp;BG$3&amp;$B813))</f>
        <v>155</v>
      </c>
      <c r="BH813" s="2931">
        <f t="shared" ca="1" si="1354"/>
        <v>-258</v>
      </c>
      <c r="BI813" s="2932">
        <f t="shared" ca="1" si="1355"/>
        <v>-0.6645161290322581</v>
      </c>
    </row>
    <row r="814" spans="1:61" ht="14.5">
      <c r="A814" s="1693">
        <f t="shared" si="1370"/>
        <v>806</v>
      </c>
      <c r="B814" s="616">
        <v>1</v>
      </c>
      <c r="C814" s="1693">
        <f t="shared" si="1369"/>
        <v>814</v>
      </c>
      <c r="D814" s="616">
        <v>1</v>
      </c>
      <c r="F814" s="69"/>
      <c r="H814" s="22"/>
      <c r="J814" s="86"/>
      <c r="K814" s="85"/>
      <c r="L814" s="68"/>
      <c r="M814" s="68"/>
      <c r="O814" s="97" t="s">
        <v>523</v>
      </c>
      <c r="P814" s="97"/>
      <c r="Q814" s="97"/>
      <c r="R814" s="1779" t="str">
        <f>CHOOSE(2, "6722000003725", "S/GP (5) Gross Profit Direct MCS OSP")</f>
        <v>S/GP (5) Gross Profit Direct MCS OSP</v>
      </c>
      <c r="S814" s="1227"/>
      <c r="T814" s="1247"/>
      <c r="U814" s="1227"/>
      <c r="V814" s="1227"/>
      <c r="W814" s="1227"/>
      <c r="X814" s="1227"/>
      <c r="Y814" s="1227"/>
      <c r="Z814" s="1227"/>
      <c r="AA814" s="1227"/>
      <c r="AB814" s="1227"/>
      <c r="AC814" s="1227"/>
      <c r="AD814" s="1227"/>
      <c r="AE814" s="295">
        <f>SUM(S814,T814,U814)</f>
        <v>0</v>
      </c>
      <c r="AF814" s="96">
        <f>SUM(V814,W814,X814)</f>
        <v>0</v>
      </c>
      <c r="AG814" s="96">
        <f>SUM(Y814,Z814,AA814)</f>
        <v>0</v>
      </c>
      <c r="AH814" s="96">
        <f>SUM(AB814,AC814,AD814)</f>
        <v>0</v>
      </c>
      <c r="AI814" s="96">
        <f>AE814+AF814</f>
        <v>0</v>
      </c>
      <c r="AJ814" s="96">
        <f>AH814+AG814</f>
        <v>0</v>
      </c>
      <c r="AK814" s="295">
        <f>AI814+AJ814</f>
        <v>0</v>
      </c>
      <c r="AM814" s="2161">
        <f ca="1">SUM((INDIRECT(AM$2&amp;(ROW())):INDIRECT(AM$3&amp;(ROW()))))</f>
        <v>0</v>
      </c>
      <c r="AN814" s="2160">
        <f ca="1">SUM(INDIRECT(AN$1&amp;AN$2&amp;$C814):INDIRECT(AN$1&amp;AN$3&amp;$C814))</f>
        <v>0</v>
      </c>
      <c r="AO814" s="2900">
        <f t="shared" ca="1" si="1341"/>
        <v>0</v>
      </c>
      <c r="AP814" s="2901">
        <f t="shared" ca="1" si="1342"/>
        <v>0</v>
      </c>
      <c r="AQ814" s="2160">
        <f ca="1">SUM(INDIRECT(AQ$1&amp;AQ$2&amp;$A814):INDIRECT(AQ$1&amp;AQ$3&amp;$A814))+SUM(INDIRECT(AQ$1&amp;AQ$2&amp;$B814):INDIRECT(AQ$1&amp;AQ$3&amp;$B814))</f>
        <v>0</v>
      </c>
      <c r="AR814" s="2900">
        <f t="shared" ca="1" si="1344"/>
        <v>0</v>
      </c>
      <c r="AS814" s="2901">
        <f t="shared" ca="1" si="1345"/>
        <v>0</v>
      </c>
      <c r="AU814" s="2161">
        <f ca="1">SUM((INDIRECT(AU$2&amp;(ROW())):INDIRECT(AU$3&amp;(ROW()))))</f>
        <v>0</v>
      </c>
      <c r="AV814" s="2160">
        <f ca="1">SUM(INDIRECT(AV$1&amp;AV$2&amp;$C814):INDIRECT(AV$1&amp;AV$3&amp;$C814))</f>
        <v>0</v>
      </c>
      <c r="AW814" s="2900">
        <f t="shared" ca="1" si="1346"/>
        <v>0</v>
      </c>
      <c r="AX814" s="2901">
        <f t="shared" ca="1" si="1347"/>
        <v>0</v>
      </c>
      <c r="AY814" s="2160">
        <f ca="1">SUM(INDIRECT(AY$1&amp;AY$2&amp;$A814):INDIRECT(AY$1&amp;AY$3&amp;$A814))+SUM(INDIRECT(AY$1&amp;AY$2&amp;$B814):INDIRECT(AY$1&amp;AY$3&amp;$B814))</f>
        <v>0</v>
      </c>
      <c r="AZ814" s="2900">
        <f t="shared" ca="1" si="1349"/>
        <v>0</v>
      </c>
      <c r="BA814" s="2901">
        <f t="shared" ca="1" si="1350"/>
        <v>0</v>
      </c>
      <c r="BC814" s="2161">
        <f ca="1">SUM((INDIRECT(BC$2&amp;(ROW())):INDIRECT(BC$3&amp;(ROW()))))</f>
        <v>0</v>
      </c>
      <c r="BD814" s="2160">
        <f ca="1">SUM(INDIRECT(BD$1&amp;BD$2&amp;$C814):INDIRECT(BD$1&amp;BD$3&amp;$C814))</f>
        <v>0</v>
      </c>
      <c r="BE814" s="2900">
        <f t="shared" ca="1" si="1351"/>
        <v>0</v>
      </c>
      <c r="BF814" s="2901">
        <f t="shared" ca="1" si="1352"/>
        <v>0</v>
      </c>
      <c r="BG814" s="2160">
        <f ca="1">SUM(INDIRECT(BG$1&amp;BG$2&amp;$A814):INDIRECT(BG$1&amp;BG$3&amp;$A814))+SUM(INDIRECT(BG$1&amp;BG$2&amp;$B814):INDIRECT(BG$1&amp;BG$3&amp;$B814))</f>
        <v>0</v>
      </c>
      <c r="BH814" s="2900">
        <f t="shared" ca="1" si="1354"/>
        <v>0</v>
      </c>
      <c r="BI814" s="2901">
        <f t="shared" ca="1" si="1355"/>
        <v>0</v>
      </c>
    </row>
    <row r="815" spans="1:61" ht="14.5">
      <c r="A815" s="1693">
        <f t="shared" si="1370"/>
        <v>807</v>
      </c>
      <c r="B815" s="616">
        <v>1</v>
      </c>
      <c r="C815" s="1693">
        <f t="shared" si="1369"/>
        <v>815</v>
      </c>
      <c r="D815" s="616">
        <v>1</v>
      </c>
      <c r="F815" s="69"/>
      <c r="H815" s="22"/>
      <c r="J815" s="86"/>
      <c r="K815" s="85"/>
      <c r="L815" s="68"/>
      <c r="M815" s="68"/>
      <c r="O815" s="8" t="s">
        <v>524</v>
      </c>
      <c r="R815" s="1779" t="str">
        <f>CHOOSE(2, "6722000003726", "S/GP (5) Gross Profit Direct MCS RP")</f>
        <v>S/GP (5) Gross Profit Direct MCS RP</v>
      </c>
      <c r="S815" s="1217">
        <v>-103</v>
      </c>
      <c r="T815" s="1224">
        <v>690</v>
      </c>
      <c r="U815" s="1217">
        <v>227.60400000000001</v>
      </c>
      <c r="V815" s="1217">
        <v>339.50799999999998</v>
      </c>
      <c r="W815" s="1217">
        <v>488</v>
      </c>
      <c r="X815" s="1217">
        <v>1467.963</v>
      </c>
      <c r="Y815" s="1217">
        <v>56.046500000000002</v>
      </c>
      <c r="Z815" s="1217">
        <f>947.389-165</f>
        <v>782.38900000000001</v>
      </c>
      <c r="AA815" s="1217"/>
      <c r="AB815" s="1217">
        <v>856</v>
      </c>
      <c r="AC815" s="1217"/>
      <c r="AD815" s="1217">
        <f>1280.04017-56</f>
        <v>1224.04017</v>
      </c>
      <c r="AE815" s="88">
        <f>SUM(S815,T815,U815)</f>
        <v>814.60400000000004</v>
      </c>
      <c r="AF815" s="17">
        <f>SUM(V815,W815,X815)</f>
        <v>2295.471</v>
      </c>
      <c r="AG815" s="17">
        <f>SUM(Y815,Z815,AA815)</f>
        <v>838.43550000000005</v>
      </c>
      <c r="AH815" s="17">
        <f>SUM(AB815,AC815,AD815)</f>
        <v>2080.0401700000002</v>
      </c>
      <c r="AI815" s="17">
        <f>AE815+AF815</f>
        <v>3110.0749999999998</v>
      </c>
      <c r="AJ815" s="17">
        <f>AH815+AG815</f>
        <v>2918.4756700000003</v>
      </c>
      <c r="AK815" s="88">
        <f>AI815+AJ815</f>
        <v>6028.5506700000005</v>
      </c>
      <c r="AM815" s="1926">
        <f ca="1">SUM((INDIRECT(AM$2&amp;(ROW())):INDIRECT(AM$3&amp;(ROW()))))</f>
        <v>-103</v>
      </c>
      <c r="AN815" s="1925">
        <f ca="1">SUM(INDIRECT(AN$1&amp;AN$2&amp;$C815):INDIRECT(AN$1&amp;AN$3&amp;$C815))</f>
        <v>220</v>
      </c>
      <c r="AO815" s="2902">
        <f t="shared" ca="1" si="1341"/>
        <v>-323</v>
      </c>
      <c r="AP815" s="2903">
        <f t="shared" ca="1" si="1342"/>
        <v>-0.4681818181818182</v>
      </c>
      <c r="AQ815" s="1925">
        <f ca="1">SUM(INDIRECT(AQ$1&amp;AQ$2&amp;$A815):INDIRECT(AQ$1&amp;AQ$3&amp;$A815))+SUM(INDIRECT(AQ$1&amp;AQ$2&amp;$B815):INDIRECT(AQ$1&amp;AQ$3&amp;$B815))</f>
        <v>155</v>
      </c>
      <c r="AR815" s="2902">
        <f t="shared" ca="1" si="1344"/>
        <v>-258</v>
      </c>
      <c r="AS815" s="2903">
        <f t="shared" ca="1" si="1345"/>
        <v>-0.6645161290322581</v>
      </c>
      <c r="AU815" s="1926">
        <f ca="1">SUM((INDIRECT(AU$2&amp;(ROW())):INDIRECT(AU$3&amp;(ROW()))))</f>
        <v>-103</v>
      </c>
      <c r="AV815" s="1925">
        <f ca="1">SUM(INDIRECT(AV$1&amp;AV$2&amp;$C815):INDIRECT(AV$1&amp;AV$3&amp;$C815))</f>
        <v>220</v>
      </c>
      <c r="AW815" s="2902">
        <f t="shared" ca="1" si="1346"/>
        <v>-323</v>
      </c>
      <c r="AX815" s="2903">
        <f t="shared" ca="1" si="1347"/>
        <v>-0.4681818181818182</v>
      </c>
      <c r="AY815" s="1925">
        <f ca="1">SUM(INDIRECT(AY$1&amp;AY$2&amp;$A815):INDIRECT(AY$1&amp;AY$3&amp;$A815))+SUM(INDIRECT(AY$1&amp;AY$2&amp;$B815):INDIRECT(AY$1&amp;AY$3&amp;$B815))</f>
        <v>155</v>
      </c>
      <c r="AZ815" s="2902">
        <f t="shared" ca="1" si="1349"/>
        <v>-258</v>
      </c>
      <c r="BA815" s="2903">
        <f t="shared" ca="1" si="1350"/>
        <v>-0.6645161290322581</v>
      </c>
      <c r="BC815" s="1926">
        <f ca="1">SUM((INDIRECT(BC$2&amp;(ROW())):INDIRECT(BC$3&amp;(ROW()))))</f>
        <v>-103</v>
      </c>
      <c r="BD815" s="1925">
        <f ca="1">SUM(INDIRECT(BD$1&amp;BD$2&amp;$C815):INDIRECT(BD$1&amp;BD$3&amp;$C815))</f>
        <v>220</v>
      </c>
      <c r="BE815" s="2902">
        <f t="shared" ca="1" si="1351"/>
        <v>-323</v>
      </c>
      <c r="BF815" s="2903">
        <f t="shared" ca="1" si="1352"/>
        <v>-0.4681818181818182</v>
      </c>
      <c r="BG815" s="1925">
        <f ca="1">SUM(INDIRECT(BG$1&amp;BG$2&amp;$A815):INDIRECT(BG$1&amp;BG$3&amp;$A815))+SUM(INDIRECT(BG$1&amp;BG$2&amp;$B815):INDIRECT(BG$1&amp;BG$3&amp;$B815))</f>
        <v>155</v>
      </c>
      <c r="BH815" s="2902">
        <f t="shared" ca="1" si="1354"/>
        <v>-258</v>
      </c>
      <c r="BI815" s="2903">
        <f t="shared" ca="1" si="1355"/>
        <v>-0.6645161290322581</v>
      </c>
    </row>
    <row r="816" spans="1:61" ht="14.5">
      <c r="A816" s="1693">
        <f t="shared" si="1370"/>
        <v>808</v>
      </c>
      <c r="B816" s="616">
        <v>1</v>
      </c>
      <c r="C816" s="1693">
        <f t="shared" si="1369"/>
        <v>816</v>
      </c>
      <c r="D816" s="616">
        <v>1</v>
      </c>
      <c r="F816" s="69"/>
      <c r="H816" s="22"/>
      <c r="J816" s="86"/>
      <c r="K816" s="85"/>
      <c r="L816" s="68"/>
      <c r="M816" s="68"/>
      <c r="O816" s="8" t="s">
        <v>525</v>
      </c>
      <c r="R816" s="1779" t="str">
        <f>CHOOSE(2, "6722000003727", "S/GP (5) Gross Profit Direct MCS OSP service")</f>
        <v>S/GP (5) Gross Profit Direct MCS OSP service</v>
      </c>
      <c r="S816" s="1217"/>
      <c r="T816" s="1217"/>
      <c r="U816" s="1217"/>
      <c r="V816" s="1217"/>
      <c r="W816" s="1217"/>
      <c r="X816" s="1217"/>
      <c r="Y816" s="1217"/>
      <c r="Z816" s="1217"/>
      <c r="AA816" s="1217"/>
      <c r="AB816" s="1217"/>
      <c r="AC816" s="1217"/>
      <c r="AD816" s="1217"/>
      <c r="AE816" s="88">
        <f>SUM(S816,T816,U816)</f>
        <v>0</v>
      </c>
      <c r="AF816" s="17">
        <f>SUM(V816,W816,X816)</f>
        <v>0</v>
      </c>
      <c r="AG816" s="17">
        <f>SUM(Y816,Z816,AA816)</f>
        <v>0</v>
      </c>
      <c r="AH816" s="17">
        <f>SUM(AB816,AC816,AD816)</f>
        <v>0</v>
      </c>
      <c r="AI816" s="17">
        <f>AE816+AF816</f>
        <v>0</v>
      </c>
      <c r="AJ816" s="17">
        <f>AH816+AG816</f>
        <v>0</v>
      </c>
      <c r="AK816" s="88">
        <f>AI816+AJ816</f>
        <v>0</v>
      </c>
      <c r="AM816" s="1926">
        <f ca="1">SUM((INDIRECT(AM$2&amp;(ROW())):INDIRECT(AM$3&amp;(ROW()))))</f>
        <v>0</v>
      </c>
      <c r="AN816" s="1925">
        <f ca="1">SUM(INDIRECT(AN$1&amp;AN$2&amp;$C816):INDIRECT(AN$1&amp;AN$3&amp;$C816))</f>
        <v>0</v>
      </c>
      <c r="AO816" s="2902">
        <f t="shared" ca="1" si="1341"/>
        <v>0</v>
      </c>
      <c r="AP816" s="2903">
        <f t="shared" ca="1" si="1342"/>
        <v>0</v>
      </c>
      <c r="AQ816" s="1925">
        <f ca="1">SUM(INDIRECT(AQ$1&amp;AQ$2&amp;$A816):INDIRECT(AQ$1&amp;AQ$3&amp;$A816))+SUM(INDIRECT(AQ$1&amp;AQ$2&amp;$B816):INDIRECT(AQ$1&amp;AQ$3&amp;$B816))</f>
        <v>0</v>
      </c>
      <c r="AR816" s="2902">
        <f t="shared" ca="1" si="1344"/>
        <v>0</v>
      </c>
      <c r="AS816" s="2903">
        <f t="shared" ca="1" si="1345"/>
        <v>0</v>
      </c>
      <c r="AU816" s="1926">
        <f ca="1">SUM((INDIRECT(AU$2&amp;(ROW())):INDIRECT(AU$3&amp;(ROW()))))</f>
        <v>0</v>
      </c>
      <c r="AV816" s="1925">
        <f ca="1">SUM(INDIRECT(AV$1&amp;AV$2&amp;$C816):INDIRECT(AV$1&amp;AV$3&amp;$C816))</f>
        <v>0</v>
      </c>
      <c r="AW816" s="2902">
        <f t="shared" ca="1" si="1346"/>
        <v>0</v>
      </c>
      <c r="AX816" s="2903">
        <f t="shared" ca="1" si="1347"/>
        <v>0</v>
      </c>
      <c r="AY816" s="1925">
        <f ca="1">SUM(INDIRECT(AY$1&amp;AY$2&amp;$A816):INDIRECT(AY$1&amp;AY$3&amp;$A816))+SUM(INDIRECT(AY$1&amp;AY$2&amp;$B816):INDIRECT(AY$1&amp;AY$3&amp;$B816))</f>
        <v>0</v>
      </c>
      <c r="AZ816" s="2902">
        <f t="shared" ca="1" si="1349"/>
        <v>0</v>
      </c>
      <c r="BA816" s="2903">
        <f t="shared" ca="1" si="1350"/>
        <v>0</v>
      </c>
      <c r="BC816" s="1926">
        <f ca="1">SUM((INDIRECT(BC$2&amp;(ROW())):INDIRECT(BC$3&amp;(ROW()))))</f>
        <v>0</v>
      </c>
      <c r="BD816" s="1925">
        <f ca="1">SUM(INDIRECT(BD$1&amp;BD$2&amp;$C816):INDIRECT(BD$1&amp;BD$3&amp;$C816))</f>
        <v>0</v>
      </c>
      <c r="BE816" s="2902">
        <f t="shared" ca="1" si="1351"/>
        <v>0</v>
      </c>
      <c r="BF816" s="2903">
        <f t="shared" ca="1" si="1352"/>
        <v>0</v>
      </c>
      <c r="BG816" s="1925">
        <f ca="1">SUM(INDIRECT(BG$1&amp;BG$2&amp;$A816):INDIRECT(BG$1&amp;BG$3&amp;$A816))+SUM(INDIRECT(BG$1&amp;BG$2&amp;$B816):INDIRECT(BG$1&amp;BG$3&amp;$B816))</f>
        <v>0</v>
      </c>
      <c r="BH816" s="2902">
        <f t="shared" ca="1" si="1354"/>
        <v>0</v>
      </c>
      <c r="BI816" s="2903">
        <f t="shared" ca="1" si="1355"/>
        <v>0</v>
      </c>
    </row>
    <row r="817" spans="1:61" ht="14.5">
      <c r="A817" s="1693">
        <f t="shared" si="1370"/>
        <v>809</v>
      </c>
      <c r="B817" s="616">
        <v>1</v>
      </c>
      <c r="C817" s="1693">
        <f t="shared" si="1369"/>
        <v>817</v>
      </c>
      <c r="D817" s="616">
        <v>1</v>
      </c>
      <c r="F817" s="69"/>
      <c r="H817" s="22"/>
      <c r="J817" s="86"/>
      <c r="K817" s="85"/>
      <c r="L817" s="68"/>
      <c r="M817" s="68"/>
      <c r="O817" s="8" t="s">
        <v>526</v>
      </c>
      <c r="Q817" s="11"/>
      <c r="R817" s="1779" t="str">
        <f>CHOOSE(2, "6722000003728", "S/GP (5) Gross Profit Direct MCS RP service")</f>
        <v>S/GP (5) Gross Profit Direct MCS RP service</v>
      </c>
      <c r="S817" s="1218"/>
      <c r="T817" s="1218"/>
      <c r="U817" s="1218"/>
      <c r="V817" s="1218"/>
      <c r="W817" s="1218"/>
      <c r="X817" s="1218"/>
      <c r="Y817" s="1218"/>
      <c r="Z817" s="1218"/>
      <c r="AA817" s="1218"/>
      <c r="AB817" s="1218"/>
      <c r="AC817" s="1218"/>
      <c r="AD817" s="1218"/>
      <c r="AE817" s="87">
        <f>SUM(S817,T817,U817)</f>
        <v>0</v>
      </c>
      <c r="AF817" s="15">
        <f>SUM(V817,W817,X817)</f>
        <v>0</v>
      </c>
      <c r="AG817" s="15">
        <f>SUM(Y817,Z817,AA817)</f>
        <v>0</v>
      </c>
      <c r="AH817" s="15">
        <f>SUM(AB817,AC817,AD817)</f>
        <v>0</v>
      </c>
      <c r="AI817" s="15">
        <f>AE817+AF817</f>
        <v>0</v>
      </c>
      <c r="AJ817" s="15">
        <f>AH817+AG817</f>
        <v>0</v>
      </c>
      <c r="AK817" s="87">
        <f>AI817+AJ817</f>
        <v>0</v>
      </c>
      <c r="AM817" s="1928">
        <f ca="1">SUM((INDIRECT(AM$2&amp;(ROW())):INDIRECT(AM$3&amp;(ROW()))))</f>
        <v>0</v>
      </c>
      <c r="AN817" s="1927">
        <f ca="1">SUM(INDIRECT(AN$1&amp;AN$2&amp;$C817):INDIRECT(AN$1&amp;AN$3&amp;$C817))</f>
        <v>0</v>
      </c>
      <c r="AO817" s="2904">
        <f t="shared" ca="1" si="1341"/>
        <v>0</v>
      </c>
      <c r="AP817" s="2905">
        <f t="shared" ca="1" si="1342"/>
        <v>0</v>
      </c>
      <c r="AQ817" s="1927">
        <f ca="1">SUM(INDIRECT(AQ$1&amp;AQ$2&amp;$A817):INDIRECT(AQ$1&amp;AQ$3&amp;$A817))+SUM(INDIRECT(AQ$1&amp;AQ$2&amp;$B817):INDIRECT(AQ$1&amp;AQ$3&amp;$B817))</f>
        <v>0</v>
      </c>
      <c r="AR817" s="2904">
        <f t="shared" ca="1" si="1344"/>
        <v>0</v>
      </c>
      <c r="AS817" s="2905">
        <f t="shared" ca="1" si="1345"/>
        <v>0</v>
      </c>
      <c r="AU817" s="1928">
        <f ca="1">SUM((INDIRECT(AU$2&amp;(ROW())):INDIRECT(AU$3&amp;(ROW()))))</f>
        <v>0</v>
      </c>
      <c r="AV817" s="1927">
        <f ca="1">SUM(INDIRECT(AV$1&amp;AV$2&amp;$C817):INDIRECT(AV$1&amp;AV$3&amp;$C817))</f>
        <v>0</v>
      </c>
      <c r="AW817" s="2904">
        <f t="shared" ca="1" si="1346"/>
        <v>0</v>
      </c>
      <c r="AX817" s="2905">
        <f t="shared" ca="1" si="1347"/>
        <v>0</v>
      </c>
      <c r="AY817" s="1927">
        <f ca="1">SUM(INDIRECT(AY$1&amp;AY$2&amp;$A817):INDIRECT(AY$1&amp;AY$3&amp;$A817))+SUM(INDIRECT(AY$1&amp;AY$2&amp;$B817):INDIRECT(AY$1&amp;AY$3&amp;$B817))</f>
        <v>0</v>
      </c>
      <c r="AZ817" s="2904">
        <f t="shared" ca="1" si="1349"/>
        <v>0</v>
      </c>
      <c r="BA817" s="2905">
        <f t="shared" ca="1" si="1350"/>
        <v>0</v>
      </c>
      <c r="BC817" s="1928">
        <f ca="1">SUM((INDIRECT(BC$2&amp;(ROW())):INDIRECT(BC$3&amp;(ROW()))))</f>
        <v>0</v>
      </c>
      <c r="BD817" s="1927">
        <f ca="1">SUM(INDIRECT(BD$1&amp;BD$2&amp;$C817):INDIRECT(BD$1&amp;BD$3&amp;$C817))</f>
        <v>0</v>
      </c>
      <c r="BE817" s="2904">
        <f t="shared" ca="1" si="1351"/>
        <v>0</v>
      </c>
      <c r="BF817" s="2905">
        <f t="shared" ca="1" si="1352"/>
        <v>0</v>
      </c>
      <c r="BG817" s="1927">
        <f ca="1">SUM(INDIRECT(BG$1&amp;BG$2&amp;$A817):INDIRECT(BG$1&amp;BG$3&amp;$A817))+SUM(INDIRECT(BG$1&amp;BG$2&amp;$B817):INDIRECT(BG$1&amp;BG$3&amp;$B817))</f>
        <v>0</v>
      </c>
      <c r="BH817" s="2904">
        <f t="shared" ca="1" si="1354"/>
        <v>0</v>
      </c>
      <c r="BI817" s="2905">
        <f t="shared" ca="1" si="1355"/>
        <v>0</v>
      </c>
    </row>
    <row r="818" spans="1:61" ht="14.5">
      <c r="A818" s="1693">
        <f t="shared" si="1370"/>
        <v>810</v>
      </c>
      <c r="B818" s="616">
        <v>1</v>
      </c>
      <c r="C818" s="1693">
        <f t="shared" si="1369"/>
        <v>818</v>
      </c>
      <c r="D818" s="616">
        <v>1</v>
      </c>
      <c r="F818" s="69"/>
      <c r="H818" s="22"/>
      <c r="J818" s="86"/>
      <c r="K818" s="85"/>
      <c r="L818" s="68"/>
      <c r="M818" s="68"/>
      <c r="N818" s="65" t="s">
        <v>602</v>
      </c>
      <c r="O818" s="284"/>
      <c r="P818" s="284"/>
      <c r="Q818" s="284"/>
      <c r="R818" s="1777" t="str">
        <f>CHOOSE(2, "6722000003729", "S/GP (5) Gross Profit Direct BPS")</f>
        <v>S/GP (5) Gross Profit Direct BPS</v>
      </c>
      <c r="S818" s="1248">
        <f>SUM(S819:S822)</f>
        <v>0</v>
      </c>
      <c r="T818" s="1620">
        <f t="shared" ref="T818:AD818" si="1403">SUM(T819:T822)</f>
        <v>0</v>
      </c>
      <c r="U818" s="1248">
        <f t="shared" si="1403"/>
        <v>0</v>
      </c>
      <c r="V818" s="1248">
        <f t="shared" si="1403"/>
        <v>0</v>
      </c>
      <c r="W818" s="1248">
        <f t="shared" si="1403"/>
        <v>0</v>
      </c>
      <c r="X818" s="1248">
        <f t="shared" si="1403"/>
        <v>0</v>
      </c>
      <c r="Y818" s="1248">
        <f t="shared" si="1403"/>
        <v>0</v>
      </c>
      <c r="Z818" s="1248">
        <f t="shared" si="1403"/>
        <v>0</v>
      </c>
      <c r="AA818" s="1248">
        <f t="shared" si="1403"/>
        <v>0</v>
      </c>
      <c r="AB818" s="1248">
        <f t="shared" si="1403"/>
        <v>0</v>
      </c>
      <c r="AC818" s="1248">
        <f t="shared" si="1403"/>
        <v>0</v>
      </c>
      <c r="AD818" s="1248">
        <f t="shared" si="1403"/>
        <v>0</v>
      </c>
      <c r="AE818" s="895">
        <f t="shared" ref="AE818:AK818" si="1404">SUM(AE819:AE822)</f>
        <v>0</v>
      </c>
      <c r="AF818" s="1248">
        <f t="shared" si="1404"/>
        <v>0</v>
      </c>
      <c r="AG818" s="1248">
        <f t="shared" si="1404"/>
        <v>0</v>
      </c>
      <c r="AH818" s="1248">
        <f t="shared" si="1404"/>
        <v>0</v>
      </c>
      <c r="AI818" s="1248">
        <f t="shared" si="1404"/>
        <v>0</v>
      </c>
      <c r="AJ818" s="1248">
        <f t="shared" si="1404"/>
        <v>0</v>
      </c>
      <c r="AK818" s="895">
        <f t="shared" si="1404"/>
        <v>0</v>
      </c>
      <c r="AM818" s="2183">
        <f ca="1">SUM((INDIRECT(AM$2&amp;(ROW())):INDIRECT(AM$3&amp;(ROW()))))</f>
        <v>0</v>
      </c>
      <c r="AN818" s="2182">
        <f ca="1">SUM(INDIRECT(AN$1&amp;AN$2&amp;$C818):INDIRECT(AN$1&amp;AN$3&amp;$C818))</f>
        <v>0</v>
      </c>
      <c r="AO818" s="2931">
        <f t="shared" ca="1" si="1341"/>
        <v>0</v>
      </c>
      <c r="AP818" s="2932">
        <f t="shared" ca="1" si="1342"/>
        <v>0</v>
      </c>
      <c r="AQ818" s="2182">
        <f ca="1">SUM(INDIRECT(AQ$1&amp;AQ$2&amp;$A818):INDIRECT(AQ$1&amp;AQ$3&amp;$A818))+SUM(INDIRECT(AQ$1&amp;AQ$2&amp;$B818):INDIRECT(AQ$1&amp;AQ$3&amp;$B818))</f>
        <v>0</v>
      </c>
      <c r="AR818" s="2931">
        <f t="shared" ca="1" si="1344"/>
        <v>0</v>
      </c>
      <c r="AS818" s="2932">
        <f t="shared" ca="1" si="1345"/>
        <v>0</v>
      </c>
      <c r="AU818" s="2183">
        <f ca="1">SUM((INDIRECT(AU$2&amp;(ROW())):INDIRECT(AU$3&amp;(ROW()))))</f>
        <v>0</v>
      </c>
      <c r="AV818" s="2182">
        <f ca="1">SUM(INDIRECT(AV$1&amp;AV$2&amp;$C818):INDIRECT(AV$1&amp;AV$3&amp;$C818))</f>
        <v>0</v>
      </c>
      <c r="AW818" s="2931">
        <f t="shared" ca="1" si="1346"/>
        <v>0</v>
      </c>
      <c r="AX818" s="2932">
        <f t="shared" ca="1" si="1347"/>
        <v>0</v>
      </c>
      <c r="AY818" s="2182">
        <f ca="1">SUM(INDIRECT(AY$1&amp;AY$2&amp;$A818):INDIRECT(AY$1&amp;AY$3&amp;$A818))+SUM(INDIRECT(AY$1&amp;AY$2&amp;$B818):INDIRECT(AY$1&amp;AY$3&amp;$B818))</f>
        <v>0</v>
      </c>
      <c r="AZ818" s="2931">
        <f t="shared" ca="1" si="1349"/>
        <v>0</v>
      </c>
      <c r="BA818" s="2932">
        <f t="shared" ca="1" si="1350"/>
        <v>0</v>
      </c>
      <c r="BC818" s="2183">
        <f ca="1">SUM((INDIRECT(BC$2&amp;(ROW())):INDIRECT(BC$3&amp;(ROW()))))</f>
        <v>0</v>
      </c>
      <c r="BD818" s="2182">
        <f ca="1">SUM(INDIRECT(BD$1&amp;BD$2&amp;$C818):INDIRECT(BD$1&amp;BD$3&amp;$C818))</f>
        <v>0</v>
      </c>
      <c r="BE818" s="2931">
        <f t="shared" ca="1" si="1351"/>
        <v>0</v>
      </c>
      <c r="BF818" s="2932">
        <f t="shared" ca="1" si="1352"/>
        <v>0</v>
      </c>
      <c r="BG818" s="2182">
        <f ca="1">SUM(INDIRECT(BG$1&amp;BG$2&amp;$A818):INDIRECT(BG$1&amp;BG$3&amp;$A818))+SUM(INDIRECT(BG$1&amp;BG$2&amp;$B818):INDIRECT(BG$1&amp;BG$3&amp;$B818))</f>
        <v>0</v>
      </c>
      <c r="BH818" s="2931">
        <f t="shared" ca="1" si="1354"/>
        <v>0</v>
      </c>
      <c r="BI818" s="2932">
        <f t="shared" ca="1" si="1355"/>
        <v>0</v>
      </c>
    </row>
    <row r="819" spans="1:61" ht="14.5">
      <c r="A819" s="1693">
        <f t="shared" si="1370"/>
        <v>811</v>
      </c>
      <c r="B819" s="616">
        <v>1</v>
      </c>
      <c r="C819" s="1693">
        <f t="shared" si="1369"/>
        <v>819</v>
      </c>
      <c r="D819" s="616">
        <v>1</v>
      </c>
      <c r="F819" s="69"/>
      <c r="H819" s="22"/>
      <c r="J819" s="86"/>
      <c r="K819" s="85"/>
      <c r="L819" s="68"/>
      <c r="M819" s="68"/>
      <c r="O819" s="97" t="s">
        <v>523</v>
      </c>
      <c r="P819" s="97"/>
      <c r="Q819" s="97"/>
      <c r="R819" s="1779" t="str">
        <f>CHOOSE(2, "6722000003730", "S/GP (5) Gross Profit Direct BPS OSP")</f>
        <v>S/GP (5) Gross Profit Direct BPS OSP</v>
      </c>
      <c r="S819" s="1227"/>
      <c r="T819" s="1247"/>
      <c r="U819" s="1227"/>
      <c r="V819" s="1227"/>
      <c r="W819" s="1227"/>
      <c r="X819" s="1227"/>
      <c r="Y819" s="1227"/>
      <c r="Z819" s="1227"/>
      <c r="AA819" s="1227"/>
      <c r="AB819" s="1227"/>
      <c r="AC819" s="1227"/>
      <c r="AD819" s="1227"/>
      <c r="AE819" s="295">
        <f>SUM(S819,T819,U819)</f>
        <v>0</v>
      </c>
      <c r="AF819" s="96">
        <f>SUM(V819,W819,X819)</f>
        <v>0</v>
      </c>
      <c r="AG819" s="96">
        <f>SUM(Y819,Z819,AA819)</f>
        <v>0</v>
      </c>
      <c r="AH819" s="96">
        <f>SUM(AB819,AC819,AD819)</f>
        <v>0</v>
      </c>
      <c r="AI819" s="96">
        <f>AE819+AF819</f>
        <v>0</v>
      </c>
      <c r="AJ819" s="96">
        <f>AH819+AG819</f>
        <v>0</v>
      </c>
      <c r="AK819" s="295">
        <f>AI819+AJ819</f>
        <v>0</v>
      </c>
      <c r="AM819" s="2161">
        <f ca="1">SUM((INDIRECT(AM$2&amp;(ROW())):INDIRECT(AM$3&amp;(ROW()))))</f>
        <v>0</v>
      </c>
      <c r="AN819" s="2160">
        <f ca="1">SUM(INDIRECT(AN$1&amp;AN$2&amp;$C819):INDIRECT(AN$1&amp;AN$3&amp;$C819))</f>
        <v>0</v>
      </c>
      <c r="AO819" s="2900">
        <f t="shared" ca="1" si="1341"/>
        <v>0</v>
      </c>
      <c r="AP819" s="2901">
        <f t="shared" ca="1" si="1342"/>
        <v>0</v>
      </c>
      <c r="AQ819" s="2160">
        <f ca="1">SUM(INDIRECT(AQ$1&amp;AQ$2&amp;$A819):INDIRECT(AQ$1&amp;AQ$3&amp;$A819))+SUM(INDIRECT(AQ$1&amp;AQ$2&amp;$B819):INDIRECT(AQ$1&amp;AQ$3&amp;$B819))</f>
        <v>0</v>
      </c>
      <c r="AR819" s="2900">
        <f t="shared" ca="1" si="1344"/>
        <v>0</v>
      </c>
      <c r="AS819" s="2901">
        <f t="shared" ca="1" si="1345"/>
        <v>0</v>
      </c>
      <c r="AU819" s="2161">
        <f ca="1">SUM((INDIRECT(AU$2&amp;(ROW())):INDIRECT(AU$3&amp;(ROW()))))</f>
        <v>0</v>
      </c>
      <c r="AV819" s="2160">
        <f ca="1">SUM(INDIRECT(AV$1&amp;AV$2&amp;$C819):INDIRECT(AV$1&amp;AV$3&amp;$C819))</f>
        <v>0</v>
      </c>
      <c r="AW819" s="2900">
        <f t="shared" ca="1" si="1346"/>
        <v>0</v>
      </c>
      <c r="AX819" s="2901">
        <f t="shared" ca="1" si="1347"/>
        <v>0</v>
      </c>
      <c r="AY819" s="2160">
        <f ca="1">SUM(INDIRECT(AY$1&amp;AY$2&amp;$A819):INDIRECT(AY$1&amp;AY$3&amp;$A819))+SUM(INDIRECT(AY$1&amp;AY$2&amp;$B819):INDIRECT(AY$1&amp;AY$3&amp;$B819))</f>
        <v>0</v>
      </c>
      <c r="AZ819" s="2900">
        <f t="shared" ca="1" si="1349"/>
        <v>0</v>
      </c>
      <c r="BA819" s="2901">
        <f t="shared" ca="1" si="1350"/>
        <v>0</v>
      </c>
      <c r="BC819" s="2161">
        <f ca="1">SUM((INDIRECT(BC$2&amp;(ROW())):INDIRECT(BC$3&amp;(ROW()))))</f>
        <v>0</v>
      </c>
      <c r="BD819" s="2160">
        <f ca="1">SUM(INDIRECT(BD$1&amp;BD$2&amp;$C819):INDIRECT(BD$1&amp;BD$3&amp;$C819))</f>
        <v>0</v>
      </c>
      <c r="BE819" s="2900">
        <f t="shared" ca="1" si="1351"/>
        <v>0</v>
      </c>
      <c r="BF819" s="2901">
        <f t="shared" ca="1" si="1352"/>
        <v>0</v>
      </c>
      <c r="BG819" s="2160">
        <f ca="1">SUM(INDIRECT(BG$1&amp;BG$2&amp;$A819):INDIRECT(BG$1&amp;BG$3&amp;$A819))+SUM(INDIRECT(BG$1&amp;BG$2&amp;$B819):INDIRECT(BG$1&amp;BG$3&amp;$B819))</f>
        <v>0</v>
      </c>
      <c r="BH819" s="2900">
        <f t="shared" ca="1" si="1354"/>
        <v>0</v>
      </c>
      <c r="BI819" s="2901">
        <f t="shared" ca="1" si="1355"/>
        <v>0</v>
      </c>
    </row>
    <row r="820" spans="1:61" ht="14.5">
      <c r="A820" s="1693">
        <f t="shared" si="1370"/>
        <v>812</v>
      </c>
      <c r="B820" s="616">
        <v>1</v>
      </c>
      <c r="C820" s="1693">
        <f t="shared" si="1369"/>
        <v>820</v>
      </c>
      <c r="D820" s="616">
        <v>1</v>
      </c>
      <c r="F820" s="69"/>
      <c r="H820" s="22"/>
      <c r="J820" s="86"/>
      <c r="K820" s="85"/>
      <c r="L820" s="68"/>
      <c r="M820" s="68"/>
      <c r="O820" s="8" t="s">
        <v>524</v>
      </c>
      <c r="R820" s="1779" t="str">
        <f>CHOOSE(2, "6722000003731", "S/GP (5) Gross Profit Direct BPS RP")</f>
        <v>S/GP (5) Gross Profit Direct BPS RP</v>
      </c>
      <c r="S820" s="1217"/>
      <c r="T820" s="1224"/>
      <c r="U820" s="1217"/>
      <c r="V820" s="1217"/>
      <c r="W820" s="1217"/>
      <c r="X820" s="1217"/>
      <c r="Y820" s="1217"/>
      <c r="Z820" s="1217"/>
      <c r="AA820" s="1217"/>
      <c r="AB820" s="1217"/>
      <c r="AC820" s="1217"/>
      <c r="AD820" s="1217"/>
      <c r="AE820" s="88">
        <f>SUM(S820,T820,U820)</f>
        <v>0</v>
      </c>
      <c r="AF820" s="17">
        <f>SUM(V820,W820,X820)</f>
        <v>0</v>
      </c>
      <c r="AG820" s="17">
        <f>SUM(Y820,Z820,AA820)</f>
        <v>0</v>
      </c>
      <c r="AH820" s="17">
        <f>SUM(AB820,AC820,AD820)</f>
        <v>0</v>
      </c>
      <c r="AI820" s="17">
        <f>AE820+AF820</f>
        <v>0</v>
      </c>
      <c r="AJ820" s="17">
        <f>AH820+AG820</f>
        <v>0</v>
      </c>
      <c r="AK820" s="88">
        <f>AI820+AJ820</f>
        <v>0</v>
      </c>
      <c r="AM820" s="1926">
        <f ca="1">SUM((INDIRECT(AM$2&amp;(ROW())):INDIRECT(AM$3&amp;(ROW()))))</f>
        <v>0</v>
      </c>
      <c r="AN820" s="1925">
        <f ca="1">SUM(INDIRECT(AN$1&amp;AN$2&amp;$C820):INDIRECT(AN$1&amp;AN$3&amp;$C820))</f>
        <v>0</v>
      </c>
      <c r="AO820" s="2902">
        <f t="shared" ca="1" si="1341"/>
        <v>0</v>
      </c>
      <c r="AP820" s="2903">
        <f t="shared" ca="1" si="1342"/>
        <v>0</v>
      </c>
      <c r="AQ820" s="1925">
        <f ca="1">SUM(INDIRECT(AQ$1&amp;AQ$2&amp;$A820):INDIRECT(AQ$1&amp;AQ$3&amp;$A820))+SUM(INDIRECT(AQ$1&amp;AQ$2&amp;$B820):INDIRECT(AQ$1&amp;AQ$3&amp;$B820))</f>
        <v>0</v>
      </c>
      <c r="AR820" s="2902">
        <f t="shared" ca="1" si="1344"/>
        <v>0</v>
      </c>
      <c r="AS820" s="2903">
        <f t="shared" ca="1" si="1345"/>
        <v>0</v>
      </c>
      <c r="AU820" s="1926">
        <f ca="1">SUM((INDIRECT(AU$2&amp;(ROW())):INDIRECT(AU$3&amp;(ROW()))))</f>
        <v>0</v>
      </c>
      <c r="AV820" s="1925">
        <f ca="1">SUM(INDIRECT(AV$1&amp;AV$2&amp;$C820):INDIRECT(AV$1&amp;AV$3&amp;$C820))</f>
        <v>0</v>
      </c>
      <c r="AW820" s="2902">
        <f t="shared" ca="1" si="1346"/>
        <v>0</v>
      </c>
      <c r="AX820" s="2903">
        <f t="shared" ca="1" si="1347"/>
        <v>0</v>
      </c>
      <c r="AY820" s="1925">
        <f ca="1">SUM(INDIRECT(AY$1&amp;AY$2&amp;$A820):INDIRECT(AY$1&amp;AY$3&amp;$A820))+SUM(INDIRECT(AY$1&amp;AY$2&amp;$B820):INDIRECT(AY$1&amp;AY$3&amp;$B820))</f>
        <v>0</v>
      </c>
      <c r="AZ820" s="2902">
        <f t="shared" ca="1" si="1349"/>
        <v>0</v>
      </c>
      <c r="BA820" s="2903">
        <f t="shared" ca="1" si="1350"/>
        <v>0</v>
      </c>
      <c r="BC820" s="1926">
        <f ca="1">SUM((INDIRECT(BC$2&amp;(ROW())):INDIRECT(BC$3&amp;(ROW()))))</f>
        <v>0</v>
      </c>
      <c r="BD820" s="1925">
        <f ca="1">SUM(INDIRECT(BD$1&amp;BD$2&amp;$C820):INDIRECT(BD$1&amp;BD$3&amp;$C820))</f>
        <v>0</v>
      </c>
      <c r="BE820" s="2902">
        <f t="shared" ca="1" si="1351"/>
        <v>0</v>
      </c>
      <c r="BF820" s="2903">
        <f t="shared" ca="1" si="1352"/>
        <v>0</v>
      </c>
      <c r="BG820" s="1925">
        <f ca="1">SUM(INDIRECT(BG$1&amp;BG$2&amp;$A820):INDIRECT(BG$1&amp;BG$3&amp;$A820))+SUM(INDIRECT(BG$1&amp;BG$2&amp;$B820):INDIRECT(BG$1&amp;BG$3&amp;$B820))</f>
        <v>0</v>
      </c>
      <c r="BH820" s="2902">
        <f t="shared" ca="1" si="1354"/>
        <v>0</v>
      </c>
      <c r="BI820" s="2903">
        <f t="shared" ca="1" si="1355"/>
        <v>0</v>
      </c>
    </row>
    <row r="821" spans="1:61" ht="14.5">
      <c r="A821" s="1693">
        <f t="shared" si="1370"/>
        <v>813</v>
      </c>
      <c r="B821" s="616">
        <v>1</v>
      </c>
      <c r="C821" s="1693">
        <f t="shared" si="1369"/>
        <v>821</v>
      </c>
      <c r="D821" s="616">
        <v>1</v>
      </c>
      <c r="F821" s="69"/>
      <c r="H821" s="22"/>
      <c r="J821" s="86"/>
      <c r="K821" s="85"/>
      <c r="L821" s="68"/>
      <c r="M821" s="68"/>
      <c r="O821" s="8" t="s">
        <v>525</v>
      </c>
      <c r="R821" s="1779" t="str">
        <f>CHOOSE(2, "6722000003732", "S/GP (5) Gross Profit Direct BPS OSP service")</f>
        <v>S/GP (5) Gross Profit Direct BPS OSP service</v>
      </c>
      <c r="S821" s="1217"/>
      <c r="T821" s="1217"/>
      <c r="U821" s="1217"/>
      <c r="V821" s="1217"/>
      <c r="W821" s="1217"/>
      <c r="X821" s="1217"/>
      <c r="Y821" s="1217"/>
      <c r="Z821" s="1217"/>
      <c r="AA821" s="1217"/>
      <c r="AB821" s="1217"/>
      <c r="AC821" s="1217"/>
      <c r="AD821" s="1217"/>
      <c r="AE821" s="88">
        <f>SUM(S821,T821,U821)</f>
        <v>0</v>
      </c>
      <c r="AF821" s="17">
        <f>SUM(V821,W821,X821)</f>
        <v>0</v>
      </c>
      <c r="AG821" s="17">
        <f>SUM(Y821,Z821,AA821)</f>
        <v>0</v>
      </c>
      <c r="AH821" s="17">
        <f>SUM(AB821,AC821,AD821)</f>
        <v>0</v>
      </c>
      <c r="AI821" s="17">
        <f>AE821+AF821</f>
        <v>0</v>
      </c>
      <c r="AJ821" s="17">
        <f>AH821+AG821</f>
        <v>0</v>
      </c>
      <c r="AK821" s="88">
        <f>AI821+AJ821</f>
        <v>0</v>
      </c>
      <c r="AM821" s="1926">
        <f ca="1">SUM((INDIRECT(AM$2&amp;(ROW())):INDIRECT(AM$3&amp;(ROW()))))</f>
        <v>0</v>
      </c>
      <c r="AN821" s="1925">
        <f ca="1">SUM(INDIRECT(AN$1&amp;AN$2&amp;$C821):INDIRECT(AN$1&amp;AN$3&amp;$C821))</f>
        <v>0</v>
      </c>
      <c r="AO821" s="2902">
        <f t="shared" ca="1" si="1341"/>
        <v>0</v>
      </c>
      <c r="AP821" s="2903">
        <f t="shared" ca="1" si="1342"/>
        <v>0</v>
      </c>
      <c r="AQ821" s="1925">
        <f ca="1">SUM(INDIRECT(AQ$1&amp;AQ$2&amp;$A821):INDIRECT(AQ$1&amp;AQ$3&amp;$A821))+SUM(INDIRECT(AQ$1&amp;AQ$2&amp;$B821):INDIRECT(AQ$1&amp;AQ$3&amp;$B821))</f>
        <v>0</v>
      </c>
      <c r="AR821" s="2902">
        <f t="shared" ca="1" si="1344"/>
        <v>0</v>
      </c>
      <c r="AS821" s="2903">
        <f t="shared" ca="1" si="1345"/>
        <v>0</v>
      </c>
      <c r="AU821" s="1926">
        <f ca="1">SUM((INDIRECT(AU$2&amp;(ROW())):INDIRECT(AU$3&amp;(ROW()))))</f>
        <v>0</v>
      </c>
      <c r="AV821" s="1925">
        <f ca="1">SUM(INDIRECT(AV$1&amp;AV$2&amp;$C821):INDIRECT(AV$1&amp;AV$3&amp;$C821))</f>
        <v>0</v>
      </c>
      <c r="AW821" s="2902">
        <f t="shared" ca="1" si="1346"/>
        <v>0</v>
      </c>
      <c r="AX821" s="2903">
        <f t="shared" ca="1" si="1347"/>
        <v>0</v>
      </c>
      <c r="AY821" s="1925">
        <f ca="1">SUM(INDIRECT(AY$1&amp;AY$2&amp;$A821):INDIRECT(AY$1&amp;AY$3&amp;$A821))+SUM(INDIRECT(AY$1&amp;AY$2&amp;$B821):INDIRECT(AY$1&amp;AY$3&amp;$B821))</f>
        <v>0</v>
      </c>
      <c r="AZ821" s="2902">
        <f t="shared" ca="1" si="1349"/>
        <v>0</v>
      </c>
      <c r="BA821" s="2903">
        <f t="shared" ca="1" si="1350"/>
        <v>0</v>
      </c>
      <c r="BC821" s="1926">
        <f ca="1">SUM((INDIRECT(BC$2&amp;(ROW())):INDIRECT(BC$3&amp;(ROW()))))</f>
        <v>0</v>
      </c>
      <c r="BD821" s="1925">
        <f ca="1">SUM(INDIRECT(BD$1&amp;BD$2&amp;$C821):INDIRECT(BD$1&amp;BD$3&amp;$C821))</f>
        <v>0</v>
      </c>
      <c r="BE821" s="2902">
        <f t="shared" ca="1" si="1351"/>
        <v>0</v>
      </c>
      <c r="BF821" s="2903">
        <f t="shared" ca="1" si="1352"/>
        <v>0</v>
      </c>
      <c r="BG821" s="1925">
        <f ca="1">SUM(INDIRECT(BG$1&amp;BG$2&amp;$A821):INDIRECT(BG$1&amp;BG$3&amp;$A821))+SUM(INDIRECT(BG$1&amp;BG$2&amp;$B821):INDIRECT(BG$1&amp;BG$3&amp;$B821))</f>
        <v>0</v>
      </c>
      <c r="BH821" s="2902">
        <f t="shared" ca="1" si="1354"/>
        <v>0</v>
      </c>
      <c r="BI821" s="2903">
        <f t="shared" ca="1" si="1355"/>
        <v>0</v>
      </c>
    </row>
    <row r="822" spans="1:61" ht="14.5">
      <c r="A822" s="1693">
        <f t="shared" si="1370"/>
        <v>814</v>
      </c>
      <c r="B822" s="616">
        <v>1</v>
      </c>
      <c r="C822" s="1693">
        <f t="shared" si="1369"/>
        <v>822</v>
      </c>
      <c r="D822" s="616">
        <v>1</v>
      </c>
      <c r="F822" s="69"/>
      <c r="H822" s="22"/>
      <c r="J822" s="86"/>
      <c r="K822" s="85"/>
      <c r="L822" s="68"/>
      <c r="M822" s="68"/>
      <c r="N822" s="11"/>
      <c r="O822" s="8" t="s">
        <v>526</v>
      </c>
      <c r="Q822" s="11"/>
      <c r="R822" s="1779" t="str">
        <f>CHOOSE(2, "6722000003733", "S/GP (5) Gross Profit Direct BPS RP service")</f>
        <v>S/GP (5) Gross Profit Direct BPS RP service</v>
      </c>
      <c r="S822" s="1218"/>
      <c r="T822" s="1218"/>
      <c r="U822" s="1218"/>
      <c r="V822" s="1218"/>
      <c r="W822" s="1218"/>
      <c r="X822" s="1218"/>
      <c r="Y822" s="1218"/>
      <c r="Z822" s="1218"/>
      <c r="AA822" s="1218"/>
      <c r="AB822" s="1218"/>
      <c r="AC822" s="1218"/>
      <c r="AD822" s="1218"/>
      <c r="AE822" s="87">
        <f>SUM(S822,T822,U822)</f>
        <v>0</v>
      </c>
      <c r="AF822" s="15">
        <f>SUM(V822,W822,X822)</f>
        <v>0</v>
      </c>
      <c r="AG822" s="15">
        <f>SUM(Y822,Z822,AA822)</f>
        <v>0</v>
      </c>
      <c r="AH822" s="15">
        <f>SUM(AB822,AC822,AD822)</f>
        <v>0</v>
      </c>
      <c r="AI822" s="15">
        <f>AE822+AF822</f>
        <v>0</v>
      </c>
      <c r="AJ822" s="15">
        <f>AH822+AG822</f>
        <v>0</v>
      </c>
      <c r="AK822" s="87">
        <f>AI822+AJ822</f>
        <v>0</v>
      </c>
      <c r="AM822" s="1928">
        <f ca="1">SUM((INDIRECT(AM$2&amp;(ROW())):INDIRECT(AM$3&amp;(ROW()))))</f>
        <v>0</v>
      </c>
      <c r="AN822" s="1927">
        <f ca="1">SUM(INDIRECT(AN$1&amp;AN$2&amp;$C822):INDIRECT(AN$1&amp;AN$3&amp;$C822))</f>
        <v>0</v>
      </c>
      <c r="AO822" s="2904">
        <f t="shared" ca="1" si="1341"/>
        <v>0</v>
      </c>
      <c r="AP822" s="2905">
        <f t="shared" ca="1" si="1342"/>
        <v>0</v>
      </c>
      <c r="AQ822" s="1927">
        <f ca="1">SUM(INDIRECT(AQ$1&amp;AQ$2&amp;$A822):INDIRECT(AQ$1&amp;AQ$3&amp;$A822))+SUM(INDIRECT(AQ$1&amp;AQ$2&amp;$B822):INDIRECT(AQ$1&amp;AQ$3&amp;$B822))</f>
        <v>0</v>
      </c>
      <c r="AR822" s="2904">
        <f t="shared" ca="1" si="1344"/>
        <v>0</v>
      </c>
      <c r="AS822" s="2905">
        <f t="shared" ca="1" si="1345"/>
        <v>0</v>
      </c>
      <c r="AU822" s="1928">
        <f ca="1">SUM((INDIRECT(AU$2&amp;(ROW())):INDIRECT(AU$3&amp;(ROW()))))</f>
        <v>0</v>
      </c>
      <c r="AV822" s="1927">
        <f ca="1">SUM(INDIRECT(AV$1&amp;AV$2&amp;$C822):INDIRECT(AV$1&amp;AV$3&amp;$C822))</f>
        <v>0</v>
      </c>
      <c r="AW822" s="2904">
        <f t="shared" ca="1" si="1346"/>
        <v>0</v>
      </c>
      <c r="AX822" s="2905">
        <f t="shared" ca="1" si="1347"/>
        <v>0</v>
      </c>
      <c r="AY822" s="1927">
        <f ca="1">SUM(INDIRECT(AY$1&amp;AY$2&amp;$A822):INDIRECT(AY$1&amp;AY$3&amp;$A822))+SUM(INDIRECT(AY$1&amp;AY$2&amp;$B822):INDIRECT(AY$1&amp;AY$3&amp;$B822))</f>
        <v>0</v>
      </c>
      <c r="AZ822" s="2904">
        <f t="shared" ca="1" si="1349"/>
        <v>0</v>
      </c>
      <c r="BA822" s="2905">
        <f t="shared" ca="1" si="1350"/>
        <v>0</v>
      </c>
      <c r="BC822" s="1928">
        <f ca="1">SUM((INDIRECT(BC$2&amp;(ROW())):INDIRECT(BC$3&amp;(ROW()))))</f>
        <v>0</v>
      </c>
      <c r="BD822" s="1927">
        <f ca="1">SUM(INDIRECT(BD$1&amp;BD$2&amp;$C822):INDIRECT(BD$1&amp;BD$3&amp;$C822))</f>
        <v>0</v>
      </c>
      <c r="BE822" s="2904">
        <f t="shared" ca="1" si="1351"/>
        <v>0</v>
      </c>
      <c r="BF822" s="2905">
        <f t="shared" ca="1" si="1352"/>
        <v>0</v>
      </c>
      <c r="BG822" s="1927">
        <f ca="1">SUM(INDIRECT(BG$1&amp;BG$2&amp;$A822):INDIRECT(BG$1&amp;BG$3&amp;$A822))+SUM(INDIRECT(BG$1&amp;BG$2&amp;$B822):INDIRECT(BG$1&amp;BG$3&amp;$B822))</f>
        <v>0</v>
      </c>
      <c r="BH822" s="2904">
        <f t="shared" ca="1" si="1354"/>
        <v>0</v>
      </c>
      <c r="BI822" s="2905">
        <f t="shared" ca="1" si="1355"/>
        <v>0</v>
      </c>
    </row>
    <row r="823" spans="1:61" ht="14.5">
      <c r="A823" s="1693">
        <f t="shared" si="1370"/>
        <v>815</v>
      </c>
      <c r="B823" s="616">
        <v>1</v>
      </c>
      <c r="C823" s="1693">
        <f t="shared" si="1369"/>
        <v>823</v>
      </c>
      <c r="D823" s="616">
        <v>660</v>
      </c>
      <c r="F823" s="69"/>
      <c r="H823" s="22"/>
      <c r="J823" s="86"/>
      <c r="K823" s="85"/>
      <c r="L823" s="68"/>
      <c r="M823" s="68"/>
      <c r="N823" s="3" t="s">
        <v>669</v>
      </c>
      <c r="O823" s="284"/>
      <c r="P823" s="284"/>
      <c r="Q823" s="284"/>
      <c r="R823" s="1777" t="str">
        <f>CHOOSE(2, "6722000003734", "S/GP (5) Gross Profit Direct ICW-WK")</f>
        <v>S/GP (5) Gross Profit Direct ICW-WK</v>
      </c>
      <c r="S823" s="1248">
        <f>SUM(S824:S827)</f>
        <v>0</v>
      </c>
      <c r="T823" s="1620">
        <f t="shared" ref="T823:AD823" si="1405">SUM(T824:T827)</f>
        <v>0</v>
      </c>
      <c r="U823" s="1248">
        <f t="shared" si="1405"/>
        <v>0</v>
      </c>
      <c r="V823" s="1248">
        <f t="shared" si="1405"/>
        <v>0</v>
      </c>
      <c r="W823" s="1248">
        <f t="shared" si="1405"/>
        <v>0</v>
      </c>
      <c r="X823" s="1248">
        <f t="shared" si="1405"/>
        <v>0</v>
      </c>
      <c r="Y823" s="1248">
        <f t="shared" si="1405"/>
        <v>0</v>
      </c>
      <c r="Z823" s="1248">
        <f t="shared" si="1405"/>
        <v>0</v>
      </c>
      <c r="AA823" s="1248">
        <f t="shared" si="1405"/>
        <v>0</v>
      </c>
      <c r="AB823" s="1248">
        <f t="shared" si="1405"/>
        <v>0</v>
      </c>
      <c r="AC823" s="1248">
        <f t="shared" si="1405"/>
        <v>0</v>
      </c>
      <c r="AD823" s="1248">
        <f t="shared" si="1405"/>
        <v>0</v>
      </c>
      <c r="AE823" s="895">
        <f t="shared" ref="AE823:AK823" si="1406">SUM(AE824:AE827)</f>
        <v>0</v>
      </c>
      <c r="AF823" s="1248">
        <f t="shared" si="1406"/>
        <v>0</v>
      </c>
      <c r="AG823" s="1248">
        <f t="shared" si="1406"/>
        <v>0</v>
      </c>
      <c r="AH823" s="1248">
        <f t="shared" si="1406"/>
        <v>0</v>
      </c>
      <c r="AI823" s="1248">
        <f t="shared" si="1406"/>
        <v>0</v>
      </c>
      <c r="AJ823" s="1248">
        <f t="shared" si="1406"/>
        <v>0</v>
      </c>
      <c r="AK823" s="895">
        <f t="shared" si="1406"/>
        <v>0</v>
      </c>
      <c r="AM823" s="2183">
        <f ca="1">SUM((INDIRECT(AM$2&amp;(ROW())):INDIRECT(AM$3&amp;(ROW()))))</f>
        <v>0</v>
      </c>
      <c r="AN823" s="2182">
        <f ca="1">SUM(INDIRECT(AN$1&amp;AN$2&amp;$C823):INDIRECT(AN$1&amp;AN$3&amp;$C823))</f>
        <v>0</v>
      </c>
      <c r="AO823" s="2931">
        <f t="shared" ca="1" si="1341"/>
        <v>0</v>
      </c>
      <c r="AP823" s="2932">
        <f t="shared" ca="1" si="1342"/>
        <v>0</v>
      </c>
      <c r="AQ823" s="2182">
        <f ca="1">SUM(INDIRECT(AQ$1&amp;AQ$2&amp;$A823):INDIRECT(AQ$1&amp;AQ$3&amp;$A823))+SUM(INDIRECT(AQ$1&amp;AQ$2&amp;$B823):INDIRECT(AQ$1&amp;AQ$3&amp;$B823))</f>
        <v>0</v>
      </c>
      <c r="AR823" s="2931">
        <f t="shared" ca="1" si="1344"/>
        <v>0</v>
      </c>
      <c r="AS823" s="2932">
        <f t="shared" ca="1" si="1345"/>
        <v>0</v>
      </c>
      <c r="AU823" s="2183">
        <f ca="1">SUM((INDIRECT(AU$2&amp;(ROW())):INDIRECT(AU$3&amp;(ROW()))))</f>
        <v>0</v>
      </c>
      <c r="AV823" s="2182">
        <f ca="1">SUM(INDIRECT(AV$1&amp;AV$2&amp;$C823):INDIRECT(AV$1&amp;AV$3&amp;$C823))</f>
        <v>0</v>
      </c>
      <c r="AW823" s="2931">
        <f t="shared" ca="1" si="1346"/>
        <v>0</v>
      </c>
      <c r="AX823" s="2932">
        <f t="shared" ca="1" si="1347"/>
        <v>0</v>
      </c>
      <c r="AY823" s="2182">
        <f ca="1">SUM(INDIRECT(AY$1&amp;AY$2&amp;$A823):INDIRECT(AY$1&amp;AY$3&amp;$A823))+SUM(INDIRECT(AY$1&amp;AY$2&amp;$B823):INDIRECT(AY$1&amp;AY$3&amp;$B823))</f>
        <v>0</v>
      </c>
      <c r="AZ823" s="2931">
        <f t="shared" ca="1" si="1349"/>
        <v>0</v>
      </c>
      <c r="BA823" s="2932">
        <f t="shared" ca="1" si="1350"/>
        <v>0</v>
      </c>
      <c r="BC823" s="2183">
        <f ca="1">SUM((INDIRECT(BC$2&amp;(ROW())):INDIRECT(BC$3&amp;(ROW()))))</f>
        <v>0</v>
      </c>
      <c r="BD823" s="2182">
        <f ca="1">SUM(INDIRECT(BD$1&amp;BD$2&amp;$C823):INDIRECT(BD$1&amp;BD$3&amp;$C823))</f>
        <v>0</v>
      </c>
      <c r="BE823" s="2931">
        <f t="shared" ca="1" si="1351"/>
        <v>0</v>
      </c>
      <c r="BF823" s="2932">
        <f t="shared" ca="1" si="1352"/>
        <v>0</v>
      </c>
      <c r="BG823" s="2182">
        <f ca="1">SUM(INDIRECT(BG$1&amp;BG$2&amp;$A823):INDIRECT(BG$1&amp;BG$3&amp;$A823))+SUM(INDIRECT(BG$1&amp;BG$2&amp;$B823):INDIRECT(BG$1&amp;BG$3&amp;$B823))</f>
        <v>0</v>
      </c>
      <c r="BH823" s="2931">
        <f t="shared" ca="1" si="1354"/>
        <v>0</v>
      </c>
      <c r="BI823" s="2932">
        <f t="shared" ca="1" si="1355"/>
        <v>0</v>
      </c>
    </row>
    <row r="824" spans="1:61" ht="14.5">
      <c r="A824" s="1693">
        <f t="shared" si="1370"/>
        <v>816</v>
      </c>
      <c r="B824" s="616">
        <v>1</v>
      </c>
      <c r="C824" s="1693">
        <f t="shared" si="1369"/>
        <v>824</v>
      </c>
      <c r="D824" s="616">
        <f>D823+1</f>
        <v>661</v>
      </c>
      <c r="F824" s="69"/>
      <c r="H824" s="22"/>
      <c r="J824" s="86"/>
      <c r="K824" s="85"/>
      <c r="L824" s="68"/>
      <c r="M824" s="68"/>
      <c r="O824" s="97" t="s">
        <v>523</v>
      </c>
      <c r="P824" s="97"/>
      <c r="Q824" s="97"/>
      <c r="R824" s="1779" t="str">
        <f>CHOOSE(2, "6722000003735", "S/GP (5) Gross Profit Direct ICW-WK OSP")</f>
        <v>S/GP (5) Gross Profit Direct ICW-WK OSP</v>
      </c>
      <c r="S824" s="1227"/>
      <c r="T824" s="1247"/>
      <c r="U824" s="1227"/>
      <c r="V824" s="1227"/>
      <c r="W824" s="1227"/>
      <c r="X824" s="1227"/>
      <c r="Y824" s="1227"/>
      <c r="Z824" s="1227"/>
      <c r="AA824" s="1227"/>
      <c r="AB824" s="1227"/>
      <c r="AC824" s="1227"/>
      <c r="AD824" s="1227"/>
      <c r="AE824" s="295">
        <f>SUM(S824,T824,U824)</f>
        <v>0</v>
      </c>
      <c r="AF824" s="96">
        <f>SUM(V824,W824,X824)</f>
        <v>0</v>
      </c>
      <c r="AG824" s="96">
        <f>SUM(Y824,Z824,AA824)</f>
        <v>0</v>
      </c>
      <c r="AH824" s="96">
        <f>SUM(AB824,AC824,AD824)</f>
        <v>0</v>
      </c>
      <c r="AI824" s="96">
        <f>AE824+AF824</f>
        <v>0</v>
      </c>
      <c r="AJ824" s="96">
        <f>AH824+AG824</f>
        <v>0</v>
      </c>
      <c r="AK824" s="295">
        <f>AI824+AJ824</f>
        <v>0</v>
      </c>
      <c r="AM824" s="2161">
        <f ca="1">SUM((INDIRECT(AM$2&amp;(ROW())):INDIRECT(AM$3&amp;(ROW()))))</f>
        <v>0</v>
      </c>
      <c r="AN824" s="2160">
        <f ca="1">SUM(INDIRECT(AN$1&amp;AN$2&amp;$C824):INDIRECT(AN$1&amp;AN$3&amp;$C824))</f>
        <v>0</v>
      </c>
      <c r="AO824" s="2900">
        <f t="shared" ca="1" si="1341"/>
        <v>0</v>
      </c>
      <c r="AP824" s="2901">
        <f t="shared" ca="1" si="1342"/>
        <v>0</v>
      </c>
      <c r="AQ824" s="2160">
        <f ca="1">SUM(INDIRECT(AQ$1&amp;AQ$2&amp;$A824):INDIRECT(AQ$1&amp;AQ$3&amp;$A824))+SUM(INDIRECT(AQ$1&amp;AQ$2&amp;$B824):INDIRECT(AQ$1&amp;AQ$3&amp;$B824))</f>
        <v>0</v>
      </c>
      <c r="AR824" s="2900">
        <f t="shared" ca="1" si="1344"/>
        <v>0</v>
      </c>
      <c r="AS824" s="2901">
        <f t="shared" ca="1" si="1345"/>
        <v>0</v>
      </c>
      <c r="AU824" s="2161">
        <f ca="1">SUM((INDIRECT(AU$2&amp;(ROW())):INDIRECT(AU$3&amp;(ROW()))))</f>
        <v>0</v>
      </c>
      <c r="AV824" s="2160">
        <f ca="1">SUM(INDIRECT(AV$1&amp;AV$2&amp;$C824):INDIRECT(AV$1&amp;AV$3&amp;$C824))</f>
        <v>0</v>
      </c>
      <c r="AW824" s="2900">
        <f t="shared" ca="1" si="1346"/>
        <v>0</v>
      </c>
      <c r="AX824" s="2901">
        <f t="shared" ca="1" si="1347"/>
        <v>0</v>
      </c>
      <c r="AY824" s="2160">
        <f ca="1">SUM(INDIRECT(AY$1&amp;AY$2&amp;$A824):INDIRECT(AY$1&amp;AY$3&amp;$A824))+SUM(INDIRECT(AY$1&amp;AY$2&amp;$B824):INDIRECT(AY$1&amp;AY$3&amp;$B824))</f>
        <v>0</v>
      </c>
      <c r="AZ824" s="2900">
        <f t="shared" ca="1" si="1349"/>
        <v>0</v>
      </c>
      <c r="BA824" s="2901">
        <f t="shared" ca="1" si="1350"/>
        <v>0</v>
      </c>
      <c r="BC824" s="2161">
        <f ca="1">SUM((INDIRECT(BC$2&amp;(ROW())):INDIRECT(BC$3&amp;(ROW()))))</f>
        <v>0</v>
      </c>
      <c r="BD824" s="2160">
        <f ca="1">SUM(INDIRECT(BD$1&amp;BD$2&amp;$C824):INDIRECT(BD$1&amp;BD$3&amp;$C824))</f>
        <v>0</v>
      </c>
      <c r="BE824" s="2900">
        <f t="shared" ca="1" si="1351"/>
        <v>0</v>
      </c>
      <c r="BF824" s="2901">
        <f t="shared" ca="1" si="1352"/>
        <v>0</v>
      </c>
      <c r="BG824" s="2160">
        <f ca="1">SUM(INDIRECT(BG$1&amp;BG$2&amp;$A824):INDIRECT(BG$1&amp;BG$3&amp;$A824))+SUM(INDIRECT(BG$1&amp;BG$2&amp;$B824):INDIRECT(BG$1&amp;BG$3&amp;$B824))</f>
        <v>0</v>
      </c>
      <c r="BH824" s="2900">
        <f t="shared" ca="1" si="1354"/>
        <v>0</v>
      </c>
      <c r="BI824" s="2901">
        <f t="shared" ca="1" si="1355"/>
        <v>0</v>
      </c>
    </row>
    <row r="825" spans="1:61" ht="14.5">
      <c r="A825" s="1693">
        <f t="shared" si="1370"/>
        <v>817</v>
      </c>
      <c r="B825" s="616">
        <v>1</v>
      </c>
      <c r="C825" s="1693">
        <f t="shared" si="1369"/>
        <v>825</v>
      </c>
      <c r="D825" s="616">
        <f>D824+1</f>
        <v>662</v>
      </c>
      <c r="F825" s="69"/>
      <c r="H825" s="22"/>
      <c r="J825" s="86"/>
      <c r="K825" s="85"/>
      <c r="L825" s="68"/>
      <c r="M825" s="68"/>
      <c r="O825" s="8" t="s">
        <v>524</v>
      </c>
      <c r="R825" s="1779" t="str">
        <f>CHOOSE(2, "6722000003736", "S/GP (5) Gross Profit Direct ICW-WK RP")</f>
        <v>S/GP (5) Gross Profit Direct ICW-WK RP</v>
      </c>
      <c r="S825" s="1217"/>
      <c r="T825" s="1224"/>
      <c r="U825" s="1217"/>
      <c r="V825" s="1217"/>
      <c r="W825" s="1217"/>
      <c r="X825" s="1217"/>
      <c r="Y825" s="1217"/>
      <c r="Z825" s="1217"/>
      <c r="AA825" s="1217"/>
      <c r="AB825" s="1217"/>
      <c r="AC825" s="1217"/>
      <c r="AD825" s="1217"/>
      <c r="AE825" s="88">
        <f>SUM(S825,T825,U825)</f>
        <v>0</v>
      </c>
      <c r="AF825" s="17">
        <f>SUM(V825,W825,X825)</f>
        <v>0</v>
      </c>
      <c r="AG825" s="17">
        <f>SUM(Y825,Z825,AA825)</f>
        <v>0</v>
      </c>
      <c r="AH825" s="17">
        <f>SUM(AB825,AC825,AD825)</f>
        <v>0</v>
      </c>
      <c r="AI825" s="17">
        <f>AE825+AF825</f>
        <v>0</v>
      </c>
      <c r="AJ825" s="17">
        <f>AH825+AG825</f>
        <v>0</v>
      </c>
      <c r="AK825" s="88">
        <f>AI825+AJ825</f>
        <v>0</v>
      </c>
      <c r="AM825" s="1926">
        <f ca="1">SUM((INDIRECT(AM$2&amp;(ROW())):INDIRECT(AM$3&amp;(ROW()))))</f>
        <v>0</v>
      </c>
      <c r="AN825" s="1925">
        <f ca="1">SUM(INDIRECT(AN$1&amp;AN$2&amp;$C825):INDIRECT(AN$1&amp;AN$3&amp;$C825))</f>
        <v>0</v>
      </c>
      <c r="AO825" s="2902">
        <f t="shared" ca="1" si="1341"/>
        <v>0</v>
      </c>
      <c r="AP825" s="2903">
        <f t="shared" ca="1" si="1342"/>
        <v>0</v>
      </c>
      <c r="AQ825" s="1925">
        <f ca="1">SUM(INDIRECT(AQ$1&amp;AQ$2&amp;$A825):INDIRECT(AQ$1&amp;AQ$3&amp;$A825))+SUM(INDIRECT(AQ$1&amp;AQ$2&amp;$B825):INDIRECT(AQ$1&amp;AQ$3&amp;$B825))</f>
        <v>0</v>
      </c>
      <c r="AR825" s="2902">
        <f t="shared" ca="1" si="1344"/>
        <v>0</v>
      </c>
      <c r="AS825" s="2903">
        <f t="shared" ca="1" si="1345"/>
        <v>0</v>
      </c>
      <c r="AU825" s="1926">
        <f ca="1">SUM((INDIRECT(AU$2&amp;(ROW())):INDIRECT(AU$3&amp;(ROW()))))</f>
        <v>0</v>
      </c>
      <c r="AV825" s="1925">
        <f ca="1">SUM(INDIRECT(AV$1&amp;AV$2&amp;$C825):INDIRECT(AV$1&amp;AV$3&amp;$C825))</f>
        <v>0</v>
      </c>
      <c r="AW825" s="2902">
        <f t="shared" ca="1" si="1346"/>
        <v>0</v>
      </c>
      <c r="AX825" s="2903">
        <f t="shared" ca="1" si="1347"/>
        <v>0</v>
      </c>
      <c r="AY825" s="1925">
        <f ca="1">SUM(INDIRECT(AY$1&amp;AY$2&amp;$A825):INDIRECT(AY$1&amp;AY$3&amp;$A825))+SUM(INDIRECT(AY$1&amp;AY$2&amp;$B825):INDIRECT(AY$1&amp;AY$3&amp;$B825))</f>
        <v>0</v>
      </c>
      <c r="AZ825" s="2902">
        <f t="shared" ca="1" si="1349"/>
        <v>0</v>
      </c>
      <c r="BA825" s="2903">
        <f t="shared" ca="1" si="1350"/>
        <v>0</v>
      </c>
      <c r="BC825" s="1926">
        <f ca="1">SUM((INDIRECT(BC$2&amp;(ROW())):INDIRECT(BC$3&amp;(ROW()))))</f>
        <v>0</v>
      </c>
      <c r="BD825" s="1925">
        <f ca="1">SUM(INDIRECT(BD$1&amp;BD$2&amp;$C825):INDIRECT(BD$1&amp;BD$3&amp;$C825))</f>
        <v>0</v>
      </c>
      <c r="BE825" s="2902">
        <f t="shared" ca="1" si="1351"/>
        <v>0</v>
      </c>
      <c r="BF825" s="2903">
        <f t="shared" ca="1" si="1352"/>
        <v>0</v>
      </c>
      <c r="BG825" s="1925">
        <f ca="1">SUM(INDIRECT(BG$1&amp;BG$2&amp;$A825):INDIRECT(BG$1&amp;BG$3&amp;$A825))+SUM(INDIRECT(BG$1&amp;BG$2&amp;$B825):INDIRECT(BG$1&amp;BG$3&amp;$B825))</f>
        <v>0</v>
      </c>
      <c r="BH825" s="2902">
        <f t="shared" ca="1" si="1354"/>
        <v>0</v>
      </c>
      <c r="BI825" s="2903">
        <f t="shared" ca="1" si="1355"/>
        <v>0</v>
      </c>
    </row>
    <row r="826" spans="1:61" ht="14.5">
      <c r="A826" s="1693">
        <f t="shared" si="1370"/>
        <v>818</v>
      </c>
      <c r="B826" s="616">
        <v>1</v>
      </c>
      <c r="C826" s="1693">
        <f t="shared" si="1369"/>
        <v>826</v>
      </c>
      <c r="D826" s="616">
        <f>D825+1</f>
        <v>663</v>
      </c>
      <c r="F826" s="69"/>
      <c r="H826" s="22"/>
      <c r="J826" s="86"/>
      <c r="K826" s="85"/>
      <c r="L826" s="68"/>
      <c r="M826" s="68"/>
      <c r="O826" s="8" t="s">
        <v>525</v>
      </c>
      <c r="R826" s="1779" t="str">
        <f>CHOOSE(2, "6722000003737", "S/GP (5) Gross Profit Direct ICW-WK OSP service")</f>
        <v>S/GP (5) Gross Profit Direct ICW-WK OSP service</v>
      </c>
      <c r="S826" s="1217"/>
      <c r="T826" s="1217"/>
      <c r="U826" s="1217"/>
      <c r="V826" s="1217"/>
      <c r="W826" s="1217"/>
      <c r="X826" s="1217"/>
      <c r="Y826" s="1217"/>
      <c r="Z826" s="1217"/>
      <c r="AA826" s="1217"/>
      <c r="AB826" s="1217"/>
      <c r="AC826" s="1217"/>
      <c r="AD826" s="1217"/>
      <c r="AE826" s="88">
        <f>SUM(S826,T826,U826)</f>
        <v>0</v>
      </c>
      <c r="AF826" s="17">
        <f>SUM(V826,W826,X826)</f>
        <v>0</v>
      </c>
      <c r="AG826" s="17">
        <f>SUM(Y826,Z826,AA826)</f>
        <v>0</v>
      </c>
      <c r="AH826" s="17">
        <f>SUM(AB826,AC826,AD826)</f>
        <v>0</v>
      </c>
      <c r="AI826" s="17">
        <f>AE826+AF826</f>
        <v>0</v>
      </c>
      <c r="AJ826" s="17">
        <f>AH826+AG826</f>
        <v>0</v>
      </c>
      <c r="AK826" s="88">
        <f>AI826+AJ826</f>
        <v>0</v>
      </c>
      <c r="AM826" s="1926">
        <f ca="1">SUM((INDIRECT(AM$2&amp;(ROW())):INDIRECT(AM$3&amp;(ROW()))))</f>
        <v>0</v>
      </c>
      <c r="AN826" s="1925">
        <f ca="1">SUM(INDIRECT(AN$1&amp;AN$2&amp;$C826):INDIRECT(AN$1&amp;AN$3&amp;$C826))</f>
        <v>0</v>
      </c>
      <c r="AO826" s="2902">
        <f t="shared" ca="1" si="1341"/>
        <v>0</v>
      </c>
      <c r="AP826" s="2903">
        <f t="shared" ca="1" si="1342"/>
        <v>0</v>
      </c>
      <c r="AQ826" s="1925">
        <f ca="1">SUM(INDIRECT(AQ$1&amp;AQ$2&amp;$A826):INDIRECT(AQ$1&amp;AQ$3&amp;$A826))+SUM(INDIRECT(AQ$1&amp;AQ$2&amp;$B826):INDIRECT(AQ$1&amp;AQ$3&amp;$B826))</f>
        <v>0</v>
      </c>
      <c r="AR826" s="2902">
        <f t="shared" ca="1" si="1344"/>
        <v>0</v>
      </c>
      <c r="AS826" s="2903">
        <f t="shared" ca="1" si="1345"/>
        <v>0</v>
      </c>
      <c r="AU826" s="1926">
        <f ca="1">SUM((INDIRECT(AU$2&amp;(ROW())):INDIRECT(AU$3&amp;(ROW()))))</f>
        <v>0</v>
      </c>
      <c r="AV826" s="1925">
        <f ca="1">SUM(INDIRECT(AV$1&amp;AV$2&amp;$C826):INDIRECT(AV$1&amp;AV$3&amp;$C826))</f>
        <v>0</v>
      </c>
      <c r="AW826" s="2902">
        <f t="shared" ca="1" si="1346"/>
        <v>0</v>
      </c>
      <c r="AX826" s="2903">
        <f t="shared" ca="1" si="1347"/>
        <v>0</v>
      </c>
      <c r="AY826" s="1925">
        <f ca="1">SUM(INDIRECT(AY$1&amp;AY$2&amp;$A826):INDIRECT(AY$1&amp;AY$3&amp;$A826))+SUM(INDIRECT(AY$1&amp;AY$2&amp;$B826):INDIRECT(AY$1&amp;AY$3&amp;$B826))</f>
        <v>0</v>
      </c>
      <c r="AZ826" s="2902">
        <f t="shared" ca="1" si="1349"/>
        <v>0</v>
      </c>
      <c r="BA826" s="2903">
        <f t="shared" ca="1" si="1350"/>
        <v>0</v>
      </c>
      <c r="BC826" s="1926">
        <f ca="1">SUM((INDIRECT(BC$2&amp;(ROW())):INDIRECT(BC$3&amp;(ROW()))))</f>
        <v>0</v>
      </c>
      <c r="BD826" s="1925">
        <f ca="1">SUM(INDIRECT(BD$1&amp;BD$2&amp;$C826):INDIRECT(BD$1&amp;BD$3&amp;$C826))</f>
        <v>0</v>
      </c>
      <c r="BE826" s="2902">
        <f t="shared" ca="1" si="1351"/>
        <v>0</v>
      </c>
      <c r="BF826" s="2903">
        <f t="shared" ca="1" si="1352"/>
        <v>0</v>
      </c>
      <c r="BG826" s="1925">
        <f ca="1">SUM(INDIRECT(BG$1&amp;BG$2&amp;$A826):INDIRECT(BG$1&amp;BG$3&amp;$A826))+SUM(INDIRECT(BG$1&amp;BG$2&amp;$B826):INDIRECT(BG$1&amp;BG$3&amp;$B826))</f>
        <v>0</v>
      </c>
      <c r="BH826" s="2902">
        <f t="shared" ca="1" si="1354"/>
        <v>0</v>
      </c>
      <c r="BI826" s="2903">
        <f t="shared" ca="1" si="1355"/>
        <v>0</v>
      </c>
    </row>
    <row r="827" spans="1:61" ht="14.5">
      <c r="A827" s="1693">
        <f t="shared" si="1370"/>
        <v>819</v>
      </c>
      <c r="B827" s="616">
        <v>1</v>
      </c>
      <c r="C827" s="1693">
        <f t="shared" si="1369"/>
        <v>827</v>
      </c>
      <c r="D827" s="616">
        <f>D826+1</f>
        <v>664</v>
      </c>
      <c r="F827" s="69"/>
      <c r="H827" s="22"/>
      <c r="J827" s="86"/>
      <c r="K827" s="85"/>
      <c r="L827" s="68"/>
      <c r="M827" s="68"/>
      <c r="N827" s="11"/>
      <c r="O827" s="8" t="s">
        <v>526</v>
      </c>
      <c r="Q827" s="11"/>
      <c r="R827" s="1779" t="str">
        <f>CHOOSE(2, "6722000003738", "S/GP (5) Gross Profit Direct ICW-WK RP service")</f>
        <v>S/GP (5) Gross Profit Direct ICW-WK RP service</v>
      </c>
      <c r="S827" s="1218"/>
      <c r="T827" s="1218"/>
      <c r="U827" s="1218"/>
      <c r="V827" s="1218"/>
      <c r="W827" s="1218"/>
      <c r="X827" s="1218"/>
      <c r="Y827" s="1218"/>
      <c r="Z827" s="1218"/>
      <c r="AA827" s="1218"/>
      <c r="AB827" s="1218"/>
      <c r="AC827" s="1218"/>
      <c r="AD827" s="1218"/>
      <c r="AE827" s="87">
        <f>SUM(S827,T827,U827)</f>
        <v>0</v>
      </c>
      <c r="AF827" s="15">
        <f>SUM(V827,W827,X827)</f>
        <v>0</v>
      </c>
      <c r="AG827" s="15">
        <f>SUM(Y827,Z827,AA827)</f>
        <v>0</v>
      </c>
      <c r="AH827" s="15">
        <f>SUM(AB827,AC827,AD827)</f>
        <v>0</v>
      </c>
      <c r="AI827" s="15">
        <f>AE827+AF827</f>
        <v>0</v>
      </c>
      <c r="AJ827" s="15">
        <f>AH827+AG827</f>
        <v>0</v>
      </c>
      <c r="AK827" s="87">
        <f>AI827+AJ827</f>
        <v>0</v>
      </c>
      <c r="AM827" s="1928">
        <f ca="1">SUM((INDIRECT(AM$2&amp;(ROW())):INDIRECT(AM$3&amp;(ROW()))))</f>
        <v>0</v>
      </c>
      <c r="AN827" s="1927">
        <f ca="1">SUM(INDIRECT(AN$1&amp;AN$2&amp;$C827):INDIRECT(AN$1&amp;AN$3&amp;$C827))</f>
        <v>0</v>
      </c>
      <c r="AO827" s="2904">
        <f t="shared" ca="1" si="1341"/>
        <v>0</v>
      </c>
      <c r="AP827" s="2905">
        <f t="shared" ca="1" si="1342"/>
        <v>0</v>
      </c>
      <c r="AQ827" s="1927">
        <f ca="1">SUM(INDIRECT(AQ$1&amp;AQ$2&amp;$A827):INDIRECT(AQ$1&amp;AQ$3&amp;$A827))+SUM(INDIRECT(AQ$1&amp;AQ$2&amp;$B827):INDIRECT(AQ$1&amp;AQ$3&amp;$B827))</f>
        <v>0</v>
      </c>
      <c r="AR827" s="2904">
        <f t="shared" ca="1" si="1344"/>
        <v>0</v>
      </c>
      <c r="AS827" s="2905">
        <f t="shared" ca="1" si="1345"/>
        <v>0</v>
      </c>
      <c r="AU827" s="1928">
        <f ca="1">SUM((INDIRECT(AU$2&amp;(ROW())):INDIRECT(AU$3&amp;(ROW()))))</f>
        <v>0</v>
      </c>
      <c r="AV827" s="1927">
        <f ca="1">SUM(INDIRECT(AV$1&amp;AV$2&amp;$C827):INDIRECT(AV$1&amp;AV$3&amp;$C827))</f>
        <v>0</v>
      </c>
      <c r="AW827" s="2904">
        <f t="shared" ca="1" si="1346"/>
        <v>0</v>
      </c>
      <c r="AX827" s="2905">
        <f t="shared" ca="1" si="1347"/>
        <v>0</v>
      </c>
      <c r="AY827" s="1927">
        <f ca="1">SUM(INDIRECT(AY$1&amp;AY$2&amp;$A827):INDIRECT(AY$1&amp;AY$3&amp;$A827))+SUM(INDIRECT(AY$1&amp;AY$2&amp;$B827):INDIRECT(AY$1&amp;AY$3&amp;$B827))</f>
        <v>0</v>
      </c>
      <c r="AZ827" s="2904">
        <f t="shared" ca="1" si="1349"/>
        <v>0</v>
      </c>
      <c r="BA827" s="2905">
        <f t="shared" ca="1" si="1350"/>
        <v>0</v>
      </c>
      <c r="BC827" s="1928">
        <f ca="1">SUM((INDIRECT(BC$2&amp;(ROW())):INDIRECT(BC$3&amp;(ROW()))))</f>
        <v>0</v>
      </c>
      <c r="BD827" s="1927">
        <f ca="1">SUM(INDIRECT(BD$1&amp;BD$2&amp;$C827):INDIRECT(BD$1&amp;BD$3&amp;$C827))</f>
        <v>0</v>
      </c>
      <c r="BE827" s="2904">
        <f t="shared" ca="1" si="1351"/>
        <v>0</v>
      </c>
      <c r="BF827" s="2905">
        <f t="shared" ca="1" si="1352"/>
        <v>0</v>
      </c>
      <c r="BG827" s="1927">
        <f ca="1">SUM(INDIRECT(BG$1&amp;BG$2&amp;$A827):INDIRECT(BG$1&amp;BG$3&amp;$A827))+SUM(INDIRECT(BG$1&amp;BG$2&amp;$B827):INDIRECT(BG$1&amp;BG$3&amp;$B827))</f>
        <v>0</v>
      </c>
      <c r="BH827" s="2904">
        <f t="shared" ca="1" si="1354"/>
        <v>0</v>
      </c>
      <c r="BI827" s="2905">
        <f t="shared" ca="1" si="1355"/>
        <v>0</v>
      </c>
    </row>
    <row r="828" spans="1:61" ht="14.5">
      <c r="A828" s="1693">
        <f t="shared" si="1370"/>
        <v>820</v>
      </c>
      <c r="B828" s="616">
        <v>1</v>
      </c>
      <c r="C828" s="1693">
        <f t="shared" si="1369"/>
        <v>828</v>
      </c>
      <c r="D828" s="616">
        <v>1</v>
      </c>
      <c r="F828" s="69"/>
      <c r="H828" s="22"/>
      <c r="J828" s="86"/>
      <c r="K828" s="85"/>
      <c r="L828" s="68"/>
      <c r="M828" s="68"/>
      <c r="N828" s="3" t="s">
        <v>609</v>
      </c>
      <c r="O828" s="284"/>
      <c r="P828" s="284"/>
      <c r="Q828" s="284"/>
      <c r="R828" s="1777" t="str">
        <f>CHOOSE(2, "6722000003739", "S/GP (5) Gross Profit Direct ICW-P")</f>
        <v>S/GP (5) Gross Profit Direct ICW-P</v>
      </c>
      <c r="S828" s="1248">
        <f>SUM(S829:S832)</f>
        <v>0</v>
      </c>
      <c r="T828" s="1620">
        <f t="shared" ref="T828:AD828" si="1407">SUM(T829:T832)</f>
        <v>0</v>
      </c>
      <c r="U828" s="1248">
        <f t="shared" si="1407"/>
        <v>0</v>
      </c>
      <c r="V828" s="1248">
        <f t="shared" si="1407"/>
        <v>0</v>
      </c>
      <c r="W828" s="1248">
        <f t="shared" si="1407"/>
        <v>0</v>
      </c>
      <c r="X828" s="1248">
        <f t="shared" si="1407"/>
        <v>0</v>
      </c>
      <c r="Y828" s="1248">
        <f t="shared" si="1407"/>
        <v>0</v>
      </c>
      <c r="Z828" s="1248">
        <f t="shared" si="1407"/>
        <v>0</v>
      </c>
      <c r="AA828" s="1248">
        <f t="shared" si="1407"/>
        <v>0</v>
      </c>
      <c r="AB828" s="1248">
        <f t="shared" si="1407"/>
        <v>0</v>
      </c>
      <c r="AC828" s="1248">
        <f t="shared" si="1407"/>
        <v>0</v>
      </c>
      <c r="AD828" s="1248">
        <f t="shared" si="1407"/>
        <v>0</v>
      </c>
      <c r="AE828" s="895">
        <f t="shared" ref="AE828:AK828" si="1408">SUM(AE829:AE832)</f>
        <v>0</v>
      </c>
      <c r="AF828" s="1248">
        <f t="shared" si="1408"/>
        <v>0</v>
      </c>
      <c r="AG828" s="1248">
        <f t="shared" si="1408"/>
        <v>0</v>
      </c>
      <c r="AH828" s="1248">
        <f t="shared" si="1408"/>
        <v>0</v>
      </c>
      <c r="AI828" s="1248">
        <f t="shared" si="1408"/>
        <v>0</v>
      </c>
      <c r="AJ828" s="1248">
        <f t="shared" si="1408"/>
        <v>0</v>
      </c>
      <c r="AK828" s="895">
        <f t="shared" si="1408"/>
        <v>0</v>
      </c>
      <c r="AM828" s="2183">
        <f ca="1">SUM((INDIRECT(AM$2&amp;(ROW())):INDIRECT(AM$3&amp;(ROW()))))</f>
        <v>0</v>
      </c>
      <c r="AN828" s="2182">
        <f ca="1">SUM(INDIRECT(AN$1&amp;AN$2&amp;$C828):INDIRECT(AN$1&amp;AN$3&amp;$C828))</f>
        <v>0</v>
      </c>
      <c r="AO828" s="2931">
        <f t="shared" ref="AO828:AO898" ca="1" si="1409">AM828-AN828</f>
        <v>0</v>
      </c>
      <c r="AP828" s="2932">
        <f t="shared" ca="1" si="1342"/>
        <v>0</v>
      </c>
      <c r="AQ828" s="2182">
        <f ca="1">SUM(INDIRECT(AQ$1&amp;AQ$2&amp;$A828):INDIRECT(AQ$1&amp;AQ$3&amp;$A828))+SUM(INDIRECT(AQ$1&amp;AQ$2&amp;$B828):INDIRECT(AQ$1&amp;AQ$3&amp;$B828))</f>
        <v>0</v>
      </c>
      <c r="AR828" s="2931">
        <f t="shared" ref="AR828:AR898" ca="1" si="1410">AM828-AQ828</f>
        <v>0</v>
      </c>
      <c r="AS828" s="2932">
        <f t="shared" ca="1" si="1345"/>
        <v>0</v>
      </c>
      <c r="AU828" s="2183">
        <f ca="1">SUM((INDIRECT(AU$2&amp;(ROW())):INDIRECT(AU$3&amp;(ROW()))))</f>
        <v>0</v>
      </c>
      <c r="AV828" s="2182">
        <f ca="1">SUM(INDIRECT(AV$1&amp;AV$2&amp;$C828):INDIRECT(AV$1&amp;AV$3&amp;$C828))</f>
        <v>0</v>
      </c>
      <c r="AW828" s="2931">
        <f t="shared" ca="1" si="1346"/>
        <v>0</v>
      </c>
      <c r="AX828" s="2932">
        <f t="shared" ca="1" si="1347"/>
        <v>0</v>
      </c>
      <c r="AY828" s="2182">
        <f ca="1">SUM(INDIRECT(AY$1&amp;AY$2&amp;$A828):INDIRECT(AY$1&amp;AY$3&amp;$A828))+SUM(INDIRECT(AY$1&amp;AY$2&amp;$B828):INDIRECT(AY$1&amp;AY$3&amp;$B828))</f>
        <v>0</v>
      </c>
      <c r="AZ828" s="2931">
        <f t="shared" ca="1" si="1349"/>
        <v>0</v>
      </c>
      <c r="BA828" s="2932">
        <f t="shared" ca="1" si="1350"/>
        <v>0</v>
      </c>
      <c r="BC828" s="2183">
        <f ca="1">SUM((INDIRECT(BC$2&amp;(ROW())):INDIRECT(BC$3&amp;(ROW()))))</f>
        <v>0</v>
      </c>
      <c r="BD828" s="2182">
        <f ca="1">SUM(INDIRECT(BD$1&amp;BD$2&amp;$C828):INDIRECT(BD$1&amp;BD$3&amp;$C828))</f>
        <v>0</v>
      </c>
      <c r="BE828" s="2931">
        <f t="shared" ca="1" si="1351"/>
        <v>0</v>
      </c>
      <c r="BF828" s="2932">
        <f t="shared" ca="1" si="1352"/>
        <v>0</v>
      </c>
      <c r="BG828" s="2182">
        <f ca="1">SUM(INDIRECT(BG$1&amp;BG$2&amp;$A828):INDIRECT(BG$1&amp;BG$3&amp;$A828))+SUM(INDIRECT(BG$1&amp;BG$2&amp;$B828):INDIRECT(BG$1&amp;BG$3&amp;$B828))</f>
        <v>0</v>
      </c>
      <c r="BH828" s="2931">
        <f t="shared" ca="1" si="1354"/>
        <v>0</v>
      </c>
      <c r="BI828" s="2932">
        <f t="shared" ca="1" si="1355"/>
        <v>0</v>
      </c>
    </row>
    <row r="829" spans="1:61" ht="14.5">
      <c r="A829" s="1693">
        <f t="shared" si="1370"/>
        <v>821</v>
      </c>
      <c r="B829" s="616">
        <v>1</v>
      </c>
      <c r="C829" s="1693">
        <f t="shared" si="1369"/>
        <v>829</v>
      </c>
      <c r="D829" s="616">
        <v>1</v>
      </c>
      <c r="F829" s="69"/>
      <c r="H829" s="22"/>
      <c r="J829" s="86"/>
      <c r="K829" s="85"/>
      <c r="L829" s="68"/>
      <c r="M829" s="68"/>
      <c r="O829" s="97" t="s">
        <v>523</v>
      </c>
      <c r="P829" s="97"/>
      <c r="Q829" s="97"/>
      <c r="R829" s="1779" t="str">
        <f>CHOOSE(2, "6722000003740", "S/GP (5) Gross Profit Direct ICW-P OSP")</f>
        <v>S/GP (5) Gross Profit Direct ICW-P OSP</v>
      </c>
      <c r="S829" s="1227"/>
      <c r="T829" s="1247"/>
      <c r="U829" s="1227"/>
      <c r="V829" s="1227"/>
      <c r="W829" s="1227"/>
      <c r="X829" s="1227"/>
      <c r="Y829" s="1227"/>
      <c r="Z829" s="1227"/>
      <c r="AA829" s="1227"/>
      <c r="AB829" s="1227"/>
      <c r="AC829" s="1227"/>
      <c r="AD829" s="1227"/>
      <c r="AE829" s="295">
        <f>SUM(S829,T829,U829)</f>
        <v>0</v>
      </c>
      <c r="AF829" s="96">
        <f>SUM(V829,W829,X829)</f>
        <v>0</v>
      </c>
      <c r="AG829" s="96">
        <f>SUM(Y829,Z829,AA829)</f>
        <v>0</v>
      </c>
      <c r="AH829" s="96">
        <f>SUM(AB829,AC829,AD829)</f>
        <v>0</v>
      </c>
      <c r="AI829" s="96">
        <f>AE829+AF829</f>
        <v>0</v>
      </c>
      <c r="AJ829" s="96">
        <f>AH829+AG829</f>
        <v>0</v>
      </c>
      <c r="AK829" s="295">
        <f>AI829+AJ829</f>
        <v>0</v>
      </c>
      <c r="AM829" s="2161">
        <f ca="1">SUM((INDIRECT(AM$2&amp;(ROW())):INDIRECT(AM$3&amp;(ROW()))))</f>
        <v>0</v>
      </c>
      <c r="AN829" s="2160">
        <f ca="1">SUM(INDIRECT(AN$1&amp;AN$2&amp;$C829):INDIRECT(AN$1&amp;AN$3&amp;$C829))</f>
        <v>0</v>
      </c>
      <c r="AO829" s="2900">
        <f t="shared" ca="1" si="1409"/>
        <v>0</v>
      </c>
      <c r="AP829" s="2901">
        <f t="shared" ca="1" si="1342"/>
        <v>0</v>
      </c>
      <c r="AQ829" s="2160">
        <f ca="1">SUM(INDIRECT(AQ$1&amp;AQ$2&amp;$A829):INDIRECT(AQ$1&amp;AQ$3&amp;$A829))+SUM(INDIRECT(AQ$1&amp;AQ$2&amp;$B829):INDIRECT(AQ$1&amp;AQ$3&amp;$B829))</f>
        <v>0</v>
      </c>
      <c r="AR829" s="2900">
        <f t="shared" ca="1" si="1410"/>
        <v>0</v>
      </c>
      <c r="AS829" s="2901">
        <f t="shared" ca="1" si="1345"/>
        <v>0</v>
      </c>
      <c r="AU829" s="2161">
        <f ca="1">SUM((INDIRECT(AU$2&amp;(ROW())):INDIRECT(AU$3&amp;(ROW()))))</f>
        <v>0</v>
      </c>
      <c r="AV829" s="2160">
        <f ca="1">SUM(INDIRECT(AV$1&amp;AV$2&amp;$C829):INDIRECT(AV$1&amp;AV$3&amp;$C829))</f>
        <v>0</v>
      </c>
      <c r="AW829" s="2900">
        <f t="shared" ca="1" si="1346"/>
        <v>0</v>
      </c>
      <c r="AX829" s="2901">
        <f t="shared" ca="1" si="1347"/>
        <v>0</v>
      </c>
      <c r="AY829" s="2160">
        <f ca="1">SUM(INDIRECT(AY$1&amp;AY$2&amp;$A829):INDIRECT(AY$1&amp;AY$3&amp;$A829))+SUM(INDIRECT(AY$1&amp;AY$2&amp;$B829):INDIRECT(AY$1&amp;AY$3&amp;$B829))</f>
        <v>0</v>
      </c>
      <c r="AZ829" s="2900">
        <f t="shared" ca="1" si="1349"/>
        <v>0</v>
      </c>
      <c r="BA829" s="2901">
        <f t="shared" ca="1" si="1350"/>
        <v>0</v>
      </c>
      <c r="BC829" s="2161">
        <f ca="1">SUM((INDIRECT(BC$2&amp;(ROW())):INDIRECT(BC$3&amp;(ROW()))))</f>
        <v>0</v>
      </c>
      <c r="BD829" s="2160">
        <f ca="1">SUM(INDIRECT(BD$1&amp;BD$2&amp;$C829):INDIRECT(BD$1&amp;BD$3&amp;$C829))</f>
        <v>0</v>
      </c>
      <c r="BE829" s="2900">
        <f t="shared" ca="1" si="1351"/>
        <v>0</v>
      </c>
      <c r="BF829" s="2901">
        <f t="shared" ca="1" si="1352"/>
        <v>0</v>
      </c>
      <c r="BG829" s="2160">
        <f ca="1">SUM(INDIRECT(BG$1&amp;BG$2&amp;$A829):INDIRECT(BG$1&amp;BG$3&amp;$A829))+SUM(INDIRECT(BG$1&amp;BG$2&amp;$B829):INDIRECT(BG$1&amp;BG$3&amp;$B829))</f>
        <v>0</v>
      </c>
      <c r="BH829" s="2900">
        <f t="shared" ca="1" si="1354"/>
        <v>0</v>
      </c>
      <c r="BI829" s="2901">
        <f t="shared" ca="1" si="1355"/>
        <v>0</v>
      </c>
    </row>
    <row r="830" spans="1:61" ht="14.5">
      <c r="A830" s="1693">
        <f t="shared" si="1370"/>
        <v>822</v>
      </c>
      <c r="B830" s="616">
        <v>1</v>
      </c>
      <c r="C830" s="1693">
        <f t="shared" si="1369"/>
        <v>830</v>
      </c>
      <c r="D830" s="616">
        <v>1</v>
      </c>
      <c r="F830" s="69"/>
      <c r="H830" s="22"/>
      <c r="J830" s="86"/>
      <c r="K830" s="85"/>
      <c r="L830" s="68"/>
      <c r="M830" s="68"/>
      <c r="O830" s="8" t="s">
        <v>524</v>
      </c>
      <c r="R830" s="1779" t="str">
        <f>CHOOSE(2, "6722000003741", "S/GP (5) Gross Profit Direct ICW-P RP")</f>
        <v>S/GP (5) Gross Profit Direct ICW-P RP</v>
      </c>
      <c r="S830" s="1217"/>
      <c r="T830" s="1224"/>
      <c r="U830" s="1217"/>
      <c r="V830" s="1217"/>
      <c r="W830" s="1217"/>
      <c r="X830" s="1217"/>
      <c r="Y830" s="1217"/>
      <c r="Z830" s="1217"/>
      <c r="AA830" s="1217"/>
      <c r="AB830" s="1217"/>
      <c r="AC830" s="1217"/>
      <c r="AD830" s="1217"/>
      <c r="AE830" s="88">
        <f>SUM(S830,T830,U830)</f>
        <v>0</v>
      </c>
      <c r="AF830" s="17">
        <f>SUM(V830,W830,X830)</f>
        <v>0</v>
      </c>
      <c r="AG830" s="17">
        <f>SUM(Y830,Z830,AA830)</f>
        <v>0</v>
      </c>
      <c r="AH830" s="17">
        <f>SUM(AB830,AC830,AD830)</f>
        <v>0</v>
      </c>
      <c r="AI830" s="17">
        <f>AE830+AF830</f>
        <v>0</v>
      </c>
      <c r="AJ830" s="17">
        <f>AH830+AG830</f>
        <v>0</v>
      </c>
      <c r="AK830" s="88">
        <f>AI830+AJ830</f>
        <v>0</v>
      </c>
      <c r="AM830" s="1926">
        <f ca="1">SUM((INDIRECT(AM$2&amp;(ROW())):INDIRECT(AM$3&amp;(ROW()))))</f>
        <v>0</v>
      </c>
      <c r="AN830" s="1925">
        <f ca="1">SUM(INDIRECT(AN$1&amp;AN$2&amp;$C830):INDIRECT(AN$1&amp;AN$3&amp;$C830))</f>
        <v>0</v>
      </c>
      <c r="AO830" s="2902">
        <f t="shared" ca="1" si="1409"/>
        <v>0</v>
      </c>
      <c r="AP830" s="2903">
        <f t="shared" ca="1" si="1342"/>
        <v>0</v>
      </c>
      <c r="AQ830" s="1925">
        <f ca="1">SUM(INDIRECT(AQ$1&amp;AQ$2&amp;$A830):INDIRECT(AQ$1&amp;AQ$3&amp;$A830))+SUM(INDIRECT(AQ$1&amp;AQ$2&amp;$B830):INDIRECT(AQ$1&amp;AQ$3&amp;$B830))</f>
        <v>0</v>
      </c>
      <c r="AR830" s="2902">
        <f t="shared" ca="1" si="1410"/>
        <v>0</v>
      </c>
      <c r="AS830" s="2903">
        <f t="shared" ca="1" si="1345"/>
        <v>0</v>
      </c>
      <c r="AU830" s="1926">
        <f ca="1">SUM((INDIRECT(AU$2&amp;(ROW())):INDIRECT(AU$3&amp;(ROW()))))</f>
        <v>0</v>
      </c>
      <c r="AV830" s="1925">
        <f ca="1">SUM(INDIRECT(AV$1&amp;AV$2&amp;$C830):INDIRECT(AV$1&amp;AV$3&amp;$C830))</f>
        <v>0</v>
      </c>
      <c r="AW830" s="2902">
        <f t="shared" ca="1" si="1346"/>
        <v>0</v>
      </c>
      <c r="AX830" s="2903">
        <f t="shared" ca="1" si="1347"/>
        <v>0</v>
      </c>
      <c r="AY830" s="1925">
        <f ca="1">SUM(INDIRECT(AY$1&amp;AY$2&amp;$A830):INDIRECT(AY$1&amp;AY$3&amp;$A830))+SUM(INDIRECT(AY$1&amp;AY$2&amp;$B830):INDIRECT(AY$1&amp;AY$3&amp;$B830))</f>
        <v>0</v>
      </c>
      <c r="AZ830" s="2902">
        <f t="shared" ca="1" si="1349"/>
        <v>0</v>
      </c>
      <c r="BA830" s="2903">
        <f t="shared" ca="1" si="1350"/>
        <v>0</v>
      </c>
      <c r="BC830" s="1926">
        <f ca="1">SUM((INDIRECT(BC$2&amp;(ROW())):INDIRECT(BC$3&amp;(ROW()))))</f>
        <v>0</v>
      </c>
      <c r="BD830" s="1925">
        <f ca="1">SUM(INDIRECT(BD$1&amp;BD$2&amp;$C830):INDIRECT(BD$1&amp;BD$3&amp;$C830))</f>
        <v>0</v>
      </c>
      <c r="BE830" s="2902">
        <f t="shared" ca="1" si="1351"/>
        <v>0</v>
      </c>
      <c r="BF830" s="2903">
        <f t="shared" ca="1" si="1352"/>
        <v>0</v>
      </c>
      <c r="BG830" s="1925">
        <f ca="1">SUM(INDIRECT(BG$1&amp;BG$2&amp;$A830):INDIRECT(BG$1&amp;BG$3&amp;$A830))+SUM(INDIRECT(BG$1&amp;BG$2&amp;$B830):INDIRECT(BG$1&amp;BG$3&amp;$B830))</f>
        <v>0</v>
      </c>
      <c r="BH830" s="2902">
        <f t="shared" ca="1" si="1354"/>
        <v>0</v>
      </c>
      <c r="BI830" s="2903">
        <f t="shared" ca="1" si="1355"/>
        <v>0</v>
      </c>
    </row>
    <row r="831" spans="1:61" ht="14.5">
      <c r="A831" s="1693">
        <f t="shared" si="1370"/>
        <v>823</v>
      </c>
      <c r="B831" s="616">
        <v>1</v>
      </c>
      <c r="C831" s="1693">
        <f t="shared" si="1369"/>
        <v>831</v>
      </c>
      <c r="D831" s="616">
        <v>1</v>
      </c>
      <c r="F831" s="69"/>
      <c r="H831" s="22"/>
      <c r="J831" s="86"/>
      <c r="K831" s="85"/>
      <c r="L831" s="68"/>
      <c r="M831" s="68"/>
      <c r="O831" s="8" t="s">
        <v>525</v>
      </c>
      <c r="R831" s="1779" t="str">
        <f>CHOOSE(2, "6722000003742", "S/GP (5) Gross Profit Direct ICW-P OSP service")</f>
        <v>S/GP (5) Gross Profit Direct ICW-P OSP service</v>
      </c>
      <c r="S831" s="1217"/>
      <c r="T831" s="1217"/>
      <c r="U831" s="1217"/>
      <c r="V831" s="1217"/>
      <c r="W831" s="1217"/>
      <c r="X831" s="1217"/>
      <c r="Y831" s="1217"/>
      <c r="Z831" s="1217"/>
      <c r="AA831" s="1217"/>
      <c r="AB831" s="1217"/>
      <c r="AC831" s="1217"/>
      <c r="AD831" s="1217"/>
      <c r="AE831" s="88">
        <f>SUM(S831,T831,U831)</f>
        <v>0</v>
      </c>
      <c r="AF831" s="17">
        <f>SUM(V831,W831,X831)</f>
        <v>0</v>
      </c>
      <c r="AG831" s="17">
        <f>SUM(Y831,Z831,AA831)</f>
        <v>0</v>
      </c>
      <c r="AH831" s="17">
        <f>SUM(AB831,AC831,AD831)</f>
        <v>0</v>
      </c>
      <c r="AI831" s="17">
        <f>AE831+AF831</f>
        <v>0</v>
      </c>
      <c r="AJ831" s="17">
        <f>AH831+AG831</f>
        <v>0</v>
      </c>
      <c r="AK831" s="88">
        <f>AI831+AJ831</f>
        <v>0</v>
      </c>
      <c r="AM831" s="1926">
        <f ca="1">SUM((INDIRECT(AM$2&amp;(ROW())):INDIRECT(AM$3&amp;(ROW()))))</f>
        <v>0</v>
      </c>
      <c r="AN831" s="1925">
        <f ca="1">SUM(INDIRECT(AN$1&amp;AN$2&amp;$C831):INDIRECT(AN$1&amp;AN$3&amp;$C831))</f>
        <v>0</v>
      </c>
      <c r="AO831" s="2902">
        <f t="shared" ca="1" si="1409"/>
        <v>0</v>
      </c>
      <c r="AP831" s="2903">
        <f t="shared" ca="1" si="1342"/>
        <v>0</v>
      </c>
      <c r="AQ831" s="1925">
        <f ca="1">SUM(INDIRECT(AQ$1&amp;AQ$2&amp;$A831):INDIRECT(AQ$1&amp;AQ$3&amp;$A831))+SUM(INDIRECT(AQ$1&amp;AQ$2&amp;$B831):INDIRECT(AQ$1&amp;AQ$3&amp;$B831))</f>
        <v>0</v>
      </c>
      <c r="AR831" s="2902">
        <f t="shared" ca="1" si="1410"/>
        <v>0</v>
      </c>
      <c r="AS831" s="2903">
        <f t="shared" ca="1" si="1345"/>
        <v>0</v>
      </c>
      <c r="AU831" s="1926">
        <f ca="1">SUM((INDIRECT(AU$2&amp;(ROW())):INDIRECT(AU$3&amp;(ROW()))))</f>
        <v>0</v>
      </c>
      <c r="AV831" s="1925">
        <f ca="1">SUM(INDIRECT(AV$1&amp;AV$2&amp;$C831):INDIRECT(AV$1&amp;AV$3&amp;$C831))</f>
        <v>0</v>
      </c>
      <c r="AW831" s="2902">
        <f t="shared" ca="1" si="1346"/>
        <v>0</v>
      </c>
      <c r="AX831" s="2903">
        <f t="shared" ca="1" si="1347"/>
        <v>0</v>
      </c>
      <c r="AY831" s="1925">
        <f ca="1">SUM(INDIRECT(AY$1&amp;AY$2&amp;$A831):INDIRECT(AY$1&amp;AY$3&amp;$A831))+SUM(INDIRECT(AY$1&amp;AY$2&amp;$B831):INDIRECT(AY$1&amp;AY$3&amp;$B831))</f>
        <v>0</v>
      </c>
      <c r="AZ831" s="2902">
        <f t="shared" ca="1" si="1349"/>
        <v>0</v>
      </c>
      <c r="BA831" s="2903">
        <f t="shared" ca="1" si="1350"/>
        <v>0</v>
      </c>
      <c r="BC831" s="1926">
        <f ca="1">SUM((INDIRECT(BC$2&amp;(ROW())):INDIRECT(BC$3&amp;(ROW()))))</f>
        <v>0</v>
      </c>
      <c r="BD831" s="1925">
        <f ca="1">SUM(INDIRECT(BD$1&amp;BD$2&amp;$C831):INDIRECT(BD$1&amp;BD$3&amp;$C831))</f>
        <v>0</v>
      </c>
      <c r="BE831" s="2902">
        <f t="shared" ca="1" si="1351"/>
        <v>0</v>
      </c>
      <c r="BF831" s="2903">
        <f t="shared" ca="1" si="1352"/>
        <v>0</v>
      </c>
      <c r="BG831" s="1925">
        <f ca="1">SUM(INDIRECT(BG$1&amp;BG$2&amp;$A831):INDIRECT(BG$1&amp;BG$3&amp;$A831))+SUM(INDIRECT(BG$1&amp;BG$2&amp;$B831):INDIRECT(BG$1&amp;BG$3&amp;$B831))</f>
        <v>0</v>
      </c>
      <c r="BH831" s="2902">
        <f t="shared" ca="1" si="1354"/>
        <v>0</v>
      </c>
      <c r="BI831" s="2903">
        <f t="shared" ca="1" si="1355"/>
        <v>0</v>
      </c>
    </row>
    <row r="832" spans="1:61" ht="14.5">
      <c r="A832" s="1693">
        <f t="shared" si="1370"/>
        <v>824</v>
      </c>
      <c r="B832" s="616">
        <v>1</v>
      </c>
      <c r="C832" s="1693">
        <f t="shared" si="1369"/>
        <v>832</v>
      </c>
      <c r="D832" s="616">
        <v>1</v>
      </c>
      <c r="F832" s="69"/>
      <c r="H832" s="22"/>
      <c r="J832" s="86"/>
      <c r="K832" s="85"/>
      <c r="L832" s="67"/>
      <c r="M832" s="67"/>
      <c r="N832" s="11"/>
      <c r="O832" s="11" t="s">
        <v>526</v>
      </c>
      <c r="P832" s="11"/>
      <c r="Q832" s="11"/>
      <c r="R832" s="1779" t="str">
        <f>CHOOSE(2, "6722000003743", "S/GP (5) Gross Profit Direct ICW-P RP service")</f>
        <v>S/GP (5) Gross Profit Direct ICW-P RP service</v>
      </c>
      <c r="S832" s="1218"/>
      <c r="T832" s="1218"/>
      <c r="U832" s="1218"/>
      <c r="V832" s="1218"/>
      <c r="W832" s="1218"/>
      <c r="X832" s="1218"/>
      <c r="Y832" s="1218"/>
      <c r="Z832" s="1218"/>
      <c r="AA832" s="1218"/>
      <c r="AB832" s="1218"/>
      <c r="AC832" s="1218"/>
      <c r="AD832" s="1218"/>
      <c r="AE832" s="87">
        <f>SUM(S832,T832,U832)</f>
        <v>0</v>
      </c>
      <c r="AF832" s="15">
        <f>SUM(V832,W832,X832)</f>
        <v>0</v>
      </c>
      <c r="AG832" s="15">
        <f>SUM(Y832,Z832,AA832)</f>
        <v>0</v>
      </c>
      <c r="AH832" s="15">
        <f>SUM(AB832,AC832,AD832)</f>
        <v>0</v>
      </c>
      <c r="AI832" s="15">
        <f>AE832+AF832</f>
        <v>0</v>
      </c>
      <c r="AJ832" s="15">
        <f>AH832+AG832</f>
        <v>0</v>
      </c>
      <c r="AK832" s="87">
        <f>AI832+AJ832</f>
        <v>0</v>
      </c>
      <c r="AM832" s="1928">
        <f ca="1">SUM((INDIRECT(AM$2&amp;(ROW())):INDIRECT(AM$3&amp;(ROW()))))</f>
        <v>0</v>
      </c>
      <c r="AN832" s="1927">
        <f ca="1">SUM(INDIRECT(AN$1&amp;AN$2&amp;$C832):INDIRECT(AN$1&amp;AN$3&amp;$C832))</f>
        <v>0</v>
      </c>
      <c r="AO832" s="2904">
        <f t="shared" ca="1" si="1409"/>
        <v>0</v>
      </c>
      <c r="AP832" s="2905">
        <f t="shared" ca="1" si="1342"/>
        <v>0</v>
      </c>
      <c r="AQ832" s="1927">
        <f ca="1">SUM(INDIRECT(AQ$1&amp;AQ$2&amp;$A832):INDIRECT(AQ$1&amp;AQ$3&amp;$A832))+SUM(INDIRECT(AQ$1&amp;AQ$2&amp;$B832):INDIRECT(AQ$1&amp;AQ$3&amp;$B832))</f>
        <v>0</v>
      </c>
      <c r="AR832" s="2904">
        <f t="shared" ca="1" si="1410"/>
        <v>0</v>
      </c>
      <c r="AS832" s="2905">
        <f t="shared" ca="1" si="1345"/>
        <v>0</v>
      </c>
      <c r="AU832" s="1928">
        <f ca="1">SUM((INDIRECT(AU$2&amp;(ROW())):INDIRECT(AU$3&amp;(ROW()))))</f>
        <v>0</v>
      </c>
      <c r="AV832" s="1927">
        <f ca="1">SUM(INDIRECT(AV$1&amp;AV$2&amp;$C832):INDIRECT(AV$1&amp;AV$3&amp;$C832))</f>
        <v>0</v>
      </c>
      <c r="AW832" s="2904">
        <f t="shared" ca="1" si="1346"/>
        <v>0</v>
      </c>
      <c r="AX832" s="2905">
        <f t="shared" ca="1" si="1347"/>
        <v>0</v>
      </c>
      <c r="AY832" s="1927">
        <f ca="1">SUM(INDIRECT(AY$1&amp;AY$2&amp;$A832):INDIRECT(AY$1&amp;AY$3&amp;$A832))+SUM(INDIRECT(AY$1&amp;AY$2&amp;$B832):INDIRECT(AY$1&amp;AY$3&amp;$B832))</f>
        <v>0</v>
      </c>
      <c r="AZ832" s="2904">
        <f t="shared" ca="1" si="1349"/>
        <v>0</v>
      </c>
      <c r="BA832" s="2905">
        <f t="shared" ca="1" si="1350"/>
        <v>0</v>
      </c>
      <c r="BC832" s="1928">
        <f ca="1">SUM((INDIRECT(BC$2&amp;(ROW())):INDIRECT(BC$3&amp;(ROW()))))</f>
        <v>0</v>
      </c>
      <c r="BD832" s="1927">
        <f ca="1">SUM(INDIRECT(BD$1&amp;BD$2&amp;$C832):INDIRECT(BD$1&amp;BD$3&amp;$C832))</f>
        <v>0</v>
      </c>
      <c r="BE832" s="2904">
        <f t="shared" ca="1" si="1351"/>
        <v>0</v>
      </c>
      <c r="BF832" s="2905">
        <f t="shared" ca="1" si="1352"/>
        <v>0</v>
      </c>
      <c r="BG832" s="1927">
        <f ca="1">SUM(INDIRECT(BG$1&amp;BG$2&amp;$A832):INDIRECT(BG$1&amp;BG$3&amp;$A832))+SUM(INDIRECT(BG$1&amp;BG$2&amp;$B832):INDIRECT(BG$1&amp;BG$3&amp;$B832))</f>
        <v>0</v>
      </c>
      <c r="BH832" s="2904">
        <f t="shared" ca="1" si="1354"/>
        <v>0</v>
      </c>
      <c r="BI832" s="2905">
        <f t="shared" ca="1" si="1355"/>
        <v>0</v>
      </c>
    </row>
    <row r="833" spans="1:61" ht="14.5">
      <c r="A833" s="1693">
        <f t="shared" si="1370"/>
        <v>825</v>
      </c>
      <c r="B833" s="616">
        <v>1</v>
      </c>
      <c r="C833" s="1695">
        <f t="shared" si="1369"/>
        <v>833</v>
      </c>
      <c r="D833" s="616">
        <v>1</v>
      </c>
      <c r="F833" s="69"/>
      <c r="J833" s="86"/>
      <c r="K833" s="85"/>
      <c r="L833" s="63" t="s">
        <v>129</v>
      </c>
      <c r="M833" s="63"/>
      <c r="N833" s="66"/>
      <c r="O833" s="66"/>
      <c r="P833" s="66"/>
      <c r="Q833" s="66"/>
      <c r="R833" s="1802" t="str">
        <f>CHOOSE(2, "6722000003744", "S/GP (5) Gross Profit Indirect")</f>
        <v>S/GP (5) Gross Profit Indirect</v>
      </c>
      <c r="S833" s="1253">
        <f t="shared" ref="S833:AD833" si="1411">SUM(S834:S839)</f>
        <v>0</v>
      </c>
      <c r="T833" s="1185">
        <f t="shared" si="1411"/>
        <v>0</v>
      </c>
      <c r="U833" s="1253">
        <f t="shared" si="1411"/>
        <v>0</v>
      </c>
      <c r="V833" s="1253">
        <f t="shared" si="1411"/>
        <v>0</v>
      </c>
      <c r="W833" s="1253">
        <f t="shared" si="1411"/>
        <v>0</v>
      </c>
      <c r="X833" s="1253">
        <f t="shared" si="1411"/>
        <v>0</v>
      </c>
      <c r="Y833" s="1253">
        <f t="shared" si="1411"/>
        <v>0</v>
      </c>
      <c r="Z833" s="1253">
        <f t="shared" si="1411"/>
        <v>0</v>
      </c>
      <c r="AA833" s="1253">
        <f t="shared" si="1411"/>
        <v>0</v>
      </c>
      <c r="AB833" s="1253">
        <f t="shared" si="1411"/>
        <v>925</v>
      </c>
      <c r="AC833" s="1253">
        <f t="shared" si="1411"/>
        <v>1453.9059600000003</v>
      </c>
      <c r="AD833" s="1253">
        <f t="shared" si="1411"/>
        <v>708.26892999999995</v>
      </c>
      <c r="AE833" s="496">
        <f t="shared" ref="AE833:AK833" si="1412">SUM(AE834:AE839)</f>
        <v>0</v>
      </c>
      <c r="AF833" s="304">
        <f t="shared" si="1412"/>
        <v>0</v>
      </c>
      <c r="AG833" s="304">
        <f t="shared" si="1412"/>
        <v>0</v>
      </c>
      <c r="AH833" s="304">
        <f t="shared" si="1412"/>
        <v>3087.1748900000002</v>
      </c>
      <c r="AI833" s="304">
        <f t="shared" si="1412"/>
        <v>0</v>
      </c>
      <c r="AJ833" s="304">
        <f t="shared" si="1412"/>
        <v>3087.1748900000002</v>
      </c>
      <c r="AK833" s="496">
        <f t="shared" si="1412"/>
        <v>3087.1748900000002</v>
      </c>
      <c r="AM833" s="2203">
        <f ca="1">SUM((INDIRECT(AM$2&amp;(ROW())):INDIRECT(AM$3&amp;(ROW()))))</f>
        <v>0</v>
      </c>
      <c r="AN833" s="2205">
        <f ca="1">SUM(INDIRECT(AN$1&amp;AN$2&amp;$C833):INDIRECT(AN$1&amp;AN$3&amp;$C833))</f>
        <v>0</v>
      </c>
      <c r="AO833" s="2926">
        <f t="shared" ca="1" si="1409"/>
        <v>0</v>
      </c>
      <c r="AP833" s="2927">
        <f t="shared" ca="1" si="1342"/>
        <v>0</v>
      </c>
      <c r="AQ833" s="2928">
        <f t="shared" ref="AQ833" ca="1" si="1413">SUM(AQ834:AQ839)</f>
        <v>0</v>
      </c>
      <c r="AR833" s="2926">
        <f t="shared" ca="1" si="1410"/>
        <v>0</v>
      </c>
      <c r="AS833" s="2927">
        <f t="shared" ca="1" si="1345"/>
        <v>0</v>
      </c>
      <c r="AU833" s="2203">
        <f ca="1">SUM((INDIRECT(AU$2&amp;(ROW())):INDIRECT(AU$3&amp;(ROW()))))</f>
        <v>0</v>
      </c>
      <c r="AV833" s="2205">
        <f ca="1">SUM(INDIRECT(AV$1&amp;AV$2&amp;$C833):INDIRECT(AV$1&amp;AV$3&amp;$C833))</f>
        <v>0</v>
      </c>
      <c r="AW833" s="2926">
        <f t="shared" ca="1" si="1346"/>
        <v>0</v>
      </c>
      <c r="AX833" s="2927">
        <f t="shared" ca="1" si="1347"/>
        <v>0</v>
      </c>
      <c r="AY833" s="2928">
        <f t="shared" ref="AY833" ca="1" si="1414">SUM(AY834:AY839)</f>
        <v>0</v>
      </c>
      <c r="AZ833" s="2926">
        <f t="shared" ca="1" si="1349"/>
        <v>0</v>
      </c>
      <c r="BA833" s="2927">
        <f t="shared" ca="1" si="1350"/>
        <v>0</v>
      </c>
      <c r="BC833" s="2203">
        <f ca="1">SUM((INDIRECT(BC$2&amp;(ROW())):INDIRECT(BC$3&amp;(ROW()))))</f>
        <v>0</v>
      </c>
      <c r="BD833" s="2205">
        <f ca="1">SUM(INDIRECT(BD$1&amp;BD$2&amp;$C833):INDIRECT(BD$1&amp;BD$3&amp;$C833))</f>
        <v>0</v>
      </c>
      <c r="BE833" s="2926">
        <f t="shared" ca="1" si="1351"/>
        <v>0</v>
      </c>
      <c r="BF833" s="2927">
        <f t="shared" ca="1" si="1352"/>
        <v>0</v>
      </c>
      <c r="BG833" s="2928">
        <f t="shared" ref="BG833" ca="1" si="1415">SUM(BG834:BG839)</f>
        <v>0</v>
      </c>
      <c r="BH833" s="2926">
        <f t="shared" ca="1" si="1354"/>
        <v>0</v>
      </c>
      <c r="BI833" s="2927">
        <f t="shared" ca="1" si="1355"/>
        <v>0</v>
      </c>
    </row>
    <row r="834" spans="1:61" ht="14.5">
      <c r="A834" s="1693">
        <f t="shared" si="1370"/>
        <v>826</v>
      </c>
      <c r="B834" s="616">
        <v>1</v>
      </c>
      <c r="C834" s="1693">
        <f t="shared" si="1369"/>
        <v>834</v>
      </c>
      <c r="D834" s="616">
        <v>1</v>
      </c>
      <c r="F834" s="69"/>
      <c r="H834" s="22"/>
      <c r="J834" s="86"/>
      <c r="K834" s="85"/>
      <c r="L834" s="63"/>
      <c r="M834" s="63"/>
      <c r="N834" s="3" t="s">
        <v>418</v>
      </c>
      <c r="R834" s="1779" t="str">
        <f>CHOOSE(2, "6722000003745", "S/GP (5) Gross Profit Indirect IMS")</f>
        <v>S/GP (5) Gross Profit Indirect IMS</v>
      </c>
      <c r="S834" s="1217"/>
      <c r="T834" s="1224"/>
      <c r="U834" s="1217"/>
      <c r="V834" s="1217"/>
      <c r="W834" s="1217"/>
      <c r="X834" s="1217"/>
      <c r="Y834" s="1217"/>
      <c r="Z834" s="1217"/>
      <c r="AA834" s="1217"/>
      <c r="AB834" s="1217">
        <v>925</v>
      </c>
      <c r="AC834" s="1217">
        <v>1453.9059600000003</v>
      </c>
      <c r="AD834" s="1217">
        <v>708.26892999999995</v>
      </c>
      <c r="AE834" s="88">
        <f t="shared" ref="AE834:AE839" si="1416">SUM(S834,T834,U834)</f>
        <v>0</v>
      </c>
      <c r="AF834" s="17">
        <f t="shared" ref="AF834:AF839" si="1417">SUM(V834,W834,X834)</f>
        <v>0</v>
      </c>
      <c r="AG834" s="17">
        <f t="shared" ref="AG834:AG839" si="1418">SUM(Y834,Z834,AA834)</f>
        <v>0</v>
      </c>
      <c r="AH834" s="17">
        <f t="shared" ref="AH834:AH839" si="1419">SUM(AB834,AC834,AD834)</f>
        <v>3087.1748900000002</v>
      </c>
      <c r="AI834" s="17">
        <f t="shared" ref="AI834:AI839" si="1420">AE834+AF834</f>
        <v>0</v>
      </c>
      <c r="AJ834" s="17">
        <f t="shared" ref="AJ834:AJ839" si="1421">AH834+AG834</f>
        <v>3087.1748900000002</v>
      </c>
      <c r="AK834" s="88">
        <f t="shared" ref="AK834:AK839" si="1422">AI834+AJ834</f>
        <v>3087.1748900000002</v>
      </c>
      <c r="AL834" s="69"/>
      <c r="AM834" s="1926">
        <f ca="1">SUM((INDIRECT(AM$2&amp;(ROW())):INDIRECT(AM$3&amp;(ROW()))))</f>
        <v>0</v>
      </c>
      <c r="AN834" s="1925">
        <f ca="1">SUM(INDIRECT(AN$1&amp;AN$2&amp;$C834):INDIRECT(AN$1&amp;AN$3&amp;$C834))</f>
        <v>0</v>
      </c>
      <c r="AO834" s="2902">
        <f t="shared" ca="1" si="1409"/>
        <v>0</v>
      </c>
      <c r="AP834" s="2903">
        <f t="shared" ca="1" si="1342"/>
        <v>0</v>
      </c>
      <c r="AQ834" s="1925">
        <f ca="1">SUM(INDIRECT(AQ$1&amp;AQ$2&amp;$A834):INDIRECT(AQ$1&amp;AQ$3&amp;$A834))+SUM(INDIRECT(AQ$1&amp;AQ$2&amp;$B834):INDIRECT(AQ$1&amp;AQ$3&amp;$B834))</f>
        <v>0</v>
      </c>
      <c r="AR834" s="2902">
        <f t="shared" ca="1" si="1410"/>
        <v>0</v>
      </c>
      <c r="AS834" s="2903">
        <f t="shared" ca="1" si="1345"/>
        <v>0</v>
      </c>
      <c r="AU834" s="1926">
        <f ca="1">SUM((INDIRECT(AU$2&amp;(ROW())):INDIRECT(AU$3&amp;(ROW()))))</f>
        <v>0</v>
      </c>
      <c r="AV834" s="1925">
        <f ca="1">SUM(INDIRECT(AV$1&amp;AV$2&amp;$C834):INDIRECT(AV$1&amp;AV$3&amp;$C834))</f>
        <v>0</v>
      </c>
      <c r="AW834" s="2902">
        <f t="shared" ca="1" si="1346"/>
        <v>0</v>
      </c>
      <c r="AX834" s="2903">
        <f t="shared" ca="1" si="1347"/>
        <v>0</v>
      </c>
      <c r="AY834" s="1925">
        <f ca="1">SUM(INDIRECT(AY$1&amp;AY$2&amp;$A834):INDIRECT(AY$1&amp;AY$3&amp;$A834))+SUM(INDIRECT(AY$1&amp;AY$2&amp;$B834):INDIRECT(AY$1&amp;AY$3&amp;$B834))</f>
        <v>0</v>
      </c>
      <c r="AZ834" s="2902">
        <f t="shared" ca="1" si="1349"/>
        <v>0</v>
      </c>
      <c r="BA834" s="2903">
        <f t="shared" ca="1" si="1350"/>
        <v>0</v>
      </c>
      <c r="BC834" s="1926">
        <f ca="1">SUM((INDIRECT(BC$2&amp;(ROW())):INDIRECT(BC$3&amp;(ROW()))))</f>
        <v>0</v>
      </c>
      <c r="BD834" s="1925">
        <f ca="1">SUM(INDIRECT(BD$1&amp;BD$2&amp;$C834):INDIRECT(BD$1&amp;BD$3&amp;$C834))</f>
        <v>0</v>
      </c>
      <c r="BE834" s="2902">
        <f t="shared" ca="1" si="1351"/>
        <v>0</v>
      </c>
      <c r="BF834" s="2903">
        <f t="shared" ca="1" si="1352"/>
        <v>0</v>
      </c>
      <c r="BG834" s="1925">
        <f ca="1">SUM(INDIRECT(BG$1&amp;BG$2&amp;$A834):INDIRECT(BG$1&amp;BG$3&amp;$A834))+SUM(INDIRECT(BG$1&amp;BG$2&amp;$B834):INDIRECT(BG$1&amp;BG$3&amp;$B834))</f>
        <v>0</v>
      </c>
      <c r="BH834" s="2902">
        <f t="shared" ca="1" si="1354"/>
        <v>0</v>
      </c>
      <c r="BI834" s="2903">
        <f t="shared" ca="1" si="1355"/>
        <v>0</v>
      </c>
    </row>
    <row r="835" spans="1:61" ht="14.5">
      <c r="A835" s="1693">
        <f t="shared" si="1370"/>
        <v>827</v>
      </c>
      <c r="B835" s="616">
        <v>1</v>
      </c>
      <c r="C835" s="1693">
        <f t="shared" si="1369"/>
        <v>835</v>
      </c>
      <c r="D835" s="616">
        <v>666</v>
      </c>
      <c r="F835" s="69"/>
      <c r="H835" s="22"/>
      <c r="J835" s="86"/>
      <c r="K835" s="85"/>
      <c r="L835" s="63"/>
      <c r="M835" s="63"/>
      <c r="N835" s="3" t="s">
        <v>608</v>
      </c>
      <c r="R835" s="1779" t="str">
        <f>CHOOSE(2, "6722000003746", "S/GP (5) Gross Profit Indirect ICW-IT")</f>
        <v>S/GP (5) Gross Profit Indirect ICW-IT</v>
      </c>
      <c r="S835" s="1217"/>
      <c r="T835" s="1224"/>
      <c r="U835" s="1217"/>
      <c r="V835" s="1217"/>
      <c r="W835" s="1217"/>
      <c r="X835" s="1217"/>
      <c r="Y835" s="1217"/>
      <c r="Z835" s="1217"/>
      <c r="AA835" s="1217"/>
      <c r="AB835" s="1217"/>
      <c r="AC835" s="1217"/>
      <c r="AD835" s="1217"/>
      <c r="AE835" s="88">
        <f t="shared" si="1416"/>
        <v>0</v>
      </c>
      <c r="AF835" s="17">
        <f t="shared" si="1417"/>
        <v>0</v>
      </c>
      <c r="AG835" s="17">
        <f t="shared" si="1418"/>
        <v>0</v>
      </c>
      <c r="AH835" s="17">
        <f t="shared" si="1419"/>
        <v>0</v>
      </c>
      <c r="AI835" s="17">
        <f t="shared" si="1420"/>
        <v>0</v>
      </c>
      <c r="AJ835" s="17">
        <f t="shared" si="1421"/>
        <v>0</v>
      </c>
      <c r="AK835" s="88">
        <f t="shared" si="1422"/>
        <v>0</v>
      </c>
      <c r="AM835" s="1926">
        <f ca="1">SUM((INDIRECT(AM$2&amp;(ROW())):INDIRECT(AM$3&amp;(ROW()))))</f>
        <v>0</v>
      </c>
      <c r="AN835" s="1925">
        <f ca="1">SUM(INDIRECT(AN$1&amp;AN$2&amp;$C835):INDIRECT(AN$1&amp;AN$3&amp;$C835))</f>
        <v>0</v>
      </c>
      <c r="AO835" s="2902">
        <f t="shared" ca="1" si="1409"/>
        <v>0</v>
      </c>
      <c r="AP835" s="2903">
        <f t="shared" ca="1" si="1342"/>
        <v>0</v>
      </c>
      <c r="AQ835" s="1925">
        <f ca="1">SUM(INDIRECT(AQ$1&amp;AQ$2&amp;$A835):INDIRECT(AQ$1&amp;AQ$3&amp;$A835))+SUM(INDIRECT(AQ$1&amp;AQ$2&amp;$B835):INDIRECT(AQ$1&amp;AQ$3&amp;$B835))</f>
        <v>0</v>
      </c>
      <c r="AR835" s="2902">
        <f t="shared" ca="1" si="1410"/>
        <v>0</v>
      </c>
      <c r="AS835" s="2903">
        <f t="shared" ca="1" si="1345"/>
        <v>0</v>
      </c>
      <c r="AU835" s="1926">
        <f ca="1">SUM((INDIRECT(AU$2&amp;(ROW())):INDIRECT(AU$3&amp;(ROW()))))</f>
        <v>0</v>
      </c>
      <c r="AV835" s="1925">
        <f ca="1">SUM(INDIRECT(AV$1&amp;AV$2&amp;$C835):INDIRECT(AV$1&amp;AV$3&amp;$C835))</f>
        <v>0</v>
      </c>
      <c r="AW835" s="2902">
        <f t="shared" ca="1" si="1346"/>
        <v>0</v>
      </c>
      <c r="AX835" s="2903">
        <f t="shared" ca="1" si="1347"/>
        <v>0</v>
      </c>
      <c r="AY835" s="1925">
        <f ca="1">SUM(INDIRECT(AY$1&amp;AY$2&amp;$A835):INDIRECT(AY$1&amp;AY$3&amp;$A835))+SUM(INDIRECT(AY$1&amp;AY$2&amp;$B835):INDIRECT(AY$1&amp;AY$3&amp;$B835))</f>
        <v>0</v>
      </c>
      <c r="AZ835" s="2902">
        <f t="shared" ca="1" si="1349"/>
        <v>0</v>
      </c>
      <c r="BA835" s="2903">
        <f t="shared" ca="1" si="1350"/>
        <v>0</v>
      </c>
      <c r="BC835" s="1926">
        <f ca="1">SUM((INDIRECT(BC$2&amp;(ROW())):INDIRECT(BC$3&amp;(ROW()))))</f>
        <v>0</v>
      </c>
      <c r="BD835" s="1925">
        <f ca="1">SUM(INDIRECT(BD$1&amp;BD$2&amp;$C835):INDIRECT(BD$1&amp;BD$3&amp;$C835))</f>
        <v>0</v>
      </c>
      <c r="BE835" s="2902">
        <f t="shared" ca="1" si="1351"/>
        <v>0</v>
      </c>
      <c r="BF835" s="2903">
        <f t="shared" ca="1" si="1352"/>
        <v>0</v>
      </c>
      <c r="BG835" s="1925">
        <f ca="1">SUM(INDIRECT(BG$1&amp;BG$2&amp;$A835):INDIRECT(BG$1&amp;BG$3&amp;$A835))+SUM(INDIRECT(BG$1&amp;BG$2&amp;$B835):INDIRECT(BG$1&amp;BG$3&amp;$B835))</f>
        <v>0</v>
      </c>
      <c r="BH835" s="2902">
        <f t="shared" ca="1" si="1354"/>
        <v>0</v>
      </c>
      <c r="BI835" s="2903">
        <f t="shared" ca="1" si="1355"/>
        <v>0</v>
      </c>
    </row>
    <row r="836" spans="1:61" ht="14.5">
      <c r="A836" s="1693">
        <f t="shared" si="1370"/>
        <v>828</v>
      </c>
      <c r="B836" s="616">
        <v>1</v>
      </c>
      <c r="C836" s="1693">
        <f t="shared" si="1369"/>
        <v>836</v>
      </c>
      <c r="D836" s="616">
        <v>1</v>
      </c>
      <c r="F836" s="69"/>
      <c r="H836" s="22"/>
      <c r="J836" s="86"/>
      <c r="K836" s="85"/>
      <c r="L836" s="63"/>
      <c r="M836" s="63"/>
      <c r="N836" s="3" t="s">
        <v>419</v>
      </c>
      <c r="R836" s="1779" t="str">
        <f>CHOOSE(2, "6722000003747", "S/GP (5) Gross Profit Indirect MCS")</f>
        <v>S/GP (5) Gross Profit Indirect MCS</v>
      </c>
      <c r="S836" s="1217"/>
      <c r="T836" s="1224"/>
      <c r="U836" s="1217"/>
      <c r="V836" s="1217"/>
      <c r="W836" s="1217"/>
      <c r="X836" s="1217"/>
      <c r="Y836" s="1217"/>
      <c r="Z836" s="1217"/>
      <c r="AA836" s="1217"/>
      <c r="AB836" s="1217"/>
      <c r="AC836" s="1217"/>
      <c r="AD836" s="1217"/>
      <c r="AE836" s="88">
        <f t="shared" si="1416"/>
        <v>0</v>
      </c>
      <c r="AF836" s="17">
        <f>SUM(V836,W836,X836)</f>
        <v>0</v>
      </c>
      <c r="AG836" s="17">
        <f>SUM(Y836,Z836,AA836)</f>
        <v>0</v>
      </c>
      <c r="AH836" s="17">
        <f>SUM(AB836,AC836,AD836)</f>
        <v>0</v>
      </c>
      <c r="AI836" s="17">
        <f t="shared" si="1420"/>
        <v>0</v>
      </c>
      <c r="AJ836" s="17">
        <f t="shared" si="1421"/>
        <v>0</v>
      </c>
      <c r="AK836" s="88">
        <f t="shared" si="1422"/>
        <v>0</v>
      </c>
      <c r="AM836" s="1926">
        <f ca="1">SUM((INDIRECT(AM$2&amp;(ROW())):INDIRECT(AM$3&amp;(ROW()))))</f>
        <v>0</v>
      </c>
      <c r="AN836" s="1925">
        <f ca="1">SUM(INDIRECT(AN$1&amp;AN$2&amp;$C836):INDIRECT(AN$1&amp;AN$3&amp;$C836))</f>
        <v>0</v>
      </c>
      <c r="AO836" s="2902">
        <f t="shared" ca="1" si="1409"/>
        <v>0</v>
      </c>
      <c r="AP836" s="2903">
        <f t="shared" ca="1" si="1342"/>
        <v>0</v>
      </c>
      <c r="AQ836" s="1925">
        <f ca="1">SUM(INDIRECT(AQ$1&amp;AQ$2&amp;$A836):INDIRECT(AQ$1&amp;AQ$3&amp;$A836))+SUM(INDIRECT(AQ$1&amp;AQ$2&amp;$B836):INDIRECT(AQ$1&amp;AQ$3&amp;$B836))</f>
        <v>0</v>
      </c>
      <c r="AR836" s="2902">
        <f t="shared" ca="1" si="1410"/>
        <v>0</v>
      </c>
      <c r="AS836" s="2903">
        <f t="shared" ca="1" si="1345"/>
        <v>0</v>
      </c>
      <c r="AU836" s="1926">
        <f ca="1">SUM((INDIRECT(AU$2&amp;(ROW())):INDIRECT(AU$3&amp;(ROW()))))</f>
        <v>0</v>
      </c>
      <c r="AV836" s="1925">
        <f ca="1">SUM(INDIRECT(AV$1&amp;AV$2&amp;$C836):INDIRECT(AV$1&amp;AV$3&amp;$C836))</f>
        <v>0</v>
      </c>
      <c r="AW836" s="2902">
        <f t="shared" ca="1" si="1346"/>
        <v>0</v>
      </c>
      <c r="AX836" s="2903">
        <f t="shared" ca="1" si="1347"/>
        <v>0</v>
      </c>
      <c r="AY836" s="1925">
        <f ca="1">SUM(INDIRECT(AY$1&amp;AY$2&amp;$A836):INDIRECT(AY$1&amp;AY$3&amp;$A836))+SUM(INDIRECT(AY$1&amp;AY$2&amp;$B836):INDIRECT(AY$1&amp;AY$3&amp;$B836))</f>
        <v>0</v>
      </c>
      <c r="AZ836" s="2902">
        <f t="shared" ca="1" si="1349"/>
        <v>0</v>
      </c>
      <c r="BA836" s="2903">
        <f t="shared" ca="1" si="1350"/>
        <v>0</v>
      </c>
      <c r="BC836" s="1926">
        <f ca="1">SUM((INDIRECT(BC$2&amp;(ROW())):INDIRECT(BC$3&amp;(ROW()))))</f>
        <v>0</v>
      </c>
      <c r="BD836" s="1925">
        <f ca="1">SUM(INDIRECT(BD$1&amp;BD$2&amp;$C836):INDIRECT(BD$1&amp;BD$3&amp;$C836))</f>
        <v>0</v>
      </c>
      <c r="BE836" s="2902">
        <f t="shared" ca="1" si="1351"/>
        <v>0</v>
      </c>
      <c r="BF836" s="2903">
        <f t="shared" ca="1" si="1352"/>
        <v>0</v>
      </c>
      <c r="BG836" s="1925">
        <f ca="1">SUM(INDIRECT(BG$1&amp;BG$2&amp;$A836):INDIRECT(BG$1&amp;BG$3&amp;$A836))+SUM(INDIRECT(BG$1&amp;BG$2&amp;$B836):INDIRECT(BG$1&amp;BG$3&amp;$B836))</f>
        <v>0</v>
      </c>
      <c r="BH836" s="2902">
        <f t="shared" ca="1" si="1354"/>
        <v>0</v>
      </c>
      <c r="BI836" s="2903">
        <f t="shared" ca="1" si="1355"/>
        <v>0</v>
      </c>
    </row>
    <row r="837" spans="1:61" ht="14.5">
      <c r="A837" s="1693">
        <f t="shared" si="1370"/>
        <v>829</v>
      </c>
      <c r="B837" s="616">
        <v>1</v>
      </c>
      <c r="C837" s="1693">
        <f t="shared" si="1369"/>
        <v>837</v>
      </c>
      <c r="D837" s="616">
        <v>1</v>
      </c>
      <c r="F837" s="69"/>
      <c r="H837" s="22"/>
      <c r="J837" s="86"/>
      <c r="K837" s="85"/>
      <c r="L837" s="63"/>
      <c r="M837" s="63"/>
      <c r="N837" s="3" t="s">
        <v>603</v>
      </c>
      <c r="R837" s="1779" t="str">
        <f>CHOOSE(2, "6722000003748", "S/GP (5) Gross Profit Indirect BPS")</f>
        <v>S/GP (5) Gross Profit Indirect BPS</v>
      </c>
      <c r="S837" s="1217"/>
      <c r="T837" s="1224"/>
      <c r="U837" s="1217"/>
      <c r="V837" s="1217"/>
      <c r="W837" s="1217"/>
      <c r="X837" s="1217"/>
      <c r="Y837" s="1217"/>
      <c r="Z837" s="1217"/>
      <c r="AA837" s="1217"/>
      <c r="AB837" s="1217"/>
      <c r="AC837" s="1217"/>
      <c r="AD837" s="1217"/>
      <c r="AE837" s="88">
        <f t="shared" si="1416"/>
        <v>0</v>
      </c>
      <c r="AF837" s="17">
        <f>SUM(V837,W837,X837)</f>
        <v>0</v>
      </c>
      <c r="AG837" s="17">
        <f>SUM(Y837,Z837,AA837)</f>
        <v>0</v>
      </c>
      <c r="AH837" s="17">
        <f>SUM(AB837,AC837,AD837)</f>
        <v>0</v>
      </c>
      <c r="AI837" s="17">
        <f t="shared" si="1420"/>
        <v>0</v>
      </c>
      <c r="AJ837" s="17">
        <f t="shared" si="1421"/>
        <v>0</v>
      </c>
      <c r="AK837" s="88">
        <f t="shared" si="1422"/>
        <v>0</v>
      </c>
      <c r="AM837" s="1926">
        <f ca="1">SUM((INDIRECT(AM$2&amp;(ROW())):INDIRECT(AM$3&amp;(ROW()))))</f>
        <v>0</v>
      </c>
      <c r="AN837" s="1925">
        <f ca="1">SUM(INDIRECT(AN$1&amp;AN$2&amp;$C837):INDIRECT(AN$1&amp;AN$3&amp;$C837))</f>
        <v>0</v>
      </c>
      <c r="AO837" s="2902">
        <f t="shared" ca="1" si="1409"/>
        <v>0</v>
      </c>
      <c r="AP837" s="2903">
        <f t="shared" ca="1" si="1342"/>
        <v>0</v>
      </c>
      <c r="AQ837" s="1925">
        <f ca="1">SUM(INDIRECT(AQ$1&amp;AQ$2&amp;$A837):INDIRECT(AQ$1&amp;AQ$3&amp;$A837))+SUM(INDIRECT(AQ$1&amp;AQ$2&amp;$B837):INDIRECT(AQ$1&amp;AQ$3&amp;$B837))</f>
        <v>0</v>
      </c>
      <c r="AR837" s="2902">
        <f t="shared" ca="1" si="1410"/>
        <v>0</v>
      </c>
      <c r="AS837" s="2903">
        <f t="shared" ca="1" si="1345"/>
        <v>0</v>
      </c>
      <c r="AU837" s="1926">
        <f ca="1">SUM((INDIRECT(AU$2&amp;(ROW())):INDIRECT(AU$3&amp;(ROW()))))</f>
        <v>0</v>
      </c>
      <c r="AV837" s="1925">
        <f ca="1">SUM(INDIRECT(AV$1&amp;AV$2&amp;$C837):INDIRECT(AV$1&amp;AV$3&amp;$C837))</f>
        <v>0</v>
      </c>
      <c r="AW837" s="2902">
        <f t="shared" ca="1" si="1346"/>
        <v>0</v>
      </c>
      <c r="AX837" s="2903">
        <f t="shared" ca="1" si="1347"/>
        <v>0</v>
      </c>
      <c r="AY837" s="1925">
        <f ca="1">SUM(INDIRECT(AY$1&amp;AY$2&amp;$A837):INDIRECT(AY$1&amp;AY$3&amp;$A837))+SUM(INDIRECT(AY$1&amp;AY$2&amp;$B837):INDIRECT(AY$1&amp;AY$3&amp;$B837))</f>
        <v>0</v>
      </c>
      <c r="AZ837" s="2902">
        <f t="shared" ca="1" si="1349"/>
        <v>0</v>
      </c>
      <c r="BA837" s="2903">
        <f t="shared" ca="1" si="1350"/>
        <v>0</v>
      </c>
      <c r="BC837" s="1926">
        <f ca="1">SUM((INDIRECT(BC$2&amp;(ROW())):INDIRECT(BC$3&amp;(ROW()))))</f>
        <v>0</v>
      </c>
      <c r="BD837" s="1925">
        <f ca="1">SUM(INDIRECT(BD$1&amp;BD$2&amp;$C837):INDIRECT(BD$1&amp;BD$3&amp;$C837))</f>
        <v>0</v>
      </c>
      <c r="BE837" s="2902">
        <f t="shared" ca="1" si="1351"/>
        <v>0</v>
      </c>
      <c r="BF837" s="2903">
        <f t="shared" ca="1" si="1352"/>
        <v>0</v>
      </c>
      <c r="BG837" s="1925">
        <f ca="1">SUM(INDIRECT(BG$1&amp;BG$2&amp;$A837):INDIRECT(BG$1&amp;BG$3&amp;$A837))+SUM(INDIRECT(BG$1&amp;BG$2&amp;$B837):INDIRECT(BG$1&amp;BG$3&amp;$B837))</f>
        <v>0</v>
      </c>
      <c r="BH837" s="2902">
        <f t="shared" ca="1" si="1354"/>
        <v>0</v>
      </c>
      <c r="BI837" s="2903">
        <f t="shared" ca="1" si="1355"/>
        <v>0</v>
      </c>
    </row>
    <row r="838" spans="1:61" ht="14.5">
      <c r="A838" s="1693">
        <f t="shared" si="1370"/>
        <v>830</v>
      </c>
      <c r="B838" s="616">
        <v>1</v>
      </c>
      <c r="C838" s="1693">
        <f t="shared" si="1369"/>
        <v>838</v>
      </c>
      <c r="D838" s="616">
        <v>667</v>
      </c>
      <c r="F838" s="69"/>
      <c r="H838" s="22"/>
      <c r="J838" s="86"/>
      <c r="K838" s="85"/>
      <c r="L838" s="63"/>
      <c r="M838" s="63"/>
      <c r="N838" s="3" t="s">
        <v>669</v>
      </c>
      <c r="R838" s="1779" t="str">
        <f>CHOOSE(2, "6722000003749", "S/GP (5) Gross Profit Indirect ICW-WK")</f>
        <v>S/GP (5) Gross Profit Indirect ICW-WK</v>
      </c>
      <c r="S838" s="1217"/>
      <c r="T838" s="1224"/>
      <c r="U838" s="1217"/>
      <c r="V838" s="1217"/>
      <c r="W838" s="1217"/>
      <c r="X838" s="1217"/>
      <c r="Y838" s="1217"/>
      <c r="Z838" s="1217"/>
      <c r="AA838" s="1217"/>
      <c r="AB838" s="1217"/>
      <c r="AC838" s="1217"/>
      <c r="AD838" s="1217"/>
      <c r="AE838" s="88">
        <f t="shared" si="1416"/>
        <v>0</v>
      </c>
      <c r="AF838" s="17">
        <f t="shared" si="1417"/>
        <v>0</v>
      </c>
      <c r="AG838" s="17">
        <f t="shared" si="1418"/>
        <v>0</v>
      </c>
      <c r="AH838" s="17">
        <f t="shared" si="1419"/>
        <v>0</v>
      </c>
      <c r="AI838" s="17">
        <f t="shared" si="1420"/>
        <v>0</v>
      </c>
      <c r="AJ838" s="17">
        <f t="shared" si="1421"/>
        <v>0</v>
      </c>
      <c r="AK838" s="88">
        <f t="shared" si="1422"/>
        <v>0</v>
      </c>
      <c r="AM838" s="1926">
        <f ca="1">SUM((INDIRECT(AM$2&amp;(ROW())):INDIRECT(AM$3&amp;(ROW()))))</f>
        <v>0</v>
      </c>
      <c r="AN838" s="1925">
        <f ca="1">SUM(INDIRECT(AN$1&amp;AN$2&amp;$C838):INDIRECT(AN$1&amp;AN$3&amp;$C838))</f>
        <v>0</v>
      </c>
      <c r="AO838" s="2902">
        <f t="shared" ca="1" si="1409"/>
        <v>0</v>
      </c>
      <c r="AP838" s="2903">
        <f t="shared" ca="1" si="1342"/>
        <v>0</v>
      </c>
      <c r="AQ838" s="1925">
        <f ca="1">SUM(INDIRECT(AQ$1&amp;AQ$2&amp;$A838):INDIRECT(AQ$1&amp;AQ$3&amp;$A838))+SUM(INDIRECT(AQ$1&amp;AQ$2&amp;$B838):INDIRECT(AQ$1&amp;AQ$3&amp;$B838))</f>
        <v>0</v>
      </c>
      <c r="AR838" s="2902">
        <f t="shared" ca="1" si="1410"/>
        <v>0</v>
      </c>
      <c r="AS838" s="2903">
        <f t="shared" ca="1" si="1345"/>
        <v>0</v>
      </c>
      <c r="AU838" s="1926">
        <f ca="1">SUM((INDIRECT(AU$2&amp;(ROW())):INDIRECT(AU$3&amp;(ROW()))))</f>
        <v>0</v>
      </c>
      <c r="AV838" s="1925">
        <f ca="1">SUM(INDIRECT(AV$1&amp;AV$2&amp;$C838):INDIRECT(AV$1&amp;AV$3&amp;$C838))</f>
        <v>0</v>
      </c>
      <c r="AW838" s="2902">
        <f t="shared" ca="1" si="1346"/>
        <v>0</v>
      </c>
      <c r="AX838" s="2903">
        <f t="shared" ca="1" si="1347"/>
        <v>0</v>
      </c>
      <c r="AY838" s="1925">
        <f ca="1">SUM(INDIRECT(AY$1&amp;AY$2&amp;$A838):INDIRECT(AY$1&amp;AY$3&amp;$A838))+SUM(INDIRECT(AY$1&amp;AY$2&amp;$B838):INDIRECT(AY$1&amp;AY$3&amp;$B838))</f>
        <v>0</v>
      </c>
      <c r="AZ838" s="2902">
        <f t="shared" ca="1" si="1349"/>
        <v>0</v>
      </c>
      <c r="BA838" s="2903">
        <f t="shared" ca="1" si="1350"/>
        <v>0</v>
      </c>
      <c r="BC838" s="1926">
        <f ca="1">SUM((INDIRECT(BC$2&amp;(ROW())):INDIRECT(BC$3&amp;(ROW()))))</f>
        <v>0</v>
      </c>
      <c r="BD838" s="1925">
        <f ca="1">SUM(INDIRECT(BD$1&amp;BD$2&amp;$C838):INDIRECT(BD$1&amp;BD$3&amp;$C838))</f>
        <v>0</v>
      </c>
      <c r="BE838" s="2902">
        <f t="shared" ca="1" si="1351"/>
        <v>0</v>
      </c>
      <c r="BF838" s="2903">
        <f t="shared" ca="1" si="1352"/>
        <v>0</v>
      </c>
      <c r="BG838" s="1925">
        <f ca="1">SUM(INDIRECT(BG$1&amp;BG$2&amp;$A838):INDIRECT(BG$1&amp;BG$3&amp;$A838))+SUM(INDIRECT(BG$1&amp;BG$2&amp;$B838):INDIRECT(BG$1&amp;BG$3&amp;$B838))</f>
        <v>0</v>
      </c>
      <c r="BH838" s="2902">
        <f t="shared" ca="1" si="1354"/>
        <v>0</v>
      </c>
      <c r="BI838" s="2903">
        <f t="shared" ca="1" si="1355"/>
        <v>0</v>
      </c>
    </row>
    <row r="839" spans="1:61" ht="14.5">
      <c r="A839" s="1693">
        <f t="shared" si="1370"/>
        <v>831</v>
      </c>
      <c r="B839" s="616">
        <v>1</v>
      </c>
      <c r="C839" s="1693">
        <f t="shared" si="1369"/>
        <v>839</v>
      </c>
      <c r="D839" s="616">
        <v>1</v>
      </c>
      <c r="F839" s="69"/>
      <c r="H839" s="22"/>
      <c r="J839" s="84"/>
      <c r="K839" s="83"/>
      <c r="L839" s="62"/>
      <c r="M839" s="62"/>
      <c r="N839" s="1" t="s">
        <v>609</v>
      </c>
      <c r="O839" s="211"/>
      <c r="P839" s="211"/>
      <c r="Q839" s="211"/>
      <c r="R839" s="1779" t="str">
        <f>CHOOSE(2, "6722000003750", "S/GP (5) Gross Profit Indirect ICW-P")</f>
        <v>S/GP (5) Gross Profit Indirect ICW-P</v>
      </c>
      <c r="S839" s="1218"/>
      <c r="T839" s="1225"/>
      <c r="U839" s="1218"/>
      <c r="V839" s="1218"/>
      <c r="W839" s="1218"/>
      <c r="X839" s="1218"/>
      <c r="Y839" s="1218"/>
      <c r="Z839" s="1218"/>
      <c r="AA839" s="1218"/>
      <c r="AB839" s="1218"/>
      <c r="AC839" s="1218"/>
      <c r="AD839" s="1218"/>
      <c r="AE839" s="87">
        <f t="shared" si="1416"/>
        <v>0</v>
      </c>
      <c r="AF839" s="15">
        <f t="shared" si="1417"/>
        <v>0</v>
      </c>
      <c r="AG839" s="15">
        <f t="shared" si="1418"/>
        <v>0</v>
      </c>
      <c r="AH839" s="15">
        <f t="shared" si="1419"/>
        <v>0</v>
      </c>
      <c r="AI839" s="15">
        <f t="shared" si="1420"/>
        <v>0</v>
      </c>
      <c r="AJ839" s="15">
        <f t="shared" si="1421"/>
        <v>0</v>
      </c>
      <c r="AK839" s="87">
        <f t="shared" si="1422"/>
        <v>0</v>
      </c>
      <c r="AL839" s="69"/>
      <c r="AM839" s="1928">
        <f ca="1">SUM((INDIRECT(AM$2&amp;(ROW())):INDIRECT(AM$3&amp;(ROW()))))</f>
        <v>0</v>
      </c>
      <c r="AN839" s="1927">
        <f ca="1">SUM(INDIRECT(AN$1&amp;AN$2&amp;$C839):INDIRECT(AN$1&amp;AN$3&amp;$C839))</f>
        <v>0</v>
      </c>
      <c r="AO839" s="2904">
        <f t="shared" ca="1" si="1409"/>
        <v>0</v>
      </c>
      <c r="AP839" s="2905">
        <f t="shared" ca="1" si="1342"/>
        <v>0</v>
      </c>
      <c r="AQ839" s="1927">
        <f ca="1">SUM(INDIRECT(AQ$1&amp;AQ$2&amp;$A839):INDIRECT(AQ$1&amp;AQ$3&amp;$A839))+SUM(INDIRECT(AQ$1&amp;AQ$2&amp;$B839):INDIRECT(AQ$1&amp;AQ$3&amp;$B839))</f>
        <v>0</v>
      </c>
      <c r="AR839" s="2904">
        <f t="shared" ca="1" si="1410"/>
        <v>0</v>
      </c>
      <c r="AS839" s="2905">
        <f t="shared" ca="1" si="1345"/>
        <v>0</v>
      </c>
      <c r="AU839" s="1928">
        <f ca="1">SUM((INDIRECT(AU$2&amp;(ROW())):INDIRECT(AU$3&amp;(ROW()))))</f>
        <v>0</v>
      </c>
      <c r="AV839" s="1927">
        <f ca="1">SUM(INDIRECT(AV$1&amp;AV$2&amp;$C839):INDIRECT(AV$1&amp;AV$3&amp;$C839))</f>
        <v>0</v>
      </c>
      <c r="AW839" s="2904">
        <f t="shared" ca="1" si="1346"/>
        <v>0</v>
      </c>
      <c r="AX839" s="2905">
        <f t="shared" ca="1" si="1347"/>
        <v>0</v>
      </c>
      <c r="AY839" s="1927">
        <f ca="1">SUM(INDIRECT(AY$1&amp;AY$2&amp;$A839):INDIRECT(AY$1&amp;AY$3&amp;$A839))+SUM(INDIRECT(AY$1&amp;AY$2&amp;$B839):INDIRECT(AY$1&amp;AY$3&amp;$B839))</f>
        <v>0</v>
      </c>
      <c r="AZ839" s="2904">
        <f t="shared" ca="1" si="1349"/>
        <v>0</v>
      </c>
      <c r="BA839" s="2905">
        <f t="shared" ca="1" si="1350"/>
        <v>0</v>
      </c>
      <c r="BC839" s="1928">
        <f ca="1">SUM((INDIRECT(BC$2&amp;(ROW())):INDIRECT(BC$3&amp;(ROW()))))</f>
        <v>0</v>
      </c>
      <c r="BD839" s="1927">
        <f ca="1">SUM(INDIRECT(BD$1&amp;BD$2&amp;$C839):INDIRECT(BD$1&amp;BD$3&amp;$C839))</f>
        <v>0</v>
      </c>
      <c r="BE839" s="2904">
        <f t="shared" ca="1" si="1351"/>
        <v>0</v>
      </c>
      <c r="BF839" s="2905">
        <f t="shared" ca="1" si="1352"/>
        <v>0</v>
      </c>
      <c r="BG839" s="1927">
        <f ca="1">SUM(INDIRECT(BG$1&amp;BG$2&amp;$A839):INDIRECT(BG$1&amp;BG$3&amp;$A839))+SUM(INDIRECT(BG$1&amp;BG$2&amp;$B839):INDIRECT(BG$1&amp;BG$3&amp;$B839))</f>
        <v>0</v>
      </c>
      <c r="BH839" s="2904">
        <f t="shared" ca="1" si="1354"/>
        <v>0</v>
      </c>
      <c r="BI839" s="2905">
        <f t="shared" ca="1" si="1355"/>
        <v>0</v>
      </c>
    </row>
    <row r="840" spans="1:61" ht="14.5">
      <c r="A840" s="1693">
        <f t="shared" si="1370"/>
        <v>832</v>
      </c>
      <c r="B840" s="616">
        <v>1</v>
      </c>
      <c r="C840" s="1695">
        <f t="shared" si="1369"/>
        <v>840</v>
      </c>
      <c r="D840" s="616">
        <v>1</v>
      </c>
      <c r="E840" s="709" t="s">
        <v>512</v>
      </c>
      <c r="F840" s="1572"/>
      <c r="R840" s="1772" t="str">
        <f>CHOOSE(2, "6722000003751", "▷ Blank 23")</f>
        <v>▷ Blank 23</v>
      </c>
      <c r="S840" s="1125"/>
      <c r="T840" s="1366"/>
      <c r="U840" s="1366"/>
      <c r="V840" s="1366"/>
      <c r="W840" s="1366"/>
      <c r="X840" s="1366"/>
      <c r="Y840" s="1366"/>
      <c r="Z840" s="1366"/>
      <c r="AA840" s="1366"/>
      <c r="AB840" s="1242"/>
      <c r="AC840" s="1242"/>
      <c r="AD840" s="1242"/>
      <c r="AE840" s="1242"/>
      <c r="AF840" s="1625"/>
      <c r="AG840" s="1625"/>
      <c r="AH840" s="1625"/>
      <c r="AI840" s="1625"/>
      <c r="AJ840" s="1625"/>
      <c r="AK840" s="1626"/>
      <c r="AM840" s="2592"/>
      <c r="AN840" s="2592"/>
      <c r="AO840" s="2592"/>
      <c r="AP840" s="2592"/>
      <c r="AQ840" s="2592"/>
      <c r="AR840" s="2592"/>
      <c r="AS840" s="2592"/>
      <c r="AU840" s="2592"/>
      <c r="AV840" s="2592"/>
      <c r="AW840" s="2592"/>
      <c r="AX840" s="2592"/>
      <c r="AY840" s="2592"/>
      <c r="AZ840" s="2592"/>
      <c r="BA840" s="2592"/>
      <c r="BC840" s="2592"/>
      <c r="BD840" s="2592"/>
      <c r="BE840" s="2592"/>
      <c r="BF840" s="2592"/>
      <c r="BG840" s="2592"/>
      <c r="BH840" s="2592"/>
      <c r="BI840" s="2592"/>
    </row>
    <row r="841" spans="1:61" ht="14.5">
      <c r="A841" s="1693">
        <f t="shared" si="1370"/>
        <v>833</v>
      </c>
      <c r="B841" s="616">
        <v>1</v>
      </c>
      <c r="C841" s="1693">
        <f t="shared" si="1369"/>
        <v>841</v>
      </c>
      <c r="D841" s="616">
        <v>1</v>
      </c>
      <c r="E841" s="709" t="s">
        <v>512</v>
      </c>
      <c r="F841" s="1572"/>
      <c r="G841" s="8"/>
      <c r="H841" s="22" t="s">
        <v>562</v>
      </c>
      <c r="R841" s="1772" t="str">
        <f>CHOOSE(2, "6722000003752", "2-4. Fixed Cost in COGS(Cost of Goods Sales) by BU")</f>
        <v>2-4. Fixed Cost in COGS(Cost of Goods Sales) by BU</v>
      </c>
      <c r="S841" s="1125"/>
      <c r="T841" s="1366"/>
      <c r="U841" s="1366"/>
      <c r="V841" s="1366"/>
      <c r="W841" s="1366"/>
      <c r="X841" s="1366"/>
      <c r="Y841" s="1366"/>
      <c r="Z841" s="1366"/>
      <c r="AA841" s="1366"/>
      <c r="AB841" s="1366"/>
      <c r="AC841" s="69"/>
      <c r="AD841" s="69"/>
      <c r="AE841" s="69"/>
      <c r="AF841" s="69"/>
      <c r="AG841" s="69"/>
      <c r="AH841" s="69"/>
      <c r="AI841" s="69"/>
      <c r="AJ841" s="69"/>
      <c r="AK841" s="69"/>
    </row>
    <row r="842" spans="1:61" s="69" customFormat="1" ht="14.5">
      <c r="A842" s="1693">
        <f t="shared" si="1370"/>
        <v>834</v>
      </c>
      <c r="B842" s="616">
        <v>1</v>
      </c>
      <c r="C842" s="1693">
        <f t="shared" si="1369"/>
        <v>842</v>
      </c>
      <c r="D842" s="616">
        <v>1</v>
      </c>
      <c r="E842" s="709" t="s">
        <v>512</v>
      </c>
      <c r="F842" s="1572"/>
      <c r="G842" s="8"/>
      <c r="H842" s="8"/>
      <c r="I842" s="22"/>
      <c r="J842" s="342" t="s">
        <v>50</v>
      </c>
      <c r="K842" s="343"/>
      <c r="L842" s="344"/>
      <c r="M842" s="344"/>
      <c r="N842" s="344"/>
      <c r="O842" s="344"/>
      <c r="P842" s="344"/>
      <c r="Q842" s="344"/>
      <c r="R842" s="1782" t="str">
        <f>CHOOSE(2, "6722000003753", "FC COGS (0) Total")</f>
        <v>FC COGS (0) Total</v>
      </c>
      <c r="S842" s="1267">
        <f t="shared" ref="S842:AD842" si="1423">SUM(S843:S846)</f>
        <v>24108</v>
      </c>
      <c r="T842" s="1267">
        <f t="shared" si="1423"/>
        <v>27154.445499999998</v>
      </c>
      <c r="U842" s="1267">
        <f t="shared" si="1423"/>
        <v>27605.723999999998</v>
      </c>
      <c r="V842" s="1267">
        <f t="shared" si="1423"/>
        <v>30210.79</v>
      </c>
      <c r="W842" s="1267">
        <f t="shared" si="1423"/>
        <v>31361.091209109887</v>
      </c>
      <c r="X842" s="1267">
        <f t="shared" si="1423"/>
        <v>30411.316619999976</v>
      </c>
      <c r="Y842" s="1267">
        <f t="shared" si="1423"/>
        <v>29664.563409999966</v>
      </c>
      <c r="Z842" s="1267">
        <f t="shared" si="1423"/>
        <v>33285.930389999987</v>
      </c>
      <c r="AA842" s="1267">
        <f t="shared" si="1423"/>
        <v>34896.465469999974</v>
      </c>
      <c r="AB842" s="1267">
        <f t="shared" si="1423"/>
        <v>34682.45978999995</v>
      </c>
      <c r="AC842" s="1267">
        <f t="shared" si="1423"/>
        <v>34508.081349999979</v>
      </c>
      <c r="AD842" s="1267">
        <f t="shared" si="1423"/>
        <v>33078.763810000004</v>
      </c>
      <c r="AE842" s="906">
        <f t="shared" ref="AE842:AK842" si="1424">SUM(AE843:AE846)</f>
        <v>78868.169500000004</v>
      </c>
      <c r="AF842" s="345">
        <f t="shared" si="1424"/>
        <v>91983.197829109879</v>
      </c>
      <c r="AG842" s="345">
        <f t="shared" si="1424"/>
        <v>97846.959269999934</v>
      </c>
      <c r="AH842" s="345">
        <f t="shared" si="1424"/>
        <v>102269.30494999993</v>
      </c>
      <c r="AI842" s="345">
        <f t="shared" si="1424"/>
        <v>170851.36732910987</v>
      </c>
      <c r="AJ842" s="345">
        <f t="shared" si="1424"/>
        <v>200116.26421999984</v>
      </c>
      <c r="AK842" s="345">
        <f t="shared" si="1424"/>
        <v>370967.63154910976</v>
      </c>
      <c r="AL842" s="8"/>
      <c r="AM842" s="2209">
        <f ca="1">SUM((INDIRECT(AM$2&amp;(ROW())):INDIRECT(AM$3&amp;(ROW()))))</f>
        <v>24108</v>
      </c>
      <c r="AN842" s="2209">
        <f ca="1">SUM(INDIRECT(AN$1&amp;AN$2&amp;$C842):INDIRECT(AN$1&amp;AN$3&amp;$C842))</f>
        <v>28046.333333333332</v>
      </c>
      <c r="AO842" s="2933">
        <f t="shared" ca="1" si="1409"/>
        <v>-3938.3333333333321</v>
      </c>
      <c r="AP842" s="2934">
        <f t="shared" ref="AP842:AP881" ca="1" si="1425">IFERROR(AM842/AN842,0)</f>
        <v>0.85957760372716585</v>
      </c>
      <c r="AQ842" s="2209">
        <f ca="1">SUM(INDIRECT(AQ$1&amp;AQ$2&amp;$A842):INDIRECT(AQ$1&amp;AQ$3&amp;$A842))+SUM(INDIRECT(AQ$1&amp;AQ$2&amp;$B842):INDIRECT(AQ$1&amp;AQ$3&amp;$B842))</f>
        <v>22107</v>
      </c>
      <c r="AR842" s="2933">
        <f t="shared" ca="1" si="1410"/>
        <v>2001</v>
      </c>
      <c r="AS842" s="2934">
        <f t="shared" ref="AS842:AS881" ca="1" si="1426">IFERROR(AM842/AQ842,0)</f>
        <v>1.0905143167322568</v>
      </c>
      <c r="AU842" s="2209">
        <f ca="1">SUM((INDIRECT(AU$2&amp;(ROW())):INDIRECT(AU$3&amp;(ROW()))))</f>
        <v>24108</v>
      </c>
      <c r="AV842" s="2209">
        <f ca="1">SUM(INDIRECT(AV$1&amp;AV$2&amp;$C842):INDIRECT(AV$1&amp;AV$3&amp;$C842))</f>
        <v>28046.333333333332</v>
      </c>
      <c r="AW842" s="2933">
        <f t="shared" ref="AW842:AW881" ca="1" si="1427">AU842-AV842</f>
        <v>-3938.3333333333321</v>
      </c>
      <c r="AX842" s="2934">
        <f t="shared" ref="AX842:AX881" ca="1" si="1428">IFERROR(AU842/AV842,0)</f>
        <v>0.85957760372716585</v>
      </c>
      <c r="AY842" s="2209">
        <f ca="1">SUM(INDIRECT(AY$1&amp;AY$2&amp;$A842):INDIRECT(AY$1&amp;AY$3&amp;$A842))+SUM(INDIRECT(AY$1&amp;AY$2&amp;$B842):INDIRECT(AY$1&amp;AY$3&amp;$B842))</f>
        <v>22107</v>
      </c>
      <c r="AZ842" s="2933">
        <f t="shared" ref="AZ842:AZ881" ca="1" si="1429">AU842-AY842</f>
        <v>2001</v>
      </c>
      <c r="BA842" s="2934">
        <f t="shared" ref="BA842:BA881" ca="1" si="1430">IFERROR(AU842/AY842,0)</f>
        <v>1.0905143167322568</v>
      </c>
      <c r="BC842" s="2209">
        <f ca="1">SUM((INDIRECT(BC$2&amp;(ROW())):INDIRECT(BC$3&amp;(ROW()))))</f>
        <v>24108</v>
      </c>
      <c r="BD842" s="2209">
        <f ca="1">SUM(INDIRECT(BD$1&amp;BD$2&amp;$C842):INDIRECT(BD$1&amp;BD$3&amp;$C842))</f>
        <v>28046.333333333332</v>
      </c>
      <c r="BE842" s="2933">
        <f t="shared" ref="BE842:BE881" ca="1" si="1431">BC842-BD842</f>
        <v>-3938.3333333333321</v>
      </c>
      <c r="BF842" s="2934">
        <f t="shared" ref="BF842:BF881" ca="1" si="1432">IFERROR(BC842/BD842,0)</f>
        <v>0.85957760372716585</v>
      </c>
      <c r="BG842" s="2209">
        <f ca="1">SUM(INDIRECT(BG$1&amp;BG$2&amp;$A842):INDIRECT(BG$1&amp;BG$3&amp;$A842))+SUM(INDIRECT(BG$1&amp;BG$2&amp;$B842):INDIRECT(BG$1&amp;BG$3&amp;$B842))</f>
        <v>22107</v>
      </c>
      <c r="BH842" s="2933">
        <f t="shared" ref="BH842:BH881" ca="1" si="1433">BC842-BG842</f>
        <v>2001</v>
      </c>
      <c r="BI842" s="2934">
        <f t="shared" ref="BI842:BI881" ca="1" si="1434">IFERROR(BC842/BG842,0)</f>
        <v>1.0905143167322568</v>
      </c>
    </row>
    <row r="843" spans="1:61" ht="14.5">
      <c r="A843" s="1693">
        <f t="shared" si="1370"/>
        <v>835</v>
      </c>
      <c r="B843" s="616">
        <v>1</v>
      </c>
      <c r="C843" s="1693">
        <f t="shared" si="1369"/>
        <v>843</v>
      </c>
      <c r="D843" s="616">
        <v>1</v>
      </c>
      <c r="E843" s="709" t="s">
        <v>512</v>
      </c>
      <c r="F843" s="1572"/>
      <c r="G843" s="8"/>
      <c r="H843" s="8"/>
      <c r="J843" s="1235"/>
      <c r="K843" s="8" t="s">
        <v>220</v>
      </c>
      <c r="L843" s="8"/>
      <c r="M843" s="8"/>
      <c r="R843" s="1777" t="str">
        <f>CHOOSE(2, "6722000003754", "FC COGS (0) Total Included in COGS [PC(Service)]")</f>
        <v>FC COGS (0) Total Included in COGS [PC(Service)]</v>
      </c>
      <c r="S843" s="1226">
        <f>SUM(S848,S878,S863,S868,S873)</f>
        <v>18783</v>
      </c>
      <c r="T843" s="1226">
        <f t="shared" ref="T843:AD846" si="1435">SUM(T848,T878,T863,T868,T873)</f>
        <v>19137.95</v>
      </c>
      <c r="U843" s="1226">
        <f t="shared" si="1435"/>
        <v>18588.963</v>
      </c>
      <c r="V843" s="1226">
        <f t="shared" si="1435"/>
        <v>20754.027999999998</v>
      </c>
      <c r="W843" s="1226">
        <f t="shared" si="1435"/>
        <v>22346.815209109889</v>
      </c>
      <c r="X843" s="1226">
        <f t="shared" si="1435"/>
        <v>20114.092999999997</v>
      </c>
      <c r="Y843" s="1226">
        <f t="shared" si="1435"/>
        <v>20375.102999999999</v>
      </c>
      <c r="Z843" s="1226">
        <f t="shared" si="1435"/>
        <v>24332.665999999997</v>
      </c>
      <c r="AA843" s="1226">
        <f t="shared" si="1435"/>
        <v>24739.047989999992</v>
      </c>
      <c r="AB843" s="1226">
        <f t="shared" si="1435"/>
        <v>27345.361709999986</v>
      </c>
      <c r="AC843" s="1226">
        <f t="shared" si="1435"/>
        <v>24907.549000000021</v>
      </c>
      <c r="AD843" s="1226">
        <f t="shared" si="1435"/>
        <v>25000.851280000003</v>
      </c>
      <c r="AE843" s="1617">
        <f>SUM(S843,T843,U843)</f>
        <v>56509.913</v>
      </c>
      <c r="AF843" s="1419">
        <f>SUM(V843,W843,X843)</f>
        <v>63214.936209109888</v>
      </c>
      <c r="AG843" s="1419">
        <f>SUM(Y843,Z843,AA843)</f>
        <v>69446.816989999992</v>
      </c>
      <c r="AH843" s="1419">
        <f>SUM(AB843,AC843,AD843)</f>
        <v>77253.761990000014</v>
      </c>
      <c r="AI843" s="1419">
        <f>AE843+AF843</f>
        <v>119724.84920910989</v>
      </c>
      <c r="AJ843" s="1419">
        <f>AH843+AG843</f>
        <v>146700.57897999999</v>
      </c>
      <c r="AK843" s="1419">
        <f>AI843+AJ843</f>
        <v>266425.42818910989</v>
      </c>
      <c r="AM843" s="1948">
        <f ca="1">SUM((INDIRECT(AM$2&amp;(ROW())):INDIRECT(AM$3&amp;(ROW()))))</f>
        <v>18783</v>
      </c>
      <c r="AN843" s="1948">
        <f ca="1">SUM(INDIRECT(AN$1&amp;AN$2&amp;$C843):INDIRECT(AN$1&amp;AN$3&amp;$C843))</f>
        <v>19018.466666666667</v>
      </c>
      <c r="AO843" s="2786">
        <f t="shared" ca="1" si="1409"/>
        <v>-235.46666666666715</v>
      </c>
      <c r="AP843" s="2787">
        <f t="shared" ca="1" si="1425"/>
        <v>0.98761905095749036</v>
      </c>
      <c r="AQ843" s="1948">
        <f ca="1">SUM(INDIRECT(AQ$1&amp;AQ$2&amp;$A843):INDIRECT(AQ$1&amp;AQ$3&amp;$A843))+SUM(INDIRECT(AQ$1&amp;AQ$2&amp;$B843):INDIRECT(AQ$1&amp;AQ$3&amp;$B843))</f>
        <v>16742</v>
      </c>
      <c r="AR843" s="2786">
        <f t="shared" ca="1" si="1410"/>
        <v>2041</v>
      </c>
      <c r="AS843" s="2787">
        <f t="shared" ca="1" si="1426"/>
        <v>1.1219089714490502</v>
      </c>
      <c r="AU843" s="1948">
        <f ca="1">SUM((INDIRECT(AU$2&amp;(ROW())):INDIRECT(AU$3&amp;(ROW()))))</f>
        <v>18783</v>
      </c>
      <c r="AV843" s="1948">
        <f ca="1">SUM(INDIRECT(AV$1&amp;AV$2&amp;$C843):INDIRECT(AV$1&amp;AV$3&amp;$C843))</f>
        <v>19018.466666666667</v>
      </c>
      <c r="AW843" s="2786">
        <f t="shared" ca="1" si="1427"/>
        <v>-235.46666666666715</v>
      </c>
      <c r="AX843" s="2787">
        <f t="shared" ca="1" si="1428"/>
        <v>0.98761905095749036</v>
      </c>
      <c r="AY843" s="1948">
        <f ca="1">SUM(INDIRECT(AY$1&amp;AY$2&amp;$A843):INDIRECT(AY$1&amp;AY$3&amp;$A843))+SUM(INDIRECT(AY$1&amp;AY$2&amp;$B843):INDIRECT(AY$1&amp;AY$3&amp;$B843))</f>
        <v>16742</v>
      </c>
      <c r="AZ843" s="2786">
        <f t="shared" ca="1" si="1429"/>
        <v>2041</v>
      </c>
      <c r="BA843" s="2787">
        <f t="shared" ca="1" si="1430"/>
        <v>1.1219089714490502</v>
      </c>
      <c r="BC843" s="1948">
        <f ca="1">SUM((INDIRECT(BC$2&amp;(ROW())):INDIRECT(BC$3&amp;(ROW()))))</f>
        <v>18783</v>
      </c>
      <c r="BD843" s="1948">
        <f ca="1">SUM(INDIRECT(BD$1&amp;BD$2&amp;$C843):INDIRECT(BD$1&amp;BD$3&amp;$C843))</f>
        <v>19018.466666666667</v>
      </c>
      <c r="BE843" s="2786">
        <f t="shared" ca="1" si="1431"/>
        <v>-235.46666666666715</v>
      </c>
      <c r="BF843" s="2787">
        <f t="shared" ca="1" si="1432"/>
        <v>0.98761905095749036</v>
      </c>
      <c r="BG843" s="1948">
        <f ca="1">SUM(INDIRECT(BG$1&amp;BG$2&amp;$A843):INDIRECT(BG$1&amp;BG$3&amp;$A843))+SUM(INDIRECT(BG$1&amp;BG$2&amp;$B843):INDIRECT(BG$1&amp;BG$3&amp;$B843))</f>
        <v>16742</v>
      </c>
      <c r="BH843" s="2786">
        <f t="shared" ca="1" si="1433"/>
        <v>2041</v>
      </c>
      <c r="BI843" s="2787">
        <f t="shared" ca="1" si="1434"/>
        <v>1.1219089714490502</v>
      </c>
    </row>
    <row r="844" spans="1:61" ht="14.5">
      <c r="A844" s="1693">
        <f t="shared" si="1370"/>
        <v>836</v>
      </c>
      <c r="B844" s="616">
        <v>1</v>
      </c>
      <c r="C844" s="1693">
        <f t="shared" si="1369"/>
        <v>844</v>
      </c>
      <c r="D844" s="616">
        <v>1</v>
      </c>
      <c r="E844" s="709" t="s">
        <v>512</v>
      </c>
      <c r="F844" s="69"/>
      <c r="G844" s="8"/>
      <c r="H844" s="8"/>
      <c r="J844" s="1235"/>
      <c r="K844" s="8" t="s">
        <v>221</v>
      </c>
      <c r="L844" s="8"/>
      <c r="M844" s="8"/>
      <c r="R844" s="1777" t="str">
        <f>CHOOSE(2, "6722000003755", "FC COGS (0) Total Included in COGS [TE(Service)]")</f>
        <v>FC COGS (0) Total Included in COGS [TE(Service)]</v>
      </c>
      <c r="S844" s="1226">
        <f>SUM(S849,S879,S864,S869,S874)</f>
        <v>38</v>
      </c>
      <c r="T844" s="1226">
        <f t="shared" si="1435"/>
        <v>1728.7429999999999</v>
      </c>
      <c r="U844" s="1226">
        <f t="shared" si="1435"/>
        <v>3329.0170000000003</v>
      </c>
      <c r="V844" s="1226">
        <f t="shared" si="1435"/>
        <v>3323.6320000000001</v>
      </c>
      <c r="W844" s="1226">
        <f t="shared" si="1435"/>
        <v>3426.5279999999998</v>
      </c>
      <c r="X844" s="1226">
        <f t="shared" si="1435"/>
        <v>4052.011</v>
      </c>
      <c r="Y844" s="1226">
        <f t="shared" si="1435"/>
        <v>3787.3489999999997</v>
      </c>
      <c r="Z844" s="1226">
        <f t="shared" si="1435"/>
        <v>3000.8939999999998</v>
      </c>
      <c r="AA844" s="1226">
        <f t="shared" si="1435"/>
        <v>3350.4719999999998</v>
      </c>
      <c r="AB844" s="1226">
        <f t="shared" si="1435"/>
        <v>3817.6059999999998</v>
      </c>
      <c r="AC844" s="1226">
        <f t="shared" si="1435"/>
        <v>3475.9160000000002</v>
      </c>
      <c r="AD844" s="1226">
        <f t="shared" si="1435"/>
        <v>4300.7280000000001</v>
      </c>
      <c r="AE844" s="1617">
        <f>SUM(S844,T844,U844)</f>
        <v>5095.76</v>
      </c>
      <c r="AF844" s="1419">
        <f>SUM(V844,W844,X844)</f>
        <v>10802.171</v>
      </c>
      <c r="AG844" s="1419">
        <f>SUM(Y844,Z844,AA844)</f>
        <v>10138.715</v>
      </c>
      <c r="AH844" s="1419">
        <f>SUM(AB844,AC844,AD844)</f>
        <v>11594.25</v>
      </c>
      <c r="AI844" s="1419">
        <f>AE844+AF844</f>
        <v>15897.931</v>
      </c>
      <c r="AJ844" s="1419">
        <f>AH844+AG844</f>
        <v>21732.965</v>
      </c>
      <c r="AK844" s="1419">
        <f>AI844+AJ844</f>
        <v>37630.896000000001</v>
      </c>
      <c r="AL844" s="69"/>
      <c r="AM844" s="1948">
        <f ca="1">SUM((INDIRECT(AM$2&amp;(ROW())):INDIRECT(AM$3&amp;(ROW()))))</f>
        <v>38</v>
      </c>
      <c r="AN844" s="1948">
        <f ca="1">SUM(INDIRECT(AN$1&amp;AN$2&amp;$C844):INDIRECT(AN$1&amp;AN$3&amp;$C844))</f>
        <v>3253.3333333333335</v>
      </c>
      <c r="AO844" s="2786">
        <f t="shared" ca="1" si="1409"/>
        <v>-3215.3333333333335</v>
      </c>
      <c r="AP844" s="2787">
        <f t="shared" ca="1" si="1425"/>
        <v>1.1680327868852458E-2</v>
      </c>
      <c r="AQ844" s="1948">
        <f ca="1">SUM(INDIRECT(AQ$1&amp;AQ$2&amp;$A844):INDIRECT(AQ$1&amp;AQ$3&amp;$A844))+SUM(INDIRECT(AQ$1&amp;AQ$2&amp;$B844):INDIRECT(AQ$1&amp;AQ$3&amp;$B844))</f>
        <v>0</v>
      </c>
      <c r="AR844" s="2786">
        <f t="shared" ca="1" si="1410"/>
        <v>38</v>
      </c>
      <c r="AS844" s="2787">
        <f t="shared" ca="1" si="1426"/>
        <v>0</v>
      </c>
      <c r="AU844" s="1948">
        <f ca="1">SUM((INDIRECT(AU$2&amp;(ROW())):INDIRECT(AU$3&amp;(ROW()))))</f>
        <v>38</v>
      </c>
      <c r="AV844" s="1948">
        <f ca="1">SUM(INDIRECT(AV$1&amp;AV$2&amp;$C844):INDIRECT(AV$1&amp;AV$3&amp;$C844))</f>
        <v>3253.3333333333335</v>
      </c>
      <c r="AW844" s="2786">
        <f t="shared" ca="1" si="1427"/>
        <v>-3215.3333333333335</v>
      </c>
      <c r="AX844" s="2787">
        <f t="shared" ca="1" si="1428"/>
        <v>1.1680327868852458E-2</v>
      </c>
      <c r="AY844" s="1948">
        <f ca="1">SUM(INDIRECT(AY$1&amp;AY$2&amp;$A844):INDIRECT(AY$1&amp;AY$3&amp;$A844))+SUM(INDIRECT(AY$1&amp;AY$2&amp;$B844):INDIRECT(AY$1&amp;AY$3&amp;$B844))</f>
        <v>0</v>
      </c>
      <c r="AZ844" s="2786">
        <f t="shared" ca="1" si="1429"/>
        <v>38</v>
      </c>
      <c r="BA844" s="2787">
        <f t="shared" ca="1" si="1430"/>
        <v>0</v>
      </c>
      <c r="BC844" s="1948">
        <f ca="1">SUM((INDIRECT(BC$2&amp;(ROW())):INDIRECT(BC$3&amp;(ROW()))))</f>
        <v>38</v>
      </c>
      <c r="BD844" s="1948">
        <f ca="1">SUM(INDIRECT(BD$1&amp;BD$2&amp;$C844):INDIRECT(BD$1&amp;BD$3&amp;$C844))</f>
        <v>3253.3333333333335</v>
      </c>
      <c r="BE844" s="2786">
        <f t="shared" ca="1" si="1431"/>
        <v>-3215.3333333333335</v>
      </c>
      <c r="BF844" s="2787">
        <f t="shared" ca="1" si="1432"/>
        <v>1.1680327868852458E-2</v>
      </c>
      <c r="BG844" s="1948">
        <f ca="1">SUM(INDIRECT(BG$1&amp;BG$2&amp;$A844):INDIRECT(BG$1&amp;BG$3&amp;$A844))+SUM(INDIRECT(BG$1&amp;BG$2&amp;$B844):INDIRECT(BG$1&amp;BG$3&amp;$B844))</f>
        <v>0</v>
      </c>
      <c r="BH844" s="2786">
        <f t="shared" ca="1" si="1433"/>
        <v>38</v>
      </c>
      <c r="BI844" s="2787">
        <f t="shared" ca="1" si="1434"/>
        <v>0</v>
      </c>
    </row>
    <row r="845" spans="1:61" ht="14.5">
      <c r="A845" s="1693">
        <f t="shared" si="1370"/>
        <v>837</v>
      </c>
      <c r="B845" s="616">
        <v>1</v>
      </c>
      <c r="C845" s="1693">
        <f t="shared" si="1369"/>
        <v>845</v>
      </c>
      <c r="D845" s="616">
        <v>1</v>
      </c>
      <c r="E845" s="709" t="s">
        <v>512</v>
      </c>
      <c r="F845" s="1572"/>
      <c r="G845" s="8"/>
      <c r="H845" s="8"/>
      <c r="J845" s="172"/>
      <c r="K845" s="8" t="s">
        <v>222</v>
      </c>
      <c r="R845" s="1782" t="str">
        <f>CHOOSE(2, "6722000003756", "FC COGS (0) Total Included in COGS [OFC(Service)]")</f>
        <v>FC COGS (0) Total Included in COGS [OFC(Service)]</v>
      </c>
      <c r="S845" s="1226">
        <f>SUM(S850,S880,S865,S870,S875)</f>
        <v>5287</v>
      </c>
      <c r="T845" s="1226">
        <f t="shared" si="1435"/>
        <v>6287.7524999999996</v>
      </c>
      <c r="U845" s="1226">
        <f t="shared" si="1435"/>
        <v>5687.7439999999997</v>
      </c>
      <c r="V845" s="1226">
        <f t="shared" si="1435"/>
        <v>6133.13</v>
      </c>
      <c r="W845" s="1226">
        <f t="shared" si="1435"/>
        <v>5587.7479999999996</v>
      </c>
      <c r="X845" s="1226">
        <f t="shared" si="1435"/>
        <v>6245.2126199999802</v>
      </c>
      <c r="Y845" s="1226">
        <f t="shared" si="1435"/>
        <v>5502.1114099999704</v>
      </c>
      <c r="Z845" s="1226">
        <f t="shared" si="1435"/>
        <v>5952.3703899999909</v>
      </c>
      <c r="AA845" s="1226">
        <f t="shared" si="1435"/>
        <v>6806.9454799999785</v>
      </c>
      <c r="AB845" s="1226">
        <f t="shared" si="1435"/>
        <v>3519.4920799999668</v>
      </c>
      <c r="AC845" s="1226">
        <f t="shared" si="1435"/>
        <v>6124.6163499999593</v>
      </c>
      <c r="AD845" s="1226">
        <f t="shared" si="1435"/>
        <v>3777.18453</v>
      </c>
      <c r="AE845" s="125">
        <f>SUM(S845,T845,U845)</f>
        <v>17262.496499999997</v>
      </c>
      <c r="AF845" s="126">
        <f>SUM(V845,W845,X845)</f>
        <v>17966.090619999981</v>
      </c>
      <c r="AG845" s="126">
        <f>SUM(Y845,Z845,AA845)</f>
        <v>18261.427279999938</v>
      </c>
      <c r="AH845" s="126">
        <f>SUM(AB845,AC845,AD845)</f>
        <v>13421.292959999926</v>
      </c>
      <c r="AI845" s="126">
        <f>AE845+AF845</f>
        <v>35228.587119999982</v>
      </c>
      <c r="AJ845" s="126">
        <f>AH845+AG845</f>
        <v>31682.720239999864</v>
      </c>
      <c r="AK845" s="126">
        <f>AI845+AJ845</f>
        <v>66911.307359999846</v>
      </c>
      <c r="AM845" s="1948">
        <f ca="1">SUM((INDIRECT(AM$2&amp;(ROW())):INDIRECT(AM$3&amp;(ROW()))))</f>
        <v>5287</v>
      </c>
      <c r="AN845" s="1948">
        <f ca="1">SUM(INDIRECT(AN$1&amp;AN$2&amp;$C845):INDIRECT(AN$1&amp;AN$3&amp;$C845))</f>
        <v>5774.5333333333338</v>
      </c>
      <c r="AO845" s="2786">
        <f t="shared" ca="1" si="1409"/>
        <v>-487.53333333333376</v>
      </c>
      <c r="AP845" s="2787">
        <f t="shared" ca="1" si="1425"/>
        <v>0.91557182109954049</v>
      </c>
      <c r="AQ845" s="1948">
        <f ca="1">SUM(INDIRECT(AQ$1&amp;AQ$2&amp;$A845):INDIRECT(AQ$1&amp;AQ$3&amp;$A845))+SUM(INDIRECT(AQ$1&amp;AQ$2&amp;$B845):INDIRECT(AQ$1&amp;AQ$3&amp;$B845))</f>
        <v>5365</v>
      </c>
      <c r="AR845" s="2786">
        <f t="shared" ca="1" si="1410"/>
        <v>-78</v>
      </c>
      <c r="AS845" s="2787">
        <f t="shared" ca="1" si="1426"/>
        <v>0.98546132339235792</v>
      </c>
      <c r="AU845" s="1948">
        <f ca="1">SUM((INDIRECT(AU$2&amp;(ROW())):INDIRECT(AU$3&amp;(ROW()))))</f>
        <v>5287</v>
      </c>
      <c r="AV845" s="1948">
        <f ca="1">SUM(INDIRECT(AV$1&amp;AV$2&amp;$C845):INDIRECT(AV$1&amp;AV$3&amp;$C845))</f>
        <v>5774.5333333333338</v>
      </c>
      <c r="AW845" s="2786">
        <f t="shared" ca="1" si="1427"/>
        <v>-487.53333333333376</v>
      </c>
      <c r="AX845" s="2787">
        <f t="shared" ca="1" si="1428"/>
        <v>0.91557182109954049</v>
      </c>
      <c r="AY845" s="1948">
        <f ca="1">SUM(INDIRECT(AY$1&amp;AY$2&amp;$A845):INDIRECT(AY$1&amp;AY$3&amp;$A845))+SUM(INDIRECT(AY$1&amp;AY$2&amp;$B845):INDIRECT(AY$1&amp;AY$3&amp;$B845))</f>
        <v>5365</v>
      </c>
      <c r="AZ845" s="2786">
        <f t="shared" ca="1" si="1429"/>
        <v>-78</v>
      </c>
      <c r="BA845" s="2787">
        <f t="shared" ca="1" si="1430"/>
        <v>0.98546132339235792</v>
      </c>
      <c r="BC845" s="1948">
        <f ca="1">SUM((INDIRECT(BC$2&amp;(ROW())):INDIRECT(BC$3&amp;(ROW()))))</f>
        <v>5287</v>
      </c>
      <c r="BD845" s="1948">
        <f ca="1">SUM(INDIRECT(BD$1&amp;BD$2&amp;$C845):INDIRECT(BD$1&amp;BD$3&amp;$C845))</f>
        <v>5774.5333333333338</v>
      </c>
      <c r="BE845" s="2786">
        <f t="shared" ca="1" si="1431"/>
        <v>-487.53333333333376</v>
      </c>
      <c r="BF845" s="2787">
        <f t="shared" ca="1" si="1432"/>
        <v>0.91557182109954049</v>
      </c>
      <c r="BG845" s="1948">
        <f ca="1">SUM(INDIRECT(BG$1&amp;BG$2&amp;$A845):INDIRECT(BG$1&amp;BG$3&amp;$A845))+SUM(INDIRECT(BG$1&amp;BG$2&amp;$B845):INDIRECT(BG$1&amp;BG$3&amp;$B845))</f>
        <v>5365</v>
      </c>
      <c r="BH845" s="2786">
        <f t="shared" ca="1" si="1433"/>
        <v>-78</v>
      </c>
      <c r="BI845" s="2787">
        <f t="shared" ca="1" si="1434"/>
        <v>0.98546132339235792</v>
      </c>
    </row>
    <row r="846" spans="1:61" ht="14.5">
      <c r="A846" s="1693">
        <f t="shared" si="1370"/>
        <v>838</v>
      </c>
      <c r="B846" s="616">
        <v>1</v>
      </c>
      <c r="C846" s="1693">
        <f t="shared" si="1369"/>
        <v>846</v>
      </c>
      <c r="D846" s="616">
        <v>1</v>
      </c>
      <c r="E846" s="709" t="s">
        <v>512</v>
      </c>
      <c r="F846" s="69"/>
      <c r="G846" s="8"/>
      <c r="H846" s="8"/>
      <c r="J846" s="171"/>
      <c r="K846" s="11" t="s">
        <v>300</v>
      </c>
      <c r="L846" s="16"/>
      <c r="M846" s="16"/>
      <c r="N846" s="11"/>
      <c r="O846" s="11"/>
      <c r="P846" s="11"/>
      <c r="Q846" s="11"/>
      <c r="R846" s="1782" t="str">
        <f>CHOOSE(2, "6722000003757", "FC COGS (0) Total Included in COGS [D&amp;A]")</f>
        <v>FC COGS (0) Total Included in COGS [D&amp;A]</v>
      </c>
      <c r="S846" s="1228">
        <f>SUM(S851,S881,S866,S871,S876)</f>
        <v>0</v>
      </c>
      <c r="T846" s="1228">
        <f t="shared" si="1435"/>
        <v>0</v>
      </c>
      <c r="U846" s="1228">
        <f t="shared" si="1435"/>
        <v>0</v>
      </c>
      <c r="V846" s="1228">
        <f t="shared" si="1435"/>
        <v>0</v>
      </c>
      <c r="W846" s="1228">
        <f t="shared" si="1435"/>
        <v>0</v>
      </c>
      <c r="X846" s="1228">
        <f t="shared" si="1435"/>
        <v>0</v>
      </c>
      <c r="Y846" s="1228">
        <f t="shared" si="1435"/>
        <v>0</v>
      </c>
      <c r="Z846" s="1228">
        <f t="shared" si="1435"/>
        <v>0</v>
      </c>
      <c r="AA846" s="1228">
        <f t="shared" si="1435"/>
        <v>0</v>
      </c>
      <c r="AB846" s="1228">
        <f t="shared" si="1435"/>
        <v>0</v>
      </c>
      <c r="AC846" s="1228">
        <f t="shared" si="1435"/>
        <v>0</v>
      </c>
      <c r="AD846" s="1228">
        <f t="shared" si="1435"/>
        <v>0</v>
      </c>
      <c r="AE846" s="122">
        <f>SUM(S846,T846,U846)</f>
        <v>0</v>
      </c>
      <c r="AF846" s="123">
        <f>SUM(V846,W846,X846)</f>
        <v>0</v>
      </c>
      <c r="AG846" s="123">
        <f>SUM(Y846,Z846,AA846)</f>
        <v>0</v>
      </c>
      <c r="AH846" s="123">
        <f>SUM(AB846,AC846,AD846)</f>
        <v>0</v>
      </c>
      <c r="AI846" s="123">
        <f>AE846+AF846</f>
        <v>0</v>
      </c>
      <c r="AJ846" s="123">
        <f>AH846+AG846</f>
        <v>0</v>
      </c>
      <c r="AK846" s="123">
        <f>AI846+AJ846</f>
        <v>0</v>
      </c>
      <c r="AM846" s="1950">
        <f ca="1">SUM((INDIRECT(AM$2&amp;(ROW())):INDIRECT(AM$3&amp;(ROW()))))</f>
        <v>0</v>
      </c>
      <c r="AN846" s="1950">
        <f ca="1">SUM(INDIRECT(AN$1&amp;AN$2&amp;$C846):INDIRECT(AN$1&amp;AN$3&amp;$C846))</f>
        <v>0</v>
      </c>
      <c r="AO846" s="2715">
        <f t="shared" ca="1" si="1409"/>
        <v>0</v>
      </c>
      <c r="AP846" s="2716">
        <f t="shared" ca="1" si="1425"/>
        <v>0</v>
      </c>
      <c r="AQ846" s="1950">
        <f ca="1">SUM(INDIRECT(AQ$1&amp;AQ$2&amp;$A846):INDIRECT(AQ$1&amp;AQ$3&amp;$A846))+SUM(INDIRECT(AQ$1&amp;AQ$2&amp;$B846):INDIRECT(AQ$1&amp;AQ$3&amp;$B846))</f>
        <v>0</v>
      </c>
      <c r="AR846" s="2715">
        <f t="shared" ca="1" si="1410"/>
        <v>0</v>
      </c>
      <c r="AS846" s="2716">
        <f t="shared" ca="1" si="1426"/>
        <v>0</v>
      </c>
      <c r="AU846" s="1950">
        <f ca="1">SUM((INDIRECT(AU$2&amp;(ROW())):INDIRECT(AU$3&amp;(ROW()))))</f>
        <v>0</v>
      </c>
      <c r="AV846" s="1950">
        <f ca="1">SUM(INDIRECT(AV$1&amp;AV$2&amp;$C846):INDIRECT(AV$1&amp;AV$3&amp;$C846))</f>
        <v>0</v>
      </c>
      <c r="AW846" s="2715">
        <f t="shared" ca="1" si="1427"/>
        <v>0</v>
      </c>
      <c r="AX846" s="2716">
        <f t="shared" ca="1" si="1428"/>
        <v>0</v>
      </c>
      <c r="AY846" s="1950">
        <f ca="1">SUM(INDIRECT(AY$1&amp;AY$2&amp;$A846):INDIRECT(AY$1&amp;AY$3&amp;$A846))+SUM(INDIRECT(AY$1&amp;AY$2&amp;$B846):INDIRECT(AY$1&amp;AY$3&amp;$B846))</f>
        <v>0</v>
      </c>
      <c r="AZ846" s="2715">
        <f t="shared" ca="1" si="1429"/>
        <v>0</v>
      </c>
      <c r="BA846" s="2716">
        <f t="shared" ca="1" si="1430"/>
        <v>0</v>
      </c>
      <c r="BC846" s="1950">
        <f ca="1">SUM((INDIRECT(BC$2&amp;(ROW())):INDIRECT(BC$3&amp;(ROW()))))</f>
        <v>0</v>
      </c>
      <c r="BD846" s="1950">
        <f ca="1">SUM(INDIRECT(BD$1&amp;BD$2&amp;$C846):INDIRECT(BD$1&amp;BD$3&amp;$C846))</f>
        <v>0</v>
      </c>
      <c r="BE846" s="2715">
        <f t="shared" ca="1" si="1431"/>
        <v>0</v>
      </c>
      <c r="BF846" s="2716">
        <f t="shared" ca="1" si="1432"/>
        <v>0</v>
      </c>
      <c r="BG846" s="1950">
        <f ca="1">SUM(INDIRECT(BG$1&amp;BG$2&amp;$A846):INDIRECT(BG$1&amp;BG$3&amp;$A846))+SUM(INDIRECT(BG$1&amp;BG$2&amp;$B846):INDIRECT(BG$1&amp;BG$3&amp;$B846))</f>
        <v>0</v>
      </c>
      <c r="BH846" s="2715">
        <f t="shared" ca="1" si="1433"/>
        <v>0</v>
      </c>
      <c r="BI846" s="2716">
        <f t="shared" ca="1" si="1434"/>
        <v>0</v>
      </c>
    </row>
    <row r="847" spans="1:61" s="69" customFormat="1" ht="14.5">
      <c r="A847" s="1693">
        <f t="shared" si="1370"/>
        <v>839</v>
      </c>
      <c r="B847" s="616">
        <v>1</v>
      </c>
      <c r="C847" s="1693">
        <f t="shared" ref="C847:D878" si="1436">C846+1</f>
        <v>847</v>
      </c>
      <c r="D847" s="616">
        <v>1</v>
      </c>
      <c r="E847" s="709" t="s">
        <v>512</v>
      </c>
      <c r="F847" s="1572"/>
      <c r="G847" s="12"/>
      <c r="H847" s="8"/>
      <c r="I847" s="22"/>
      <c r="J847" s="1043" t="s">
        <v>795</v>
      </c>
      <c r="K847" s="1044"/>
      <c r="L847" s="1045"/>
      <c r="M847" s="1045"/>
      <c r="N847" s="1045"/>
      <c r="O847" s="1045"/>
      <c r="P847" s="1045"/>
      <c r="Q847" s="1046"/>
      <c r="R847" s="1816" t="str">
        <f>CHOOSE(2, "6722000003758", "FC COGS (1) Office TTL")</f>
        <v>FC COGS (1) Office TTL</v>
      </c>
      <c r="S847" s="1445">
        <f t="shared" ref="S847:AD847" si="1437">SUM(S848:S851)</f>
        <v>7422</v>
      </c>
      <c r="T847" s="1445">
        <f t="shared" si="1437"/>
        <v>8822.6180000000004</v>
      </c>
      <c r="U847" s="1445">
        <f t="shared" si="1437"/>
        <v>8195.2570000000014</v>
      </c>
      <c r="V847" s="1445">
        <f t="shared" si="1437"/>
        <v>8907</v>
      </c>
      <c r="W847" s="1445">
        <f t="shared" si="1437"/>
        <v>8591</v>
      </c>
      <c r="X847" s="1445">
        <f t="shared" si="1437"/>
        <v>9110.3826199999803</v>
      </c>
      <c r="Y847" s="1445">
        <f t="shared" si="1437"/>
        <v>8165.5444099999704</v>
      </c>
      <c r="Z847" s="1445">
        <f t="shared" si="1437"/>
        <v>9265.7403899999917</v>
      </c>
      <c r="AA847" s="1445">
        <f t="shared" si="1437"/>
        <v>10211.38565593796</v>
      </c>
      <c r="AB847" s="1445">
        <f t="shared" si="1437"/>
        <v>7033.8437317931748</v>
      </c>
      <c r="AC847" s="1445">
        <f t="shared" si="1437"/>
        <v>9632.3080720837934</v>
      </c>
      <c r="AD847" s="1445">
        <f t="shared" si="1437"/>
        <v>7475.3919387663118</v>
      </c>
      <c r="AE847" s="1048">
        <f t="shared" ref="AE847:AK847" si="1438">SUM(AE848:AE851)</f>
        <v>24439.875</v>
      </c>
      <c r="AF847" s="1047">
        <f t="shared" si="1438"/>
        <v>26608.382619999982</v>
      </c>
      <c r="AG847" s="1047">
        <f t="shared" si="1438"/>
        <v>27642.670455937921</v>
      </c>
      <c r="AH847" s="1047">
        <f t="shared" si="1438"/>
        <v>24141.54374264328</v>
      </c>
      <c r="AI847" s="1047">
        <f t="shared" si="1438"/>
        <v>51048.257619999975</v>
      </c>
      <c r="AJ847" s="1047">
        <f t="shared" si="1438"/>
        <v>51784.214198581205</v>
      </c>
      <c r="AK847" s="1047">
        <f t="shared" si="1438"/>
        <v>102832.47181858117</v>
      </c>
      <c r="AL847" s="8"/>
      <c r="AM847" s="2935">
        <f ca="1">SUM((INDIRECT(AM$2&amp;(ROW())):INDIRECT(AM$3&amp;(ROW()))))</f>
        <v>7422</v>
      </c>
      <c r="AN847" s="2935">
        <f ca="1">SUM(INDIRECT(AN$1&amp;AN$2&amp;$C847):INDIRECT(AN$1&amp;AN$3&amp;$C847))</f>
        <v>9023.0000000000018</v>
      </c>
      <c r="AO847" s="2936">
        <f t="shared" ca="1" si="1409"/>
        <v>-1601.0000000000018</v>
      </c>
      <c r="AP847" s="2937">
        <f t="shared" ca="1" si="1425"/>
        <v>0.82256455724260202</v>
      </c>
      <c r="AQ847" s="2935">
        <f ca="1">SUM(INDIRECT(AQ$1&amp;AQ$2&amp;$A847):INDIRECT(AQ$1&amp;AQ$3&amp;$A847))+SUM(INDIRECT(AQ$1&amp;AQ$2&amp;$B847):INDIRECT(AQ$1&amp;AQ$3&amp;$B847))</f>
        <v>7547</v>
      </c>
      <c r="AR847" s="2936">
        <f t="shared" ca="1" si="1410"/>
        <v>-125</v>
      </c>
      <c r="AS847" s="2937">
        <f t="shared" ca="1" si="1426"/>
        <v>0.98343712733536504</v>
      </c>
      <c r="AU847" s="2935">
        <f ca="1">SUM((INDIRECT(AU$2&amp;(ROW())):INDIRECT(AU$3&amp;(ROW()))))</f>
        <v>7422</v>
      </c>
      <c r="AV847" s="2935">
        <f ca="1">SUM(INDIRECT(AV$1&amp;AV$2&amp;$C847):INDIRECT(AV$1&amp;AV$3&amp;$C847))</f>
        <v>9023.0000000000018</v>
      </c>
      <c r="AW847" s="2936">
        <f t="shared" ca="1" si="1427"/>
        <v>-1601.0000000000018</v>
      </c>
      <c r="AX847" s="2937">
        <f t="shared" ca="1" si="1428"/>
        <v>0.82256455724260202</v>
      </c>
      <c r="AY847" s="2935">
        <f ca="1">SUM(INDIRECT(AY$1&amp;AY$2&amp;$A847):INDIRECT(AY$1&amp;AY$3&amp;$A847))+SUM(INDIRECT(AY$1&amp;AY$2&amp;$B847):INDIRECT(AY$1&amp;AY$3&amp;$B847))</f>
        <v>7547</v>
      </c>
      <c r="AZ847" s="2936">
        <f t="shared" ca="1" si="1429"/>
        <v>-125</v>
      </c>
      <c r="BA847" s="2937">
        <f t="shared" ca="1" si="1430"/>
        <v>0.98343712733536504</v>
      </c>
      <c r="BC847" s="2935">
        <f ca="1">SUM((INDIRECT(BC$2&amp;(ROW())):INDIRECT(BC$3&amp;(ROW()))))</f>
        <v>7422</v>
      </c>
      <c r="BD847" s="2935">
        <f ca="1">SUM(INDIRECT(BD$1&amp;BD$2&amp;$C847):INDIRECT(BD$1&amp;BD$3&amp;$C847))</f>
        <v>9023.0000000000018</v>
      </c>
      <c r="BE847" s="2936">
        <f t="shared" ca="1" si="1431"/>
        <v>-1601.0000000000018</v>
      </c>
      <c r="BF847" s="2937">
        <f t="shared" ca="1" si="1432"/>
        <v>0.82256455724260202</v>
      </c>
      <c r="BG847" s="2935">
        <f ca="1">SUM(INDIRECT(BG$1&amp;BG$2&amp;$A847):INDIRECT(BG$1&amp;BG$3&amp;$A847))+SUM(INDIRECT(BG$1&amp;BG$2&amp;$B847):INDIRECT(BG$1&amp;BG$3&amp;$B847))</f>
        <v>7547</v>
      </c>
      <c r="BH847" s="2936">
        <f t="shared" ca="1" si="1433"/>
        <v>-125</v>
      </c>
      <c r="BI847" s="2937">
        <f t="shared" ca="1" si="1434"/>
        <v>0.98343712733536504</v>
      </c>
    </row>
    <row r="848" spans="1:61" ht="14.5">
      <c r="A848" s="1693">
        <f t="shared" ref="A848:A911" si="1439">A847+1</f>
        <v>840</v>
      </c>
      <c r="B848" s="616">
        <v>1</v>
      </c>
      <c r="C848" s="1693">
        <f t="shared" si="1436"/>
        <v>848</v>
      </c>
      <c r="D848" s="616">
        <v>1</v>
      </c>
      <c r="E848" s="709" t="s">
        <v>512</v>
      </c>
      <c r="F848" s="1572"/>
      <c r="G848" s="12"/>
      <c r="H848" s="8"/>
      <c r="J848" s="223"/>
      <c r="K848" s="8" t="s">
        <v>220</v>
      </c>
      <c r="L848" s="8"/>
      <c r="M848" s="8"/>
      <c r="R848" s="1777" t="str">
        <f>CHOOSE(2, "6722000003759", "FC COGS Included in COGS [PC(Service)]")</f>
        <v>FC COGS Included in COGS [PC(Service)]</v>
      </c>
      <c r="S848" s="1226">
        <f>SUM(S853,S858)</f>
        <v>2422</v>
      </c>
      <c r="T848" s="1226">
        <f t="shared" ref="T848:AD851" si="1440">SUM(T853,T858)</f>
        <v>2618.6180000000004</v>
      </c>
      <c r="U848" s="1226">
        <f t="shared" si="1440"/>
        <v>2471.9240000000004</v>
      </c>
      <c r="V848" s="1226">
        <f t="shared" si="1440"/>
        <v>2661</v>
      </c>
      <c r="W848" s="1226">
        <f t="shared" si="1440"/>
        <v>2829</v>
      </c>
      <c r="X848" s="1226">
        <f t="shared" si="1440"/>
        <v>2631.6260000000002</v>
      </c>
      <c r="Y848" s="1226">
        <f t="shared" si="1440"/>
        <v>2606.5820000000003</v>
      </c>
      <c r="Z848" s="1226">
        <f t="shared" si="1440"/>
        <v>3074.2620000000002</v>
      </c>
      <c r="AA848" s="1226">
        <f t="shared" si="1440"/>
        <v>3111.2826655040903</v>
      </c>
      <c r="AB848" s="1226">
        <f t="shared" si="1440"/>
        <v>3260.459986524585</v>
      </c>
      <c r="AC848" s="1226">
        <f t="shared" si="1440"/>
        <v>3251.6815448073912</v>
      </c>
      <c r="AD848" s="1226">
        <f t="shared" si="1440"/>
        <v>3354.2091987372946</v>
      </c>
      <c r="AE848" s="1617">
        <f>SUM(S848,T848,U848)</f>
        <v>7512.5420000000013</v>
      </c>
      <c r="AF848" s="1419">
        <f>SUM(V848,W848,X848)</f>
        <v>8121.6260000000002</v>
      </c>
      <c r="AG848" s="1419">
        <f>SUM(Y848,Z848,AA848)</f>
        <v>8792.1266655040909</v>
      </c>
      <c r="AH848" s="1419">
        <f>SUM(AB848,AC848,AD848)</f>
        <v>9866.3507300692709</v>
      </c>
      <c r="AI848" s="1419">
        <f>AE848+AF848</f>
        <v>15634.168000000001</v>
      </c>
      <c r="AJ848" s="1419">
        <f>AH848+AG848</f>
        <v>18658.477395573362</v>
      </c>
      <c r="AK848" s="1419">
        <f>AI848+AJ848</f>
        <v>34292.64539557336</v>
      </c>
      <c r="AM848" s="1948">
        <f ca="1">SUM((INDIRECT(AM$2&amp;(ROW())):INDIRECT(AM$3&amp;(ROW()))))</f>
        <v>2422</v>
      </c>
      <c r="AN848" s="1948">
        <f ca="1">SUM(INDIRECT(AN$1&amp;AN$2&amp;$C848):INDIRECT(AN$1&amp;AN$3&amp;$C848))</f>
        <v>3131.8000000000006</v>
      </c>
      <c r="AO848" s="2786">
        <f t="shared" ca="1" si="1409"/>
        <v>-709.80000000000064</v>
      </c>
      <c r="AP848" s="2787">
        <f t="shared" ca="1" si="1425"/>
        <v>0.77335717478766186</v>
      </c>
      <c r="AQ848" s="1948">
        <f ca="1">SUM(INDIRECT(AQ$1&amp;AQ$2&amp;$A848):INDIRECT(AQ$1&amp;AQ$3&amp;$A848))+SUM(INDIRECT(AQ$1&amp;AQ$2&amp;$B848):INDIRECT(AQ$1&amp;AQ$3&amp;$B848))</f>
        <v>2501</v>
      </c>
      <c r="AR848" s="2786">
        <f t="shared" ca="1" si="1410"/>
        <v>-79</v>
      </c>
      <c r="AS848" s="2787">
        <f t="shared" ca="1" si="1426"/>
        <v>0.96841263494602159</v>
      </c>
      <c r="AU848" s="1948">
        <f ca="1">SUM((INDIRECT(AU$2&amp;(ROW())):INDIRECT(AU$3&amp;(ROW()))))</f>
        <v>2422</v>
      </c>
      <c r="AV848" s="1948">
        <f ca="1">SUM(INDIRECT(AV$1&amp;AV$2&amp;$C848):INDIRECT(AV$1&amp;AV$3&amp;$C848))</f>
        <v>3131.8000000000006</v>
      </c>
      <c r="AW848" s="2786">
        <f t="shared" ca="1" si="1427"/>
        <v>-709.80000000000064</v>
      </c>
      <c r="AX848" s="2787">
        <f t="shared" ca="1" si="1428"/>
        <v>0.77335717478766186</v>
      </c>
      <c r="AY848" s="1948">
        <f ca="1">SUM(INDIRECT(AY$1&amp;AY$2&amp;$A848):INDIRECT(AY$1&amp;AY$3&amp;$A848))+SUM(INDIRECT(AY$1&amp;AY$2&amp;$B848):INDIRECT(AY$1&amp;AY$3&amp;$B848))</f>
        <v>2501</v>
      </c>
      <c r="AZ848" s="2786">
        <f t="shared" ca="1" si="1429"/>
        <v>-79</v>
      </c>
      <c r="BA848" s="2787">
        <f t="shared" ca="1" si="1430"/>
        <v>0.96841263494602159</v>
      </c>
      <c r="BC848" s="1948">
        <f ca="1">SUM((INDIRECT(BC$2&amp;(ROW())):INDIRECT(BC$3&amp;(ROW()))))</f>
        <v>2422</v>
      </c>
      <c r="BD848" s="1948">
        <f ca="1">SUM(INDIRECT(BD$1&amp;BD$2&amp;$C848):INDIRECT(BD$1&amp;BD$3&amp;$C848))</f>
        <v>3131.8000000000006</v>
      </c>
      <c r="BE848" s="2786">
        <f t="shared" ca="1" si="1431"/>
        <v>-709.80000000000064</v>
      </c>
      <c r="BF848" s="2787">
        <f t="shared" ca="1" si="1432"/>
        <v>0.77335717478766186</v>
      </c>
      <c r="BG848" s="1948">
        <f ca="1">SUM(INDIRECT(BG$1&amp;BG$2&amp;$A848):INDIRECT(BG$1&amp;BG$3&amp;$A848))+SUM(INDIRECT(BG$1&amp;BG$2&amp;$B848):INDIRECT(BG$1&amp;BG$3&amp;$B848))</f>
        <v>2501</v>
      </c>
      <c r="BH848" s="2786">
        <f t="shared" ca="1" si="1433"/>
        <v>-79</v>
      </c>
      <c r="BI848" s="2787">
        <f t="shared" ca="1" si="1434"/>
        <v>0.96841263494602159</v>
      </c>
    </row>
    <row r="849" spans="1:61" ht="14.5">
      <c r="A849" s="1693">
        <f t="shared" si="1439"/>
        <v>841</v>
      </c>
      <c r="B849" s="616">
        <v>1</v>
      </c>
      <c r="C849" s="1693">
        <f t="shared" si="1436"/>
        <v>849</v>
      </c>
      <c r="D849" s="616">
        <v>1</v>
      </c>
      <c r="E849" s="709" t="s">
        <v>512</v>
      </c>
      <c r="F849" s="69"/>
      <c r="G849" s="12"/>
      <c r="H849" s="8"/>
      <c r="J849" s="223"/>
      <c r="K849" s="8" t="s">
        <v>221</v>
      </c>
      <c r="L849" s="8"/>
      <c r="M849" s="8"/>
      <c r="R849" s="1777" t="str">
        <f>CHOOSE(2, "6722000003760", "FC COGS Included in COGS [TE(Service)]")</f>
        <v>FC COGS Included in COGS [TE(Service)]</v>
      </c>
      <c r="S849" s="1226">
        <f>SUM(S854,S859)</f>
        <v>0</v>
      </c>
      <c r="T849" s="1226">
        <f t="shared" si="1440"/>
        <v>204</v>
      </c>
      <c r="U849" s="1226">
        <f t="shared" si="1440"/>
        <v>323.33300000000003</v>
      </c>
      <c r="V849" s="1226">
        <f t="shared" si="1440"/>
        <v>415</v>
      </c>
      <c r="W849" s="1226">
        <f t="shared" si="1440"/>
        <v>462</v>
      </c>
      <c r="X849" s="1226">
        <f t="shared" si="1440"/>
        <v>564.43799999999999</v>
      </c>
      <c r="Y849" s="1226">
        <f t="shared" si="1440"/>
        <v>358.98099999999999</v>
      </c>
      <c r="Z849" s="1226">
        <f t="shared" si="1440"/>
        <v>541.23800000000006</v>
      </c>
      <c r="AA849" s="1226">
        <f t="shared" si="1440"/>
        <v>604.28751043389059</v>
      </c>
      <c r="AB849" s="1226">
        <f t="shared" si="1440"/>
        <v>556.021665268623</v>
      </c>
      <c r="AC849" s="1226">
        <f t="shared" si="1440"/>
        <v>558.14017727644409</v>
      </c>
      <c r="AD849" s="1226">
        <f t="shared" si="1440"/>
        <v>585.7022100290169</v>
      </c>
      <c r="AE849" s="1617">
        <f>SUM(S849,T849,U849)</f>
        <v>527.33300000000008</v>
      </c>
      <c r="AF849" s="1419">
        <f>SUM(V849,W849,X849)</f>
        <v>1441.4380000000001</v>
      </c>
      <c r="AG849" s="1419">
        <f>SUM(Y849,Z849,AA849)</f>
        <v>1504.5065104338905</v>
      </c>
      <c r="AH849" s="1419">
        <f>SUM(AB849,AC849,AD849)</f>
        <v>1699.8640525740839</v>
      </c>
      <c r="AI849" s="1419">
        <f>AE849+AF849</f>
        <v>1968.7710000000002</v>
      </c>
      <c r="AJ849" s="1419">
        <f>AH849+AG849</f>
        <v>3204.3705630079744</v>
      </c>
      <c r="AK849" s="1419">
        <f>AI849+AJ849</f>
        <v>5173.1415630079746</v>
      </c>
      <c r="AL849" s="69"/>
      <c r="AM849" s="1948">
        <f ca="1">SUM((INDIRECT(AM$2&amp;(ROW())):INDIRECT(AM$3&amp;(ROW()))))</f>
        <v>0</v>
      </c>
      <c r="AN849" s="1948">
        <f ca="1">SUM(INDIRECT(AN$1&amp;AN$2&amp;$C849):INDIRECT(AN$1&amp;AN$3&amp;$C849))</f>
        <v>400</v>
      </c>
      <c r="AO849" s="2786">
        <f t="shared" ca="1" si="1409"/>
        <v>-400</v>
      </c>
      <c r="AP849" s="2787">
        <f t="shared" ca="1" si="1425"/>
        <v>0</v>
      </c>
      <c r="AQ849" s="1948">
        <f ca="1">SUM(INDIRECT(AQ$1&amp;AQ$2&amp;$A849):INDIRECT(AQ$1&amp;AQ$3&amp;$A849))+SUM(INDIRECT(AQ$1&amp;AQ$2&amp;$B849):INDIRECT(AQ$1&amp;AQ$3&amp;$B849))</f>
        <v>0</v>
      </c>
      <c r="AR849" s="2786">
        <f t="shared" ca="1" si="1410"/>
        <v>0</v>
      </c>
      <c r="AS849" s="2787">
        <f t="shared" ca="1" si="1426"/>
        <v>0</v>
      </c>
      <c r="AU849" s="1948">
        <f ca="1">SUM((INDIRECT(AU$2&amp;(ROW())):INDIRECT(AU$3&amp;(ROW()))))</f>
        <v>0</v>
      </c>
      <c r="AV849" s="1948">
        <f ca="1">SUM(INDIRECT(AV$1&amp;AV$2&amp;$C849):INDIRECT(AV$1&amp;AV$3&amp;$C849))</f>
        <v>400</v>
      </c>
      <c r="AW849" s="2786">
        <f t="shared" ca="1" si="1427"/>
        <v>-400</v>
      </c>
      <c r="AX849" s="2787">
        <f t="shared" ca="1" si="1428"/>
        <v>0</v>
      </c>
      <c r="AY849" s="1948">
        <f ca="1">SUM(INDIRECT(AY$1&amp;AY$2&amp;$A849):INDIRECT(AY$1&amp;AY$3&amp;$A849))+SUM(INDIRECT(AY$1&amp;AY$2&amp;$B849):INDIRECT(AY$1&amp;AY$3&amp;$B849))</f>
        <v>0</v>
      </c>
      <c r="AZ849" s="2786">
        <f t="shared" ca="1" si="1429"/>
        <v>0</v>
      </c>
      <c r="BA849" s="2787">
        <f t="shared" ca="1" si="1430"/>
        <v>0</v>
      </c>
      <c r="BC849" s="1948">
        <f ca="1">SUM((INDIRECT(BC$2&amp;(ROW())):INDIRECT(BC$3&amp;(ROW()))))</f>
        <v>0</v>
      </c>
      <c r="BD849" s="1948">
        <f ca="1">SUM(INDIRECT(BD$1&amp;BD$2&amp;$C849):INDIRECT(BD$1&amp;BD$3&amp;$C849))</f>
        <v>400</v>
      </c>
      <c r="BE849" s="2786">
        <f t="shared" ca="1" si="1431"/>
        <v>-400</v>
      </c>
      <c r="BF849" s="2787">
        <f t="shared" ca="1" si="1432"/>
        <v>0</v>
      </c>
      <c r="BG849" s="1948">
        <f ca="1">SUM(INDIRECT(BG$1&amp;BG$2&amp;$A849):INDIRECT(BG$1&amp;BG$3&amp;$A849))+SUM(INDIRECT(BG$1&amp;BG$2&amp;$B849):INDIRECT(BG$1&amp;BG$3&amp;$B849))</f>
        <v>0</v>
      </c>
      <c r="BH849" s="2786">
        <f t="shared" ca="1" si="1433"/>
        <v>0</v>
      </c>
      <c r="BI849" s="2787">
        <f t="shared" ca="1" si="1434"/>
        <v>0</v>
      </c>
    </row>
    <row r="850" spans="1:61" ht="14.5">
      <c r="A850" s="1693">
        <f t="shared" si="1439"/>
        <v>842</v>
      </c>
      <c r="B850" s="616">
        <v>1</v>
      </c>
      <c r="C850" s="1693">
        <f t="shared" si="1436"/>
        <v>850</v>
      </c>
      <c r="D850" s="616">
        <v>1</v>
      </c>
      <c r="E850" s="709" t="s">
        <v>512</v>
      </c>
      <c r="F850" s="1572"/>
      <c r="G850" s="12"/>
      <c r="H850" s="8"/>
      <c r="J850" s="223"/>
      <c r="K850" s="8" t="s">
        <v>222</v>
      </c>
      <c r="R850" s="1782" t="str">
        <f>CHOOSE(2, "6722000003761", "FC COGS Included in COGS [OFC(Service)]")</f>
        <v>FC COGS Included in COGS [OFC(Service)]</v>
      </c>
      <c r="S850" s="1226">
        <f>SUM(S855,S860)</f>
        <v>5000</v>
      </c>
      <c r="T850" s="1226">
        <f t="shared" si="1440"/>
        <v>6000</v>
      </c>
      <c r="U850" s="1226">
        <f t="shared" si="1440"/>
        <v>5400</v>
      </c>
      <c r="V850" s="1226">
        <f t="shared" si="1440"/>
        <v>5831</v>
      </c>
      <c r="W850" s="1226">
        <f t="shared" si="1440"/>
        <v>5300</v>
      </c>
      <c r="X850" s="1226">
        <f t="shared" si="1440"/>
        <v>5914.31861999998</v>
      </c>
      <c r="Y850" s="1226">
        <f t="shared" si="1440"/>
        <v>5199.9814099999703</v>
      </c>
      <c r="Z850" s="1226">
        <f t="shared" si="1440"/>
        <v>5650.2403899999908</v>
      </c>
      <c r="AA850" s="1226">
        <f t="shared" si="1440"/>
        <v>6495.8154799999784</v>
      </c>
      <c r="AB850" s="1226">
        <f t="shared" si="1440"/>
        <v>3217.3620799999667</v>
      </c>
      <c r="AC850" s="1226">
        <f t="shared" si="1440"/>
        <v>5822.4863499999592</v>
      </c>
      <c r="AD850" s="1226">
        <f t="shared" si="1440"/>
        <v>3535.4805299999998</v>
      </c>
      <c r="AE850" s="125">
        <f>SUM(S850,T850,U850)</f>
        <v>16400</v>
      </c>
      <c r="AF850" s="126">
        <f>SUM(V850,W850,X850)</f>
        <v>17045.31861999998</v>
      </c>
      <c r="AG850" s="126">
        <f>SUM(Y850,Z850,AA850)</f>
        <v>17346.037279999939</v>
      </c>
      <c r="AH850" s="126">
        <f>SUM(AB850,AC850,AD850)</f>
        <v>12575.328959999926</v>
      </c>
      <c r="AI850" s="126">
        <f>AE850+AF850</f>
        <v>33445.318619999976</v>
      </c>
      <c r="AJ850" s="126">
        <f>AH850+AG850</f>
        <v>29921.366239999865</v>
      </c>
      <c r="AK850" s="126">
        <f>AI850+AJ850</f>
        <v>63366.684859999841</v>
      </c>
      <c r="AM850" s="1948">
        <f ca="1">SUM((INDIRECT(AM$2&amp;(ROW())):INDIRECT(AM$3&amp;(ROW()))))</f>
        <v>5000</v>
      </c>
      <c r="AN850" s="1948">
        <f ca="1">SUM(INDIRECT(AN$1&amp;AN$2&amp;$C850):INDIRECT(AN$1&amp;AN$3&amp;$C850))</f>
        <v>5491.2000000000007</v>
      </c>
      <c r="AO850" s="2786">
        <f t="shared" ca="1" si="1409"/>
        <v>-491.20000000000073</v>
      </c>
      <c r="AP850" s="2787">
        <f t="shared" ca="1" si="1425"/>
        <v>0.91054778554778548</v>
      </c>
      <c r="AQ850" s="1948">
        <f ca="1">SUM(INDIRECT(AQ$1&amp;AQ$2&amp;$A850):INDIRECT(AQ$1&amp;AQ$3&amp;$A850))+SUM(INDIRECT(AQ$1&amp;AQ$2&amp;$B850):INDIRECT(AQ$1&amp;AQ$3&amp;$B850))</f>
        <v>5046</v>
      </c>
      <c r="AR850" s="2786">
        <f t="shared" ca="1" si="1410"/>
        <v>-46</v>
      </c>
      <c r="AS850" s="2787">
        <f t="shared" ca="1" si="1426"/>
        <v>0.99088386841062226</v>
      </c>
      <c r="AU850" s="1948">
        <f ca="1">SUM((INDIRECT(AU$2&amp;(ROW())):INDIRECT(AU$3&amp;(ROW()))))</f>
        <v>5000</v>
      </c>
      <c r="AV850" s="1948">
        <f ca="1">SUM(INDIRECT(AV$1&amp;AV$2&amp;$C850):INDIRECT(AV$1&amp;AV$3&amp;$C850))</f>
        <v>5491.2000000000007</v>
      </c>
      <c r="AW850" s="2786">
        <f t="shared" ca="1" si="1427"/>
        <v>-491.20000000000073</v>
      </c>
      <c r="AX850" s="2787">
        <f t="shared" ca="1" si="1428"/>
        <v>0.91054778554778548</v>
      </c>
      <c r="AY850" s="1948">
        <f ca="1">SUM(INDIRECT(AY$1&amp;AY$2&amp;$A850):INDIRECT(AY$1&amp;AY$3&amp;$A850))+SUM(INDIRECT(AY$1&amp;AY$2&amp;$B850):INDIRECT(AY$1&amp;AY$3&amp;$B850))</f>
        <v>5046</v>
      </c>
      <c r="AZ850" s="2786">
        <f t="shared" ca="1" si="1429"/>
        <v>-46</v>
      </c>
      <c r="BA850" s="2787">
        <f t="shared" ca="1" si="1430"/>
        <v>0.99088386841062226</v>
      </c>
      <c r="BC850" s="1948">
        <f ca="1">SUM((INDIRECT(BC$2&amp;(ROW())):INDIRECT(BC$3&amp;(ROW()))))</f>
        <v>5000</v>
      </c>
      <c r="BD850" s="1948">
        <f ca="1">SUM(INDIRECT(BD$1&amp;BD$2&amp;$C850):INDIRECT(BD$1&amp;BD$3&amp;$C850))</f>
        <v>5491.2000000000007</v>
      </c>
      <c r="BE850" s="2786">
        <f t="shared" ca="1" si="1431"/>
        <v>-491.20000000000073</v>
      </c>
      <c r="BF850" s="2787">
        <f t="shared" ca="1" si="1432"/>
        <v>0.91054778554778548</v>
      </c>
      <c r="BG850" s="1948">
        <f ca="1">SUM(INDIRECT(BG$1&amp;BG$2&amp;$A850):INDIRECT(BG$1&amp;BG$3&amp;$A850))+SUM(INDIRECT(BG$1&amp;BG$2&amp;$B850):INDIRECT(BG$1&amp;BG$3&amp;$B850))</f>
        <v>5046</v>
      </c>
      <c r="BH850" s="2786">
        <f t="shared" ca="1" si="1433"/>
        <v>-46</v>
      </c>
      <c r="BI850" s="2787">
        <f t="shared" ca="1" si="1434"/>
        <v>0.99088386841062226</v>
      </c>
    </row>
    <row r="851" spans="1:61" ht="14.5">
      <c r="A851" s="1693">
        <f t="shared" si="1439"/>
        <v>843</v>
      </c>
      <c r="B851" s="616">
        <v>1</v>
      </c>
      <c r="C851" s="1693">
        <f t="shared" si="1436"/>
        <v>851</v>
      </c>
      <c r="D851" s="616">
        <v>1</v>
      </c>
      <c r="E851" s="709" t="s">
        <v>512</v>
      </c>
      <c r="F851" s="69"/>
      <c r="G851" s="12"/>
      <c r="H851" s="8"/>
      <c r="J851" s="223"/>
      <c r="K851" s="285" t="s">
        <v>300</v>
      </c>
      <c r="L851" s="1034"/>
      <c r="M851" s="1034"/>
      <c r="N851" s="285"/>
      <c r="O851" s="285"/>
      <c r="P851" s="285"/>
      <c r="Q851" s="285"/>
      <c r="R851" s="1782" t="str">
        <f>CHOOSE(2, "6722000003762", "FC COGS Included in COGS [D&amp;A]")</f>
        <v>FC COGS Included in COGS [D&amp;A]</v>
      </c>
      <c r="S851" s="1248">
        <f>SUM(S856,S861)</f>
        <v>0</v>
      </c>
      <c r="T851" s="1248">
        <f t="shared" si="1440"/>
        <v>0</v>
      </c>
      <c r="U851" s="1248">
        <f t="shared" si="1440"/>
        <v>0</v>
      </c>
      <c r="V851" s="1248">
        <f t="shared" si="1440"/>
        <v>0</v>
      </c>
      <c r="W851" s="1248">
        <f t="shared" si="1440"/>
        <v>0</v>
      </c>
      <c r="X851" s="1248">
        <f t="shared" si="1440"/>
        <v>0</v>
      </c>
      <c r="Y851" s="1248">
        <f t="shared" si="1440"/>
        <v>0</v>
      </c>
      <c r="Z851" s="1248">
        <f t="shared" si="1440"/>
        <v>0</v>
      </c>
      <c r="AA851" s="1248">
        <f t="shared" si="1440"/>
        <v>0</v>
      </c>
      <c r="AB851" s="1248">
        <f t="shared" si="1440"/>
        <v>0</v>
      </c>
      <c r="AC851" s="1248">
        <f t="shared" si="1440"/>
        <v>0</v>
      </c>
      <c r="AD851" s="1248">
        <f t="shared" si="1440"/>
        <v>0</v>
      </c>
      <c r="AE851" s="1035">
        <f>SUM(S851,T851,U851)</f>
        <v>0</v>
      </c>
      <c r="AF851" s="975">
        <f>SUM(V851,W851,X851)</f>
        <v>0</v>
      </c>
      <c r="AG851" s="975">
        <f>SUM(Y851,Z851,AA851)</f>
        <v>0</v>
      </c>
      <c r="AH851" s="975">
        <f>SUM(AB851,AC851,AD851)</f>
        <v>0</v>
      </c>
      <c r="AI851" s="975">
        <f>AE851+AF851</f>
        <v>0</v>
      </c>
      <c r="AJ851" s="975">
        <f>AH851+AG851</f>
        <v>0</v>
      </c>
      <c r="AK851" s="975">
        <f>AI851+AJ851</f>
        <v>0</v>
      </c>
      <c r="AM851" s="1950">
        <f ca="1">SUM((INDIRECT(AM$2&amp;(ROW())):INDIRECT(AM$3&amp;(ROW()))))</f>
        <v>0</v>
      </c>
      <c r="AN851" s="1950">
        <f ca="1">SUM(INDIRECT(AN$1&amp;AN$2&amp;$C851):INDIRECT(AN$1&amp;AN$3&amp;$C851))</f>
        <v>0</v>
      </c>
      <c r="AO851" s="2715">
        <f t="shared" ca="1" si="1409"/>
        <v>0</v>
      </c>
      <c r="AP851" s="2716">
        <f t="shared" ca="1" si="1425"/>
        <v>0</v>
      </c>
      <c r="AQ851" s="1950">
        <f ca="1">SUM(INDIRECT(AQ$1&amp;AQ$2&amp;$A851):INDIRECT(AQ$1&amp;AQ$3&amp;$A851))+SUM(INDIRECT(AQ$1&amp;AQ$2&amp;$B851):INDIRECT(AQ$1&amp;AQ$3&amp;$B851))</f>
        <v>0</v>
      </c>
      <c r="AR851" s="2715">
        <f t="shared" ca="1" si="1410"/>
        <v>0</v>
      </c>
      <c r="AS851" s="2716">
        <f t="shared" ca="1" si="1426"/>
        <v>0</v>
      </c>
      <c r="AU851" s="1950">
        <f ca="1">SUM((INDIRECT(AU$2&amp;(ROW())):INDIRECT(AU$3&amp;(ROW()))))</f>
        <v>0</v>
      </c>
      <c r="AV851" s="1950">
        <f ca="1">SUM(INDIRECT(AV$1&amp;AV$2&amp;$C851):INDIRECT(AV$1&amp;AV$3&amp;$C851))</f>
        <v>0</v>
      </c>
      <c r="AW851" s="2715">
        <f t="shared" ca="1" si="1427"/>
        <v>0</v>
      </c>
      <c r="AX851" s="2716">
        <f t="shared" ca="1" si="1428"/>
        <v>0</v>
      </c>
      <c r="AY851" s="1950">
        <f ca="1">SUM(INDIRECT(AY$1&amp;AY$2&amp;$A851):INDIRECT(AY$1&amp;AY$3&amp;$A851))+SUM(INDIRECT(AY$1&amp;AY$2&amp;$B851):INDIRECT(AY$1&amp;AY$3&amp;$B851))</f>
        <v>0</v>
      </c>
      <c r="AZ851" s="2715">
        <f t="shared" ca="1" si="1429"/>
        <v>0</v>
      </c>
      <c r="BA851" s="2716">
        <f t="shared" ca="1" si="1430"/>
        <v>0</v>
      </c>
      <c r="BC851" s="1950">
        <f ca="1">SUM((INDIRECT(BC$2&amp;(ROW())):INDIRECT(BC$3&amp;(ROW()))))</f>
        <v>0</v>
      </c>
      <c r="BD851" s="1950">
        <f ca="1">SUM(INDIRECT(BD$1&amp;BD$2&amp;$C851):INDIRECT(BD$1&amp;BD$3&amp;$C851))</f>
        <v>0</v>
      </c>
      <c r="BE851" s="2715">
        <f t="shared" ca="1" si="1431"/>
        <v>0</v>
      </c>
      <c r="BF851" s="2716">
        <f t="shared" ca="1" si="1432"/>
        <v>0</v>
      </c>
      <c r="BG851" s="1950">
        <f ca="1">SUM(INDIRECT(BG$1&amp;BG$2&amp;$A851):INDIRECT(BG$1&amp;BG$3&amp;$A851))+SUM(INDIRECT(BG$1&amp;BG$2&amp;$B851):INDIRECT(BG$1&amp;BG$3&amp;$B851))</f>
        <v>0</v>
      </c>
      <c r="BH851" s="2715">
        <f t="shared" ca="1" si="1433"/>
        <v>0</v>
      </c>
      <c r="BI851" s="2716">
        <f t="shared" ca="1" si="1434"/>
        <v>0</v>
      </c>
    </row>
    <row r="852" spans="1:61" s="69" customFormat="1" ht="14.5">
      <c r="A852" s="1693">
        <f t="shared" si="1439"/>
        <v>844</v>
      </c>
      <c r="B852" s="616">
        <v>1</v>
      </c>
      <c r="C852" s="1693">
        <f t="shared" si="1436"/>
        <v>852</v>
      </c>
      <c r="D852" s="616">
        <v>1</v>
      </c>
      <c r="E852" s="709" t="s">
        <v>512</v>
      </c>
      <c r="F852" s="1572"/>
      <c r="G852" s="8"/>
      <c r="H852" s="8"/>
      <c r="I852" s="22"/>
      <c r="J852" s="223"/>
      <c r="K852" s="1036" t="s">
        <v>797</v>
      </c>
      <c r="L852" s="1037"/>
      <c r="M852" s="1037"/>
      <c r="N852" s="1037"/>
      <c r="O852" s="1037"/>
      <c r="P852" s="1037"/>
      <c r="Q852" s="1038"/>
      <c r="R852" s="1813" t="str">
        <f>CHOOSE(2, "6722000003763", "FC COGS (1)-1. Office")</f>
        <v>FC COGS (1)-1. Office</v>
      </c>
      <c r="S852" s="1444">
        <f>SUM(S853:S856)</f>
        <v>7422</v>
      </c>
      <c r="T852" s="1444">
        <f t="shared" ref="T852:AD852" si="1441">SUM(T853:T856)</f>
        <v>8822.6180000000004</v>
      </c>
      <c r="U852" s="1444">
        <f t="shared" si="1441"/>
        <v>8195.2570000000014</v>
      </c>
      <c r="V852" s="1444">
        <f t="shared" si="1441"/>
        <v>8907</v>
      </c>
      <c r="W852" s="1444">
        <f t="shared" si="1441"/>
        <v>8591</v>
      </c>
      <c r="X852" s="1444">
        <f t="shared" si="1441"/>
        <v>9110.3826199999803</v>
      </c>
      <c r="Y852" s="1444">
        <f t="shared" si="1441"/>
        <v>8165.5444099999704</v>
      </c>
      <c r="Z852" s="1444">
        <f t="shared" si="1441"/>
        <v>9265.7403899999917</v>
      </c>
      <c r="AA852" s="1444">
        <f t="shared" si="1441"/>
        <v>10211.38565593796</v>
      </c>
      <c r="AB852" s="1444">
        <f t="shared" si="1441"/>
        <v>7033.8437317931748</v>
      </c>
      <c r="AC852" s="1444">
        <f t="shared" si="1441"/>
        <v>9632.3080720837934</v>
      </c>
      <c r="AD852" s="1444">
        <f t="shared" si="1441"/>
        <v>7475.3919387663118</v>
      </c>
      <c r="AE852" s="1033">
        <f t="shared" ref="AE852:AK852" si="1442">SUM(AE853:AE856)</f>
        <v>24439.875</v>
      </c>
      <c r="AF852" s="1444">
        <f t="shared" si="1442"/>
        <v>26608.382619999982</v>
      </c>
      <c r="AG852" s="1444">
        <f t="shared" si="1442"/>
        <v>27642.670455937921</v>
      </c>
      <c r="AH852" s="1444">
        <f t="shared" si="1442"/>
        <v>24141.54374264328</v>
      </c>
      <c r="AI852" s="1444">
        <f t="shared" si="1442"/>
        <v>51048.257619999975</v>
      </c>
      <c r="AJ852" s="1444">
        <f t="shared" si="1442"/>
        <v>51784.214198581205</v>
      </c>
      <c r="AK852" s="1444">
        <f t="shared" si="1442"/>
        <v>102832.47181858117</v>
      </c>
      <c r="AL852" s="8"/>
      <c r="AM852" s="2935">
        <f ca="1">SUM((INDIRECT(AM$2&amp;(ROW())):INDIRECT(AM$3&amp;(ROW()))))</f>
        <v>7422</v>
      </c>
      <c r="AN852" s="2935">
        <f ca="1">SUM(INDIRECT(AN$1&amp;AN$2&amp;$C852):INDIRECT(AN$1&amp;AN$3&amp;$C852))</f>
        <v>9023.0000000000018</v>
      </c>
      <c r="AO852" s="2936">
        <f t="shared" ca="1" si="1409"/>
        <v>-1601.0000000000018</v>
      </c>
      <c r="AP852" s="2937">
        <f t="shared" ca="1" si="1425"/>
        <v>0.82256455724260202</v>
      </c>
      <c r="AQ852" s="2935">
        <f ca="1">SUM(INDIRECT(AQ$1&amp;AQ$2&amp;$A852):INDIRECT(AQ$1&amp;AQ$3&amp;$A852))+SUM(INDIRECT(AQ$1&amp;AQ$2&amp;$B852):INDIRECT(AQ$1&amp;AQ$3&amp;$B852))</f>
        <v>7547</v>
      </c>
      <c r="AR852" s="2936">
        <f t="shared" ca="1" si="1410"/>
        <v>-125</v>
      </c>
      <c r="AS852" s="2937">
        <f t="shared" ca="1" si="1426"/>
        <v>0.98343712733536504</v>
      </c>
      <c r="AU852" s="2935">
        <f ca="1">SUM((INDIRECT(AU$2&amp;(ROW())):INDIRECT(AU$3&amp;(ROW()))))</f>
        <v>7422</v>
      </c>
      <c r="AV852" s="2935">
        <f ca="1">SUM(INDIRECT(AV$1&amp;AV$2&amp;$C852):INDIRECT(AV$1&amp;AV$3&amp;$C852))</f>
        <v>9023.0000000000018</v>
      </c>
      <c r="AW852" s="2936">
        <f t="shared" ca="1" si="1427"/>
        <v>-1601.0000000000018</v>
      </c>
      <c r="AX852" s="2937">
        <f t="shared" ca="1" si="1428"/>
        <v>0.82256455724260202</v>
      </c>
      <c r="AY852" s="2935">
        <f ca="1">SUM(INDIRECT(AY$1&amp;AY$2&amp;$A852):INDIRECT(AY$1&amp;AY$3&amp;$A852))+SUM(INDIRECT(AY$1&amp;AY$2&amp;$B852):INDIRECT(AY$1&amp;AY$3&amp;$B852))</f>
        <v>7547</v>
      </c>
      <c r="AZ852" s="2936">
        <f t="shared" ca="1" si="1429"/>
        <v>-125</v>
      </c>
      <c r="BA852" s="2937">
        <f t="shared" ca="1" si="1430"/>
        <v>0.98343712733536504</v>
      </c>
      <c r="BC852" s="2935">
        <f ca="1">SUM((INDIRECT(BC$2&amp;(ROW())):INDIRECT(BC$3&amp;(ROW()))))</f>
        <v>7422</v>
      </c>
      <c r="BD852" s="2935">
        <f ca="1">SUM(INDIRECT(BD$1&amp;BD$2&amp;$C852):INDIRECT(BD$1&amp;BD$3&amp;$C852))</f>
        <v>9023.0000000000018</v>
      </c>
      <c r="BE852" s="2936">
        <f t="shared" ca="1" si="1431"/>
        <v>-1601.0000000000018</v>
      </c>
      <c r="BF852" s="2937">
        <f t="shared" ca="1" si="1432"/>
        <v>0.82256455724260202</v>
      </c>
      <c r="BG852" s="2935">
        <f ca="1">SUM(INDIRECT(BG$1&amp;BG$2&amp;$A852):INDIRECT(BG$1&amp;BG$3&amp;$A852))+SUM(INDIRECT(BG$1&amp;BG$2&amp;$B852):INDIRECT(BG$1&amp;BG$3&amp;$B852))</f>
        <v>7547</v>
      </c>
      <c r="BH852" s="2936">
        <f t="shared" ca="1" si="1433"/>
        <v>-125</v>
      </c>
      <c r="BI852" s="2937">
        <f t="shared" ca="1" si="1434"/>
        <v>0.98343712733536504</v>
      </c>
    </row>
    <row r="853" spans="1:61" ht="14.5">
      <c r="A853" s="1693">
        <f t="shared" si="1439"/>
        <v>845</v>
      </c>
      <c r="B853" s="616">
        <v>1</v>
      </c>
      <c r="C853" s="1693">
        <f t="shared" si="1436"/>
        <v>853</v>
      </c>
      <c r="D853" s="616">
        <v>1</v>
      </c>
      <c r="E853" s="709" t="s">
        <v>512</v>
      </c>
      <c r="F853" s="1572"/>
      <c r="G853" s="8"/>
      <c r="H853" s="8"/>
      <c r="J853" s="223"/>
      <c r="K853" s="1039"/>
      <c r="L853" s="8" t="s">
        <v>595</v>
      </c>
      <c r="M853" s="8"/>
      <c r="Q853" s="1219"/>
      <c r="R853" s="1777" t="str">
        <f>CHOOSE(2, "6722000003764", "FC COGS (1)-1. Office Included in COGS [PC(Service)]")</f>
        <v>FC COGS (1)-1. Office Included in COGS [PC(Service)]</v>
      </c>
      <c r="S853" s="1226">
        <f t="shared" ref="S853:AD853" si="1443">(S510+S514+S534+S538)*-1</f>
        <v>2422</v>
      </c>
      <c r="T853" s="1226">
        <f t="shared" si="1443"/>
        <v>2618.6180000000004</v>
      </c>
      <c r="U853" s="1226">
        <f t="shared" si="1443"/>
        <v>2471.9240000000004</v>
      </c>
      <c r="V853" s="1226">
        <f t="shared" si="1443"/>
        <v>2661</v>
      </c>
      <c r="W853" s="1226">
        <f t="shared" si="1443"/>
        <v>2829</v>
      </c>
      <c r="X853" s="1226">
        <f t="shared" si="1443"/>
        <v>2631.6260000000002</v>
      </c>
      <c r="Y853" s="1226">
        <f t="shared" si="1443"/>
        <v>2606.5820000000003</v>
      </c>
      <c r="Z853" s="1226">
        <f t="shared" si="1443"/>
        <v>3074.2620000000002</v>
      </c>
      <c r="AA853" s="1226">
        <f t="shared" si="1443"/>
        <v>3111.2826655040903</v>
      </c>
      <c r="AB853" s="1226">
        <f t="shared" si="1443"/>
        <v>3260.459986524585</v>
      </c>
      <c r="AC853" s="1226">
        <f t="shared" si="1443"/>
        <v>3251.6815448073912</v>
      </c>
      <c r="AD853" s="1226">
        <f t="shared" si="1443"/>
        <v>3354.2091987372946</v>
      </c>
      <c r="AE853" s="1617">
        <f>SUM(S853,T853,U853)</f>
        <v>7512.5420000000013</v>
      </c>
      <c r="AF853" s="1419">
        <f>SUM(V853,W853,X853)</f>
        <v>8121.6260000000002</v>
      </c>
      <c r="AG853" s="1419">
        <f>SUM(Y853,Z853,AA853)</f>
        <v>8792.1266655040909</v>
      </c>
      <c r="AH853" s="1419">
        <f>SUM(AB853,AC853,AD853)</f>
        <v>9866.3507300692709</v>
      </c>
      <c r="AI853" s="1419">
        <f>AE853+AF853</f>
        <v>15634.168000000001</v>
      </c>
      <c r="AJ853" s="1419">
        <f>AH853+AG853</f>
        <v>18658.477395573362</v>
      </c>
      <c r="AK853" s="1419">
        <f>AI853+AJ853</f>
        <v>34292.64539557336</v>
      </c>
      <c r="AM853" s="1948">
        <f ca="1">SUM((INDIRECT(AM$2&amp;(ROW())):INDIRECT(AM$3&amp;(ROW()))))</f>
        <v>2422</v>
      </c>
      <c r="AN853" s="1948">
        <f ca="1">SUM(INDIRECT(AN$1&amp;AN$2&amp;$C853):INDIRECT(AN$1&amp;AN$3&amp;$C853))</f>
        <v>3131.8000000000006</v>
      </c>
      <c r="AO853" s="2786">
        <f t="shared" ca="1" si="1409"/>
        <v>-709.80000000000064</v>
      </c>
      <c r="AP853" s="2787">
        <f t="shared" ca="1" si="1425"/>
        <v>0.77335717478766186</v>
      </c>
      <c r="AQ853" s="1948">
        <f ca="1">SUM(INDIRECT(AQ$1&amp;AQ$2&amp;$A853):INDIRECT(AQ$1&amp;AQ$3&amp;$A853))+SUM(INDIRECT(AQ$1&amp;AQ$2&amp;$B853):INDIRECT(AQ$1&amp;AQ$3&amp;$B853))</f>
        <v>2501</v>
      </c>
      <c r="AR853" s="2786">
        <f t="shared" ca="1" si="1410"/>
        <v>-79</v>
      </c>
      <c r="AS853" s="2787">
        <f t="shared" ca="1" si="1426"/>
        <v>0.96841263494602159</v>
      </c>
      <c r="AU853" s="1948">
        <f ca="1">SUM((INDIRECT(AU$2&amp;(ROW())):INDIRECT(AU$3&amp;(ROW()))))</f>
        <v>2422</v>
      </c>
      <c r="AV853" s="1948">
        <f ca="1">SUM(INDIRECT(AV$1&amp;AV$2&amp;$C853):INDIRECT(AV$1&amp;AV$3&amp;$C853))</f>
        <v>3131.8000000000006</v>
      </c>
      <c r="AW853" s="2786">
        <f t="shared" ca="1" si="1427"/>
        <v>-709.80000000000064</v>
      </c>
      <c r="AX853" s="2787">
        <f t="shared" ca="1" si="1428"/>
        <v>0.77335717478766186</v>
      </c>
      <c r="AY853" s="1948">
        <f ca="1">SUM(INDIRECT(AY$1&amp;AY$2&amp;$A853):INDIRECT(AY$1&amp;AY$3&amp;$A853))+SUM(INDIRECT(AY$1&amp;AY$2&amp;$B853):INDIRECT(AY$1&amp;AY$3&amp;$B853))</f>
        <v>2501</v>
      </c>
      <c r="AZ853" s="2786">
        <f t="shared" ca="1" si="1429"/>
        <v>-79</v>
      </c>
      <c r="BA853" s="2787">
        <f t="shared" ca="1" si="1430"/>
        <v>0.96841263494602159</v>
      </c>
      <c r="BC853" s="1948">
        <f ca="1">SUM((INDIRECT(BC$2&amp;(ROW())):INDIRECT(BC$3&amp;(ROW()))))</f>
        <v>2422</v>
      </c>
      <c r="BD853" s="1948">
        <f ca="1">SUM(INDIRECT(BD$1&amp;BD$2&amp;$C853):INDIRECT(BD$1&amp;BD$3&amp;$C853))</f>
        <v>3131.8000000000006</v>
      </c>
      <c r="BE853" s="2786">
        <f t="shared" ca="1" si="1431"/>
        <v>-709.80000000000064</v>
      </c>
      <c r="BF853" s="2787">
        <f t="shared" ca="1" si="1432"/>
        <v>0.77335717478766186</v>
      </c>
      <c r="BG853" s="1948">
        <f ca="1">SUM(INDIRECT(BG$1&amp;BG$2&amp;$A853):INDIRECT(BG$1&amp;BG$3&amp;$A853))+SUM(INDIRECT(BG$1&amp;BG$2&amp;$B853):INDIRECT(BG$1&amp;BG$3&amp;$B853))</f>
        <v>2501</v>
      </c>
      <c r="BH853" s="2786">
        <f t="shared" ca="1" si="1433"/>
        <v>-79</v>
      </c>
      <c r="BI853" s="2787">
        <f t="shared" ca="1" si="1434"/>
        <v>0.96841263494602159</v>
      </c>
    </row>
    <row r="854" spans="1:61" ht="14.5">
      <c r="A854" s="1693">
        <f t="shared" si="1439"/>
        <v>846</v>
      </c>
      <c r="B854" s="616">
        <v>1</v>
      </c>
      <c r="C854" s="1693">
        <f t="shared" si="1436"/>
        <v>854</v>
      </c>
      <c r="D854" s="616">
        <v>1</v>
      </c>
      <c r="E854" s="709" t="s">
        <v>512</v>
      </c>
      <c r="F854" s="69"/>
      <c r="G854" s="8"/>
      <c r="H854" s="8"/>
      <c r="J854" s="223"/>
      <c r="K854" s="1039"/>
      <c r="L854" s="8" t="s">
        <v>596</v>
      </c>
      <c r="M854" s="8"/>
      <c r="Q854" s="1219"/>
      <c r="R854" s="1777" t="str">
        <f>CHOOSE(2, "6722000003765", "FC COGS (1)-1. Office Included in COGS [TE(Service)]")</f>
        <v>FC COGS (1)-1. Office Included in COGS [TE(Service)]</v>
      </c>
      <c r="S854" s="1226">
        <f t="shared" ref="S854:AD854" si="1444">(S511+S535)*-1</f>
        <v>0</v>
      </c>
      <c r="T854" s="1226">
        <f t="shared" si="1444"/>
        <v>204</v>
      </c>
      <c r="U854" s="1226">
        <f t="shared" si="1444"/>
        <v>323.33300000000003</v>
      </c>
      <c r="V854" s="1226">
        <f t="shared" si="1444"/>
        <v>415</v>
      </c>
      <c r="W854" s="1226">
        <f t="shared" si="1444"/>
        <v>462</v>
      </c>
      <c r="X854" s="1226">
        <f t="shared" si="1444"/>
        <v>564.43799999999999</v>
      </c>
      <c r="Y854" s="1226">
        <f t="shared" si="1444"/>
        <v>358.98099999999999</v>
      </c>
      <c r="Z854" s="1226">
        <f t="shared" si="1444"/>
        <v>541.23800000000006</v>
      </c>
      <c r="AA854" s="1226">
        <f t="shared" si="1444"/>
        <v>604.28751043389059</v>
      </c>
      <c r="AB854" s="1226">
        <f t="shared" si="1444"/>
        <v>556.021665268623</v>
      </c>
      <c r="AC854" s="1226">
        <f t="shared" si="1444"/>
        <v>558.14017727644409</v>
      </c>
      <c r="AD854" s="1226">
        <f t="shared" si="1444"/>
        <v>585.7022100290169</v>
      </c>
      <c r="AE854" s="1617">
        <f>SUM(S854,T854,U854)</f>
        <v>527.33300000000008</v>
      </c>
      <c r="AF854" s="1419">
        <f>SUM(V854,W854,X854)</f>
        <v>1441.4380000000001</v>
      </c>
      <c r="AG854" s="1419">
        <f>SUM(Y854,Z854,AA854)</f>
        <v>1504.5065104338905</v>
      </c>
      <c r="AH854" s="1419">
        <f>SUM(AB854,AC854,AD854)</f>
        <v>1699.8640525740839</v>
      </c>
      <c r="AI854" s="1419">
        <f>AE854+AF854</f>
        <v>1968.7710000000002</v>
      </c>
      <c r="AJ854" s="1419">
        <f>AH854+AG854</f>
        <v>3204.3705630079744</v>
      </c>
      <c r="AK854" s="1419">
        <f>AI854+AJ854</f>
        <v>5173.1415630079746</v>
      </c>
      <c r="AL854" s="69"/>
      <c r="AM854" s="1948">
        <f ca="1">SUM((INDIRECT(AM$2&amp;(ROW())):INDIRECT(AM$3&amp;(ROW()))))</f>
        <v>0</v>
      </c>
      <c r="AN854" s="1948">
        <f ca="1">SUM(INDIRECT(AN$1&amp;AN$2&amp;$C854):INDIRECT(AN$1&amp;AN$3&amp;$C854))</f>
        <v>400</v>
      </c>
      <c r="AO854" s="2786">
        <f t="shared" ca="1" si="1409"/>
        <v>-400</v>
      </c>
      <c r="AP854" s="2787">
        <f t="shared" ca="1" si="1425"/>
        <v>0</v>
      </c>
      <c r="AQ854" s="1948">
        <f ca="1">SUM(INDIRECT(AQ$1&amp;AQ$2&amp;$A854):INDIRECT(AQ$1&amp;AQ$3&amp;$A854))+SUM(INDIRECT(AQ$1&amp;AQ$2&amp;$B854):INDIRECT(AQ$1&amp;AQ$3&amp;$B854))</f>
        <v>0</v>
      </c>
      <c r="AR854" s="2786">
        <f t="shared" ca="1" si="1410"/>
        <v>0</v>
      </c>
      <c r="AS854" s="2787">
        <f t="shared" ca="1" si="1426"/>
        <v>0</v>
      </c>
      <c r="AU854" s="1948">
        <f ca="1">SUM((INDIRECT(AU$2&amp;(ROW())):INDIRECT(AU$3&amp;(ROW()))))</f>
        <v>0</v>
      </c>
      <c r="AV854" s="1948">
        <f ca="1">SUM(INDIRECT(AV$1&amp;AV$2&amp;$C854):INDIRECT(AV$1&amp;AV$3&amp;$C854))</f>
        <v>400</v>
      </c>
      <c r="AW854" s="2786">
        <f t="shared" ca="1" si="1427"/>
        <v>-400</v>
      </c>
      <c r="AX854" s="2787">
        <f t="shared" ca="1" si="1428"/>
        <v>0</v>
      </c>
      <c r="AY854" s="1948">
        <f ca="1">SUM(INDIRECT(AY$1&amp;AY$2&amp;$A854):INDIRECT(AY$1&amp;AY$3&amp;$A854))+SUM(INDIRECT(AY$1&amp;AY$2&amp;$B854):INDIRECT(AY$1&amp;AY$3&amp;$B854))</f>
        <v>0</v>
      </c>
      <c r="AZ854" s="2786">
        <f t="shared" ca="1" si="1429"/>
        <v>0</v>
      </c>
      <c r="BA854" s="2787">
        <f t="shared" ca="1" si="1430"/>
        <v>0</v>
      </c>
      <c r="BC854" s="1948">
        <f ca="1">SUM((INDIRECT(BC$2&amp;(ROW())):INDIRECT(BC$3&amp;(ROW()))))</f>
        <v>0</v>
      </c>
      <c r="BD854" s="1948">
        <f ca="1">SUM(INDIRECT(BD$1&amp;BD$2&amp;$C854):INDIRECT(BD$1&amp;BD$3&amp;$C854))</f>
        <v>400</v>
      </c>
      <c r="BE854" s="2786">
        <f t="shared" ca="1" si="1431"/>
        <v>-400</v>
      </c>
      <c r="BF854" s="2787">
        <f t="shared" ca="1" si="1432"/>
        <v>0</v>
      </c>
      <c r="BG854" s="1948">
        <f ca="1">SUM(INDIRECT(BG$1&amp;BG$2&amp;$A854):INDIRECT(BG$1&amp;BG$3&amp;$A854))+SUM(INDIRECT(BG$1&amp;BG$2&amp;$B854):INDIRECT(BG$1&amp;BG$3&amp;$B854))</f>
        <v>0</v>
      </c>
      <c r="BH854" s="2786">
        <f t="shared" ca="1" si="1433"/>
        <v>0</v>
      </c>
      <c r="BI854" s="2787">
        <f t="shared" ca="1" si="1434"/>
        <v>0</v>
      </c>
    </row>
    <row r="855" spans="1:61" ht="14.5">
      <c r="A855" s="1693">
        <f t="shared" si="1439"/>
        <v>847</v>
      </c>
      <c r="B855" s="616">
        <v>1</v>
      </c>
      <c r="C855" s="1693">
        <f t="shared" si="1436"/>
        <v>855</v>
      </c>
      <c r="D855" s="616">
        <v>1</v>
      </c>
      <c r="E855" s="709" t="s">
        <v>512</v>
      </c>
      <c r="F855" s="1572"/>
      <c r="G855" s="8"/>
      <c r="H855" s="8"/>
      <c r="J855" s="223"/>
      <c r="K855" s="1039"/>
      <c r="L855" s="8" t="s">
        <v>597</v>
      </c>
      <c r="Q855" s="1219"/>
      <c r="R855" s="1782" t="str">
        <f>CHOOSE(2, "6722000003766", "FC COGS (1)-1. Office Included in COGS [OFC(Service)]")</f>
        <v>FC COGS (1)-1. Office Included in COGS [OFC(Service)]</v>
      </c>
      <c r="S855" s="1226">
        <f t="shared" ref="S855:AD855" si="1445">(S512+S515+S536+S539)*-1</f>
        <v>5000</v>
      </c>
      <c r="T855" s="1226">
        <f t="shared" si="1445"/>
        <v>6000</v>
      </c>
      <c r="U855" s="1226">
        <f t="shared" si="1445"/>
        <v>5400</v>
      </c>
      <c r="V855" s="1226">
        <f t="shared" si="1445"/>
        <v>5831</v>
      </c>
      <c r="W855" s="1226">
        <f t="shared" si="1445"/>
        <v>5300</v>
      </c>
      <c r="X855" s="1226">
        <f t="shared" si="1445"/>
        <v>5914.31861999998</v>
      </c>
      <c r="Y855" s="1226">
        <f t="shared" si="1445"/>
        <v>5199.9814099999703</v>
      </c>
      <c r="Z855" s="1226">
        <f t="shared" si="1445"/>
        <v>5650.2403899999908</v>
      </c>
      <c r="AA855" s="1226">
        <f t="shared" si="1445"/>
        <v>6495.8154799999784</v>
      </c>
      <c r="AB855" s="1226">
        <f t="shared" si="1445"/>
        <v>3217.3620799999667</v>
      </c>
      <c r="AC855" s="1226">
        <f t="shared" si="1445"/>
        <v>5822.4863499999592</v>
      </c>
      <c r="AD855" s="1226">
        <f t="shared" si="1445"/>
        <v>3535.4805299999998</v>
      </c>
      <c r="AE855" s="125">
        <f>SUM(S855,T855,U855)</f>
        <v>16400</v>
      </c>
      <c r="AF855" s="126">
        <f>SUM(V855,W855,X855)</f>
        <v>17045.31861999998</v>
      </c>
      <c r="AG855" s="126">
        <f>SUM(Y855,Z855,AA855)</f>
        <v>17346.037279999939</v>
      </c>
      <c r="AH855" s="126">
        <f>SUM(AB855,AC855,AD855)</f>
        <v>12575.328959999926</v>
      </c>
      <c r="AI855" s="126">
        <f>AE855+AF855</f>
        <v>33445.318619999976</v>
      </c>
      <c r="AJ855" s="126">
        <f>AH855+AG855</f>
        <v>29921.366239999865</v>
      </c>
      <c r="AK855" s="126">
        <f>AI855+AJ855</f>
        <v>63366.684859999841</v>
      </c>
      <c r="AM855" s="1948">
        <f ca="1">SUM((INDIRECT(AM$2&amp;(ROW())):INDIRECT(AM$3&amp;(ROW()))))</f>
        <v>5000</v>
      </c>
      <c r="AN855" s="1948">
        <f ca="1">SUM(INDIRECT(AN$1&amp;AN$2&amp;$C855):INDIRECT(AN$1&amp;AN$3&amp;$C855))</f>
        <v>5491.2000000000007</v>
      </c>
      <c r="AO855" s="2786">
        <f t="shared" ca="1" si="1409"/>
        <v>-491.20000000000073</v>
      </c>
      <c r="AP855" s="2787">
        <f t="shared" ca="1" si="1425"/>
        <v>0.91054778554778548</v>
      </c>
      <c r="AQ855" s="1948">
        <f ca="1">SUM(INDIRECT(AQ$1&amp;AQ$2&amp;$A855):INDIRECT(AQ$1&amp;AQ$3&amp;$A855))+SUM(INDIRECT(AQ$1&amp;AQ$2&amp;$B855):INDIRECT(AQ$1&amp;AQ$3&amp;$B855))</f>
        <v>5046</v>
      </c>
      <c r="AR855" s="2786">
        <f t="shared" ca="1" si="1410"/>
        <v>-46</v>
      </c>
      <c r="AS855" s="2787">
        <f t="shared" ca="1" si="1426"/>
        <v>0.99088386841062226</v>
      </c>
      <c r="AU855" s="1948">
        <f ca="1">SUM((INDIRECT(AU$2&amp;(ROW())):INDIRECT(AU$3&amp;(ROW()))))</f>
        <v>5000</v>
      </c>
      <c r="AV855" s="1948">
        <f ca="1">SUM(INDIRECT(AV$1&amp;AV$2&amp;$C855):INDIRECT(AV$1&amp;AV$3&amp;$C855))</f>
        <v>5491.2000000000007</v>
      </c>
      <c r="AW855" s="2786">
        <f t="shared" ca="1" si="1427"/>
        <v>-491.20000000000073</v>
      </c>
      <c r="AX855" s="2787">
        <f t="shared" ca="1" si="1428"/>
        <v>0.91054778554778548</v>
      </c>
      <c r="AY855" s="1948">
        <f ca="1">SUM(INDIRECT(AY$1&amp;AY$2&amp;$A855):INDIRECT(AY$1&amp;AY$3&amp;$A855))+SUM(INDIRECT(AY$1&amp;AY$2&amp;$B855):INDIRECT(AY$1&amp;AY$3&amp;$B855))</f>
        <v>5046</v>
      </c>
      <c r="AZ855" s="2786">
        <f t="shared" ca="1" si="1429"/>
        <v>-46</v>
      </c>
      <c r="BA855" s="2787">
        <f t="shared" ca="1" si="1430"/>
        <v>0.99088386841062226</v>
      </c>
      <c r="BC855" s="1948">
        <f ca="1">SUM((INDIRECT(BC$2&amp;(ROW())):INDIRECT(BC$3&amp;(ROW()))))</f>
        <v>5000</v>
      </c>
      <c r="BD855" s="1948">
        <f ca="1">SUM(INDIRECT(BD$1&amp;BD$2&amp;$C855):INDIRECT(BD$1&amp;BD$3&amp;$C855))</f>
        <v>5491.2000000000007</v>
      </c>
      <c r="BE855" s="2786">
        <f t="shared" ca="1" si="1431"/>
        <v>-491.20000000000073</v>
      </c>
      <c r="BF855" s="2787">
        <f t="shared" ca="1" si="1432"/>
        <v>0.91054778554778548</v>
      </c>
      <c r="BG855" s="1948">
        <f ca="1">SUM(INDIRECT(BG$1&amp;BG$2&amp;$A855):INDIRECT(BG$1&amp;BG$3&amp;$A855))+SUM(INDIRECT(BG$1&amp;BG$2&amp;$B855):INDIRECT(BG$1&amp;BG$3&amp;$B855))</f>
        <v>5046</v>
      </c>
      <c r="BH855" s="2786">
        <f t="shared" ca="1" si="1433"/>
        <v>-46</v>
      </c>
      <c r="BI855" s="2787">
        <f t="shared" ca="1" si="1434"/>
        <v>0.99088386841062226</v>
      </c>
    </row>
    <row r="856" spans="1:61" ht="14.5">
      <c r="A856" s="1693">
        <f t="shared" si="1439"/>
        <v>848</v>
      </c>
      <c r="B856" s="616">
        <v>1</v>
      </c>
      <c r="C856" s="1693">
        <f t="shared" si="1436"/>
        <v>856</v>
      </c>
      <c r="D856" s="616">
        <v>1</v>
      </c>
      <c r="E856" s="709" t="s">
        <v>512</v>
      </c>
      <c r="F856" s="69"/>
      <c r="G856" s="8"/>
      <c r="H856" s="8"/>
      <c r="J856" s="223"/>
      <c r="K856" s="1040"/>
      <c r="L856" s="285" t="s">
        <v>598</v>
      </c>
      <c r="M856" s="1034"/>
      <c r="N856" s="285"/>
      <c r="O856" s="285"/>
      <c r="P856" s="285"/>
      <c r="Q856" s="286"/>
      <c r="R856" s="1782" t="str">
        <f>CHOOSE(2, "6722000003767", "FC COGS (1)-1. Office Included in COGS [D&amp;A]")</f>
        <v>FC COGS (1)-1. Office Included in COGS [D&amp;A]</v>
      </c>
      <c r="S856" s="1248">
        <f t="shared" ref="S856:AD856" si="1446">(S516+S540)*-1</f>
        <v>0</v>
      </c>
      <c r="T856" s="1248">
        <f t="shared" si="1446"/>
        <v>0</v>
      </c>
      <c r="U856" s="1248">
        <f t="shared" si="1446"/>
        <v>0</v>
      </c>
      <c r="V856" s="1248">
        <f t="shared" si="1446"/>
        <v>0</v>
      </c>
      <c r="W856" s="1248">
        <f t="shared" si="1446"/>
        <v>0</v>
      </c>
      <c r="X856" s="1248">
        <f t="shared" si="1446"/>
        <v>0</v>
      </c>
      <c r="Y856" s="1248">
        <f t="shared" si="1446"/>
        <v>0</v>
      </c>
      <c r="Z856" s="1248">
        <f t="shared" si="1446"/>
        <v>0</v>
      </c>
      <c r="AA856" s="1248">
        <f t="shared" si="1446"/>
        <v>0</v>
      </c>
      <c r="AB856" s="1248">
        <f t="shared" si="1446"/>
        <v>0</v>
      </c>
      <c r="AC856" s="1248">
        <f t="shared" si="1446"/>
        <v>0</v>
      </c>
      <c r="AD856" s="1248">
        <f t="shared" si="1446"/>
        <v>0</v>
      </c>
      <c r="AE856" s="1035">
        <f>SUM(S856,T856,U856)</f>
        <v>0</v>
      </c>
      <c r="AF856" s="975">
        <f>SUM(V856,W856,X856)</f>
        <v>0</v>
      </c>
      <c r="AG856" s="975">
        <f>SUM(Y856,Z856,AA856)</f>
        <v>0</v>
      </c>
      <c r="AH856" s="975">
        <f>SUM(AB856,AC856,AD856)</f>
        <v>0</v>
      </c>
      <c r="AI856" s="975">
        <f>AE856+AF856</f>
        <v>0</v>
      </c>
      <c r="AJ856" s="975">
        <f>AH856+AG856</f>
        <v>0</v>
      </c>
      <c r="AK856" s="975">
        <f>AI856+AJ856</f>
        <v>0</v>
      </c>
      <c r="AM856" s="1950">
        <f ca="1">SUM((INDIRECT(AM$2&amp;(ROW())):INDIRECT(AM$3&amp;(ROW()))))</f>
        <v>0</v>
      </c>
      <c r="AN856" s="1950">
        <f ca="1">SUM(INDIRECT(AN$1&amp;AN$2&amp;$C856):INDIRECT(AN$1&amp;AN$3&amp;$C856))</f>
        <v>0</v>
      </c>
      <c r="AO856" s="2715">
        <f t="shared" ca="1" si="1409"/>
        <v>0</v>
      </c>
      <c r="AP856" s="2716">
        <f t="shared" ca="1" si="1425"/>
        <v>0</v>
      </c>
      <c r="AQ856" s="1950">
        <f ca="1">SUM(INDIRECT(AQ$1&amp;AQ$2&amp;$A856):INDIRECT(AQ$1&amp;AQ$3&amp;$A856))+SUM(INDIRECT(AQ$1&amp;AQ$2&amp;$B856):INDIRECT(AQ$1&amp;AQ$3&amp;$B856))</f>
        <v>0</v>
      </c>
      <c r="AR856" s="2715">
        <f t="shared" ca="1" si="1410"/>
        <v>0</v>
      </c>
      <c r="AS856" s="2716">
        <f t="shared" ca="1" si="1426"/>
        <v>0</v>
      </c>
      <c r="AU856" s="1950">
        <f ca="1">SUM((INDIRECT(AU$2&amp;(ROW())):INDIRECT(AU$3&amp;(ROW()))))</f>
        <v>0</v>
      </c>
      <c r="AV856" s="1950">
        <f ca="1">SUM(INDIRECT(AV$1&amp;AV$2&amp;$C856):INDIRECT(AV$1&amp;AV$3&amp;$C856))</f>
        <v>0</v>
      </c>
      <c r="AW856" s="2715">
        <f t="shared" ca="1" si="1427"/>
        <v>0</v>
      </c>
      <c r="AX856" s="2716">
        <f t="shared" ca="1" si="1428"/>
        <v>0</v>
      </c>
      <c r="AY856" s="1950">
        <f ca="1">SUM(INDIRECT(AY$1&amp;AY$2&amp;$A856):INDIRECT(AY$1&amp;AY$3&amp;$A856))+SUM(INDIRECT(AY$1&amp;AY$2&amp;$B856):INDIRECT(AY$1&amp;AY$3&amp;$B856))</f>
        <v>0</v>
      </c>
      <c r="AZ856" s="2715">
        <f t="shared" ca="1" si="1429"/>
        <v>0</v>
      </c>
      <c r="BA856" s="2716">
        <f t="shared" ca="1" si="1430"/>
        <v>0</v>
      </c>
      <c r="BC856" s="1950">
        <f ca="1">SUM((INDIRECT(BC$2&amp;(ROW())):INDIRECT(BC$3&amp;(ROW()))))</f>
        <v>0</v>
      </c>
      <c r="BD856" s="1950">
        <f ca="1">SUM(INDIRECT(BD$1&amp;BD$2&amp;$C856):INDIRECT(BD$1&amp;BD$3&amp;$C856))</f>
        <v>0</v>
      </c>
      <c r="BE856" s="2715">
        <f t="shared" ca="1" si="1431"/>
        <v>0</v>
      </c>
      <c r="BF856" s="2716">
        <f t="shared" ca="1" si="1432"/>
        <v>0</v>
      </c>
      <c r="BG856" s="1950">
        <f ca="1">SUM(INDIRECT(BG$1&amp;BG$2&amp;$A856):INDIRECT(BG$1&amp;BG$3&amp;$A856))+SUM(INDIRECT(BG$1&amp;BG$2&amp;$B856):INDIRECT(BG$1&amp;BG$3&amp;$B856))</f>
        <v>0</v>
      </c>
      <c r="BH856" s="2715">
        <f t="shared" ca="1" si="1433"/>
        <v>0</v>
      </c>
      <c r="BI856" s="2716">
        <f t="shared" ca="1" si="1434"/>
        <v>0</v>
      </c>
    </row>
    <row r="857" spans="1:61" s="69" customFormat="1" ht="14.5">
      <c r="A857" s="1693">
        <f t="shared" si="1439"/>
        <v>849</v>
      </c>
      <c r="B857" s="616">
        <v>1</v>
      </c>
      <c r="C857" s="1693">
        <f t="shared" si="1436"/>
        <v>857</v>
      </c>
      <c r="D857" s="616">
        <v>1</v>
      </c>
      <c r="E857" s="709" t="s">
        <v>512</v>
      </c>
      <c r="F857" s="1572"/>
      <c r="G857" s="12"/>
      <c r="H857" s="8"/>
      <c r="I857" s="22"/>
      <c r="J857" s="223"/>
      <c r="K857" s="1041" t="s">
        <v>796</v>
      </c>
      <c r="L857" s="1032"/>
      <c r="M857" s="1032"/>
      <c r="N857" s="1032"/>
      <c r="O857" s="1032"/>
      <c r="P857" s="1032"/>
      <c r="Q857" s="1042"/>
      <c r="R857" s="1813" t="str">
        <f>CHOOSE(2, "6722000003768", "FC COGS (1)-2. Solution")</f>
        <v>FC COGS (1)-2. Solution</v>
      </c>
      <c r="S857" s="1444">
        <f t="shared" ref="S857:AD857" si="1447">SUM(S858:S861)</f>
        <v>0</v>
      </c>
      <c r="T857" s="1444">
        <f t="shared" si="1447"/>
        <v>0</v>
      </c>
      <c r="U857" s="1444">
        <f t="shared" si="1447"/>
        <v>0</v>
      </c>
      <c r="V857" s="1444">
        <f t="shared" si="1447"/>
        <v>0</v>
      </c>
      <c r="W857" s="1444">
        <f t="shared" si="1447"/>
        <v>0</v>
      </c>
      <c r="X857" s="1444">
        <f t="shared" si="1447"/>
        <v>0</v>
      </c>
      <c r="Y857" s="1444">
        <f t="shared" si="1447"/>
        <v>0</v>
      </c>
      <c r="Z857" s="1444">
        <f t="shared" si="1447"/>
        <v>0</v>
      </c>
      <c r="AA857" s="1444">
        <f t="shared" si="1447"/>
        <v>0</v>
      </c>
      <c r="AB857" s="1444">
        <f t="shared" si="1447"/>
        <v>0</v>
      </c>
      <c r="AC857" s="1444">
        <f t="shared" si="1447"/>
        <v>0</v>
      </c>
      <c r="AD857" s="1444">
        <f t="shared" si="1447"/>
        <v>0</v>
      </c>
      <c r="AE857" s="1033">
        <f t="shared" ref="AE857:AK857" si="1448">SUM(AE858:AE861)</f>
        <v>0</v>
      </c>
      <c r="AF857" s="1444">
        <f t="shared" si="1448"/>
        <v>0</v>
      </c>
      <c r="AG857" s="1444">
        <f t="shared" si="1448"/>
        <v>0</v>
      </c>
      <c r="AH857" s="1444">
        <f t="shared" si="1448"/>
        <v>0</v>
      </c>
      <c r="AI857" s="1444">
        <f t="shared" si="1448"/>
        <v>0</v>
      </c>
      <c r="AJ857" s="1444">
        <f t="shared" si="1448"/>
        <v>0</v>
      </c>
      <c r="AK857" s="1444">
        <f t="shared" si="1448"/>
        <v>0</v>
      </c>
      <c r="AL857" s="8"/>
      <c r="AM857" s="2935">
        <f ca="1">SUM((INDIRECT(AM$2&amp;(ROW())):INDIRECT(AM$3&amp;(ROW()))))</f>
        <v>0</v>
      </c>
      <c r="AN857" s="2935">
        <f ca="1">SUM(INDIRECT(AN$1&amp;AN$2&amp;$C857):INDIRECT(AN$1&amp;AN$3&amp;$C857))</f>
        <v>0</v>
      </c>
      <c r="AO857" s="2936">
        <f ca="1">AM857-AN857</f>
        <v>0</v>
      </c>
      <c r="AP857" s="2937">
        <f ca="1">IFERROR(AM857/AN857,0)</f>
        <v>0</v>
      </c>
      <c r="AQ857" s="2935">
        <f ca="1">SUM(INDIRECT(AQ$1&amp;AQ$2&amp;$A857):INDIRECT(AQ$1&amp;AQ$3&amp;$A857))+SUM(INDIRECT(AQ$1&amp;AQ$2&amp;$B857):INDIRECT(AQ$1&amp;AQ$3&amp;$B857))</f>
        <v>0</v>
      </c>
      <c r="AR857" s="2936">
        <f ca="1">AM857-AQ857</f>
        <v>0</v>
      </c>
      <c r="AS857" s="2937">
        <f ca="1">IFERROR(AM857/AQ857,0)</f>
        <v>0</v>
      </c>
      <c r="AU857" s="2935">
        <f ca="1">SUM((INDIRECT(AU$2&amp;(ROW())):INDIRECT(AU$3&amp;(ROW()))))</f>
        <v>0</v>
      </c>
      <c r="AV857" s="2935">
        <f ca="1">SUM(INDIRECT(AV$1&amp;AV$2&amp;$C857):INDIRECT(AV$1&amp;AV$3&amp;$C857))</f>
        <v>0</v>
      </c>
      <c r="AW857" s="2936">
        <f ca="1">AU857-AV857</f>
        <v>0</v>
      </c>
      <c r="AX857" s="2937">
        <f ca="1">IFERROR(AU857/AV857,0)</f>
        <v>0</v>
      </c>
      <c r="AY857" s="2935">
        <f ca="1">SUM(INDIRECT(AY$1&amp;AY$2&amp;$A857):INDIRECT(AY$1&amp;AY$3&amp;$A857))+SUM(INDIRECT(AY$1&amp;AY$2&amp;$B857):INDIRECT(AY$1&amp;AY$3&amp;$B857))</f>
        <v>0</v>
      </c>
      <c r="AZ857" s="2936">
        <f ca="1">AU857-AY857</f>
        <v>0</v>
      </c>
      <c r="BA857" s="2937">
        <f ca="1">IFERROR(AU857/AY857,0)</f>
        <v>0</v>
      </c>
      <c r="BC857" s="2935">
        <f ca="1">SUM((INDIRECT(BC$2&amp;(ROW())):INDIRECT(BC$3&amp;(ROW()))))</f>
        <v>0</v>
      </c>
      <c r="BD857" s="2935">
        <f ca="1">SUM(INDIRECT(BD$1&amp;BD$2&amp;$C857):INDIRECT(BD$1&amp;BD$3&amp;$C857))</f>
        <v>0</v>
      </c>
      <c r="BE857" s="2936">
        <f ca="1">BC857-BD857</f>
        <v>0</v>
      </c>
      <c r="BF857" s="2937">
        <f ca="1">IFERROR(BC857/BD857,0)</f>
        <v>0</v>
      </c>
      <c r="BG857" s="2935">
        <f ca="1">SUM(INDIRECT(BG$1&amp;BG$2&amp;$A857):INDIRECT(BG$1&amp;BG$3&amp;$A857))+SUM(INDIRECT(BG$1&amp;BG$2&amp;$B857):INDIRECT(BG$1&amp;BG$3&amp;$B857))</f>
        <v>0</v>
      </c>
      <c r="BH857" s="2936">
        <f ca="1">BC857-BG857</f>
        <v>0</v>
      </c>
      <c r="BI857" s="2937">
        <f ca="1">IFERROR(BC857/BG857,0)</f>
        <v>0</v>
      </c>
    </row>
    <row r="858" spans="1:61" ht="14.5">
      <c r="A858" s="1693">
        <f t="shared" si="1439"/>
        <v>850</v>
      </c>
      <c r="B858" s="616">
        <v>1</v>
      </c>
      <c r="C858" s="1693">
        <f t="shared" si="1436"/>
        <v>858</v>
      </c>
      <c r="D858" s="616">
        <v>1</v>
      </c>
      <c r="E858" s="709" t="s">
        <v>512</v>
      </c>
      <c r="F858" s="1572"/>
      <c r="G858" s="12"/>
      <c r="H858" s="8"/>
      <c r="J858" s="223"/>
      <c r="K858" s="1039"/>
      <c r="L858" s="8" t="s">
        <v>595</v>
      </c>
      <c r="M858" s="8"/>
      <c r="Q858" s="1219"/>
      <c r="R858" s="1781" t="str">
        <f>CHOOSE(2, "6722000003769", "FC COGS (1)-2. Solution Included in COGS [PC(Service)]")</f>
        <v>FC COGS (1)-2. Solution Included in COGS [PC(Service)]</v>
      </c>
      <c r="S858" s="1281"/>
      <c r="T858" s="1281"/>
      <c r="U858" s="1281"/>
      <c r="V858" s="1281"/>
      <c r="W858" s="1281"/>
      <c r="X858" s="1281"/>
      <c r="Y858" s="1281"/>
      <c r="Z858" s="1281"/>
      <c r="AA858" s="1281"/>
      <c r="AB858" s="1281"/>
      <c r="AC858" s="1281"/>
      <c r="AD858" s="1281"/>
      <c r="AE858" s="125">
        <f>SUM(S858,T858,U858)</f>
        <v>0</v>
      </c>
      <c r="AF858" s="126">
        <f>SUM(V858,W858,X858)</f>
        <v>0</v>
      </c>
      <c r="AG858" s="126">
        <f>SUM(Y858,Z858,AA858)</f>
        <v>0</v>
      </c>
      <c r="AH858" s="126">
        <f>SUM(AB858,AC858,AD858)</f>
        <v>0</v>
      </c>
      <c r="AI858" s="126">
        <f>AE858+AF858</f>
        <v>0</v>
      </c>
      <c r="AJ858" s="126">
        <f>AH858+AG858</f>
        <v>0</v>
      </c>
      <c r="AK858" s="126">
        <f>AI858+AJ858</f>
        <v>0</v>
      </c>
      <c r="AM858" s="1948">
        <f ca="1">SUM((INDIRECT(AM$2&amp;(ROW())):INDIRECT(AM$3&amp;(ROW()))))</f>
        <v>0</v>
      </c>
      <c r="AN858" s="1948">
        <f ca="1">SUM(INDIRECT(AN$1&amp;AN$2&amp;$C858):INDIRECT(AN$1&amp;AN$3&amp;$C858))</f>
        <v>0</v>
      </c>
      <c r="AO858" s="2786">
        <f ca="1">AM858-AN858</f>
        <v>0</v>
      </c>
      <c r="AP858" s="2787">
        <f ca="1">IFERROR(AM858/AN858,0)</f>
        <v>0</v>
      </c>
      <c r="AQ858" s="1948">
        <f ca="1">SUM(INDIRECT(AQ$1&amp;AQ$2&amp;$A858):INDIRECT(AQ$1&amp;AQ$3&amp;$A858))+SUM(INDIRECT(AQ$1&amp;AQ$2&amp;$B858):INDIRECT(AQ$1&amp;AQ$3&amp;$B858))</f>
        <v>0</v>
      </c>
      <c r="AR858" s="2786">
        <f ca="1">AM858-AQ858</f>
        <v>0</v>
      </c>
      <c r="AS858" s="2787">
        <f ca="1">IFERROR(AM858/AQ858,0)</f>
        <v>0</v>
      </c>
      <c r="AU858" s="1948">
        <f ca="1">SUM((INDIRECT(AU$2&amp;(ROW())):INDIRECT(AU$3&amp;(ROW()))))</f>
        <v>0</v>
      </c>
      <c r="AV858" s="1948">
        <f ca="1">SUM(INDIRECT(AV$1&amp;AV$2&amp;$C858):INDIRECT(AV$1&amp;AV$3&amp;$C858))</f>
        <v>0</v>
      </c>
      <c r="AW858" s="2786">
        <f ca="1">AU858-AV858</f>
        <v>0</v>
      </c>
      <c r="AX858" s="2787">
        <f ca="1">IFERROR(AU858/AV858,0)</f>
        <v>0</v>
      </c>
      <c r="AY858" s="1948">
        <f ca="1">SUM(INDIRECT(AY$1&amp;AY$2&amp;$A858):INDIRECT(AY$1&amp;AY$3&amp;$A858))+SUM(INDIRECT(AY$1&amp;AY$2&amp;$B858):INDIRECT(AY$1&amp;AY$3&amp;$B858))</f>
        <v>0</v>
      </c>
      <c r="AZ858" s="2786">
        <f ca="1">AU858-AY858</f>
        <v>0</v>
      </c>
      <c r="BA858" s="2787">
        <f ca="1">IFERROR(AU858/AY858,0)</f>
        <v>0</v>
      </c>
      <c r="BC858" s="1948">
        <f ca="1">SUM((INDIRECT(BC$2&amp;(ROW())):INDIRECT(BC$3&amp;(ROW()))))</f>
        <v>0</v>
      </c>
      <c r="BD858" s="1948">
        <f ca="1">SUM(INDIRECT(BD$1&amp;BD$2&amp;$C858):INDIRECT(BD$1&amp;BD$3&amp;$C858))</f>
        <v>0</v>
      </c>
      <c r="BE858" s="2786">
        <f ca="1">BC858-BD858</f>
        <v>0</v>
      </c>
      <c r="BF858" s="2787">
        <f ca="1">IFERROR(BC858/BD858,0)</f>
        <v>0</v>
      </c>
      <c r="BG858" s="1948">
        <f ca="1">SUM(INDIRECT(BG$1&amp;BG$2&amp;$A858):INDIRECT(BG$1&amp;BG$3&amp;$A858))+SUM(INDIRECT(BG$1&amp;BG$2&amp;$B858):INDIRECT(BG$1&amp;BG$3&amp;$B858))</f>
        <v>0</v>
      </c>
      <c r="BH858" s="2786">
        <f ca="1">BC858-BG858</f>
        <v>0</v>
      </c>
      <c r="BI858" s="2787">
        <f ca="1">IFERROR(BC858/BG858,0)</f>
        <v>0</v>
      </c>
    </row>
    <row r="859" spans="1:61" ht="14.5">
      <c r="A859" s="1693">
        <f t="shared" si="1439"/>
        <v>851</v>
      </c>
      <c r="B859" s="616">
        <v>1</v>
      </c>
      <c r="C859" s="1693">
        <f t="shared" si="1436"/>
        <v>859</v>
      </c>
      <c r="D859" s="616">
        <v>1</v>
      </c>
      <c r="E859" s="709" t="s">
        <v>512</v>
      </c>
      <c r="F859" s="69"/>
      <c r="G859" s="12"/>
      <c r="H859" s="8"/>
      <c r="J859" s="223"/>
      <c r="K859" s="1039"/>
      <c r="L859" s="8" t="s">
        <v>596</v>
      </c>
      <c r="M859" s="8"/>
      <c r="Q859" s="1219"/>
      <c r="R859" s="1781" t="str">
        <f>CHOOSE(2, "6722000003770", "FC COGS (1)-2. Solution Included in COGS [TE(Service)]")</f>
        <v>FC COGS (1)-2. Solution Included in COGS [TE(Service)]</v>
      </c>
      <c r="S859" s="1281"/>
      <c r="T859" s="1281"/>
      <c r="U859" s="1281"/>
      <c r="V859" s="1281"/>
      <c r="W859" s="1281"/>
      <c r="X859" s="1281"/>
      <c r="Y859" s="1281"/>
      <c r="Z859" s="1281"/>
      <c r="AA859" s="1281"/>
      <c r="AB859" s="1281"/>
      <c r="AC859" s="1281"/>
      <c r="AD859" s="1281"/>
      <c r="AE859" s="125">
        <f>SUM(S859,T859,U859)</f>
        <v>0</v>
      </c>
      <c r="AF859" s="126">
        <f>SUM(V859,W859,X859)</f>
        <v>0</v>
      </c>
      <c r="AG859" s="126">
        <f>SUM(Y859,Z859,AA859)</f>
        <v>0</v>
      </c>
      <c r="AH859" s="126">
        <f>SUM(AB859,AC859,AD859)</f>
        <v>0</v>
      </c>
      <c r="AI859" s="126">
        <f>AE859+AF859</f>
        <v>0</v>
      </c>
      <c r="AJ859" s="126">
        <f>AH859+AG859</f>
        <v>0</v>
      </c>
      <c r="AK859" s="126">
        <f>AI859+AJ859</f>
        <v>0</v>
      </c>
      <c r="AL859" s="69"/>
      <c r="AM859" s="1948">
        <f ca="1">SUM((INDIRECT(AM$2&amp;(ROW())):INDIRECT(AM$3&amp;(ROW()))))</f>
        <v>0</v>
      </c>
      <c r="AN859" s="1948">
        <f ca="1">SUM(INDIRECT(AN$1&amp;AN$2&amp;$C859):INDIRECT(AN$1&amp;AN$3&amp;$C859))</f>
        <v>0</v>
      </c>
      <c r="AO859" s="2786">
        <f ca="1">AM859-AN859</f>
        <v>0</v>
      </c>
      <c r="AP859" s="2787">
        <f ca="1">IFERROR(AM859/AN859,0)</f>
        <v>0</v>
      </c>
      <c r="AQ859" s="1948">
        <f ca="1">SUM(INDIRECT(AQ$1&amp;AQ$2&amp;$A859):INDIRECT(AQ$1&amp;AQ$3&amp;$A859))+SUM(INDIRECT(AQ$1&amp;AQ$2&amp;$B859):INDIRECT(AQ$1&amp;AQ$3&amp;$B859))</f>
        <v>0</v>
      </c>
      <c r="AR859" s="2786">
        <f ca="1">AM859-AQ859</f>
        <v>0</v>
      </c>
      <c r="AS859" s="2787">
        <f ca="1">IFERROR(AM859/AQ859,0)</f>
        <v>0</v>
      </c>
      <c r="AU859" s="1948">
        <f ca="1">SUM((INDIRECT(AU$2&amp;(ROW())):INDIRECT(AU$3&amp;(ROW()))))</f>
        <v>0</v>
      </c>
      <c r="AV859" s="1948">
        <f ca="1">SUM(INDIRECT(AV$1&amp;AV$2&amp;$C859):INDIRECT(AV$1&amp;AV$3&amp;$C859))</f>
        <v>0</v>
      </c>
      <c r="AW859" s="2786">
        <f ca="1">AU859-AV859</f>
        <v>0</v>
      </c>
      <c r="AX859" s="2787">
        <f ca="1">IFERROR(AU859/AV859,0)</f>
        <v>0</v>
      </c>
      <c r="AY859" s="1948">
        <f ca="1">SUM(INDIRECT(AY$1&amp;AY$2&amp;$A859):INDIRECT(AY$1&amp;AY$3&amp;$A859))+SUM(INDIRECT(AY$1&amp;AY$2&amp;$B859):INDIRECT(AY$1&amp;AY$3&amp;$B859))</f>
        <v>0</v>
      </c>
      <c r="AZ859" s="2786">
        <f ca="1">AU859-AY859</f>
        <v>0</v>
      </c>
      <c r="BA859" s="2787">
        <f ca="1">IFERROR(AU859/AY859,0)</f>
        <v>0</v>
      </c>
      <c r="BC859" s="1948">
        <f ca="1">SUM((INDIRECT(BC$2&amp;(ROW())):INDIRECT(BC$3&amp;(ROW()))))</f>
        <v>0</v>
      </c>
      <c r="BD859" s="1948">
        <f ca="1">SUM(INDIRECT(BD$1&amp;BD$2&amp;$C859):INDIRECT(BD$1&amp;BD$3&amp;$C859))</f>
        <v>0</v>
      </c>
      <c r="BE859" s="2786">
        <f ca="1">BC859-BD859</f>
        <v>0</v>
      </c>
      <c r="BF859" s="2787">
        <f ca="1">IFERROR(BC859/BD859,0)</f>
        <v>0</v>
      </c>
      <c r="BG859" s="1948">
        <f ca="1">SUM(INDIRECT(BG$1&amp;BG$2&amp;$A859):INDIRECT(BG$1&amp;BG$3&amp;$A859))+SUM(INDIRECT(BG$1&amp;BG$2&amp;$B859):INDIRECT(BG$1&amp;BG$3&amp;$B859))</f>
        <v>0</v>
      </c>
      <c r="BH859" s="2786">
        <f ca="1">BC859-BG859</f>
        <v>0</v>
      </c>
      <c r="BI859" s="2787">
        <f ca="1">IFERROR(BC859/BG859,0)</f>
        <v>0</v>
      </c>
    </row>
    <row r="860" spans="1:61" ht="14.5">
      <c r="A860" s="1693">
        <f t="shared" si="1439"/>
        <v>852</v>
      </c>
      <c r="B860" s="616">
        <v>1</v>
      </c>
      <c r="C860" s="1693">
        <f t="shared" si="1436"/>
        <v>860</v>
      </c>
      <c r="D860" s="616">
        <v>1</v>
      </c>
      <c r="E860" s="709" t="s">
        <v>512</v>
      </c>
      <c r="F860" s="1572"/>
      <c r="G860" s="12"/>
      <c r="H860" s="8"/>
      <c r="J860" s="172"/>
      <c r="K860" s="1039"/>
      <c r="L860" s="8" t="s">
        <v>597</v>
      </c>
      <c r="Q860" s="1219"/>
      <c r="R860" s="1781" t="str">
        <f>CHOOSE(2, "6722000003771", "FC COGS (1)-2. Solution Included in COGS [OFC(Service)]")</f>
        <v>FC COGS (1)-2. Solution Included in COGS [OFC(Service)]</v>
      </c>
      <c r="S860" s="1281"/>
      <c r="T860" s="1281"/>
      <c r="U860" s="1281"/>
      <c r="V860" s="1281"/>
      <c r="W860" s="1281"/>
      <c r="X860" s="1281"/>
      <c r="Y860" s="1281"/>
      <c r="Z860" s="1281"/>
      <c r="AA860" s="1281"/>
      <c r="AB860" s="1281"/>
      <c r="AC860" s="1281"/>
      <c r="AD860" s="1281"/>
      <c r="AE860" s="125">
        <f>SUM(S860,T860,U860)</f>
        <v>0</v>
      </c>
      <c r="AF860" s="126">
        <f>SUM(V860,W860,X860)</f>
        <v>0</v>
      </c>
      <c r="AG860" s="126">
        <f>SUM(Y860,Z860,AA860)</f>
        <v>0</v>
      </c>
      <c r="AH860" s="126">
        <f>SUM(AB860,AC860,AD860)</f>
        <v>0</v>
      </c>
      <c r="AI860" s="126">
        <f>AE860+AF860</f>
        <v>0</v>
      </c>
      <c r="AJ860" s="126">
        <f>AH860+AG860</f>
        <v>0</v>
      </c>
      <c r="AK860" s="126">
        <f>AI860+AJ860</f>
        <v>0</v>
      </c>
      <c r="AM860" s="1948">
        <f ca="1">SUM((INDIRECT(AM$2&amp;(ROW())):INDIRECT(AM$3&amp;(ROW()))))</f>
        <v>0</v>
      </c>
      <c r="AN860" s="1948">
        <f ca="1">SUM(INDIRECT(AN$1&amp;AN$2&amp;$C860):INDIRECT(AN$1&amp;AN$3&amp;$C860))</f>
        <v>0</v>
      </c>
      <c r="AO860" s="2786">
        <f ca="1">AM860-AN860</f>
        <v>0</v>
      </c>
      <c r="AP860" s="2787">
        <f ca="1">IFERROR(AM860/AN860,0)</f>
        <v>0</v>
      </c>
      <c r="AQ860" s="1948">
        <f ca="1">SUM(INDIRECT(AQ$1&amp;AQ$2&amp;$A860):INDIRECT(AQ$1&amp;AQ$3&amp;$A860))+SUM(INDIRECT(AQ$1&amp;AQ$2&amp;$B860):INDIRECT(AQ$1&amp;AQ$3&amp;$B860))</f>
        <v>0</v>
      </c>
      <c r="AR860" s="2786">
        <f ca="1">AM860-AQ860</f>
        <v>0</v>
      </c>
      <c r="AS860" s="2787">
        <f ca="1">IFERROR(AM860/AQ860,0)</f>
        <v>0</v>
      </c>
      <c r="AU860" s="1948">
        <f ca="1">SUM((INDIRECT(AU$2&amp;(ROW())):INDIRECT(AU$3&amp;(ROW()))))</f>
        <v>0</v>
      </c>
      <c r="AV860" s="1948">
        <f ca="1">SUM(INDIRECT(AV$1&amp;AV$2&amp;$C860):INDIRECT(AV$1&amp;AV$3&amp;$C860))</f>
        <v>0</v>
      </c>
      <c r="AW860" s="2786">
        <f ca="1">AU860-AV860</f>
        <v>0</v>
      </c>
      <c r="AX860" s="2787">
        <f ca="1">IFERROR(AU860/AV860,0)</f>
        <v>0</v>
      </c>
      <c r="AY860" s="1948">
        <f ca="1">SUM(INDIRECT(AY$1&amp;AY$2&amp;$A860):INDIRECT(AY$1&amp;AY$3&amp;$A860))+SUM(INDIRECT(AY$1&amp;AY$2&amp;$B860):INDIRECT(AY$1&amp;AY$3&amp;$B860))</f>
        <v>0</v>
      </c>
      <c r="AZ860" s="2786">
        <f ca="1">AU860-AY860</f>
        <v>0</v>
      </c>
      <c r="BA860" s="2787">
        <f ca="1">IFERROR(AU860/AY860,0)</f>
        <v>0</v>
      </c>
      <c r="BC860" s="1948">
        <f ca="1">SUM((INDIRECT(BC$2&amp;(ROW())):INDIRECT(BC$3&amp;(ROW()))))</f>
        <v>0</v>
      </c>
      <c r="BD860" s="1948">
        <f ca="1">SUM(INDIRECT(BD$1&amp;BD$2&amp;$C860):INDIRECT(BD$1&amp;BD$3&amp;$C860))</f>
        <v>0</v>
      </c>
      <c r="BE860" s="2786">
        <f ca="1">BC860-BD860</f>
        <v>0</v>
      </c>
      <c r="BF860" s="2787">
        <f ca="1">IFERROR(BC860/BD860,0)</f>
        <v>0</v>
      </c>
      <c r="BG860" s="1948">
        <f ca="1">SUM(INDIRECT(BG$1&amp;BG$2&amp;$A860):INDIRECT(BG$1&amp;BG$3&amp;$A860))+SUM(INDIRECT(BG$1&amp;BG$2&amp;$B860):INDIRECT(BG$1&amp;BG$3&amp;$B860))</f>
        <v>0</v>
      </c>
      <c r="BH860" s="2786">
        <f ca="1">BC860-BG860</f>
        <v>0</v>
      </c>
      <c r="BI860" s="2787">
        <f ca="1">IFERROR(BC860/BG860,0)</f>
        <v>0</v>
      </c>
    </row>
    <row r="861" spans="1:61" ht="14.5">
      <c r="A861" s="1693">
        <f t="shared" si="1439"/>
        <v>853</v>
      </c>
      <c r="B861" s="616">
        <v>1</v>
      </c>
      <c r="C861" s="1693">
        <f t="shared" si="1436"/>
        <v>861</v>
      </c>
      <c r="D861" s="616">
        <v>1</v>
      </c>
      <c r="E861" s="709" t="s">
        <v>512</v>
      </c>
      <c r="F861" s="69"/>
      <c r="G861" s="12"/>
      <c r="H861" s="8"/>
      <c r="J861" s="171"/>
      <c r="K861" s="1040"/>
      <c r="L861" s="285" t="s">
        <v>598</v>
      </c>
      <c r="M861" s="1034"/>
      <c r="N861" s="285"/>
      <c r="O861" s="11"/>
      <c r="P861" s="11"/>
      <c r="Q861" s="78"/>
      <c r="R861" s="1781" t="str">
        <f>CHOOSE(2, "6722000003772", "FC COGS (1)-2. Solution Included in COGS [D&amp;A]")</f>
        <v>FC COGS (1)-2. Solution Included in COGS [D&amp;A]</v>
      </c>
      <c r="S861" s="1282"/>
      <c r="T861" s="1282"/>
      <c r="U861" s="1282"/>
      <c r="V861" s="1282"/>
      <c r="W861" s="1282"/>
      <c r="X861" s="1282"/>
      <c r="Y861" s="1282"/>
      <c r="Z861" s="1282"/>
      <c r="AA861" s="1282"/>
      <c r="AB861" s="1282"/>
      <c r="AC861" s="1282"/>
      <c r="AD861" s="1282"/>
      <c r="AE861" s="122">
        <f>SUM(S861,T861,U861)</f>
        <v>0</v>
      </c>
      <c r="AF861" s="123">
        <f>SUM(V861,W861,X861)</f>
        <v>0</v>
      </c>
      <c r="AG861" s="123">
        <f>SUM(Y861,Z861,AA861)</f>
        <v>0</v>
      </c>
      <c r="AH861" s="123">
        <f>SUM(AB861,AC861,AD861)</f>
        <v>0</v>
      </c>
      <c r="AI861" s="123">
        <f>AE861+AF861</f>
        <v>0</v>
      </c>
      <c r="AJ861" s="123">
        <f>AH861+AG861</f>
        <v>0</v>
      </c>
      <c r="AK861" s="123">
        <f>AI861+AJ861</f>
        <v>0</v>
      </c>
      <c r="AM861" s="1950">
        <f ca="1">SUM((INDIRECT(AM$2&amp;(ROW())):INDIRECT(AM$3&amp;(ROW()))))</f>
        <v>0</v>
      </c>
      <c r="AN861" s="1950">
        <f ca="1">SUM(INDIRECT(AN$1&amp;AN$2&amp;$C861):INDIRECT(AN$1&amp;AN$3&amp;$C861))</f>
        <v>0</v>
      </c>
      <c r="AO861" s="2715">
        <f ca="1">AM861-AN861</f>
        <v>0</v>
      </c>
      <c r="AP861" s="2716">
        <f ca="1">IFERROR(AM861/AN861,0)</f>
        <v>0</v>
      </c>
      <c r="AQ861" s="1950">
        <f ca="1">SUM(INDIRECT(AQ$1&amp;AQ$2&amp;$A861):INDIRECT(AQ$1&amp;AQ$3&amp;$A861))+SUM(INDIRECT(AQ$1&amp;AQ$2&amp;$B861):INDIRECT(AQ$1&amp;AQ$3&amp;$B861))</f>
        <v>0</v>
      </c>
      <c r="AR861" s="2715">
        <f ca="1">AM861-AQ861</f>
        <v>0</v>
      </c>
      <c r="AS861" s="2716">
        <f ca="1">IFERROR(AM861/AQ861,0)</f>
        <v>0</v>
      </c>
      <c r="AU861" s="1950">
        <f ca="1">SUM((INDIRECT(AU$2&amp;(ROW())):INDIRECT(AU$3&amp;(ROW()))))</f>
        <v>0</v>
      </c>
      <c r="AV861" s="1950">
        <f ca="1">SUM(INDIRECT(AV$1&amp;AV$2&amp;$C861):INDIRECT(AV$1&amp;AV$3&amp;$C861))</f>
        <v>0</v>
      </c>
      <c r="AW861" s="2715">
        <f ca="1">AU861-AV861</f>
        <v>0</v>
      </c>
      <c r="AX861" s="2716">
        <f ca="1">IFERROR(AU861/AV861,0)</f>
        <v>0</v>
      </c>
      <c r="AY861" s="1950">
        <f ca="1">SUM(INDIRECT(AY$1&amp;AY$2&amp;$A861):INDIRECT(AY$1&amp;AY$3&amp;$A861))+SUM(INDIRECT(AY$1&amp;AY$2&amp;$B861):INDIRECT(AY$1&amp;AY$3&amp;$B861))</f>
        <v>0</v>
      </c>
      <c r="AZ861" s="2715">
        <f ca="1">AU861-AY861</f>
        <v>0</v>
      </c>
      <c r="BA861" s="2716">
        <f ca="1">IFERROR(AU861/AY861,0)</f>
        <v>0</v>
      </c>
      <c r="BC861" s="1950">
        <f ca="1">SUM((INDIRECT(BC$2&amp;(ROW())):INDIRECT(BC$3&amp;(ROW()))))</f>
        <v>0</v>
      </c>
      <c r="BD861" s="1950">
        <f ca="1">SUM(INDIRECT(BD$1&amp;BD$2&amp;$C861):INDIRECT(BD$1&amp;BD$3&amp;$C861))</f>
        <v>0</v>
      </c>
      <c r="BE861" s="2715">
        <f ca="1">BC861-BD861</f>
        <v>0</v>
      </c>
      <c r="BF861" s="2716">
        <f ca="1">IFERROR(BC861/BD861,0)</f>
        <v>0</v>
      </c>
      <c r="BG861" s="1950">
        <f ca="1">SUM(INDIRECT(BG$1&amp;BG$2&amp;$A861):INDIRECT(BG$1&amp;BG$3&amp;$A861))+SUM(INDIRECT(BG$1&amp;BG$2&amp;$B861):INDIRECT(BG$1&amp;BG$3&amp;$B861))</f>
        <v>0</v>
      </c>
      <c r="BH861" s="2715">
        <f ca="1">BC861-BG861</f>
        <v>0</v>
      </c>
      <c r="BI861" s="2716">
        <f ca="1">IFERROR(BC861/BG861,0)</f>
        <v>0</v>
      </c>
    </row>
    <row r="862" spans="1:61" s="69" customFormat="1" ht="14.5">
      <c r="A862" s="1693">
        <f t="shared" si="1439"/>
        <v>854</v>
      </c>
      <c r="B862" s="616">
        <v>1</v>
      </c>
      <c r="C862" s="1693">
        <f t="shared" si="1436"/>
        <v>862</v>
      </c>
      <c r="D862" s="616">
        <v>1</v>
      </c>
      <c r="E862" s="709" t="s">
        <v>512</v>
      </c>
      <c r="F862" s="1572"/>
      <c r="G862" s="8"/>
      <c r="H862" s="8"/>
      <c r="I862" s="22"/>
      <c r="J862" s="337" t="s">
        <v>283</v>
      </c>
      <c r="K862" s="338"/>
      <c r="L862" s="339"/>
      <c r="M862" s="339"/>
      <c r="N862" s="339"/>
      <c r="O862" s="339"/>
      <c r="P862" s="339"/>
      <c r="Q862" s="588"/>
      <c r="R862" s="1815" t="str">
        <f>CHOOSE(2, "6722000003773", "FC COGS (2) PP")</f>
        <v>FC COGS (2) PP</v>
      </c>
      <c r="S862" s="1265">
        <f>SUM(S863:S866)</f>
        <v>15655</v>
      </c>
      <c r="T862" s="1265">
        <f t="shared" ref="T862:AD862" si="1449">SUM(T863:T866)</f>
        <v>17213.608499999998</v>
      </c>
      <c r="U862" s="1265">
        <f t="shared" si="1449"/>
        <v>18170.151999999998</v>
      </c>
      <c r="V862" s="1265">
        <f t="shared" si="1449"/>
        <v>20315.686000000002</v>
      </c>
      <c r="W862" s="1265">
        <f t="shared" si="1449"/>
        <v>21806.8487225873</v>
      </c>
      <c r="X862" s="1265">
        <f t="shared" si="1449"/>
        <v>20350.960999999999</v>
      </c>
      <c r="Y862" s="1265">
        <f t="shared" si="1449"/>
        <v>20583.007999999998</v>
      </c>
      <c r="Z862" s="1265">
        <f t="shared" si="1449"/>
        <v>22918.916000000001</v>
      </c>
      <c r="AA862" s="1265">
        <f t="shared" si="1449"/>
        <v>23015.775667814192</v>
      </c>
      <c r="AB862" s="1265">
        <f t="shared" si="1449"/>
        <v>26470.077080285879</v>
      </c>
      <c r="AC862" s="1265">
        <f t="shared" si="1449"/>
        <v>23758.507449098124</v>
      </c>
      <c r="AD862" s="1265">
        <f t="shared" si="1449"/>
        <v>24418.094482783476</v>
      </c>
      <c r="AE862" s="907">
        <f t="shared" ref="AE862:AK862" si="1450">SUM(AE863:AE866)</f>
        <v>51038.760499999997</v>
      </c>
      <c r="AF862" s="340">
        <f t="shared" si="1450"/>
        <v>62473.495722587293</v>
      </c>
      <c r="AG862" s="340">
        <f t="shared" si="1450"/>
        <v>66517.699667814188</v>
      </c>
      <c r="AH862" s="340">
        <f t="shared" si="1450"/>
        <v>74646.679012167471</v>
      </c>
      <c r="AI862" s="340">
        <f t="shared" si="1450"/>
        <v>113512.2562225873</v>
      </c>
      <c r="AJ862" s="340">
        <f t="shared" si="1450"/>
        <v>141164.37867998166</v>
      </c>
      <c r="AK862" s="340">
        <f t="shared" si="1450"/>
        <v>254676.63490256894</v>
      </c>
      <c r="AL862" s="8"/>
      <c r="AM862" s="2221">
        <f ca="1">SUM((INDIRECT(AM$2&amp;(ROW())):INDIRECT(AM$3&amp;(ROW()))))</f>
        <v>15655</v>
      </c>
      <c r="AN862" s="2221">
        <f ca="1">SUM(INDIRECT(AN$1&amp;AN$2&amp;$C862):INDIRECT(AN$1&amp;AN$3&amp;$C862))</f>
        <v>17903.333333333332</v>
      </c>
      <c r="AO862" s="2938">
        <f t="shared" ca="1" si="1409"/>
        <v>-2248.3333333333321</v>
      </c>
      <c r="AP862" s="2939">
        <f t="shared" ca="1" si="1425"/>
        <v>0.87441817166263269</v>
      </c>
      <c r="AQ862" s="2221">
        <f ca="1">SUM(INDIRECT(AQ$1&amp;AQ$2&amp;$A862):INDIRECT(AQ$1&amp;AQ$3&amp;$A862))+SUM(INDIRECT(AQ$1&amp;AQ$2&amp;$B862):INDIRECT(AQ$1&amp;AQ$3&amp;$B862))</f>
        <v>13687</v>
      </c>
      <c r="AR862" s="2938">
        <f t="shared" ca="1" si="1410"/>
        <v>1968</v>
      </c>
      <c r="AS862" s="2939">
        <f t="shared" ca="1" si="1426"/>
        <v>1.1437860743771462</v>
      </c>
      <c r="AU862" s="2221">
        <f ca="1">SUM((INDIRECT(AU$2&amp;(ROW())):INDIRECT(AU$3&amp;(ROW()))))</f>
        <v>15655</v>
      </c>
      <c r="AV862" s="2221">
        <f ca="1">SUM(INDIRECT(AV$1&amp;AV$2&amp;$C862):INDIRECT(AV$1&amp;AV$3&amp;$C862))</f>
        <v>17903.333333333332</v>
      </c>
      <c r="AW862" s="2938">
        <f t="shared" ca="1" si="1427"/>
        <v>-2248.3333333333321</v>
      </c>
      <c r="AX862" s="2939">
        <f t="shared" ca="1" si="1428"/>
        <v>0.87441817166263269</v>
      </c>
      <c r="AY862" s="2221">
        <f ca="1">SUM(INDIRECT(AY$1&amp;AY$2&amp;$A862):INDIRECT(AY$1&amp;AY$3&amp;$A862))+SUM(INDIRECT(AY$1&amp;AY$2&amp;$B862):INDIRECT(AY$1&amp;AY$3&amp;$B862))</f>
        <v>13687</v>
      </c>
      <c r="AZ862" s="2938">
        <f t="shared" ca="1" si="1429"/>
        <v>1968</v>
      </c>
      <c r="BA862" s="2939">
        <f t="shared" ca="1" si="1430"/>
        <v>1.1437860743771462</v>
      </c>
      <c r="BC862" s="2221">
        <f ca="1">SUM((INDIRECT(BC$2&amp;(ROW())):INDIRECT(BC$3&amp;(ROW()))))</f>
        <v>15655</v>
      </c>
      <c r="BD862" s="2221">
        <f ca="1">SUM(INDIRECT(BD$1&amp;BD$2&amp;$C862):INDIRECT(BD$1&amp;BD$3&amp;$C862))</f>
        <v>17903.333333333332</v>
      </c>
      <c r="BE862" s="2938">
        <f t="shared" ca="1" si="1431"/>
        <v>-2248.3333333333321</v>
      </c>
      <c r="BF862" s="2939">
        <f t="shared" ca="1" si="1432"/>
        <v>0.87441817166263269</v>
      </c>
      <c r="BG862" s="2221">
        <f ca="1">SUM(INDIRECT(BG$1&amp;BG$2&amp;$A862):INDIRECT(BG$1&amp;BG$3&amp;$A862))+SUM(INDIRECT(BG$1&amp;BG$2&amp;$B862):INDIRECT(BG$1&amp;BG$3&amp;$B862))</f>
        <v>13687</v>
      </c>
      <c r="BH862" s="2938">
        <f t="shared" ca="1" si="1433"/>
        <v>1968</v>
      </c>
      <c r="BI862" s="2939">
        <f t="shared" ca="1" si="1434"/>
        <v>1.1437860743771462</v>
      </c>
    </row>
    <row r="863" spans="1:61" ht="14.5">
      <c r="A863" s="1693">
        <f t="shared" si="1439"/>
        <v>855</v>
      </c>
      <c r="B863" s="616">
        <v>1</v>
      </c>
      <c r="C863" s="1693">
        <f t="shared" si="1436"/>
        <v>863</v>
      </c>
      <c r="D863" s="616">
        <v>1</v>
      </c>
      <c r="E863" s="709" t="s">
        <v>512</v>
      </c>
      <c r="F863" s="1572"/>
      <c r="G863" s="8"/>
      <c r="H863" s="8"/>
      <c r="J863" s="223"/>
      <c r="K863" s="8" t="s">
        <v>220</v>
      </c>
      <c r="L863" s="8"/>
      <c r="M863" s="8"/>
      <c r="R863" s="1777" t="str">
        <f>CHOOSE(2, "6722000003774", "FC COGS (2) PP Included in COGS [PC(Service)]")</f>
        <v>FC COGS (2) PP Included in COGS [PC(Service)]</v>
      </c>
      <c r="S863" s="1226">
        <f t="shared" ref="S863:AD863" si="1451">(S602+S606+S625+S629)*-1</f>
        <v>15330</v>
      </c>
      <c r="T863" s="1226">
        <f t="shared" si="1451"/>
        <v>15509.343999999999</v>
      </c>
      <c r="U863" s="1226">
        <f t="shared" si="1451"/>
        <v>15053.341</v>
      </c>
      <c r="V863" s="1226">
        <f t="shared" si="1451"/>
        <v>17161</v>
      </c>
      <c r="W863" s="1226">
        <f t="shared" si="1451"/>
        <v>18631.908722587301</v>
      </c>
      <c r="X863" s="1226">
        <f t="shared" si="1451"/>
        <v>16652.617999999999</v>
      </c>
      <c r="Y863" s="1226">
        <f t="shared" si="1451"/>
        <v>16933.671999999999</v>
      </c>
      <c r="Z863" s="1226">
        <f t="shared" si="1451"/>
        <v>20262.011999999999</v>
      </c>
      <c r="AA863" s="1226">
        <f t="shared" si="1451"/>
        <v>20093.340024495901</v>
      </c>
      <c r="AB863" s="1226">
        <f t="shared" si="1451"/>
        <v>22989.32374115003</v>
      </c>
      <c r="AC863" s="1226">
        <f t="shared" si="1451"/>
        <v>20646.91238577092</v>
      </c>
      <c r="AD863" s="1226">
        <f t="shared" si="1451"/>
        <v>20560.376342764128</v>
      </c>
      <c r="AE863" s="1617">
        <f>SUM(S863,T863,U863)</f>
        <v>45892.684999999998</v>
      </c>
      <c r="AF863" s="1419">
        <f>SUM(V863,W863,X863)</f>
        <v>52445.526722587296</v>
      </c>
      <c r="AG863" s="1419">
        <f>SUM(Y863,Z863,AA863)</f>
        <v>57289.024024495899</v>
      </c>
      <c r="AH863" s="1419">
        <f>SUM(AB863,AC863,AD863)</f>
        <v>64196.612469685075</v>
      </c>
      <c r="AI863" s="1419">
        <f>AE863+AF863</f>
        <v>98338.211722587293</v>
      </c>
      <c r="AJ863" s="1419">
        <f>AH863+AG863</f>
        <v>121485.63649418097</v>
      </c>
      <c r="AK863" s="1419">
        <f>AI863+AJ863</f>
        <v>219823.84821676827</v>
      </c>
      <c r="AM863" s="1948">
        <f ca="1">SUM((INDIRECT(AM$2&amp;(ROW())):INDIRECT(AM$3&amp;(ROW()))))</f>
        <v>15330</v>
      </c>
      <c r="AN863" s="1948">
        <f ca="1">SUM(INDIRECT(AN$1&amp;AN$2&amp;$C863):INDIRECT(AN$1&amp;AN$3&amp;$C863))</f>
        <v>14886.666666666666</v>
      </c>
      <c r="AO863" s="2786">
        <f t="shared" ca="1" si="1409"/>
        <v>443.33333333333394</v>
      </c>
      <c r="AP863" s="2787">
        <f t="shared" ca="1" si="1425"/>
        <v>1.0297805642633229</v>
      </c>
      <c r="AQ863" s="1948">
        <f ca="1">SUM(INDIRECT(AQ$1&amp;AQ$2&amp;$A863):INDIRECT(AQ$1&amp;AQ$3&amp;$A863))+SUM(INDIRECT(AQ$1&amp;AQ$2&amp;$B863):INDIRECT(AQ$1&amp;AQ$3&amp;$B863))</f>
        <v>13368</v>
      </c>
      <c r="AR863" s="2786">
        <f t="shared" ca="1" si="1410"/>
        <v>1962</v>
      </c>
      <c r="AS863" s="2787">
        <f t="shared" ca="1" si="1426"/>
        <v>1.1467684021543985</v>
      </c>
      <c r="AU863" s="1948">
        <f ca="1">SUM((INDIRECT(AU$2&amp;(ROW())):INDIRECT(AU$3&amp;(ROW()))))</f>
        <v>15330</v>
      </c>
      <c r="AV863" s="1948">
        <f ca="1">SUM(INDIRECT(AV$1&amp;AV$2&amp;$C863):INDIRECT(AV$1&amp;AV$3&amp;$C863))</f>
        <v>14886.666666666666</v>
      </c>
      <c r="AW863" s="2786">
        <f t="shared" ca="1" si="1427"/>
        <v>443.33333333333394</v>
      </c>
      <c r="AX863" s="2787">
        <f t="shared" ca="1" si="1428"/>
        <v>1.0297805642633229</v>
      </c>
      <c r="AY863" s="1948">
        <f ca="1">SUM(INDIRECT(AY$1&amp;AY$2&amp;$A863):INDIRECT(AY$1&amp;AY$3&amp;$A863))+SUM(INDIRECT(AY$1&amp;AY$2&amp;$B863):INDIRECT(AY$1&amp;AY$3&amp;$B863))</f>
        <v>13368</v>
      </c>
      <c r="AZ863" s="2786">
        <f t="shared" ca="1" si="1429"/>
        <v>1962</v>
      </c>
      <c r="BA863" s="2787">
        <f t="shared" ca="1" si="1430"/>
        <v>1.1467684021543985</v>
      </c>
      <c r="BC863" s="1948">
        <f ca="1">SUM((INDIRECT(BC$2&amp;(ROW())):INDIRECT(BC$3&amp;(ROW()))))</f>
        <v>15330</v>
      </c>
      <c r="BD863" s="1948">
        <f ca="1">SUM(INDIRECT(BD$1&amp;BD$2&amp;$C863):INDIRECT(BD$1&amp;BD$3&amp;$C863))</f>
        <v>14886.666666666666</v>
      </c>
      <c r="BE863" s="2786">
        <f t="shared" ca="1" si="1431"/>
        <v>443.33333333333394</v>
      </c>
      <c r="BF863" s="2787">
        <f t="shared" ca="1" si="1432"/>
        <v>1.0297805642633229</v>
      </c>
      <c r="BG863" s="1948">
        <f ca="1">SUM(INDIRECT(BG$1&amp;BG$2&amp;$A863):INDIRECT(BG$1&amp;BG$3&amp;$A863))+SUM(INDIRECT(BG$1&amp;BG$2&amp;$B863):INDIRECT(BG$1&amp;BG$3&amp;$B863))</f>
        <v>13368</v>
      </c>
      <c r="BH863" s="2786">
        <f t="shared" ca="1" si="1433"/>
        <v>1962</v>
      </c>
      <c r="BI863" s="2787">
        <f t="shared" ca="1" si="1434"/>
        <v>1.1467684021543985</v>
      </c>
    </row>
    <row r="864" spans="1:61" ht="14.5">
      <c r="A864" s="1693">
        <f t="shared" si="1439"/>
        <v>856</v>
      </c>
      <c r="B864" s="616">
        <v>1</v>
      </c>
      <c r="C864" s="1693">
        <f t="shared" si="1436"/>
        <v>864</v>
      </c>
      <c r="D864" s="616">
        <v>1</v>
      </c>
      <c r="E864" s="709" t="s">
        <v>512</v>
      </c>
      <c r="F864" s="69"/>
      <c r="G864" s="8"/>
      <c r="H864" s="8"/>
      <c r="J864" s="223"/>
      <c r="K864" s="8" t="s">
        <v>221</v>
      </c>
      <c r="L864" s="8"/>
      <c r="M864" s="8"/>
      <c r="R864" s="1777" t="str">
        <f>CHOOSE(2, "6722000003775", "FC COGS (2) PP Included in COGS [TE(Service)]")</f>
        <v>FC COGS (2) PP Included in COGS [TE(Service)]</v>
      </c>
      <c r="S864" s="1226">
        <f t="shared" ref="S864:AD864" si="1452">(S603+S626)*-1</f>
        <v>38</v>
      </c>
      <c r="T864" s="1226">
        <f t="shared" si="1452"/>
        <v>1416.5119999999999</v>
      </c>
      <c r="U864" s="1226">
        <f t="shared" si="1452"/>
        <v>2829.067</v>
      </c>
      <c r="V864" s="1226">
        <f t="shared" si="1452"/>
        <v>2852.556</v>
      </c>
      <c r="W864" s="1226">
        <f t="shared" si="1452"/>
        <v>2887.192</v>
      </c>
      <c r="X864" s="1226">
        <f t="shared" si="1452"/>
        <v>3367.4490000000001</v>
      </c>
      <c r="Y864" s="1226">
        <f t="shared" si="1452"/>
        <v>3347.2060000000001</v>
      </c>
      <c r="Z864" s="1226">
        <f t="shared" si="1452"/>
        <v>2354.7739999999999</v>
      </c>
      <c r="AA864" s="1226">
        <f t="shared" si="1452"/>
        <v>2611.305643318291</v>
      </c>
      <c r="AB864" s="1226">
        <f t="shared" si="1452"/>
        <v>3178.6233391358483</v>
      </c>
      <c r="AC864" s="1226">
        <f t="shared" si="1452"/>
        <v>2809.4650633272045</v>
      </c>
      <c r="AD864" s="1226">
        <f t="shared" si="1452"/>
        <v>3616.0141400193447</v>
      </c>
      <c r="AE864" s="1617">
        <f>SUM(S864,T864,U864)</f>
        <v>4283.5789999999997</v>
      </c>
      <c r="AF864" s="1419">
        <f>SUM(V864,W864,X864)</f>
        <v>9107.1970000000001</v>
      </c>
      <c r="AG864" s="1419">
        <f>SUM(Y864,Z864,AA864)</f>
        <v>8313.2856433182897</v>
      </c>
      <c r="AH864" s="1419">
        <f>SUM(AB864,AC864,AD864)</f>
        <v>9604.1025424823965</v>
      </c>
      <c r="AI864" s="1419">
        <f>AE864+AF864</f>
        <v>13390.776</v>
      </c>
      <c r="AJ864" s="1419">
        <f>AH864+AG864</f>
        <v>17917.388185800686</v>
      </c>
      <c r="AK864" s="1419">
        <f>AI864+AJ864</f>
        <v>31308.164185800684</v>
      </c>
      <c r="AL864" s="69"/>
      <c r="AM864" s="1948">
        <f ca="1">SUM((INDIRECT(AM$2&amp;(ROW())):INDIRECT(AM$3&amp;(ROW()))))</f>
        <v>38</v>
      </c>
      <c r="AN864" s="1948">
        <f ca="1">SUM(INDIRECT(AN$1&amp;AN$2&amp;$C864):INDIRECT(AN$1&amp;AN$3&amp;$C864))</f>
        <v>2733.3333333333335</v>
      </c>
      <c r="AO864" s="2786">
        <f t="shared" ca="1" si="1409"/>
        <v>-2695.3333333333335</v>
      </c>
      <c r="AP864" s="2787">
        <f t="shared" ca="1" si="1425"/>
        <v>1.3902439024390242E-2</v>
      </c>
      <c r="AQ864" s="1948">
        <f ca="1">SUM(INDIRECT(AQ$1&amp;AQ$2&amp;$A864):INDIRECT(AQ$1&amp;AQ$3&amp;$A864))+SUM(INDIRECT(AQ$1&amp;AQ$2&amp;$B864):INDIRECT(AQ$1&amp;AQ$3&amp;$B864))</f>
        <v>0</v>
      </c>
      <c r="AR864" s="2786">
        <f t="shared" ca="1" si="1410"/>
        <v>38</v>
      </c>
      <c r="AS864" s="2787">
        <f t="shared" ca="1" si="1426"/>
        <v>0</v>
      </c>
      <c r="AU864" s="1948">
        <f ca="1">SUM((INDIRECT(AU$2&amp;(ROW())):INDIRECT(AU$3&amp;(ROW()))))</f>
        <v>38</v>
      </c>
      <c r="AV864" s="1948">
        <f ca="1">SUM(INDIRECT(AV$1&amp;AV$2&amp;$C864):INDIRECT(AV$1&amp;AV$3&amp;$C864))</f>
        <v>2733.3333333333335</v>
      </c>
      <c r="AW864" s="2786">
        <f t="shared" ca="1" si="1427"/>
        <v>-2695.3333333333335</v>
      </c>
      <c r="AX864" s="2787">
        <f t="shared" ca="1" si="1428"/>
        <v>1.3902439024390242E-2</v>
      </c>
      <c r="AY864" s="1948">
        <f ca="1">SUM(INDIRECT(AY$1&amp;AY$2&amp;$A864):INDIRECT(AY$1&amp;AY$3&amp;$A864))+SUM(INDIRECT(AY$1&amp;AY$2&amp;$B864):INDIRECT(AY$1&amp;AY$3&amp;$B864))</f>
        <v>0</v>
      </c>
      <c r="AZ864" s="2786">
        <f t="shared" ca="1" si="1429"/>
        <v>38</v>
      </c>
      <c r="BA864" s="2787">
        <f t="shared" ca="1" si="1430"/>
        <v>0</v>
      </c>
      <c r="BC864" s="1948">
        <f ca="1">SUM((INDIRECT(BC$2&amp;(ROW())):INDIRECT(BC$3&amp;(ROW()))))</f>
        <v>38</v>
      </c>
      <c r="BD864" s="1948">
        <f ca="1">SUM(INDIRECT(BD$1&amp;BD$2&amp;$C864):INDIRECT(BD$1&amp;BD$3&amp;$C864))</f>
        <v>2733.3333333333335</v>
      </c>
      <c r="BE864" s="2786">
        <f t="shared" ca="1" si="1431"/>
        <v>-2695.3333333333335</v>
      </c>
      <c r="BF864" s="2787">
        <f t="shared" ca="1" si="1432"/>
        <v>1.3902439024390242E-2</v>
      </c>
      <c r="BG864" s="1948">
        <f ca="1">SUM(INDIRECT(BG$1&amp;BG$2&amp;$A864):INDIRECT(BG$1&amp;BG$3&amp;$A864))+SUM(INDIRECT(BG$1&amp;BG$2&amp;$B864):INDIRECT(BG$1&amp;BG$3&amp;$B864))</f>
        <v>0</v>
      </c>
      <c r="BH864" s="2786">
        <f t="shared" ca="1" si="1433"/>
        <v>38</v>
      </c>
      <c r="BI864" s="2787">
        <f t="shared" ca="1" si="1434"/>
        <v>0</v>
      </c>
    </row>
    <row r="865" spans="1:61" ht="14.5">
      <c r="A865" s="1693">
        <f t="shared" si="1439"/>
        <v>857</v>
      </c>
      <c r="B865" s="616">
        <v>1</v>
      </c>
      <c r="C865" s="1693">
        <f t="shared" si="1436"/>
        <v>865</v>
      </c>
      <c r="D865" s="616">
        <v>1</v>
      </c>
      <c r="E865" s="709" t="s">
        <v>512</v>
      </c>
      <c r="F865" s="1572"/>
      <c r="G865" s="8"/>
      <c r="H865" s="8"/>
      <c r="J865" s="172"/>
      <c r="K865" s="8" t="s">
        <v>222</v>
      </c>
      <c r="R865" s="1782" t="str">
        <f>CHOOSE(2, "6722000003776", "FC COGS (2) PP Included in COGS [OFC(Service)]")</f>
        <v>FC COGS (2) PP Included in COGS [OFC(Service)]</v>
      </c>
      <c r="S865" s="1226">
        <f t="shared" ref="S865:AD865" si="1453">(S604+S607+S627+S630)*-1</f>
        <v>287</v>
      </c>
      <c r="T865" s="1226">
        <f t="shared" si="1453"/>
        <v>287.7525</v>
      </c>
      <c r="U865" s="1226">
        <f t="shared" si="1453"/>
        <v>287.74400000000003</v>
      </c>
      <c r="V865" s="1226">
        <f t="shared" si="1453"/>
        <v>302.13</v>
      </c>
      <c r="W865" s="1226">
        <f t="shared" si="1453"/>
        <v>287.74799999999999</v>
      </c>
      <c r="X865" s="1226">
        <f t="shared" si="1453"/>
        <v>330.89400000000001</v>
      </c>
      <c r="Y865" s="1226">
        <f t="shared" si="1453"/>
        <v>302.13</v>
      </c>
      <c r="Z865" s="1226">
        <f t="shared" si="1453"/>
        <v>302.13</v>
      </c>
      <c r="AA865" s="1226">
        <f t="shared" si="1453"/>
        <v>311.13</v>
      </c>
      <c r="AB865" s="1226">
        <f t="shared" si="1453"/>
        <v>302.13</v>
      </c>
      <c r="AC865" s="1226">
        <f t="shared" si="1453"/>
        <v>302.13</v>
      </c>
      <c r="AD865" s="1226">
        <f t="shared" si="1453"/>
        <v>241.70400000000001</v>
      </c>
      <c r="AE865" s="125">
        <f>SUM(S865,T865,U865)</f>
        <v>862.49650000000008</v>
      </c>
      <c r="AF865" s="126">
        <f>SUM(V865,W865,X865)</f>
        <v>920.77199999999993</v>
      </c>
      <c r="AG865" s="126">
        <f>SUM(Y865,Z865,AA865)</f>
        <v>915.39</v>
      </c>
      <c r="AH865" s="126">
        <f>SUM(AB865,AC865,AD865)</f>
        <v>845.96399999999994</v>
      </c>
      <c r="AI865" s="126">
        <f>AE865+AF865</f>
        <v>1783.2685000000001</v>
      </c>
      <c r="AJ865" s="126">
        <f>AH865+AG865</f>
        <v>1761.3539999999998</v>
      </c>
      <c r="AK865" s="126">
        <f>AI865+AJ865</f>
        <v>3544.6224999999999</v>
      </c>
      <c r="AM865" s="1948">
        <f ca="1">SUM((INDIRECT(AM$2&amp;(ROW())):INDIRECT(AM$3&amp;(ROW()))))</f>
        <v>287</v>
      </c>
      <c r="AN865" s="1948">
        <f ca="1">SUM(INDIRECT(AN$1&amp;AN$2&amp;$C865):INDIRECT(AN$1&amp;AN$3&amp;$C865))</f>
        <v>283.33333333333331</v>
      </c>
      <c r="AO865" s="2786">
        <f t="shared" ca="1" si="1409"/>
        <v>3.6666666666666856</v>
      </c>
      <c r="AP865" s="2787">
        <f t="shared" ca="1" si="1425"/>
        <v>1.0129411764705882</v>
      </c>
      <c r="AQ865" s="1948">
        <f ca="1">SUM(INDIRECT(AQ$1&amp;AQ$2&amp;$A865):INDIRECT(AQ$1&amp;AQ$3&amp;$A865))+SUM(INDIRECT(AQ$1&amp;AQ$2&amp;$B865):INDIRECT(AQ$1&amp;AQ$3&amp;$B865))</f>
        <v>319</v>
      </c>
      <c r="AR865" s="2786">
        <f t="shared" ca="1" si="1410"/>
        <v>-32</v>
      </c>
      <c r="AS865" s="2787">
        <f t="shared" ca="1" si="1426"/>
        <v>0.89968652037617558</v>
      </c>
      <c r="AU865" s="1948">
        <f ca="1">SUM((INDIRECT(AU$2&amp;(ROW())):INDIRECT(AU$3&amp;(ROW()))))</f>
        <v>287</v>
      </c>
      <c r="AV865" s="1948">
        <f ca="1">SUM(INDIRECT(AV$1&amp;AV$2&amp;$C865):INDIRECT(AV$1&amp;AV$3&amp;$C865))</f>
        <v>283.33333333333331</v>
      </c>
      <c r="AW865" s="2786">
        <f t="shared" ca="1" si="1427"/>
        <v>3.6666666666666856</v>
      </c>
      <c r="AX865" s="2787">
        <f t="shared" ca="1" si="1428"/>
        <v>1.0129411764705882</v>
      </c>
      <c r="AY865" s="1948">
        <f ca="1">SUM(INDIRECT(AY$1&amp;AY$2&amp;$A865):INDIRECT(AY$1&amp;AY$3&amp;$A865))+SUM(INDIRECT(AY$1&amp;AY$2&amp;$B865):INDIRECT(AY$1&amp;AY$3&amp;$B865))</f>
        <v>319</v>
      </c>
      <c r="AZ865" s="2786">
        <f t="shared" ca="1" si="1429"/>
        <v>-32</v>
      </c>
      <c r="BA865" s="2787">
        <f t="shared" ca="1" si="1430"/>
        <v>0.89968652037617558</v>
      </c>
      <c r="BC865" s="1948">
        <f ca="1">SUM((INDIRECT(BC$2&amp;(ROW())):INDIRECT(BC$3&amp;(ROW()))))</f>
        <v>287</v>
      </c>
      <c r="BD865" s="1948">
        <f ca="1">SUM(INDIRECT(BD$1&amp;BD$2&amp;$C865):INDIRECT(BD$1&amp;BD$3&amp;$C865))</f>
        <v>283.33333333333331</v>
      </c>
      <c r="BE865" s="2786">
        <f t="shared" ca="1" si="1431"/>
        <v>3.6666666666666856</v>
      </c>
      <c r="BF865" s="2787">
        <f t="shared" ca="1" si="1432"/>
        <v>1.0129411764705882</v>
      </c>
      <c r="BG865" s="1948">
        <f ca="1">SUM(INDIRECT(BG$1&amp;BG$2&amp;$A865):INDIRECT(BG$1&amp;BG$3&amp;$A865))+SUM(INDIRECT(BG$1&amp;BG$2&amp;$B865):INDIRECT(BG$1&amp;BG$3&amp;$B865))</f>
        <v>319</v>
      </c>
      <c r="BH865" s="2786">
        <f t="shared" ca="1" si="1433"/>
        <v>-32</v>
      </c>
      <c r="BI865" s="2787">
        <f t="shared" ca="1" si="1434"/>
        <v>0.89968652037617558</v>
      </c>
    </row>
    <row r="866" spans="1:61" ht="14.5">
      <c r="A866" s="1693">
        <f t="shared" si="1439"/>
        <v>858</v>
      </c>
      <c r="B866" s="616">
        <v>1</v>
      </c>
      <c r="C866" s="1693">
        <f t="shared" si="1436"/>
        <v>866</v>
      </c>
      <c r="D866" s="616">
        <v>1</v>
      </c>
      <c r="E866" s="709" t="s">
        <v>512</v>
      </c>
      <c r="F866" s="69"/>
      <c r="G866" s="8"/>
      <c r="H866" s="8"/>
      <c r="J866" s="171"/>
      <c r="K866" s="11" t="s">
        <v>300</v>
      </c>
      <c r="L866" s="16"/>
      <c r="M866" s="16"/>
      <c r="N866" s="11"/>
      <c r="O866" s="11"/>
      <c r="P866" s="11"/>
      <c r="Q866" s="11"/>
      <c r="R866" s="1782" t="str">
        <f>CHOOSE(2, "6722000003777", "FC COGS (2) PP Included in COGS [D&amp;A]")</f>
        <v>FC COGS (2) PP Included in COGS [D&amp;A]</v>
      </c>
      <c r="S866" s="1228">
        <f t="shared" ref="S866:AD866" si="1454">(S608+S631)*-1</f>
        <v>0</v>
      </c>
      <c r="T866" s="1228">
        <f t="shared" si="1454"/>
        <v>0</v>
      </c>
      <c r="U866" s="1228">
        <f t="shared" si="1454"/>
        <v>0</v>
      </c>
      <c r="V866" s="1228">
        <f t="shared" si="1454"/>
        <v>0</v>
      </c>
      <c r="W866" s="1228">
        <f t="shared" si="1454"/>
        <v>0</v>
      </c>
      <c r="X866" s="1228">
        <f t="shared" si="1454"/>
        <v>0</v>
      </c>
      <c r="Y866" s="1228">
        <f t="shared" si="1454"/>
        <v>0</v>
      </c>
      <c r="Z866" s="1228">
        <f t="shared" si="1454"/>
        <v>0</v>
      </c>
      <c r="AA866" s="1228">
        <f t="shared" si="1454"/>
        <v>0</v>
      </c>
      <c r="AB866" s="1228">
        <f t="shared" si="1454"/>
        <v>0</v>
      </c>
      <c r="AC866" s="1228">
        <f t="shared" si="1454"/>
        <v>0</v>
      </c>
      <c r="AD866" s="1228">
        <f t="shared" si="1454"/>
        <v>0</v>
      </c>
      <c r="AE866" s="122">
        <f>SUM(S866,T866,U866)</f>
        <v>0</v>
      </c>
      <c r="AF866" s="123">
        <f>SUM(V866,W866,X866)</f>
        <v>0</v>
      </c>
      <c r="AG866" s="123">
        <f>SUM(Y866,Z866,AA866)</f>
        <v>0</v>
      </c>
      <c r="AH866" s="123">
        <f>SUM(AB866,AC866,AD866)</f>
        <v>0</v>
      </c>
      <c r="AI866" s="123">
        <f>AE866+AF866</f>
        <v>0</v>
      </c>
      <c r="AJ866" s="123">
        <f>AH866+AG866</f>
        <v>0</v>
      </c>
      <c r="AK866" s="123">
        <f>AI866+AJ866</f>
        <v>0</v>
      </c>
      <c r="AM866" s="1950">
        <f ca="1">SUM((INDIRECT(AM$2&amp;(ROW())):INDIRECT(AM$3&amp;(ROW()))))</f>
        <v>0</v>
      </c>
      <c r="AN866" s="1950">
        <f ca="1">SUM(INDIRECT(AN$1&amp;AN$2&amp;$C866):INDIRECT(AN$1&amp;AN$3&amp;$C866))</f>
        <v>0</v>
      </c>
      <c r="AO866" s="2715">
        <f t="shared" ca="1" si="1409"/>
        <v>0</v>
      </c>
      <c r="AP866" s="2716">
        <f t="shared" ca="1" si="1425"/>
        <v>0</v>
      </c>
      <c r="AQ866" s="1950">
        <f ca="1">SUM(INDIRECT(AQ$1&amp;AQ$2&amp;$A866):INDIRECT(AQ$1&amp;AQ$3&amp;$A866))+SUM(INDIRECT(AQ$1&amp;AQ$2&amp;$B866):INDIRECT(AQ$1&amp;AQ$3&amp;$B866))</f>
        <v>0</v>
      </c>
      <c r="AR866" s="2715">
        <f t="shared" ca="1" si="1410"/>
        <v>0</v>
      </c>
      <c r="AS866" s="2716">
        <f t="shared" ca="1" si="1426"/>
        <v>0</v>
      </c>
      <c r="AU866" s="1950">
        <f ca="1">SUM((INDIRECT(AU$2&amp;(ROW())):INDIRECT(AU$3&amp;(ROW()))))</f>
        <v>0</v>
      </c>
      <c r="AV866" s="1950">
        <f ca="1">SUM(INDIRECT(AV$1&amp;AV$2&amp;$C866):INDIRECT(AV$1&amp;AV$3&amp;$C866))</f>
        <v>0</v>
      </c>
      <c r="AW866" s="2715">
        <f t="shared" ca="1" si="1427"/>
        <v>0</v>
      </c>
      <c r="AX866" s="2716">
        <f t="shared" ca="1" si="1428"/>
        <v>0</v>
      </c>
      <c r="AY866" s="1950">
        <f ca="1">SUM(INDIRECT(AY$1&amp;AY$2&amp;$A866):INDIRECT(AY$1&amp;AY$3&amp;$A866))+SUM(INDIRECT(AY$1&amp;AY$2&amp;$B866):INDIRECT(AY$1&amp;AY$3&amp;$B866))</f>
        <v>0</v>
      </c>
      <c r="AZ866" s="2715">
        <f t="shared" ca="1" si="1429"/>
        <v>0</v>
      </c>
      <c r="BA866" s="2716">
        <f t="shared" ca="1" si="1430"/>
        <v>0</v>
      </c>
      <c r="BC866" s="1950">
        <f ca="1">SUM((INDIRECT(BC$2&amp;(ROW())):INDIRECT(BC$3&amp;(ROW()))))</f>
        <v>0</v>
      </c>
      <c r="BD866" s="1950">
        <f ca="1">SUM(INDIRECT(BD$1&amp;BD$2&amp;$C866):INDIRECT(BD$1&amp;BD$3&amp;$C866))</f>
        <v>0</v>
      </c>
      <c r="BE866" s="2715">
        <f t="shared" ca="1" si="1431"/>
        <v>0</v>
      </c>
      <c r="BF866" s="2716">
        <f t="shared" ca="1" si="1432"/>
        <v>0</v>
      </c>
      <c r="BG866" s="1950">
        <f ca="1">SUM(INDIRECT(BG$1&amp;BG$2&amp;$A866):INDIRECT(BG$1&amp;BG$3&amp;$A866))+SUM(INDIRECT(BG$1&amp;BG$2&amp;$B866):INDIRECT(BG$1&amp;BG$3&amp;$B866))</f>
        <v>0</v>
      </c>
      <c r="BH866" s="2715">
        <f t="shared" ca="1" si="1433"/>
        <v>0</v>
      </c>
      <c r="BI866" s="2716">
        <f t="shared" ca="1" si="1434"/>
        <v>0</v>
      </c>
    </row>
    <row r="867" spans="1:61" s="69" customFormat="1" ht="14.5">
      <c r="A867" s="1693">
        <f t="shared" si="1439"/>
        <v>859</v>
      </c>
      <c r="B867" s="616">
        <v>1</v>
      </c>
      <c r="C867" s="1693">
        <f t="shared" si="1436"/>
        <v>867</v>
      </c>
      <c r="D867" s="616">
        <v>1</v>
      </c>
      <c r="E867" s="709" t="s">
        <v>512</v>
      </c>
      <c r="F867" s="1572"/>
      <c r="G867" s="8"/>
      <c r="H867" s="8"/>
      <c r="I867" s="22"/>
      <c r="J867" s="346" t="s">
        <v>284</v>
      </c>
      <c r="K867" s="347"/>
      <c r="L867" s="348"/>
      <c r="M867" s="348"/>
      <c r="N867" s="348"/>
      <c r="O867" s="348"/>
      <c r="P867" s="348"/>
      <c r="Q867" s="589"/>
      <c r="R867" s="1817" t="str">
        <f>CHOOSE(2, "6722000003778", "FC COGS (3) IP")</f>
        <v>FC COGS (3) IP</v>
      </c>
      <c r="S867" s="1268">
        <f>SUM(S868:S871)</f>
        <v>1031</v>
      </c>
      <c r="T867" s="1268">
        <f t="shared" ref="T867:AD867" si="1455">SUM(T868:T871)</f>
        <v>1118.2190000000001</v>
      </c>
      <c r="U867" s="1268">
        <f t="shared" si="1455"/>
        <v>1240.3149999999998</v>
      </c>
      <c r="V867" s="1268">
        <f t="shared" si="1455"/>
        <v>988.10400000000004</v>
      </c>
      <c r="W867" s="1268">
        <f t="shared" si="1455"/>
        <v>963.24248652258939</v>
      </c>
      <c r="X867" s="1268">
        <f t="shared" si="1455"/>
        <v>949.97300000000007</v>
      </c>
      <c r="Y867" s="1268">
        <f t="shared" si="1455"/>
        <v>916.01100000000008</v>
      </c>
      <c r="Z867" s="1268">
        <f t="shared" si="1455"/>
        <v>1101.2739999999999</v>
      </c>
      <c r="AA867" s="1268">
        <f t="shared" si="1455"/>
        <v>1669.3041462478182</v>
      </c>
      <c r="AB867" s="1268">
        <f t="shared" si="1455"/>
        <v>1178.5389779209022</v>
      </c>
      <c r="AC867" s="1268">
        <f t="shared" si="1455"/>
        <v>1117.2658288180605</v>
      </c>
      <c r="AD867" s="1268">
        <f t="shared" si="1455"/>
        <v>1185.2773884502183</v>
      </c>
      <c r="AE867" s="908">
        <f t="shared" ref="AE867:AK867" si="1456">SUM(AE868:AE871)</f>
        <v>3389.5339999999997</v>
      </c>
      <c r="AF867" s="349">
        <f t="shared" si="1456"/>
        <v>2901.3194865225896</v>
      </c>
      <c r="AG867" s="349">
        <f t="shared" si="1456"/>
        <v>3686.589146247818</v>
      </c>
      <c r="AH867" s="349">
        <f t="shared" si="1456"/>
        <v>3481.0821951891808</v>
      </c>
      <c r="AI867" s="349">
        <f t="shared" si="1456"/>
        <v>6290.8534865225893</v>
      </c>
      <c r="AJ867" s="349">
        <f t="shared" si="1456"/>
        <v>7167.6713414369988</v>
      </c>
      <c r="AK867" s="349">
        <f t="shared" si="1456"/>
        <v>13458.524827959587</v>
      </c>
      <c r="AL867" s="8"/>
      <c r="AM867" s="2226">
        <f ca="1">SUM((INDIRECT(AM$2&amp;(ROW())):INDIRECT(AM$3&amp;(ROW()))))</f>
        <v>1031</v>
      </c>
      <c r="AN867" s="2226">
        <f ca="1">SUM(INDIRECT(AN$1&amp;AN$2&amp;$C867):INDIRECT(AN$1&amp;AN$3&amp;$C867))</f>
        <v>1120</v>
      </c>
      <c r="AO867" s="2940">
        <f t="shared" ca="1" si="1409"/>
        <v>-89</v>
      </c>
      <c r="AP867" s="2941">
        <f t="shared" ca="1" si="1425"/>
        <v>0.92053571428571423</v>
      </c>
      <c r="AQ867" s="2226">
        <f ca="1">SUM(INDIRECT(AQ$1&amp;AQ$2&amp;$A867):INDIRECT(AQ$1&amp;AQ$3&amp;$A867))+SUM(INDIRECT(AQ$1&amp;AQ$2&amp;$B867):INDIRECT(AQ$1&amp;AQ$3&amp;$B867))</f>
        <v>873</v>
      </c>
      <c r="AR867" s="2940">
        <f t="shared" ca="1" si="1410"/>
        <v>158</v>
      </c>
      <c r="AS867" s="2941">
        <f t="shared" ca="1" si="1426"/>
        <v>1.1809851088201604</v>
      </c>
      <c r="AU867" s="2226">
        <f ca="1">SUM((INDIRECT(AU$2&amp;(ROW())):INDIRECT(AU$3&amp;(ROW()))))</f>
        <v>1031</v>
      </c>
      <c r="AV867" s="2226">
        <f ca="1">SUM(INDIRECT(AV$1&amp;AV$2&amp;$C867):INDIRECT(AV$1&amp;AV$3&amp;$C867))</f>
        <v>1120</v>
      </c>
      <c r="AW867" s="2940">
        <f t="shared" ca="1" si="1427"/>
        <v>-89</v>
      </c>
      <c r="AX867" s="2941">
        <f t="shared" ca="1" si="1428"/>
        <v>0.92053571428571423</v>
      </c>
      <c r="AY867" s="2226">
        <f ca="1">SUM(INDIRECT(AY$1&amp;AY$2&amp;$A867):INDIRECT(AY$1&amp;AY$3&amp;$A867))+SUM(INDIRECT(AY$1&amp;AY$2&amp;$B867):INDIRECT(AY$1&amp;AY$3&amp;$B867))</f>
        <v>873</v>
      </c>
      <c r="AZ867" s="2940">
        <f t="shared" ca="1" si="1429"/>
        <v>158</v>
      </c>
      <c r="BA867" s="2941">
        <f t="shared" ca="1" si="1430"/>
        <v>1.1809851088201604</v>
      </c>
      <c r="BC867" s="2226">
        <f ca="1">SUM((INDIRECT(BC$2&amp;(ROW())):INDIRECT(BC$3&amp;(ROW()))))</f>
        <v>1031</v>
      </c>
      <c r="BD867" s="2226">
        <f ca="1">SUM(INDIRECT(BD$1&amp;BD$2&amp;$C867):INDIRECT(BD$1&amp;BD$3&amp;$C867))</f>
        <v>1120</v>
      </c>
      <c r="BE867" s="2940">
        <f t="shared" ca="1" si="1431"/>
        <v>-89</v>
      </c>
      <c r="BF867" s="2941">
        <f t="shared" ca="1" si="1432"/>
        <v>0.92053571428571423</v>
      </c>
      <c r="BG867" s="2226">
        <f ca="1">SUM(INDIRECT(BG$1&amp;BG$2&amp;$A867):INDIRECT(BG$1&amp;BG$3&amp;$A867))+SUM(INDIRECT(BG$1&amp;BG$2&amp;$B867):INDIRECT(BG$1&amp;BG$3&amp;$B867))</f>
        <v>873</v>
      </c>
      <c r="BH867" s="2940">
        <f t="shared" ca="1" si="1433"/>
        <v>158</v>
      </c>
      <c r="BI867" s="2941">
        <f t="shared" ca="1" si="1434"/>
        <v>1.1809851088201604</v>
      </c>
    </row>
    <row r="868" spans="1:61" ht="14.5">
      <c r="A868" s="1693">
        <f t="shared" si="1439"/>
        <v>860</v>
      </c>
      <c r="B868" s="616">
        <v>1</v>
      </c>
      <c r="C868" s="1693">
        <f t="shared" si="1436"/>
        <v>868</v>
      </c>
      <c r="D868" s="616">
        <v>1</v>
      </c>
      <c r="E868" s="709" t="s">
        <v>512</v>
      </c>
      <c r="F868" s="1572"/>
      <c r="G868" s="8"/>
      <c r="H868" s="8"/>
      <c r="J868" s="223"/>
      <c r="K868" s="8" t="s">
        <v>220</v>
      </c>
      <c r="L868" s="8"/>
      <c r="M868" s="8"/>
      <c r="R868" s="1777" t="str">
        <f>CHOOSE(2, "6722000003779", "FC COGS (3) IP Included in COGS [PC(Service)]")</f>
        <v>FC COGS (3) IP Included in COGS [PC(Service)]</v>
      </c>
      <c r="S868" s="1226">
        <f t="shared" ref="S868:AD868" si="1457">(S684+S690+S696+S702+S708+S712+S728+S734+S740+S746+S752+S756)*-1</f>
        <v>1031</v>
      </c>
      <c r="T868" s="1226">
        <f t="shared" si="1457"/>
        <v>1009.9880000000001</v>
      </c>
      <c r="U868" s="1226">
        <f t="shared" si="1457"/>
        <v>1063.6979999999999</v>
      </c>
      <c r="V868" s="1226">
        <f t="shared" si="1457"/>
        <v>932.02800000000002</v>
      </c>
      <c r="W868" s="1226">
        <f t="shared" si="1457"/>
        <v>885.90648652258938</v>
      </c>
      <c r="X868" s="1226">
        <f t="shared" si="1457"/>
        <v>829.84900000000005</v>
      </c>
      <c r="Y868" s="1226">
        <f t="shared" si="1457"/>
        <v>834.84900000000005</v>
      </c>
      <c r="Z868" s="1226">
        <f t="shared" si="1457"/>
        <v>996.39199999999994</v>
      </c>
      <c r="AA868" s="1226">
        <f t="shared" si="1457"/>
        <v>1534.4252999999999</v>
      </c>
      <c r="AB868" s="1226">
        <f t="shared" si="1457"/>
        <v>1095.5779823253738</v>
      </c>
      <c r="AC868" s="1226">
        <f t="shared" si="1457"/>
        <v>1008.955069421709</v>
      </c>
      <c r="AD868" s="1226">
        <f t="shared" si="1457"/>
        <v>1086.2657384985798</v>
      </c>
      <c r="AE868" s="1617">
        <f>SUM(S868,T868,U868)</f>
        <v>3104.6859999999997</v>
      </c>
      <c r="AF868" s="1419">
        <f>SUM(V868,W868,X868)</f>
        <v>2647.7834865225896</v>
      </c>
      <c r="AG868" s="1419">
        <f>SUM(Y868,Z868,AA868)</f>
        <v>3365.6662999999999</v>
      </c>
      <c r="AH868" s="1419">
        <f>SUM(AB868,AC868,AD868)</f>
        <v>3190.7987902456625</v>
      </c>
      <c r="AI868" s="1419">
        <f>AE868+AF868</f>
        <v>5752.4694865225892</v>
      </c>
      <c r="AJ868" s="1419">
        <f>AH868+AG868</f>
        <v>6556.4650902456624</v>
      </c>
      <c r="AK868" s="1419">
        <f>AI868+AJ868</f>
        <v>12308.934576768252</v>
      </c>
      <c r="AM868" s="1948">
        <f ca="1">SUM((INDIRECT(AM$2&amp;(ROW())):INDIRECT(AM$3&amp;(ROW()))))</f>
        <v>1031</v>
      </c>
      <c r="AN868" s="1948">
        <f ca="1">SUM(INDIRECT(AN$1&amp;AN$2&amp;$C868):INDIRECT(AN$1&amp;AN$3&amp;$C868))</f>
        <v>1000</v>
      </c>
      <c r="AO868" s="2786">
        <f t="shared" ca="1" si="1409"/>
        <v>31</v>
      </c>
      <c r="AP868" s="2787">
        <f t="shared" ca="1" si="1425"/>
        <v>1.0309999999999999</v>
      </c>
      <c r="AQ868" s="1948">
        <f ca="1">SUM(INDIRECT(AQ$1&amp;AQ$2&amp;$A868):INDIRECT(AQ$1&amp;AQ$3&amp;$A868))+SUM(INDIRECT(AQ$1&amp;AQ$2&amp;$B868):INDIRECT(AQ$1&amp;AQ$3&amp;$B868))</f>
        <v>873</v>
      </c>
      <c r="AR868" s="2786">
        <f t="shared" ca="1" si="1410"/>
        <v>158</v>
      </c>
      <c r="AS868" s="2787">
        <f t="shared" ca="1" si="1426"/>
        <v>1.1809851088201604</v>
      </c>
      <c r="AU868" s="1948">
        <f ca="1">SUM((INDIRECT(AU$2&amp;(ROW())):INDIRECT(AU$3&amp;(ROW()))))</f>
        <v>1031</v>
      </c>
      <c r="AV868" s="1948">
        <f ca="1">SUM(INDIRECT(AV$1&amp;AV$2&amp;$C868):INDIRECT(AV$1&amp;AV$3&amp;$C868))</f>
        <v>1000</v>
      </c>
      <c r="AW868" s="2786">
        <f t="shared" ca="1" si="1427"/>
        <v>31</v>
      </c>
      <c r="AX868" s="2787">
        <f t="shared" ca="1" si="1428"/>
        <v>1.0309999999999999</v>
      </c>
      <c r="AY868" s="1948">
        <f ca="1">SUM(INDIRECT(AY$1&amp;AY$2&amp;$A868):INDIRECT(AY$1&amp;AY$3&amp;$A868))+SUM(INDIRECT(AY$1&amp;AY$2&amp;$B868):INDIRECT(AY$1&amp;AY$3&amp;$B868))</f>
        <v>873</v>
      </c>
      <c r="AZ868" s="2786">
        <f t="shared" ca="1" si="1429"/>
        <v>158</v>
      </c>
      <c r="BA868" s="2787">
        <f t="shared" ca="1" si="1430"/>
        <v>1.1809851088201604</v>
      </c>
      <c r="BC868" s="1948">
        <f ca="1">SUM((INDIRECT(BC$2&amp;(ROW())):INDIRECT(BC$3&amp;(ROW()))))</f>
        <v>1031</v>
      </c>
      <c r="BD868" s="1948">
        <f ca="1">SUM(INDIRECT(BD$1&amp;BD$2&amp;$C868):INDIRECT(BD$1&amp;BD$3&amp;$C868))</f>
        <v>1000</v>
      </c>
      <c r="BE868" s="2786">
        <f t="shared" ca="1" si="1431"/>
        <v>31</v>
      </c>
      <c r="BF868" s="2787">
        <f t="shared" ca="1" si="1432"/>
        <v>1.0309999999999999</v>
      </c>
      <c r="BG868" s="1948">
        <f ca="1">SUM(INDIRECT(BG$1&amp;BG$2&amp;$A868):INDIRECT(BG$1&amp;BG$3&amp;$A868))+SUM(INDIRECT(BG$1&amp;BG$2&amp;$B868):INDIRECT(BG$1&amp;BG$3&amp;$B868))</f>
        <v>873</v>
      </c>
      <c r="BH868" s="2786">
        <f t="shared" ca="1" si="1433"/>
        <v>158</v>
      </c>
      <c r="BI868" s="2787">
        <f t="shared" ca="1" si="1434"/>
        <v>1.1809851088201604</v>
      </c>
    </row>
    <row r="869" spans="1:61" ht="14.5">
      <c r="A869" s="1693">
        <f t="shared" si="1439"/>
        <v>861</v>
      </c>
      <c r="B869" s="616">
        <v>1</v>
      </c>
      <c r="C869" s="1693">
        <f t="shared" si="1436"/>
        <v>869</v>
      </c>
      <c r="D869" s="616">
        <v>1</v>
      </c>
      <c r="E869" s="709" t="s">
        <v>512</v>
      </c>
      <c r="F869" s="69"/>
      <c r="G869" s="8"/>
      <c r="H869" s="8"/>
      <c r="J869" s="223"/>
      <c r="K869" s="8" t="s">
        <v>221</v>
      </c>
      <c r="L869" s="8"/>
      <c r="M869" s="8"/>
      <c r="R869" s="1777" t="str">
        <f>CHOOSE(2, "6722000003780", "FC COGS (3) IP Included in COGS [TE(Service)]")</f>
        <v>FC COGS (3) IP Included in COGS [TE(Service)]</v>
      </c>
      <c r="S869" s="1226">
        <f t="shared" ref="S869:AD869" si="1458">(S685+S691+S697+S703+S709+S729+S735+S741+S747+S753)*-1</f>
        <v>0</v>
      </c>
      <c r="T869" s="1226">
        <f t="shared" si="1458"/>
        <v>108.23099999999999</v>
      </c>
      <c r="U869" s="1226">
        <f t="shared" si="1458"/>
        <v>176.61699999999999</v>
      </c>
      <c r="V869" s="1226">
        <f t="shared" si="1458"/>
        <v>56.076000000000001</v>
      </c>
      <c r="W869" s="1226">
        <f t="shared" si="1458"/>
        <v>77.335999999999999</v>
      </c>
      <c r="X869" s="1226">
        <f t="shared" si="1458"/>
        <v>120.124</v>
      </c>
      <c r="Y869" s="1226">
        <f t="shared" si="1458"/>
        <v>81.162000000000006</v>
      </c>
      <c r="Z869" s="1226">
        <f t="shared" si="1458"/>
        <v>104.88200000000001</v>
      </c>
      <c r="AA869" s="1226">
        <f t="shared" si="1458"/>
        <v>134.87884624781816</v>
      </c>
      <c r="AB869" s="1226">
        <f t="shared" si="1458"/>
        <v>82.960995595528516</v>
      </c>
      <c r="AC869" s="1226">
        <f t="shared" si="1458"/>
        <v>108.31075939635141</v>
      </c>
      <c r="AD869" s="1226">
        <f t="shared" si="1458"/>
        <v>99.011649951638418</v>
      </c>
      <c r="AE869" s="1617">
        <f>SUM(S869,T869,U869)</f>
        <v>284.84799999999996</v>
      </c>
      <c r="AF869" s="1419">
        <f>SUM(V869,W869,X869)</f>
        <v>253.536</v>
      </c>
      <c r="AG869" s="1419">
        <f>SUM(Y869,Z869,AA869)</f>
        <v>320.92284624781814</v>
      </c>
      <c r="AH869" s="1419">
        <f>SUM(AB869,AC869,AD869)</f>
        <v>290.28340494351835</v>
      </c>
      <c r="AI869" s="1419">
        <f>AE869+AF869</f>
        <v>538.38400000000001</v>
      </c>
      <c r="AJ869" s="1419">
        <f>AH869+AG869</f>
        <v>611.20625119133649</v>
      </c>
      <c r="AK869" s="1419">
        <f>AI869+AJ869</f>
        <v>1149.5902511913364</v>
      </c>
      <c r="AL869" s="69"/>
      <c r="AM869" s="1948">
        <f ca="1">SUM((INDIRECT(AM$2&amp;(ROW())):INDIRECT(AM$3&amp;(ROW()))))</f>
        <v>0</v>
      </c>
      <c r="AN869" s="1948">
        <f ca="1">SUM(INDIRECT(AN$1&amp;AN$2&amp;$C869):INDIRECT(AN$1&amp;AN$3&amp;$C869))</f>
        <v>120</v>
      </c>
      <c r="AO869" s="2786">
        <f t="shared" ca="1" si="1409"/>
        <v>-120</v>
      </c>
      <c r="AP869" s="2787">
        <f t="shared" ca="1" si="1425"/>
        <v>0</v>
      </c>
      <c r="AQ869" s="1948">
        <f ca="1">SUM(INDIRECT(AQ$1&amp;AQ$2&amp;$A869):INDIRECT(AQ$1&amp;AQ$3&amp;$A869))+SUM(INDIRECT(AQ$1&amp;AQ$2&amp;$B869):INDIRECT(AQ$1&amp;AQ$3&amp;$B869))</f>
        <v>0</v>
      </c>
      <c r="AR869" s="2786">
        <f t="shared" ca="1" si="1410"/>
        <v>0</v>
      </c>
      <c r="AS869" s="2787">
        <f t="shared" ca="1" si="1426"/>
        <v>0</v>
      </c>
      <c r="AU869" s="1948">
        <f ca="1">SUM((INDIRECT(AU$2&amp;(ROW())):INDIRECT(AU$3&amp;(ROW()))))</f>
        <v>0</v>
      </c>
      <c r="AV869" s="1948">
        <f ca="1">SUM(INDIRECT(AV$1&amp;AV$2&amp;$C869):INDIRECT(AV$1&amp;AV$3&amp;$C869))</f>
        <v>120</v>
      </c>
      <c r="AW869" s="2786">
        <f t="shared" ca="1" si="1427"/>
        <v>-120</v>
      </c>
      <c r="AX869" s="2787">
        <f t="shared" ca="1" si="1428"/>
        <v>0</v>
      </c>
      <c r="AY869" s="1948">
        <f ca="1">SUM(INDIRECT(AY$1&amp;AY$2&amp;$A869):INDIRECT(AY$1&amp;AY$3&amp;$A869))+SUM(INDIRECT(AY$1&amp;AY$2&amp;$B869):INDIRECT(AY$1&amp;AY$3&amp;$B869))</f>
        <v>0</v>
      </c>
      <c r="AZ869" s="2786">
        <f t="shared" ca="1" si="1429"/>
        <v>0</v>
      </c>
      <c r="BA869" s="2787">
        <f t="shared" ca="1" si="1430"/>
        <v>0</v>
      </c>
      <c r="BC869" s="1948">
        <f ca="1">SUM((INDIRECT(BC$2&amp;(ROW())):INDIRECT(BC$3&amp;(ROW()))))</f>
        <v>0</v>
      </c>
      <c r="BD869" s="1948">
        <f ca="1">SUM(INDIRECT(BD$1&amp;BD$2&amp;$C869):INDIRECT(BD$1&amp;BD$3&amp;$C869))</f>
        <v>120</v>
      </c>
      <c r="BE869" s="2786">
        <f t="shared" ca="1" si="1431"/>
        <v>-120</v>
      </c>
      <c r="BF869" s="2787">
        <f t="shared" ca="1" si="1432"/>
        <v>0</v>
      </c>
      <c r="BG869" s="1948">
        <f ca="1">SUM(INDIRECT(BG$1&amp;BG$2&amp;$A869):INDIRECT(BG$1&amp;BG$3&amp;$A869))+SUM(INDIRECT(BG$1&amp;BG$2&amp;$B869):INDIRECT(BG$1&amp;BG$3&amp;$B869))</f>
        <v>0</v>
      </c>
      <c r="BH869" s="2786">
        <f t="shared" ca="1" si="1433"/>
        <v>0</v>
      </c>
      <c r="BI869" s="2787">
        <f t="shared" ca="1" si="1434"/>
        <v>0</v>
      </c>
    </row>
    <row r="870" spans="1:61" ht="14.5">
      <c r="A870" s="1693">
        <f t="shared" si="1439"/>
        <v>862</v>
      </c>
      <c r="B870" s="616">
        <v>1</v>
      </c>
      <c r="C870" s="1693">
        <f t="shared" si="1436"/>
        <v>870</v>
      </c>
      <c r="D870" s="616">
        <v>1</v>
      </c>
      <c r="E870" s="709" t="s">
        <v>512</v>
      </c>
      <c r="F870" s="1572"/>
      <c r="G870" s="8"/>
      <c r="H870" s="8"/>
      <c r="J870" s="172"/>
      <c r="K870" s="8" t="s">
        <v>222</v>
      </c>
      <c r="R870" s="1782" t="str">
        <f>CHOOSE(2, "6722000003781", "FC COGS (3) IP Included in COGS [OFC(Service)]")</f>
        <v>FC COGS (3) IP Included in COGS [OFC(Service)]</v>
      </c>
      <c r="S870" s="1226">
        <f t="shared" ref="S870:AD870" si="1459">(S686+S692+S698+S704+S710+S713+S730+S736+S742+S748+S754+S757)*-1</f>
        <v>0</v>
      </c>
      <c r="T870" s="1226">
        <f t="shared" si="1459"/>
        <v>0</v>
      </c>
      <c r="U870" s="1226">
        <f t="shared" si="1459"/>
        <v>0</v>
      </c>
      <c r="V870" s="1226">
        <f t="shared" si="1459"/>
        <v>0</v>
      </c>
      <c r="W870" s="1226">
        <f t="shared" si="1459"/>
        <v>0</v>
      </c>
      <c r="X870" s="1226">
        <f t="shared" si="1459"/>
        <v>0</v>
      </c>
      <c r="Y870" s="1226">
        <f t="shared" si="1459"/>
        <v>0</v>
      </c>
      <c r="Z870" s="1226">
        <f t="shared" si="1459"/>
        <v>0</v>
      </c>
      <c r="AA870" s="1226">
        <f t="shared" si="1459"/>
        <v>0</v>
      </c>
      <c r="AB870" s="1226">
        <f t="shared" si="1459"/>
        <v>0</v>
      </c>
      <c r="AC870" s="1226">
        <f t="shared" si="1459"/>
        <v>0</v>
      </c>
      <c r="AD870" s="1226">
        <f t="shared" si="1459"/>
        <v>0</v>
      </c>
      <c r="AE870" s="125">
        <f>SUM(S870,T870,U870)</f>
        <v>0</v>
      </c>
      <c r="AF870" s="126">
        <f>SUM(V870,W870,X870)</f>
        <v>0</v>
      </c>
      <c r="AG870" s="126">
        <f>SUM(Y870,Z870,AA870)</f>
        <v>0</v>
      </c>
      <c r="AH870" s="126">
        <f>SUM(AB870,AC870,AD870)</f>
        <v>0</v>
      </c>
      <c r="AI870" s="126">
        <f>AE870+AF870</f>
        <v>0</v>
      </c>
      <c r="AJ870" s="126">
        <f>AH870+AG870</f>
        <v>0</v>
      </c>
      <c r="AK870" s="126">
        <f>AI870+AJ870</f>
        <v>0</v>
      </c>
      <c r="AM870" s="1948">
        <f ca="1">SUM((INDIRECT(AM$2&amp;(ROW())):INDIRECT(AM$3&amp;(ROW()))))</f>
        <v>0</v>
      </c>
      <c r="AN870" s="1948">
        <f ca="1">SUM(INDIRECT(AN$1&amp;AN$2&amp;$C870):INDIRECT(AN$1&amp;AN$3&amp;$C870))</f>
        <v>0</v>
      </c>
      <c r="AO870" s="2786">
        <f t="shared" ca="1" si="1409"/>
        <v>0</v>
      </c>
      <c r="AP870" s="2787">
        <f t="shared" ca="1" si="1425"/>
        <v>0</v>
      </c>
      <c r="AQ870" s="1948">
        <f ca="1">SUM(INDIRECT(AQ$1&amp;AQ$2&amp;$A870):INDIRECT(AQ$1&amp;AQ$3&amp;$A870))+SUM(INDIRECT(AQ$1&amp;AQ$2&amp;$B870):INDIRECT(AQ$1&amp;AQ$3&amp;$B870))</f>
        <v>0</v>
      </c>
      <c r="AR870" s="2786">
        <f t="shared" ca="1" si="1410"/>
        <v>0</v>
      </c>
      <c r="AS870" s="2787">
        <f t="shared" ca="1" si="1426"/>
        <v>0</v>
      </c>
      <c r="AU870" s="1948">
        <f ca="1">SUM((INDIRECT(AU$2&amp;(ROW())):INDIRECT(AU$3&amp;(ROW()))))</f>
        <v>0</v>
      </c>
      <c r="AV870" s="1948">
        <f ca="1">SUM(INDIRECT(AV$1&amp;AV$2&amp;$C870):INDIRECT(AV$1&amp;AV$3&amp;$C870))</f>
        <v>0</v>
      </c>
      <c r="AW870" s="2786">
        <f t="shared" ca="1" si="1427"/>
        <v>0</v>
      </c>
      <c r="AX870" s="2787">
        <f t="shared" ca="1" si="1428"/>
        <v>0</v>
      </c>
      <c r="AY870" s="1948">
        <f ca="1">SUM(INDIRECT(AY$1&amp;AY$2&amp;$A870):INDIRECT(AY$1&amp;AY$3&amp;$A870))+SUM(INDIRECT(AY$1&amp;AY$2&amp;$B870):INDIRECT(AY$1&amp;AY$3&amp;$B870))</f>
        <v>0</v>
      </c>
      <c r="AZ870" s="2786">
        <f t="shared" ca="1" si="1429"/>
        <v>0</v>
      </c>
      <c r="BA870" s="2787">
        <f t="shared" ca="1" si="1430"/>
        <v>0</v>
      </c>
      <c r="BC870" s="1948">
        <f ca="1">SUM((INDIRECT(BC$2&amp;(ROW())):INDIRECT(BC$3&amp;(ROW()))))</f>
        <v>0</v>
      </c>
      <c r="BD870" s="1948">
        <f ca="1">SUM(INDIRECT(BD$1&amp;BD$2&amp;$C870):INDIRECT(BD$1&amp;BD$3&amp;$C870))</f>
        <v>0</v>
      </c>
      <c r="BE870" s="2786">
        <f t="shared" ca="1" si="1431"/>
        <v>0</v>
      </c>
      <c r="BF870" s="2787">
        <f t="shared" ca="1" si="1432"/>
        <v>0</v>
      </c>
      <c r="BG870" s="1948">
        <f ca="1">SUM(INDIRECT(BG$1&amp;BG$2&amp;$A870):INDIRECT(BG$1&amp;BG$3&amp;$A870))+SUM(INDIRECT(BG$1&amp;BG$2&amp;$B870):INDIRECT(BG$1&amp;BG$3&amp;$B870))</f>
        <v>0</v>
      </c>
      <c r="BH870" s="2786">
        <f t="shared" ca="1" si="1433"/>
        <v>0</v>
      </c>
      <c r="BI870" s="2787">
        <f t="shared" ca="1" si="1434"/>
        <v>0</v>
      </c>
    </row>
    <row r="871" spans="1:61" ht="14.5">
      <c r="A871" s="1693">
        <f t="shared" si="1439"/>
        <v>863</v>
      </c>
      <c r="B871" s="616">
        <v>1</v>
      </c>
      <c r="C871" s="1693">
        <f t="shared" si="1436"/>
        <v>871</v>
      </c>
      <c r="D871" s="616">
        <v>1</v>
      </c>
      <c r="E871" s="709" t="s">
        <v>512</v>
      </c>
      <c r="F871" s="69"/>
      <c r="G871" s="8"/>
      <c r="H871" s="8"/>
      <c r="J871" s="171"/>
      <c r="K871" s="11" t="s">
        <v>300</v>
      </c>
      <c r="L871" s="16"/>
      <c r="M871" s="16"/>
      <c r="N871" s="11"/>
      <c r="O871" s="11"/>
      <c r="P871" s="11"/>
      <c r="Q871" s="11"/>
      <c r="R871" s="1782" t="str">
        <f>CHOOSE(2, "6722000003782", "FC COGS (3) IP Included in COGS [D&amp;A]")</f>
        <v>FC COGS (3) IP Included in COGS [D&amp;A]</v>
      </c>
      <c r="S871" s="1228">
        <f t="shared" ref="S871:AD871" si="1460">(S714+S758)*-1</f>
        <v>0</v>
      </c>
      <c r="T871" s="1228">
        <f t="shared" si="1460"/>
        <v>0</v>
      </c>
      <c r="U871" s="1228">
        <f t="shared" si="1460"/>
        <v>0</v>
      </c>
      <c r="V871" s="1228">
        <f t="shared" si="1460"/>
        <v>0</v>
      </c>
      <c r="W871" s="1228">
        <f t="shared" si="1460"/>
        <v>0</v>
      </c>
      <c r="X871" s="1228">
        <f t="shared" si="1460"/>
        <v>0</v>
      </c>
      <c r="Y871" s="1228">
        <f t="shared" si="1460"/>
        <v>0</v>
      </c>
      <c r="Z871" s="1228">
        <f t="shared" si="1460"/>
        <v>0</v>
      </c>
      <c r="AA871" s="1228">
        <f t="shared" si="1460"/>
        <v>0</v>
      </c>
      <c r="AB871" s="1228">
        <f t="shared" si="1460"/>
        <v>0</v>
      </c>
      <c r="AC871" s="1228">
        <f t="shared" si="1460"/>
        <v>0</v>
      </c>
      <c r="AD871" s="1228">
        <f t="shared" si="1460"/>
        <v>0</v>
      </c>
      <c r="AE871" s="122">
        <f>SUM(S871,T871,U871)</f>
        <v>0</v>
      </c>
      <c r="AF871" s="123">
        <f>SUM(V871,W871,X871)</f>
        <v>0</v>
      </c>
      <c r="AG871" s="123">
        <f>SUM(Y871,Z871,AA871)</f>
        <v>0</v>
      </c>
      <c r="AH871" s="123">
        <f>SUM(AB871,AC871,AD871)</f>
        <v>0</v>
      </c>
      <c r="AI871" s="123">
        <f>AE871+AF871</f>
        <v>0</v>
      </c>
      <c r="AJ871" s="123">
        <f>AH871+AG871</f>
        <v>0</v>
      </c>
      <c r="AK871" s="123">
        <f>AI871+AJ871</f>
        <v>0</v>
      </c>
      <c r="AM871" s="1950">
        <f ca="1">SUM((INDIRECT(AM$2&amp;(ROW())):INDIRECT(AM$3&amp;(ROW()))))</f>
        <v>0</v>
      </c>
      <c r="AN871" s="1950">
        <f ca="1">SUM(INDIRECT(AN$1&amp;AN$2&amp;$C871):INDIRECT(AN$1&amp;AN$3&amp;$C871))</f>
        <v>0</v>
      </c>
      <c r="AO871" s="2715">
        <f t="shared" ca="1" si="1409"/>
        <v>0</v>
      </c>
      <c r="AP871" s="2716">
        <f t="shared" ca="1" si="1425"/>
        <v>0</v>
      </c>
      <c r="AQ871" s="1950">
        <f ca="1">SUM(INDIRECT(AQ$1&amp;AQ$2&amp;$A871):INDIRECT(AQ$1&amp;AQ$3&amp;$A871))+SUM(INDIRECT(AQ$1&amp;AQ$2&amp;$B871):INDIRECT(AQ$1&amp;AQ$3&amp;$B871))</f>
        <v>0</v>
      </c>
      <c r="AR871" s="2715">
        <f t="shared" ca="1" si="1410"/>
        <v>0</v>
      </c>
      <c r="AS871" s="2716">
        <f t="shared" ca="1" si="1426"/>
        <v>0</v>
      </c>
      <c r="AU871" s="1950">
        <f ca="1">SUM((INDIRECT(AU$2&amp;(ROW())):INDIRECT(AU$3&amp;(ROW()))))</f>
        <v>0</v>
      </c>
      <c r="AV871" s="1950">
        <f ca="1">SUM(INDIRECT(AV$1&amp;AV$2&amp;$C871):INDIRECT(AV$1&amp;AV$3&amp;$C871))</f>
        <v>0</v>
      </c>
      <c r="AW871" s="2715">
        <f t="shared" ca="1" si="1427"/>
        <v>0</v>
      </c>
      <c r="AX871" s="2716">
        <f t="shared" ca="1" si="1428"/>
        <v>0</v>
      </c>
      <c r="AY871" s="1950">
        <f ca="1">SUM(INDIRECT(AY$1&amp;AY$2&amp;$A871):INDIRECT(AY$1&amp;AY$3&amp;$A871))+SUM(INDIRECT(AY$1&amp;AY$2&amp;$B871):INDIRECT(AY$1&amp;AY$3&amp;$B871))</f>
        <v>0</v>
      </c>
      <c r="AZ871" s="2715">
        <f t="shared" ca="1" si="1429"/>
        <v>0</v>
      </c>
      <c r="BA871" s="2716">
        <f t="shared" ca="1" si="1430"/>
        <v>0</v>
      </c>
      <c r="BC871" s="1950">
        <f ca="1">SUM((INDIRECT(BC$2&amp;(ROW())):INDIRECT(BC$3&amp;(ROW()))))</f>
        <v>0</v>
      </c>
      <c r="BD871" s="1950">
        <f ca="1">SUM(INDIRECT(BD$1&amp;BD$2&amp;$C871):INDIRECT(BD$1&amp;BD$3&amp;$C871))</f>
        <v>0</v>
      </c>
      <c r="BE871" s="2715">
        <f t="shared" ca="1" si="1431"/>
        <v>0</v>
      </c>
      <c r="BF871" s="2716">
        <f t="shared" ca="1" si="1432"/>
        <v>0</v>
      </c>
      <c r="BG871" s="1950">
        <f ca="1">SUM(INDIRECT(BG$1&amp;BG$2&amp;$A871):INDIRECT(BG$1&amp;BG$3&amp;$A871))+SUM(INDIRECT(BG$1&amp;BG$2&amp;$B871):INDIRECT(BG$1&amp;BG$3&amp;$B871))</f>
        <v>0</v>
      </c>
      <c r="BH871" s="2715">
        <f t="shared" ca="1" si="1433"/>
        <v>0</v>
      </c>
      <c r="BI871" s="2716">
        <f t="shared" ca="1" si="1434"/>
        <v>0</v>
      </c>
    </row>
    <row r="872" spans="1:61" s="69" customFormat="1" ht="14.5">
      <c r="A872" s="1693">
        <f t="shared" si="1439"/>
        <v>864</v>
      </c>
      <c r="B872" s="616">
        <v>1</v>
      </c>
      <c r="C872" s="1693">
        <f t="shared" si="1436"/>
        <v>872</v>
      </c>
      <c r="D872" s="616">
        <v>1</v>
      </c>
      <c r="E872" s="709" t="s">
        <v>512</v>
      </c>
      <c r="F872" s="1572"/>
      <c r="G872" s="8"/>
      <c r="H872" s="8"/>
      <c r="I872" s="22"/>
      <c r="J872" s="334" t="s">
        <v>286</v>
      </c>
      <c r="K872" s="335"/>
      <c r="L872" s="336"/>
      <c r="M872" s="336"/>
      <c r="N872" s="336"/>
      <c r="O872" s="336"/>
      <c r="P872" s="336"/>
      <c r="Q872" s="591"/>
      <c r="R872" s="1818" t="str">
        <f>CHOOSE(2, "6722000003783", "FC COGS (4) MS")</f>
        <v>FC COGS (4) MS</v>
      </c>
      <c r="S872" s="1266">
        <f>SUM(S873:S876)</f>
        <v>0</v>
      </c>
      <c r="T872" s="1266">
        <f t="shared" ref="T872:AD872" si="1461">SUM(T873:T876)</f>
        <v>0</v>
      </c>
      <c r="U872" s="1266">
        <f t="shared" si="1461"/>
        <v>0</v>
      </c>
      <c r="V872" s="1266">
        <f t="shared" si="1461"/>
        <v>0</v>
      </c>
      <c r="W872" s="1266">
        <f t="shared" si="1461"/>
        <v>0</v>
      </c>
      <c r="X872" s="1266">
        <f t="shared" si="1461"/>
        <v>0</v>
      </c>
      <c r="Y872" s="1266">
        <f t="shared" si="1461"/>
        <v>0</v>
      </c>
      <c r="Z872" s="1266">
        <f t="shared" si="1461"/>
        <v>0</v>
      </c>
      <c r="AA872" s="1266">
        <f t="shared" si="1461"/>
        <v>0</v>
      </c>
      <c r="AB872" s="1266">
        <f t="shared" si="1461"/>
        <v>0</v>
      </c>
      <c r="AC872" s="1266">
        <f t="shared" si="1461"/>
        <v>0</v>
      </c>
      <c r="AD872" s="1266">
        <f t="shared" si="1461"/>
        <v>0</v>
      </c>
      <c r="AE872" s="909">
        <f t="shared" ref="AE872:AK872" si="1462">SUM(AE873:AE876)</f>
        <v>0</v>
      </c>
      <c r="AF872" s="341">
        <f t="shared" si="1462"/>
        <v>0</v>
      </c>
      <c r="AG872" s="341">
        <f t="shared" si="1462"/>
        <v>0</v>
      </c>
      <c r="AH872" s="341">
        <f t="shared" si="1462"/>
        <v>0</v>
      </c>
      <c r="AI872" s="341">
        <f t="shared" si="1462"/>
        <v>0</v>
      </c>
      <c r="AJ872" s="341">
        <f t="shared" si="1462"/>
        <v>0</v>
      </c>
      <c r="AK872" s="341">
        <f t="shared" si="1462"/>
        <v>0</v>
      </c>
      <c r="AL872" s="8"/>
      <c r="AM872" s="2230">
        <f ca="1">SUM((INDIRECT(AM$2&amp;(ROW())):INDIRECT(AM$3&amp;(ROW()))))</f>
        <v>0</v>
      </c>
      <c r="AN872" s="2230">
        <f ca="1">SUM(INDIRECT(AN$1&amp;AN$2&amp;$C872):INDIRECT(AN$1&amp;AN$3&amp;$C872))</f>
        <v>0</v>
      </c>
      <c r="AO872" s="2942">
        <f t="shared" ca="1" si="1409"/>
        <v>0</v>
      </c>
      <c r="AP872" s="2943">
        <f t="shared" ca="1" si="1425"/>
        <v>0</v>
      </c>
      <c r="AQ872" s="2230">
        <f ca="1">SUM(INDIRECT(AQ$1&amp;AQ$2&amp;$A872):INDIRECT(AQ$1&amp;AQ$3&amp;$A872))+SUM(INDIRECT(AQ$1&amp;AQ$2&amp;$B872):INDIRECT(AQ$1&amp;AQ$3&amp;$B872))</f>
        <v>0</v>
      </c>
      <c r="AR872" s="2942">
        <f t="shared" ca="1" si="1410"/>
        <v>0</v>
      </c>
      <c r="AS872" s="2943">
        <f t="shared" ca="1" si="1426"/>
        <v>0</v>
      </c>
      <c r="AU872" s="2230">
        <f ca="1">SUM((INDIRECT(AU$2&amp;(ROW())):INDIRECT(AU$3&amp;(ROW()))))</f>
        <v>0</v>
      </c>
      <c r="AV872" s="2230">
        <f ca="1">SUM(INDIRECT(AV$1&amp;AV$2&amp;$C872):INDIRECT(AV$1&amp;AV$3&amp;$C872))</f>
        <v>0</v>
      </c>
      <c r="AW872" s="2942">
        <f t="shared" ca="1" si="1427"/>
        <v>0</v>
      </c>
      <c r="AX872" s="2943">
        <f t="shared" ca="1" si="1428"/>
        <v>0</v>
      </c>
      <c r="AY872" s="2230">
        <f ca="1">SUM(INDIRECT(AY$1&amp;AY$2&amp;$A872):INDIRECT(AY$1&amp;AY$3&amp;$A872))+SUM(INDIRECT(AY$1&amp;AY$2&amp;$B872):INDIRECT(AY$1&amp;AY$3&amp;$B872))</f>
        <v>0</v>
      </c>
      <c r="AZ872" s="2942">
        <f t="shared" ca="1" si="1429"/>
        <v>0</v>
      </c>
      <c r="BA872" s="2943">
        <f t="shared" ca="1" si="1430"/>
        <v>0</v>
      </c>
      <c r="BC872" s="2230">
        <f ca="1">SUM((INDIRECT(BC$2&amp;(ROW())):INDIRECT(BC$3&amp;(ROW()))))</f>
        <v>0</v>
      </c>
      <c r="BD872" s="2230">
        <f ca="1">SUM(INDIRECT(BD$1&amp;BD$2&amp;$C872):INDIRECT(BD$1&amp;BD$3&amp;$C872))</f>
        <v>0</v>
      </c>
      <c r="BE872" s="2942">
        <f t="shared" ca="1" si="1431"/>
        <v>0</v>
      </c>
      <c r="BF872" s="2943">
        <f t="shared" ca="1" si="1432"/>
        <v>0</v>
      </c>
      <c r="BG872" s="2230">
        <f ca="1">SUM(INDIRECT(BG$1&amp;BG$2&amp;$A872):INDIRECT(BG$1&amp;BG$3&amp;$A872))+SUM(INDIRECT(BG$1&amp;BG$2&amp;$B872):INDIRECT(BG$1&amp;BG$3&amp;$B872))</f>
        <v>0</v>
      </c>
      <c r="BH872" s="2942">
        <f t="shared" ca="1" si="1433"/>
        <v>0</v>
      </c>
      <c r="BI872" s="2943">
        <f t="shared" ca="1" si="1434"/>
        <v>0</v>
      </c>
    </row>
    <row r="873" spans="1:61" ht="14.5">
      <c r="A873" s="1693">
        <f t="shared" si="1439"/>
        <v>865</v>
      </c>
      <c r="B873" s="616">
        <v>1</v>
      </c>
      <c r="C873" s="1693">
        <f t="shared" si="1436"/>
        <v>873</v>
      </c>
      <c r="D873" s="616">
        <v>1</v>
      </c>
      <c r="E873" s="709" t="s">
        <v>512</v>
      </c>
      <c r="F873" s="1572"/>
      <c r="G873" s="8"/>
      <c r="H873" s="8"/>
      <c r="J873" s="1235"/>
      <c r="K873" s="8" t="s">
        <v>220</v>
      </c>
      <c r="L873" s="8"/>
      <c r="M873" s="8"/>
      <c r="R873" s="1779" t="str">
        <f>CHOOSE(2, "6722000003784", "FC COGS (4) MS Included in COGS [PC(Service)]")</f>
        <v>FC COGS (4) MS Included in COGS [PC(Service)]</v>
      </c>
      <c r="S873" s="1217"/>
      <c r="T873" s="1217"/>
      <c r="U873" s="1217"/>
      <c r="V873" s="1217"/>
      <c r="W873" s="1217"/>
      <c r="X873" s="1217"/>
      <c r="Y873" s="1217"/>
      <c r="Z873" s="1217"/>
      <c r="AA873" s="1217"/>
      <c r="AB873" s="1217"/>
      <c r="AC873" s="1217"/>
      <c r="AD873" s="1217"/>
      <c r="AE873" s="125">
        <f>SUM(S873,T873,U873)</f>
        <v>0</v>
      </c>
      <c r="AF873" s="126">
        <f>SUM(V873,W873,X873)</f>
        <v>0</v>
      </c>
      <c r="AG873" s="126">
        <f>SUM(Y873,Z873,AA873)</f>
        <v>0</v>
      </c>
      <c r="AH873" s="126">
        <f>SUM(AB873,AC873,AD873)</f>
        <v>0</v>
      </c>
      <c r="AI873" s="126">
        <f>AE873+AF873</f>
        <v>0</v>
      </c>
      <c r="AJ873" s="126">
        <f>AH873+AG873</f>
        <v>0</v>
      </c>
      <c r="AK873" s="126">
        <f>AI873+AJ873</f>
        <v>0</v>
      </c>
      <c r="AM873" s="1948">
        <f ca="1">SUM((INDIRECT(AM$2&amp;(ROW())):INDIRECT(AM$3&amp;(ROW()))))</f>
        <v>0</v>
      </c>
      <c r="AN873" s="1948">
        <f ca="1">SUM(INDIRECT(AN$1&amp;AN$2&amp;$C873):INDIRECT(AN$1&amp;AN$3&amp;$C873))</f>
        <v>0</v>
      </c>
      <c r="AO873" s="2786">
        <f t="shared" ca="1" si="1409"/>
        <v>0</v>
      </c>
      <c r="AP873" s="2787">
        <f t="shared" ca="1" si="1425"/>
        <v>0</v>
      </c>
      <c r="AQ873" s="1948">
        <f ca="1">SUM(INDIRECT(AQ$1&amp;AQ$2&amp;$A873):INDIRECT(AQ$1&amp;AQ$3&amp;$A873))+SUM(INDIRECT(AQ$1&amp;AQ$2&amp;$B873):INDIRECT(AQ$1&amp;AQ$3&amp;$B873))</f>
        <v>0</v>
      </c>
      <c r="AR873" s="2786">
        <f t="shared" ca="1" si="1410"/>
        <v>0</v>
      </c>
      <c r="AS873" s="2787">
        <f t="shared" ca="1" si="1426"/>
        <v>0</v>
      </c>
      <c r="AU873" s="1948">
        <f ca="1">SUM((INDIRECT(AU$2&amp;(ROW())):INDIRECT(AU$3&amp;(ROW()))))</f>
        <v>0</v>
      </c>
      <c r="AV873" s="1948">
        <f ca="1">SUM(INDIRECT(AV$1&amp;AV$2&amp;$C873):INDIRECT(AV$1&amp;AV$3&amp;$C873))</f>
        <v>0</v>
      </c>
      <c r="AW873" s="2786">
        <f t="shared" ca="1" si="1427"/>
        <v>0</v>
      </c>
      <c r="AX873" s="2787">
        <f t="shared" ca="1" si="1428"/>
        <v>0</v>
      </c>
      <c r="AY873" s="1948">
        <f ca="1">SUM(INDIRECT(AY$1&amp;AY$2&amp;$A873):INDIRECT(AY$1&amp;AY$3&amp;$A873))+SUM(INDIRECT(AY$1&amp;AY$2&amp;$B873):INDIRECT(AY$1&amp;AY$3&amp;$B873))</f>
        <v>0</v>
      </c>
      <c r="AZ873" s="2786">
        <f t="shared" ca="1" si="1429"/>
        <v>0</v>
      </c>
      <c r="BA873" s="2787">
        <f t="shared" ca="1" si="1430"/>
        <v>0</v>
      </c>
      <c r="BC873" s="1948">
        <f ca="1">SUM((INDIRECT(BC$2&amp;(ROW())):INDIRECT(BC$3&amp;(ROW()))))</f>
        <v>0</v>
      </c>
      <c r="BD873" s="1948">
        <f ca="1">SUM(INDIRECT(BD$1&amp;BD$2&amp;$C873):INDIRECT(BD$1&amp;BD$3&amp;$C873))</f>
        <v>0</v>
      </c>
      <c r="BE873" s="2786">
        <f t="shared" ca="1" si="1431"/>
        <v>0</v>
      </c>
      <c r="BF873" s="2787">
        <f t="shared" ca="1" si="1432"/>
        <v>0</v>
      </c>
      <c r="BG873" s="1948">
        <f ca="1">SUM(INDIRECT(BG$1&amp;BG$2&amp;$A873):INDIRECT(BG$1&amp;BG$3&amp;$A873))+SUM(INDIRECT(BG$1&amp;BG$2&amp;$B873):INDIRECT(BG$1&amp;BG$3&amp;$B873))</f>
        <v>0</v>
      </c>
      <c r="BH873" s="2786">
        <f t="shared" ca="1" si="1433"/>
        <v>0</v>
      </c>
      <c r="BI873" s="2787">
        <f t="shared" ca="1" si="1434"/>
        <v>0</v>
      </c>
    </row>
    <row r="874" spans="1:61" ht="14.5">
      <c r="A874" s="1693">
        <f t="shared" si="1439"/>
        <v>866</v>
      </c>
      <c r="B874" s="616">
        <v>1</v>
      </c>
      <c r="C874" s="1693">
        <f t="shared" si="1436"/>
        <v>874</v>
      </c>
      <c r="D874" s="616">
        <v>1</v>
      </c>
      <c r="E874" s="709" t="s">
        <v>512</v>
      </c>
      <c r="F874" s="69"/>
      <c r="G874" s="8"/>
      <c r="H874" s="8"/>
      <c r="J874" s="1235"/>
      <c r="K874" s="8" t="s">
        <v>221</v>
      </c>
      <c r="L874" s="8"/>
      <c r="M874" s="8"/>
      <c r="R874" s="1779" t="str">
        <f>CHOOSE(2, "6722000003785", "FC COGS (4) MS Included in COGS [TE(Service)]")</f>
        <v>FC COGS (4) MS Included in COGS [TE(Service)]</v>
      </c>
      <c r="S874" s="1217"/>
      <c r="T874" s="1217"/>
      <c r="U874" s="1217"/>
      <c r="V874" s="1217"/>
      <c r="W874" s="1217"/>
      <c r="X874" s="1217"/>
      <c r="Y874" s="1217"/>
      <c r="Z874" s="1217"/>
      <c r="AA874" s="1217"/>
      <c r="AB874" s="1217"/>
      <c r="AC874" s="1217"/>
      <c r="AD874" s="1217"/>
      <c r="AE874" s="125">
        <f>SUM(S874,T874,U874)</f>
        <v>0</v>
      </c>
      <c r="AF874" s="126">
        <f>SUM(V874,W874,X874)</f>
        <v>0</v>
      </c>
      <c r="AG874" s="126">
        <f>SUM(Y874,Z874,AA874)</f>
        <v>0</v>
      </c>
      <c r="AH874" s="126">
        <f>SUM(AB874,AC874,AD874)</f>
        <v>0</v>
      </c>
      <c r="AI874" s="126">
        <f>AE874+AF874</f>
        <v>0</v>
      </c>
      <c r="AJ874" s="126">
        <f>AH874+AG874</f>
        <v>0</v>
      </c>
      <c r="AK874" s="126">
        <f>AI874+AJ874</f>
        <v>0</v>
      </c>
      <c r="AL874" s="69"/>
      <c r="AM874" s="1948">
        <f ca="1">SUM((INDIRECT(AM$2&amp;(ROW())):INDIRECT(AM$3&amp;(ROW()))))</f>
        <v>0</v>
      </c>
      <c r="AN874" s="1948">
        <f ca="1">SUM(INDIRECT(AN$1&amp;AN$2&amp;$C874):INDIRECT(AN$1&amp;AN$3&amp;$C874))</f>
        <v>0</v>
      </c>
      <c r="AO874" s="2786">
        <f t="shared" ca="1" si="1409"/>
        <v>0</v>
      </c>
      <c r="AP874" s="2787">
        <f t="shared" ca="1" si="1425"/>
        <v>0</v>
      </c>
      <c r="AQ874" s="1948">
        <f ca="1">SUM(INDIRECT(AQ$1&amp;AQ$2&amp;$A874):INDIRECT(AQ$1&amp;AQ$3&amp;$A874))+SUM(INDIRECT(AQ$1&amp;AQ$2&amp;$B874):INDIRECT(AQ$1&amp;AQ$3&amp;$B874))</f>
        <v>0</v>
      </c>
      <c r="AR874" s="2786">
        <f t="shared" ca="1" si="1410"/>
        <v>0</v>
      </c>
      <c r="AS874" s="2787">
        <f t="shared" ca="1" si="1426"/>
        <v>0</v>
      </c>
      <c r="AU874" s="1948">
        <f ca="1">SUM((INDIRECT(AU$2&amp;(ROW())):INDIRECT(AU$3&amp;(ROW()))))</f>
        <v>0</v>
      </c>
      <c r="AV874" s="1948">
        <f ca="1">SUM(INDIRECT(AV$1&amp;AV$2&amp;$C874):INDIRECT(AV$1&amp;AV$3&amp;$C874))</f>
        <v>0</v>
      </c>
      <c r="AW874" s="2786">
        <f t="shared" ca="1" si="1427"/>
        <v>0</v>
      </c>
      <c r="AX874" s="2787">
        <f t="shared" ca="1" si="1428"/>
        <v>0</v>
      </c>
      <c r="AY874" s="1948">
        <f ca="1">SUM(INDIRECT(AY$1&amp;AY$2&amp;$A874):INDIRECT(AY$1&amp;AY$3&amp;$A874))+SUM(INDIRECT(AY$1&amp;AY$2&amp;$B874):INDIRECT(AY$1&amp;AY$3&amp;$B874))</f>
        <v>0</v>
      </c>
      <c r="AZ874" s="2786">
        <f t="shared" ca="1" si="1429"/>
        <v>0</v>
      </c>
      <c r="BA874" s="2787">
        <f t="shared" ca="1" si="1430"/>
        <v>0</v>
      </c>
      <c r="BC874" s="1948">
        <f ca="1">SUM((INDIRECT(BC$2&amp;(ROW())):INDIRECT(BC$3&amp;(ROW()))))</f>
        <v>0</v>
      </c>
      <c r="BD874" s="1948">
        <f ca="1">SUM(INDIRECT(BD$1&amp;BD$2&amp;$C874):INDIRECT(BD$1&amp;BD$3&amp;$C874))</f>
        <v>0</v>
      </c>
      <c r="BE874" s="2786">
        <f t="shared" ca="1" si="1431"/>
        <v>0</v>
      </c>
      <c r="BF874" s="2787">
        <f t="shared" ca="1" si="1432"/>
        <v>0</v>
      </c>
      <c r="BG874" s="1948">
        <f ca="1">SUM(INDIRECT(BG$1&amp;BG$2&amp;$A874):INDIRECT(BG$1&amp;BG$3&amp;$A874))+SUM(INDIRECT(BG$1&amp;BG$2&amp;$B874):INDIRECT(BG$1&amp;BG$3&amp;$B874))</f>
        <v>0</v>
      </c>
      <c r="BH874" s="2786">
        <f t="shared" ca="1" si="1433"/>
        <v>0</v>
      </c>
      <c r="BI874" s="2787">
        <f t="shared" ca="1" si="1434"/>
        <v>0</v>
      </c>
    </row>
    <row r="875" spans="1:61" ht="14.5">
      <c r="A875" s="1693">
        <f t="shared" si="1439"/>
        <v>867</v>
      </c>
      <c r="B875" s="616">
        <v>1</v>
      </c>
      <c r="C875" s="1693">
        <f t="shared" si="1436"/>
        <v>875</v>
      </c>
      <c r="D875" s="616">
        <v>1</v>
      </c>
      <c r="E875" s="709" t="s">
        <v>512</v>
      </c>
      <c r="F875" s="1572"/>
      <c r="G875" s="8"/>
      <c r="H875" s="8"/>
      <c r="J875" s="172"/>
      <c r="K875" s="8" t="s">
        <v>222</v>
      </c>
      <c r="R875" s="1779" t="str">
        <f>CHOOSE(2, "6722000003786", "FC COGS (4) MS Included in COGS [OFC(Service)]")</f>
        <v>FC COGS (4) MS Included in COGS [OFC(Service)]</v>
      </c>
      <c r="S875" s="1217"/>
      <c r="T875" s="1217"/>
      <c r="U875" s="1217"/>
      <c r="V875" s="1217"/>
      <c r="W875" s="1217"/>
      <c r="X875" s="1217"/>
      <c r="Y875" s="1217"/>
      <c r="Z875" s="1217"/>
      <c r="AA875" s="1217"/>
      <c r="AB875" s="1217"/>
      <c r="AC875" s="1217"/>
      <c r="AD875" s="1217"/>
      <c r="AE875" s="125">
        <f>SUM(S875,T875,U875)</f>
        <v>0</v>
      </c>
      <c r="AF875" s="126">
        <f>SUM(V875,W875,X875)</f>
        <v>0</v>
      </c>
      <c r="AG875" s="126">
        <f>SUM(Y875,Z875,AA875)</f>
        <v>0</v>
      </c>
      <c r="AH875" s="126">
        <f>SUM(AB875,AC875,AD875)</f>
        <v>0</v>
      </c>
      <c r="AI875" s="126">
        <f>AE875+AF875</f>
        <v>0</v>
      </c>
      <c r="AJ875" s="126">
        <f>AH875+AG875</f>
        <v>0</v>
      </c>
      <c r="AK875" s="126">
        <f>AI875+AJ875</f>
        <v>0</v>
      </c>
      <c r="AM875" s="1948">
        <f ca="1">SUM((INDIRECT(AM$2&amp;(ROW())):INDIRECT(AM$3&amp;(ROW()))))</f>
        <v>0</v>
      </c>
      <c r="AN875" s="1948">
        <f ca="1">SUM(INDIRECT(AN$1&amp;AN$2&amp;$C875):INDIRECT(AN$1&amp;AN$3&amp;$C875))</f>
        <v>0</v>
      </c>
      <c r="AO875" s="2786">
        <f t="shared" ca="1" si="1409"/>
        <v>0</v>
      </c>
      <c r="AP875" s="2787">
        <f t="shared" ca="1" si="1425"/>
        <v>0</v>
      </c>
      <c r="AQ875" s="1948">
        <f ca="1">SUM(INDIRECT(AQ$1&amp;AQ$2&amp;$A875):INDIRECT(AQ$1&amp;AQ$3&amp;$A875))+SUM(INDIRECT(AQ$1&amp;AQ$2&amp;$B875):INDIRECT(AQ$1&amp;AQ$3&amp;$B875))</f>
        <v>0</v>
      </c>
      <c r="AR875" s="2786">
        <f t="shared" ca="1" si="1410"/>
        <v>0</v>
      </c>
      <c r="AS875" s="2787">
        <f t="shared" ca="1" si="1426"/>
        <v>0</v>
      </c>
      <c r="AU875" s="1948">
        <f ca="1">SUM((INDIRECT(AU$2&amp;(ROW())):INDIRECT(AU$3&amp;(ROW()))))</f>
        <v>0</v>
      </c>
      <c r="AV875" s="1948">
        <f ca="1">SUM(INDIRECT(AV$1&amp;AV$2&amp;$C875):INDIRECT(AV$1&amp;AV$3&amp;$C875))</f>
        <v>0</v>
      </c>
      <c r="AW875" s="2786">
        <f t="shared" ca="1" si="1427"/>
        <v>0</v>
      </c>
      <c r="AX875" s="2787">
        <f t="shared" ca="1" si="1428"/>
        <v>0</v>
      </c>
      <c r="AY875" s="1948">
        <f ca="1">SUM(INDIRECT(AY$1&amp;AY$2&amp;$A875):INDIRECT(AY$1&amp;AY$3&amp;$A875))+SUM(INDIRECT(AY$1&amp;AY$2&amp;$B875):INDIRECT(AY$1&amp;AY$3&amp;$B875))</f>
        <v>0</v>
      </c>
      <c r="AZ875" s="2786">
        <f t="shared" ca="1" si="1429"/>
        <v>0</v>
      </c>
      <c r="BA875" s="2787">
        <f t="shared" ca="1" si="1430"/>
        <v>0</v>
      </c>
      <c r="BC875" s="1948">
        <f ca="1">SUM((INDIRECT(BC$2&amp;(ROW())):INDIRECT(BC$3&amp;(ROW()))))</f>
        <v>0</v>
      </c>
      <c r="BD875" s="1948">
        <f ca="1">SUM(INDIRECT(BD$1&amp;BD$2&amp;$C875):INDIRECT(BD$1&amp;BD$3&amp;$C875))</f>
        <v>0</v>
      </c>
      <c r="BE875" s="2786">
        <f t="shared" ca="1" si="1431"/>
        <v>0</v>
      </c>
      <c r="BF875" s="2787">
        <f t="shared" ca="1" si="1432"/>
        <v>0</v>
      </c>
      <c r="BG875" s="1948">
        <f ca="1">SUM(INDIRECT(BG$1&amp;BG$2&amp;$A875):INDIRECT(BG$1&amp;BG$3&amp;$A875))+SUM(INDIRECT(BG$1&amp;BG$2&amp;$B875):INDIRECT(BG$1&amp;BG$3&amp;$B875))</f>
        <v>0</v>
      </c>
      <c r="BH875" s="2786">
        <f t="shared" ca="1" si="1433"/>
        <v>0</v>
      </c>
      <c r="BI875" s="2787">
        <f t="shared" ca="1" si="1434"/>
        <v>0</v>
      </c>
    </row>
    <row r="876" spans="1:61" ht="14.5">
      <c r="A876" s="1693">
        <f t="shared" si="1439"/>
        <v>868</v>
      </c>
      <c r="B876" s="616">
        <v>1</v>
      </c>
      <c r="C876" s="1693">
        <f t="shared" si="1436"/>
        <v>876</v>
      </c>
      <c r="D876" s="616">
        <v>1</v>
      </c>
      <c r="E876" s="709" t="s">
        <v>512</v>
      </c>
      <c r="F876" s="69"/>
      <c r="G876" s="8"/>
      <c r="H876" s="8"/>
      <c r="J876" s="171"/>
      <c r="K876" s="11" t="s">
        <v>300</v>
      </c>
      <c r="L876" s="16"/>
      <c r="M876" s="16"/>
      <c r="N876" s="11"/>
      <c r="O876" s="11"/>
      <c r="P876" s="11"/>
      <c r="Q876" s="11"/>
      <c r="R876" s="1779" t="str">
        <f>CHOOSE(2, "6722000003787", "FC COGS (4) MS Included in COGS [D&amp;A]")</f>
        <v>FC COGS (4) MS Included in COGS [D&amp;A]</v>
      </c>
      <c r="S876" s="1218"/>
      <c r="T876" s="1218"/>
      <c r="U876" s="1218"/>
      <c r="V876" s="1218"/>
      <c r="W876" s="1218"/>
      <c r="X876" s="1218"/>
      <c r="Y876" s="1218"/>
      <c r="Z876" s="1218"/>
      <c r="AA876" s="1218"/>
      <c r="AB876" s="1218"/>
      <c r="AC876" s="1218"/>
      <c r="AD876" s="1218"/>
      <c r="AE876" s="122">
        <f>SUM(S876,T876,U876)</f>
        <v>0</v>
      </c>
      <c r="AF876" s="123">
        <f>SUM(V876,W876,X876)</f>
        <v>0</v>
      </c>
      <c r="AG876" s="123">
        <f>SUM(Y876,Z876,AA876)</f>
        <v>0</v>
      </c>
      <c r="AH876" s="123">
        <f>SUM(AB876,AC876,AD876)</f>
        <v>0</v>
      </c>
      <c r="AI876" s="123">
        <f>AE876+AF876</f>
        <v>0</v>
      </c>
      <c r="AJ876" s="123">
        <f>AH876+AG876</f>
        <v>0</v>
      </c>
      <c r="AK876" s="123">
        <f>AI876+AJ876</f>
        <v>0</v>
      </c>
      <c r="AM876" s="1950">
        <f ca="1">SUM((INDIRECT(AM$2&amp;(ROW())):INDIRECT(AM$3&amp;(ROW()))))</f>
        <v>0</v>
      </c>
      <c r="AN876" s="1950">
        <f ca="1">SUM(INDIRECT(AN$1&amp;AN$2&amp;$C876):INDIRECT(AN$1&amp;AN$3&amp;$C876))</f>
        <v>0</v>
      </c>
      <c r="AO876" s="2715">
        <f t="shared" ca="1" si="1409"/>
        <v>0</v>
      </c>
      <c r="AP876" s="2716">
        <f t="shared" ca="1" si="1425"/>
        <v>0</v>
      </c>
      <c r="AQ876" s="1950">
        <f ca="1">SUM(INDIRECT(AQ$1&amp;AQ$2&amp;$A876):INDIRECT(AQ$1&amp;AQ$3&amp;$A876))+SUM(INDIRECT(AQ$1&amp;AQ$2&amp;$B876):INDIRECT(AQ$1&amp;AQ$3&amp;$B876))</f>
        <v>0</v>
      </c>
      <c r="AR876" s="2715">
        <f t="shared" ca="1" si="1410"/>
        <v>0</v>
      </c>
      <c r="AS876" s="2716">
        <f t="shared" ca="1" si="1426"/>
        <v>0</v>
      </c>
      <c r="AU876" s="1950">
        <f ca="1">SUM((INDIRECT(AU$2&amp;(ROW())):INDIRECT(AU$3&amp;(ROW()))))</f>
        <v>0</v>
      </c>
      <c r="AV876" s="1950">
        <f ca="1">SUM(INDIRECT(AV$1&amp;AV$2&amp;$C876):INDIRECT(AV$1&amp;AV$3&amp;$C876))</f>
        <v>0</v>
      </c>
      <c r="AW876" s="2715">
        <f t="shared" ca="1" si="1427"/>
        <v>0</v>
      </c>
      <c r="AX876" s="2716">
        <f t="shared" ca="1" si="1428"/>
        <v>0</v>
      </c>
      <c r="AY876" s="1950">
        <f ca="1">SUM(INDIRECT(AY$1&amp;AY$2&amp;$A876):INDIRECT(AY$1&amp;AY$3&amp;$A876))+SUM(INDIRECT(AY$1&amp;AY$2&amp;$B876):INDIRECT(AY$1&amp;AY$3&amp;$B876))</f>
        <v>0</v>
      </c>
      <c r="AZ876" s="2715">
        <f t="shared" ca="1" si="1429"/>
        <v>0</v>
      </c>
      <c r="BA876" s="2716">
        <f t="shared" ca="1" si="1430"/>
        <v>0</v>
      </c>
      <c r="BC876" s="1950">
        <f ca="1">SUM((INDIRECT(BC$2&amp;(ROW())):INDIRECT(BC$3&amp;(ROW()))))</f>
        <v>0</v>
      </c>
      <c r="BD876" s="1950">
        <f ca="1">SUM(INDIRECT(BD$1&amp;BD$2&amp;$C876):INDIRECT(BD$1&amp;BD$3&amp;$C876))</f>
        <v>0</v>
      </c>
      <c r="BE876" s="2715">
        <f t="shared" ca="1" si="1431"/>
        <v>0</v>
      </c>
      <c r="BF876" s="2716">
        <f t="shared" ca="1" si="1432"/>
        <v>0</v>
      </c>
      <c r="BG876" s="1950">
        <f ca="1">SUM(INDIRECT(BG$1&amp;BG$2&amp;$A876):INDIRECT(BG$1&amp;BG$3&amp;$A876))+SUM(INDIRECT(BG$1&amp;BG$2&amp;$B876):INDIRECT(BG$1&amp;BG$3&amp;$B876))</f>
        <v>0</v>
      </c>
      <c r="BH876" s="2715">
        <f t="shared" ca="1" si="1433"/>
        <v>0</v>
      </c>
      <c r="BI876" s="2716">
        <f t="shared" ca="1" si="1434"/>
        <v>0</v>
      </c>
    </row>
    <row r="877" spans="1:61" s="69" customFormat="1" ht="14.5">
      <c r="A877" s="1693">
        <f t="shared" si="1439"/>
        <v>869</v>
      </c>
      <c r="B877" s="616">
        <v>1</v>
      </c>
      <c r="C877" s="1693">
        <f t="shared" si="1436"/>
        <v>877</v>
      </c>
      <c r="D877" s="616">
        <v>751</v>
      </c>
      <c r="E877" s="709" t="s">
        <v>512</v>
      </c>
      <c r="F877" s="1572"/>
      <c r="G877" s="8"/>
      <c r="I877" s="22"/>
      <c r="J877" s="787" t="s">
        <v>539</v>
      </c>
      <c r="K877" s="331"/>
      <c r="L877" s="332"/>
      <c r="M877" s="332"/>
      <c r="N877" s="332"/>
      <c r="O877" s="332"/>
      <c r="P877" s="332"/>
      <c r="Q877" s="594"/>
      <c r="R877" s="1819" t="str">
        <f>CHOOSE(2, "6722000003788", "FC COGS (5) DW-DX")</f>
        <v>FC COGS (5) DW-DX</v>
      </c>
      <c r="S877" s="1264">
        <f>SUM(S878:S881)</f>
        <v>0</v>
      </c>
      <c r="T877" s="1264">
        <f t="shared" ref="T877:AD877" si="1463">SUM(T878:T881)</f>
        <v>0</v>
      </c>
      <c r="U877" s="1264">
        <f t="shared" si="1463"/>
        <v>0</v>
      </c>
      <c r="V877" s="1264">
        <f t="shared" si="1463"/>
        <v>0</v>
      </c>
      <c r="W877" s="1264">
        <f t="shared" si="1463"/>
        <v>0</v>
      </c>
      <c r="X877" s="1264">
        <f t="shared" si="1463"/>
        <v>0</v>
      </c>
      <c r="Y877" s="1264">
        <f t="shared" si="1463"/>
        <v>0</v>
      </c>
      <c r="Z877" s="1264">
        <f t="shared" si="1463"/>
        <v>0</v>
      </c>
      <c r="AA877" s="1264">
        <f t="shared" si="1463"/>
        <v>0</v>
      </c>
      <c r="AB877" s="1264">
        <f t="shared" si="1463"/>
        <v>0</v>
      </c>
      <c r="AC877" s="1264">
        <f t="shared" si="1463"/>
        <v>0</v>
      </c>
      <c r="AD877" s="1264">
        <f t="shared" si="1463"/>
        <v>0</v>
      </c>
      <c r="AE877" s="910">
        <f t="shared" ref="AE877:AK877" si="1464">SUM(AE878:AE881)</f>
        <v>0</v>
      </c>
      <c r="AF877" s="333">
        <f t="shared" si="1464"/>
        <v>0</v>
      </c>
      <c r="AG877" s="333">
        <f t="shared" si="1464"/>
        <v>0</v>
      </c>
      <c r="AH877" s="333">
        <f t="shared" si="1464"/>
        <v>0</v>
      </c>
      <c r="AI877" s="333">
        <f t="shared" si="1464"/>
        <v>0</v>
      </c>
      <c r="AJ877" s="333">
        <f t="shared" si="1464"/>
        <v>0</v>
      </c>
      <c r="AK877" s="333">
        <f t="shared" si="1464"/>
        <v>0</v>
      </c>
      <c r="AL877" s="34"/>
      <c r="AM877" s="2234">
        <f ca="1">SUM((INDIRECT(AM$2&amp;(ROW())):INDIRECT(AM$3&amp;(ROW()))))</f>
        <v>0</v>
      </c>
      <c r="AN877" s="2234">
        <f ca="1">SUM(INDIRECT(AN$1&amp;AN$2&amp;$C877):INDIRECT(AN$1&amp;AN$3&amp;$C877))</f>
        <v>0</v>
      </c>
      <c r="AO877" s="2944">
        <f t="shared" ca="1" si="1409"/>
        <v>0</v>
      </c>
      <c r="AP877" s="2945">
        <f t="shared" ca="1" si="1425"/>
        <v>0</v>
      </c>
      <c r="AQ877" s="2234">
        <f ca="1">SUM(INDIRECT(AQ$1&amp;AQ$2&amp;$A877):INDIRECT(AQ$1&amp;AQ$3&amp;$A877))+SUM(INDIRECT(AQ$1&amp;AQ$2&amp;$B877):INDIRECT(AQ$1&amp;AQ$3&amp;$B877))</f>
        <v>0</v>
      </c>
      <c r="AR877" s="2944">
        <f t="shared" ca="1" si="1410"/>
        <v>0</v>
      </c>
      <c r="AS877" s="2945">
        <f t="shared" ca="1" si="1426"/>
        <v>0</v>
      </c>
      <c r="AU877" s="2234">
        <f ca="1">SUM((INDIRECT(AU$2&amp;(ROW())):INDIRECT(AU$3&amp;(ROW()))))</f>
        <v>0</v>
      </c>
      <c r="AV877" s="2234">
        <f ca="1">SUM(INDIRECT(AV$1&amp;AV$2&amp;$C877):INDIRECT(AV$1&amp;AV$3&amp;$C877))</f>
        <v>0</v>
      </c>
      <c r="AW877" s="2944">
        <f t="shared" ca="1" si="1427"/>
        <v>0</v>
      </c>
      <c r="AX877" s="2945">
        <f t="shared" ca="1" si="1428"/>
        <v>0</v>
      </c>
      <c r="AY877" s="2234">
        <f ca="1">SUM(INDIRECT(AY$1&amp;AY$2&amp;$A877):INDIRECT(AY$1&amp;AY$3&amp;$A877))+SUM(INDIRECT(AY$1&amp;AY$2&amp;$B877):INDIRECT(AY$1&amp;AY$3&amp;$B877))</f>
        <v>0</v>
      </c>
      <c r="AZ877" s="2944">
        <f t="shared" ca="1" si="1429"/>
        <v>0</v>
      </c>
      <c r="BA877" s="2945">
        <f t="shared" ca="1" si="1430"/>
        <v>0</v>
      </c>
      <c r="BC877" s="2234">
        <f ca="1">SUM((INDIRECT(BC$2&amp;(ROW())):INDIRECT(BC$3&amp;(ROW()))))</f>
        <v>0</v>
      </c>
      <c r="BD877" s="2234">
        <f ca="1">SUM(INDIRECT(BD$1&amp;BD$2&amp;$C877):INDIRECT(BD$1&amp;BD$3&amp;$C877))</f>
        <v>0</v>
      </c>
      <c r="BE877" s="2944">
        <f t="shared" ca="1" si="1431"/>
        <v>0</v>
      </c>
      <c r="BF877" s="2945">
        <f t="shared" ca="1" si="1432"/>
        <v>0</v>
      </c>
      <c r="BG877" s="2234">
        <f ca="1">SUM(INDIRECT(BG$1&amp;BG$2&amp;$A877):INDIRECT(BG$1&amp;BG$3&amp;$A877))+SUM(INDIRECT(BG$1&amp;BG$2&amp;$B877):INDIRECT(BG$1&amp;BG$3&amp;$B877))</f>
        <v>0</v>
      </c>
      <c r="BH877" s="2944">
        <f t="shared" ca="1" si="1433"/>
        <v>0</v>
      </c>
      <c r="BI877" s="2945">
        <f t="shared" ca="1" si="1434"/>
        <v>0</v>
      </c>
    </row>
    <row r="878" spans="1:61" ht="14.5">
      <c r="A878" s="1693">
        <f t="shared" si="1439"/>
        <v>870</v>
      </c>
      <c r="B878" s="616">
        <v>1</v>
      </c>
      <c r="C878" s="1693">
        <f t="shared" si="1436"/>
        <v>878</v>
      </c>
      <c r="D878" s="616">
        <f t="shared" si="1436"/>
        <v>752</v>
      </c>
      <c r="E878" s="709" t="s">
        <v>512</v>
      </c>
      <c r="F878" s="1572"/>
      <c r="G878" s="69"/>
      <c r="H878" s="69"/>
      <c r="J878" s="1235"/>
      <c r="K878" s="8" t="s">
        <v>220</v>
      </c>
      <c r="L878" s="8"/>
      <c r="M878" s="8"/>
      <c r="R878" s="1781" t="str">
        <f>CHOOSE(2, "6722000003789", "FC COGS (5) DW-DX Included in COGS [PC(Service)]")</f>
        <v>FC COGS (5) DW-DX Included in COGS [PC(Service)]</v>
      </c>
      <c r="S878" s="1281"/>
      <c r="T878" s="1281"/>
      <c r="U878" s="1281"/>
      <c r="V878" s="1281"/>
      <c r="W878" s="1281"/>
      <c r="X878" s="1281"/>
      <c r="Y878" s="1281"/>
      <c r="Z878" s="1281"/>
      <c r="AA878" s="1281"/>
      <c r="AB878" s="1281"/>
      <c r="AC878" s="1281"/>
      <c r="AD878" s="1281"/>
      <c r="AE878" s="125">
        <f>SUM(S878,T878,U878)</f>
        <v>0</v>
      </c>
      <c r="AF878" s="126">
        <f>SUM(V878,W878,X878)</f>
        <v>0</v>
      </c>
      <c r="AG878" s="126">
        <f>SUM(Y878,Z878,AA878)</f>
        <v>0</v>
      </c>
      <c r="AH878" s="126">
        <f>SUM(AB878,AC878,AD878)</f>
        <v>0</v>
      </c>
      <c r="AI878" s="126">
        <f>AE878+AF878</f>
        <v>0</v>
      </c>
      <c r="AJ878" s="126">
        <f>AH878+AG878</f>
        <v>0</v>
      </c>
      <c r="AK878" s="126">
        <f>AI878+AJ878</f>
        <v>0</v>
      </c>
      <c r="AL878" s="34"/>
      <c r="AM878" s="1948">
        <f ca="1">SUM((INDIRECT(AM$2&amp;(ROW())):INDIRECT(AM$3&amp;(ROW()))))</f>
        <v>0</v>
      </c>
      <c r="AN878" s="1948">
        <f ca="1">SUM(INDIRECT(AN$1&amp;AN$2&amp;$C878):INDIRECT(AN$1&amp;AN$3&amp;$C878))</f>
        <v>0</v>
      </c>
      <c r="AO878" s="2786">
        <f t="shared" ca="1" si="1409"/>
        <v>0</v>
      </c>
      <c r="AP878" s="2787">
        <f t="shared" ca="1" si="1425"/>
        <v>0</v>
      </c>
      <c r="AQ878" s="1948">
        <f ca="1">SUM(INDIRECT(AQ$1&amp;AQ$2&amp;$A878):INDIRECT(AQ$1&amp;AQ$3&amp;$A878))+SUM(INDIRECT(AQ$1&amp;AQ$2&amp;$B878):INDIRECT(AQ$1&amp;AQ$3&amp;$B878))</f>
        <v>0</v>
      </c>
      <c r="AR878" s="2786">
        <f t="shared" ca="1" si="1410"/>
        <v>0</v>
      </c>
      <c r="AS878" s="2787">
        <f t="shared" ca="1" si="1426"/>
        <v>0</v>
      </c>
      <c r="AU878" s="1948">
        <f ca="1">SUM((INDIRECT(AU$2&amp;(ROW())):INDIRECT(AU$3&amp;(ROW()))))</f>
        <v>0</v>
      </c>
      <c r="AV878" s="1948">
        <f ca="1">SUM(INDIRECT(AV$1&amp;AV$2&amp;$C878):INDIRECT(AV$1&amp;AV$3&amp;$C878))</f>
        <v>0</v>
      </c>
      <c r="AW878" s="2786">
        <f t="shared" ca="1" si="1427"/>
        <v>0</v>
      </c>
      <c r="AX878" s="2787">
        <f t="shared" ca="1" si="1428"/>
        <v>0</v>
      </c>
      <c r="AY878" s="1948">
        <f ca="1">SUM(INDIRECT(AY$1&amp;AY$2&amp;$A878):INDIRECT(AY$1&amp;AY$3&amp;$A878))+SUM(INDIRECT(AY$1&amp;AY$2&amp;$B878):INDIRECT(AY$1&amp;AY$3&amp;$B878))</f>
        <v>0</v>
      </c>
      <c r="AZ878" s="2786">
        <f t="shared" ca="1" si="1429"/>
        <v>0</v>
      </c>
      <c r="BA878" s="2787">
        <f t="shared" ca="1" si="1430"/>
        <v>0</v>
      </c>
      <c r="BC878" s="1948">
        <f ca="1">SUM((INDIRECT(BC$2&amp;(ROW())):INDIRECT(BC$3&amp;(ROW()))))</f>
        <v>0</v>
      </c>
      <c r="BD878" s="1948">
        <f ca="1">SUM(INDIRECT(BD$1&amp;BD$2&amp;$C878):INDIRECT(BD$1&amp;BD$3&amp;$C878))</f>
        <v>0</v>
      </c>
      <c r="BE878" s="2786">
        <f t="shared" ca="1" si="1431"/>
        <v>0</v>
      </c>
      <c r="BF878" s="2787">
        <f t="shared" ca="1" si="1432"/>
        <v>0</v>
      </c>
      <c r="BG878" s="1948">
        <f ca="1">SUM(INDIRECT(BG$1&amp;BG$2&amp;$A878):INDIRECT(BG$1&amp;BG$3&amp;$A878))+SUM(INDIRECT(BG$1&amp;BG$2&amp;$B878):INDIRECT(BG$1&amp;BG$3&amp;$B878))</f>
        <v>0</v>
      </c>
      <c r="BH878" s="2786">
        <f t="shared" ca="1" si="1433"/>
        <v>0</v>
      </c>
      <c r="BI878" s="2787">
        <f t="shared" ca="1" si="1434"/>
        <v>0</v>
      </c>
    </row>
    <row r="879" spans="1:61" ht="14.5">
      <c r="A879" s="1693">
        <f t="shared" si="1439"/>
        <v>871</v>
      </c>
      <c r="B879" s="616">
        <v>1</v>
      </c>
      <c r="C879" s="1693">
        <f t="shared" ref="C879:D894" si="1465">C878+1</f>
        <v>879</v>
      </c>
      <c r="D879" s="616">
        <f t="shared" si="1465"/>
        <v>753</v>
      </c>
      <c r="E879" s="709" t="s">
        <v>512</v>
      </c>
      <c r="F879" s="69"/>
      <c r="G879" s="69"/>
      <c r="H879" s="69"/>
      <c r="J879" s="1235"/>
      <c r="K879" s="8" t="s">
        <v>221</v>
      </c>
      <c r="L879" s="8"/>
      <c r="M879" s="8"/>
      <c r="R879" s="1781" t="str">
        <f>CHOOSE(2, "6722000003790", "FC COGS (5) DW-DX Included in COGS [TE(Service)]")</f>
        <v>FC COGS (5) DW-DX Included in COGS [TE(Service)]</v>
      </c>
      <c r="S879" s="1281"/>
      <c r="T879" s="1281"/>
      <c r="U879" s="1281"/>
      <c r="V879" s="1281"/>
      <c r="W879" s="1281"/>
      <c r="X879" s="1281"/>
      <c r="Y879" s="1281"/>
      <c r="Z879" s="1281"/>
      <c r="AA879" s="1281"/>
      <c r="AB879" s="1281"/>
      <c r="AC879" s="1281"/>
      <c r="AD879" s="1281"/>
      <c r="AE879" s="125">
        <f>SUM(S879,T879,U879)</f>
        <v>0</v>
      </c>
      <c r="AF879" s="126">
        <f>SUM(V879,W879,X879)</f>
        <v>0</v>
      </c>
      <c r="AG879" s="126">
        <f>SUM(Y879,Z879,AA879)</f>
        <v>0</v>
      </c>
      <c r="AH879" s="126">
        <f>SUM(AB879,AC879,AD879)</f>
        <v>0</v>
      </c>
      <c r="AI879" s="126">
        <f>AE879+AF879</f>
        <v>0</v>
      </c>
      <c r="AJ879" s="126">
        <f>AH879+AG879</f>
        <v>0</v>
      </c>
      <c r="AK879" s="126">
        <f>AI879+AJ879</f>
        <v>0</v>
      </c>
      <c r="AL879" s="2244"/>
      <c r="AM879" s="1948">
        <f ca="1">SUM((INDIRECT(AM$2&amp;(ROW())):INDIRECT(AM$3&amp;(ROW()))))</f>
        <v>0</v>
      </c>
      <c r="AN879" s="1948">
        <f ca="1">SUM(INDIRECT(AN$1&amp;AN$2&amp;$C879):INDIRECT(AN$1&amp;AN$3&amp;$C879))</f>
        <v>0</v>
      </c>
      <c r="AO879" s="2786">
        <f t="shared" ca="1" si="1409"/>
        <v>0</v>
      </c>
      <c r="AP879" s="2787">
        <f t="shared" ca="1" si="1425"/>
        <v>0</v>
      </c>
      <c r="AQ879" s="1948">
        <f ca="1">SUM(INDIRECT(AQ$1&amp;AQ$2&amp;$A879):INDIRECT(AQ$1&amp;AQ$3&amp;$A879))+SUM(INDIRECT(AQ$1&amp;AQ$2&amp;$B879):INDIRECT(AQ$1&amp;AQ$3&amp;$B879))</f>
        <v>0</v>
      </c>
      <c r="AR879" s="2786">
        <f t="shared" ca="1" si="1410"/>
        <v>0</v>
      </c>
      <c r="AS879" s="2787">
        <f t="shared" ca="1" si="1426"/>
        <v>0</v>
      </c>
      <c r="AU879" s="1948">
        <f ca="1">SUM((INDIRECT(AU$2&amp;(ROW())):INDIRECT(AU$3&amp;(ROW()))))</f>
        <v>0</v>
      </c>
      <c r="AV879" s="1948">
        <f ca="1">SUM(INDIRECT(AV$1&amp;AV$2&amp;$C879):INDIRECT(AV$1&amp;AV$3&amp;$C879))</f>
        <v>0</v>
      </c>
      <c r="AW879" s="2786">
        <f t="shared" ca="1" si="1427"/>
        <v>0</v>
      </c>
      <c r="AX879" s="2787">
        <f t="shared" ca="1" si="1428"/>
        <v>0</v>
      </c>
      <c r="AY879" s="1948">
        <f ca="1">SUM(INDIRECT(AY$1&amp;AY$2&amp;$A879):INDIRECT(AY$1&amp;AY$3&amp;$A879))+SUM(INDIRECT(AY$1&amp;AY$2&amp;$B879):INDIRECT(AY$1&amp;AY$3&amp;$B879))</f>
        <v>0</v>
      </c>
      <c r="AZ879" s="2786">
        <f t="shared" ca="1" si="1429"/>
        <v>0</v>
      </c>
      <c r="BA879" s="2787">
        <f t="shared" ca="1" si="1430"/>
        <v>0</v>
      </c>
      <c r="BC879" s="1948">
        <f ca="1">SUM((INDIRECT(BC$2&amp;(ROW())):INDIRECT(BC$3&amp;(ROW()))))</f>
        <v>0</v>
      </c>
      <c r="BD879" s="1948">
        <f ca="1">SUM(INDIRECT(BD$1&amp;BD$2&amp;$C879):INDIRECT(BD$1&amp;BD$3&amp;$C879))</f>
        <v>0</v>
      </c>
      <c r="BE879" s="2786">
        <f t="shared" ca="1" si="1431"/>
        <v>0</v>
      </c>
      <c r="BF879" s="2787">
        <f t="shared" ca="1" si="1432"/>
        <v>0</v>
      </c>
      <c r="BG879" s="1948">
        <f ca="1">SUM(INDIRECT(BG$1&amp;BG$2&amp;$A879):INDIRECT(BG$1&amp;BG$3&amp;$A879))+SUM(INDIRECT(BG$1&amp;BG$2&amp;$B879):INDIRECT(BG$1&amp;BG$3&amp;$B879))</f>
        <v>0</v>
      </c>
      <c r="BH879" s="2786">
        <f t="shared" ca="1" si="1433"/>
        <v>0</v>
      </c>
      <c r="BI879" s="2787">
        <f t="shared" ca="1" si="1434"/>
        <v>0</v>
      </c>
    </row>
    <row r="880" spans="1:61" ht="14.5">
      <c r="A880" s="1693">
        <f t="shared" si="1439"/>
        <v>872</v>
      </c>
      <c r="B880" s="616">
        <v>1</v>
      </c>
      <c r="C880" s="1693">
        <f t="shared" si="1465"/>
        <v>880</v>
      </c>
      <c r="D880" s="616">
        <f t="shared" si="1465"/>
        <v>754</v>
      </c>
      <c r="E880" s="709" t="s">
        <v>512</v>
      </c>
      <c r="F880" s="1572"/>
      <c r="G880" s="69"/>
      <c r="H880" s="69"/>
      <c r="J880" s="172"/>
      <c r="K880" s="8" t="s">
        <v>222</v>
      </c>
      <c r="R880" s="1781" t="str">
        <f>CHOOSE(2, "6722000003791", "FC COGS (5) DW-DX Included in COGS [OFC(Service)]")</f>
        <v>FC COGS (5) DW-DX Included in COGS [OFC(Service)]</v>
      </c>
      <c r="S880" s="1281"/>
      <c r="T880" s="1281"/>
      <c r="U880" s="1281"/>
      <c r="V880" s="1281"/>
      <c r="W880" s="1281"/>
      <c r="X880" s="1281"/>
      <c r="Y880" s="1281"/>
      <c r="Z880" s="1281"/>
      <c r="AA880" s="1281"/>
      <c r="AB880" s="1281"/>
      <c r="AC880" s="1281"/>
      <c r="AD880" s="1281"/>
      <c r="AE880" s="125">
        <f>SUM(S880,T880,U880)</f>
        <v>0</v>
      </c>
      <c r="AF880" s="126">
        <f>SUM(V880,W880,X880)</f>
        <v>0</v>
      </c>
      <c r="AG880" s="126">
        <f>SUM(Y880,Z880,AA880)</f>
        <v>0</v>
      </c>
      <c r="AH880" s="126">
        <f>SUM(AB880,AC880,AD880)</f>
        <v>0</v>
      </c>
      <c r="AI880" s="126">
        <f>AE880+AF880</f>
        <v>0</v>
      </c>
      <c r="AJ880" s="126">
        <f>AH880+AG880</f>
        <v>0</v>
      </c>
      <c r="AK880" s="126">
        <f>AI880+AJ880</f>
        <v>0</v>
      </c>
      <c r="AL880" s="34"/>
      <c r="AM880" s="1948">
        <f ca="1">SUM((INDIRECT(AM$2&amp;(ROW())):INDIRECT(AM$3&amp;(ROW()))))</f>
        <v>0</v>
      </c>
      <c r="AN880" s="1948">
        <f ca="1">SUM(INDIRECT(AN$1&amp;AN$2&amp;$C880):INDIRECT(AN$1&amp;AN$3&amp;$C880))</f>
        <v>0</v>
      </c>
      <c r="AO880" s="2786">
        <f t="shared" ca="1" si="1409"/>
        <v>0</v>
      </c>
      <c r="AP880" s="2787">
        <f t="shared" ca="1" si="1425"/>
        <v>0</v>
      </c>
      <c r="AQ880" s="1948">
        <f ca="1">SUM(INDIRECT(AQ$1&amp;AQ$2&amp;$A880):INDIRECT(AQ$1&amp;AQ$3&amp;$A880))+SUM(INDIRECT(AQ$1&amp;AQ$2&amp;$B880):INDIRECT(AQ$1&amp;AQ$3&amp;$B880))</f>
        <v>0</v>
      </c>
      <c r="AR880" s="2786">
        <f t="shared" ca="1" si="1410"/>
        <v>0</v>
      </c>
      <c r="AS880" s="2787">
        <f t="shared" ca="1" si="1426"/>
        <v>0</v>
      </c>
      <c r="AU880" s="1948">
        <f ca="1">SUM((INDIRECT(AU$2&amp;(ROW())):INDIRECT(AU$3&amp;(ROW()))))</f>
        <v>0</v>
      </c>
      <c r="AV880" s="1948">
        <f ca="1">SUM(INDIRECT(AV$1&amp;AV$2&amp;$C880):INDIRECT(AV$1&amp;AV$3&amp;$C880))</f>
        <v>0</v>
      </c>
      <c r="AW880" s="2786">
        <f t="shared" ca="1" si="1427"/>
        <v>0</v>
      </c>
      <c r="AX880" s="2787">
        <f t="shared" ca="1" si="1428"/>
        <v>0</v>
      </c>
      <c r="AY880" s="1948">
        <f ca="1">SUM(INDIRECT(AY$1&amp;AY$2&amp;$A880):INDIRECT(AY$1&amp;AY$3&amp;$A880))+SUM(INDIRECT(AY$1&amp;AY$2&amp;$B880):INDIRECT(AY$1&amp;AY$3&amp;$B880))</f>
        <v>0</v>
      </c>
      <c r="AZ880" s="2786">
        <f t="shared" ca="1" si="1429"/>
        <v>0</v>
      </c>
      <c r="BA880" s="2787">
        <f t="shared" ca="1" si="1430"/>
        <v>0</v>
      </c>
      <c r="BC880" s="1948">
        <f ca="1">SUM((INDIRECT(BC$2&amp;(ROW())):INDIRECT(BC$3&amp;(ROW()))))</f>
        <v>0</v>
      </c>
      <c r="BD880" s="1948">
        <f ca="1">SUM(INDIRECT(BD$1&amp;BD$2&amp;$C880):INDIRECT(BD$1&amp;BD$3&amp;$C880))</f>
        <v>0</v>
      </c>
      <c r="BE880" s="2786">
        <f t="shared" ca="1" si="1431"/>
        <v>0</v>
      </c>
      <c r="BF880" s="2787">
        <f t="shared" ca="1" si="1432"/>
        <v>0</v>
      </c>
      <c r="BG880" s="1948">
        <f ca="1">SUM(INDIRECT(BG$1&amp;BG$2&amp;$A880):INDIRECT(BG$1&amp;BG$3&amp;$A880))+SUM(INDIRECT(BG$1&amp;BG$2&amp;$B880):INDIRECT(BG$1&amp;BG$3&amp;$B880))</f>
        <v>0</v>
      </c>
      <c r="BH880" s="2786">
        <f t="shared" ca="1" si="1433"/>
        <v>0</v>
      </c>
      <c r="BI880" s="2787">
        <f t="shared" ca="1" si="1434"/>
        <v>0</v>
      </c>
    </row>
    <row r="881" spans="1:61" ht="14.5">
      <c r="A881" s="1693">
        <f t="shared" si="1439"/>
        <v>873</v>
      </c>
      <c r="B881" s="616">
        <v>1</v>
      </c>
      <c r="C881" s="1693">
        <f t="shared" si="1465"/>
        <v>881</v>
      </c>
      <c r="D881" s="616">
        <f t="shared" si="1465"/>
        <v>755</v>
      </c>
      <c r="E881" s="709" t="s">
        <v>512</v>
      </c>
      <c r="F881" s="69"/>
      <c r="G881" s="69"/>
      <c r="H881" s="69"/>
      <c r="J881" s="171"/>
      <c r="K881" s="11" t="s">
        <v>300</v>
      </c>
      <c r="L881" s="16"/>
      <c r="M881" s="16"/>
      <c r="N881" s="11"/>
      <c r="O881" s="11"/>
      <c r="P881" s="11"/>
      <c r="Q881" s="11"/>
      <c r="R881" s="1781" t="str">
        <f>CHOOSE(2, "6722000003792", "FC COGS (5) DW-DX Included in COGS [D&amp;A]")</f>
        <v>FC COGS (5) DW-DX Included in COGS [D&amp;A]</v>
      </c>
      <c r="S881" s="1282"/>
      <c r="T881" s="1282"/>
      <c r="U881" s="1282"/>
      <c r="V881" s="1282"/>
      <c r="W881" s="1282"/>
      <c r="X881" s="1282"/>
      <c r="Y881" s="1282"/>
      <c r="Z881" s="1282"/>
      <c r="AA881" s="1282"/>
      <c r="AB881" s="1282"/>
      <c r="AC881" s="1282"/>
      <c r="AD881" s="1282"/>
      <c r="AE881" s="122">
        <f>SUM(S881,T881,U881)</f>
        <v>0</v>
      </c>
      <c r="AF881" s="123">
        <f>SUM(V881,W881,X881)</f>
        <v>0</v>
      </c>
      <c r="AG881" s="123">
        <f>SUM(Y881,Z881,AA881)</f>
        <v>0</v>
      </c>
      <c r="AH881" s="123">
        <f>SUM(AB881,AC881,AD881)</f>
        <v>0</v>
      </c>
      <c r="AI881" s="123">
        <f>AE881+AF881</f>
        <v>0</v>
      </c>
      <c r="AJ881" s="123">
        <f>AH881+AG881</f>
        <v>0</v>
      </c>
      <c r="AK881" s="123">
        <f>AI881+AJ881</f>
        <v>0</v>
      </c>
      <c r="AL881" s="34"/>
      <c r="AM881" s="1950">
        <f ca="1">SUM((INDIRECT(AM$2&amp;(ROW())):INDIRECT(AM$3&amp;(ROW()))))</f>
        <v>0</v>
      </c>
      <c r="AN881" s="1950">
        <f ca="1">SUM(INDIRECT(AN$1&amp;AN$2&amp;$C881):INDIRECT(AN$1&amp;AN$3&amp;$C881))</f>
        <v>0</v>
      </c>
      <c r="AO881" s="2715">
        <f t="shared" ca="1" si="1409"/>
        <v>0</v>
      </c>
      <c r="AP881" s="2716">
        <f t="shared" ca="1" si="1425"/>
        <v>0</v>
      </c>
      <c r="AQ881" s="1950">
        <f ca="1">SUM(INDIRECT(AQ$1&amp;AQ$2&amp;$A881):INDIRECT(AQ$1&amp;AQ$3&amp;$A881))+SUM(INDIRECT(AQ$1&amp;AQ$2&amp;$B881):INDIRECT(AQ$1&amp;AQ$3&amp;$B881))</f>
        <v>0</v>
      </c>
      <c r="AR881" s="2715">
        <f t="shared" ca="1" si="1410"/>
        <v>0</v>
      </c>
      <c r="AS881" s="2716">
        <f t="shared" ca="1" si="1426"/>
        <v>0</v>
      </c>
      <c r="AU881" s="1950">
        <f ca="1">SUM((INDIRECT(AU$2&amp;(ROW())):INDIRECT(AU$3&amp;(ROW()))))</f>
        <v>0</v>
      </c>
      <c r="AV881" s="1950">
        <f ca="1">SUM(INDIRECT(AV$1&amp;AV$2&amp;$C881):INDIRECT(AV$1&amp;AV$3&amp;$C881))</f>
        <v>0</v>
      </c>
      <c r="AW881" s="2715">
        <f t="shared" ca="1" si="1427"/>
        <v>0</v>
      </c>
      <c r="AX881" s="2716">
        <f t="shared" ca="1" si="1428"/>
        <v>0</v>
      </c>
      <c r="AY881" s="1950">
        <f ca="1">SUM(INDIRECT(AY$1&amp;AY$2&amp;$A881):INDIRECT(AY$1&amp;AY$3&amp;$A881))+SUM(INDIRECT(AY$1&amp;AY$2&amp;$B881):INDIRECT(AY$1&amp;AY$3&amp;$B881))</f>
        <v>0</v>
      </c>
      <c r="AZ881" s="2715">
        <f t="shared" ca="1" si="1429"/>
        <v>0</v>
      </c>
      <c r="BA881" s="2716">
        <f t="shared" ca="1" si="1430"/>
        <v>0</v>
      </c>
      <c r="BC881" s="1950">
        <f ca="1">SUM((INDIRECT(BC$2&amp;(ROW())):INDIRECT(BC$3&amp;(ROW()))))</f>
        <v>0</v>
      </c>
      <c r="BD881" s="1950">
        <f ca="1">SUM(INDIRECT(BD$1&amp;BD$2&amp;$C881):INDIRECT(BD$1&amp;BD$3&amp;$C881))</f>
        <v>0</v>
      </c>
      <c r="BE881" s="2715">
        <f t="shared" ca="1" si="1431"/>
        <v>0</v>
      </c>
      <c r="BF881" s="2716">
        <f t="shared" ca="1" si="1432"/>
        <v>0</v>
      </c>
      <c r="BG881" s="1950">
        <f ca="1">SUM(INDIRECT(BG$1&amp;BG$2&amp;$A881):INDIRECT(BG$1&amp;BG$3&amp;$A881))+SUM(INDIRECT(BG$1&amp;BG$2&amp;$B881):INDIRECT(BG$1&amp;BG$3&amp;$B881))</f>
        <v>0</v>
      </c>
      <c r="BH881" s="2715">
        <f t="shared" ca="1" si="1433"/>
        <v>0</v>
      </c>
      <c r="BI881" s="2716">
        <f t="shared" ca="1" si="1434"/>
        <v>0</v>
      </c>
    </row>
    <row r="882" spans="1:61" s="69" customFormat="1" ht="14.5">
      <c r="A882" s="1693">
        <f t="shared" si="1439"/>
        <v>874</v>
      </c>
      <c r="B882" s="616">
        <v>1</v>
      </c>
      <c r="C882" s="1693">
        <f t="shared" si="1465"/>
        <v>882</v>
      </c>
      <c r="D882" s="616">
        <v>1</v>
      </c>
      <c r="E882" s="709" t="s">
        <v>512</v>
      </c>
      <c r="G882" s="8"/>
      <c r="H882" s="8"/>
      <c r="I882" s="4"/>
      <c r="J882" s="12"/>
      <c r="K882" s="28"/>
      <c r="L882" s="22"/>
      <c r="M882" s="22"/>
      <c r="N882" s="28"/>
      <c r="O882" s="3"/>
      <c r="P882" s="3"/>
      <c r="Q882" s="3"/>
      <c r="R882" s="1784" t="str">
        <f>CHOOSE(2, "6722000003793", "▷ Blank 24")</f>
        <v>▷ Blank 24</v>
      </c>
      <c r="S882" s="1392"/>
      <c r="T882" s="1220"/>
      <c r="U882" s="1220"/>
      <c r="V882" s="1220"/>
      <c r="W882" s="1220"/>
      <c r="X882" s="1220"/>
      <c r="Y882" s="1220"/>
      <c r="Z882" s="1220"/>
      <c r="AA882" s="1220"/>
      <c r="AB882" s="1220"/>
      <c r="AC882" s="1220"/>
      <c r="AD882" s="1220"/>
      <c r="AE882" s="1220"/>
      <c r="AF882" s="1220"/>
      <c r="AG882" s="1220"/>
      <c r="AH882" s="1220"/>
      <c r="AI882" s="1220"/>
      <c r="AJ882" s="1220"/>
      <c r="AK882" s="1220"/>
      <c r="AL882" s="34"/>
      <c r="AM882" s="2200"/>
      <c r="AN882" s="2200"/>
      <c r="AO882" s="2200"/>
      <c r="AP882" s="2200"/>
      <c r="AQ882" s="2200"/>
      <c r="AR882" s="2200"/>
      <c r="AS882" s="2200"/>
      <c r="AU882" s="2200"/>
      <c r="AV882" s="2200"/>
      <c r="AW882" s="2200"/>
      <c r="AX882" s="2200"/>
      <c r="AY882" s="2200"/>
      <c r="AZ882" s="2200"/>
      <c r="BA882" s="2200"/>
      <c r="BC882" s="2200"/>
      <c r="BD882" s="2200"/>
      <c r="BE882" s="2200"/>
      <c r="BF882" s="2200"/>
      <c r="BG882" s="2200"/>
      <c r="BH882" s="2200"/>
      <c r="BI882" s="2200"/>
    </row>
    <row r="883" spans="1:61" ht="14.5">
      <c r="A883" s="1693">
        <f t="shared" si="1439"/>
        <v>875</v>
      </c>
      <c r="B883" s="616">
        <v>1</v>
      </c>
      <c r="C883" s="1693">
        <f t="shared" si="1465"/>
        <v>883</v>
      </c>
      <c r="D883" s="616">
        <v>1</v>
      </c>
      <c r="F883" s="69"/>
      <c r="G883" s="4"/>
      <c r="H883" s="4"/>
      <c r="I883" s="4"/>
      <c r="J883" s="4"/>
      <c r="K883" s="3"/>
      <c r="L883" s="4"/>
      <c r="M883" s="4"/>
      <c r="N883" s="3"/>
      <c r="O883" s="3"/>
      <c r="P883" s="3"/>
      <c r="Q883" s="3"/>
      <c r="R883" s="1773" t="str">
        <f>CHOOSE(2, "6722000003794", "▷ Blank 25")</f>
        <v>▷ Blank 25</v>
      </c>
      <c r="S883" s="1608"/>
      <c r="T883" s="1609"/>
      <c r="U883" s="1609"/>
      <c r="V883" s="1609"/>
      <c r="W883" s="1609"/>
      <c r="X883" s="1609"/>
      <c r="Y883" s="1366"/>
      <c r="Z883" s="1366"/>
      <c r="AA883" s="1366"/>
      <c r="AB883" s="1242"/>
      <c r="AC883" s="69"/>
      <c r="AD883" s="69"/>
      <c r="AE883" s="69"/>
      <c r="AF883" s="69"/>
      <c r="AG883" s="69"/>
      <c r="AH883" s="69"/>
      <c r="AI883" s="69"/>
      <c r="AJ883" s="69"/>
      <c r="AK883" s="69"/>
      <c r="AL883" s="34"/>
    </row>
    <row r="884" spans="1:61" ht="25">
      <c r="A884" s="1693">
        <f t="shared" si="1439"/>
        <v>876</v>
      </c>
      <c r="B884" s="616">
        <v>1</v>
      </c>
      <c r="C884" s="1693">
        <f t="shared" si="1465"/>
        <v>884</v>
      </c>
      <c r="D884" s="616">
        <v>1</v>
      </c>
      <c r="E884" s="709" t="s">
        <v>512</v>
      </c>
      <c r="F884" s="1572"/>
      <c r="G884" s="55" t="s">
        <v>226</v>
      </c>
      <c r="H884" s="55"/>
      <c r="I884" s="453"/>
      <c r="Q884" s="222"/>
      <c r="R884" s="1772" t="str">
        <f>CHOOSE(2, "6722000003795", "3. Headcount")</f>
        <v>3. Headcount</v>
      </c>
      <c r="S884" s="1125"/>
      <c r="T884" s="1366"/>
      <c r="U884" s="1366"/>
      <c r="V884" s="1366"/>
      <c r="W884" s="1366"/>
      <c r="X884" s="1366"/>
      <c r="Y884" s="1366"/>
      <c r="Z884" s="1366"/>
      <c r="AA884" s="1366"/>
      <c r="AB884" s="1366"/>
      <c r="AC884" s="69"/>
      <c r="AD884" s="69"/>
      <c r="AE884" s="69"/>
      <c r="AF884" s="69"/>
      <c r="AG884" s="69"/>
      <c r="AH884" s="69"/>
      <c r="AI884" s="69"/>
      <c r="AJ884" s="69"/>
      <c r="AK884" s="69"/>
      <c r="AL884" s="34"/>
    </row>
    <row r="885" spans="1:61" s="34" customFormat="1" ht="15.5">
      <c r="A885" s="1693">
        <f t="shared" si="1439"/>
        <v>877</v>
      </c>
      <c r="B885" s="616">
        <v>1</v>
      </c>
      <c r="C885" s="1693">
        <f t="shared" si="1465"/>
        <v>885</v>
      </c>
      <c r="D885" s="616">
        <v>1</v>
      </c>
      <c r="E885" s="709" t="s">
        <v>512</v>
      </c>
      <c r="F885" s="1572"/>
      <c r="H885" s="243" t="s">
        <v>227</v>
      </c>
      <c r="I885" s="454"/>
      <c r="J885" s="4"/>
      <c r="K885" s="3"/>
      <c r="L885" s="4"/>
      <c r="M885" s="4"/>
      <c r="N885" s="3"/>
      <c r="O885" s="3"/>
      <c r="P885" s="3"/>
      <c r="Q885" s="3"/>
      <c r="R885" s="1773" t="str">
        <f>CHOOSE(2, "6722000003796", "3-1. Headcount Details")</f>
        <v>3-1. Headcount Details</v>
      </c>
      <c r="S885" s="1608"/>
      <c r="T885" s="1609"/>
      <c r="U885" s="1609"/>
      <c r="V885" s="1609"/>
      <c r="W885" s="1609"/>
      <c r="X885" s="1609"/>
      <c r="Y885" s="1627"/>
      <c r="Z885" s="1627"/>
      <c r="AA885" s="1627"/>
      <c r="AB885" s="1627"/>
      <c r="AC885" s="454"/>
      <c r="AD885" s="454"/>
      <c r="AE885" s="454"/>
      <c r="AF885" s="454"/>
      <c r="AG885" s="454"/>
      <c r="AH885" s="454"/>
      <c r="AI885" s="454"/>
      <c r="AJ885" s="454"/>
      <c r="AK885" s="454"/>
    </row>
    <row r="886" spans="1:61" s="34" customFormat="1" ht="14.5">
      <c r="A886" s="1693">
        <f t="shared" si="1439"/>
        <v>878</v>
      </c>
      <c r="B886" s="616">
        <v>1</v>
      </c>
      <c r="C886" s="1693">
        <f t="shared" si="1465"/>
        <v>886</v>
      </c>
      <c r="D886" s="616">
        <v>1</v>
      </c>
      <c r="E886" s="709" t="s">
        <v>512</v>
      </c>
      <c r="F886" s="1572"/>
      <c r="G886" s="4"/>
      <c r="H886" s="4"/>
      <c r="I886" s="4" t="s">
        <v>50</v>
      </c>
      <c r="J886" s="4"/>
      <c r="K886" s="3"/>
      <c r="L886" s="4"/>
      <c r="M886" s="4"/>
      <c r="N886" s="3"/>
      <c r="O886" s="3"/>
      <c r="P886" s="3"/>
      <c r="Q886" s="3"/>
      <c r="R886" s="1773" t="str">
        <f>CHOOSE(2, "6722000003797", "HC (0) Total")</f>
        <v>HC (0) Total</v>
      </c>
      <c r="S886" s="1608"/>
      <c r="T886" s="1609"/>
      <c r="U886" s="1609"/>
      <c r="V886" s="1609"/>
      <c r="W886" s="1609"/>
      <c r="X886" s="1609"/>
      <c r="Y886" s="1627"/>
      <c r="Z886" s="1627"/>
      <c r="AA886" s="1627"/>
      <c r="AB886" s="1627"/>
      <c r="AC886" s="454"/>
      <c r="AD886" s="454"/>
      <c r="AE886" s="454"/>
      <c r="AF886" s="454"/>
      <c r="AG886" s="454"/>
      <c r="AH886" s="454"/>
      <c r="AI886" s="454"/>
      <c r="AJ886" s="454"/>
      <c r="AK886" s="454"/>
    </row>
    <row r="887" spans="1:61" s="272" customFormat="1" ht="14.5">
      <c r="A887" s="1693">
        <f t="shared" si="1439"/>
        <v>879</v>
      </c>
      <c r="B887" s="616">
        <v>1</v>
      </c>
      <c r="C887" s="1693">
        <f t="shared" si="1465"/>
        <v>887</v>
      </c>
      <c r="D887" s="616">
        <v>1</v>
      </c>
      <c r="E887" s="709" t="s">
        <v>512</v>
      </c>
      <c r="F887" s="1572"/>
      <c r="G887" s="267"/>
      <c r="H887" s="267"/>
      <c r="I887" s="268"/>
      <c r="J887" s="273" t="s">
        <v>202</v>
      </c>
      <c r="K887" s="274"/>
      <c r="L887" s="275"/>
      <c r="M887" s="275"/>
      <c r="N887" s="275"/>
      <c r="O887" s="275"/>
      <c r="P887" s="275"/>
      <c r="Q887" s="535"/>
      <c r="R887" s="1820" t="str">
        <f>CHOOSE(2, "6722000003798", "HC FE/TTOC")</f>
        <v>HC FE/TTOC</v>
      </c>
      <c r="S887" s="1321">
        <f t="shared" ref="S887:AD887" si="1466">S888+S893+S899+S904+S910</f>
        <v>733</v>
      </c>
      <c r="T887" s="1194">
        <f t="shared" si="1466"/>
        <v>734</v>
      </c>
      <c r="U887" s="1194">
        <f t="shared" si="1466"/>
        <v>726</v>
      </c>
      <c r="V887" s="1194">
        <f t="shared" si="1466"/>
        <v>749</v>
      </c>
      <c r="W887" s="1194">
        <f t="shared" si="1466"/>
        <v>746</v>
      </c>
      <c r="X887" s="1194">
        <f t="shared" si="1466"/>
        <v>747</v>
      </c>
      <c r="Y887" s="1194">
        <f t="shared" si="1466"/>
        <v>749</v>
      </c>
      <c r="Z887" s="1194">
        <f t="shared" si="1466"/>
        <v>750</v>
      </c>
      <c r="AA887" s="1194">
        <f t="shared" si="1466"/>
        <v>746</v>
      </c>
      <c r="AB887" s="1194">
        <f t="shared" si="1466"/>
        <v>758</v>
      </c>
      <c r="AC887" s="1194">
        <f t="shared" si="1466"/>
        <v>761</v>
      </c>
      <c r="AD887" s="1194">
        <f t="shared" si="1466"/>
        <v>766</v>
      </c>
      <c r="AE887" s="536">
        <f t="shared" ref="AE887:AK887" si="1467">AE888+AE893+AE899+AE904+AE910</f>
        <v>726</v>
      </c>
      <c r="AF887" s="264">
        <f t="shared" si="1467"/>
        <v>747</v>
      </c>
      <c r="AG887" s="264">
        <f t="shared" si="1467"/>
        <v>746</v>
      </c>
      <c r="AH887" s="264">
        <f t="shared" si="1467"/>
        <v>766</v>
      </c>
      <c r="AI887" s="264">
        <f t="shared" si="1467"/>
        <v>747</v>
      </c>
      <c r="AJ887" s="264">
        <f t="shared" si="1467"/>
        <v>766</v>
      </c>
      <c r="AK887" s="264">
        <f t="shared" si="1467"/>
        <v>766</v>
      </c>
      <c r="AL887" s="34"/>
      <c r="AM887" s="2242">
        <f t="shared" ref="AM887:AM914" ca="1" si="1468">INDIRECT(AM$3&amp;(ROW()))</f>
        <v>733</v>
      </c>
      <c r="AN887" s="2243">
        <f t="shared" ref="AN887:AN914" ca="1" si="1469">INDIRECT(AN$1&amp;AN$3&amp;$C887)</f>
        <v>762</v>
      </c>
      <c r="AO887" s="2946">
        <f t="shared" ca="1" si="1409"/>
        <v>-29</v>
      </c>
      <c r="AP887" s="2947">
        <f t="shared" ref="AP887:AP914" ca="1" si="1470">IFERROR(AM887/AN887,0)</f>
        <v>0.96194225721784776</v>
      </c>
      <c r="AQ887" s="2243">
        <f t="shared" ref="AQ887:AQ914" ca="1" si="1471">INDIRECT(AQ$1&amp;AQ$3&amp;$A887)+INDIRECT(AQ$1&amp;AQ$3&amp;$B887)</f>
        <v>711</v>
      </c>
      <c r="AR887" s="2946">
        <f t="shared" ca="1" si="1410"/>
        <v>22</v>
      </c>
      <c r="AS887" s="2947">
        <f t="shared" ref="AS887:AS914" ca="1" si="1472">IFERROR(AM887/AQ887,0)</f>
        <v>1.030942334739803</v>
      </c>
      <c r="AT887" s="2244"/>
      <c r="AU887" s="2242">
        <f t="shared" ref="AU887:AU914" ca="1" si="1473">INDIRECT(AU$3&amp;(ROW()))</f>
        <v>733</v>
      </c>
      <c r="AV887" s="2243">
        <f t="shared" ref="AV887:AV914" ca="1" si="1474">INDIRECT(AV$1&amp;AV$3&amp;$C887)</f>
        <v>762</v>
      </c>
      <c r="AW887" s="2946">
        <f t="shared" ref="AW887:AW914" ca="1" si="1475">AU887-AV887</f>
        <v>-29</v>
      </c>
      <c r="AX887" s="2947">
        <f t="shared" ref="AX887:AX914" ca="1" si="1476">IFERROR(AU887/AV887,0)</f>
        <v>0.96194225721784776</v>
      </c>
      <c r="AY887" s="2243">
        <f ca="1">INDIRECT(AY$1&amp;AY$3&amp;$A887)+INDIRECT(AY$1&amp;AY$3&amp;$B887)</f>
        <v>711</v>
      </c>
      <c r="AZ887" s="2946">
        <f t="shared" ref="AZ887:AZ914" ca="1" si="1477">AU887-AY887</f>
        <v>22</v>
      </c>
      <c r="BA887" s="2947">
        <f t="shared" ref="BA887:BA914" ca="1" si="1478">IFERROR(AU887/AY887,0)</f>
        <v>1.030942334739803</v>
      </c>
      <c r="BB887" s="2244"/>
      <c r="BC887" s="2242">
        <f t="shared" ref="BC887:BC914" ca="1" si="1479">INDIRECT(BC$3&amp;(ROW()))</f>
        <v>733</v>
      </c>
      <c r="BD887" s="2243">
        <f t="shared" ref="BD887:BD914" ca="1" si="1480">INDIRECT(BD$1&amp;BD$3&amp;$C887)</f>
        <v>762</v>
      </c>
      <c r="BE887" s="2946">
        <f t="shared" ref="BE887:BE914" ca="1" si="1481">BC887-BD887</f>
        <v>-29</v>
      </c>
      <c r="BF887" s="2947">
        <f t="shared" ref="BF887:BF914" ca="1" si="1482">IFERROR(BC887/BD887,0)</f>
        <v>0.96194225721784776</v>
      </c>
      <c r="BG887" s="2243">
        <f ca="1">INDIRECT(BG$1&amp;BG$3&amp;$A887)+INDIRECT(BG$1&amp;BG$3&amp;$B887)</f>
        <v>711</v>
      </c>
      <c r="BH887" s="2946">
        <f t="shared" ref="BH887:BH914" ca="1" si="1483">BC887-BG887</f>
        <v>22</v>
      </c>
      <c r="BI887" s="2947">
        <f t="shared" ref="BI887:BI914" ca="1" si="1484">IFERROR(BC887/BG887,0)</f>
        <v>1.030942334739803</v>
      </c>
    </row>
    <row r="888" spans="1:61" s="34" customFormat="1" ht="14.5">
      <c r="A888" s="1693">
        <f t="shared" si="1439"/>
        <v>880</v>
      </c>
      <c r="B888" s="616">
        <v>1</v>
      </c>
      <c r="C888" s="1693">
        <f t="shared" si="1465"/>
        <v>888</v>
      </c>
      <c r="D888" s="616">
        <v>1</v>
      </c>
      <c r="E888" s="709" t="s">
        <v>512</v>
      </c>
      <c r="F888" s="1572"/>
      <c r="G888" s="4"/>
      <c r="H888" s="4"/>
      <c r="I888" s="4"/>
      <c r="J888" s="265"/>
      <c r="K888" s="48" t="s">
        <v>14</v>
      </c>
      <c r="L888" s="48"/>
      <c r="M888" s="48"/>
      <c r="N888" s="47"/>
      <c r="O888" s="47"/>
      <c r="P888" s="47"/>
      <c r="Q888" s="47"/>
      <c r="R888" s="1786" t="str">
        <f>CHOOSE(2, "6722000003799", "HC FE/TTOC Sales Total")</f>
        <v>HC FE/TTOC Sales Total</v>
      </c>
      <c r="S888" s="1255">
        <f>SUM(S889:S892)</f>
        <v>178</v>
      </c>
      <c r="T888" s="1255">
        <f t="shared" ref="T888:AD888" si="1485">SUM(T889:T892)</f>
        <v>180</v>
      </c>
      <c r="U888" s="1255">
        <f t="shared" si="1485"/>
        <v>177</v>
      </c>
      <c r="V888" s="1255">
        <f t="shared" si="1485"/>
        <v>184</v>
      </c>
      <c r="W888" s="1255">
        <f t="shared" si="1485"/>
        <v>184</v>
      </c>
      <c r="X888" s="1255">
        <f t="shared" si="1485"/>
        <v>181</v>
      </c>
      <c r="Y888" s="1255">
        <f t="shared" si="1485"/>
        <v>180</v>
      </c>
      <c r="Z888" s="1255">
        <f t="shared" si="1485"/>
        <v>180</v>
      </c>
      <c r="AA888" s="1255">
        <f t="shared" si="1485"/>
        <v>178</v>
      </c>
      <c r="AB888" s="1255">
        <f t="shared" si="1485"/>
        <v>184</v>
      </c>
      <c r="AC888" s="1255">
        <f t="shared" si="1485"/>
        <v>183</v>
      </c>
      <c r="AD888" s="1255">
        <f t="shared" si="1485"/>
        <v>186</v>
      </c>
      <c r="AE888" s="1240">
        <f t="shared" ref="AE888:AK888" si="1486">SUM(AE889:AE892)</f>
        <v>177</v>
      </c>
      <c r="AF888" s="1255">
        <f t="shared" si="1486"/>
        <v>181</v>
      </c>
      <c r="AG888" s="1255">
        <f t="shared" si="1486"/>
        <v>178</v>
      </c>
      <c r="AH888" s="1255">
        <f t="shared" si="1486"/>
        <v>186</v>
      </c>
      <c r="AI888" s="1255">
        <f t="shared" si="1486"/>
        <v>181</v>
      </c>
      <c r="AJ888" s="1255">
        <f t="shared" si="1486"/>
        <v>186</v>
      </c>
      <c r="AK888" s="1255">
        <f t="shared" si="1486"/>
        <v>186</v>
      </c>
      <c r="AM888" s="2250">
        <f t="shared" ca="1" si="1468"/>
        <v>178</v>
      </c>
      <c r="AN888" s="2250">
        <f t="shared" ca="1" si="1469"/>
        <v>185</v>
      </c>
      <c r="AO888" s="2948">
        <f t="shared" ca="1" si="1409"/>
        <v>-7</v>
      </c>
      <c r="AP888" s="2949">
        <f t="shared" ca="1" si="1470"/>
        <v>0.96216216216216222</v>
      </c>
      <c r="AQ888" s="2250">
        <f t="shared" ca="1" si="1471"/>
        <v>173</v>
      </c>
      <c r="AR888" s="2948">
        <f t="shared" ca="1" si="1410"/>
        <v>5</v>
      </c>
      <c r="AS888" s="2949">
        <f t="shared" ca="1" si="1472"/>
        <v>1.0289017341040463</v>
      </c>
      <c r="AU888" s="2250">
        <f t="shared" ca="1" si="1473"/>
        <v>178</v>
      </c>
      <c r="AV888" s="2250">
        <f t="shared" ca="1" si="1474"/>
        <v>185</v>
      </c>
      <c r="AW888" s="2948">
        <f t="shared" ca="1" si="1475"/>
        <v>-7</v>
      </c>
      <c r="AX888" s="2949">
        <f t="shared" ca="1" si="1476"/>
        <v>0.96216216216216222</v>
      </c>
      <c r="AY888" s="2250">
        <f t="shared" ref="AY888:AY914" ca="1" si="1487">INDIRECT(AY$1&amp;AY$3&amp;$A888)+INDIRECT(AY$1&amp;AY$3&amp;$B888)</f>
        <v>173</v>
      </c>
      <c r="AZ888" s="2948">
        <f t="shared" ca="1" si="1477"/>
        <v>5</v>
      </c>
      <c r="BA888" s="2949">
        <f t="shared" ca="1" si="1478"/>
        <v>1.0289017341040463</v>
      </c>
      <c r="BC888" s="2250">
        <f t="shared" ca="1" si="1479"/>
        <v>178</v>
      </c>
      <c r="BD888" s="2250">
        <f t="shared" ca="1" si="1480"/>
        <v>185</v>
      </c>
      <c r="BE888" s="2948">
        <f t="shared" ca="1" si="1481"/>
        <v>-7</v>
      </c>
      <c r="BF888" s="2949">
        <f t="shared" ca="1" si="1482"/>
        <v>0.96216216216216222</v>
      </c>
      <c r="BG888" s="2250">
        <f t="shared" ref="BG888:BG914" ca="1" si="1488">INDIRECT(BG$1&amp;BG$3&amp;$A888)+INDIRECT(BG$1&amp;BG$3&amp;$B888)</f>
        <v>173</v>
      </c>
      <c r="BH888" s="2948">
        <f t="shared" ca="1" si="1483"/>
        <v>5</v>
      </c>
      <c r="BI888" s="2949">
        <f t="shared" ca="1" si="1484"/>
        <v>1.0289017341040463</v>
      </c>
    </row>
    <row r="889" spans="1:61" s="34" customFormat="1" ht="14.5">
      <c r="A889" s="1693">
        <f t="shared" si="1439"/>
        <v>881</v>
      </c>
      <c r="B889" s="616">
        <v>1</v>
      </c>
      <c r="C889" s="1693">
        <f t="shared" si="1465"/>
        <v>889</v>
      </c>
      <c r="D889" s="616">
        <v>1</v>
      </c>
      <c r="F889" s="454"/>
      <c r="G889" s="4"/>
      <c r="H889" s="4"/>
      <c r="I889" s="4"/>
      <c r="J889" s="265"/>
      <c r="K889" s="4"/>
      <c r="L889" s="4"/>
      <c r="M889" s="4"/>
      <c r="N889" s="3"/>
      <c r="O889" s="41"/>
      <c r="P889" s="41" t="s">
        <v>45</v>
      </c>
      <c r="Q889" s="3"/>
      <c r="R889" s="1821" t="str">
        <f>CHOOSE(2, "6722000003800", "HC FE/TTOC Sales Total Direct sales rep.")</f>
        <v>HC FE/TTOC Sales Total Direct sales rep.</v>
      </c>
      <c r="S889" s="1236">
        <f t="shared" ref="S889:AD892" si="1489">S920+S1040+S950+S980+S1010</f>
        <v>109</v>
      </c>
      <c r="T889" s="1236">
        <f t="shared" si="1489"/>
        <v>111</v>
      </c>
      <c r="U889" s="1236">
        <f t="shared" si="1489"/>
        <v>108</v>
      </c>
      <c r="V889" s="1236">
        <f t="shared" si="1489"/>
        <v>115</v>
      </c>
      <c r="W889" s="1236">
        <f t="shared" si="1489"/>
        <v>115</v>
      </c>
      <c r="X889" s="1236">
        <f t="shared" si="1489"/>
        <v>113</v>
      </c>
      <c r="Y889" s="1236">
        <f t="shared" si="1489"/>
        <v>112</v>
      </c>
      <c r="Z889" s="1236">
        <f t="shared" si="1489"/>
        <v>112</v>
      </c>
      <c r="AA889" s="1236">
        <f t="shared" si="1489"/>
        <v>110</v>
      </c>
      <c r="AB889" s="1236">
        <f t="shared" si="1489"/>
        <v>116</v>
      </c>
      <c r="AC889" s="1236">
        <f t="shared" si="1489"/>
        <v>114</v>
      </c>
      <c r="AD889" s="1236">
        <f t="shared" si="1489"/>
        <v>117</v>
      </c>
      <c r="AE889" s="877">
        <f>U889</f>
        <v>108</v>
      </c>
      <c r="AF889" s="40">
        <f>X889</f>
        <v>113</v>
      </c>
      <c r="AG889" s="40">
        <f>AA889</f>
        <v>110</v>
      </c>
      <c r="AH889" s="40">
        <f>AD889</f>
        <v>117</v>
      </c>
      <c r="AI889" s="40">
        <f>AF889</f>
        <v>113</v>
      </c>
      <c r="AJ889" s="40">
        <f>AH889</f>
        <v>117</v>
      </c>
      <c r="AK889" s="40">
        <f>AJ889</f>
        <v>117</v>
      </c>
      <c r="AM889" s="1910">
        <f t="shared" ca="1" si="1468"/>
        <v>109</v>
      </c>
      <c r="AN889" s="1910">
        <f t="shared" ca="1" si="1469"/>
        <v>116</v>
      </c>
      <c r="AO889" s="2694">
        <f t="shared" ca="1" si="1409"/>
        <v>-7</v>
      </c>
      <c r="AP889" s="2695">
        <f t="shared" ca="1" si="1470"/>
        <v>0.93965517241379315</v>
      </c>
      <c r="AQ889" s="1910">
        <f t="shared" ca="1" si="1471"/>
        <v>104</v>
      </c>
      <c r="AR889" s="2694">
        <f t="shared" ca="1" si="1410"/>
        <v>5</v>
      </c>
      <c r="AS889" s="2695">
        <f t="shared" ca="1" si="1472"/>
        <v>1.0480769230769231</v>
      </c>
      <c r="AU889" s="1910">
        <f t="shared" ca="1" si="1473"/>
        <v>109</v>
      </c>
      <c r="AV889" s="1910">
        <f t="shared" ca="1" si="1474"/>
        <v>116</v>
      </c>
      <c r="AW889" s="2694">
        <f t="shared" ca="1" si="1475"/>
        <v>-7</v>
      </c>
      <c r="AX889" s="2695">
        <f t="shared" ca="1" si="1476"/>
        <v>0.93965517241379315</v>
      </c>
      <c r="AY889" s="1910">
        <f t="shared" ca="1" si="1487"/>
        <v>104</v>
      </c>
      <c r="AZ889" s="2694">
        <f t="shared" ca="1" si="1477"/>
        <v>5</v>
      </c>
      <c r="BA889" s="2695">
        <f t="shared" ca="1" si="1478"/>
        <v>1.0480769230769231</v>
      </c>
      <c r="BC889" s="1910">
        <f t="shared" ca="1" si="1479"/>
        <v>109</v>
      </c>
      <c r="BD889" s="1910">
        <f t="shared" ca="1" si="1480"/>
        <v>116</v>
      </c>
      <c r="BE889" s="2694">
        <f t="shared" ca="1" si="1481"/>
        <v>-7</v>
      </c>
      <c r="BF889" s="2695">
        <f t="shared" ca="1" si="1482"/>
        <v>0.93965517241379315</v>
      </c>
      <c r="BG889" s="1910">
        <f t="shared" ca="1" si="1488"/>
        <v>104</v>
      </c>
      <c r="BH889" s="2694">
        <f t="shared" ca="1" si="1483"/>
        <v>5</v>
      </c>
      <c r="BI889" s="2695">
        <f t="shared" ca="1" si="1484"/>
        <v>1.0480769230769231</v>
      </c>
    </row>
    <row r="890" spans="1:61" s="34" customFormat="1" ht="14.5">
      <c r="A890" s="1693">
        <f t="shared" si="1439"/>
        <v>882</v>
      </c>
      <c r="B890" s="616">
        <v>1</v>
      </c>
      <c r="C890" s="1693">
        <f t="shared" si="1465"/>
        <v>890</v>
      </c>
      <c r="D890" s="616">
        <v>1</v>
      </c>
      <c r="F890" s="454"/>
      <c r="G890" s="4"/>
      <c r="H890" s="4"/>
      <c r="I890" s="4"/>
      <c r="J890" s="265"/>
      <c r="K890" s="4"/>
      <c r="L890" s="4"/>
      <c r="M890" s="4"/>
      <c r="N890" s="3"/>
      <c r="O890" s="41"/>
      <c r="P890" s="41" t="s">
        <v>44</v>
      </c>
      <c r="Q890" s="3"/>
      <c r="R890" s="1821" t="str">
        <f>CHOOSE(2, "6722000003801", "HC FE/TTOC Sales Total Direct sales engineers")</f>
        <v>HC FE/TTOC Sales Total Direct sales engineers</v>
      </c>
      <c r="S890" s="1236">
        <f t="shared" si="1489"/>
        <v>7</v>
      </c>
      <c r="T890" s="1236">
        <f t="shared" si="1489"/>
        <v>7</v>
      </c>
      <c r="U890" s="1236">
        <f t="shared" si="1489"/>
        <v>7</v>
      </c>
      <c r="V890" s="1236">
        <f t="shared" si="1489"/>
        <v>7</v>
      </c>
      <c r="W890" s="1236">
        <f t="shared" si="1489"/>
        <v>7</v>
      </c>
      <c r="X890" s="1236">
        <f t="shared" si="1489"/>
        <v>6</v>
      </c>
      <c r="Y890" s="1236">
        <f t="shared" si="1489"/>
        <v>6</v>
      </c>
      <c r="Z890" s="1236">
        <f t="shared" si="1489"/>
        <v>5</v>
      </c>
      <c r="AA890" s="1236">
        <f t="shared" si="1489"/>
        <v>5</v>
      </c>
      <c r="AB890" s="1236">
        <f t="shared" si="1489"/>
        <v>5</v>
      </c>
      <c r="AC890" s="1236">
        <f t="shared" si="1489"/>
        <v>5</v>
      </c>
      <c r="AD890" s="1236">
        <f t="shared" si="1489"/>
        <v>4</v>
      </c>
      <c r="AE890" s="877">
        <f>U890</f>
        <v>7</v>
      </c>
      <c r="AF890" s="40">
        <f>X890</f>
        <v>6</v>
      </c>
      <c r="AG890" s="40">
        <f>AA890</f>
        <v>5</v>
      </c>
      <c r="AH890" s="40">
        <f>AD890</f>
        <v>4</v>
      </c>
      <c r="AI890" s="40">
        <f>AF890</f>
        <v>6</v>
      </c>
      <c r="AJ890" s="40">
        <f>AH890</f>
        <v>4</v>
      </c>
      <c r="AK890" s="40">
        <f>AJ890</f>
        <v>4</v>
      </c>
      <c r="AM890" s="1910">
        <f t="shared" ca="1" si="1468"/>
        <v>7</v>
      </c>
      <c r="AN890" s="1910">
        <f t="shared" ca="1" si="1469"/>
        <v>7</v>
      </c>
      <c r="AO890" s="2694">
        <f t="shared" ca="1" si="1409"/>
        <v>0</v>
      </c>
      <c r="AP890" s="2695">
        <f t="shared" ca="1" si="1470"/>
        <v>1</v>
      </c>
      <c r="AQ890" s="1910">
        <f t="shared" ca="1" si="1471"/>
        <v>7</v>
      </c>
      <c r="AR890" s="2694">
        <f t="shared" ca="1" si="1410"/>
        <v>0</v>
      </c>
      <c r="AS890" s="2695">
        <f t="shared" ca="1" si="1472"/>
        <v>1</v>
      </c>
      <c r="AU890" s="1910">
        <f t="shared" ca="1" si="1473"/>
        <v>7</v>
      </c>
      <c r="AV890" s="1910">
        <f t="shared" ca="1" si="1474"/>
        <v>7</v>
      </c>
      <c r="AW890" s="2694">
        <f t="shared" ca="1" si="1475"/>
        <v>0</v>
      </c>
      <c r="AX890" s="2695">
        <f t="shared" ca="1" si="1476"/>
        <v>1</v>
      </c>
      <c r="AY890" s="1910">
        <f t="shared" ca="1" si="1487"/>
        <v>7</v>
      </c>
      <c r="AZ890" s="2694">
        <f t="shared" ca="1" si="1477"/>
        <v>0</v>
      </c>
      <c r="BA890" s="2695">
        <f t="shared" ca="1" si="1478"/>
        <v>1</v>
      </c>
      <c r="BC890" s="1910">
        <f t="shared" ca="1" si="1479"/>
        <v>7</v>
      </c>
      <c r="BD890" s="1910">
        <f t="shared" ca="1" si="1480"/>
        <v>7</v>
      </c>
      <c r="BE890" s="2694">
        <f t="shared" ca="1" si="1481"/>
        <v>0</v>
      </c>
      <c r="BF890" s="2695">
        <f t="shared" ca="1" si="1482"/>
        <v>1</v>
      </c>
      <c r="BG890" s="1910">
        <f t="shared" ca="1" si="1488"/>
        <v>7</v>
      </c>
      <c r="BH890" s="2694">
        <f t="shared" ca="1" si="1483"/>
        <v>0</v>
      </c>
      <c r="BI890" s="2695">
        <f t="shared" ca="1" si="1484"/>
        <v>1</v>
      </c>
    </row>
    <row r="891" spans="1:61" s="34" customFormat="1" ht="14.5">
      <c r="A891" s="1693">
        <f t="shared" si="1439"/>
        <v>883</v>
      </c>
      <c r="B891" s="616">
        <v>1</v>
      </c>
      <c r="C891" s="1693">
        <f t="shared" si="1465"/>
        <v>891</v>
      </c>
      <c r="D891" s="616">
        <v>1</v>
      </c>
      <c r="F891" s="454"/>
      <c r="G891" s="4"/>
      <c r="H891" s="4"/>
      <c r="I891" s="4"/>
      <c r="J891" s="265"/>
      <c r="K891" s="4"/>
      <c r="L891" s="4"/>
      <c r="M891" s="4"/>
      <c r="N891" s="3"/>
      <c r="O891" s="41"/>
      <c r="P891" s="41" t="s">
        <v>43</v>
      </c>
      <c r="Q891" s="3"/>
      <c r="R891" s="1821" t="str">
        <f>CHOOSE(2, "6722000003802", "HC FE/TTOC Sales Total Dealer(Indirect) sales rep.")</f>
        <v>HC FE/TTOC Sales Total Dealer(Indirect) sales rep.</v>
      </c>
      <c r="S891" s="1236">
        <f t="shared" si="1489"/>
        <v>28</v>
      </c>
      <c r="T891" s="1236">
        <f t="shared" si="1489"/>
        <v>28</v>
      </c>
      <c r="U891" s="1236">
        <f t="shared" si="1489"/>
        <v>28</v>
      </c>
      <c r="V891" s="1236">
        <f t="shared" si="1489"/>
        <v>28</v>
      </c>
      <c r="W891" s="1236">
        <f t="shared" si="1489"/>
        <v>28</v>
      </c>
      <c r="X891" s="1236">
        <f t="shared" si="1489"/>
        <v>28</v>
      </c>
      <c r="Y891" s="1236">
        <f t="shared" si="1489"/>
        <v>28</v>
      </c>
      <c r="Z891" s="1236">
        <f t="shared" si="1489"/>
        <v>28</v>
      </c>
      <c r="AA891" s="1236">
        <f t="shared" si="1489"/>
        <v>28</v>
      </c>
      <c r="AB891" s="1236">
        <f t="shared" si="1489"/>
        <v>28</v>
      </c>
      <c r="AC891" s="1236">
        <f t="shared" si="1489"/>
        <v>28</v>
      </c>
      <c r="AD891" s="1236">
        <f t="shared" si="1489"/>
        <v>29</v>
      </c>
      <c r="AE891" s="877">
        <f>U891</f>
        <v>28</v>
      </c>
      <c r="AF891" s="40">
        <f>X891</f>
        <v>28</v>
      </c>
      <c r="AG891" s="40">
        <f>AA891</f>
        <v>28</v>
      </c>
      <c r="AH891" s="40">
        <f>AD891</f>
        <v>29</v>
      </c>
      <c r="AI891" s="40">
        <f>AF891</f>
        <v>28</v>
      </c>
      <c r="AJ891" s="40">
        <f>AH891</f>
        <v>29</v>
      </c>
      <c r="AK891" s="40">
        <f>AJ891</f>
        <v>29</v>
      </c>
      <c r="AM891" s="1910">
        <f t="shared" ca="1" si="1468"/>
        <v>28</v>
      </c>
      <c r="AN891" s="1910">
        <f t="shared" ca="1" si="1469"/>
        <v>28</v>
      </c>
      <c r="AO891" s="2694">
        <f t="shared" ca="1" si="1409"/>
        <v>0</v>
      </c>
      <c r="AP891" s="2695">
        <f t="shared" ca="1" si="1470"/>
        <v>1</v>
      </c>
      <c r="AQ891" s="1910">
        <f t="shared" ca="1" si="1471"/>
        <v>29</v>
      </c>
      <c r="AR891" s="2694">
        <f t="shared" ca="1" si="1410"/>
        <v>-1</v>
      </c>
      <c r="AS891" s="2695">
        <f t="shared" ca="1" si="1472"/>
        <v>0.96551724137931039</v>
      </c>
      <c r="AU891" s="1910">
        <f t="shared" ca="1" si="1473"/>
        <v>28</v>
      </c>
      <c r="AV891" s="1910">
        <f t="shared" ca="1" si="1474"/>
        <v>28</v>
      </c>
      <c r="AW891" s="2694">
        <f t="shared" ca="1" si="1475"/>
        <v>0</v>
      </c>
      <c r="AX891" s="2695">
        <f t="shared" ca="1" si="1476"/>
        <v>1</v>
      </c>
      <c r="AY891" s="1910">
        <f t="shared" ca="1" si="1487"/>
        <v>29</v>
      </c>
      <c r="AZ891" s="2694">
        <f t="shared" ca="1" si="1477"/>
        <v>-1</v>
      </c>
      <c r="BA891" s="2695">
        <f t="shared" ca="1" si="1478"/>
        <v>0.96551724137931039</v>
      </c>
      <c r="BC891" s="1910">
        <f t="shared" ca="1" si="1479"/>
        <v>28</v>
      </c>
      <c r="BD891" s="1910">
        <f t="shared" ca="1" si="1480"/>
        <v>28</v>
      </c>
      <c r="BE891" s="2694">
        <f t="shared" ca="1" si="1481"/>
        <v>0</v>
      </c>
      <c r="BF891" s="2695">
        <f t="shared" ca="1" si="1482"/>
        <v>1</v>
      </c>
      <c r="BG891" s="1910">
        <f t="shared" ca="1" si="1488"/>
        <v>29</v>
      </c>
      <c r="BH891" s="2694">
        <f t="shared" ca="1" si="1483"/>
        <v>-1</v>
      </c>
      <c r="BI891" s="2695">
        <f t="shared" ca="1" si="1484"/>
        <v>0.96551724137931039</v>
      </c>
    </row>
    <row r="892" spans="1:61" s="34" customFormat="1" ht="14.5">
      <c r="A892" s="1693">
        <f t="shared" si="1439"/>
        <v>884</v>
      </c>
      <c r="B892" s="616">
        <v>1</v>
      </c>
      <c r="C892" s="1693">
        <f t="shared" si="1465"/>
        <v>892</v>
      </c>
      <c r="D892" s="616">
        <v>1</v>
      </c>
      <c r="F892" s="454"/>
      <c r="G892" s="4"/>
      <c r="H892" s="4"/>
      <c r="I892" s="4"/>
      <c r="J892" s="265"/>
      <c r="K892" s="2"/>
      <c r="L892" s="2"/>
      <c r="M892" s="2"/>
      <c r="N892" s="1"/>
      <c r="O892" s="39"/>
      <c r="P892" s="39" t="s">
        <v>40</v>
      </c>
      <c r="Q892" s="1"/>
      <c r="R892" s="1821" t="str">
        <f>CHOOSE(2, "6722000003803", "HC FE/TTOC Sales Total Administration/Others")</f>
        <v>HC FE/TTOC Sales Total Administration/Others</v>
      </c>
      <c r="S892" s="1237">
        <f t="shared" si="1489"/>
        <v>34</v>
      </c>
      <c r="T892" s="1237">
        <f t="shared" si="1489"/>
        <v>34</v>
      </c>
      <c r="U892" s="1237">
        <f t="shared" si="1489"/>
        <v>34</v>
      </c>
      <c r="V892" s="1237">
        <f t="shared" si="1489"/>
        <v>34</v>
      </c>
      <c r="W892" s="1237">
        <f t="shared" si="1489"/>
        <v>34</v>
      </c>
      <c r="X892" s="1237">
        <f t="shared" si="1489"/>
        <v>34</v>
      </c>
      <c r="Y892" s="1237">
        <f t="shared" si="1489"/>
        <v>34</v>
      </c>
      <c r="Z892" s="1237">
        <f t="shared" si="1489"/>
        <v>35</v>
      </c>
      <c r="AA892" s="1237">
        <f t="shared" si="1489"/>
        <v>35</v>
      </c>
      <c r="AB892" s="1237">
        <f t="shared" si="1489"/>
        <v>35</v>
      </c>
      <c r="AC892" s="1237">
        <f t="shared" si="1489"/>
        <v>36</v>
      </c>
      <c r="AD892" s="1237">
        <f t="shared" si="1489"/>
        <v>36</v>
      </c>
      <c r="AE892" s="912">
        <f>U892</f>
        <v>34</v>
      </c>
      <c r="AF892" s="38">
        <f>X892</f>
        <v>34</v>
      </c>
      <c r="AG892" s="38">
        <f>AA892</f>
        <v>35</v>
      </c>
      <c r="AH892" s="38">
        <f>AD892</f>
        <v>36</v>
      </c>
      <c r="AI892" s="38">
        <f>AF892</f>
        <v>34</v>
      </c>
      <c r="AJ892" s="38">
        <f>AH892</f>
        <v>36</v>
      </c>
      <c r="AK892" s="38">
        <f>AJ892</f>
        <v>36</v>
      </c>
      <c r="AM892" s="2248">
        <f t="shared" ca="1" si="1468"/>
        <v>34</v>
      </c>
      <c r="AN892" s="2248">
        <f t="shared" ca="1" si="1469"/>
        <v>34</v>
      </c>
      <c r="AO892" s="2950">
        <f t="shared" ca="1" si="1409"/>
        <v>0</v>
      </c>
      <c r="AP892" s="2951">
        <f t="shared" ca="1" si="1470"/>
        <v>1</v>
      </c>
      <c r="AQ892" s="2248">
        <f t="shared" ca="1" si="1471"/>
        <v>33</v>
      </c>
      <c r="AR892" s="2950">
        <f t="shared" ca="1" si="1410"/>
        <v>1</v>
      </c>
      <c r="AS892" s="2951">
        <f t="shared" ca="1" si="1472"/>
        <v>1.0303030303030303</v>
      </c>
      <c r="AU892" s="2248">
        <f t="shared" ca="1" si="1473"/>
        <v>34</v>
      </c>
      <c r="AV892" s="2248">
        <f t="shared" ca="1" si="1474"/>
        <v>34</v>
      </c>
      <c r="AW892" s="2950">
        <f t="shared" ca="1" si="1475"/>
        <v>0</v>
      </c>
      <c r="AX892" s="2951">
        <f t="shared" ca="1" si="1476"/>
        <v>1</v>
      </c>
      <c r="AY892" s="2248">
        <f t="shared" ca="1" si="1487"/>
        <v>33</v>
      </c>
      <c r="AZ892" s="2950">
        <f t="shared" ca="1" si="1477"/>
        <v>1</v>
      </c>
      <c r="BA892" s="2951">
        <f t="shared" ca="1" si="1478"/>
        <v>1.0303030303030303</v>
      </c>
      <c r="BC892" s="2248">
        <f t="shared" ca="1" si="1479"/>
        <v>34</v>
      </c>
      <c r="BD892" s="2248">
        <f t="shared" ca="1" si="1480"/>
        <v>34</v>
      </c>
      <c r="BE892" s="2950">
        <f t="shared" ca="1" si="1481"/>
        <v>0</v>
      </c>
      <c r="BF892" s="2951">
        <f t="shared" ca="1" si="1482"/>
        <v>1</v>
      </c>
      <c r="BG892" s="2248">
        <f t="shared" ca="1" si="1488"/>
        <v>33</v>
      </c>
      <c r="BH892" s="2950">
        <f t="shared" ca="1" si="1483"/>
        <v>1</v>
      </c>
      <c r="BI892" s="2951">
        <f t="shared" ca="1" si="1484"/>
        <v>1.0303030303030303</v>
      </c>
    </row>
    <row r="893" spans="1:61" s="34" customFormat="1" ht="14.5">
      <c r="A893" s="1693">
        <f t="shared" si="1439"/>
        <v>885</v>
      </c>
      <c r="B893" s="616">
        <v>1</v>
      </c>
      <c r="C893" s="1693">
        <f t="shared" si="1465"/>
        <v>893</v>
      </c>
      <c r="D893" s="616">
        <v>1</v>
      </c>
      <c r="E893" s="709" t="s">
        <v>512</v>
      </c>
      <c r="F893" s="1572"/>
      <c r="G893" s="4"/>
      <c r="H893" s="4"/>
      <c r="I893" s="4"/>
      <c r="J893" s="265"/>
      <c r="K893" s="48" t="s">
        <v>204</v>
      </c>
      <c r="L893" s="48"/>
      <c r="M893" s="48"/>
      <c r="N893" s="47"/>
      <c r="O893" s="47"/>
      <c r="P893" s="47"/>
      <c r="Q893" s="47"/>
      <c r="R893" s="1784" t="str">
        <f>CHOOSE(2, "6722000003804", "HC FE/TTOC Service Total")</f>
        <v>HC FE/TTOC Service Total</v>
      </c>
      <c r="S893" s="1255">
        <f>SUM(S894:S898)</f>
        <v>424</v>
      </c>
      <c r="T893" s="1255">
        <f t="shared" ref="T893:AD893" si="1490">SUM(T894:T898)</f>
        <v>424</v>
      </c>
      <c r="U893" s="1255">
        <f t="shared" si="1490"/>
        <v>421</v>
      </c>
      <c r="V893" s="1255">
        <f t="shared" si="1490"/>
        <v>433</v>
      </c>
      <c r="W893" s="1255">
        <f t="shared" si="1490"/>
        <v>430</v>
      </c>
      <c r="X893" s="1255">
        <f t="shared" si="1490"/>
        <v>433</v>
      </c>
      <c r="Y893" s="1255">
        <f t="shared" si="1490"/>
        <v>435</v>
      </c>
      <c r="Z893" s="1255">
        <f t="shared" si="1490"/>
        <v>437</v>
      </c>
      <c r="AA893" s="1255">
        <f t="shared" si="1490"/>
        <v>439</v>
      </c>
      <c r="AB893" s="1255">
        <f t="shared" si="1490"/>
        <v>444</v>
      </c>
      <c r="AC893" s="1255">
        <f t="shared" si="1490"/>
        <v>443</v>
      </c>
      <c r="AD893" s="1255">
        <f t="shared" si="1490"/>
        <v>444</v>
      </c>
      <c r="AE893" s="911">
        <f t="shared" ref="AE893:AK893" si="1491">SUM(AE894:AE898)</f>
        <v>421</v>
      </c>
      <c r="AF893" s="45">
        <f t="shared" si="1491"/>
        <v>433</v>
      </c>
      <c r="AG893" s="45">
        <f t="shared" si="1491"/>
        <v>439</v>
      </c>
      <c r="AH893" s="45">
        <f t="shared" si="1491"/>
        <v>444</v>
      </c>
      <c r="AI893" s="45">
        <f t="shared" si="1491"/>
        <v>433</v>
      </c>
      <c r="AJ893" s="45">
        <f t="shared" si="1491"/>
        <v>444</v>
      </c>
      <c r="AK893" s="45">
        <f t="shared" si="1491"/>
        <v>444</v>
      </c>
      <c r="AM893" s="2250">
        <f t="shared" ca="1" si="1468"/>
        <v>424</v>
      </c>
      <c r="AN893" s="2250">
        <f t="shared" ca="1" si="1469"/>
        <v>437</v>
      </c>
      <c r="AO893" s="2948">
        <f t="shared" ca="1" si="1409"/>
        <v>-13</v>
      </c>
      <c r="AP893" s="2949">
        <f t="shared" ca="1" si="1470"/>
        <v>0.97025171624713957</v>
      </c>
      <c r="AQ893" s="2250">
        <f t="shared" ca="1" si="1471"/>
        <v>414</v>
      </c>
      <c r="AR893" s="2948">
        <f t="shared" ca="1" si="1410"/>
        <v>10</v>
      </c>
      <c r="AS893" s="2949">
        <f t="shared" ca="1" si="1472"/>
        <v>1.0241545893719808</v>
      </c>
      <c r="AU893" s="2250">
        <f t="shared" ca="1" si="1473"/>
        <v>424</v>
      </c>
      <c r="AV893" s="2250">
        <f t="shared" ca="1" si="1474"/>
        <v>437</v>
      </c>
      <c r="AW893" s="2948">
        <f t="shared" ca="1" si="1475"/>
        <v>-13</v>
      </c>
      <c r="AX893" s="2949">
        <f t="shared" ca="1" si="1476"/>
        <v>0.97025171624713957</v>
      </c>
      <c r="AY893" s="2250">
        <f t="shared" ca="1" si="1487"/>
        <v>414</v>
      </c>
      <c r="AZ893" s="2948">
        <f t="shared" ca="1" si="1477"/>
        <v>10</v>
      </c>
      <c r="BA893" s="2949">
        <f t="shared" ca="1" si="1478"/>
        <v>1.0241545893719808</v>
      </c>
      <c r="BC893" s="2250">
        <f t="shared" ca="1" si="1479"/>
        <v>424</v>
      </c>
      <c r="BD893" s="2250">
        <f t="shared" ca="1" si="1480"/>
        <v>437</v>
      </c>
      <c r="BE893" s="2948">
        <f t="shared" ca="1" si="1481"/>
        <v>-13</v>
      </c>
      <c r="BF893" s="2949">
        <f t="shared" ca="1" si="1482"/>
        <v>0.97025171624713957</v>
      </c>
      <c r="BG893" s="2250">
        <f t="shared" ca="1" si="1488"/>
        <v>414</v>
      </c>
      <c r="BH893" s="2948">
        <f t="shared" ca="1" si="1483"/>
        <v>10</v>
      </c>
      <c r="BI893" s="2949">
        <f t="shared" ca="1" si="1484"/>
        <v>1.0241545893719808</v>
      </c>
    </row>
    <row r="894" spans="1:61" s="34" customFormat="1" ht="14.5">
      <c r="A894" s="1693">
        <f t="shared" si="1439"/>
        <v>886</v>
      </c>
      <c r="B894" s="616">
        <v>1</v>
      </c>
      <c r="C894" s="1693">
        <f t="shared" si="1465"/>
        <v>894</v>
      </c>
      <c r="D894" s="616">
        <v>1</v>
      </c>
      <c r="F894" s="454"/>
      <c r="G894" s="4"/>
      <c r="H894" s="4"/>
      <c r="I894" s="4"/>
      <c r="J894" s="265"/>
      <c r="K894" s="4"/>
      <c r="L894" s="4"/>
      <c r="M894" s="4"/>
      <c r="N894" s="3"/>
      <c r="O894" s="41"/>
      <c r="P894" s="41" t="s">
        <v>15</v>
      </c>
      <c r="Q894" s="3"/>
      <c r="R894" s="1821" t="str">
        <f>CHOOSE(2, "6722000003805", "HC FE/TTOC Service Total Onsite Engineer")</f>
        <v>HC FE/TTOC Service Total Onsite Engineer</v>
      </c>
      <c r="S894" s="1236">
        <f t="shared" ref="S894:AD898" si="1492">S925+S1045+S955+S985+S1015</f>
        <v>341</v>
      </c>
      <c r="T894" s="1236">
        <f t="shared" si="1492"/>
        <v>340</v>
      </c>
      <c r="U894" s="1236">
        <f t="shared" si="1492"/>
        <v>337</v>
      </c>
      <c r="V894" s="1236">
        <f t="shared" si="1492"/>
        <v>350</v>
      </c>
      <c r="W894" s="1236">
        <f t="shared" si="1492"/>
        <v>350</v>
      </c>
      <c r="X894" s="1236">
        <f t="shared" si="1492"/>
        <v>353</v>
      </c>
      <c r="Y894" s="1236">
        <f t="shared" si="1492"/>
        <v>355</v>
      </c>
      <c r="Z894" s="1236">
        <f t="shared" si="1492"/>
        <v>356</v>
      </c>
      <c r="AA894" s="1236">
        <f t="shared" si="1492"/>
        <v>358</v>
      </c>
      <c r="AB894" s="1236">
        <f t="shared" si="1492"/>
        <v>363</v>
      </c>
      <c r="AC894" s="1236">
        <f t="shared" si="1492"/>
        <v>364</v>
      </c>
      <c r="AD894" s="1236">
        <f t="shared" si="1492"/>
        <v>363</v>
      </c>
      <c r="AE894" s="877">
        <f>U894</f>
        <v>337</v>
      </c>
      <c r="AF894" s="40">
        <f>X894</f>
        <v>353</v>
      </c>
      <c r="AG894" s="40">
        <f>AA894</f>
        <v>358</v>
      </c>
      <c r="AH894" s="40">
        <f>AD894</f>
        <v>363</v>
      </c>
      <c r="AI894" s="40">
        <f>AF894</f>
        <v>353</v>
      </c>
      <c r="AJ894" s="40">
        <f>AH894</f>
        <v>363</v>
      </c>
      <c r="AK894" s="40">
        <f>AJ894</f>
        <v>363</v>
      </c>
      <c r="AM894" s="1910">
        <f t="shared" ca="1" si="1468"/>
        <v>341</v>
      </c>
      <c r="AN894" s="1910">
        <f t="shared" ca="1" si="1469"/>
        <v>355</v>
      </c>
      <c r="AO894" s="2694">
        <f t="shared" ca="1" si="1409"/>
        <v>-14</v>
      </c>
      <c r="AP894" s="2695">
        <f t="shared" ca="1" si="1470"/>
        <v>0.96056338028169019</v>
      </c>
      <c r="AQ894" s="1910">
        <f t="shared" ca="1" si="1471"/>
        <v>336</v>
      </c>
      <c r="AR894" s="2694">
        <f t="shared" ca="1" si="1410"/>
        <v>5</v>
      </c>
      <c r="AS894" s="2695">
        <f t="shared" ca="1" si="1472"/>
        <v>1.0148809523809523</v>
      </c>
      <c r="AU894" s="1910">
        <f t="shared" ca="1" si="1473"/>
        <v>341</v>
      </c>
      <c r="AV894" s="1910">
        <f t="shared" ca="1" si="1474"/>
        <v>355</v>
      </c>
      <c r="AW894" s="2694">
        <f t="shared" ca="1" si="1475"/>
        <v>-14</v>
      </c>
      <c r="AX894" s="2695">
        <f t="shared" ca="1" si="1476"/>
        <v>0.96056338028169019</v>
      </c>
      <c r="AY894" s="1910">
        <f t="shared" ca="1" si="1487"/>
        <v>336</v>
      </c>
      <c r="AZ894" s="2694">
        <f t="shared" ca="1" si="1477"/>
        <v>5</v>
      </c>
      <c r="BA894" s="2695">
        <f t="shared" ca="1" si="1478"/>
        <v>1.0148809523809523</v>
      </c>
      <c r="BC894" s="1910">
        <f t="shared" ca="1" si="1479"/>
        <v>341</v>
      </c>
      <c r="BD894" s="1910">
        <f t="shared" ca="1" si="1480"/>
        <v>355</v>
      </c>
      <c r="BE894" s="2694">
        <f t="shared" ca="1" si="1481"/>
        <v>-14</v>
      </c>
      <c r="BF894" s="2695">
        <f t="shared" ca="1" si="1482"/>
        <v>0.96056338028169019</v>
      </c>
      <c r="BG894" s="1910">
        <f t="shared" ca="1" si="1488"/>
        <v>336</v>
      </c>
      <c r="BH894" s="2694">
        <f t="shared" ca="1" si="1483"/>
        <v>5</v>
      </c>
      <c r="BI894" s="2695">
        <f t="shared" ca="1" si="1484"/>
        <v>1.0148809523809523</v>
      </c>
    </row>
    <row r="895" spans="1:61" s="34" customFormat="1" ht="14.5">
      <c r="A895" s="1693">
        <f t="shared" si="1439"/>
        <v>887</v>
      </c>
      <c r="B895" s="616">
        <v>1</v>
      </c>
      <c r="C895" s="1693">
        <f t="shared" ref="C895:C958" si="1493">C894+1</f>
        <v>895</v>
      </c>
      <c r="D895" s="616">
        <v>1</v>
      </c>
      <c r="F895" s="454"/>
      <c r="G895" s="4"/>
      <c r="H895" s="4"/>
      <c r="I895" s="4"/>
      <c r="J895" s="265"/>
      <c r="K895" s="4"/>
      <c r="L895" s="4"/>
      <c r="M895" s="4"/>
      <c r="N895" s="3"/>
      <c r="O895" s="41"/>
      <c r="P895" s="41" t="s">
        <v>16</v>
      </c>
      <c r="Q895" s="3"/>
      <c r="R895" s="1821" t="str">
        <f>CHOOSE(2, "6722000003806", "HC FE/TTOC Service Total Remote Engineer")</f>
        <v>HC FE/TTOC Service Total Remote Engineer</v>
      </c>
      <c r="S895" s="1236">
        <f t="shared" si="1492"/>
        <v>1</v>
      </c>
      <c r="T895" s="1236">
        <f t="shared" si="1492"/>
        <v>1</v>
      </c>
      <c r="U895" s="1236">
        <f t="shared" si="1492"/>
        <v>1</v>
      </c>
      <c r="V895" s="1236">
        <f t="shared" si="1492"/>
        <v>1</v>
      </c>
      <c r="W895" s="1236">
        <f t="shared" si="1492"/>
        <v>1</v>
      </c>
      <c r="X895" s="1236">
        <f t="shared" si="1492"/>
        <v>1</v>
      </c>
      <c r="Y895" s="1236">
        <f t="shared" si="1492"/>
        <v>1</v>
      </c>
      <c r="Z895" s="1236">
        <f t="shared" si="1492"/>
        <v>1</v>
      </c>
      <c r="AA895" s="1236">
        <f t="shared" si="1492"/>
        <v>1</v>
      </c>
      <c r="AB895" s="1236">
        <f t="shared" si="1492"/>
        <v>1</v>
      </c>
      <c r="AC895" s="1236">
        <f t="shared" si="1492"/>
        <v>1</v>
      </c>
      <c r="AD895" s="1236">
        <f t="shared" si="1492"/>
        <v>1</v>
      </c>
      <c r="AE895" s="877">
        <f>U895</f>
        <v>1</v>
      </c>
      <c r="AF895" s="40">
        <f>X895</f>
        <v>1</v>
      </c>
      <c r="AG895" s="40">
        <f>AA895</f>
        <v>1</v>
      </c>
      <c r="AH895" s="40">
        <f>AD895</f>
        <v>1</v>
      </c>
      <c r="AI895" s="40">
        <f>AF895</f>
        <v>1</v>
      </c>
      <c r="AJ895" s="40">
        <f>AH895</f>
        <v>1</v>
      </c>
      <c r="AK895" s="40">
        <f>AJ895</f>
        <v>1</v>
      </c>
      <c r="AM895" s="1910">
        <f t="shared" ca="1" si="1468"/>
        <v>1</v>
      </c>
      <c r="AN895" s="1910">
        <f t="shared" ca="1" si="1469"/>
        <v>1</v>
      </c>
      <c r="AO895" s="2694">
        <f t="shared" ca="1" si="1409"/>
        <v>0</v>
      </c>
      <c r="AP895" s="2695">
        <f t="shared" ca="1" si="1470"/>
        <v>1</v>
      </c>
      <c r="AQ895" s="1910">
        <f t="shared" ca="1" si="1471"/>
        <v>1</v>
      </c>
      <c r="AR895" s="2694">
        <f t="shared" ca="1" si="1410"/>
        <v>0</v>
      </c>
      <c r="AS895" s="2695">
        <f t="shared" ca="1" si="1472"/>
        <v>1</v>
      </c>
      <c r="AU895" s="1910">
        <f t="shared" ca="1" si="1473"/>
        <v>1</v>
      </c>
      <c r="AV895" s="1910">
        <f t="shared" ca="1" si="1474"/>
        <v>1</v>
      </c>
      <c r="AW895" s="2694">
        <f t="shared" ca="1" si="1475"/>
        <v>0</v>
      </c>
      <c r="AX895" s="2695">
        <f t="shared" ca="1" si="1476"/>
        <v>1</v>
      </c>
      <c r="AY895" s="1910">
        <f t="shared" ca="1" si="1487"/>
        <v>1</v>
      </c>
      <c r="AZ895" s="2694">
        <f t="shared" ca="1" si="1477"/>
        <v>0</v>
      </c>
      <c r="BA895" s="2695">
        <f t="shared" ca="1" si="1478"/>
        <v>1</v>
      </c>
      <c r="BC895" s="1910">
        <f t="shared" ca="1" si="1479"/>
        <v>1</v>
      </c>
      <c r="BD895" s="1910">
        <f t="shared" ca="1" si="1480"/>
        <v>1</v>
      </c>
      <c r="BE895" s="2694">
        <f t="shared" ca="1" si="1481"/>
        <v>0</v>
      </c>
      <c r="BF895" s="2695">
        <f t="shared" ca="1" si="1482"/>
        <v>1</v>
      </c>
      <c r="BG895" s="1910">
        <f t="shared" ca="1" si="1488"/>
        <v>1</v>
      </c>
      <c r="BH895" s="2694">
        <f t="shared" ca="1" si="1483"/>
        <v>0</v>
      </c>
      <c r="BI895" s="2695">
        <f t="shared" ca="1" si="1484"/>
        <v>1</v>
      </c>
    </row>
    <row r="896" spans="1:61" s="34" customFormat="1" ht="14.5">
      <c r="A896" s="1693">
        <f t="shared" si="1439"/>
        <v>888</v>
      </c>
      <c r="B896" s="616">
        <v>1</v>
      </c>
      <c r="C896" s="1693">
        <f t="shared" si="1493"/>
        <v>896</v>
      </c>
      <c r="D896" s="616">
        <v>1</v>
      </c>
      <c r="F896" s="454"/>
      <c r="G896" s="4"/>
      <c r="H896" s="4"/>
      <c r="I896" s="4"/>
      <c r="J896" s="265"/>
      <c r="K896" s="4"/>
      <c r="L896" s="4"/>
      <c r="M896" s="4"/>
      <c r="N896" s="3"/>
      <c r="O896" s="41"/>
      <c r="P896" s="41" t="s">
        <v>42</v>
      </c>
      <c r="Q896" s="3"/>
      <c r="R896" s="1821" t="str">
        <f>CHOOSE(2, "6722000003807", "HC FE/TTOC Service Total Technical support")</f>
        <v>HC FE/TTOC Service Total Technical support</v>
      </c>
      <c r="S896" s="1236">
        <f t="shared" si="1492"/>
        <v>48</v>
      </c>
      <c r="T896" s="1236">
        <f t="shared" si="1492"/>
        <v>48</v>
      </c>
      <c r="U896" s="1236">
        <f t="shared" si="1492"/>
        <v>48</v>
      </c>
      <c r="V896" s="1236">
        <f t="shared" si="1492"/>
        <v>47</v>
      </c>
      <c r="W896" s="1236">
        <f t="shared" si="1492"/>
        <v>45</v>
      </c>
      <c r="X896" s="1236">
        <f t="shared" si="1492"/>
        <v>44</v>
      </c>
      <c r="Y896" s="1236">
        <f t="shared" si="1492"/>
        <v>44</v>
      </c>
      <c r="Z896" s="1236">
        <f t="shared" si="1492"/>
        <v>44</v>
      </c>
      <c r="AA896" s="1236">
        <f t="shared" si="1492"/>
        <v>44</v>
      </c>
      <c r="AB896" s="1236">
        <f t="shared" si="1492"/>
        <v>44</v>
      </c>
      <c r="AC896" s="1236">
        <f t="shared" si="1492"/>
        <v>43</v>
      </c>
      <c r="AD896" s="1236">
        <f t="shared" si="1492"/>
        <v>43</v>
      </c>
      <c r="AE896" s="877">
        <f>U896</f>
        <v>48</v>
      </c>
      <c r="AF896" s="40">
        <f>X896</f>
        <v>44</v>
      </c>
      <c r="AG896" s="40">
        <f>AA896</f>
        <v>44</v>
      </c>
      <c r="AH896" s="40">
        <f>AD896</f>
        <v>43</v>
      </c>
      <c r="AI896" s="40">
        <f>AF896</f>
        <v>44</v>
      </c>
      <c r="AJ896" s="40">
        <f>AH896</f>
        <v>43</v>
      </c>
      <c r="AK896" s="40">
        <f>AJ896</f>
        <v>43</v>
      </c>
      <c r="AM896" s="1910">
        <f t="shared" ca="1" si="1468"/>
        <v>48</v>
      </c>
      <c r="AN896" s="1910">
        <f t="shared" ca="1" si="1469"/>
        <v>48</v>
      </c>
      <c r="AO896" s="2694">
        <f t="shared" ca="1" si="1409"/>
        <v>0</v>
      </c>
      <c r="AP896" s="2695">
        <f t="shared" ca="1" si="1470"/>
        <v>1</v>
      </c>
      <c r="AQ896" s="1910">
        <f t="shared" ca="1" si="1471"/>
        <v>45</v>
      </c>
      <c r="AR896" s="2694">
        <f t="shared" ca="1" si="1410"/>
        <v>3</v>
      </c>
      <c r="AS896" s="2695">
        <f t="shared" ca="1" si="1472"/>
        <v>1.0666666666666667</v>
      </c>
      <c r="AU896" s="1910">
        <f t="shared" ca="1" si="1473"/>
        <v>48</v>
      </c>
      <c r="AV896" s="1910">
        <f t="shared" ca="1" si="1474"/>
        <v>48</v>
      </c>
      <c r="AW896" s="2694">
        <f t="shared" ca="1" si="1475"/>
        <v>0</v>
      </c>
      <c r="AX896" s="2695">
        <f t="shared" ca="1" si="1476"/>
        <v>1</v>
      </c>
      <c r="AY896" s="1910">
        <f t="shared" ca="1" si="1487"/>
        <v>45</v>
      </c>
      <c r="AZ896" s="2694">
        <f t="shared" ca="1" si="1477"/>
        <v>3</v>
      </c>
      <c r="BA896" s="2695">
        <f t="shared" ca="1" si="1478"/>
        <v>1.0666666666666667</v>
      </c>
      <c r="BC896" s="1910">
        <f t="shared" ca="1" si="1479"/>
        <v>48</v>
      </c>
      <c r="BD896" s="1910">
        <f t="shared" ca="1" si="1480"/>
        <v>48</v>
      </c>
      <c r="BE896" s="2694">
        <f t="shared" ca="1" si="1481"/>
        <v>0</v>
      </c>
      <c r="BF896" s="2695">
        <f t="shared" ca="1" si="1482"/>
        <v>1</v>
      </c>
      <c r="BG896" s="1910">
        <f t="shared" ca="1" si="1488"/>
        <v>45</v>
      </c>
      <c r="BH896" s="2694">
        <f t="shared" ca="1" si="1483"/>
        <v>3</v>
      </c>
      <c r="BI896" s="2695">
        <f t="shared" ca="1" si="1484"/>
        <v>1.0666666666666667</v>
      </c>
    </row>
    <row r="897" spans="1:61" s="34" customFormat="1" ht="14.5">
      <c r="A897" s="1693">
        <f t="shared" si="1439"/>
        <v>889</v>
      </c>
      <c r="B897" s="616">
        <v>1</v>
      </c>
      <c r="C897" s="1693">
        <f t="shared" si="1493"/>
        <v>897</v>
      </c>
      <c r="D897" s="616">
        <v>1</v>
      </c>
      <c r="F897" s="454"/>
      <c r="G897" s="4"/>
      <c r="H897" s="4"/>
      <c r="I897" s="4"/>
      <c r="J897" s="265"/>
      <c r="K897" s="4"/>
      <c r="L897" s="4"/>
      <c r="M897" s="4"/>
      <c r="N897" s="3"/>
      <c r="O897" s="41"/>
      <c r="P897" s="41" t="s">
        <v>41</v>
      </c>
      <c r="Q897" s="3"/>
      <c r="R897" s="1821" t="str">
        <f>CHOOSE(2, "6722000003808", "HC FE/TTOC Service Total Dealer(Indirect) support")</f>
        <v>HC FE/TTOC Service Total Dealer(Indirect) support</v>
      </c>
      <c r="S897" s="1236">
        <f t="shared" si="1492"/>
        <v>0</v>
      </c>
      <c r="T897" s="1236">
        <f t="shared" si="1492"/>
        <v>0</v>
      </c>
      <c r="U897" s="1236">
        <f t="shared" si="1492"/>
        <v>0</v>
      </c>
      <c r="V897" s="1236">
        <f t="shared" si="1492"/>
        <v>0</v>
      </c>
      <c r="W897" s="1236">
        <f t="shared" si="1492"/>
        <v>0</v>
      </c>
      <c r="X897" s="1236">
        <f t="shared" si="1492"/>
        <v>0</v>
      </c>
      <c r="Y897" s="1236">
        <f t="shared" si="1492"/>
        <v>0</v>
      </c>
      <c r="Z897" s="1236">
        <f t="shared" si="1492"/>
        <v>0</v>
      </c>
      <c r="AA897" s="1236">
        <f t="shared" si="1492"/>
        <v>0</v>
      </c>
      <c r="AB897" s="1236">
        <f t="shared" si="1492"/>
        <v>0</v>
      </c>
      <c r="AC897" s="1236">
        <f t="shared" si="1492"/>
        <v>0</v>
      </c>
      <c r="AD897" s="1236">
        <f t="shared" si="1492"/>
        <v>0</v>
      </c>
      <c r="AE897" s="877">
        <f>U897</f>
        <v>0</v>
      </c>
      <c r="AF897" s="40">
        <f>X897</f>
        <v>0</v>
      </c>
      <c r="AG897" s="40">
        <f>AA897</f>
        <v>0</v>
      </c>
      <c r="AH897" s="40">
        <f>AD897</f>
        <v>0</v>
      </c>
      <c r="AI897" s="40">
        <f>AF897</f>
        <v>0</v>
      </c>
      <c r="AJ897" s="40">
        <f>AH897</f>
        <v>0</v>
      </c>
      <c r="AK897" s="40">
        <f>AJ897</f>
        <v>0</v>
      </c>
      <c r="AM897" s="1910">
        <f t="shared" ca="1" si="1468"/>
        <v>0</v>
      </c>
      <c r="AN897" s="1910">
        <f t="shared" ca="1" si="1469"/>
        <v>0</v>
      </c>
      <c r="AO897" s="2694">
        <f t="shared" ca="1" si="1409"/>
        <v>0</v>
      </c>
      <c r="AP897" s="2695">
        <f t="shared" ca="1" si="1470"/>
        <v>0</v>
      </c>
      <c r="AQ897" s="1910">
        <f t="shared" ca="1" si="1471"/>
        <v>0</v>
      </c>
      <c r="AR897" s="2694">
        <f t="shared" ca="1" si="1410"/>
        <v>0</v>
      </c>
      <c r="AS897" s="2695">
        <f t="shared" ca="1" si="1472"/>
        <v>0</v>
      </c>
      <c r="AU897" s="1910">
        <f t="shared" ca="1" si="1473"/>
        <v>0</v>
      </c>
      <c r="AV897" s="1910">
        <f t="shared" ca="1" si="1474"/>
        <v>0</v>
      </c>
      <c r="AW897" s="2694">
        <f t="shared" ca="1" si="1475"/>
        <v>0</v>
      </c>
      <c r="AX897" s="2695">
        <f t="shared" ca="1" si="1476"/>
        <v>0</v>
      </c>
      <c r="AY897" s="1910">
        <f t="shared" ca="1" si="1487"/>
        <v>0</v>
      </c>
      <c r="AZ897" s="2694">
        <f t="shared" ca="1" si="1477"/>
        <v>0</v>
      </c>
      <c r="BA897" s="2695">
        <f t="shared" ca="1" si="1478"/>
        <v>0</v>
      </c>
      <c r="BC897" s="1910">
        <f t="shared" ca="1" si="1479"/>
        <v>0</v>
      </c>
      <c r="BD897" s="1910">
        <f t="shared" ca="1" si="1480"/>
        <v>0</v>
      </c>
      <c r="BE897" s="2694">
        <f t="shared" ca="1" si="1481"/>
        <v>0</v>
      </c>
      <c r="BF897" s="2695">
        <f t="shared" ca="1" si="1482"/>
        <v>0</v>
      </c>
      <c r="BG897" s="1910">
        <f t="shared" ca="1" si="1488"/>
        <v>0</v>
      </c>
      <c r="BH897" s="2694">
        <f t="shared" ca="1" si="1483"/>
        <v>0</v>
      </c>
      <c r="BI897" s="2695">
        <f t="shared" ca="1" si="1484"/>
        <v>0</v>
      </c>
    </row>
    <row r="898" spans="1:61" s="34" customFormat="1" ht="14.5">
      <c r="A898" s="1693">
        <f t="shared" si="1439"/>
        <v>890</v>
      </c>
      <c r="B898" s="616">
        <v>1</v>
      </c>
      <c r="C898" s="1693">
        <f t="shared" si="1493"/>
        <v>898</v>
      </c>
      <c r="D898" s="616">
        <v>1</v>
      </c>
      <c r="F898" s="454"/>
      <c r="G898" s="4"/>
      <c r="H898" s="4"/>
      <c r="I898" s="4"/>
      <c r="J898" s="265"/>
      <c r="K898" s="4"/>
      <c r="L898" s="4"/>
      <c r="M898" s="4"/>
      <c r="N898" s="3"/>
      <c r="O898" s="41"/>
      <c r="P898" s="41" t="s">
        <v>40</v>
      </c>
      <c r="Q898" s="3"/>
      <c r="R898" s="1821" t="str">
        <f>CHOOSE(2, "6722000003809", "HC FE/TTOC Service Total Administration/Others")</f>
        <v>HC FE/TTOC Service Total Administration/Others</v>
      </c>
      <c r="S898" s="1236">
        <f t="shared" si="1492"/>
        <v>34</v>
      </c>
      <c r="T898" s="1236">
        <f t="shared" si="1492"/>
        <v>35</v>
      </c>
      <c r="U898" s="1236">
        <f t="shared" si="1492"/>
        <v>35</v>
      </c>
      <c r="V898" s="1236">
        <f t="shared" si="1492"/>
        <v>35</v>
      </c>
      <c r="W898" s="1236">
        <f t="shared" si="1492"/>
        <v>34</v>
      </c>
      <c r="X898" s="1236">
        <f t="shared" si="1492"/>
        <v>35</v>
      </c>
      <c r="Y898" s="1236">
        <f t="shared" si="1492"/>
        <v>35</v>
      </c>
      <c r="Z898" s="1236">
        <f t="shared" si="1492"/>
        <v>36</v>
      </c>
      <c r="AA898" s="1236">
        <f t="shared" si="1492"/>
        <v>36</v>
      </c>
      <c r="AB898" s="1236">
        <f t="shared" si="1492"/>
        <v>36</v>
      </c>
      <c r="AC898" s="1236">
        <f t="shared" si="1492"/>
        <v>35</v>
      </c>
      <c r="AD898" s="1236">
        <f t="shared" si="1492"/>
        <v>37</v>
      </c>
      <c r="AE898" s="877">
        <f>U898</f>
        <v>35</v>
      </c>
      <c r="AF898" s="40">
        <f>X898</f>
        <v>35</v>
      </c>
      <c r="AG898" s="40">
        <f>AA898</f>
        <v>36</v>
      </c>
      <c r="AH898" s="40">
        <f>AD898</f>
        <v>37</v>
      </c>
      <c r="AI898" s="40">
        <f>AF898</f>
        <v>35</v>
      </c>
      <c r="AJ898" s="40">
        <f>AH898</f>
        <v>37</v>
      </c>
      <c r="AK898" s="40">
        <f>AJ898</f>
        <v>37</v>
      </c>
      <c r="AM898" s="1910">
        <f t="shared" ca="1" si="1468"/>
        <v>34</v>
      </c>
      <c r="AN898" s="1910">
        <f t="shared" ca="1" si="1469"/>
        <v>33</v>
      </c>
      <c r="AO898" s="2694">
        <f t="shared" ca="1" si="1409"/>
        <v>1</v>
      </c>
      <c r="AP898" s="2695">
        <f t="shared" ca="1" si="1470"/>
        <v>1.0303030303030303</v>
      </c>
      <c r="AQ898" s="1910">
        <f t="shared" ca="1" si="1471"/>
        <v>32</v>
      </c>
      <c r="AR898" s="2694">
        <f t="shared" ca="1" si="1410"/>
        <v>2</v>
      </c>
      <c r="AS898" s="2695">
        <f t="shared" ca="1" si="1472"/>
        <v>1.0625</v>
      </c>
      <c r="AU898" s="1910">
        <f t="shared" ca="1" si="1473"/>
        <v>34</v>
      </c>
      <c r="AV898" s="1910">
        <f t="shared" ca="1" si="1474"/>
        <v>33</v>
      </c>
      <c r="AW898" s="2694">
        <f t="shared" ca="1" si="1475"/>
        <v>1</v>
      </c>
      <c r="AX898" s="2695">
        <f t="shared" ca="1" si="1476"/>
        <v>1.0303030303030303</v>
      </c>
      <c r="AY898" s="1910">
        <f t="shared" ca="1" si="1487"/>
        <v>32</v>
      </c>
      <c r="AZ898" s="2694">
        <f t="shared" ca="1" si="1477"/>
        <v>2</v>
      </c>
      <c r="BA898" s="2695">
        <f t="shared" ca="1" si="1478"/>
        <v>1.0625</v>
      </c>
      <c r="BC898" s="1910">
        <f t="shared" ca="1" si="1479"/>
        <v>34</v>
      </c>
      <c r="BD898" s="1910">
        <f t="shared" ca="1" si="1480"/>
        <v>33</v>
      </c>
      <c r="BE898" s="2694">
        <f t="shared" ca="1" si="1481"/>
        <v>1</v>
      </c>
      <c r="BF898" s="2695">
        <f t="shared" ca="1" si="1482"/>
        <v>1.0303030303030303</v>
      </c>
      <c r="BG898" s="1910">
        <f t="shared" ca="1" si="1488"/>
        <v>32</v>
      </c>
      <c r="BH898" s="2694">
        <f t="shared" ca="1" si="1483"/>
        <v>2</v>
      </c>
      <c r="BI898" s="2695">
        <f t="shared" ca="1" si="1484"/>
        <v>1.0625</v>
      </c>
    </row>
    <row r="899" spans="1:61" s="34" customFormat="1" ht="14.5">
      <c r="A899" s="1693">
        <f t="shared" si="1439"/>
        <v>891</v>
      </c>
      <c r="B899" s="616">
        <v>1</v>
      </c>
      <c r="C899" s="1693">
        <f t="shared" si="1493"/>
        <v>899</v>
      </c>
      <c r="D899" s="616">
        <v>1</v>
      </c>
      <c r="E899" s="709" t="s">
        <v>512</v>
      </c>
      <c r="F899" s="1572"/>
      <c r="G899" s="4"/>
      <c r="H899" s="4"/>
      <c r="I899" s="4"/>
      <c r="J899" s="265"/>
      <c r="K899" s="252" t="s">
        <v>207</v>
      </c>
      <c r="L899" s="44"/>
      <c r="M899" s="44"/>
      <c r="N899" s="43"/>
      <c r="O899" s="43"/>
      <c r="P899" s="43"/>
      <c r="Q899" s="251"/>
      <c r="R899" s="1784" t="str">
        <f>CHOOSE(2, "6722000003810", "HC FE/TTOC Marketing")</f>
        <v>HC FE/TTOC Marketing</v>
      </c>
      <c r="S899" s="1380">
        <f>SUM(S900:S903)</f>
        <v>17</v>
      </c>
      <c r="T899" s="1380">
        <f t="shared" ref="T899:AD899" si="1494">SUM(T900:T903)</f>
        <v>17</v>
      </c>
      <c r="U899" s="1380">
        <f t="shared" si="1494"/>
        <v>17</v>
      </c>
      <c r="V899" s="1380">
        <f t="shared" si="1494"/>
        <v>17</v>
      </c>
      <c r="W899" s="1380">
        <f t="shared" si="1494"/>
        <v>16</v>
      </c>
      <c r="X899" s="1380">
        <f t="shared" si="1494"/>
        <v>16</v>
      </c>
      <c r="Y899" s="1380">
        <f t="shared" si="1494"/>
        <v>16</v>
      </c>
      <c r="Z899" s="1380">
        <f t="shared" si="1494"/>
        <v>16</v>
      </c>
      <c r="AA899" s="1380">
        <f t="shared" si="1494"/>
        <v>16</v>
      </c>
      <c r="AB899" s="1380">
        <f t="shared" si="1494"/>
        <v>17</v>
      </c>
      <c r="AC899" s="1380">
        <f t="shared" si="1494"/>
        <v>18</v>
      </c>
      <c r="AD899" s="1380">
        <f t="shared" si="1494"/>
        <v>19</v>
      </c>
      <c r="AE899" s="745">
        <f t="shared" ref="AE899:AK899" si="1495">SUM(AE900:AE903)</f>
        <v>17</v>
      </c>
      <c r="AF899" s="42">
        <f t="shared" si="1495"/>
        <v>16</v>
      </c>
      <c r="AG899" s="42">
        <f t="shared" si="1495"/>
        <v>16</v>
      </c>
      <c r="AH899" s="42">
        <f t="shared" si="1495"/>
        <v>19</v>
      </c>
      <c r="AI899" s="42">
        <f t="shared" si="1495"/>
        <v>16</v>
      </c>
      <c r="AJ899" s="42">
        <f t="shared" si="1495"/>
        <v>19</v>
      </c>
      <c r="AK899" s="42">
        <f t="shared" si="1495"/>
        <v>19</v>
      </c>
      <c r="AM899" s="2252">
        <f t="shared" ca="1" si="1468"/>
        <v>17</v>
      </c>
      <c r="AN899" s="2252">
        <f t="shared" ca="1" si="1469"/>
        <v>20</v>
      </c>
      <c r="AO899" s="2952">
        <f t="shared" ref="AO899:AO914" ca="1" si="1496">AM899-AN899</f>
        <v>-3</v>
      </c>
      <c r="AP899" s="2953">
        <f t="shared" ca="1" si="1470"/>
        <v>0.85</v>
      </c>
      <c r="AQ899" s="2252">
        <f t="shared" ca="1" si="1471"/>
        <v>18</v>
      </c>
      <c r="AR899" s="2952">
        <f t="shared" ref="AR899:AR914" ca="1" si="1497">AM899-AQ899</f>
        <v>-1</v>
      </c>
      <c r="AS899" s="2953">
        <f t="shared" ca="1" si="1472"/>
        <v>0.94444444444444442</v>
      </c>
      <c r="AU899" s="2252">
        <f t="shared" ca="1" si="1473"/>
        <v>17</v>
      </c>
      <c r="AV899" s="2252">
        <f t="shared" ca="1" si="1474"/>
        <v>20</v>
      </c>
      <c r="AW899" s="2952">
        <f t="shared" ca="1" si="1475"/>
        <v>-3</v>
      </c>
      <c r="AX899" s="2953">
        <f t="shared" ca="1" si="1476"/>
        <v>0.85</v>
      </c>
      <c r="AY899" s="2252">
        <f t="shared" ca="1" si="1487"/>
        <v>18</v>
      </c>
      <c r="AZ899" s="2952">
        <f t="shared" ca="1" si="1477"/>
        <v>-1</v>
      </c>
      <c r="BA899" s="2953">
        <f t="shared" ca="1" si="1478"/>
        <v>0.94444444444444442</v>
      </c>
      <c r="BC899" s="2252">
        <f t="shared" ca="1" si="1479"/>
        <v>17</v>
      </c>
      <c r="BD899" s="2252">
        <f t="shared" ca="1" si="1480"/>
        <v>20</v>
      </c>
      <c r="BE899" s="2952">
        <f t="shared" ca="1" si="1481"/>
        <v>-3</v>
      </c>
      <c r="BF899" s="2953">
        <f t="shared" ca="1" si="1482"/>
        <v>0.85</v>
      </c>
      <c r="BG899" s="2252">
        <f t="shared" ca="1" si="1488"/>
        <v>18</v>
      </c>
      <c r="BH899" s="2952">
        <f t="shared" ca="1" si="1483"/>
        <v>-1</v>
      </c>
      <c r="BI899" s="2953">
        <f t="shared" ca="1" si="1484"/>
        <v>0.94444444444444442</v>
      </c>
    </row>
    <row r="900" spans="1:61" s="34" customFormat="1" ht="14.5">
      <c r="A900" s="1693">
        <f t="shared" si="1439"/>
        <v>892</v>
      </c>
      <c r="B900" s="616">
        <v>1</v>
      </c>
      <c r="C900" s="1693">
        <f t="shared" si="1493"/>
        <v>900</v>
      </c>
      <c r="D900" s="616">
        <v>1</v>
      </c>
      <c r="F900" s="454"/>
      <c r="G900" s="4"/>
      <c r="H900" s="4"/>
      <c r="I900" s="4"/>
      <c r="J900" s="265"/>
      <c r="K900" s="4"/>
      <c r="L900" s="4"/>
      <c r="M900" s="4"/>
      <c r="N900" s="3"/>
      <c r="O900" s="41"/>
      <c r="P900" s="41" t="s">
        <v>198</v>
      </c>
      <c r="Q900" s="3"/>
      <c r="R900" s="1821" t="str">
        <f>CHOOSE(2, "6722000003811", "HC FE/TTOC Marketing Business Development")</f>
        <v>HC FE/TTOC Marketing Business Development</v>
      </c>
      <c r="S900" s="1236">
        <f t="shared" ref="S900:AD903" si="1498">S931+S1051+S961+S991+S1021</f>
        <v>9</v>
      </c>
      <c r="T900" s="1236">
        <f t="shared" si="1498"/>
        <v>9</v>
      </c>
      <c r="U900" s="1236">
        <f t="shared" si="1498"/>
        <v>9</v>
      </c>
      <c r="V900" s="1236">
        <f t="shared" si="1498"/>
        <v>9</v>
      </c>
      <c r="W900" s="1236">
        <f t="shared" si="1498"/>
        <v>8</v>
      </c>
      <c r="X900" s="1236">
        <f t="shared" si="1498"/>
        <v>8</v>
      </c>
      <c r="Y900" s="1236">
        <f t="shared" si="1498"/>
        <v>8</v>
      </c>
      <c r="Z900" s="1236">
        <f t="shared" si="1498"/>
        <v>7</v>
      </c>
      <c r="AA900" s="1236">
        <f t="shared" si="1498"/>
        <v>7</v>
      </c>
      <c r="AB900" s="1236">
        <f t="shared" si="1498"/>
        <v>7</v>
      </c>
      <c r="AC900" s="1236">
        <f t="shared" si="1498"/>
        <v>7</v>
      </c>
      <c r="AD900" s="1236">
        <f t="shared" si="1498"/>
        <v>8</v>
      </c>
      <c r="AE900" s="877">
        <f>U900</f>
        <v>9</v>
      </c>
      <c r="AF900" s="40">
        <f>X900</f>
        <v>8</v>
      </c>
      <c r="AG900" s="40">
        <f>AA900</f>
        <v>7</v>
      </c>
      <c r="AH900" s="40">
        <f>AD900</f>
        <v>8</v>
      </c>
      <c r="AI900" s="40">
        <f>AF900</f>
        <v>8</v>
      </c>
      <c r="AJ900" s="40">
        <f>AH900</f>
        <v>8</v>
      </c>
      <c r="AK900" s="40">
        <f>AJ900</f>
        <v>8</v>
      </c>
      <c r="AM900" s="1910">
        <f t="shared" ca="1" si="1468"/>
        <v>9</v>
      </c>
      <c r="AN900" s="1910">
        <f t="shared" ca="1" si="1469"/>
        <v>9</v>
      </c>
      <c r="AO900" s="2694">
        <f t="shared" ca="1" si="1496"/>
        <v>0</v>
      </c>
      <c r="AP900" s="2695">
        <f t="shared" ca="1" si="1470"/>
        <v>1</v>
      </c>
      <c r="AQ900" s="1910">
        <f t="shared" ca="1" si="1471"/>
        <v>8</v>
      </c>
      <c r="AR900" s="2694">
        <f t="shared" ca="1" si="1497"/>
        <v>1</v>
      </c>
      <c r="AS900" s="2695">
        <f t="shared" ca="1" si="1472"/>
        <v>1.125</v>
      </c>
      <c r="AU900" s="1910">
        <f t="shared" ca="1" si="1473"/>
        <v>9</v>
      </c>
      <c r="AV900" s="1910">
        <f t="shared" ca="1" si="1474"/>
        <v>9</v>
      </c>
      <c r="AW900" s="2694">
        <f t="shared" ca="1" si="1475"/>
        <v>0</v>
      </c>
      <c r="AX900" s="2695">
        <f t="shared" ca="1" si="1476"/>
        <v>1</v>
      </c>
      <c r="AY900" s="1910">
        <f t="shared" ca="1" si="1487"/>
        <v>8</v>
      </c>
      <c r="AZ900" s="2694">
        <f t="shared" ca="1" si="1477"/>
        <v>1</v>
      </c>
      <c r="BA900" s="2695">
        <f t="shared" ca="1" si="1478"/>
        <v>1.125</v>
      </c>
      <c r="BC900" s="1910">
        <f t="shared" ca="1" si="1479"/>
        <v>9</v>
      </c>
      <c r="BD900" s="1910">
        <f t="shared" ca="1" si="1480"/>
        <v>9</v>
      </c>
      <c r="BE900" s="2694">
        <f t="shared" ca="1" si="1481"/>
        <v>0</v>
      </c>
      <c r="BF900" s="2695">
        <f t="shared" ca="1" si="1482"/>
        <v>1</v>
      </c>
      <c r="BG900" s="1910">
        <f t="shared" ca="1" si="1488"/>
        <v>8</v>
      </c>
      <c r="BH900" s="2694">
        <f t="shared" ca="1" si="1483"/>
        <v>1</v>
      </c>
      <c r="BI900" s="2695">
        <f t="shared" ca="1" si="1484"/>
        <v>1.125</v>
      </c>
    </row>
    <row r="901" spans="1:61" s="34" customFormat="1" ht="14.5">
      <c r="A901" s="1693">
        <f t="shared" si="1439"/>
        <v>893</v>
      </c>
      <c r="B901" s="616">
        <v>1</v>
      </c>
      <c r="C901" s="1693">
        <f t="shared" si="1493"/>
        <v>901</v>
      </c>
      <c r="D901" s="616">
        <v>1</v>
      </c>
      <c r="F901" s="454"/>
      <c r="G901" s="4"/>
      <c r="H901" s="4"/>
      <c r="I901" s="4"/>
      <c r="J901" s="265"/>
      <c r="K901" s="4"/>
      <c r="L901" s="4"/>
      <c r="M901" s="4"/>
      <c r="N901" s="3"/>
      <c r="O901" s="41"/>
      <c r="P901" s="41" t="s">
        <v>199</v>
      </c>
      <c r="Q901" s="3"/>
      <c r="R901" s="1821" t="str">
        <f>CHOOSE(2, "6722000003812", "HC FE/TTOC Marketing Channel Marketing")</f>
        <v>HC FE/TTOC Marketing Channel Marketing</v>
      </c>
      <c r="S901" s="1236">
        <f t="shared" si="1498"/>
        <v>0</v>
      </c>
      <c r="T901" s="1236">
        <f t="shared" si="1498"/>
        <v>0</v>
      </c>
      <c r="U901" s="1236">
        <f t="shared" si="1498"/>
        <v>0</v>
      </c>
      <c r="V901" s="1236">
        <f t="shared" si="1498"/>
        <v>0</v>
      </c>
      <c r="W901" s="1236">
        <f t="shared" si="1498"/>
        <v>0</v>
      </c>
      <c r="X901" s="1236">
        <f t="shared" si="1498"/>
        <v>0</v>
      </c>
      <c r="Y901" s="1236">
        <f t="shared" si="1498"/>
        <v>0</v>
      </c>
      <c r="Z901" s="1236">
        <f t="shared" si="1498"/>
        <v>0</v>
      </c>
      <c r="AA901" s="1236">
        <f t="shared" si="1498"/>
        <v>0</v>
      </c>
      <c r="AB901" s="1236">
        <f t="shared" si="1498"/>
        <v>0</v>
      </c>
      <c r="AC901" s="1236">
        <f t="shared" si="1498"/>
        <v>0</v>
      </c>
      <c r="AD901" s="1236">
        <f t="shared" si="1498"/>
        <v>0</v>
      </c>
      <c r="AE901" s="877">
        <f>U901</f>
        <v>0</v>
      </c>
      <c r="AF901" s="40">
        <f>X901</f>
        <v>0</v>
      </c>
      <c r="AG901" s="40">
        <f>AA901</f>
        <v>0</v>
      </c>
      <c r="AH901" s="40">
        <f>AD901</f>
        <v>0</v>
      </c>
      <c r="AI901" s="40">
        <f>AF901</f>
        <v>0</v>
      </c>
      <c r="AJ901" s="40">
        <f>AH901</f>
        <v>0</v>
      </c>
      <c r="AK901" s="40">
        <f>AJ901</f>
        <v>0</v>
      </c>
      <c r="AM901" s="1910">
        <f t="shared" ca="1" si="1468"/>
        <v>0</v>
      </c>
      <c r="AN901" s="1910">
        <f t="shared" ca="1" si="1469"/>
        <v>0</v>
      </c>
      <c r="AO901" s="2694">
        <f t="shared" ca="1" si="1496"/>
        <v>0</v>
      </c>
      <c r="AP901" s="2695">
        <f t="shared" ca="1" si="1470"/>
        <v>0</v>
      </c>
      <c r="AQ901" s="1910">
        <f t="shared" ca="1" si="1471"/>
        <v>0</v>
      </c>
      <c r="AR901" s="2694">
        <f t="shared" ca="1" si="1497"/>
        <v>0</v>
      </c>
      <c r="AS901" s="2695">
        <f t="shared" ca="1" si="1472"/>
        <v>0</v>
      </c>
      <c r="AU901" s="1910">
        <f t="shared" ca="1" si="1473"/>
        <v>0</v>
      </c>
      <c r="AV901" s="1910">
        <f t="shared" ca="1" si="1474"/>
        <v>0</v>
      </c>
      <c r="AW901" s="2694">
        <f t="shared" ca="1" si="1475"/>
        <v>0</v>
      </c>
      <c r="AX901" s="2695">
        <f t="shared" ca="1" si="1476"/>
        <v>0</v>
      </c>
      <c r="AY901" s="1910">
        <f t="shared" ca="1" si="1487"/>
        <v>0</v>
      </c>
      <c r="AZ901" s="2694">
        <f t="shared" ca="1" si="1477"/>
        <v>0</v>
      </c>
      <c r="BA901" s="2695">
        <f t="shared" ca="1" si="1478"/>
        <v>0</v>
      </c>
      <c r="BC901" s="1910">
        <f t="shared" ca="1" si="1479"/>
        <v>0</v>
      </c>
      <c r="BD901" s="1910">
        <f t="shared" ca="1" si="1480"/>
        <v>0</v>
      </c>
      <c r="BE901" s="2694">
        <f t="shared" ca="1" si="1481"/>
        <v>0</v>
      </c>
      <c r="BF901" s="2695">
        <f t="shared" ca="1" si="1482"/>
        <v>0</v>
      </c>
      <c r="BG901" s="1910">
        <f t="shared" ca="1" si="1488"/>
        <v>0</v>
      </c>
      <c r="BH901" s="2694">
        <f t="shared" ca="1" si="1483"/>
        <v>0</v>
      </c>
      <c r="BI901" s="2695">
        <f t="shared" ca="1" si="1484"/>
        <v>0</v>
      </c>
    </row>
    <row r="902" spans="1:61" s="34" customFormat="1" ht="14.5">
      <c r="A902" s="1693">
        <f t="shared" si="1439"/>
        <v>894</v>
      </c>
      <c r="B902" s="616">
        <v>1</v>
      </c>
      <c r="C902" s="1693">
        <f t="shared" si="1493"/>
        <v>902</v>
      </c>
      <c r="D902" s="616">
        <v>1</v>
      </c>
      <c r="F902" s="454"/>
      <c r="G902" s="4"/>
      <c r="H902" s="4"/>
      <c r="I902" s="4"/>
      <c r="J902" s="265"/>
      <c r="K902" s="4"/>
      <c r="L902" s="4"/>
      <c r="M902" s="4"/>
      <c r="N902" s="3"/>
      <c r="O902" s="41"/>
      <c r="P902" s="41" t="s">
        <v>200</v>
      </c>
      <c r="Q902" s="3"/>
      <c r="R902" s="1821" t="str">
        <f>CHOOSE(2, "6722000003813", "HC FE/TTOC Marketing Product Marketing")</f>
        <v>HC FE/TTOC Marketing Product Marketing</v>
      </c>
      <c r="S902" s="1236">
        <f t="shared" si="1498"/>
        <v>6</v>
      </c>
      <c r="T902" s="1236">
        <f t="shared" si="1498"/>
        <v>6</v>
      </c>
      <c r="U902" s="1236">
        <f t="shared" si="1498"/>
        <v>6</v>
      </c>
      <c r="V902" s="1236">
        <f t="shared" si="1498"/>
        <v>6</v>
      </c>
      <c r="W902" s="1236">
        <f t="shared" si="1498"/>
        <v>6</v>
      </c>
      <c r="X902" s="1236">
        <f t="shared" si="1498"/>
        <v>6</v>
      </c>
      <c r="Y902" s="1236">
        <f t="shared" si="1498"/>
        <v>6</v>
      </c>
      <c r="Z902" s="1236">
        <f t="shared" si="1498"/>
        <v>7</v>
      </c>
      <c r="AA902" s="1236">
        <f t="shared" si="1498"/>
        <v>7</v>
      </c>
      <c r="AB902" s="1236">
        <f t="shared" si="1498"/>
        <v>8</v>
      </c>
      <c r="AC902" s="1236">
        <f t="shared" si="1498"/>
        <v>9</v>
      </c>
      <c r="AD902" s="1236">
        <f t="shared" si="1498"/>
        <v>9</v>
      </c>
      <c r="AE902" s="877">
        <f>U902</f>
        <v>6</v>
      </c>
      <c r="AF902" s="40">
        <f>X902</f>
        <v>6</v>
      </c>
      <c r="AG902" s="40">
        <f>AA902</f>
        <v>7</v>
      </c>
      <c r="AH902" s="40">
        <f>AD902</f>
        <v>9</v>
      </c>
      <c r="AI902" s="40">
        <f>AF902</f>
        <v>6</v>
      </c>
      <c r="AJ902" s="40">
        <f>AH902</f>
        <v>9</v>
      </c>
      <c r="AK902" s="40">
        <f>AJ902</f>
        <v>9</v>
      </c>
      <c r="AM902" s="1910">
        <f t="shared" ca="1" si="1468"/>
        <v>6</v>
      </c>
      <c r="AN902" s="1910">
        <f t="shared" ca="1" si="1469"/>
        <v>9</v>
      </c>
      <c r="AO902" s="2694">
        <f t="shared" ca="1" si="1496"/>
        <v>-3</v>
      </c>
      <c r="AP902" s="2695">
        <f t="shared" ca="1" si="1470"/>
        <v>0.66666666666666663</v>
      </c>
      <c r="AQ902" s="1910">
        <f t="shared" ca="1" si="1471"/>
        <v>8</v>
      </c>
      <c r="AR902" s="2694">
        <f t="shared" ca="1" si="1497"/>
        <v>-2</v>
      </c>
      <c r="AS902" s="2695">
        <f t="shared" ca="1" si="1472"/>
        <v>0.75</v>
      </c>
      <c r="AU902" s="1910">
        <f t="shared" ca="1" si="1473"/>
        <v>6</v>
      </c>
      <c r="AV902" s="1910">
        <f t="shared" ca="1" si="1474"/>
        <v>9</v>
      </c>
      <c r="AW902" s="2694">
        <f t="shared" ca="1" si="1475"/>
        <v>-3</v>
      </c>
      <c r="AX902" s="2695">
        <f t="shared" ca="1" si="1476"/>
        <v>0.66666666666666663</v>
      </c>
      <c r="AY902" s="1910">
        <f t="shared" ca="1" si="1487"/>
        <v>8</v>
      </c>
      <c r="AZ902" s="2694">
        <f t="shared" ca="1" si="1477"/>
        <v>-2</v>
      </c>
      <c r="BA902" s="2695">
        <f t="shared" ca="1" si="1478"/>
        <v>0.75</v>
      </c>
      <c r="BC902" s="1910">
        <f t="shared" ca="1" si="1479"/>
        <v>6</v>
      </c>
      <c r="BD902" s="1910">
        <f t="shared" ca="1" si="1480"/>
        <v>9</v>
      </c>
      <c r="BE902" s="2694">
        <f t="shared" ca="1" si="1481"/>
        <v>-3</v>
      </c>
      <c r="BF902" s="2695">
        <f t="shared" ca="1" si="1482"/>
        <v>0.66666666666666663</v>
      </c>
      <c r="BG902" s="1910">
        <f t="shared" ca="1" si="1488"/>
        <v>8</v>
      </c>
      <c r="BH902" s="2694">
        <f t="shared" ca="1" si="1483"/>
        <v>-2</v>
      </c>
      <c r="BI902" s="2695">
        <f t="shared" ca="1" si="1484"/>
        <v>0.75</v>
      </c>
    </row>
    <row r="903" spans="1:61" s="34" customFormat="1" ht="14.5">
      <c r="A903" s="1693">
        <f t="shared" si="1439"/>
        <v>895</v>
      </c>
      <c r="B903" s="616">
        <v>1</v>
      </c>
      <c r="C903" s="1693">
        <f t="shared" si="1493"/>
        <v>903</v>
      </c>
      <c r="D903" s="616">
        <v>1</v>
      </c>
      <c r="F903" s="454"/>
      <c r="G903" s="4"/>
      <c r="H903" s="4"/>
      <c r="I903" s="4"/>
      <c r="J903" s="265"/>
      <c r="K903" s="2"/>
      <c r="L903" s="2"/>
      <c r="M903" s="2"/>
      <c r="N903" s="1"/>
      <c r="O903" s="39"/>
      <c r="P903" s="39" t="s">
        <v>201</v>
      </c>
      <c r="Q903" s="1"/>
      <c r="R903" s="1821" t="str">
        <f>CHOOSE(2, "6722000003814", "HC FE/TTOC Marketing MC / O")</f>
        <v>HC FE/TTOC Marketing MC / O</v>
      </c>
      <c r="S903" s="1237">
        <f t="shared" si="1498"/>
        <v>2</v>
      </c>
      <c r="T903" s="1237">
        <f t="shared" si="1498"/>
        <v>2</v>
      </c>
      <c r="U903" s="1237">
        <f t="shared" si="1498"/>
        <v>2</v>
      </c>
      <c r="V903" s="1237">
        <f t="shared" si="1498"/>
        <v>2</v>
      </c>
      <c r="W903" s="1237">
        <f t="shared" si="1498"/>
        <v>2</v>
      </c>
      <c r="X903" s="1237">
        <f t="shared" si="1498"/>
        <v>2</v>
      </c>
      <c r="Y903" s="1237">
        <f t="shared" si="1498"/>
        <v>2</v>
      </c>
      <c r="Z903" s="1237">
        <f t="shared" si="1498"/>
        <v>2</v>
      </c>
      <c r="AA903" s="1237">
        <f t="shared" si="1498"/>
        <v>2</v>
      </c>
      <c r="AB903" s="1237">
        <f t="shared" si="1498"/>
        <v>2</v>
      </c>
      <c r="AC903" s="1237">
        <f t="shared" si="1498"/>
        <v>2</v>
      </c>
      <c r="AD903" s="1237">
        <f t="shared" si="1498"/>
        <v>2</v>
      </c>
      <c r="AE903" s="912">
        <f>U903</f>
        <v>2</v>
      </c>
      <c r="AF903" s="38">
        <f>X903</f>
        <v>2</v>
      </c>
      <c r="AG903" s="38">
        <f>AA903</f>
        <v>2</v>
      </c>
      <c r="AH903" s="38">
        <f>AD903</f>
        <v>2</v>
      </c>
      <c r="AI903" s="38">
        <f>AF903</f>
        <v>2</v>
      </c>
      <c r="AJ903" s="38">
        <f>AH903</f>
        <v>2</v>
      </c>
      <c r="AK903" s="38">
        <f>AJ903</f>
        <v>2</v>
      </c>
      <c r="AM903" s="2248">
        <f t="shared" ca="1" si="1468"/>
        <v>2</v>
      </c>
      <c r="AN903" s="2248">
        <f t="shared" ca="1" si="1469"/>
        <v>2</v>
      </c>
      <c r="AO903" s="2950">
        <f t="shared" ca="1" si="1496"/>
        <v>0</v>
      </c>
      <c r="AP903" s="2951">
        <f t="shared" ca="1" si="1470"/>
        <v>1</v>
      </c>
      <c r="AQ903" s="2248">
        <f t="shared" ca="1" si="1471"/>
        <v>2</v>
      </c>
      <c r="AR903" s="2950">
        <f t="shared" ca="1" si="1497"/>
        <v>0</v>
      </c>
      <c r="AS903" s="2951">
        <f t="shared" ca="1" si="1472"/>
        <v>1</v>
      </c>
      <c r="AU903" s="2248">
        <f t="shared" ca="1" si="1473"/>
        <v>2</v>
      </c>
      <c r="AV903" s="2248">
        <f t="shared" ca="1" si="1474"/>
        <v>2</v>
      </c>
      <c r="AW903" s="2950">
        <f t="shared" ca="1" si="1475"/>
        <v>0</v>
      </c>
      <c r="AX903" s="2951">
        <f t="shared" ca="1" si="1476"/>
        <v>1</v>
      </c>
      <c r="AY903" s="2248">
        <f t="shared" ca="1" si="1487"/>
        <v>2</v>
      </c>
      <c r="AZ903" s="2950">
        <f t="shared" ca="1" si="1477"/>
        <v>0</v>
      </c>
      <c r="BA903" s="2951">
        <f t="shared" ca="1" si="1478"/>
        <v>1</v>
      </c>
      <c r="BC903" s="2248">
        <f t="shared" ca="1" si="1479"/>
        <v>2</v>
      </c>
      <c r="BD903" s="2248">
        <f t="shared" ca="1" si="1480"/>
        <v>2</v>
      </c>
      <c r="BE903" s="2950">
        <f t="shared" ca="1" si="1481"/>
        <v>0</v>
      </c>
      <c r="BF903" s="2951">
        <f t="shared" ca="1" si="1482"/>
        <v>1</v>
      </c>
      <c r="BG903" s="2248">
        <f t="shared" ca="1" si="1488"/>
        <v>2</v>
      </c>
      <c r="BH903" s="2950">
        <f t="shared" ca="1" si="1483"/>
        <v>0</v>
      </c>
      <c r="BI903" s="2951">
        <f t="shared" ca="1" si="1484"/>
        <v>1</v>
      </c>
    </row>
    <row r="904" spans="1:61" s="34" customFormat="1" ht="14.5">
      <c r="A904" s="1693">
        <f t="shared" si="1439"/>
        <v>896</v>
      </c>
      <c r="B904" s="616">
        <v>1</v>
      </c>
      <c r="C904" s="1693">
        <f t="shared" si="1493"/>
        <v>904</v>
      </c>
      <c r="D904" s="616">
        <v>1</v>
      </c>
      <c r="E904" s="709" t="s">
        <v>512</v>
      </c>
      <c r="F904" s="1572"/>
      <c r="G904" s="4"/>
      <c r="H904" s="4"/>
      <c r="I904" s="4"/>
      <c r="J904" s="265"/>
      <c r="K904" s="48" t="s">
        <v>17</v>
      </c>
      <c r="L904" s="48"/>
      <c r="M904" s="48"/>
      <c r="N904" s="47"/>
      <c r="O904" s="47"/>
      <c r="P904" s="47"/>
      <c r="Q904" s="47"/>
      <c r="R904" s="1784" t="str">
        <f>CHOOSE(2, "6722000003815", "HC FE/TTOC Administration Total")</f>
        <v>HC FE/TTOC Administration Total</v>
      </c>
      <c r="S904" s="1255">
        <f>SUM(S905:S909)</f>
        <v>76</v>
      </c>
      <c r="T904" s="1255">
        <f t="shared" ref="T904:AD904" si="1499">SUM(T905:T909)</f>
        <v>76</v>
      </c>
      <c r="U904" s="1255">
        <f t="shared" si="1499"/>
        <v>74</v>
      </c>
      <c r="V904" s="1255">
        <f t="shared" si="1499"/>
        <v>76</v>
      </c>
      <c r="W904" s="1255">
        <f t="shared" si="1499"/>
        <v>77</v>
      </c>
      <c r="X904" s="1255">
        <f t="shared" si="1499"/>
        <v>78</v>
      </c>
      <c r="Y904" s="1255">
        <f t="shared" si="1499"/>
        <v>79</v>
      </c>
      <c r="Z904" s="1255">
        <f t="shared" si="1499"/>
        <v>79</v>
      </c>
      <c r="AA904" s="1255">
        <f t="shared" si="1499"/>
        <v>76</v>
      </c>
      <c r="AB904" s="1255">
        <f t="shared" si="1499"/>
        <v>76</v>
      </c>
      <c r="AC904" s="1255">
        <f t="shared" si="1499"/>
        <v>78</v>
      </c>
      <c r="AD904" s="1255">
        <f t="shared" si="1499"/>
        <v>78</v>
      </c>
      <c r="AE904" s="911">
        <f t="shared" ref="AE904:AK904" si="1500">SUM(AE905:AE909)</f>
        <v>74</v>
      </c>
      <c r="AF904" s="45">
        <f t="shared" si="1500"/>
        <v>78</v>
      </c>
      <c r="AG904" s="45">
        <f t="shared" si="1500"/>
        <v>76</v>
      </c>
      <c r="AH904" s="45">
        <f t="shared" si="1500"/>
        <v>78</v>
      </c>
      <c r="AI904" s="45">
        <f t="shared" si="1500"/>
        <v>78</v>
      </c>
      <c r="AJ904" s="45">
        <f t="shared" si="1500"/>
        <v>78</v>
      </c>
      <c r="AK904" s="45">
        <f t="shared" si="1500"/>
        <v>78</v>
      </c>
      <c r="AM904" s="2250">
        <f t="shared" ca="1" si="1468"/>
        <v>76</v>
      </c>
      <c r="AN904" s="2250">
        <f t="shared" ca="1" si="1469"/>
        <v>81</v>
      </c>
      <c r="AO904" s="2948">
        <f t="shared" ca="1" si="1496"/>
        <v>-5</v>
      </c>
      <c r="AP904" s="2949">
        <f t="shared" ca="1" si="1470"/>
        <v>0.93827160493827155</v>
      </c>
      <c r="AQ904" s="2250">
        <f t="shared" ca="1" si="1471"/>
        <v>71</v>
      </c>
      <c r="AR904" s="2948">
        <f t="shared" ca="1" si="1497"/>
        <v>5</v>
      </c>
      <c r="AS904" s="2949">
        <f t="shared" ca="1" si="1472"/>
        <v>1.0704225352112675</v>
      </c>
      <c r="AU904" s="2250">
        <f t="shared" ca="1" si="1473"/>
        <v>76</v>
      </c>
      <c r="AV904" s="2250">
        <f t="shared" ca="1" si="1474"/>
        <v>81</v>
      </c>
      <c r="AW904" s="2948">
        <f t="shared" ca="1" si="1475"/>
        <v>-5</v>
      </c>
      <c r="AX904" s="2949">
        <f t="shared" ca="1" si="1476"/>
        <v>0.93827160493827155</v>
      </c>
      <c r="AY904" s="2250">
        <f t="shared" ca="1" si="1487"/>
        <v>71</v>
      </c>
      <c r="AZ904" s="2948">
        <f t="shared" ca="1" si="1477"/>
        <v>5</v>
      </c>
      <c r="BA904" s="2949">
        <f t="shared" ca="1" si="1478"/>
        <v>1.0704225352112675</v>
      </c>
      <c r="BC904" s="2250">
        <f t="shared" ca="1" si="1479"/>
        <v>76</v>
      </c>
      <c r="BD904" s="2250">
        <f t="shared" ca="1" si="1480"/>
        <v>81</v>
      </c>
      <c r="BE904" s="2948">
        <f t="shared" ca="1" si="1481"/>
        <v>-5</v>
      </c>
      <c r="BF904" s="2949">
        <f t="shared" ca="1" si="1482"/>
        <v>0.93827160493827155</v>
      </c>
      <c r="BG904" s="2250">
        <f t="shared" ca="1" si="1488"/>
        <v>71</v>
      </c>
      <c r="BH904" s="2948">
        <f t="shared" ca="1" si="1483"/>
        <v>5</v>
      </c>
      <c r="BI904" s="2949">
        <f t="shared" ca="1" si="1484"/>
        <v>1.0704225352112675</v>
      </c>
    </row>
    <row r="905" spans="1:61" s="34" customFormat="1" ht="14.5">
      <c r="A905" s="1693">
        <f t="shared" si="1439"/>
        <v>897</v>
      </c>
      <c r="B905" s="616">
        <v>1</v>
      </c>
      <c r="C905" s="1693">
        <f t="shared" si="1493"/>
        <v>905</v>
      </c>
      <c r="D905" s="616">
        <v>1</v>
      </c>
      <c r="F905" s="454"/>
      <c r="G905" s="4"/>
      <c r="H905" s="4"/>
      <c r="I905" s="4"/>
      <c r="J905" s="265"/>
      <c r="K905" s="4"/>
      <c r="L905" s="4"/>
      <c r="M905" s="3"/>
      <c r="N905" s="3"/>
      <c r="O905" s="41"/>
      <c r="P905" s="41" t="s">
        <v>39</v>
      </c>
      <c r="Q905" s="41"/>
      <c r="R905" s="1821" t="str">
        <f>CHOOSE(2, "6722000003816", "HC FE/TTOC Administration Total Information Technology")</f>
        <v>HC FE/TTOC Administration Total Information Technology</v>
      </c>
      <c r="S905" s="1236">
        <f t="shared" ref="S905:AD909" si="1501">S936+S1056+S966+S996+S1026</f>
        <v>8</v>
      </c>
      <c r="T905" s="1236">
        <f t="shared" si="1501"/>
        <v>8</v>
      </c>
      <c r="U905" s="1236">
        <f t="shared" si="1501"/>
        <v>8</v>
      </c>
      <c r="V905" s="1236">
        <f t="shared" si="1501"/>
        <v>9</v>
      </c>
      <c r="W905" s="1236">
        <f t="shared" si="1501"/>
        <v>8</v>
      </c>
      <c r="X905" s="1236">
        <f t="shared" si="1501"/>
        <v>8</v>
      </c>
      <c r="Y905" s="1236">
        <f t="shared" si="1501"/>
        <v>8</v>
      </c>
      <c r="Z905" s="1236">
        <f t="shared" si="1501"/>
        <v>7</v>
      </c>
      <c r="AA905" s="1236">
        <f t="shared" si="1501"/>
        <v>7</v>
      </c>
      <c r="AB905" s="1236">
        <f t="shared" si="1501"/>
        <v>7</v>
      </c>
      <c r="AC905" s="1236">
        <f t="shared" si="1501"/>
        <v>8</v>
      </c>
      <c r="AD905" s="1236">
        <f t="shared" si="1501"/>
        <v>8</v>
      </c>
      <c r="AE905" s="877">
        <f>U905</f>
        <v>8</v>
      </c>
      <c r="AF905" s="40">
        <f>X905</f>
        <v>8</v>
      </c>
      <c r="AG905" s="40">
        <f>AA905</f>
        <v>7</v>
      </c>
      <c r="AH905" s="40">
        <f>AD905</f>
        <v>8</v>
      </c>
      <c r="AI905" s="40">
        <f>AF905</f>
        <v>8</v>
      </c>
      <c r="AJ905" s="40">
        <f>AH905</f>
        <v>8</v>
      </c>
      <c r="AK905" s="40">
        <f>AJ905</f>
        <v>8</v>
      </c>
      <c r="AM905" s="1910">
        <f t="shared" ca="1" si="1468"/>
        <v>8</v>
      </c>
      <c r="AN905" s="1910">
        <f t="shared" ca="1" si="1469"/>
        <v>8</v>
      </c>
      <c r="AO905" s="2694">
        <f t="shared" ca="1" si="1496"/>
        <v>0</v>
      </c>
      <c r="AP905" s="2695">
        <f t="shared" ca="1" si="1470"/>
        <v>1</v>
      </c>
      <c r="AQ905" s="1910">
        <f t="shared" ca="1" si="1471"/>
        <v>7</v>
      </c>
      <c r="AR905" s="2694">
        <f t="shared" ca="1" si="1497"/>
        <v>1</v>
      </c>
      <c r="AS905" s="2695">
        <f t="shared" ca="1" si="1472"/>
        <v>1.1428571428571428</v>
      </c>
      <c r="AU905" s="1910">
        <f t="shared" ca="1" si="1473"/>
        <v>8</v>
      </c>
      <c r="AV905" s="1910">
        <f t="shared" ca="1" si="1474"/>
        <v>8</v>
      </c>
      <c r="AW905" s="2694">
        <f t="shared" ca="1" si="1475"/>
        <v>0</v>
      </c>
      <c r="AX905" s="2695">
        <f t="shared" ca="1" si="1476"/>
        <v>1</v>
      </c>
      <c r="AY905" s="1910">
        <f t="shared" ca="1" si="1487"/>
        <v>7</v>
      </c>
      <c r="AZ905" s="2694">
        <f t="shared" ca="1" si="1477"/>
        <v>1</v>
      </c>
      <c r="BA905" s="2695">
        <f t="shared" ca="1" si="1478"/>
        <v>1.1428571428571428</v>
      </c>
      <c r="BC905" s="1910">
        <f t="shared" ca="1" si="1479"/>
        <v>8</v>
      </c>
      <c r="BD905" s="1910">
        <f t="shared" ca="1" si="1480"/>
        <v>8</v>
      </c>
      <c r="BE905" s="2694">
        <f t="shared" ca="1" si="1481"/>
        <v>0</v>
      </c>
      <c r="BF905" s="2695">
        <f t="shared" ca="1" si="1482"/>
        <v>1</v>
      </c>
      <c r="BG905" s="1910">
        <f t="shared" ca="1" si="1488"/>
        <v>7</v>
      </c>
      <c r="BH905" s="2694">
        <f t="shared" ca="1" si="1483"/>
        <v>1</v>
      </c>
      <c r="BI905" s="2695">
        <f t="shared" ca="1" si="1484"/>
        <v>1.1428571428571428</v>
      </c>
    </row>
    <row r="906" spans="1:61" s="34" customFormat="1" ht="14.5">
      <c r="A906" s="1693">
        <f t="shared" si="1439"/>
        <v>898</v>
      </c>
      <c r="B906" s="616">
        <v>1</v>
      </c>
      <c r="C906" s="1693">
        <f t="shared" si="1493"/>
        <v>906</v>
      </c>
      <c r="D906" s="616">
        <v>1</v>
      </c>
      <c r="F906" s="454"/>
      <c r="G906" s="4"/>
      <c r="H906" s="4"/>
      <c r="I906" s="4"/>
      <c r="J906" s="265"/>
      <c r="K906" s="4"/>
      <c r="L906" s="4"/>
      <c r="M906" s="3"/>
      <c r="N906" s="3"/>
      <c r="O906" s="41"/>
      <c r="P906" s="41" t="s">
        <v>18</v>
      </c>
      <c r="Q906" s="41"/>
      <c r="R906" s="1821" t="str">
        <f>CHOOSE(2, "6722000003817", "HC FE/TTOC Administration Total Finance")</f>
        <v>HC FE/TTOC Administration Total Finance</v>
      </c>
      <c r="S906" s="1236">
        <f t="shared" si="1501"/>
        <v>42</v>
      </c>
      <c r="T906" s="1236">
        <f t="shared" si="1501"/>
        <v>43</v>
      </c>
      <c r="U906" s="1236">
        <f t="shared" si="1501"/>
        <v>43</v>
      </c>
      <c r="V906" s="1236">
        <f t="shared" si="1501"/>
        <v>44</v>
      </c>
      <c r="W906" s="1236">
        <f t="shared" si="1501"/>
        <v>44</v>
      </c>
      <c r="X906" s="1236">
        <f t="shared" si="1501"/>
        <v>44</v>
      </c>
      <c r="Y906" s="1236">
        <f t="shared" si="1501"/>
        <v>44</v>
      </c>
      <c r="Z906" s="1236">
        <f t="shared" si="1501"/>
        <v>45</v>
      </c>
      <c r="AA906" s="1236">
        <f t="shared" si="1501"/>
        <v>44</v>
      </c>
      <c r="AB906" s="1236">
        <f t="shared" si="1501"/>
        <v>43</v>
      </c>
      <c r="AC906" s="1236">
        <f t="shared" si="1501"/>
        <v>43</v>
      </c>
      <c r="AD906" s="1236">
        <f t="shared" si="1501"/>
        <v>43</v>
      </c>
      <c r="AE906" s="877">
        <f>U906</f>
        <v>43</v>
      </c>
      <c r="AF906" s="40">
        <f>X906</f>
        <v>44</v>
      </c>
      <c r="AG906" s="40">
        <f>AA906</f>
        <v>44</v>
      </c>
      <c r="AH906" s="40">
        <f>AD906</f>
        <v>43</v>
      </c>
      <c r="AI906" s="40">
        <f>AF906</f>
        <v>44</v>
      </c>
      <c r="AJ906" s="40">
        <f>AH906</f>
        <v>43</v>
      </c>
      <c r="AK906" s="40">
        <f>AJ906</f>
        <v>43</v>
      </c>
      <c r="AM906" s="1910">
        <f t="shared" ca="1" si="1468"/>
        <v>42</v>
      </c>
      <c r="AN906" s="1910">
        <f t="shared" ca="1" si="1469"/>
        <v>44</v>
      </c>
      <c r="AO906" s="2694">
        <f t="shared" ca="1" si="1496"/>
        <v>-2</v>
      </c>
      <c r="AP906" s="2695">
        <f t="shared" ca="1" si="1470"/>
        <v>0.95454545454545459</v>
      </c>
      <c r="AQ906" s="1910">
        <f t="shared" ca="1" si="1471"/>
        <v>41</v>
      </c>
      <c r="AR906" s="2694">
        <f t="shared" ca="1" si="1497"/>
        <v>1</v>
      </c>
      <c r="AS906" s="2695">
        <f t="shared" ca="1" si="1472"/>
        <v>1.024390243902439</v>
      </c>
      <c r="AU906" s="1910">
        <f t="shared" ca="1" si="1473"/>
        <v>42</v>
      </c>
      <c r="AV906" s="1910">
        <f t="shared" ca="1" si="1474"/>
        <v>44</v>
      </c>
      <c r="AW906" s="2694">
        <f t="shared" ca="1" si="1475"/>
        <v>-2</v>
      </c>
      <c r="AX906" s="2695">
        <f t="shared" ca="1" si="1476"/>
        <v>0.95454545454545459</v>
      </c>
      <c r="AY906" s="1910">
        <f t="shared" ca="1" si="1487"/>
        <v>41</v>
      </c>
      <c r="AZ906" s="2694">
        <f t="shared" ca="1" si="1477"/>
        <v>1</v>
      </c>
      <c r="BA906" s="2695">
        <f t="shared" ca="1" si="1478"/>
        <v>1.024390243902439</v>
      </c>
      <c r="BC906" s="1910">
        <f t="shared" ca="1" si="1479"/>
        <v>42</v>
      </c>
      <c r="BD906" s="1910">
        <f t="shared" ca="1" si="1480"/>
        <v>44</v>
      </c>
      <c r="BE906" s="2694">
        <f t="shared" ca="1" si="1481"/>
        <v>-2</v>
      </c>
      <c r="BF906" s="2695">
        <f t="shared" ca="1" si="1482"/>
        <v>0.95454545454545459</v>
      </c>
      <c r="BG906" s="1910">
        <f t="shared" ca="1" si="1488"/>
        <v>41</v>
      </c>
      <c r="BH906" s="2694">
        <f t="shared" ca="1" si="1483"/>
        <v>1</v>
      </c>
      <c r="BI906" s="2695">
        <f t="shared" ca="1" si="1484"/>
        <v>1.024390243902439</v>
      </c>
    </row>
    <row r="907" spans="1:61" s="34" customFormat="1" ht="14.5">
      <c r="A907" s="1693">
        <f t="shared" si="1439"/>
        <v>899</v>
      </c>
      <c r="B907" s="616">
        <v>1</v>
      </c>
      <c r="C907" s="1693">
        <f t="shared" si="1493"/>
        <v>907</v>
      </c>
      <c r="D907" s="616">
        <v>1</v>
      </c>
      <c r="F907" s="454"/>
      <c r="G907" s="4"/>
      <c r="H907" s="4"/>
      <c r="I907" s="4"/>
      <c r="J907" s="265"/>
      <c r="K907" s="4"/>
      <c r="L907" s="4"/>
      <c r="M907" s="3"/>
      <c r="N907" s="3"/>
      <c r="O907" s="41"/>
      <c r="P907" s="41" t="s">
        <v>19</v>
      </c>
      <c r="Q907" s="41"/>
      <c r="R907" s="1821" t="str">
        <f>CHOOSE(2, "6722000003818", "HC FE/TTOC Administration Total HR")</f>
        <v>HC FE/TTOC Administration Total HR</v>
      </c>
      <c r="S907" s="1236">
        <f t="shared" si="1501"/>
        <v>8</v>
      </c>
      <c r="T907" s="1236">
        <f t="shared" si="1501"/>
        <v>8</v>
      </c>
      <c r="U907" s="1236">
        <f t="shared" si="1501"/>
        <v>8</v>
      </c>
      <c r="V907" s="1236">
        <f t="shared" si="1501"/>
        <v>8</v>
      </c>
      <c r="W907" s="1236">
        <f t="shared" si="1501"/>
        <v>8</v>
      </c>
      <c r="X907" s="1236">
        <f t="shared" si="1501"/>
        <v>9</v>
      </c>
      <c r="Y907" s="1236">
        <f t="shared" si="1501"/>
        <v>9</v>
      </c>
      <c r="Z907" s="1236">
        <f t="shared" si="1501"/>
        <v>10</v>
      </c>
      <c r="AA907" s="1236">
        <f t="shared" si="1501"/>
        <v>9</v>
      </c>
      <c r="AB907" s="1236">
        <f t="shared" si="1501"/>
        <v>10</v>
      </c>
      <c r="AC907" s="1236">
        <f t="shared" si="1501"/>
        <v>10</v>
      </c>
      <c r="AD907" s="1236">
        <f t="shared" si="1501"/>
        <v>12</v>
      </c>
      <c r="AE907" s="877">
        <f>U907</f>
        <v>8</v>
      </c>
      <c r="AF907" s="40">
        <f>X907</f>
        <v>9</v>
      </c>
      <c r="AG907" s="40">
        <f>AA907</f>
        <v>9</v>
      </c>
      <c r="AH907" s="40">
        <f>AD907</f>
        <v>12</v>
      </c>
      <c r="AI907" s="40">
        <f>AF907</f>
        <v>9</v>
      </c>
      <c r="AJ907" s="40">
        <f>AH907</f>
        <v>12</v>
      </c>
      <c r="AK907" s="40">
        <f>AJ907</f>
        <v>12</v>
      </c>
      <c r="AM907" s="1910">
        <f t="shared" ca="1" si="1468"/>
        <v>8</v>
      </c>
      <c r="AN907" s="1910">
        <f t="shared" ca="1" si="1469"/>
        <v>9</v>
      </c>
      <c r="AO907" s="2694">
        <f t="shared" ca="1" si="1496"/>
        <v>-1</v>
      </c>
      <c r="AP907" s="2695">
        <f t="shared" ca="1" si="1470"/>
        <v>0.88888888888888884</v>
      </c>
      <c r="AQ907" s="1910">
        <f t="shared" ca="1" si="1471"/>
        <v>7</v>
      </c>
      <c r="AR907" s="2694">
        <f t="shared" ca="1" si="1497"/>
        <v>1</v>
      </c>
      <c r="AS907" s="2695">
        <f t="shared" ca="1" si="1472"/>
        <v>1.1428571428571428</v>
      </c>
      <c r="AU907" s="1910">
        <f t="shared" ca="1" si="1473"/>
        <v>8</v>
      </c>
      <c r="AV907" s="1910">
        <f t="shared" ca="1" si="1474"/>
        <v>9</v>
      </c>
      <c r="AW907" s="2694">
        <f t="shared" ca="1" si="1475"/>
        <v>-1</v>
      </c>
      <c r="AX907" s="2695">
        <f t="shared" ca="1" si="1476"/>
        <v>0.88888888888888884</v>
      </c>
      <c r="AY907" s="1910">
        <f t="shared" ca="1" si="1487"/>
        <v>7</v>
      </c>
      <c r="AZ907" s="2694">
        <f t="shared" ca="1" si="1477"/>
        <v>1</v>
      </c>
      <c r="BA907" s="2695">
        <f t="shared" ca="1" si="1478"/>
        <v>1.1428571428571428</v>
      </c>
      <c r="BC907" s="1910">
        <f t="shared" ca="1" si="1479"/>
        <v>8</v>
      </c>
      <c r="BD907" s="1910">
        <f t="shared" ca="1" si="1480"/>
        <v>9</v>
      </c>
      <c r="BE907" s="2694">
        <f t="shared" ca="1" si="1481"/>
        <v>-1</v>
      </c>
      <c r="BF907" s="2695">
        <f t="shared" ca="1" si="1482"/>
        <v>0.88888888888888884</v>
      </c>
      <c r="BG907" s="1910">
        <f t="shared" ca="1" si="1488"/>
        <v>7</v>
      </c>
      <c r="BH907" s="2694">
        <f t="shared" ca="1" si="1483"/>
        <v>1</v>
      </c>
      <c r="BI907" s="2695">
        <f t="shared" ca="1" si="1484"/>
        <v>1.1428571428571428</v>
      </c>
    </row>
    <row r="908" spans="1:61" s="34" customFormat="1" ht="14.5">
      <c r="A908" s="1693">
        <f t="shared" si="1439"/>
        <v>900</v>
      </c>
      <c r="B908" s="616">
        <v>1</v>
      </c>
      <c r="C908" s="1693">
        <f t="shared" si="1493"/>
        <v>908</v>
      </c>
      <c r="D908" s="616">
        <v>1</v>
      </c>
      <c r="F908" s="454"/>
      <c r="G908" s="4"/>
      <c r="H908" s="4"/>
      <c r="I908" s="4"/>
      <c r="J908" s="265"/>
      <c r="K908" s="4"/>
      <c r="L908" s="4"/>
      <c r="M908" s="3"/>
      <c r="N908" s="3"/>
      <c r="O908" s="41"/>
      <c r="P908" s="41" t="s">
        <v>20</v>
      </c>
      <c r="Q908" s="41"/>
      <c r="R908" s="1821" t="str">
        <f>CHOOSE(2, "6722000003819", "HC FE/TTOC Administration Total Training")</f>
        <v>HC FE/TTOC Administration Total Training</v>
      </c>
      <c r="S908" s="1236">
        <f t="shared" si="1501"/>
        <v>0</v>
      </c>
      <c r="T908" s="1236">
        <f t="shared" si="1501"/>
        <v>0</v>
      </c>
      <c r="U908" s="1236">
        <f t="shared" si="1501"/>
        <v>0</v>
      </c>
      <c r="V908" s="1236">
        <f t="shared" si="1501"/>
        <v>0</v>
      </c>
      <c r="W908" s="1236">
        <f t="shared" si="1501"/>
        <v>0</v>
      </c>
      <c r="X908" s="1236">
        <f t="shared" si="1501"/>
        <v>0</v>
      </c>
      <c r="Y908" s="1236">
        <f t="shared" si="1501"/>
        <v>0</v>
      </c>
      <c r="Z908" s="1236">
        <f t="shared" si="1501"/>
        <v>0</v>
      </c>
      <c r="AA908" s="1236">
        <f t="shared" si="1501"/>
        <v>0</v>
      </c>
      <c r="AB908" s="1236">
        <f t="shared" si="1501"/>
        <v>0</v>
      </c>
      <c r="AC908" s="1236">
        <f t="shared" si="1501"/>
        <v>0</v>
      </c>
      <c r="AD908" s="1236">
        <f t="shared" si="1501"/>
        <v>0</v>
      </c>
      <c r="AE908" s="877">
        <f>U908</f>
        <v>0</v>
      </c>
      <c r="AF908" s="40">
        <f>X908</f>
        <v>0</v>
      </c>
      <c r="AG908" s="40">
        <f>AA908</f>
        <v>0</v>
      </c>
      <c r="AH908" s="40">
        <f>AD908</f>
        <v>0</v>
      </c>
      <c r="AI908" s="40">
        <f>AF908</f>
        <v>0</v>
      </c>
      <c r="AJ908" s="40">
        <f>AH908</f>
        <v>0</v>
      </c>
      <c r="AK908" s="40">
        <f>AJ908</f>
        <v>0</v>
      </c>
      <c r="AM908" s="1910">
        <f t="shared" ca="1" si="1468"/>
        <v>0</v>
      </c>
      <c r="AN908" s="1910">
        <f t="shared" ca="1" si="1469"/>
        <v>0</v>
      </c>
      <c r="AO908" s="2694">
        <f t="shared" ca="1" si="1496"/>
        <v>0</v>
      </c>
      <c r="AP908" s="2695">
        <f t="shared" ca="1" si="1470"/>
        <v>0</v>
      </c>
      <c r="AQ908" s="1910">
        <f t="shared" ca="1" si="1471"/>
        <v>0</v>
      </c>
      <c r="AR908" s="2694">
        <f t="shared" ca="1" si="1497"/>
        <v>0</v>
      </c>
      <c r="AS908" s="2695">
        <f t="shared" ca="1" si="1472"/>
        <v>0</v>
      </c>
      <c r="AU908" s="1910">
        <f t="shared" ca="1" si="1473"/>
        <v>0</v>
      </c>
      <c r="AV908" s="1910">
        <f t="shared" ca="1" si="1474"/>
        <v>0</v>
      </c>
      <c r="AW908" s="2694">
        <f t="shared" ca="1" si="1475"/>
        <v>0</v>
      </c>
      <c r="AX908" s="2695">
        <f t="shared" ca="1" si="1476"/>
        <v>0</v>
      </c>
      <c r="AY908" s="1910">
        <f t="shared" ca="1" si="1487"/>
        <v>0</v>
      </c>
      <c r="AZ908" s="2694">
        <f t="shared" ca="1" si="1477"/>
        <v>0</v>
      </c>
      <c r="BA908" s="2695">
        <f t="shared" ca="1" si="1478"/>
        <v>0</v>
      </c>
      <c r="BC908" s="1910">
        <f t="shared" ca="1" si="1479"/>
        <v>0</v>
      </c>
      <c r="BD908" s="1910">
        <f t="shared" ca="1" si="1480"/>
        <v>0</v>
      </c>
      <c r="BE908" s="2694">
        <f t="shared" ca="1" si="1481"/>
        <v>0</v>
      </c>
      <c r="BF908" s="2695">
        <f t="shared" ca="1" si="1482"/>
        <v>0</v>
      </c>
      <c r="BG908" s="1910">
        <f t="shared" ca="1" si="1488"/>
        <v>0</v>
      </c>
      <c r="BH908" s="2694">
        <f t="shared" ca="1" si="1483"/>
        <v>0</v>
      </c>
      <c r="BI908" s="2695">
        <f t="shared" ca="1" si="1484"/>
        <v>0</v>
      </c>
    </row>
    <row r="909" spans="1:61" s="34" customFormat="1" ht="14.5">
      <c r="A909" s="1693">
        <f t="shared" si="1439"/>
        <v>901</v>
      </c>
      <c r="B909" s="616">
        <v>1</v>
      </c>
      <c r="C909" s="1693">
        <f t="shared" si="1493"/>
        <v>909</v>
      </c>
      <c r="D909" s="616">
        <v>1</v>
      </c>
      <c r="F909" s="454"/>
      <c r="G909" s="4"/>
      <c r="H909" s="4"/>
      <c r="I909" s="4"/>
      <c r="J909" s="265"/>
      <c r="K909" s="4"/>
      <c r="L909" s="4"/>
      <c r="M909" s="3"/>
      <c r="N909" s="3"/>
      <c r="O909" s="41"/>
      <c r="P909" s="41" t="s">
        <v>2</v>
      </c>
      <c r="Q909" s="41"/>
      <c r="R909" s="1821" t="str">
        <f>CHOOSE(2, "6722000003820", "HC FE/TTOC Administration Total Others")</f>
        <v>HC FE/TTOC Administration Total Others</v>
      </c>
      <c r="S909" s="1236">
        <f t="shared" si="1501"/>
        <v>18</v>
      </c>
      <c r="T909" s="1236">
        <f t="shared" si="1501"/>
        <v>17</v>
      </c>
      <c r="U909" s="1236">
        <f t="shared" si="1501"/>
        <v>15</v>
      </c>
      <c r="V909" s="1236">
        <f t="shared" si="1501"/>
        <v>15</v>
      </c>
      <c r="W909" s="1236">
        <f t="shared" si="1501"/>
        <v>17</v>
      </c>
      <c r="X909" s="1236">
        <f t="shared" si="1501"/>
        <v>17</v>
      </c>
      <c r="Y909" s="1236">
        <f t="shared" si="1501"/>
        <v>18</v>
      </c>
      <c r="Z909" s="1236">
        <f t="shared" si="1501"/>
        <v>17</v>
      </c>
      <c r="AA909" s="1236">
        <f t="shared" si="1501"/>
        <v>16</v>
      </c>
      <c r="AB909" s="1236">
        <f t="shared" si="1501"/>
        <v>16</v>
      </c>
      <c r="AC909" s="1236">
        <f t="shared" si="1501"/>
        <v>17</v>
      </c>
      <c r="AD909" s="1236">
        <f t="shared" si="1501"/>
        <v>15</v>
      </c>
      <c r="AE909" s="877">
        <f>U909</f>
        <v>15</v>
      </c>
      <c r="AF909" s="40">
        <f>X909</f>
        <v>17</v>
      </c>
      <c r="AG909" s="40">
        <f>AA909</f>
        <v>16</v>
      </c>
      <c r="AH909" s="40">
        <f>AD909</f>
        <v>15</v>
      </c>
      <c r="AI909" s="40">
        <f>AF909</f>
        <v>17</v>
      </c>
      <c r="AJ909" s="40">
        <f>AH909</f>
        <v>15</v>
      </c>
      <c r="AK909" s="40">
        <f>AJ909</f>
        <v>15</v>
      </c>
      <c r="AM909" s="1910">
        <f t="shared" ca="1" si="1468"/>
        <v>18</v>
      </c>
      <c r="AN909" s="1910">
        <f t="shared" ca="1" si="1469"/>
        <v>20</v>
      </c>
      <c r="AO909" s="2694">
        <f t="shared" ca="1" si="1496"/>
        <v>-2</v>
      </c>
      <c r="AP909" s="2695">
        <f t="shared" ca="1" si="1470"/>
        <v>0.9</v>
      </c>
      <c r="AQ909" s="1910">
        <f t="shared" ca="1" si="1471"/>
        <v>16</v>
      </c>
      <c r="AR909" s="2694">
        <f t="shared" ca="1" si="1497"/>
        <v>2</v>
      </c>
      <c r="AS909" s="2695">
        <f t="shared" ca="1" si="1472"/>
        <v>1.125</v>
      </c>
      <c r="AU909" s="1910">
        <f t="shared" ca="1" si="1473"/>
        <v>18</v>
      </c>
      <c r="AV909" s="1910">
        <f t="shared" ca="1" si="1474"/>
        <v>20</v>
      </c>
      <c r="AW909" s="2694">
        <f t="shared" ca="1" si="1475"/>
        <v>-2</v>
      </c>
      <c r="AX909" s="2695">
        <f t="shared" ca="1" si="1476"/>
        <v>0.9</v>
      </c>
      <c r="AY909" s="1910">
        <f t="shared" ca="1" si="1487"/>
        <v>16</v>
      </c>
      <c r="AZ909" s="2694">
        <f t="shared" ca="1" si="1477"/>
        <v>2</v>
      </c>
      <c r="BA909" s="2695">
        <f t="shared" ca="1" si="1478"/>
        <v>1.125</v>
      </c>
      <c r="BC909" s="1910">
        <f t="shared" ca="1" si="1479"/>
        <v>18</v>
      </c>
      <c r="BD909" s="1910">
        <f t="shared" ca="1" si="1480"/>
        <v>20</v>
      </c>
      <c r="BE909" s="2694">
        <f t="shared" ca="1" si="1481"/>
        <v>-2</v>
      </c>
      <c r="BF909" s="2695">
        <f t="shared" ca="1" si="1482"/>
        <v>0.9</v>
      </c>
      <c r="BG909" s="1910">
        <f t="shared" ca="1" si="1488"/>
        <v>16</v>
      </c>
      <c r="BH909" s="2694">
        <f t="shared" ca="1" si="1483"/>
        <v>2</v>
      </c>
      <c r="BI909" s="2695">
        <f t="shared" ca="1" si="1484"/>
        <v>1.125</v>
      </c>
    </row>
    <row r="910" spans="1:61" s="34" customFormat="1" ht="14.5">
      <c r="A910" s="1693">
        <f t="shared" si="1439"/>
        <v>902</v>
      </c>
      <c r="B910" s="616">
        <v>1</v>
      </c>
      <c r="C910" s="1693">
        <f t="shared" si="1493"/>
        <v>910</v>
      </c>
      <c r="D910" s="616">
        <v>1</v>
      </c>
      <c r="E910" s="709" t="s">
        <v>512</v>
      </c>
      <c r="F910" s="1572"/>
      <c r="G910" s="4"/>
      <c r="H910" s="4"/>
      <c r="I910" s="4"/>
      <c r="J910" s="265"/>
      <c r="K910" s="252" t="s">
        <v>206</v>
      </c>
      <c r="L910" s="44"/>
      <c r="M910" s="44"/>
      <c r="N910" s="43"/>
      <c r="O910" s="43"/>
      <c r="P910" s="43"/>
      <c r="Q910" s="251"/>
      <c r="R910" s="1784" t="str">
        <f>CHOOSE(2, "6722000003821", "HC FE/TTOC Logistics Total")</f>
        <v>HC FE/TTOC Logistics Total</v>
      </c>
      <c r="S910" s="1380">
        <f>SUM(S911:S913)</f>
        <v>38</v>
      </c>
      <c r="T910" s="1380">
        <f t="shared" ref="T910:AD910" si="1502">SUM(T911:T913)</f>
        <v>37</v>
      </c>
      <c r="U910" s="1380">
        <f t="shared" si="1502"/>
        <v>37</v>
      </c>
      <c r="V910" s="1380">
        <f t="shared" si="1502"/>
        <v>39</v>
      </c>
      <c r="W910" s="1380">
        <f t="shared" si="1502"/>
        <v>39</v>
      </c>
      <c r="X910" s="1380">
        <f t="shared" si="1502"/>
        <v>39</v>
      </c>
      <c r="Y910" s="1380">
        <f t="shared" si="1502"/>
        <v>39</v>
      </c>
      <c r="Z910" s="1380">
        <f t="shared" si="1502"/>
        <v>38</v>
      </c>
      <c r="AA910" s="1380">
        <f t="shared" si="1502"/>
        <v>37</v>
      </c>
      <c r="AB910" s="1380">
        <f t="shared" si="1502"/>
        <v>37</v>
      </c>
      <c r="AC910" s="1380">
        <f t="shared" si="1502"/>
        <v>39</v>
      </c>
      <c r="AD910" s="1380">
        <f t="shared" si="1502"/>
        <v>39</v>
      </c>
      <c r="AE910" s="745">
        <f t="shared" ref="AE910:AK910" si="1503">SUM(AE911:AE913)</f>
        <v>37</v>
      </c>
      <c r="AF910" s="42">
        <f t="shared" si="1503"/>
        <v>39</v>
      </c>
      <c r="AG910" s="42">
        <f t="shared" si="1503"/>
        <v>37</v>
      </c>
      <c r="AH910" s="42">
        <f t="shared" si="1503"/>
        <v>39</v>
      </c>
      <c r="AI910" s="42">
        <f t="shared" si="1503"/>
        <v>39</v>
      </c>
      <c r="AJ910" s="42">
        <f t="shared" si="1503"/>
        <v>39</v>
      </c>
      <c r="AK910" s="42">
        <f t="shared" si="1503"/>
        <v>39</v>
      </c>
      <c r="AL910" s="2244"/>
      <c r="AM910" s="2252">
        <f t="shared" ca="1" si="1468"/>
        <v>38</v>
      </c>
      <c r="AN910" s="2252">
        <f t="shared" ca="1" si="1469"/>
        <v>39</v>
      </c>
      <c r="AO910" s="2952">
        <f t="shared" ca="1" si="1496"/>
        <v>-1</v>
      </c>
      <c r="AP910" s="2953">
        <f t="shared" ca="1" si="1470"/>
        <v>0.97435897435897434</v>
      </c>
      <c r="AQ910" s="2252">
        <f t="shared" ca="1" si="1471"/>
        <v>35</v>
      </c>
      <c r="AR910" s="2952">
        <f t="shared" ca="1" si="1497"/>
        <v>3</v>
      </c>
      <c r="AS910" s="2953">
        <f t="shared" ca="1" si="1472"/>
        <v>1.0857142857142856</v>
      </c>
      <c r="AU910" s="2252">
        <f t="shared" ca="1" si="1473"/>
        <v>38</v>
      </c>
      <c r="AV910" s="2252">
        <f t="shared" ca="1" si="1474"/>
        <v>39</v>
      </c>
      <c r="AW910" s="2952">
        <f t="shared" ca="1" si="1475"/>
        <v>-1</v>
      </c>
      <c r="AX910" s="2953">
        <f t="shared" ca="1" si="1476"/>
        <v>0.97435897435897434</v>
      </c>
      <c r="AY910" s="2252">
        <f t="shared" ca="1" si="1487"/>
        <v>35</v>
      </c>
      <c r="AZ910" s="2952">
        <f t="shared" ca="1" si="1477"/>
        <v>3</v>
      </c>
      <c r="BA910" s="2953">
        <f t="shared" ca="1" si="1478"/>
        <v>1.0857142857142856</v>
      </c>
      <c r="BC910" s="2252">
        <f t="shared" ca="1" si="1479"/>
        <v>38</v>
      </c>
      <c r="BD910" s="2252">
        <f t="shared" ca="1" si="1480"/>
        <v>39</v>
      </c>
      <c r="BE910" s="2952">
        <f t="shared" ca="1" si="1481"/>
        <v>-1</v>
      </c>
      <c r="BF910" s="2953">
        <f t="shared" ca="1" si="1482"/>
        <v>0.97435897435897434</v>
      </c>
      <c r="BG910" s="2252">
        <f t="shared" ca="1" si="1488"/>
        <v>35</v>
      </c>
      <c r="BH910" s="2952">
        <f t="shared" ca="1" si="1483"/>
        <v>3</v>
      </c>
      <c r="BI910" s="2953">
        <f t="shared" ca="1" si="1484"/>
        <v>1.0857142857142856</v>
      </c>
    </row>
    <row r="911" spans="1:61" s="34" customFormat="1" ht="14.5">
      <c r="A911" s="1693">
        <f t="shared" si="1439"/>
        <v>903</v>
      </c>
      <c r="B911" s="616">
        <v>1</v>
      </c>
      <c r="C911" s="1693">
        <f t="shared" si="1493"/>
        <v>911</v>
      </c>
      <c r="D911" s="616">
        <v>1</v>
      </c>
      <c r="F911" s="454"/>
      <c r="G911" s="4"/>
      <c r="H911" s="4"/>
      <c r="I911" s="4"/>
      <c r="J911" s="265"/>
      <c r="K911" s="4"/>
      <c r="L911" s="4"/>
      <c r="M911" s="3"/>
      <c r="N911" s="3"/>
      <c r="O911" s="41"/>
      <c r="P911" s="41" t="s">
        <v>21</v>
      </c>
      <c r="Q911" s="41"/>
      <c r="R911" s="1821" t="str">
        <f>CHOOSE(2, "6722000003822", "HC FE/TTOC Logistics Total Administration")</f>
        <v>HC FE/TTOC Logistics Total Administration</v>
      </c>
      <c r="S911" s="1236">
        <f t="shared" ref="S911:AD914" si="1504">S942+S1062+S972+S1002+S1032</f>
        <v>14</v>
      </c>
      <c r="T911" s="1236">
        <f t="shared" si="1504"/>
        <v>14</v>
      </c>
      <c r="U911" s="1236">
        <f t="shared" si="1504"/>
        <v>14</v>
      </c>
      <c r="V911" s="1236">
        <f t="shared" si="1504"/>
        <v>14</v>
      </c>
      <c r="W911" s="1236">
        <f t="shared" si="1504"/>
        <v>14</v>
      </c>
      <c r="X911" s="1236">
        <f t="shared" si="1504"/>
        <v>14</v>
      </c>
      <c r="Y911" s="1236">
        <f t="shared" si="1504"/>
        <v>14</v>
      </c>
      <c r="Z911" s="1236">
        <f t="shared" si="1504"/>
        <v>14</v>
      </c>
      <c r="AA911" s="1236">
        <f t="shared" si="1504"/>
        <v>13</v>
      </c>
      <c r="AB911" s="1236">
        <f t="shared" si="1504"/>
        <v>13</v>
      </c>
      <c r="AC911" s="1236">
        <f t="shared" si="1504"/>
        <v>14</v>
      </c>
      <c r="AD911" s="1236">
        <f t="shared" si="1504"/>
        <v>14</v>
      </c>
      <c r="AE911" s="877">
        <f>U911</f>
        <v>14</v>
      </c>
      <c r="AF911" s="40">
        <f>X911</f>
        <v>14</v>
      </c>
      <c r="AG911" s="40">
        <f>AA911</f>
        <v>13</v>
      </c>
      <c r="AH911" s="40">
        <f>AD911</f>
        <v>14</v>
      </c>
      <c r="AI911" s="40">
        <f>AF911</f>
        <v>14</v>
      </c>
      <c r="AJ911" s="40">
        <f>AH911</f>
        <v>14</v>
      </c>
      <c r="AK911" s="40">
        <f>AJ911</f>
        <v>14</v>
      </c>
      <c r="AM911" s="1910">
        <f t="shared" ca="1" si="1468"/>
        <v>14</v>
      </c>
      <c r="AN911" s="1910">
        <f t="shared" ca="1" si="1469"/>
        <v>14</v>
      </c>
      <c r="AO911" s="2694">
        <f t="shared" ca="1" si="1496"/>
        <v>0</v>
      </c>
      <c r="AP911" s="2695">
        <f t="shared" ca="1" si="1470"/>
        <v>1</v>
      </c>
      <c r="AQ911" s="1910">
        <f t="shared" ca="1" si="1471"/>
        <v>13</v>
      </c>
      <c r="AR911" s="2694">
        <f t="shared" ca="1" si="1497"/>
        <v>1</v>
      </c>
      <c r="AS911" s="2695">
        <f t="shared" ca="1" si="1472"/>
        <v>1.0769230769230769</v>
      </c>
      <c r="AU911" s="1910">
        <f t="shared" ca="1" si="1473"/>
        <v>14</v>
      </c>
      <c r="AV911" s="1910">
        <f t="shared" ca="1" si="1474"/>
        <v>14</v>
      </c>
      <c r="AW911" s="2694">
        <f t="shared" ca="1" si="1475"/>
        <v>0</v>
      </c>
      <c r="AX911" s="2695">
        <f t="shared" ca="1" si="1476"/>
        <v>1</v>
      </c>
      <c r="AY911" s="1910">
        <f t="shared" ca="1" si="1487"/>
        <v>13</v>
      </c>
      <c r="AZ911" s="2694">
        <f t="shared" ca="1" si="1477"/>
        <v>1</v>
      </c>
      <c r="BA911" s="2695">
        <f t="shared" ca="1" si="1478"/>
        <v>1.0769230769230769</v>
      </c>
      <c r="BC911" s="1910">
        <f t="shared" ca="1" si="1479"/>
        <v>14</v>
      </c>
      <c r="BD911" s="1910">
        <f t="shared" ca="1" si="1480"/>
        <v>14</v>
      </c>
      <c r="BE911" s="2694">
        <f t="shared" ca="1" si="1481"/>
        <v>0</v>
      </c>
      <c r="BF911" s="2695">
        <f t="shared" ca="1" si="1482"/>
        <v>1</v>
      </c>
      <c r="BG911" s="1910">
        <f t="shared" ca="1" si="1488"/>
        <v>13</v>
      </c>
      <c r="BH911" s="2694">
        <f t="shared" ca="1" si="1483"/>
        <v>1</v>
      </c>
      <c r="BI911" s="2695">
        <f t="shared" ca="1" si="1484"/>
        <v>1.0769230769230769</v>
      </c>
    </row>
    <row r="912" spans="1:61" s="34" customFormat="1" ht="14.5">
      <c r="A912" s="1693">
        <f t="shared" ref="A912:A975" si="1505">A911+1</f>
        <v>904</v>
      </c>
      <c r="B912" s="616">
        <v>1</v>
      </c>
      <c r="C912" s="1693">
        <f t="shared" si="1493"/>
        <v>912</v>
      </c>
      <c r="D912" s="616">
        <v>1</v>
      </c>
      <c r="F912" s="454"/>
      <c r="G912" s="4"/>
      <c r="H912" s="4"/>
      <c r="I912" s="4"/>
      <c r="J912" s="265"/>
      <c r="K912" s="4"/>
      <c r="L912" s="4"/>
      <c r="M912" s="3"/>
      <c r="N912" s="3"/>
      <c r="O912" s="41"/>
      <c r="P912" s="41" t="s">
        <v>22</v>
      </c>
      <c r="Q912" s="41"/>
      <c r="R912" s="1821" t="str">
        <f>CHOOSE(2, "6722000003823", "HC FE/TTOC Logistics Total Warehouse")</f>
        <v>HC FE/TTOC Logistics Total Warehouse</v>
      </c>
      <c r="S912" s="1236">
        <f t="shared" si="1504"/>
        <v>24</v>
      </c>
      <c r="T912" s="1236">
        <f t="shared" si="1504"/>
        <v>23</v>
      </c>
      <c r="U912" s="1236">
        <f t="shared" si="1504"/>
        <v>23</v>
      </c>
      <c r="V912" s="1236">
        <f t="shared" si="1504"/>
        <v>25</v>
      </c>
      <c r="W912" s="1236">
        <f t="shared" si="1504"/>
        <v>25</v>
      </c>
      <c r="X912" s="1236">
        <f t="shared" si="1504"/>
        <v>25</v>
      </c>
      <c r="Y912" s="1236">
        <f t="shared" si="1504"/>
        <v>25</v>
      </c>
      <c r="Z912" s="1236">
        <f t="shared" si="1504"/>
        <v>24</v>
      </c>
      <c r="AA912" s="1236">
        <f t="shared" si="1504"/>
        <v>24</v>
      </c>
      <c r="AB912" s="1236">
        <f t="shared" si="1504"/>
        <v>24</v>
      </c>
      <c r="AC912" s="1236">
        <f t="shared" si="1504"/>
        <v>25</v>
      </c>
      <c r="AD912" s="1236">
        <f t="shared" si="1504"/>
        <v>25</v>
      </c>
      <c r="AE912" s="877">
        <f>U912</f>
        <v>23</v>
      </c>
      <c r="AF912" s="40">
        <f>X912</f>
        <v>25</v>
      </c>
      <c r="AG912" s="40">
        <f>AA912</f>
        <v>24</v>
      </c>
      <c r="AH912" s="40">
        <f>AD912</f>
        <v>25</v>
      </c>
      <c r="AI912" s="40">
        <f>AF912</f>
        <v>25</v>
      </c>
      <c r="AJ912" s="40">
        <f>AH912</f>
        <v>25</v>
      </c>
      <c r="AK912" s="40">
        <f>AJ912</f>
        <v>25</v>
      </c>
      <c r="AM912" s="1910">
        <f t="shared" ca="1" si="1468"/>
        <v>24</v>
      </c>
      <c r="AN912" s="1910">
        <f t="shared" ca="1" si="1469"/>
        <v>25</v>
      </c>
      <c r="AO912" s="2694">
        <f t="shared" ca="1" si="1496"/>
        <v>-1</v>
      </c>
      <c r="AP912" s="2695">
        <f t="shared" ca="1" si="1470"/>
        <v>0.96</v>
      </c>
      <c r="AQ912" s="1910">
        <f t="shared" ca="1" si="1471"/>
        <v>22</v>
      </c>
      <c r="AR912" s="2694">
        <f t="shared" ca="1" si="1497"/>
        <v>2</v>
      </c>
      <c r="AS912" s="2695">
        <f t="shared" ca="1" si="1472"/>
        <v>1.0909090909090908</v>
      </c>
      <c r="AU912" s="1910">
        <f t="shared" ca="1" si="1473"/>
        <v>24</v>
      </c>
      <c r="AV912" s="1910">
        <f t="shared" ca="1" si="1474"/>
        <v>25</v>
      </c>
      <c r="AW912" s="2694">
        <f t="shared" ca="1" si="1475"/>
        <v>-1</v>
      </c>
      <c r="AX912" s="2695">
        <f t="shared" ca="1" si="1476"/>
        <v>0.96</v>
      </c>
      <c r="AY912" s="1910">
        <f t="shared" ca="1" si="1487"/>
        <v>22</v>
      </c>
      <c r="AZ912" s="2694">
        <f t="shared" ca="1" si="1477"/>
        <v>2</v>
      </c>
      <c r="BA912" s="2695">
        <f t="shared" ca="1" si="1478"/>
        <v>1.0909090909090908</v>
      </c>
      <c r="BC912" s="1910">
        <f t="shared" ca="1" si="1479"/>
        <v>24</v>
      </c>
      <c r="BD912" s="1910">
        <f t="shared" ca="1" si="1480"/>
        <v>25</v>
      </c>
      <c r="BE912" s="2694">
        <f t="shared" ca="1" si="1481"/>
        <v>-1</v>
      </c>
      <c r="BF912" s="2695">
        <f t="shared" ca="1" si="1482"/>
        <v>0.96</v>
      </c>
      <c r="BG912" s="1910">
        <f t="shared" ca="1" si="1488"/>
        <v>22</v>
      </c>
      <c r="BH912" s="2694">
        <f t="shared" ca="1" si="1483"/>
        <v>2</v>
      </c>
      <c r="BI912" s="2695">
        <f t="shared" ca="1" si="1484"/>
        <v>1.0909090909090908</v>
      </c>
    </row>
    <row r="913" spans="1:61" s="34" customFormat="1" ht="14.5">
      <c r="A913" s="1693">
        <f t="shared" si="1505"/>
        <v>905</v>
      </c>
      <c r="B913" s="616">
        <v>1</v>
      </c>
      <c r="C913" s="1693">
        <f t="shared" si="1493"/>
        <v>913</v>
      </c>
      <c r="D913" s="616">
        <v>1</v>
      </c>
      <c r="F913" s="454"/>
      <c r="G913" s="4"/>
      <c r="H913" s="4"/>
      <c r="I913" s="4"/>
      <c r="J913" s="266"/>
      <c r="K913" s="2"/>
      <c r="L913" s="2"/>
      <c r="M913" s="1"/>
      <c r="N913" s="1"/>
      <c r="O913" s="39"/>
      <c r="P913" s="39" t="s">
        <v>23</v>
      </c>
      <c r="Q913" s="39"/>
      <c r="R913" s="1821" t="str">
        <f>CHOOSE(2, "6722000003824", "HC FE/TTOC Logistics Total Workshop")</f>
        <v>HC FE/TTOC Logistics Total Workshop</v>
      </c>
      <c r="S913" s="1237">
        <f t="shared" si="1504"/>
        <v>0</v>
      </c>
      <c r="T913" s="1237">
        <f t="shared" si="1504"/>
        <v>0</v>
      </c>
      <c r="U913" s="1237">
        <f t="shared" si="1504"/>
        <v>0</v>
      </c>
      <c r="V913" s="1237">
        <f t="shared" si="1504"/>
        <v>0</v>
      </c>
      <c r="W913" s="1237">
        <f t="shared" si="1504"/>
        <v>0</v>
      </c>
      <c r="X913" s="1237">
        <f t="shared" si="1504"/>
        <v>0</v>
      </c>
      <c r="Y913" s="1237">
        <f t="shared" si="1504"/>
        <v>0</v>
      </c>
      <c r="Z913" s="1237">
        <f t="shared" si="1504"/>
        <v>0</v>
      </c>
      <c r="AA913" s="1237">
        <f t="shared" si="1504"/>
        <v>0</v>
      </c>
      <c r="AB913" s="1237">
        <f t="shared" si="1504"/>
        <v>0</v>
      </c>
      <c r="AC913" s="1237">
        <f t="shared" si="1504"/>
        <v>0</v>
      </c>
      <c r="AD913" s="1237">
        <f t="shared" si="1504"/>
        <v>0</v>
      </c>
      <c r="AE913" s="912">
        <f>U913</f>
        <v>0</v>
      </c>
      <c r="AF913" s="38">
        <f>X913</f>
        <v>0</v>
      </c>
      <c r="AG913" s="38">
        <f>AA913</f>
        <v>0</v>
      </c>
      <c r="AH913" s="38">
        <f>AD913</f>
        <v>0</v>
      </c>
      <c r="AI913" s="38">
        <f>AF913</f>
        <v>0</v>
      </c>
      <c r="AJ913" s="38">
        <f>AH913</f>
        <v>0</v>
      </c>
      <c r="AK913" s="38">
        <f>AJ913</f>
        <v>0</v>
      </c>
      <c r="AM913" s="2248">
        <f t="shared" ca="1" si="1468"/>
        <v>0</v>
      </c>
      <c r="AN913" s="2248">
        <f t="shared" ca="1" si="1469"/>
        <v>0</v>
      </c>
      <c r="AO913" s="2950">
        <f t="shared" ca="1" si="1496"/>
        <v>0</v>
      </c>
      <c r="AP913" s="2951">
        <f t="shared" ca="1" si="1470"/>
        <v>0</v>
      </c>
      <c r="AQ913" s="2248">
        <f t="shared" ca="1" si="1471"/>
        <v>0</v>
      </c>
      <c r="AR913" s="2950">
        <f t="shared" ca="1" si="1497"/>
        <v>0</v>
      </c>
      <c r="AS913" s="2951">
        <f t="shared" ca="1" si="1472"/>
        <v>0</v>
      </c>
      <c r="AU913" s="2248">
        <f t="shared" ca="1" si="1473"/>
        <v>0</v>
      </c>
      <c r="AV913" s="2248">
        <f t="shared" ca="1" si="1474"/>
        <v>0</v>
      </c>
      <c r="AW913" s="2950">
        <f t="shared" ca="1" si="1475"/>
        <v>0</v>
      </c>
      <c r="AX913" s="2951">
        <f t="shared" ca="1" si="1476"/>
        <v>0</v>
      </c>
      <c r="AY913" s="2248">
        <f t="shared" ca="1" si="1487"/>
        <v>0</v>
      </c>
      <c r="AZ913" s="2950">
        <f t="shared" ca="1" si="1477"/>
        <v>0</v>
      </c>
      <c r="BA913" s="2951">
        <f t="shared" ca="1" si="1478"/>
        <v>0</v>
      </c>
      <c r="BC913" s="2248">
        <f t="shared" ca="1" si="1479"/>
        <v>0</v>
      </c>
      <c r="BD913" s="2248">
        <f t="shared" ca="1" si="1480"/>
        <v>0</v>
      </c>
      <c r="BE913" s="2950">
        <f t="shared" ca="1" si="1481"/>
        <v>0</v>
      </c>
      <c r="BF913" s="2951">
        <f t="shared" ca="1" si="1482"/>
        <v>0</v>
      </c>
      <c r="BG913" s="2248">
        <f t="shared" ca="1" si="1488"/>
        <v>0</v>
      </c>
      <c r="BH913" s="2950">
        <f t="shared" ca="1" si="1483"/>
        <v>0</v>
      </c>
      <c r="BI913" s="2951">
        <f t="shared" ca="1" si="1484"/>
        <v>0</v>
      </c>
    </row>
    <row r="914" spans="1:61" s="34" customFormat="1" ht="14.5">
      <c r="A914" s="1693">
        <f t="shared" si="1505"/>
        <v>906</v>
      </c>
      <c r="B914" s="616">
        <v>1</v>
      </c>
      <c r="C914" s="1693">
        <f t="shared" si="1493"/>
        <v>914</v>
      </c>
      <c r="D914" s="616">
        <v>1</v>
      </c>
      <c r="E914" s="709" t="s">
        <v>512</v>
      </c>
      <c r="F914" s="1572"/>
      <c r="G914" s="4"/>
      <c r="H914" s="4"/>
      <c r="I914" s="4"/>
      <c r="J914" s="246" t="s">
        <v>182</v>
      </c>
      <c r="K914" s="247"/>
      <c r="L914" s="248"/>
      <c r="M914" s="248"/>
      <c r="N914" s="247"/>
      <c r="O914" s="247"/>
      <c r="P914" s="247"/>
      <c r="Q914" s="247"/>
      <c r="R914" s="1784" t="str">
        <f>CHOOSE(2, "6722000003825", "HC Semi-Full-Time/Part-Time Employees /Contractors")</f>
        <v>HC Semi-Full-Time/Part-Time Employees /Contractors</v>
      </c>
      <c r="S914" s="1256">
        <f t="shared" si="1504"/>
        <v>27</v>
      </c>
      <c r="T914" s="1256">
        <f t="shared" si="1504"/>
        <v>25</v>
      </c>
      <c r="U914" s="1256">
        <f t="shared" si="1504"/>
        <v>27</v>
      </c>
      <c r="V914" s="1256">
        <f t="shared" si="1504"/>
        <v>28</v>
      </c>
      <c r="W914" s="1256">
        <f t="shared" si="1504"/>
        <v>29</v>
      </c>
      <c r="X914" s="1256">
        <f t="shared" si="1504"/>
        <v>28</v>
      </c>
      <c r="Y914" s="1256">
        <f t="shared" si="1504"/>
        <v>28</v>
      </c>
      <c r="Z914" s="1256">
        <f t="shared" si="1504"/>
        <v>28</v>
      </c>
      <c r="AA914" s="1256">
        <f t="shared" si="1504"/>
        <v>28</v>
      </c>
      <c r="AB914" s="1256">
        <f t="shared" si="1504"/>
        <v>31</v>
      </c>
      <c r="AC914" s="1256">
        <f t="shared" si="1504"/>
        <v>32</v>
      </c>
      <c r="AD914" s="1256">
        <f t="shared" si="1504"/>
        <v>34</v>
      </c>
      <c r="AE914" s="913">
        <f>U914</f>
        <v>27</v>
      </c>
      <c r="AF914" s="250">
        <f>X914</f>
        <v>28</v>
      </c>
      <c r="AG914" s="250">
        <f>AA914</f>
        <v>28</v>
      </c>
      <c r="AH914" s="250">
        <f>AD914</f>
        <v>34</v>
      </c>
      <c r="AI914" s="250">
        <f>AF914</f>
        <v>28</v>
      </c>
      <c r="AJ914" s="250">
        <f>AH914</f>
        <v>34</v>
      </c>
      <c r="AK914" s="250">
        <f>AJ914</f>
        <v>34</v>
      </c>
      <c r="AM914" s="2256">
        <f t="shared" ca="1" si="1468"/>
        <v>27</v>
      </c>
      <c r="AN914" s="2256">
        <f t="shared" ca="1" si="1469"/>
        <v>27</v>
      </c>
      <c r="AO914" s="2849">
        <f t="shared" ca="1" si="1496"/>
        <v>0</v>
      </c>
      <c r="AP914" s="2850">
        <f t="shared" ca="1" si="1470"/>
        <v>1</v>
      </c>
      <c r="AQ914" s="2256">
        <f t="shared" ca="1" si="1471"/>
        <v>19</v>
      </c>
      <c r="AR914" s="2849">
        <f t="shared" ca="1" si="1497"/>
        <v>8</v>
      </c>
      <c r="AS914" s="2850">
        <f t="shared" ca="1" si="1472"/>
        <v>1.4210526315789473</v>
      </c>
      <c r="AU914" s="2256">
        <f t="shared" ca="1" si="1473"/>
        <v>27</v>
      </c>
      <c r="AV914" s="2256">
        <f t="shared" ca="1" si="1474"/>
        <v>27</v>
      </c>
      <c r="AW914" s="2849">
        <f t="shared" ca="1" si="1475"/>
        <v>0</v>
      </c>
      <c r="AX914" s="2850">
        <f t="shared" ca="1" si="1476"/>
        <v>1</v>
      </c>
      <c r="AY914" s="2256">
        <f t="shared" ca="1" si="1487"/>
        <v>19</v>
      </c>
      <c r="AZ914" s="2849">
        <f t="shared" ca="1" si="1477"/>
        <v>8</v>
      </c>
      <c r="BA914" s="2850">
        <f t="shared" ca="1" si="1478"/>
        <v>1.4210526315789473</v>
      </c>
      <c r="BC914" s="2256">
        <f t="shared" ca="1" si="1479"/>
        <v>27</v>
      </c>
      <c r="BD914" s="2256">
        <f t="shared" ca="1" si="1480"/>
        <v>27</v>
      </c>
      <c r="BE914" s="2849">
        <f t="shared" ca="1" si="1481"/>
        <v>0</v>
      </c>
      <c r="BF914" s="2850">
        <f t="shared" ca="1" si="1482"/>
        <v>1</v>
      </c>
      <c r="BG914" s="2256">
        <f t="shared" ca="1" si="1488"/>
        <v>19</v>
      </c>
      <c r="BH914" s="2849">
        <f t="shared" ca="1" si="1483"/>
        <v>8</v>
      </c>
      <c r="BI914" s="2850">
        <f t="shared" ca="1" si="1484"/>
        <v>1.4210526315789473</v>
      </c>
    </row>
    <row r="915" spans="1:61" s="34" customFormat="1" ht="14.5">
      <c r="A915" s="1693">
        <f t="shared" si="1505"/>
        <v>907</v>
      </c>
      <c r="B915" s="616">
        <v>1</v>
      </c>
      <c r="C915" s="1693">
        <f t="shared" si="1493"/>
        <v>915</v>
      </c>
      <c r="D915" s="616">
        <v>1</v>
      </c>
      <c r="E915" s="709" t="s">
        <v>512</v>
      </c>
      <c r="F915" s="1572"/>
      <c r="G915" s="4"/>
      <c r="H915" s="4"/>
      <c r="I915" s="4"/>
      <c r="J915" s="4"/>
      <c r="K915" s="3"/>
      <c r="L915" s="4"/>
      <c r="M915" s="4"/>
      <c r="N915" s="3"/>
      <c r="O915" s="3"/>
      <c r="P915" s="3"/>
      <c r="Q915" s="3"/>
      <c r="R915" s="1773" t="str">
        <f>CHOOSE(2, "6722000003826", "▷ Blank 27")</f>
        <v>▷ Blank 27</v>
      </c>
      <c r="S915" s="1628"/>
      <c r="T915" s="1629"/>
      <c r="U915" s="1629"/>
      <c r="V915" s="1629"/>
      <c r="W915" s="1629"/>
      <c r="X915" s="1629"/>
      <c r="Y915" s="1629"/>
      <c r="Z915" s="1629"/>
      <c r="AA915" s="1629"/>
      <c r="AB915" s="1629"/>
      <c r="AC915" s="454"/>
      <c r="AD915" s="454"/>
      <c r="AE915" s="454"/>
      <c r="AF915" s="454"/>
      <c r="AG915" s="454"/>
      <c r="AH915" s="454"/>
      <c r="AI915" s="454"/>
      <c r="AJ915" s="454"/>
      <c r="AK915" s="454"/>
    </row>
    <row r="916" spans="1:61" s="34" customFormat="1" ht="15.5">
      <c r="A916" s="1693">
        <f t="shared" si="1505"/>
        <v>908</v>
      </c>
      <c r="B916" s="616">
        <v>1</v>
      </c>
      <c r="C916" s="1693">
        <f t="shared" si="1493"/>
        <v>916</v>
      </c>
      <c r="D916" s="616">
        <v>1</v>
      </c>
      <c r="E916" s="709" t="s">
        <v>512</v>
      </c>
      <c r="F916" s="1572"/>
      <c r="H916" s="243" t="s">
        <v>228</v>
      </c>
      <c r="I916" s="454"/>
      <c r="J916" s="4"/>
      <c r="K916" s="3"/>
      <c r="L916" s="4"/>
      <c r="M916" s="4"/>
      <c r="N916" s="3"/>
      <c r="O916" s="3"/>
      <c r="P916" s="3"/>
      <c r="Q916" s="3"/>
      <c r="R916" s="1773" t="str">
        <f>CHOOSE(2, "6722000003827", "3-2. Headcount by BU")</f>
        <v>3-2. Headcount by BU</v>
      </c>
      <c r="S916" s="1630"/>
      <c r="T916" s="1631"/>
      <c r="U916" s="1631"/>
      <c r="V916" s="1631"/>
      <c r="W916" s="1631"/>
      <c r="X916" s="1631"/>
      <c r="Y916" s="1631"/>
      <c r="Z916" s="1631"/>
      <c r="AA916" s="1631"/>
      <c r="AB916" s="1631"/>
      <c r="AC916" s="454"/>
      <c r="AD916" s="454"/>
      <c r="AE916" s="454"/>
      <c r="AF916" s="454"/>
      <c r="AG916" s="454"/>
      <c r="AH916" s="454"/>
      <c r="AI916" s="454"/>
      <c r="AJ916" s="454"/>
      <c r="AK916" s="454"/>
    </row>
    <row r="917" spans="1:61" s="34" customFormat="1" ht="14.5">
      <c r="A917" s="1693">
        <f t="shared" si="1505"/>
        <v>909</v>
      </c>
      <c r="B917" s="616">
        <v>1</v>
      </c>
      <c r="C917" s="1693">
        <f t="shared" si="1493"/>
        <v>917</v>
      </c>
      <c r="D917" s="616">
        <v>1</v>
      </c>
      <c r="E917" s="709" t="s">
        <v>512</v>
      </c>
      <c r="F917" s="1572"/>
      <c r="G917" s="4"/>
      <c r="H917" s="4"/>
      <c r="I917" s="4" t="s">
        <v>30</v>
      </c>
      <c r="J917" s="4"/>
      <c r="K917" s="3"/>
      <c r="L917" s="4"/>
      <c r="M917" s="4"/>
      <c r="N917" s="3"/>
      <c r="O917" s="3"/>
      <c r="P917" s="3"/>
      <c r="Q917" s="3"/>
      <c r="R917" s="1773" t="str">
        <f>CHOOSE(2, "6722000003828", "HC (1) Office")</f>
        <v>HC (1) Office</v>
      </c>
      <c r="S917" s="1632"/>
      <c r="T917" s="1633"/>
      <c r="U917" s="1633"/>
      <c r="V917" s="1633"/>
      <c r="W917" s="1633"/>
      <c r="X917" s="1633"/>
      <c r="Y917" s="1633"/>
      <c r="Z917" s="1633"/>
      <c r="AA917" s="1633"/>
      <c r="AB917" s="1633"/>
      <c r="AC917" s="454"/>
      <c r="AD917" s="454"/>
      <c r="AE917" s="454"/>
      <c r="AF917" s="454"/>
      <c r="AG917" s="454"/>
      <c r="AH917" s="454"/>
      <c r="AI917" s="454"/>
      <c r="AJ917" s="454"/>
      <c r="AK917" s="454"/>
    </row>
    <row r="918" spans="1:61" s="272" customFormat="1" ht="14.5">
      <c r="A918" s="1693">
        <f t="shared" si="1505"/>
        <v>910</v>
      </c>
      <c r="B918" s="616">
        <v>1</v>
      </c>
      <c r="C918" s="1693">
        <f t="shared" si="1493"/>
        <v>918</v>
      </c>
      <c r="D918" s="616">
        <v>1</v>
      </c>
      <c r="E918" s="709" t="s">
        <v>512</v>
      </c>
      <c r="F918" s="1572"/>
      <c r="G918" s="267"/>
      <c r="H918" s="267"/>
      <c r="I918" s="268"/>
      <c r="J918" s="269" t="s">
        <v>203</v>
      </c>
      <c r="K918" s="270"/>
      <c r="L918" s="271"/>
      <c r="M918" s="271"/>
      <c r="N918" s="271"/>
      <c r="O918" s="271"/>
      <c r="P918" s="271"/>
      <c r="Q918" s="870"/>
      <c r="R918" s="1788" t="str">
        <f>CHOOSE(2, "6722000003829", "HC Office FE/TTOC")</f>
        <v>HC Office FE/TTOC</v>
      </c>
      <c r="S918" s="1258">
        <f t="shared" ref="S918:AD918" si="1506">S919+S924+S930+S935+S941</f>
        <v>243</v>
      </c>
      <c r="T918" s="1192">
        <f t="shared" si="1506"/>
        <v>245</v>
      </c>
      <c r="U918" s="1192">
        <f t="shared" si="1506"/>
        <v>241</v>
      </c>
      <c r="V918" s="1192">
        <f t="shared" si="1506"/>
        <v>247</v>
      </c>
      <c r="W918" s="1192">
        <f t="shared" si="1506"/>
        <v>248</v>
      </c>
      <c r="X918" s="1192">
        <f t="shared" si="1506"/>
        <v>245</v>
      </c>
      <c r="Y918" s="1192">
        <f t="shared" si="1506"/>
        <v>244</v>
      </c>
      <c r="Z918" s="1192">
        <f t="shared" si="1506"/>
        <v>247</v>
      </c>
      <c r="AA918" s="1192">
        <f t="shared" si="1506"/>
        <v>246</v>
      </c>
      <c r="AB918" s="1192">
        <f t="shared" si="1506"/>
        <v>250</v>
      </c>
      <c r="AC918" s="1192">
        <f t="shared" si="1506"/>
        <v>252</v>
      </c>
      <c r="AD918" s="1192">
        <f t="shared" si="1506"/>
        <v>256</v>
      </c>
      <c r="AE918" s="882">
        <f t="shared" ref="AE918:AK918" si="1507">AE919+AE924+AE930+AE935+AE941</f>
        <v>241</v>
      </c>
      <c r="AF918" s="118">
        <f t="shared" si="1507"/>
        <v>245</v>
      </c>
      <c r="AG918" s="118">
        <f t="shared" si="1507"/>
        <v>246</v>
      </c>
      <c r="AH918" s="118">
        <f t="shared" si="1507"/>
        <v>256</v>
      </c>
      <c r="AI918" s="118">
        <f t="shared" si="1507"/>
        <v>245</v>
      </c>
      <c r="AJ918" s="118">
        <f t="shared" si="1507"/>
        <v>256</v>
      </c>
      <c r="AK918" s="118">
        <f t="shared" si="1507"/>
        <v>256</v>
      </c>
      <c r="AL918" s="34"/>
      <c r="AM918" s="1999">
        <f t="shared" ref="AM918:AM945" ca="1" si="1508">INDIRECT(AM$3&amp;(ROW()))</f>
        <v>243</v>
      </c>
      <c r="AN918" s="2000">
        <f t="shared" ref="AN918:AN945" ca="1" si="1509">INDIRECT(AN$1&amp;AN$3&amp;$C918)</f>
        <v>250</v>
      </c>
      <c r="AO918" s="2765">
        <f t="shared" ref="AO918:AO945" ca="1" si="1510">AM918-AN918</f>
        <v>-7</v>
      </c>
      <c r="AP918" s="2766">
        <f t="shared" ref="AP918:AP945" ca="1" si="1511">IFERROR(AM918/AN918,0)</f>
        <v>0.97199999999999998</v>
      </c>
      <c r="AQ918" s="2000">
        <f t="shared" ref="AQ918:AQ945" ca="1" si="1512">INDIRECT(AQ$1&amp;AQ$3&amp;$A918)+INDIRECT(AQ$1&amp;AQ$3&amp;$B918)</f>
        <v>223</v>
      </c>
      <c r="AR918" s="2765">
        <f t="shared" ref="AR918:AR945" ca="1" si="1513">AM918-AQ918</f>
        <v>20</v>
      </c>
      <c r="AS918" s="2766">
        <f t="shared" ref="AS918:AS945" ca="1" si="1514">IFERROR(AM918/AQ918,0)</f>
        <v>1.0896860986547086</v>
      </c>
      <c r="AT918" s="2244"/>
      <c r="AU918" s="1999">
        <f t="shared" ref="AU918:AU945" ca="1" si="1515">INDIRECT(AU$3&amp;(ROW()))</f>
        <v>243</v>
      </c>
      <c r="AV918" s="2000">
        <f t="shared" ref="AV918:AV945" ca="1" si="1516">INDIRECT(AV$1&amp;AV$3&amp;$C918)</f>
        <v>250</v>
      </c>
      <c r="AW918" s="2765">
        <f t="shared" ref="AW918:AW945" ca="1" si="1517">AU918-AV918</f>
        <v>-7</v>
      </c>
      <c r="AX918" s="2766">
        <f t="shared" ref="AX918:AX945" ca="1" si="1518">IFERROR(AU918/AV918,0)</f>
        <v>0.97199999999999998</v>
      </c>
      <c r="AY918" s="2000">
        <f t="shared" ref="AY918:AY945" ca="1" si="1519">INDIRECT(AY$1&amp;AY$3&amp;$A918)+INDIRECT(AY$1&amp;AY$3&amp;$B918)</f>
        <v>223</v>
      </c>
      <c r="AZ918" s="2765">
        <f t="shared" ref="AZ918:AZ945" ca="1" si="1520">AU918-AY918</f>
        <v>20</v>
      </c>
      <c r="BA918" s="2766">
        <f t="shared" ref="BA918:BA945" ca="1" si="1521">IFERROR(AU918/AY918,0)</f>
        <v>1.0896860986547086</v>
      </c>
      <c r="BB918" s="2244"/>
      <c r="BC918" s="1999">
        <f t="shared" ref="BC918:BC945" ca="1" si="1522">INDIRECT(BC$3&amp;(ROW()))</f>
        <v>243</v>
      </c>
      <c r="BD918" s="2000">
        <f t="shared" ref="BD918:BD945" ca="1" si="1523">INDIRECT(BD$1&amp;BD$3&amp;$C918)</f>
        <v>250</v>
      </c>
      <c r="BE918" s="2765">
        <f t="shared" ref="BE918:BE945" ca="1" si="1524">BC918-BD918</f>
        <v>-7</v>
      </c>
      <c r="BF918" s="2766">
        <f t="shared" ref="BF918:BF945" ca="1" si="1525">IFERROR(BC918/BD918,0)</f>
        <v>0.97199999999999998</v>
      </c>
      <c r="BG918" s="2000">
        <f t="shared" ref="BG918:BG945" ca="1" si="1526">INDIRECT(BG$1&amp;BG$3&amp;$A918)+INDIRECT(BG$1&amp;BG$3&amp;$B918)</f>
        <v>223</v>
      </c>
      <c r="BH918" s="2765">
        <f t="shared" ref="BH918:BH945" ca="1" si="1527">BC918-BG918</f>
        <v>20</v>
      </c>
      <c r="BI918" s="2766">
        <f t="shared" ref="BI918:BI945" ca="1" si="1528">IFERROR(BC918/BG918,0)</f>
        <v>1.0896860986547086</v>
      </c>
    </row>
    <row r="919" spans="1:61" s="34" customFormat="1" ht="14.5">
      <c r="A919" s="1693">
        <f t="shared" si="1505"/>
        <v>911</v>
      </c>
      <c r="B919" s="616">
        <v>1</v>
      </c>
      <c r="C919" s="1693">
        <f t="shared" si="1493"/>
        <v>919</v>
      </c>
      <c r="D919" s="616">
        <v>1</v>
      </c>
      <c r="E919" s="709" t="s">
        <v>512</v>
      </c>
      <c r="F919" s="1572"/>
      <c r="G919" s="4"/>
      <c r="H919" s="4"/>
      <c r="I919" s="4"/>
      <c r="J919" s="262"/>
      <c r="K919" s="48" t="s">
        <v>14</v>
      </c>
      <c r="L919" s="48"/>
      <c r="M919" s="48"/>
      <c r="N919" s="47"/>
      <c r="O919" s="47"/>
      <c r="P919" s="47"/>
      <c r="Q919" s="47"/>
      <c r="R919" s="1786" t="str">
        <f>CHOOSE(2, "6722000003830", "HC Office FE/TTOC Sales Total")</f>
        <v>HC Office FE/TTOC Sales Total</v>
      </c>
      <c r="S919" s="1255">
        <f>SUM(S920:S923)</f>
        <v>101</v>
      </c>
      <c r="T919" s="1255">
        <f t="shared" ref="T919:AD919" si="1529">SUM(T920:T923)</f>
        <v>102</v>
      </c>
      <c r="U919" s="1255">
        <f t="shared" si="1529"/>
        <v>100</v>
      </c>
      <c r="V919" s="1255">
        <f t="shared" si="1529"/>
        <v>105</v>
      </c>
      <c r="W919" s="1255">
        <f t="shared" si="1529"/>
        <v>106</v>
      </c>
      <c r="X919" s="1255">
        <f t="shared" si="1529"/>
        <v>102</v>
      </c>
      <c r="Y919" s="1255">
        <f t="shared" si="1529"/>
        <v>101</v>
      </c>
      <c r="Z919" s="1255">
        <f t="shared" si="1529"/>
        <v>102</v>
      </c>
      <c r="AA919" s="1255">
        <f t="shared" si="1529"/>
        <v>101</v>
      </c>
      <c r="AB919" s="1255">
        <f t="shared" si="1529"/>
        <v>105</v>
      </c>
      <c r="AC919" s="1255">
        <f t="shared" si="1529"/>
        <v>103</v>
      </c>
      <c r="AD919" s="1255">
        <f t="shared" si="1529"/>
        <v>106</v>
      </c>
      <c r="AE919" s="1240">
        <f t="shared" ref="AE919:AK919" si="1530">SUM(AE920:AE923)</f>
        <v>100</v>
      </c>
      <c r="AF919" s="1255">
        <f t="shared" si="1530"/>
        <v>102</v>
      </c>
      <c r="AG919" s="1255">
        <f t="shared" si="1530"/>
        <v>101</v>
      </c>
      <c r="AH919" s="1255">
        <f t="shared" si="1530"/>
        <v>106</v>
      </c>
      <c r="AI919" s="1255">
        <f t="shared" si="1530"/>
        <v>102</v>
      </c>
      <c r="AJ919" s="1255">
        <f t="shared" si="1530"/>
        <v>106</v>
      </c>
      <c r="AK919" s="1255">
        <f t="shared" si="1530"/>
        <v>106</v>
      </c>
      <c r="AM919" s="2250">
        <f t="shared" ca="1" si="1508"/>
        <v>101</v>
      </c>
      <c r="AN919" s="2250">
        <f t="shared" ca="1" si="1509"/>
        <v>104</v>
      </c>
      <c r="AO919" s="2948">
        <f t="shared" ca="1" si="1510"/>
        <v>-3</v>
      </c>
      <c r="AP919" s="2949">
        <f t="shared" ca="1" si="1511"/>
        <v>0.97115384615384615</v>
      </c>
      <c r="AQ919" s="2250">
        <f t="shared" ca="1" si="1512"/>
        <v>95</v>
      </c>
      <c r="AR919" s="2948">
        <f t="shared" ca="1" si="1513"/>
        <v>6</v>
      </c>
      <c r="AS919" s="2949">
        <f t="shared" ca="1" si="1514"/>
        <v>1.0631578947368421</v>
      </c>
      <c r="AU919" s="2250">
        <f t="shared" ca="1" si="1515"/>
        <v>101</v>
      </c>
      <c r="AV919" s="2250">
        <f t="shared" ca="1" si="1516"/>
        <v>104</v>
      </c>
      <c r="AW919" s="2948">
        <f t="shared" ca="1" si="1517"/>
        <v>-3</v>
      </c>
      <c r="AX919" s="2949">
        <f t="shared" ca="1" si="1518"/>
        <v>0.97115384615384615</v>
      </c>
      <c r="AY919" s="2250">
        <f t="shared" ca="1" si="1519"/>
        <v>95</v>
      </c>
      <c r="AZ919" s="2948">
        <f t="shared" ca="1" si="1520"/>
        <v>6</v>
      </c>
      <c r="BA919" s="2949">
        <f t="shared" ca="1" si="1521"/>
        <v>1.0631578947368421</v>
      </c>
      <c r="BC919" s="2250">
        <f t="shared" ca="1" si="1522"/>
        <v>101</v>
      </c>
      <c r="BD919" s="2250">
        <f t="shared" ca="1" si="1523"/>
        <v>104</v>
      </c>
      <c r="BE919" s="2948">
        <f t="shared" ca="1" si="1524"/>
        <v>-3</v>
      </c>
      <c r="BF919" s="2949">
        <f t="shared" ca="1" si="1525"/>
        <v>0.97115384615384615</v>
      </c>
      <c r="BG919" s="2250">
        <f t="shared" ca="1" si="1526"/>
        <v>95</v>
      </c>
      <c r="BH919" s="2948">
        <f t="shared" ca="1" si="1527"/>
        <v>6</v>
      </c>
      <c r="BI919" s="2949">
        <f t="shared" ca="1" si="1528"/>
        <v>1.0631578947368421</v>
      </c>
    </row>
    <row r="920" spans="1:61" s="34" customFormat="1" ht="14.5">
      <c r="A920" s="1693">
        <f t="shared" si="1505"/>
        <v>912</v>
      </c>
      <c r="B920" s="616">
        <v>1</v>
      </c>
      <c r="C920" s="1693">
        <f t="shared" si="1493"/>
        <v>920</v>
      </c>
      <c r="D920" s="616">
        <v>1</v>
      </c>
      <c r="F920" s="454"/>
      <c r="G920" s="4"/>
      <c r="H920" s="4"/>
      <c r="I920" s="4"/>
      <c r="J920" s="262"/>
      <c r="K920" s="4"/>
      <c r="L920" s="4"/>
      <c r="M920" s="4"/>
      <c r="N920" s="3"/>
      <c r="O920" s="41"/>
      <c r="P920" s="41" t="s">
        <v>45</v>
      </c>
      <c r="Q920" s="3"/>
      <c r="R920" s="1778" t="str">
        <f>CHOOSE(2, "6722000003831", "HC Office FE/TTOC Sales Total Direct sales rep.")</f>
        <v>HC Office FE/TTOC Sales Total Direct sales rep.</v>
      </c>
      <c r="S920" s="1212">
        <v>49</v>
      </c>
      <c r="T920" s="1212">
        <v>50</v>
      </c>
      <c r="U920" s="1212">
        <v>48</v>
      </c>
      <c r="V920" s="1212">
        <v>53</v>
      </c>
      <c r="W920" s="1212">
        <v>54</v>
      </c>
      <c r="X920" s="1212">
        <v>51</v>
      </c>
      <c r="Y920" s="1212">
        <v>50</v>
      </c>
      <c r="Z920" s="1212">
        <v>51</v>
      </c>
      <c r="AA920" s="1212">
        <v>50</v>
      </c>
      <c r="AB920" s="1212">
        <v>54</v>
      </c>
      <c r="AC920" s="1212">
        <v>52</v>
      </c>
      <c r="AD920" s="1212">
        <v>55</v>
      </c>
      <c r="AE920" s="877">
        <f>U920</f>
        <v>48</v>
      </c>
      <c r="AF920" s="40">
        <f>X920</f>
        <v>51</v>
      </c>
      <c r="AG920" s="40">
        <f>AA920</f>
        <v>50</v>
      </c>
      <c r="AH920" s="40">
        <f>AD920</f>
        <v>55</v>
      </c>
      <c r="AI920" s="40">
        <f>AF920</f>
        <v>51</v>
      </c>
      <c r="AJ920" s="40">
        <f>AH920</f>
        <v>55</v>
      </c>
      <c r="AK920" s="40">
        <f>AJ920</f>
        <v>55</v>
      </c>
      <c r="AM920" s="1910">
        <f t="shared" ca="1" si="1508"/>
        <v>49</v>
      </c>
      <c r="AN920" s="1910">
        <f t="shared" ca="1" si="1509"/>
        <v>51</v>
      </c>
      <c r="AO920" s="2694">
        <f t="shared" ca="1" si="1510"/>
        <v>-2</v>
      </c>
      <c r="AP920" s="2695">
        <f t="shared" ca="1" si="1511"/>
        <v>0.96078431372549022</v>
      </c>
      <c r="AQ920" s="1910">
        <f t="shared" ca="1" si="1512"/>
        <v>44</v>
      </c>
      <c r="AR920" s="2694">
        <f t="shared" ca="1" si="1513"/>
        <v>5</v>
      </c>
      <c r="AS920" s="2695">
        <f t="shared" ca="1" si="1514"/>
        <v>1.1136363636363635</v>
      </c>
      <c r="AU920" s="1910">
        <f t="shared" ca="1" si="1515"/>
        <v>49</v>
      </c>
      <c r="AV920" s="1910">
        <f t="shared" ca="1" si="1516"/>
        <v>51</v>
      </c>
      <c r="AW920" s="2694">
        <f t="shared" ca="1" si="1517"/>
        <v>-2</v>
      </c>
      <c r="AX920" s="2695">
        <f t="shared" ca="1" si="1518"/>
        <v>0.96078431372549022</v>
      </c>
      <c r="AY920" s="1910">
        <f t="shared" ca="1" si="1519"/>
        <v>44</v>
      </c>
      <c r="AZ920" s="2694">
        <f t="shared" ca="1" si="1520"/>
        <v>5</v>
      </c>
      <c r="BA920" s="2695">
        <f t="shared" ca="1" si="1521"/>
        <v>1.1136363636363635</v>
      </c>
      <c r="BC920" s="1910">
        <f t="shared" ca="1" si="1522"/>
        <v>49</v>
      </c>
      <c r="BD920" s="1910">
        <f t="shared" ca="1" si="1523"/>
        <v>51</v>
      </c>
      <c r="BE920" s="2694">
        <f t="shared" ca="1" si="1524"/>
        <v>-2</v>
      </c>
      <c r="BF920" s="2695">
        <f t="shared" ca="1" si="1525"/>
        <v>0.96078431372549022</v>
      </c>
      <c r="BG920" s="1910">
        <f t="shared" ca="1" si="1526"/>
        <v>44</v>
      </c>
      <c r="BH920" s="2694">
        <f t="shared" ca="1" si="1527"/>
        <v>5</v>
      </c>
      <c r="BI920" s="2695">
        <f t="shared" ca="1" si="1528"/>
        <v>1.1136363636363635</v>
      </c>
    </row>
    <row r="921" spans="1:61" s="34" customFormat="1" ht="14.5">
      <c r="A921" s="1693">
        <f t="shared" si="1505"/>
        <v>913</v>
      </c>
      <c r="B921" s="616">
        <v>1</v>
      </c>
      <c r="C921" s="1693">
        <f t="shared" si="1493"/>
        <v>921</v>
      </c>
      <c r="D921" s="616">
        <v>1</v>
      </c>
      <c r="F921" s="454"/>
      <c r="G921" s="4"/>
      <c r="H921" s="4"/>
      <c r="I921" s="4"/>
      <c r="J921" s="262"/>
      <c r="K921" s="4"/>
      <c r="L921" s="4"/>
      <c r="M921" s="4"/>
      <c r="N921" s="3"/>
      <c r="O921" s="41"/>
      <c r="P921" s="41" t="s">
        <v>44</v>
      </c>
      <c r="Q921" s="3"/>
      <c r="R921" s="1778" t="str">
        <f>CHOOSE(2, "6722000003832", "HC Office FE/TTOC Sales Total Direct sales engineers")</f>
        <v>HC Office FE/TTOC Sales Total Direct sales engineers</v>
      </c>
      <c r="S921" s="1212">
        <f>3+3</f>
        <v>6</v>
      </c>
      <c r="T921" s="1212">
        <f>3+3</f>
        <v>6</v>
      </c>
      <c r="U921" s="1212">
        <f>3+3</f>
        <v>6</v>
      </c>
      <c r="V921" s="1212">
        <f>3+3</f>
        <v>6</v>
      </c>
      <c r="W921" s="1212">
        <f>3+3</f>
        <v>6</v>
      </c>
      <c r="X921" s="1212">
        <f>2+3</f>
        <v>5</v>
      </c>
      <c r="Y921" s="1212">
        <f>2+3</f>
        <v>5</v>
      </c>
      <c r="Z921" s="1212">
        <f>2+2</f>
        <v>4</v>
      </c>
      <c r="AA921" s="1212">
        <f>2+2</f>
        <v>4</v>
      </c>
      <c r="AB921" s="1212">
        <f>2+2</f>
        <v>4</v>
      </c>
      <c r="AC921" s="1212">
        <f>2+2</f>
        <v>4</v>
      </c>
      <c r="AD921" s="1212">
        <f>2+2</f>
        <v>4</v>
      </c>
      <c r="AE921" s="877">
        <f>U921</f>
        <v>6</v>
      </c>
      <c r="AF921" s="40">
        <f>X921</f>
        <v>5</v>
      </c>
      <c r="AG921" s="40">
        <f>AA921</f>
        <v>4</v>
      </c>
      <c r="AH921" s="40">
        <f>AD921</f>
        <v>4</v>
      </c>
      <c r="AI921" s="40">
        <f>AF921</f>
        <v>5</v>
      </c>
      <c r="AJ921" s="40">
        <f>AH921</f>
        <v>4</v>
      </c>
      <c r="AK921" s="40">
        <f>AJ921</f>
        <v>4</v>
      </c>
      <c r="AM921" s="1910">
        <f t="shared" ca="1" si="1508"/>
        <v>6</v>
      </c>
      <c r="AN921" s="1910">
        <f t="shared" ca="1" si="1509"/>
        <v>5</v>
      </c>
      <c r="AO921" s="2694">
        <f t="shared" ca="1" si="1510"/>
        <v>1</v>
      </c>
      <c r="AP921" s="2695">
        <f t="shared" ca="1" si="1511"/>
        <v>1.2</v>
      </c>
      <c r="AQ921" s="1910">
        <f t="shared" ca="1" si="1512"/>
        <v>4</v>
      </c>
      <c r="AR921" s="2694">
        <f t="shared" ca="1" si="1513"/>
        <v>2</v>
      </c>
      <c r="AS921" s="2695">
        <f t="shared" ca="1" si="1514"/>
        <v>1.5</v>
      </c>
      <c r="AU921" s="1910">
        <f t="shared" ca="1" si="1515"/>
        <v>6</v>
      </c>
      <c r="AV921" s="1910">
        <f t="shared" ca="1" si="1516"/>
        <v>5</v>
      </c>
      <c r="AW921" s="2694">
        <f t="shared" ca="1" si="1517"/>
        <v>1</v>
      </c>
      <c r="AX921" s="2695">
        <f t="shared" ca="1" si="1518"/>
        <v>1.2</v>
      </c>
      <c r="AY921" s="1910">
        <f t="shared" ca="1" si="1519"/>
        <v>4</v>
      </c>
      <c r="AZ921" s="2694">
        <f t="shared" ca="1" si="1520"/>
        <v>2</v>
      </c>
      <c r="BA921" s="2695">
        <f t="shared" ca="1" si="1521"/>
        <v>1.5</v>
      </c>
      <c r="BC921" s="1910">
        <f t="shared" ca="1" si="1522"/>
        <v>6</v>
      </c>
      <c r="BD921" s="1910">
        <f t="shared" ca="1" si="1523"/>
        <v>5</v>
      </c>
      <c r="BE921" s="2694">
        <f t="shared" ca="1" si="1524"/>
        <v>1</v>
      </c>
      <c r="BF921" s="2695">
        <f t="shared" ca="1" si="1525"/>
        <v>1.2</v>
      </c>
      <c r="BG921" s="1910">
        <f t="shared" ca="1" si="1526"/>
        <v>4</v>
      </c>
      <c r="BH921" s="2694">
        <f t="shared" ca="1" si="1527"/>
        <v>2</v>
      </c>
      <c r="BI921" s="2695">
        <f t="shared" ca="1" si="1528"/>
        <v>1.5</v>
      </c>
    </row>
    <row r="922" spans="1:61" s="34" customFormat="1" ht="14.5">
      <c r="A922" s="1693">
        <f t="shared" si="1505"/>
        <v>914</v>
      </c>
      <c r="B922" s="616">
        <v>1</v>
      </c>
      <c r="C922" s="1693">
        <f t="shared" si="1493"/>
        <v>922</v>
      </c>
      <c r="D922" s="616">
        <v>1</v>
      </c>
      <c r="F922" s="454"/>
      <c r="G922" s="4"/>
      <c r="H922" s="4"/>
      <c r="I922" s="4"/>
      <c r="J922" s="262"/>
      <c r="K922" s="4"/>
      <c r="L922" s="4"/>
      <c r="M922" s="4"/>
      <c r="N922" s="3"/>
      <c r="O922" s="41"/>
      <c r="P922" s="41" t="s">
        <v>43</v>
      </c>
      <c r="Q922" s="3"/>
      <c r="R922" s="1778" t="str">
        <f>CHOOSE(2, "6722000003833", "HC Office FE/TTOC Sales Total Dealer(Indirect) sales rep.")</f>
        <v>HC Office FE/TTOC Sales Total Dealer(Indirect) sales rep.</v>
      </c>
      <c r="S922" s="1212">
        <v>27</v>
      </c>
      <c r="T922" s="1212">
        <v>27</v>
      </c>
      <c r="U922" s="1212">
        <v>27</v>
      </c>
      <c r="V922" s="1212">
        <v>27</v>
      </c>
      <c r="W922" s="1212">
        <v>27</v>
      </c>
      <c r="X922" s="1212">
        <v>27</v>
      </c>
      <c r="Y922" s="1212">
        <v>27</v>
      </c>
      <c r="Z922" s="1212">
        <v>27</v>
      </c>
      <c r="AA922" s="1212">
        <v>27</v>
      </c>
      <c r="AB922" s="1212">
        <v>27</v>
      </c>
      <c r="AC922" s="1212">
        <v>27</v>
      </c>
      <c r="AD922" s="1212">
        <v>27</v>
      </c>
      <c r="AE922" s="877">
        <f>U922</f>
        <v>27</v>
      </c>
      <c r="AF922" s="40">
        <f>X922</f>
        <v>27</v>
      </c>
      <c r="AG922" s="40">
        <f>AA922</f>
        <v>27</v>
      </c>
      <c r="AH922" s="40">
        <f>AD922</f>
        <v>27</v>
      </c>
      <c r="AI922" s="40">
        <f>AF922</f>
        <v>27</v>
      </c>
      <c r="AJ922" s="40">
        <f>AH922</f>
        <v>27</v>
      </c>
      <c r="AK922" s="40">
        <f>AJ922</f>
        <v>27</v>
      </c>
      <c r="AM922" s="1910">
        <f t="shared" ca="1" si="1508"/>
        <v>27</v>
      </c>
      <c r="AN922" s="1910">
        <f t="shared" ca="1" si="1509"/>
        <v>28</v>
      </c>
      <c r="AO922" s="2694">
        <f t="shared" ca="1" si="1510"/>
        <v>-1</v>
      </c>
      <c r="AP922" s="2695">
        <f t="shared" ca="1" si="1511"/>
        <v>0.9642857142857143</v>
      </c>
      <c r="AQ922" s="1910">
        <f t="shared" ca="1" si="1512"/>
        <v>28</v>
      </c>
      <c r="AR922" s="2694">
        <f t="shared" ca="1" si="1513"/>
        <v>-1</v>
      </c>
      <c r="AS922" s="2695">
        <f t="shared" ca="1" si="1514"/>
        <v>0.9642857142857143</v>
      </c>
      <c r="AU922" s="1910">
        <f t="shared" ca="1" si="1515"/>
        <v>27</v>
      </c>
      <c r="AV922" s="1910">
        <f t="shared" ca="1" si="1516"/>
        <v>28</v>
      </c>
      <c r="AW922" s="2694">
        <f t="shared" ca="1" si="1517"/>
        <v>-1</v>
      </c>
      <c r="AX922" s="2695">
        <f t="shared" ca="1" si="1518"/>
        <v>0.9642857142857143</v>
      </c>
      <c r="AY922" s="1910">
        <f t="shared" ca="1" si="1519"/>
        <v>28</v>
      </c>
      <c r="AZ922" s="2694">
        <f t="shared" ca="1" si="1520"/>
        <v>-1</v>
      </c>
      <c r="BA922" s="2695">
        <f t="shared" ca="1" si="1521"/>
        <v>0.9642857142857143</v>
      </c>
      <c r="BC922" s="1910">
        <f t="shared" ca="1" si="1522"/>
        <v>27</v>
      </c>
      <c r="BD922" s="1910">
        <f t="shared" ca="1" si="1523"/>
        <v>28</v>
      </c>
      <c r="BE922" s="2694">
        <f t="shared" ca="1" si="1524"/>
        <v>-1</v>
      </c>
      <c r="BF922" s="2695">
        <f t="shared" ca="1" si="1525"/>
        <v>0.9642857142857143</v>
      </c>
      <c r="BG922" s="1910">
        <f t="shared" ca="1" si="1526"/>
        <v>28</v>
      </c>
      <c r="BH922" s="2694">
        <f t="shared" ca="1" si="1527"/>
        <v>-1</v>
      </c>
      <c r="BI922" s="2695">
        <f t="shared" ca="1" si="1528"/>
        <v>0.9642857142857143</v>
      </c>
    </row>
    <row r="923" spans="1:61" s="34" customFormat="1" ht="14.5">
      <c r="A923" s="1693">
        <f t="shared" si="1505"/>
        <v>915</v>
      </c>
      <c r="B923" s="616">
        <v>1</v>
      </c>
      <c r="C923" s="1693">
        <f t="shared" si="1493"/>
        <v>923</v>
      </c>
      <c r="D923" s="616">
        <v>1</v>
      </c>
      <c r="F923" s="454"/>
      <c r="G923" s="4"/>
      <c r="H923" s="4"/>
      <c r="I923" s="4"/>
      <c r="J923" s="262"/>
      <c r="K923" s="2"/>
      <c r="L923" s="2"/>
      <c r="M923" s="2"/>
      <c r="N923" s="1"/>
      <c r="O923" s="39"/>
      <c r="P923" s="39" t="s">
        <v>40</v>
      </c>
      <c r="Q923" s="1"/>
      <c r="R923" s="1778" t="str">
        <f>CHOOSE(2, "6722000003834", "HC Office FE/TTOC Sales Total Administration/Others")</f>
        <v>HC Office FE/TTOC Sales Total Administration/Others</v>
      </c>
      <c r="S923" s="1211">
        <v>19</v>
      </c>
      <c r="T923" s="1211">
        <v>19</v>
      </c>
      <c r="U923" s="1211">
        <v>19</v>
      </c>
      <c r="V923" s="1211">
        <v>19</v>
      </c>
      <c r="W923" s="1211">
        <v>19</v>
      </c>
      <c r="X923" s="1211">
        <v>19</v>
      </c>
      <c r="Y923" s="1211">
        <v>19</v>
      </c>
      <c r="Z923" s="1211">
        <v>20</v>
      </c>
      <c r="AA923" s="1211">
        <v>20</v>
      </c>
      <c r="AB923" s="1211">
        <v>20</v>
      </c>
      <c r="AC923" s="1211">
        <v>20</v>
      </c>
      <c r="AD923" s="1211">
        <v>20</v>
      </c>
      <c r="AE923" s="912">
        <f>U923</f>
        <v>19</v>
      </c>
      <c r="AF923" s="38">
        <f>X923</f>
        <v>19</v>
      </c>
      <c r="AG923" s="38">
        <f>AA923</f>
        <v>20</v>
      </c>
      <c r="AH923" s="38">
        <f>AD923</f>
        <v>20</v>
      </c>
      <c r="AI923" s="38">
        <f>AF923</f>
        <v>19</v>
      </c>
      <c r="AJ923" s="38">
        <f>AH923</f>
        <v>20</v>
      </c>
      <c r="AK923" s="38">
        <f>AJ923</f>
        <v>20</v>
      </c>
      <c r="AM923" s="2248">
        <f t="shared" ca="1" si="1508"/>
        <v>19</v>
      </c>
      <c r="AN923" s="2248">
        <f t="shared" ca="1" si="1509"/>
        <v>20</v>
      </c>
      <c r="AO923" s="2950">
        <f t="shared" ca="1" si="1510"/>
        <v>-1</v>
      </c>
      <c r="AP923" s="2951">
        <f t="shared" ca="1" si="1511"/>
        <v>0.95</v>
      </c>
      <c r="AQ923" s="2248">
        <f t="shared" ca="1" si="1512"/>
        <v>19</v>
      </c>
      <c r="AR923" s="2950">
        <f t="shared" ca="1" si="1513"/>
        <v>0</v>
      </c>
      <c r="AS923" s="2951">
        <f t="shared" ca="1" si="1514"/>
        <v>1</v>
      </c>
      <c r="AU923" s="2248">
        <f t="shared" ca="1" si="1515"/>
        <v>19</v>
      </c>
      <c r="AV923" s="2248">
        <f t="shared" ca="1" si="1516"/>
        <v>20</v>
      </c>
      <c r="AW923" s="2950">
        <f t="shared" ca="1" si="1517"/>
        <v>-1</v>
      </c>
      <c r="AX923" s="2951">
        <f t="shared" ca="1" si="1518"/>
        <v>0.95</v>
      </c>
      <c r="AY923" s="2248">
        <f t="shared" ca="1" si="1519"/>
        <v>19</v>
      </c>
      <c r="AZ923" s="2950">
        <f t="shared" ca="1" si="1520"/>
        <v>0</v>
      </c>
      <c r="BA923" s="2951">
        <f t="shared" ca="1" si="1521"/>
        <v>1</v>
      </c>
      <c r="BC923" s="2248">
        <f t="shared" ca="1" si="1522"/>
        <v>19</v>
      </c>
      <c r="BD923" s="2248">
        <f t="shared" ca="1" si="1523"/>
        <v>20</v>
      </c>
      <c r="BE923" s="2950">
        <f t="shared" ca="1" si="1524"/>
        <v>-1</v>
      </c>
      <c r="BF923" s="2951">
        <f t="shared" ca="1" si="1525"/>
        <v>0.95</v>
      </c>
      <c r="BG923" s="2248">
        <f t="shared" ca="1" si="1526"/>
        <v>19</v>
      </c>
      <c r="BH923" s="2950">
        <f t="shared" ca="1" si="1527"/>
        <v>0</v>
      </c>
      <c r="BI923" s="2951">
        <f t="shared" ca="1" si="1528"/>
        <v>1</v>
      </c>
    </row>
    <row r="924" spans="1:61" s="34" customFormat="1" ht="14.5">
      <c r="A924" s="1693">
        <f t="shared" si="1505"/>
        <v>916</v>
      </c>
      <c r="B924" s="616">
        <v>1</v>
      </c>
      <c r="C924" s="1693">
        <f t="shared" si="1493"/>
        <v>924</v>
      </c>
      <c r="D924" s="616">
        <v>1</v>
      </c>
      <c r="E924" s="709" t="s">
        <v>512</v>
      </c>
      <c r="F924" s="1572"/>
      <c r="G924" s="4"/>
      <c r="H924" s="4"/>
      <c r="I924" s="4"/>
      <c r="J924" s="262"/>
      <c r="K924" s="48" t="s">
        <v>204</v>
      </c>
      <c r="L924" s="48"/>
      <c r="M924" s="48"/>
      <c r="N924" s="47"/>
      <c r="O924" s="47"/>
      <c r="P924" s="47"/>
      <c r="Q924" s="47"/>
      <c r="R924" s="1786" t="str">
        <f>CHOOSE(2, "6722000003835", "HC Office FE/TTOC Service Total")</f>
        <v>HC Office FE/TTOC Service Total</v>
      </c>
      <c r="S924" s="1255">
        <f>SUM(S925:S929)</f>
        <v>94</v>
      </c>
      <c r="T924" s="1255">
        <f t="shared" ref="T924:AD924" si="1531">SUM(T925:T929)</f>
        <v>95</v>
      </c>
      <c r="U924" s="1255">
        <f t="shared" si="1531"/>
        <v>93</v>
      </c>
      <c r="V924" s="1255">
        <f t="shared" si="1531"/>
        <v>92</v>
      </c>
      <c r="W924" s="1255">
        <f t="shared" si="1531"/>
        <v>90</v>
      </c>
      <c r="X924" s="1255">
        <f t="shared" si="1531"/>
        <v>91</v>
      </c>
      <c r="Y924" s="1255">
        <f t="shared" si="1531"/>
        <v>91</v>
      </c>
      <c r="Z924" s="1255">
        <f t="shared" si="1531"/>
        <v>93</v>
      </c>
      <c r="AA924" s="1255">
        <f t="shared" si="1531"/>
        <v>94</v>
      </c>
      <c r="AB924" s="1255">
        <f t="shared" si="1531"/>
        <v>95</v>
      </c>
      <c r="AC924" s="1255">
        <f t="shared" si="1531"/>
        <v>94</v>
      </c>
      <c r="AD924" s="1255">
        <f t="shared" si="1531"/>
        <v>96</v>
      </c>
      <c r="AE924" s="1240">
        <f t="shared" ref="AE924:AK924" si="1532">SUM(AE925:AE929)</f>
        <v>93</v>
      </c>
      <c r="AF924" s="1255">
        <f t="shared" si="1532"/>
        <v>91</v>
      </c>
      <c r="AG924" s="1255">
        <f t="shared" si="1532"/>
        <v>94</v>
      </c>
      <c r="AH924" s="1255">
        <f t="shared" si="1532"/>
        <v>96</v>
      </c>
      <c r="AI924" s="1255">
        <f t="shared" si="1532"/>
        <v>91</v>
      </c>
      <c r="AJ924" s="1255">
        <f t="shared" si="1532"/>
        <v>96</v>
      </c>
      <c r="AK924" s="1255">
        <f t="shared" si="1532"/>
        <v>96</v>
      </c>
      <c r="AM924" s="2250">
        <f t="shared" ca="1" si="1508"/>
        <v>94</v>
      </c>
      <c r="AN924" s="2250">
        <f t="shared" ca="1" si="1509"/>
        <v>95</v>
      </c>
      <c r="AO924" s="2948">
        <f t="shared" ca="1" si="1510"/>
        <v>-1</v>
      </c>
      <c r="AP924" s="2949">
        <f t="shared" ca="1" si="1511"/>
        <v>0.98947368421052628</v>
      </c>
      <c r="AQ924" s="2250">
        <f t="shared" ca="1" si="1512"/>
        <v>88</v>
      </c>
      <c r="AR924" s="2948">
        <f t="shared" ca="1" si="1513"/>
        <v>6</v>
      </c>
      <c r="AS924" s="2949">
        <f t="shared" ca="1" si="1514"/>
        <v>1.0681818181818181</v>
      </c>
      <c r="AU924" s="2250">
        <f t="shared" ca="1" si="1515"/>
        <v>94</v>
      </c>
      <c r="AV924" s="2250">
        <f t="shared" ca="1" si="1516"/>
        <v>95</v>
      </c>
      <c r="AW924" s="2948">
        <f t="shared" ca="1" si="1517"/>
        <v>-1</v>
      </c>
      <c r="AX924" s="2949">
        <f t="shared" ca="1" si="1518"/>
        <v>0.98947368421052628</v>
      </c>
      <c r="AY924" s="2250">
        <f t="shared" ca="1" si="1519"/>
        <v>88</v>
      </c>
      <c r="AZ924" s="2948">
        <f t="shared" ca="1" si="1520"/>
        <v>6</v>
      </c>
      <c r="BA924" s="2949">
        <f t="shared" ca="1" si="1521"/>
        <v>1.0681818181818181</v>
      </c>
      <c r="BC924" s="2250">
        <f t="shared" ca="1" si="1522"/>
        <v>94</v>
      </c>
      <c r="BD924" s="2250">
        <f t="shared" ca="1" si="1523"/>
        <v>95</v>
      </c>
      <c r="BE924" s="2948">
        <f t="shared" ca="1" si="1524"/>
        <v>-1</v>
      </c>
      <c r="BF924" s="2949">
        <f t="shared" ca="1" si="1525"/>
        <v>0.98947368421052628</v>
      </c>
      <c r="BG924" s="2250">
        <f t="shared" ca="1" si="1526"/>
        <v>88</v>
      </c>
      <c r="BH924" s="2948">
        <f t="shared" ca="1" si="1527"/>
        <v>6</v>
      </c>
      <c r="BI924" s="2949">
        <f t="shared" ca="1" si="1528"/>
        <v>1.0681818181818181</v>
      </c>
    </row>
    <row r="925" spans="1:61" s="34" customFormat="1" ht="14.5">
      <c r="A925" s="1693">
        <f t="shared" si="1505"/>
        <v>917</v>
      </c>
      <c r="B925" s="616">
        <v>1</v>
      </c>
      <c r="C925" s="1693">
        <f t="shared" si="1493"/>
        <v>925</v>
      </c>
      <c r="D925" s="616">
        <v>1</v>
      </c>
      <c r="F925" s="454"/>
      <c r="G925" s="4"/>
      <c r="H925" s="4"/>
      <c r="I925" s="4"/>
      <c r="J925" s="262"/>
      <c r="K925" s="4"/>
      <c r="L925" s="4"/>
      <c r="M925" s="4"/>
      <c r="N925" s="3"/>
      <c r="O925" s="41"/>
      <c r="P925" s="41" t="s">
        <v>15</v>
      </c>
      <c r="Q925" s="3"/>
      <c r="R925" s="1778" t="str">
        <f>CHOOSE(2, "6722000003836", "HC Office FE/TTOC Service Total Onsite Engineer")</f>
        <v>HC Office FE/TTOC Service Total Onsite Engineer</v>
      </c>
      <c r="S925" s="1212">
        <v>53</v>
      </c>
      <c r="T925" s="1212">
        <v>54</v>
      </c>
      <c r="U925" s="1212">
        <v>53</v>
      </c>
      <c r="V925" s="1212">
        <v>52</v>
      </c>
      <c r="W925" s="1212">
        <v>53</v>
      </c>
      <c r="X925" s="1212">
        <v>53</v>
      </c>
      <c r="Y925" s="1212">
        <v>53</v>
      </c>
      <c r="Z925" s="1212">
        <v>54</v>
      </c>
      <c r="AA925" s="1212">
        <v>55</v>
      </c>
      <c r="AB925" s="1212">
        <v>56</v>
      </c>
      <c r="AC925" s="1212">
        <v>56</v>
      </c>
      <c r="AD925" s="1212">
        <v>58</v>
      </c>
      <c r="AE925" s="877">
        <f>U925</f>
        <v>53</v>
      </c>
      <c r="AF925" s="40">
        <f>X925</f>
        <v>53</v>
      </c>
      <c r="AG925" s="40">
        <f>AA925</f>
        <v>55</v>
      </c>
      <c r="AH925" s="40">
        <f>AD925</f>
        <v>58</v>
      </c>
      <c r="AI925" s="40">
        <f>AF925</f>
        <v>53</v>
      </c>
      <c r="AJ925" s="40">
        <f>AH925</f>
        <v>58</v>
      </c>
      <c r="AK925" s="40">
        <f>AJ925</f>
        <v>58</v>
      </c>
      <c r="AM925" s="1910">
        <f t="shared" ca="1" si="1508"/>
        <v>53</v>
      </c>
      <c r="AN925" s="1910">
        <f t="shared" ca="1" si="1509"/>
        <v>56</v>
      </c>
      <c r="AO925" s="2694">
        <f t="shared" ca="1" si="1510"/>
        <v>-3</v>
      </c>
      <c r="AP925" s="2695">
        <f t="shared" ca="1" si="1511"/>
        <v>0.9464285714285714</v>
      </c>
      <c r="AQ925" s="1910">
        <f t="shared" ca="1" si="1512"/>
        <v>50</v>
      </c>
      <c r="AR925" s="2694">
        <f t="shared" ca="1" si="1513"/>
        <v>3</v>
      </c>
      <c r="AS925" s="2695">
        <f t="shared" ca="1" si="1514"/>
        <v>1.06</v>
      </c>
      <c r="AU925" s="1910">
        <f t="shared" ca="1" si="1515"/>
        <v>53</v>
      </c>
      <c r="AV925" s="1910">
        <f t="shared" ca="1" si="1516"/>
        <v>56</v>
      </c>
      <c r="AW925" s="2694">
        <f t="shared" ca="1" si="1517"/>
        <v>-3</v>
      </c>
      <c r="AX925" s="2695">
        <f t="shared" ca="1" si="1518"/>
        <v>0.9464285714285714</v>
      </c>
      <c r="AY925" s="1910">
        <f t="shared" ca="1" si="1519"/>
        <v>50</v>
      </c>
      <c r="AZ925" s="2694">
        <f t="shared" ca="1" si="1520"/>
        <v>3</v>
      </c>
      <c r="BA925" s="2695">
        <f t="shared" ca="1" si="1521"/>
        <v>1.06</v>
      </c>
      <c r="BC925" s="1910">
        <f t="shared" ca="1" si="1522"/>
        <v>53</v>
      </c>
      <c r="BD925" s="1910">
        <f t="shared" ca="1" si="1523"/>
        <v>56</v>
      </c>
      <c r="BE925" s="2694">
        <f t="shared" ca="1" si="1524"/>
        <v>-3</v>
      </c>
      <c r="BF925" s="2695">
        <f t="shared" ca="1" si="1525"/>
        <v>0.9464285714285714</v>
      </c>
      <c r="BG925" s="1910">
        <f t="shared" ca="1" si="1526"/>
        <v>50</v>
      </c>
      <c r="BH925" s="2694">
        <f t="shared" ca="1" si="1527"/>
        <v>3</v>
      </c>
      <c r="BI925" s="2695">
        <f t="shared" ca="1" si="1528"/>
        <v>1.06</v>
      </c>
    </row>
    <row r="926" spans="1:61" s="34" customFormat="1" ht="14.5">
      <c r="A926" s="1693">
        <f t="shared" si="1505"/>
        <v>918</v>
      </c>
      <c r="B926" s="616">
        <v>1</v>
      </c>
      <c r="C926" s="1693">
        <f t="shared" si="1493"/>
        <v>926</v>
      </c>
      <c r="D926" s="616">
        <v>1</v>
      </c>
      <c r="F926" s="454"/>
      <c r="G926" s="4"/>
      <c r="H926" s="4"/>
      <c r="I926" s="4"/>
      <c r="J926" s="262"/>
      <c r="K926" s="4"/>
      <c r="L926" s="4"/>
      <c r="M926" s="4"/>
      <c r="N926" s="3"/>
      <c r="O926" s="41"/>
      <c r="P926" s="41" t="s">
        <v>16</v>
      </c>
      <c r="Q926" s="3"/>
      <c r="R926" s="1778" t="str">
        <f>CHOOSE(2, "6722000003837", "HC Office FE/TTOC Service Total Remote Engineer")</f>
        <v>HC Office FE/TTOC Service Total Remote Engineer</v>
      </c>
      <c r="S926" s="1212">
        <v>1</v>
      </c>
      <c r="T926" s="1212">
        <v>1</v>
      </c>
      <c r="U926" s="1212">
        <v>1</v>
      </c>
      <c r="V926" s="1212">
        <v>1</v>
      </c>
      <c r="W926" s="1212">
        <v>1</v>
      </c>
      <c r="X926" s="1212">
        <v>1</v>
      </c>
      <c r="Y926" s="1212">
        <v>1</v>
      </c>
      <c r="Z926" s="1212">
        <v>1</v>
      </c>
      <c r="AA926" s="1212">
        <v>1</v>
      </c>
      <c r="AB926" s="1212">
        <v>1</v>
      </c>
      <c r="AC926" s="1212">
        <v>1</v>
      </c>
      <c r="AD926" s="1212">
        <v>1</v>
      </c>
      <c r="AE926" s="877">
        <f>U926</f>
        <v>1</v>
      </c>
      <c r="AF926" s="40">
        <f>X926</f>
        <v>1</v>
      </c>
      <c r="AG926" s="40">
        <f>AA926</f>
        <v>1</v>
      </c>
      <c r="AH926" s="40">
        <f>AD926</f>
        <v>1</v>
      </c>
      <c r="AI926" s="40">
        <f>AF926</f>
        <v>1</v>
      </c>
      <c r="AJ926" s="40">
        <f>AH926</f>
        <v>1</v>
      </c>
      <c r="AK926" s="40">
        <f>AJ926</f>
        <v>1</v>
      </c>
      <c r="AM926" s="1910">
        <f t="shared" ca="1" si="1508"/>
        <v>1</v>
      </c>
      <c r="AN926" s="1910">
        <f t="shared" ca="1" si="1509"/>
        <v>1</v>
      </c>
      <c r="AO926" s="2694">
        <f t="shared" ca="1" si="1510"/>
        <v>0</v>
      </c>
      <c r="AP926" s="2695">
        <f t="shared" ca="1" si="1511"/>
        <v>1</v>
      </c>
      <c r="AQ926" s="1910">
        <f t="shared" ca="1" si="1512"/>
        <v>1</v>
      </c>
      <c r="AR926" s="2694">
        <f t="shared" ca="1" si="1513"/>
        <v>0</v>
      </c>
      <c r="AS926" s="2695">
        <f t="shared" ca="1" si="1514"/>
        <v>1</v>
      </c>
      <c r="AU926" s="1910">
        <f t="shared" ca="1" si="1515"/>
        <v>1</v>
      </c>
      <c r="AV926" s="1910">
        <f t="shared" ca="1" si="1516"/>
        <v>1</v>
      </c>
      <c r="AW926" s="2694">
        <f t="shared" ca="1" si="1517"/>
        <v>0</v>
      </c>
      <c r="AX926" s="2695">
        <f t="shared" ca="1" si="1518"/>
        <v>1</v>
      </c>
      <c r="AY926" s="1910">
        <f t="shared" ca="1" si="1519"/>
        <v>1</v>
      </c>
      <c r="AZ926" s="2694">
        <f t="shared" ca="1" si="1520"/>
        <v>0</v>
      </c>
      <c r="BA926" s="2695">
        <f t="shared" ca="1" si="1521"/>
        <v>1</v>
      </c>
      <c r="BC926" s="1910">
        <f t="shared" ca="1" si="1522"/>
        <v>1</v>
      </c>
      <c r="BD926" s="1910">
        <f t="shared" ca="1" si="1523"/>
        <v>1</v>
      </c>
      <c r="BE926" s="2694">
        <f t="shared" ca="1" si="1524"/>
        <v>0</v>
      </c>
      <c r="BF926" s="2695">
        <f t="shared" ca="1" si="1525"/>
        <v>1</v>
      </c>
      <c r="BG926" s="1910">
        <f t="shared" ca="1" si="1526"/>
        <v>1</v>
      </c>
      <c r="BH926" s="2694">
        <f t="shared" ca="1" si="1527"/>
        <v>0</v>
      </c>
      <c r="BI926" s="2695">
        <f t="shared" ca="1" si="1528"/>
        <v>1</v>
      </c>
    </row>
    <row r="927" spans="1:61" s="34" customFormat="1" ht="14.5">
      <c r="A927" s="1693">
        <f t="shared" si="1505"/>
        <v>919</v>
      </c>
      <c r="B927" s="616">
        <v>1</v>
      </c>
      <c r="C927" s="1693">
        <f t="shared" si="1493"/>
        <v>927</v>
      </c>
      <c r="D927" s="616">
        <v>1</v>
      </c>
      <c r="F927" s="454"/>
      <c r="G927" s="4"/>
      <c r="H927" s="4"/>
      <c r="I927" s="4"/>
      <c r="J927" s="262"/>
      <c r="K927" s="4"/>
      <c r="L927" s="4"/>
      <c r="M927" s="4"/>
      <c r="N927" s="3"/>
      <c r="O927" s="41"/>
      <c r="P927" s="41" t="s">
        <v>42</v>
      </c>
      <c r="Q927" s="3"/>
      <c r="R927" s="1778" t="str">
        <f>CHOOSE(2, "6722000003838", "HC Office FE/TTOC Service Total Technical support")</f>
        <v>HC Office FE/TTOC Service Total Technical support</v>
      </c>
      <c r="S927" s="1212">
        <v>18</v>
      </c>
      <c r="T927" s="1212">
        <v>18</v>
      </c>
      <c r="U927" s="1212">
        <v>17</v>
      </c>
      <c r="V927" s="1212">
        <v>17</v>
      </c>
      <c r="W927" s="1212">
        <v>15</v>
      </c>
      <c r="X927" s="1212">
        <v>15</v>
      </c>
      <c r="Y927" s="1212">
        <v>15</v>
      </c>
      <c r="Z927" s="1212">
        <v>16</v>
      </c>
      <c r="AA927" s="1212">
        <v>16</v>
      </c>
      <c r="AB927" s="1212">
        <v>16</v>
      </c>
      <c r="AC927" s="1212">
        <v>16</v>
      </c>
      <c r="AD927" s="1212">
        <v>16</v>
      </c>
      <c r="AE927" s="877">
        <f>U927</f>
        <v>17</v>
      </c>
      <c r="AF927" s="40">
        <f>X927</f>
        <v>15</v>
      </c>
      <c r="AG927" s="40">
        <f>AA927</f>
        <v>16</v>
      </c>
      <c r="AH927" s="40">
        <f>AD927</f>
        <v>16</v>
      </c>
      <c r="AI927" s="40">
        <f>AF927</f>
        <v>15</v>
      </c>
      <c r="AJ927" s="40">
        <f>AH927</f>
        <v>16</v>
      </c>
      <c r="AK927" s="40">
        <f>AJ927</f>
        <v>16</v>
      </c>
      <c r="AM927" s="1910">
        <f t="shared" ca="1" si="1508"/>
        <v>18</v>
      </c>
      <c r="AN927" s="1910">
        <f t="shared" ca="1" si="1509"/>
        <v>18</v>
      </c>
      <c r="AO927" s="2694">
        <f t="shared" ca="1" si="1510"/>
        <v>0</v>
      </c>
      <c r="AP927" s="2695">
        <f t="shared" ca="1" si="1511"/>
        <v>1</v>
      </c>
      <c r="AQ927" s="1910">
        <f t="shared" ca="1" si="1512"/>
        <v>17</v>
      </c>
      <c r="AR927" s="2694">
        <f t="shared" ca="1" si="1513"/>
        <v>1</v>
      </c>
      <c r="AS927" s="2695">
        <f t="shared" ca="1" si="1514"/>
        <v>1.0588235294117647</v>
      </c>
      <c r="AU927" s="1910">
        <f t="shared" ca="1" si="1515"/>
        <v>18</v>
      </c>
      <c r="AV927" s="1910">
        <f t="shared" ca="1" si="1516"/>
        <v>18</v>
      </c>
      <c r="AW927" s="2694">
        <f t="shared" ca="1" si="1517"/>
        <v>0</v>
      </c>
      <c r="AX927" s="2695">
        <f t="shared" ca="1" si="1518"/>
        <v>1</v>
      </c>
      <c r="AY927" s="1910">
        <f t="shared" ca="1" si="1519"/>
        <v>17</v>
      </c>
      <c r="AZ927" s="2694">
        <f t="shared" ca="1" si="1520"/>
        <v>1</v>
      </c>
      <c r="BA927" s="2695">
        <f t="shared" ca="1" si="1521"/>
        <v>1.0588235294117647</v>
      </c>
      <c r="BC927" s="1910">
        <f t="shared" ca="1" si="1522"/>
        <v>18</v>
      </c>
      <c r="BD927" s="1910">
        <f t="shared" ca="1" si="1523"/>
        <v>18</v>
      </c>
      <c r="BE927" s="2694">
        <f t="shared" ca="1" si="1524"/>
        <v>0</v>
      </c>
      <c r="BF927" s="2695">
        <f t="shared" ca="1" si="1525"/>
        <v>1</v>
      </c>
      <c r="BG927" s="1910">
        <f t="shared" ca="1" si="1526"/>
        <v>17</v>
      </c>
      <c r="BH927" s="2694">
        <f t="shared" ca="1" si="1527"/>
        <v>1</v>
      </c>
      <c r="BI927" s="2695">
        <f t="shared" ca="1" si="1528"/>
        <v>1.0588235294117647</v>
      </c>
    </row>
    <row r="928" spans="1:61" s="34" customFormat="1" ht="14.5">
      <c r="A928" s="1693">
        <f t="shared" si="1505"/>
        <v>920</v>
      </c>
      <c r="B928" s="616">
        <v>1</v>
      </c>
      <c r="C928" s="1693">
        <f t="shared" si="1493"/>
        <v>928</v>
      </c>
      <c r="D928" s="616">
        <v>1</v>
      </c>
      <c r="F928" s="454"/>
      <c r="G928" s="4"/>
      <c r="H928" s="4"/>
      <c r="I928" s="4"/>
      <c r="J928" s="262"/>
      <c r="K928" s="4"/>
      <c r="L928" s="4"/>
      <c r="M928" s="4"/>
      <c r="N928" s="3"/>
      <c r="O928" s="41"/>
      <c r="P928" s="41" t="s">
        <v>41</v>
      </c>
      <c r="Q928" s="3"/>
      <c r="R928" s="1778" t="str">
        <f>CHOOSE(2, "6722000003839", "HC Office FE/TTOC Service Total Dealer(Indirect) support")</f>
        <v>HC Office FE/TTOC Service Total Dealer(Indirect) support</v>
      </c>
      <c r="S928" s="1212"/>
      <c r="T928" s="1212"/>
      <c r="U928" s="1212"/>
      <c r="V928" s="1212"/>
      <c r="W928" s="1212"/>
      <c r="X928" s="1212"/>
      <c r="Y928" s="1212"/>
      <c r="Z928" s="1212"/>
      <c r="AA928" s="1212"/>
      <c r="AB928" s="1212"/>
      <c r="AC928" s="1212"/>
      <c r="AD928" s="1212"/>
      <c r="AE928" s="877">
        <f>U928</f>
        <v>0</v>
      </c>
      <c r="AF928" s="40">
        <f>X928</f>
        <v>0</v>
      </c>
      <c r="AG928" s="40">
        <f>AA928</f>
        <v>0</v>
      </c>
      <c r="AH928" s="40">
        <f>AD928</f>
        <v>0</v>
      </c>
      <c r="AI928" s="40">
        <f>AF928</f>
        <v>0</v>
      </c>
      <c r="AJ928" s="40">
        <f>AH928</f>
        <v>0</v>
      </c>
      <c r="AK928" s="40">
        <f>AJ928</f>
        <v>0</v>
      </c>
      <c r="AM928" s="1910">
        <f t="shared" ca="1" si="1508"/>
        <v>0</v>
      </c>
      <c r="AN928" s="1910">
        <f t="shared" ca="1" si="1509"/>
        <v>0</v>
      </c>
      <c r="AO928" s="2694">
        <f t="shared" ca="1" si="1510"/>
        <v>0</v>
      </c>
      <c r="AP928" s="2695">
        <f t="shared" ca="1" si="1511"/>
        <v>0</v>
      </c>
      <c r="AQ928" s="1910">
        <f t="shared" ca="1" si="1512"/>
        <v>0</v>
      </c>
      <c r="AR928" s="2694">
        <f t="shared" ca="1" si="1513"/>
        <v>0</v>
      </c>
      <c r="AS928" s="2695">
        <f t="shared" ca="1" si="1514"/>
        <v>0</v>
      </c>
      <c r="AU928" s="1910">
        <f t="shared" ca="1" si="1515"/>
        <v>0</v>
      </c>
      <c r="AV928" s="1910">
        <f t="shared" ca="1" si="1516"/>
        <v>0</v>
      </c>
      <c r="AW928" s="2694">
        <f t="shared" ca="1" si="1517"/>
        <v>0</v>
      </c>
      <c r="AX928" s="2695">
        <f t="shared" ca="1" si="1518"/>
        <v>0</v>
      </c>
      <c r="AY928" s="1910">
        <f t="shared" ca="1" si="1519"/>
        <v>0</v>
      </c>
      <c r="AZ928" s="2694">
        <f t="shared" ca="1" si="1520"/>
        <v>0</v>
      </c>
      <c r="BA928" s="2695">
        <f t="shared" ca="1" si="1521"/>
        <v>0</v>
      </c>
      <c r="BC928" s="1910">
        <f t="shared" ca="1" si="1522"/>
        <v>0</v>
      </c>
      <c r="BD928" s="1910">
        <f t="shared" ca="1" si="1523"/>
        <v>0</v>
      </c>
      <c r="BE928" s="2694">
        <f t="shared" ca="1" si="1524"/>
        <v>0</v>
      </c>
      <c r="BF928" s="2695">
        <f t="shared" ca="1" si="1525"/>
        <v>0</v>
      </c>
      <c r="BG928" s="1910">
        <f t="shared" ca="1" si="1526"/>
        <v>0</v>
      </c>
      <c r="BH928" s="2694">
        <f t="shared" ca="1" si="1527"/>
        <v>0</v>
      </c>
      <c r="BI928" s="2695">
        <f t="shared" ca="1" si="1528"/>
        <v>0</v>
      </c>
    </row>
    <row r="929" spans="1:61" s="34" customFormat="1" ht="14.5">
      <c r="A929" s="1693">
        <f t="shared" si="1505"/>
        <v>921</v>
      </c>
      <c r="B929" s="616">
        <v>1</v>
      </c>
      <c r="C929" s="1693">
        <f t="shared" si="1493"/>
        <v>929</v>
      </c>
      <c r="D929" s="616">
        <v>1</v>
      </c>
      <c r="F929" s="454"/>
      <c r="G929" s="4"/>
      <c r="H929" s="4"/>
      <c r="I929" s="4"/>
      <c r="J929" s="262"/>
      <c r="K929" s="4"/>
      <c r="L929" s="4"/>
      <c r="M929" s="4"/>
      <c r="N929" s="3"/>
      <c r="O929" s="41"/>
      <c r="P929" s="41" t="s">
        <v>40</v>
      </c>
      <c r="Q929" s="3"/>
      <c r="R929" s="1778" t="str">
        <f>CHOOSE(2, "6722000003840", "HC Office FE/TTOC Service Total Administration/Others")</f>
        <v>HC Office FE/TTOC Service Total Administration/Others</v>
      </c>
      <c r="S929" s="1212">
        <v>22</v>
      </c>
      <c r="T929" s="1212">
        <v>22</v>
      </c>
      <c r="U929" s="1212">
        <v>22</v>
      </c>
      <c r="V929" s="1212">
        <v>22</v>
      </c>
      <c r="W929" s="1212">
        <v>21</v>
      </c>
      <c r="X929" s="1212">
        <v>22</v>
      </c>
      <c r="Y929" s="1212">
        <v>22</v>
      </c>
      <c r="Z929" s="1212">
        <v>22</v>
      </c>
      <c r="AA929" s="1212">
        <v>22</v>
      </c>
      <c r="AB929" s="1212">
        <v>22</v>
      </c>
      <c r="AC929" s="1212">
        <v>21</v>
      </c>
      <c r="AD929" s="1212">
        <v>21</v>
      </c>
      <c r="AE929" s="877">
        <f>U929</f>
        <v>22</v>
      </c>
      <c r="AF929" s="40">
        <f>X929</f>
        <v>22</v>
      </c>
      <c r="AG929" s="40">
        <f>AA929</f>
        <v>22</v>
      </c>
      <c r="AH929" s="40">
        <f>AD929</f>
        <v>21</v>
      </c>
      <c r="AI929" s="40">
        <f>AF929</f>
        <v>22</v>
      </c>
      <c r="AJ929" s="40">
        <f>AH929</f>
        <v>21</v>
      </c>
      <c r="AK929" s="40">
        <f>AJ929</f>
        <v>21</v>
      </c>
      <c r="AM929" s="1910">
        <f t="shared" ca="1" si="1508"/>
        <v>22</v>
      </c>
      <c r="AN929" s="1910">
        <f t="shared" ca="1" si="1509"/>
        <v>20</v>
      </c>
      <c r="AO929" s="2694">
        <f t="shared" ca="1" si="1510"/>
        <v>2</v>
      </c>
      <c r="AP929" s="2695">
        <f t="shared" ca="1" si="1511"/>
        <v>1.1000000000000001</v>
      </c>
      <c r="AQ929" s="1910">
        <f t="shared" ca="1" si="1512"/>
        <v>20</v>
      </c>
      <c r="AR929" s="2694">
        <f t="shared" ca="1" si="1513"/>
        <v>2</v>
      </c>
      <c r="AS929" s="2695">
        <f t="shared" ca="1" si="1514"/>
        <v>1.1000000000000001</v>
      </c>
      <c r="AU929" s="1910">
        <f t="shared" ca="1" si="1515"/>
        <v>22</v>
      </c>
      <c r="AV929" s="1910">
        <f t="shared" ca="1" si="1516"/>
        <v>20</v>
      </c>
      <c r="AW929" s="2694">
        <f t="shared" ca="1" si="1517"/>
        <v>2</v>
      </c>
      <c r="AX929" s="2695">
        <f t="shared" ca="1" si="1518"/>
        <v>1.1000000000000001</v>
      </c>
      <c r="AY929" s="1910">
        <f t="shared" ca="1" si="1519"/>
        <v>20</v>
      </c>
      <c r="AZ929" s="2694">
        <f t="shared" ca="1" si="1520"/>
        <v>2</v>
      </c>
      <c r="BA929" s="2695">
        <f t="shared" ca="1" si="1521"/>
        <v>1.1000000000000001</v>
      </c>
      <c r="BC929" s="1910">
        <f t="shared" ca="1" si="1522"/>
        <v>22</v>
      </c>
      <c r="BD929" s="1910">
        <f t="shared" ca="1" si="1523"/>
        <v>20</v>
      </c>
      <c r="BE929" s="2694">
        <f t="shared" ca="1" si="1524"/>
        <v>2</v>
      </c>
      <c r="BF929" s="2695">
        <f t="shared" ca="1" si="1525"/>
        <v>1.1000000000000001</v>
      </c>
      <c r="BG929" s="1910">
        <f t="shared" ca="1" si="1526"/>
        <v>20</v>
      </c>
      <c r="BH929" s="2694">
        <f t="shared" ca="1" si="1527"/>
        <v>2</v>
      </c>
      <c r="BI929" s="2695">
        <f t="shared" ca="1" si="1528"/>
        <v>1.1000000000000001</v>
      </c>
    </row>
    <row r="930" spans="1:61" s="34" customFormat="1" ht="14.5">
      <c r="A930" s="1693">
        <f t="shared" si="1505"/>
        <v>922</v>
      </c>
      <c r="B930" s="616">
        <v>1</v>
      </c>
      <c r="C930" s="1693">
        <f t="shared" si="1493"/>
        <v>930</v>
      </c>
      <c r="D930" s="616">
        <v>1</v>
      </c>
      <c r="E930" s="709" t="s">
        <v>512</v>
      </c>
      <c r="F930" s="1572"/>
      <c r="G930" s="4"/>
      <c r="H930" s="4"/>
      <c r="I930" s="4"/>
      <c r="J930" s="262"/>
      <c r="K930" s="252" t="s">
        <v>205</v>
      </c>
      <c r="L930" s="44"/>
      <c r="M930" s="44"/>
      <c r="N930" s="43"/>
      <c r="O930" s="43"/>
      <c r="P930" s="43"/>
      <c r="Q930" s="251"/>
      <c r="R930" s="1786" t="str">
        <f>CHOOSE(2, "6722000003841", "HC Office FE/TTOC Marketing Total")</f>
        <v>HC Office FE/TTOC Marketing Total</v>
      </c>
      <c r="S930" s="1380">
        <f>SUM(S931:S934)</f>
        <v>5</v>
      </c>
      <c r="T930" s="1380">
        <f t="shared" ref="T930:AD930" si="1533">SUM(T931:T934)</f>
        <v>5</v>
      </c>
      <c r="U930" s="1380">
        <f t="shared" si="1533"/>
        <v>5</v>
      </c>
      <c r="V930" s="1380">
        <f t="shared" si="1533"/>
        <v>5</v>
      </c>
      <c r="W930" s="1380">
        <f t="shared" si="1533"/>
        <v>5</v>
      </c>
      <c r="X930" s="1380">
        <f t="shared" si="1533"/>
        <v>5</v>
      </c>
      <c r="Y930" s="1380">
        <f t="shared" si="1533"/>
        <v>5</v>
      </c>
      <c r="Z930" s="1380">
        <f t="shared" si="1533"/>
        <v>6</v>
      </c>
      <c r="AA930" s="1380">
        <f t="shared" si="1533"/>
        <v>6</v>
      </c>
      <c r="AB930" s="1380">
        <f t="shared" si="1533"/>
        <v>6</v>
      </c>
      <c r="AC930" s="1380">
        <f t="shared" si="1533"/>
        <v>7</v>
      </c>
      <c r="AD930" s="1380">
        <f t="shared" si="1533"/>
        <v>7</v>
      </c>
      <c r="AE930" s="782">
        <f t="shared" ref="AE930:AK930" si="1534">SUM(AE931:AE934)</f>
        <v>5</v>
      </c>
      <c r="AF930" s="1634">
        <f t="shared" si="1534"/>
        <v>5</v>
      </c>
      <c r="AG930" s="1634">
        <f t="shared" si="1534"/>
        <v>6</v>
      </c>
      <c r="AH930" s="1634">
        <f t="shared" si="1534"/>
        <v>7</v>
      </c>
      <c r="AI930" s="1634">
        <f t="shared" si="1534"/>
        <v>5</v>
      </c>
      <c r="AJ930" s="1634">
        <f t="shared" si="1534"/>
        <v>7</v>
      </c>
      <c r="AK930" s="1634">
        <f t="shared" si="1534"/>
        <v>7</v>
      </c>
      <c r="AM930" s="2252">
        <f t="shared" ca="1" si="1508"/>
        <v>5</v>
      </c>
      <c r="AN930" s="2252">
        <f t="shared" ca="1" si="1509"/>
        <v>5</v>
      </c>
      <c r="AO930" s="2952">
        <f t="shared" ca="1" si="1510"/>
        <v>0</v>
      </c>
      <c r="AP930" s="2953">
        <f t="shared" ca="1" si="1511"/>
        <v>1</v>
      </c>
      <c r="AQ930" s="2252">
        <f t="shared" ca="1" si="1512"/>
        <v>4</v>
      </c>
      <c r="AR930" s="2952">
        <f t="shared" ca="1" si="1513"/>
        <v>1</v>
      </c>
      <c r="AS930" s="2953">
        <f t="shared" ca="1" si="1514"/>
        <v>1.25</v>
      </c>
      <c r="AU930" s="2252">
        <f t="shared" ca="1" si="1515"/>
        <v>5</v>
      </c>
      <c r="AV930" s="2252">
        <f t="shared" ca="1" si="1516"/>
        <v>5</v>
      </c>
      <c r="AW930" s="2952">
        <f t="shared" ca="1" si="1517"/>
        <v>0</v>
      </c>
      <c r="AX930" s="2953">
        <f t="shared" ca="1" si="1518"/>
        <v>1</v>
      </c>
      <c r="AY930" s="2252">
        <f t="shared" ca="1" si="1519"/>
        <v>4</v>
      </c>
      <c r="AZ930" s="2952">
        <f t="shared" ca="1" si="1520"/>
        <v>1</v>
      </c>
      <c r="BA930" s="2953">
        <f t="shared" ca="1" si="1521"/>
        <v>1.25</v>
      </c>
      <c r="BC930" s="2252">
        <f t="shared" ca="1" si="1522"/>
        <v>5</v>
      </c>
      <c r="BD930" s="2252">
        <f t="shared" ca="1" si="1523"/>
        <v>5</v>
      </c>
      <c r="BE930" s="2952">
        <f t="shared" ca="1" si="1524"/>
        <v>0</v>
      </c>
      <c r="BF930" s="2953">
        <f t="shared" ca="1" si="1525"/>
        <v>1</v>
      </c>
      <c r="BG930" s="2252">
        <f t="shared" ca="1" si="1526"/>
        <v>4</v>
      </c>
      <c r="BH930" s="2952">
        <f t="shared" ca="1" si="1527"/>
        <v>1</v>
      </c>
      <c r="BI930" s="2953">
        <f t="shared" ca="1" si="1528"/>
        <v>1.25</v>
      </c>
    </row>
    <row r="931" spans="1:61" s="34" customFormat="1" ht="14.5">
      <c r="A931" s="1693">
        <f t="shared" si="1505"/>
        <v>923</v>
      </c>
      <c r="B931" s="616">
        <v>1</v>
      </c>
      <c r="C931" s="1693">
        <f t="shared" si="1493"/>
        <v>931</v>
      </c>
      <c r="D931" s="616">
        <v>1</v>
      </c>
      <c r="F931" s="454"/>
      <c r="G931" s="4"/>
      <c r="H931" s="4"/>
      <c r="I931" s="4"/>
      <c r="J931" s="262"/>
      <c r="K931" s="4"/>
      <c r="L931" s="4"/>
      <c r="M931" s="4"/>
      <c r="N931" s="3"/>
      <c r="O931" s="41"/>
      <c r="P931" s="41" t="s">
        <v>198</v>
      </c>
      <c r="Q931" s="3"/>
      <c r="R931" s="1778" t="str">
        <f>CHOOSE(2, "6722000003842", "HC Office FE/TTOC Marketing Total Business Development")</f>
        <v>HC Office FE/TTOC Marketing Total Business Development</v>
      </c>
      <c r="S931" s="1212">
        <v>1</v>
      </c>
      <c r="T931" s="1212">
        <v>1</v>
      </c>
      <c r="U931" s="1212">
        <v>1</v>
      </c>
      <c r="V931" s="1212">
        <v>1</v>
      </c>
      <c r="W931" s="1212">
        <v>1</v>
      </c>
      <c r="X931" s="1212">
        <v>1</v>
      </c>
      <c r="Y931" s="1212">
        <v>1</v>
      </c>
      <c r="Z931" s="1212">
        <v>1</v>
      </c>
      <c r="AA931" s="1212">
        <v>1</v>
      </c>
      <c r="AB931" s="1212">
        <v>1</v>
      </c>
      <c r="AC931" s="1212">
        <v>1</v>
      </c>
      <c r="AD931" s="1212">
        <v>1</v>
      </c>
      <c r="AE931" s="877">
        <f>U931</f>
        <v>1</v>
      </c>
      <c r="AF931" s="40">
        <f>X931</f>
        <v>1</v>
      </c>
      <c r="AG931" s="40">
        <f>AA931</f>
        <v>1</v>
      </c>
      <c r="AH931" s="40">
        <f>AD931</f>
        <v>1</v>
      </c>
      <c r="AI931" s="40">
        <f>AF931</f>
        <v>1</v>
      </c>
      <c r="AJ931" s="40">
        <f>AH931</f>
        <v>1</v>
      </c>
      <c r="AK931" s="40">
        <f>AJ931</f>
        <v>1</v>
      </c>
      <c r="AM931" s="1910">
        <f t="shared" ca="1" si="1508"/>
        <v>1</v>
      </c>
      <c r="AN931" s="1910">
        <f t="shared" ca="1" si="1509"/>
        <v>0</v>
      </c>
      <c r="AO931" s="2694">
        <f t="shared" ca="1" si="1510"/>
        <v>1</v>
      </c>
      <c r="AP931" s="2695">
        <f t="shared" ca="1" si="1511"/>
        <v>0</v>
      </c>
      <c r="AQ931" s="1910">
        <f t="shared" ca="1" si="1512"/>
        <v>0</v>
      </c>
      <c r="AR931" s="2694">
        <f t="shared" ca="1" si="1513"/>
        <v>1</v>
      </c>
      <c r="AS931" s="2695">
        <f t="shared" ca="1" si="1514"/>
        <v>0</v>
      </c>
      <c r="AU931" s="1910">
        <f t="shared" ca="1" si="1515"/>
        <v>1</v>
      </c>
      <c r="AV931" s="1910">
        <f t="shared" ca="1" si="1516"/>
        <v>0</v>
      </c>
      <c r="AW931" s="2694">
        <f t="shared" ca="1" si="1517"/>
        <v>1</v>
      </c>
      <c r="AX931" s="2695">
        <f t="shared" ca="1" si="1518"/>
        <v>0</v>
      </c>
      <c r="AY931" s="1910">
        <f t="shared" ca="1" si="1519"/>
        <v>0</v>
      </c>
      <c r="AZ931" s="2694">
        <f t="shared" ca="1" si="1520"/>
        <v>1</v>
      </c>
      <c r="BA931" s="2695">
        <f t="shared" ca="1" si="1521"/>
        <v>0</v>
      </c>
      <c r="BC931" s="1910">
        <f t="shared" ca="1" si="1522"/>
        <v>1</v>
      </c>
      <c r="BD931" s="1910">
        <f t="shared" ca="1" si="1523"/>
        <v>0</v>
      </c>
      <c r="BE931" s="2694">
        <f t="shared" ca="1" si="1524"/>
        <v>1</v>
      </c>
      <c r="BF931" s="2695">
        <f t="shared" ca="1" si="1525"/>
        <v>0</v>
      </c>
      <c r="BG931" s="1910">
        <f t="shared" ca="1" si="1526"/>
        <v>0</v>
      </c>
      <c r="BH931" s="2694">
        <f t="shared" ca="1" si="1527"/>
        <v>1</v>
      </c>
      <c r="BI931" s="2695">
        <f t="shared" ca="1" si="1528"/>
        <v>0</v>
      </c>
    </row>
    <row r="932" spans="1:61" s="34" customFormat="1" ht="14.5">
      <c r="A932" s="1693">
        <f t="shared" si="1505"/>
        <v>924</v>
      </c>
      <c r="B932" s="616">
        <v>1</v>
      </c>
      <c r="C932" s="1693">
        <f t="shared" si="1493"/>
        <v>932</v>
      </c>
      <c r="D932" s="616">
        <v>1</v>
      </c>
      <c r="F932" s="454"/>
      <c r="G932" s="4"/>
      <c r="H932" s="4"/>
      <c r="I932" s="4"/>
      <c r="J932" s="262"/>
      <c r="K932" s="4"/>
      <c r="L932" s="4"/>
      <c r="M932" s="4"/>
      <c r="N932" s="3"/>
      <c r="O932" s="41"/>
      <c r="P932" s="41" t="s">
        <v>199</v>
      </c>
      <c r="Q932" s="3"/>
      <c r="R932" s="1778" t="str">
        <f>CHOOSE(2, "6722000003843", "HC Office FE/TTOC Marketing Total Channel Marketing")</f>
        <v>HC Office FE/TTOC Marketing Total Channel Marketing</v>
      </c>
      <c r="S932" s="1212"/>
      <c r="T932" s="1212"/>
      <c r="U932" s="1212"/>
      <c r="V932" s="1212"/>
      <c r="W932" s="1212"/>
      <c r="X932" s="1212"/>
      <c r="Y932" s="1212"/>
      <c r="Z932" s="1212"/>
      <c r="AA932" s="1212"/>
      <c r="AB932" s="1212"/>
      <c r="AC932" s="1212"/>
      <c r="AD932" s="1212"/>
      <c r="AE932" s="877">
        <f>U932</f>
        <v>0</v>
      </c>
      <c r="AF932" s="40">
        <f>X932</f>
        <v>0</v>
      </c>
      <c r="AG932" s="40">
        <f>AA932</f>
        <v>0</v>
      </c>
      <c r="AH932" s="40">
        <f>AD932</f>
        <v>0</v>
      </c>
      <c r="AI932" s="40">
        <f>AF932</f>
        <v>0</v>
      </c>
      <c r="AJ932" s="40">
        <f>AH932</f>
        <v>0</v>
      </c>
      <c r="AK932" s="40">
        <f>AJ932</f>
        <v>0</v>
      </c>
      <c r="AM932" s="1910">
        <f t="shared" ca="1" si="1508"/>
        <v>0</v>
      </c>
      <c r="AN932" s="1910">
        <f t="shared" ca="1" si="1509"/>
        <v>0</v>
      </c>
      <c r="AO932" s="2694">
        <f t="shared" ca="1" si="1510"/>
        <v>0</v>
      </c>
      <c r="AP932" s="2695">
        <f t="shared" ca="1" si="1511"/>
        <v>0</v>
      </c>
      <c r="AQ932" s="1910">
        <f t="shared" ca="1" si="1512"/>
        <v>0</v>
      </c>
      <c r="AR932" s="2694">
        <f t="shared" ca="1" si="1513"/>
        <v>0</v>
      </c>
      <c r="AS932" s="2695">
        <f t="shared" ca="1" si="1514"/>
        <v>0</v>
      </c>
      <c r="AU932" s="1910">
        <f t="shared" ca="1" si="1515"/>
        <v>0</v>
      </c>
      <c r="AV932" s="1910">
        <f t="shared" ca="1" si="1516"/>
        <v>0</v>
      </c>
      <c r="AW932" s="2694">
        <f t="shared" ca="1" si="1517"/>
        <v>0</v>
      </c>
      <c r="AX932" s="2695">
        <f t="shared" ca="1" si="1518"/>
        <v>0</v>
      </c>
      <c r="AY932" s="1910">
        <f t="shared" ca="1" si="1519"/>
        <v>0</v>
      </c>
      <c r="AZ932" s="2694">
        <f t="shared" ca="1" si="1520"/>
        <v>0</v>
      </c>
      <c r="BA932" s="2695">
        <f t="shared" ca="1" si="1521"/>
        <v>0</v>
      </c>
      <c r="BC932" s="1910">
        <f t="shared" ca="1" si="1522"/>
        <v>0</v>
      </c>
      <c r="BD932" s="1910">
        <f t="shared" ca="1" si="1523"/>
        <v>0</v>
      </c>
      <c r="BE932" s="2694">
        <f t="shared" ca="1" si="1524"/>
        <v>0</v>
      </c>
      <c r="BF932" s="2695">
        <f t="shared" ca="1" si="1525"/>
        <v>0</v>
      </c>
      <c r="BG932" s="1910">
        <f t="shared" ca="1" si="1526"/>
        <v>0</v>
      </c>
      <c r="BH932" s="2694">
        <f t="shared" ca="1" si="1527"/>
        <v>0</v>
      </c>
      <c r="BI932" s="2695">
        <f t="shared" ca="1" si="1528"/>
        <v>0</v>
      </c>
    </row>
    <row r="933" spans="1:61" s="34" customFormat="1" ht="14.5">
      <c r="A933" s="1693">
        <f t="shared" si="1505"/>
        <v>925</v>
      </c>
      <c r="B933" s="616">
        <v>1</v>
      </c>
      <c r="C933" s="1693">
        <f t="shared" si="1493"/>
        <v>933</v>
      </c>
      <c r="D933" s="616">
        <v>1</v>
      </c>
      <c r="F933" s="454"/>
      <c r="G933" s="4"/>
      <c r="H933" s="4"/>
      <c r="I933" s="4"/>
      <c r="J933" s="262"/>
      <c r="K933" s="4"/>
      <c r="L933" s="4"/>
      <c r="M933" s="4"/>
      <c r="N933" s="3"/>
      <c r="O933" s="41"/>
      <c r="P933" s="41" t="s">
        <v>200</v>
      </c>
      <c r="Q933" s="3"/>
      <c r="R933" s="1778" t="str">
        <f>CHOOSE(2, "6722000003844", "HC Office FE/TTOC Marketing Total Product Marketing")</f>
        <v>HC Office FE/TTOC Marketing Total Product Marketing</v>
      </c>
      <c r="S933" s="1212">
        <v>4</v>
      </c>
      <c r="T933" s="1212">
        <v>4</v>
      </c>
      <c r="U933" s="1212">
        <v>4</v>
      </c>
      <c r="V933" s="1212">
        <v>4</v>
      </c>
      <c r="W933" s="1212">
        <v>4</v>
      </c>
      <c r="X933" s="1212">
        <v>4</v>
      </c>
      <c r="Y933" s="1212">
        <v>4</v>
      </c>
      <c r="Z933" s="1212">
        <v>5</v>
      </c>
      <c r="AA933" s="1212">
        <v>5</v>
      </c>
      <c r="AB933" s="1212">
        <v>5</v>
      </c>
      <c r="AC933" s="1212">
        <v>6</v>
      </c>
      <c r="AD933" s="1212">
        <v>6</v>
      </c>
      <c r="AE933" s="877">
        <f>U933</f>
        <v>4</v>
      </c>
      <c r="AF933" s="40">
        <f>X933</f>
        <v>4</v>
      </c>
      <c r="AG933" s="40">
        <f>AA933</f>
        <v>5</v>
      </c>
      <c r="AH933" s="40">
        <f>AD933</f>
        <v>6</v>
      </c>
      <c r="AI933" s="40">
        <f>AF933</f>
        <v>4</v>
      </c>
      <c r="AJ933" s="40">
        <f>AH933</f>
        <v>6</v>
      </c>
      <c r="AK933" s="40">
        <f>AJ933</f>
        <v>6</v>
      </c>
      <c r="AM933" s="1910">
        <f t="shared" ca="1" si="1508"/>
        <v>4</v>
      </c>
      <c r="AN933" s="1910">
        <f t="shared" ca="1" si="1509"/>
        <v>5</v>
      </c>
      <c r="AO933" s="2694">
        <f t="shared" ca="1" si="1510"/>
        <v>-1</v>
      </c>
      <c r="AP933" s="2695">
        <f t="shared" ca="1" si="1511"/>
        <v>0.8</v>
      </c>
      <c r="AQ933" s="1910">
        <f t="shared" ca="1" si="1512"/>
        <v>4</v>
      </c>
      <c r="AR933" s="2694">
        <f t="shared" ca="1" si="1513"/>
        <v>0</v>
      </c>
      <c r="AS933" s="2695">
        <f t="shared" ca="1" si="1514"/>
        <v>1</v>
      </c>
      <c r="AU933" s="1910">
        <f t="shared" ca="1" si="1515"/>
        <v>4</v>
      </c>
      <c r="AV933" s="1910">
        <f t="shared" ca="1" si="1516"/>
        <v>5</v>
      </c>
      <c r="AW933" s="2694">
        <f t="shared" ca="1" si="1517"/>
        <v>-1</v>
      </c>
      <c r="AX933" s="2695">
        <f t="shared" ca="1" si="1518"/>
        <v>0.8</v>
      </c>
      <c r="AY933" s="1910">
        <f t="shared" ca="1" si="1519"/>
        <v>4</v>
      </c>
      <c r="AZ933" s="2694">
        <f t="shared" ca="1" si="1520"/>
        <v>0</v>
      </c>
      <c r="BA933" s="2695">
        <f t="shared" ca="1" si="1521"/>
        <v>1</v>
      </c>
      <c r="BC933" s="1910">
        <f t="shared" ca="1" si="1522"/>
        <v>4</v>
      </c>
      <c r="BD933" s="1910">
        <f t="shared" ca="1" si="1523"/>
        <v>5</v>
      </c>
      <c r="BE933" s="2694">
        <f t="shared" ca="1" si="1524"/>
        <v>-1</v>
      </c>
      <c r="BF933" s="2695">
        <f t="shared" ca="1" si="1525"/>
        <v>0.8</v>
      </c>
      <c r="BG933" s="1910">
        <f t="shared" ca="1" si="1526"/>
        <v>4</v>
      </c>
      <c r="BH933" s="2694">
        <f t="shared" ca="1" si="1527"/>
        <v>0</v>
      </c>
      <c r="BI933" s="2695">
        <f t="shared" ca="1" si="1528"/>
        <v>1</v>
      </c>
    </row>
    <row r="934" spans="1:61" s="34" customFormat="1" ht="14.5">
      <c r="A934" s="1693">
        <f t="shared" si="1505"/>
        <v>926</v>
      </c>
      <c r="B934" s="616">
        <v>1</v>
      </c>
      <c r="C934" s="1693">
        <f t="shared" si="1493"/>
        <v>934</v>
      </c>
      <c r="D934" s="616">
        <v>1</v>
      </c>
      <c r="F934" s="454"/>
      <c r="G934" s="4"/>
      <c r="H934" s="4"/>
      <c r="I934" s="4"/>
      <c r="J934" s="262"/>
      <c r="K934" s="2"/>
      <c r="L934" s="2"/>
      <c r="M934" s="2"/>
      <c r="N934" s="1"/>
      <c r="O934" s="39"/>
      <c r="P934" s="39" t="s">
        <v>201</v>
      </c>
      <c r="Q934" s="1"/>
      <c r="R934" s="1778" t="str">
        <f>CHOOSE(2, "6722000003845", "HC Office FE/TTOC Marketing Total MC / O")</f>
        <v>HC Office FE/TTOC Marketing Total MC / O</v>
      </c>
      <c r="S934" s="1211"/>
      <c r="T934" s="1211"/>
      <c r="U934" s="1211"/>
      <c r="V934" s="1211"/>
      <c r="W934" s="1211"/>
      <c r="X934" s="1211"/>
      <c r="Y934" s="1211"/>
      <c r="Z934" s="1211"/>
      <c r="AA934" s="1211"/>
      <c r="AB934" s="1211"/>
      <c r="AC934" s="1211"/>
      <c r="AD934" s="1211"/>
      <c r="AE934" s="912">
        <f>U934</f>
        <v>0</v>
      </c>
      <c r="AF934" s="38">
        <f>X934</f>
        <v>0</v>
      </c>
      <c r="AG934" s="38">
        <f>AA934</f>
        <v>0</v>
      </c>
      <c r="AH934" s="38">
        <f>AD934</f>
        <v>0</v>
      </c>
      <c r="AI934" s="38">
        <f>AF934</f>
        <v>0</v>
      </c>
      <c r="AJ934" s="38">
        <f>AH934</f>
        <v>0</v>
      </c>
      <c r="AK934" s="38">
        <f>AJ934</f>
        <v>0</v>
      </c>
      <c r="AM934" s="2248">
        <f t="shared" ca="1" si="1508"/>
        <v>0</v>
      </c>
      <c r="AN934" s="2248">
        <f t="shared" ca="1" si="1509"/>
        <v>0</v>
      </c>
      <c r="AO934" s="2950">
        <f t="shared" ca="1" si="1510"/>
        <v>0</v>
      </c>
      <c r="AP934" s="2951">
        <f t="shared" ca="1" si="1511"/>
        <v>0</v>
      </c>
      <c r="AQ934" s="2248">
        <f t="shared" ca="1" si="1512"/>
        <v>0</v>
      </c>
      <c r="AR934" s="2950">
        <f t="shared" ca="1" si="1513"/>
        <v>0</v>
      </c>
      <c r="AS934" s="2951">
        <f t="shared" ca="1" si="1514"/>
        <v>0</v>
      </c>
      <c r="AU934" s="2248">
        <f t="shared" ca="1" si="1515"/>
        <v>0</v>
      </c>
      <c r="AV934" s="2248">
        <f t="shared" ca="1" si="1516"/>
        <v>0</v>
      </c>
      <c r="AW934" s="2950">
        <f t="shared" ca="1" si="1517"/>
        <v>0</v>
      </c>
      <c r="AX934" s="2951">
        <f t="shared" ca="1" si="1518"/>
        <v>0</v>
      </c>
      <c r="AY934" s="2248">
        <f t="shared" ca="1" si="1519"/>
        <v>0</v>
      </c>
      <c r="AZ934" s="2950">
        <f t="shared" ca="1" si="1520"/>
        <v>0</v>
      </c>
      <c r="BA934" s="2951">
        <f t="shared" ca="1" si="1521"/>
        <v>0</v>
      </c>
      <c r="BC934" s="2248">
        <f t="shared" ca="1" si="1522"/>
        <v>0</v>
      </c>
      <c r="BD934" s="2248">
        <f t="shared" ca="1" si="1523"/>
        <v>0</v>
      </c>
      <c r="BE934" s="2950">
        <f t="shared" ca="1" si="1524"/>
        <v>0</v>
      </c>
      <c r="BF934" s="2951">
        <f t="shared" ca="1" si="1525"/>
        <v>0</v>
      </c>
      <c r="BG934" s="2248">
        <f t="shared" ca="1" si="1526"/>
        <v>0</v>
      </c>
      <c r="BH934" s="2950">
        <f t="shared" ca="1" si="1527"/>
        <v>0</v>
      </c>
      <c r="BI934" s="2951">
        <f t="shared" ca="1" si="1528"/>
        <v>0</v>
      </c>
    </row>
    <row r="935" spans="1:61" s="34" customFormat="1" ht="14.5">
      <c r="A935" s="1693">
        <f t="shared" si="1505"/>
        <v>927</v>
      </c>
      <c r="B935" s="616">
        <v>1</v>
      </c>
      <c r="C935" s="1693">
        <f t="shared" si="1493"/>
        <v>935</v>
      </c>
      <c r="D935" s="616">
        <v>1</v>
      </c>
      <c r="E935" s="709" t="s">
        <v>512</v>
      </c>
      <c r="F935" s="1572"/>
      <c r="G935" s="4"/>
      <c r="H935" s="4"/>
      <c r="I935" s="4"/>
      <c r="J935" s="262"/>
      <c r="K935" s="48" t="s">
        <v>17</v>
      </c>
      <c r="L935" s="48"/>
      <c r="M935" s="48"/>
      <c r="N935" s="47"/>
      <c r="O935" s="47"/>
      <c r="P935" s="47"/>
      <c r="Q935" s="47"/>
      <c r="R935" s="1786" t="str">
        <f>CHOOSE(2, "6722000003846", "HC Office FE/TTOC Administration Total")</f>
        <v>HC Office FE/TTOC Administration Total</v>
      </c>
      <c r="S935" s="1255">
        <f>SUM(S936:S940)</f>
        <v>28</v>
      </c>
      <c r="T935" s="1255">
        <f t="shared" ref="T935:AD935" si="1535">SUM(T936:T940)</f>
        <v>28</v>
      </c>
      <c r="U935" s="1255">
        <f t="shared" si="1535"/>
        <v>28</v>
      </c>
      <c r="V935" s="1255">
        <f t="shared" si="1535"/>
        <v>30</v>
      </c>
      <c r="W935" s="1255">
        <f t="shared" si="1535"/>
        <v>32</v>
      </c>
      <c r="X935" s="1255">
        <f t="shared" si="1535"/>
        <v>32</v>
      </c>
      <c r="Y935" s="1255">
        <f t="shared" si="1535"/>
        <v>32</v>
      </c>
      <c r="Z935" s="1255">
        <f t="shared" si="1535"/>
        <v>31</v>
      </c>
      <c r="AA935" s="1255">
        <f t="shared" si="1535"/>
        <v>30</v>
      </c>
      <c r="AB935" s="1255">
        <f t="shared" si="1535"/>
        <v>29</v>
      </c>
      <c r="AC935" s="1255">
        <f t="shared" si="1535"/>
        <v>32</v>
      </c>
      <c r="AD935" s="1255">
        <f t="shared" si="1535"/>
        <v>31</v>
      </c>
      <c r="AE935" s="1240">
        <f t="shared" ref="AE935:AK935" si="1536">SUM(AE936:AE940)</f>
        <v>28</v>
      </c>
      <c r="AF935" s="1255">
        <f t="shared" si="1536"/>
        <v>32</v>
      </c>
      <c r="AG935" s="1255">
        <f t="shared" si="1536"/>
        <v>30</v>
      </c>
      <c r="AH935" s="1255">
        <f t="shared" si="1536"/>
        <v>31</v>
      </c>
      <c r="AI935" s="1255">
        <f t="shared" si="1536"/>
        <v>32</v>
      </c>
      <c r="AJ935" s="1255">
        <f t="shared" si="1536"/>
        <v>31</v>
      </c>
      <c r="AK935" s="1255">
        <f t="shared" si="1536"/>
        <v>31</v>
      </c>
      <c r="AM935" s="2250">
        <f t="shared" ca="1" si="1508"/>
        <v>28</v>
      </c>
      <c r="AN935" s="2250">
        <f t="shared" ca="1" si="1509"/>
        <v>30</v>
      </c>
      <c r="AO935" s="2948">
        <f t="shared" ca="1" si="1510"/>
        <v>-2</v>
      </c>
      <c r="AP935" s="2949">
        <f t="shared" ca="1" si="1511"/>
        <v>0.93333333333333335</v>
      </c>
      <c r="AQ935" s="2250">
        <f t="shared" ca="1" si="1512"/>
        <v>23</v>
      </c>
      <c r="AR935" s="2948">
        <f t="shared" ca="1" si="1513"/>
        <v>5</v>
      </c>
      <c r="AS935" s="2949">
        <f t="shared" ca="1" si="1514"/>
        <v>1.2173913043478262</v>
      </c>
      <c r="AU935" s="2250">
        <f t="shared" ca="1" si="1515"/>
        <v>28</v>
      </c>
      <c r="AV935" s="2250">
        <f t="shared" ca="1" si="1516"/>
        <v>30</v>
      </c>
      <c r="AW935" s="2948">
        <f t="shared" ca="1" si="1517"/>
        <v>-2</v>
      </c>
      <c r="AX935" s="2949">
        <f t="shared" ca="1" si="1518"/>
        <v>0.93333333333333335</v>
      </c>
      <c r="AY935" s="2250">
        <f t="shared" ca="1" si="1519"/>
        <v>23</v>
      </c>
      <c r="AZ935" s="2948">
        <f t="shared" ca="1" si="1520"/>
        <v>5</v>
      </c>
      <c r="BA935" s="2949">
        <f t="shared" ca="1" si="1521"/>
        <v>1.2173913043478262</v>
      </c>
      <c r="BC935" s="2250">
        <f t="shared" ca="1" si="1522"/>
        <v>28</v>
      </c>
      <c r="BD935" s="2250">
        <f t="shared" ca="1" si="1523"/>
        <v>30</v>
      </c>
      <c r="BE935" s="2948">
        <f t="shared" ca="1" si="1524"/>
        <v>-2</v>
      </c>
      <c r="BF935" s="2949">
        <f t="shared" ca="1" si="1525"/>
        <v>0.93333333333333335</v>
      </c>
      <c r="BG935" s="2250">
        <f t="shared" ca="1" si="1526"/>
        <v>23</v>
      </c>
      <c r="BH935" s="2948">
        <f t="shared" ca="1" si="1527"/>
        <v>5</v>
      </c>
      <c r="BI935" s="2949">
        <f t="shared" ca="1" si="1528"/>
        <v>1.2173913043478262</v>
      </c>
    </row>
    <row r="936" spans="1:61" s="34" customFormat="1" ht="14.5">
      <c r="A936" s="1693">
        <f t="shared" si="1505"/>
        <v>928</v>
      </c>
      <c r="B936" s="616">
        <v>1</v>
      </c>
      <c r="C936" s="1693">
        <f t="shared" si="1493"/>
        <v>936</v>
      </c>
      <c r="D936" s="616">
        <v>1</v>
      </c>
      <c r="F936" s="454"/>
      <c r="G936" s="4"/>
      <c r="H936" s="4"/>
      <c r="I936" s="4"/>
      <c r="J936" s="262"/>
      <c r="K936" s="4"/>
      <c r="L936" s="4"/>
      <c r="M936" s="3"/>
      <c r="N936" s="3"/>
      <c r="O936" s="41"/>
      <c r="P936" s="41" t="s">
        <v>39</v>
      </c>
      <c r="Q936" s="41"/>
      <c r="R936" s="1778" t="str">
        <f>CHOOSE(2, "6722000003847", "HC Office FE/TTOC Administration Total IT")</f>
        <v>HC Office FE/TTOC Administration Total IT</v>
      </c>
      <c r="S936" s="1212">
        <v>2</v>
      </c>
      <c r="T936" s="1212">
        <v>2</v>
      </c>
      <c r="U936" s="1212">
        <v>2</v>
      </c>
      <c r="V936" s="1212">
        <v>3</v>
      </c>
      <c r="W936" s="1212">
        <v>2</v>
      </c>
      <c r="X936" s="1212">
        <v>2</v>
      </c>
      <c r="Y936" s="1212">
        <v>2</v>
      </c>
      <c r="Z936" s="1212">
        <v>2</v>
      </c>
      <c r="AA936" s="1212">
        <v>2</v>
      </c>
      <c r="AB936" s="1212">
        <v>2</v>
      </c>
      <c r="AC936" s="1212">
        <v>3</v>
      </c>
      <c r="AD936" s="1212">
        <v>3</v>
      </c>
      <c r="AE936" s="877">
        <f>U936</f>
        <v>2</v>
      </c>
      <c r="AF936" s="40">
        <f>X936</f>
        <v>2</v>
      </c>
      <c r="AG936" s="40">
        <f>AA936</f>
        <v>2</v>
      </c>
      <c r="AH936" s="40">
        <f>AD936</f>
        <v>3</v>
      </c>
      <c r="AI936" s="40">
        <f>AF936</f>
        <v>2</v>
      </c>
      <c r="AJ936" s="40">
        <f>AH936</f>
        <v>3</v>
      </c>
      <c r="AK936" s="40">
        <f>AJ936</f>
        <v>3</v>
      </c>
      <c r="AM936" s="1910">
        <f t="shared" ca="1" si="1508"/>
        <v>2</v>
      </c>
      <c r="AN936" s="1910">
        <f t="shared" ca="1" si="1509"/>
        <v>2</v>
      </c>
      <c r="AO936" s="2694">
        <f t="shared" ca="1" si="1510"/>
        <v>0</v>
      </c>
      <c r="AP936" s="2695">
        <f t="shared" ca="1" si="1511"/>
        <v>1</v>
      </c>
      <c r="AQ936" s="1910">
        <f t="shared" ca="1" si="1512"/>
        <v>2</v>
      </c>
      <c r="AR936" s="2694">
        <f t="shared" ca="1" si="1513"/>
        <v>0</v>
      </c>
      <c r="AS936" s="2695">
        <f t="shared" ca="1" si="1514"/>
        <v>1</v>
      </c>
      <c r="AU936" s="1910">
        <f t="shared" ca="1" si="1515"/>
        <v>2</v>
      </c>
      <c r="AV936" s="1910">
        <f t="shared" ca="1" si="1516"/>
        <v>2</v>
      </c>
      <c r="AW936" s="2694">
        <f t="shared" ca="1" si="1517"/>
        <v>0</v>
      </c>
      <c r="AX936" s="2695">
        <f t="shared" ca="1" si="1518"/>
        <v>1</v>
      </c>
      <c r="AY936" s="1910">
        <f t="shared" ca="1" si="1519"/>
        <v>2</v>
      </c>
      <c r="AZ936" s="2694">
        <f t="shared" ca="1" si="1520"/>
        <v>0</v>
      </c>
      <c r="BA936" s="2695">
        <f t="shared" ca="1" si="1521"/>
        <v>1</v>
      </c>
      <c r="BC936" s="1910">
        <f t="shared" ca="1" si="1522"/>
        <v>2</v>
      </c>
      <c r="BD936" s="1910">
        <f t="shared" ca="1" si="1523"/>
        <v>2</v>
      </c>
      <c r="BE936" s="2694">
        <f t="shared" ca="1" si="1524"/>
        <v>0</v>
      </c>
      <c r="BF936" s="2695">
        <f t="shared" ca="1" si="1525"/>
        <v>1</v>
      </c>
      <c r="BG936" s="1910">
        <f t="shared" ca="1" si="1526"/>
        <v>2</v>
      </c>
      <c r="BH936" s="2694">
        <f t="shared" ca="1" si="1527"/>
        <v>0</v>
      </c>
      <c r="BI936" s="2695">
        <f t="shared" ca="1" si="1528"/>
        <v>1</v>
      </c>
    </row>
    <row r="937" spans="1:61" s="34" customFormat="1" ht="14.5">
      <c r="A937" s="1693">
        <f t="shared" si="1505"/>
        <v>929</v>
      </c>
      <c r="B937" s="616">
        <v>1</v>
      </c>
      <c r="C937" s="1693">
        <f t="shared" si="1493"/>
        <v>937</v>
      </c>
      <c r="D937" s="616">
        <v>1</v>
      </c>
      <c r="F937" s="454"/>
      <c r="G937" s="4"/>
      <c r="H937" s="4"/>
      <c r="I937" s="4"/>
      <c r="J937" s="262"/>
      <c r="K937" s="4"/>
      <c r="L937" s="4"/>
      <c r="M937" s="3"/>
      <c r="N937" s="3"/>
      <c r="O937" s="41"/>
      <c r="P937" s="41" t="s">
        <v>18</v>
      </c>
      <c r="Q937" s="41"/>
      <c r="R937" s="1778" t="str">
        <f>CHOOSE(2, "6722000003848", "HC Office FE/TTOC Administration Total Finance")</f>
        <v>HC Office FE/TTOC Administration Total Finance</v>
      </c>
      <c r="S937" s="1212">
        <v>15</v>
      </c>
      <c r="T937" s="1212">
        <v>15</v>
      </c>
      <c r="U937" s="1212">
        <v>15</v>
      </c>
      <c r="V937" s="1212">
        <v>16</v>
      </c>
      <c r="W937" s="1212">
        <v>17</v>
      </c>
      <c r="X937" s="1212">
        <v>17</v>
      </c>
      <c r="Y937" s="1212">
        <v>17</v>
      </c>
      <c r="Z937" s="1212">
        <v>17</v>
      </c>
      <c r="AA937" s="1212">
        <v>17</v>
      </c>
      <c r="AB937" s="1212">
        <v>16</v>
      </c>
      <c r="AC937" s="1212">
        <v>17</v>
      </c>
      <c r="AD937" s="1212">
        <v>17</v>
      </c>
      <c r="AE937" s="877">
        <f>U937</f>
        <v>15</v>
      </c>
      <c r="AF937" s="40">
        <f>X937</f>
        <v>17</v>
      </c>
      <c r="AG937" s="40">
        <f>AA937</f>
        <v>17</v>
      </c>
      <c r="AH937" s="40">
        <f>AD937</f>
        <v>17</v>
      </c>
      <c r="AI937" s="40">
        <f>AF937</f>
        <v>17</v>
      </c>
      <c r="AJ937" s="40">
        <f>AH937</f>
        <v>17</v>
      </c>
      <c r="AK937" s="40">
        <f>AJ937</f>
        <v>17</v>
      </c>
      <c r="AM937" s="1910">
        <f t="shared" ca="1" si="1508"/>
        <v>15</v>
      </c>
      <c r="AN937" s="1910">
        <f t="shared" ca="1" si="1509"/>
        <v>14</v>
      </c>
      <c r="AO937" s="2694">
        <f t="shared" ca="1" si="1510"/>
        <v>1</v>
      </c>
      <c r="AP937" s="2695">
        <f t="shared" ca="1" si="1511"/>
        <v>1.0714285714285714</v>
      </c>
      <c r="AQ937" s="1910">
        <f t="shared" ca="1" si="1512"/>
        <v>13</v>
      </c>
      <c r="AR937" s="2694">
        <f t="shared" ca="1" si="1513"/>
        <v>2</v>
      </c>
      <c r="AS937" s="2695">
        <f t="shared" ca="1" si="1514"/>
        <v>1.1538461538461537</v>
      </c>
      <c r="AU937" s="1910">
        <f t="shared" ca="1" si="1515"/>
        <v>15</v>
      </c>
      <c r="AV937" s="1910">
        <f t="shared" ca="1" si="1516"/>
        <v>14</v>
      </c>
      <c r="AW937" s="2694">
        <f t="shared" ca="1" si="1517"/>
        <v>1</v>
      </c>
      <c r="AX937" s="2695">
        <f t="shared" ca="1" si="1518"/>
        <v>1.0714285714285714</v>
      </c>
      <c r="AY937" s="1910">
        <f t="shared" ca="1" si="1519"/>
        <v>13</v>
      </c>
      <c r="AZ937" s="2694">
        <f t="shared" ca="1" si="1520"/>
        <v>2</v>
      </c>
      <c r="BA937" s="2695">
        <f t="shared" ca="1" si="1521"/>
        <v>1.1538461538461537</v>
      </c>
      <c r="BC937" s="1910">
        <f t="shared" ca="1" si="1522"/>
        <v>15</v>
      </c>
      <c r="BD937" s="1910">
        <f t="shared" ca="1" si="1523"/>
        <v>14</v>
      </c>
      <c r="BE937" s="2694">
        <f t="shared" ca="1" si="1524"/>
        <v>1</v>
      </c>
      <c r="BF937" s="2695">
        <f t="shared" ca="1" si="1525"/>
        <v>1.0714285714285714</v>
      </c>
      <c r="BG937" s="1910">
        <f t="shared" ca="1" si="1526"/>
        <v>13</v>
      </c>
      <c r="BH937" s="2694">
        <f t="shared" ca="1" si="1527"/>
        <v>2</v>
      </c>
      <c r="BI937" s="2695">
        <f t="shared" ca="1" si="1528"/>
        <v>1.1538461538461537</v>
      </c>
    </row>
    <row r="938" spans="1:61" s="34" customFormat="1" ht="14.5">
      <c r="A938" s="1693">
        <f t="shared" si="1505"/>
        <v>930</v>
      </c>
      <c r="B938" s="616">
        <v>1</v>
      </c>
      <c r="C938" s="1693">
        <f t="shared" si="1493"/>
        <v>938</v>
      </c>
      <c r="D938" s="616">
        <v>1</v>
      </c>
      <c r="F938" s="454"/>
      <c r="G938" s="4"/>
      <c r="H938" s="4"/>
      <c r="I938" s="4"/>
      <c r="J938" s="262"/>
      <c r="K938" s="4"/>
      <c r="L938" s="4"/>
      <c r="M938" s="3"/>
      <c r="N938" s="3"/>
      <c r="O938" s="41"/>
      <c r="P938" s="41" t="s">
        <v>19</v>
      </c>
      <c r="Q938" s="41"/>
      <c r="R938" s="1778" t="str">
        <f>CHOOSE(2, "6722000003849", "HC Office FE/TTOC Administration Total HR")</f>
        <v>HC Office FE/TTOC Administration Total HR</v>
      </c>
      <c r="S938" s="1212">
        <v>5</v>
      </c>
      <c r="T938" s="1212">
        <v>5</v>
      </c>
      <c r="U938" s="1212">
        <v>5</v>
      </c>
      <c r="V938" s="1212">
        <v>5</v>
      </c>
      <c r="W938" s="1212">
        <v>5</v>
      </c>
      <c r="X938" s="1212">
        <v>6</v>
      </c>
      <c r="Y938" s="1212">
        <v>5</v>
      </c>
      <c r="Z938" s="1212">
        <v>5</v>
      </c>
      <c r="AA938" s="1212">
        <v>5</v>
      </c>
      <c r="AB938" s="1212">
        <v>5</v>
      </c>
      <c r="AC938" s="1212">
        <v>5</v>
      </c>
      <c r="AD938" s="1212">
        <v>6</v>
      </c>
      <c r="AE938" s="877">
        <f>U938</f>
        <v>5</v>
      </c>
      <c r="AF938" s="40">
        <f>X938</f>
        <v>6</v>
      </c>
      <c r="AG938" s="40">
        <f>AA938</f>
        <v>5</v>
      </c>
      <c r="AH938" s="40">
        <f>AD938</f>
        <v>6</v>
      </c>
      <c r="AI938" s="40">
        <f>AF938</f>
        <v>6</v>
      </c>
      <c r="AJ938" s="40">
        <f>AH938</f>
        <v>6</v>
      </c>
      <c r="AK938" s="40">
        <f>AJ938</f>
        <v>6</v>
      </c>
      <c r="AM938" s="1910">
        <f t="shared" ca="1" si="1508"/>
        <v>5</v>
      </c>
      <c r="AN938" s="1910">
        <f t="shared" ca="1" si="1509"/>
        <v>5</v>
      </c>
      <c r="AO938" s="2694">
        <f t="shared" ca="1" si="1510"/>
        <v>0</v>
      </c>
      <c r="AP938" s="2695">
        <f t="shared" ca="1" si="1511"/>
        <v>1</v>
      </c>
      <c r="AQ938" s="1910">
        <f t="shared" ca="1" si="1512"/>
        <v>3</v>
      </c>
      <c r="AR938" s="2694">
        <f t="shared" ca="1" si="1513"/>
        <v>2</v>
      </c>
      <c r="AS938" s="2695">
        <f t="shared" ca="1" si="1514"/>
        <v>1.6666666666666667</v>
      </c>
      <c r="AU938" s="1910">
        <f t="shared" ca="1" si="1515"/>
        <v>5</v>
      </c>
      <c r="AV938" s="1910">
        <f t="shared" ca="1" si="1516"/>
        <v>5</v>
      </c>
      <c r="AW938" s="2694">
        <f t="shared" ca="1" si="1517"/>
        <v>0</v>
      </c>
      <c r="AX938" s="2695">
        <f t="shared" ca="1" si="1518"/>
        <v>1</v>
      </c>
      <c r="AY938" s="1910">
        <f t="shared" ca="1" si="1519"/>
        <v>3</v>
      </c>
      <c r="AZ938" s="2694">
        <f t="shared" ca="1" si="1520"/>
        <v>2</v>
      </c>
      <c r="BA938" s="2695">
        <f t="shared" ca="1" si="1521"/>
        <v>1.6666666666666667</v>
      </c>
      <c r="BC938" s="1910">
        <f t="shared" ca="1" si="1522"/>
        <v>5</v>
      </c>
      <c r="BD938" s="1910">
        <f t="shared" ca="1" si="1523"/>
        <v>5</v>
      </c>
      <c r="BE938" s="2694">
        <f t="shared" ca="1" si="1524"/>
        <v>0</v>
      </c>
      <c r="BF938" s="2695">
        <f t="shared" ca="1" si="1525"/>
        <v>1</v>
      </c>
      <c r="BG938" s="1910">
        <f t="shared" ca="1" si="1526"/>
        <v>3</v>
      </c>
      <c r="BH938" s="2694">
        <f t="shared" ca="1" si="1527"/>
        <v>2</v>
      </c>
      <c r="BI938" s="2695">
        <f t="shared" ca="1" si="1528"/>
        <v>1.6666666666666667</v>
      </c>
    </row>
    <row r="939" spans="1:61" s="34" customFormat="1" ht="14.5">
      <c r="A939" s="1693">
        <f t="shared" si="1505"/>
        <v>931</v>
      </c>
      <c r="B939" s="616">
        <v>1</v>
      </c>
      <c r="C939" s="1693">
        <f t="shared" si="1493"/>
        <v>939</v>
      </c>
      <c r="D939" s="616">
        <v>1</v>
      </c>
      <c r="F939" s="454"/>
      <c r="G939" s="4"/>
      <c r="H939" s="4"/>
      <c r="I939" s="4"/>
      <c r="J939" s="262"/>
      <c r="K939" s="4"/>
      <c r="L939" s="4"/>
      <c r="M939" s="3"/>
      <c r="N939" s="3"/>
      <c r="O939" s="41"/>
      <c r="P939" s="41" t="s">
        <v>20</v>
      </c>
      <c r="Q939" s="41"/>
      <c r="R939" s="1778" t="str">
        <f>CHOOSE(2, "6722000003850", "HC Office FE/TTOC Administration Total Training")</f>
        <v>HC Office FE/TTOC Administration Total Training</v>
      </c>
      <c r="S939" s="1212"/>
      <c r="T939" s="1212"/>
      <c r="U939" s="1212"/>
      <c r="V939" s="1212"/>
      <c r="W939" s="1212"/>
      <c r="X939" s="1212"/>
      <c r="Y939" s="1212"/>
      <c r="Z939" s="1212"/>
      <c r="AA939" s="1212"/>
      <c r="AB939" s="1212"/>
      <c r="AC939" s="1212"/>
      <c r="AD939" s="1212"/>
      <c r="AE939" s="877">
        <f>U939</f>
        <v>0</v>
      </c>
      <c r="AF939" s="40">
        <f>X939</f>
        <v>0</v>
      </c>
      <c r="AG939" s="40">
        <f>AA939</f>
        <v>0</v>
      </c>
      <c r="AH939" s="40">
        <f>AD939</f>
        <v>0</v>
      </c>
      <c r="AI939" s="40">
        <f>AF939</f>
        <v>0</v>
      </c>
      <c r="AJ939" s="40">
        <f>AH939</f>
        <v>0</v>
      </c>
      <c r="AK939" s="40">
        <f>AJ939</f>
        <v>0</v>
      </c>
      <c r="AM939" s="1910">
        <f t="shared" ca="1" si="1508"/>
        <v>0</v>
      </c>
      <c r="AN939" s="1910">
        <f t="shared" ca="1" si="1509"/>
        <v>0</v>
      </c>
      <c r="AO939" s="2694">
        <f t="shared" ca="1" si="1510"/>
        <v>0</v>
      </c>
      <c r="AP939" s="2695">
        <f t="shared" ca="1" si="1511"/>
        <v>0</v>
      </c>
      <c r="AQ939" s="1910">
        <f t="shared" ca="1" si="1512"/>
        <v>0</v>
      </c>
      <c r="AR939" s="2694">
        <f t="shared" ca="1" si="1513"/>
        <v>0</v>
      </c>
      <c r="AS939" s="2695">
        <f t="shared" ca="1" si="1514"/>
        <v>0</v>
      </c>
      <c r="AU939" s="1910">
        <f t="shared" ca="1" si="1515"/>
        <v>0</v>
      </c>
      <c r="AV939" s="1910">
        <f t="shared" ca="1" si="1516"/>
        <v>0</v>
      </c>
      <c r="AW939" s="2694">
        <f t="shared" ca="1" si="1517"/>
        <v>0</v>
      </c>
      <c r="AX939" s="2695">
        <f t="shared" ca="1" si="1518"/>
        <v>0</v>
      </c>
      <c r="AY939" s="1910">
        <f t="shared" ca="1" si="1519"/>
        <v>0</v>
      </c>
      <c r="AZ939" s="2694">
        <f t="shared" ca="1" si="1520"/>
        <v>0</v>
      </c>
      <c r="BA939" s="2695">
        <f t="shared" ca="1" si="1521"/>
        <v>0</v>
      </c>
      <c r="BC939" s="1910">
        <f t="shared" ca="1" si="1522"/>
        <v>0</v>
      </c>
      <c r="BD939" s="1910">
        <f t="shared" ca="1" si="1523"/>
        <v>0</v>
      </c>
      <c r="BE939" s="2694">
        <f t="shared" ca="1" si="1524"/>
        <v>0</v>
      </c>
      <c r="BF939" s="2695">
        <f t="shared" ca="1" si="1525"/>
        <v>0</v>
      </c>
      <c r="BG939" s="1910">
        <f t="shared" ca="1" si="1526"/>
        <v>0</v>
      </c>
      <c r="BH939" s="2694">
        <f t="shared" ca="1" si="1527"/>
        <v>0</v>
      </c>
      <c r="BI939" s="2695">
        <f t="shared" ca="1" si="1528"/>
        <v>0</v>
      </c>
    </row>
    <row r="940" spans="1:61" s="34" customFormat="1" ht="14.5">
      <c r="A940" s="1693">
        <f t="shared" si="1505"/>
        <v>932</v>
      </c>
      <c r="B940" s="616">
        <v>1</v>
      </c>
      <c r="C940" s="1693">
        <f t="shared" si="1493"/>
        <v>940</v>
      </c>
      <c r="D940" s="616">
        <v>1</v>
      </c>
      <c r="F940" s="454"/>
      <c r="G940" s="4"/>
      <c r="H940" s="4"/>
      <c r="I940" s="4"/>
      <c r="J940" s="262"/>
      <c r="K940" s="4"/>
      <c r="L940" s="4"/>
      <c r="M940" s="3"/>
      <c r="N940" s="3"/>
      <c r="O940" s="41"/>
      <c r="P940" s="41" t="s">
        <v>2</v>
      </c>
      <c r="Q940" s="41"/>
      <c r="R940" s="1778" t="str">
        <f>CHOOSE(2, "6722000003851", "HC Office FE/TTOC Administration Total Others")</f>
        <v>HC Office FE/TTOC Administration Total Others</v>
      </c>
      <c r="S940" s="1212">
        <f>10-4</f>
        <v>6</v>
      </c>
      <c r="T940" s="1212">
        <f t="shared" ref="T940:V940" si="1537">10-4</f>
        <v>6</v>
      </c>
      <c r="U940" s="1212">
        <f t="shared" si="1537"/>
        <v>6</v>
      </c>
      <c r="V940" s="1212">
        <f t="shared" si="1537"/>
        <v>6</v>
      </c>
      <c r="W940" s="1212">
        <f>12-4</f>
        <v>8</v>
      </c>
      <c r="X940" s="1212">
        <f>3+8-4</f>
        <v>7</v>
      </c>
      <c r="Y940" s="1212">
        <f>3+9-4</f>
        <v>8</v>
      </c>
      <c r="Z940" s="1212">
        <f>2+8-3</f>
        <v>7</v>
      </c>
      <c r="AA940" s="1212">
        <f>2+7-3</f>
        <v>6</v>
      </c>
      <c r="AB940" s="1212">
        <f>2+7-3</f>
        <v>6</v>
      </c>
      <c r="AC940" s="1212">
        <f>3+4</f>
        <v>7</v>
      </c>
      <c r="AD940" s="1212">
        <f>3+2</f>
        <v>5</v>
      </c>
      <c r="AE940" s="877">
        <f>U940</f>
        <v>6</v>
      </c>
      <c r="AF940" s="40">
        <f>X940</f>
        <v>7</v>
      </c>
      <c r="AG940" s="40">
        <f>AA940</f>
        <v>6</v>
      </c>
      <c r="AH940" s="40">
        <f>AD940</f>
        <v>5</v>
      </c>
      <c r="AI940" s="40">
        <f>AF940</f>
        <v>7</v>
      </c>
      <c r="AJ940" s="40">
        <f>AH940</f>
        <v>5</v>
      </c>
      <c r="AK940" s="40">
        <f>AJ940</f>
        <v>5</v>
      </c>
      <c r="AL940" s="2244"/>
      <c r="AM940" s="1910">
        <f t="shared" ca="1" si="1508"/>
        <v>6</v>
      </c>
      <c r="AN940" s="1910">
        <f t="shared" ca="1" si="1509"/>
        <v>9</v>
      </c>
      <c r="AO940" s="2694">
        <f t="shared" ca="1" si="1510"/>
        <v>-3</v>
      </c>
      <c r="AP940" s="2695">
        <f t="shared" ca="1" si="1511"/>
        <v>0.66666666666666663</v>
      </c>
      <c r="AQ940" s="1910">
        <f t="shared" ca="1" si="1512"/>
        <v>5</v>
      </c>
      <c r="AR940" s="2694">
        <f t="shared" ca="1" si="1513"/>
        <v>1</v>
      </c>
      <c r="AS940" s="2695">
        <f t="shared" ca="1" si="1514"/>
        <v>1.2</v>
      </c>
      <c r="AU940" s="1910">
        <f t="shared" ca="1" si="1515"/>
        <v>6</v>
      </c>
      <c r="AV940" s="1910">
        <f t="shared" ca="1" si="1516"/>
        <v>9</v>
      </c>
      <c r="AW940" s="2694">
        <f t="shared" ca="1" si="1517"/>
        <v>-3</v>
      </c>
      <c r="AX940" s="2695">
        <f t="shared" ca="1" si="1518"/>
        <v>0.66666666666666663</v>
      </c>
      <c r="AY940" s="1910">
        <f t="shared" ca="1" si="1519"/>
        <v>5</v>
      </c>
      <c r="AZ940" s="2694">
        <f t="shared" ca="1" si="1520"/>
        <v>1</v>
      </c>
      <c r="BA940" s="2695">
        <f t="shared" ca="1" si="1521"/>
        <v>1.2</v>
      </c>
      <c r="BC940" s="1910">
        <f t="shared" ca="1" si="1522"/>
        <v>6</v>
      </c>
      <c r="BD940" s="1910">
        <f t="shared" ca="1" si="1523"/>
        <v>9</v>
      </c>
      <c r="BE940" s="2694">
        <f t="shared" ca="1" si="1524"/>
        <v>-3</v>
      </c>
      <c r="BF940" s="2695">
        <f t="shared" ca="1" si="1525"/>
        <v>0.66666666666666663</v>
      </c>
      <c r="BG940" s="1910">
        <f t="shared" ca="1" si="1526"/>
        <v>5</v>
      </c>
      <c r="BH940" s="2694">
        <f t="shared" ca="1" si="1527"/>
        <v>1</v>
      </c>
      <c r="BI940" s="2695">
        <f t="shared" ca="1" si="1528"/>
        <v>1.2</v>
      </c>
    </row>
    <row r="941" spans="1:61" s="34" customFormat="1" ht="14.5">
      <c r="A941" s="1693">
        <f t="shared" si="1505"/>
        <v>933</v>
      </c>
      <c r="B941" s="616">
        <v>1</v>
      </c>
      <c r="C941" s="1693">
        <f t="shared" si="1493"/>
        <v>941</v>
      </c>
      <c r="D941" s="616">
        <v>1</v>
      </c>
      <c r="E941" s="709" t="s">
        <v>512</v>
      </c>
      <c r="F941" s="1572"/>
      <c r="G941" s="4"/>
      <c r="H941" s="4"/>
      <c r="I941" s="4"/>
      <c r="J941" s="262"/>
      <c r="K941" s="252" t="s">
        <v>206</v>
      </c>
      <c r="L941" s="44"/>
      <c r="M941" s="44"/>
      <c r="N941" s="43"/>
      <c r="O941" s="43"/>
      <c r="P941" s="43"/>
      <c r="Q941" s="251"/>
      <c r="R941" s="1786" t="str">
        <f>CHOOSE(2, "6722000003852", "HC Office FE/TTOC Logistics Total")</f>
        <v>HC Office FE/TTOC Logistics Total</v>
      </c>
      <c r="S941" s="1380">
        <f>SUM(S942:S944)</f>
        <v>15</v>
      </c>
      <c r="T941" s="1380">
        <f t="shared" ref="T941:AD941" si="1538">SUM(T942:T944)</f>
        <v>15</v>
      </c>
      <c r="U941" s="1380">
        <f t="shared" si="1538"/>
        <v>15</v>
      </c>
      <c r="V941" s="1380">
        <f t="shared" si="1538"/>
        <v>15</v>
      </c>
      <c r="W941" s="1380">
        <f t="shared" si="1538"/>
        <v>15</v>
      </c>
      <c r="X941" s="1380">
        <f t="shared" si="1538"/>
        <v>15</v>
      </c>
      <c r="Y941" s="1380">
        <f t="shared" si="1538"/>
        <v>15</v>
      </c>
      <c r="Z941" s="1380">
        <f t="shared" si="1538"/>
        <v>15</v>
      </c>
      <c r="AA941" s="1380">
        <f t="shared" si="1538"/>
        <v>15</v>
      </c>
      <c r="AB941" s="1380">
        <f t="shared" si="1538"/>
        <v>15</v>
      </c>
      <c r="AC941" s="1380">
        <f t="shared" si="1538"/>
        <v>16</v>
      </c>
      <c r="AD941" s="1380">
        <f t="shared" si="1538"/>
        <v>16</v>
      </c>
      <c r="AE941" s="782">
        <f t="shared" ref="AE941:AK941" si="1539">SUM(AE942:AE944)</f>
        <v>15</v>
      </c>
      <c r="AF941" s="1634">
        <f t="shared" si="1539"/>
        <v>15</v>
      </c>
      <c r="AG941" s="1634">
        <f t="shared" si="1539"/>
        <v>15</v>
      </c>
      <c r="AH941" s="1634">
        <f t="shared" si="1539"/>
        <v>16</v>
      </c>
      <c r="AI941" s="1634">
        <f t="shared" si="1539"/>
        <v>15</v>
      </c>
      <c r="AJ941" s="1634">
        <f t="shared" si="1539"/>
        <v>16</v>
      </c>
      <c r="AK941" s="1634">
        <f t="shared" si="1539"/>
        <v>16</v>
      </c>
      <c r="AM941" s="2252">
        <f t="shared" ca="1" si="1508"/>
        <v>15</v>
      </c>
      <c r="AN941" s="2252">
        <f t="shared" ca="1" si="1509"/>
        <v>16</v>
      </c>
      <c r="AO941" s="2952">
        <f t="shared" ca="1" si="1510"/>
        <v>-1</v>
      </c>
      <c r="AP941" s="2953">
        <f t="shared" ca="1" si="1511"/>
        <v>0.9375</v>
      </c>
      <c r="AQ941" s="2252">
        <f t="shared" ca="1" si="1512"/>
        <v>13</v>
      </c>
      <c r="AR941" s="2952">
        <f t="shared" ca="1" si="1513"/>
        <v>2</v>
      </c>
      <c r="AS941" s="2953">
        <f t="shared" ca="1" si="1514"/>
        <v>1.1538461538461537</v>
      </c>
      <c r="AU941" s="2252">
        <f t="shared" ca="1" si="1515"/>
        <v>15</v>
      </c>
      <c r="AV941" s="2252">
        <f t="shared" ca="1" si="1516"/>
        <v>16</v>
      </c>
      <c r="AW941" s="2952">
        <f t="shared" ca="1" si="1517"/>
        <v>-1</v>
      </c>
      <c r="AX941" s="2953">
        <f t="shared" ca="1" si="1518"/>
        <v>0.9375</v>
      </c>
      <c r="AY941" s="2252">
        <f t="shared" ca="1" si="1519"/>
        <v>13</v>
      </c>
      <c r="AZ941" s="2952">
        <f t="shared" ca="1" si="1520"/>
        <v>2</v>
      </c>
      <c r="BA941" s="2953">
        <f t="shared" ca="1" si="1521"/>
        <v>1.1538461538461537</v>
      </c>
      <c r="BC941" s="2252">
        <f t="shared" ca="1" si="1522"/>
        <v>15</v>
      </c>
      <c r="BD941" s="2252">
        <f t="shared" ca="1" si="1523"/>
        <v>16</v>
      </c>
      <c r="BE941" s="2952">
        <f t="shared" ca="1" si="1524"/>
        <v>-1</v>
      </c>
      <c r="BF941" s="2953">
        <f t="shared" ca="1" si="1525"/>
        <v>0.9375</v>
      </c>
      <c r="BG941" s="2252">
        <f t="shared" ca="1" si="1526"/>
        <v>13</v>
      </c>
      <c r="BH941" s="2952">
        <f t="shared" ca="1" si="1527"/>
        <v>2</v>
      </c>
      <c r="BI941" s="2953">
        <f t="shared" ca="1" si="1528"/>
        <v>1.1538461538461537</v>
      </c>
    </row>
    <row r="942" spans="1:61" s="34" customFormat="1" ht="14.5">
      <c r="A942" s="1693">
        <f t="shared" si="1505"/>
        <v>934</v>
      </c>
      <c r="B942" s="616">
        <v>1</v>
      </c>
      <c r="C942" s="1693">
        <f t="shared" si="1493"/>
        <v>942</v>
      </c>
      <c r="D942" s="616">
        <v>1</v>
      </c>
      <c r="F942" s="454"/>
      <c r="G942" s="4"/>
      <c r="H942" s="4"/>
      <c r="I942" s="4"/>
      <c r="J942" s="262"/>
      <c r="K942" s="4"/>
      <c r="L942" s="4"/>
      <c r="M942" s="3"/>
      <c r="N942" s="3"/>
      <c r="O942" s="41"/>
      <c r="P942" s="41" t="s">
        <v>21</v>
      </c>
      <c r="Q942" s="41"/>
      <c r="R942" s="1778" t="str">
        <f>CHOOSE(2, "6722000003853", "HC Office FE/TTOC Logistics Total Administration")</f>
        <v>HC Office FE/TTOC Logistics Total Administration</v>
      </c>
      <c r="S942" s="1212">
        <v>6</v>
      </c>
      <c r="T942" s="1212">
        <v>6</v>
      </c>
      <c r="U942" s="1212">
        <v>6</v>
      </c>
      <c r="V942" s="1212">
        <v>6</v>
      </c>
      <c r="W942" s="1212">
        <v>6</v>
      </c>
      <c r="X942" s="1212">
        <v>6</v>
      </c>
      <c r="Y942" s="1212">
        <v>6</v>
      </c>
      <c r="Z942" s="1212">
        <v>6</v>
      </c>
      <c r="AA942" s="1212">
        <v>6</v>
      </c>
      <c r="AB942" s="1212">
        <v>6</v>
      </c>
      <c r="AC942" s="1212">
        <v>6</v>
      </c>
      <c r="AD942" s="1212">
        <v>6</v>
      </c>
      <c r="AE942" s="877">
        <f>U942</f>
        <v>6</v>
      </c>
      <c r="AF942" s="40">
        <f>X942</f>
        <v>6</v>
      </c>
      <c r="AG942" s="40">
        <f>AA942</f>
        <v>6</v>
      </c>
      <c r="AH942" s="40">
        <f>AD942</f>
        <v>6</v>
      </c>
      <c r="AI942" s="40">
        <f>AF942</f>
        <v>6</v>
      </c>
      <c r="AJ942" s="40">
        <f>AH942</f>
        <v>6</v>
      </c>
      <c r="AK942" s="40">
        <f>AJ942</f>
        <v>6</v>
      </c>
      <c r="AM942" s="1910">
        <f t="shared" ca="1" si="1508"/>
        <v>6</v>
      </c>
      <c r="AN942" s="1910">
        <f t="shared" ca="1" si="1509"/>
        <v>7</v>
      </c>
      <c r="AO942" s="2694">
        <f t="shared" ca="1" si="1510"/>
        <v>-1</v>
      </c>
      <c r="AP942" s="2695">
        <f t="shared" ca="1" si="1511"/>
        <v>0.8571428571428571</v>
      </c>
      <c r="AQ942" s="1910">
        <f t="shared" ca="1" si="1512"/>
        <v>4</v>
      </c>
      <c r="AR942" s="2694">
        <f t="shared" ca="1" si="1513"/>
        <v>2</v>
      </c>
      <c r="AS942" s="2695">
        <f t="shared" ca="1" si="1514"/>
        <v>1.5</v>
      </c>
      <c r="AU942" s="1910">
        <f t="shared" ca="1" si="1515"/>
        <v>6</v>
      </c>
      <c r="AV942" s="1910">
        <f t="shared" ca="1" si="1516"/>
        <v>7</v>
      </c>
      <c r="AW942" s="2694">
        <f t="shared" ca="1" si="1517"/>
        <v>-1</v>
      </c>
      <c r="AX942" s="2695">
        <f t="shared" ca="1" si="1518"/>
        <v>0.8571428571428571</v>
      </c>
      <c r="AY942" s="1910">
        <f t="shared" ca="1" si="1519"/>
        <v>4</v>
      </c>
      <c r="AZ942" s="2694">
        <f t="shared" ca="1" si="1520"/>
        <v>2</v>
      </c>
      <c r="BA942" s="2695">
        <f t="shared" ca="1" si="1521"/>
        <v>1.5</v>
      </c>
      <c r="BC942" s="1910">
        <f t="shared" ca="1" si="1522"/>
        <v>6</v>
      </c>
      <c r="BD942" s="1910">
        <f t="shared" ca="1" si="1523"/>
        <v>7</v>
      </c>
      <c r="BE942" s="2694">
        <f t="shared" ca="1" si="1524"/>
        <v>-1</v>
      </c>
      <c r="BF942" s="2695">
        <f t="shared" ca="1" si="1525"/>
        <v>0.8571428571428571</v>
      </c>
      <c r="BG942" s="1910">
        <f t="shared" ca="1" si="1526"/>
        <v>4</v>
      </c>
      <c r="BH942" s="2694">
        <f t="shared" ca="1" si="1527"/>
        <v>2</v>
      </c>
      <c r="BI942" s="2695">
        <f t="shared" ca="1" si="1528"/>
        <v>1.5</v>
      </c>
    </row>
    <row r="943" spans="1:61" s="34" customFormat="1" ht="14.5">
      <c r="A943" s="1693">
        <f t="shared" si="1505"/>
        <v>935</v>
      </c>
      <c r="B943" s="616">
        <v>1</v>
      </c>
      <c r="C943" s="1693">
        <f t="shared" si="1493"/>
        <v>943</v>
      </c>
      <c r="D943" s="616">
        <v>1</v>
      </c>
      <c r="F943" s="454"/>
      <c r="G943" s="4"/>
      <c r="H943" s="4"/>
      <c r="I943" s="4"/>
      <c r="J943" s="262"/>
      <c r="K943" s="4"/>
      <c r="L943" s="4"/>
      <c r="M943" s="3"/>
      <c r="N943" s="3"/>
      <c r="O943" s="41"/>
      <c r="P943" s="41" t="s">
        <v>22</v>
      </c>
      <c r="Q943" s="41"/>
      <c r="R943" s="1778" t="str">
        <f>CHOOSE(2, "6722000003854", "HC Office FE/TTOC Logistics Total Warehouse")</f>
        <v>HC Office FE/TTOC Logistics Total Warehouse</v>
      </c>
      <c r="S943" s="1212">
        <v>9</v>
      </c>
      <c r="T943" s="1212">
        <v>9</v>
      </c>
      <c r="U943" s="1212">
        <v>9</v>
      </c>
      <c r="V943" s="1212">
        <v>9</v>
      </c>
      <c r="W943" s="1212">
        <v>9</v>
      </c>
      <c r="X943" s="1212">
        <v>9</v>
      </c>
      <c r="Y943" s="1212">
        <v>9</v>
      </c>
      <c r="Z943" s="1212">
        <v>9</v>
      </c>
      <c r="AA943" s="1212">
        <v>9</v>
      </c>
      <c r="AB943" s="1212">
        <v>9</v>
      </c>
      <c r="AC943" s="1212">
        <v>10</v>
      </c>
      <c r="AD943" s="1212">
        <v>10</v>
      </c>
      <c r="AE943" s="877">
        <f>U943</f>
        <v>9</v>
      </c>
      <c r="AF943" s="40">
        <f>X943</f>
        <v>9</v>
      </c>
      <c r="AG943" s="40">
        <f>AA943</f>
        <v>9</v>
      </c>
      <c r="AH943" s="40">
        <f>AD943</f>
        <v>10</v>
      </c>
      <c r="AI943" s="40">
        <f>AF943</f>
        <v>9</v>
      </c>
      <c r="AJ943" s="40">
        <f>AH943</f>
        <v>10</v>
      </c>
      <c r="AK943" s="40">
        <f>AJ943</f>
        <v>10</v>
      </c>
      <c r="AM943" s="1910">
        <f t="shared" ca="1" si="1508"/>
        <v>9</v>
      </c>
      <c r="AN943" s="1910">
        <f t="shared" ca="1" si="1509"/>
        <v>9</v>
      </c>
      <c r="AO943" s="2694">
        <f t="shared" ca="1" si="1510"/>
        <v>0</v>
      </c>
      <c r="AP943" s="2695">
        <f t="shared" ca="1" si="1511"/>
        <v>1</v>
      </c>
      <c r="AQ943" s="1910">
        <f t="shared" ca="1" si="1512"/>
        <v>9</v>
      </c>
      <c r="AR943" s="2694">
        <f t="shared" ca="1" si="1513"/>
        <v>0</v>
      </c>
      <c r="AS943" s="2695">
        <f t="shared" ca="1" si="1514"/>
        <v>1</v>
      </c>
      <c r="AU943" s="1910">
        <f t="shared" ca="1" si="1515"/>
        <v>9</v>
      </c>
      <c r="AV943" s="1910">
        <f t="shared" ca="1" si="1516"/>
        <v>9</v>
      </c>
      <c r="AW943" s="2694">
        <f t="shared" ca="1" si="1517"/>
        <v>0</v>
      </c>
      <c r="AX943" s="2695">
        <f t="shared" ca="1" si="1518"/>
        <v>1</v>
      </c>
      <c r="AY943" s="1910">
        <f t="shared" ca="1" si="1519"/>
        <v>9</v>
      </c>
      <c r="AZ943" s="2694">
        <f t="shared" ca="1" si="1520"/>
        <v>0</v>
      </c>
      <c r="BA943" s="2695">
        <f t="shared" ca="1" si="1521"/>
        <v>1</v>
      </c>
      <c r="BC943" s="1910">
        <f t="shared" ca="1" si="1522"/>
        <v>9</v>
      </c>
      <c r="BD943" s="1910">
        <f t="shared" ca="1" si="1523"/>
        <v>9</v>
      </c>
      <c r="BE943" s="2694">
        <f t="shared" ca="1" si="1524"/>
        <v>0</v>
      </c>
      <c r="BF943" s="2695">
        <f t="shared" ca="1" si="1525"/>
        <v>1</v>
      </c>
      <c r="BG943" s="1910">
        <f t="shared" ca="1" si="1526"/>
        <v>9</v>
      </c>
      <c r="BH943" s="2694">
        <f t="shared" ca="1" si="1527"/>
        <v>0</v>
      </c>
      <c r="BI943" s="2695">
        <f t="shared" ca="1" si="1528"/>
        <v>1</v>
      </c>
    </row>
    <row r="944" spans="1:61" s="34" customFormat="1" ht="14.5">
      <c r="A944" s="1693">
        <f t="shared" si="1505"/>
        <v>936</v>
      </c>
      <c r="B944" s="616">
        <v>1</v>
      </c>
      <c r="C944" s="1693">
        <f t="shared" si="1493"/>
        <v>944</v>
      </c>
      <c r="D944" s="616">
        <v>1</v>
      </c>
      <c r="F944" s="454"/>
      <c r="G944" s="4"/>
      <c r="H944" s="4"/>
      <c r="I944" s="4"/>
      <c r="J944" s="263"/>
      <c r="K944" s="2"/>
      <c r="L944" s="2"/>
      <c r="M944" s="1"/>
      <c r="N944" s="1"/>
      <c r="O944" s="39"/>
      <c r="P944" s="39" t="s">
        <v>23</v>
      </c>
      <c r="Q944" s="39"/>
      <c r="R944" s="1778" t="str">
        <f>CHOOSE(2, "6722000003855", "HC Office FE/TTOC Logistics Total Workshop")</f>
        <v>HC Office FE/TTOC Logistics Total Workshop</v>
      </c>
      <c r="S944" s="1211"/>
      <c r="T944" s="1211"/>
      <c r="U944" s="1211"/>
      <c r="V944" s="1211"/>
      <c r="W944" s="1211"/>
      <c r="X944" s="1211"/>
      <c r="Y944" s="1211"/>
      <c r="Z944" s="1211"/>
      <c r="AA944" s="1211"/>
      <c r="AB944" s="1211"/>
      <c r="AC944" s="1211"/>
      <c r="AD944" s="1211"/>
      <c r="AE944" s="912">
        <f>U944</f>
        <v>0</v>
      </c>
      <c r="AF944" s="38">
        <f>X944</f>
        <v>0</v>
      </c>
      <c r="AG944" s="38">
        <f>AA944</f>
        <v>0</v>
      </c>
      <c r="AH944" s="38">
        <f>AD944</f>
        <v>0</v>
      </c>
      <c r="AI944" s="38">
        <f>AF944</f>
        <v>0</v>
      </c>
      <c r="AJ944" s="38">
        <f>AH944</f>
        <v>0</v>
      </c>
      <c r="AK944" s="38">
        <f>AJ944</f>
        <v>0</v>
      </c>
      <c r="AM944" s="2248">
        <f t="shared" ca="1" si="1508"/>
        <v>0</v>
      </c>
      <c r="AN944" s="2248">
        <f t="shared" ca="1" si="1509"/>
        <v>0</v>
      </c>
      <c r="AO944" s="2950">
        <f t="shared" ca="1" si="1510"/>
        <v>0</v>
      </c>
      <c r="AP944" s="2951">
        <f t="shared" ca="1" si="1511"/>
        <v>0</v>
      </c>
      <c r="AQ944" s="2248">
        <f t="shared" ca="1" si="1512"/>
        <v>0</v>
      </c>
      <c r="AR944" s="2950">
        <f t="shared" ca="1" si="1513"/>
        <v>0</v>
      </c>
      <c r="AS944" s="2951">
        <f t="shared" ca="1" si="1514"/>
        <v>0</v>
      </c>
      <c r="AU944" s="2248">
        <f t="shared" ca="1" si="1515"/>
        <v>0</v>
      </c>
      <c r="AV944" s="2248">
        <f t="shared" ca="1" si="1516"/>
        <v>0</v>
      </c>
      <c r="AW944" s="2950">
        <f t="shared" ca="1" si="1517"/>
        <v>0</v>
      </c>
      <c r="AX944" s="2951">
        <f t="shared" ca="1" si="1518"/>
        <v>0</v>
      </c>
      <c r="AY944" s="2248">
        <f t="shared" ca="1" si="1519"/>
        <v>0</v>
      </c>
      <c r="AZ944" s="2950">
        <f t="shared" ca="1" si="1520"/>
        <v>0</v>
      </c>
      <c r="BA944" s="2951">
        <f t="shared" ca="1" si="1521"/>
        <v>0</v>
      </c>
      <c r="BC944" s="2248">
        <f t="shared" ca="1" si="1522"/>
        <v>0</v>
      </c>
      <c r="BD944" s="2248">
        <f t="shared" ca="1" si="1523"/>
        <v>0</v>
      </c>
      <c r="BE944" s="2950">
        <f t="shared" ca="1" si="1524"/>
        <v>0</v>
      </c>
      <c r="BF944" s="2951">
        <f t="shared" ca="1" si="1525"/>
        <v>0</v>
      </c>
      <c r="BG944" s="2248">
        <f t="shared" ca="1" si="1526"/>
        <v>0</v>
      </c>
      <c r="BH944" s="2950">
        <f t="shared" ca="1" si="1527"/>
        <v>0</v>
      </c>
      <c r="BI944" s="2951">
        <f t="shared" ca="1" si="1528"/>
        <v>0</v>
      </c>
    </row>
    <row r="945" spans="1:61" s="34" customFormat="1" ht="14.5">
      <c r="A945" s="1693">
        <f t="shared" si="1505"/>
        <v>937</v>
      </c>
      <c r="B945" s="616">
        <v>1</v>
      </c>
      <c r="C945" s="1693">
        <f t="shared" si="1493"/>
        <v>945</v>
      </c>
      <c r="D945" s="616">
        <v>1</v>
      </c>
      <c r="E945" s="709" t="s">
        <v>512</v>
      </c>
      <c r="F945" s="1572"/>
      <c r="G945" s="4"/>
      <c r="H945" s="4"/>
      <c r="I945" s="4"/>
      <c r="J945" s="246" t="s">
        <v>182</v>
      </c>
      <c r="K945" s="247"/>
      <c r="L945" s="248"/>
      <c r="M945" s="248"/>
      <c r="N945" s="247"/>
      <c r="O945" s="247"/>
      <c r="P945" s="247"/>
      <c r="Q945" s="247"/>
      <c r="R945" s="1790" t="str">
        <f>CHOOSE(2, "6722000003856", "HC Office Semi-Full-Time/Part-Time Employees /Contractors")</f>
        <v>HC Office Semi-Full-Time/Part-Time Employees /Contractors</v>
      </c>
      <c r="S945" s="3312">
        <v>26</v>
      </c>
      <c r="T945" s="1243">
        <v>24</v>
      </c>
      <c r="U945" s="3312">
        <v>26</v>
      </c>
      <c r="V945" s="3312">
        <v>27</v>
      </c>
      <c r="W945" s="3312">
        <v>28</v>
      </c>
      <c r="X945" s="3312">
        <v>27</v>
      </c>
      <c r="Y945" s="3312">
        <v>27</v>
      </c>
      <c r="Z945" s="1243">
        <v>27</v>
      </c>
      <c r="AA945" s="3312">
        <v>27</v>
      </c>
      <c r="AB945" s="1243">
        <v>30</v>
      </c>
      <c r="AC945" s="1243">
        <v>31</v>
      </c>
      <c r="AD945" s="1243">
        <v>33</v>
      </c>
      <c r="AE945" s="913">
        <f>U945</f>
        <v>26</v>
      </c>
      <c r="AF945" s="250">
        <f>X945</f>
        <v>27</v>
      </c>
      <c r="AG945" s="250">
        <f>AA945</f>
        <v>27</v>
      </c>
      <c r="AH945" s="250">
        <f>AD945</f>
        <v>33</v>
      </c>
      <c r="AI945" s="250">
        <f>AF945</f>
        <v>27</v>
      </c>
      <c r="AJ945" s="250">
        <f>AH945</f>
        <v>33</v>
      </c>
      <c r="AK945" s="250">
        <f>AJ945</f>
        <v>33</v>
      </c>
      <c r="AM945" s="2256">
        <f t="shared" ca="1" si="1508"/>
        <v>26</v>
      </c>
      <c r="AN945" s="2256">
        <f t="shared" ca="1" si="1509"/>
        <v>26</v>
      </c>
      <c r="AO945" s="2849">
        <f t="shared" ca="1" si="1510"/>
        <v>0</v>
      </c>
      <c r="AP945" s="2850">
        <f t="shared" ca="1" si="1511"/>
        <v>1</v>
      </c>
      <c r="AQ945" s="2256">
        <f t="shared" ca="1" si="1512"/>
        <v>18</v>
      </c>
      <c r="AR945" s="2849">
        <f t="shared" ca="1" si="1513"/>
        <v>8</v>
      </c>
      <c r="AS945" s="2850">
        <f t="shared" ca="1" si="1514"/>
        <v>1.4444444444444444</v>
      </c>
      <c r="AU945" s="2256">
        <f t="shared" ca="1" si="1515"/>
        <v>26</v>
      </c>
      <c r="AV945" s="2256">
        <f t="shared" ca="1" si="1516"/>
        <v>26</v>
      </c>
      <c r="AW945" s="2849">
        <f t="shared" ca="1" si="1517"/>
        <v>0</v>
      </c>
      <c r="AX945" s="2850">
        <f t="shared" ca="1" si="1518"/>
        <v>1</v>
      </c>
      <c r="AY945" s="2256">
        <f t="shared" ca="1" si="1519"/>
        <v>18</v>
      </c>
      <c r="AZ945" s="2849">
        <f t="shared" ca="1" si="1520"/>
        <v>8</v>
      </c>
      <c r="BA945" s="2850">
        <f t="shared" ca="1" si="1521"/>
        <v>1.4444444444444444</v>
      </c>
      <c r="BC945" s="2256">
        <f t="shared" ca="1" si="1522"/>
        <v>26</v>
      </c>
      <c r="BD945" s="2256">
        <f t="shared" ca="1" si="1523"/>
        <v>26</v>
      </c>
      <c r="BE945" s="2849">
        <f t="shared" ca="1" si="1524"/>
        <v>0</v>
      </c>
      <c r="BF945" s="2850">
        <f t="shared" ca="1" si="1525"/>
        <v>1</v>
      </c>
      <c r="BG945" s="2256">
        <f t="shared" ca="1" si="1526"/>
        <v>18</v>
      </c>
      <c r="BH945" s="2849">
        <f t="shared" ca="1" si="1527"/>
        <v>8</v>
      </c>
      <c r="BI945" s="2850">
        <f t="shared" ca="1" si="1528"/>
        <v>1.4444444444444444</v>
      </c>
    </row>
    <row r="946" spans="1:61" s="34" customFormat="1" ht="14.5">
      <c r="A946" s="1693">
        <f t="shared" si="1505"/>
        <v>938</v>
      </c>
      <c r="B946" s="616">
        <v>1</v>
      </c>
      <c r="C946" s="1693">
        <f t="shared" si="1493"/>
        <v>946</v>
      </c>
      <c r="D946" s="616">
        <v>1</v>
      </c>
      <c r="E946" s="709" t="s">
        <v>512</v>
      </c>
      <c r="F946" s="1572"/>
      <c r="G946" s="4"/>
      <c r="H946" s="4"/>
      <c r="I946" s="4"/>
      <c r="J946" s="4"/>
      <c r="K946" s="3"/>
      <c r="L946" s="4"/>
      <c r="M946" s="4"/>
      <c r="N946" s="3"/>
      <c r="O946" s="3"/>
      <c r="P946" s="3"/>
      <c r="Q946" s="3"/>
      <c r="R946" s="1773" t="str">
        <f>CHOOSE(2, "6722000003857", "▷ Blank 28")</f>
        <v>▷ Blank 28</v>
      </c>
      <c r="S946" s="1608"/>
      <c r="T946" s="1609"/>
      <c r="U946" s="1609"/>
      <c r="V946" s="1609"/>
      <c r="W946" s="1609"/>
      <c r="X946" s="1609"/>
      <c r="Y946" s="1609"/>
      <c r="Z946" s="1609"/>
      <c r="AA946" s="1609"/>
      <c r="AB946" s="1609"/>
      <c r="AC946" s="454"/>
      <c r="AD946" s="454"/>
      <c r="AE946" s="454"/>
      <c r="AF946" s="454"/>
      <c r="AG946" s="454"/>
      <c r="AH946" s="454"/>
      <c r="AI946" s="454"/>
      <c r="AJ946" s="454"/>
      <c r="AK946" s="454"/>
    </row>
    <row r="947" spans="1:61" s="34" customFormat="1" ht="14.5">
      <c r="A947" s="1693">
        <f t="shared" si="1505"/>
        <v>939</v>
      </c>
      <c r="B947" s="616">
        <v>1</v>
      </c>
      <c r="C947" s="1693">
        <f t="shared" si="1493"/>
        <v>947</v>
      </c>
      <c r="D947" s="616">
        <v>1</v>
      </c>
      <c r="E947" s="709" t="s">
        <v>512</v>
      </c>
      <c r="F947" s="1572"/>
      <c r="G947" s="4"/>
      <c r="H947" s="4"/>
      <c r="I947" s="4" t="s">
        <v>283</v>
      </c>
      <c r="J947" s="4"/>
      <c r="K947" s="3"/>
      <c r="L947" s="4"/>
      <c r="M947" s="4"/>
      <c r="N947" s="3"/>
      <c r="O947" s="3"/>
      <c r="P947" s="3"/>
      <c r="Q947" s="3"/>
      <c r="R947" s="1773" t="str">
        <f>CHOOSE(2, "6722000003858", "HC (2) PP")</f>
        <v>HC (2) PP</v>
      </c>
      <c r="S947" s="1608"/>
      <c r="T947" s="1609"/>
      <c r="U947" s="1609"/>
      <c r="V947" s="1609"/>
      <c r="W947" s="1609"/>
      <c r="X947" s="1609"/>
      <c r="Y947" s="1609"/>
      <c r="Z947" s="1609"/>
      <c r="AA947" s="1609"/>
      <c r="AB947" s="1609"/>
      <c r="AC947" s="454"/>
      <c r="AD947" s="454"/>
      <c r="AE947" s="454"/>
      <c r="AF947" s="454"/>
      <c r="AG947" s="454"/>
      <c r="AH947" s="454"/>
      <c r="AI947" s="454"/>
      <c r="AJ947" s="454"/>
      <c r="AK947" s="454"/>
    </row>
    <row r="948" spans="1:61" s="272" customFormat="1" ht="14.5">
      <c r="A948" s="1693">
        <f t="shared" si="1505"/>
        <v>940</v>
      </c>
      <c r="B948" s="616">
        <v>1</v>
      </c>
      <c r="C948" s="1693">
        <f t="shared" si="1493"/>
        <v>948</v>
      </c>
      <c r="D948" s="616">
        <v>1</v>
      </c>
      <c r="E948" s="709" t="s">
        <v>512</v>
      </c>
      <c r="F948" s="1572"/>
      <c r="G948" s="267"/>
      <c r="H948" s="267"/>
      <c r="I948" s="268"/>
      <c r="J948" s="279" t="s">
        <v>202</v>
      </c>
      <c r="K948" s="280"/>
      <c r="L948" s="281"/>
      <c r="M948" s="281"/>
      <c r="N948" s="281"/>
      <c r="O948" s="281"/>
      <c r="P948" s="281"/>
      <c r="Q948" s="871"/>
      <c r="R948" s="1822" t="str">
        <f>CHOOSE(2, "6722000003859", "HC PP FE/TTOC")</f>
        <v>HC PP FE/TTOC</v>
      </c>
      <c r="S948" s="1305">
        <f>S949+S954+S960+S965+S971</f>
        <v>466</v>
      </c>
      <c r="T948" s="1190">
        <f t="shared" ref="T948:AD948" si="1540">T949+T954+T960+T965+T971</f>
        <v>465</v>
      </c>
      <c r="U948" s="1190">
        <f t="shared" si="1540"/>
        <v>461</v>
      </c>
      <c r="V948" s="1190">
        <f t="shared" si="1540"/>
        <v>481</v>
      </c>
      <c r="W948" s="1190">
        <f t="shared" si="1540"/>
        <v>477</v>
      </c>
      <c r="X948" s="1190">
        <f t="shared" si="1540"/>
        <v>480</v>
      </c>
      <c r="Y948" s="1190">
        <f t="shared" si="1540"/>
        <v>483</v>
      </c>
      <c r="Z948" s="1190">
        <f t="shared" si="1540"/>
        <v>482</v>
      </c>
      <c r="AA948" s="1190">
        <f t="shared" si="1540"/>
        <v>478</v>
      </c>
      <c r="AB948" s="1190">
        <f t="shared" si="1540"/>
        <v>486</v>
      </c>
      <c r="AC948" s="1190">
        <f t="shared" si="1540"/>
        <v>488</v>
      </c>
      <c r="AD948" s="1190">
        <f t="shared" si="1540"/>
        <v>488</v>
      </c>
      <c r="AE948" s="885">
        <f t="shared" ref="AE948:AK948" si="1541">AE949+AE954+AE960+AE965+AE971</f>
        <v>461</v>
      </c>
      <c r="AF948" s="113">
        <f t="shared" si="1541"/>
        <v>480</v>
      </c>
      <c r="AG948" s="113">
        <f t="shared" si="1541"/>
        <v>478</v>
      </c>
      <c r="AH948" s="113">
        <f t="shared" si="1541"/>
        <v>488</v>
      </c>
      <c r="AI948" s="113">
        <f t="shared" si="1541"/>
        <v>480</v>
      </c>
      <c r="AJ948" s="113">
        <f t="shared" si="1541"/>
        <v>488</v>
      </c>
      <c r="AK948" s="113">
        <f t="shared" si="1541"/>
        <v>488</v>
      </c>
      <c r="AL948" s="34"/>
      <c r="AM948" s="2268">
        <f t="shared" ref="AM948:AM975" ca="1" si="1542">INDIRECT(AM$3&amp;(ROW()))</f>
        <v>466</v>
      </c>
      <c r="AN948" s="2030">
        <f t="shared" ref="AN948:AN975" ca="1" si="1543">INDIRECT(AN$1&amp;AN$3&amp;$C948)</f>
        <v>484</v>
      </c>
      <c r="AO948" s="2800">
        <f t="shared" ref="AO948:AO975" ca="1" si="1544">AM948-AN948</f>
        <v>-18</v>
      </c>
      <c r="AP948" s="2801">
        <f t="shared" ref="AP948:AP975" ca="1" si="1545">IFERROR(AM948/AN948,0)</f>
        <v>0.96280991735537191</v>
      </c>
      <c r="AQ948" s="2030">
        <f t="shared" ref="AQ948:AQ975" ca="1" si="1546">INDIRECT(AQ$1&amp;AQ$3&amp;$A948)+INDIRECT(AQ$1&amp;AQ$3&amp;$B948)</f>
        <v>458</v>
      </c>
      <c r="AR948" s="2800">
        <f t="shared" ref="AR948:AR975" ca="1" si="1547">AM948-AQ948</f>
        <v>8</v>
      </c>
      <c r="AS948" s="2801">
        <f t="shared" ref="AS948:AS975" ca="1" si="1548">IFERROR(AM948/AQ948,0)</f>
        <v>1.017467248908297</v>
      </c>
      <c r="AT948" s="2244"/>
      <c r="AU948" s="2268">
        <f t="shared" ref="AU948:AU975" ca="1" si="1549">INDIRECT(AU$3&amp;(ROW()))</f>
        <v>466</v>
      </c>
      <c r="AV948" s="2030">
        <f t="shared" ref="AV948:AV975" ca="1" si="1550">INDIRECT(AV$1&amp;AV$3&amp;$C948)</f>
        <v>484</v>
      </c>
      <c r="AW948" s="2800">
        <f t="shared" ref="AW948:AW975" ca="1" si="1551">AU948-AV948</f>
        <v>-18</v>
      </c>
      <c r="AX948" s="2801">
        <f t="shared" ref="AX948:AX975" ca="1" si="1552">IFERROR(AU948/AV948,0)</f>
        <v>0.96280991735537191</v>
      </c>
      <c r="AY948" s="2030">
        <f t="shared" ref="AY948:AY975" ca="1" si="1553">INDIRECT(AY$1&amp;AY$3&amp;$A948)+INDIRECT(AY$1&amp;AY$3&amp;$B948)</f>
        <v>458</v>
      </c>
      <c r="AZ948" s="2800">
        <f t="shared" ref="AZ948:AZ975" ca="1" si="1554">AU948-AY948</f>
        <v>8</v>
      </c>
      <c r="BA948" s="2801">
        <f t="shared" ref="BA948:BA975" ca="1" si="1555">IFERROR(AU948/AY948,0)</f>
        <v>1.017467248908297</v>
      </c>
      <c r="BB948" s="2244"/>
      <c r="BC948" s="2268">
        <f t="shared" ref="BC948:BC975" ca="1" si="1556">INDIRECT(BC$3&amp;(ROW()))</f>
        <v>466</v>
      </c>
      <c r="BD948" s="2030">
        <f t="shared" ref="BD948:BD975" ca="1" si="1557">INDIRECT(BD$1&amp;BD$3&amp;$C948)</f>
        <v>484</v>
      </c>
      <c r="BE948" s="2800">
        <f t="shared" ref="BE948:BE975" ca="1" si="1558">BC948-BD948</f>
        <v>-18</v>
      </c>
      <c r="BF948" s="2801">
        <f t="shared" ref="BF948:BF975" ca="1" si="1559">IFERROR(BC948/BD948,0)</f>
        <v>0.96280991735537191</v>
      </c>
      <c r="BG948" s="2030">
        <f t="shared" ref="BG948:BG975" ca="1" si="1560">INDIRECT(BG$1&amp;BG$3&amp;$A948)+INDIRECT(BG$1&amp;BG$3&amp;$B948)</f>
        <v>458</v>
      </c>
      <c r="BH948" s="2800">
        <f t="shared" ref="BH948:BH975" ca="1" si="1561">BC948-BG948</f>
        <v>8</v>
      </c>
      <c r="BI948" s="2801">
        <f t="shared" ref="BI948:BI975" ca="1" si="1562">IFERROR(BC948/BG948,0)</f>
        <v>1.017467248908297</v>
      </c>
    </row>
    <row r="949" spans="1:61" s="34" customFormat="1" ht="14.5">
      <c r="A949" s="1693">
        <f t="shared" si="1505"/>
        <v>941</v>
      </c>
      <c r="B949" s="616">
        <v>1</v>
      </c>
      <c r="C949" s="1693">
        <f t="shared" si="1493"/>
        <v>949</v>
      </c>
      <c r="D949" s="616">
        <v>1</v>
      </c>
      <c r="E949" s="709" t="s">
        <v>512</v>
      </c>
      <c r="F949" s="1572"/>
      <c r="G949" s="4"/>
      <c r="H949" s="4"/>
      <c r="I949" s="4"/>
      <c r="J949" s="258"/>
      <c r="K949" s="48" t="s">
        <v>46</v>
      </c>
      <c r="L949" s="48"/>
      <c r="M949" s="48"/>
      <c r="N949" s="47"/>
      <c r="O949" s="47"/>
      <c r="P949" s="47"/>
      <c r="Q949" s="47"/>
      <c r="R949" s="1786" t="str">
        <f>CHOOSE(2, "6722000003860", "HC PP FE/TTOC Sales Total")</f>
        <v>HC PP FE/TTOC Sales Total</v>
      </c>
      <c r="S949" s="1255">
        <f>SUM(S950:S953)</f>
        <v>69</v>
      </c>
      <c r="T949" s="1255">
        <f t="shared" ref="T949:AD949" si="1563">SUM(T950:T953)</f>
        <v>70</v>
      </c>
      <c r="U949" s="1255">
        <f t="shared" si="1563"/>
        <v>69</v>
      </c>
      <c r="V949" s="1255">
        <f t="shared" si="1563"/>
        <v>72</v>
      </c>
      <c r="W949" s="1255">
        <f t="shared" si="1563"/>
        <v>71</v>
      </c>
      <c r="X949" s="1255">
        <f t="shared" si="1563"/>
        <v>71</v>
      </c>
      <c r="Y949" s="1255">
        <f t="shared" si="1563"/>
        <v>71</v>
      </c>
      <c r="Z949" s="1255">
        <f t="shared" si="1563"/>
        <v>71</v>
      </c>
      <c r="AA949" s="1255">
        <f t="shared" si="1563"/>
        <v>70</v>
      </c>
      <c r="AB949" s="1255">
        <f t="shared" si="1563"/>
        <v>72</v>
      </c>
      <c r="AC949" s="1255">
        <f t="shared" si="1563"/>
        <v>74</v>
      </c>
      <c r="AD949" s="1255">
        <f t="shared" si="1563"/>
        <v>74</v>
      </c>
      <c r="AE949" s="1240">
        <f t="shared" ref="AE949:AK949" si="1564">SUM(AE950:AE953)</f>
        <v>69</v>
      </c>
      <c r="AF949" s="1255">
        <f t="shared" si="1564"/>
        <v>71</v>
      </c>
      <c r="AG949" s="1255">
        <f t="shared" si="1564"/>
        <v>70</v>
      </c>
      <c r="AH949" s="1255">
        <f t="shared" si="1564"/>
        <v>74</v>
      </c>
      <c r="AI949" s="1255">
        <f t="shared" si="1564"/>
        <v>71</v>
      </c>
      <c r="AJ949" s="1255">
        <f t="shared" si="1564"/>
        <v>74</v>
      </c>
      <c r="AK949" s="1255">
        <f t="shared" si="1564"/>
        <v>74</v>
      </c>
      <c r="AM949" s="2250">
        <f t="shared" ca="1" si="1542"/>
        <v>69</v>
      </c>
      <c r="AN949" s="2250">
        <f t="shared" ca="1" si="1543"/>
        <v>71</v>
      </c>
      <c r="AO949" s="2948">
        <f t="shared" ca="1" si="1544"/>
        <v>-2</v>
      </c>
      <c r="AP949" s="2949">
        <f t="shared" ca="1" si="1545"/>
        <v>0.971830985915493</v>
      </c>
      <c r="AQ949" s="2250">
        <f t="shared" ca="1" si="1546"/>
        <v>67</v>
      </c>
      <c r="AR949" s="2948">
        <f t="shared" ca="1" si="1547"/>
        <v>2</v>
      </c>
      <c r="AS949" s="2949">
        <f t="shared" ca="1" si="1548"/>
        <v>1.0298507462686568</v>
      </c>
      <c r="AU949" s="2250">
        <f t="shared" ca="1" si="1549"/>
        <v>69</v>
      </c>
      <c r="AV949" s="2250">
        <f t="shared" ca="1" si="1550"/>
        <v>71</v>
      </c>
      <c r="AW949" s="2948">
        <f t="shared" ca="1" si="1551"/>
        <v>-2</v>
      </c>
      <c r="AX949" s="2949">
        <f t="shared" ca="1" si="1552"/>
        <v>0.971830985915493</v>
      </c>
      <c r="AY949" s="2250">
        <f t="shared" ca="1" si="1553"/>
        <v>67</v>
      </c>
      <c r="AZ949" s="2948">
        <f t="shared" ca="1" si="1554"/>
        <v>2</v>
      </c>
      <c r="BA949" s="2949">
        <f t="shared" ca="1" si="1555"/>
        <v>1.0298507462686568</v>
      </c>
      <c r="BC949" s="2250">
        <f t="shared" ca="1" si="1556"/>
        <v>69</v>
      </c>
      <c r="BD949" s="2250">
        <f t="shared" ca="1" si="1557"/>
        <v>71</v>
      </c>
      <c r="BE949" s="2948">
        <f t="shared" ca="1" si="1558"/>
        <v>-2</v>
      </c>
      <c r="BF949" s="2949">
        <f t="shared" ca="1" si="1559"/>
        <v>0.971830985915493</v>
      </c>
      <c r="BG949" s="2250">
        <f t="shared" ca="1" si="1560"/>
        <v>67</v>
      </c>
      <c r="BH949" s="2948">
        <f t="shared" ca="1" si="1561"/>
        <v>2</v>
      </c>
      <c r="BI949" s="2949">
        <f t="shared" ca="1" si="1562"/>
        <v>1.0298507462686568</v>
      </c>
    </row>
    <row r="950" spans="1:61" s="34" customFormat="1" ht="14.5">
      <c r="A950" s="1693">
        <f t="shared" si="1505"/>
        <v>942</v>
      </c>
      <c r="B950" s="616">
        <v>1</v>
      </c>
      <c r="C950" s="1693">
        <f t="shared" si="1493"/>
        <v>950</v>
      </c>
      <c r="D950" s="616">
        <v>1</v>
      </c>
      <c r="F950" s="454"/>
      <c r="G950" s="4"/>
      <c r="H950" s="4"/>
      <c r="I950" s="4"/>
      <c r="J950" s="258"/>
      <c r="K950" s="4"/>
      <c r="L950" s="4"/>
      <c r="M950" s="4"/>
      <c r="N950" s="3"/>
      <c r="O950" s="41"/>
      <c r="P950" s="41" t="s">
        <v>45</v>
      </c>
      <c r="Q950" s="3"/>
      <c r="R950" s="1778" t="str">
        <f>CHOOSE(2, "6722000003861", "HC PP FE/TTOC Sales Total Direct sales rep.")</f>
        <v>HC PP FE/TTOC Sales Total Direct sales rep.</v>
      </c>
      <c r="S950" s="1212">
        <v>54</v>
      </c>
      <c r="T950" s="1212">
        <v>55</v>
      </c>
      <c r="U950" s="1212">
        <v>54</v>
      </c>
      <c r="V950" s="1212">
        <v>57</v>
      </c>
      <c r="W950" s="1212">
        <v>56</v>
      </c>
      <c r="X950" s="1212">
        <v>56</v>
      </c>
      <c r="Y950" s="1212">
        <v>56</v>
      </c>
      <c r="Z950" s="1212">
        <v>56</v>
      </c>
      <c r="AA950" s="1212">
        <v>55</v>
      </c>
      <c r="AB950" s="1212">
        <v>57</v>
      </c>
      <c r="AC950" s="1212">
        <v>58</v>
      </c>
      <c r="AD950" s="1212">
        <v>58</v>
      </c>
      <c r="AE950" s="877">
        <f>U950</f>
        <v>54</v>
      </c>
      <c r="AF950" s="40">
        <f>X950</f>
        <v>56</v>
      </c>
      <c r="AG950" s="40">
        <f>AA950</f>
        <v>55</v>
      </c>
      <c r="AH950" s="40">
        <f>AD950</f>
        <v>58</v>
      </c>
      <c r="AI950" s="40">
        <f>AF950</f>
        <v>56</v>
      </c>
      <c r="AJ950" s="40">
        <f>AH950</f>
        <v>58</v>
      </c>
      <c r="AK950" s="40">
        <f>AJ950</f>
        <v>58</v>
      </c>
      <c r="AM950" s="1910">
        <f t="shared" ca="1" si="1542"/>
        <v>54</v>
      </c>
      <c r="AN950" s="1910">
        <f t="shared" ca="1" si="1543"/>
        <v>57</v>
      </c>
      <c r="AO950" s="2694">
        <f t="shared" ca="1" si="1544"/>
        <v>-3</v>
      </c>
      <c r="AP950" s="2695">
        <f t="shared" ca="1" si="1545"/>
        <v>0.94736842105263153</v>
      </c>
      <c r="AQ950" s="1910">
        <f t="shared" ca="1" si="1546"/>
        <v>53</v>
      </c>
      <c r="AR950" s="2694">
        <f t="shared" ca="1" si="1547"/>
        <v>1</v>
      </c>
      <c r="AS950" s="2695">
        <f t="shared" ca="1" si="1548"/>
        <v>1.0188679245283019</v>
      </c>
      <c r="AU950" s="1910">
        <f t="shared" ca="1" si="1549"/>
        <v>54</v>
      </c>
      <c r="AV950" s="1910">
        <f t="shared" ca="1" si="1550"/>
        <v>57</v>
      </c>
      <c r="AW950" s="2694">
        <f t="shared" ca="1" si="1551"/>
        <v>-3</v>
      </c>
      <c r="AX950" s="2695">
        <f t="shared" ca="1" si="1552"/>
        <v>0.94736842105263153</v>
      </c>
      <c r="AY950" s="1910">
        <f t="shared" ca="1" si="1553"/>
        <v>53</v>
      </c>
      <c r="AZ950" s="2694">
        <f t="shared" ca="1" si="1554"/>
        <v>1</v>
      </c>
      <c r="BA950" s="2695">
        <f t="shared" ca="1" si="1555"/>
        <v>1.0188679245283019</v>
      </c>
      <c r="BC950" s="1910">
        <f t="shared" ca="1" si="1556"/>
        <v>54</v>
      </c>
      <c r="BD950" s="1910">
        <f t="shared" ca="1" si="1557"/>
        <v>57</v>
      </c>
      <c r="BE950" s="2694">
        <f t="shared" ca="1" si="1558"/>
        <v>-3</v>
      </c>
      <c r="BF950" s="2695">
        <f t="shared" ca="1" si="1559"/>
        <v>0.94736842105263153</v>
      </c>
      <c r="BG950" s="1910">
        <f t="shared" ca="1" si="1560"/>
        <v>53</v>
      </c>
      <c r="BH950" s="2694">
        <f t="shared" ca="1" si="1561"/>
        <v>1</v>
      </c>
      <c r="BI950" s="2695">
        <f t="shared" ca="1" si="1562"/>
        <v>1.0188679245283019</v>
      </c>
    </row>
    <row r="951" spans="1:61" s="34" customFormat="1" ht="14.5">
      <c r="A951" s="1693">
        <f t="shared" si="1505"/>
        <v>943</v>
      </c>
      <c r="B951" s="616">
        <v>1</v>
      </c>
      <c r="C951" s="1693">
        <f t="shared" si="1493"/>
        <v>951</v>
      </c>
      <c r="D951" s="616">
        <v>1</v>
      </c>
      <c r="F951" s="454"/>
      <c r="G951" s="4"/>
      <c r="H951" s="4"/>
      <c r="I951" s="4"/>
      <c r="J951" s="258"/>
      <c r="K951" s="4"/>
      <c r="L951" s="4"/>
      <c r="M951" s="4"/>
      <c r="N951" s="3"/>
      <c r="O951" s="41"/>
      <c r="P951" s="41" t="s">
        <v>44</v>
      </c>
      <c r="Q951" s="3"/>
      <c r="R951" s="1778" t="str">
        <f>CHOOSE(2, "6722000003862", "HC PP FE/TTOC Sales Total Direct sales engineers")</f>
        <v>HC PP FE/TTOC Sales Total Direct sales engineers</v>
      </c>
      <c r="S951" s="1212"/>
      <c r="T951" s="1212"/>
      <c r="U951" s="1212"/>
      <c r="V951" s="1212"/>
      <c r="W951" s="1212"/>
      <c r="X951" s="1212"/>
      <c r="Y951" s="1212"/>
      <c r="Z951" s="1212"/>
      <c r="AA951" s="1212"/>
      <c r="AB951" s="1212"/>
      <c r="AC951" s="1212"/>
      <c r="AD951" s="1212"/>
      <c r="AE951" s="877">
        <f>U951</f>
        <v>0</v>
      </c>
      <c r="AF951" s="40">
        <f>X951</f>
        <v>0</v>
      </c>
      <c r="AG951" s="40">
        <f>AA951</f>
        <v>0</v>
      </c>
      <c r="AH951" s="40">
        <f>AD951</f>
        <v>0</v>
      </c>
      <c r="AI951" s="40">
        <f>AF951</f>
        <v>0</v>
      </c>
      <c r="AJ951" s="40">
        <f>AH951</f>
        <v>0</v>
      </c>
      <c r="AK951" s="40">
        <f>AJ951</f>
        <v>0</v>
      </c>
      <c r="AM951" s="1910">
        <f t="shared" ca="1" si="1542"/>
        <v>0</v>
      </c>
      <c r="AN951" s="1910">
        <f t="shared" ca="1" si="1543"/>
        <v>0</v>
      </c>
      <c r="AO951" s="2694">
        <f t="shared" ca="1" si="1544"/>
        <v>0</v>
      </c>
      <c r="AP951" s="2695">
        <f t="shared" ca="1" si="1545"/>
        <v>0</v>
      </c>
      <c r="AQ951" s="1910">
        <f t="shared" ca="1" si="1546"/>
        <v>0</v>
      </c>
      <c r="AR951" s="2694">
        <f t="shared" ca="1" si="1547"/>
        <v>0</v>
      </c>
      <c r="AS951" s="2695">
        <f t="shared" ca="1" si="1548"/>
        <v>0</v>
      </c>
      <c r="AU951" s="1910">
        <f t="shared" ca="1" si="1549"/>
        <v>0</v>
      </c>
      <c r="AV951" s="1910">
        <f t="shared" ca="1" si="1550"/>
        <v>0</v>
      </c>
      <c r="AW951" s="2694">
        <f t="shared" ca="1" si="1551"/>
        <v>0</v>
      </c>
      <c r="AX951" s="2695">
        <f t="shared" ca="1" si="1552"/>
        <v>0</v>
      </c>
      <c r="AY951" s="1910">
        <f t="shared" ca="1" si="1553"/>
        <v>0</v>
      </c>
      <c r="AZ951" s="2694">
        <f t="shared" ca="1" si="1554"/>
        <v>0</v>
      </c>
      <c r="BA951" s="2695">
        <f t="shared" ca="1" si="1555"/>
        <v>0</v>
      </c>
      <c r="BC951" s="1910">
        <f t="shared" ca="1" si="1556"/>
        <v>0</v>
      </c>
      <c r="BD951" s="1910">
        <f t="shared" ca="1" si="1557"/>
        <v>0</v>
      </c>
      <c r="BE951" s="2694">
        <f t="shared" ca="1" si="1558"/>
        <v>0</v>
      </c>
      <c r="BF951" s="2695">
        <f t="shared" ca="1" si="1559"/>
        <v>0</v>
      </c>
      <c r="BG951" s="1910">
        <f t="shared" ca="1" si="1560"/>
        <v>0</v>
      </c>
      <c r="BH951" s="2694">
        <f t="shared" ca="1" si="1561"/>
        <v>0</v>
      </c>
      <c r="BI951" s="2695">
        <f t="shared" ca="1" si="1562"/>
        <v>0</v>
      </c>
    </row>
    <row r="952" spans="1:61" s="34" customFormat="1" ht="14.5">
      <c r="A952" s="1693">
        <f t="shared" si="1505"/>
        <v>944</v>
      </c>
      <c r="B952" s="616">
        <v>1</v>
      </c>
      <c r="C952" s="1693">
        <f t="shared" si="1493"/>
        <v>952</v>
      </c>
      <c r="D952" s="616">
        <v>1</v>
      </c>
      <c r="F952" s="454"/>
      <c r="G952" s="4"/>
      <c r="H952" s="4"/>
      <c r="I952" s="4"/>
      <c r="J952" s="258"/>
      <c r="K952" s="4"/>
      <c r="L952" s="4"/>
      <c r="M952" s="4"/>
      <c r="N952" s="3"/>
      <c r="O952" s="41"/>
      <c r="P952" s="41" t="s">
        <v>43</v>
      </c>
      <c r="Q952" s="3"/>
      <c r="R952" s="1778" t="str">
        <f>CHOOSE(2, "6722000003863", "HC PP FE/TTOC Sales Total Dealer(Indirect) sales rep.")</f>
        <v>HC PP FE/TTOC Sales Total Dealer(Indirect) sales rep.</v>
      </c>
      <c r="S952" s="1212"/>
      <c r="T952" s="1212"/>
      <c r="U952" s="1212"/>
      <c r="V952" s="1212"/>
      <c r="W952" s="1212"/>
      <c r="X952" s="1212"/>
      <c r="Y952" s="1212"/>
      <c r="Z952" s="1212"/>
      <c r="AA952" s="1212"/>
      <c r="AB952" s="1212"/>
      <c r="AC952" s="1212"/>
      <c r="AD952" s="1212"/>
      <c r="AE952" s="877">
        <f>U952</f>
        <v>0</v>
      </c>
      <c r="AF952" s="40">
        <f>X952</f>
        <v>0</v>
      </c>
      <c r="AG952" s="40">
        <f>AA952</f>
        <v>0</v>
      </c>
      <c r="AH952" s="40">
        <f>AD952</f>
        <v>0</v>
      </c>
      <c r="AI952" s="40">
        <f>AF952</f>
        <v>0</v>
      </c>
      <c r="AJ952" s="40">
        <f>AH952</f>
        <v>0</v>
      </c>
      <c r="AK952" s="40">
        <f>AJ952</f>
        <v>0</v>
      </c>
      <c r="AM952" s="1910">
        <f t="shared" ca="1" si="1542"/>
        <v>0</v>
      </c>
      <c r="AN952" s="1910">
        <f t="shared" ca="1" si="1543"/>
        <v>0</v>
      </c>
      <c r="AO952" s="2694">
        <f t="shared" ca="1" si="1544"/>
        <v>0</v>
      </c>
      <c r="AP952" s="2695">
        <f t="shared" ca="1" si="1545"/>
        <v>0</v>
      </c>
      <c r="AQ952" s="1910">
        <f t="shared" ca="1" si="1546"/>
        <v>0</v>
      </c>
      <c r="AR952" s="2694">
        <f t="shared" ca="1" si="1547"/>
        <v>0</v>
      </c>
      <c r="AS952" s="2695">
        <f t="shared" ca="1" si="1548"/>
        <v>0</v>
      </c>
      <c r="AU952" s="1910">
        <f t="shared" ca="1" si="1549"/>
        <v>0</v>
      </c>
      <c r="AV952" s="1910">
        <f t="shared" ca="1" si="1550"/>
        <v>0</v>
      </c>
      <c r="AW952" s="2694">
        <f t="shared" ca="1" si="1551"/>
        <v>0</v>
      </c>
      <c r="AX952" s="2695">
        <f t="shared" ca="1" si="1552"/>
        <v>0</v>
      </c>
      <c r="AY952" s="1910">
        <f t="shared" ca="1" si="1553"/>
        <v>0</v>
      </c>
      <c r="AZ952" s="2694">
        <f t="shared" ca="1" si="1554"/>
        <v>0</v>
      </c>
      <c r="BA952" s="2695">
        <f t="shared" ca="1" si="1555"/>
        <v>0</v>
      </c>
      <c r="BC952" s="1910">
        <f t="shared" ca="1" si="1556"/>
        <v>0</v>
      </c>
      <c r="BD952" s="1910">
        <f t="shared" ca="1" si="1557"/>
        <v>0</v>
      </c>
      <c r="BE952" s="2694">
        <f t="shared" ca="1" si="1558"/>
        <v>0</v>
      </c>
      <c r="BF952" s="2695">
        <f t="shared" ca="1" si="1559"/>
        <v>0</v>
      </c>
      <c r="BG952" s="1910">
        <f t="shared" ca="1" si="1560"/>
        <v>0</v>
      </c>
      <c r="BH952" s="2694">
        <f t="shared" ca="1" si="1561"/>
        <v>0</v>
      </c>
      <c r="BI952" s="2695">
        <f t="shared" ca="1" si="1562"/>
        <v>0</v>
      </c>
    </row>
    <row r="953" spans="1:61" s="34" customFormat="1" ht="14.5">
      <c r="A953" s="1693">
        <f t="shared" si="1505"/>
        <v>945</v>
      </c>
      <c r="B953" s="616">
        <v>1</v>
      </c>
      <c r="C953" s="1693">
        <f t="shared" si="1493"/>
        <v>953</v>
      </c>
      <c r="D953" s="616">
        <v>1</v>
      </c>
      <c r="F953" s="454"/>
      <c r="G953" s="4"/>
      <c r="H953" s="4"/>
      <c r="I953" s="4"/>
      <c r="J953" s="258"/>
      <c r="K953" s="2"/>
      <c r="L953" s="2"/>
      <c r="M953" s="2"/>
      <c r="N953" s="1"/>
      <c r="O953" s="39"/>
      <c r="P953" s="39" t="s">
        <v>40</v>
      </c>
      <c r="Q953" s="1"/>
      <c r="R953" s="1778" t="str">
        <f>CHOOSE(2, "6722000003864", "HC PP FE/TTOC Sales Total Administration/Others")</f>
        <v>HC PP FE/TTOC Sales Total Administration/Others</v>
      </c>
      <c r="S953" s="1211">
        <v>15</v>
      </c>
      <c r="T953" s="1211">
        <v>15</v>
      </c>
      <c r="U953" s="1211">
        <v>15</v>
      </c>
      <c r="V953" s="1211">
        <v>15</v>
      </c>
      <c r="W953" s="1211">
        <v>15</v>
      </c>
      <c r="X953" s="1211">
        <v>15</v>
      </c>
      <c r="Y953" s="1211">
        <v>15</v>
      </c>
      <c r="Z953" s="1211">
        <v>15</v>
      </c>
      <c r="AA953" s="1211">
        <v>15</v>
      </c>
      <c r="AB953" s="1211">
        <v>15</v>
      </c>
      <c r="AC953" s="1211">
        <v>16</v>
      </c>
      <c r="AD953" s="1211">
        <v>16</v>
      </c>
      <c r="AE953" s="912">
        <f>U953</f>
        <v>15</v>
      </c>
      <c r="AF953" s="38">
        <f>X953</f>
        <v>15</v>
      </c>
      <c r="AG953" s="38">
        <f>AA953</f>
        <v>15</v>
      </c>
      <c r="AH953" s="38">
        <f>AD953</f>
        <v>16</v>
      </c>
      <c r="AI953" s="38">
        <f>AF953</f>
        <v>15</v>
      </c>
      <c r="AJ953" s="38">
        <f>AH953</f>
        <v>16</v>
      </c>
      <c r="AK953" s="38">
        <f>AJ953</f>
        <v>16</v>
      </c>
      <c r="AM953" s="2248">
        <f t="shared" ca="1" si="1542"/>
        <v>15</v>
      </c>
      <c r="AN953" s="2248">
        <f t="shared" ca="1" si="1543"/>
        <v>14</v>
      </c>
      <c r="AO953" s="2950">
        <f t="shared" ca="1" si="1544"/>
        <v>1</v>
      </c>
      <c r="AP953" s="2951">
        <f t="shared" ca="1" si="1545"/>
        <v>1.0714285714285714</v>
      </c>
      <c r="AQ953" s="2248">
        <f t="shared" ca="1" si="1546"/>
        <v>14</v>
      </c>
      <c r="AR953" s="2950">
        <f t="shared" ca="1" si="1547"/>
        <v>1</v>
      </c>
      <c r="AS953" s="2951">
        <f t="shared" ca="1" si="1548"/>
        <v>1.0714285714285714</v>
      </c>
      <c r="AU953" s="2248">
        <f t="shared" ca="1" si="1549"/>
        <v>15</v>
      </c>
      <c r="AV953" s="2248">
        <f t="shared" ca="1" si="1550"/>
        <v>14</v>
      </c>
      <c r="AW953" s="2950">
        <f t="shared" ca="1" si="1551"/>
        <v>1</v>
      </c>
      <c r="AX953" s="2951">
        <f t="shared" ca="1" si="1552"/>
        <v>1.0714285714285714</v>
      </c>
      <c r="AY953" s="2248">
        <f t="shared" ca="1" si="1553"/>
        <v>14</v>
      </c>
      <c r="AZ953" s="2950">
        <f t="shared" ca="1" si="1554"/>
        <v>1</v>
      </c>
      <c r="BA953" s="2951">
        <f t="shared" ca="1" si="1555"/>
        <v>1.0714285714285714</v>
      </c>
      <c r="BC953" s="2248">
        <f t="shared" ca="1" si="1556"/>
        <v>15</v>
      </c>
      <c r="BD953" s="2248">
        <f t="shared" ca="1" si="1557"/>
        <v>14</v>
      </c>
      <c r="BE953" s="2950">
        <f t="shared" ca="1" si="1558"/>
        <v>1</v>
      </c>
      <c r="BF953" s="2951">
        <f t="shared" ca="1" si="1559"/>
        <v>1.0714285714285714</v>
      </c>
      <c r="BG953" s="2248">
        <f t="shared" ca="1" si="1560"/>
        <v>14</v>
      </c>
      <c r="BH953" s="2950">
        <f t="shared" ca="1" si="1561"/>
        <v>1</v>
      </c>
      <c r="BI953" s="2951">
        <f t="shared" ca="1" si="1562"/>
        <v>1.0714285714285714</v>
      </c>
    </row>
    <row r="954" spans="1:61" s="34" customFormat="1" ht="14.5">
      <c r="A954" s="1693">
        <f t="shared" si="1505"/>
        <v>946</v>
      </c>
      <c r="B954" s="616">
        <v>1</v>
      </c>
      <c r="C954" s="1693">
        <f t="shared" si="1493"/>
        <v>954</v>
      </c>
      <c r="D954" s="616">
        <v>1</v>
      </c>
      <c r="E954" s="709" t="s">
        <v>512</v>
      </c>
      <c r="F954" s="1572"/>
      <c r="G954" s="4"/>
      <c r="H954" s="4"/>
      <c r="I954" s="4"/>
      <c r="J954" s="258"/>
      <c r="K954" s="48" t="s">
        <v>137</v>
      </c>
      <c r="L954" s="48"/>
      <c r="M954" s="48"/>
      <c r="N954" s="47"/>
      <c r="O954" s="47"/>
      <c r="P954" s="47"/>
      <c r="Q954" s="47"/>
      <c r="R954" s="1786" t="str">
        <f>CHOOSE(2, "6722000003865", "HC PP FE/TTOC Service Total")</f>
        <v>HC PP FE/TTOC Service Total</v>
      </c>
      <c r="S954" s="1255">
        <f>SUM(S955:S959)</f>
        <v>317</v>
      </c>
      <c r="T954" s="1255">
        <f t="shared" ref="T954:AD954" si="1565">SUM(T955:T959)</f>
        <v>316</v>
      </c>
      <c r="U954" s="1255">
        <f t="shared" si="1565"/>
        <v>315</v>
      </c>
      <c r="V954" s="1255">
        <f t="shared" si="1565"/>
        <v>330</v>
      </c>
      <c r="W954" s="1255">
        <f t="shared" si="1565"/>
        <v>329</v>
      </c>
      <c r="X954" s="1255">
        <f t="shared" si="1565"/>
        <v>331</v>
      </c>
      <c r="Y954" s="45">
        <f t="shared" si="1565"/>
        <v>333</v>
      </c>
      <c r="Z954" s="1255">
        <f t="shared" si="1565"/>
        <v>333</v>
      </c>
      <c r="AA954" s="1255">
        <f t="shared" si="1565"/>
        <v>333</v>
      </c>
      <c r="AB954" s="1255">
        <f t="shared" si="1565"/>
        <v>337</v>
      </c>
      <c r="AC954" s="1255">
        <f t="shared" si="1565"/>
        <v>337</v>
      </c>
      <c r="AD954" s="1255">
        <f t="shared" si="1565"/>
        <v>335</v>
      </c>
      <c r="AE954" s="1240">
        <f t="shared" ref="AE954:AK954" si="1566">SUM(AE955:AE959)</f>
        <v>315</v>
      </c>
      <c r="AF954" s="1255">
        <f t="shared" si="1566"/>
        <v>331</v>
      </c>
      <c r="AG954" s="1255">
        <f t="shared" si="1566"/>
        <v>333</v>
      </c>
      <c r="AH954" s="1255">
        <f t="shared" si="1566"/>
        <v>335</v>
      </c>
      <c r="AI954" s="1255">
        <f t="shared" si="1566"/>
        <v>331</v>
      </c>
      <c r="AJ954" s="1255">
        <f t="shared" si="1566"/>
        <v>335</v>
      </c>
      <c r="AK954" s="1255">
        <f t="shared" si="1566"/>
        <v>335</v>
      </c>
      <c r="AM954" s="2250">
        <f t="shared" ca="1" si="1542"/>
        <v>317</v>
      </c>
      <c r="AN954" s="2250">
        <f t="shared" ca="1" si="1543"/>
        <v>328</v>
      </c>
      <c r="AO954" s="2948">
        <f t="shared" ca="1" si="1544"/>
        <v>-11</v>
      </c>
      <c r="AP954" s="2949">
        <f t="shared" ca="1" si="1545"/>
        <v>0.96646341463414631</v>
      </c>
      <c r="AQ954" s="2250">
        <f t="shared" ca="1" si="1546"/>
        <v>313</v>
      </c>
      <c r="AR954" s="2948">
        <f t="shared" ca="1" si="1547"/>
        <v>4</v>
      </c>
      <c r="AS954" s="2949">
        <f t="shared" ca="1" si="1548"/>
        <v>1.0127795527156549</v>
      </c>
      <c r="AU954" s="2250">
        <f t="shared" ca="1" si="1549"/>
        <v>317</v>
      </c>
      <c r="AV954" s="2250">
        <f t="shared" ca="1" si="1550"/>
        <v>328</v>
      </c>
      <c r="AW954" s="2948">
        <f t="shared" ca="1" si="1551"/>
        <v>-11</v>
      </c>
      <c r="AX954" s="2949">
        <f t="shared" ca="1" si="1552"/>
        <v>0.96646341463414631</v>
      </c>
      <c r="AY954" s="2250">
        <f t="shared" ca="1" si="1553"/>
        <v>313</v>
      </c>
      <c r="AZ954" s="2948">
        <f t="shared" ca="1" si="1554"/>
        <v>4</v>
      </c>
      <c r="BA954" s="2949">
        <f t="shared" ca="1" si="1555"/>
        <v>1.0127795527156549</v>
      </c>
      <c r="BC954" s="2250">
        <f t="shared" ca="1" si="1556"/>
        <v>317</v>
      </c>
      <c r="BD954" s="2250">
        <f t="shared" ca="1" si="1557"/>
        <v>328</v>
      </c>
      <c r="BE954" s="2948">
        <f t="shared" ca="1" si="1558"/>
        <v>-11</v>
      </c>
      <c r="BF954" s="2949">
        <f t="shared" ca="1" si="1559"/>
        <v>0.96646341463414631</v>
      </c>
      <c r="BG954" s="2250">
        <f t="shared" ca="1" si="1560"/>
        <v>313</v>
      </c>
      <c r="BH954" s="2948">
        <f t="shared" ca="1" si="1561"/>
        <v>4</v>
      </c>
      <c r="BI954" s="2949">
        <f t="shared" ca="1" si="1562"/>
        <v>1.0127795527156549</v>
      </c>
    </row>
    <row r="955" spans="1:61" s="34" customFormat="1" ht="14.5">
      <c r="A955" s="1693">
        <f t="shared" si="1505"/>
        <v>947</v>
      </c>
      <c r="B955" s="616">
        <v>1</v>
      </c>
      <c r="C955" s="1693">
        <f t="shared" si="1493"/>
        <v>955</v>
      </c>
      <c r="D955" s="616">
        <v>1</v>
      </c>
      <c r="F955" s="454"/>
      <c r="G955" s="4"/>
      <c r="H955" s="4"/>
      <c r="I955" s="4"/>
      <c r="J955" s="258"/>
      <c r="K955" s="4"/>
      <c r="L955" s="4"/>
      <c r="M955" s="4"/>
      <c r="N955" s="3"/>
      <c r="O955" s="41"/>
      <c r="P955" s="41" t="s">
        <v>15</v>
      </c>
      <c r="Q955" s="3"/>
      <c r="R955" s="1778" t="str">
        <f>CHOOSE(2, "6722000003866", "HC PP FE/TTOC Service Total Onsite Engineer")</f>
        <v>HC PP FE/TTOC Service Total Onsite Engineer</v>
      </c>
      <c r="S955" s="1212">
        <v>275</v>
      </c>
      <c r="T955" s="1212">
        <v>273</v>
      </c>
      <c r="U955" s="1212">
        <v>271</v>
      </c>
      <c r="V955" s="1212">
        <v>287</v>
      </c>
      <c r="W955" s="1212">
        <v>286</v>
      </c>
      <c r="X955" s="1212">
        <v>289</v>
      </c>
      <c r="Y955" s="1212">
        <v>291</v>
      </c>
      <c r="Z955" s="1212">
        <v>291</v>
      </c>
      <c r="AA955" s="1212">
        <v>291</v>
      </c>
      <c r="AB955" s="1212">
        <v>295</v>
      </c>
      <c r="AC955" s="1212">
        <v>296</v>
      </c>
      <c r="AD955" s="1212">
        <v>292</v>
      </c>
      <c r="AE955" s="877">
        <f>U955</f>
        <v>271</v>
      </c>
      <c r="AF955" s="40">
        <f>X955</f>
        <v>289</v>
      </c>
      <c r="AG955" s="40">
        <f>AA955</f>
        <v>291</v>
      </c>
      <c r="AH955" s="40">
        <f>AD955</f>
        <v>292</v>
      </c>
      <c r="AI955" s="40">
        <f>AF955</f>
        <v>289</v>
      </c>
      <c r="AJ955" s="40">
        <f>AH955</f>
        <v>292</v>
      </c>
      <c r="AK955" s="40">
        <f>AJ955</f>
        <v>292</v>
      </c>
      <c r="AM955" s="1910">
        <f t="shared" ca="1" si="1542"/>
        <v>275</v>
      </c>
      <c r="AN955" s="1910">
        <f t="shared" ca="1" si="1543"/>
        <v>285</v>
      </c>
      <c r="AO955" s="2694">
        <f t="shared" ca="1" si="1544"/>
        <v>-10</v>
      </c>
      <c r="AP955" s="2695">
        <f t="shared" ca="1" si="1545"/>
        <v>0.96491228070175439</v>
      </c>
      <c r="AQ955" s="1910">
        <f t="shared" ca="1" si="1546"/>
        <v>273</v>
      </c>
      <c r="AR955" s="2694">
        <f t="shared" ca="1" si="1547"/>
        <v>2</v>
      </c>
      <c r="AS955" s="2695">
        <f t="shared" ca="1" si="1548"/>
        <v>1.0073260073260073</v>
      </c>
      <c r="AU955" s="1910">
        <f t="shared" ca="1" si="1549"/>
        <v>275</v>
      </c>
      <c r="AV955" s="1910">
        <f t="shared" ca="1" si="1550"/>
        <v>285</v>
      </c>
      <c r="AW955" s="2694">
        <f t="shared" ca="1" si="1551"/>
        <v>-10</v>
      </c>
      <c r="AX955" s="2695">
        <f t="shared" ca="1" si="1552"/>
        <v>0.96491228070175439</v>
      </c>
      <c r="AY955" s="1910">
        <f t="shared" ca="1" si="1553"/>
        <v>273</v>
      </c>
      <c r="AZ955" s="2694">
        <f t="shared" ca="1" si="1554"/>
        <v>2</v>
      </c>
      <c r="BA955" s="2695">
        <f t="shared" ca="1" si="1555"/>
        <v>1.0073260073260073</v>
      </c>
      <c r="BC955" s="1910">
        <f t="shared" ca="1" si="1556"/>
        <v>275</v>
      </c>
      <c r="BD955" s="1910">
        <f t="shared" ca="1" si="1557"/>
        <v>285</v>
      </c>
      <c r="BE955" s="2694">
        <f t="shared" ca="1" si="1558"/>
        <v>-10</v>
      </c>
      <c r="BF955" s="2695">
        <f t="shared" ca="1" si="1559"/>
        <v>0.96491228070175439</v>
      </c>
      <c r="BG955" s="1910">
        <f t="shared" ca="1" si="1560"/>
        <v>273</v>
      </c>
      <c r="BH955" s="2694">
        <f t="shared" ca="1" si="1561"/>
        <v>2</v>
      </c>
      <c r="BI955" s="2695">
        <f t="shared" ca="1" si="1562"/>
        <v>1.0073260073260073</v>
      </c>
    </row>
    <row r="956" spans="1:61" s="34" customFormat="1" ht="14.5">
      <c r="A956" s="1693">
        <f t="shared" si="1505"/>
        <v>948</v>
      </c>
      <c r="B956" s="616">
        <v>1</v>
      </c>
      <c r="C956" s="1693">
        <f t="shared" si="1493"/>
        <v>956</v>
      </c>
      <c r="D956" s="616">
        <v>1</v>
      </c>
      <c r="F956" s="454"/>
      <c r="G956" s="4"/>
      <c r="H956" s="4"/>
      <c r="I956" s="4"/>
      <c r="J956" s="258"/>
      <c r="K956" s="4"/>
      <c r="L956" s="4"/>
      <c r="M956" s="4"/>
      <c r="N956" s="3"/>
      <c r="O956" s="41"/>
      <c r="P956" s="41" t="s">
        <v>16</v>
      </c>
      <c r="Q956" s="3"/>
      <c r="R956" s="1778" t="str">
        <f>CHOOSE(2, "6722000003867", "HC PP FE/TTOC Service Total Remote Engineer")</f>
        <v>HC PP FE/TTOC Service Total Remote Engineer</v>
      </c>
      <c r="S956" s="1212"/>
      <c r="T956" s="1212"/>
      <c r="U956" s="1212"/>
      <c r="V956" s="1212"/>
      <c r="W956" s="1212"/>
      <c r="X956" s="1212"/>
      <c r="Y956" s="1212"/>
      <c r="Z956" s="1212"/>
      <c r="AA956" s="1212"/>
      <c r="AB956" s="1212"/>
      <c r="AC956" s="1212"/>
      <c r="AD956" s="1212"/>
      <c r="AE956" s="877">
        <f>U956</f>
        <v>0</v>
      </c>
      <c r="AF956" s="40">
        <f>X956</f>
        <v>0</v>
      </c>
      <c r="AG956" s="40">
        <f>AA956</f>
        <v>0</v>
      </c>
      <c r="AH956" s="40">
        <f>AD956</f>
        <v>0</v>
      </c>
      <c r="AI956" s="40">
        <f>AF956</f>
        <v>0</v>
      </c>
      <c r="AJ956" s="40">
        <f>AH956</f>
        <v>0</v>
      </c>
      <c r="AK956" s="40">
        <f>AJ956</f>
        <v>0</v>
      </c>
      <c r="AM956" s="1910">
        <f t="shared" ca="1" si="1542"/>
        <v>0</v>
      </c>
      <c r="AN956" s="1910">
        <f t="shared" ca="1" si="1543"/>
        <v>0</v>
      </c>
      <c r="AO956" s="2694">
        <f t="shared" ca="1" si="1544"/>
        <v>0</v>
      </c>
      <c r="AP956" s="2695">
        <f t="shared" ca="1" si="1545"/>
        <v>0</v>
      </c>
      <c r="AQ956" s="1910">
        <f t="shared" ca="1" si="1546"/>
        <v>0</v>
      </c>
      <c r="AR956" s="2694">
        <f t="shared" ca="1" si="1547"/>
        <v>0</v>
      </c>
      <c r="AS956" s="2695">
        <f t="shared" ca="1" si="1548"/>
        <v>0</v>
      </c>
      <c r="AU956" s="1910">
        <f t="shared" ca="1" si="1549"/>
        <v>0</v>
      </c>
      <c r="AV956" s="1910">
        <f t="shared" ca="1" si="1550"/>
        <v>0</v>
      </c>
      <c r="AW956" s="2694">
        <f t="shared" ca="1" si="1551"/>
        <v>0</v>
      </c>
      <c r="AX956" s="2695">
        <f t="shared" ca="1" si="1552"/>
        <v>0</v>
      </c>
      <c r="AY956" s="1910">
        <f t="shared" ca="1" si="1553"/>
        <v>0</v>
      </c>
      <c r="AZ956" s="2694">
        <f t="shared" ca="1" si="1554"/>
        <v>0</v>
      </c>
      <c r="BA956" s="2695">
        <f t="shared" ca="1" si="1555"/>
        <v>0</v>
      </c>
      <c r="BC956" s="1910">
        <f t="shared" ca="1" si="1556"/>
        <v>0</v>
      </c>
      <c r="BD956" s="1910">
        <f t="shared" ca="1" si="1557"/>
        <v>0</v>
      </c>
      <c r="BE956" s="2694">
        <f t="shared" ca="1" si="1558"/>
        <v>0</v>
      </c>
      <c r="BF956" s="2695">
        <f t="shared" ca="1" si="1559"/>
        <v>0</v>
      </c>
      <c r="BG956" s="1910">
        <f t="shared" ca="1" si="1560"/>
        <v>0</v>
      </c>
      <c r="BH956" s="2694">
        <f t="shared" ca="1" si="1561"/>
        <v>0</v>
      </c>
      <c r="BI956" s="2695">
        <f t="shared" ca="1" si="1562"/>
        <v>0</v>
      </c>
    </row>
    <row r="957" spans="1:61" s="34" customFormat="1" ht="14.5">
      <c r="A957" s="1693">
        <f t="shared" si="1505"/>
        <v>949</v>
      </c>
      <c r="B957" s="616">
        <v>1</v>
      </c>
      <c r="C957" s="1693">
        <f t="shared" si="1493"/>
        <v>957</v>
      </c>
      <c r="D957" s="616">
        <v>1</v>
      </c>
      <c r="F957" s="454"/>
      <c r="G957" s="4"/>
      <c r="H957" s="4"/>
      <c r="I957" s="4"/>
      <c r="J957" s="258"/>
      <c r="K957" s="4"/>
      <c r="L957" s="4"/>
      <c r="M957" s="4"/>
      <c r="N957" s="3"/>
      <c r="O957" s="41"/>
      <c r="P957" s="41" t="s">
        <v>42</v>
      </c>
      <c r="Q957" s="3"/>
      <c r="R957" s="1778" t="str">
        <f>CHOOSE(2, "6722000003868", "HC PP FE/TTOC Service Total Technical support")</f>
        <v>HC PP FE/TTOC Service Total Technical support</v>
      </c>
      <c r="S957" s="1212">
        <v>30</v>
      </c>
      <c r="T957" s="1212">
        <v>30</v>
      </c>
      <c r="U957" s="1212">
        <v>31</v>
      </c>
      <c r="V957" s="1212">
        <v>30</v>
      </c>
      <c r="W957" s="1212">
        <v>30</v>
      </c>
      <c r="X957" s="1212">
        <v>29</v>
      </c>
      <c r="Y957" s="1212">
        <v>29</v>
      </c>
      <c r="Z957" s="1212">
        <v>28</v>
      </c>
      <c r="AA957" s="1212">
        <v>28</v>
      </c>
      <c r="AB957" s="1212">
        <v>28</v>
      </c>
      <c r="AC957" s="1212">
        <v>27</v>
      </c>
      <c r="AD957" s="1212">
        <v>27</v>
      </c>
      <c r="AE957" s="877">
        <f>U957</f>
        <v>31</v>
      </c>
      <c r="AF957" s="40">
        <f>X957</f>
        <v>29</v>
      </c>
      <c r="AG957" s="40">
        <f>AA957</f>
        <v>28</v>
      </c>
      <c r="AH957" s="40">
        <f>AD957</f>
        <v>27</v>
      </c>
      <c r="AI957" s="40">
        <f>AF957</f>
        <v>29</v>
      </c>
      <c r="AJ957" s="40">
        <f>AH957</f>
        <v>27</v>
      </c>
      <c r="AK957" s="40">
        <f>AJ957</f>
        <v>27</v>
      </c>
      <c r="AM957" s="1910">
        <f t="shared" ca="1" si="1542"/>
        <v>30</v>
      </c>
      <c r="AN957" s="1910">
        <f t="shared" ca="1" si="1543"/>
        <v>30</v>
      </c>
      <c r="AO957" s="2694">
        <f t="shared" ca="1" si="1544"/>
        <v>0</v>
      </c>
      <c r="AP957" s="2695">
        <f t="shared" ca="1" si="1545"/>
        <v>1</v>
      </c>
      <c r="AQ957" s="1910">
        <f t="shared" ca="1" si="1546"/>
        <v>28</v>
      </c>
      <c r="AR957" s="2694">
        <f t="shared" ca="1" si="1547"/>
        <v>2</v>
      </c>
      <c r="AS957" s="2695">
        <f t="shared" ca="1" si="1548"/>
        <v>1.0714285714285714</v>
      </c>
      <c r="AU957" s="1910">
        <f t="shared" ca="1" si="1549"/>
        <v>30</v>
      </c>
      <c r="AV957" s="1910">
        <f t="shared" ca="1" si="1550"/>
        <v>30</v>
      </c>
      <c r="AW957" s="2694">
        <f t="shared" ca="1" si="1551"/>
        <v>0</v>
      </c>
      <c r="AX957" s="2695">
        <f t="shared" ca="1" si="1552"/>
        <v>1</v>
      </c>
      <c r="AY957" s="1910">
        <f t="shared" ca="1" si="1553"/>
        <v>28</v>
      </c>
      <c r="AZ957" s="2694">
        <f t="shared" ca="1" si="1554"/>
        <v>2</v>
      </c>
      <c r="BA957" s="2695">
        <f t="shared" ca="1" si="1555"/>
        <v>1.0714285714285714</v>
      </c>
      <c r="BC957" s="1910">
        <f t="shared" ca="1" si="1556"/>
        <v>30</v>
      </c>
      <c r="BD957" s="1910">
        <f t="shared" ca="1" si="1557"/>
        <v>30</v>
      </c>
      <c r="BE957" s="2694">
        <f t="shared" ca="1" si="1558"/>
        <v>0</v>
      </c>
      <c r="BF957" s="2695">
        <f t="shared" ca="1" si="1559"/>
        <v>1</v>
      </c>
      <c r="BG957" s="1910">
        <f t="shared" ca="1" si="1560"/>
        <v>28</v>
      </c>
      <c r="BH957" s="2694">
        <f t="shared" ca="1" si="1561"/>
        <v>2</v>
      </c>
      <c r="BI957" s="2695">
        <f t="shared" ca="1" si="1562"/>
        <v>1.0714285714285714</v>
      </c>
    </row>
    <row r="958" spans="1:61" s="34" customFormat="1" ht="14.5">
      <c r="A958" s="1693">
        <f t="shared" si="1505"/>
        <v>950</v>
      </c>
      <c r="B958" s="616">
        <v>1</v>
      </c>
      <c r="C958" s="1693">
        <f t="shared" si="1493"/>
        <v>958</v>
      </c>
      <c r="D958" s="616">
        <v>1</v>
      </c>
      <c r="F958" s="454"/>
      <c r="G958" s="4"/>
      <c r="H958" s="4"/>
      <c r="I958" s="4"/>
      <c r="J958" s="258"/>
      <c r="K958" s="4"/>
      <c r="L958" s="4"/>
      <c r="M958" s="4"/>
      <c r="N958" s="3"/>
      <c r="O958" s="41"/>
      <c r="P958" s="41" t="s">
        <v>41</v>
      </c>
      <c r="Q958" s="3"/>
      <c r="R958" s="1778" t="str">
        <f>CHOOSE(2, "6722000003869", "HC PP FE/TTOC Service Total Dealer(Indirect) support")</f>
        <v>HC PP FE/TTOC Service Total Dealer(Indirect) support</v>
      </c>
      <c r="S958" s="1212"/>
      <c r="T958" s="1212"/>
      <c r="U958" s="1212"/>
      <c r="V958" s="1212"/>
      <c r="W958" s="1212"/>
      <c r="X958" s="1212"/>
      <c r="Y958" s="1212"/>
      <c r="Z958" s="1212"/>
      <c r="AA958" s="1212"/>
      <c r="AB958" s="1212"/>
      <c r="AC958" s="1212"/>
      <c r="AD958" s="1212"/>
      <c r="AE958" s="877">
        <f>U958</f>
        <v>0</v>
      </c>
      <c r="AF958" s="40">
        <f>X958</f>
        <v>0</v>
      </c>
      <c r="AG958" s="40">
        <f>AA958</f>
        <v>0</v>
      </c>
      <c r="AH958" s="40">
        <f>AD958</f>
        <v>0</v>
      </c>
      <c r="AI958" s="40">
        <f>AF958</f>
        <v>0</v>
      </c>
      <c r="AJ958" s="40">
        <f>AH958</f>
        <v>0</v>
      </c>
      <c r="AK958" s="40">
        <f>AJ958</f>
        <v>0</v>
      </c>
      <c r="AM958" s="1910">
        <f t="shared" ca="1" si="1542"/>
        <v>0</v>
      </c>
      <c r="AN958" s="1910">
        <f t="shared" ca="1" si="1543"/>
        <v>0</v>
      </c>
      <c r="AO958" s="2694">
        <f t="shared" ca="1" si="1544"/>
        <v>0</v>
      </c>
      <c r="AP958" s="2695">
        <f t="shared" ca="1" si="1545"/>
        <v>0</v>
      </c>
      <c r="AQ958" s="1910">
        <f t="shared" ca="1" si="1546"/>
        <v>0</v>
      </c>
      <c r="AR958" s="2694">
        <f t="shared" ca="1" si="1547"/>
        <v>0</v>
      </c>
      <c r="AS958" s="2695">
        <f t="shared" ca="1" si="1548"/>
        <v>0</v>
      </c>
      <c r="AU958" s="1910">
        <f t="shared" ca="1" si="1549"/>
        <v>0</v>
      </c>
      <c r="AV958" s="1910">
        <f t="shared" ca="1" si="1550"/>
        <v>0</v>
      </c>
      <c r="AW958" s="2694">
        <f t="shared" ca="1" si="1551"/>
        <v>0</v>
      </c>
      <c r="AX958" s="2695">
        <f t="shared" ca="1" si="1552"/>
        <v>0</v>
      </c>
      <c r="AY958" s="1910">
        <f t="shared" ca="1" si="1553"/>
        <v>0</v>
      </c>
      <c r="AZ958" s="2694">
        <f t="shared" ca="1" si="1554"/>
        <v>0</v>
      </c>
      <c r="BA958" s="2695">
        <f t="shared" ca="1" si="1555"/>
        <v>0</v>
      </c>
      <c r="BC958" s="1910">
        <f t="shared" ca="1" si="1556"/>
        <v>0</v>
      </c>
      <c r="BD958" s="1910">
        <f t="shared" ca="1" si="1557"/>
        <v>0</v>
      </c>
      <c r="BE958" s="2694">
        <f t="shared" ca="1" si="1558"/>
        <v>0</v>
      </c>
      <c r="BF958" s="2695">
        <f t="shared" ca="1" si="1559"/>
        <v>0</v>
      </c>
      <c r="BG958" s="1910">
        <f t="shared" ca="1" si="1560"/>
        <v>0</v>
      </c>
      <c r="BH958" s="2694">
        <f t="shared" ca="1" si="1561"/>
        <v>0</v>
      </c>
      <c r="BI958" s="2695">
        <f t="shared" ca="1" si="1562"/>
        <v>0</v>
      </c>
    </row>
    <row r="959" spans="1:61" s="34" customFormat="1" ht="14.5">
      <c r="A959" s="1693">
        <f t="shared" si="1505"/>
        <v>951</v>
      </c>
      <c r="B959" s="616">
        <v>1</v>
      </c>
      <c r="C959" s="1693">
        <f t="shared" ref="C959:C1022" si="1567">C958+1</f>
        <v>959</v>
      </c>
      <c r="D959" s="616">
        <v>1</v>
      </c>
      <c r="F959" s="454"/>
      <c r="G959" s="4"/>
      <c r="H959" s="4"/>
      <c r="I959" s="4"/>
      <c r="J959" s="258"/>
      <c r="K959" s="4"/>
      <c r="L959" s="4"/>
      <c r="M959" s="4"/>
      <c r="N959" s="3"/>
      <c r="O959" s="41"/>
      <c r="P959" s="41" t="s">
        <v>40</v>
      </c>
      <c r="Q959" s="3"/>
      <c r="R959" s="1778" t="str">
        <f>CHOOSE(2, "6722000003870", "HC PP FE/TTOC Service Total Administration/Others")</f>
        <v>HC PP FE/TTOC Service Total Administration/Others</v>
      </c>
      <c r="S959" s="1212">
        <v>12</v>
      </c>
      <c r="T959" s="1212">
        <v>13</v>
      </c>
      <c r="U959" s="1212">
        <v>13</v>
      </c>
      <c r="V959" s="1212">
        <v>13</v>
      </c>
      <c r="W959" s="1212">
        <v>13</v>
      </c>
      <c r="X959" s="1212">
        <v>13</v>
      </c>
      <c r="Y959" s="1212">
        <v>13</v>
      </c>
      <c r="Z959" s="1212">
        <v>14</v>
      </c>
      <c r="AA959" s="1212">
        <v>14</v>
      </c>
      <c r="AB959" s="1212">
        <v>14</v>
      </c>
      <c r="AC959" s="1212">
        <v>14</v>
      </c>
      <c r="AD959" s="1212">
        <v>16</v>
      </c>
      <c r="AE959" s="877">
        <f>U959</f>
        <v>13</v>
      </c>
      <c r="AF959" s="40">
        <f>X959</f>
        <v>13</v>
      </c>
      <c r="AG959" s="40">
        <f>AA959</f>
        <v>14</v>
      </c>
      <c r="AH959" s="40">
        <f>AD959</f>
        <v>16</v>
      </c>
      <c r="AI959" s="40">
        <f>AF959</f>
        <v>13</v>
      </c>
      <c r="AJ959" s="40">
        <f>AH959</f>
        <v>16</v>
      </c>
      <c r="AK959" s="40">
        <f>AJ959</f>
        <v>16</v>
      </c>
      <c r="AM959" s="1910">
        <f t="shared" ca="1" si="1542"/>
        <v>12</v>
      </c>
      <c r="AN959" s="1910">
        <f t="shared" ca="1" si="1543"/>
        <v>13</v>
      </c>
      <c r="AO959" s="2694">
        <f t="shared" ca="1" si="1544"/>
        <v>-1</v>
      </c>
      <c r="AP959" s="2695">
        <f t="shared" ca="1" si="1545"/>
        <v>0.92307692307692313</v>
      </c>
      <c r="AQ959" s="1910">
        <f t="shared" ca="1" si="1546"/>
        <v>12</v>
      </c>
      <c r="AR959" s="2694">
        <f t="shared" ca="1" si="1547"/>
        <v>0</v>
      </c>
      <c r="AS959" s="2695">
        <f t="shared" ca="1" si="1548"/>
        <v>1</v>
      </c>
      <c r="AU959" s="1910">
        <f t="shared" ca="1" si="1549"/>
        <v>12</v>
      </c>
      <c r="AV959" s="1910">
        <f t="shared" ca="1" si="1550"/>
        <v>13</v>
      </c>
      <c r="AW959" s="2694">
        <f t="shared" ca="1" si="1551"/>
        <v>-1</v>
      </c>
      <c r="AX959" s="2695">
        <f t="shared" ca="1" si="1552"/>
        <v>0.92307692307692313</v>
      </c>
      <c r="AY959" s="1910">
        <f t="shared" ca="1" si="1553"/>
        <v>12</v>
      </c>
      <c r="AZ959" s="2694">
        <f t="shared" ca="1" si="1554"/>
        <v>0</v>
      </c>
      <c r="BA959" s="2695">
        <f t="shared" ca="1" si="1555"/>
        <v>1</v>
      </c>
      <c r="BC959" s="1910">
        <f t="shared" ca="1" si="1556"/>
        <v>12</v>
      </c>
      <c r="BD959" s="1910">
        <f t="shared" ca="1" si="1557"/>
        <v>13</v>
      </c>
      <c r="BE959" s="2694">
        <f t="shared" ca="1" si="1558"/>
        <v>-1</v>
      </c>
      <c r="BF959" s="2695">
        <f t="shared" ca="1" si="1559"/>
        <v>0.92307692307692313</v>
      </c>
      <c r="BG959" s="1910">
        <f t="shared" ca="1" si="1560"/>
        <v>12</v>
      </c>
      <c r="BH959" s="2694">
        <f t="shared" ca="1" si="1561"/>
        <v>0</v>
      </c>
      <c r="BI959" s="2695">
        <f t="shared" ca="1" si="1562"/>
        <v>1</v>
      </c>
    </row>
    <row r="960" spans="1:61" s="34" customFormat="1" ht="14.5">
      <c r="A960" s="1693">
        <f t="shared" si="1505"/>
        <v>952</v>
      </c>
      <c r="B960" s="616">
        <v>1</v>
      </c>
      <c r="C960" s="1693">
        <f t="shared" si="1567"/>
        <v>960</v>
      </c>
      <c r="D960" s="616">
        <v>1</v>
      </c>
      <c r="E960" s="709" t="s">
        <v>512</v>
      </c>
      <c r="F960" s="1572"/>
      <c r="G960" s="4"/>
      <c r="H960" s="4"/>
      <c r="I960" s="4"/>
      <c r="J960" s="258"/>
      <c r="K960" s="252" t="s">
        <v>176</v>
      </c>
      <c r="L960" s="44"/>
      <c r="M960" s="44"/>
      <c r="N960" s="43"/>
      <c r="O960" s="43"/>
      <c r="P960" s="43"/>
      <c r="Q960" s="251"/>
      <c r="R960" s="1786" t="str">
        <f>CHOOSE(2, "6722000003871", "HC PP FE/TTOC Marketing Total")</f>
        <v>HC PP FE/TTOC Marketing Total</v>
      </c>
      <c r="S960" s="1380">
        <f>SUM(S961:S964)</f>
        <v>9</v>
      </c>
      <c r="T960" s="1380">
        <f t="shared" ref="T960:AD960" si="1568">SUM(T961:T964)</f>
        <v>9</v>
      </c>
      <c r="U960" s="1380">
        <f t="shared" si="1568"/>
        <v>9</v>
      </c>
      <c r="V960" s="1380">
        <f t="shared" si="1568"/>
        <v>9</v>
      </c>
      <c r="W960" s="1380">
        <f t="shared" si="1568"/>
        <v>8</v>
      </c>
      <c r="X960" s="1380">
        <f t="shared" si="1568"/>
        <v>8</v>
      </c>
      <c r="Y960" s="3102">
        <f t="shared" si="1568"/>
        <v>8</v>
      </c>
      <c r="Z960" s="1380">
        <f t="shared" si="1568"/>
        <v>7</v>
      </c>
      <c r="AA960" s="1380">
        <f t="shared" si="1568"/>
        <v>7</v>
      </c>
      <c r="AB960" s="1380">
        <v>8</v>
      </c>
      <c r="AC960" s="1380">
        <f t="shared" si="1568"/>
        <v>8</v>
      </c>
      <c r="AD960" s="1380">
        <f t="shared" si="1568"/>
        <v>9</v>
      </c>
      <c r="AE960" s="782">
        <f t="shared" ref="AE960:AK960" si="1569">SUM(AE961:AE964)</f>
        <v>9</v>
      </c>
      <c r="AF960" s="1634">
        <f t="shared" si="1569"/>
        <v>8</v>
      </c>
      <c r="AG960" s="1634">
        <f t="shared" si="1569"/>
        <v>7</v>
      </c>
      <c r="AH960" s="1634">
        <f t="shared" si="1569"/>
        <v>9</v>
      </c>
      <c r="AI960" s="1634">
        <f t="shared" si="1569"/>
        <v>8</v>
      </c>
      <c r="AJ960" s="1634">
        <f t="shared" si="1569"/>
        <v>9</v>
      </c>
      <c r="AK960" s="1634">
        <f t="shared" si="1569"/>
        <v>9</v>
      </c>
      <c r="AM960" s="2252">
        <f t="shared" ca="1" si="1542"/>
        <v>9</v>
      </c>
      <c r="AN960" s="2252">
        <f t="shared" ca="1" si="1543"/>
        <v>11</v>
      </c>
      <c r="AO960" s="2952">
        <f t="shared" ca="1" si="1544"/>
        <v>-2</v>
      </c>
      <c r="AP960" s="2953">
        <f t="shared" ca="1" si="1545"/>
        <v>0.81818181818181823</v>
      </c>
      <c r="AQ960" s="2252">
        <f t="shared" ca="1" si="1546"/>
        <v>9</v>
      </c>
      <c r="AR960" s="2952">
        <f t="shared" ca="1" si="1547"/>
        <v>0</v>
      </c>
      <c r="AS960" s="2953">
        <f t="shared" ca="1" si="1548"/>
        <v>1</v>
      </c>
      <c r="AU960" s="2252">
        <f t="shared" ca="1" si="1549"/>
        <v>9</v>
      </c>
      <c r="AV960" s="2252">
        <f t="shared" ca="1" si="1550"/>
        <v>11</v>
      </c>
      <c r="AW960" s="2952">
        <f t="shared" ca="1" si="1551"/>
        <v>-2</v>
      </c>
      <c r="AX960" s="2953">
        <f t="shared" ca="1" si="1552"/>
        <v>0.81818181818181823</v>
      </c>
      <c r="AY960" s="2252">
        <f t="shared" ca="1" si="1553"/>
        <v>9</v>
      </c>
      <c r="AZ960" s="2952">
        <f t="shared" ca="1" si="1554"/>
        <v>0</v>
      </c>
      <c r="BA960" s="2953">
        <f t="shared" ca="1" si="1555"/>
        <v>1</v>
      </c>
      <c r="BC960" s="2252">
        <f t="shared" ca="1" si="1556"/>
        <v>9</v>
      </c>
      <c r="BD960" s="2252">
        <f t="shared" ca="1" si="1557"/>
        <v>11</v>
      </c>
      <c r="BE960" s="2952">
        <f t="shared" ca="1" si="1558"/>
        <v>-2</v>
      </c>
      <c r="BF960" s="2953">
        <f t="shared" ca="1" si="1559"/>
        <v>0.81818181818181823</v>
      </c>
      <c r="BG960" s="2252">
        <f t="shared" ca="1" si="1560"/>
        <v>9</v>
      </c>
      <c r="BH960" s="2952">
        <f t="shared" ca="1" si="1561"/>
        <v>0</v>
      </c>
      <c r="BI960" s="2953">
        <f t="shared" ca="1" si="1562"/>
        <v>1</v>
      </c>
    </row>
    <row r="961" spans="1:61" s="34" customFormat="1" ht="14.5">
      <c r="A961" s="1693">
        <f t="shared" si="1505"/>
        <v>953</v>
      </c>
      <c r="B961" s="616">
        <v>1</v>
      </c>
      <c r="C961" s="1693">
        <f t="shared" si="1567"/>
        <v>961</v>
      </c>
      <c r="D961" s="616">
        <v>1</v>
      </c>
      <c r="F961" s="454"/>
      <c r="G961" s="4"/>
      <c r="H961" s="4"/>
      <c r="I961" s="4"/>
      <c r="J961" s="258"/>
      <c r="K961" s="4"/>
      <c r="L961" s="4"/>
      <c r="M961" s="4"/>
      <c r="N961" s="3"/>
      <c r="O961" s="41"/>
      <c r="P961" s="41" t="s">
        <v>198</v>
      </c>
      <c r="Q961" s="3"/>
      <c r="R961" s="1778" t="str">
        <f>CHOOSE(2, "6722000003872", "HC PP FE/TTOC Marketing Total Business Development")</f>
        <v>HC PP FE/TTOC Marketing Total Business Development</v>
      </c>
      <c r="S961" s="1212">
        <v>6</v>
      </c>
      <c r="T961" s="1212">
        <v>6</v>
      </c>
      <c r="U961" s="1212">
        <v>6</v>
      </c>
      <c r="V961" s="1212">
        <v>6</v>
      </c>
      <c r="W961" s="1212">
        <v>5</v>
      </c>
      <c r="X961" s="1212">
        <v>5</v>
      </c>
      <c r="Y961" s="1212">
        <v>5</v>
      </c>
      <c r="Z961" s="1212">
        <v>4</v>
      </c>
      <c r="AA961" s="1212">
        <v>4</v>
      </c>
      <c r="AB961" s="1212">
        <v>4</v>
      </c>
      <c r="AC961" s="1212">
        <v>4</v>
      </c>
      <c r="AD961" s="1212">
        <v>5</v>
      </c>
      <c r="AE961" s="877">
        <f>U961</f>
        <v>6</v>
      </c>
      <c r="AF961" s="40">
        <f>X961</f>
        <v>5</v>
      </c>
      <c r="AG961" s="40">
        <f>AA961</f>
        <v>4</v>
      </c>
      <c r="AH961" s="40">
        <f>AD961</f>
        <v>5</v>
      </c>
      <c r="AI961" s="40">
        <f>AF961</f>
        <v>5</v>
      </c>
      <c r="AJ961" s="40">
        <f>AH961</f>
        <v>5</v>
      </c>
      <c r="AK961" s="40">
        <f>AJ961</f>
        <v>5</v>
      </c>
      <c r="AM961" s="1910">
        <f t="shared" ca="1" si="1542"/>
        <v>6</v>
      </c>
      <c r="AN961" s="1910">
        <f t="shared" ca="1" si="1543"/>
        <v>7</v>
      </c>
      <c r="AO961" s="2694">
        <f t="shared" ca="1" si="1544"/>
        <v>-1</v>
      </c>
      <c r="AP961" s="2695">
        <f t="shared" ca="1" si="1545"/>
        <v>0.8571428571428571</v>
      </c>
      <c r="AQ961" s="1910">
        <f t="shared" ca="1" si="1546"/>
        <v>6</v>
      </c>
      <c r="AR961" s="2694">
        <f t="shared" ca="1" si="1547"/>
        <v>0</v>
      </c>
      <c r="AS961" s="2695">
        <f t="shared" ca="1" si="1548"/>
        <v>1</v>
      </c>
      <c r="AU961" s="1910">
        <f t="shared" ca="1" si="1549"/>
        <v>6</v>
      </c>
      <c r="AV961" s="1910">
        <f t="shared" ca="1" si="1550"/>
        <v>7</v>
      </c>
      <c r="AW961" s="2694">
        <f t="shared" ca="1" si="1551"/>
        <v>-1</v>
      </c>
      <c r="AX961" s="2695">
        <f t="shared" ca="1" si="1552"/>
        <v>0.8571428571428571</v>
      </c>
      <c r="AY961" s="1910">
        <f t="shared" ca="1" si="1553"/>
        <v>6</v>
      </c>
      <c r="AZ961" s="2694">
        <f t="shared" ca="1" si="1554"/>
        <v>0</v>
      </c>
      <c r="BA961" s="2695">
        <f t="shared" ca="1" si="1555"/>
        <v>1</v>
      </c>
      <c r="BC961" s="1910">
        <f t="shared" ca="1" si="1556"/>
        <v>6</v>
      </c>
      <c r="BD961" s="1910">
        <f t="shared" ca="1" si="1557"/>
        <v>7</v>
      </c>
      <c r="BE961" s="2694">
        <f t="shared" ca="1" si="1558"/>
        <v>-1</v>
      </c>
      <c r="BF961" s="2695">
        <f t="shared" ca="1" si="1559"/>
        <v>0.8571428571428571</v>
      </c>
      <c r="BG961" s="1910">
        <f t="shared" ca="1" si="1560"/>
        <v>6</v>
      </c>
      <c r="BH961" s="2694">
        <f t="shared" ca="1" si="1561"/>
        <v>0</v>
      </c>
      <c r="BI961" s="2695">
        <f t="shared" ca="1" si="1562"/>
        <v>1</v>
      </c>
    </row>
    <row r="962" spans="1:61" s="34" customFormat="1" ht="14.5">
      <c r="A962" s="1693">
        <f t="shared" si="1505"/>
        <v>954</v>
      </c>
      <c r="B962" s="616">
        <v>1</v>
      </c>
      <c r="C962" s="1693">
        <f t="shared" si="1567"/>
        <v>962</v>
      </c>
      <c r="D962" s="616">
        <v>1</v>
      </c>
      <c r="F962" s="454"/>
      <c r="G962" s="4"/>
      <c r="H962" s="4"/>
      <c r="I962" s="4"/>
      <c r="J962" s="258"/>
      <c r="K962" s="4"/>
      <c r="L962" s="4"/>
      <c r="M962" s="4"/>
      <c r="N962" s="3"/>
      <c r="O962" s="41"/>
      <c r="P962" s="41" t="s">
        <v>199</v>
      </c>
      <c r="Q962" s="3"/>
      <c r="R962" s="1778" t="str">
        <f>CHOOSE(2, "6722000003873", "HC PP FE/TTOC Marketing Total Channel Marketing")</f>
        <v>HC PP FE/TTOC Marketing Total Channel Marketing</v>
      </c>
      <c r="S962" s="1212"/>
      <c r="T962" s="1212"/>
      <c r="U962" s="1212"/>
      <c r="V962" s="1212"/>
      <c r="W962" s="1212"/>
      <c r="X962" s="1212"/>
      <c r="Y962" s="1212"/>
      <c r="Z962" s="1212"/>
      <c r="AA962" s="1212"/>
      <c r="AB962" s="1212"/>
      <c r="AC962" s="1212"/>
      <c r="AD962" s="1212"/>
      <c r="AE962" s="877">
        <f>U962</f>
        <v>0</v>
      </c>
      <c r="AF962" s="40">
        <f>X962</f>
        <v>0</v>
      </c>
      <c r="AG962" s="40">
        <f>AA962</f>
        <v>0</v>
      </c>
      <c r="AH962" s="40">
        <f>AD962</f>
        <v>0</v>
      </c>
      <c r="AI962" s="40">
        <f>AF962</f>
        <v>0</v>
      </c>
      <c r="AJ962" s="40">
        <f>AH962</f>
        <v>0</v>
      </c>
      <c r="AK962" s="40">
        <f>AJ962</f>
        <v>0</v>
      </c>
      <c r="AM962" s="1910">
        <f t="shared" ca="1" si="1542"/>
        <v>0</v>
      </c>
      <c r="AN962" s="1910">
        <f t="shared" ca="1" si="1543"/>
        <v>0</v>
      </c>
      <c r="AO962" s="2694">
        <f t="shared" ca="1" si="1544"/>
        <v>0</v>
      </c>
      <c r="AP962" s="2695">
        <f t="shared" ca="1" si="1545"/>
        <v>0</v>
      </c>
      <c r="AQ962" s="1910">
        <f t="shared" ca="1" si="1546"/>
        <v>0</v>
      </c>
      <c r="AR962" s="2694">
        <f t="shared" ca="1" si="1547"/>
        <v>0</v>
      </c>
      <c r="AS962" s="2695">
        <f t="shared" ca="1" si="1548"/>
        <v>0</v>
      </c>
      <c r="AU962" s="1910">
        <f t="shared" ca="1" si="1549"/>
        <v>0</v>
      </c>
      <c r="AV962" s="1910">
        <f t="shared" ca="1" si="1550"/>
        <v>0</v>
      </c>
      <c r="AW962" s="2694">
        <f t="shared" ca="1" si="1551"/>
        <v>0</v>
      </c>
      <c r="AX962" s="2695">
        <f t="shared" ca="1" si="1552"/>
        <v>0</v>
      </c>
      <c r="AY962" s="1910">
        <f t="shared" ca="1" si="1553"/>
        <v>0</v>
      </c>
      <c r="AZ962" s="2694">
        <f t="shared" ca="1" si="1554"/>
        <v>0</v>
      </c>
      <c r="BA962" s="2695">
        <f t="shared" ca="1" si="1555"/>
        <v>0</v>
      </c>
      <c r="BC962" s="1910">
        <f t="shared" ca="1" si="1556"/>
        <v>0</v>
      </c>
      <c r="BD962" s="1910">
        <f t="shared" ca="1" si="1557"/>
        <v>0</v>
      </c>
      <c r="BE962" s="2694">
        <f t="shared" ca="1" si="1558"/>
        <v>0</v>
      </c>
      <c r="BF962" s="2695">
        <f t="shared" ca="1" si="1559"/>
        <v>0</v>
      </c>
      <c r="BG962" s="1910">
        <f t="shared" ca="1" si="1560"/>
        <v>0</v>
      </c>
      <c r="BH962" s="2694">
        <f t="shared" ca="1" si="1561"/>
        <v>0</v>
      </c>
      <c r="BI962" s="2695">
        <f t="shared" ca="1" si="1562"/>
        <v>0</v>
      </c>
    </row>
    <row r="963" spans="1:61" s="34" customFormat="1" ht="14.5">
      <c r="A963" s="1693">
        <f t="shared" si="1505"/>
        <v>955</v>
      </c>
      <c r="B963" s="616">
        <v>1</v>
      </c>
      <c r="C963" s="1693">
        <f t="shared" si="1567"/>
        <v>963</v>
      </c>
      <c r="D963" s="616">
        <v>1</v>
      </c>
      <c r="F963" s="454"/>
      <c r="G963" s="4"/>
      <c r="H963" s="4"/>
      <c r="I963" s="4"/>
      <c r="J963" s="258"/>
      <c r="K963" s="4"/>
      <c r="L963" s="4"/>
      <c r="M963" s="4"/>
      <c r="N963" s="3"/>
      <c r="O963" s="41"/>
      <c r="P963" s="41" t="s">
        <v>200</v>
      </c>
      <c r="Q963" s="3"/>
      <c r="R963" s="1778" t="str">
        <f>CHOOSE(2, "6722000003874", "HC PP FE/TTOC Marketing Total Product Marketing")</f>
        <v>HC PP FE/TTOC Marketing Total Product Marketing</v>
      </c>
      <c r="S963" s="1212">
        <v>1</v>
      </c>
      <c r="T963" s="1212">
        <v>1</v>
      </c>
      <c r="U963" s="1212">
        <v>1</v>
      </c>
      <c r="V963" s="1212">
        <v>1</v>
      </c>
      <c r="W963" s="1212">
        <v>1</v>
      </c>
      <c r="X963" s="1212">
        <v>1</v>
      </c>
      <c r="Y963" s="1212">
        <v>1</v>
      </c>
      <c r="Z963" s="1212">
        <v>1</v>
      </c>
      <c r="AA963" s="1212">
        <v>1</v>
      </c>
      <c r="AB963" s="1212">
        <v>2</v>
      </c>
      <c r="AC963" s="1212">
        <v>2</v>
      </c>
      <c r="AD963" s="1212">
        <v>2</v>
      </c>
      <c r="AE963" s="877">
        <f>U963</f>
        <v>1</v>
      </c>
      <c r="AF963" s="40">
        <f>X963</f>
        <v>1</v>
      </c>
      <c r="AG963" s="40">
        <f>AA963</f>
        <v>1</v>
      </c>
      <c r="AH963" s="40">
        <f>AD963</f>
        <v>2</v>
      </c>
      <c r="AI963" s="40">
        <f>AF963</f>
        <v>1</v>
      </c>
      <c r="AJ963" s="40">
        <f>AH963</f>
        <v>2</v>
      </c>
      <c r="AK963" s="40">
        <f>AJ963</f>
        <v>2</v>
      </c>
      <c r="AM963" s="1910">
        <f t="shared" ca="1" si="1542"/>
        <v>1</v>
      </c>
      <c r="AN963" s="1910">
        <f t="shared" ca="1" si="1543"/>
        <v>2</v>
      </c>
      <c r="AO963" s="2694">
        <f t="shared" ca="1" si="1544"/>
        <v>-1</v>
      </c>
      <c r="AP963" s="2695">
        <f t="shared" ca="1" si="1545"/>
        <v>0.5</v>
      </c>
      <c r="AQ963" s="1910">
        <f t="shared" ca="1" si="1546"/>
        <v>1</v>
      </c>
      <c r="AR963" s="2694">
        <f t="shared" ca="1" si="1547"/>
        <v>0</v>
      </c>
      <c r="AS963" s="2695">
        <f t="shared" ca="1" si="1548"/>
        <v>1</v>
      </c>
      <c r="AU963" s="1910">
        <f t="shared" ca="1" si="1549"/>
        <v>1</v>
      </c>
      <c r="AV963" s="1910">
        <f t="shared" ca="1" si="1550"/>
        <v>2</v>
      </c>
      <c r="AW963" s="2694">
        <f t="shared" ca="1" si="1551"/>
        <v>-1</v>
      </c>
      <c r="AX963" s="2695">
        <f t="shared" ca="1" si="1552"/>
        <v>0.5</v>
      </c>
      <c r="AY963" s="1910">
        <f t="shared" ca="1" si="1553"/>
        <v>1</v>
      </c>
      <c r="AZ963" s="2694">
        <f t="shared" ca="1" si="1554"/>
        <v>0</v>
      </c>
      <c r="BA963" s="2695">
        <f t="shared" ca="1" si="1555"/>
        <v>1</v>
      </c>
      <c r="BC963" s="1910">
        <f t="shared" ca="1" si="1556"/>
        <v>1</v>
      </c>
      <c r="BD963" s="1910">
        <f t="shared" ca="1" si="1557"/>
        <v>2</v>
      </c>
      <c r="BE963" s="2694">
        <f t="shared" ca="1" si="1558"/>
        <v>-1</v>
      </c>
      <c r="BF963" s="2695">
        <f t="shared" ca="1" si="1559"/>
        <v>0.5</v>
      </c>
      <c r="BG963" s="1910">
        <f t="shared" ca="1" si="1560"/>
        <v>1</v>
      </c>
      <c r="BH963" s="2694">
        <f t="shared" ca="1" si="1561"/>
        <v>0</v>
      </c>
      <c r="BI963" s="2695">
        <f t="shared" ca="1" si="1562"/>
        <v>1</v>
      </c>
    </row>
    <row r="964" spans="1:61" s="34" customFormat="1" ht="14.5">
      <c r="A964" s="1693">
        <f t="shared" si="1505"/>
        <v>956</v>
      </c>
      <c r="B964" s="616">
        <v>1</v>
      </c>
      <c r="C964" s="1693">
        <f t="shared" si="1567"/>
        <v>964</v>
      </c>
      <c r="D964" s="616">
        <v>1</v>
      </c>
      <c r="F964" s="454"/>
      <c r="G964" s="4"/>
      <c r="H964" s="4"/>
      <c r="I964" s="4"/>
      <c r="J964" s="258"/>
      <c r="K964" s="2"/>
      <c r="L964" s="2"/>
      <c r="M964" s="2"/>
      <c r="N964" s="1"/>
      <c r="O964" s="39"/>
      <c r="P964" s="39" t="s">
        <v>201</v>
      </c>
      <c r="Q964" s="1"/>
      <c r="R964" s="1778" t="str">
        <f>CHOOSE(2, "6722000003875", "HC PP FE/TTOC Marketing Total MC / O")</f>
        <v>HC PP FE/TTOC Marketing Total MC / O</v>
      </c>
      <c r="S964" s="1211">
        <v>2</v>
      </c>
      <c r="T964" s="1211">
        <v>2</v>
      </c>
      <c r="U964" s="1211">
        <v>2</v>
      </c>
      <c r="V964" s="1211">
        <v>2</v>
      </c>
      <c r="W964" s="1211">
        <v>2</v>
      </c>
      <c r="X964" s="1211">
        <v>2</v>
      </c>
      <c r="Y964" s="1211">
        <v>2</v>
      </c>
      <c r="Z964" s="1211">
        <v>2</v>
      </c>
      <c r="AA964" s="1211">
        <v>2</v>
      </c>
      <c r="AB964" s="1211">
        <v>2</v>
      </c>
      <c r="AC964" s="1211">
        <v>2</v>
      </c>
      <c r="AD964" s="1211">
        <v>2</v>
      </c>
      <c r="AE964" s="912">
        <f>U964</f>
        <v>2</v>
      </c>
      <c r="AF964" s="38">
        <f>X964</f>
        <v>2</v>
      </c>
      <c r="AG964" s="38">
        <f>AA964</f>
        <v>2</v>
      </c>
      <c r="AH964" s="38">
        <f>AD964</f>
        <v>2</v>
      </c>
      <c r="AI964" s="38">
        <f>AF964</f>
        <v>2</v>
      </c>
      <c r="AJ964" s="38">
        <f>AH964</f>
        <v>2</v>
      </c>
      <c r="AK964" s="38">
        <f>AJ964</f>
        <v>2</v>
      </c>
      <c r="AM964" s="2248">
        <f t="shared" ca="1" si="1542"/>
        <v>2</v>
      </c>
      <c r="AN964" s="2248">
        <f t="shared" ca="1" si="1543"/>
        <v>2</v>
      </c>
      <c r="AO964" s="2950">
        <f t="shared" ca="1" si="1544"/>
        <v>0</v>
      </c>
      <c r="AP964" s="2951">
        <f t="shared" ca="1" si="1545"/>
        <v>1</v>
      </c>
      <c r="AQ964" s="2248">
        <f t="shared" ca="1" si="1546"/>
        <v>2</v>
      </c>
      <c r="AR964" s="2950">
        <f t="shared" ca="1" si="1547"/>
        <v>0</v>
      </c>
      <c r="AS964" s="2951">
        <f t="shared" ca="1" si="1548"/>
        <v>1</v>
      </c>
      <c r="AU964" s="2248">
        <f t="shared" ca="1" si="1549"/>
        <v>2</v>
      </c>
      <c r="AV964" s="2248">
        <f t="shared" ca="1" si="1550"/>
        <v>2</v>
      </c>
      <c r="AW964" s="2950">
        <f t="shared" ca="1" si="1551"/>
        <v>0</v>
      </c>
      <c r="AX964" s="2951">
        <f t="shared" ca="1" si="1552"/>
        <v>1</v>
      </c>
      <c r="AY964" s="2248">
        <f t="shared" ca="1" si="1553"/>
        <v>2</v>
      </c>
      <c r="AZ964" s="2950">
        <f t="shared" ca="1" si="1554"/>
        <v>0</v>
      </c>
      <c r="BA964" s="2951">
        <f t="shared" ca="1" si="1555"/>
        <v>1</v>
      </c>
      <c r="BC964" s="2248">
        <f t="shared" ca="1" si="1556"/>
        <v>2</v>
      </c>
      <c r="BD964" s="2248">
        <f t="shared" ca="1" si="1557"/>
        <v>2</v>
      </c>
      <c r="BE964" s="2950">
        <f t="shared" ca="1" si="1558"/>
        <v>0</v>
      </c>
      <c r="BF964" s="2951">
        <f t="shared" ca="1" si="1559"/>
        <v>1</v>
      </c>
      <c r="BG964" s="2248">
        <f t="shared" ca="1" si="1560"/>
        <v>2</v>
      </c>
      <c r="BH964" s="2950">
        <f t="shared" ca="1" si="1561"/>
        <v>0</v>
      </c>
      <c r="BI964" s="2951">
        <f t="shared" ca="1" si="1562"/>
        <v>1</v>
      </c>
    </row>
    <row r="965" spans="1:61" s="34" customFormat="1" ht="14.5">
      <c r="A965" s="1693">
        <f t="shared" si="1505"/>
        <v>957</v>
      </c>
      <c r="B965" s="616">
        <v>1</v>
      </c>
      <c r="C965" s="1693">
        <f t="shared" si="1567"/>
        <v>965</v>
      </c>
      <c r="D965" s="616">
        <v>1</v>
      </c>
      <c r="E965" s="709" t="s">
        <v>512</v>
      </c>
      <c r="F965" s="1572"/>
      <c r="G965" s="4"/>
      <c r="H965" s="4"/>
      <c r="I965" s="4"/>
      <c r="J965" s="258"/>
      <c r="K965" s="48" t="s">
        <v>138</v>
      </c>
      <c r="L965" s="48"/>
      <c r="M965" s="48"/>
      <c r="N965" s="47"/>
      <c r="O965" s="47"/>
      <c r="P965" s="47"/>
      <c r="Q965" s="47"/>
      <c r="R965" s="1786" t="str">
        <f>CHOOSE(2, "6722000003876", "HC PP FE/TTOC Administration Total")</f>
        <v>HC PP FE/TTOC Administration Total</v>
      </c>
      <c r="S965" s="1255">
        <f>SUM(S966:S970)</f>
        <v>48</v>
      </c>
      <c r="T965" s="1255">
        <f t="shared" ref="T965:AD965" si="1570">SUM(T966:T970)</f>
        <v>48</v>
      </c>
      <c r="U965" s="1255">
        <f t="shared" si="1570"/>
        <v>46</v>
      </c>
      <c r="V965" s="1255">
        <f t="shared" si="1570"/>
        <v>46</v>
      </c>
      <c r="W965" s="1255">
        <f t="shared" si="1570"/>
        <v>45</v>
      </c>
      <c r="X965" s="1255">
        <f t="shared" si="1570"/>
        <v>46</v>
      </c>
      <c r="Y965" s="45">
        <f t="shared" si="1570"/>
        <v>47</v>
      </c>
      <c r="Z965" s="1255">
        <f t="shared" si="1570"/>
        <v>48</v>
      </c>
      <c r="AA965" s="1255">
        <f t="shared" si="1570"/>
        <v>46</v>
      </c>
      <c r="AB965" s="1255">
        <v>47</v>
      </c>
      <c r="AC965" s="1255">
        <f t="shared" si="1570"/>
        <v>46</v>
      </c>
      <c r="AD965" s="1255">
        <f t="shared" si="1570"/>
        <v>47</v>
      </c>
      <c r="AE965" s="1240">
        <f t="shared" ref="AE965:AK965" si="1571">SUM(AE966:AE970)</f>
        <v>46</v>
      </c>
      <c r="AF965" s="1255">
        <f t="shared" si="1571"/>
        <v>46</v>
      </c>
      <c r="AG965" s="1255">
        <f t="shared" si="1571"/>
        <v>46</v>
      </c>
      <c r="AH965" s="1255">
        <f t="shared" si="1571"/>
        <v>47</v>
      </c>
      <c r="AI965" s="1255">
        <f t="shared" si="1571"/>
        <v>46</v>
      </c>
      <c r="AJ965" s="1255">
        <f t="shared" si="1571"/>
        <v>47</v>
      </c>
      <c r="AK965" s="1255">
        <f t="shared" si="1571"/>
        <v>47</v>
      </c>
      <c r="AM965" s="2250">
        <f t="shared" ca="1" si="1542"/>
        <v>48</v>
      </c>
      <c r="AN965" s="2250">
        <f t="shared" ca="1" si="1543"/>
        <v>51</v>
      </c>
      <c r="AO965" s="2948">
        <f t="shared" ca="1" si="1544"/>
        <v>-3</v>
      </c>
      <c r="AP965" s="2949">
        <f t="shared" ca="1" si="1545"/>
        <v>0.94117647058823528</v>
      </c>
      <c r="AQ965" s="2250">
        <f t="shared" ca="1" si="1546"/>
        <v>47</v>
      </c>
      <c r="AR965" s="2948">
        <f t="shared" ca="1" si="1547"/>
        <v>1</v>
      </c>
      <c r="AS965" s="2949">
        <f t="shared" ca="1" si="1548"/>
        <v>1.0212765957446808</v>
      </c>
      <c r="AU965" s="2250">
        <f t="shared" ca="1" si="1549"/>
        <v>48</v>
      </c>
      <c r="AV965" s="2250">
        <f t="shared" ca="1" si="1550"/>
        <v>51</v>
      </c>
      <c r="AW965" s="2948">
        <f t="shared" ca="1" si="1551"/>
        <v>-3</v>
      </c>
      <c r="AX965" s="2949">
        <f t="shared" ca="1" si="1552"/>
        <v>0.94117647058823528</v>
      </c>
      <c r="AY965" s="2250">
        <f t="shared" ca="1" si="1553"/>
        <v>47</v>
      </c>
      <c r="AZ965" s="2948">
        <f t="shared" ca="1" si="1554"/>
        <v>1</v>
      </c>
      <c r="BA965" s="2949">
        <f t="shared" ca="1" si="1555"/>
        <v>1.0212765957446808</v>
      </c>
      <c r="BC965" s="2250">
        <f t="shared" ca="1" si="1556"/>
        <v>48</v>
      </c>
      <c r="BD965" s="2250">
        <f t="shared" ca="1" si="1557"/>
        <v>51</v>
      </c>
      <c r="BE965" s="2948">
        <f t="shared" ca="1" si="1558"/>
        <v>-3</v>
      </c>
      <c r="BF965" s="2949">
        <f t="shared" ca="1" si="1559"/>
        <v>0.94117647058823528</v>
      </c>
      <c r="BG965" s="2250">
        <f t="shared" ca="1" si="1560"/>
        <v>47</v>
      </c>
      <c r="BH965" s="2948">
        <f t="shared" ca="1" si="1561"/>
        <v>1</v>
      </c>
      <c r="BI965" s="2949">
        <f t="shared" ca="1" si="1562"/>
        <v>1.0212765957446808</v>
      </c>
    </row>
    <row r="966" spans="1:61" s="34" customFormat="1" ht="14.5">
      <c r="A966" s="1693">
        <f t="shared" si="1505"/>
        <v>958</v>
      </c>
      <c r="B966" s="616">
        <v>1</v>
      </c>
      <c r="C966" s="1693">
        <f t="shared" si="1567"/>
        <v>966</v>
      </c>
      <c r="D966" s="616">
        <v>1</v>
      </c>
      <c r="F966" s="454"/>
      <c r="G966" s="4"/>
      <c r="H966" s="4"/>
      <c r="I966" s="4"/>
      <c r="J966" s="258"/>
      <c r="K966" s="4"/>
      <c r="L966" s="4"/>
      <c r="M966" s="3"/>
      <c r="N966" s="3"/>
      <c r="O966" s="41"/>
      <c r="P966" s="41" t="s">
        <v>39</v>
      </c>
      <c r="Q966" s="41"/>
      <c r="R966" s="1778" t="str">
        <f>CHOOSE(2, "6722000003877", "HC PP FE/TTOC Administration Total IT")</f>
        <v>HC PP FE/TTOC Administration Total IT</v>
      </c>
      <c r="S966" s="1212">
        <v>6</v>
      </c>
      <c r="T966" s="1212">
        <v>6</v>
      </c>
      <c r="U966" s="1212">
        <v>6</v>
      </c>
      <c r="V966" s="1212">
        <v>6</v>
      </c>
      <c r="W966" s="1212">
        <v>6</v>
      </c>
      <c r="X966" s="1212">
        <v>6</v>
      </c>
      <c r="Y966" s="1212">
        <v>6</v>
      </c>
      <c r="Z966" s="1212">
        <v>5</v>
      </c>
      <c r="AA966" s="1212">
        <v>5</v>
      </c>
      <c r="AB966" s="1212">
        <v>5</v>
      </c>
      <c r="AC966" s="1212">
        <v>5</v>
      </c>
      <c r="AD966" s="1212">
        <v>5</v>
      </c>
      <c r="AE966" s="877">
        <f>U966</f>
        <v>6</v>
      </c>
      <c r="AF966" s="40">
        <f>X966</f>
        <v>6</v>
      </c>
      <c r="AG966" s="40">
        <f>AA966</f>
        <v>5</v>
      </c>
      <c r="AH966" s="40">
        <f>AD966</f>
        <v>5</v>
      </c>
      <c r="AI966" s="40">
        <f>AF966</f>
        <v>6</v>
      </c>
      <c r="AJ966" s="40">
        <f>AH966</f>
        <v>5</v>
      </c>
      <c r="AK966" s="40">
        <f>AJ966</f>
        <v>5</v>
      </c>
      <c r="AM966" s="1910">
        <f t="shared" ca="1" si="1542"/>
        <v>6</v>
      </c>
      <c r="AN966" s="1910">
        <f t="shared" ca="1" si="1543"/>
        <v>6</v>
      </c>
      <c r="AO966" s="2694">
        <f t="shared" ca="1" si="1544"/>
        <v>0</v>
      </c>
      <c r="AP966" s="2695">
        <f t="shared" ca="1" si="1545"/>
        <v>1</v>
      </c>
      <c r="AQ966" s="1910">
        <f t="shared" ca="1" si="1546"/>
        <v>5</v>
      </c>
      <c r="AR966" s="2694">
        <f t="shared" ca="1" si="1547"/>
        <v>1</v>
      </c>
      <c r="AS966" s="2695">
        <f t="shared" ca="1" si="1548"/>
        <v>1.2</v>
      </c>
      <c r="AU966" s="1910">
        <f t="shared" ca="1" si="1549"/>
        <v>6</v>
      </c>
      <c r="AV966" s="1910">
        <f t="shared" ca="1" si="1550"/>
        <v>6</v>
      </c>
      <c r="AW966" s="2694">
        <f t="shared" ca="1" si="1551"/>
        <v>0</v>
      </c>
      <c r="AX966" s="2695">
        <f t="shared" ca="1" si="1552"/>
        <v>1</v>
      </c>
      <c r="AY966" s="1910">
        <f t="shared" ca="1" si="1553"/>
        <v>5</v>
      </c>
      <c r="AZ966" s="2694">
        <f t="shared" ca="1" si="1554"/>
        <v>1</v>
      </c>
      <c r="BA966" s="2695">
        <f t="shared" ca="1" si="1555"/>
        <v>1.2</v>
      </c>
      <c r="BC966" s="1910">
        <f t="shared" ca="1" si="1556"/>
        <v>6</v>
      </c>
      <c r="BD966" s="1910">
        <f t="shared" ca="1" si="1557"/>
        <v>6</v>
      </c>
      <c r="BE966" s="2694">
        <f t="shared" ca="1" si="1558"/>
        <v>0</v>
      </c>
      <c r="BF966" s="2695">
        <f t="shared" ca="1" si="1559"/>
        <v>1</v>
      </c>
      <c r="BG966" s="1910">
        <f t="shared" ca="1" si="1560"/>
        <v>5</v>
      </c>
      <c r="BH966" s="2694">
        <f t="shared" ca="1" si="1561"/>
        <v>1</v>
      </c>
      <c r="BI966" s="2695">
        <f t="shared" ca="1" si="1562"/>
        <v>1.2</v>
      </c>
    </row>
    <row r="967" spans="1:61" s="34" customFormat="1" ht="14.5">
      <c r="A967" s="1693">
        <f t="shared" si="1505"/>
        <v>959</v>
      </c>
      <c r="B967" s="616">
        <v>1</v>
      </c>
      <c r="C967" s="1693">
        <f t="shared" si="1567"/>
        <v>967</v>
      </c>
      <c r="D967" s="616">
        <v>1</v>
      </c>
      <c r="F967" s="454"/>
      <c r="G967" s="4"/>
      <c r="H967" s="4"/>
      <c r="I967" s="4"/>
      <c r="J967" s="258"/>
      <c r="K967" s="4"/>
      <c r="L967" s="4"/>
      <c r="M967" s="3"/>
      <c r="N967" s="3"/>
      <c r="O967" s="41"/>
      <c r="P967" s="41" t="s">
        <v>18</v>
      </c>
      <c r="Q967" s="41"/>
      <c r="R967" s="1778" t="str">
        <f>CHOOSE(2, "6722000003878", "HC PP FE/TTOC Administration Total Finance")</f>
        <v>HC PP FE/TTOC Administration Total Finance</v>
      </c>
      <c r="S967" s="1212">
        <v>27</v>
      </c>
      <c r="T967" s="1212">
        <v>28</v>
      </c>
      <c r="U967" s="1212">
        <v>28</v>
      </c>
      <c r="V967" s="1212">
        <v>28</v>
      </c>
      <c r="W967" s="1212">
        <v>27</v>
      </c>
      <c r="X967" s="1212">
        <v>27</v>
      </c>
      <c r="Y967" s="1212">
        <v>27</v>
      </c>
      <c r="Z967" s="1212">
        <v>28</v>
      </c>
      <c r="AA967" s="1212">
        <v>27</v>
      </c>
      <c r="AB967" s="1212">
        <v>27</v>
      </c>
      <c r="AC967" s="1212">
        <v>26</v>
      </c>
      <c r="AD967" s="1212">
        <v>26</v>
      </c>
      <c r="AE967" s="877">
        <f>U967</f>
        <v>28</v>
      </c>
      <c r="AF967" s="40">
        <f>X967</f>
        <v>27</v>
      </c>
      <c r="AG967" s="40">
        <f>AA967</f>
        <v>27</v>
      </c>
      <c r="AH967" s="40">
        <f>AD967</f>
        <v>26</v>
      </c>
      <c r="AI967" s="40">
        <f>AF967</f>
        <v>27</v>
      </c>
      <c r="AJ967" s="40">
        <f>AH967</f>
        <v>26</v>
      </c>
      <c r="AK967" s="40">
        <f>AJ967</f>
        <v>26</v>
      </c>
      <c r="AM967" s="1910">
        <f t="shared" ca="1" si="1542"/>
        <v>27</v>
      </c>
      <c r="AN967" s="1910">
        <f t="shared" ca="1" si="1543"/>
        <v>30</v>
      </c>
      <c r="AO967" s="2694">
        <f t="shared" ca="1" si="1544"/>
        <v>-3</v>
      </c>
      <c r="AP967" s="2695">
        <f t="shared" ca="1" si="1545"/>
        <v>0.9</v>
      </c>
      <c r="AQ967" s="1910">
        <f t="shared" ca="1" si="1546"/>
        <v>28</v>
      </c>
      <c r="AR967" s="2694">
        <f t="shared" ca="1" si="1547"/>
        <v>-1</v>
      </c>
      <c r="AS967" s="2695">
        <f t="shared" ca="1" si="1548"/>
        <v>0.9642857142857143</v>
      </c>
      <c r="AU967" s="1910">
        <f t="shared" ca="1" si="1549"/>
        <v>27</v>
      </c>
      <c r="AV967" s="1910">
        <f t="shared" ca="1" si="1550"/>
        <v>30</v>
      </c>
      <c r="AW967" s="2694">
        <f t="shared" ca="1" si="1551"/>
        <v>-3</v>
      </c>
      <c r="AX967" s="2695">
        <f t="shared" ca="1" si="1552"/>
        <v>0.9</v>
      </c>
      <c r="AY967" s="1910">
        <f t="shared" ca="1" si="1553"/>
        <v>28</v>
      </c>
      <c r="AZ967" s="2694">
        <f t="shared" ca="1" si="1554"/>
        <v>-1</v>
      </c>
      <c r="BA967" s="2695">
        <f t="shared" ca="1" si="1555"/>
        <v>0.9642857142857143</v>
      </c>
      <c r="BC967" s="1910">
        <f t="shared" ca="1" si="1556"/>
        <v>27</v>
      </c>
      <c r="BD967" s="1910">
        <f t="shared" ca="1" si="1557"/>
        <v>30</v>
      </c>
      <c r="BE967" s="2694">
        <f t="shared" ca="1" si="1558"/>
        <v>-3</v>
      </c>
      <c r="BF967" s="2695">
        <f t="shared" ca="1" si="1559"/>
        <v>0.9</v>
      </c>
      <c r="BG967" s="1910">
        <f t="shared" ca="1" si="1560"/>
        <v>28</v>
      </c>
      <c r="BH967" s="2694">
        <f t="shared" ca="1" si="1561"/>
        <v>-1</v>
      </c>
      <c r="BI967" s="2695">
        <f t="shared" ca="1" si="1562"/>
        <v>0.9642857142857143</v>
      </c>
    </row>
    <row r="968" spans="1:61" s="34" customFormat="1" ht="14.5">
      <c r="A968" s="1693">
        <f t="shared" si="1505"/>
        <v>960</v>
      </c>
      <c r="B968" s="616">
        <v>1</v>
      </c>
      <c r="C968" s="1693">
        <f t="shared" si="1567"/>
        <v>968</v>
      </c>
      <c r="D968" s="616">
        <v>1</v>
      </c>
      <c r="F968" s="454"/>
      <c r="G968" s="4"/>
      <c r="H968" s="4"/>
      <c r="I968" s="4"/>
      <c r="J968" s="258"/>
      <c r="K968" s="4"/>
      <c r="L968" s="4"/>
      <c r="M968" s="3"/>
      <c r="N968" s="3"/>
      <c r="O968" s="41"/>
      <c r="P968" s="41" t="s">
        <v>19</v>
      </c>
      <c r="Q968" s="41"/>
      <c r="R968" s="1778" t="str">
        <f>CHOOSE(2, "6722000003879", "HC PP FE/TTOC Administration Total HR")</f>
        <v>HC PP FE/TTOC Administration Total HR</v>
      </c>
      <c r="S968" s="1212">
        <v>3</v>
      </c>
      <c r="T968" s="1212">
        <v>3</v>
      </c>
      <c r="U968" s="1212">
        <v>3</v>
      </c>
      <c r="V968" s="1212">
        <v>3</v>
      </c>
      <c r="W968" s="1212">
        <v>3</v>
      </c>
      <c r="X968" s="1212">
        <v>3</v>
      </c>
      <c r="Y968" s="1212">
        <v>4</v>
      </c>
      <c r="Z968" s="1212">
        <v>5</v>
      </c>
      <c r="AA968" s="1212">
        <v>4</v>
      </c>
      <c r="AB968" s="1212">
        <v>5</v>
      </c>
      <c r="AC968" s="1212">
        <v>5</v>
      </c>
      <c r="AD968" s="1212">
        <v>6</v>
      </c>
      <c r="AE968" s="877">
        <f>U968</f>
        <v>3</v>
      </c>
      <c r="AF968" s="40">
        <f>X968</f>
        <v>3</v>
      </c>
      <c r="AG968" s="40">
        <f>AA968</f>
        <v>4</v>
      </c>
      <c r="AH968" s="40">
        <f>AD968</f>
        <v>6</v>
      </c>
      <c r="AI968" s="40">
        <f>AF968</f>
        <v>3</v>
      </c>
      <c r="AJ968" s="40">
        <f>AH968</f>
        <v>6</v>
      </c>
      <c r="AK968" s="40">
        <f>AJ968</f>
        <v>6</v>
      </c>
      <c r="AM968" s="1910">
        <f t="shared" ca="1" si="1542"/>
        <v>3</v>
      </c>
      <c r="AN968" s="1910">
        <f t="shared" ca="1" si="1543"/>
        <v>4</v>
      </c>
      <c r="AO968" s="2694">
        <f t="shared" ca="1" si="1544"/>
        <v>-1</v>
      </c>
      <c r="AP968" s="2695">
        <f t="shared" ca="1" si="1545"/>
        <v>0.75</v>
      </c>
      <c r="AQ968" s="1910">
        <f t="shared" ca="1" si="1546"/>
        <v>4</v>
      </c>
      <c r="AR968" s="2694">
        <f t="shared" ca="1" si="1547"/>
        <v>-1</v>
      </c>
      <c r="AS968" s="2695">
        <f t="shared" ca="1" si="1548"/>
        <v>0.75</v>
      </c>
      <c r="AU968" s="1910">
        <f t="shared" ca="1" si="1549"/>
        <v>3</v>
      </c>
      <c r="AV968" s="1910">
        <f t="shared" ca="1" si="1550"/>
        <v>4</v>
      </c>
      <c r="AW968" s="2694">
        <f t="shared" ca="1" si="1551"/>
        <v>-1</v>
      </c>
      <c r="AX968" s="2695">
        <f t="shared" ca="1" si="1552"/>
        <v>0.75</v>
      </c>
      <c r="AY968" s="1910">
        <f t="shared" ca="1" si="1553"/>
        <v>4</v>
      </c>
      <c r="AZ968" s="2694">
        <f t="shared" ca="1" si="1554"/>
        <v>-1</v>
      </c>
      <c r="BA968" s="2695">
        <f t="shared" ca="1" si="1555"/>
        <v>0.75</v>
      </c>
      <c r="BC968" s="1910">
        <f t="shared" ca="1" si="1556"/>
        <v>3</v>
      </c>
      <c r="BD968" s="1910">
        <f t="shared" ca="1" si="1557"/>
        <v>4</v>
      </c>
      <c r="BE968" s="2694">
        <f t="shared" ca="1" si="1558"/>
        <v>-1</v>
      </c>
      <c r="BF968" s="2695">
        <f t="shared" ca="1" si="1559"/>
        <v>0.75</v>
      </c>
      <c r="BG968" s="1910">
        <f t="shared" ca="1" si="1560"/>
        <v>4</v>
      </c>
      <c r="BH968" s="2694">
        <f t="shared" ca="1" si="1561"/>
        <v>-1</v>
      </c>
      <c r="BI968" s="2695">
        <f t="shared" ca="1" si="1562"/>
        <v>0.75</v>
      </c>
    </row>
    <row r="969" spans="1:61" s="34" customFormat="1" ht="14.5">
      <c r="A969" s="1693">
        <f t="shared" si="1505"/>
        <v>961</v>
      </c>
      <c r="B969" s="616">
        <v>1</v>
      </c>
      <c r="C969" s="1693">
        <f t="shared" si="1567"/>
        <v>969</v>
      </c>
      <c r="D969" s="616">
        <v>1</v>
      </c>
      <c r="F969" s="454"/>
      <c r="G969" s="4"/>
      <c r="H969" s="4"/>
      <c r="I969" s="4"/>
      <c r="J969" s="258"/>
      <c r="K969" s="4"/>
      <c r="L969" s="4"/>
      <c r="M969" s="3"/>
      <c r="N969" s="3"/>
      <c r="O969" s="41"/>
      <c r="P969" s="41" t="s">
        <v>20</v>
      </c>
      <c r="Q969" s="41"/>
      <c r="R969" s="1778" t="str">
        <f>CHOOSE(2, "6722000003880", "HC PP FE/TTOC Administration Total Training")</f>
        <v>HC PP FE/TTOC Administration Total Training</v>
      </c>
      <c r="S969" s="1212"/>
      <c r="T969" s="1212"/>
      <c r="U969" s="1212"/>
      <c r="V969" s="1212"/>
      <c r="W969" s="1212"/>
      <c r="X969" s="1212"/>
      <c r="Y969" s="1212"/>
      <c r="Z969" s="1212"/>
      <c r="AA969" s="1212"/>
      <c r="AB969" s="1212"/>
      <c r="AC969" s="1212"/>
      <c r="AD969" s="1212"/>
      <c r="AE969" s="877">
        <f>U969</f>
        <v>0</v>
      </c>
      <c r="AF969" s="40">
        <f>X969</f>
        <v>0</v>
      </c>
      <c r="AG969" s="40">
        <f>AA969</f>
        <v>0</v>
      </c>
      <c r="AH969" s="40">
        <f>AD969</f>
        <v>0</v>
      </c>
      <c r="AI969" s="40">
        <f>AF969</f>
        <v>0</v>
      </c>
      <c r="AJ969" s="40">
        <f>AH969</f>
        <v>0</v>
      </c>
      <c r="AK969" s="40">
        <f>AJ969</f>
        <v>0</v>
      </c>
      <c r="AM969" s="1910">
        <f t="shared" ca="1" si="1542"/>
        <v>0</v>
      </c>
      <c r="AN969" s="1910">
        <f t="shared" ca="1" si="1543"/>
        <v>0</v>
      </c>
      <c r="AO969" s="2694">
        <f t="shared" ca="1" si="1544"/>
        <v>0</v>
      </c>
      <c r="AP969" s="2695">
        <f t="shared" ca="1" si="1545"/>
        <v>0</v>
      </c>
      <c r="AQ969" s="1910">
        <f t="shared" ca="1" si="1546"/>
        <v>0</v>
      </c>
      <c r="AR969" s="2694">
        <f t="shared" ca="1" si="1547"/>
        <v>0</v>
      </c>
      <c r="AS969" s="2695">
        <f t="shared" ca="1" si="1548"/>
        <v>0</v>
      </c>
      <c r="AU969" s="1910">
        <f t="shared" ca="1" si="1549"/>
        <v>0</v>
      </c>
      <c r="AV969" s="1910">
        <f t="shared" ca="1" si="1550"/>
        <v>0</v>
      </c>
      <c r="AW969" s="2694">
        <f t="shared" ca="1" si="1551"/>
        <v>0</v>
      </c>
      <c r="AX969" s="2695">
        <f t="shared" ca="1" si="1552"/>
        <v>0</v>
      </c>
      <c r="AY969" s="1910">
        <f t="shared" ca="1" si="1553"/>
        <v>0</v>
      </c>
      <c r="AZ969" s="2694">
        <f t="shared" ca="1" si="1554"/>
        <v>0</v>
      </c>
      <c r="BA969" s="2695">
        <f t="shared" ca="1" si="1555"/>
        <v>0</v>
      </c>
      <c r="BC969" s="1910">
        <f t="shared" ca="1" si="1556"/>
        <v>0</v>
      </c>
      <c r="BD969" s="1910">
        <f t="shared" ca="1" si="1557"/>
        <v>0</v>
      </c>
      <c r="BE969" s="2694">
        <f t="shared" ca="1" si="1558"/>
        <v>0</v>
      </c>
      <c r="BF969" s="2695">
        <f t="shared" ca="1" si="1559"/>
        <v>0</v>
      </c>
      <c r="BG969" s="1910">
        <f t="shared" ca="1" si="1560"/>
        <v>0</v>
      </c>
      <c r="BH969" s="2694">
        <f t="shared" ca="1" si="1561"/>
        <v>0</v>
      </c>
      <c r="BI969" s="2695">
        <f t="shared" ca="1" si="1562"/>
        <v>0</v>
      </c>
    </row>
    <row r="970" spans="1:61" s="34" customFormat="1" ht="14.5">
      <c r="A970" s="1693">
        <f t="shared" si="1505"/>
        <v>962</v>
      </c>
      <c r="B970" s="616">
        <v>1</v>
      </c>
      <c r="C970" s="1693">
        <f t="shared" si="1567"/>
        <v>970</v>
      </c>
      <c r="D970" s="616">
        <v>1</v>
      </c>
      <c r="F970" s="454"/>
      <c r="G970" s="4"/>
      <c r="H970" s="4"/>
      <c r="I970" s="4"/>
      <c r="J970" s="258"/>
      <c r="K970" s="4"/>
      <c r="L970" s="4"/>
      <c r="M970" s="3"/>
      <c r="N970" s="3"/>
      <c r="O970" s="41"/>
      <c r="P970" s="41" t="s">
        <v>2</v>
      </c>
      <c r="Q970" s="41"/>
      <c r="R970" s="1778" t="str">
        <f>CHOOSE(2, "6722000003881", "HC PP FE/TTOC Administration Total Others")</f>
        <v>HC PP FE/TTOC Administration Total Others</v>
      </c>
      <c r="S970" s="1212">
        <v>12</v>
      </c>
      <c r="T970" s="1212">
        <v>11</v>
      </c>
      <c r="U970" s="1212">
        <v>9</v>
      </c>
      <c r="V970" s="1212">
        <v>9</v>
      </c>
      <c r="W970" s="1212">
        <v>9</v>
      </c>
      <c r="X970" s="1212">
        <v>10</v>
      </c>
      <c r="Y970" s="1212">
        <v>10</v>
      </c>
      <c r="Z970" s="1212">
        <v>10</v>
      </c>
      <c r="AA970" s="1212">
        <v>10</v>
      </c>
      <c r="AB970" s="1212">
        <v>10</v>
      </c>
      <c r="AC970" s="1212">
        <v>10</v>
      </c>
      <c r="AD970" s="1212">
        <v>10</v>
      </c>
      <c r="AE970" s="877">
        <f>U970</f>
        <v>9</v>
      </c>
      <c r="AF970" s="40">
        <f>X970</f>
        <v>10</v>
      </c>
      <c r="AG970" s="40">
        <f>AA970</f>
        <v>10</v>
      </c>
      <c r="AH970" s="40">
        <f>AD970</f>
        <v>10</v>
      </c>
      <c r="AI970" s="40">
        <f>AF970</f>
        <v>10</v>
      </c>
      <c r="AJ970" s="40">
        <f>AH970</f>
        <v>10</v>
      </c>
      <c r="AK970" s="40">
        <f>AJ970</f>
        <v>10</v>
      </c>
      <c r="AL970" s="2244"/>
      <c r="AM970" s="1910">
        <f t="shared" ca="1" si="1542"/>
        <v>12</v>
      </c>
      <c r="AN970" s="1910">
        <f t="shared" ca="1" si="1543"/>
        <v>11</v>
      </c>
      <c r="AO970" s="2694">
        <f t="shared" ca="1" si="1544"/>
        <v>1</v>
      </c>
      <c r="AP970" s="2695">
        <f t="shared" ca="1" si="1545"/>
        <v>1.0909090909090908</v>
      </c>
      <c r="AQ970" s="1910">
        <f t="shared" ca="1" si="1546"/>
        <v>10</v>
      </c>
      <c r="AR970" s="2694">
        <f t="shared" ca="1" si="1547"/>
        <v>2</v>
      </c>
      <c r="AS970" s="2695">
        <f t="shared" ca="1" si="1548"/>
        <v>1.2</v>
      </c>
      <c r="AU970" s="1910">
        <f t="shared" ca="1" si="1549"/>
        <v>12</v>
      </c>
      <c r="AV970" s="1910">
        <f t="shared" ca="1" si="1550"/>
        <v>11</v>
      </c>
      <c r="AW970" s="2694">
        <f t="shared" ca="1" si="1551"/>
        <v>1</v>
      </c>
      <c r="AX970" s="2695">
        <f t="shared" ca="1" si="1552"/>
        <v>1.0909090909090908</v>
      </c>
      <c r="AY970" s="1910">
        <f t="shared" ca="1" si="1553"/>
        <v>10</v>
      </c>
      <c r="AZ970" s="2694">
        <f t="shared" ca="1" si="1554"/>
        <v>2</v>
      </c>
      <c r="BA970" s="2695">
        <f t="shared" ca="1" si="1555"/>
        <v>1.2</v>
      </c>
      <c r="BC970" s="1910">
        <f t="shared" ca="1" si="1556"/>
        <v>12</v>
      </c>
      <c r="BD970" s="1910">
        <f t="shared" ca="1" si="1557"/>
        <v>11</v>
      </c>
      <c r="BE970" s="2694">
        <f t="shared" ca="1" si="1558"/>
        <v>1</v>
      </c>
      <c r="BF970" s="2695">
        <f t="shared" ca="1" si="1559"/>
        <v>1.0909090909090908</v>
      </c>
      <c r="BG970" s="1910">
        <f t="shared" ca="1" si="1560"/>
        <v>10</v>
      </c>
      <c r="BH970" s="2694">
        <f t="shared" ca="1" si="1561"/>
        <v>2</v>
      </c>
      <c r="BI970" s="2695">
        <f t="shared" ca="1" si="1562"/>
        <v>1.2</v>
      </c>
    </row>
    <row r="971" spans="1:61" s="34" customFormat="1" ht="14.5">
      <c r="A971" s="1693">
        <f t="shared" si="1505"/>
        <v>963</v>
      </c>
      <c r="B971" s="616">
        <v>1</v>
      </c>
      <c r="C971" s="1693">
        <f t="shared" si="1567"/>
        <v>971</v>
      </c>
      <c r="D971" s="616">
        <v>1</v>
      </c>
      <c r="E971" s="709" t="s">
        <v>512</v>
      </c>
      <c r="F971" s="1572"/>
      <c r="G971" s="4"/>
      <c r="H971" s="4"/>
      <c r="I971" s="4"/>
      <c r="J971" s="258"/>
      <c r="K971" s="252" t="s">
        <v>139</v>
      </c>
      <c r="L971" s="44"/>
      <c r="M971" s="44"/>
      <c r="N971" s="43"/>
      <c r="O971" s="43"/>
      <c r="P971" s="43"/>
      <c r="Q971" s="251"/>
      <c r="R971" s="1786" t="str">
        <f>CHOOSE(2, "6722000003882", "HC PP FE/TTOC Logistics Total")</f>
        <v>HC PP FE/TTOC Logistics Total</v>
      </c>
      <c r="S971" s="1380">
        <f>SUM(S972:S974)</f>
        <v>23</v>
      </c>
      <c r="T971" s="1380">
        <f t="shared" ref="T971:AD971" si="1572">SUM(T972:T974)</f>
        <v>22</v>
      </c>
      <c r="U971" s="1380">
        <f t="shared" si="1572"/>
        <v>22</v>
      </c>
      <c r="V971" s="1380">
        <f t="shared" si="1572"/>
        <v>24</v>
      </c>
      <c r="W971" s="1380">
        <f t="shared" si="1572"/>
        <v>24</v>
      </c>
      <c r="X971" s="1380">
        <f t="shared" si="1572"/>
        <v>24</v>
      </c>
      <c r="Y971" s="3102">
        <f t="shared" si="1572"/>
        <v>24</v>
      </c>
      <c r="Z971" s="1380">
        <f t="shared" si="1572"/>
        <v>23</v>
      </c>
      <c r="AA971" s="1380">
        <f t="shared" si="1572"/>
        <v>22</v>
      </c>
      <c r="AB971" s="1380">
        <v>22</v>
      </c>
      <c r="AC971" s="1380">
        <f t="shared" si="1572"/>
        <v>23</v>
      </c>
      <c r="AD971" s="1380">
        <f t="shared" si="1572"/>
        <v>23</v>
      </c>
      <c r="AE971" s="782">
        <f t="shared" ref="AE971:AK971" si="1573">SUM(AE972:AE974)</f>
        <v>22</v>
      </c>
      <c r="AF971" s="1634">
        <f t="shared" si="1573"/>
        <v>24</v>
      </c>
      <c r="AG971" s="1634">
        <f t="shared" si="1573"/>
        <v>22</v>
      </c>
      <c r="AH971" s="1634">
        <f t="shared" si="1573"/>
        <v>23</v>
      </c>
      <c r="AI971" s="1634">
        <f t="shared" si="1573"/>
        <v>24</v>
      </c>
      <c r="AJ971" s="1634">
        <f t="shared" si="1573"/>
        <v>23</v>
      </c>
      <c r="AK971" s="1634">
        <f t="shared" si="1573"/>
        <v>23</v>
      </c>
      <c r="AM971" s="2252">
        <f t="shared" ca="1" si="1542"/>
        <v>23</v>
      </c>
      <c r="AN971" s="2252">
        <f t="shared" ca="1" si="1543"/>
        <v>23</v>
      </c>
      <c r="AO971" s="2952">
        <f t="shared" ca="1" si="1544"/>
        <v>0</v>
      </c>
      <c r="AP971" s="2953">
        <f t="shared" ca="1" si="1545"/>
        <v>1</v>
      </c>
      <c r="AQ971" s="2252">
        <f t="shared" ca="1" si="1546"/>
        <v>22</v>
      </c>
      <c r="AR971" s="2952">
        <f t="shared" ca="1" si="1547"/>
        <v>1</v>
      </c>
      <c r="AS971" s="2953">
        <f t="shared" ca="1" si="1548"/>
        <v>1.0454545454545454</v>
      </c>
      <c r="AU971" s="2252">
        <f t="shared" ca="1" si="1549"/>
        <v>23</v>
      </c>
      <c r="AV971" s="2252">
        <f t="shared" ca="1" si="1550"/>
        <v>23</v>
      </c>
      <c r="AW971" s="2952">
        <f t="shared" ca="1" si="1551"/>
        <v>0</v>
      </c>
      <c r="AX971" s="2953">
        <f t="shared" ca="1" si="1552"/>
        <v>1</v>
      </c>
      <c r="AY971" s="2252">
        <f t="shared" ca="1" si="1553"/>
        <v>22</v>
      </c>
      <c r="AZ971" s="2952">
        <f t="shared" ca="1" si="1554"/>
        <v>1</v>
      </c>
      <c r="BA971" s="2953">
        <f t="shared" ca="1" si="1555"/>
        <v>1.0454545454545454</v>
      </c>
      <c r="BC971" s="2252">
        <f t="shared" ca="1" si="1556"/>
        <v>23</v>
      </c>
      <c r="BD971" s="2252">
        <f t="shared" ca="1" si="1557"/>
        <v>23</v>
      </c>
      <c r="BE971" s="2952">
        <f t="shared" ca="1" si="1558"/>
        <v>0</v>
      </c>
      <c r="BF971" s="2953">
        <f t="shared" ca="1" si="1559"/>
        <v>1</v>
      </c>
      <c r="BG971" s="2252">
        <f t="shared" ca="1" si="1560"/>
        <v>22</v>
      </c>
      <c r="BH971" s="2952">
        <f t="shared" ca="1" si="1561"/>
        <v>1</v>
      </c>
      <c r="BI971" s="2953">
        <f t="shared" ca="1" si="1562"/>
        <v>1.0454545454545454</v>
      </c>
    </row>
    <row r="972" spans="1:61" s="34" customFormat="1" ht="14.5">
      <c r="A972" s="1693">
        <f t="shared" si="1505"/>
        <v>964</v>
      </c>
      <c r="B972" s="616">
        <v>1</v>
      </c>
      <c r="C972" s="1693">
        <f t="shared" si="1567"/>
        <v>972</v>
      </c>
      <c r="D972" s="616">
        <v>1</v>
      </c>
      <c r="F972" s="454"/>
      <c r="G972" s="4"/>
      <c r="H972" s="4"/>
      <c r="I972" s="4"/>
      <c r="J972" s="258"/>
      <c r="K972" s="4"/>
      <c r="L972" s="4"/>
      <c r="M972" s="3"/>
      <c r="N972" s="3"/>
      <c r="O972" s="41"/>
      <c r="P972" s="41" t="s">
        <v>21</v>
      </c>
      <c r="Q972" s="41"/>
      <c r="R972" s="1778" t="str">
        <f>CHOOSE(2, "6722000003883", "HC PP FE/TTOC Logistics Total Administration")</f>
        <v>HC PP FE/TTOC Logistics Total Administration</v>
      </c>
      <c r="S972" s="1212">
        <v>8</v>
      </c>
      <c r="T972" s="1212">
        <v>8</v>
      </c>
      <c r="U972" s="1212">
        <v>8</v>
      </c>
      <c r="V972" s="1212">
        <v>8</v>
      </c>
      <c r="W972" s="1212">
        <v>8</v>
      </c>
      <c r="X972" s="1212">
        <v>8</v>
      </c>
      <c r="Y972" s="1212">
        <v>8</v>
      </c>
      <c r="Z972" s="1212">
        <v>8</v>
      </c>
      <c r="AA972" s="1212">
        <v>7</v>
      </c>
      <c r="AB972" s="1212">
        <v>7</v>
      </c>
      <c r="AC972" s="1212">
        <v>8</v>
      </c>
      <c r="AD972" s="1212">
        <v>8</v>
      </c>
      <c r="AE972" s="877">
        <f>U972</f>
        <v>8</v>
      </c>
      <c r="AF972" s="40">
        <f>X972</f>
        <v>8</v>
      </c>
      <c r="AG972" s="40">
        <f>AA972</f>
        <v>7</v>
      </c>
      <c r="AH972" s="40">
        <f>AD972</f>
        <v>8</v>
      </c>
      <c r="AI972" s="40">
        <f>AF972</f>
        <v>8</v>
      </c>
      <c r="AJ972" s="40">
        <f>AH972</f>
        <v>8</v>
      </c>
      <c r="AK972" s="40">
        <f>AJ972</f>
        <v>8</v>
      </c>
      <c r="AM972" s="1910">
        <f t="shared" ca="1" si="1542"/>
        <v>8</v>
      </c>
      <c r="AN972" s="1910">
        <f t="shared" ca="1" si="1543"/>
        <v>7</v>
      </c>
      <c r="AO972" s="2694">
        <f t="shared" ca="1" si="1544"/>
        <v>1</v>
      </c>
      <c r="AP972" s="2695">
        <f t="shared" ca="1" si="1545"/>
        <v>1.1428571428571428</v>
      </c>
      <c r="AQ972" s="1910">
        <f t="shared" ca="1" si="1546"/>
        <v>9</v>
      </c>
      <c r="AR972" s="2694">
        <f t="shared" ca="1" si="1547"/>
        <v>-1</v>
      </c>
      <c r="AS972" s="2695">
        <f t="shared" ca="1" si="1548"/>
        <v>0.88888888888888884</v>
      </c>
      <c r="AU972" s="1910">
        <f t="shared" ca="1" si="1549"/>
        <v>8</v>
      </c>
      <c r="AV972" s="1910">
        <f t="shared" ca="1" si="1550"/>
        <v>7</v>
      </c>
      <c r="AW972" s="2694">
        <f t="shared" ca="1" si="1551"/>
        <v>1</v>
      </c>
      <c r="AX972" s="2695">
        <f t="shared" ca="1" si="1552"/>
        <v>1.1428571428571428</v>
      </c>
      <c r="AY972" s="1910">
        <f t="shared" ca="1" si="1553"/>
        <v>9</v>
      </c>
      <c r="AZ972" s="2694">
        <f t="shared" ca="1" si="1554"/>
        <v>-1</v>
      </c>
      <c r="BA972" s="2695">
        <f t="shared" ca="1" si="1555"/>
        <v>0.88888888888888884</v>
      </c>
      <c r="BC972" s="1910">
        <f t="shared" ca="1" si="1556"/>
        <v>8</v>
      </c>
      <c r="BD972" s="1910">
        <f t="shared" ca="1" si="1557"/>
        <v>7</v>
      </c>
      <c r="BE972" s="2694">
        <f t="shared" ca="1" si="1558"/>
        <v>1</v>
      </c>
      <c r="BF972" s="2695">
        <f t="shared" ca="1" si="1559"/>
        <v>1.1428571428571428</v>
      </c>
      <c r="BG972" s="1910">
        <f t="shared" ca="1" si="1560"/>
        <v>9</v>
      </c>
      <c r="BH972" s="2694">
        <f t="shared" ca="1" si="1561"/>
        <v>-1</v>
      </c>
      <c r="BI972" s="2695">
        <f t="shared" ca="1" si="1562"/>
        <v>0.88888888888888884</v>
      </c>
    </row>
    <row r="973" spans="1:61" s="34" customFormat="1" ht="14.5">
      <c r="A973" s="1693">
        <f t="shared" si="1505"/>
        <v>965</v>
      </c>
      <c r="B973" s="616">
        <v>1</v>
      </c>
      <c r="C973" s="1693">
        <f t="shared" si="1567"/>
        <v>973</v>
      </c>
      <c r="D973" s="616">
        <v>1</v>
      </c>
      <c r="F973" s="454"/>
      <c r="G973" s="4"/>
      <c r="H973" s="4"/>
      <c r="I973" s="4"/>
      <c r="J973" s="258"/>
      <c r="K973" s="4"/>
      <c r="L973" s="4"/>
      <c r="M973" s="3"/>
      <c r="N973" s="3"/>
      <c r="O973" s="41"/>
      <c r="P973" s="41" t="s">
        <v>22</v>
      </c>
      <c r="Q973" s="41"/>
      <c r="R973" s="1778" t="str">
        <f>CHOOSE(2, "6722000003884", "HC PP FE/TTOC Logistics Total Warehouse")</f>
        <v>HC PP FE/TTOC Logistics Total Warehouse</v>
      </c>
      <c r="S973" s="1212">
        <v>15</v>
      </c>
      <c r="T973" s="1212">
        <v>14</v>
      </c>
      <c r="U973" s="1212">
        <v>14</v>
      </c>
      <c r="V973" s="1212">
        <v>16</v>
      </c>
      <c r="W973" s="1212">
        <v>16</v>
      </c>
      <c r="X973" s="1212">
        <v>16</v>
      </c>
      <c r="Y973" s="1212">
        <v>16</v>
      </c>
      <c r="Z973" s="1212">
        <v>15</v>
      </c>
      <c r="AA973" s="1212">
        <v>15</v>
      </c>
      <c r="AB973" s="1212">
        <v>15</v>
      </c>
      <c r="AC973" s="1212">
        <v>15</v>
      </c>
      <c r="AD973" s="1212">
        <v>15</v>
      </c>
      <c r="AE973" s="877">
        <f>U973</f>
        <v>14</v>
      </c>
      <c r="AF973" s="40">
        <f>X973</f>
        <v>16</v>
      </c>
      <c r="AG973" s="40">
        <f>AA973</f>
        <v>15</v>
      </c>
      <c r="AH973" s="40">
        <f>AD973</f>
        <v>15</v>
      </c>
      <c r="AI973" s="40">
        <f>AF973</f>
        <v>16</v>
      </c>
      <c r="AJ973" s="40">
        <f>AH973</f>
        <v>15</v>
      </c>
      <c r="AK973" s="40">
        <f>AJ973</f>
        <v>15</v>
      </c>
      <c r="AM973" s="1910">
        <f t="shared" ca="1" si="1542"/>
        <v>15</v>
      </c>
      <c r="AN973" s="1910">
        <f t="shared" ca="1" si="1543"/>
        <v>16</v>
      </c>
      <c r="AO973" s="2694">
        <f t="shared" ca="1" si="1544"/>
        <v>-1</v>
      </c>
      <c r="AP973" s="2695">
        <f t="shared" ca="1" si="1545"/>
        <v>0.9375</v>
      </c>
      <c r="AQ973" s="1910">
        <f t="shared" ca="1" si="1546"/>
        <v>13</v>
      </c>
      <c r="AR973" s="2694">
        <f t="shared" ca="1" si="1547"/>
        <v>2</v>
      </c>
      <c r="AS973" s="2695">
        <f t="shared" ca="1" si="1548"/>
        <v>1.1538461538461537</v>
      </c>
      <c r="AU973" s="1910">
        <f t="shared" ca="1" si="1549"/>
        <v>15</v>
      </c>
      <c r="AV973" s="1910">
        <f t="shared" ca="1" si="1550"/>
        <v>16</v>
      </c>
      <c r="AW973" s="2694">
        <f t="shared" ca="1" si="1551"/>
        <v>-1</v>
      </c>
      <c r="AX973" s="2695">
        <f t="shared" ca="1" si="1552"/>
        <v>0.9375</v>
      </c>
      <c r="AY973" s="1910">
        <f t="shared" ca="1" si="1553"/>
        <v>13</v>
      </c>
      <c r="AZ973" s="2694">
        <f t="shared" ca="1" si="1554"/>
        <v>2</v>
      </c>
      <c r="BA973" s="2695">
        <f t="shared" ca="1" si="1555"/>
        <v>1.1538461538461537</v>
      </c>
      <c r="BC973" s="1910">
        <f t="shared" ca="1" si="1556"/>
        <v>15</v>
      </c>
      <c r="BD973" s="1910">
        <f t="shared" ca="1" si="1557"/>
        <v>16</v>
      </c>
      <c r="BE973" s="2694">
        <f t="shared" ca="1" si="1558"/>
        <v>-1</v>
      </c>
      <c r="BF973" s="2695">
        <f t="shared" ca="1" si="1559"/>
        <v>0.9375</v>
      </c>
      <c r="BG973" s="1910">
        <f t="shared" ca="1" si="1560"/>
        <v>13</v>
      </c>
      <c r="BH973" s="2694">
        <f t="shared" ca="1" si="1561"/>
        <v>2</v>
      </c>
      <c r="BI973" s="2695">
        <f t="shared" ca="1" si="1562"/>
        <v>1.1538461538461537</v>
      </c>
    </row>
    <row r="974" spans="1:61" s="34" customFormat="1" ht="14.5">
      <c r="A974" s="1693">
        <f t="shared" si="1505"/>
        <v>966</v>
      </c>
      <c r="B974" s="616">
        <v>1</v>
      </c>
      <c r="C974" s="1693">
        <f t="shared" si="1567"/>
        <v>974</v>
      </c>
      <c r="D974" s="616">
        <v>1</v>
      </c>
      <c r="F974" s="454"/>
      <c r="G974" s="4"/>
      <c r="H974" s="4"/>
      <c r="I974" s="4"/>
      <c r="J974" s="259"/>
      <c r="K974" s="2"/>
      <c r="L974" s="2"/>
      <c r="M974" s="1"/>
      <c r="N974" s="1"/>
      <c r="O974" s="39"/>
      <c r="P974" s="39" t="s">
        <v>23</v>
      </c>
      <c r="Q974" s="39"/>
      <c r="R974" s="1778" t="str">
        <f>CHOOSE(2, "6722000003885", "HC PP FE/TTOC Logistics Total Workshop")</f>
        <v>HC PP FE/TTOC Logistics Total Workshop</v>
      </c>
      <c r="S974" s="1211"/>
      <c r="T974" s="1211"/>
      <c r="U974" s="1211"/>
      <c r="V974" s="1211"/>
      <c r="W974" s="1211"/>
      <c r="X974" s="1211"/>
      <c r="Y974" s="1211"/>
      <c r="Z974" s="1211"/>
      <c r="AA974" s="1211"/>
      <c r="AB974" s="1211"/>
      <c r="AC974" s="1211"/>
      <c r="AD974" s="1211"/>
      <c r="AE974" s="912">
        <f>U974</f>
        <v>0</v>
      </c>
      <c r="AF974" s="38">
        <f>X974</f>
        <v>0</v>
      </c>
      <c r="AG974" s="38">
        <f>AA974</f>
        <v>0</v>
      </c>
      <c r="AH974" s="38">
        <f>AD974</f>
        <v>0</v>
      </c>
      <c r="AI974" s="38">
        <f>AF974</f>
        <v>0</v>
      </c>
      <c r="AJ974" s="38">
        <f>AH974</f>
        <v>0</v>
      </c>
      <c r="AK974" s="38">
        <f>AJ974</f>
        <v>0</v>
      </c>
      <c r="AM974" s="2248">
        <f t="shared" ca="1" si="1542"/>
        <v>0</v>
      </c>
      <c r="AN974" s="2248">
        <f t="shared" ca="1" si="1543"/>
        <v>0</v>
      </c>
      <c r="AO974" s="2950">
        <f t="shared" ca="1" si="1544"/>
        <v>0</v>
      </c>
      <c r="AP974" s="2951">
        <f t="shared" ca="1" si="1545"/>
        <v>0</v>
      </c>
      <c r="AQ974" s="2248">
        <f t="shared" ca="1" si="1546"/>
        <v>0</v>
      </c>
      <c r="AR974" s="2950">
        <f t="shared" ca="1" si="1547"/>
        <v>0</v>
      </c>
      <c r="AS974" s="2951">
        <f t="shared" ca="1" si="1548"/>
        <v>0</v>
      </c>
      <c r="AU974" s="2248">
        <f t="shared" ca="1" si="1549"/>
        <v>0</v>
      </c>
      <c r="AV974" s="2248">
        <f t="shared" ca="1" si="1550"/>
        <v>0</v>
      </c>
      <c r="AW974" s="2950">
        <f t="shared" ca="1" si="1551"/>
        <v>0</v>
      </c>
      <c r="AX974" s="2951">
        <f t="shared" ca="1" si="1552"/>
        <v>0</v>
      </c>
      <c r="AY974" s="2248">
        <f t="shared" ca="1" si="1553"/>
        <v>0</v>
      </c>
      <c r="AZ974" s="2950">
        <f t="shared" ca="1" si="1554"/>
        <v>0</v>
      </c>
      <c r="BA974" s="2951">
        <f t="shared" ca="1" si="1555"/>
        <v>0</v>
      </c>
      <c r="BC974" s="2248">
        <f t="shared" ca="1" si="1556"/>
        <v>0</v>
      </c>
      <c r="BD974" s="2248">
        <f t="shared" ca="1" si="1557"/>
        <v>0</v>
      </c>
      <c r="BE974" s="2950">
        <f t="shared" ca="1" si="1558"/>
        <v>0</v>
      </c>
      <c r="BF974" s="2951">
        <f t="shared" ca="1" si="1559"/>
        <v>0</v>
      </c>
      <c r="BG974" s="2248">
        <f t="shared" ca="1" si="1560"/>
        <v>0</v>
      </c>
      <c r="BH974" s="2950">
        <f t="shared" ca="1" si="1561"/>
        <v>0</v>
      </c>
      <c r="BI974" s="2951">
        <f t="shared" ca="1" si="1562"/>
        <v>0</v>
      </c>
    </row>
    <row r="975" spans="1:61" s="34" customFormat="1" ht="14.5">
      <c r="A975" s="1693">
        <f t="shared" si="1505"/>
        <v>967</v>
      </c>
      <c r="B975" s="616">
        <v>1</v>
      </c>
      <c r="C975" s="1693">
        <f t="shared" si="1567"/>
        <v>975</v>
      </c>
      <c r="D975" s="616">
        <v>1</v>
      </c>
      <c r="E975" s="709" t="s">
        <v>512</v>
      </c>
      <c r="F975" s="1572"/>
      <c r="G975" s="4"/>
      <c r="H975" s="4"/>
      <c r="I975" s="4"/>
      <c r="J975" s="246" t="s">
        <v>182</v>
      </c>
      <c r="K975" s="247"/>
      <c r="L975" s="248"/>
      <c r="M975" s="248"/>
      <c r="N975" s="247"/>
      <c r="O975" s="247"/>
      <c r="P975" s="247"/>
      <c r="Q975" s="247"/>
      <c r="R975" s="1790" t="str">
        <f>CHOOSE(2, "6722000003886", "HC PP Semi-Full-Time/Part-Time Employees /Contractors")</f>
        <v>HC PP Semi-Full-Time/Part-Time Employees /Contractors</v>
      </c>
      <c r="S975" s="3312">
        <v>1</v>
      </c>
      <c r="T975" s="3312">
        <v>1</v>
      </c>
      <c r="U975" s="1243">
        <v>1</v>
      </c>
      <c r="V975" s="3312">
        <v>1</v>
      </c>
      <c r="W975" s="3312">
        <v>1</v>
      </c>
      <c r="X975" s="3312">
        <v>1</v>
      </c>
      <c r="Y975" s="3312">
        <v>1</v>
      </c>
      <c r="Z975" s="1243">
        <v>1</v>
      </c>
      <c r="AA975" s="3312">
        <v>1</v>
      </c>
      <c r="AB975" s="1243">
        <v>1</v>
      </c>
      <c r="AC975" s="1243">
        <v>1</v>
      </c>
      <c r="AD975" s="1243">
        <v>1</v>
      </c>
      <c r="AE975" s="913">
        <f>U975</f>
        <v>1</v>
      </c>
      <c r="AF975" s="250">
        <f>X975</f>
        <v>1</v>
      </c>
      <c r="AG975" s="250">
        <f>AA975</f>
        <v>1</v>
      </c>
      <c r="AH975" s="250">
        <f>AD975</f>
        <v>1</v>
      </c>
      <c r="AI975" s="250">
        <f>AF975</f>
        <v>1</v>
      </c>
      <c r="AJ975" s="250">
        <f>AH975</f>
        <v>1</v>
      </c>
      <c r="AK975" s="250">
        <f>AJ975</f>
        <v>1</v>
      </c>
      <c r="AM975" s="2256">
        <f t="shared" ca="1" si="1542"/>
        <v>1</v>
      </c>
      <c r="AN975" s="2256">
        <f t="shared" ca="1" si="1543"/>
        <v>1</v>
      </c>
      <c r="AO975" s="2849">
        <f t="shared" ca="1" si="1544"/>
        <v>0</v>
      </c>
      <c r="AP975" s="2850">
        <f t="shared" ca="1" si="1545"/>
        <v>1</v>
      </c>
      <c r="AQ975" s="2256">
        <f t="shared" ca="1" si="1546"/>
        <v>1</v>
      </c>
      <c r="AR975" s="2849">
        <f t="shared" ca="1" si="1547"/>
        <v>0</v>
      </c>
      <c r="AS975" s="2850">
        <f t="shared" ca="1" si="1548"/>
        <v>1</v>
      </c>
      <c r="AU975" s="2256">
        <f t="shared" ca="1" si="1549"/>
        <v>1</v>
      </c>
      <c r="AV975" s="2256">
        <f t="shared" ca="1" si="1550"/>
        <v>1</v>
      </c>
      <c r="AW975" s="2849">
        <f t="shared" ca="1" si="1551"/>
        <v>0</v>
      </c>
      <c r="AX975" s="2850">
        <f t="shared" ca="1" si="1552"/>
        <v>1</v>
      </c>
      <c r="AY975" s="2256">
        <f t="shared" ca="1" si="1553"/>
        <v>1</v>
      </c>
      <c r="AZ975" s="2849">
        <f t="shared" ca="1" si="1554"/>
        <v>0</v>
      </c>
      <c r="BA975" s="2850">
        <f t="shared" ca="1" si="1555"/>
        <v>1</v>
      </c>
      <c r="BC975" s="2256">
        <f t="shared" ca="1" si="1556"/>
        <v>1</v>
      </c>
      <c r="BD975" s="2256">
        <f t="shared" ca="1" si="1557"/>
        <v>1</v>
      </c>
      <c r="BE975" s="2849">
        <f t="shared" ca="1" si="1558"/>
        <v>0</v>
      </c>
      <c r="BF975" s="2850">
        <f t="shared" ca="1" si="1559"/>
        <v>1</v>
      </c>
      <c r="BG975" s="2256">
        <f t="shared" ca="1" si="1560"/>
        <v>1</v>
      </c>
      <c r="BH975" s="2849">
        <f t="shared" ca="1" si="1561"/>
        <v>0</v>
      </c>
      <c r="BI975" s="2850">
        <f t="shared" ca="1" si="1562"/>
        <v>1</v>
      </c>
    </row>
    <row r="976" spans="1:61" s="34" customFormat="1" ht="14.5">
      <c r="A976" s="1693">
        <f t="shared" ref="A976:A1039" si="1574">A975+1</f>
        <v>968</v>
      </c>
      <c r="B976" s="616">
        <v>1</v>
      </c>
      <c r="C976" s="1693">
        <f t="shared" si="1567"/>
        <v>976</v>
      </c>
      <c r="D976" s="616">
        <v>1</v>
      </c>
      <c r="E976" s="709" t="s">
        <v>512</v>
      </c>
      <c r="F976" s="1572"/>
      <c r="G976" s="4"/>
      <c r="H976" s="4"/>
      <c r="I976" s="4"/>
      <c r="J976" s="4"/>
      <c r="K976" s="3"/>
      <c r="L976" s="4"/>
      <c r="M976" s="4"/>
      <c r="N976" s="3"/>
      <c r="O976" s="3"/>
      <c r="P976" s="3"/>
      <c r="Q976" s="3"/>
      <c r="R976" s="1773" t="str">
        <f>CHOOSE(2, "6722000003887", "▷ Blank 29")</f>
        <v>▷ Blank 29</v>
      </c>
      <c r="S976" s="1608"/>
      <c r="T976" s="1609"/>
      <c r="U976" s="1609"/>
      <c r="V976" s="1609"/>
      <c r="W976" s="1609"/>
      <c r="X976" s="1609"/>
      <c r="Y976" s="1609"/>
      <c r="Z976" s="1609"/>
      <c r="AA976" s="1609"/>
      <c r="AB976" s="1609"/>
      <c r="AC976" s="454"/>
      <c r="AD976" s="454"/>
      <c r="AE976" s="454"/>
      <c r="AF976" s="454"/>
      <c r="AG976" s="454"/>
      <c r="AH976" s="454"/>
      <c r="AI976" s="454"/>
      <c r="AJ976" s="454"/>
      <c r="AK976" s="454"/>
    </row>
    <row r="977" spans="1:61" s="34" customFormat="1" ht="14.5">
      <c r="A977" s="1693">
        <f t="shared" si="1574"/>
        <v>969</v>
      </c>
      <c r="B977" s="616">
        <v>1</v>
      </c>
      <c r="C977" s="1693">
        <f t="shared" si="1567"/>
        <v>977</v>
      </c>
      <c r="D977" s="616">
        <v>1</v>
      </c>
      <c r="E977" s="709" t="s">
        <v>512</v>
      </c>
      <c r="F977" s="1572"/>
      <c r="G977" s="4"/>
      <c r="H977" s="4"/>
      <c r="I977" s="4" t="s">
        <v>284</v>
      </c>
      <c r="J977" s="4"/>
      <c r="K977" s="3"/>
      <c r="L977" s="4"/>
      <c r="M977" s="4"/>
      <c r="N977" s="3"/>
      <c r="O977" s="3"/>
      <c r="P977" s="3"/>
      <c r="Q977" s="3"/>
      <c r="R977" s="1773" t="str">
        <f>CHOOSE(2, "6722000004515", "HC (3) IP")</f>
        <v>HC (3) IP</v>
      </c>
      <c r="S977" s="1608"/>
      <c r="T977" s="1609"/>
      <c r="U977" s="1609"/>
      <c r="V977" s="1609"/>
      <c r="W977" s="1609"/>
      <c r="X977" s="1609"/>
      <c r="Y977" s="1609"/>
      <c r="Z977" s="1609"/>
      <c r="AA977" s="1609"/>
      <c r="AB977" s="1609"/>
      <c r="AC977" s="454"/>
      <c r="AD977" s="454"/>
      <c r="AE977" s="454"/>
      <c r="AF977" s="454"/>
      <c r="AG977" s="454"/>
      <c r="AH977" s="454"/>
      <c r="AI977" s="454"/>
      <c r="AJ977" s="454"/>
      <c r="AK977" s="454"/>
    </row>
    <row r="978" spans="1:61" s="272" customFormat="1" ht="14.5">
      <c r="A978" s="1693">
        <f t="shared" si="1574"/>
        <v>970</v>
      </c>
      <c r="B978" s="616">
        <v>1</v>
      </c>
      <c r="C978" s="1693">
        <f t="shared" si="1567"/>
        <v>978</v>
      </c>
      <c r="D978" s="616">
        <v>1</v>
      </c>
      <c r="E978" s="709" t="s">
        <v>512</v>
      </c>
      <c r="F978" s="1572"/>
      <c r="G978" s="267"/>
      <c r="H978" s="267"/>
      <c r="I978" s="268"/>
      <c r="J978" s="359" t="s">
        <v>202</v>
      </c>
      <c r="K978" s="360"/>
      <c r="L978" s="361"/>
      <c r="M978" s="361"/>
      <c r="N978" s="361"/>
      <c r="O978" s="361"/>
      <c r="P978" s="361"/>
      <c r="Q978" s="872"/>
      <c r="R978" s="1795" t="str">
        <f>CHOOSE(2, "6722000003889", "HC IP FE/TTOC")</f>
        <v>HC IP FE/TTOC</v>
      </c>
      <c r="S978" s="1307">
        <f>S979+S984+S990+S995+S1001</f>
        <v>21</v>
      </c>
      <c r="T978" s="1196">
        <f t="shared" ref="T978:AD978" si="1575">T979+T984+T990+T995+T1001</f>
        <v>21</v>
      </c>
      <c r="U978" s="1196">
        <f t="shared" si="1575"/>
        <v>21</v>
      </c>
      <c r="V978" s="1196">
        <f t="shared" si="1575"/>
        <v>19</v>
      </c>
      <c r="W978" s="1196">
        <f t="shared" si="1575"/>
        <v>19</v>
      </c>
      <c r="X978" s="1196">
        <f t="shared" si="1575"/>
        <v>19</v>
      </c>
      <c r="Y978" s="1196">
        <f t="shared" si="1575"/>
        <v>19</v>
      </c>
      <c r="Z978" s="1196">
        <f t="shared" si="1575"/>
        <v>18</v>
      </c>
      <c r="AA978" s="1196">
        <f t="shared" si="1575"/>
        <v>19</v>
      </c>
      <c r="AB978" s="1196">
        <f t="shared" si="1575"/>
        <v>19</v>
      </c>
      <c r="AC978" s="1196">
        <f t="shared" si="1575"/>
        <v>18</v>
      </c>
      <c r="AD978" s="1196">
        <f t="shared" si="1575"/>
        <v>20</v>
      </c>
      <c r="AE978" s="886">
        <f t="shared" ref="AE978:AK978" si="1576">AE979+AE984+AE990+AE995+AE1001</f>
        <v>21</v>
      </c>
      <c r="AF978" s="362">
        <f t="shared" si="1576"/>
        <v>19</v>
      </c>
      <c r="AG978" s="362">
        <f t="shared" si="1576"/>
        <v>19</v>
      </c>
      <c r="AH978" s="362">
        <f t="shared" si="1576"/>
        <v>20</v>
      </c>
      <c r="AI978" s="362">
        <f t="shared" si="1576"/>
        <v>19</v>
      </c>
      <c r="AJ978" s="362">
        <f t="shared" si="1576"/>
        <v>20</v>
      </c>
      <c r="AK978" s="362">
        <f t="shared" si="1576"/>
        <v>20</v>
      </c>
      <c r="AL978" s="34"/>
      <c r="AM978" s="2038">
        <f t="shared" ref="AM978:AM1005" ca="1" si="1577">INDIRECT(AM$3&amp;(ROW()))</f>
        <v>21</v>
      </c>
      <c r="AN978" s="2039">
        <f t="shared" ref="AN978:AN1005" ca="1" si="1578">INDIRECT(AN$1&amp;AN$3&amp;$C978)</f>
        <v>23</v>
      </c>
      <c r="AO978" s="2803">
        <f t="shared" ref="AO978:AO1005" ca="1" si="1579">AM978-AN978</f>
        <v>-2</v>
      </c>
      <c r="AP978" s="2804">
        <f t="shared" ref="AP978:AP1005" ca="1" si="1580">IFERROR(AM978/AN978,0)</f>
        <v>0.91304347826086951</v>
      </c>
      <c r="AQ978" s="2039">
        <f t="shared" ref="AQ978:AQ1005" ca="1" si="1581">INDIRECT(AQ$1&amp;AQ$3&amp;$A978)+INDIRECT(AQ$1&amp;AQ$3&amp;$B978)</f>
        <v>22</v>
      </c>
      <c r="AR978" s="2803">
        <f t="shared" ref="AR978:AR1005" ca="1" si="1582">AM978-AQ978</f>
        <v>-1</v>
      </c>
      <c r="AS978" s="2804">
        <f t="shared" ref="AS978:AS1005" ca="1" si="1583">IFERROR(AM978/AQ978,0)</f>
        <v>0.95454545454545459</v>
      </c>
      <c r="AT978" s="2244"/>
      <c r="AU978" s="2038">
        <f t="shared" ref="AU978:AU1005" ca="1" si="1584">INDIRECT(AU$3&amp;(ROW()))</f>
        <v>21</v>
      </c>
      <c r="AV978" s="2039">
        <f t="shared" ref="AV978:AV1005" ca="1" si="1585">INDIRECT(AV$1&amp;AV$3&amp;$C978)</f>
        <v>23</v>
      </c>
      <c r="AW978" s="2803">
        <f t="shared" ref="AW978:AW1005" ca="1" si="1586">AU978-AV978</f>
        <v>-2</v>
      </c>
      <c r="AX978" s="2804">
        <f t="shared" ref="AX978:AX1005" ca="1" si="1587">IFERROR(AU978/AV978,0)</f>
        <v>0.91304347826086951</v>
      </c>
      <c r="AY978" s="2039">
        <f t="shared" ref="AY978:AY1005" ca="1" si="1588">INDIRECT(AY$1&amp;AY$3&amp;$A978)+INDIRECT(AY$1&amp;AY$3&amp;$B978)</f>
        <v>22</v>
      </c>
      <c r="AZ978" s="2803">
        <f t="shared" ref="AZ978:AZ1005" ca="1" si="1589">AU978-AY978</f>
        <v>-1</v>
      </c>
      <c r="BA978" s="2804">
        <f t="shared" ref="BA978:BA1005" ca="1" si="1590">IFERROR(AU978/AY978,0)</f>
        <v>0.95454545454545459</v>
      </c>
      <c r="BB978" s="2244"/>
      <c r="BC978" s="2038">
        <f t="shared" ref="BC978:BC1005" ca="1" si="1591">INDIRECT(BC$3&amp;(ROW()))</f>
        <v>21</v>
      </c>
      <c r="BD978" s="2039">
        <f t="shared" ref="BD978:BD1005" ca="1" si="1592">INDIRECT(BD$1&amp;BD$3&amp;$C978)</f>
        <v>23</v>
      </c>
      <c r="BE978" s="2803">
        <f t="shared" ref="BE978:BE1005" ca="1" si="1593">BC978-BD978</f>
        <v>-2</v>
      </c>
      <c r="BF978" s="2804">
        <f t="shared" ref="BF978:BF1005" ca="1" si="1594">IFERROR(BC978/BD978,0)</f>
        <v>0.91304347826086951</v>
      </c>
      <c r="BG978" s="2039">
        <f t="shared" ref="BG978:BG1005" ca="1" si="1595">INDIRECT(BG$1&amp;BG$3&amp;$A978)+INDIRECT(BG$1&amp;BG$3&amp;$B978)</f>
        <v>22</v>
      </c>
      <c r="BH978" s="2803">
        <f t="shared" ref="BH978:BH1005" ca="1" si="1596">BC978-BG978</f>
        <v>-1</v>
      </c>
      <c r="BI978" s="2804">
        <f t="shared" ref="BI978:BI1005" ca="1" si="1597">IFERROR(BC978/BG978,0)</f>
        <v>0.95454545454545459</v>
      </c>
    </row>
    <row r="979" spans="1:61" s="34" customFormat="1" ht="14.5">
      <c r="A979" s="1693">
        <f t="shared" si="1574"/>
        <v>971</v>
      </c>
      <c r="B979" s="616">
        <v>1</v>
      </c>
      <c r="C979" s="1693">
        <f t="shared" si="1567"/>
        <v>979</v>
      </c>
      <c r="D979" s="616">
        <v>1</v>
      </c>
      <c r="E979" s="709" t="s">
        <v>512</v>
      </c>
      <c r="F979" s="1572"/>
      <c r="G979" s="4"/>
      <c r="H979" s="4"/>
      <c r="I979" s="4"/>
      <c r="J979" s="363"/>
      <c r="K979" s="48" t="s">
        <v>46</v>
      </c>
      <c r="L979" s="47"/>
      <c r="M979" s="48"/>
      <c r="N979" s="48"/>
      <c r="O979" s="47"/>
      <c r="P979" s="47"/>
      <c r="Q979" s="47"/>
      <c r="R979" s="1786" t="str">
        <f>CHOOSE(2, "6722000003890", "HC IP FE/TTOC Sales Total")</f>
        <v>HC IP FE/TTOC Sales Total</v>
      </c>
      <c r="S979" s="1255">
        <f>SUM(S980:S983)</f>
        <v>5</v>
      </c>
      <c r="T979" s="1255">
        <v>5</v>
      </c>
      <c r="U979" s="1255">
        <f t="shared" ref="U979:AD979" si="1598">SUM(U980:U983)</f>
        <v>5</v>
      </c>
      <c r="V979" s="1255">
        <f t="shared" si="1598"/>
        <v>5</v>
      </c>
      <c r="W979" s="1255">
        <f t="shared" si="1598"/>
        <v>5</v>
      </c>
      <c r="X979" s="1255">
        <f t="shared" si="1598"/>
        <v>5</v>
      </c>
      <c r="Y979" s="1255">
        <f t="shared" si="1598"/>
        <v>5</v>
      </c>
      <c r="Z979" s="1255">
        <f t="shared" si="1598"/>
        <v>4</v>
      </c>
      <c r="AA979" s="1255">
        <f t="shared" si="1598"/>
        <v>4</v>
      </c>
      <c r="AB979" s="1255">
        <f t="shared" si="1598"/>
        <v>4</v>
      </c>
      <c r="AC979" s="1255">
        <f t="shared" si="1598"/>
        <v>3</v>
      </c>
      <c r="AD979" s="1255">
        <f t="shared" si="1598"/>
        <v>4</v>
      </c>
      <c r="AE979" s="1240">
        <f t="shared" ref="AE979:AK979" si="1599">SUM(AE980:AE983)</f>
        <v>5</v>
      </c>
      <c r="AF979" s="1255">
        <f t="shared" si="1599"/>
        <v>5</v>
      </c>
      <c r="AG979" s="1255">
        <f t="shared" si="1599"/>
        <v>4</v>
      </c>
      <c r="AH979" s="1255">
        <f t="shared" si="1599"/>
        <v>4</v>
      </c>
      <c r="AI979" s="1255">
        <f t="shared" si="1599"/>
        <v>5</v>
      </c>
      <c r="AJ979" s="1255">
        <f t="shared" si="1599"/>
        <v>4</v>
      </c>
      <c r="AK979" s="1255">
        <f t="shared" si="1599"/>
        <v>4</v>
      </c>
      <c r="AM979" s="2250">
        <f t="shared" ca="1" si="1577"/>
        <v>5</v>
      </c>
      <c r="AN979" s="2250">
        <f t="shared" ca="1" si="1578"/>
        <v>5</v>
      </c>
      <c r="AO979" s="2948">
        <f t="shared" ca="1" si="1579"/>
        <v>0</v>
      </c>
      <c r="AP979" s="2949">
        <f t="shared" ca="1" si="1580"/>
        <v>1</v>
      </c>
      <c r="AQ979" s="2250">
        <f t="shared" ca="1" si="1581"/>
        <v>5</v>
      </c>
      <c r="AR979" s="2948">
        <f t="shared" ca="1" si="1582"/>
        <v>0</v>
      </c>
      <c r="AS979" s="2949">
        <f t="shared" ca="1" si="1583"/>
        <v>1</v>
      </c>
      <c r="AU979" s="2250">
        <f t="shared" ca="1" si="1584"/>
        <v>5</v>
      </c>
      <c r="AV979" s="2250">
        <f t="shared" ca="1" si="1585"/>
        <v>5</v>
      </c>
      <c r="AW979" s="2948">
        <f t="shared" ca="1" si="1586"/>
        <v>0</v>
      </c>
      <c r="AX979" s="2949">
        <f t="shared" ca="1" si="1587"/>
        <v>1</v>
      </c>
      <c r="AY979" s="2250">
        <f t="shared" ca="1" si="1588"/>
        <v>5</v>
      </c>
      <c r="AZ979" s="2948">
        <f t="shared" ca="1" si="1589"/>
        <v>0</v>
      </c>
      <c r="BA979" s="2949">
        <f t="shared" ca="1" si="1590"/>
        <v>1</v>
      </c>
      <c r="BC979" s="2250">
        <f t="shared" ca="1" si="1591"/>
        <v>5</v>
      </c>
      <c r="BD979" s="2250">
        <f t="shared" ca="1" si="1592"/>
        <v>5</v>
      </c>
      <c r="BE979" s="2948">
        <f t="shared" ca="1" si="1593"/>
        <v>0</v>
      </c>
      <c r="BF979" s="2949">
        <f t="shared" ca="1" si="1594"/>
        <v>1</v>
      </c>
      <c r="BG979" s="2250">
        <f t="shared" ca="1" si="1595"/>
        <v>5</v>
      </c>
      <c r="BH979" s="2948">
        <f t="shared" ca="1" si="1596"/>
        <v>0</v>
      </c>
      <c r="BI979" s="2949">
        <f t="shared" ca="1" si="1597"/>
        <v>1</v>
      </c>
    </row>
    <row r="980" spans="1:61" s="34" customFormat="1" ht="14.5">
      <c r="A980" s="1693">
        <f t="shared" si="1574"/>
        <v>972</v>
      </c>
      <c r="B980" s="616">
        <v>1</v>
      </c>
      <c r="C980" s="1693">
        <f t="shared" si="1567"/>
        <v>980</v>
      </c>
      <c r="D980" s="616">
        <v>1</v>
      </c>
      <c r="F980" s="454"/>
      <c r="G980" s="4"/>
      <c r="H980" s="4"/>
      <c r="I980" s="4"/>
      <c r="J980" s="363"/>
      <c r="K980" s="4"/>
      <c r="L980" s="3"/>
      <c r="M980" s="4"/>
      <c r="N980" s="4"/>
      <c r="O980" s="41"/>
      <c r="P980" s="41" t="s">
        <v>45</v>
      </c>
      <c r="Q980" s="3"/>
      <c r="R980" s="1778" t="str">
        <f>CHOOSE(2, "6722000003891", "HC IP FE/TTOC Sales Total Direct sales rep.")</f>
        <v>HC IP FE/TTOC Sales Total Direct sales rep.</v>
      </c>
      <c r="S980" s="1212">
        <v>4</v>
      </c>
      <c r="T980" s="1212">
        <v>4</v>
      </c>
      <c r="U980" s="1212">
        <v>4</v>
      </c>
      <c r="V980" s="1212">
        <v>4</v>
      </c>
      <c r="W980" s="1212">
        <v>4</v>
      </c>
      <c r="X980" s="1212">
        <v>4</v>
      </c>
      <c r="Y980" s="1212">
        <v>4</v>
      </c>
      <c r="Z980" s="1212">
        <v>3</v>
      </c>
      <c r="AA980" s="1212">
        <v>3</v>
      </c>
      <c r="AB980" s="1212">
        <v>3</v>
      </c>
      <c r="AC980" s="1212">
        <v>2</v>
      </c>
      <c r="AD980" s="1212">
        <v>2</v>
      </c>
      <c r="AE980" s="877">
        <f>U980</f>
        <v>4</v>
      </c>
      <c r="AF980" s="40">
        <f>X980</f>
        <v>4</v>
      </c>
      <c r="AG980" s="40">
        <f>AA980</f>
        <v>3</v>
      </c>
      <c r="AH980" s="40">
        <f>AD980</f>
        <v>2</v>
      </c>
      <c r="AI980" s="40">
        <f>AF980</f>
        <v>4</v>
      </c>
      <c r="AJ980" s="40">
        <f>AH980</f>
        <v>2</v>
      </c>
      <c r="AK980" s="40">
        <f>AJ980</f>
        <v>2</v>
      </c>
      <c r="AM980" s="1910">
        <f t="shared" ca="1" si="1577"/>
        <v>4</v>
      </c>
      <c r="AN980" s="1910">
        <f t="shared" ca="1" si="1578"/>
        <v>5</v>
      </c>
      <c r="AO980" s="2694">
        <f t="shared" ca="1" si="1579"/>
        <v>-1</v>
      </c>
      <c r="AP980" s="2695">
        <f t="shared" ca="1" si="1580"/>
        <v>0.8</v>
      </c>
      <c r="AQ980" s="1910">
        <f t="shared" ca="1" si="1581"/>
        <v>4</v>
      </c>
      <c r="AR980" s="2694">
        <f t="shared" ca="1" si="1582"/>
        <v>0</v>
      </c>
      <c r="AS980" s="2695">
        <f t="shared" ca="1" si="1583"/>
        <v>1</v>
      </c>
      <c r="AU980" s="1910">
        <f t="shared" ca="1" si="1584"/>
        <v>4</v>
      </c>
      <c r="AV980" s="1910">
        <f t="shared" ca="1" si="1585"/>
        <v>5</v>
      </c>
      <c r="AW980" s="2694">
        <f t="shared" ca="1" si="1586"/>
        <v>-1</v>
      </c>
      <c r="AX980" s="2695">
        <f t="shared" ca="1" si="1587"/>
        <v>0.8</v>
      </c>
      <c r="AY980" s="1910">
        <f t="shared" ca="1" si="1588"/>
        <v>4</v>
      </c>
      <c r="AZ980" s="2694">
        <f t="shared" ca="1" si="1589"/>
        <v>0</v>
      </c>
      <c r="BA980" s="2695">
        <f t="shared" ca="1" si="1590"/>
        <v>1</v>
      </c>
      <c r="BC980" s="1910">
        <f t="shared" ca="1" si="1591"/>
        <v>4</v>
      </c>
      <c r="BD980" s="1910">
        <f t="shared" ca="1" si="1592"/>
        <v>5</v>
      </c>
      <c r="BE980" s="2694">
        <f t="shared" ca="1" si="1593"/>
        <v>-1</v>
      </c>
      <c r="BF980" s="2695">
        <f t="shared" ca="1" si="1594"/>
        <v>0.8</v>
      </c>
      <c r="BG980" s="1910">
        <f t="shared" ca="1" si="1595"/>
        <v>4</v>
      </c>
      <c r="BH980" s="2694">
        <f t="shared" ca="1" si="1596"/>
        <v>0</v>
      </c>
      <c r="BI980" s="2695">
        <f t="shared" ca="1" si="1597"/>
        <v>1</v>
      </c>
    </row>
    <row r="981" spans="1:61" s="34" customFormat="1" ht="14.5">
      <c r="A981" s="1693">
        <f t="shared" si="1574"/>
        <v>973</v>
      </c>
      <c r="B981" s="616">
        <v>1</v>
      </c>
      <c r="C981" s="1693">
        <f t="shared" si="1567"/>
        <v>981</v>
      </c>
      <c r="D981" s="616">
        <v>1</v>
      </c>
      <c r="F981" s="454"/>
      <c r="G981" s="4"/>
      <c r="H981" s="4"/>
      <c r="I981" s="4"/>
      <c r="J981" s="363"/>
      <c r="K981" s="4"/>
      <c r="L981" s="3"/>
      <c r="M981" s="4"/>
      <c r="N981" s="4"/>
      <c r="O981" s="41"/>
      <c r="P981" s="41" t="s">
        <v>44</v>
      </c>
      <c r="Q981" s="3"/>
      <c r="R981" s="1778" t="str">
        <f>CHOOSE(2, "6722000003892", "HC IP FE/TTOC Sales Total Direct sales engineers")</f>
        <v>HC IP FE/TTOC Sales Total Direct sales engineers</v>
      </c>
      <c r="S981" s="1212"/>
      <c r="T981" s="1212"/>
      <c r="U981" s="1212"/>
      <c r="V981" s="1212"/>
      <c r="W981" s="1212"/>
      <c r="X981" s="1212"/>
      <c r="Y981" s="1212"/>
      <c r="Z981" s="1212"/>
      <c r="AA981" s="1212"/>
      <c r="AB981" s="1212"/>
      <c r="AC981" s="1212"/>
      <c r="AD981" s="1212"/>
      <c r="AE981" s="877">
        <f>U981</f>
        <v>0</v>
      </c>
      <c r="AF981" s="40">
        <f>X981</f>
        <v>0</v>
      </c>
      <c r="AG981" s="40">
        <f>AA981</f>
        <v>0</v>
      </c>
      <c r="AH981" s="40">
        <f>AD981</f>
        <v>0</v>
      </c>
      <c r="AI981" s="40">
        <f>AF981</f>
        <v>0</v>
      </c>
      <c r="AJ981" s="40">
        <f>AH981</f>
        <v>0</v>
      </c>
      <c r="AK981" s="40">
        <f>AJ981</f>
        <v>0</v>
      </c>
      <c r="AM981" s="1910">
        <f t="shared" ca="1" si="1577"/>
        <v>0</v>
      </c>
      <c r="AN981" s="1910">
        <f t="shared" ca="1" si="1578"/>
        <v>0</v>
      </c>
      <c r="AO981" s="2694">
        <f t="shared" ca="1" si="1579"/>
        <v>0</v>
      </c>
      <c r="AP981" s="2695">
        <f t="shared" ca="1" si="1580"/>
        <v>0</v>
      </c>
      <c r="AQ981" s="1910">
        <f t="shared" ca="1" si="1581"/>
        <v>0</v>
      </c>
      <c r="AR981" s="2694">
        <f t="shared" ca="1" si="1582"/>
        <v>0</v>
      </c>
      <c r="AS981" s="2695">
        <f t="shared" ca="1" si="1583"/>
        <v>0</v>
      </c>
      <c r="AU981" s="1910">
        <f t="shared" ca="1" si="1584"/>
        <v>0</v>
      </c>
      <c r="AV981" s="1910">
        <f t="shared" ca="1" si="1585"/>
        <v>0</v>
      </c>
      <c r="AW981" s="2694">
        <f t="shared" ca="1" si="1586"/>
        <v>0</v>
      </c>
      <c r="AX981" s="2695">
        <f t="shared" ca="1" si="1587"/>
        <v>0</v>
      </c>
      <c r="AY981" s="1910">
        <f t="shared" ca="1" si="1588"/>
        <v>0</v>
      </c>
      <c r="AZ981" s="2694">
        <f t="shared" ca="1" si="1589"/>
        <v>0</v>
      </c>
      <c r="BA981" s="2695">
        <f t="shared" ca="1" si="1590"/>
        <v>0</v>
      </c>
      <c r="BC981" s="1910">
        <f t="shared" ca="1" si="1591"/>
        <v>0</v>
      </c>
      <c r="BD981" s="1910">
        <f t="shared" ca="1" si="1592"/>
        <v>0</v>
      </c>
      <c r="BE981" s="2694">
        <f t="shared" ca="1" si="1593"/>
        <v>0</v>
      </c>
      <c r="BF981" s="2695">
        <f t="shared" ca="1" si="1594"/>
        <v>0</v>
      </c>
      <c r="BG981" s="1910">
        <f t="shared" ca="1" si="1595"/>
        <v>0</v>
      </c>
      <c r="BH981" s="2694">
        <f t="shared" ca="1" si="1596"/>
        <v>0</v>
      </c>
      <c r="BI981" s="2695">
        <f t="shared" ca="1" si="1597"/>
        <v>0</v>
      </c>
    </row>
    <row r="982" spans="1:61" s="34" customFormat="1" ht="14.5">
      <c r="A982" s="1693">
        <f t="shared" si="1574"/>
        <v>974</v>
      </c>
      <c r="B982" s="616">
        <v>1</v>
      </c>
      <c r="C982" s="1693">
        <f t="shared" si="1567"/>
        <v>982</v>
      </c>
      <c r="D982" s="616">
        <v>1</v>
      </c>
      <c r="F982" s="454"/>
      <c r="G982" s="4"/>
      <c r="H982" s="4"/>
      <c r="I982" s="4"/>
      <c r="J982" s="363"/>
      <c r="K982" s="4"/>
      <c r="L982" s="3"/>
      <c r="M982" s="4"/>
      <c r="N982" s="4"/>
      <c r="O982" s="41"/>
      <c r="P982" s="41" t="s">
        <v>43</v>
      </c>
      <c r="Q982" s="3"/>
      <c r="R982" s="1778" t="str">
        <f>CHOOSE(2, "6722000003893", "HC IP FE/TTOC Sales Total Dealer(Indirect) sales rep.")</f>
        <v>HC IP FE/TTOC Sales Total Dealer(Indirect) sales rep.</v>
      </c>
      <c r="S982" s="1212">
        <v>1</v>
      </c>
      <c r="T982" s="1212">
        <v>1</v>
      </c>
      <c r="U982" s="1212">
        <v>1</v>
      </c>
      <c r="V982" s="1212">
        <v>1</v>
      </c>
      <c r="W982" s="1212">
        <v>1</v>
      </c>
      <c r="X982" s="1212">
        <v>1</v>
      </c>
      <c r="Y982" s="1212">
        <v>1</v>
      </c>
      <c r="Z982" s="1212">
        <v>1</v>
      </c>
      <c r="AA982" s="1212">
        <v>1</v>
      </c>
      <c r="AB982" s="1212">
        <v>1</v>
      </c>
      <c r="AC982" s="1212">
        <v>1</v>
      </c>
      <c r="AD982" s="1212">
        <v>2</v>
      </c>
      <c r="AE982" s="877">
        <f>U982</f>
        <v>1</v>
      </c>
      <c r="AF982" s="40">
        <f>X982</f>
        <v>1</v>
      </c>
      <c r="AG982" s="40">
        <f>AA982</f>
        <v>1</v>
      </c>
      <c r="AH982" s="40">
        <f>AD982</f>
        <v>2</v>
      </c>
      <c r="AI982" s="40">
        <f>AF982</f>
        <v>1</v>
      </c>
      <c r="AJ982" s="40">
        <f>AH982</f>
        <v>2</v>
      </c>
      <c r="AK982" s="40">
        <f>AJ982</f>
        <v>2</v>
      </c>
      <c r="AM982" s="1910">
        <f t="shared" ca="1" si="1577"/>
        <v>1</v>
      </c>
      <c r="AN982" s="1910">
        <f t="shared" ca="1" si="1578"/>
        <v>0</v>
      </c>
      <c r="AO982" s="2694">
        <f t="shared" ca="1" si="1579"/>
        <v>1</v>
      </c>
      <c r="AP982" s="2695">
        <f t="shared" ca="1" si="1580"/>
        <v>0</v>
      </c>
      <c r="AQ982" s="1910">
        <f t="shared" ca="1" si="1581"/>
        <v>1</v>
      </c>
      <c r="AR982" s="2694">
        <f t="shared" ca="1" si="1582"/>
        <v>0</v>
      </c>
      <c r="AS982" s="2695">
        <f t="shared" ca="1" si="1583"/>
        <v>1</v>
      </c>
      <c r="AU982" s="1910">
        <f t="shared" ca="1" si="1584"/>
        <v>1</v>
      </c>
      <c r="AV982" s="1910">
        <f t="shared" ca="1" si="1585"/>
        <v>0</v>
      </c>
      <c r="AW982" s="2694">
        <f t="shared" ca="1" si="1586"/>
        <v>1</v>
      </c>
      <c r="AX982" s="2695">
        <f t="shared" ca="1" si="1587"/>
        <v>0</v>
      </c>
      <c r="AY982" s="1910">
        <f t="shared" ca="1" si="1588"/>
        <v>1</v>
      </c>
      <c r="AZ982" s="2694">
        <f t="shared" ca="1" si="1589"/>
        <v>0</v>
      </c>
      <c r="BA982" s="2695">
        <f t="shared" ca="1" si="1590"/>
        <v>1</v>
      </c>
      <c r="BC982" s="1910">
        <f t="shared" ca="1" si="1591"/>
        <v>1</v>
      </c>
      <c r="BD982" s="1910">
        <f t="shared" ca="1" si="1592"/>
        <v>0</v>
      </c>
      <c r="BE982" s="2694">
        <f t="shared" ca="1" si="1593"/>
        <v>1</v>
      </c>
      <c r="BF982" s="2695">
        <f t="shared" ca="1" si="1594"/>
        <v>0</v>
      </c>
      <c r="BG982" s="1910">
        <f t="shared" ca="1" si="1595"/>
        <v>1</v>
      </c>
      <c r="BH982" s="2694">
        <f t="shared" ca="1" si="1596"/>
        <v>0</v>
      </c>
      <c r="BI982" s="2695">
        <f t="shared" ca="1" si="1597"/>
        <v>1</v>
      </c>
    </row>
    <row r="983" spans="1:61" s="34" customFormat="1" ht="14.5">
      <c r="A983" s="1693">
        <f t="shared" si="1574"/>
        <v>975</v>
      </c>
      <c r="B983" s="616">
        <v>1</v>
      </c>
      <c r="C983" s="1693">
        <f t="shared" si="1567"/>
        <v>983</v>
      </c>
      <c r="D983" s="616">
        <v>1</v>
      </c>
      <c r="F983" s="454"/>
      <c r="G983" s="4"/>
      <c r="H983" s="4"/>
      <c r="I983" s="4"/>
      <c r="J983" s="363"/>
      <c r="K983" s="2"/>
      <c r="L983" s="1"/>
      <c r="M983" s="2"/>
      <c r="N983" s="2"/>
      <c r="O983" s="39"/>
      <c r="P983" s="39" t="s">
        <v>40</v>
      </c>
      <c r="Q983" s="1"/>
      <c r="R983" s="1778" t="str">
        <f>CHOOSE(2, "6722000003894", "HC IP FE/TTOC Sales Total Administration/Others")</f>
        <v>HC IP FE/TTOC Sales Total Administration/Others</v>
      </c>
      <c r="S983" s="1211"/>
      <c r="T983" s="1211"/>
      <c r="U983" s="1211"/>
      <c r="V983" s="1211"/>
      <c r="W983" s="1211"/>
      <c r="X983" s="1211"/>
      <c r="Y983" s="1211"/>
      <c r="Z983" s="1211"/>
      <c r="AA983" s="1211"/>
      <c r="AB983" s="1211"/>
      <c r="AC983" s="1211"/>
      <c r="AD983" s="1211"/>
      <c r="AE983" s="912">
        <f>U983</f>
        <v>0</v>
      </c>
      <c r="AF983" s="38">
        <f>X983</f>
        <v>0</v>
      </c>
      <c r="AG983" s="38">
        <f>AA983</f>
        <v>0</v>
      </c>
      <c r="AH983" s="38">
        <f>AD983</f>
        <v>0</v>
      </c>
      <c r="AI983" s="38">
        <f>AF983</f>
        <v>0</v>
      </c>
      <c r="AJ983" s="38">
        <f>AH983</f>
        <v>0</v>
      </c>
      <c r="AK983" s="38">
        <f>AJ983</f>
        <v>0</v>
      </c>
      <c r="AM983" s="2248">
        <f t="shared" ca="1" si="1577"/>
        <v>0</v>
      </c>
      <c r="AN983" s="2248">
        <f t="shared" ca="1" si="1578"/>
        <v>0</v>
      </c>
      <c r="AO983" s="2950">
        <f t="shared" ca="1" si="1579"/>
        <v>0</v>
      </c>
      <c r="AP983" s="2951">
        <f t="shared" ca="1" si="1580"/>
        <v>0</v>
      </c>
      <c r="AQ983" s="2248">
        <f t="shared" ca="1" si="1581"/>
        <v>0</v>
      </c>
      <c r="AR983" s="2950">
        <f t="shared" ca="1" si="1582"/>
        <v>0</v>
      </c>
      <c r="AS983" s="2951">
        <f t="shared" ca="1" si="1583"/>
        <v>0</v>
      </c>
      <c r="AU983" s="2248">
        <f t="shared" ca="1" si="1584"/>
        <v>0</v>
      </c>
      <c r="AV983" s="2248">
        <f t="shared" ca="1" si="1585"/>
        <v>0</v>
      </c>
      <c r="AW983" s="2950">
        <f t="shared" ca="1" si="1586"/>
        <v>0</v>
      </c>
      <c r="AX983" s="2951">
        <f t="shared" ca="1" si="1587"/>
        <v>0</v>
      </c>
      <c r="AY983" s="2248">
        <f t="shared" ca="1" si="1588"/>
        <v>0</v>
      </c>
      <c r="AZ983" s="2950">
        <f t="shared" ca="1" si="1589"/>
        <v>0</v>
      </c>
      <c r="BA983" s="2951">
        <f t="shared" ca="1" si="1590"/>
        <v>0</v>
      </c>
      <c r="BC983" s="2248">
        <f t="shared" ca="1" si="1591"/>
        <v>0</v>
      </c>
      <c r="BD983" s="2248">
        <f t="shared" ca="1" si="1592"/>
        <v>0</v>
      </c>
      <c r="BE983" s="2950">
        <f t="shared" ca="1" si="1593"/>
        <v>0</v>
      </c>
      <c r="BF983" s="2951">
        <f t="shared" ca="1" si="1594"/>
        <v>0</v>
      </c>
      <c r="BG983" s="2248">
        <f t="shared" ca="1" si="1595"/>
        <v>0</v>
      </c>
      <c r="BH983" s="2950">
        <f t="shared" ca="1" si="1596"/>
        <v>0</v>
      </c>
      <c r="BI983" s="2951">
        <f t="shared" ca="1" si="1597"/>
        <v>0</v>
      </c>
    </row>
    <row r="984" spans="1:61" s="34" customFormat="1" ht="14.5">
      <c r="A984" s="1693">
        <f t="shared" si="1574"/>
        <v>976</v>
      </c>
      <c r="B984" s="616">
        <v>1</v>
      </c>
      <c r="C984" s="1693">
        <f t="shared" si="1567"/>
        <v>984</v>
      </c>
      <c r="D984" s="616">
        <v>1</v>
      </c>
      <c r="E984" s="709" t="s">
        <v>512</v>
      </c>
      <c r="F984" s="1572"/>
      <c r="G984" s="4"/>
      <c r="H984" s="4"/>
      <c r="I984" s="4"/>
      <c r="J984" s="363"/>
      <c r="K984" s="48" t="s">
        <v>137</v>
      </c>
      <c r="L984" s="47"/>
      <c r="M984" s="48"/>
      <c r="N984" s="48"/>
      <c r="O984" s="47"/>
      <c r="P984" s="47"/>
      <c r="Q984" s="47"/>
      <c r="R984" s="1786" t="str">
        <f>CHOOSE(2, "6722000003895", "HC IP FE/TTOC Service Total")</f>
        <v>HC IP FE/TTOC Service Total</v>
      </c>
      <c r="S984" s="1255">
        <f>SUM(S985:S989)</f>
        <v>13</v>
      </c>
      <c r="T984" s="1255">
        <v>13</v>
      </c>
      <c r="U984" s="1255">
        <f t="shared" ref="U984:AD984" si="1600">SUM(U985:U989)</f>
        <v>13</v>
      </c>
      <c r="V984" s="1255">
        <f t="shared" si="1600"/>
        <v>11</v>
      </c>
      <c r="W984" s="1255">
        <f t="shared" si="1600"/>
        <v>11</v>
      </c>
      <c r="X984" s="1255">
        <f t="shared" si="1600"/>
        <v>11</v>
      </c>
      <c r="Y984" s="45">
        <f t="shared" si="1600"/>
        <v>11</v>
      </c>
      <c r="Z984" s="1255">
        <f t="shared" si="1600"/>
        <v>11</v>
      </c>
      <c r="AA984" s="1255">
        <f t="shared" si="1600"/>
        <v>12</v>
      </c>
      <c r="AB984" s="1255">
        <v>12</v>
      </c>
      <c r="AC984" s="1255">
        <f t="shared" si="1600"/>
        <v>12</v>
      </c>
      <c r="AD984" s="1255">
        <f t="shared" si="1600"/>
        <v>13</v>
      </c>
      <c r="AE984" s="1240">
        <f t="shared" ref="AE984:AK984" si="1601">SUM(AE985:AE989)</f>
        <v>13</v>
      </c>
      <c r="AF984" s="1255">
        <f t="shared" si="1601"/>
        <v>11</v>
      </c>
      <c r="AG984" s="1255">
        <f t="shared" si="1601"/>
        <v>12</v>
      </c>
      <c r="AH984" s="1255">
        <f t="shared" si="1601"/>
        <v>13</v>
      </c>
      <c r="AI984" s="1255">
        <f t="shared" si="1601"/>
        <v>11</v>
      </c>
      <c r="AJ984" s="1255">
        <f t="shared" si="1601"/>
        <v>13</v>
      </c>
      <c r="AK984" s="1255">
        <f t="shared" si="1601"/>
        <v>13</v>
      </c>
      <c r="AM984" s="2250">
        <f t="shared" ca="1" si="1577"/>
        <v>13</v>
      </c>
      <c r="AN984" s="2250">
        <f t="shared" ca="1" si="1578"/>
        <v>14</v>
      </c>
      <c r="AO984" s="2948">
        <f t="shared" ca="1" si="1579"/>
        <v>-1</v>
      </c>
      <c r="AP984" s="2949">
        <f t="shared" ca="1" si="1580"/>
        <v>0.9285714285714286</v>
      </c>
      <c r="AQ984" s="2250">
        <f t="shared" ca="1" si="1581"/>
        <v>13</v>
      </c>
      <c r="AR984" s="2948">
        <f t="shared" ca="1" si="1582"/>
        <v>0</v>
      </c>
      <c r="AS984" s="2949">
        <f t="shared" ca="1" si="1583"/>
        <v>1</v>
      </c>
      <c r="AU984" s="2250">
        <f t="shared" ca="1" si="1584"/>
        <v>13</v>
      </c>
      <c r="AV984" s="2250">
        <f t="shared" ca="1" si="1585"/>
        <v>14</v>
      </c>
      <c r="AW984" s="2948">
        <f t="shared" ca="1" si="1586"/>
        <v>-1</v>
      </c>
      <c r="AX984" s="2949">
        <f t="shared" ca="1" si="1587"/>
        <v>0.9285714285714286</v>
      </c>
      <c r="AY984" s="2250">
        <f t="shared" ca="1" si="1588"/>
        <v>13</v>
      </c>
      <c r="AZ984" s="2948">
        <f t="shared" ca="1" si="1589"/>
        <v>0</v>
      </c>
      <c r="BA984" s="2949">
        <f t="shared" ca="1" si="1590"/>
        <v>1</v>
      </c>
      <c r="BC984" s="2250">
        <f t="shared" ca="1" si="1591"/>
        <v>13</v>
      </c>
      <c r="BD984" s="2250">
        <f t="shared" ca="1" si="1592"/>
        <v>14</v>
      </c>
      <c r="BE984" s="2948">
        <f t="shared" ca="1" si="1593"/>
        <v>-1</v>
      </c>
      <c r="BF984" s="2949">
        <f t="shared" ca="1" si="1594"/>
        <v>0.9285714285714286</v>
      </c>
      <c r="BG984" s="2250">
        <f t="shared" ca="1" si="1595"/>
        <v>13</v>
      </c>
      <c r="BH984" s="2948">
        <f t="shared" ca="1" si="1596"/>
        <v>0</v>
      </c>
      <c r="BI984" s="2949">
        <f t="shared" ca="1" si="1597"/>
        <v>1</v>
      </c>
    </row>
    <row r="985" spans="1:61" s="34" customFormat="1" ht="14.5">
      <c r="A985" s="1693">
        <f t="shared" si="1574"/>
        <v>977</v>
      </c>
      <c r="B985" s="616">
        <v>1</v>
      </c>
      <c r="C985" s="1693">
        <f t="shared" si="1567"/>
        <v>985</v>
      </c>
      <c r="D985" s="616">
        <v>1</v>
      </c>
      <c r="F985" s="454"/>
      <c r="G985" s="4"/>
      <c r="H985" s="4"/>
      <c r="I985" s="4"/>
      <c r="J985" s="363"/>
      <c r="K985" s="4"/>
      <c r="L985" s="3"/>
      <c r="M985" s="4"/>
      <c r="N985" s="4"/>
      <c r="O985" s="41"/>
      <c r="P985" s="41" t="s">
        <v>15</v>
      </c>
      <c r="Q985" s="3"/>
      <c r="R985" s="1778" t="str">
        <f>CHOOSE(2, "6722000003896", "HC IP FE/TTOC Service Total Onsite Engineer")</f>
        <v>HC IP FE/TTOC Service Total Onsite Engineer</v>
      </c>
      <c r="S985" s="1212">
        <v>13</v>
      </c>
      <c r="T985" s="1212">
        <v>13</v>
      </c>
      <c r="U985" s="1212">
        <v>13</v>
      </c>
      <c r="V985" s="1212">
        <v>11</v>
      </c>
      <c r="W985" s="1212">
        <v>11</v>
      </c>
      <c r="X985" s="1212">
        <v>11</v>
      </c>
      <c r="Y985" s="1212">
        <v>11</v>
      </c>
      <c r="Z985" s="1212">
        <v>11</v>
      </c>
      <c r="AA985" s="1212">
        <v>12</v>
      </c>
      <c r="AB985" s="1212">
        <v>12</v>
      </c>
      <c r="AC985" s="1212">
        <v>12</v>
      </c>
      <c r="AD985" s="1212">
        <v>13</v>
      </c>
      <c r="AE985" s="877">
        <f>U985</f>
        <v>13</v>
      </c>
      <c r="AF985" s="40">
        <f>X985</f>
        <v>11</v>
      </c>
      <c r="AG985" s="40">
        <f>AA985</f>
        <v>12</v>
      </c>
      <c r="AH985" s="40">
        <f>AD985</f>
        <v>13</v>
      </c>
      <c r="AI985" s="40">
        <f>AF985</f>
        <v>11</v>
      </c>
      <c r="AJ985" s="40">
        <f>AH985</f>
        <v>13</v>
      </c>
      <c r="AK985" s="40">
        <f>AJ985</f>
        <v>13</v>
      </c>
      <c r="AM985" s="1910">
        <f t="shared" ca="1" si="1577"/>
        <v>13</v>
      </c>
      <c r="AN985" s="1910">
        <f t="shared" ca="1" si="1578"/>
        <v>14</v>
      </c>
      <c r="AO985" s="2694">
        <f t="shared" ca="1" si="1579"/>
        <v>-1</v>
      </c>
      <c r="AP985" s="2695">
        <f t="shared" ca="1" si="1580"/>
        <v>0.9285714285714286</v>
      </c>
      <c r="AQ985" s="1910">
        <f t="shared" ca="1" si="1581"/>
        <v>13</v>
      </c>
      <c r="AR985" s="2694">
        <f t="shared" ca="1" si="1582"/>
        <v>0</v>
      </c>
      <c r="AS985" s="2695">
        <f t="shared" ca="1" si="1583"/>
        <v>1</v>
      </c>
      <c r="AU985" s="1910">
        <f t="shared" ca="1" si="1584"/>
        <v>13</v>
      </c>
      <c r="AV985" s="1910">
        <f t="shared" ca="1" si="1585"/>
        <v>14</v>
      </c>
      <c r="AW985" s="2694">
        <f t="shared" ca="1" si="1586"/>
        <v>-1</v>
      </c>
      <c r="AX985" s="2695">
        <f t="shared" ca="1" si="1587"/>
        <v>0.9285714285714286</v>
      </c>
      <c r="AY985" s="1910">
        <f t="shared" ca="1" si="1588"/>
        <v>13</v>
      </c>
      <c r="AZ985" s="2694">
        <f t="shared" ca="1" si="1589"/>
        <v>0</v>
      </c>
      <c r="BA985" s="2695">
        <f t="shared" ca="1" si="1590"/>
        <v>1</v>
      </c>
      <c r="BC985" s="1910">
        <f t="shared" ca="1" si="1591"/>
        <v>13</v>
      </c>
      <c r="BD985" s="1910">
        <f t="shared" ca="1" si="1592"/>
        <v>14</v>
      </c>
      <c r="BE985" s="2694">
        <f t="shared" ca="1" si="1593"/>
        <v>-1</v>
      </c>
      <c r="BF985" s="2695">
        <f t="shared" ca="1" si="1594"/>
        <v>0.9285714285714286</v>
      </c>
      <c r="BG985" s="1910">
        <f t="shared" ca="1" si="1595"/>
        <v>13</v>
      </c>
      <c r="BH985" s="2694">
        <f t="shared" ca="1" si="1596"/>
        <v>0</v>
      </c>
      <c r="BI985" s="2695">
        <f t="shared" ca="1" si="1597"/>
        <v>1</v>
      </c>
    </row>
    <row r="986" spans="1:61" s="34" customFormat="1" ht="14.5">
      <c r="A986" s="1693">
        <f t="shared" si="1574"/>
        <v>978</v>
      </c>
      <c r="B986" s="616">
        <v>1</v>
      </c>
      <c r="C986" s="1693">
        <f t="shared" si="1567"/>
        <v>986</v>
      </c>
      <c r="D986" s="616">
        <v>1</v>
      </c>
      <c r="F986" s="454"/>
      <c r="G986" s="4"/>
      <c r="H986" s="4"/>
      <c r="I986" s="4"/>
      <c r="J986" s="363"/>
      <c r="K986" s="4"/>
      <c r="L986" s="3"/>
      <c r="M986" s="4"/>
      <c r="N986" s="4"/>
      <c r="O986" s="41"/>
      <c r="P986" s="41" t="s">
        <v>16</v>
      </c>
      <c r="Q986" s="3"/>
      <c r="R986" s="1778" t="str">
        <f>CHOOSE(2, "6722000003897", "HC IP FE/TTOC Service Total Remote Engineer")</f>
        <v>HC IP FE/TTOC Service Total Remote Engineer</v>
      </c>
      <c r="S986" s="1212"/>
      <c r="T986" s="1212"/>
      <c r="U986" s="1212"/>
      <c r="V986" s="1212"/>
      <c r="W986" s="1212"/>
      <c r="X986" s="1212"/>
      <c r="Y986" s="1212"/>
      <c r="Z986" s="1212"/>
      <c r="AA986" s="1212"/>
      <c r="AB986" s="1212"/>
      <c r="AC986" s="1212"/>
      <c r="AD986" s="1212"/>
      <c r="AE986" s="877">
        <f>U986</f>
        <v>0</v>
      </c>
      <c r="AF986" s="40">
        <f>X986</f>
        <v>0</v>
      </c>
      <c r="AG986" s="40">
        <f>AA986</f>
        <v>0</v>
      </c>
      <c r="AH986" s="40">
        <f>AD986</f>
        <v>0</v>
      </c>
      <c r="AI986" s="40">
        <f>AF986</f>
        <v>0</v>
      </c>
      <c r="AJ986" s="40">
        <f>AH986</f>
        <v>0</v>
      </c>
      <c r="AK986" s="40">
        <f>AJ986</f>
        <v>0</v>
      </c>
      <c r="AM986" s="1910">
        <f t="shared" ca="1" si="1577"/>
        <v>0</v>
      </c>
      <c r="AN986" s="1910">
        <f t="shared" ca="1" si="1578"/>
        <v>0</v>
      </c>
      <c r="AO986" s="2694">
        <f t="shared" ca="1" si="1579"/>
        <v>0</v>
      </c>
      <c r="AP986" s="2695">
        <f t="shared" ca="1" si="1580"/>
        <v>0</v>
      </c>
      <c r="AQ986" s="1910">
        <f t="shared" ca="1" si="1581"/>
        <v>0</v>
      </c>
      <c r="AR986" s="2694">
        <f t="shared" ca="1" si="1582"/>
        <v>0</v>
      </c>
      <c r="AS986" s="2695">
        <f t="shared" ca="1" si="1583"/>
        <v>0</v>
      </c>
      <c r="AU986" s="1910">
        <f t="shared" ca="1" si="1584"/>
        <v>0</v>
      </c>
      <c r="AV986" s="1910">
        <f t="shared" ca="1" si="1585"/>
        <v>0</v>
      </c>
      <c r="AW986" s="2694">
        <f t="shared" ca="1" si="1586"/>
        <v>0</v>
      </c>
      <c r="AX986" s="2695">
        <f t="shared" ca="1" si="1587"/>
        <v>0</v>
      </c>
      <c r="AY986" s="1910">
        <f t="shared" ca="1" si="1588"/>
        <v>0</v>
      </c>
      <c r="AZ986" s="2694">
        <f t="shared" ca="1" si="1589"/>
        <v>0</v>
      </c>
      <c r="BA986" s="2695">
        <f t="shared" ca="1" si="1590"/>
        <v>0</v>
      </c>
      <c r="BC986" s="1910">
        <f t="shared" ca="1" si="1591"/>
        <v>0</v>
      </c>
      <c r="BD986" s="1910">
        <f t="shared" ca="1" si="1592"/>
        <v>0</v>
      </c>
      <c r="BE986" s="2694">
        <f t="shared" ca="1" si="1593"/>
        <v>0</v>
      </c>
      <c r="BF986" s="2695">
        <f t="shared" ca="1" si="1594"/>
        <v>0</v>
      </c>
      <c r="BG986" s="1910">
        <f t="shared" ca="1" si="1595"/>
        <v>0</v>
      </c>
      <c r="BH986" s="2694">
        <f t="shared" ca="1" si="1596"/>
        <v>0</v>
      </c>
      <c r="BI986" s="2695">
        <f t="shared" ca="1" si="1597"/>
        <v>0</v>
      </c>
    </row>
    <row r="987" spans="1:61" s="34" customFormat="1" ht="14.5">
      <c r="A987" s="1693">
        <f t="shared" si="1574"/>
        <v>979</v>
      </c>
      <c r="B987" s="616">
        <v>1</v>
      </c>
      <c r="C987" s="1693">
        <f t="shared" si="1567"/>
        <v>987</v>
      </c>
      <c r="D987" s="616">
        <v>1</v>
      </c>
      <c r="F987" s="454"/>
      <c r="G987" s="4"/>
      <c r="H987" s="4"/>
      <c r="I987" s="4"/>
      <c r="J987" s="363"/>
      <c r="K987" s="4"/>
      <c r="L987" s="3"/>
      <c r="M987" s="4"/>
      <c r="N987" s="4"/>
      <c r="O987" s="41"/>
      <c r="P987" s="41" t="s">
        <v>42</v>
      </c>
      <c r="Q987" s="3"/>
      <c r="R987" s="1778" t="str">
        <f>CHOOSE(2, "6722000003898", "HC IP FE/TTOC Service Total Technical support")</f>
        <v>HC IP FE/TTOC Service Total Technical support</v>
      </c>
      <c r="S987" s="1212"/>
      <c r="T987" s="1212"/>
      <c r="U987" s="1212"/>
      <c r="V987" s="1212"/>
      <c r="W987" s="1212"/>
      <c r="X987" s="1212"/>
      <c r="Y987" s="1212"/>
      <c r="Z987" s="1212"/>
      <c r="AA987" s="1212"/>
      <c r="AB987" s="1212"/>
      <c r="AC987" s="1212"/>
      <c r="AD987" s="1212"/>
      <c r="AE987" s="877">
        <f>U987</f>
        <v>0</v>
      </c>
      <c r="AF987" s="40">
        <f>X987</f>
        <v>0</v>
      </c>
      <c r="AG987" s="40">
        <f>AA987</f>
        <v>0</v>
      </c>
      <c r="AH987" s="40">
        <f>AD987</f>
        <v>0</v>
      </c>
      <c r="AI987" s="40">
        <f>AF987</f>
        <v>0</v>
      </c>
      <c r="AJ987" s="40">
        <f>AH987</f>
        <v>0</v>
      </c>
      <c r="AK987" s="40">
        <f>AJ987</f>
        <v>0</v>
      </c>
      <c r="AM987" s="1910">
        <f t="shared" ca="1" si="1577"/>
        <v>0</v>
      </c>
      <c r="AN987" s="1910">
        <f t="shared" ca="1" si="1578"/>
        <v>0</v>
      </c>
      <c r="AO987" s="2694">
        <f t="shared" ca="1" si="1579"/>
        <v>0</v>
      </c>
      <c r="AP987" s="2695">
        <f t="shared" ca="1" si="1580"/>
        <v>0</v>
      </c>
      <c r="AQ987" s="1910">
        <f t="shared" ca="1" si="1581"/>
        <v>0</v>
      </c>
      <c r="AR987" s="2694">
        <f t="shared" ca="1" si="1582"/>
        <v>0</v>
      </c>
      <c r="AS987" s="2695">
        <f t="shared" ca="1" si="1583"/>
        <v>0</v>
      </c>
      <c r="AU987" s="1910">
        <f t="shared" ca="1" si="1584"/>
        <v>0</v>
      </c>
      <c r="AV987" s="1910">
        <f t="shared" ca="1" si="1585"/>
        <v>0</v>
      </c>
      <c r="AW987" s="2694">
        <f t="shared" ca="1" si="1586"/>
        <v>0</v>
      </c>
      <c r="AX987" s="2695">
        <f t="shared" ca="1" si="1587"/>
        <v>0</v>
      </c>
      <c r="AY987" s="1910">
        <f t="shared" ca="1" si="1588"/>
        <v>0</v>
      </c>
      <c r="AZ987" s="2694">
        <f t="shared" ca="1" si="1589"/>
        <v>0</v>
      </c>
      <c r="BA987" s="2695">
        <f t="shared" ca="1" si="1590"/>
        <v>0</v>
      </c>
      <c r="BC987" s="1910">
        <f t="shared" ca="1" si="1591"/>
        <v>0</v>
      </c>
      <c r="BD987" s="1910">
        <f t="shared" ca="1" si="1592"/>
        <v>0</v>
      </c>
      <c r="BE987" s="2694">
        <f t="shared" ca="1" si="1593"/>
        <v>0</v>
      </c>
      <c r="BF987" s="2695">
        <f t="shared" ca="1" si="1594"/>
        <v>0</v>
      </c>
      <c r="BG987" s="1910">
        <f t="shared" ca="1" si="1595"/>
        <v>0</v>
      </c>
      <c r="BH987" s="2694">
        <f t="shared" ca="1" si="1596"/>
        <v>0</v>
      </c>
      <c r="BI987" s="2695">
        <f t="shared" ca="1" si="1597"/>
        <v>0</v>
      </c>
    </row>
    <row r="988" spans="1:61" s="34" customFormat="1" ht="14.5">
      <c r="A988" s="1693">
        <f t="shared" si="1574"/>
        <v>980</v>
      </c>
      <c r="B988" s="616">
        <v>1</v>
      </c>
      <c r="C988" s="1693">
        <f t="shared" si="1567"/>
        <v>988</v>
      </c>
      <c r="D988" s="616">
        <v>1</v>
      </c>
      <c r="F988" s="454"/>
      <c r="G988" s="4"/>
      <c r="H988" s="4"/>
      <c r="I988" s="4"/>
      <c r="J988" s="363"/>
      <c r="K988" s="4"/>
      <c r="L988" s="3"/>
      <c r="M988" s="4"/>
      <c r="N988" s="4"/>
      <c r="O988" s="41"/>
      <c r="P988" s="41" t="s">
        <v>41</v>
      </c>
      <c r="Q988" s="3"/>
      <c r="R988" s="1778" t="str">
        <f>CHOOSE(2, "6722000003899", "HC IP FE/TTOC Service Total Dealer(Indirect) support")</f>
        <v>HC IP FE/TTOC Service Total Dealer(Indirect) support</v>
      </c>
      <c r="S988" s="1212"/>
      <c r="T988" s="1212"/>
      <c r="U988" s="1212"/>
      <c r="V988" s="1212"/>
      <c r="W988" s="1212"/>
      <c r="X988" s="1212"/>
      <c r="Y988" s="1212"/>
      <c r="Z988" s="1212"/>
      <c r="AA988" s="1212"/>
      <c r="AB988" s="1212"/>
      <c r="AC988" s="1212"/>
      <c r="AD988" s="1212"/>
      <c r="AE988" s="877">
        <f>U988</f>
        <v>0</v>
      </c>
      <c r="AF988" s="40">
        <f>X988</f>
        <v>0</v>
      </c>
      <c r="AG988" s="40">
        <f>AA988</f>
        <v>0</v>
      </c>
      <c r="AH988" s="40">
        <f>AD988</f>
        <v>0</v>
      </c>
      <c r="AI988" s="40">
        <f>AF988</f>
        <v>0</v>
      </c>
      <c r="AJ988" s="40">
        <f>AH988</f>
        <v>0</v>
      </c>
      <c r="AK988" s="40">
        <f>AJ988</f>
        <v>0</v>
      </c>
      <c r="AM988" s="1910">
        <f t="shared" ca="1" si="1577"/>
        <v>0</v>
      </c>
      <c r="AN988" s="1910">
        <f t="shared" ca="1" si="1578"/>
        <v>0</v>
      </c>
      <c r="AO988" s="2694">
        <f t="shared" ca="1" si="1579"/>
        <v>0</v>
      </c>
      <c r="AP988" s="2695">
        <f t="shared" ca="1" si="1580"/>
        <v>0</v>
      </c>
      <c r="AQ988" s="1910">
        <f t="shared" ca="1" si="1581"/>
        <v>0</v>
      </c>
      <c r="AR988" s="2694">
        <f t="shared" ca="1" si="1582"/>
        <v>0</v>
      </c>
      <c r="AS988" s="2695">
        <f t="shared" ca="1" si="1583"/>
        <v>0</v>
      </c>
      <c r="AU988" s="1910">
        <f t="shared" ca="1" si="1584"/>
        <v>0</v>
      </c>
      <c r="AV988" s="1910">
        <f t="shared" ca="1" si="1585"/>
        <v>0</v>
      </c>
      <c r="AW988" s="2694">
        <f t="shared" ca="1" si="1586"/>
        <v>0</v>
      </c>
      <c r="AX988" s="2695">
        <f t="shared" ca="1" si="1587"/>
        <v>0</v>
      </c>
      <c r="AY988" s="1910">
        <f t="shared" ca="1" si="1588"/>
        <v>0</v>
      </c>
      <c r="AZ988" s="2694">
        <f t="shared" ca="1" si="1589"/>
        <v>0</v>
      </c>
      <c r="BA988" s="2695">
        <f t="shared" ca="1" si="1590"/>
        <v>0</v>
      </c>
      <c r="BC988" s="1910">
        <f t="shared" ca="1" si="1591"/>
        <v>0</v>
      </c>
      <c r="BD988" s="1910">
        <f t="shared" ca="1" si="1592"/>
        <v>0</v>
      </c>
      <c r="BE988" s="2694">
        <f t="shared" ca="1" si="1593"/>
        <v>0</v>
      </c>
      <c r="BF988" s="2695">
        <f t="shared" ca="1" si="1594"/>
        <v>0</v>
      </c>
      <c r="BG988" s="1910">
        <f t="shared" ca="1" si="1595"/>
        <v>0</v>
      </c>
      <c r="BH988" s="2694">
        <f t="shared" ca="1" si="1596"/>
        <v>0</v>
      </c>
      <c r="BI988" s="2695">
        <f t="shared" ca="1" si="1597"/>
        <v>0</v>
      </c>
    </row>
    <row r="989" spans="1:61" s="34" customFormat="1" ht="14.5">
      <c r="A989" s="1693">
        <f t="shared" si="1574"/>
        <v>981</v>
      </c>
      <c r="B989" s="616">
        <v>1</v>
      </c>
      <c r="C989" s="1693">
        <f t="shared" si="1567"/>
        <v>989</v>
      </c>
      <c r="D989" s="616">
        <v>1</v>
      </c>
      <c r="F989" s="454"/>
      <c r="G989" s="4"/>
      <c r="H989" s="4"/>
      <c r="I989" s="4"/>
      <c r="J989" s="363"/>
      <c r="K989" s="4"/>
      <c r="L989" s="3"/>
      <c r="M989" s="4"/>
      <c r="N989" s="4"/>
      <c r="O989" s="41"/>
      <c r="P989" s="41" t="s">
        <v>40</v>
      </c>
      <c r="Q989" s="3"/>
      <c r="R989" s="1778" t="str">
        <f>CHOOSE(2, "6722000003900", "HC IP FE/TTOC Service Total Administration/Others")</f>
        <v>HC IP FE/TTOC Service Total Administration/Others</v>
      </c>
      <c r="S989" s="1212"/>
      <c r="T989" s="1212"/>
      <c r="U989" s="1212"/>
      <c r="V989" s="1212"/>
      <c r="W989" s="1212"/>
      <c r="X989" s="1212"/>
      <c r="Y989" s="1212"/>
      <c r="Z989" s="1212"/>
      <c r="AA989" s="1212"/>
      <c r="AB989" s="1212"/>
      <c r="AC989" s="1212"/>
      <c r="AD989" s="1212"/>
      <c r="AE989" s="877">
        <f>U989</f>
        <v>0</v>
      </c>
      <c r="AF989" s="40">
        <f>X989</f>
        <v>0</v>
      </c>
      <c r="AG989" s="40">
        <f>AA989</f>
        <v>0</v>
      </c>
      <c r="AH989" s="40">
        <f>AD989</f>
        <v>0</v>
      </c>
      <c r="AI989" s="40">
        <f>AF989</f>
        <v>0</v>
      </c>
      <c r="AJ989" s="40">
        <f>AH989</f>
        <v>0</v>
      </c>
      <c r="AK989" s="40">
        <f>AJ989</f>
        <v>0</v>
      </c>
      <c r="AM989" s="1910">
        <f t="shared" ca="1" si="1577"/>
        <v>0</v>
      </c>
      <c r="AN989" s="1910">
        <f t="shared" ca="1" si="1578"/>
        <v>0</v>
      </c>
      <c r="AO989" s="2694">
        <f t="shared" ca="1" si="1579"/>
        <v>0</v>
      </c>
      <c r="AP989" s="2695">
        <f t="shared" ca="1" si="1580"/>
        <v>0</v>
      </c>
      <c r="AQ989" s="1910">
        <f t="shared" ca="1" si="1581"/>
        <v>0</v>
      </c>
      <c r="AR989" s="2694">
        <f t="shared" ca="1" si="1582"/>
        <v>0</v>
      </c>
      <c r="AS989" s="2695">
        <f t="shared" ca="1" si="1583"/>
        <v>0</v>
      </c>
      <c r="AU989" s="1910">
        <f t="shared" ca="1" si="1584"/>
        <v>0</v>
      </c>
      <c r="AV989" s="1910">
        <f t="shared" ca="1" si="1585"/>
        <v>0</v>
      </c>
      <c r="AW989" s="2694">
        <f t="shared" ca="1" si="1586"/>
        <v>0</v>
      </c>
      <c r="AX989" s="2695">
        <f t="shared" ca="1" si="1587"/>
        <v>0</v>
      </c>
      <c r="AY989" s="1910">
        <f t="shared" ca="1" si="1588"/>
        <v>0</v>
      </c>
      <c r="AZ989" s="2694">
        <f t="shared" ca="1" si="1589"/>
        <v>0</v>
      </c>
      <c r="BA989" s="2695">
        <f t="shared" ca="1" si="1590"/>
        <v>0</v>
      </c>
      <c r="BC989" s="1910">
        <f t="shared" ca="1" si="1591"/>
        <v>0</v>
      </c>
      <c r="BD989" s="1910">
        <f t="shared" ca="1" si="1592"/>
        <v>0</v>
      </c>
      <c r="BE989" s="2694">
        <f t="shared" ca="1" si="1593"/>
        <v>0</v>
      </c>
      <c r="BF989" s="2695">
        <f t="shared" ca="1" si="1594"/>
        <v>0</v>
      </c>
      <c r="BG989" s="1910">
        <f t="shared" ca="1" si="1595"/>
        <v>0</v>
      </c>
      <c r="BH989" s="2694">
        <f t="shared" ca="1" si="1596"/>
        <v>0</v>
      </c>
      <c r="BI989" s="2695">
        <f t="shared" ca="1" si="1597"/>
        <v>0</v>
      </c>
    </row>
    <row r="990" spans="1:61" s="34" customFormat="1" ht="14.5">
      <c r="A990" s="1693">
        <f t="shared" si="1574"/>
        <v>982</v>
      </c>
      <c r="B990" s="616">
        <v>1</v>
      </c>
      <c r="C990" s="1693">
        <f t="shared" si="1567"/>
        <v>990</v>
      </c>
      <c r="D990" s="616">
        <v>1</v>
      </c>
      <c r="E990" s="709" t="s">
        <v>512</v>
      </c>
      <c r="F990" s="1572"/>
      <c r="G990" s="4"/>
      <c r="H990" s="4"/>
      <c r="I990" s="4"/>
      <c r="J990" s="363"/>
      <c r="K990" s="252" t="s">
        <v>176</v>
      </c>
      <c r="L990" s="251"/>
      <c r="M990" s="252"/>
      <c r="N990" s="252"/>
      <c r="O990" s="251"/>
      <c r="P990" s="43"/>
      <c r="Q990" s="251"/>
      <c r="R990" s="1786" t="str">
        <f>CHOOSE(2, "6722000003901", "HC IP FE/TTOC Marketing Total")</f>
        <v>HC IP FE/TTOC Marketing Total</v>
      </c>
      <c r="S990" s="1380">
        <f>SUM(S991:S994)</f>
        <v>3</v>
      </c>
      <c r="T990" s="1380">
        <v>3</v>
      </c>
      <c r="U990" s="1380">
        <f t="shared" ref="U990:AD990" si="1602">SUM(U991:U994)</f>
        <v>3</v>
      </c>
      <c r="V990" s="1380">
        <f t="shared" si="1602"/>
        <v>3</v>
      </c>
      <c r="W990" s="1380">
        <f t="shared" si="1602"/>
        <v>3</v>
      </c>
      <c r="X990" s="1380">
        <f t="shared" si="1602"/>
        <v>3</v>
      </c>
      <c r="Y990" s="3102">
        <f t="shared" si="1602"/>
        <v>3</v>
      </c>
      <c r="Z990" s="1380">
        <f t="shared" si="1602"/>
        <v>3</v>
      </c>
      <c r="AA990" s="1380">
        <f t="shared" si="1602"/>
        <v>3</v>
      </c>
      <c r="AB990" s="1380">
        <v>3</v>
      </c>
      <c r="AC990" s="1380">
        <f t="shared" si="1602"/>
        <v>3</v>
      </c>
      <c r="AD990" s="1380">
        <f t="shared" si="1602"/>
        <v>3</v>
      </c>
      <c r="AE990" s="782">
        <f t="shared" ref="AE990:AK990" si="1603">SUM(AE991:AE994)</f>
        <v>3</v>
      </c>
      <c r="AF990" s="1380">
        <f t="shared" si="1603"/>
        <v>3</v>
      </c>
      <c r="AG990" s="1380">
        <f t="shared" si="1603"/>
        <v>3</v>
      </c>
      <c r="AH990" s="1380">
        <f t="shared" si="1603"/>
        <v>3</v>
      </c>
      <c r="AI990" s="1380">
        <f t="shared" si="1603"/>
        <v>3</v>
      </c>
      <c r="AJ990" s="1380">
        <f t="shared" si="1603"/>
        <v>3</v>
      </c>
      <c r="AK990" s="1380">
        <f t="shared" si="1603"/>
        <v>3</v>
      </c>
      <c r="AM990" s="2252">
        <f t="shared" ca="1" si="1577"/>
        <v>3</v>
      </c>
      <c r="AN990" s="2252">
        <f t="shared" ca="1" si="1578"/>
        <v>4</v>
      </c>
      <c r="AO990" s="2952">
        <f t="shared" ca="1" si="1579"/>
        <v>-1</v>
      </c>
      <c r="AP990" s="2953">
        <f t="shared" ca="1" si="1580"/>
        <v>0.75</v>
      </c>
      <c r="AQ990" s="2252">
        <f t="shared" ca="1" si="1581"/>
        <v>4</v>
      </c>
      <c r="AR990" s="2952">
        <f t="shared" ca="1" si="1582"/>
        <v>-1</v>
      </c>
      <c r="AS990" s="2953">
        <f t="shared" ca="1" si="1583"/>
        <v>0.75</v>
      </c>
      <c r="AU990" s="2252">
        <f t="shared" ca="1" si="1584"/>
        <v>3</v>
      </c>
      <c r="AV990" s="2252">
        <f t="shared" ca="1" si="1585"/>
        <v>4</v>
      </c>
      <c r="AW990" s="2952">
        <f t="shared" ca="1" si="1586"/>
        <v>-1</v>
      </c>
      <c r="AX990" s="2953">
        <f t="shared" ca="1" si="1587"/>
        <v>0.75</v>
      </c>
      <c r="AY990" s="2252">
        <f t="shared" ca="1" si="1588"/>
        <v>4</v>
      </c>
      <c r="AZ990" s="2952">
        <f t="shared" ca="1" si="1589"/>
        <v>-1</v>
      </c>
      <c r="BA990" s="2953">
        <f t="shared" ca="1" si="1590"/>
        <v>0.75</v>
      </c>
      <c r="BC990" s="2252">
        <f t="shared" ca="1" si="1591"/>
        <v>3</v>
      </c>
      <c r="BD990" s="2252">
        <f t="shared" ca="1" si="1592"/>
        <v>4</v>
      </c>
      <c r="BE990" s="2952">
        <f t="shared" ca="1" si="1593"/>
        <v>-1</v>
      </c>
      <c r="BF990" s="2953">
        <f t="shared" ca="1" si="1594"/>
        <v>0.75</v>
      </c>
      <c r="BG990" s="2252">
        <f t="shared" ca="1" si="1595"/>
        <v>4</v>
      </c>
      <c r="BH990" s="2952">
        <f t="shared" ca="1" si="1596"/>
        <v>-1</v>
      </c>
      <c r="BI990" s="2953">
        <f t="shared" ca="1" si="1597"/>
        <v>0.75</v>
      </c>
    </row>
    <row r="991" spans="1:61" s="34" customFormat="1" ht="14.5">
      <c r="A991" s="1693">
        <f t="shared" si="1574"/>
        <v>983</v>
      </c>
      <c r="B991" s="616">
        <v>1</v>
      </c>
      <c r="C991" s="1693">
        <f t="shared" si="1567"/>
        <v>991</v>
      </c>
      <c r="D991" s="616">
        <v>1</v>
      </c>
      <c r="F991" s="454"/>
      <c r="G991" s="4"/>
      <c r="H991" s="4"/>
      <c r="I991" s="4"/>
      <c r="J991" s="363"/>
      <c r="K991" s="4"/>
      <c r="L991" s="3"/>
      <c r="M991" s="4"/>
      <c r="N991" s="4"/>
      <c r="O991" s="41"/>
      <c r="P991" s="41" t="s">
        <v>198</v>
      </c>
      <c r="Q991" s="3"/>
      <c r="R991" s="1778" t="str">
        <f>CHOOSE(2, "6722000003902", "HC IP FE/TTOC Marketing Total Business Development")</f>
        <v>HC IP FE/TTOC Marketing Total Business Development</v>
      </c>
      <c r="S991" s="1212">
        <v>2</v>
      </c>
      <c r="T991" s="1212">
        <v>2</v>
      </c>
      <c r="U991" s="1212">
        <v>2</v>
      </c>
      <c r="V991" s="1212">
        <v>2</v>
      </c>
      <c r="W991" s="1212">
        <v>2</v>
      </c>
      <c r="X991" s="1212">
        <v>2</v>
      </c>
      <c r="Y991" s="1212">
        <v>2</v>
      </c>
      <c r="Z991" s="1212">
        <v>2</v>
      </c>
      <c r="AA991" s="1212">
        <v>2</v>
      </c>
      <c r="AB991" s="1212">
        <v>2</v>
      </c>
      <c r="AC991" s="1212">
        <v>2</v>
      </c>
      <c r="AD991" s="1212">
        <v>2</v>
      </c>
      <c r="AE991" s="877">
        <f>U991</f>
        <v>2</v>
      </c>
      <c r="AF991" s="40">
        <f>X991</f>
        <v>2</v>
      </c>
      <c r="AG991" s="40">
        <f>AA991</f>
        <v>2</v>
      </c>
      <c r="AH991" s="40">
        <f>AD991</f>
        <v>2</v>
      </c>
      <c r="AI991" s="40">
        <f>AF991</f>
        <v>2</v>
      </c>
      <c r="AJ991" s="40">
        <f>AH991</f>
        <v>2</v>
      </c>
      <c r="AK991" s="40">
        <f>AJ991</f>
        <v>2</v>
      </c>
      <c r="AM991" s="1910">
        <f t="shared" ca="1" si="1577"/>
        <v>2</v>
      </c>
      <c r="AN991" s="1910">
        <f t="shared" ca="1" si="1578"/>
        <v>2</v>
      </c>
      <c r="AO991" s="2694">
        <f t="shared" ca="1" si="1579"/>
        <v>0</v>
      </c>
      <c r="AP991" s="2695">
        <f t="shared" ca="1" si="1580"/>
        <v>1</v>
      </c>
      <c r="AQ991" s="1910">
        <f t="shared" ca="1" si="1581"/>
        <v>2</v>
      </c>
      <c r="AR991" s="2694">
        <f t="shared" ca="1" si="1582"/>
        <v>0</v>
      </c>
      <c r="AS991" s="2695">
        <f t="shared" ca="1" si="1583"/>
        <v>1</v>
      </c>
      <c r="AU991" s="1910">
        <f t="shared" ca="1" si="1584"/>
        <v>2</v>
      </c>
      <c r="AV991" s="1910">
        <f t="shared" ca="1" si="1585"/>
        <v>2</v>
      </c>
      <c r="AW991" s="2694">
        <f t="shared" ca="1" si="1586"/>
        <v>0</v>
      </c>
      <c r="AX991" s="2695">
        <f t="shared" ca="1" si="1587"/>
        <v>1</v>
      </c>
      <c r="AY991" s="1910">
        <f t="shared" ca="1" si="1588"/>
        <v>2</v>
      </c>
      <c r="AZ991" s="2694">
        <f t="shared" ca="1" si="1589"/>
        <v>0</v>
      </c>
      <c r="BA991" s="2695">
        <f t="shared" ca="1" si="1590"/>
        <v>1</v>
      </c>
      <c r="BC991" s="1910">
        <f t="shared" ca="1" si="1591"/>
        <v>2</v>
      </c>
      <c r="BD991" s="1910">
        <f t="shared" ca="1" si="1592"/>
        <v>2</v>
      </c>
      <c r="BE991" s="2694">
        <f t="shared" ca="1" si="1593"/>
        <v>0</v>
      </c>
      <c r="BF991" s="2695">
        <f t="shared" ca="1" si="1594"/>
        <v>1</v>
      </c>
      <c r="BG991" s="1910">
        <f t="shared" ca="1" si="1595"/>
        <v>2</v>
      </c>
      <c r="BH991" s="2694">
        <f t="shared" ca="1" si="1596"/>
        <v>0</v>
      </c>
      <c r="BI991" s="2695">
        <f t="shared" ca="1" si="1597"/>
        <v>1</v>
      </c>
    </row>
    <row r="992" spans="1:61" s="34" customFormat="1" ht="14.5">
      <c r="A992" s="1693">
        <f t="shared" si="1574"/>
        <v>984</v>
      </c>
      <c r="B992" s="616">
        <v>1</v>
      </c>
      <c r="C992" s="1693">
        <f t="shared" si="1567"/>
        <v>992</v>
      </c>
      <c r="D992" s="616">
        <v>1</v>
      </c>
      <c r="F992" s="454"/>
      <c r="G992" s="4"/>
      <c r="H992" s="4"/>
      <c r="I992" s="4"/>
      <c r="J992" s="363"/>
      <c r="K992" s="4"/>
      <c r="L992" s="3"/>
      <c r="M992" s="4"/>
      <c r="N992" s="4"/>
      <c r="O992" s="41"/>
      <c r="P992" s="41" t="s">
        <v>199</v>
      </c>
      <c r="Q992" s="3"/>
      <c r="R992" s="1778" t="str">
        <f>CHOOSE(2, "6722000003903", "HC IP FE/TTOC Marketing Total Channel Marketing")</f>
        <v>HC IP FE/TTOC Marketing Total Channel Marketing</v>
      </c>
      <c r="S992" s="1212"/>
      <c r="T992" s="1212"/>
      <c r="U992" s="1212"/>
      <c r="V992" s="1212"/>
      <c r="W992" s="1212"/>
      <c r="X992" s="1212"/>
      <c r="Y992" s="1212"/>
      <c r="Z992" s="1212"/>
      <c r="AA992" s="1212"/>
      <c r="AB992" s="1212"/>
      <c r="AC992" s="1212"/>
      <c r="AD992" s="1212"/>
      <c r="AE992" s="877">
        <f>U992</f>
        <v>0</v>
      </c>
      <c r="AF992" s="40">
        <f>X992</f>
        <v>0</v>
      </c>
      <c r="AG992" s="40">
        <f>AA992</f>
        <v>0</v>
      </c>
      <c r="AH992" s="40">
        <f>AD992</f>
        <v>0</v>
      </c>
      <c r="AI992" s="40">
        <f>AF992</f>
        <v>0</v>
      </c>
      <c r="AJ992" s="40">
        <f>AH992</f>
        <v>0</v>
      </c>
      <c r="AK992" s="40">
        <f>AJ992</f>
        <v>0</v>
      </c>
      <c r="AM992" s="1910">
        <f t="shared" ca="1" si="1577"/>
        <v>0</v>
      </c>
      <c r="AN992" s="1910">
        <f t="shared" ca="1" si="1578"/>
        <v>0</v>
      </c>
      <c r="AO992" s="2694">
        <f t="shared" ca="1" si="1579"/>
        <v>0</v>
      </c>
      <c r="AP992" s="2695">
        <f t="shared" ca="1" si="1580"/>
        <v>0</v>
      </c>
      <c r="AQ992" s="1910">
        <f t="shared" ca="1" si="1581"/>
        <v>0</v>
      </c>
      <c r="AR992" s="2694">
        <f t="shared" ca="1" si="1582"/>
        <v>0</v>
      </c>
      <c r="AS992" s="2695">
        <f t="shared" ca="1" si="1583"/>
        <v>0</v>
      </c>
      <c r="AU992" s="1910">
        <f t="shared" ca="1" si="1584"/>
        <v>0</v>
      </c>
      <c r="AV992" s="1910">
        <f t="shared" ca="1" si="1585"/>
        <v>0</v>
      </c>
      <c r="AW992" s="2694">
        <f t="shared" ca="1" si="1586"/>
        <v>0</v>
      </c>
      <c r="AX992" s="2695">
        <f t="shared" ca="1" si="1587"/>
        <v>0</v>
      </c>
      <c r="AY992" s="1910">
        <f t="shared" ca="1" si="1588"/>
        <v>0</v>
      </c>
      <c r="AZ992" s="2694">
        <f t="shared" ca="1" si="1589"/>
        <v>0</v>
      </c>
      <c r="BA992" s="2695">
        <f t="shared" ca="1" si="1590"/>
        <v>0</v>
      </c>
      <c r="BC992" s="1910">
        <f t="shared" ca="1" si="1591"/>
        <v>0</v>
      </c>
      <c r="BD992" s="1910">
        <f t="shared" ca="1" si="1592"/>
        <v>0</v>
      </c>
      <c r="BE992" s="2694">
        <f t="shared" ca="1" si="1593"/>
        <v>0</v>
      </c>
      <c r="BF992" s="2695">
        <f t="shared" ca="1" si="1594"/>
        <v>0</v>
      </c>
      <c r="BG992" s="1910">
        <f t="shared" ca="1" si="1595"/>
        <v>0</v>
      </c>
      <c r="BH992" s="2694">
        <f t="shared" ca="1" si="1596"/>
        <v>0</v>
      </c>
      <c r="BI992" s="2695">
        <f t="shared" ca="1" si="1597"/>
        <v>0</v>
      </c>
    </row>
    <row r="993" spans="1:61" s="34" customFormat="1" ht="14.5">
      <c r="A993" s="1693">
        <f t="shared" si="1574"/>
        <v>985</v>
      </c>
      <c r="B993" s="616">
        <v>1</v>
      </c>
      <c r="C993" s="1693">
        <f t="shared" si="1567"/>
        <v>993</v>
      </c>
      <c r="D993" s="616">
        <v>1</v>
      </c>
      <c r="F993" s="454"/>
      <c r="G993" s="4"/>
      <c r="H993" s="4"/>
      <c r="I993" s="4"/>
      <c r="J993" s="363"/>
      <c r="K993" s="4"/>
      <c r="L993" s="3"/>
      <c r="M993" s="4"/>
      <c r="N993" s="4"/>
      <c r="O993" s="41"/>
      <c r="P993" s="41" t="s">
        <v>200</v>
      </c>
      <c r="Q993" s="3"/>
      <c r="R993" s="1778" t="str">
        <f>CHOOSE(2, "6722000003904", "HC IP FE/TTOC Marketing Total Product Marketing")</f>
        <v>HC IP FE/TTOC Marketing Total Product Marketing</v>
      </c>
      <c r="S993" s="1212">
        <v>1</v>
      </c>
      <c r="T993" s="1212">
        <v>1</v>
      </c>
      <c r="U993" s="1212">
        <v>1</v>
      </c>
      <c r="V993" s="1212">
        <v>1</v>
      </c>
      <c r="W993" s="1212">
        <v>1</v>
      </c>
      <c r="X993" s="1212">
        <v>1</v>
      </c>
      <c r="Y993" s="1212">
        <v>1</v>
      </c>
      <c r="Z993" s="1212">
        <v>1</v>
      </c>
      <c r="AA993" s="1212">
        <v>1</v>
      </c>
      <c r="AB993" s="1212">
        <v>1</v>
      </c>
      <c r="AC993" s="1212">
        <v>1</v>
      </c>
      <c r="AD993" s="1212">
        <v>1</v>
      </c>
      <c r="AE993" s="877">
        <f>U993</f>
        <v>1</v>
      </c>
      <c r="AF993" s="40">
        <f>X993</f>
        <v>1</v>
      </c>
      <c r="AG993" s="40">
        <f>AA993</f>
        <v>1</v>
      </c>
      <c r="AH993" s="40">
        <f>AD993</f>
        <v>1</v>
      </c>
      <c r="AI993" s="40">
        <f>AF993</f>
        <v>1</v>
      </c>
      <c r="AJ993" s="40">
        <f>AH993</f>
        <v>1</v>
      </c>
      <c r="AK993" s="40">
        <f>AJ993</f>
        <v>1</v>
      </c>
      <c r="AM993" s="1910">
        <f t="shared" ca="1" si="1577"/>
        <v>1</v>
      </c>
      <c r="AN993" s="1910">
        <f t="shared" ca="1" si="1578"/>
        <v>2</v>
      </c>
      <c r="AO993" s="2694">
        <f t="shared" ca="1" si="1579"/>
        <v>-1</v>
      </c>
      <c r="AP993" s="2695">
        <f t="shared" ca="1" si="1580"/>
        <v>0.5</v>
      </c>
      <c r="AQ993" s="1910">
        <f t="shared" ca="1" si="1581"/>
        <v>2</v>
      </c>
      <c r="AR993" s="2694">
        <f t="shared" ca="1" si="1582"/>
        <v>-1</v>
      </c>
      <c r="AS993" s="2695">
        <f t="shared" ca="1" si="1583"/>
        <v>0.5</v>
      </c>
      <c r="AU993" s="1910">
        <f t="shared" ca="1" si="1584"/>
        <v>1</v>
      </c>
      <c r="AV993" s="1910">
        <f t="shared" ca="1" si="1585"/>
        <v>2</v>
      </c>
      <c r="AW993" s="2694">
        <f t="shared" ca="1" si="1586"/>
        <v>-1</v>
      </c>
      <c r="AX993" s="2695">
        <f t="shared" ca="1" si="1587"/>
        <v>0.5</v>
      </c>
      <c r="AY993" s="1910">
        <f t="shared" ca="1" si="1588"/>
        <v>2</v>
      </c>
      <c r="AZ993" s="2694">
        <f t="shared" ca="1" si="1589"/>
        <v>-1</v>
      </c>
      <c r="BA993" s="2695">
        <f t="shared" ca="1" si="1590"/>
        <v>0.5</v>
      </c>
      <c r="BC993" s="1910">
        <f t="shared" ca="1" si="1591"/>
        <v>1</v>
      </c>
      <c r="BD993" s="1910">
        <f t="shared" ca="1" si="1592"/>
        <v>2</v>
      </c>
      <c r="BE993" s="2694">
        <f t="shared" ca="1" si="1593"/>
        <v>-1</v>
      </c>
      <c r="BF993" s="2695">
        <f t="shared" ca="1" si="1594"/>
        <v>0.5</v>
      </c>
      <c r="BG993" s="1910">
        <f t="shared" ca="1" si="1595"/>
        <v>2</v>
      </c>
      <c r="BH993" s="2694">
        <f t="shared" ca="1" si="1596"/>
        <v>-1</v>
      </c>
      <c r="BI993" s="2695">
        <f t="shared" ca="1" si="1597"/>
        <v>0.5</v>
      </c>
    </row>
    <row r="994" spans="1:61" s="34" customFormat="1" ht="14.5">
      <c r="A994" s="1693">
        <f t="shared" si="1574"/>
        <v>986</v>
      </c>
      <c r="B994" s="616">
        <v>1</v>
      </c>
      <c r="C994" s="1693">
        <f t="shared" si="1567"/>
        <v>994</v>
      </c>
      <c r="D994" s="616">
        <v>1</v>
      </c>
      <c r="F994" s="454"/>
      <c r="G994" s="4"/>
      <c r="H994" s="4"/>
      <c r="I994" s="4"/>
      <c r="J994" s="363"/>
      <c r="K994" s="2"/>
      <c r="L994" s="1"/>
      <c r="M994" s="2"/>
      <c r="N994" s="2"/>
      <c r="O994" s="39"/>
      <c r="P994" s="39" t="s">
        <v>201</v>
      </c>
      <c r="Q994" s="1"/>
      <c r="R994" s="1778" t="str">
        <f>CHOOSE(2, "6722000003905", "HC IP FE/TTOC Marketing Total MC / O")</f>
        <v>HC IP FE/TTOC Marketing Total MC / O</v>
      </c>
      <c r="S994" s="1211"/>
      <c r="T994" s="1211"/>
      <c r="U994" s="1211"/>
      <c r="V994" s="1211"/>
      <c r="W994" s="1211"/>
      <c r="X994" s="1211"/>
      <c r="Y994" s="1211"/>
      <c r="Z994" s="1211"/>
      <c r="AA994" s="1211"/>
      <c r="AB994" s="1211"/>
      <c r="AC994" s="1211"/>
      <c r="AD994" s="1211"/>
      <c r="AE994" s="912">
        <f>U994</f>
        <v>0</v>
      </c>
      <c r="AF994" s="38">
        <f>X994</f>
        <v>0</v>
      </c>
      <c r="AG994" s="38">
        <f>AA994</f>
        <v>0</v>
      </c>
      <c r="AH994" s="38">
        <f>AD994</f>
        <v>0</v>
      </c>
      <c r="AI994" s="38">
        <f>AF994</f>
        <v>0</v>
      </c>
      <c r="AJ994" s="38">
        <f>AH994</f>
        <v>0</v>
      </c>
      <c r="AK994" s="38">
        <f>AJ994</f>
        <v>0</v>
      </c>
      <c r="AM994" s="2248">
        <f t="shared" ca="1" si="1577"/>
        <v>0</v>
      </c>
      <c r="AN994" s="2248">
        <f t="shared" ca="1" si="1578"/>
        <v>0</v>
      </c>
      <c r="AO994" s="2950">
        <f t="shared" ca="1" si="1579"/>
        <v>0</v>
      </c>
      <c r="AP994" s="2951">
        <f t="shared" ca="1" si="1580"/>
        <v>0</v>
      </c>
      <c r="AQ994" s="2248">
        <f t="shared" ca="1" si="1581"/>
        <v>0</v>
      </c>
      <c r="AR994" s="2950">
        <f t="shared" ca="1" si="1582"/>
        <v>0</v>
      </c>
      <c r="AS994" s="2951">
        <f t="shared" ca="1" si="1583"/>
        <v>0</v>
      </c>
      <c r="AU994" s="2248">
        <f t="shared" ca="1" si="1584"/>
        <v>0</v>
      </c>
      <c r="AV994" s="2248">
        <f t="shared" ca="1" si="1585"/>
        <v>0</v>
      </c>
      <c r="AW994" s="2950">
        <f t="shared" ca="1" si="1586"/>
        <v>0</v>
      </c>
      <c r="AX994" s="2951">
        <f t="shared" ca="1" si="1587"/>
        <v>0</v>
      </c>
      <c r="AY994" s="2248">
        <f t="shared" ca="1" si="1588"/>
        <v>0</v>
      </c>
      <c r="AZ994" s="2950">
        <f t="shared" ca="1" si="1589"/>
        <v>0</v>
      </c>
      <c r="BA994" s="2951">
        <f t="shared" ca="1" si="1590"/>
        <v>0</v>
      </c>
      <c r="BC994" s="2248">
        <f t="shared" ca="1" si="1591"/>
        <v>0</v>
      </c>
      <c r="BD994" s="2248">
        <f t="shared" ca="1" si="1592"/>
        <v>0</v>
      </c>
      <c r="BE994" s="2950">
        <f t="shared" ca="1" si="1593"/>
        <v>0</v>
      </c>
      <c r="BF994" s="2951">
        <f t="shared" ca="1" si="1594"/>
        <v>0</v>
      </c>
      <c r="BG994" s="2248">
        <f t="shared" ca="1" si="1595"/>
        <v>0</v>
      </c>
      <c r="BH994" s="2950">
        <f t="shared" ca="1" si="1596"/>
        <v>0</v>
      </c>
      <c r="BI994" s="2951">
        <f t="shared" ca="1" si="1597"/>
        <v>0</v>
      </c>
    </row>
    <row r="995" spans="1:61" s="34" customFormat="1" ht="14.5">
      <c r="A995" s="1693">
        <f t="shared" si="1574"/>
        <v>987</v>
      </c>
      <c r="B995" s="616">
        <v>1</v>
      </c>
      <c r="C995" s="1693">
        <f t="shared" si="1567"/>
        <v>995</v>
      </c>
      <c r="D995" s="616">
        <v>1</v>
      </c>
      <c r="E995" s="709" t="s">
        <v>512</v>
      </c>
      <c r="F995" s="1572"/>
      <c r="G995" s="4"/>
      <c r="H995" s="4"/>
      <c r="I995" s="4"/>
      <c r="J995" s="363"/>
      <c r="K995" s="48" t="s">
        <v>138</v>
      </c>
      <c r="L995" s="47"/>
      <c r="M995" s="48"/>
      <c r="N995" s="48"/>
      <c r="O995" s="47"/>
      <c r="P995" s="47"/>
      <c r="Q995" s="47"/>
      <c r="R995" s="1786" t="str">
        <f>CHOOSE(2, "6722000003906", "HC IP FE/TTOC Administration Total")</f>
        <v>HC IP FE/TTOC Administration Total</v>
      </c>
      <c r="S995" s="1255">
        <f>SUM(S996:S1000)</f>
        <v>0</v>
      </c>
      <c r="T995" s="1255">
        <v>0</v>
      </c>
      <c r="U995" s="1255">
        <f t="shared" ref="U995:AD995" si="1604">SUM(U996:U1000)</f>
        <v>0</v>
      </c>
      <c r="V995" s="1255">
        <f t="shared" si="1604"/>
        <v>0</v>
      </c>
      <c r="W995" s="1255">
        <f t="shared" si="1604"/>
        <v>0</v>
      </c>
      <c r="X995" s="1255">
        <f t="shared" si="1604"/>
        <v>0</v>
      </c>
      <c r="Y995" s="1255">
        <f t="shared" si="1604"/>
        <v>0</v>
      </c>
      <c r="Z995" s="1255">
        <f t="shared" si="1604"/>
        <v>0</v>
      </c>
      <c r="AA995" s="1255">
        <f t="shared" si="1604"/>
        <v>0</v>
      </c>
      <c r="AB995" s="1255">
        <v>0</v>
      </c>
      <c r="AC995" s="1255">
        <f t="shared" si="1604"/>
        <v>0</v>
      </c>
      <c r="AD995" s="1255">
        <f t="shared" si="1604"/>
        <v>0</v>
      </c>
      <c r="AE995" s="1240">
        <f t="shared" ref="AE995:AK995" si="1605">SUM(AE996:AE1000)</f>
        <v>0</v>
      </c>
      <c r="AF995" s="1255">
        <f t="shared" si="1605"/>
        <v>0</v>
      </c>
      <c r="AG995" s="1255">
        <f t="shared" si="1605"/>
        <v>0</v>
      </c>
      <c r="AH995" s="1255">
        <f t="shared" si="1605"/>
        <v>0</v>
      </c>
      <c r="AI995" s="1255">
        <f t="shared" si="1605"/>
        <v>0</v>
      </c>
      <c r="AJ995" s="1255">
        <f t="shared" si="1605"/>
        <v>0</v>
      </c>
      <c r="AK995" s="1255">
        <f t="shared" si="1605"/>
        <v>0</v>
      </c>
      <c r="AM995" s="2250">
        <f t="shared" ca="1" si="1577"/>
        <v>0</v>
      </c>
      <c r="AN995" s="2250">
        <f t="shared" ca="1" si="1578"/>
        <v>0</v>
      </c>
      <c r="AO995" s="2948">
        <f t="shared" ca="1" si="1579"/>
        <v>0</v>
      </c>
      <c r="AP995" s="2949">
        <f t="shared" ca="1" si="1580"/>
        <v>0</v>
      </c>
      <c r="AQ995" s="2250">
        <f t="shared" ca="1" si="1581"/>
        <v>0</v>
      </c>
      <c r="AR995" s="2948">
        <f t="shared" ca="1" si="1582"/>
        <v>0</v>
      </c>
      <c r="AS995" s="2949">
        <f t="shared" ca="1" si="1583"/>
        <v>0</v>
      </c>
      <c r="AU995" s="2250">
        <f t="shared" ca="1" si="1584"/>
        <v>0</v>
      </c>
      <c r="AV995" s="2250">
        <f t="shared" ca="1" si="1585"/>
        <v>0</v>
      </c>
      <c r="AW995" s="2948">
        <f t="shared" ca="1" si="1586"/>
        <v>0</v>
      </c>
      <c r="AX995" s="2949">
        <f t="shared" ca="1" si="1587"/>
        <v>0</v>
      </c>
      <c r="AY995" s="2250">
        <f t="shared" ca="1" si="1588"/>
        <v>0</v>
      </c>
      <c r="AZ995" s="2948">
        <f t="shared" ca="1" si="1589"/>
        <v>0</v>
      </c>
      <c r="BA995" s="2949">
        <f t="shared" ca="1" si="1590"/>
        <v>0</v>
      </c>
      <c r="BC995" s="2250">
        <f t="shared" ca="1" si="1591"/>
        <v>0</v>
      </c>
      <c r="BD995" s="2250">
        <f t="shared" ca="1" si="1592"/>
        <v>0</v>
      </c>
      <c r="BE995" s="2948">
        <f t="shared" ca="1" si="1593"/>
        <v>0</v>
      </c>
      <c r="BF995" s="2949">
        <f t="shared" ca="1" si="1594"/>
        <v>0</v>
      </c>
      <c r="BG995" s="2250">
        <f t="shared" ca="1" si="1595"/>
        <v>0</v>
      </c>
      <c r="BH995" s="2948">
        <f t="shared" ca="1" si="1596"/>
        <v>0</v>
      </c>
      <c r="BI995" s="2949">
        <f t="shared" ca="1" si="1597"/>
        <v>0</v>
      </c>
    </row>
    <row r="996" spans="1:61" s="34" customFormat="1" ht="14.5">
      <c r="A996" s="1693">
        <f t="shared" si="1574"/>
        <v>988</v>
      </c>
      <c r="B996" s="616">
        <v>1</v>
      </c>
      <c r="C996" s="1693">
        <f t="shared" si="1567"/>
        <v>996</v>
      </c>
      <c r="D996" s="616">
        <v>1</v>
      </c>
      <c r="F996" s="454"/>
      <c r="G996" s="4"/>
      <c r="H996" s="4"/>
      <c r="I996" s="4"/>
      <c r="J996" s="363"/>
      <c r="K996" s="4"/>
      <c r="L996" s="3"/>
      <c r="M996" s="4"/>
      <c r="N996" s="3"/>
      <c r="O996" s="41"/>
      <c r="P996" s="41" t="s">
        <v>39</v>
      </c>
      <c r="Q996" s="41"/>
      <c r="R996" s="1778" t="str">
        <f>CHOOSE(2, "6722000003907", "HC IP FE/TTOC Administration Total IT")</f>
        <v>HC IP FE/TTOC Administration Total IT</v>
      </c>
      <c r="S996" s="1212"/>
      <c r="T996" s="1212"/>
      <c r="U996" s="1212"/>
      <c r="V996" s="1212"/>
      <c r="W996" s="1212"/>
      <c r="X996" s="1212"/>
      <c r="Y996" s="1212"/>
      <c r="Z996" s="1212"/>
      <c r="AA996" s="1212"/>
      <c r="AB996" s="1212"/>
      <c r="AC996" s="1212"/>
      <c r="AD996" s="1212"/>
      <c r="AE996" s="877">
        <f>U996</f>
        <v>0</v>
      </c>
      <c r="AF996" s="40">
        <f>X996</f>
        <v>0</v>
      </c>
      <c r="AG996" s="40">
        <f>AA996</f>
        <v>0</v>
      </c>
      <c r="AH996" s="40">
        <f>AD996</f>
        <v>0</v>
      </c>
      <c r="AI996" s="40">
        <f>AF996</f>
        <v>0</v>
      </c>
      <c r="AJ996" s="40">
        <f>AH996</f>
        <v>0</v>
      </c>
      <c r="AK996" s="40">
        <f>AJ996</f>
        <v>0</v>
      </c>
      <c r="AM996" s="1910">
        <f t="shared" ca="1" si="1577"/>
        <v>0</v>
      </c>
      <c r="AN996" s="1910">
        <f t="shared" ca="1" si="1578"/>
        <v>0</v>
      </c>
      <c r="AO996" s="2694">
        <f t="shared" ca="1" si="1579"/>
        <v>0</v>
      </c>
      <c r="AP996" s="2695">
        <f t="shared" ca="1" si="1580"/>
        <v>0</v>
      </c>
      <c r="AQ996" s="1910">
        <f t="shared" ca="1" si="1581"/>
        <v>0</v>
      </c>
      <c r="AR996" s="2694">
        <f t="shared" ca="1" si="1582"/>
        <v>0</v>
      </c>
      <c r="AS996" s="2695">
        <f t="shared" ca="1" si="1583"/>
        <v>0</v>
      </c>
      <c r="AU996" s="1910">
        <f t="shared" ca="1" si="1584"/>
        <v>0</v>
      </c>
      <c r="AV996" s="1910">
        <f t="shared" ca="1" si="1585"/>
        <v>0</v>
      </c>
      <c r="AW996" s="2694">
        <f t="shared" ca="1" si="1586"/>
        <v>0</v>
      </c>
      <c r="AX996" s="2695">
        <f t="shared" ca="1" si="1587"/>
        <v>0</v>
      </c>
      <c r="AY996" s="1910">
        <f t="shared" ca="1" si="1588"/>
        <v>0</v>
      </c>
      <c r="AZ996" s="2694">
        <f t="shared" ca="1" si="1589"/>
        <v>0</v>
      </c>
      <c r="BA996" s="2695">
        <f t="shared" ca="1" si="1590"/>
        <v>0</v>
      </c>
      <c r="BC996" s="1910">
        <f t="shared" ca="1" si="1591"/>
        <v>0</v>
      </c>
      <c r="BD996" s="1910">
        <f t="shared" ca="1" si="1592"/>
        <v>0</v>
      </c>
      <c r="BE996" s="2694">
        <f t="shared" ca="1" si="1593"/>
        <v>0</v>
      </c>
      <c r="BF996" s="2695">
        <f t="shared" ca="1" si="1594"/>
        <v>0</v>
      </c>
      <c r="BG996" s="1910">
        <f t="shared" ca="1" si="1595"/>
        <v>0</v>
      </c>
      <c r="BH996" s="2694">
        <f t="shared" ca="1" si="1596"/>
        <v>0</v>
      </c>
      <c r="BI996" s="2695">
        <f t="shared" ca="1" si="1597"/>
        <v>0</v>
      </c>
    </row>
    <row r="997" spans="1:61" s="34" customFormat="1" ht="14.5">
      <c r="A997" s="1693">
        <f t="shared" si="1574"/>
        <v>989</v>
      </c>
      <c r="B997" s="616">
        <v>1</v>
      </c>
      <c r="C997" s="1693">
        <f t="shared" si="1567"/>
        <v>997</v>
      </c>
      <c r="D997" s="616">
        <v>1</v>
      </c>
      <c r="F997" s="454"/>
      <c r="G997" s="4"/>
      <c r="H997" s="4"/>
      <c r="I997" s="4"/>
      <c r="J997" s="363"/>
      <c r="K997" s="4"/>
      <c r="L997" s="3"/>
      <c r="M997" s="4"/>
      <c r="N997" s="3"/>
      <c r="O997" s="41"/>
      <c r="P997" s="41" t="s">
        <v>18</v>
      </c>
      <c r="Q997" s="41"/>
      <c r="R997" s="1778" t="str">
        <f>CHOOSE(2, "6722000003908", "HC IP FE/TTOC Administration Total Finance")</f>
        <v>HC IP FE/TTOC Administration Total Finance</v>
      </c>
      <c r="S997" s="1212"/>
      <c r="T997" s="1212"/>
      <c r="U997" s="1212"/>
      <c r="V997" s="1212"/>
      <c r="W997" s="1212"/>
      <c r="X997" s="1212"/>
      <c r="Y997" s="1212"/>
      <c r="Z997" s="1212"/>
      <c r="AA997" s="1212"/>
      <c r="AB997" s="1212"/>
      <c r="AC997" s="1212"/>
      <c r="AD997" s="1212"/>
      <c r="AE997" s="877">
        <f>U997</f>
        <v>0</v>
      </c>
      <c r="AF997" s="40">
        <f>X997</f>
        <v>0</v>
      </c>
      <c r="AG997" s="40">
        <f>AA997</f>
        <v>0</v>
      </c>
      <c r="AH997" s="40">
        <f>AD997</f>
        <v>0</v>
      </c>
      <c r="AI997" s="40">
        <f>AF997</f>
        <v>0</v>
      </c>
      <c r="AJ997" s="40">
        <f>AH997</f>
        <v>0</v>
      </c>
      <c r="AK997" s="40">
        <f>AJ997</f>
        <v>0</v>
      </c>
      <c r="AM997" s="1910">
        <f t="shared" ca="1" si="1577"/>
        <v>0</v>
      </c>
      <c r="AN997" s="1910">
        <f t="shared" ca="1" si="1578"/>
        <v>0</v>
      </c>
      <c r="AO997" s="2694">
        <f t="shared" ca="1" si="1579"/>
        <v>0</v>
      </c>
      <c r="AP997" s="2695">
        <f t="shared" ca="1" si="1580"/>
        <v>0</v>
      </c>
      <c r="AQ997" s="1910">
        <f t="shared" ca="1" si="1581"/>
        <v>0</v>
      </c>
      <c r="AR997" s="2694">
        <f t="shared" ca="1" si="1582"/>
        <v>0</v>
      </c>
      <c r="AS997" s="2695">
        <f t="shared" ca="1" si="1583"/>
        <v>0</v>
      </c>
      <c r="AU997" s="1910">
        <f t="shared" ca="1" si="1584"/>
        <v>0</v>
      </c>
      <c r="AV997" s="1910">
        <f t="shared" ca="1" si="1585"/>
        <v>0</v>
      </c>
      <c r="AW997" s="2694">
        <f t="shared" ca="1" si="1586"/>
        <v>0</v>
      </c>
      <c r="AX997" s="2695">
        <f t="shared" ca="1" si="1587"/>
        <v>0</v>
      </c>
      <c r="AY997" s="1910">
        <f t="shared" ca="1" si="1588"/>
        <v>0</v>
      </c>
      <c r="AZ997" s="2694">
        <f t="shared" ca="1" si="1589"/>
        <v>0</v>
      </c>
      <c r="BA997" s="2695">
        <f t="shared" ca="1" si="1590"/>
        <v>0</v>
      </c>
      <c r="BC997" s="1910">
        <f t="shared" ca="1" si="1591"/>
        <v>0</v>
      </c>
      <c r="BD997" s="1910">
        <f t="shared" ca="1" si="1592"/>
        <v>0</v>
      </c>
      <c r="BE997" s="2694">
        <f t="shared" ca="1" si="1593"/>
        <v>0</v>
      </c>
      <c r="BF997" s="2695">
        <f t="shared" ca="1" si="1594"/>
        <v>0</v>
      </c>
      <c r="BG997" s="1910">
        <f t="shared" ca="1" si="1595"/>
        <v>0</v>
      </c>
      <c r="BH997" s="2694">
        <f t="shared" ca="1" si="1596"/>
        <v>0</v>
      </c>
      <c r="BI997" s="2695">
        <f t="shared" ca="1" si="1597"/>
        <v>0</v>
      </c>
    </row>
    <row r="998" spans="1:61" s="34" customFormat="1" ht="14.5">
      <c r="A998" s="1693">
        <f t="shared" si="1574"/>
        <v>990</v>
      </c>
      <c r="B998" s="616">
        <v>1</v>
      </c>
      <c r="C998" s="1693">
        <f t="shared" si="1567"/>
        <v>998</v>
      </c>
      <c r="D998" s="616">
        <v>1</v>
      </c>
      <c r="F998" s="454"/>
      <c r="G998" s="4"/>
      <c r="H998" s="4"/>
      <c r="I998" s="4"/>
      <c r="J998" s="363"/>
      <c r="K998" s="4"/>
      <c r="L998" s="3"/>
      <c r="M998" s="4"/>
      <c r="N998" s="3"/>
      <c r="O998" s="41"/>
      <c r="P998" s="41" t="s">
        <v>19</v>
      </c>
      <c r="Q998" s="41"/>
      <c r="R998" s="1778" t="str">
        <f>CHOOSE(2, "6722000003909", "HC IP FE/TTOC Administration Total HR")</f>
        <v>HC IP FE/TTOC Administration Total HR</v>
      </c>
      <c r="S998" s="1212"/>
      <c r="T998" s="1212"/>
      <c r="U998" s="1212"/>
      <c r="V998" s="1212"/>
      <c r="W998" s="1212"/>
      <c r="X998" s="1212"/>
      <c r="Y998" s="1212"/>
      <c r="Z998" s="1212"/>
      <c r="AA998" s="1212"/>
      <c r="AB998" s="1212"/>
      <c r="AC998" s="1212"/>
      <c r="AD998" s="1212"/>
      <c r="AE998" s="877">
        <f>U998</f>
        <v>0</v>
      </c>
      <c r="AF998" s="40">
        <f>X998</f>
        <v>0</v>
      </c>
      <c r="AG998" s="40">
        <f>AA998</f>
        <v>0</v>
      </c>
      <c r="AH998" s="40">
        <f>AD998</f>
        <v>0</v>
      </c>
      <c r="AI998" s="40">
        <f>AF998</f>
        <v>0</v>
      </c>
      <c r="AJ998" s="40">
        <f>AH998</f>
        <v>0</v>
      </c>
      <c r="AK998" s="40">
        <f>AJ998</f>
        <v>0</v>
      </c>
      <c r="AM998" s="1910">
        <f t="shared" ca="1" si="1577"/>
        <v>0</v>
      </c>
      <c r="AN998" s="1910">
        <f t="shared" ca="1" si="1578"/>
        <v>0</v>
      </c>
      <c r="AO998" s="2694">
        <f t="shared" ca="1" si="1579"/>
        <v>0</v>
      </c>
      <c r="AP998" s="2695">
        <f t="shared" ca="1" si="1580"/>
        <v>0</v>
      </c>
      <c r="AQ998" s="1910">
        <f t="shared" ca="1" si="1581"/>
        <v>0</v>
      </c>
      <c r="AR998" s="2694">
        <f t="shared" ca="1" si="1582"/>
        <v>0</v>
      </c>
      <c r="AS998" s="2695">
        <f t="shared" ca="1" si="1583"/>
        <v>0</v>
      </c>
      <c r="AU998" s="1910">
        <f t="shared" ca="1" si="1584"/>
        <v>0</v>
      </c>
      <c r="AV998" s="1910">
        <f t="shared" ca="1" si="1585"/>
        <v>0</v>
      </c>
      <c r="AW998" s="2694">
        <f t="shared" ca="1" si="1586"/>
        <v>0</v>
      </c>
      <c r="AX998" s="2695">
        <f t="shared" ca="1" si="1587"/>
        <v>0</v>
      </c>
      <c r="AY998" s="1910">
        <f t="shared" ca="1" si="1588"/>
        <v>0</v>
      </c>
      <c r="AZ998" s="2694">
        <f t="shared" ca="1" si="1589"/>
        <v>0</v>
      </c>
      <c r="BA998" s="2695">
        <f t="shared" ca="1" si="1590"/>
        <v>0</v>
      </c>
      <c r="BC998" s="1910">
        <f t="shared" ca="1" si="1591"/>
        <v>0</v>
      </c>
      <c r="BD998" s="1910">
        <f t="shared" ca="1" si="1592"/>
        <v>0</v>
      </c>
      <c r="BE998" s="2694">
        <f t="shared" ca="1" si="1593"/>
        <v>0</v>
      </c>
      <c r="BF998" s="2695">
        <f t="shared" ca="1" si="1594"/>
        <v>0</v>
      </c>
      <c r="BG998" s="1910">
        <f t="shared" ca="1" si="1595"/>
        <v>0</v>
      </c>
      <c r="BH998" s="2694">
        <f t="shared" ca="1" si="1596"/>
        <v>0</v>
      </c>
      <c r="BI998" s="2695">
        <f t="shared" ca="1" si="1597"/>
        <v>0</v>
      </c>
    </row>
    <row r="999" spans="1:61" s="34" customFormat="1" ht="14.5">
      <c r="A999" s="1693">
        <f t="shared" si="1574"/>
        <v>991</v>
      </c>
      <c r="B999" s="616">
        <v>1</v>
      </c>
      <c r="C999" s="1693">
        <f t="shared" si="1567"/>
        <v>999</v>
      </c>
      <c r="D999" s="616">
        <v>1</v>
      </c>
      <c r="F999" s="454"/>
      <c r="G999" s="4"/>
      <c r="H999" s="4"/>
      <c r="I999" s="4"/>
      <c r="J999" s="363"/>
      <c r="K999" s="4"/>
      <c r="L999" s="3"/>
      <c r="M999" s="4"/>
      <c r="N999" s="3"/>
      <c r="O999" s="41"/>
      <c r="P999" s="41" t="s">
        <v>20</v>
      </c>
      <c r="Q999" s="41"/>
      <c r="R999" s="1778" t="str">
        <f>CHOOSE(2, "6722000003910", "HC IP FE/TTOC Administration Total Training")</f>
        <v>HC IP FE/TTOC Administration Total Training</v>
      </c>
      <c r="S999" s="1212"/>
      <c r="T999" s="1212"/>
      <c r="U999" s="1212"/>
      <c r="V999" s="1212"/>
      <c r="W999" s="1212"/>
      <c r="X999" s="1212"/>
      <c r="Y999" s="1212"/>
      <c r="Z999" s="1212"/>
      <c r="AA999" s="1212"/>
      <c r="AB999" s="1212"/>
      <c r="AC999" s="1212"/>
      <c r="AD999" s="1212"/>
      <c r="AE999" s="877">
        <f>U999</f>
        <v>0</v>
      </c>
      <c r="AF999" s="40">
        <f>X999</f>
        <v>0</v>
      </c>
      <c r="AG999" s="40">
        <f>AA999</f>
        <v>0</v>
      </c>
      <c r="AH999" s="40">
        <f>AD999</f>
        <v>0</v>
      </c>
      <c r="AI999" s="40">
        <f>AF999</f>
        <v>0</v>
      </c>
      <c r="AJ999" s="40">
        <f>AH999</f>
        <v>0</v>
      </c>
      <c r="AK999" s="40">
        <f>AJ999</f>
        <v>0</v>
      </c>
      <c r="AM999" s="1910">
        <f t="shared" ca="1" si="1577"/>
        <v>0</v>
      </c>
      <c r="AN999" s="1910">
        <f t="shared" ca="1" si="1578"/>
        <v>0</v>
      </c>
      <c r="AO999" s="2694">
        <f t="shared" ca="1" si="1579"/>
        <v>0</v>
      </c>
      <c r="AP999" s="2695">
        <f t="shared" ca="1" si="1580"/>
        <v>0</v>
      </c>
      <c r="AQ999" s="1910">
        <f t="shared" ca="1" si="1581"/>
        <v>0</v>
      </c>
      <c r="AR999" s="2694">
        <f t="shared" ca="1" si="1582"/>
        <v>0</v>
      </c>
      <c r="AS999" s="2695">
        <f t="shared" ca="1" si="1583"/>
        <v>0</v>
      </c>
      <c r="AU999" s="1910">
        <f t="shared" ca="1" si="1584"/>
        <v>0</v>
      </c>
      <c r="AV999" s="1910">
        <f t="shared" ca="1" si="1585"/>
        <v>0</v>
      </c>
      <c r="AW999" s="2694">
        <f t="shared" ca="1" si="1586"/>
        <v>0</v>
      </c>
      <c r="AX999" s="2695">
        <f t="shared" ca="1" si="1587"/>
        <v>0</v>
      </c>
      <c r="AY999" s="1910">
        <f t="shared" ca="1" si="1588"/>
        <v>0</v>
      </c>
      <c r="AZ999" s="2694">
        <f t="shared" ca="1" si="1589"/>
        <v>0</v>
      </c>
      <c r="BA999" s="2695">
        <f t="shared" ca="1" si="1590"/>
        <v>0</v>
      </c>
      <c r="BC999" s="1910">
        <f t="shared" ca="1" si="1591"/>
        <v>0</v>
      </c>
      <c r="BD999" s="1910">
        <f t="shared" ca="1" si="1592"/>
        <v>0</v>
      </c>
      <c r="BE999" s="2694">
        <f t="shared" ca="1" si="1593"/>
        <v>0</v>
      </c>
      <c r="BF999" s="2695">
        <f t="shared" ca="1" si="1594"/>
        <v>0</v>
      </c>
      <c r="BG999" s="1910">
        <f t="shared" ca="1" si="1595"/>
        <v>0</v>
      </c>
      <c r="BH999" s="2694">
        <f t="shared" ca="1" si="1596"/>
        <v>0</v>
      </c>
      <c r="BI999" s="2695">
        <f t="shared" ca="1" si="1597"/>
        <v>0</v>
      </c>
    </row>
    <row r="1000" spans="1:61" s="34" customFormat="1" ht="14.5">
      <c r="A1000" s="1693">
        <f t="shared" si="1574"/>
        <v>992</v>
      </c>
      <c r="B1000" s="616">
        <v>1</v>
      </c>
      <c r="C1000" s="1693">
        <f t="shared" si="1567"/>
        <v>1000</v>
      </c>
      <c r="D1000" s="616">
        <v>1</v>
      </c>
      <c r="F1000" s="454"/>
      <c r="G1000" s="4"/>
      <c r="H1000" s="4"/>
      <c r="I1000" s="4"/>
      <c r="J1000" s="363"/>
      <c r="K1000" s="4"/>
      <c r="L1000" s="3"/>
      <c r="M1000" s="4"/>
      <c r="N1000" s="3"/>
      <c r="O1000" s="41"/>
      <c r="P1000" s="41" t="s">
        <v>2</v>
      </c>
      <c r="Q1000" s="41"/>
      <c r="R1000" s="1778" t="str">
        <f>CHOOSE(2, "6722000003911", "HC IP FE/TTOC Administration Total Others")</f>
        <v>HC IP FE/TTOC Administration Total Others</v>
      </c>
      <c r="S1000" s="1212"/>
      <c r="T1000" s="1212"/>
      <c r="U1000" s="1212"/>
      <c r="V1000" s="1212"/>
      <c r="W1000" s="1212"/>
      <c r="X1000" s="1212"/>
      <c r="Y1000" s="1212"/>
      <c r="Z1000" s="1212"/>
      <c r="AA1000" s="1212"/>
      <c r="AB1000" s="1212"/>
      <c r="AC1000" s="1212"/>
      <c r="AD1000" s="1212"/>
      <c r="AE1000" s="877">
        <f>U1000</f>
        <v>0</v>
      </c>
      <c r="AF1000" s="40">
        <f>X1000</f>
        <v>0</v>
      </c>
      <c r="AG1000" s="40">
        <f>AA1000</f>
        <v>0</v>
      </c>
      <c r="AH1000" s="40">
        <f>AD1000</f>
        <v>0</v>
      </c>
      <c r="AI1000" s="40">
        <f>AF1000</f>
        <v>0</v>
      </c>
      <c r="AJ1000" s="40">
        <f>AH1000</f>
        <v>0</v>
      </c>
      <c r="AK1000" s="40">
        <f>AJ1000</f>
        <v>0</v>
      </c>
      <c r="AM1000" s="1910">
        <f t="shared" ca="1" si="1577"/>
        <v>0</v>
      </c>
      <c r="AN1000" s="1910">
        <f t="shared" ca="1" si="1578"/>
        <v>0</v>
      </c>
      <c r="AO1000" s="2694">
        <f t="shared" ca="1" si="1579"/>
        <v>0</v>
      </c>
      <c r="AP1000" s="2695">
        <f t="shared" ca="1" si="1580"/>
        <v>0</v>
      </c>
      <c r="AQ1000" s="1910">
        <f t="shared" ca="1" si="1581"/>
        <v>0</v>
      </c>
      <c r="AR1000" s="2694">
        <f t="shared" ca="1" si="1582"/>
        <v>0</v>
      </c>
      <c r="AS1000" s="2695">
        <f t="shared" ca="1" si="1583"/>
        <v>0</v>
      </c>
      <c r="AU1000" s="1910">
        <f t="shared" ca="1" si="1584"/>
        <v>0</v>
      </c>
      <c r="AV1000" s="1910">
        <f t="shared" ca="1" si="1585"/>
        <v>0</v>
      </c>
      <c r="AW1000" s="2694">
        <f t="shared" ca="1" si="1586"/>
        <v>0</v>
      </c>
      <c r="AX1000" s="2695">
        <f t="shared" ca="1" si="1587"/>
        <v>0</v>
      </c>
      <c r="AY1000" s="1910">
        <f t="shared" ca="1" si="1588"/>
        <v>0</v>
      </c>
      <c r="AZ1000" s="2694">
        <f t="shared" ca="1" si="1589"/>
        <v>0</v>
      </c>
      <c r="BA1000" s="2695">
        <f t="shared" ca="1" si="1590"/>
        <v>0</v>
      </c>
      <c r="BC1000" s="1910">
        <f t="shared" ca="1" si="1591"/>
        <v>0</v>
      </c>
      <c r="BD1000" s="1910">
        <f t="shared" ca="1" si="1592"/>
        <v>0</v>
      </c>
      <c r="BE1000" s="2694">
        <f t="shared" ca="1" si="1593"/>
        <v>0</v>
      </c>
      <c r="BF1000" s="2695">
        <f t="shared" ca="1" si="1594"/>
        <v>0</v>
      </c>
      <c r="BG1000" s="1910">
        <f t="shared" ca="1" si="1595"/>
        <v>0</v>
      </c>
      <c r="BH1000" s="2694">
        <f t="shared" ca="1" si="1596"/>
        <v>0</v>
      </c>
      <c r="BI1000" s="2695">
        <f t="shared" ca="1" si="1597"/>
        <v>0</v>
      </c>
    </row>
    <row r="1001" spans="1:61" s="34" customFormat="1" ht="14.5">
      <c r="A1001" s="1693">
        <f t="shared" si="1574"/>
        <v>993</v>
      </c>
      <c r="B1001" s="616">
        <v>1</v>
      </c>
      <c r="C1001" s="1693">
        <f t="shared" si="1567"/>
        <v>1001</v>
      </c>
      <c r="D1001" s="616">
        <v>1</v>
      </c>
      <c r="E1001" s="709" t="s">
        <v>512</v>
      </c>
      <c r="F1001" s="1572"/>
      <c r="G1001" s="4"/>
      <c r="H1001" s="4"/>
      <c r="I1001" s="4"/>
      <c r="J1001" s="363"/>
      <c r="K1001" s="252" t="s">
        <v>139</v>
      </c>
      <c r="L1001" s="251"/>
      <c r="M1001" s="252"/>
      <c r="N1001" s="252"/>
      <c r="O1001" s="251"/>
      <c r="P1001" s="43"/>
      <c r="Q1001" s="251"/>
      <c r="R1001" s="1786" t="str">
        <f>CHOOSE(2, "6722000003912", "HC IP FE/TTOC Logistics Total")</f>
        <v>HC IP FE/TTOC Logistics Total</v>
      </c>
      <c r="S1001" s="1380">
        <f>SUM(S1002:S1004)</f>
        <v>0</v>
      </c>
      <c r="T1001" s="1380">
        <v>0</v>
      </c>
      <c r="U1001" s="1380">
        <f t="shared" ref="U1001:AD1001" si="1606">SUM(U1002:U1004)</f>
        <v>0</v>
      </c>
      <c r="V1001" s="1380">
        <f t="shared" si="1606"/>
        <v>0</v>
      </c>
      <c r="W1001" s="1380">
        <f t="shared" si="1606"/>
        <v>0</v>
      </c>
      <c r="X1001" s="1380">
        <f t="shared" si="1606"/>
        <v>0</v>
      </c>
      <c r="Y1001" s="1380">
        <f t="shared" si="1606"/>
        <v>0</v>
      </c>
      <c r="Z1001" s="1380">
        <f t="shared" si="1606"/>
        <v>0</v>
      </c>
      <c r="AA1001" s="1380">
        <f t="shared" si="1606"/>
        <v>0</v>
      </c>
      <c r="AB1001" s="1380">
        <v>0</v>
      </c>
      <c r="AC1001" s="1380">
        <f t="shared" si="1606"/>
        <v>0</v>
      </c>
      <c r="AD1001" s="1380">
        <f t="shared" si="1606"/>
        <v>0</v>
      </c>
      <c r="AE1001" s="782">
        <f t="shared" ref="AE1001:AK1001" si="1607">SUM(AE1002:AE1004)</f>
        <v>0</v>
      </c>
      <c r="AF1001" s="1380">
        <f t="shared" si="1607"/>
        <v>0</v>
      </c>
      <c r="AG1001" s="1380">
        <f t="shared" si="1607"/>
        <v>0</v>
      </c>
      <c r="AH1001" s="1380">
        <f t="shared" si="1607"/>
        <v>0</v>
      </c>
      <c r="AI1001" s="1380">
        <f t="shared" si="1607"/>
        <v>0</v>
      </c>
      <c r="AJ1001" s="1380">
        <f t="shared" si="1607"/>
        <v>0</v>
      </c>
      <c r="AK1001" s="1380">
        <f t="shared" si="1607"/>
        <v>0</v>
      </c>
      <c r="AM1001" s="2252">
        <f t="shared" ca="1" si="1577"/>
        <v>0</v>
      </c>
      <c r="AN1001" s="2252">
        <f t="shared" ca="1" si="1578"/>
        <v>0</v>
      </c>
      <c r="AO1001" s="2952">
        <f t="shared" ca="1" si="1579"/>
        <v>0</v>
      </c>
      <c r="AP1001" s="2953">
        <f t="shared" ca="1" si="1580"/>
        <v>0</v>
      </c>
      <c r="AQ1001" s="2252">
        <f t="shared" ca="1" si="1581"/>
        <v>0</v>
      </c>
      <c r="AR1001" s="2952">
        <f t="shared" ca="1" si="1582"/>
        <v>0</v>
      </c>
      <c r="AS1001" s="2953">
        <f t="shared" ca="1" si="1583"/>
        <v>0</v>
      </c>
      <c r="AU1001" s="2252">
        <f t="shared" ca="1" si="1584"/>
        <v>0</v>
      </c>
      <c r="AV1001" s="2252">
        <f t="shared" ca="1" si="1585"/>
        <v>0</v>
      </c>
      <c r="AW1001" s="2952">
        <f t="shared" ca="1" si="1586"/>
        <v>0</v>
      </c>
      <c r="AX1001" s="2953">
        <f t="shared" ca="1" si="1587"/>
        <v>0</v>
      </c>
      <c r="AY1001" s="2252">
        <f t="shared" ca="1" si="1588"/>
        <v>0</v>
      </c>
      <c r="AZ1001" s="2952">
        <f t="shared" ca="1" si="1589"/>
        <v>0</v>
      </c>
      <c r="BA1001" s="2953">
        <f t="shared" ca="1" si="1590"/>
        <v>0</v>
      </c>
      <c r="BC1001" s="2252">
        <f t="shared" ca="1" si="1591"/>
        <v>0</v>
      </c>
      <c r="BD1001" s="2252">
        <f t="shared" ca="1" si="1592"/>
        <v>0</v>
      </c>
      <c r="BE1001" s="2952">
        <f t="shared" ca="1" si="1593"/>
        <v>0</v>
      </c>
      <c r="BF1001" s="2953">
        <f t="shared" ca="1" si="1594"/>
        <v>0</v>
      </c>
      <c r="BG1001" s="2252">
        <f t="shared" ca="1" si="1595"/>
        <v>0</v>
      </c>
      <c r="BH1001" s="2952">
        <f t="shared" ca="1" si="1596"/>
        <v>0</v>
      </c>
      <c r="BI1001" s="2953">
        <f t="shared" ca="1" si="1597"/>
        <v>0</v>
      </c>
    </row>
    <row r="1002" spans="1:61" s="34" customFormat="1" ht="14.5">
      <c r="A1002" s="1693">
        <f t="shared" si="1574"/>
        <v>994</v>
      </c>
      <c r="B1002" s="616">
        <v>1</v>
      </c>
      <c r="C1002" s="1693">
        <f t="shared" si="1567"/>
        <v>1002</v>
      </c>
      <c r="D1002" s="616">
        <v>1</v>
      </c>
      <c r="F1002" s="454"/>
      <c r="G1002" s="4"/>
      <c r="H1002" s="4"/>
      <c r="I1002" s="4"/>
      <c r="J1002" s="363"/>
      <c r="K1002" s="4"/>
      <c r="L1002" s="3"/>
      <c r="M1002" s="4"/>
      <c r="N1002" s="3"/>
      <c r="O1002" s="41"/>
      <c r="P1002" s="41" t="s">
        <v>21</v>
      </c>
      <c r="Q1002" s="41"/>
      <c r="R1002" s="1778" t="str">
        <f>CHOOSE(2, "6722000003913", "HC IP FE/TTOC Logistics Total Administration")</f>
        <v>HC IP FE/TTOC Logistics Total Administration</v>
      </c>
      <c r="S1002" s="1212"/>
      <c r="T1002" s="1212"/>
      <c r="U1002" s="1212"/>
      <c r="V1002" s="1212"/>
      <c r="W1002" s="1212"/>
      <c r="X1002" s="1212"/>
      <c r="Y1002" s="1212"/>
      <c r="Z1002" s="1212"/>
      <c r="AA1002" s="1212"/>
      <c r="AB1002" s="1212"/>
      <c r="AC1002" s="1212"/>
      <c r="AD1002" s="1212"/>
      <c r="AE1002" s="877">
        <f>U1002</f>
        <v>0</v>
      </c>
      <c r="AF1002" s="40">
        <f>X1002</f>
        <v>0</v>
      </c>
      <c r="AG1002" s="40">
        <f>AA1002</f>
        <v>0</v>
      </c>
      <c r="AH1002" s="40">
        <f>AD1002</f>
        <v>0</v>
      </c>
      <c r="AI1002" s="40">
        <f>AF1002</f>
        <v>0</v>
      </c>
      <c r="AJ1002" s="40">
        <f>AH1002</f>
        <v>0</v>
      </c>
      <c r="AK1002" s="40">
        <f>AJ1002</f>
        <v>0</v>
      </c>
      <c r="AM1002" s="1910">
        <f t="shared" ca="1" si="1577"/>
        <v>0</v>
      </c>
      <c r="AN1002" s="1910">
        <f t="shared" ca="1" si="1578"/>
        <v>0</v>
      </c>
      <c r="AO1002" s="2694">
        <f t="shared" ca="1" si="1579"/>
        <v>0</v>
      </c>
      <c r="AP1002" s="2695">
        <f t="shared" ca="1" si="1580"/>
        <v>0</v>
      </c>
      <c r="AQ1002" s="1910">
        <f t="shared" ca="1" si="1581"/>
        <v>0</v>
      </c>
      <c r="AR1002" s="2694">
        <f t="shared" ca="1" si="1582"/>
        <v>0</v>
      </c>
      <c r="AS1002" s="2695">
        <f t="shared" ca="1" si="1583"/>
        <v>0</v>
      </c>
      <c r="AU1002" s="1910">
        <f t="shared" ca="1" si="1584"/>
        <v>0</v>
      </c>
      <c r="AV1002" s="1910">
        <f t="shared" ca="1" si="1585"/>
        <v>0</v>
      </c>
      <c r="AW1002" s="2694">
        <f t="shared" ca="1" si="1586"/>
        <v>0</v>
      </c>
      <c r="AX1002" s="2695">
        <f t="shared" ca="1" si="1587"/>
        <v>0</v>
      </c>
      <c r="AY1002" s="1910">
        <f t="shared" ca="1" si="1588"/>
        <v>0</v>
      </c>
      <c r="AZ1002" s="2694">
        <f t="shared" ca="1" si="1589"/>
        <v>0</v>
      </c>
      <c r="BA1002" s="2695">
        <f t="shared" ca="1" si="1590"/>
        <v>0</v>
      </c>
      <c r="BC1002" s="1910">
        <f t="shared" ca="1" si="1591"/>
        <v>0</v>
      </c>
      <c r="BD1002" s="1910">
        <f t="shared" ca="1" si="1592"/>
        <v>0</v>
      </c>
      <c r="BE1002" s="2694">
        <f t="shared" ca="1" si="1593"/>
        <v>0</v>
      </c>
      <c r="BF1002" s="2695">
        <f t="shared" ca="1" si="1594"/>
        <v>0</v>
      </c>
      <c r="BG1002" s="1910">
        <f t="shared" ca="1" si="1595"/>
        <v>0</v>
      </c>
      <c r="BH1002" s="2694">
        <f t="shared" ca="1" si="1596"/>
        <v>0</v>
      </c>
      <c r="BI1002" s="2695">
        <f t="shared" ca="1" si="1597"/>
        <v>0</v>
      </c>
    </row>
    <row r="1003" spans="1:61" s="34" customFormat="1" ht="14.5">
      <c r="A1003" s="1693">
        <f t="shared" si="1574"/>
        <v>995</v>
      </c>
      <c r="B1003" s="616">
        <v>1</v>
      </c>
      <c r="C1003" s="1693">
        <f t="shared" si="1567"/>
        <v>1003</v>
      </c>
      <c r="D1003" s="616">
        <v>1</v>
      </c>
      <c r="F1003" s="454"/>
      <c r="G1003" s="4"/>
      <c r="H1003" s="4"/>
      <c r="I1003" s="4"/>
      <c r="J1003" s="363"/>
      <c r="K1003" s="4"/>
      <c r="L1003" s="3"/>
      <c r="M1003" s="4"/>
      <c r="N1003" s="3"/>
      <c r="O1003" s="41"/>
      <c r="P1003" s="41" t="s">
        <v>22</v>
      </c>
      <c r="Q1003" s="41"/>
      <c r="R1003" s="1778" t="str">
        <f>CHOOSE(2, "6722000003914", "HC IP FE/TTOC Logistics Total Warehouse")</f>
        <v>HC IP FE/TTOC Logistics Total Warehouse</v>
      </c>
      <c r="S1003" s="1212"/>
      <c r="T1003" s="1212"/>
      <c r="U1003" s="1212"/>
      <c r="V1003" s="1212"/>
      <c r="W1003" s="1212"/>
      <c r="X1003" s="1212"/>
      <c r="Y1003" s="1212"/>
      <c r="Z1003" s="1212"/>
      <c r="AA1003" s="1212"/>
      <c r="AB1003" s="1212"/>
      <c r="AC1003" s="1212"/>
      <c r="AD1003" s="1212"/>
      <c r="AE1003" s="877">
        <f>U1003</f>
        <v>0</v>
      </c>
      <c r="AF1003" s="40">
        <f>X1003</f>
        <v>0</v>
      </c>
      <c r="AG1003" s="40">
        <f>AA1003</f>
        <v>0</v>
      </c>
      <c r="AH1003" s="40">
        <f>AD1003</f>
        <v>0</v>
      </c>
      <c r="AI1003" s="40">
        <f>AF1003</f>
        <v>0</v>
      </c>
      <c r="AJ1003" s="40">
        <f>AH1003</f>
        <v>0</v>
      </c>
      <c r="AK1003" s="40">
        <f>AJ1003</f>
        <v>0</v>
      </c>
      <c r="AM1003" s="1910">
        <f t="shared" ca="1" si="1577"/>
        <v>0</v>
      </c>
      <c r="AN1003" s="1910">
        <f t="shared" ca="1" si="1578"/>
        <v>0</v>
      </c>
      <c r="AO1003" s="2694">
        <f t="shared" ca="1" si="1579"/>
        <v>0</v>
      </c>
      <c r="AP1003" s="2695">
        <f t="shared" ca="1" si="1580"/>
        <v>0</v>
      </c>
      <c r="AQ1003" s="1910">
        <f t="shared" ca="1" si="1581"/>
        <v>0</v>
      </c>
      <c r="AR1003" s="2694">
        <f t="shared" ca="1" si="1582"/>
        <v>0</v>
      </c>
      <c r="AS1003" s="2695">
        <f t="shared" ca="1" si="1583"/>
        <v>0</v>
      </c>
      <c r="AU1003" s="1910">
        <f t="shared" ca="1" si="1584"/>
        <v>0</v>
      </c>
      <c r="AV1003" s="1910">
        <f t="shared" ca="1" si="1585"/>
        <v>0</v>
      </c>
      <c r="AW1003" s="2694">
        <f t="shared" ca="1" si="1586"/>
        <v>0</v>
      </c>
      <c r="AX1003" s="2695">
        <f t="shared" ca="1" si="1587"/>
        <v>0</v>
      </c>
      <c r="AY1003" s="1910">
        <f t="shared" ca="1" si="1588"/>
        <v>0</v>
      </c>
      <c r="AZ1003" s="2694">
        <f t="shared" ca="1" si="1589"/>
        <v>0</v>
      </c>
      <c r="BA1003" s="2695">
        <f t="shared" ca="1" si="1590"/>
        <v>0</v>
      </c>
      <c r="BC1003" s="1910">
        <f t="shared" ca="1" si="1591"/>
        <v>0</v>
      </c>
      <c r="BD1003" s="1910">
        <f t="shared" ca="1" si="1592"/>
        <v>0</v>
      </c>
      <c r="BE1003" s="2694">
        <f t="shared" ca="1" si="1593"/>
        <v>0</v>
      </c>
      <c r="BF1003" s="2695">
        <f t="shared" ca="1" si="1594"/>
        <v>0</v>
      </c>
      <c r="BG1003" s="1910">
        <f t="shared" ca="1" si="1595"/>
        <v>0</v>
      </c>
      <c r="BH1003" s="2694">
        <f t="shared" ca="1" si="1596"/>
        <v>0</v>
      </c>
      <c r="BI1003" s="2695">
        <f t="shared" ca="1" si="1597"/>
        <v>0</v>
      </c>
    </row>
    <row r="1004" spans="1:61" s="34" customFormat="1" ht="14.5">
      <c r="A1004" s="1693">
        <f t="shared" si="1574"/>
        <v>996</v>
      </c>
      <c r="B1004" s="616">
        <v>1</v>
      </c>
      <c r="C1004" s="1693">
        <f t="shared" si="1567"/>
        <v>1004</v>
      </c>
      <c r="D1004" s="616">
        <v>1</v>
      </c>
      <c r="F1004" s="454"/>
      <c r="G1004" s="4"/>
      <c r="H1004" s="4"/>
      <c r="I1004" s="4"/>
      <c r="J1004" s="364"/>
      <c r="K1004" s="2"/>
      <c r="L1004" s="1"/>
      <c r="M1004" s="2"/>
      <c r="N1004" s="1"/>
      <c r="O1004" s="39"/>
      <c r="P1004" s="39" t="s">
        <v>23</v>
      </c>
      <c r="Q1004" s="39"/>
      <c r="R1004" s="1778" t="str">
        <f>CHOOSE(2, "6722000003915", "HC IP FE/TTOC Logistics Total Workshop")</f>
        <v>HC IP FE/TTOC Logistics Total Workshop</v>
      </c>
      <c r="S1004" s="1211"/>
      <c r="T1004" s="1211"/>
      <c r="U1004" s="1211"/>
      <c r="V1004" s="1211"/>
      <c r="W1004" s="1211"/>
      <c r="X1004" s="1211"/>
      <c r="Y1004" s="1211"/>
      <c r="Z1004" s="1211"/>
      <c r="AA1004" s="1211"/>
      <c r="AB1004" s="1211"/>
      <c r="AC1004" s="1211"/>
      <c r="AD1004" s="1211"/>
      <c r="AE1004" s="912">
        <f>U1004</f>
        <v>0</v>
      </c>
      <c r="AF1004" s="38">
        <f>X1004</f>
        <v>0</v>
      </c>
      <c r="AG1004" s="38">
        <f>AA1004</f>
        <v>0</v>
      </c>
      <c r="AH1004" s="38">
        <f>AD1004</f>
        <v>0</v>
      </c>
      <c r="AI1004" s="38">
        <f>AF1004</f>
        <v>0</v>
      </c>
      <c r="AJ1004" s="38">
        <f>AH1004</f>
        <v>0</v>
      </c>
      <c r="AK1004" s="38">
        <f>AJ1004</f>
        <v>0</v>
      </c>
      <c r="AM1004" s="2248">
        <f t="shared" ca="1" si="1577"/>
        <v>0</v>
      </c>
      <c r="AN1004" s="2248">
        <f t="shared" ca="1" si="1578"/>
        <v>0</v>
      </c>
      <c r="AO1004" s="2950">
        <f t="shared" ca="1" si="1579"/>
        <v>0</v>
      </c>
      <c r="AP1004" s="2951">
        <f t="shared" ca="1" si="1580"/>
        <v>0</v>
      </c>
      <c r="AQ1004" s="2248">
        <f t="shared" ca="1" si="1581"/>
        <v>0</v>
      </c>
      <c r="AR1004" s="2950">
        <f t="shared" ca="1" si="1582"/>
        <v>0</v>
      </c>
      <c r="AS1004" s="2951">
        <f t="shared" ca="1" si="1583"/>
        <v>0</v>
      </c>
      <c r="AU1004" s="2248">
        <f t="shared" ca="1" si="1584"/>
        <v>0</v>
      </c>
      <c r="AV1004" s="2248">
        <f t="shared" ca="1" si="1585"/>
        <v>0</v>
      </c>
      <c r="AW1004" s="2950">
        <f t="shared" ca="1" si="1586"/>
        <v>0</v>
      </c>
      <c r="AX1004" s="2951">
        <f t="shared" ca="1" si="1587"/>
        <v>0</v>
      </c>
      <c r="AY1004" s="2248">
        <f t="shared" ca="1" si="1588"/>
        <v>0</v>
      </c>
      <c r="AZ1004" s="2950">
        <f t="shared" ca="1" si="1589"/>
        <v>0</v>
      </c>
      <c r="BA1004" s="2951">
        <f t="shared" ca="1" si="1590"/>
        <v>0</v>
      </c>
      <c r="BC1004" s="2248">
        <f t="shared" ca="1" si="1591"/>
        <v>0</v>
      </c>
      <c r="BD1004" s="2248">
        <f t="shared" ca="1" si="1592"/>
        <v>0</v>
      </c>
      <c r="BE1004" s="2950">
        <f t="shared" ca="1" si="1593"/>
        <v>0</v>
      </c>
      <c r="BF1004" s="2951">
        <f t="shared" ca="1" si="1594"/>
        <v>0</v>
      </c>
      <c r="BG1004" s="2248">
        <f t="shared" ca="1" si="1595"/>
        <v>0</v>
      </c>
      <c r="BH1004" s="2950">
        <f t="shared" ca="1" si="1596"/>
        <v>0</v>
      </c>
      <c r="BI1004" s="2951">
        <f t="shared" ca="1" si="1597"/>
        <v>0</v>
      </c>
    </row>
    <row r="1005" spans="1:61" s="34" customFormat="1" ht="14.5">
      <c r="A1005" s="1693">
        <f t="shared" si="1574"/>
        <v>997</v>
      </c>
      <c r="B1005" s="616">
        <v>1</v>
      </c>
      <c r="C1005" s="1693">
        <f t="shared" si="1567"/>
        <v>1005</v>
      </c>
      <c r="D1005" s="616">
        <v>1</v>
      </c>
      <c r="E1005" s="709" t="s">
        <v>512</v>
      </c>
      <c r="F1005" s="1572"/>
      <c r="G1005" s="4"/>
      <c r="H1005" s="4"/>
      <c r="I1005" s="4"/>
      <c r="J1005" s="246" t="s">
        <v>182</v>
      </c>
      <c r="K1005" s="247"/>
      <c r="L1005" s="248"/>
      <c r="M1005" s="248"/>
      <c r="N1005" s="247"/>
      <c r="O1005" s="247"/>
      <c r="P1005" s="247"/>
      <c r="Q1005" s="247"/>
      <c r="R1005" s="1790" t="str">
        <f>CHOOSE(2, "6722000003916", "HC IP Semi-Full-Time/Part-Time Employees /Contractors")</f>
        <v>HC IP Semi-Full-Time/Part-Time Employees /Contractors</v>
      </c>
      <c r="S1005" s="1243"/>
      <c r="T1005" s="1243"/>
      <c r="U1005" s="1243"/>
      <c r="V1005" s="1243"/>
      <c r="W1005" s="1243"/>
      <c r="X1005" s="1243"/>
      <c r="Y1005" s="1243"/>
      <c r="Z1005" s="1243"/>
      <c r="AA1005" s="1243"/>
      <c r="AB1005" s="1243">
        <v>0</v>
      </c>
      <c r="AC1005" s="1243"/>
      <c r="AD1005" s="1243"/>
      <c r="AE1005" s="913">
        <f>U1005</f>
        <v>0</v>
      </c>
      <c r="AF1005" s="250">
        <f>X1005</f>
        <v>0</v>
      </c>
      <c r="AG1005" s="250">
        <f>AA1005</f>
        <v>0</v>
      </c>
      <c r="AH1005" s="250">
        <f>AD1005</f>
        <v>0</v>
      </c>
      <c r="AI1005" s="250">
        <f>AF1005</f>
        <v>0</v>
      </c>
      <c r="AJ1005" s="250">
        <f>AH1005</f>
        <v>0</v>
      </c>
      <c r="AK1005" s="250">
        <f>AJ1005</f>
        <v>0</v>
      </c>
      <c r="AM1005" s="2256">
        <f t="shared" ca="1" si="1577"/>
        <v>0</v>
      </c>
      <c r="AN1005" s="2256">
        <f t="shared" ca="1" si="1578"/>
        <v>0</v>
      </c>
      <c r="AO1005" s="2849">
        <f t="shared" ca="1" si="1579"/>
        <v>0</v>
      </c>
      <c r="AP1005" s="2850">
        <f t="shared" ca="1" si="1580"/>
        <v>0</v>
      </c>
      <c r="AQ1005" s="2256">
        <f t="shared" ca="1" si="1581"/>
        <v>0</v>
      </c>
      <c r="AR1005" s="2849">
        <f t="shared" ca="1" si="1582"/>
        <v>0</v>
      </c>
      <c r="AS1005" s="2850">
        <f t="shared" ca="1" si="1583"/>
        <v>0</v>
      </c>
      <c r="AU1005" s="2256">
        <f t="shared" ca="1" si="1584"/>
        <v>0</v>
      </c>
      <c r="AV1005" s="2256">
        <f t="shared" ca="1" si="1585"/>
        <v>0</v>
      </c>
      <c r="AW1005" s="2849">
        <f t="shared" ca="1" si="1586"/>
        <v>0</v>
      </c>
      <c r="AX1005" s="2850">
        <f t="shared" ca="1" si="1587"/>
        <v>0</v>
      </c>
      <c r="AY1005" s="2256">
        <f t="shared" ca="1" si="1588"/>
        <v>0</v>
      </c>
      <c r="AZ1005" s="2849">
        <f t="shared" ca="1" si="1589"/>
        <v>0</v>
      </c>
      <c r="BA1005" s="2850">
        <f t="shared" ca="1" si="1590"/>
        <v>0</v>
      </c>
      <c r="BC1005" s="2256">
        <f t="shared" ca="1" si="1591"/>
        <v>0</v>
      </c>
      <c r="BD1005" s="2256">
        <f t="shared" ca="1" si="1592"/>
        <v>0</v>
      </c>
      <c r="BE1005" s="2849">
        <f t="shared" ca="1" si="1593"/>
        <v>0</v>
      </c>
      <c r="BF1005" s="2850">
        <f t="shared" ca="1" si="1594"/>
        <v>0</v>
      </c>
      <c r="BG1005" s="2256">
        <f t="shared" ca="1" si="1595"/>
        <v>0</v>
      </c>
      <c r="BH1005" s="2849">
        <f t="shared" ca="1" si="1596"/>
        <v>0</v>
      </c>
      <c r="BI1005" s="2850">
        <f t="shared" ca="1" si="1597"/>
        <v>0</v>
      </c>
    </row>
    <row r="1006" spans="1:61" s="34" customFormat="1" ht="14.5">
      <c r="A1006" s="1693">
        <f t="shared" si="1574"/>
        <v>998</v>
      </c>
      <c r="B1006" s="616">
        <v>1</v>
      </c>
      <c r="C1006" s="1693">
        <f t="shared" si="1567"/>
        <v>1006</v>
      </c>
      <c r="D1006" s="616">
        <v>1</v>
      </c>
      <c r="E1006" s="709" t="s">
        <v>512</v>
      </c>
      <c r="F1006" s="1572"/>
      <c r="G1006" s="35"/>
      <c r="H1006" s="35"/>
      <c r="I1006" s="4"/>
      <c r="J1006" s="35"/>
      <c r="K1006" s="36"/>
      <c r="L1006" s="35"/>
      <c r="M1006" s="35"/>
      <c r="N1006" s="35"/>
      <c r="O1006" s="35"/>
      <c r="P1006" s="35"/>
      <c r="Q1006" s="35"/>
      <c r="R1006" s="1773" t="str">
        <f>CHOOSE(2, "6722000003917", "▷ Blank 30")</f>
        <v>▷ Blank 30</v>
      </c>
      <c r="S1006" s="1608"/>
      <c r="T1006" s="1609"/>
      <c r="U1006" s="1609"/>
      <c r="V1006" s="1609"/>
      <c r="W1006" s="1609"/>
      <c r="X1006" s="1609"/>
      <c r="Y1006" s="1627"/>
      <c r="Z1006" s="1627"/>
      <c r="AA1006" s="1627"/>
      <c r="AB1006" s="1627"/>
      <c r="AC1006" s="454"/>
      <c r="AD1006" s="454"/>
      <c r="AE1006" s="454"/>
      <c r="AF1006" s="454"/>
      <c r="AG1006" s="454"/>
      <c r="AH1006" s="454"/>
      <c r="AI1006" s="454"/>
      <c r="AJ1006" s="454"/>
      <c r="AK1006" s="454"/>
    </row>
    <row r="1007" spans="1:61" s="34" customFormat="1" ht="14.5">
      <c r="A1007" s="1693">
        <f t="shared" si="1574"/>
        <v>999</v>
      </c>
      <c r="B1007" s="616">
        <v>1</v>
      </c>
      <c r="C1007" s="1693">
        <f t="shared" si="1567"/>
        <v>1007</v>
      </c>
      <c r="D1007" s="616">
        <v>1</v>
      </c>
      <c r="E1007" s="709" t="s">
        <v>512</v>
      </c>
      <c r="F1007" s="1572"/>
      <c r="G1007" s="4"/>
      <c r="H1007" s="4"/>
      <c r="I1007" s="4" t="s">
        <v>285</v>
      </c>
      <c r="J1007" s="4"/>
      <c r="K1007" s="3"/>
      <c r="L1007" s="4"/>
      <c r="M1007" s="4"/>
      <c r="N1007" s="3"/>
      <c r="O1007" s="3"/>
      <c r="P1007" s="3"/>
      <c r="Q1007" s="3"/>
      <c r="R1007" s="1773" t="str">
        <f>CHOOSE(2, "6722000003918", "HC (4) MS (Marketing Service)")</f>
        <v>HC (4) MS (Marketing Service)</v>
      </c>
      <c r="S1007" s="1608"/>
      <c r="T1007" s="1609"/>
      <c r="U1007" s="1609"/>
      <c r="V1007" s="1609"/>
      <c r="W1007" s="1609"/>
      <c r="X1007" s="1609"/>
      <c r="Y1007" s="1609"/>
      <c r="Z1007" s="1609"/>
      <c r="AA1007" s="1609"/>
      <c r="AB1007" s="1609"/>
      <c r="AC1007" s="454"/>
      <c r="AD1007" s="454"/>
      <c r="AE1007" s="454"/>
      <c r="AF1007" s="454"/>
      <c r="AG1007" s="454"/>
      <c r="AH1007" s="454"/>
      <c r="AI1007" s="454"/>
      <c r="AJ1007" s="454"/>
      <c r="AK1007" s="454"/>
    </row>
    <row r="1008" spans="1:61" s="34" customFormat="1" ht="14.5">
      <c r="A1008" s="1693">
        <f t="shared" si="1574"/>
        <v>1000</v>
      </c>
      <c r="B1008" s="616">
        <v>1</v>
      </c>
      <c r="C1008" s="1693">
        <f t="shared" si="1567"/>
        <v>1008</v>
      </c>
      <c r="D1008" s="616">
        <v>1</v>
      </c>
      <c r="E1008" s="709" t="s">
        <v>512</v>
      </c>
      <c r="F1008" s="1572"/>
      <c r="G1008" s="4"/>
      <c r="H1008" s="4"/>
      <c r="I1008" s="268"/>
      <c r="J1008" s="253" t="s">
        <v>203</v>
      </c>
      <c r="K1008" s="254"/>
      <c r="L1008" s="255"/>
      <c r="M1008" s="255"/>
      <c r="N1008" s="254"/>
      <c r="O1008" s="254"/>
      <c r="P1008" s="254"/>
      <c r="Q1008" s="595"/>
      <c r="R1008" s="1808" t="str">
        <f>CHOOSE(2, "6722000003919", "HC MS FE/TTOC")</f>
        <v>HC MS FE/TTOC</v>
      </c>
      <c r="S1008" s="1314">
        <f t="shared" ref="S1008:AD1008" si="1608">S1009+S1014+S1020+S1025+S1031</f>
        <v>0</v>
      </c>
      <c r="T1008" s="1189">
        <f t="shared" si="1608"/>
        <v>0</v>
      </c>
      <c r="U1008" s="1189">
        <f t="shared" si="1608"/>
        <v>0</v>
      </c>
      <c r="V1008" s="1189">
        <f t="shared" si="1608"/>
        <v>0</v>
      </c>
      <c r="W1008" s="1189">
        <f t="shared" si="1608"/>
        <v>0</v>
      </c>
      <c r="X1008" s="1189">
        <f t="shared" si="1608"/>
        <v>0</v>
      </c>
      <c r="Y1008" s="1189">
        <f t="shared" si="1608"/>
        <v>0</v>
      </c>
      <c r="Z1008" s="1189">
        <f t="shared" si="1608"/>
        <v>0</v>
      </c>
      <c r="AA1008" s="1189">
        <f t="shared" si="1608"/>
        <v>0</v>
      </c>
      <c r="AB1008" s="1189">
        <f t="shared" si="1608"/>
        <v>0</v>
      </c>
      <c r="AC1008" s="1189">
        <f t="shared" si="1608"/>
        <v>0</v>
      </c>
      <c r="AD1008" s="1189">
        <f t="shared" si="1608"/>
        <v>0</v>
      </c>
      <c r="AE1008" s="550">
        <f t="shared" ref="AE1008:AK1008" si="1609">AE1009+AE1014+AE1020+AE1025+AE1031</f>
        <v>0</v>
      </c>
      <c r="AF1008" s="109">
        <f t="shared" si="1609"/>
        <v>0</v>
      </c>
      <c r="AG1008" s="109">
        <f t="shared" si="1609"/>
        <v>0</v>
      </c>
      <c r="AH1008" s="109">
        <f t="shared" si="1609"/>
        <v>0</v>
      </c>
      <c r="AI1008" s="109">
        <f t="shared" si="1609"/>
        <v>0</v>
      </c>
      <c r="AJ1008" s="109">
        <f t="shared" si="1609"/>
        <v>0</v>
      </c>
      <c r="AK1008" s="109">
        <f t="shared" si="1609"/>
        <v>0</v>
      </c>
      <c r="AM1008" s="2272">
        <f t="shared" ref="AM1008:AM1035" ca="1" si="1610">INDIRECT(AM$3&amp;(ROW()))</f>
        <v>0</v>
      </c>
      <c r="AN1008" s="2050">
        <f t="shared" ref="AN1008:AN1035" ca="1" si="1611">INDIRECT(AN$1&amp;AN$3&amp;$C1008)</f>
        <v>0</v>
      </c>
      <c r="AO1008" s="2815">
        <f t="shared" ref="AO1008:AO1035" ca="1" si="1612">AM1008-AN1008</f>
        <v>0</v>
      </c>
      <c r="AP1008" s="2816">
        <f t="shared" ref="AP1008:AP1035" ca="1" si="1613">IFERROR(AM1008/AN1008,0)</f>
        <v>0</v>
      </c>
      <c r="AQ1008" s="2050">
        <f t="shared" ref="AQ1008:AQ1035" ca="1" si="1614">INDIRECT(AQ$1&amp;AQ$3&amp;$A1008)+INDIRECT(AQ$1&amp;AQ$3&amp;$B1008)</f>
        <v>0</v>
      </c>
      <c r="AR1008" s="2815">
        <f t="shared" ref="AR1008:AR1035" ca="1" si="1615">AM1008-AQ1008</f>
        <v>0</v>
      </c>
      <c r="AS1008" s="2816">
        <f t="shared" ref="AS1008:AS1035" ca="1" si="1616">IFERROR(AM1008/AQ1008,0)</f>
        <v>0</v>
      </c>
      <c r="AU1008" s="2272">
        <f t="shared" ref="AU1008:AU1035" ca="1" si="1617">INDIRECT(AU$3&amp;(ROW()))</f>
        <v>0</v>
      </c>
      <c r="AV1008" s="2050">
        <f t="shared" ref="AV1008:AV1035" ca="1" si="1618">INDIRECT(AV$1&amp;AV$3&amp;$C1008)</f>
        <v>0</v>
      </c>
      <c r="AW1008" s="2815">
        <f t="shared" ref="AW1008:AW1035" ca="1" si="1619">AU1008-AV1008</f>
        <v>0</v>
      </c>
      <c r="AX1008" s="2816">
        <f t="shared" ref="AX1008:AX1035" ca="1" si="1620">IFERROR(AU1008/AV1008,0)</f>
        <v>0</v>
      </c>
      <c r="AY1008" s="2050">
        <f t="shared" ref="AY1008:AY1035" ca="1" si="1621">INDIRECT(AY$1&amp;AY$3&amp;$A1008)+INDIRECT(AY$1&amp;AY$3&amp;$B1008)</f>
        <v>0</v>
      </c>
      <c r="AZ1008" s="2815">
        <f t="shared" ref="AZ1008:AZ1035" ca="1" si="1622">AU1008-AY1008</f>
        <v>0</v>
      </c>
      <c r="BA1008" s="2816">
        <f t="shared" ref="BA1008:BA1035" ca="1" si="1623">IFERROR(AU1008/AY1008,0)</f>
        <v>0</v>
      </c>
      <c r="BC1008" s="2272">
        <f t="shared" ref="BC1008:BC1035" ca="1" si="1624">INDIRECT(BC$3&amp;(ROW()))</f>
        <v>0</v>
      </c>
      <c r="BD1008" s="2050">
        <f t="shared" ref="BD1008:BD1035" ca="1" si="1625">INDIRECT(BD$1&amp;BD$3&amp;$C1008)</f>
        <v>0</v>
      </c>
      <c r="BE1008" s="2815">
        <f t="shared" ref="BE1008:BE1035" ca="1" si="1626">BC1008-BD1008</f>
        <v>0</v>
      </c>
      <c r="BF1008" s="2816">
        <f t="shared" ref="BF1008:BF1035" ca="1" si="1627">IFERROR(BC1008/BD1008,0)</f>
        <v>0</v>
      </c>
      <c r="BG1008" s="2050">
        <f t="shared" ref="BG1008:BG1035" ca="1" si="1628">INDIRECT(BG$1&amp;BG$3&amp;$A1008)+INDIRECT(BG$1&amp;BG$3&amp;$B1008)</f>
        <v>0</v>
      </c>
      <c r="BH1008" s="2815">
        <f t="shared" ref="BH1008:BH1035" ca="1" si="1629">BC1008-BG1008</f>
        <v>0</v>
      </c>
      <c r="BI1008" s="2816">
        <f t="shared" ref="BI1008:BI1035" ca="1" si="1630">IFERROR(BC1008/BG1008,0)</f>
        <v>0</v>
      </c>
    </row>
    <row r="1009" spans="1:61" s="34" customFormat="1" ht="14.5">
      <c r="A1009" s="1693">
        <f t="shared" si="1574"/>
        <v>1001</v>
      </c>
      <c r="B1009" s="616">
        <v>1</v>
      </c>
      <c r="C1009" s="1693">
        <f t="shared" si="1567"/>
        <v>1009</v>
      </c>
      <c r="D1009" s="616">
        <v>1</v>
      </c>
      <c r="E1009" s="709" t="s">
        <v>512</v>
      </c>
      <c r="F1009" s="1572"/>
      <c r="G1009" s="4"/>
      <c r="H1009" s="4"/>
      <c r="I1009" s="4"/>
      <c r="J1009" s="256"/>
      <c r="K1009" s="48" t="s">
        <v>46</v>
      </c>
      <c r="L1009" s="47"/>
      <c r="M1009" s="48"/>
      <c r="N1009" s="48"/>
      <c r="O1009" s="47"/>
      <c r="P1009" s="47"/>
      <c r="Q1009" s="47"/>
      <c r="R1009" s="1786" t="str">
        <f>CHOOSE(2, "6722000003920", "HC MS FE/TTOC Sales Total")</f>
        <v>HC MS FE/TTOC Sales Total</v>
      </c>
      <c r="S1009" s="1255">
        <f>SUM(S1010:S1013)</f>
        <v>0</v>
      </c>
      <c r="T1009" s="1255">
        <f t="shared" ref="T1009:AD1009" si="1631">SUM(T1010:T1013)</f>
        <v>0</v>
      </c>
      <c r="U1009" s="1255">
        <f t="shared" si="1631"/>
        <v>0</v>
      </c>
      <c r="V1009" s="1255">
        <f t="shared" si="1631"/>
        <v>0</v>
      </c>
      <c r="W1009" s="1255">
        <f t="shared" si="1631"/>
        <v>0</v>
      </c>
      <c r="X1009" s="1255">
        <f t="shared" si="1631"/>
        <v>0</v>
      </c>
      <c r="Y1009" s="1255">
        <f t="shared" si="1631"/>
        <v>0</v>
      </c>
      <c r="Z1009" s="1255">
        <f t="shared" si="1631"/>
        <v>0</v>
      </c>
      <c r="AA1009" s="1255">
        <f t="shared" si="1631"/>
        <v>0</v>
      </c>
      <c r="AB1009" s="1255">
        <f t="shared" si="1631"/>
        <v>0</v>
      </c>
      <c r="AC1009" s="1255">
        <f t="shared" si="1631"/>
        <v>0</v>
      </c>
      <c r="AD1009" s="1255">
        <f t="shared" si="1631"/>
        <v>0</v>
      </c>
      <c r="AE1009" s="1240">
        <f t="shared" ref="AE1009:AK1009" si="1632">SUM(AE1010:AE1013)</f>
        <v>0</v>
      </c>
      <c r="AF1009" s="1255">
        <f t="shared" si="1632"/>
        <v>0</v>
      </c>
      <c r="AG1009" s="1255">
        <f t="shared" si="1632"/>
        <v>0</v>
      </c>
      <c r="AH1009" s="1255">
        <f t="shared" si="1632"/>
        <v>0</v>
      </c>
      <c r="AI1009" s="1255">
        <f t="shared" si="1632"/>
        <v>0</v>
      </c>
      <c r="AJ1009" s="1255">
        <f t="shared" si="1632"/>
        <v>0</v>
      </c>
      <c r="AK1009" s="1255">
        <f t="shared" si="1632"/>
        <v>0</v>
      </c>
      <c r="AM1009" s="2250">
        <f t="shared" ca="1" si="1610"/>
        <v>0</v>
      </c>
      <c r="AN1009" s="2250">
        <f t="shared" ca="1" si="1611"/>
        <v>0</v>
      </c>
      <c r="AO1009" s="2948">
        <f t="shared" ca="1" si="1612"/>
        <v>0</v>
      </c>
      <c r="AP1009" s="2949">
        <f t="shared" ca="1" si="1613"/>
        <v>0</v>
      </c>
      <c r="AQ1009" s="2250">
        <f t="shared" ca="1" si="1614"/>
        <v>0</v>
      </c>
      <c r="AR1009" s="2948">
        <f t="shared" ca="1" si="1615"/>
        <v>0</v>
      </c>
      <c r="AS1009" s="2949">
        <f t="shared" ca="1" si="1616"/>
        <v>0</v>
      </c>
      <c r="AU1009" s="2250">
        <f t="shared" ca="1" si="1617"/>
        <v>0</v>
      </c>
      <c r="AV1009" s="2250">
        <f t="shared" ca="1" si="1618"/>
        <v>0</v>
      </c>
      <c r="AW1009" s="2948">
        <f t="shared" ca="1" si="1619"/>
        <v>0</v>
      </c>
      <c r="AX1009" s="2949">
        <f t="shared" ca="1" si="1620"/>
        <v>0</v>
      </c>
      <c r="AY1009" s="2250">
        <f t="shared" ca="1" si="1621"/>
        <v>0</v>
      </c>
      <c r="AZ1009" s="2948">
        <f t="shared" ca="1" si="1622"/>
        <v>0</v>
      </c>
      <c r="BA1009" s="2949">
        <f t="shared" ca="1" si="1623"/>
        <v>0</v>
      </c>
      <c r="BC1009" s="2250">
        <f t="shared" ca="1" si="1624"/>
        <v>0</v>
      </c>
      <c r="BD1009" s="2250">
        <f t="shared" ca="1" si="1625"/>
        <v>0</v>
      </c>
      <c r="BE1009" s="2948">
        <f t="shared" ca="1" si="1626"/>
        <v>0</v>
      </c>
      <c r="BF1009" s="2949">
        <f t="shared" ca="1" si="1627"/>
        <v>0</v>
      </c>
      <c r="BG1009" s="2250">
        <f t="shared" ca="1" si="1628"/>
        <v>0</v>
      </c>
      <c r="BH1009" s="2948">
        <f t="shared" ca="1" si="1629"/>
        <v>0</v>
      </c>
      <c r="BI1009" s="2949">
        <f t="shared" ca="1" si="1630"/>
        <v>0</v>
      </c>
    </row>
    <row r="1010" spans="1:61" s="34" customFormat="1" ht="14.5">
      <c r="A1010" s="1693">
        <f t="shared" si="1574"/>
        <v>1002</v>
      </c>
      <c r="B1010" s="616">
        <v>1</v>
      </c>
      <c r="C1010" s="1693">
        <f t="shared" si="1567"/>
        <v>1010</v>
      </c>
      <c r="D1010" s="616">
        <v>1</v>
      </c>
      <c r="F1010" s="454"/>
      <c r="G1010" s="4"/>
      <c r="H1010" s="4"/>
      <c r="I1010" s="4"/>
      <c r="J1010" s="256"/>
      <c r="K1010" s="4"/>
      <c r="L1010" s="3"/>
      <c r="M1010" s="4"/>
      <c r="N1010" s="4"/>
      <c r="O1010" s="41"/>
      <c r="P1010" s="41" t="s">
        <v>45</v>
      </c>
      <c r="Q1010" s="3"/>
      <c r="R1010" s="1778" t="str">
        <f>CHOOSE(2, "6722000003921", "HC MS FE/TTOC Sales Total Direct sales rep.")</f>
        <v>HC MS FE/TTOC Sales Total Direct sales rep.</v>
      </c>
      <c r="S1010" s="1212"/>
      <c r="T1010" s="1212"/>
      <c r="U1010" s="1212"/>
      <c r="V1010" s="1212"/>
      <c r="W1010" s="1212"/>
      <c r="X1010" s="1212"/>
      <c r="Y1010" s="1212"/>
      <c r="Z1010" s="1212"/>
      <c r="AA1010" s="1212"/>
      <c r="AB1010" s="1212"/>
      <c r="AC1010" s="1212"/>
      <c r="AD1010" s="1212"/>
      <c r="AE1010" s="877">
        <f>U1010</f>
        <v>0</v>
      </c>
      <c r="AF1010" s="40">
        <f>X1010</f>
        <v>0</v>
      </c>
      <c r="AG1010" s="40">
        <f>AA1010</f>
        <v>0</v>
      </c>
      <c r="AH1010" s="40">
        <f>AD1010</f>
        <v>0</v>
      </c>
      <c r="AI1010" s="40">
        <f>AF1010</f>
        <v>0</v>
      </c>
      <c r="AJ1010" s="40">
        <f>AH1010</f>
        <v>0</v>
      </c>
      <c r="AK1010" s="40">
        <f>AJ1010</f>
        <v>0</v>
      </c>
      <c r="AM1010" s="1910">
        <f t="shared" ca="1" si="1610"/>
        <v>0</v>
      </c>
      <c r="AN1010" s="1910">
        <f t="shared" ca="1" si="1611"/>
        <v>0</v>
      </c>
      <c r="AO1010" s="2694">
        <f t="shared" ca="1" si="1612"/>
        <v>0</v>
      </c>
      <c r="AP1010" s="2695">
        <f t="shared" ca="1" si="1613"/>
        <v>0</v>
      </c>
      <c r="AQ1010" s="1910">
        <f t="shared" ca="1" si="1614"/>
        <v>0</v>
      </c>
      <c r="AR1010" s="2694">
        <f t="shared" ca="1" si="1615"/>
        <v>0</v>
      </c>
      <c r="AS1010" s="2695">
        <f t="shared" ca="1" si="1616"/>
        <v>0</v>
      </c>
      <c r="AU1010" s="1910">
        <f t="shared" ca="1" si="1617"/>
        <v>0</v>
      </c>
      <c r="AV1010" s="1910">
        <f t="shared" ca="1" si="1618"/>
        <v>0</v>
      </c>
      <c r="AW1010" s="2694">
        <f t="shared" ca="1" si="1619"/>
        <v>0</v>
      </c>
      <c r="AX1010" s="2695">
        <f t="shared" ca="1" si="1620"/>
        <v>0</v>
      </c>
      <c r="AY1010" s="1910">
        <f t="shared" ca="1" si="1621"/>
        <v>0</v>
      </c>
      <c r="AZ1010" s="2694">
        <f t="shared" ca="1" si="1622"/>
        <v>0</v>
      </c>
      <c r="BA1010" s="2695">
        <f t="shared" ca="1" si="1623"/>
        <v>0</v>
      </c>
      <c r="BC1010" s="1910">
        <f t="shared" ca="1" si="1624"/>
        <v>0</v>
      </c>
      <c r="BD1010" s="1910">
        <f t="shared" ca="1" si="1625"/>
        <v>0</v>
      </c>
      <c r="BE1010" s="2694">
        <f t="shared" ca="1" si="1626"/>
        <v>0</v>
      </c>
      <c r="BF1010" s="2695">
        <f t="shared" ca="1" si="1627"/>
        <v>0</v>
      </c>
      <c r="BG1010" s="1910">
        <f t="shared" ca="1" si="1628"/>
        <v>0</v>
      </c>
      <c r="BH1010" s="2694">
        <f t="shared" ca="1" si="1629"/>
        <v>0</v>
      </c>
      <c r="BI1010" s="2695">
        <f t="shared" ca="1" si="1630"/>
        <v>0</v>
      </c>
    </row>
    <row r="1011" spans="1:61" s="34" customFormat="1" ht="14.5">
      <c r="A1011" s="1693">
        <f t="shared" si="1574"/>
        <v>1003</v>
      </c>
      <c r="B1011" s="616">
        <v>1</v>
      </c>
      <c r="C1011" s="1693">
        <f t="shared" si="1567"/>
        <v>1011</v>
      </c>
      <c r="D1011" s="616">
        <v>1</v>
      </c>
      <c r="F1011" s="454"/>
      <c r="G1011" s="4"/>
      <c r="H1011" s="4"/>
      <c r="I1011" s="4"/>
      <c r="J1011" s="256"/>
      <c r="K1011" s="4"/>
      <c r="L1011" s="3"/>
      <c r="M1011" s="4"/>
      <c r="N1011" s="4"/>
      <c r="O1011" s="41"/>
      <c r="P1011" s="41" t="s">
        <v>44</v>
      </c>
      <c r="Q1011" s="3"/>
      <c r="R1011" s="1778" t="str">
        <f>CHOOSE(2, "6722000003922", "HC MS FE/TTOC Sales Total Direct sales engineers")</f>
        <v>HC MS FE/TTOC Sales Total Direct sales engineers</v>
      </c>
      <c r="S1011" s="1212"/>
      <c r="T1011" s="1212"/>
      <c r="U1011" s="1212"/>
      <c r="V1011" s="1212"/>
      <c r="W1011" s="1212"/>
      <c r="X1011" s="1212"/>
      <c r="Y1011" s="1212"/>
      <c r="Z1011" s="1212"/>
      <c r="AA1011" s="1212"/>
      <c r="AB1011" s="1212"/>
      <c r="AC1011" s="1212"/>
      <c r="AD1011" s="1212"/>
      <c r="AE1011" s="877">
        <f>U1011</f>
        <v>0</v>
      </c>
      <c r="AF1011" s="40">
        <f>X1011</f>
        <v>0</v>
      </c>
      <c r="AG1011" s="40">
        <f>AA1011</f>
        <v>0</v>
      </c>
      <c r="AH1011" s="40">
        <f>AD1011</f>
        <v>0</v>
      </c>
      <c r="AI1011" s="40">
        <f>AF1011</f>
        <v>0</v>
      </c>
      <c r="AJ1011" s="40">
        <f>AH1011</f>
        <v>0</v>
      </c>
      <c r="AK1011" s="40">
        <f>AJ1011</f>
        <v>0</v>
      </c>
      <c r="AM1011" s="1910">
        <f t="shared" ca="1" si="1610"/>
        <v>0</v>
      </c>
      <c r="AN1011" s="1910">
        <f t="shared" ca="1" si="1611"/>
        <v>0</v>
      </c>
      <c r="AO1011" s="2694">
        <f t="shared" ca="1" si="1612"/>
        <v>0</v>
      </c>
      <c r="AP1011" s="2695">
        <f t="shared" ca="1" si="1613"/>
        <v>0</v>
      </c>
      <c r="AQ1011" s="1910">
        <f t="shared" ca="1" si="1614"/>
        <v>0</v>
      </c>
      <c r="AR1011" s="2694">
        <f t="shared" ca="1" si="1615"/>
        <v>0</v>
      </c>
      <c r="AS1011" s="2695">
        <f t="shared" ca="1" si="1616"/>
        <v>0</v>
      </c>
      <c r="AU1011" s="1910">
        <f t="shared" ca="1" si="1617"/>
        <v>0</v>
      </c>
      <c r="AV1011" s="1910">
        <f t="shared" ca="1" si="1618"/>
        <v>0</v>
      </c>
      <c r="AW1011" s="2694">
        <f t="shared" ca="1" si="1619"/>
        <v>0</v>
      </c>
      <c r="AX1011" s="2695">
        <f t="shared" ca="1" si="1620"/>
        <v>0</v>
      </c>
      <c r="AY1011" s="1910">
        <f t="shared" ca="1" si="1621"/>
        <v>0</v>
      </c>
      <c r="AZ1011" s="2694">
        <f t="shared" ca="1" si="1622"/>
        <v>0</v>
      </c>
      <c r="BA1011" s="2695">
        <f t="shared" ca="1" si="1623"/>
        <v>0</v>
      </c>
      <c r="BC1011" s="1910">
        <f t="shared" ca="1" si="1624"/>
        <v>0</v>
      </c>
      <c r="BD1011" s="1910">
        <f t="shared" ca="1" si="1625"/>
        <v>0</v>
      </c>
      <c r="BE1011" s="2694">
        <f t="shared" ca="1" si="1626"/>
        <v>0</v>
      </c>
      <c r="BF1011" s="2695">
        <f t="shared" ca="1" si="1627"/>
        <v>0</v>
      </c>
      <c r="BG1011" s="1910">
        <f t="shared" ca="1" si="1628"/>
        <v>0</v>
      </c>
      <c r="BH1011" s="2694">
        <f t="shared" ca="1" si="1629"/>
        <v>0</v>
      </c>
      <c r="BI1011" s="2695">
        <f t="shared" ca="1" si="1630"/>
        <v>0</v>
      </c>
    </row>
    <row r="1012" spans="1:61" s="34" customFormat="1" ht="14.5">
      <c r="A1012" s="1693">
        <f t="shared" si="1574"/>
        <v>1004</v>
      </c>
      <c r="B1012" s="616">
        <v>1</v>
      </c>
      <c r="C1012" s="1693">
        <f t="shared" si="1567"/>
        <v>1012</v>
      </c>
      <c r="D1012" s="616">
        <v>1</v>
      </c>
      <c r="F1012" s="454"/>
      <c r="G1012" s="4"/>
      <c r="H1012" s="4"/>
      <c r="I1012" s="4"/>
      <c r="J1012" s="256"/>
      <c r="K1012" s="4"/>
      <c r="L1012" s="3"/>
      <c r="M1012" s="4"/>
      <c r="N1012" s="4"/>
      <c r="O1012" s="41"/>
      <c r="P1012" s="41" t="s">
        <v>43</v>
      </c>
      <c r="Q1012" s="3"/>
      <c r="R1012" s="1778" t="str">
        <f>CHOOSE(2, "6722000003923", "HC MS FE/TTOC Sales Total Dealer(Indirect) sales rep.")</f>
        <v>HC MS FE/TTOC Sales Total Dealer(Indirect) sales rep.</v>
      </c>
      <c r="S1012" s="1212"/>
      <c r="T1012" s="1212"/>
      <c r="U1012" s="1212"/>
      <c r="V1012" s="1212"/>
      <c r="W1012" s="1212"/>
      <c r="X1012" s="1212"/>
      <c r="Y1012" s="1212"/>
      <c r="Z1012" s="1212"/>
      <c r="AA1012" s="1212"/>
      <c r="AB1012" s="1212"/>
      <c r="AC1012" s="1212"/>
      <c r="AD1012" s="1212"/>
      <c r="AE1012" s="877">
        <f>U1012</f>
        <v>0</v>
      </c>
      <c r="AF1012" s="40">
        <f>X1012</f>
        <v>0</v>
      </c>
      <c r="AG1012" s="40">
        <f>AA1012</f>
        <v>0</v>
      </c>
      <c r="AH1012" s="40">
        <f>AD1012</f>
        <v>0</v>
      </c>
      <c r="AI1012" s="40">
        <f>AF1012</f>
        <v>0</v>
      </c>
      <c r="AJ1012" s="40">
        <f>AH1012</f>
        <v>0</v>
      </c>
      <c r="AK1012" s="40">
        <f>AJ1012</f>
        <v>0</v>
      </c>
      <c r="AM1012" s="1910">
        <f t="shared" ca="1" si="1610"/>
        <v>0</v>
      </c>
      <c r="AN1012" s="1910">
        <f t="shared" ca="1" si="1611"/>
        <v>0</v>
      </c>
      <c r="AO1012" s="2694">
        <f t="shared" ca="1" si="1612"/>
        <v>0</v>
      </c>
      <c r="AP1012" s="2695">
        <f t="shared" ca="1" si="1613"/>
        <v>0</v>
      </c>
      <c r="AQ1012" s="1910">
        <f t="shared" ca="1" si="1614"/>
        <v>0</v>
      </c>
      <c r="AR1012" s="2694">
        <f t="shared" ca="1" si="1615"/>
        <v>0</v>
      </c>
      <c r="AS1012" s="2695">
        <f t="shared" ca="1" si="1616"/>
        <v>0</v>
      </c>
      <c r="AU1012" s="1910">
        <f t="shared" ca="1" si="1617"/>
        <v>0</v>
      </c>
      <c r="AV1012" s="1910">
        <f t="shared" ca="1" si="1618"/>
        <v>0</v>
      </c>
      <c r="AW1012" s="2694">
        <f t="shared" ca="1" si="1619"/>
        <v>0</v>
      </c>
      <c r="AX1012" s="2695">
        <f t="shared" ca="1" si="1620"/>
        <v>0</v>
      </c>
      <c r="AY1012" s="1910">
        <f t="shared" ca="1" si="1621"/>
        <v>0</v>
      </c>
      <c r="AZ1012" s="2694">
        <f t="shared" ca="1" si="1622"/>
        <v>0</v>
      </c>
      <c r="BA1012" s="2695">
        <f t="shared" ca="1" si="1623"/>
        <v>0</v>
      </c>
      <c r="BC1012" s="1910">
        <f t="shared" ca="1" si="1624"/>
        <v>0</v>
      </c>
      <c r="BD1012" s="1910">
        <f t="shared" ca="1" si="1625"/>
        <v>0</v>
      </c>
      <c r="BE1012" s="2694">
        <f t="shared" ca="1" si="1626"/>
        <v>0</v>
      </c>
      <c r="BF1012" s="2695">
        <f t="shared" ca="1" si="1627"/>
        <v>0</v>
      </c>
      <c r="BG1012" s="1910">
        <f t="shared" ca="1" si="1628"/>
        <v>0</v>
      </c>
      <c r="BH1012" s="2694">
        <f t="shared" ca="1" si="1629"/>
        <v>0</v>
      </c>
      <c r="BI1012" s="2695">
        <f t="shared" ca="1" si="1630"/>
        <v>0</v>
      </c>
    </row>
    <row r="1013" spans="1:61" s="34" customFormat="1" ht="14.5">
      <c r="A1013" s="1693">
        <f t="shared" si="1574"/>
        <v>1005</v>
      </c>
      <c r="B1013" s="616">
        <v>1</v>
      </c>
      <c r="C1013" s="1693">
        <f t="shared" si="1567"/>
        <v>1013</v>
      </c>
      <c r="D1013" s="616">
        <v>1</v>
      </c>
      <c r="F1013" s="454"/>
      <c r="G1013" s="4"/>
      <c r="H1013" s="4"/>
      <c r="I1013" s="4"/>
      <c r="J1013" s="256"/>
      <c r="K1013" s="2"/>
      <c r="L1013" s="1"/>
      <c r="M1013" s="2"/>
      <c r="N1013" s="2"/>
      <c r="O1013" s="39"/>
      <c r="P1013" s="39" t="s">
        <v>40</v>
      </c>
      <c r="Q1013" s="1"/>
      <c r="R1013" s="1778" t="str">
        <f>CHOOSE(2, "6722000003924", "HC MS FE/TTOC Sales Total Administration/Others")</f>
        <v>HC MS FE/TTOC Sales Total Administration/Others</v>
      </c>
      <c r="S1013" s="1211"/>
      <c r="T1013" s="1211"/>
      <c r="U1013" s="1211"/>
      <c r="V1013" s="1211"/>
      <c r="W1013" s="1211"/>
      <c r="X1013" s="1211"/>
      <c r="Y1013" s="1211"/>
      <c r="Z1013" s="1211"/>
      <c r="AA1013" s="1211"/>
      <c r="AB1013" s="1211"/>
      <c r="AC1013" s="1211"/>
      <c r="AD1013" s="1211"/>
      <c r="AE1013" s="912">
        <f>U1013</f>
        <v>0</v>
      </c>
      <c r="AF1013" s="38">
        <f>X1013</f>
        <v>0</v>
      </c>
      <c r="AG1013" s="38">
        <f>AA1013</f>
        <v>0</v>
      </c>
      <c r="AH1013" s="38">
        <f>AD1013</f>
        <v>0</v>
      </c>
      <c r="AI1013" s="38">
        <f>AF1013</f>
        <v>0</v>
      </c>
      <c r="AJ1013" s="38">
        <f>AH1013</f>
        <v>0</v>
      </c>
      <c r="AK1013" s="38">
        <f>AJ1013</f>
        <v>0</v>
      </c>
      <c r="AM1013" s="2248">
        <f t="shared" ca="1" si="1610"/>
        <v>0</v>
      </c>
      <c r="AN1013" s="2248">
        <f t="shared" ca="1" si="1611"/>
        <v>0</v>
      </c>
      <c r="AO1013" s="2950">
        <f t="shared" ca="1" si="1612"/>
        <v>0</v>
      </c>
      <c r="AP1013" s="2951">
        <f t="shared" ca="1" si="1613"/>
        <v>0</v>
      </c>
      <c r="AQ1013" s="2248">
        <f t="shared" ca="1" si="1614"/>
        <v>0</v>
      </c>
      <c r="AR1013" s="2950">
        <f t="shared" ca="1" si="1615"/>
        <v>0</v>
      </c>
      <c r="AS1013" s="2951">
        <f t="shared" ca="1" si="1616"/>
        <v>0</v>
      </c>
      <c r="AU1013" s="2248">
        <f t="shared" ca="1" si="1617"/>
        <v>0</v>
      </c>
      <c r="AV1013" s="2248">
        <f t="shared" ca="1" si="1618"/>
        <v>0</v>
      </c>
      <c r="AW1013" s="2950">
        <f t="shared" ca="1" si="1619"/>
        <v>0</v>
      </c>
      <c r="AX1013" s="2951">
        <f t="shared" ca="1" si="1620"/>
        <v>0</v>
      </c>
      <c r="AY1013" s="2248">
        <f t="shared" ca="1" si="1621"/>
        <v>0</v>
      </c>
      <c r="AZ1013" s="2950">
        <f t="shared" ca="1" si="1622"/>
        <v>0</v>
      </c>
      <c r="BA1013" s="2951">
        <f t="shared" ca="1" si="1623"/>
        <v>0</v>
      </c>
      <c r="BC1013" s="2248">
        <f t="shared" ca="1" si="1624"/>
        <v>0</v>
      </c>
      <c r="BD1013" s="2248">
        <f t="shared" ca="1" si="1625"/>
        <v>0</v>
      </c>
      <c r="BE1013" s="2950">
        <f t="shared" ca="1" si="1626"/>
        <v>0</v>
      </c>
      <c r="BF1013" s="2951">
        <f t="shared" ca="1" si="1627"/>
        <v>0</v>
      </c>
      <c r="BG1013" s="2248">
        <f t="shared" ca="1" si="1628"/>
        <v>0</v>
      </c>
      <c r="BH1013" s="2950">
        <f t="shared" ca="1" si="1629"/>
        <v>0</v>
      </c>
      <c r="BI1013" s="2951">
        <f t="shared" ca="1" si="1630"/>
        <v>0</v>
      </c>
    </row>
    <row r="1014" spans="1:61" s="34" customFormat="1" ht="14.5">
      <c r="A1014" s="1693">
        <f t="shared" si="1574"/>
        <v>1006</v>
      </c>
      <c r="B1014" s="616">
        <v>1</v>
      </c>
      <c r="C1014" s="1693">
        <f t="shared" si="1567"/>
        <v>1014</v>
      </c>
      <c r="D1014" s="616">
        <v>1</v>
      </c>
      <c r="E1014" s="709" t="s">
        <v>512</v>
      </c>
      <c r="F1014" s="1572"/>
      <c r="G1014" s="4"/>
      <c r="H1014" s="4"/>
      <c r="I1014" s="4"/>
      <c r="J1014" s="256"/>
      <c r="K1014" s="48" t="s">
        <v>137</v>
      </c>
      <c r="L1014" s="47"/>
      <c r="M1014" s="48"/>
      <c r="N1014" s="48"/>
      <c r="O1014" s="47"/>
      <c r="P1014" s="47"/>
      <c r="Q1014" s="47"/>
      <c r="R1014" s="1786" t="str">
        <f>CHOOSE(2, "6722000003925", "HC MS FE/TTOC Service Total")</f>
        <v>HC MS FE/TTOC Service Total</v>
      </c>
      <c r="S1014" s="1255">
        <f>SUM(S1015:S1019)</f>
        <v>0</v>
      </c>
      <c r="T1014" s="1255">
        <f t="shared" ref="T1014:AD1014" si="1633">SUM(T1015:T1019)</f>
        <v>0</v>
      </c>
      <c r="U1014" s="1255">
        <f t="shared" si="1633"/>
        <v>0</v>
      </c>
      <c r="V1014" s="1255">
        <f t="shared" si="1633"/>
        <v>0</v>
      </c>
      <c r="W1014" s="1255">
        <f t="shared" si="1633"/>
        <v>0</v>
      </c>
      <c r="X1014" s="1255">
        <f t="shared" si="1633"/>
        <v>0</v>
      </c>
      <c r="Y1014" s="1255">
        <f t="shared" si="1633"/>
        <v>0</v>
      </c>
      <c r="Z1014" s="1255">
        <f t="shared" si="1633"/>
        <v>0</v>
      </c>
      <c r="AA1014" s="1255">
        <f t="shared" si="1633"/>
        <v>0</v>
      </c>
      <c r="AB1014" s="1255">
        <f t="shared" si="1633"/>
        <v>0</v>
      </c>
      <c r="AC1014" s="1255">
        <f t="shared" si="1633"/>
        <v>0</v>
      </c>
      <c r="AD1014" s="1255">
        <f t="shared" si="1633"/>
        <v>0</v>
      </c>
      <c r="AE1014" s="1240">
        <f t="shared" ref="AE1014:AK1014" si="1634">SUM(AE1015:AE1019)</f>
        <v>0</v>
      </c>
      <c r="AF1014" s="1255">
        <f t="shared" si="1634"/>
        <v>0</v>
      </c>
      <c r="AG1014" s="1255">
        <f t="shared" si="1634"/>
        <v>0</v>
      </c>
      <c r="AH1014" s="1255">
        <f t="shared" si="1634"/>
        <v>0</v>
      </c>
      <c r="AI1014" s="1255">
        <f t="shared" si="1634"/>
        <v>0</v>
      </c>
      <c r="AJ1014" s="1255">
        <f t="shared" si="1634"/>
        <v>0</v>
      </c>
      <c r="AK1014" s="1255">
        <f t="shared" si="1634"/>
        <v>0</v>
      </c>
      <c r="AM1014" s="2250">
        <f t="shared" ca="1" si="1610"/>
        <v>0</v>
      </c>
      <c r="AN1014" s="2250">
        <f t="shared" ca="1" si="1611"/>
        <v>0</v>
      </c>
      <c r="AO1014" s="2948">
        <f t="shared" ca="1" si="1612"/>
        <v>0</v>
      </c>
      <c r="AP1014" s="2949">
        <f t="shared" ca="1" si="1613"/>
        <v>0</v>
      </c>
      <c r="AQ1014" s="2250">
        <f t="shared" ca="1" si="1614"/>
        <v>0</v>
      </c>
      <c r="AR1014" s="2948">
        <f t="shared" ca="1" si="1615"/>
        <v>0</v>
      </c>
      <c r="AS1014" s="2949">
        <f t="shared" ca="1" si="1616"/>
        <v>0</v>
      </c>
      <c r="AU1014" s="2250">
        <f t="shared" ca="1" si="1617"/>
        <v>0</v>
      </c>
      <c r="AV1014" s="2250">
        <f t="shared" ca="1" si="1618"/>
        <v>0</v>
      </c>
      <c r="AW1014" s="2948">
        <f t="shared" ca="1" si="1619"/>
        <v>0</v>
      </c>
      <c r="AX1014" s="2949">
        <f t="shared" ca="1" si="1620"/>
        <v>0</v>
      </c>
      <c r="AY1014" s="2250">
        <f t="shared" ca="1" si="1621"/>
        <v>0</v>
      </c>
      <c r="AZ1014" s="2948">
        <f t="shared" ca="1" si="1622"/>
        <v>0</v>
      </c>
      <c r="BA1014" s="2949">
        <f t="shared" ca="1" si="1623"/>
        <v>0</v>
      </c>
      <c r="BC1014" s="2250">
        <f t="shared" ca="1" si="1624"/>
        <v>0</v>
      </c>
      <c r="BD1014" s="2250">
        <f t="shared" ca="1" si="1625"/>
        <v>0</v>
      </c>
      <c r="BE1014" s="2948">
        <f t="shared" ca="1" si="1626"/>
        <v>0</v>
      </c>
      <c r="BF1014" s="2949">
        <f t="shared" ca="1" si="1627"/>
        <v>0</v>
      </c>
      <c r="BG1014" s="2250">
        <f t="shared" ca="1" si="1628"/>
        <v>0</v>
      </c>
      <c r="BH1014" s="2948">
        <f t="shared" ca="1" si="1629"/>
        <v>0</v>
      </c>
      <c r="BI1014" s="2949">
        <f t="shared" ca="1" si="1630"/>
        <v>0</v>
      </c>
    </row>
    <row r="1015" spans="1:61" s="34" customFormat="1" ht="14.5">
      <c r="A1015" s="1693">
        <f t="shared" si="1574"/>
        <v>1007</v>
      </c>
      <c r="B1015" s="616">
        <v>1</v>
      </c>
      <c r="C1015" s="1693">
        <f t="shared" si="1567"/>
        <v>1015</v>
      </c>
      <c r="D1015" s="616">
        <v>1</v>
      </c>
      <c r="F1015" s="454"/>
      <c r="G1015" s="4"/>
      <c r="H1015" s="4"/>
      <c r="I1015" s="4"/>
      <c r="J1015" s="256"/>
      <c r="K1015" s="4"/>
      <c r="L1015" s="3"/>
      <c r="M1015" s="4"/>
      <c r="N1015" s="4"/>
      <c r="O1015" s="41"/>
      <c r="P1015" s="41" t="s">
        <v>15</v>
      </c>
      <c r="Q1015" s="3"/>
      <c r="R1015" s="1778" t="str">
        <f>CHOOSE(2, "6722000003926", "HC MS FE/TTOC Service Total Onsite Engineer")</f>
        <v>HC MS FE/TTOC Service Total Onsite Engineer</v>
      </c>
      <c r="S1015" s="1212"/>
      <c r="T1015" s="1212"/>
      <c r="U1015" s="1212"/>
      <c r="V1015" s="1212"/>
      <c r="W1015" s="1212"/>
      <c r="X1015" s="1212"/>
      <c r="Y1015" s="1212"/>
      <c r="Z1015" s="1212"/>
      <c r="AA1015" s="1212"/>
      <c r="AB1015" s="1212"/>
      <c r="AC1015" s="1212"/>
      <c r="AD1015" s="1212"/>
      <c r="AE1015" s="877">
        <f>U1015</f>
        <v>0</v>
      </c>
      <c r="AF1015" s="40">
        <f>X1015</f>
        <v>0</v>
      </c>
      <c r="AG1015" s="40">
        <f>AA1015</f>
        <v>0</v>
      </c>
      <c r="AH1015" s="40">
        <f>AD1015</f>
        <v>0</v>
      </c>
      <c r="AI1015" s="40">
        <f>AF1015</f>
        <v>0</v>
      </c>
      <c r="AJ1015" s="40">
        <f>AH1015</f>
        <v>0</v>
      </c>
      <c r="AK1015" s="40">
        <f>AJ1015</f>
        <v>0</v>
      </c>
      <c r="AM1015" s="1910">
        <f t="shared" ca="1" si="1610"/>
        <v>0</v>
      </c>
      <c r="AN1015" s="1910">
        <f t="shared" ca="1" si="1611"/>
        <v>0</v>
      </c>
      <c r="AO1015" s="2694">
        <f t="shared" ca="1" si="1612"/>
        <v>0</v>
      </c>
      <c r="AP1015" s="2695">
        <f t="shared" ca="1" si="1613"/>
        <v>0</v>
      </c>
      <c r="AQ1015" s="1910">
        <f t="shared" ca="1" si="1614"/>
        <v>0</v>
      </c>
      <c r="AR1015" s="2694">
        <f t="shared" ca="1" si="1615"/>
        <v>0</v>
      </c>
      <c r="AS1015" s="2695">
        <f t="shared" ca="1" si="1616"/>
        <v>0</v>
      </c>
      <c r="AU1015" s="1910">
        <f t="shared" ca="1" si="1617"/>
        <v>0</v>
      </c>
      <c r="AV1015" s="1910">
        <f t="shared" ca="1" si="1618"/>
        <v>0</v>
      </c>
      <c r="AW1015" s="2694">
        <f t="shared" ca="1" si="1619"/>
        <v>0</v>
      </c>
      <c r="AX1015" s="2695">
        <f t="shared" ca="1" si="1620"/>
        <v>0</v>
      </c>
      <c r="AY1015" s="1910">
        <f t="shared" ca="1" si="1621"/>
        <v>0</v>
      </c>
      <c r="AZ1015" s="2694">
        <f t="shared" ca="1" si="1622"/>
        <v>0</v>
      </c>
      <c r="BA1015" s="2695">
        <f t="shared" ca="1" si="1623"/>
        <v>0</v>
      </c>
      <c r="BC1015" s="1910">
        <f t="shared" ca="1" si="1624"/>
        <v>0</v>
      </c>
      <c r="BD1015" s="1910">
        <f t="shared" ca="1" si="1625"/>
        <v>0</v>
      </c>
      <c r="BE1015" s="2694">
        <f t="shared" ca="1" si="1626"/>
        <v>0</v>
      </c>
      <c r="BF1015" s="2695">
        <f t="shared" ca="1" si="1627"/>
        <v>0</v>
      </c>
      <c r="BG1015" s="1910">
        <f t="shared" ca="1" si="1628"/>
        <v>0</v>
      </c>
      <c r="BH1015" s="2694">
        <f t="shared" ca="1" si="1629"/>
        <v>0</v>
      </c>
      <c r="BI1015" s="2695">
        <f t="shared" ca="1" si="1630"/>
        <v>0</v>
      </c>
    </row>
    <row r="1016" spans="1:61" s="34" customFormat="1" ht="14.5">
      <c r="A1016" s="1693">
        <f t="shared" si="1574"/>
        <v>1008</v>
      </c>
      <c r="B1016" s="616">
        <v>1</v>
      </c>
      <c r="C1016" s="1693">
        <f t="shared" si="1567"/>
        <v>1016</v>
      </c>
      <c r="D1016" s="616">
        <v>1</v>
      </c>
      <c r="F1016" s="454"/>
      <c r="G1016" s="4"/>
      <c r="H1016" s="4"/>
      <c r="I1016" s="4"/>
      <c r="J1016" s="256"/>
      <c r="K1016" s="4"/>
      <c r="L1016" s="3"/>
      <c r="M1016" s="4"/>
      <c r="N1016" s="4"/>
      <c r="O1016" s="41"/>
      <c r="P1016" s="41" t="s">
        <v>16</v>
      </c>
      <c r="Q1016" s="3"/>
      <c r="R1016" s="1778" t="str">
        <f>CHOOSE(2, "6722000003927", "HC MS FE/TTOC Service Total Remote Engineer")</f>
        <v>HC MS FE/TTOC Service Total Remote Engineer</v>
      </c>
      <c r="S1016" s="1212"/>
      <c r="T1016" s="1212"/>
      <c r="U1016" s="1212"/>
      <c r="V1016" s="1212"/>
      <c r="W1016" s="1212"/>
      <c r="X1016" s="1212"/>
      <c r="Y1016" s="1212"/>
      <c r="Z1016" s="1212"/>
      <c r="AA1016" s="1212"/>
      <c r="AB1016" s="1212"/>
      <c r="AC1016" s="1212"/>
      <c r="AD1016" s="1212"/>
      <c r="AE1016" s="877">
        <f>U1016</f>
        <v>0</v>
      </c>
      <c r="AF1016" s="40">
        <f>X1016</f>
        <v>0</v>
      </c>
      <c r="AG1016" s="40">
        <f>AA1016</f>
        <v>0</v>
      </c>
      <c r="AH1016" s="40">
        <f>AD1016</f>
        <v>0</v>
      </c>
      <c r="AI1016" s="40">
        <f>AF1016</f>
        <v>0</v>
      </c>
      <c r="AJ1016" s="40">
        <f>AH1016</f>
        <v>0</v>
      </c>
      <c r="AK1016" s="40">
        <f>AJ1016</f>
        <v>0</v>
      </c>
      <c r="AM1016" s="1910">
        <f t="shared" ca="1" si="1610"/>
        <v>0</v>
      </c>
      <c r="AN1016" s="1910">
        <f t="shared" ca="1" si="1611"/>
        <v>0</v>
      </c>
      <c r="AO1016" s="2694">
        <f t="shared" ca="1" si="1612"/>
        <v>0</v>
      </c>
      <c r="AP1016" s="2695">
        <f t="shared" ca="1" si="1613"/>
        <v>0</v>
      </c>
      <c r="AQ1016" s="1910">
        <f t="shared" ca="1" si="1614"/>
        <v>0</v>
      </c>
      <c r="AR1016" s="2694">
        <f t="shared" ca="1" si="1615"/>
        <v>0</v>
      </c>
      <c r="AS1016" s="2695">
        <f t="shared" ca="1" si="1616"/>
        <v>0</v>
      </c>
      <c r="AU1016" s="1910">
        <f t="shared" ca="1" si="1617"/>
        <v>0</v>
      </c>
      <c r="AV1016" s="1910">
        <f t="shared" ca="1" si="1618"/>
        <v>0</v>
      </c>
      <c r="AW1016" s="2694">
        <f t="shared" ca="1" si="1619"/>
        <v>0</v>
      </c>
      <c r="AX1016" s="2695">
        <f t="shared" ca="1" si="1620"/>
        <v>0</v>
      </c>
      <c r="AY1016" s="1910">
        <f t="shared" ca="1" si="1621"/>
        <v>0</v>
      </c>
      <c r="AZ1016" s="2694">
        <f t="shared" ca="1" si="1622"/>
        <v>0</v>
      </c>
      <c r="BA1016" s="2695">
        <f t="shared" ca="1" si="1623"/>
        <v>0</v>
      </c>
      <c r="BC1016" s="1910">
        <f t="shared" ca="1" si="1624"/>
        <v>0</v>
      </c>
      <c r="BD1016" s="1910">
        <f t="shared" ca="1" si="1625"/>
        <v>0</v>
      </c>
      <c r="BE1016" s="2694">
        <f t="shared" ca="1" si="1626"/>
        <v>0</v>
      </c>
      <c r="BF1016" s="2695">
        <f t="shared" ca="1" si="1627"/>
        <v>0</v>
      </c>
      <c r="BG1016" s="1910">
        <f t="shared" ca="1" si="1628"/>
        <v>0</v>
      </c>
      <c r="BH1016" s="2694">
        <f t="shared" ca="1" si="1629"/>
        <v>0</v>
      </c>
      <c r="BI1016" s="2695">
        <f t="shared" ca="1" si="1630"/>
        <v>0</v>
      </c>
    </row>
    <row r="1017" spans="1:61" s="34" customFormat="1" ht="14.5">
      <c r="A1017" s="1693">
        <f t="shared" si="1574"/>
        <v>1009</v>
      </c>
      <c r="B1017" s="616">
        <v>1</v>
      </c>
      <c r="C1017" s="1693">
        <f t="shared" si="1567"/>
        <v>1017</v>
      </c>
      <c r="D1017" s="616">
        <v>1</v>
      </c>
      <c r="F1017" s="454"/>
      <c r="G1017" s="4"/>
      <c r="H1017" s="4"/>
      <c r="I1017" s="4"/>
      <c r="J1017" s="256"/>
      <c r="K1017" s="4"/>
      <c r="L1017" s="3"/>
      <c r="M1017" s="4"/>
      <c r="N1017" s="4"/>
      <c r="O1017" s="41"/>
      <c r="P1017" s="41" t="s">
        <v>42</v>
      </c>
      <c r="Q1017" s="3"/>
      <c r="R1017" s="1778" t="str">
        <f>CHOOSE(2, "6722000003928", "HC MS FE/TTOC Service Total Technical support")</f>
        <v>HC MS FE/TTOC Service Total Technical support</v>
      </c>
      <c r="S1017" s="1212"/>
      <c r="T1017" s="1212"/>
      <c r="U1017" s="1212"/>
      <c r="V1017" s="1212"/>
      <c r="W1017" s="1212"/>
      <c r="X1017" s="1212"/>
      <c r="Y1017" s="1212"/>
      <c r="Z1017" s="1212"/>
      <c r="AA1017" s="1212"/>
      <c r="AB1017" s="1212"/>
      <c r="AC1017" s="1212"/>
      <c r="AD1017" s="1212"/>
      <c r="AE1017" s="877">
        <f>U1017</f>
        <v>0</v>
      </c>
      <c r="AF1017" s="40">
        <f>X1017</f>
        <v>0</v>
      </c>
      <c r="AG1017" s="40">
        <f>AA1017</f>
        <v>0</v>
      </c>
      <c r="AH1017" s="40">
        <f>AD1017</f>
        <v>0</v>
      </c>
      <c r="AI1017" s="40">
        <f>AF1017</f>
        <v>0</v>
      </c>
      <c r="AJ1017" s="40">
        <f>AH1017</f>
        <v>0</v>
      </c>
      <c r="AK1017" s="40">
        <f>AJ1017</f>
        <v>0</v>
      </c>
      <c r="AM1017" s="1910">
        <f t="shared" ca="1" si="1610"/>
        <v>0</v>
      </c>
      <c r="AN1017" s="1910">
        <f t="shared" ca="1" si="1611"/>
        <v>0</v>
      </c>
      <c r="AO1017" s="2694">
        <f t="shared" ca="1" si="1612"/>
        <v>0</v>
      </c>
      <c r="AP1017" s="2695">
        <f t="shared" ca="1" si="1613"/>
        <v>0</v>
      </c>
      <c r="AQ1017" s="1910">
        <f t="shared" ca="1" si="1614"/>
        <v>0</v>
      </c>
      <c r="AR1017" s="2694">
        <f t="shared" ca="1" si="1615"/>
        <v>0</v>
      </c>
      <c r="AS1017" s="2695">
        <f t="shared" ca="1" si="1616"/>
        <v>0</v>
      </c>
      <c r="AU1017" s="1910">
        <f t="shared" ca="1" si="1617"/>
        <v>0</v>
      </c>
      <c r="AV1017" s="1910">
        <f t="shared" ca="1" si="1618"/>
        <v>0</v>
      </c>
      <c r="AW1017" s="2694">
        <f t="shared" ca="1" si="1619"/>
        <v>0</v>
      </c>
      <c r="AX1017" s="2695">
        <f t="shared" ca="1" si="1620"/>
        <v>0</v>
      </c>
      <c r="AY1017" s="1910">
        <f t="shared" ca="1" si="1621"/>
        <v>0</v>
      </c>
      <c r="AZ1017" s="2694">
        <f t="shared" ca="1" si="1622"/>
        <v>0</v>
      </c>
      <c r="BA1017" s="2695">
        <f t="shared" ca="1" si="1623"/>
        <v>0</v>
      </c>
      <c r="BC1017" s="1910">
        <f t="shared" ca="1" si="1624"/>
        <v>0</v>
      </c>
      <c r="BD1017" s="1910">
        <f t="shared" ca="1" si="1625"/>
        <v>0</v>
      </c>
      <c r="BE1017" s="2694">
        <f t="shared" ca="1" si="1626"/>
        <v>0</v>
      </c>
      <c r="BF1017" s="2695">
        <f t="shared" ca="1" si="1627"/>
        <v>0</v>
      </c>
      <c r="BG1017" s="1910">
        <f t="shared" ca="1" si="1628"/>
        <v>0</v>
      </c>
      <c r="BH1017" s="2694">
        <f t="shared" ca="1" si="1629"/>
        <v>0</v>
      </c>
      <c r="BI1017" s="2695">
        <f t="shared" ca="1" si="1630"/>
        <v>0</v>
      </c>
    </row>
    <row r="1018" spans="1:61" s="34" customFormat="1" ht="14.5">
      <c r="A1018" s="1693">
        <f t="shared" si="1574"/>
        <v>1010</v>
      </c>
      <c r="B1018" s="616">
        <v>1</v>
      </c>
      <c r="C1018" s="1693">
        <f t="shared" si="1567"/>
        <v>1018</v>
      </c>
      <c r="D1018" s="616">
        <v>1</v>
      </c>
      <c r="F1018" s="454"/>
      <c r="G1018" s="4"/>
      <c r="H1018" s="4"/>
      <c r="I1018" s="4"/>
      <c r="J1018" s="256"/>
      <c r="K1018" s="4"/>
      <c r="L1018" s="3"/>
      <c r="M1018" s="4"/>
      <c r="N1018" s="4"/>
      <c r="O1018" s="41"/>
      <c r="P1018" s="41" t="s">
        <v>41</v>
      </c>
      <c r="Q1018" s="3"/>
      <c r="R1018" s="1778" t="str">
        <f>CHOOSE(2, "6722000003929", "HC MS FE/TTOC Service Total Dealer(Indirect) support")</f>
        <v>HC MS FE/TTOC Service Total Dealer(Indirect) support</v>
      </c>
      <c r="S1018" s="1212"/>
      <c r="T1018" s="1212"/>
      <c r="U1018" s="1212"/>
      <c r="V1018" s="1212"/>
      <c r="W1018" s="1212"/>
      <c r="X1018" s="1212"/>
      <c r="Y1018" s="1212"/>
      <c r="Z1018" s="1212"/>
      <c r="AA1018" s="1212"/>
      <c r="AB1018" s="1212"/>
      <c r="AC1018" s="1212"/>
      <c r="AD1018" s="1212"/>
      <c r="AE1018" s="877">
        <f>U1018</f>
        <v>0</v>
      </c>
      <c r="AF1018" s="40">
        <f>X1018</f>
        <v>0</v>
      </c>
      <c r="AG1018" s="40">
        <f>AA1018</f>
        <v>0</v>
      </c>
      <c r="AH1018" s="40">
        <f>AD1018</f>
        <v>0</v>
      </c>
      <c r="AI1018" s="40">
        <f>AF1018</f>
        <v>0</v>
      </c>
      <c r="AJ1018" s="40">
        <f>AH1018</f>
        <v>0</v>
      </c>
      <c r="AK1018" s="40">
        <f>AJ1018</f>
        <v>0</v>
      </c>
      <c r="AM1018" s="1910">
        <f t="shared" ca="1" si="1610"/>
        <v>0</v>
      </c>
      <c r="AN1018" s="1910">
        <f t="shared" ca="1" si="1611"/>
        <v>0</v>
      </c>
      <c r="AO1018" s="2694">
        <f t="shared" ca="1" si="1612"/>
        <v>0</v>
      </c>
      <c r="AP1018" s="2695">
        <f t="shared" ca="1" si="1613"/>
        <v>0</v>
      </c>
      <c r="AQ1018" s="1910">
        <f t="shared" ca="1" si="1614"/>
        <v>0</v>
      </c>
      <c r="AR1018" s="2694">
        <f t="shared" ca="1" si="1615"/>
        <v>0</v>
      </c>
      <c r="AS1018" s="2695">
        <f t="shared" ca="1" si="1616"/>
        <v>0</v>
      </c>
      <c r="AU1018" s="1910">
        <f t="shared" ca="1" si="1617"/>
        <v>0</v>
      </c>
      <c r="AV1018" s="1910">
        <f t="shared" ca="1" si="1618"/>
        <v>0</v>
      </c>
      <c r="AW1018" s="2694">
        <f t="shared" ca="1" si="1619"/>
        <v>0</v>
      </c>
      <c r="AX1018" s="2695">
        <f t="shared" ca="1" si="1620"/>
        <v>0</v>
      </c>
      <c r="AY1018" s="1910">
        <f t="shared" ca="1" si="1621"/>
        <v>0</v>
      </c>
      <c r="AZ1018" s="2694">
        <f t="shared" ca="1" si="1622"/>
        <v>0</v>
      </c>
      <c r="BA1018" s="2695">
        <f t="shared" ca="1" si="1623"/>
        <v>0</v>
      </c>
      <c r="BC1018" s="1910">
        <f t="shared" ca="1" si="1624"/>
        <v>0</v>
      </c>
      <c r="BD1018" s="1910">
        <f t="shared" ca="1" si="1625"/>
        <v>0</v>
      </c>
      <c r="BE1018" s="2694">
        <f t="shared" ca="1" si="1626"/>
        <v>0</v>
      </c>
      <c r="BF1018" s="2695">
        <f t="shared" ca="1" si="1627"/>
        <v>0</v>
      </c>
      <c r="BG1018" s="1910">
        <f t="shared" ca="1" si="1628"/>
        <v>0</v>
      </c>
      <c r="BH1018" s="2694">
        <f t="shared" ca="1" si="1629"/>
        <v>0</v>
      </c>
      <c r="BI1018" s="2695">
        <f t="shared" ca="1" si="1630"/>
        <v>0</v>
      </c>
    </row>
    <row r="1019" spans="1:61" s="34" customFormat="1" ht="14.5">
      <c r="A1019" s="1693">
        <f t="shared" si="1574"/>
        <v>1011</v>
      </c>
      <c r="B1019" s="616">
        <v>1</v>
      </c>
      <c r="C1019" s="1693">
        <f t="shared" si="1567"/>
        <v>1019</v>
      </c>
      <c r="D1019" s="616">
        <v>1</v>
      </c>
      <c r="F1019" s="454"/>
      <c r="G1019" s="4"/>
      <c r="H1019" s="4"/>
      <c r="I1019" s="4"/>
      <c r="J1019" s="256"/>
      <c r="K1019" s="4"/>
      <c r="L1019" s="3"/>
      <c r="M1019" s="4"/>
      <c r="N1019" s="4"/>
      <c r="O1019" s="41"/>
      <c r="P1019" s="41" t="s">
        <v>40</v>
      </c>
      <c r="Q1019" s="3"/>
      <c r="R1019" s="1778" t="str">
        <f>CHOOSE(2, "6722000003930", "HC MS FE/TTOC Service Total Administration/Others")</f>
        <v>HC MS FE/TTOC Service Total Administration/Others</v>
      </c>
      <c r="S1019" s="1212"/>
      <c r="T1019" s="1212"/>
      <c r="U1019" s="1212"/>
      <c r="V1019" s="1212"/>
      <c r="W1019" s="1212"/>
      <c r="X1019" s="1212"/>
      <c r="Y1019" s="1212"/>
      <c r="Z1019" s="1212"/>
      <c r="AA1019" s="1212"/>
      <c r="AB1019" s="1212"/>
      <c r="AC1019" s="1212"/>
      <c r="AD1019" s="1212"/>
      <c r="AE1019" s="877">
        <f>U1019</f>
        <v>0</v>
      </c>
      <c r="AF1019" s="40">
        <f>X1019</f>
        <v>0</v>
      </c>
      <c r="AG1019" s="40">
        <f>AA1019</f>
        <v>0</v>
      </c>
      <c r="AH1019" s="40">
        <f>AD1019</f>
        <v>0</v>
      </c>
      <c r="AI1019" s="40">
        <f>AF1019</f>
        <v>0</v>
      </c>
      <c r="AJ1019" s="40">
        <f>AH1019</f>
        <v>0</v>
      </c>
      <c r="AK1019" s="40">
        <f>AJ1019</f>
        <v>0</v>
      </c>
      <c r="AM1019" s="1910">
        <f t="shared" ca="1" si="1610"/>
        <v>0</v>
      </c>
      <c r="AN1019" s="1910">
        <f t="shared" ca="1" si="1611"/>
        <v>0</v>
      </c>
      <c r="AO1019" s="2694">
        <f t="shared" ca="1" si="1612"/>
        <v>0</v>
      </c>
      <c r="AP1019" s="2695">
        <f t="shared" ca="1" si="1613"/>
        <v>0</v>
      </c>
      <c r="AQ1019" s="1910">
        <f t="shared" ca="1" si="1614"/>
        <v>0</v>
      </c>
      <c r="AR1019" s="2694">
        <f t="shared" ca="1" si="1615"/>
        <v>0</v>
      </c>
      <c r="AS1019" s="2695">
        <f t="shared" ca="1" si="1616"/>
        <v>0</v>
      </c>
      <c r="AU1019" s="1910">
        <f t="shared" ca="1" si="1617"/>
        <v>0</v>
      </c>
      <c r="AV1019" s="1910">
        <f t="shared" ca="1" si="1618"/>
        <v>0</v>
      </c>
      <c r="AW1019" s="2694">
        <f t="shared" ca="1" si="1619"/>
        <v>0</v>
      </c>
      <c r="AX1019" s="2695">
        <f t="shared" ca="1" si="1620"/>
        <v>0</v>
      </c>
      <c r="AY1019" s="1910">
        <f t="shared" ca="1" si="1621"/>
        <v>0</v>
      </c>
      <c r="AZ1019" s="2694">
        <f t="shared" ca="1" si="1622"/>
        <v>0</v>
      </c>
      <c r="BA1019" s="2695">
        <f t="shared" ca="1" si="1623"/>
        <v>0</v>
      </c>
      <c r="BC1019" s="1910">
        <f t="shared" ca="1" si="1624"/>
        <v>0</v>
      </c>
      <c r="BD1019" s="1910">
        <f t="shared" ca="1" si="1625"/>
        <v>0</v>
      </c>
      <c r="BE1019" s="2694">
        <f t="shared" ca="1" si="1626"/>
        <v>0</v>
      </c>
      <c r="BF1019" s="2695">
        <f t="shared" ca="1" si="1627"/>
        <v>0</v>
      </c>
      <c r="BG1019" s="1910">
        <f t="shared" ca="1" si="1628"/>
        <v>0</v>
      </c>
      <c r="BH1019" s="2694">
        <f t="shared" ca="1" si="1629"/>
        <v>0</v>
      </c>
      <c r="BI1019" s="2695">
        <f t="shared" ca="1" si="1630"/>
        <v>0</v>
      </c>
    </row>
    <row r="1020" spans="1:61" s="34" customFormat="1" ht="14.5">
      <c r="A1020" s="1693">
        <f t="shared" si="1574"/>
        <v>1012</v>
      </c>
      <c r="B1020" s="616">
        <v>1</v>
      </c>
      <c r="C1020" s="1693">
        <f t="shared" si="1567"/>
        <v>1020</v>
      </c>
      <c r="D1020" s="616">
        <v>1</v>
      </c>
      <c r="E1020" s="709" t="s">
        <v>512</v>
      </c>
      <c r="F1020" s="1572"/>
      <c r="G1020" s="4"/>
      <c r="H1020" s="4"/>
      <c r="I1020" s="4"/>
      <c r="J1020" s="256"/>
      <c r="K1020" s="252" t="s">
        <v>176</v>
      </c>
      <c r="L1020" s="251"/>
      <c r="M1020" s="252"/>
      <c r="N1020" s="252"/>
      <c r="O1020" s="251"/>
      <c r="P1020" s="43"/>
      <c r="Q1020" s="251"/>
      <c r="R1020" s="1786" t="str">
        <f>CHOOSE(2, "6722000003931", "HC MS FE/TTOC Marketing Total")</f>
        <v>HC MS FE/TTOC Marketing Total</v>
      </c>
      <c r="S1020" s="1380">
        <f>SUM(S1021:S1024)</f>
        <v>0</v>
      </c>
      <c r="T1020" s="1380">
        <f t="shared" ref="T1020:AD1020" si="1635">SUM(T1021:T1024)</f>
        <v>0</v>
      </c>
      <c r="U1020" s="1380">
        <f t="shared" si="1635"/>
        <v>0</v>
      </c>
      <c r="V1020" s="1380">
        <f t="shared" si="1635"/>
        <v>0</v>
      </c>
      <c r="W1020" s="1380">
        <f t="shared" si="1635"/>
        <v>0</v>
      </c>
      <c r="X1020" s="1380">
        <f t="shared" si="1635"/>
        <v>0</v>
      </c>
      <c r="Y1020" s="1380">
        <f t="shared" si="1635"/>
        <v>0</v>
      </c>
      <c r="Z1020" s="1380">
        <f t="shared" si="1635"/>
        <v>0</v>
      </c>
      <c r="AA1020" s="1380">
        <f t="shared" si="1635"/>
        <v>0</v>
      </c>
      <c r="AB1020" s="1380">
        <f t="shared" si="1635"/>
        <v>0</v>
      </c>
      <c r="AC1020" s="1380">
        <f t="shared" si="1635"/>
        <v>0</v>
      </c>
      <c r="AD1020" s="1380">
        <f t="shared" si="1635"/>
        <v>0</v>
      </c>
      <c r="AE1020" s="782">
        <f t="shared" ref="AE1020:AK1020" si="1636">SUM(AE1021:AE1024)</f>
        <v>0</v>
      </c>
      <c r="AF1020" s="1380">
        <f t="shared" si="1636"/>
        <v>0</v>
      </c>
      <c r="AG1020" s="1380">
        <f t="shared" si="1636"/>
        <v>0</v>
      </c>
      <c r="AH1020" s="1380">
        <f t="shared" si="1636"/>
        <v>0</v>
      </c>
      <c r="AI1020" s="1380">
        <f t="shared" si="1636"/>
        <v>0</v>
      </c>
      <c r="AJ1020" s="1380">
        <f t="shared" si="1636"/>
        <v>0</v>
      </c>
      <c r="AK1020" s="1380">
        <f t="shared" si="1636"/>
        <v>0</v>
      </c>
      <c r="AM1020" s="2252">
        <f t="shared" ca="1" si="1610"/>
        <v>0</v>
      </c>
      <c r="AN1020" s="2252">
        <f t="shared" ca="1" si="1611"/>
        <v>0</v>
      </c>
      <c r="AO1020" s="2952">
        <f t="shared" ca="1" si="1612"/>
        <v>0</v>
      </c>
      <c r="AP1020" s="2953">
        <f t="shared" ca="1" si="1613"/>
        <v>0</v>
      </c>
      <c r="AQ1020" s="2252">
        <f t="shared" ca="1" si="1614"/>
        <v>0</v>
      </c>
      <c r="AR1020" s="2952">
        <f t="shared" ca="1" si="1615"/>
        <v>0</v>
      </c>
      <c r="AS1020" s="2953">
        <f t="shared" ca="1" si="1616"/>
        <v>0</v>
      </c>
      <c r="AU1020" s="2252">
        <f t="shared" ca="1" si="1617"/>
        <v>0</v>
      </c>
      <c r="AV1020" s="2252">
        <f t="shared" ca="1" si="1618"/>
        <v>0</v>
      </c>
      <c r="AW1020" s="2952">
        <f t="shared" ca="1" si="1619"/>
        <v>0</v>
      </c>
      <c r="AX1020" s="2953">
        <f t="shared" ca="1" si="1620"/>
        <v>0</v>
      </c>
      <c r="AY1020" s="2252">
        <f t="shared" ca="1" si="1621"/>
        <v>0</v>
      </c>
      <c r="AZ1020" s="2952">
        <f t="shared" ca="1" si="1622"/>
        <v>0</v>
      </c>
      <c r="BA1020" s="2953">
        <f t="shared" ca="1" si="1623"/>
        <v>0</v>
      </c>
      <c r="BC1020" s="2252">
        <f t="shared" ca="1" si="1624"/>
        <v>0</v>
      </c>
      <c r="BD1020" s="2252">
        <f t="shared" ca="1" si="1625"/>
        <v>0</v>
      </c>
      <c r="BE1020" s="2952">
        <f t="shared" ca="1" si="1626"/>
        <v>0</v>
      </c>
      <c r="BF1020" s="2953">
        <f t="shared" ca="1" si="1627"/>
        <v>0</v>
      </c>
      <c r="BG1020" s="2252">
        <f t="shared" ca="1" si="1628"/>
        <v>0</v>
      </c>
      <c r="BH1020" s="2952">
        <f t="shared" ca="1" si="1629"/>
        <v>0</v>
      </c>
      <c r="BI1020" s="2953">
        <f t="shared" ca="1" si="1630"/>
        <v>0</v>
      </c>
    </row>
    <row r="1021" spans="1:61" s="34" customFormat="1" ht="14.5">
      <c r="A1021" s="1693">
        <f t="shared" si="1574"/>
        <v>1013</v>
      </c>
      <c r="B1021" s="616">
        <v>1</v>
      </c>
      <c r="C1021" s="1693">
        <f t="shared" si="1567"/>
        <v>1021</v>
      </c>
      <c r="D1021" s="616">
        <v>1</v>
      </c>
      <c r="F1021" s="454"/>
      <c r="G1021" s="4"/>
      <c r="H1021" s="4"/>
      <c r="I1021" s="4"/>
      <c r="J1021" s="256"/>
      <c r="K1021" s="4"/>
      <c r="L1021" s="3"/>
      <c r="M1021" s="4"/>
      <c r="N1021" s="4"/>
      <c r="O1021" s="41"/>
      <c r="P1021" s="41" t="s">
        <v>198</v>
      </c>
      <c r="Q1021" s="3"/>
      <c r="R1021" s="1778" t="str">
        <f>CHOOSE(2, "6722000003932", "HC MS FE/TTOC Marketing Total Business Development")</f>
        <v>HC MS FE/TTOC Marketing Total Business Development</v>
      </c>
      <c r="S1021" s="1212"/>
      <c r="T1021" s="1212"/>
      <c r="U1021" s="1212"/>
      <c r="V1021" s="1212"/>
      <c r="W1021" s="1212"/>
      <c r="X1021" s="1212"/>
      <c r="Y1021" s="1212"/>
      <c r="Z1021" s="1212"/>
      <c r="AA1021" s="1212"/>
      <c r="AB1021" s="1212"/>
      <c r="AC1021" s="1212"/>
      <c r="AD1021" s="1212"/>
      <c r="AE1021" s="877">
        <f>U1021</f>
        <v>0</v>
      </c>
      <c r="AF1021" s="40">
        <f>X1021</f>
        <v>0</v>
      </c>
      <c r="AG1021" s="40">
        <f>AA1021</f>
        <v>0</v>
      </c>
      <c r="AH1021" s="40">
        <f>AD1021</f>
        <v>0</v>
      </c>
      <c r="AI1021" s="40">
        <f>AF1021</f>
        <v>0</v>
      </c>
      <c r="AJ1021" s="40">
        <f>AH1021</f>
        <v>0</v>
      </c>
      <c r="AK1021" s="40">
        <f>AJ1021</f>
        <v>0</v>
      </c>
      <c r="AM1021" s="1910">
        <f t="shared" ca="1" si="1610"/>
        <v>0</v>
      </c>
      <c r="AN1021" s="1910">
        <f t="shared" ca="1" si="1611"/>
        <v>0</v>
      </c>
      <c r="AO1021" s="2694">
        <f t="shared" ca="1" si="1612"/>
        <v>0</v>
      </c>
      <c r="AP1021" s="2695">
        <f t="shared" ca="1" si="1613"/>
        <v>0</v>
      </c>
      <c r="AQ1021" s="1910">
        <f t="shared" ca="1" si="1614"/>
        <v>0</v>
      </c>
      <c r="AR1021" s="2694">
        <f t="shared" ca="1" si="1615"/>
        <v>0</v>
      </c>
      <c r="AS1021" s="2695">
        <f t="shared" ca="1" si="1616"/>
        <v>0</v>
      </c>
      <c r="AU1021" s="1910">
        <f t="shared" ca="1" si="1617"/>
        <v>0</v>
      </c>
      <c r="AV1021" s="1910">
        <f t="shared" ca="1" si="1618"/>
        <v>0</v>
      </c>
      <c r="AW1021" s="2694">
        <f t="shared" ca="1" si="1619"/>
        <v>0</v>
      </c>
      <c r="AX1021" s="2695">
        <f t="shared" ca="1" si="1620"/>
        <v>0</v>
      </c>
      <c r="AY1021" s="1910">
        <f t="shared" ca="1" si="1621"/>
        <v>0</v>
      </c>
      <c r="AZ1021" s="2694">
        <f t="shared" ca="1" si="1622"/>
        <v>0</v>
      </c>
      <c r="BA1021" s="2695">
        <f t="shared" ca="1" si="1623"/>
        <v>0</v>
      </c>
      <c r="BC1021" s="1910">
        <f t="shared" ca="1" si="1624"/>
        <v>0</v>
      </c>
      <c r="BD1021" s="1910">
        <f t="shared" ca="1" si="1625"/>
        <v>0</v>
      </c>
      <c r="BE1021" s="2694">
        <f t="shared" ca="1" si="1626"/>
        <v>0</v>
      </c>
      <c r="BF1021" s="2695">
        <f t="shared" ca="1" si="1627"/>
        <v>0</v>
      </c>
      <c r="BG1021" s="1910">
        <f t="shared" ca="1" si="1628"/>
        <v>0</v>
      </c>
      <c r="BH1021" s="2694">
        <f t="shared" ca="1" si="1629"/>
        <v>0</v>
      </c>
      <c r="BI1021" s="2695">
        <f t="shared" ca="1" si="1630"/>
        <v>0</v>
      </c>
    </row>
    <row r="1022" spans="1:61" s="34" customFormat="1" ht="14.5">
      <c r="A1022" s="1693">
        <f t="shared" si="1574"/>
        <v>1014</v>
      </c>
      <c r="B1022" s="616">
        <v>1</v>
      </c>
      <c r="C1022" s="1693">
        <f t="shared" si="1567"/>
        <v>1022</v>
      </c>
      <c r="D1022" s="616">
        <v>1</v>
      </c>
      <c r="F1022" s="454"/>
      <c r="G1022" s="4"/>
      <c r="H1022" s="4"/>
      <c r="I1022" s="4"/>
      <c r="J1022" s="256"/>
      <c r="K1022" s="4"/>
      <c r="L1022" s="3"/>
      <c r="M1022" s="4"/>
      <c r="N1022" s="4"/>
      <c r="O1022" s="41"/>
      <c r="P1022" s="41" t="s">
        <v>199</v>
      </c>
      <c r="Q1022" s="3"/>
      <c r="R1022" s="1778" t="str">
        <f>CHOOSE(2, "6722000003933", "HC MS FE/TTOC Marketing Total Channel Marketing")</f>
        <v>HC MS FE/TTOC Marketing Total Channel Marketing</v>
      </c>
      <c r="S1022" s="1212"/>
      <c r="T1022" s="1212"/>
      <c r="U1022" s="1212"/>
      <c r="V1022" s="1212"/>
      <c r="W1022" s="1212"/>
      <c r="X1022" s="1212"/>
      <c r="Y1022" s="1212"/>
      <c r="Z1022" s="1212"/>
      <c r="AA1022" s="1212"/>
      <c r="AB1022" s="1212"/>
      <c r="AC1022" s="1212"/>
      <c r="AD1022" s="1212"/>
      <c r="AE1022" s="877">
        <f>U1022</f>
        <v>0</v>
      </c>
      <c r="AF1022" s="40">
        <f>X1022</f>
        <v>0</v>
      </c>
      <c r="AG1022" s="40">
        <f>AA1022</f>
        <v>0</v>
      </c>
      <c r="AH1022" s="40">
        <f>AD1022</f>
        <v>0</v>
      </c>
      <c r="AI1022" s="40">
        <f>AF1022</f>
        <v>0</v>
      </c>
      <c r="AJ1022" s="40">
        <f>AH1022</f>
        <v>0</v>
      </c>
      <c r="AK1022" s="40">
        <f>AJ1022</f>
        <v>0</v>
      </c>
      <c r="AM1022" s="1910">
        <f t="shared" ca="1" si="1610"/>
        <v>0</v>
      </c>
      <c r="AN1022" s="1910">
        <f t="shared" ca="1" si="1611"/>
        <v>0</v>
      </c>
      <c r="AO1022" s="2694">
        <f t="shared" ca="1" si="1612"/>
        <v>0</v>
      </c>
      <c r="AP1022" s="2695">
        <f t="shared" ca="1" si="1613"/>
        <v>0</v>
      </c>
      <c r="AQ1022" s="1910">
        <f t="shared" ca="1" si="1614"/>
        <v>0</v>
      </c>
      <c r="AR1022" s="2694">
        <f t="shared" ca="1" si="1615"/>
        <v>0</v>
      </c>
      <c r="AS1022" s="2695">
        <f t="shared" ca="1" si="1616"/>
        <v>0</v>
      </c>
      <c r="AU1022" s="1910">
        <f t="shared" ca="1" si="1617"/>
        <v>0</v>
      </c>
      <c r="AV1022" s="1910">
        <f t="shared" ca="1" si="1618"/>
        <v>0</v>
      </c>
      <c r="AW1022" s="2694">
        <f t="shared" ca="1" si="1619"/>
        <v>0</v>
      </c>
      <c r="AX1022" s="2695">
        <f t="shared" ca="1" si="1620"/>
        <v>0</v>
      </c>
      <c r="AY1022" s="1910">
        <f t="shared" ca="1" si="1621"/>
        <v>0</v>
      </c>
      <c r="AZ1022" s="2694">
        <f t="shared" ca="1" si="1622"/>
        <v>0</v>
      </c>
      <c r="BA1022" s="2695">
        <f t="shared" ca="1" si="1623"/>
        <v>0</v>
      </c>
      <c r="BC1022" s="1910">
        <f t="shared" ca="1" si="1624"/>
        <v>0</v>
      </c>
      <c r="BD1022" s="1910">
        <f t="shared" ca="1" si="1625"/>
        <v>0</v>
      </c>
      <c r="BE1022" s="2694">
        <f t="shared" ca="1" si="1626"/>
        <v>0</v>
      </c>
      <c r="BF1022" s="2695">
        <f t="shared" ca="1" si="1627"/>
        <v>0</v>
      </c>
      <c r="BG1022" s="1910">
        <f t="shared" ca="1" si="1628"/>
        <v>0</v>
      </c>
      <c r="BH1022" s="2694">
        <f t="shared" ca="1" si="1629"/>
        <v>0</v>
      </c>
      <c r="BI1022" s="2695">
        <f t="shared" ca="1" si="1630"/>
        <v>0</v>
      </c>
    </row>
    <row r="1023" spans="1:61" s="34" customFormat="1" ht="14.5">
      <c r="A1023" s="1693">
        <f t="shared" si="1574"/>
        <v>1015</v>
      </c>
      <c r="B1023" s="616">
        <v>1</v>
      </c>
      <c r="C1023" s="1693">
        <f t="shared" ref="C1023:D1038" si="1637">C1022+1</f>
        <v>1023</v>
      </c>
      <c r="D1023" s="616">
        <v>1</v>
      </c>
      <c r="F1023" s="454"/>
      <c r="G1023" s="4"/>
      <c r="H1023" s="4"/>
      <c r="I1023" s="4"/>
      <c r="J1023" s="256"/>
      <c r="K1023" s="4"/>
      <c r="L1023" s="3"/>
      <c r="M1023" s="4"/>
      <c r="N1023" s="4"/>
      <c r="O1023" s="41"/>
      <c r="P1023" s="41" t="s">
        <v>200</v>
      </c>
      <c r="Q1023" s="3"/>
      <c r="R1023" s="1778" t="str">
        <f>CHOOSE(2, "6722000003934", "HC MS FE/TTOC Marketing Total Product Marketing")</f>
        <v>HC MS FE/TTOC Marketing Total Product Marketing</v>
      </c>
      <c r="S1023" s="1212"/>
      <c r="T1023" s="1212"/>
      <c r="U1023" s="1212"/>
      <c r="V1023" s="1212"/>
      <c r="W1023" s="1212"/>
      <c r="X1023" s="1212"/>
      <c r="Y1023" s="1212"/>
      <c r="Z1023" s="1212"/>
      <c r="AA1023" s="1212"/>
      <c r="AB1023" s="1212"/>
      <c r="AC1023" s="1212"/>
      <c r="AD1023" s="1212"/>
      <c r="AE1023" s="877">
        <f>U1023</f>
        <v>0</v>
      </c>
      <c r="AF1023" s="40">
        <f>X1023</f>
        <v>0</v>
      </c>
      <c r="AG1023" s="40">
        <f>AA1023</f>
        <v>0</v>
      </c>
      <c r="AH1023" s="40">
        <f>AD1023</f>
        <v>0</v>
      </c>
      <c r="AI1023" s="40">
        <f>AF1023</f>
        <v>0</v>
      </c>
      <c r="AJ1023" s="40">
        <f>AH1023</f>
        <v>0</v>
      </c>
      <c r="AK1023" s="40">
        <f>AJ1023</f>
        <v>0</v>
      </c>
      <c r="AM1023" s="1910">
        <f t="shared" ca="1" si="1610"/>
        <v>0</v>
      </c>
      <c r="AN1023" s="1910">
        <f t="shared" ca="1" si="1611"/>
        <v>0</v>
      </c>
      <c r="AO1023" s="2694">
        <f t="shared" ca="1" si="1612"/>
        <v>0</v>
      </c>
      <c r="AP1023" s="2695">
        <f t="shared" ca="1" si="1613"/>
        <v>0</v>
      </c>
      <c r="AQ1023" s="1910">
        <f t="shared" ca="1" si="1614"/>
        <v>0</v>
      </c>
      <c r="AR1023" s="2694">
        <f t="shared" ca="1" si="1615"/>
        <v>0</v>
      </c>
      <c r="AS1023" s="2695">
        <f t="shared" ca="1" si="1616"/>
        <v>0</v>
      </c>
      <c r="AU1023" s="1910">
        <f t="shared" ca="1" si="1617"/>
        <v>0</v>
      </c>
      <c r="AV1023" s="1910">
        <f t="shared" ca="1" si="1618"/>
        <v>0</v>
      </c>
      <c r="AW1023" s="2694">
        <f t="shared" ca="1" si="1619"/>
        <v>0</v>
      </c>
      <c r="AX1023" s="2695">
        <f t="shared" ca="1" si="1620"/>
        <v>0</v>
      </c>
      <c r="AY1023" s="1910">
        <f t="shared" ca="1" si="1621"/>
        <v>0</v>
      </c>
      <c r="AZ1023" s="2694">
        <f t="shared" ca="1" si="1622"/>
        <v>0</v>
      </c>
      <c r="BA1023" s="2695">
        <f t="shared" ca="1" si="1623"/>
        <v>0</v>
      </c>
      <c r="BC1023" s="1910">
        <f t="shared" ca="1" si="1624"/>
        <v>0</v>
      </c>
      <c r="BD1023" s="1910">
        <f t="shared" ca="1" si="1625"/>
        <v>0</v>
      </c>
      <c r="BE1023" s="2694">
        <f t="shared" ca="1" si="1626"/>
        <v>0</v>
      </c>
      <c r="BF1023" s="2695">
        <f t="shared" ca="1" si="1627"/>
        <v>0</v>
      </c>
      <c r="BG1023" s="1910">
        <f t="shared" ca="1" si="1628"/>
        <v>0</v>
      </c>
      <c r="BH1023" s="2694">
        <f t="shared" ca="1" si="1629"/>
        <v>0</v>
      </c>
      <c r="BI1023" s="2695">
        <f t="shared" ca="1" si="1630"/>
        <v>0</v>
      </c>
    </row>
    <row r="1024" spans="1:61" s="34" customFormat="1" ht="14.5">
      <c r="A1024" s="1693">
        <f t="shared" si="1574"/>
        <v>1016</v>
      </c>
      <c r="B1024" s="616">
        <v>1</v>
      </c>
      <c r="C1024" s="1693">
        <f t="shared" si="1637"/>
        <v>1024</v>
      </c>
      <c r="D1024" s="616">
        <v>1</v>
      </c>
      <c r="F1024" s="454"/>
      <c r="G1024" s="4"/>
      <c r="H1024" s="4"/>
      <c r="I1024" s="4"/>
      <c r="J1024" s="256"/>
      <c r="K1024" s="2"/>
      <c r="L1024" s="1"/>
      <c r="M1024" s="2"/>
      <c r="N1024" s="2"/>
      <c r="O1024" s="39"/>
      <c r="P1024" s="39" t="s">
        <v>201</v>
      </c>
      <c r="Q1024" s="1"/>
      <c r="R1024" s="1778" t="str">
        <f>CHOOSE(2, "6722000003935", "HC MS FE/TTOC Marketing Total MC / O")</f>
        <v>HC MS FE/TTOC Marketing Total MC / O</v>
      </c>
      <c r="S1024" s="1211"/>
      <c r="T1024" s="1211"/>
      <c r="U1024" s="1211"/>
      <c r="V1024" s="1211"/>
      <c r="W1024" s="1211"/>
      <c r="X1024" s="1211"/>
      <c r="Y1024" s="1211"/>
      <c r="Z1024" s="1211"/>
      <c r="AA1024" s="1211"/>
      <c r="AB1024" s="1211"/>
      <c r="AC1024" s="1211"/>
      <c r="AD1024" s="1211"/>
      <c r="AE1024" s="912">
        <f>U1024</f>
        <v>0</v>
      </c>
      <c r="AF1024" s="38">
        <f>X1024</f>
        <v>0</v>
      </c>
      <c r="AG1024" s="38">
        <f>AA1024</f>
        <v>0</v>
      </c>
      <c r="AH1024" s="38">
        <f>AD1024</f>
        <v>0</v>
      </c>
      <c r="AI1024" s="38">
        <f>AF1024</f>
        <v>0</v>
      </c>
      <c r="AJ1024" s="38">
        <f>AH1024</f>
        <v>0</v>
      </c>
      <c r="AK1024" s="38">
        <f>AJ1024</f>
        <v>0</v>
      </c>
      <c r="AM1024" s="2248">
        <f t="shared" ca="1" si="1610"/>
        <v>0</v>
      </c>
      <c r="AN1024" s="2248">
        <f t="shared" ca="1" si="1611"/>
        <v>0</v>
      </c>
      <c r="AO1024" s="2950">
        <f t="shared" ca="1" si="1612"/>
        <v>0</v>
      </c>
      <c r="AP1024" s="2951">
        <f t="shared" ca="1" si="1613"/>
        <v>0</v>
      </c>
      <c r="AQ1024" s="2248">
        <f t="shared" ca="1" si="1614"/>
        <v>0</v>
      </c>
      <c r="AR1024" s="2950">
        <f t="shared" ca="1" si="1615"/>
        <v>0</v>
      </c>
      <c r="AS1024" s="2951">
        <f t="shared" ca="1" si="1616"/>
        <v>0</v>
      </c>
      <c r="AU1024" s="2248">
        <f t="shared" ca="1" si="1617"/>
        <v>0</v>
      </c>
      <c r="AV1024" s="2248">
        <f t="shared" ca="1" si="1618"/>
        <v>0</v>
      </c>
      <c r="AW1024" s="2950">
        <f t="shared" ca="1" si="1619"/>
        <v>0</v>
      </c>
      <c r="AX1024" s="2951">
        <f t="shared" ca="1" si="1620"/>
        <v>0</v>
      </c>
      <c r="AY1024" s="2248">
        <f t="shared" ca="1" si="1621"/>
        <v>0</v>
      </c>
      <c r="AZ1024" s="2950">
        <f t="shared" ca="1" si="1622"/>
        <v>0</v>
      </c>
      <c r="BA1024" s="2951">
        <f t="shared" ca="1" si="1623"/>
        <v>0</v>
      </c>
      <c r="BC1024" s="2248">
        <f t="shared" ca="1" si="1624"/>
        <v>0</v>
      </c>
      <c r="BD1024" s="2248">
        <f t="shared" ca="1" si="1625"/>
        <v>0</v>
      </c>
      <c r="BE1024" s="2950">
        <f t="shared" ca="1" si="1626"/>
        <v>0</v>
      </c>
      <c r="BF1024" s="2951">
        <f t="shared" ca="1" si="1627"/>
        <v>0</v>
      </c>
      <c r="BG1024" s="2248">
        <f t="shared" ca="1" si="1628"/>
        <v>0</v>
      </c>
      <c r="BH1024" s="2950">
        <f t="shared" ca="1" si="1629"/>
        <v>0</v>
      </c>
      <c r="BI1024" s="2951">
        <f t="shared" ca="1" si="1630"/>
        <v>0</v>
      </c>
    </row>
    <row r="1025" spans="1:61" s="34" customFormat="1" ht="14.5">
      <c r="A1025" s="1693">
        <f t="shared" si="1574"/>
        <v>1017</v>
      </c>
      <c r="B1025" s="616">
        <v>1</v>
      </c>
      <c r="C1025" s="1693">
        <f t="shared" si="1637"/>
        <v>1025</v>
      </c>
      <c r="D1025" s="616">
        <v>1</v>
      </c>
      <c r="E1025" s="709" t="s">
        <v>512</v>
      </c>
      <c r="F1025" s="1572"/>
      <c r="G1025" s="4"/>
      <c r="H1025" s="4"/>
      <c r="I1025" s="4"/>
      <c r="J1025" s="256"/>
      <c r="K1025" s="48" t="s">
        <v>138</v>
      </c>
      <c r="L1025" s="47"/>
      <c r="M1025" s="48"/>
      <c r="N1025" s="48"/>
      <c r="O1025" s="47"/>
      <c r="P1025" s="47"/>
      <c r="Q1025" s="47"/>
      <c r="R1025" s="1786" t="str">
        <f>CHOOSE(2, "6722000003936", "HC MS FE/TTOC Administration Total")</f>
        <v>HC MS FE/TTOC Administration Total</v>
      </c>
      <c r="S1025" s="1255">
        <f>SUM(S1026:S1030)</f>
        <v>0</v>
      </c>
      <c r="T1025" s="1255">
        <f t="shared" ref="T1025:AD1025" si="1638">SUM(T1026:T1030)</f>
        <v>0</v>
      </c>
      <c r="U1025" s="1255">
        <f t="shared" si="1638"/>
        <v>0</v>
      </c>
      <c r="V1025" s="1255">
        <f t="shared" si="1638"/>
        <v>0</v>
      </c>
      <c r="W1025" s="1255">
        <f t="shared" si="1638"/>
        <v>0</v>
      </c>
      <c r="X1025" s="1255">
        <f t="shared" si="1638"/>
        <v>0</v>
      </c>
      <c r="Y1025" s="1255">
        <f t="shared" si="1638"/>
        <v>0</v>
      </c>
      <c r="Z1025" s="1255">
        <f t="shared" si="1638"/>
        <v>0</v>
      </c>
      <c r="AA1025" s="1255">
        <f t="shared" si="1638"/>
        <v>0</v>
      </c>
      <c r="AB1025" s="1255">
        <f t="shared" si="1638"/>
        <v>0</v>
      </c>
      <c r="AC1025" s="1255">
        <f t="shared" si="1638"/>
        <v>0</v>
      </c>
      <c r="AD1025" s="1255">
        <f t="shared" si="1638"/>
        <v>0</v>
      </c>
      <c r="AE1025" s="1240">
        <f t="shared" ref="AE1025:AK1025" si="1639">SUM(AE1026:AE1030)</f>
        <v>0</v>
      </c>
      <c r="AF1025" s="1255">
        <f t="shared" si="1639"/>
        <v>0</v>
      </c>
      <c r="AG1025" s="1255">
        <f t="shared" si="1639"/>
        <v>0</v>
      </c>
      <c r="AH1025" s="1255">
        <f t="shared" si="1639"/>
        <v>0</v>
      </c>
      <c r="AI1025" s="1255">
        <f t="shared" si="1639"/>
        <v>0</v>
      </c>
      <c r="AJ1025" s="1255">
        <f t="shared" si="1639"/>
        <v>0</v>
      </c>
      <c r="AK1025" s="1255">
        <f t="shared" si="1639"/>
        <v>0</v>
      </c>
      <c r="AM1025" s="2250">
        <f t="shared" ca="1" si="1610"/>
        <v>0</v>
      </c>
      <c r="AN1025" s="2250">
        <f t="shared" ca="1" si="1611"/>
        <v>0</v>
      </c>
      <c r="AO1025" s="2948">
        <f t="shared" ca="1" si="1612"/>
        <v>0</v>
      </c>
      <c r="AP1025" s="2949">
        <f t="shared" ca="1" si="1613"/>
        <v>0</v>
      </c>
      <c r="AQ1025" s="2250">
        <f t="shared" ca="1" si="1614"/>
        <v>0</v>
      </c>
      <c r="AR1025" s="2948">
        <f t="shared" ca="1" si="1615"/>
        <v>0</v>
      </c>
      <c r="AS1025" s="2949">
        <f t="shared" ca="1" si="1616"/>
        <v>0</v>
      </c>
      <c r="AU1025" s="2250">
        <f t="shared" ca="1" si="1617"/>
        <v>0</v>
      </c>
      <c r="AV1025" s="2250">
        <f t="shared" ca="1" si="1618"/>
        <v>0</v>
      </c>
      <c r="AW1025" s="2948">
        <f t="shared" ca="1" si="1619"/>
        <v>0</v>
      </c>
      <c r="AX1025" s="2949">
        <f t="shared" ca="1" si="1620"/>
        <v>0</v>
      </c>
      <c r="AY1025" s="2250">
        <f t="shared" ca="1" si="1621"/>
        <v>0</v>
      </c>
      <c r="AZ1025" s="2948">
        <f t="shared" ca="1" si="1622"/>
        <v>0</v>
      </c>
      <c r="BA1025" s="2949">
        <f t="shared" ca="1" si="1623"/>
        <v>0</v>
      </c>
      <c r="BC1025" s="2250">
        <f t="shared" ca="1" si="1624"/>
        <v>0</v>
      </c>
      <c r="BD1025" s="2250">
        <f t="shared" ca="1" si="1625"/>
        <v>0</v>
      </c>
      <c r="BE1025" s="2948">
        <f t="shared" ca="1" si="1626"/>
        <v>0</v>
      </c>
      <c r="BF1025" s="2949">
        <f t="shared" ca="1" si="1627"/>
        <v>0</v>
      </c>
      <c r="BG1025" s="2250">
        <f t="shared" ca="1" si="1628"/>
        <v>0</v>
      </c>
      <c r="BH1025" s="2948">
        <f t="shared" ca="1" si="1629"/>
        <v>0</v>
      </c>
      <c r="BI1025" s="2949">
        <f t="shared" ca="1" si="1630"/>
        <v>0</v>
      </c>
    </row>
    <row r="1026" spans="1:61" s="34" customFormat="1" ht="14.5">
      <c r="A1026" s="1693">
        <f t="shared" si="1574"/>
        <v>1018</v>
      </c>
      <c r="B1026" s="616">
        <v>1</v>
      </c>
      <c r="C1026" s="1693">
        <f t="shared" si="1637"/>
        <v>1026</v>
      </c>
      <c r="D1026" s="616">
        <v>1</v>
      </c>
      <c r="F1026" s="454"/>
      <c r="G1026" s="4"/>
      <c r="H1026" s="4"/>
      <c r="I1026" s="4"/>
      <c r="J1026" s="256"/>
      <c r="K1026" s="4"/>
      <c r="L1026" s="3"/>
      <c r="M1026" s="4"/>
      <c r="N1026" s="3"/>
      <c r="O1026" s="41"/>
      <c r="P1026" s="41" t="s">
        <v>39</v>
      </c>
      <c r="Q1026" s="41"/>
      <c r="R1026" s="1778" t="str">
        <f>CHOOSE(2, "6722000003937", "HC MS FE/TTOC Administration Total IT")</f>
        <v>HC MS FE/TTOC Administration Total IT</v>
      </c>
      <c r="S1026" s="1212"/>
      <c r="T1026" s="1212"/>
      <c r="U1026" s="1212"/>
      <c r="V1026" s="1212"/>
      <c r="W1026" s="1212"/>
      <c r="X1026" s="1212"/>
      <c r="Y1026" s="1212"/>
      <c r="Z1026" s="1212"/>
      <c r="AA1026" s="1212"/>
      <c r="AB1026" s="1212"/>
      <c r="AC1026" s="1212"/>
      <c r="AD1026" s="1212"/>
      <c r="AE1026" s="877">
        <f>U1026</f>
        <v>0</v>
      </c>
      <c r="AF1026" s="40">
        <f>X1026</f>
        <v>0</v>
      </c>
      <c r="AG1026" s="40">
        <f>AA1026</f>
        <v>0</v>
      </c>
      <c r="AH1026" s="40">
        <f>AD1026</f>
        <v>0</v>
      </c>
      <c r="AI1026" s="40">
        <f>AF1026</f>
        <v>0</v>
      </c>
      <c r="AJ1026" s="40">
        <f>AH1026</f>
        <v>0</v>
      </c>
      <c r="AK1026" s="40">
        <f>AJ1026</f>
        <v>0</v>
      </c>
      <c r="AM1026" s="1910">
        <f t="shared" ca="1" si="1610"/>
        <v>0</v>
      </c>
      <c r="AN1026" s="1910">
        <f t="shared" ca="1" si="1611"/>
        <v>0</v>
      </c>
      <c r="AO1026" s="2694">
        <f t="shared" ca="1" si="1612"/>
        <v>0</v>
      </c>
      <c r="AP1026" s="2695">
        <f t="shared" ca="1" si="1613"/>
        <v>0</v>
      </c>
      <c r="AQ1026" s="1910">
        <f t="shared" ca="1" si="1614"/>
        <v>0</v>
      </c>
      <c r="AR1026" s="2694">
        <f t="shared" ca="1" si="1615"/>
        <v>0</v>
      </c>
      <c r="AS1026" s="2695">
        <f t="shared" ca="1" si="1616"/>
        <v>0</v>
      </c>
      <c r="AU1026" s="1910">
        <f t="shared" ca="1" si="1617"/>
        <v>0</v>
      </c>
      <c r="AV1026" s="1910">
        <f t="shared" ca="1" si="1618"/>
        <v>0</v>
      </c>
      <c r="AW1026" s="2694">
        <f t="shared" ca="1" si="1619"/>
        <v>0</v>
      </c>
      <c r="AX1026" s="2695">
        <f t="shared" ca="1" si="1620"/>
        <v>0</v>
      </c>
      <c r="AY1026" s="1910">
        <f t="shared" ca="1" si="1621"/>
        <v>0</v>
      </c>
      <c r="AZ1026" s="2694">
        <f t="shared" ca="1" si="1622"/>
        <v>0</v>
      </c>
      <c r="BA1026" s="2695">
        <f t="shared" ca="1" si="1623"/>
        <v>0</v>
      </c>
      <c r="BC1026" s="1910">
        <f t="shared" ca="1" si="1624"/>
        <v>0</v>
      </c>
      <c r="BD1026" s="1910">
        <f t="shared" ca="1" si="1625"/>
        <v>0</v>
      </c>
      <c r="BE1026" s="2694">
        <f t="shared" ca="1" si="1626"/>
        <v>0</v>
      </c>
      <c r="BF1026" s="2695">
        <f t="shared" ca="1" si="1627"/>
        <v>0</v>
      </c>
      <c r="BG1026" s="1910">
        <f t="shared" ca="1" si="1628"/>
        <v>0</v>
      </c>
      <c r="BH1026" s="2694">
        <f t="shared" ca="1" si="1629"/>
        <v>0</v>
      </c>
      <c r="BI1026" s="2695">
        <f t="shared" ca="1" si="1630"/>
        <v>0</v>
      </c>
    </row>
    <row r="1027" spans="1:61" s="34" customFormat="1" ht="14.5">
      <c r="A1027" s="1693">
        <f t="shared" si="1574"/>
        <v>1019</v>
      </c>
      <c r="B1027" s="616">
        <v>1</v>
      </c>
      <c r="C1027" s="1693">
        <f t="shared" si="1637"/>
        <v>1027</v>
      </c>
      <c r="D1027" s="616">
        <v>1</v>
      </c>
      <c r="F1027" s="454"/>
      <c r="G1027" s="4"/>
      <c r="H1027" s="4"/>
      <c r="I1027" s="4"/>
      <c r="J1027" s="256"/>
      <c r="K1027" s="4"/>
      <c r="L1027" s="3"/>
      <c r="M1027" s="4"/>
      <c r="N1027" s="3"/>
      <c r="O1027" s="41"/>
      <c r="P1027" s="41" t="s">
        <v>18</v>
      </c>
      <c r="Q1027" s="41"/>
      <c r="R1027" s="1778" t="str">
        <f>CHOOSE(2, "6722000003938", "HC MS FE/TTOC Administration Total Finance")</f>
        <v>HC MS FE/TTOC Administration Total Finance</v>
      </c>
      <c r="S1027" s="1212"/>
      <c r="T1027" s="1212"/>
      <c r="U1027" s="1212"/>
      <c r="V1027" s="1212"/>
      <c r="W1027" s="1212"/>
      <c r="X1027" s="1212"/>
      <c r="Y1027" s="1212"/>
      <c r="Z1027" s="1212"/>
      <c r="AA1027" s="1212"/>
      <c r="AB1027" s="1212"/>
      <c r="AC1027" s="1212"/>
      <c r="AD1027" s="1212"/>
      <c r="AE1027" s="877">
        <f>U1027</f>
        <v>0</v>
      </c>
      <c r="AF1027" s="40">
        <f>X1027</f>
        <v>0</v>
      </c>
      <c r="AG1027" s="40">
        <f>AA1027</f>
        <v>0</v>
      </c>
      <c r="AH1027" s="40">
        <f>AD1027</f>
        <v>0</v>
      </c>
      <c r="AI1027" s="40">
        <f>AF1027</f>
        <v>0</v>
      </c>
      <c r="AJ1027" s="40">
        <f>AH1027</f>
        <v>0</v>
      </c>
      <c r="AK1027" s="40">
        <f>AJ1027</f>
        <v>0</v>
      </c>
      <c r="AM1027" s="1910">
        <f t="shared" ca="1" si="1610"/>
        <v>0</v>
      </c>
      <c r="AN1027" s="1910">
        <f t="shared" ca="1" si="1611"/>
        <v>0</v>
      </c>
      <c r="AO1027" s="2694">
        <f t="shared" ca="1" si="1612"/>
        <v>0</v>
      </c>
      <c r="AP1027" s="2695">
        <f t="shared" ca="1" si="1613"/>
        <v>0</v>
      </c>
      <c r="AQ1027" s="1910">
        <f t="shared" ca="1" si="1614"/>
        <v>0</v>
      </c>
      <c r="AR1027" s="2694">
        <f t="shared" ca="1" si="1615"/>
        <v>0</v>
      </c>
      <c r="AS1027" s="2695">
        <f t="shared" ca="1" si="1616"/>
        <v>0</v>
      </c>
      <c r="AU1027" s="1910">
        <f t="shared" ca="1" si="1617"/>
        <v>0</v>
      </c>
      <c r="AV1027" s="1910">
        <f t="shared" ca="1" si="1618"/>
        <v>0</v>
      </c>
      <c r="AW1027" s="2694">
        <f t="shared" ca="1" si="1619"/>
        <v>0</v>
      </c>
      <c r="AX1027" s="2695">
        <f t="shared" ca="1" si="1620"/>
        <v>0</v>
      </c>
      <c r="AY1027" s="1910">
        <f t="shared" ca="1" si="1621"/>
        <v>0</v>
      </c>
      <c r="AZ1027" s="2694">
        <f t="shared" ca="1" si="1622"/>
        <v>0</v>
      </c>
      <c r="BA1027" s="2695">
        <f t="shared" ca="1" si="1623"/>
        <v>0</v>
      </c>
      <c r="BC1027" s="1910">
        <f t="shared" ca="1" si="1624"/>
        <v>0</v>
      </c>
      <c r="BD1027" s="1910">
        <f t="shared" ca="1" si="1625"/>
        <v>0</v>
      </c>
      <c r="BE1027" s="2694">
        <f t="shared" ca="1" si="1626"/>
        <v>0</v>
      </c>
      <c r="BF1027" s="2695">
        <f t="shared" ca="1" si="1627"/>
        <v>0</v>
      </c>
      <c r="BG1027" s="1910">
        <f t="shared" ca="1" si="1628"/>
        <v>0</v>
      </c>
      <c r="BH1027" s="2694">
        <f t="shared" ca="1" si="1629"/>
        <v>0</v>
      </c>
      <c r="BI1027" s="2695">
        <f t="shared" ca="1" si="1630"/>
        <v>0</v>
      </c>
    </row>
    <row r="1028" spans="1:61" s="34" customFormat="1" ht="14.5">
      <c r="A1028" s="1693">
        <f t="shared" si="1574"/>
        <v>1020</v>
      </c>
      <c r="B1028" s="616">
        <v>1</v>
      </c>
      <c r="C1028" s="1693">
        <f t="shared" si="1637"/>
        <v>1028</v>
      </c>
      <c r="D1028" s="616">
        <v>1</v>
      </c>
      <c r="F1028" s="454"/>
      <c r="G1028" s="4"/>
      <c r="H1028" s="4"/>
      <c r="I1028" s="4"/>
      <c r="J1028" s="256"/>
      <c r="K1028" s="4"/>
      <c r="L1028" s="3"/>
      <c r="M1028" s="4"/>
      <c r="N1028" s="3"/>
      <c r="O1028" s="41"/>
      <c r="P1028" s="41" t="s">
        <v>19</v>
      </c>
      <c r="Q1028" s="41"/>
      <c r="R1028" s="1778" t="str">
        <f>CHOOSE(2, "6722000003939", "HC MS FE/TTOC Administration Total HR")</f>
        <v>HC MS FE/TTOC Administration Total HR</v>
      </c>
      <c r="S1028" s="1212"/>
      <c r="T1028" s="1212"/>
      <c r="U1028" s="1212"/>
      <c r="V1028" s="1212"/>
      <c r="W1028" s="1212"/>
      <c r="X1028" s="1212"/>
      <c r="Y1028" s="1212"/>
      <c r="Z1028" s="1212"/>
      <c r="AA1028" s="1212"/>
      <c r="AB1028" s="1212"/>
      <c r="AC1028" s="1212"/>
      <c r="AD1028" s="1212"/>
      <c r="AE1028" s="877">
        <f>U1028</f>
        <v>0</v>
      </c>
      <c r="AF1028" s="40">
        <f>X1028</f>
        <v>0</v>
      </c>
      <c r="AG1028" s="40">
        <f>AA1028</f>
        <v>0</v>
      </c>
      <c r="AH1028" s="40">
        <f>AD1028</f>
        <v>0</v>
      </c>
      <c r="AI1028" s="40">
        <f>AF1028</f>
        <v>0</v>
      </c>
      <c r="AJ1028" s="40">
        <f>AH1028</f>
        <v>0</v>
      </c>
      <c r="AK1028" s="40">
        <f>AJ1028</f>
        <v>0</v>
      </c>
      <c r="AM1028" s="1910">
        <f t="shared" ca="1" si="1610"/>
        <v>0</v>
      </c>
      <c r="AN1028" s="1910">
        <f t="shared" ca="1" si="1611"/>
        <v>0</v>
      </c>
      <c r="AO1028" s="2694">
        <f t="shared" ca="1" si="1612"/>
        <v>0</v>
      </c>
      <c r="AP1028" s="2695">
        <f t="shared" ca="1" si="1613"/>
        <v>0</v>
      </c>
      <c r="AQ1028" s="1910">
        <f t="shared" ca="1" si="1614"/>
        <v>0</v>
      </c>
      <c r="AR1028" s="2694">
        <f t="shared" ca="1" si="1615"/>
        <v>0</v>
      </c>
      <c r="AS1028" s="2695">
        <f t="shared" ca="1" si="1616"/>
        <v>0</v>
      </c>
      <c r="AU1028" s="1910">
        <f t="shared" ca="1" si="1617"/>
        <v>0</v>
      </c>
      <c r="AV1028" s="1910">
        <f t="shared" ca="1" si="1618"/>
        <v>0</v>
      </c>
      <c r="AW1028" s="2694">
        <f t="shared" ca="1" si="1619"/>
        <v>0</v>
      </c>
      <c r="AX1028" s="2695">
        <f t="shared" ca="1" si="1620"/>
        <v>0</v>
      </c>
      <c r="AY1028" s="1910">
        <f t="shared" ca="1" si="1621"/>
        <v>0</v>
      </c>
      <c r="AZ1028" s="2694">
        <f t="shared" ca="1" si="1622"/>
        <v>0</v>
      </c>
      <c r="BA1028" s="2695">
        <f t="shared" ca="1" si="1623"/>
        <v>0</v>
      </c>
      <c r="BC1028" s="1910">
        <f t="shared" ca="1" si="1624"/>
        <v>0</v>
      </c>
      <c r="BD1028" s="1910">
        <f t="shared" ca="1" si="1625"/>
        <v>0</v>
      </c>
      <c r="BE1028" s="2694">
        <f t="shared" ca="1" si="1626"/>
        <v>0</v>
      </c>
      <c r="BF1028" s="2695">
        <f t="shared" ca="1" si="1627"/>
        <v>0</v>
      </c>
      <c r="BG1028" s="1910">
        <f t="shared" ca="1" si="1628"/>
        <v>0</v>
      </c>
      <c r="BH1028" s="2694">
        <f t="shared" ca="1" si="1629"/>
        <v>0</v>
      </c>
      <c r="BI1028" s="2695">
        <f t="shared" ca="1" si="1630"/>
        <v>0</v>
      </c>
    </row>
    <row r="1029" spans="1:61" s="34" customFormat="1" ht="14.5">
      <c r="A1029" s="1693">
        <f t="shared" si="1574"/>
        <v>1021</v>
      </c>
      <c r="B1029" s="616">
        <v>1</v>
      </c>
      <c r="C1029" s="1693">
        <f t="shared" si="1637"/>
        <v>1029</v>
      </c>
      <c r="D1029" s="616">
        <v>1</v>
      </c>
      <c r="F1029" s="454"/>
      <c r="G1029" s="4"/>
      <c r="H1029" s="4"/>
      <c r="I1029" s="4"/>
      <c r="J1029" s="256"/>
      <c r="K1029" s="4"/>
      <c r="L1029" s="3"/>
      <c r="M1029" s="4"/>
      <c r="N1029" s="3"/>
      <c r="O1029" s="41"/>
      <c r="P1029" s="41" t="s">
        <v>20</v>
      </c>
      <c r="Q1029" s="41"/>
      <c r="R1029" s="1778" t="str">
        <f>CHOOSE(2, "6722000003940", "HC MS FE/TTOC Administration Total Training")</f>
        <v>HC MS FE/TTOC Administration Total Training</v>
      </c>
      <c r="S1029" s="1212"/>
      <c r="T1029" s="1212"/>
      <c r="U1029" s="1212"/>
      <c r="V1029" s="1212"/>
      <c r="W1029" s="1212"/>
      <c r="X1029" s="1212"/>
      <c r="Y1029" s="1212"/>
      <c r="Z1029" s="1212"/>
      <c r="AA1029" s="1212"/>
      <c r="AB1029" s="1212"/>
      <c r="AC1029" s="1212"/>
      <c r="AD1029" s="1212"/>
      <c r="AE1029" s="877">
        <f>U1029</f>
        <v>0</v>
      </c>
      <c r="AF1029" s="40">
        <f>X1029</f>
        <v>0</v>
      </c>
      <c r="AG1029" s="40">
        <f>AA1029</f>
        <v>0</v>
      </c>
      <c r="AH1029" s="40">
        <f>AD1029</f>
        <v>0</v>
      </c>
      <c r="AI1029" s="40">
        <f>AF1029</f>
        <v>0</v>
      </c>
      <c r="AJ1029" s="40">
        <f>AH1029</f>
        <v>0</v>
      </c>
      <c r="AK1029" s="40">
        <f>AJ1029</f>
        <v>0</v>
      </c>
      <c r="AM1029" s="1910">
        <f t="shared" ca="1" si="1610"/>
        <v>0</v>
      </c>
      <c r="AN1029" s="1910">
        <f t="shared" ca="1" si="1611"/>
        <v>0</v>
      </c>
      <c r="AO1029" s="2694">
        <f t="shared" ca="1" si="1612"/>
        <v>0</v>
      </c>
      <c r="AP1029" s="2695">
        <f t="shared" ca="1" si="1613"/>
        <v>0</v>
      </c>
      <c r="AQ1029" s="1910">
        <f t="shared" ca="1" si="1614"/>
        <v>0</v>
      </c>
      <c r="AR1029" s="2694">
        <f t="shared" ca="1" si="1615"/>
        <v>0</v>
      </c>
      <c r="AS1029" s="2695">
        <f t="shared" ca="1" si="1616"/>
        <v>0</v>
      </c>
      <c r="AU1029" s="1910">
        <f t="shared" ca="1" si="1617"/>
        <v>0</v>
      </c>
      <c r="AV1029" s="1910">
        <f t="shared" ca="1" si="1618"/>
        <v>0</v>
      </c>
      <c r="AW1029" s="2694">
        <f t="shared" ca="1" si="1619"/>
        <v>0</v>
      </c>
      <c r="AX1029" s="2695">
        <f t="shared" ca="1" si="1620"/>
        <v>0</v>
      </c>
      <c r="AY1029" s="1910">
        <f t="shared" ca="1" si="1621"/>
        <v>0</v>
      </c>
      <c r="AZ1029" s="2694">
        <f t="shared" ca="1" si="1622"/>
        <v>0</v>
      </c>
      <c r="BA1029" s="2695">
        <f t="shared" ca="1" si="1623"/>
        <v>0</v>
      </c>
      <c r="BC1029" s="1910">
        <f t="shared" ca="1" si="1624"/>
        <v>0</v>
      </c>
      <c r="BD1029" s="1910">
        <f t="shared" ca="1" si="1625"/>
        <v>0</v>
      </c>
      <c r="BE1029" s="2694">
        <f t="shared" ca="1" si="1626"/>
        <v>0</v>
      </c>
      <c r="BF1029" s="2695">
        <f t="shared" ca="1" si="1627"/>
        <v>0</v>
      </c>
      <c r="BG1029" s="1910">
        <f t="shared" ca="1" si="1628"/>
        <v>0</v>
      </c>
      <c r="BH1029" s="2694">
        <f t="shared" ca="1" si="1629"/>
        <v>0</v>
      </c>
      <c r="BI1029" s="2695">
        <f t="shared" ca="1" si="1630"/>
        <v>0</v>
      </c>
    </row>
    <row r="1030" spans="1:61" s="34" customFormat="1" ht="14.5">
      <c r="A1030" s="1693">
        <f t="shared" si="1574"/>
        <v>1022</v>
      </c>
      <c r="B1030" s="616">
        <v>1</v>
      </c>
      <c r="C1030" s="1693">
        <f t="shared" si="1637"/>
        <v>1030</v>
      </c>
      <c r="D1030" s="616">
        <v>1</v>
      </c>
      <c r="F1030" s="454"/>
      <c r="G1030" s="4"/>
      <c r="H1030" s="4"/>
      <c r="I1030" s="4"/>
      <c r="J1030" s="256"/>
      <c r="K1030" s="4"/>
      <c r="L1030" s="3"/>
      <c r="M1030" s="4"/>
      <c r="N1030" s="3"/>
      <c r="O1030" s="41"/>
      <c r="P1030" s="41" t="s">
        <v>2</v>
      </c>
      <c r="Q1030" s="41"/>
      <c r="R1030" s="1778" t="str">
        <f>CHOOSE(2, "6722000003941", "HC MS FE/TTOC Administration Total Others")</f>
        <v>HC MS FE/TTOC Administration Total Others</v>
      </c>
      <c r="S1030" s="1212"/>
      <c r="T1030" s="1212"/>
      <c r="U1030" s="1212"/>
      <c r="V1030" s="1212"/>
      <c r="W1030" s="1212"/>
      <c r="X1030" s="1212"/>
      <c r="Y1030" s="1212"/>
      <c r="Z1030" s="1212"/>
      <c r="AA1030" s="1212"/>
      <c r="AB1030" s="1212"/>
      <c r="AC1030" s="1212"/>
      <c r="AD1030" s="1212"/>
      <c r="AE1030" s="877">
        <f>U1030</f>
        <v>0</v>
      </c>
      <c r="AF1030" s="40">
        <f>X1030</f>
        <v>0</v>
      </c>
      <c r="AG1030" s="40">
        <f>AA1030</f>
        <v>0</v>
      </c>
      <c r="AH1030" s="40">
        <f>AD1030</f>
        <v>0</v>
      </c>
      <c r="AI1030" s="40">
        <f>AF1030</f>
        <v>0</v>
      </c>
      <c r="AJ1030" s="40">
        <f>AH1030</f>
        <v>0</v>
      </c>
      <c r="AK1030" s="40">
        <f>AJ1030</f>
        <v>0</v>
      </c>
      <c r="AL1030" s="2244"/>
      <c r="AM1030" s="1910">
        <f t="shared" ca="1" si="1610"/>
        <v>0</v>
      </c>
      <c r="AN1030" s="1910">
        <f t="shared" ca="1" si="1611"/>
        <v>0</v>
      </c>
      <c r="AO1030" s="2694">
        <f t="shared" ca="1" si="1612"/>
        <v>0</v>
      </c>
      <c r="AP1030" s="2695">
        <f t="shared" ca="1" si="1613"/>
        <v>0</v>
      </c>
      <c r="AQ1030" s="1910">
        <f t="shared" ca="1" si="1614"/>
        <v>0</v>
      </c>
      <c r="AR1030" s="2694">
        <f t="shared" ca="1" si="1615"/>
        <v>0</v>
      </c>
      <c r="AS1030" s="2695">
        <f t="shared" ca="1" si="1616"/>
        <v>0</v>
      </c>
      <c r="AU1030" s="1910">
        <f t="shared" ca="1" si="1617"/>
        <v>0</v>
      </c>
      <c r="AV1030" s="1910">
        <f t="shared" ca="1" si="1618"/>
        <v>0</v>
      </c>
      <c r="AW1030" s="2694">
        <f t="shared" ca="1" si="1619"/>
        <v>0</v>
      </c>
      <c r="AX1030" s="2695">
        <f t="shared" ca="1" si="1620"/>
        <v>0</v>
      </c>
      <c r="AY1030" s="1910">
        <f t="shared" ca="1" si="1621"/>
        <v>0</v>
      </c>
      <c r="AZ1030" s="2694">
        <f t="shared" ca="1" si="1622"/>
        <v>0</v>
      </c>
      <c r="BA1030" s="2695">
        <f t="shared" ca="1" si="1623"/>
        <v>0</v>
      </c>
      <c r="BC1030" s="1910">
        <f t="shared" ca="1" si="1624"/>
        <v>0</v>
      </c>
      <c r="BD1030" s="1910">
        <f t="shared" ca="1" si="1625"/>
        <v>0</v>
      </c>
      <c r="BE1030" s="2694">
        <f t="shared" ca="1" si="1626"/>
        <v>0</v>
      </c>
      <c r="BF1030" s="2695">
        <f t="shared" ca="1" si="1627"/>
        <v>0</v>
      </c>
      <c r="BG1030" s="1910">
        <f t="shared" ca="1" si="1628"/>
        <v>0</v>
      </c>
      <c r="BH1030" s="2694">
        <f t="shared" ca="1" si="1629"/>
        <v>0</v>
      </c>
      <c r="BI1030" s="2695">
        <f t="shared" ca="1" si="1630"/>
        <v>0</v>
      </c>
    </row>
    <row r="1031" spans="1:61" s="34" customFormat="1" ht="14.5">
      <c r="A1031" s="1693">
        <f t="shared" si="1574"/>
        <v>1023</v>
      </c>
      <c r="B1031" s="616">
        <v>1</v>
      </c>
      <c r="C1031" s="1693">
        <f t="shared" si="1637"/>
        <v>1031</v>
      </c>
      <c r="D1031" s="616">
        <v>1</v>
      </c>
      <c r="E1031" s="709" t="s">
        <v>512</v>
      </c>
      <c r="F1031" s="1572"/>
      <c r="G1031" s="4"/>
      <c r="H1031" s="4"/>
      <c r="I1031" s="4"/>
      <c r="J1031" s="256"/>
      <c r="K1031" s="252" t="s">
        <v>139</v>
      </c>
      <c r="L1031" s="251"/>
      <c r="M1031" s="252"/>
      <c r="N1031" s="252"/>
      <c r="O1031" s="251"/>
      <c r="P1031" s="43"/>
      <c r="Q1031" s="251"/>
      <c r="R1031" s="1786" t="str">
        <f>CHOOSE(2, "6722000003942", "HC MS FE/TTOC Logistics Total")</f>
        <v>HC MS FE/TTOC Logistics Total</v>
      </c>
      <c r="S1031" s="1380">
        <f>SUM(S1032:S1034)</f>
        <v>0</v>
      </c>
      <c r="T1031" s="1380">
        <f t="shared" ref="T1031:AD1031" si="1640">SUM(T1032:T1034)</f>
        <v>0</v>
      </c>
      <c r="U1031" s="1380">
        <f t="shared" si="1640"/>
        <v>0</v>
      </c>
      <c r="V1031" s="1380">
        <f t="shared" si="1640"/>
        <v>0</v>
      </c>
      <c r="W1031" s="1380">
        <f t="shared" si="1640"/>
        <v>0</v>
      </c>
      <c r="X1031" s="1380">
        <f t="shared" si="1640"/>
        <v>0</v>
      </c>
      <c r="Y1031" s="1380">
        <f t="shared" si="1640"/>
        <v>0</v>
      </c>
      <c r="Z1031" s="1380">
        <f t="shared" si="1640"/>
        <v>0</v>
      </c>
      <c r="AA1031" s="1380">
        <f t="shared" si="1640"/>
        <v>0</v>
      </c>
      <c r="AB1031" s="1380">
        <f t="shared" si="1640"/>
        <v>0</v>
      </c>
      <c r="AC1031" s="1380">
        <f t="shared" si="1640"/>
        <v>0</v>
      </c>
      <c r="AD1031" s="1380">
        <f t="shared" si="1640"/>
        <v>0</v>
      </c>
      <c r="AE1031" s="782">
        <f t="shared" ref="AE1031:AK1031" si="1641">SUM(AE1032:AE1034)</f>
        <v>0</v>
      </c>
      <c r="AF1031" s="1380">
        <f t="shared" si="1641"/>
        <v>0</v>
      </c>
      <c r="AG1031" s="1380">
        <f t="shared" si="1641"/>
        <v>0</v>
      </c>
      <c r="AH1031" s="1380">
        <f t="shared" si="1641"/>
        <v>0</v>
      </c>
      <c r="AI1031" s="1380">
        <f t="shared" si="1641"/>
        <v>0</v>
      </c>
      <c r="AJ1031" s="1380">
        <f t="shared" si="1641"/>
        <v>0</v>
      </c>
      <c r="AK1031" s="1380">
        <f t="shared" si="1641"/>
        <v>0</v>
      </c>
      <c r="AM1031" s="2252">
        <f t="shared" ca="1" si="1610"/>
        <v>0</v>
      </c>
      <c r="AN1031" s="2252">
        <f t="shared" ca="1" si="1611"/>
        <v>0</v>
      </c>
      <c r="AO1031" s="2952">
        <f t="shared" ca="1" si="1612"/>
        <v>0</v>
      </c>
      <c r="AP1031" s="2953">
        <f t="shared" ca="1" si="1613"/>
        <v>0</v>
      </c>
      <c r="AQ1031" s="2252">
        <f t="shared" ca="1" si="1614"/>
        <v>0</v>
      </c>
      <c r="AR1031" s="2952">
        <f t="shared" ca="1" si="1615"/>
        <v>0</v>
      </c>
      <c r="AS1031" s="2953">
        <f t="shared" ca="1" si="1616"/>
        <v>0</v>
      </c>
      <c r="AU1031" s="2252">
        <f t="shared" ca="1" si="1617"/>
        <v>0</v>
      </c>
      <c r="AV1031" s="2252">
        <f t="shared" ca="1" si="1618"/>
        <v>0</v>
      </c>
      <c r="AW1031" s="2952">
        <f t="shared" ca="1" si="1619"/>
        <v>0</v>
      </c>
      <c r="AX1031" s="2953">
        <f t="shared" ca="1" si="1620"/>
        <v>0</v>
      </c>
      <c r="AY1031" s="2252">
        <f t="shared" ca="1" si="1621"/>
        <v>0</v>
      </c>
      <c r="AZ1031" s="2952">
        <f t="shared" ca="1" si="1622"/>
        <v>0</v>
      </c>
      <c r="BA1031" s="2953">
        <f t="shared" ca="1" si="1623"/>
        <v>0</v>
      </c>
      <c r="BC1031" s="2252">
        <f t="shared" ca="1" si="1624"/>
        <v>0</v>
      </c>
      <c r="BD1031" s="2252">
        <f t="shared" ca="1" si="1625"/>
        <v>0</v>
      </c>
      <c r="BE1031" s="2952">
        <f t="shared" ca="1" si="1626"/>
        <v>0</v>
      </c>
      <c r="BF1031" s="2953">
        <f t="shared" ca="1" si="1627"/>
        <v>0</v>
      </c>
      <c r="BG1031" s="2252">
        <f t="shared" ca="1" si="1628"/>
        <v>0</v>
      </c>
      <c r="BH1031" s="2952">
        <f t="shared" ca="1" si="1629"/>
        <v>0</v>
      </c>
      <c r="BI1031" s="2953">
        <f t="shared" ca="1" si="1630"/>
        <v>0</v>
      </c>
    </row>
    <row r="1032" spans="1:61" s="34" customFormat="1" ht="14.5">
      <c r="A1032" s="1693">
        <f t="shared" si="1574"/>
        <v>1024</v>
      </c>
      <c r="B1032" s="616">
        <v>1</v>
      </c>
      <c r="C1032" s="1693">
        <f t="shared" si="1637"/>
        <v>1032</v>
      </c>
      <c r="D1032" s="616">
        <v>1</v>
      </c>
      <c r="F1032" s="454"/>
      <c r="G1032" s="4"/>
      <c r="H1032" s="4"/>
      <c r="I1032" s="4"/>
      <c r="J1032" s="256"/>
      <c r="K1032" s="4"/>
      <c r="L1032" s="3"/>
      <c r="M1032" s="4"/>
      <c r="N1032" s="3"/>
      <c r="O1032" s="41"/>
      <c r="P1032" s="41" t="s">
        <v>21</v>
      </c>
      <c r="Q1032" s="41"/>
      <c r="R1032" s="1778" t="str">
        <f>CHOOSE(2, "6722000003943", "HC MS FE/TTOC Logistics Total Administration")</f>
        <v>HC MS FE/TTOC Logistics Total Administration</v>
      </c>
      <c r="S1032" s="1212"/>
      <c r="T1032" s="1212"/>
      <c r="U1032" s="1212"/>
      <c r="V1032" s="1212"/>
      <c r="W1032" s="1212"/>
      <c r="X1032" s="1212"/>
      <c r="Y1032" s="1212"/>
      <c r="Z1032" s="1212"/>
      <c r="AA1032" s="1212"/>
      <c r="AB1032" s="1212"/>
      <c r="AC1032" s="1212"/>
      <c r="AD1032" s="1212"/>
      <c r="AE1032" s="877">
        <f>U1032</f>
        <v>0</v>
      </c>
      <c r="AF1032" s="40">
        <f>X1032</f>
        <v>0</v>
      </c>
      <c r="AG1032" s="40">
        <f>AA1032</f>
        <v>0</v>
      </c>
      <c r="AH1032" s="40">
        <f>AD1032</f>
        <v>0</v>
      </c>
      <c r="AI1032" s="40">
        <f>AF1032</f>
        <v>0</v>
      </c>
      <c r="AJ1032" s="40">
        <f>AH1032</f>
        <v>0</v>
      </c>
      <c r="AK1032" s="40">
        <f>AJ1032</f>
        <v>0</v>
      </c>
      <c r="AM1032" s="1910">
        <f t="shared" ca="1" si="1610"/>
        <v>0</v>
      </c>
      <c r="AN1032" s="1910">
        <f t="shared" ca="1" si="1611"/>
        <v>0</v>
      </c>
      <c r="AO1032" s="2694">
        <f t="shared" ca="1" si="1612"/>
        <v>0</v>
      </c>
      <c r="AP1032" s="2695">
        <f t="shared" ca="1" si="1613"/>
        <v>0</v>
      </c>
      <c r="AQ1032" s="1910">
        <f t="shared" ca="1" si="1614"/>
        <v>0</v>
      </c>
      <c r="AR1032" s="2694">
        <f t="shared" ca="1" si="1615"/>
        <v>0</v>
      </c>
      <c r="AS1032" s="2695">
        <f t="shared" ca="1" si="1616"/>
        <v>0</v>
      </c>
      <c r="AU1032" s="1910">
        <f t="shared" ca="1" si="1617"/>
        <v>0</v>
      </c>
      <c r="AV1032" s="1910">
        <f t="shared" ca="1" si="1618"/>
        <v>0</v>
      </c>
      <c r="AW1032" s="2694">
        <f t="shared" ca="1" si="1619"/>
        <v>0</v>
      </c>
      <c r="AX1032" s="2695">
        <f t="shared" ca="1" si="1620"/>
        <v>0</v>
      </c>
      <c r="AY1032" s="1910">
        <f t="shared" ca="1" si="1621"/>
        <v>0</v>
      </c>
      <c r="AZ1032" s="2694">
        <f t="shared" ca="1" si="1622"/>
        <v>0</v>
      </c>
      <c r="BA1032" s="2695">
        <f t="shared" ca="1" si="1623"/>
        <v>0</v>
      </c>
      <c r="BC1032" s="1910">
        <f t="shared" ca="1" si="1624"/>
        <v>0</v>
      </c>
      <c r="BD1032" s="1910">
        <f t="shared" ca="1" si="1625"/>
        <v>0</v>
      </c>
      <c r="BE1032" s="2694">
        <f t="shared" ca="1" si="1626"/>
        <v>0</v>
      </c>
      <c r="BF1032" s="2695">
        <f t="shared" ca="1" si="1627"/>
        <v>0</v>
      </c>
      <c r="BG1032" s="1910">
        <f t="shared" ca="1" si="1628"/>
        <v>0</v>
      </c>
      <c r="BH1032" s="2694">
        <f t="shared" ca="1" si="1629"/>
        <v>0</v>
      </c>
      <c r="BI1032" s="2695">
        <f t="shared" ca="1" si="1630"/>
        <v>0</v>
      </c>
    </row>
    <row r="1033" spans="1:61" s="34" customFormat="1" ht="14.5">
      <c r="A1033" s="1693">
        <f t="shared" si="1574"/>
        <v>1025</v>
      </c>
      <c r="B1033" s="616">
        <v>1</v>
      </c>
      <c r="C1033" s="1693">
        <f t="shared" si="1637"/>
        <v>1033</v>
      </c>
      <c r="D1033" s="616">
        <v>1</v>
      </c>
      <c r="F1033" s="454"/>
      <c r="G1033" s="4"/>
      <c r="H1033" s="4"/>
      <c r="I1033" s="4"/>
      <c r="J1033" s="256"/>
      <c r="K1033" s="4"/>
      <c r="L1033" s="3"/>
      <c r="M1033" s="4"/>
      <c r="N1033" s="3"/>
      <c r="O1033" s="41"/>
      <c r="P1033" s="41" t="s">
        <v>22</v>
      </c>
      <c r="Q1033" s="41"/>
      <c r="R1033" s="1778" t="str">
        <f>CHOOSE(2, "6722000003944", "HC MS FE/TTOC Logistics Total Warehouse")</f>
        <v>HC MS FE/TTOC Logistics Total Warehouse</v>
      </c>
      <c r="S1033" s="1212"/>
      <c r="T1033" s="1212"/>
      <c r="U1033" s="1212"/>
      <c r="V1033" s="1212"/>
      <c r="W1033" s="1212"/>
      <c r="X1033" s="1212"/>
      <c r="Y1033" s="1212"/>
      <c r="Z1033" s="1212"/>
      <c r="AA1033" s="1212"/>
      <c r="AB1033" s="1212"/>
      <c r="AC1033" s="1212"/>
      <c r="AD1033" s="1212"/>
      <c r="AE1033" s="877">
        <f>U1033</f>
        <v>0</v>
      </c>
      <c r="AF1033" s="40">
        <f>X1033</f>
        <v>0</v>
      </c>
      <c r="AG1033" s="40">
        <f>AA1033</f>
        <v>0</v>
      </c>
      <c r="AH1033" s="40">
        <f>AD1033</f>
        <v>0</v>
      </c>
      <c r="AI1033" s="40">
        <f>AF1033</f>
        <v>0</v>
      </c>
      <c r="AJ1033" s="40">
        <f>AH1033</f>
        <v>0</v>
      </c>
      <c r="AK1033" s="40">
        <f>AJ1033</f>
        <v>0</v>
      </c>
      <c r="AM1033" s="1910">
        <f t="shared" ca="1" si="1610"/>
        <v>0</v>
      </c>
      <c r="AN1033" s="1910">
        <f t="shared" ca="1" si="1611"/>
        <v>0</v>
      </c>
      <c r="AO1033" s="2694">
        <f t="shared" ca="1" si="1612"/>
        <v>0</v>
      </c>
      <c r="AP1033" s="2695">
        <f t="shared" ca="1" si="1613"/>
        <v>0</v>
      </c>
      <c r="AQ1033" s="1910">
        <f t="shared" ca="1" si="1614"/>
        <v>0</v>
      </c>
      <c r="AR1033" s="2694">
        <f t="shared" ca="1" si="1615"/>
        <v>0</v>
      </c>
      <c r="AS1033" s="2695">
        <f t="shared" ca="1" si="1616"/>
        <v>0</v>
      </c>
      <c r="AU1033" s="1910">
        <f t="shared" ca="1" si="1617"/>
        <v>0</v>
      </c>
      <c r="AV1033" s="1910">
        <f t="shared" ca="1" si="1618"/>
        <v>0</v>
      </c>
      <c r="AW1033" s="2694">
        <f t="shared" ca="1" si="1619"/>
        <v>0</v>
      </c>
      <c r="AX1033" s="2695">
        <f t="shared" ca="1" si="1620"/>
        <v>0</v>
      </c>
      <c r="AY1033" s="1910">
        <f t="shared" ca="1" si="1621"/>
        <v>0</v>
      </c>
      <c r="AZ1033" s="2694">
        <f t="shared" ca="1" si="1622"/>
        <v>0</v>
      </c>
      <c r="BA1033" s="2695">
        <f t="shared" ca="1" si="1623"/>
        <v>0</v>
      </c>
      <c r="BC1033" s="1910">
        <f t="shared" ca="1" si="1624"/>
        <v>0</v>
      </c>
      <c r="BD1033" s="1910">
        <f t="shared" ca="1" si="1625"/>
        <v>0</v>
      </c>
      <c r="BE1033" s="2694">
        <f t="shared" ca="1" si="1626"/>
        <v>0</v>
      </c>
      <c r="BF1033" s="2695">
        <f t="shared" ca="1" si="1627"/>
        <v>0</v>
      </c>
      <c r="BG1033" s="1910">
        <f t="shared" ca="1" si="1628"/>
        <v>0</v>
      </c>
      <c r="BH1033" s="2694">
        <f t="shared" ca="1" si="1629"/>
        <v>0</v>
      </c>
      <c r="BI1033" s="2695">
        <f t="shared" ca="1" si="1630"/>
        <v>0</v>
      </c>
    </row>
    <row r="1034" spans="1:61" s="34" customFormat="1" ht="14.5">
      <c r="A1034" s="1693">
        <f t="shared" si="1574"/>
        <v>1026</v>
      </c>
      <c r="B1034" s="616">
        <v>1</v>
      </c>
      <c r="C1034" s="1693">
        <f t="shared" si="1637"/>
        <v>1034</v>
      </c>
      <c r="D1034" s="616">
        <v>1</v>
      </c>
      <c r="F1034" s="454"/>
      <c r="G1034" s="4"/>
      <c r="H1034" s="4"/>
      <c r="I1034" s="4"/>
      <c r="J1034" s="257"/>
      <c r="K1034" s="2"/>
      <c r="L1034" s="1"/>
      <c r="M1034" s="2"/>
      <c r="N1034" s="1"/>
      <c r="O1034" s="39"/>
      <c r="P1034" s="39" t="s">
        <v>23</v>
      </c>
      <c r="Q1034" s="39"/>
      <c r="R1034" s="1778" t="str">
        <f>CHOOSE(2, "6722000003945", "HC MS FE/TTOC Logistics Total Workshop")</f>
        <v>HC MS FE/TTOC Logistics Total Workshop</v>
      </c>
      <c r="S1034" s="1211"/>
      <c r="T1034" s="1211"/>
      <c r="U1034" s="1211"/>
      <c r="V1034" s="1211"/>
      <c r="W1034" s="1211"/>
      <c r="X1034" s="1211"/>
      <c r="Y1034" s="1211"/>
      <c r="Z1034" s="1211"/>
      <c r="AA1034" s="1211"/>
      <c r="AB1034" s="1211"/>
      <c r="AC1034" s="1211"/>
      <c r="AD1034" s="1211"/>
      <c r="AE1034" s="912">
        <f>U1034</f>
        <v>0</v>
      </c>
      <c r="AF1034" s="38">
        <f>X1034</f>
        <v>0</v>
      </c>
      <c r="AG1034" s="38">
        <f>AA1034</f>
        <v>0</v>
      </c>
      <c r="AH1034" s="38">
        <f>AD1034</f>
        <v>0</v>
      </c>
      <c r="AI1034" s="38">
        <f>AF1034</f>
        <v>0</v>
      </c>
      <c r="AJ1034" s="38">
        <f>AH1034</f>
        <v>0</v>
      </c>
      <c r="AK1034" s="38">
        <f>AJ1034</f>
        <v>0</v>
      </c>
      <c r="AM1034" s="2248">
        <f t="shared" ca="1" si="1610"/>
        <v>0</v>
      </c>
      <c r="AN1034" s="2248">
        <f t="shared" ca="1" si="1611"/>
        <v>0</v>
      </c>
      <c r="AO1034" s="2950">
        <f t="shared" ca="1" si="1612"/>
        <v>0</v>
      </c>
      <c r="AP1034" s="2951">
        <f t="shared" ca="1" si="1613"/>
        <v>0</v>
      </c>
      <c r="AQ1034" s="2248">
        <f t="shared" ca="1" si="1614"/>
        <v>0</v>
      </c>
      <c r="AR1034" s="2950">
        <f t="shared" ca="1" si="1615"/>
        <v>0</v>
      </c>
      <c r="AS1034" s="2951">
        <f t="shared" ca="1" si="1616"/>
        <v>0</v>
      </c>
      <c r="AU1034" s="2248">
        <f t="shared" ca="1" si="1617"/>
        <v>0</v>
      </c>
      <c r="AV1034" s="2248">
        <f t="shared" ca="1" si="1618"/>
        <v>0</v>
      </c>
      <c r="AW1034" s="2950">
        <f t="shared" ca="1" si="1619"/>
        <v>0</v>
      </c>
      <c r="AX1034" s="2951">
        <f t="shared" ca="1" si="1620"/>
        <v>0</v>
      </c>
      <c r="AY1034" s="2248">
        <f t="shared" ca="1" si="1621"/>
        <v>0</v>
      </c>
      <c r="AZ1034" s="2950">
        <f t="shared" ca="1" si="1622"/>
        <v>0</v>
      </c>
      <c r="BA1034" s="2951">
        <f t="shared" ca="1" si="1623"/>
        <v>0</v>
      </c>
      <c r="BC1034" s="2248">
        <f t="shared" ca="1" si="1624"/>
        <v>0</v>
      </c>
      <c r="BD1034" s="2248">
        <f t="shared" ca="1" si="1625"/>
        <v>0</v>
      </c>
      <c r="BE1034" s="2950">
        <f t="shared" ca="1" si="1626"/>
        <v>0</v>
      </c>
      <c r="BF1034" s="2951">
        <f t="shared" ca="1" si="1627"/>
        <v>0</v>
      </c>
      <c r="BG1034" s="2248">
        <f t="shared" ca="1" si="1628"/>
        <v>0</v>
      </c>
      <c r="BH1034" s="2950">
        <f t="shared" ca="1" si="1629"/>
        <v>0</v>
      </c>
      <c r="BI1034" s="2951">
        <f t="shared" ca="1" si="1630"/>
        <v>0</v>
      </c>
    </row>
    <row r="1035" spans="1:61" s="34" customFormat="1" ht="14.5">
      <c r="A1035" s="1693">
        <f t="shared" si="1574"/>
        <v>1027</v>
      </c>
      <c r="B1035" s="616">
        <v>1</v>
      </c>
      <c r="C1035" s="1693">
        <f t="shared" si="1637"/>
        <v>1035</v>
      </c>
      <c r="D1035" s="616">
        <v>1</v>
      </c>
      <c r="E1035" s="709" t="s">
        <v>512</v>
      </c>
      <c r="F1035" s="1572"/>
      <c r="G1035" s="4"/>
      <c r="H1035" s="4"/>
      <c r="I1035" s="4"/>
      <c r="J1035" s="246" t="s">
        <v>182</v>
      </c>
      <c r="K1035" s="247"/>
      <c r="L1035" s="248"/>
      <c r="M1035" s="248"/>
      <c r="N1035" s="247"/>
      <c r="O1035" s="247"/>
      <c r="P1035" s="247"/>
      <c r="Q1035" s="247"/>
      <c r="R1035" s="1790" t="str">
        <f>CHOOSE(2, "6722000003946", "HC MS Semi-Full-Time/Part-Time Employees /Contractors")</f>
        <v>HC MS Semi-Full-Time/Part-Time Employees /Contractors</v>
      </c>
      <c r="S1035" s="1243"/>
      <c r="T1035" s="1243"/>
      <c r="U1035" s="1243"/>
      <c r="V1035" s="1243"/>
      <c r="W1035" s="1243"/>
      <c r="X1035" s="1243"/>
      <c r="Y1035" s="1243"/>
      <c r="Z1035" s="1243"/>
      <c r="AA1035" s="1243"/>
      <c r="AB1035" s="1243"/>
      <c r="AC1035" s="1243"/>
      <c r="AD1035" s="1243"/>
      <c r="AE1035" s="913">
        <f>U1035</f>
        <v>0</v>
      </c>
      <c r="AF1035" s="250">
        <f>X1035</f>
        <v>0</v>
      </c>
      <c r="AG1035" s="250">
        <f>AA1035</f>
        <v>0</v>
      </c>
      <c r="AH1035" s="250">
        <f>AD1035</f>
        <v>0</v>
      </c>
      <c r="AI1035" s="250">
        <f>AF1035</f>
        <v>0</v>
      </c>
      <c r="AJ1035" s="250">
        <f>AH1035</f>
        <v>0</v>
      </c>
      <c r="AK1035" s="250">
        <f>AJ1035</f>
        <v>0</v>
      </c>
      <c r="AM1035" s="2256">
        <f t="shared" ca="1" si="1610"/>
        <v>0</v>
      </c>
      <c r="AN1035" s="2256">
        <f t="shared" ca="1" si="1611"/>
        <v>0</v>
      </c>
      <c r="AO1035" s="2849">
        <f t="shared" ca="1" si="1612"/>
        <v>0</v>
      </c>
      <c r="AP1035" s="2850">
        <f t="shared" ca="1" si="1613"/>
        <v>0</v>
      </c>
      <c r="AQ1035" s="2256">
        <f t="shared" ca="1" si="1614"/>
        <v>0</v>
      </c>
      <c r="AR1035" s="2849">
        <f t="shared" ca="1" si="1615"/>
        <v>0</v>
      </c>
      <c r="AS1035" s="2850">
        <f t="shared" ca="1" si="1616"/>
        <v>0</v>
      </c>
      <c r="AU1035" s="2256">
        <f t="shared" ca="1" si="1617"/>
        <v>0</v>
      </c>
      <c r="AV1035" s="2256">
        <f t="shared" ca="1" si="1618"/>
        <v>0</v>
      </c>
      <c r="AW1035" s="2849">
        <f t="shared" ca="1" si="1619"/>
        <v>0</v>
      </c>
      <c r="AX1035" s="2850">
        <f t="shared" ca="1" si="1620"/>
        <v>0</v>
      </c>
      <c r="AY1035" s="2256">
        <f t="shared" ca="1" si="1621"/>
        <v>0</v>
      </c>
      <c r="AZ1035" s="2849">
        <f t="shared" ca="1" si="1622"/>
        <v>0</v>
      </c>
      <c r="BA1035" s="2850">
        <f t="shared" ca="1" si="1623"/>
        <v>0</v>
      </c>
      <c r="BC1035" s="2256">
        <f t="shared" ca="1" si="1624"/>
        <v>0</v>
      </c>
      <c r="BD1035" s="2256">
        <f t="shared" ca="1" si="1625"/>
        <v>0</v>
      </c>
      <c r="BE1035" s="2849">
        <f t="shared" ca="1" si="1626"/>
        <v>0</v>
      </c>
      <c r="BF1035" s="2850">
        <f t="shared" ca="1" si="1627"/>
        <v>0</v>
      </c>
      <c r="BG1035" s="2256">
        <f t="shared" ca="1" si="1628"/>
        <v>0</v>
      </c>
      <c r="BH1035" s="2849">
        <f t="shared" ca="1" si="1629"/>
        <v>0</v>
      </c>
      <c r="BI1035" s="2850">
        <f t="shared" ca="1" si="1630"/>
        <v>0</v>
      </c>
    </row>
    <row r="1036" spans="1:61" s="34" customFormat="1" ht="14.5">
      <c r="A1036" s="1693">
        <f t="shared" si="1574"/>
        <v>1028</v>
      </c>
      <c r="B1036" s="616">
        <v>1</v>
      </c>
      <c r="C1036" s="1693">
        <f t="shared" si="1637"/>
        <v>1036</v>
      </c>
      <c r="D1036" s="616">
        <v>1</v>
      </c>
      <c r="E1036" s="709" t="s">
        <v>512</v>
      </c>
      <c r="F1036" s="1572"/>
      <c r="G1036" s="4"/>
      <c r="H1036" s="4"/>
      <c r="I1036" s="4"/>
      <c r="J1036" s="4"/>
      <c r="K1036" s="3"/>
      <c r="L1036" s="4"/>
      <c r="M1036" s="4"/>
      <c r="N1036" s="4"/>
      <c r="O1036" s="3"/>
      <c r="P1036" s="3"/>
      <c r="Q1036" s="3"/>
      <c r="R1036" s="1773" t="str">
        <f>CHOOSE(2, "6722000003947", "▷ Blank 31")</f>
        <v>▷ Blank 31</v>
      </c>
      <c r="S1036" s="1608"/>
      <c r="T1036" s="1609"/>
      <c r="U1036" s="1609"/>
      <c r="V1036" s="1609"/>
      <c r="W1036" s="1609"/>
      <c r="X1036" s="1609"/>
      <c r="Y1036" s="1609"/>
      <c r="Z1036" s="1609"/>
      <c r="AA1036" s="1609"/>
      <c r="AB1036" s="1609"/>
      <c r="AC1036" s="454"/>
      <c r="AD1036" s="454"/>
      <c r="AE1036" s="454"/>
      <c r="AF1036" s="454"/>
      <c r="AG1036" s="454"/>
      <c r="AH1036" s="454"/>
      <c r="AI1036" s="454"/>
      <c r="AJ1036" s="454"/>
      <c r="AK1036" s="454"/>
    </row>
    <row r="1037" spans="1:61" s="34" customFormat="1" ht="14.5">
      <c r="A1037" s="1693">
        <f t="shared" si="1574"/>
        <v>1029</v>
      </c>
      <c r="B1037" s="616">
        <v>1</v>
      </c>
      <c r="C1037" s="1693">
        <f t="shared" si="1637"/>
        <v>1037</v>
      </c>
      <c r="D1037" s="616">
        <v>916</v>
      </c>
      <c r="E1037" s="709" t="s">
        <v>512</v>
      </c>
      <c r="F1037" s="1572"/>
      <c r="G1037" s="8"/>
      <c r="H1037" s="22"/>
      <c r="I1037" s="4" t="s">
        <v>539</v>
      </c>
      <c r="J1037" s="4"/>
      <c r="K1037" s="3"/>
      <c r="L1037" s="4"/>
      <c r="M1037" s="4"/>
      <c r="N1037" s="3"/>
      <c r="O1037" s="3"/>
      <c r="P1037" s="3"/>
      <c r="Q1037" s="3"/>
      <c r="R1037" s="1773" t="str">
        <f>CHOOSE(2, "6722000003948", "HC (5) DW-DX")</f>
        <v>HC (5) DW-DX</v>
      </c>
      <c r="S1037" s="1608"/>
      <c r="T1037" s="1609"/>
      <c r="U1037" s="1609"/>
      <c r="V1037" s="1609"/>
      <c r="W1037" s="1609"/>
      <c r="X1037" s="1609"/>
      <c r="Y1037" s="1609"/>
      <c r="Z1037" s="1609"/>
      <c r="AA1037" s="1609"/>
      <c r="AB1037" s="1609"/>
      <c r="AC1037" s="454"/>
      <c r="AD1037" s="454"/>
      <c r="AE1037" s="454"/>
      <c r="AF1037" s="454"/>
      <c r="AG1037" s="454"/>
      <c r="AH1037" s="454"/>
      <c r="AI1037" s="454"/>
      <c r="AJ1037" s="454"/>
      <c r="AK1037" s="454"/>
    </row>
    <row r="1038" spans="1:61" s="272" customFormat="1" ht="14.5">
      <c r="A1038" s="1693">
        <f t="shared" si="1574"/>
        <v>1030</v>
      </c>
      <c r="B1038" s="616">
        <v>1</v>
      </c>
      <c r="C1038" s="1693">
        <f t="shared" si="1637"/>
        <v>1038</v>
      </c>
      <c r="D1038" s="616">
        <f t="shared" si="1637"/>
        <v>917</v>
      </c>
      <c r="E1038" s="709" t="s">
        <v>512</v>
      </c>
      <c r="F1038" s="1572"/>
      <c r="G1038" s="267"/>
      <c r="H1038" s="267"/>
      <c r="I1038" s="268"/>
      <c r="J1038" s="276" t="s">
        <v>202</v>
      </c>
      <c r="K1038" s="277"/>
      <c r="L1038" s="278"/>
      <c r="M1038" s="278"/>
      <c r="N1038" s="278"/>
      <c r="O1038" s="278"/>
      <c r="P1038" s="278"/>
      <c r="Q1038" s="873"/>
      <c r="R1038" s="1804" t="str">
        <f>CHOOSE(2, "6722000003949", "HC DW-DX FE/TTOC")</f>
        <v>HC DW-DX FE/TTOC</v>
      </c>
      <c r="S1038" s="1316">
        <f>S1039+S1044+S1050+S1055+S1061</f>
        <v>3</v>
      </c>
      <c r="T1038" s="1191">
        <f t="shared" ref="T1038:AD1038" si="1642">T1039+T1044+T1050+T1055+T1061</f>
        <v>3</v>
      </c>
      <c r="U1038" s="1191">
        <f t="shared" si="1642"/>
        <v>3</v>
      </c>
      <c r="V1038" s="1191">
        <f t="shared" si="1642"/>
        <v>2</v>
      </c>
      <c r="W1038" s="1191">
        <f t="shared" si="1642"/>
        <v>2</v>
      </c>
      <c r="X1038" s="1191">
        <f t="shared" si="1642"/>
        <v>3</v>
      </c>
      <c r="Y1038" s="1191">
        <f t="shared" si="1642"/>
        <v>3</v>
      </c>
      <c r="Z1038" s="1191">
        <f t="shared" si="1642"/>
        <v>3</v>
      </c>
      <c r="AA1038" s="1191">
        <f t="shared" si="1642"/>
        <v>3</v>
      </c>
      <c r="AB1038" s="1191">
        <f t="shared" si="1642"/>
        <v>3</v>
      </c>
      <c r="AC1038" s="1191">
        <f t="shared" si="1642"/>
        <v>3</v>
      </c>
      <c r="AD1038" s="1191">
        <f t="shared" si="1642"/>
        <v>2</v>
      </c>
      <c r="AE1038" s="887">
        <f t="shared" ref="AE1038:AK1038" si="1643">AE1039+AE1044+AE1050+AE1055+AE1061</f>
        <v>3</v>
      </c>
      <c r="AF1038" s="117">
        <f t="shared" si="1643"/>
        <v>3</v>
      </c>
      <c r="AG1038" s="117">
        <f t="shared" si="1643"/>
        <v>3</v>
      </c>
      <c r="AH1038" s="117">
        <f t="shared" si="1643"/>
        <v>2</v>
      </c>
      <c r="AI1038" s="117">
        <f t="shared" si="1643"/>
        <v>3</v>
      </c>
      <c r="AJ1038" s="117">
        <f t="shared" si="1643"/>
        <v>2</v>
      </c>
      <c r="AK1038" s="117">
        <f t="shared" si="1643"/>
        <v>2</v>
      </c>
      <c r="AL1038" s="34"/>
      <c r="AM1038" s="2094">
        <f t="shared" ref="AM1038:AM1065" ca="1" si="1644">INDIRECT(AM$3&amp;(ROW()))</f>
        <v>3</v>
      </c>
      <c r="AN1038" s="2095">
        <f t="shared" ref="AN1038:AN1065" ca="1" si="1645">INDIRECT(AN$1&amp;AN$3&amp;$C1038)</f>
        <v>5</v>
      </c>
      <c r="AO1038" s="2844">
        <f t="shared" ref="AO1038:AO1065" ca="1" si="1646">AM1038-AN1038</f>
        <v>-2</v>
      </c>
      <c r="AP1038" s="2845">
        <f t="shared" ref="AP1038:AP1065" ca="1" si="1647">IFERROR(AM1038/AN1038,0)</f>
        <v>0.6</v>
      </c>
      <c r="AQ1038" s="2095">
        <f ca="1">INDIRECT(AQ$1&amp;AQ$3&amp;$A1038)+INDIRECT(AQ$1&amp;AQ$3&amp;$B1038)</f>
        <v>8</v>
      </c>
      <c r="AR1038" s="2844">
        <f t="shared" ref="AR1038:AR1065" ca="1" si="1648">AM1038-AQ1038</f>
        <v>-5</v>
      </c>
      <c r="AS1038" s="2845">
        <f t="shared" ref="AS1038:AS1065" ca="1" si="1649">IFERROR(AM1038/AQ1038,0)</f>
        <v>0.375</v>
      </c>
      <c r="AT1038" s="2244"/>
      <c r="AU1038" s="2094">
        <f t="shared" ref="AU1038:AU1065" ca="1" si="1650">INDIRECT(AU$3&amp;(ROW()))</f>
        <v>3</v>
      </c>
      <c r="AV1038" s="2095">
        <f t="shared" ref="AV1038:AV1065" ca="1" si="1651">INDIRECT(AV$1&amp;AV$3&amp;$C1038)</f>
        <v>5</v>
      </c>
      <c r="AW1038" s="2844">
        <f t="shared" ref="AW1038:AW1065" ca="1" si="1652">AU1038-AV1038</f>
        <v>-2</v>
      </c>
      <c r="AX1038" s="2845">
        <f t="shared" ref="AX1038:AX1065" ca="1" si="1653">IFERROR(AU1038/AV1038,0)</f>
        <v>0.6</v>
      </c>
      <c r="AY1038" s="2095">
        <f t="shared" ref="AY1038:AY1065" ca="1" si="1654">INDIRECT(AY$1&amp;AY$3&amp;$A1038)+INDIRECT(AY$1&amp;AY$3&amp;$B1038)</f>
        <v>8</v>
      </c>
      <c r="AZ1038" s="2844">
        <f t="shared" ref="AZ1038:AZ1065" ca="1" si="1655">AU1038-AY1038</f>
        <v>-5</v>
      </c>
      <c r="BA1038" s="2845">
        <f t="shared" ref="BA1038:BA1065" ca="1" si="1656">IFERROR(AU1038/AY1038,0)</f>
        <v>0.375</v>
      </c>
      <c r="BB1038" s="2244"/>
      <c r="BC1038" s="2094">
        <f t="shared" ref="BC1038:BC1065" ca="1" si="1657">INDIRECT(BC$3&amp;(ROW()))</f>
        <v>3</v>
      </c>
      <c r="BD1038" s="2095">
        <f t="shared" ref="BD1038:BD1065" ca="1" si="1658">INDIRECT(BD$1&amp;BD$3&amp;$C1038)</f>
        <v>5</v>
      </c>
      <c r="BE1038" s="2844">
        <f t="shared" ref="BE1038:BE1065" ca="1" si="1659">BC1038-BD1038</f>
        <v>-2</v>
      </c>
      <c r="BF1038" s="2845">
        <f t="shared" ref="BF1038:BF1065" ca="1" si="1660">IFERROR(BC1038/BD1038,0)</f>
        <v>0.6</v>
      </c>
      <c r="BG1038" s="2095">
        <f t="shared" ref="BG1038:BG1065" ca="1" si="1661">INDIRECT(BG$1&amp;BG$3&amp;$A1038)+INDIRECT(BG$1&amp;BG$3&amp;$B1038)</f>
        <v>8</v>
      </c>
      <c r="BH1038" s="2844">
        <f t="shared" ref="BH1038:BH1065" ca="1" si="1662">BC1038-BG1038</f>
        <v>-5</v>
      </c>
      <c r="BI1038" s="2845">
        <f t="shared" ref="BI1038:BI1065" ca="1" si="1663">IFERROR(BC1038/BG1038,0)</f>
        <v>0.375</v>
      </c>
    </row>
    <row r="1039" spans="1:61" s="34" customFormat="1" ht="14.5">
      <c r="A1039" s="1693">
        <f t="shared" si="1574"/>
        <v>1031</v>
      </c>
      <c r="B1039" s="616">
        <v>1</v>
      </c>
      <c r="C1039" s="1693">
        <f t="shared" ref="C1039:D1054" si="1664">C1038+1</f>
        <v>1039</v>
      </c>
      <c r="D1039" s="616">
        <f t="shared" si="1664"/>
        <v>918</v>
      </c>
      <c r="E1039" s="709" t="s">
        <v>512</v>
      </c>
      <c r="F1039" s="1572"/>
      <c r="G1039" s="4"/>
      <c r="H1039" s="4"/>
      <c r="I1039" s="4"/>
      <c r="J1039" s="260"/>
      <c r="K1039" s="48" t="s">
        <v>46</v>
      </c>
      <c r="L1039" s="47"/>
      <c r="M1039" s="48"/>
      <c r="N1039" s="48"/>
      <c r="O1039" s="47"/>
      <c r="P1039" s="47"/>
      <c r="Q1039" s="47"/>
      <c r="R1039" s="1786" t="str">
        <f>CHOOSE(2, "6722000003950", "HC DW-DX FE/TTOC Sales Total")</f>
        <v>HC DW-DX FE/TTOC Sales Total</v>
      </c>
      <c r="S1039" s="1255">
        <f>SUM(S1040:S1043)</f>
        <v>3</v>
      </c>
      <c r="T1039" s="1255">
        <f t="shared" ref="T1039:AD1039" si="1665">SUM(T1040:T1043)</f>
        <v>3</v>
      </c>
      <c r="U1039" s="1255">
        <f t="shared" si="1665"/>
        <v>3</v>
      </c>
      <c r="V1039" s="1255">
        <f t="shared" si="1665"/>
        <v>2</v>
      </c>
      <c r="W1039" s="1255">
        <f t="shared" si="1665"/>
        <v>2</v>
      </c>
      <c r="X1039" s="1255">
        <f t="shared" si="1665"/>
        <v>3</v>
      </c>
      <c r="Y1039" s="1255">
        <f t="shared" si="1665"/>
        <v>3</v>
      </c>
      <c r="Z1039" s="1255">
        <f t="shared" si="1665"/>
        <v>3</v>
      </c>
      <c r="AA1039" s="1255">
        <f t="shared" si="1665"/>
        <v>3</v>
      </c>
      <c r="AB1039" s="1255">
        <f t="shared" si="1665"/>
        <v>3</v>
      </c>
      <c r="AC1039" s="1255">
        <f t="shared" si="1665"/>
        <v>3</v>
      </c>
      <c r="AD1039" s="1255">
        <f t="shared" si="1665"/>
        <v>2</v>
      </c>
      <c r="AE1039" s="1240">
        <f t="shared" ref="AE1039:AK1039" si="1666">SUM(AE1040:AE1043)</f>
        <v>3</v>
      </c>
      <c r="AF1039" s="1255">
        <f t="shared" si="1666"/>
        <v>3</v>
      </c>
      <c r="AG1039" s="1255">
        <f t="shared" si="1666"/>
        <v>3</v>
      </c>
      <c r="AH1039" s="1255">
        <f t="shared" si="1666"/>
        <v>2</v>
      </c>
      <c r="AI1039" s="1255">
        <f t="shared" si="1666"/>
        <v>3</v>
      </c>
      <c r="AJ1039" s="1255">
        <f t="shared" si="1666"/>
        <v>2</v>
      </c>
      <c r="AK1039" s="1255">
        <f t="shared" si="1666"/>
        <v>2</v>
      </c>
      <c r="AM1039" s="2250">
        <f t="shared" ca="1" si="1644"/>
        <v>3</v>
      </c>
      <c r="AN1039" s="2250">
        <f t="shared" ca="1" si="1645"/>
        <v>5</v>
      </c>
      <c r="AO1039" s="2948">
        <f t="shared" ca="1" si="1646"/>
        <v>-2</v>
      </c>
      <c r="AP1039" s="2949">
        <f t="shared" ca="1" si="1647"/>
        <v>0.6</v>
      </c>
      <c r="AQ1039" s="2250">
        <f t="shared" ref="AQ1039:AQ1065" ca="1" si="1667">INDIRECT(AQ$1&amp;AQ$3&amp;$A1039)+INDIRECT(AQ$1&amp;AQ$3&amp;$B1039)</f>
        <v>6</v>
      </c>
      <c r="AR1039" s="2948">
        <f t="shared" ca="1" si="1648"/>
        <v>-3</v>
      </c>
      <c r="AS1039" s="2949">
        <f t="shared" ca="1" si="1649"/>
        <v>0.5</v>
      </c>
      <c r="AU1039" s="2250">
        <f t="shared" ca="1" si="1650"/>
        <v>3</v>
      </c>
      <c r="AV1039" s="2250">
        <f t="shared" ca="1" si="1651"/>
        <v>5</v>
      </c>
      <c r="AW1039" s="2948">
        <f t="shared" ca="1" si="1652"/>
        <v>-2</v>
      </c>
      <c r="AX1039" s="2949">
        <f t="shared" ca="1" si="1653"/>
        <v>0.6</v>
      </c>
      <c r="AY1039" s="2250">
        <f t="shared" ca="1" si="1654"/>
        <v>6</v>
      </c>
      <c r="AZ1039" s="2948">
        <f t="shared" ca="1" si="1655"/>
        <v>-3</v>
      </c>
      <c r="BA1039" s="2949">
        <f t="shared" ca="1" si="1656"/>
        <v>0.5</v>
      </c>
      <c r="BC1039" s="2250">
        <f t="shared" ca="1" si="1657"/>
        <v>3</v>
      </c>
      <c r="BD1039" s="2250">
        <f t="shared" ca="1" si="1658"/>
        <v>5</v>
      </c>
      <c r="BE1039" s="2948">
        <f t="shared" ca="1" si="1659"/>
        <v>-2</v>
      </c>
      <c r="BF1039" s="2949">
        <f t="shared" ca="1" si="1660"/>
        <v>0.6</v>
      </c>
      <c r="BG1039" s="2250">
        <f t="shared" ca="1" si="1661"/>
        <v>6</v>
      </c>
      <c r="BH1039" s="2948">
        <f t="shared" ca="1" si="1662"/>
        <v>-3</v>
      </c>
      <c r="BI1039" s="2949">
        <f t="shared" ca="1" si="1663"/>
        <v>0.5</v>
      </c>
    </row>
    <row r="1040" spans="1:61" s="34" customFormat="1" ht="14.5">
      <c r="A1040" s="1693">
        <f t="shared" ref="A1040:A1074" si="1668">A1039+1</f>
        <v>1032</v>
      </c>
      <c r="B1040" s="616">
        <v>1</v>
      </c>
      <c r="C1040" s="1693">
        <f t="shared" si="1664"/>
        <v>1040</v>
      </c>
      <c r="D1040" s="616">
        <f t="shared" si="1664"/>
        <v>919</v>
      </c>
      <c r="F1040" s="454"/>
      <c r="G1040" s="4"/>
      <c r="H1040" s="4"/>
      <c r="I1040" s="4"/>
      <c r="J1040" s="260"/>
      <c r="K1040" s="4"/>
      <c r="L1040" s="3"/>
      <c r="M1040" s="4"/>
      <c r="N1040" s="4"/>
      <c r="O1040" s="41"/>
      <c r="P1040" s="41" t="s">
        <v>45</v>
      </c>
      <c r="Q1040" s="3"/>
      <c r="R1040" s="1778" t="str">
        <f>CHOOSE(2, "6722000003951", "HC DW-DX FE/TTOC Sales Total Direct sales rep.")</f>
        <v>HC DW-DX FE/TTOC Sales Total Direct sales rep.</v>
      </c>
      <c r="S1040" s="1212">
        <v>2</v>
      </c>
      <c r="T1040" s="1212">
        <v>2</v>
      </c>
      <c r="U1040" s="1212">
        <v>2</v>
      </c>
      <c r="V1040" s="1212">
        <v>1</v>
      </c>
      <c r="W1040" s="1212">
        <v>1</v>
      </c>
      <c r="X1040" s="1212">
        <v>2</v>
      </c>
      <c r="Y1040" s="1212">
        <v>2</v>
      </c>
      <c r="Z1040" s="1212">
        <v>2</v>
      </c>
      <c r="AA1040" s="1212">
        <v>2</v>
      </c>
      <c r="AB1040" s="1212">
        <v>2</v>
      </c>
      <c r="AC1040" s="1212">
        <v>2</v>
      </c>
      <c r="AD1040" s="1212">
        <v>2</v>
      </c>
      <c r="AE1040" s="877">
        <f>U1040</f>
        <v>2</v>
      </c>
      <c r="AF1040" s="40">
        <f>X1040</f>
        <v>2</v>
      </c>
      <c r="AG1040" s="40">
        <f>AA1040</f>
        <v>2</v>
      </c>
      <c r="AH1040" s="40">
        <f>AD1040</f>
        <v>2</v>
      </c>
      <c r="AI1040" s="40">
        <f>AF1040</f>
        <v>2</v>
      </c>
      <c r="AJ1040" s="40">
        <f>AH1040</f>
        <v>2</v>
      </c>
      <c r="AK1040" s="40">
        <f>AJ1040</f>
        <v>2</v>
      </c>
      <c r="AM1040" s="1910">
        <f t="shared" ca="1" si="1644"/>
        <v>2</v>
      </c>
      <c r="AN1040" s="1910">
        <f t="shared" ca="1" si="1645"/>
        <v>3</v>
      </c>
      <c r="AO1040" s="2694">
        <f t="shared" ca="1" si="1646"/>
        <v>-1</v>
      </c>
      <c r="AP1040" s="2695">
        <f t="shared" ca="1" si="1647"/>
        <v>0.66666666666666663</v>
      </c>
      <c r="AQ1040" s="1910">
        <f t="shared" ca="1" si="1667"/>
        <v>3</v>
      </c>
      <c r="AR1040" s="2694">
        <f t="shared" ca="1" si="1648"/>
        <v>-1</v>
      </c>
      <c r="AS1040" s="2695">
        <f t="shared" ca="1" si="1649"/>
        <v>0.66666666666666663</v>
      </c>
      <c r="AU1040" s="1910">
        <f t="shared" ca="1" si="1650"/>
        <v>2</v>
      </c>
      <c r="AV1040" s="1910">
        <f t="shared" ca="1" si="1651"/>
        <v>3</v>
      </c>
      <c r="AW1040" s="2694">
        <f t="shared" ca="1" si="1652"/>
        <v>-1</v>
      </c>
      <c r="AX1040" s="2695">
        <f t="shared" ca="1" si="1653"/>
        <v>0.66666666666666663</v>
      </c>
      <c r="AY1040" s="1910">
        <f t="shared" ca="1" si="1654"/>
        <v>3</v>
      </c>
      <c r="AZ1040" s="2694">
        <f t="shared" ca="1" si="1655"/>
        <v>-1</v>
      </c>
      <c r="BA1040" s="2695">
        <f t="shared" ca="1" si="1656"/>
        <v>0.66666666666666663</v>
      </c>
      <c r="BC1040" s="1910">
        <f t="shared" ca="1" si="1657"/>
        <v>2</v>
      </c>
      <c r="BD1040" s="1910">
        <f t="shared" ca="1" si="1658"/>
        <v>3</v>
      </c>
      <c r="BE1040" s="2694">
        <f t="shared" ca="1" si="1659"/>
        <v>-1</v>
      </c>
      <c r="BF1040" s="2695">
        <f t="shared" ca="1" si="1660"/>
        <v>0.66666666666666663</v>
      </c>
      <c r="BG1040" s="1910">
        <f t="shared" ca="1" si="1661"/>
        <v>3</v>
      </c>
      <c r="BH1040" s="2694">
        <f t="shared" ca="1" si="1662"/>
        <v>-1</v>
      </c>
      <c r="BI1040" s="2695">
        <f t="shared" ca="1" si="1663"/>
        <v>0.66666666666666663</v>
      </c>
    </row>
    <row r="1041" spans="1:61" s="34" customFormat="1" ht="14.5">
      <c r="A1041" s="1693">
        <f t="shared" si="1668"/>
        <v>1033</v>
      </c>
      <c r="B1041" s="616">
        <v>1</v>
      </c>
      <c r="C1041" s="1693">
        <f t="shared" si="1664"/>
        <v>1041</v>
      </c>
      <c r="D1041" s="616">
        <f t="shared" si="1664"/>
        <v>920</v>
      </c>
      <c r="F1041" s="454"/>
      <c r="G1041" s="8"/>
      <c r="H1041" s="4"/>
      <c r="I1041" s="4"/>
      <c r="J1041" s="260"/>
      <c r="K1041" s="4"/>
      <c r="L1041" s="3"/>
      <c r="M1041" s="4"/>
      <c r="N1041" s="4"/>
      <c r="O1041" s="41"/>
      <c r="P1041" s="41" t="s">
        <v>548</v>
      </c>
      <c r="Q1041" s="725"/>
      <c r="R1041" s="1778" t="str">
        <f>CHOOSE(2, "6722000003952", "HC DW-DX FE/TTOC Sales Total Direct sales engineers")</f>
        <v>HC DW-DX FE/TTOC Sales Total Direct sales engineers</v>
      </c>
      <c r="S1041" s="1212">
        <v>1</v>
      </c>
      <c r="T1041" s="1212">
        <v>1</v>
      </c>
      <c r="U1041" s="1212">
        <v>1</v>
      </c>
      <c r="V1041" s="1212">
        <v>1</v>
      </c>
      <c r="W1041" s="1212">
        <v>1</v>
      </c>
      <c r="X1041" s="1212">
        <v>1</v>
      </c>
      <c r="Y1041" s="1212">
        <v>1</v>
      </c>
      <c r="Z1041" s="1212">
        <v>1</v>
      </c>
      <c r="AA1041" s="1212">
        <v>1</v>
      </c>
      <c r="AB1041" s="1212">
        <v>1</v>
      </c>
      <c r="AC1041" s="1212">
        <v>1</v>
      </c>
      <c r="AD1041" s="1212">
        <v>0</v>
      </c>
      <c r="AE1041" s="877">
        <f>U1041</f>
        <v>1</v>
      </c>
      <c r="AF1041" s="40">
        <f>X1041</f>
        <v>1</v>
      </c>
      <c r="AG1041" s="40">
        <f>AA1041</f>
        <v>1</v>
      </c>
      <c r="AH1041" s="40">
        <f>AD1041</f>
        <v>0</v>
      </c>
      <c r="AI1041" s="40">
        <f>AF1041</f>
        <v>1</v>
      </c>
      <c r="AJ1041" s="40">
        <f>AH1041</f>
        <v>0</v>
      </c>
      <c r="AK1041" s="40">
        <f>AJ1041</f>
        <v>0</v>
      </c>
      <c r="AM1041" s="1910">
        <f t="shared" ca="1" si="1644"/>
        <v>1</v>
      </c>
      <c r="AN1041" s="1910">
        <f t="shared" ca="1" si="1645"/>
        <v>2</v>
      </c>
      <c r="AO1041" s="2694">
        <f t="shared" ca="1" si="1646"/>
        <v>-1</v>
      </c>
      <c r="AP1041" s="2695">
        <f t="shared" ca="1" si="1647"/>
        <v>0.5</v>
      </c>
      <c r="AQ1041" s="1910">
        <f t="shared" ca="1" si="1667"/>
        <v>3</v>
      </c>
      <c r="AR1041" s="2694">
        <f t="shared" ca="1" si="1648"/>
        <v>-2</v>
      </c>
      <c r="AS1041" s="2695">
        <f t="shared" ca="1" si="1649"/>
        <v>0.33333333333333331</v>
      </c>
      <c r="AU1041" s="1910">
        <f t="shared" ca="1" si="1650"/>
        <v>1</v>
      </c>
      <c r="AV1041" s="1910">
        <f t="shared" ca="1" si="1651"/>
        <v>2</v>
      </c>
      <c r="AW1041" s="2694">
        <f t="shared" ca="1" si="1652"/>
        <v>-1</v>
      </c>
      <c r="AX1041" s="2695">
        <f t="shared" ca="1" si="1653"/>
        <v>0.5</v>
      </c>
      <c r="AY1041" s="1910">
        <f t="shared" ca="1" si="1654"/>
        <v>3</v>
      </c>
      <c r="AZ1041" s="2694">
        <f t="shared" ca="1" si="1655"/>
        <v>-2</v>
      </c>
      <c r="BA1041" s="2695">
        <f t="shared" ca="1" si="1656"/>
        <v>0.33333333333333331</v>
      </c>
      <c r="BC1041" s="1910">
        <f t="shared" ca="1" si="1657"/>
        <v>1</v>
      </c>
      <c r="BD1041" s="1910">
        <f t="shared" ca="1" si="1658"/>
        <v>2</v>
      </c>
      <c r="BE1041" s="2694">
        <f t="shared" ca="1" si="1659"/>
        <v>-1</v>
      </c>
      <c r="BF1041" s="2695">
        <f t="shared" ca="1" si="1660"/>
        <v>0.5</v>
      </c>
      <c r="BG1041" s="1910">
        <f t="shared" ca="1" si="1661"/>
        <v>3</v>
      </c>
      <c r="BH1041" s="2694">
        <f t="shared" ca="1" si="1662"/>
        <v>-2</v>
      </c>
      <c r="BI1041" s="2695">
        <f t="shared" ca="1" si="1663"/>
        <v>0.33333333333333331</v>
      </c>
    </row>
    <row r="1042" spans="1:61" s="34" customFormat="1" ht="14.5">
      <c r="A1042" s="1693">
        <f t="shared" si="1668"/>
        <v>1034</v>
      </c>
      <c r="B1042" s="616">
        <v>1</v>
      </c>
      <c r="C1042" s="1693">
        <f t="shared" si="1664"/>
        <v>1042</v>
      </c>
      <c r="D1042" s="616">
        <f t="shared" si="1664"/>
        <v>921</v>
      </c>
      <c r="F1042" s="454"/>
      <c r="G1042" s="4"/>
      <c r="H1042" s="4"/>
      <c r="I1042" s="4"/>
      <c r="J1042" s="260"/>
      <c r="K1042" s="4"/>
      <c r="L1042" s="3"/>
      <c r="M1042" s="4"/>
      <c r="N1042" s="4"/>
      <c r="O1042" s="41"/>
      <c r="P1042" s="41" t="s">
        <v>43</v>
      </c>
      <c r="Q1042" s="3"/>
      <c r="R1042" s="1778" t="str">
        <f>CHOOSE(2, "6722000003953", "HC DW-DX FE/TTOC Sales Total Dealer(Indirect) sales rep.")</f>
        <v>HC DW-DX FE/TTOC Sales Total Dealer(Indirect) sales rep.</v>
      </c>
      <c r="S1042" s="1212"/>
      <c r="T1042" s="1212"/>
      <c r="U1042" s="1212"/>
      <c r="V1042" s="1212"/>
      <c r="W1042" s="1212"/>
      <c r="X1042" s="1212"/>
      <c r="Y1042" s="1212"/>
      <c r="Z1042" s="1212"/>
      <c r="AA1042" s="1212"/>
      <c r="AB1042" s="1212"/>
      <c r="AC1042" s="1212"/>
      <c r="AD1042" s="1212"/>
      <c r="AE1042" s="877">
        <f>U1042</f>
        <v>0</v>
      </c>
      <c r="AF1042" s="40">
        <f>X1042</f>
        <v>0</v>
      </c>
      <c r="AG1042" s="40">
        <f>AA1042</f>
        <v>0</v>
      </c>
      <c r="AH1042" s="40">
        <f>AD1042</f>
        <v>0</v>
      </c>
      <c r="AI1042" s="40">
        <f>AF1042</f>
        <v>0</v>
      </c>
      <c r="AJ1042" s="40">
        <f>AH1042</f>
        <v>0</v>
      </c>
      <c r="AK1042" s="40">
        <f>AJ1042</f>
        <v>0</v>
      </c>
      <c r="AM1042" s="1910">
        <f t="shared" ca="1" si="1644"/>
        <v>0</v>
      </c>
      <c r="AN1042" s="1910">
        <f t="shared" ca="1" si="1645"/>
        <v>0</v>
      </c>
      <c r="AO1042" s="2694">
        <f t="shared" ca="1" si="1646"/>
        <v>0</v>
      </c>
      <c r="AP1042" s="2695">
        <f t="shared" ca="1" si="1647"/>
        <v>0</v>
      </c>
      <c r="AQ1042" s="1910">
        <f t="shared" ca="1" si="1667"/>
        <v>0</v>
      </c>
      <c r="AR1042" s="2694">
        <f t="shared" ca="1" si="1648"/>
        <v>0</v>
      </c>
      <c r="AS1042" s="2695">
        <f t="shared" ca="1" si="1649"/>
        <v>0</v>
      </c>
      <c r="AU1042" s="1910">
        <f t="shared" ca="1" si="1650"/>
        <v>0</v>
      </c>
      <c r="AV1042" s="1910">
        <f t="shared" ca="1" si="1651"/>
        <v>0</v>
      </c>
      <c r="AW1042" s="2694">
        <f t="shared" ca="1" si="1652"/>
        <v>0</v>
      </c>
      <c r="AX1042" s="2695">
        <f t="shared" ca="1" si="1653"/>
        <v>0</v>
      </c>
      <c r="AY1042" s="1910">
        <f t="shared" ca="1" si="1654"/>
        <v>0</v>
      </c>
      <c r="AZ1042" s="2694">
        <f t="shared" ca="1" si="1655"/>
        <v>0</v>
      </c>
      <c r="BA1042" s="2695">
        <f t="shared" ca="1" si="1656"/>
        <v>0</v>
      </c>
      <c r="BC1042" s="1910">
        <f t="shared" ca="1" si="1657"/>
        <v>0</v>
      </c>
      <c r="BD1042" s="1910">
        <f t="shared" ca="1" si="1658"/>
        <v>0</v>
      </c>
      <c r="BE1042" s="2694">
        <f t="shared" ca="1" si="1659"/>
        <v>0</v>
      </c>
      <c r="BF1042" s="2695">
        <f t="shared" ca="1" si="1660"/>
        <v>0</v>
      </c>
      <c r="BG1042" s="1910">
        <f t="shared" ca="1" si="1661"/>
        <v>0</v>
      </c>
      <c r="BH1042" s="2694">
        <f t="shared" ca="1" si="1662"/>
        <v>0</v>
      </c>
      <c r="BI1042" s="2695">
        <f t="shared" ca="1" si="1663"/>
        <v>0</v>
      </c>
    </row>
    <row r="1043" spans="1:61" s="34" customFormat="1" ht="14.5">
      <c r="A1043" s="1693">
        <f t="shared" si="1668"/>
        <v>1035</v>
      </c>
      <c r="B1043" s="616">
        <v>1</v>
      </c>
      <c r="C1043" s="1693">
        <f t="shared" si="1664"/>
        <v>1043</v>
      </c>
      <c r="D1043" s="616">
        <f t="shared" si="1664"/>
        <v>922</v>
      </c>
      <c r="F1043" s="454"/>
      <c r="G1043" s="4"/>
      <c r="H1043" s="4"/>
      <c r="I1043" s="4"/>
      <c r="J1043" s="260"/>
      <c r="K1043" s="2"/>
      <c r="L1043" s="1"/>
      <c r="M1043" s="2"/>
      <c r="N1043" s="2"/>
      <c r="O1043" s="39"/>
      <c r="P1043" s="39" t="s">
        <v>40</v>
      </c>
      <c r="Q1043" s="1"/>
      <c r="R1043" s="1778" t="str">
        <f>CHOOSE(2, "6722000003954", "HC DW-DX FE/TTOC Sales Total Administration/Others")</f>
        <v>HC DW-DX FE/TTOC Sales Total Administration/Others</v>
      </c>
      <c r="S1043" s="1211"/>
      <c r="T1043" s="1211"/>
      <c r="U1043" s="1211"/>
      <c r="V1043" s="1211"/>
      <c r="W1043" s="1211"/>
      <c r="X1043" s="1211"/>
      <c r="Y1043" s="1211"/>
      <c r="Z1043" s="1211"/>
      <c r="AA1043" s="1211"/>
      <c r="AB1043" s="1211"/>
      <c r="AC1043" s="1211"/>
      <c r="AD1043" s="1211"/>
      <c r="AE1043" s="912">
        <f>U1043</f>
        <v>0</v>
      </c>
      <c r="AF1043" s="38">
        <f>X1043</f>
        <v>0</v>
      </c>
      <c r="AG1043" s="38">
        <f>AA1043</f>
        <v>0</v>
      </c>
      <c r="AH1043" s="38">
        <f>AD1043</f>
        <v>0</v>
      </c>
      <c r="AI1043" s="38">
        <f>AF1043</f>
        <v>0</v>
      </c>
      <c r="AJ1043" s="38">
        <f>AH1043</f>
        <v>0</v>
      </c>
      <c r="AK1043" s="38">
        <f>AJ1043</f>
        <v>0</v>
      </c>
      <c r="AM1043" s="2248">
        <f t="shared" ca="1" si="1644"/>
        <v>0</v>
      </c>
      <c r="AN1043" s="2248">
        <f t="shared" ca="1" si="1645"/>
        <v>0</v>
      </c>
      <c r="AO1043" s="2950">
        <f t="shared" ca="1" si="1646"/>
        <v>0</v>
      </c>
      <c r="AP1043" s="2951">
        <f t="shared" ca="1" si="1647"/>
        <v>0</v>
      </c>
      <c r="AQ1043" s="2248">
        <f t="shared" ca="1" si="1667"/>
        <v>0</v>
      </c>
      <c r="AR1043" s="2950">
        <f t="shared" ca="1" si="1648"/>
        <v>0</v>
      </c>
      <c r="AS1043" s="2951">
        <f t="shared" ca="1" si="1649"/>
        <v>0</v>
      </c>
      <c r="AU1043" s="2248">
        <f t="shared" ca="1" si="1650"/>
        <v>0</v>
      </c>
      <c r="AV1043" s="2248">
        <f t="shared" ca="1" si="1651"/>
        <v>0</v>
      </c>
      <c r="AW1043" s="2950">
        <f t="shared" ca="1" si="1652"/>
        <v>0</v>
      </c>
      <c r="AX1043" s="2951">
        <f t="shared" ca="1" si="1653"/>
        <v>0</v>
      </c>
      <c r="AY1043" s="2248">
        <f t="shared" ca="1" si="1654"/>
        <v>0</v>
      </c>
      <c r="AZ1043" s="2950">
        <f t="shared" ca="1" si="1655"/>
        <v>0</v>
      </c>
      <c r="BA1043" s="2951">
        <f t="shared" ca="1" si="1656"/>
        <v>0</v>
      </c>
      <c r="BC1043" s="2248">
        <f t="shared" ca="1" si="1657"/>
        <v>0</v>
      </c>
      <c r="BD1043" s="2248">
        <f t="shared" ca="1" si="1658"/>
        <v>0</v>
      </c>
      <c r="BE1043" s="2950">
        <f t="shared" ca="1" si="1659"/>
        <v>0</v>
      </c>
      <c r="BF1043" s="2951">
        <f t="shared" ca="1" si="1660"/>
        <v>0</v>
      </c>
      <c r="BG1043" s="2248">
        <f t="shared" ca="1" si="1661"/>
        <v>0</v>
      </c>
      <c r="BH1043" s="2950">
        <f t="shared" ca="1" si="1662"/>
        <v>0</v>
      </c>
      <c r="BI1043" s="2951">
        <f t="shared" ca="1" si="1663"/>
        <v>0</v>
      </c>
    </row>
    <row r="1044" spans="1:61" s="34" customFormat="1" ht="14.5">
      <c r="A1044" s="1693">
        <f t="shared" si="1668"/>
        <v>1036</v>
      </c>
      <c r="B1044" s="616">
        <v>1</v>
      </c>
      <c r="C1044" s="1693">
        <f t="shared" si="1664"/>
        <v>1044</v>
      </c>
      <c r="D1044" s="616">
        <f t="shared" si="1664"/>
        <v>923</v>
      </c>
      <c r="E1044" s="709" t="s">
        <v>512</v>
      </c>
      <c r="F1044" s="1572"/>
      <c r="G1044" s="4"/>
      <c r="H1044" s="4"/>
      <c r="I1044" s="4"/>
      <c r="J1044" s="260"/>
      <c r="K1044" s="48" t="s">
        <v>137</v>
      </c>
      <c r="L1044" s="47"/>
      <c r="M1044" s="48"/>
      <c r="N1044" s="48"/>
      <c r="O1044" s="47"/>
      <c r="P1044" s="47"/>
      <c r="Q1044" s="47"/>
      <c r="R1044" s="1786" t="str">
        <f>CHOOSE(2, "6722000003955", "HC DW-DX FE/TTOC Service Total")</f>
        <v>HC DW-DX FE/TTOC Service Total</v>
      </c>
      <c r="S1044" s="1255">
        <f>SUM(S1045:S1049)</f>
        <v>0</v>
      </c>
      <c r="T1044" s="1255">
        <f t="shared" ref="T1044:AD1044" si="1669">SUM(T1045:T1049)</f>
        <v>0</v>
      </c>
      <c r="U1044" s="1255">
        <f t="shared" si="1669"/>
        <v>0</v>
      </c>
      <c r="V1044" s="1255">
        <f t="shared" si="1669"/>
        <v>0</v>
      </c>
      <c r="W1044" s="1255">
        <f t="shared" si="1669"/>
        <v>0</v>
      </c>
      <c r="X1044" s="1255">
        <f t="shared" si="1669"/>
        <v>0</v>
      </c>
      <c r="Y1044" s="1255">
        <f t="shared" si="1669"/>
        <v>0</v>
      </c>
      <c r="Z1044" s="1255">
        <f t="shared" si="1669"/>
        <v>0</v>
      </c>
      <c r="AA1044" s="1255">
        <f t="shared" si="1669"/>
        <v>0</v>
      </c>
      <c r="AB1044" s="1255">
        <f t="shared" si="1669"/>
        <v>0</v>
      </c>
      <c r="AC1044" s="1255">
        <f t="shared" si="1669"/>
        <v>0</v>
      </c>
      <c r="AD1044" s="1255">
        <f t="shared" si="1669"/>
        <v>0</v>
      </c>
      <c r="AE1044" s="1240">
        <f t="shared" ref="AE1044:AK1044" si="1670">SUM(AE1045:AE1049)</f>
        <v>0</v>
      </c>
      <c r="AF1044" s="1255">
        <f t="shared" si="1670"/>
        <v>0</v>
      </c>
      <c r="AG1044" s="1255">
        <f t="shared" si="1670"/>
        <v>0</v>
      </c>
      <c r="AH1044" s="1255">
        <f t="shared" si="1670"/>
        <v>0</v>
      </c>
      <c r="AI1044" s="1255">
        <f t="shared" si="1670"/>
        <v>0</v>
      </c>
      <c r="AJ1044" s="1255">
        <f t="shared" si="1670"/>
        <v>0</v>
      </c>
      <c r="AK1044" s="1255">
        <f t="shared" si="1670"/>
        <v>0</v>
      </c>
      <c r="AM1044" s="2250">
        <f t="shared" ca="1" si="1644"/>
        <v>0</v>
      </c>
      <c r="AN1044" s="2250">
        <f t="shared" ca="1" si="1645"/>
        <v>0</v>
      </c>
      <c r="AO1044" s="2948">
        <f t="shared" ca="1" si="1646"/>
        <v>0</v>
      </c>
      <c r="AP1044" s="2949">
        <f t="shared" ca="1" si="1647"/>
        <v>0</v>
      </c>
      <c r="AQ1044" s="2250">
        <f t="shared" ca="1" si="1667"/>
        <v>0</v>
      </c>
      <c r="AR1044" s="2948">
        <f t="shared" ca="1" si="1648"/>
        <v>0</v>
      </c>
      <c r="AS1044" s="2949">
        <f t="shared" ca="1" si="1649"/>
        <v>0</v>
      </c>
      <c r="AU1044" s="2250">
        <f t="shared" ca="1" si="1650"/>
        <v>0</v>
      </c>
      <c r="AV1044" s="2250">
        <f t="shared" ca="1" si="1651"/>
        <v>0</v>
      </c>
      <c r="AW1044" s="2948">
        <f t="shared" ca="1" si="1652"/>
        <v>0</v>
      </c>
      <c r="AX1044" s="2949">
        <f t="shared" ca="1" si="1653"/>
        <v>0</v>
      </c>
      <c r="AY1044" s="2250">
        <f t="shared" ca="1" si="1654"/>
        <v>0</v>
      </c>
      <c r="AZ1044" s="2948">
        <f t="shared" ca="1" si="1655"/>
        <v>0</v>
      </c>
      <c r="BA1044" s="2949">
        <f t="shared" ca="1" si="1656"/>
        <v>0</v>
      </c>
      <c r="BC1044" s="2250">
        <f t="shared" ca="1" si="1657"/>
        <v>0</v>
      </c>
      <c r="BD1044" s="2250">
        <f t="shared" ca="1" si="1658"/>
        <v>0</v>
      </c>
      <c r="BE1044" s="2948">
        <f t="shared" ca="1" si="1659"/>
        <v>0</v>
      </c>
      <c r="BF1044" s="2949">
        <f t="shared" ca="1" si="1660"/>
        <v>0</v>
      </c>
      <c r="BG1044" s="2250">
        <f t="shared" ca="1" si="1661"/>
        <v>0</v>
      </c>
      <c r="BH1044" s="2948">
        <f t="shared" ca="1" si="1662"/>
        <v>0</v>
      </c>
      <c r="BI1044" s="2949">
        <f t="shared" ca="1" si="1663"/>
        <v>0</v>
      </c>
    </row>
    <row r="1045" spans="1:61" s="34" customFormat="1" ht="14.5">
      <c r="A1045" s="1693">
        <f t="shared" si="1668"/>
        <v>1037</v>
      </c>
      <c r="B1045" s="616">
        <v>1</v>
      </c>
      <c r="C1045" s="1693">
        <f t="shared" si="1664"/>
        <v>1045</v>
      </c>
      <c r="D1045" s="616">
        <f t="shared" si="1664"/>
        <v>924</v>
      </c>
      <c r="F1045" s="454"/>
      <c r="G1045" s="4"/>
      <c r="H1045" s="4"/>
      <c r="I1045" s="4"/>
      <c r="J1045" s="260"/>
      <c r="K1045" s="4"/>
      <c r="L1045" s="3"/>
      <c r="M1045" s="4"/>
      <c r="N1045" s="4"/>
      <c r="O1045" s="41"/>
      <c r="P1045" s="41" t="s">
        <v>15</v>
      </c>
      <c r="Q1045" s="3"/>
      <c r="R1045" s="1778" t="str">
        <f>CHOOSE(2, "6722000003956", "HC DW-DX FE/TTOC Service Total Onsite Engineer")</f>
        <v>HC DW-DX FE/TTOC Service Total Onsite Engineer</v>
      </c>
      <c r="S1045" s="1212"/>
      <c r="T1045" s="1212"/>
      <c r="U1045" s="1212"/>
      <c r="V1045" s="1212"/>
      <c r="W1045" s="1212"/>
      <c r="X1045" s="1212"/>
      <c r="Y1045" s="1212"/>
      <c r="Z1045" s="1212"/>
      <c r="AA1045" s="1212"/>
      <c r="AB1045" s="1212"/>
      <c r="AC1045" s="1212"/>
      <c r="AD1045" s="1212"/>
      <c r="AE1045" s="877">
        <f>U1045</f>
        <v>0</v>
      </c>
      <c r="AF1045" s="40">
        <f>X1045</f>
        <v>0</v>
      </c>
      <c r="AG1045" s="40">
        <f>AA1045</f>
        <v>0</v>
      </c>
      <c r="AH1045" s="40">
        <f>AD1045</f>
        <v>0</v>
      </c>
      <c r="AI1045" s="40">
        <f>AF1045</f>
        <v>0</v>
      </c>
      <c r="AJ1045" s="40">
        <f>AH1045</f>
        <v>0</v>
      </c>
      <c r="AK1045" s="40">
        <f>AJ1045</f>
        <v>0</v>
      </c>
      <c r="AM1045" s="1910">
        <f t="shared" ca="1" si="1644"/>
        <v>0</v>
      </c>
      <c r="AN1045" s="1910">
        <f t="shared" ca="1" si="1645"/>
        <v>0</v>
      </c>
      <c r="AO1045" s="2694">
        <f t="shared" ca="1" si="1646"/>
        <v>0</v>
      </c>
      <c r="AP1045" s="2695">
        <f t="shared" ca="1" si="1647"/>
        <v>0</v>
      </c>
      <c r="AQ1045" s="1910">
        <f t="shared" ca="1" si="1667"/>
        <v>0</v>
      </c>
      <c r="AR1045" s="2694">
        <f t="shared" ca="1" si="1648"/>
        <v>0</v>
      </c>
      <c r="AS1045" s="2695">
        <f t="shared" ca="1" si="1649"/>
        <v>0</v>
      </c>
      <c r="AU1045" s="1910">
        <f t="shared" ca="1" si="1650"/>
        <v>0</v>
      </c>
      <c r="AV1045" s="1910">
        <f t="shared" ca="1" si="1651"/>
        <v>0</v>
      </c>
      <c r="AW1045" s="2694">
        <f t="shared" ca="1" si="1652"/>
        <v>0</v>
      </c>
      <c r="AX1045" s="2695">
        <f t="shared" ca="1" si="1653"/>
        <v>0</v>
      </c>
      <c r="AY1045" s="1910">
        <f t="shared" ca="1" si="1654"/>
        <v>0</v>
      </c>
      <c r="AZ1045" s="2694">
        <f t="shared" ca="1" si="1655"/>
        <v>0</v>
      </c>
      <c r="BA1045" s="2695">
        <f t="shared" ca="1" si="1656"/>
        <v>0</v>
      </c>
      <c r="BC1045" s="1910">
        <f t="shared" ca="1" si="1657"/>
        <v>0</v>
      </c>
      <c r="BD1045" s="1910">
        <f t="shared" ca="1" si="1658"/>
        <v>0</v>
      </c>
      <c r="BE1045" s="2694">
        <f t="shared" ca="1" si="1659"/>
        <v>0</v>
      </c>
      <c r="BF1045" s="2695">
        <f t="shared" ca="1" si="1660"/>
        <v>0</v>
      </c>
      <c r="BG1045" s="1910">
        <f t="shared" ca="1" si="1661"/>
        <v>0</v>
      </c>
      <c r="BH1045" s="2694">
        <f t="shared" ca="1" si="1662"/>
        <v>0</v>
      </c>
      <c r="BI1045" s="2695">
        <f t="shared" ca="1" si="1663"/>
        <v>0</v>
      </c>
    </row>
    <row r="1046" spans="1:61" s="34" customFormat="1" ht="14.5">
      <c r="A1046" s="1693">
        <f t="shared" si="1668"/>
        <v>1038</v>
      </c>
      <c r="B1046" s="616">
        <v>1</v>
      </c>
      <c r="C1046" s="1693">
        <f t="shared" si="1664"/>
        <v>1046</v>
      </c>
      <c r="D1046" s="616">
        <f t="shared" si="1664"/>
        <v>925</v>
      </c>
      <c r="F1046" s="454"/>
      <c r="G1046" s="8"/>
      <c r="H1046" s="4"/>
      <c r="I1046" s="4"/>
      <c r="J1046" s="260"/>
      <c r="K1046" s="4"/>
      <c r="L1046" s="3"/>
      <c r="M1046" s="4"/>
      <c r="N1046" s="4"/>
      <c r="O1046" s="41"/>
      <c r="P1046" s="41" t="s">
        <v>549</v>
      </c>
      <c r="Q1046" s="725"/>
      <c r="R1046" s="1778" t="str">
        <f>CHOOSE(2, "6722000003957", "HC DW-DX FE/TTOC Service Total Remote Engineer")</f>
        <v>HC DW-DX FE/TTOC Service Total Remote Engineer</v>
      </c>
      <c r="S1046" s="1212"/>
      <c r="T1046" s="1212"/>
      <c r="U1046" s="1212"/>
      <c r="V1046" s="1212"/>
      <c r="W1046" s="1212"/>
      <c r="X1046" s="1212"/>
      <c r="Y1046" s="1212"/>
      <c r="Z1046" s="1212"/>
      <c r="AA1046" s="1212"/>
      <c r="AB1046" s="1212"/>
      <c r="AC1046" s="1212"/>
      <c r="AD1046" s="1212"/>
      <c r="AE1046" s="877">
        <f>U1046</f>
        <v>0</v>
      </c>
      <c r="AF1046" s="40">
        <f>X1046</f>
        <v>0</v>
      </c>
      <c r="AG1046" s="40">
        <f>AA1046</f>
        <v>0</v>
      </c>
      <c r="AH1046" s="40">
        <f>AD1046</f>
        <v>0</v>
      </c>
      <c r="AI1046" s="40">
        <f>AF1046</f>
        <v>0</v>
      </c>
      <c r="AJ1046" s="40">
        <f>AH1046</f>
        <v>0</v>
      </c>
      <c r="AK1046" s="40">
        <f>AJ1046</f>
        <v>0</v>
      </c>
      <c r="AM1046" s="1910">
        <f t="shared" ca="1" si="1644"/>
        <v>0</v>
      </c>
      <c r="AN1046" s="1910">
        <f t="shared" ca="1" si="1645"/>
        <v>0</v>
      </c>
      <c r="AO1046" s="2694">
        <f t="shared" ca="1" si="1646"/>
        <v>0</v>
      </c>
      <c r="AP1046" s="2695">
        <f t="shared" ca="1" si="1647"/>
        <v>0</v>
      </c>
      <c r="AQ1046" s="1910">
        <f t="shared" ca="1" si="1667"/>
        <v>0</v>
      </c>
      <c r="AR1046" s="2694">
        <f t="shared" ca="1" si="1648"/>
        <v>0</v>
      </c>
      <c r="AS1046" s="2695">
        <f t="shared" ca="1" si="1649"/>
        <v>0</v>
      </c>
      <c r="AU1046" s="1910">
        <f t="shared" ca="1" si="1650"/>
        <v>0</v>
      </c>
      <c r="AV1046" s="1910">
        <f t="shared" ca="1" si="1651"/>
        <v>0</v>
      </c>
      <c r="AW1046" s="2694">
        <f t="shared" ca="1" si="1652"/>
        <v>0</v>
      </c>
      <c r="AX1046" s="2695">
        <f t="shared" ca="1" si="1653"/>
        <v>0</v>
      </c>
      <c r="AY1046" s="1910">
        <f t="shared" ca="1" si="1654"/>
        <v>0</v>
      </c>
      <c r="AZ1046" s="2694">
        <f t="shared" ca="1" si="1655"/>
        <v>0</v>
      </c>
      <c r="BA1046" s="2695">
        <f t="shared" ca="1" si="1656"/>
        <v>0</v>
      </c>
      <c r="BC1046" s="1910">
        <f t="shared" ca="1" si="1657"/>
        <v>0</v>
      </c>
      <c r="BD1046" s="1910">
        <f t="shared" ca="1" si="1658"/>
        <v>0</v>
      </c>
      <c r="BE1046" s="2694">
        <f t="shared" ca="1" si="1659"/>
        <v>0</v>
      </c>
      <c r="BF1046" s="2695">
        <f t="shared" ca="1" si="1660"/>
        <v>0</v>
      </c>
      <c r="BG1046" s="1910">
        <f t="shared" ca="1" si="1661"/>
        <v>0</v>
      </c>
      <c r="BH1046" s="2694">
        <f t="shared" ca="1" si="1662"/>
        <v>0</v>
      </c>
      <c r="BI1046" s="2695">
        <f t="shared" ca="1" si="1663"/>
        <v>0</v>
      </c>
    </row>
    <row r="1047" spans="1:61" s="34" customFormat="1" ht="14.5">
      <c r="A1047" s="1693">
        <f t="shared" si="1668"/>
        <v>1039</v>
      </c>
      <c r="B1047" s="616">
        <v>1</v>
      </c>
      <c r="C1047" s="1693">
        <f t="shared" si="1664"/>
        <v>1047</v>
      </c>
      <c r="D1047" s="616">
        <f t="shared" si="1664"/>
        <v>926</v>
      </c>
      <c r="F1047" s="454"/>
      <c r="G1047" s="4"/>
      <c r="H1047" s="4"/>
      <c r="I1047" s="4"/>
      <c r="J1047" s="260"/>
      <c r="K1047" s="4"/>
      <c r="L1047" s="3"/>
      <c r="M1047" s="4"/>
      <c r="N1047" s="4"/>
      <c r="O1047" s="41"/>
      <c r="P1047" s="41" t="s">
        <v>42</v>
      </c>
      <c r="Q1047" s="3"/>
      <c r="R1047" s="1778" t="str">
        <f>CHOOSE(2, "6722000003958", "HC DW-DX FE/TTOC Service Total Technical support")</f>
        <v>HC DW-DX FE/TTOC Service Total Technical support</v>
      </c>
      <c r="S1047" s="1212"/>
      <c r="T1047" s="1212"/>
      <c r="U1047" s="1212"/>
      <c r="V1047" s="1212"/>
      <c r="W1047" s="1212"/>
      <c r="X1047" s="1212"/>
      <c r="Y1047" s="1212"/>
      <c r="Z1047" s="1212"/>
      <c r="AA1047" s="1212"/>
      <c r="AB1047" s="1212"/>
      <c r="AC1047" s="1212"/>
      <c r="AD1047" s="1212"/>
      <c r="AE1047" s="877">
        <f>U1047</f>
        <v>0</v>
      </c>
      <c r="AF1047" s="40">
        <f>X1047</f>
        <v>0</v>
      </c>
      <c r="AG1047" s="40">
        <f>AA1047</f>
        <v>0</v>
      </c>
      <c r="AH1047" s="40">
        <f>AD1047</f>
        <v>0</v>
      </c>
      <c r="AI1047" s="40">
        <f>AF1047</f>
        <v>0</v>
      </c>
      <c r="AJ1047" s="40">
        <f>AH1047</f>
        <v>0</v>
      </c>
      <c r="AK1047" s="40">
        <f>AJ1047</f>
        <v>0</v>
      </c>
      <c r="AM1047" s="1910">
        <f t="shared" ca="1" si="1644"/>
        <v>0</v>
      </c>
      <c r="AN1047" s="1910">
        <f t="shared" ca="1" si="1645"/>
        <v>0</v>
      </c>
      <c r="AO1047" s="2694">
        <f t="shared" ca="1" si="1646"/>
        <v>0</v>
      </c>
      <c r="AP1047" s="2695">
        <f t="shared" ca="1" si="1647"/>
        <v>0</v>
      </c>
      <c r="AQ1047" s="1910">
        <f t="shared" ca="1" si="1667"/>
        <v>0</v>
      </c>
      <c r="AR1047" s="2694">
        <f t="shared" ca="1" si="1648"/>
        <v>0</v>
      </c>
      <c r="AS1047" s="2695">
        <f t="shared" ca="1" si="1649"/>
        <v>0</v>
      </c>
      <c r="AU1047" s="1910">
        <f t="shared" ca="1" si="1650"/>
        <v>0</v>
      </c>
      <c r="AV1047" s="1910">
        <f t="shared" ca="1" si="1651"/>
        <v>0</v>
      </c>
      <c r="AW1047" s="2694">
        <f t="shared" ca="1" si="1652"/>
        <v>0</v>
      </c>
      <c r="AX1047" s="2695">
        <f t="shared" ca="1" si="1653"/>
        <v>0</v>
      </c>
      <c r="AY1047" s="1910">
        <f t="shared" ca="1" si="1654"/>
        <v>0</v>
      </c>
      <c r="AZ1047" s="2694">
        <f t="shared" ca="1" si="1655"/>
        <v>0</v>
      </c>
      <c r="BA1047" s="2695">
        <f t="shared" ca="1" si="1656"/>
        <v>0</v>
      </c>
      <c r="BC1047" s="1910">
        <f t="shared" ca="1" si="1657"/>
        <v>0</v>
      </c>
      <c r="BD1047" s="1910">
        <f t="shared" ca="1" si="1658"/>
        <v>0</v>
      </c>
      <c r="BE1047" s="2694">
        <f t="shared" ca="1" si="1659"/>
        <v>0</v>
      </c>
      <c r="BF1047" s="2695">
        <f t="shared" ca="1" si="1660"/>
        <v>0</v>
      </c>
      <c r="BG1047" s="1910">
        <f t="shared" ca="1" si="1661"/>
        <v>0</v>
      </c>
      <c r="BH1047" s="2694">
        <f t="shared" ca="1" si="1662"/>
        <v>0</v>
      </c>
      <c r="BI1047" s="2695">
        <f t="shared" ca="1" si="1663"/>
        <v>0</v>
      </c>
    </row>
    <row r="1048" spans="1:61" s="34" customFormat="1" ht="14.5">
      <c r="A1048" s="1693">
        <f t="shared" si="1668"/>
        <v>1040</v>
      </c>
      <c r="B1048" s="616">
        <v>1</v>
      </c>
      <c r="C1048" s="1693">
        <f t="shared" si="1664"/>
        <v>1048</v>
      </c>
      <c r="D1048" s="616">
        <f t="shared" si="1664"/>
        <v>927</v>
      </c>
      <c r="F1048" s="454"/>
      <c r="G1048" s="4"/>
      <c r="H1048" s="4"/>
      <c r="I1048" s="4"/>
      <c r="J1048" s="260"/>
      <c r="K1048" s="4"/>
      <c r="L1048" s="3"/>
      <c r="M1048" s="4"/>
      <c r="N1048" s="4"/>
      <c r="O1048" s="41"/>
      <c r="P1048" s="41" t="s">
        <v>41</v>
      </c>
      <c r="Q1048" s="3"/>
      <c r="R1048" s="1778" t="str">
        <f>CHOOSE(2, "6722000003959", "HC DW-DX FE/TTOC Service Total Dealer(Indirect) support")</f>
        <v>HC DW-DX FE/TTOC Service Total Dealer(Indirect) support</v>
      </c>
      <c r="S1048" s="1212"/>
      <c r="T1048" s="1212"/>
      <c r="U1048" s="1212"/>
      <c r="V1048" s="1212"/>
      <c r="W1048" s="1212"/>
      <c r="X1048" s="1212"/>
      <c r="Y1048" s="1212"/>
      <c r="Z1048" s="1212"/>
      <c r="AA1048" s="1212"/>
      <c r="AB1048" s="1212"/>
      <c r="AC1048" s="1212"/>
      <c r="AD1048" s="1212"/>
      <c r="AE1048" s="877">
        <f>U1048</f>
        <v>0</v>
      </c>
      <c r="AF1048" s="40">
        <f>X1048</f>
        <v>0</v>
      </c>
      <c r="AG1048" s="40">
        <f>AA1048</f>
        <v>0</v>
      </c>
      <c r="AH1048" s="40">
        <f>AD1048</f>
        <v>0</v>
      </c>
      <c r="AI1048" s="40">
        <f>AF1048</f>
        <v>0</v>
      </c>
      <c r="AJ1048" s="40">
        <f>AH1048</f>
        <v>0</v>
      </c>
      <c r="AK1048" s="40">
        <f>AJ1048</f>
        <v>0</v>
      </c>
      <c r="AM1048" s="1910">
        <f t="shared" ca="1" si="1644"/>
        <v>0</v>
      </c>
      <c r="AN1048" s="1910">
        <f t="shared" ca="1" si="1645"/>
        <v>0</v>
      </c>
      <c r="AO1048" s="2694">
        <f t="shared" ca="1" si="1646"/>
        <v>0</v>
      </c>
      <c r="AP1048" s="2695">
        <f t="shared" ca="1" si="1647"/>
        <v>0</v>
      </c>
      <c r="AQ1048" s="1910">
        <f t="shared" ca="1" si="1667"/>
        <v>0</v>
      </c>
      <c r="AR1048" s="2694">
        <f t="shared" ca="1" si="1648"/>
        <v>0</v>
      </c>
      <c r="AS1048" s="2695">
        <f t="shared" ca="1" si="1649"/>
        <v>0</v>
      </c>
      <c r="AU1048" s="1910">
        <f t="shared" ca="1" si="1650"/>
        <v>0</v>
      </c>
      <c r="AV1048" s="1910">
        <f t="shared" ca="1" si="1651"/>
        <v>0</v>
      </c>
      <c r="AW1048" s="2694">
        <f t="shared" ca="1" si="1652"/>
        <v>0</v>
      </c>
      <c r="AX1048" s="2695">
        <f t="shared" ca="1" si="1653"/>
        <v>0</v>
      </c>
      <c r="AY1048" s="1910">
        <f t="shared" ca="1" si="1654"/>
        <v>0</v>
      </c>
      <c r="AZ1048" s="2694">
        <f t="shared" ca="1" si="1655"/>
        <v>0</v>
      </c>
      <c r="BA1048" s="2695">
        <f t="shared" ca="1" si="1656"/>
        <v>0</v>
      </c>
      <c r="BC1048" s="1910">
        <f t="shared" ca="1" si="1657"/>
        <v>0</v>
      </c>
      <c r="BD1048" s="1910">
        <f t="shared" ca="1" si="1658"/>
        <v>0</v>
      </c>
      <c r="BE1048" s="2694">
        <f t="shared" ca="1" si="1659"/>
        <v>0</v>
      </c>
      <c r="BF1048" s="2695">
        <f t="shared" ca="1" si="1660"/>
        <v>0</v>
      </c>
      <c r="BG1048" s="1910">
        <f t="shared" ca="1" si="1661"/>
        <v>0</v>
      </c>
      <c r="BH1048" s="2694">
        <f t="shared" ca="1" si="1662"/>
        <v>0</v>
      </c>
      <c r="BI1048" s="2695">
        <f t="shared" ca="1" si="1663"/>
        <v>0</v>
      </c>
    </row>
    <row r="1049" spans="1:61" s="34" customFormat="1" ht="14.5">
      <c r="A1049" s="1693">
        <f t="shared" si="1668"/>
        <v>1041</v>
      </c>
      <c r="B1049" s="616">
        <v>1</v>
      </c>
      <c r="C1049" s="1693">
        <f t="shared" si="1664"/>
        <v>1049</v>
      </c>
      <c r="D1049" s="616">
        <f t="shared" si="1664"/>
        <v>928</v>
      </c>
      <c r="F1049" s="454"/>
      <c r="G1049" s="4"/>
      <c r="H1049" s="4"/>
      <c r="I1049" s="4"/>
      <c r="J1049" s="260"/>
      <c r="K1049" s="4"/>
      <c r="L1049" s="3"/>
      <c r="M1049" s="4"/>
      <c r="N1049" s="4"/>
      <c r="O1049" s="41"/>
      <c r="P1049" s="41" t="s">
        <v>40</v>
      </c>
      <c r="Q1049" s="3"/>
      <c r="R1049" s="1778" t="str">
        <f>CHOOSE(2, "6722000003960", "HC DW-DX FE/TTOC Service Total Administration/Others")</f>
        <v>HC DW-DX FE/TTOC Service Total Administration/Others</v>
      </c>
      <c r="S1049" s="1212"/>
      <c r="T1049" s="1212"/>
      <c r="U1049" s="1212"/>
      <c r="V1049" s="1212"/>
      <c r="W1049" s="1212"/>
      <c r="X1049" s="1212"/>
      <c r="Y1049" s="1212"/>
      <c r="Z1049" s="1212"/>
      <c r="AA1049" s="1212"/>
      <c r="AB1049" s="1212"/>
      <c r="AC1049" s="1212"/>
      <c r="AD1049" s="1212"/>
      <c r="AE1049" s="877">
        <f>U1049</f>
        <v>0</v>
      </c>
      <c r="AF1049" s="40">
        <f>X1049</f>
        <v>0</v>
      </c>
      <c r="AG1049" s="40">
        <f>AA1049</f>
        <v>0</v>
      </c>
      <c r="AH1049" s="40">
        <f>AD1049</f>
        <v>0</v>
      </c>
      <c r="AI1049" s="40">
        <f>AF1049</f>
        <v>0</v>
      </c>
      <c r="AJ1049" s="40">
        <f>AH1049</f>
        <v>0</v>
      </c>
      <c r="AK1049" s="40">
        <f>AJ1049</f>
        <v>0</v>
      </c>
      <c r="AM1049" s="1910">
        <f t="shared" ca="1" si="1644"/>
        <v>0</v>
      </c>
      <c r="AN1049" s="1910">
        <f t="shared" ca="1" si="1645"/>
        <v>0</v>
      </c>
      <c r="AO1049" s="2694">
        <f t="shared" ca="1" si="1646"/>
        <v>0</v>
      </c>
      <c r="AP1049" s="2695">
        <f t="shared" ca="1" si="1647"/>
        <v>0</v>
      </c>
      <c r="AQ1049" s="1910">
        <f t="shared" ca="1" si="1667"/>
        <v>0</v>
      </c>
      <c r="AR1049" s="2694">
        <f t="shared" ca="1" si="1648"/>
        <v>0</v>
      </c>
      <c r="AS1049" s="2695">
        <f t="shared" ca="1" si="1649"/>
        <v>0</v>
      </c>
      <c r="AU1049" s="1910">
        <f t="shared" ca="1" si="1650"/>
        <v>0</v>
      </c>
      <c r="AV1049" s="1910">
        <f t="shared" ca="1" si="1651"/>
        <v>0</v>
      </c>
      <c r="AW1049" s="2694">
        <f t="shared" ca="1" si="1652"/>
        <v>0</v>
      </c>
      <c r="AX1049" s="2695">
        <f t="shared" ca="1" si="1653"/>
        <v>0</v>
      </c>
      <c r="AY1049" s="1910">
        <f t="shared" ca="1" si="1654"/>
        <v>0</v>
      </c>
      <c r="AZ1049" s="2694">
        <f t="shared" ca="1" si="1655"/>
        <v>0</v>
      </c>
      <c r="BA1049" s="2695">
        <f t="shared" ca="1" si="1656"/>
        <v>0</v>
      </c>
      <c r="BC1049" s="1910">
        <f t="shared" ca="1" si="1657"/>
        <v>0</v>
      </c>
      <c r="BD1049" s="1910">
        <f t="shared" ca="1" si="1658"/>
        <v>0</v>
      </c>
      <c r="BE1049" s="2694">
        <f t="shared" ca="1" si="1659"/>
        <v>0</v>
      </c>
      <c r="BF1049" s="2695">
        <f t="shared" ca="1" si="1660"/>
        <v>0</v>
      </c>
      <c r="BG1049" s="1910">
        <f t="shared" ca="1" si="1661"/>
        <v>0</v>
      </c>
      <c r="BH1049" s="2694">
        <f t="shared" ca="1" si="1662"/>
        <v>0</v>
      </c>
      <c r="BI1049" s="2695">
        <f t="shared" ca="1" si="1663"/>
        <v>0</v>
      </c>
    </row>
    <row r="1050" spans="1:61" s="34" customFormat="1" ht="14.5">
      <c r="A1050" s="1693">
        <f t="shared" si="1668"/>
        <v>1042</v>
      </c>
      <c r="B1050" s="616">
        <v>1</v>
      </c>
      <c r="C1050" s="1693">
        <f t="shared" si="1664"/>
        <v>1050</v>
      </c>
      <c r="D1050" s="616">
        <f t="shared" si="1664"/>
        <v>929</v>
      </c>
      <c r="E1050" s="709" t="s">
        <v>512</v>
      </c>
      <c r="F1050" s="1572"/>
      <c r="G1050" s="4"/>
      <c r="H1050" s="4"/>
      <c r="I1050" s="4"/>
      <c r="J1050" s="260"/>
      <c r="K1050" s="252" t="s">
        <v>176</v>
      </c>
      <c r="L1050" s="44"/>
      <c r="M1050" s="44"/>
      <c r="N1050" s="43"/>
      <c r="O1050" s="43"/>
      <c r="P1050" s="43"/>
      <c r="Q1050" s="251"/>
      <c r="R1050" s="1786" t="str">
        <f>CHOOSE(2, "6722000003961", "HC DW-DX FE/TTOC Marketing Total")</f>
        <v>HC DW-DX FE/TTOC Marketing Total</v>
      </c>
      <c r="S1050" s="1380">
        <f>SUM(S1051:S1054)</f>
        <v>0</v>
      </c>
      <c r="T1050" s="1380">
        <f t="shared" ref="T1050:AD1050" si="1671">SUM(T1051:T1054)</f>
        <v>0</v>
      </c>
      <c r="U1050" s="1380">
        <f t="shared" si="1671"/>
        <v>0</v>
      </c>
      <c r="V1050" s="1380">
        <f t="shared" si="1671"/>
        <v>0</v>
      </c>
      <c r="W1050" s="1380">
        <f t="shared" si="1671"/>
        <v>0</v>
      </c>
      <c r="X1050" s="1380">
        <f t="shared" si="1671"/>
        <v>0</v>
      </c>
      <c r="Y1050" s="1380">
        <f t="shared" si="1671"/>
        <v>0</v>
      </c>
      <c r="Z1050" s="1380">
        <f t="shared" si="1671"/>
        <v>0</v>
      </c>
      <c r="AA1050" s="1380">
        <f t="shared" si="1671"/>
        <v>0</v>
      </c>
      <c r="AB1050" s="1380">
        <f t="shared" si="1671"/>
        <v>0</v>
      </c>
      <c r="AC1050" s="1380">
        <f t="shared" si="1671"/>
        <v>0</v>
      </c>
      <c r="AD1050" s="1380">
        <f t="shared" si="1671"/>
        <v>0</v>
      </c>
      <c r="AE1050" s="782">
        <f t="shared" ref="AE1050:AK1050" si="1672">SUM(AE1051:AE1054)</f>
        <v>0</v>
      </c>
      <c r="AF1050" s="1634">
        <f t="shared" si="1672"/>
        <v>0</v>
      </c>
      <c r="AG1050" s="1634">
        <f t="shared" si="1672"/>
        <v>0</v>
      </c>
      <c r="AH1050" s="1634">
        <f t="shared" si="1672"/>
        <v>0</v>
      </c>
      <c r="AI1050" s="1634">
        <f t="shared" si="1672"/>
        <v>0</v>
      </c>
      <c r="AJ1050" s="1634">
        <f t="shared" si="1672"/>
        <v>0</v>
      </c>
      <c r="AK1050" s="1634">
        <f t="shared" si="1672"/>
        <v>0</v>
      </c>
      <c r="AM1050" s="2252">
        <f t="shared" ca="1" si="1644"/>
        <v>0</v>
      </c>
      <c r="AN1050" s="2252">
        <f t="shared" ca="1" si="1645"/>
        <v>0</v>
      </c>
      <c r="AO1050" s="2952">
        <f t="shared" ca="1" si="1646"/>
        <v>0</v>
      </c>
      <c r="AP1050" s="2953">
        <f t="shared" ca="1" si="1647"/>
        <v>0</v>
      </c>
      <c r="AQ1050" s="2252">
        <f t="shared" ca="1" si="1667"/>
        <v>1</v>
      </c>
      <c r="AR1050" s="2952">
        <f t="shared" ca="1" si="1648"/>
        <v>-1</v>
      </c>
      <c r="AS1050" s="2953">
        <f t="shared" ca="1" si="1649"/>
        <v>0</v>
      </c>
      <c r="AU1050" s="2252">
        <f t="shared" ca="1" si="1650"/>
        <v>0</v>
      </c>
      <c r="AV1050" s="2252">
        <f t="shared" ca="1" si="1651"/>
        <v>0</v>
      </c>
      <c r="AW1050" s="2952">
        <f t="shared" ca="1" si="1652"/>
        <v>0</v>
      </c>
      <c r="AX1050" s="2953">
        <f t="shared" ca="1" si="1653"/>
        <v>0</v>
      </c>
      <c r="AY1050" s="2252">
        <f t="shared" ca="1" si="1654"/>
        <v>1</v>
      </c>
      <c r="AZ1050" s="2952">
        <f t="shared" ca="1" si="1655"/>
        <v>-1</v>
      </c>
      <c r="BA1050" s="2953">
        <f t="shared" ca="1" si="1656"/>
        <v>0</v>
      </c>
      <c r="BC1050" s="2252">
        <f t="shared" ca="1" si="1657"/>
        <v>0</v>
      </c>
      <c r="BD1050" s="2252">
        <f t="shared" ca="1" si="1658"/>
        <v>0</v>
      </c>
      <c r="BE1050" s="2952">
        <f t="shared" ca="1" si="1659"/>
        <v>0</v>
      </c>
      <c r="BF1050" s="2953">
        <f t="shared" ca="1" si="1660"/>
        <v>0</v>
      </c>
      <c r="BG1050" s="2252">
        <f t="shared" ca="1" si="1661"/>
        <v>1</v>
      </c>
      <c r="BH1050" s="2952">
        <f t="shared" ca="1" si="1662"/>
        <v>-1</v>
      </c>
      <c r="BI1050" s="2953">
        <f t="shared" ca="1" si="1663"/>
        <v>0</v>
      </c>
    </row>
    <row r="1051" spans="1:61" s="34" customFormat="1" ht="14.5">
      <c r="A1051" s="1693">
        <f t="shared" si="1668"/>
        <v>1043</v>
      </c>
      <c r="B1051" s="616">
        <v>1</v>
      </c>
      <c r="C1051" s="1693">
        <f t="shared" si="1664"/>
        <v>1051</v>
      </c>
      <c r="D1051" s="616">
        <f t="shared" si="1664"/>
        <v>930</v>
      </c>
      <c r="F1051" s="454"/>
      <c r="G1051" s="4"/>
      <c r="H1051" s="4"/>
      <c r="I1051" s="4"/>
      <c r="J1051" s="260"/>
      <c r="K1051" s="4"/>
      <c r="L1051" s="4"/>
      <c r="M1051" s="4"/>
      <c r="N1051" s="3"/>
      <c r="O1051" s="41"/>
      <c r="P1051" s="41" t="s">
        <v>198</v>
      </c>
      <c r="Q1051" s="3"/>
      <c r="R1051" s="1778" t="str">
        <f>CHOOSE(2, "6722000003962", "HC DW-DX FE/TTOC Marketing Total Business Development")</f>
        <v>HC DW-DX FE/TTOC Marketing Total Business Development</v>
      </c>
      <c r="S1051" s="1212"/>
      <c r="T1051" s="1212"/>
      <c r="U1051" s="1212"/>
      <c r="V1051" s="1212"/>
      <c r="W1051" s="1212"/>
      <c r="X1051" s="1212"/>
      <c r="Y1051" s="1212"/>
      <c r="Z1051" s="1212"/>
      <c r="AA1051" s="1212"/>
      <c r="AB1051" s="1212"/>
      <c r="AC1051" s="1212"/>
      <c r="AD1051" s="1212"/>
      <c r="AE1051" s="877">
        <f>U1051</f>
        <v>0</v>
      </c>
      <c r="AF1051" s="40">
        <f>X1051</f>
        <v>0</v>
      </c>
      <c r="AG1051" s="40">
        <f>AA1051</f>
        <v>0</v>
      </c>
      <c r="AH1051" s="40">
        <f>AD1051</f>
        <v>0</v>
      </c>
      <c r="AI1051" s="40">
        <f>AF1051</f>
        <v>0</v>
      </c>
      <c r="AJ1051" s="40">
        <f>AH1051</f>
        <v>0</v>
      </c>
      <c r="AK1051" s="40">
        <f>AJ1051</f>
        <v>0</v>
      </c>
      <c r="AM1051" s="1910">
        <f t="shared" ca="1" si="1644"/>
        <v>0</v>
      </c>
      <c r="AN1051" s="1910">
        <f t="shared" ca="1" si="1645"/>
        <v>0</v>
      </c>
      <c r="AO1051" s="2694">
        <f t="shared" ca="1" si="1646"/>
        <v>0</v>
      </c>
      <c r="AP1051" s="2695">
        <f t="shared" ca="1" si="1647"/>
        <v>0</v>
      </c>
      <c r="AQ1051" s="1910">
        <f t="shared" ca="1" si="1667"/>
        <v>0</v>
      </c>
      <c r="AR1051" s="2694">
        <f t="shared" ca="1" si="1648"/>
        <v>0</v>
      </c>
      <c r="AS1051" s="2695">
        <f t="shared" ca="1" si="1649"/>
        <v>0</v>
      </c>
      <c r="AU1051" s="1910">
        <f t="shared" ca="1" si="1650"/>
        <v>0</v>
      </c>
      <c r="AV1051" s="1910">
        <f t="shared" ca="1" si="1651"/>
        <v>0</v>
      </c>
      <c r="AW1051" s="2694">
        <f t="shared" ca="1" si="1652"/>
        <v>0</v>
      </c>
      <c r="AX1051" s="2695">
        <f t="shared" ca="1" si="1653"/>
        <v>0</v>
      </c>
      <c r="AY1051" s="1910">
        <f t="shared" ca="1" si="1654"/>
        <v>0</v>
      </c>
      <c r="AZ1051" s="2694">
        <f t="shared" ca="1" si="1655"/>
        <v>0</v>
      </c>
      <c r="BA1051" s="2695">
        <f t="shared" ca="1" si="1656"/>
        <v>0</v>
      </c>
      <c r="BC1051" s="1910">
        <f t="shared" ca="1" si="1657"/>
        <v>0</v>
      </c>
      <c r="BD1051" s="1910">
        <f t="shared" ca="1" si="1658"/>
        <v>0</v>
      </c>
      <c r="BE1051" s="2694">
        <f t="shared" ca="1" si="1659"/>
        <v>0</v>
      </c>
      <c r="BF1051" s="2695">
        <f t="shared" ca="1" si="1660"/>
        <v>0</v>
      </c>
      <c r="BG1051" s="1910">
        <f t="shared" ca="1" si="1661"/>
        <v>0</v>
      </c>
      <c r="BH1051" s="2694">
        <f t="shared" ca="1" si="1662"/>
        <v>0</v>
      </c>
      <c r="BI1051" s="2695">
        <f t="shared" ca="1" si="1663"/>
        <v>0</v>
      </c>
    </row>
    <row r="1052" spans="1:61" s="34" customFormat="1" ht="14.5">
      <c r="A1052" s="1693">
        <f t="shared" si="1668"/>
        <v>1044</v>
      </c>
      <c r="B1052" s="616">
        <v>1</v>
      </c>
      <c r="C1052" s="1693">
        <f t="shared" si="1664"/>
        <v>1052</v>
      </c>
      <c r="D1052" s="616">
        <f t="shared" si="1664"/>
        <v>931</v>
      </c>
      <c r="F1052" s="454"/>
      <c r="G1052" s="4"/>
      <c r="H1052" s="4"/>
      <c r="I1052" s="4"/>
      <c r="J1052" s="260"/>
      <c r="K1052" s="4"/>
      <c r="L1052" s="4"/>
      <c r="M1052" s="4"/>
      <c r="N1052" s="3"/>
      <c r="O1052" s="41"/>
      <c r="P1052" s="41" t="s">
        <v>199</v>
      </c>
      <c r="Q1052" s="3"/>
      <c r="R1052" s="1778" t="str">
        <f>CHOOSE(2, "6722000003963", "HC DW-DX FE/TTOC Marketing Total Channel Marketing")</f>
        <v>HC DW-DX FE/TTOC Marketing Total Channel Marketing</v>
      </c>
      <c r="S1052" s="1212"/>
      <c r="T1052" s="1212"/>
      <c r="U1052" s="1212"/>
      <c r="V1052" s="1212"/>
      <c r="W1052" s="1212"/>
      <c r="X1052" s="1212"/>
      <c r="Y1052" s="1212"/>
      <c r="Z1052" s="1212"/>
      <c r="AA1052" s="1212"/>
      <c r="AB1052" s="1212"/>
      <c r="AC1052" s="1212"/>
      <c r="AD1052" s="1212"/>
      <c r="AE1052" s="877">
        <f>U1052</f>
        <v>0</v>
      </c>
      <c r="AF1052" s="40">
        <f>X1052</f>
        <v>0</v>
      </c>
      <c r="AG1052" s="40">
        <f>AA1052</f>
        <v>0</v>
      </c>
      <c r="AH1052" s="40">
        <f>AD1052</f>
        <v>0</v>
      </c>
      <c r="AI1052" s="40">
        <f>AF1052</f>
        <v>0</v>
      </c>
      <c r="AJ1052" s="40">
        <f>AH1052</f>
        <v>0</v>
      </c>
      <c r="AK1052" s="40">
        <f>AJ1052</f>
        <v>0</v>
      </c>
      <c r="AM1052" s="1910">
        <f t="shared" ca="1" si="1644"/>
        <v>0</v>
      </c>
      <c r="AN1052" s="1910">
        <f t="shared" ca="1" si="1645"/>
        <v>0</v>
      </c>
      <c r="AO1052" s="2694">
        <f t="shared" ca="1" si="1646"/>
        <v>0</v>
      </c>
      <c r="AP1052" s="2695">
        <f t="shared" ca="1" si="1647"/>
        <v>0</v>
      </c>
      <c r="AQ1052" s="1910">
        <f t="shared" ca="1" si="1667"/>
        <v>0</v>
      </c>
      <c r="AR1052" s="2694">
        <f t="shared" ca="1" si="1648"/>
        <v>0</v>
      </c>
      <c r="AS1052" s="2695">
        <f t="shared" ca="1" si="1649"/>
        <v>0</v>
      </c>
      <c r="AU1052" s="1910">
        <f t="shared" ca="1" si="1650"/>
        <v>0</v>
      </c>
      <c r="AV1052" s="1910">
        <f t="shared" ca="1" si="1651"/>
        <v>0</v>
      </c>
      <c r="AW1052" s="2694">
        <f t="shared" ca="1" si="1652"/>
        <v>0</v>
      </c>
      <c r="AX1052" s="2695">
        <f t="shared" ca="1" si="1653"/>
        <v>0</v>
      </c>
      <c r="AY1052" s="1910">
        <f t="shared" ca="1" si="1654"/>
        <v>0</v>
      </c>
      <c r="AZ1052" s="2694">
        <f t="shared" ca="1" si="1655"/>
        <v>0</v>
      </c>
      <c r="BA1052" s="2695">
        <f t="shared" ca="1" si="1656"/>
        <v>0</v>
      </c>
      <c r="BC1052" s="1910">
        <f t="shared" ca="1" si="1657"/>
        <v>0</v>
      </c>
      <c r="BD1052" s="1910">
        <f t="shared" ca="1" si="1658"/>
        <v>0</v>
      </c>
      <c r="BE1052" s="2694">
        <f t="shared" ca="1" si="1659"/>
        <v>0</v>
      </c>
      <c r="BF1052" s="2695">
        <f t="shared" ca="1" si="1660"/>
        <v>0</v>
      </c>
      <c r="BG1052" s="1910">
        <f t="shared" ca="1" si="1661"/>
        <v>0</v>
      </c>
      <c r="BH1052" s="2694">
        <f t="shared" ca="1" si="1662"/>
        <v>0</v>
      </c>
      <c r="BI1052" s="2695">
        <f t="shared" ca="1" si="1663"/>
        <v>0</v>
      </c>
    </row>
    <row r="1053" spans="1:61" s="34" customFormat="1" ht="14.5">
      <c r="A1053" s="1693">
        <f t="shared" si="1668"/>
        <v>1045</v>
      </c>
      <c r="B1053" s="616">
        <v>1</v>
      </c>
      <c r="C1053" s="1693">
        <f t="shared" si="1664"/>
        <v>1053</v>
      </c>
      <c r="D1053" s="616">
        <f t="shared" si="1664"/>
        <v>932</v>
      </c>
      <c r="F1053" s="454"/>
      <c r="G1053" s="4"/>
      <c r="H1053" s="4"/>
      <c r="I1053" s="4"/>
      <c r="J1053" s="260"/>
      <c r="K1053" s="4"/>
      <c r="L1053" s="4"/>
      <c r="M1053" s="4"/>
      <c r="N1053" s="3"/>
      <c r="O1053" s="41"/>
      <c r="P1053" s="41" t="s">
        <v>200</v>
      </c>
      <c r="Q1053" s="3"/>
      <c r="R1053" s="1778" t="str">
        <f>CHOOSE(2, "6722000003964", "HC DW-DX FE/TTOC Marketing Total Product Marketing")</f>
        <v>HC DW-DX FE/TTOC Marketing Total Product Marketing</v>
      </c>
      <c r="S1053" s="1212"/>
      <c r="T1053" s="1212"/>
      <c r="U1053" s="1212"/>
      <c r="V1053" s="1212"/>
      <c r="W1053" s="1212"/>
      <c r="X1053" s="1212"/>
      <c r="Y1053" s="1212"/>
      <c r="Z1053" s="1212"/>
      <c r="AA1053" s="1212"/>
      <c r="AB1053" s="1212"/>
      <c r="AC1053" s="1212"/>
      <c r="AD1053" s="1212"/>
      <c r="AE1053" s="877">
        <f>U1053</f>
        <v>0</v>
      </c>
      <c r="AF1053" s="40">
        <f>X1053</f>
        <v>0</v>
      </c>
      <c r="AG1053" s="40">
        <f>AA1053</f>
        <v>0</v>
      </c>
      <c r="AH1053" s="40">
        <f>AD1053</f>
        <v>0</v>
      </c>
      <c r="AI1053" s="40">
        <f>AF1053</f>
        <v>0</v>
      </c>
      <c r="AJ1053" s="40">
        <f>AH1053</f>
        <v>0</v>
      </c>
      <c r="AK1053" s="40">
        <f>AJ1053</f>
        <v>0</v>
      </c>
      <c r="AM1053" s="1910">
        <f t="shared" ca="1" si="1644"/>
        <v>0</v>
      </c>
      <c r="AN1053" s="1910">
        <f t="shared" ca="1" si="1645"/>
        <v>0</v>
      </c>
      <c r="AO1053" s="2694">
        <f t="shared" ca="1" si="1646"/>
        <v>0</v>
      </c>
      <c r="AP1053" s="2695">
        <f t="shared" ca="1" si="1647"/>
        <v>0</v>
      </c>
      <c r="AQ1053" s="1910">
        <f t="shared" ca="1" si="1667"/>
        <v>1</v>
      </c>
      <c r="AR1053" s="2694">
        <f t="shared" ca="1" si="1648"/>
        <v>-1</v>
      </c>
      <c r="AS1053" s="2695">
        <f t="shared" ca="1" si="1649"/>
        <v>0</v>
      </c>
      <c r="AU1053" s="1910">
        <f t="shared" ca="1" si="1650"/>
        <v>0</v>
      </c>
      <c r="AV1053" s="1910">
        <f t="shared" ca="1" si="1651"/>
        <v>0</v>
      </c>
      <c r="AW1053" s="2694">
        <f t="shared" ca="1" si="1652"/>
        <v>0</v>
      </c>
      <c r="AX1053" s="2695">
        <f t="shared" ca="1" si="1653"/>
        <v>0</v>
      </c>
      <c r="AY1053" s="1910">
        <f t="shared" ca="1" si="1654"/>
        <v>1</v>
      </c>
      <c r="AZ1053" s="2694">
        <f t="shared" ca="1" si="1655"/>
        <v>-1</v>
      </c>
      <c r="BA1053" s="2695">
        <f t="shared" ca="1" si="1656"/>
        <v>0</v>
      </c>
      <c r="BC1053" s="1910">
        <f t="shared" ca="1" si="1657"/>
        <v>0</v>
      </c>
      <c r="BD1053" s="1910">
        <f t="shared" ca="1" si="1658"/>
        <v>0</v>
      </c>
      <c r="BE1053" s="2694">
        <f t="shared" ca="1" si="1659"/>
        <v>0</v>
      </c>
      <c r="BF1053" s="2695">
        <f t="shared" ca="1" si="1660"/>
        <v>0</v>
      </c>
      <c r="BG1053" s="1910">
        <f t="shared" ca="1" si="1661"/>
        <v>1</v>
      </c>
      <c r="BH1053" s="2694">
        <f t="shared" ca="1" si="1662"/>
        <v>-1</v>
      </c>
      <c r="BI1053" s="2695">
        <f t="shared" ca="1" si="1663"/>
        <v>0</v>
      </c>
    </row>
    <row r="1054" spans="1:61" s="34" customFormat="1" ht="14.5">
      <c r="A1054" s="1693">
        <f t="shared" si="1668"/>
        <v>1046</v>
      </c>
      <c r="B1054" s="616">
        <v>1</v>
      </c>
      <c r="C1054" s="1693">
        <f t="shared" si="1664"/>
        <v>1054</v>
      </c>
      <c r="D1054" s="616">
        <f t="shared" si="1664"/>
        <v>933</v>
      </c>
      <c r="F1054" s="454"/>
      <c r="G1054" s="4"/>
      <c r="H1054" s="4"/>
      <c r="I1054" s="4"/>
      <c r="J1054" s="260"/>
      <c r="K1054" s="2"/>
      <c r="L1054" s="2"/>
      <c r="M1054" s="2"/>
      <c r="N1054" s="1"/>
      <c r="O1054" s="39"/>
      <c r="P1054" s="39" t="s">
        <v>201</v>
      </c>
      <c r="Q1054" s="1"/>
      <c r="R1054" s="1778" t="str">
        <f>CHOOSE(2, "6722000003965", "HC DW-DX FE/TTOC Marketing Total MC / O")</f>
        <v>HC DW-DX FE/TTOC Marketing Total MC / O</v>
      </c>
      <c r="S1054" s="1211"/>
      <c r="T1054" s="1211"/>
      <c r="U1054" s="1211"/>
      <c r="V1054" s="1211"/>
      <c r="W1054" s="1211"/>
      <c r="X1054" s="1211"/>
      <c r="Y1054" s="1211"/>
      <c r="Z1054" s="1211"/>
      <c r="AA1054" s="1211"/>
      <c r="AB1054" s="1211"/>
      <c r="AC1054" s="1211"/>
      <c r="AD1054" s="1211"/>
      <c r="AE1054" s="912">
        <f>U1054</f>
        <v>0</v>
      </c>
      <c r="AF1054" s="38">
        <f>X1054</f>
        <v>0</v>
      </c>
      <c r="AG1054" s="38">
        <f>AA1054</f>
        <v>0</v>
      </c>
      <c r="AH1054" s="38">
        <f>AD1054</f>
        <v>0</v>
      </c>
      <c r="AI1054" s="38">
        <f>AF1054</f>
        <v>0</v>
      </c>
      <c r="AJ1054" s="38">
        <f>AH1054</f>
        <v>0</v>
      </c>
      <c r="AK1054" s="38">
        <f>AJ1054</f>
        <v>0</v>
      </c>
      <c r="AM1054" s="2248">
        <f t="shared" ca="1" si="1644"/>
        <v>0</v>
      </c>
      <c r="AN1054" s="2248">
        <f t="shared" ca="1" si="1645"/>
        <v>0</v>
      </c>
      <c r="AO1054" s="2950">
        <f t="shared" ca="1" si="1646"/>
        <v>0</v>
      </c>
      <c r="AP1054" s="2951">
        <f t="shared" ca="1" si="1647"/>
        <v>0</v>
      </c>
      <c r="AQ1054" s="2248">
        <f t="shared" ca="1" si="1667"/>
        <v>0</v>
      </c>
      <c r="AR1054" s="2950">
        <f t="shared" ca="1" si="1648"/>
        <v>0</v>
      </c>
      <c r="AS1054" s="2951">
        <f t="shared" ca="1" si="1649"/>
        <v>0</v>
      </c>
      <c r="AU1054" s="2248">
        <f t="shared" ca="1" si="1650"/>
        <v>0</v>
      </c>
      <c r="AV1054" s="2248">
        <f t="shared" ca="1" si="1651"/>
        <v>0</v>
      </c>
      <c r="AW1054" s="2950">
        <f t="shared" ca="1" si="1652"/>
        <v>0</v>
      </c>
      <c r="AX1054" s="2951">
        <f t="shared" ca="1" si="1653"/>
        <v>0</v>
      </c>
      <c r="AY1054" s="2248">
        <f t="shared" ca="1" si="1654"/>
        <v>0</v>
      </c>
      <c r="AZ1054" s="2950">
        <f t="shared" ca="1" si="1655"/>
        <v>0</v>
      </c>
      <c r="BA1054" s="2951">
        <f t="shared" ca="1" si="1656"/>
        <v>0</v>
      </c>
      <c r="BC1054" s="2248">
        <f t="shared" ca="1" si="1657"/>
        <v>0</v>
      </c>
      <c r="BD1054" s="2248">
        <f t="shared" ca="1" si="1658"/>
        <v>0</v>
      </c>
      <c r="BE1054" s="2950">
        <f t="shared" ca="1" si="1659"/>
        <v>0</v>
      </c>
      <c r="BF1054" s="2951">
        <f t="shared" ca="1" si="1660"/>
        <v>0</v>
      </c>
      <c r="BG1054" s="2248">
        <f t="shared" ca="1" si="1661"/>
        <v>0</v>
      </c>
      <c r="BH1054" s="2950">
        <f t="shared" ca="1" si="1662"/>
        <v>0</v>
      </c>
      <c r="BI1054" s="2951">
        <f t="shared" ca="1" si="1663"/>
        <v>0</v>
      </c>
    </row>
    <row r="1055" spans="1:61" s="34" customFormat="1" ht="14.5">
      <c r="A1055" s="1693">
        <f t="shared" si="1668"/>
        <v>1047</v>
      </c>
      <c r="B1055" s="616">
        <v>1</v>
      </c>
      <c r="C1055" s="1693">
        <f t="shared" ref="C1055:D1070" si="1673">C1054+1</f>
        <v>1055</v>
      </c>
      <c r="D1055" s="616">
        <f t="shared" si="1673"/>
        <v>934</v>
      </c>
      <c r="E1055" s="709" t="s">
        <v>512</v>
      </c>
      <c r="F1055" s="1572"/>
      <c r="G1055" s="4"/>
      <c r="H1055" s="4"/>
      <c r="I1055" s="4"/>
      <c r="J1055" s="260"/>
      <c r="K1055" s="48" t="s">
        <v>138</v>
      </c>
      <c r="L1055" s="48"/>
      <c r="M1055" s="48"/>
      <c r="N1055" s="47"/>
      <c r="O1055" s="47"/>
      <c r="P1055" s="47"/>
      <c r="Q1055" s="47"/>
      <c r="R1055" s="1786" t="str">
        <f>CHOOSE(2, "6722000003966", "HC DW-DX FE/TTOC Administration Total")</f>
        <v>HC DW-DX FE/TTOC Administration Total</v>
      </c>
      <c r="S1055" s="1255">
        <f>SUM(S1056:S1060)</f>
        <v>0</v>
      </c>
      <c r="T1055" s="1255">
        <f t="shared" ref="T1055:AD1055" si="1674">SUM(T1056:T1060)</f>
        <v>0</v>
      </c>
      <c r="U1055" s="1255">
        <f t="shared" si="1674"/>
        <v>0</v>
      </c>
      <c r="V1055" s="1255">
        <f t="shared" si="1674"/>
        <v>0</v>
      </c>
      <c r="W1055" s="1255">
        <f t="shared" si="1674"/>
        <v>0</v>
      </c>
      <c r="X1055" s="1255">
        <f t="shared" si="1674"/>
        <v>0</v>
      </c>
      <c r="Y1055" s="1255">
        <f t="shared" si="1674"/>
        <v>0</v>
      </c>
      <c r="Z1055" s="1255">
        <f t="shared" si="1674"/>
        <v>0</v>
      </c>
      <c r="AA1055" s="1255">
        <f t="shared" si="1674"/>
        <v>0</v>
      </c>
      <c r="AB1055" s="1255">
        <f t="shared" si="1674"/>
        <v>0</v>
      </c>
      <c r="AC1055" s="1255">
        <f t="shared" si="1674"/>
        <v>0</v>
      </c>
      <c r="AD1055" s="1255">
        <f t="shared" si="1674"/>
        <v>0</v>
      </c>
      <c r="AE1055" s="1240">
        <f t="shared" ref="AE1055:AK1055" si="1675">SUM(AE1056:AE1060)</f>
        <v>0</v>
      </c>
      <c r="AF1055" s="1255">
        <f t="shared" si="1675"/>
        <v>0</v>
      </c>
      <c r="AG1055" s="1255">
        <f t="shared" si="1675"/>
        <v>0</v>
      </c>
      <c r="AH1055" s="1255">
        <f t="shared" si="1675"/>
        <v>0</v>
      </c>
      <c r="AI1055" s="1255">
        <f t="shared" si="1675"/>
        <v>0</v>
      </c>
      <c r="AJ1055" s="1255">
        <f t="shared" si="1675"/>
        <v>0</v>
      </c>
      <c r="AK1055" s="1255">
        <f t="shared" si="1675"/>
        <v>0</v>
      </c>
      <c r="AM1055" s="2250">
        <f t="shared" ca="1" si="1644"/>
        <v>0</v>
      </c>
      <c r="AN1055" s="2250">
        <f t="shared" ca="1" si="1645"/>
        <v>0</v>
      </c>
      <c r="AO1055" s="2948">
        <f t="shared" ca="1" si="1646"/>
        <v>0</v>
      </c>
      <c r="AP1055" s="2949">
        <f t="shared" ca="1" si="1647"/>
        <v>0</v>
      </c>
      <c r="AQ1055" s="2250">
        <f t="shared" ca="1" si="1667"/>
        <v>1</v>
      </c>
      <c r="AR1055" s="2948">
        <f t="shared" ca="1" si="1648"/>
        <v>-1</v>
      </c>
      <c r="AS1055" s="2949">
        <f t="shared" ca="1" si="1649"/>
        <v>0</v>
      </c>
      <c r="AU1055" s="2250">
        <f t="shared" ca="1" si="1650"/>
        <v>0</v>
      </c>
      <c r="AV1055" s="2250">
        <f t="shared" ca="1" si="1651"/>
        <v>0</v>
      </c>
      <c r="AW1055" s="2948">
        <f t="shared" ca="1" si="1652"/>
        <v>0</v>
      </c>
      <c r="AX1055" s="2949">
        <f t="shared" ca="1" si="1653"/>
        <v>0</v>
      </c>
      <c r="AY1055" s="2250">
        <f t="shared" ca="1" si="1654"/>
        <v>1</v>
      </c>
      <c r="AZ1055" s="2948">
        <f t="shared" ca="1" si="1655"/>
        <v>-1</v>
      </c>
      <c r="BA1055" s="2949">
        <f t="shared" ca="1" si="1656"/>
        <v>0</v>
      </c>
      <c r="BC1055" s="2250">
        <f t="shared" ca="1" si="1657"/>
        <v>0</v>
      </c>
      <c r="BD1055" s="2250">
        <f t="shared" ca="1" si="1658"/>
        <v>0</v>
      </c>
      <c r="BE1055" s="2948">
        <f t="shared" ca="1" si="1659"/>
        <v>0</v>
      </c>
      <c r="BF1055" s="2949">
        <f t="shared" ca="1" si="1660"/>
        <v>0</v>
      </c>
      <c r="BG1055" s="2250">
        <f t="shared" ca="1" si="1661"/>
        <v>1</v>
      </c>
      <c r="BH1055" s="2948">
        <f t="shared" ca="1" si="1662"/>
        <v>-1</v>
      </c>
      <c r="BI1055" s="2949">
        <f t="shared" ca="1" si="1663"/>
        <v>0</v>
      </c>
    </row>
    <row r="1056" spans="1:61" s="34" customFormat="1" ht="14.5">
      <c r="A1056" s="1693">
        <f t="shared" si="1668"/>
        <v>1048</v>
      </c>
      <c r="B1056" s="616">
        <v>1</v>
      </c>
      <c r="C1056" s="1693">
        <f t="shared" si="1673"/>
        <v>1056</v>
      </c>
      <c r="D1056" s="616">
        <f t="shared" si="1673"/>
        <v>935</v>
      </c>
      <c r="F1056" s="454"/>
      <c r="G1056" s="4"/>
      <c r="H1056" s="4"/>
      <c r="I1056" s="4"/>
      <c r="J1056" s="260"/>
      <c r="K1056" s="4"/>
      <c r="L1056" s="4"/>
      <c r="M1056" s="3"/>
      <c r="N1056" s="3"/>
      <c r="O1056" s="41"/>
      <c r="P1056" s="41" t="s">
        <v>39</v>
      </c>
      <c r="Q1056" s="41"/>
      <c r="R1056" s="1778" t="str">
        <f>CHOOSE(2, "6722000003967", "HC DW-DX FE/TTOC Administration Total IT")</f>
        <v>HC DW-DX FE/TTOC Administration Total IT</v>
      </c>
      <c r="S1056" s="1212"/>
      <c r="T1056" s="1212"/>
      <c r="U1056" s="1212"/>
      <c r="V1056" s="1212"/>
      <c r="W1056" s="1212"/>
      <c r="X1056" s="1212"/>
      <c r="Y1056" s="1212"/>
      <c r="Z1056" s="1212"/>
      <c r="AA1056" s="1212"/>
      <c r="AB1056" s="1212"/>
      <c r="AC1056" s="1212"/>
      <c r="AD1056" s="1212"/>
      <c r="AE1056" s="877">
        <f>U1056</f>
        <v>0</v>
      </c>
      <c r="AF1056" s="40">
        <f>X1056</f>
        <v>0</v>
      </c>
      <c r="AG1056" s="40">
        <f>AA1056</f>
        <v>0</v>
      </c>
      <c r="AH1056" s="40">
        <f>AD1056</f>
        <v>0</v>
      </c>
      <c r="AI1056" s="40">
        <f>AF1056</f>
        <v>0</v>
      </c>
      <c r="AJ1056" s="40">
        <f>AH1056</f>
        <v>0</v>
      </c>
      <c r="AK1056" s="40">
        <f>AJ1056</f>
        <v>0</v>
      </c>
      <c r="AM1056" s="1910">
        <f t="shared" ca="1" si="1644"/>
        <v>0</v>
      </c>
      <c r="AN1056" s="1910">
        <f t="shared" ca="1" si="1645"/>
        <v>0</v>
      </c>
      <c r="AO1056" s="2694">
        <f t="shared" ca="1" si="1646"/>
        <v>0</v>
      </c>
      <c r="AP1056" s="2695">
        <f t="shared" ca="1" si="1647"/>
        <v>0</v>
      </c>
      <c r="AQ1056" s="1910">
        <f t="shared" ca="1" si="1667"/>
        <v>0</v>
      </c>
      <c r="AR1056" s="2694">
        <f t="shared" ca="1" si="1648"/>
        <v>0</v>
      </c>
      <c r="AS1056" s="2695">
        <f t="shared" ca="1" si="1649"/>
        <v>0</v>
      </c>
      <c r="AU1056" s="1910">
        <f t="shared" ca="1" si="1650"/>
        <v>0</v>
      </c>
      <c r="AV1056" s="1910">
        <f t="shared" ca="1" si="1651"/>
        <v>0</v>
      </c>
      <c r="AW1056" s="2694">
        <f t="shared" ca="1" si="1652"/>
        <v>0</v>
      </c>
      <c r="AX1056" s="2695">
        <f t="shared" ca="1" si="1653"/>
        <v>0</v>
      </c>
      <c r="AY1056" s="1910">
        <f t="shared" ca="1" si="1654"/>
        <v>0</v>
      </c>
      <c r="AZ1056" s="2694">
        <f t="shared" ca="1" si="1655"/>
        <v>0</v>
      </c>
      <c r="BA1056" s="2695">
        <f t="shared" ca="1" si="1656"/>
        <v>0</v>
      </c>
      <c r="BC1056" s="1910">
        <f t="shared" ca="1" si="1657"/>
        <v>0</v>
      </c>
      <c r="BD1056" s="1910">
        <f t="shared" ca="1" si="1658"/>
        <v>0</v>
      </c>
      <c r="BE1056" s="2694">
        <f t="shared" ca="1" si="1659"/>
        <v>0</v>
      </c>
      <c r="BF1056" s="2695">
        <f t="shared" ca="1" si="1660"/>
        <v>0</v>
      </c>
      <c r="BG1056" s="1910">
        <f t="shared" ca="1" si="1661"/>
        <v>0</v>
      </c>
      <c r="BH1056" s="2694">
        <f t="shared" ca="1" si="1662"/>
        <v>0</v>
      </c>
      <c r="BI1056" s="2695">
        <f t="shared" ca="1" si="1663"/>
        <v>0</v>
      </c>
    </row>
    <row r="1057" spans="1:61" s="34" customFormat="1" ht="14.5">
      <c r="A1057" s="1693">
        <f t="shared" si="1668"/>
        <v>1049</v>
      </c>
      <c r="B1057" s="616">
        <v>1</v>
      </c>
      <c r="C1057" s="1693">
        <f t="shared" si="1673"/>
        <v>1057</v>
      </c>
      <c r="D1057" s="616">
        <f t="shared" si="1673"/>
        <v>936</v>
      </c>
      <c r="F1057" s="454"/>
      <c r="G1057" s="4"/>
      <c r="H1057" s="4"/>
      <c r="I1057" s="4"/>
      <c r="J1057" s="260"/>
      <c r="K1057" s="4"/>
      <c r="L1057" s="4"/>
      <c r="M1057" s="3"/>
      <c r="N1057" s="3"/>
      <c r="O1057" s="41"/>
      <c r="P1057" s="41" t="s">
        <v>18</v>
      </c>
      <c r="Q1057" s="41"/>
      <c r="R1057" s="1778" t="str">
        <f>CHOOSE(2, "6722000003968", "HC DW-DX FE/TTOC Administration Total Finance")</f>
        <v>HC DW-DX FE/TTOC Administration Total Finance</v>
      </c>
      <c r="S1057" s="1212"/>
      <c r="T1057" s="1212"/>
      <c r="U1057" s="1212"/>
      <c r="V1057" s="1212"/>
      <c r="W1057" s="1212"/>
      <c r="X1057" s="1212"/>
      <c r="Y1057" s="1212"/>
      <c r="Z1057" s="1212"/>
      <c r="AA1057" s="1212"/>
      <c r="AB1057" s="1212"/>
      <c r="AC1057" s="1212"/>
      <c r="AD1057" s="1212"/>
      <c r="AE1057" s="877">
        <f>U1057</f>
        <v>0</v>
      </c>
      <c r="AF1057" s="40">
        <f>X1057</f>
        <v>0</v>
      </c>
      <c r="AG1057" s="40">
        <f>AA1057</f>
        <v>0</v>
      </c>
      <c r="AH1057" s="40">
        <f>AD1057</f>
        <v>0</v>
      </c>
      <c r="AI1057" s="40">
        <f>AF1057</f>
        <v>0</v>
      </c>
      <c r="AJ1057" s="40">
        <f>AH1057</f>
        <v>0</v>
      </c>
      <c r="AK1057" s="40">
        <f>AJ1057</f>
        <v>0</v>
      </c>
      <c r="AM1057" s="1910">
        <f t="shared" ca="1" si="1644"/>
        <v>0</v>
      </c>
      <c r="AN1057" s="1910">
        <f t="shared" ca="1" si="1645"/>
        <v>0</v>
      </c>
      <c r="AO1057" s="2694">
        <f t="shared" ca="1" si="1646"/>
        <v>0</v>
      </c>
      <c r="AP1057" s="2695">
        <f t="shared" ca="1" si="1647"/>
        <v>0</v>
      </c>
      <c r="AQ1057" s="1910">
        <f t="shared" ca="1" si="1667"/>
        <v>0</v>
      </c>
      <c r="AR1057" s="2694">
        <f t="shared" ca="1" si="1648"/>
        <v>0</v>
      </c>
      <c r="AS1057" s="2695">
        <f t="shared" ca="1" si="1649"/>
        <v>0</v>
      </c>
      <c r="AU1057" s="1910">
        <f t="shared" ca="1" si="1650"/>
        <v>0</v>
      </c>
      <c r="AV1057" s="1910">
        <f t="shared" ca="1" si="1651"/>
        <v>0</v>
      </c>
      <c r="AW1057" s="2694">
        <f t="shared" ca="1" si="1652"/>
        <v>0</v>
      </c>
      <c r="AX1057" s="2695">
        <f t="shared" ca="1" si="1653"/>
        <v>0</v>
      </c>
      <c r="AY1057" s="1910">
        <f t="shared" ca="1" si="1654"/>
        <v>0</v>
      </c>
      <c r="AZ1057" s="2694">
        <f t="shared" ca="1" si="1655"/>
        <v>0</v>
      </c>
      <c r="BA1057" s="2695">
        <f t="shared" ca="1" si="1656"/>
        <v>0</v>
      </c>
      <c r="BC1057" s="1910">
        <f t="shared" ca="1" si="1657"/>
        <v>0</v>
      </c>
      <c r="BD1057" s="1910">
        <f t="shared" ca="1" si="1658"/>
        <v>0</v>
      </c>
      <c r="BE1057" s="2694">
        <f t="shared" ca="1" si="1659"/>
        <v>0</v>
      </c>
      <c r="BF1057" s="2695">
        <f t="shared" ca="1" si="1660"/>
        <v>0</v>
      </c>
      <c r="BG1057" s="1910">
        <f t="shared" ca="1" si="1661"/>
        <v>0</v>
      </c>
      <c r="BH1057" s="2694">
        <f t="shared" ca="1" si="1662"/>
        <v>0</v>
      </c>
      <c r="BI1057" s="2695">
        <f t="shared" ca="1" si="1663"/>
        <v>0</v>
      </c>
    </row>
    <row r="1058" spans="1:61" s="34" customFormat="1" ht="14.5">
      <c r="A1058" s="1693">
        <f t="shared" si="1668"/>
        <v>1050</v>
      </c>
      <c r="B1058" s="616">
        <v>1</v>
      </c>
      <c r="C1058" s="1693">
        <f t="shared" si="1673"/>
        <v>1058</v>
      </c>
      <c r="D1058" s="616">
        <f t="shared" si="1673"/>
        <v>937</v>
      </c>
      <c r="F1058" s="454"/>
      <c r="G1058" s="4"/>
      <c r="H1058" s="4"/>
      <c r="I1058" s="4"/>
      <c r="J1058" s="260"/>
      <c r="K1058" s="4"/>
      <c r="L1058" s="4"/>
      <c r="M1058" s="3"/>
      <c r="N1058" s="3"/>
      <c r="O1058" s="41"/>
      <c r="P1058" s="41" t="s">
        <v>19</v>
      </c>
      <c r="Q1058" s="41"/>
      <c r="R1058" s="1778" t="str">
        <f>CHOOSE(2, "6722000003969", "HC DW-DX FE/TTOC Administration Total HR")</f>
        <v>HC DW-DX FE/TTOC Administration Total HR</v>
      </c>
      <c r="S1058" s="1212"/>
      <c r="T1058" s="1212"/>
      <c r="U1058" s="1212"/>
      <c r="V1058" s="1212"/>
      <c r="W1058" s="1212"/>
      <c r="X1058" s="1212"/>
      <c r="Y1058" s="1212"/>
      <c r="Z1058" s="1212"/>
      <c r="AA1058" s="1212"/>
      <c r="AB1058" s="1212"/>
      <c r="AC1058" s="1212"/>
      <c r="AD1058" s="1212"/>
      <c r="AE1058" s="877">
        <f>U1058</f>
        <v>0</v>
      </c>
      <c r="AF1058" s="40">
        <f>X1058</f>
        <v>0</v>
      </c>
      <c r="AG1058" s="40">
        <f>AA1058</f>
        <v>0</v>
      </c>
      <c r="AH1058" s="40">
        <f>AD1058</f>
        <v>0</v>
      </c>
      <c r="AI1058" s="40">
        <f>AF1058</f>
        <v>0</v>
      </c>
      <c r="AJ1058" s="40">
        <f>AH1058</f>
        <v>0</v>
      </c>
      <c r="AK1058" s="40">
        <f>AJ1058</f>
        <v>0</v>
      </c>
      <c r="AM1058" s="1910">
        <f t="shared" ca="1" si="1644"/>
        <v>0</v>
      </c>
      <c r="AN1058" s="1910">
        <f t="shared" ca="1" si="1645"/>
        <v>0</v>
      </c>
      <c r="AO1058" s="2694">
        <f t="shared" ca="1" si="1646"/>
        <v>0</v>
      </c>
      <c r="AP1058" s="2695">
        <f t="shared" ca="1" si="1647"/>
        <v>0</v>
      </c>
      <c r="AQ1058" s="1910">
        <f t="shared" ca="1" si="1667"/>
        <v>0</v>
      </c>
      <c r="AR1058" s="2694">
        <f t="shared" ca="1" si="1648"/>
        <v>0</v>
      </c>
      <c r="AS1058" s="2695">
        <f t="shared" ca="1" si="1649"/>
        <v>0</v>
      </c>
      <c r="AU1058" s="1910">
        <f t="shared" ca="1" si="1650"/>
        <v>0</v>
      </c>
      <c r="AV1058" s="1910">
        <f t="shared" ca="1" si="1651"/>
        <v>0</v>
      </c>
      <c r="AW1058" s="2694">
        <f t="shared" ca="1" si="1652"/>
        <v>0</v>
      </c>
      <c r="AX1058" s="2695">
        <f t="shared" ca="1" si="1653"/>
        <v>0</v>
      </c>
      <c r="AY1058" s="1910">
        <f t="shared" ca="1" si="1654"/>
        <v>0</v>
      </c>
      <c r="AZ1058" s="2694">
        <f t="shared" ca="1" si="1655"/>
        <v>0</v>
      </c>
      <c r="BA1058" s="2695">
        <f t="shared" ca="1" si="1656"/>
        <v>0</v>
      </c>
      <c r="BC1058" s="1910">
        <f t="shared" ca="1" si="1657"/>
        <v>0</v>
      </c>
      <c r="BD1058" s="1910">
        <f t="shared" ca="1" si="1658"/>
        <v>0</v>
      </c>
      <c r="BE1058" s="2694">
        <f t="shared" ca="1" si="1659"/>
        <v>0</v>
      </c>
      <c r="BF1058" s="2695">
        <f t="shared" ca="1" si="1660"/>
        <v>0</v>
      </c>
      <c r="BG1058" s="1910">
        <f t="shared" ca="1" si="1661"/>
        <v>0</v>
      </c>
      <c r="BH1058" s="2694">
        <f t="shared" ca="1" si="1662"/>
        <v>0</v>
      </c>
      <c r="BI1058" s="2695">
        <f t="shared" ca="1" si="1663"/>
        <v>0</v>
      </c>
    </row>
    <row r="1059" spans="1:61" s="34" customFormat="1" ht="14.5">
      <c r="A1059" s="1693">
        <f t="shared" si="1668"/>
        <v>1051</v>
      </c>
      <c r="B1059" s="616">
        <v>1</v>
      </c>
      <c r="C1059" s="1693">
        <f t="shared" si="1673"/>
        <v>1059</v>
      </c>
      <c r="D1059" s="616">
        <f t="shared" si="1673"/>
        <v>938</v>
      </c>
      <c r="F1059" s="454"/>
      <c r="G1059" s="4"/>
      <c r="H1059" s="4"/>
      <c r="I1059" s="4"/>
      <c r="J1059" s="260"/>
      <c r="K1059" s="4"/>
      <c r="L1059" s="4"/>
      <c r="M1059" s="3"/>
      <c r="N1059" s="3"/>
      <c r="O1059" s="41"/>
      <c r="P1059" s="41" t="s">
        <v>20</v>
      </c>
      <c r="Q1059" s="41"/>
      <c r="R1059" s="1778" t="str">
        <f>CHOOSE(2, "6722000003970", "HC DW-DX FE/TTOC Administration Total Training")</f>
        <v>HC DW-DX FE/TTOC Administration Total Training</v>
      </c>
      <c r="S1059" s="1212"/>
      <c r="T1059" s="1212"/>
      <c r="U1059" s="1212"/>
      <c r="V1059" s="1212"/>
      <c r="W1059" s="1212"/>
      <c r="X1059" s="1212"/>
      <c r="Y1059" s="1212"/>
      <c r="Z1059" s="1212"/>
      <c r="AA1059" s="1212"/>
      <c r="AB1059" s="1212"/>
      <c r="AC1059" s="1212"/>
      <c r="AD1059" s="1212"/>
      <c r="AE1059" s="877">
        <f>U1059</f>
        <v>0</v>
      </c>
      <c r="AF1059" s="40">
        <f>X1059</f>
        <v>0</v>
      </c>
      <c r="AG1059" s="40">
        <f>AA1059</f>
        <v>0</v>
      </c>
      <c r="AH1059" s="40">
        <f>AD1059</f>
        <v>0</v>
      </c>
      <c r="AI1059" s="40">
        <f>AF1059</f>
        <v>0</v>
      </c>
      <c r="AJ1059" s="40">
        <f>AH1059</f>
        <v>0</v>
      </c>
      <c r="AK1059" s="40">
        <f>AJ1059</f>
        <v>0</v>
      </c>
      <c r="AL1059" s="8"/>
      <c r="AM1059" s="1910">
        <f t="shared" ca="1" si="1644"/>
        <v>0</v>
      </c>
      <c r="AN1059" s="1910">
        <f t="shared" ca="1" si="1645"/>
        <v>0</v>
      </c>
      <c r="AO1059" s="2694">
        <f t="shared" ca="1" si="1646"/>
        <v>0</v>
      </c>
      <c r="AP1059" s="2695">
        <f t="shared" ca="1" si="1647"/>
        <v>0</v>
      </c>
      <c r="AQ1059" s="1910">
        <f t="shared" ca="1" si="1667"/>
        <v>0</v>
      </c>
      <c r="AR1059" s="2694">
        <f t="shared" ca="1" si="1648"/>
        <v>0</v>
      </c>
      <c r="AS1059" s="2695">
        <f t="shared" ca="1" si="1649"/>
        <v>0</v>
      </c>
      <c r="AU1059" s="1910">
        <f t="shared" ca="1" si="1650"/>
        <v>0</v>
      </c>
      <c r="AV1059" s="1910">
        <f t="shared" ca="1" si="1651"/>
        <v>0</v>
      </c>
      <c r="AW1059" s="2694">
        <f t="shared" ca="1" si="1652"/>
        <v>0</v>
      </c>
      <c r="AX1059" s="2695">
        <f t="shared" ca="1" si="1653"/>
        <v>0</v>
      </c>
      <c r="AY1059" s="1910">
        <f t="shared" ca="1" si="1654"/>
        <v>0</v>
      </c>
      <c r="AZ1059" s="2694">
        <f t="shared" ca="1" si="1655"/>
        <v>0</v>
      </c>
      <c r="BA1059" s="2695">
        <f t="shared" ca="1" si="1656"/>
        <v>0</v>
      </c>
      <c r="BC1059" s="1910">
        <f t="shared" ca="1" si="1657"/>
        <v>0</v>
      </c>
      <c r="BD1059" s="1910">
        <f t="shared" ca="1" si="1658"/>
        <v>0</v>
      </c>
      <c r="BE1059" s="2694">
        <f t="shared" ca="1" si="1659"/>
        <v>0</v>
      </c>
      <c r="BF1059" s="2695">
        <f t="shared" ca="1" si="1660"/>
        <v>0</v>
      </c>
      <c r="BG1059" s="1910">
        <f t="shared" ca="1" si="1661"/>
        <v>0</v>
      </c>
      <c r="BH1059" s="2694">
        <f t="shared" ca="1" si="1662"/>
        <v>0</v>
      </c>
      <c r="BI1059" s="2695">
        <f t="shared" ca="1" si="1663"/>
        <v>0</v>
      </c>
    </row>
    <row r="1060" spans="1:61" s="34" customFormat="1" ht="14.5">
      <c r="A1060" s="1693">
        <f t="shared" si="1668"/>
        <v>1052</v>
      </c>
      <c r="B1060" s="616">
        <v>1</v>
      </c>
      <c r="C1060" s="1693">
        <f t="shared" si="1673"/>
        <v>1060</v>
      </c>
      <c r="D1060" s="616">
        <f t="shared" si="1673"/>
        <v>939</v>
      </c>
      <c r="F1060" s="454"/>
      <c r="G1060" s="4"/>
      <c r="H1060" s="4"/>
      <c r="I1060" s="4"/>
      <c r="J1060" s="260"/>
      <c r="K1060" s="4"/>
      <c r="L1060" s="4"/>
      <c r="M1060" s="3"/>
      <c r="N1060" s="3"/>
      <c r="O1060" s="41"/>
      <c r="P1060" s="41" t="s">
        <v>2</v>
      </c>
      <c r="Q1060" s="41"/>
      <c r="R1060" s="1778" t="str">
        <f>CHOOSE(2, "6722000003971", "HC DW-DX FE/TTOC Administration Total Others")</f>
        <v>HC DW-DX FE/TTOC Administration Total Others</v>
      </c>
      <c r="S1060" s="1212"/>
      <c r="T1060" s="1212"/>
      <c r="U1060" s="1212"/>
      <c r="V1060" s="1212"/>
      <c r="W1060" s="1212"/>
      <c r="X1060" s="1212"/>
      <c r="Y1060" s="1212"/>
      <c r="Z1060" s="1212"/>
      <c r="AA1060" s="1212"/>
      <c r="AB1060" s="1212"/>
      <c r="AC1060" s="1212"/>
      <c r="AD1060" s="1212"/>
      <c r="AE1060" s="877">
        <f>U1060</f>
        <v>0</v>
      </c>
      <c r="AF1060" s="40">
        <f>X1060</f>
        <v>0</v>
      </c>
      <c r="AG1060" s="40">
        <f>AA1060</f>
        <v>0</v>
      </c>
      <c r="AH1060" s="40">
        <f>AD1060</f>
        <v>0</v>
      </c>
      <c r="AI1060" s="40">
        <f>AF1060</f>
        <v>0</v>
      </c>
      <c r="AJ1060" s="40">
        <f>AH1060</f>
        <v>0</v>
      </c>
      <c r="AK1060" s="40">
        <f>AJ1060</f>
        <v>0</v>
      </c>
      <c r="AL1060" s="8"/>
      <c r="AM1060" s="1910">
        <f t="shared" ca="1" si="1644"/>
        <v>0</v>
      </c>
      <c r="AN1060" s="1910">
        <f t="shared" ca="1" si="1645"/>
        <v>0</v>
      </c>
      <c r="AO1060" s="2694">
        <f t="shared" ca="1" si="1646"/>
        <v>0</v>
      </c>
      <c r="AP1060" s="2695">
        <f t="shared" ca="1" si="1647"/>
        <v>0</v>
      </c>
      <c r="AQ1060" s="1910">
        <f t="shared" ca="1" si="1667"/>
        <v>1</v>
      </c>
      <c r="AR1060" s="2694">
        <f t="shared" ca="1" si="1648"/>
        <v>-1</v>
      </c>
      <c r="AS1060" s="2695">
        <f t="shared" ca="1" si="1649"/>
        <v>0</v>
      </c>
      <c r="AU1060" s="1910">
        <f t="shared" ca="1" si="1650"/>
        <v>0</v>
      </c>
      <c r="AV1060" s="1910">
        <f t="shared" ca="1" si="1651"/>
        <v>0</v>
      </c>
      <c r="AW1060" s="2694">
        <f t="shared" ca="1" si="1652"/>
        <v>0</v>
      </c>
      <c r="AX1060" s="2695">
        <f t="shared" ca="1" si="1653"/>
        <v>0</v>
      </c>
      <c r="AY1060" s="1910">
        <f t="shared" ca="1" si="1654"/>
        <v>1</v>
      </c>
      <c r="AZ1060" s="2694">
        <f t="shared" ca="1" si="1655"/>
        <v>-1</v>
      </c>
      <c r="BA1060" s="2695">
        <f t="shared" ca="1" si="1656"/>
        <v>0</v>
      </c>
      <c r="BC1060" s="1910">
        <f t="shared" ca="1" si="1657"/>
        <v>0</v>
      </c>
      <c r="BD1060" s="1910">
        <f t="shared" ca="1" si="1658"/>
        <v>0</v>
      </c>
      <c r="BE1060" s="2694">
        <f t="shared" ca="1" si="1659"/>
        <v>0</v>
      </c>
      <c r="BF1060" s="2695">
        <f t="shared" ca="1" si="1660"/>
        <v>0</v>
      </c>
      <c r="BG1060" s="1910">
        <f t="shared" ca="1" si="1661"/>
        <v>1</v>
      </c>
      <c r="BH1060" s="2694">
        <f t="shared" ca="1" si="1662"/>
        <v>-1</v>
      </c>
      <c r="BI1060" s="2695">
        <f t="shared" ca="1" si="1663"/>
        <v>0</v>
      </c>
    </row>
    <row r="1061" spans="1:61" s="34" customFormat="1" ht="14.5">
      <c r="A1061" s="1693">
        <f t="shared" si="1668"/>
        <v>1053</v>
      </c>
      <c r="B1061" s="616">
        <v>1</v>
      </c>
      <c r="C1061" s="1693">
        <f t="shared" si="1673"/>
        <v>1061</v>
      </c>
      <c r="D1061" s="616">
        <f t="shared" si="1673"/>
        <v>940</v>
      </c>
      <c r="E1061" s="709" t="s">
        <v>512</v>
      </c>
      <c r="F1061" s="1572"/>
      <c r="G1061" s="4"/>
      <c r="H1061" s="4"/>
      <c r="I1061" s="4"/>
      <c r="J1061" s="260"/>
      <c r="K1061" s="252" t="s">
        <v>139</v>
      </c>
      <c r="L1061" s="44"/>
      <c r="M1061" s="44"/>
      <c r="N1061" s="43"/>
      <c r="O1061" s="43"/>
      <c r="P1061" s="43"/>
      <c r="Q1061" s="251"/>
      <c r="R1061" s="1786" t="str">
        <f>CHOOSE(2, "6722000003972", "HC DW-DX FE/TTOC Logistics Total")</f>
        <v>HC DW-DX FE/TTOC Logistics Total</v>
      </c>
      <c r="S1061" s="1380">
        <f>SUM(S1062:S1064)</f>
        <v>0</v>
      </c>
      <c r="T1061" s="1380">
        <f t="shared" ref="T1061:AD1061" si="1676">SUM(T1062:T1064)</f>
        <v>0</v>
      </c>
      <c r="U1061" s="1380">
        <f t="shared" si="1676"/>
        <v>0</v>
      </c>
      <c r="V1061" s="1380">
        <f t="shared" si="1676"/>
        <v>0</v>
      </c>
      <c r="W1061" s="1380">
        <f t="shared" si="1676"/>
        <v>0</v>
      </c>
      <c r="X1061" s="1380">
        <f t="shared" si="1676"/>
        <v>0</v>
      </c>
      <c r="Y1061" s="1380">
        <f t="shared" si="1676"/>
        <v>0</v>
      </c>
      <c r="Z1061" s="1380">
        <f t="shared" si="1676"/>
        <v>0</v>
      </c>
      <c r="AA1061" s="1380">
        <f t="shared" si="1676"/>
        <v>0</v>
      </c>
      <c r="AB1061" s="1380">
        <f t="shared" si="1676"/>
        <v>0</v>
      </c>
      <c r="AC1061" s="1380">
        <f t="shared" si="1676"/>
        <v>0</v>
      </c>
      <c r="AD1061" s="1380">
        <f t="shared" si="1676"/>
        <v>0</v>
      </c>
      <c r="AE1061" s="782">
        <f t="shared" ref="AE1061:AK1061" si="1677">SUM(AE1062:AE1064)</f>
        <v>0</v>
      </c>
      <c r="AF1061" s="1634">
        <f t="shared" si="1677"/>
        <v>0</v>
      </c>
      <c r="AG1061" s="1634">
        <f t="shared" si="1677"/>
        <v>0</v>
      </c>
      <c r="AH1061" s="1634">
        <f t="shared" si="1677"/>
        <v>0</v>
      </c>
      <c r="AI1061" s="1634">
        <f t="shared" si="1677"/>
        <v>0</v>
      </c>
      <c r="AJ1061" s="1634">
        <f t="shared" si="1677"/>
        <v>0</v>
      </c>
      <c r="AK1061" s="1634">
        <f t="shared" si="1677"/>
        <v>0</v>
      </c>
      <c r="AL1061" s="8"/>
      <c r="AM1061" s="2252">
        <f t="shared" ca="1" si="1644"/>
        <v>0</v>
      </c>
      <c r="AN1061" s="2252">
        <f t="shared" ca="1" si="1645"/>
        <v>0</v>
      </c>
      <c r="AO1061" s="2952">
        <f t="shared" ca="1" si="1646"/>
        <v>0</v>
      </c>
      <c r="AP1061" s="2953">
        <f t="shared" ca="1" si="1647"/>
        <v>0</v>
      </c>
      <c r="AQ1061" s="2252">
        <f t="shared" ca="1" si="1667"/>
        <v>0</v>
      </c>
      <c r="AR1061" s="2952">
        <f t="shared" ca="1" si="1648"/>
        <v>0</v>
      </c>
      <c r="AS1061" s="2953">
        <f t="shared" ca="1" si="1649"/>
        <v>0</v>
      </c>
      <c r="AU1061" s="2252">
        <f t="shared" ca="1" si="1650"/>
        <v>0</v>
      </c>
      <c r="AV1061" s="2252">
        <f t="shared" ca="1" si="1651"/>
        <v>0</v>
      </c>
      <c r="AW1061" s="2952">
        <f t="shared" ca="1" si="1652"/>
        <v>0</v>
      </c>
      <c r="AX1061" s="2953">
        <f t="shared" ca="1" si="1653"/>
        <v>0</v>
      </c>
      <c r="AY1061" s="2252">
        <f t="shared" ca="1" si="1654"/>
        <v>0</v>
      </c>
      <c r="AZ1061" s="2952">
        <f t="shared" ca="1" si="1655"/>
        <v>0</v>
      </c>
      <c r="BA1061" s="2953">
        <f t="shared" ca="1" si="1656"/>
        <v>0</v>
      </c>
      <c r="BC1061" s="2252">
        <f t="shared" ca="1" si="1657"/>
        <v>0</v>
      </c>
      <c r="BD1061" s="2252">
        <f t="shared" ca="1" si="1658"/>
        <v>0</v>
      </c>
      <c r="BE1061" s="2952">
        <f t="shared" ca="1" si="1659"/>
        <v>0</v>
      </c>
      <c r="BF1061" s="2953">
        <f t="shared" ca="1" si="1660"/>
        <v>0</v>
      </c>
      <c r="BG1061" s="2252">
        <f t="shared" ca="1" si="1661"/>
        <v>0</v>
      </c>
      <c r="BH1061" s="2952">
        <f t="shared" ca="1" si="1662"/>
        <v>0</v>
      </c>
      <c r="BI1061" s="2953">
        <f t="shared" ca="1" si="1663"/>
        <v>0</v>
      </c>
    </row>
    <row r="1062" spans="1:61" s="34" customFormat="1" ht="14.5">
      <c r="A1062" s="1693">
        <f t="shared" si="1668"/>
        <v>1054</v>
      </c>
      <c r="B1062" s="616">
        <v>1</v>
      </c>
      <c r="C1062" s="1693">
        <f t="shared" si="1673"/>
        <v>1062</v>
      </c>
      <c r="D1062" s="616">
        <f t="shared" si="1673"/>
        <v>941</v>
      </c>
      <c r="F1062" s="454"/>
      <c r="G1062" s="4"/>
      <c r="H1062" s="4"/>
      <c r="I1062" s="4"/>
      <c r="J1062" s="260"/>
      <c r="K1062" s="4"/>
      <c r="L1062" s="4"/>
      <c r="M1062" s="3"/>
      <c r="N1062" s="3"/>
      <c r="O1062" s="41"/>
      <c r="P1062" s="41" t="s">
        <v>21</v>
      </c>
      <c r="Q1062" s="41"/>
      <c r="R1062" s="1778" t="str">
        <f>CHOOSE(2, "6722000003973", "HC DW-DX FE/TTOC Logistics Total Administration")</f>
        <v>HC DW-DX FE/TTOC Logistics Total Administration</v>
      </c>
      <c r="S1062" s="1212"/>
      <c r="T1062" s="1212"/>
      <c r="U1062" s="1212"/>
      <c r="V1062" s="1212"/>
      <c r="W1062" s="1212"/>
      <c r="X1062" s="1212"/>
      <c r="Y1062" s="1212"/>
      <c r="Z1062" s="1212"/>
      <c r="AA1062" s="1212"/>
      <c r="AB1062" s="1212"/>
      <c r="AC1062" s="1212"/>
      <c r="AD1062" s="1212"/>
      <c r="AE1062" s="877">
        <f>U1062</f>
        <v>0</v>
      </c>
      <c r="AF1062" s="40">
        <f>X1062</f>
        <v>0</v>
      </c>
      <c r="AG1062" s="40">
        <f>AA1062</f>
        <v>0</v>
      </c>
      <c r="AH1062" s="40">
        <f>AD1062</f>
        <v>0</v>
      </c>
      <c r="AI1062" s="40">
        <f>AF1062</f>
        <v>0</v>
      </c>
      <c r="AJ1062" s="40">
        <f>AH1062</f>
        <v>0</v>
      </c>
      <c r="AK1062" s="40">
        <f>AJ1062</f>
        <v>0</v>
      </c>
      <c r="AL1062" s="8"/>
      <c r="AM1062" s="1910">
        <f t="shared" ca="1" si="1644"/>
        <v>0</v>
      </c>
      <c r="AN1062" s="1910">
        <f t="shared" ca="1" si="1645"/>
        <v>0</v>
      </c>
      <c r="AO1062" s="2694">
        <f t="shared" ca="1" si="1646"/>
        <v>0</v>
      </c>
      <c r="AP1062" s="2695">
        <f t="shared" ca="1" si="1647"/>
        <v>0</v>
      </c>
      <c r="AQ1062" s="1910">
        <f t="shared" ca="1" si="1667"/>
        <v>0</v>
      </c>
      <c r="AR1062" s="2694">
        <f t="shared" ca="1" si="1648"/>
        <v>0</v>
      </c>
      <c r="AS1062" s="2695">
        <f t="shared" ca="1" si="1649"/>
        <v>0</v>
      </c>
      <c r="AU1062" s="1910">
        <f t="shared" ca="1" si="1650"/>
        <v>0</v>
      </c>
      <c r="AV1062" s="1910">
        <f t="shared" ca="1" si="1651"/>
        <v>0</v>
      </c>
      <c r="AW1062" s="2694">
        <f t="shared" ca="1" si="1652"/>
        <v>0</v>
      </c>
      <c r="AX1062" s="2695">
        <f t="shared" ca="1" si="1653"/>
        <v>0</v>
      </c>
      <c r="AY1062" s="1910">
        <f t="shared" ca="1" si="1654"/>
        <v>0</v>
      </c>
      <c r="AZ1062" s="2694">
        <f t="shared" ca="1" si="1655"/>
        <v>0</v>
      </c>
      <c r="BA1062" s="2695">
        <f t="shared" ca="1" si="1656"/>
        <v>0</v>
      </c>
      <c r="BC1062" s="1910">
        <f t="shared" ca="1" si="1657"/>
        <v>0</v>
      </c>
      <c r="BD1062" s="1910">
        <f t="shared" ca="1" si="1658"/>
        <v>0</v>
      </c>
      <c r="BE1062" s="2694">
        <f t="shared" ca="1" si="1659"/>
        <v>0</v>
      </c>
      <c r="BF1062" s="2695">
        <f t="shared" ca="1" si="1660"/>
        <v>0</v>
      </c>
      <c r="BG1062" s="1910">
        <f t="shared" ca="1" si="1661"/>
        <v>0</v>
      </c>
      <c r="BH1062" s="2694">
        <f t="shared" ca="1" si="1662"/>
        <v>0</v>
      </c>
      <c r="BI1062" s="2695">
        <f t="shared" ca="1" si="1663"/>
        <v>0</v>
      </c>
    </row>
    <row r="1063" spans="1:61" s="34" customFormat="1" ht="14.5">
      <c r="A1063" s="1693">
        <f t="shared" si="1668"/>
        <v>1055</v>
      </c>
      <c r="B1063" s="616">
        <v>1</v>
      </c>
      <c r="C1063" s="1693">
        <f t="shared" si="1673"/>
        <v>1063</v>
      </c>
      <c r="D1063" s="616">
        <f t="shared" si="1673"/>
        <v>942</v>
      </c>
      <c r="F1063" s="454"/>
      <c r="G1063" s="4"/>
      <c r="H1063" s="4"/>
      <c r="I1063" s="4"/>
      <c r="J1063" s="260"/>
      <c r="K1063" s="4"/>
      <c r="L1063" s="4"/>
      <c r="M1063" s="3"/>
      <c r="N1063" s="3"/>
      <c r="O1063" s="41"/>
      <c r="P1063" s="41" t="s">
        <v>22</v>
      </c>
      <c r="Q1063" s="41"/>
      <c r="R1063" s="1778" t="str">
        <f>CHOOSE(2, "6722000003974", "HC DW-DX FE/TTOC Logistics Total Warehouse")</f>
        <v>HC DW-DX FE/TTOC Logistics Total Warehouse</v>
      </c>
      <c r="S1063" s="1212"/>
      <c r="T1063" s="1212"/>
      <c r="U1063" s="1212"/>
      <c r="V1063" s="1212"/>
      <c r="W1063" s="1212"/>
      <c r="X1063" s="1212"/>
      <c r="Y1063" s="1212"/>
      <c r="Z1063" s="1212"/>
      <c r="AA1063" s="1212"/>
      <c r="AB1063" s="1212"/>
      <c r="AC1063" s="1212"/>
      <c r="AD1063" s="1212"/>
      <c r="AE1063" s="877">
        <f>U1063</f>
        <v>0</v>
      </c>
      <c r="AF1063" s="40">
        <f>X1063</f>
        <v>0</v>
      </c>
      <c r="AG1063" s="40">
        <f>AA1063</f>
        <v>0</v>
      </c>
      <c r="AH1063" s="40">
        <f>AD1063</f>
        <v>0</v>
      </c>
      <c r="AI1063" s="40">
        <f>AF1063</f>
        <v>0</v>
      </c>
      <c r="AJ1063" s="40">
        <f>AH1063</f>
        <v>0</v>
      </c>
      <c r="AK1063" s="40">
        <f>AJ1063</f>
        <v>0</v>
      </c>
      <c r="AL1063" s="8"/>
      <c r="AM1063" s="1910">
        <f t="shared" ca="1" si="1644"/>
        <v>0</v>
      </c>
      <c r="AN1063" s="1910">
        <f t="shared" ca="1" si="1645"/>
        <v>0</v>
      </c>
      <c r="AO1063" s="2694">
        <f t="shared" ca="1" si="1646"/>
        <v>0</v>
      </c>
      <c r="AP1063" s="2695">
        <f t="shared" ca="1" si="1647"/>
        <v>0</v>
      </c>
      <c r="AQ1063" s="1910">
        <f t="shared" ca="1" si="1667"/>
        <v>0</v>
      </c>
      <c r="AR1063" s="2694">
        <f t="shared" ca="1" si="1648"/>
        <v>0</v>
      </c>
      <c r="AS1063" s="2695">
        <f t="shared" ca="1" si="1649"/>
        <v>0</v>
      </c>
      <c r="AU1063" s="1910">
        <f t="shared" ca="1" si="1650"/>
        <v>0</v>
      </c>
      <c r="AV1063" s="1910">
        <f t="shared" ca="1" si="1651"/>
        <v>0</v>
      </c>
      <c r="AW1063" s="2694">
        <f t="shared" ca="1" si="1652"/>
        <v>0</v>
      </c>
      <c r="AX1063" s="2695">
        <f t="shared" ca="1" si="1653"/>
        <v>0</v>
      </c>
      <c r="AY1063" s="1910">
        <f t="shared" ca="1" si="1654"/>
        <v>0</v>
      </c>
      <c r="AZ1063" s="2694">
        <f t="shared" ca="1" si="1655"/>
        <v>0</v>
      </c>
      <c r="BA1063" s="2695">
        <f t="shared" ca="1" si="1656"/>
        <v>0</v>
      </c>
      <c r="BC1063" s="1910">
        <f t="shared" ca="1" si="1657"/>
        <v>0</v>
      </c>
      <c r="BD1063" s="1910">
        <f t="shared" ca="1" si="1658"/>
        <v>0</v>
      </c>
      <c r="BE1063" s="2694">
        <f t="shared" ca="1" si="1659"/>
        <v>0</v>
      </c>
      <c r="BF1063" s="2695">
        <f t="shared" ca="1" si="1660"/>
        <v>0</v>
      </c>
      <c r="BG1063" s="1910">
        <f t="shared" ca="1" si="1661"/>
        <v>0</v>
      </c>
      <c r="BH1063" s="2694">
        <f t="shared" ca="1" si="1662"/>
        <v>0</v>
      </c>
      <c r="BI1063" s="2695">
        <f t="shared" ca="1" si="1663"/>
        <v>0</v>
      </c>
    </row>
    <row r="1064" spans="1:61" s="34" customFormat="1" ht="14.5">
      <c r="A1064" s="1693">
        <f t="shared" si="1668"/>
        <v>1056</v>
      </c>
      <c r="B1064" s="616">
        <v>1</v>
      </c>
      <c r="C1064" s="1693">
        <f t="shared" si="1673"/>
        <v>1064</v>
      </c>
      <c r="D1064" s="616">
        <f t="shared" si="1673"/>
        <v>943</v>
      </c>
      <c r="F1064" s="454"/>
      <c r="G1064" s="4"/>
      <c r="H1064" s="4"/>
      <c r="I1064" s="4"/>
      <c r="J1064" s="261"/>
      <c r="K1064" s="2"/>
      <c r="L1064" s="2"/>
      <c r="M1064" s="1"/>
      <c r="N1064" s="1"/>
      <c r="O1064" s="39"/>
      <c r="P1064" s="39" t="s">
        <v>23</v>
      </c>
      <c r="Q1064" s="39"/>
      <c r="R1064" s="1778" t="str">
        <f>CHOOSE(2, "6722000003975", "HC DW-DX FE/TTOC Logistics Total Workshop")</f>
        <v>HC DW-DX FE/TTOC Logistics Total Workshop</v>
      </c>
      <c r="S1064" s="1211"/>
      <c r="T1064" s="1211"/>
      <c r="U1064" s="1211"/>
      <c r="V1064" s="1211"/>
      <c r="W1064" s="1211"/>
      <c r="X1064" s="1211"/>
      <c r="Y1064" s="1211"/>
      <c r="Z1064" s="1211"/>
      <c r="AA1064" s="1211"/>
      <c r="AB1064" s="1211"/>
      <c r="AC1064" s="1211"/>
      <c r="AD1064" s="1211"/>
      <c r="AE1064" s="912">
        <f>U1064</f>
        <v>0</v>
      </c>
      <c r="AF1064" s="38">
        <f>X1064</f>
        <v>0</v>
      </c>
      <c r="AG1064" s="38">
        <f>AA1064</f>
        <v>0</v>
      </c>
      <c r="AH1064" s="38">
        <f>AD1064</f>
        <v>0</v>
      </c>
      <c r="AI1064" s="38">
        <f>AF1064</f>
        <v>0</v>
      </c>
      <c r="AJ1064" s="38">
        <f>AH1064</f>
        <v>0</v>
      </c>
      <c r="AK1064" s="38">
        <f>AJ1064</f>
        <v>0</v>
      </c>
      <c r="AL1064" s="8"/>
      <c r="AM1064" s="2248">
        <f t="shared" ca="1" si="1644"/>
        <v>0</v>
      </c>
      <c r="AN1064" s="2248">
        <f t="shared" ca="1" si="1645"/>
        <v>0</v>
      </c>
      <c r="AO1064" s="2950">
        <f t="shared" ca="1" si="1646"/>
        <v>0</v>
      </c>
      <c r="AP1064" s="2951">
        <f t="shared" ca="1" si="1647"/>
        <v>0</v>
      </c>
      <c r="AQ1064" s="2248">
        <f t="shared" ca="1" si="1667"/>
        <v>0</v>
      </c>
      <c r="AR1064" s="2950">
        <f t="shared" ca="1" si="1648"/>
        <v>0</v>
      </c>
      <c r="AS1064" s="2951">
        <f t="shared" ca="1" si="1649"/>
        <v>0</v>
      </c>
      <c r="AU1064" s="2248">
        <f t="shared" ca="1" si="1650"/>
        <v>0</v>
      </c>
      <c r="AV1064" s="2248">
        <f t="shared" ca="1" si="1651"/>
        <v>0</v>
      </c>
      <c r="AW1064" s="2950">
        <f t="shared" ca="1" si="1652"/>
        <v>0</v>
      </c>
      <c r="AX1064" s="2951">
        <f t="shared" ca="1" si="1653"/>
        <v>0</v>
      </c>
      <c r="AY1064" s="2248">
        <f t="shared" ca="1" si="1654"/>
        <v>0</v>
      </c>
      <c r="AZ1064" s="2950">
        <f t="shared" ca="1" si="1655"/>
        <v>0</v>
      </c>
      <c r="BA1064" s="2951">
        <f t="shared" ca="1" si="1656"/>
        <v>0</v>
      </c>
      <c r="BC1064" s="2248">
        <f t="shared" ca="1" si="1657"/>
        <v>0</v>
      </c>
      <c r="BD1064" s="2248">
        <f t="shared" ca="1" si="1658"/>
        <v>0</v>
      </c>
      <c r="BE1064" s="2950">
        <f t="shared" ca="1" si="1659"/>
        <v>0</v>
      </c>
      <c r="BF1064" s="2951">
        <f t="shared" ca="1" si="1660"/>
        <v>0</v>
      </c>
      <c r="BG1064" s="2248">
        <f t="shared" ca="1" si="1661"/>
        <v>0</v>
      </c>
      <c r="BH1064" s="2950">
        <f t="shared" ca="1" si="1662"/>
        <v>0</v>
      </c>
      <c r="BI1064" s="2951">
        <f t="shared" ca="1" si="1663"/>
        <v>0</v>
      </c>
    </row>
    <row r="1065" spans="1:61" s="34" customFormat="1" ht="14.5">
      <c r="A1065" s="1693">
        <f t="shared" si="1668"/>
        <v>1057</v>
      </c>
      <c r="B1065" s="616">
        <v>1</v>
      </c>
      <c r="C1065" s="1693">
        <f t="shared" si="1673"/>
        <v>1065</v>
      </c>
      <c r="D1065" s="616">
        <f t="shared" si="1673"/>
        <v>944</v>
      </c>
      <c r="E1065" s="709" t="s">
        <v>512</v>
      </c>
      <c r="F1065" s="1572"/>
      <c r="G1065" s="4"/>
      <c r="H1065" s="4"/>
      <c r="I1065" s="4"/>
      <c r="J1065" s="246" t="s">
        <v>182</v>
      </c>
      <c r="K1065" s="247"/>
      <c r="L1065" s="248"/>
      <c r="M1065" s="248"/>
      <c r="N1065" s="247"/>
      <c r="O1065" s="247"/>
      <c r="P1065" s="247"/>
      <c r="Q1065" s="247"/>
      <c r="R1065" s="1790" t="str">
        <f>CHOOSE(2, "6722000003976", "HC DW-DX Semi-Full-Time/Part-Time Employees /Contractors")</f>
        <v>HC DW-DX Semi-Full-Time/Part-Time Employees /Contractors</v>
      </c>
      <c r="S1065" s="1243"/>
      <c r="T1065" s="1243"/>
      <c r="U1065" s="1243"/>
      <c r="V1065" s="1243"/>
      <c r="W1065" s="1243"/>
      <c r="X1065" s="1243"/>
      <c r="Y1065" s="1243"/>
      <c r="Z1065" s="1243"/>
      <c r="AA1065" s="1243"/>
      <c r="AB1065" s="1243"/>
      <c r="AC1065" s="1243"/>
      <c r="AD1065" s="1243"/>
      <c r="AE1065" s="913">
        <f>U1065</f>
        <v>0</v>
      </c>
      <c r="AF1065" s="250">
        <f>X1065</f>
        <v>0</v>
      </c>
      <c r="AG1065" s="250">
        <f>AA1065</f>
        <v>0</v>
      </c>
      <c r="AH1065" s="250">
        <f>AD1065</f>
        <v>0</v>
      </c>
      <c r="AI1065" s="250">
        <f>AF1065</f>
        <v>0</v>
      </c>
      <c r="AJ1065" s="250">
        <f>AH1065</f>
        <v>0</v>
      </c>
      <c r="AK1065" s="250">
        <f>AJ1065</f>
        <v>0</v>
      </c>
      <c r="AL1065" s="8"/>
      <c r="AM1065" s="2256">
        <f t="shared" ca="1" si="1644"/>
        <v>0</v>
      </c>
      <c r="AN1065" s="2256">
        <f t="shared" ca="1" si="1645"/>
        <v>0</v>
      </c>
      <c r="AO1065" s="2849">
        <f t="shared" ca="1" si="1646"/>
        <v>0</v>
      </c>
      <c r="AP1065" s="2850">
        <f t="shared" ca="1" si="1647"/>
        <v>0</v>
      </c>
      <c r="AQ1065" s="2256">
        <f t="shared" ca="1" si="1667"/>
        <v>0</v>
      </c>
      <c r="AR1065" s="2849">
        <f t="shared" ca="1" si="1648"/>
        <v>0</v>
      </c>
      <c r="AS1065" s="2850">
        <f t="shared" ca="1" si="1649"/>
        <v>0</v>
      </c>
      <c r="AU1065" s="2256">
        <f t="shared" ca="1" si="1650"/>
        <v>0</v>
      </c>
      <c r="AV1065" s="2256">
        <f t="shared" ca="1" si="1651"/>
        <v>0</v>
      </c>
      <c r="AW1065" s="2849">
        <f t="shared" ca="1" si="1652"/>
        <v>0</v>
      </c>
      <c r="AX1065" s="2850">
        <f t="shared" ca="1" si="1653"/>
        <v>0</v>
      </c>
      <c r="AY1065" s="2256">
        <f t="shared" ca="1" si="1654"/>
        <v>0</v>
      </c>
      <c r="AZ1065" s="2849">
        <f t="shared" ca="1" si="1655"/>
        <v>0</v>
      </c>
      <c r="BA1065" s="2850">
        <f t="shared" ca="1" si="1656"/>
        <v>0</v>
      </c>
      <c r="BC1065" s="2256">
        <f t="shared" ca="1" si="1657"/>
        <v>0</v>
      </c>
      <c r="BD1065" s="2256">
        <f t="shared" ca="1" si="1658"/>
        <v>0</v>
      </c>
      <c r="BE1065" s="2849">
        <f t="shared" ca="1" si="1659"/>
        <v>0</v>
      </c>
      <c r="BF1065" s="2850">
        <f t="shared" ca="1" si="1660"/>
        <v>0</v>
      </c>
      <c r="BG1065" s="2256">
        <f t="shared" ca="1" si="1661"/>
        <v>0</v>
      </c>
      <c r="BH1065" s="2849">
        <f t="shared" ca="1" si="1662"/>
        <v>0</v>
      </c>
      <c r="BI1065" s="2850">
        <f t="shared" ca="1" si="1663"/>
        <v>0</v>
      </c>
    </row>
    <row r="1066" spans="1:61" s="34" customFormat="1" ht="14.5">
      <c r="A1066" s="1693">
        <f>A1064+1</f>
        <v>1057</v>
      </c>
      <c r="B1066" s="616">
        <v>1</v>
      </c>
      <c r="C1066" s="1693">
        <f t="shared" si="1673"/>
        <v>1066</v>
      </c>
      <c r="D1066" s="616">
        <f>D1064+1</f>
        <v>944</v>
      </c>
      <c r="E1066" s="709" t="s">
        <v>512</v>
      </c>
      <c r="F1066" s="1572"/>
      <c r="G1066" s="1768"/>
      <c r="H1066" s="4"/>
      <c r="I1066" s="4"/>
      <c r="J1066" s="4"/>
      <c r="K1066" s="4"/>
      <c r="L1066" s="1747" t="s">
        <v>852</v>
      </c>
      <c r="M1066" s="1748"/>
      <c r="N1066" s="1749"/>
      <c r="O1066" s="1749"/>
      <c r="P1066" s="1749"/>
      <c r="Q1066" s="1749"/>
      <c r="R1066" s="1809" t="str">
        <f>CHOOSE(2, "6722000004534", "HC DW-DX Billable FE/TT")</f>
        <v>HC DW-DX Billable FE/TT</v>
      </c>
      <c r="S1066" s="1750"/>
      <c r="T1066" s="1750"/>
      <c r="U1066" s="1750"/>
      <c r="V1066" s="1750"/>
      <c r="W1066" s="1750"/>
      <c r="X1066" s="1750"/>
      <c r="Y1066" s="1750"/>
      <c r="Z1066" s="1750"/>
      <c r="AA1066" s="1750"/>
      <c r="AB1066" s="1750"/>
      <c r="AC1066" s="1750"/>
      <c r="AD1066" s="1750"/>
      <c r="AE1066" s="1751"/>
      <c r="AF1066" s="1750"/>
      <c r="AG1066" s="1750"/>
      <c r="AH1066" s="1750"/>
      <c r="AI1066" s="1750"/>
      <c r="AJ1066" s="1750"/>
      <c r="AK1066" s="1750"/>
      <c r="AL1066" s="8"/>
    </row>
    <row r="1067" spans="1:61" s="34" customFormat="1" ht="14.5">
      <c r="A1067" s="1693">
        <f>A1065+1</f>
        <v>1058</v>
      </c>
      <c r="B1067" s="616">
        <v>1</v>
      </c>
      <c r="C1067" s="1693">
        <f t="shared" si="1673"/>
        <v>1067</v>
      </c>
      <c r="D1067" s="616">
        <f>D1065+1</f>
        <v>945</v>
      </c>
      <c r="E1067" s="709" t="s">
        <v>512</v>
      </c>
      <c r="F1067" s="1572"/>
      <c r="G1067" s="1768"/>
      <c r="H1067" s="4"/>
      <c r="I1067" s="4"/>
      <c r="J1067" s="4"/>
      <c r="K1067" s="4"/>
      <c r="L1067" s="260"/>
      <c r="M1067" s="48" t="s">
        <v>137</v>
      </c>
      <c r="N1067" s="47"/>
      <c r="O1067" s="47"/>
      <c r="P1067" s="47"/>
      <c r="Q1067" s="47"/>
      <c r="R1067" s="1786" t="str">
        <f>CHOOSE(2, "6722000004535", "HC DW-DX Billable FE/TT Service Total")</f>
        <v>HC DW-DX Billable FE/TT Service Total</v>
      </c>
      <c r="S1067" s="1255">
        <f t="shared" ref="S1067:AD1067" si="1678">SUM(S1068:S1073)</f>
        <v>0</v>
      </c>
      <c r="T1067" s="1255">
        <f t="shared" si="1678"/>
        <v>0</v>
      </c>
      <c r="U1067" s="1255">
        <f t="shared" si="1678"/>
        <v>0</v>
      </c>
      <c r="V1067" s="1255">
        <f t="shared" si="1678"/>
        <v>0</v>
      </c>
      <c r="W1067" s="1255">
        <f t="shared" si="1678"/>
        <v>0</v>
      </c>
      <c r="X1067" s="1255">
        <f t="shared" si="1678"/>
        <v>0</v>
      </c>
      <c r="Y1067" s="1255">
        <f t="shared" si="1678"/>
        <v>0</v>
      </c>
      <c r="Z1067" s="1255">
        <f t="shared" si="1678"/>
        <v>0</v>
      </c>
      <c r="AA1067" s="1255">
        <f t="shared" si="1678"/>
        <v>0</v>
      </c>
      <c r="AB1067" s="1255">
        <f t="shared" si="1678"/>
        <v>0</v>
      </c>
      <c r="AC1067" s="1255">
        <f t="shared" si="1678"/>
        <v>0</v>
      </c>
      <c r="AD1067" s="1255">
        <f t="shared" si="1678"/>
        <v>0</v>
      </c>
      <c r="AE1067" s="1240">
        <f t="shared" ref="AE1067:AK1067" si="1679">SUM(AE1068:AE1073)</f>
        <v>0</v>
      </c>
      <c r="AF1067" s="1255">
        <f t="shared" si="1679"/>
        <v>0</v>
      </c>
      <c r="AG1067" s="1255">
        <f t="shared" si="1679"/>
        <v>0</v>
      </c>
      <c r="AH1067" s="1255">
        <f t="shared" si="1679"/>
        <v>0</v>
      </c>
      <c r="AI1067" s="1255">
        <f t="shared" si="1679"/>
        <v>0</v>
      </c>
      <c r="AJ1067" s="1255">
        <f t="shared" si="1679"/>
        <v>0</v>
      </c>
      <c r="AK1067" s="1255">
        <f t="shared" si="1679"/>
        <v>0</v>
      </c>
      <c r="AL1067" s="8"/>
      <c r="AM1067" s="8"/>
      <c r="AN1067" s="8"/>
      <c r="AO1067" s="8"/>
      <c r="AP1067" s="8"/>
      <c r="AQ1067" s="8"/>
      <c r="AR1067" s="8"/>
      <c r="AS1067" s="8"/>
      <c r="AT1067" s="8"/>
      <c r="AU1067" s="8"/>
      <c r="AV1067" s="8"/>
      <c r="AW1067" s="8"/>
      <c r="AX1067" s="8"/>
      <c r="AY1067" s="8"/>
      <c r="AZ1067" s="8"/>
      <c r="BA1067" s="8"/>
      <c r="BB1067" s="8"/>
      <c r="BC1067" s="8"/>
      <c r="BD1067" s="8"/>
      <c r="BE1067" s="8"/>
      <c r="BF1067" s="8"/>
      <c r="BG1067" s="8"/>
      <c r="BH1067" s="8"/>
      <c r="BI1067" s="8"/>
    </row>
    <row r="1068" spans="1:61" s="34" customFormat="1" ht="14.5">
      <c r="A1068" s="1693">
        <f t="shared" si="1668"/>
        <v>1059</v>
      </c>
      <c r="B1068" s="616">
        <v>1</v>
      </c>
      <c r="C1068" s="1693">
        <f t="shared" si="1673"/>
        <v>1068</v>
      </c>
      <c r="D1068" s="616">
        <f t="shared" si="1673"/>
        <v>946</v>
      </c>
      <c r="F1068" s="1572"/>
      <c r="G1068" s="1768"/>
      <c r="H1068" s="4"/>
      <c r="I1068" s="4"/>
      <c r="J1068" s="4"/>
      <c r="K1068" s="4"/>
      <c r="L1068" s="260"/>
      <c r="M1068" s="4"/>
      <c r="N1068" s="3"/>
      <c r="O1068" s="41"/>
      <c r="P1068" s="41" t="s">
        <v>3</v>
      </c>
      <c r="Q1068" s="3"/>
      <c r="R1068" s="1778" t="str">
        <f>CHOOSE(2, "6722000004536", "HC DW-DX Billable FE/TT IMS")</f>
        <v>HC DW-DX Billable FE/TT IMS</v>
      </c>
      <c r="S1068" s="1745"/>
      <c r="T1068" s="1745"/>
      <c r="U1068" s="1745"/>
      <c r="V1068" s="1745"/>
      <c r="W1068" s="1745"/>
      <c r="X1068" s="1745"/>
      <c r="Y1068" s="1745"/>
      <c r="Z1068" s="1745"/>
      <c r="AA1068" s="1745"/>
      <c r="AB1068" s="1745"/>
      <c r="AC1068" s="1745"/>
      <c r="AD1068" s="1745"/>
      <c r="AE1068" s="877">
        <f t="shared" ref="AE1068:AE1074" si="1680">U1068</f>
        <v>0</v>
      </c>
      <c r="AF1068" s="40">
        <f t="shared" ref="AF1068:AF1074" si="1681">X1068</f>
        <v>0</v>
      </c>
      <c r="AG1068" s="40">
        <f t="shared" ref="AG1068:AG1074" si="1682">AA1068</f>
        <v>0</v>
      </c>
      <c r="AH1068" s="40">
        <f t="shared" ref="AH1068:AH1074" si="1683">AD1068</f>
        <v>0</v>
      </c>
      <c r="AI1068" s="40">
        <f t="shared" ref="AI1068:AI1074" si="1684">AF1068</f>
        <v>0</v>
      </c>
      <c r="AJ1068" s="40">
        <f t="shared" ref="AJ1068:AJ1074" si="1685">AH1068</f>
        <v>0</v>
      </c>
      <c r="AK1068" s="40">
        <f t="shared" ref="AK1068:AK1074" si="1686">AJ1068</f>
        <v>0</v>
      </c>
      <c r="AL1068" s="8"/>
      <c r="AM1068" s="8"/>
      <c r="AN1068" s="8"/>
      <c r="AO1068" s="8"/>
      <c r="AP1068" s="8"/>
      <c r="AQ1068" s="8"/>
      <c r="AR1068" s="8"/>
      <c r="AS1068" s="8"/>
      <c r="AT1068" s="8"/>
      <c r="AU1068" s="8"/>
      <c r="AV1068" s="8"/>
      <c r="AW1068" s="8"/>
      <c r="AX1068" s="8"/>
      <c r="AY1068" s="8"/>
      <c r="AZ1068" s="8"/>
      <c r="BA1068" s="8"/>
      <c r="BB1068" s="8"/>
      <c r="BC1068" s="8"/>
      <c r="BD1068" s="8"/>
      <c r="BE1068" s="8"/>
      <c r="BF1068" s="8"/>
      <c r="BG1068" s="8"/>
      <c r="BH1068" s="8"/>
      <c r="BI1068" s="8"/>
    </row>
    <row r="1069" spans="1:61" s="34" customFormat="1" ht="14.5">
      <c r="A1069" s="1693">
        <f t="shared" si="1668"/>
        <v>1060</v>
      </c>
      <c r="B1069" s="616">
        <v>1</v>
      </c>
      <c r="C1069" s="1693">
        <f t="shared" si="1673"/>
        <v>1069</v>
      </c>
      <c r="D1069" s="616">
        <f t="shared" si="1673"/>
        <v>947</v>
      </c>
      <c r="F1069" s="1572"/>
      <c r="G1069" s="1768"/>
      <c r="H1069" s="4"/>
      <c r="I1069" s="4"/>
      <c r="J1069" s="4"/>
      <c r="K1069" s="4"/>
      <c r="L1069" s="260"/>
      <c r="M1069" s="4"/>
      <c r="N1069" s="3"/>
      <c r="O1069" s="41"/>
      <c r="P1069" s="41" t="s">
        <v>4</v>
      </c>
      <c r="Q1069" s="725"/>
      <c r="R1069" s="1778" t="str">
        <f>CHOOSE(2, "6722000004537", "HC DW-DX Billable FE/TT MCS")</f>
        <v>HC DW-DX Billable FE/TT MCS</v>
      </c>
      <c r="S1069" s="1745"/>
      <c r="T1069" s="1745"/>
      <c r="U1069" s="1745"/>
      <c r="V1069" s="1745"/>
      <c r="W1069" s="1745"/>
      <c r="X1069" s="1745"/>
      <c r="Y1069" s="1745"/>
      <c r="Z1069" s="1745"/>
      <c r="AA1069" s="1745"/>
      <c r="AB1069" s="1745"/>
      <c r="AC1069" s="1745"/>
      <c r="AD1069" s="1745"/>
      <c r="AE1069" s="877">
        <f t="shared" si="1680"/>
        <v>0</v>
      </c>
      <c r="AF1069" s="40">
        <f t="shared" si="1681"/>
        <v>0</v>
      </c>
      <c r="AG1069" s="40">
        <f t="shared" si="1682"/>
        <v>0</v>
      </c>
      <c r="AH1069" s="40">
        <f t="shared" si="1683"/>
        <v>0</v>
      </c>
      <c r="AI1069" s="40">
        <f t="shared" si="1684"/>
        <v>0</v>
      </c>
      <c r="AJ1069" s="40">
        <f t="shared" si="1685"/>
        <v>0</v>
      </c>
      <c r="AK1069" s="40">
        <f t="shared" si="1686"/>
        <v>0</v>
      </c>
      <c r="AL1069" s="8"/>
      <c r="AM1069" s="8"/>
      <c r="AN1069" s="8"/>
      <c r="AO1069" s="8"/>
      <c r="AP1069" s="8"/>
      <c r="AQ1069" s="8"/>
      <c r="AR1069" s="8"/>
      <c r="AS1069" s="8"/>
      <c r="AT1069" s="8"/>
      <c r="AU1069" s="8"/>
      <c r="AV1069" s="8"/>
      <c r="AW1069" s="8"/>
      <c r="AX1069" s="8"/>
      <c r="AY1069" s="8"/>
      <c r="AZ1069" s="8"/>
      <c r="BA1069" s="8"/>
      <c r="BB1069" s="8"/>
      <c r="BC1069" s="8"/>
      <c r="BD1069" s="8"/>
      <c r="BE1069" s="8"/>
      <c r="BF1069" s="8"/>
      <c r="BG1069" s="8"/>
      <c r="BH1069" s="8"/>
      <c r="BI1069" s="8"/>
    </row>
    <row r="1070" spans="1:61" s="34" customFormat="1" ht="14.5">
      <c r="A1070" s="1693">
        <f t="shared" si="1668"/>
        <v>1061</v>
      </c>
      <c r="B1070" s="616">
        <v>1</v>
      </c>
      <c r="C1070" s="1693">
        <f t="shared" si="1673"/>
        <v>1070</v>
      </c>
      <c r="D1070" s="616">
        <f t="shared" si="1673"/>
        <v>948</v>
      </c>
      <c r="F1070" s="1572"/>
      <c r="G1070" s="1768"/>
      <c r="H1070" s="4"/>
      <c r="I1070" s="4"/>
      <c r="J1070" s="4"/>
      <c r="K1070" s="4"/>
      <c r="L1070" s="260"/>
      <c r="M1070" s="4"/>
      <c r="N1070" s="3"/>
      <c r="O1070" s="41"/>
      <c r="P1070" s="41" t="s">
        <v>602</v>
      </c>
      <c r="Q1070" s="3"/>
      <c r="R1070" s="1778" t="str">
        <f>CHOOSE(2, "6722000004538", "HC DW-DX Billable FE/TT BPS")</f>
        <v>HC DW-DX Billable FE/TT BPS</v>
      </c>
      <c r="S1070" s="1745"/>
      <c r="T1070" s="1745"/>
      <c r="U1070" s="1745"/>
      <c r="V1070" s="1745"/>
      <c r="W1070" s="1745"/>
      <c r="X1070" s="1745"/>
      <c r="Y1070" s="1745"/>
      <c r="Z1070" s="1745"/>
      <c r="AA1070" s="1745"/>
      <c r="AB1070" s="1745"/>
      <c r="AC1070" s="1745"/>
      <c r="AD1070" s="1745"/>
      <c r="AE1070" s="877">
        <f t="shared" si="1680"/>
        <v>0</v>
      </c>
      <c r="AF1070" s="40">
        <f t="shared" si="1681"/>
        <v>0</v>
      </c>
      <c r="AG1070" s="40">
        <f t="shared" si="1682"/>
        <v>0</v>
      </c>
      <c r="AH1070" s="40">
        <f t="shared" si="1683"/>
        <v>0</v>
      </c>
      <c r="AI1070" s="40">
        <f t="shared" si="1684"/>
        <v>0</v>
      </c>
      <c r="AJ1070" s="40">
        <f t="shared" si="1685"/>
        <v>0</v>
      </c>
      <c r="AK1070" s="40">
        <f t="shared" si="1686"/>
        <v>0</v>
      </c>
      <c r="AL1070" s="8"/>
      <c r="AM1070" s="8"/>
      <c r="AN1070" s="8"/>
      <c r="AO1070" s="8"/>
      <c r="AP1070" s="8"/>
      <c r="AQ1070" s="8"/>
      <c r="AR1070" s="8"/>
      <c r="AS1070" s="8"/>
      <c r="AT1070" s="8"/>
      <c r="AU1070" s="8"/>
      <c r="AV1070" s="8"/>
      <c r="AW1070" s="8"/>
      <c r="AX1070" s="8"/>
      <c r="AY1070" s="8"/>
      <c r="AZ1070" s="8"/>
      <c r="BA1070" s="8"/>
      <c r="BB1070" s="8"/>
      <c r="BC1070" s="8"/>
      <c r="BD1070" s="8"/>
      <c r="BE1070" s="8"/>
      <c r="BF1070" s="8"/>
      <c r="BG1070" s="8"/>
      <c r="BH1070" s="8"/>
      <c r="BI1070" s="8"/>
    </row>
    <row r="1071" spans="1:61" s="34" customFormat="1" ht="14.5">
      <c r="A1071" s="1693">
        <f>A1069+1</f>
        <v>1061</v>
      </c>
      <c r="B1071" s="616">
        <v>1</v>
      </c>
      <c r="C1071" s="1693">
        <f t="shared" ref="C1071:D1086" si="1687">C1070+1</f>
        <v>1071</v>
      </c>
      <c r="D1071" s="616">
        <f>D1069+1</f>
        <v>948</v>
      </c>
      <c r="F1071" s="1572"/>
      <c r="G1071" s="1768"/>
      <c r="H1071" s="4"/>
      <c r="I1071" s="4"/>
      <c r="J1071" s="4"/>
      <c r="K1071" s="4"/>
      <c r="L1071" s="260"/>
      <c r="M1071" s="4"/>
      <c r="N1071" s="3"/>
      <c r="O1071" s="41"/>
      <c r="P1071" s="41" t="s">
        <v>656</v>
      </c>
      <c r="Q1071" s="3"/>
      <c r="R1071" s="1778" t="str">
        <f>CHOOSE(2, "6722000004539", "HC DW-DX Billable FE/TT ICW-IT")</f>
        <v>HC DW-DX Billable FE/TT ICW-IT</v>
      </c>
      <c r="S1071" s="1745"/>
      <c r="T1071" s="1745"/>
      <c r="U1071" s="1745"/>
      <c r="V1071" s="1745"/>
      <c r="W1071" s="1745"/>
      <c r="X1071" s="1745"/>
      <c r="Y1071" s="1745"/>
      <c r="Z1071" s="1745"/>
      <c r="AA1071" s="1745"/>
      <c r="AB1071" s="1745"/>
      <c r="AC1071" s="1745"/>
      <c r="AD1071" s="1745"/>
      <c r="AE1071" s="877">
        <f t="shared" si="1680"/>
        <v>0</v>
      </c>
      <c r="AF1071" s="40">
        <f t="shared" si="1681"/>
        <v>0</v>
      </c>
      <c r="AG1071" s="40">
        <f t="shared" si="1682"/>
        <v>0</v>
      </c>
      <c r="AH1071" s="40">
        <f t="shared" si="1683"/>
        <v>0</v>
      </c>
      <c r="AI1071" s="40">
        <f t="shared" si="1684"/>
        <v>0</v>
      </c>
      <c r="AJ1071" s="40">
        <f t="shared" si="1685"/>
        <v>0</v>
      </c>
      <c r="AK1071" s="40">
        <f t="shared" si="1686"/>
        <v>0</v>
      </c>
      <c r="AL1071" s="8"/>
      <c r="AM1071" s="8"/>
      <c r="AN1071" s="8"/>
      <c r="AO1071" s="8"/>
      <c r="AP1071" s="8"/>
      <c r="AQ1071" s="8"/>
      <c r="AR1071" s="8"/>
      <c r="AS1071" s="8"/>
      <c r="AT1071" s="8"/>
      <c r="AU1071" s="8"/>
      <c r="AV1071" s="8"/>
      <c r="AW1071" s="8"/>
      <c r="AX1071" s="8"/>
      <c r="AY1071" s="8"/>
      <c r="AZ1071" s="8"/>
      <c r="BA1071" s="8"/>
      <c r="BB1071" s="8"/>
      <c r="BC1071" s="8"/>
      <c r="BD1071" s="8"/>
      <c r="BE1071" s="8"/>
      <c r="BF1071" s="8"/>
      <c r="BG1071" s="8"/>
      <c r="BH1071" s="8"/>
      <c r="BI1071" s="8"/>
    </row>
    <row r="1072" spans="1:61" s="34" customFormat="1" ht="14.5">
      <c r="A1072" s="1693">
        <f>A1070+1</f>
        <v>1062</v>
      </c>
      <c r="B1072" s="616">
        <v>1</v>
      </c>
      <c r="C1072" s="1693">
        <f t="shared" si="1687"/>
        <v>1072</v>
      </c>
      <c r="D1072" s="616">
        <f>D1070+1</f>
        <v>949</v>
      </c>
      <c r="F1072" s="1572"/>
      <c r="G1072" s="1768"/>
      <c r="H1072" s="4"/>
      <c r="I1072" s="4"/>
      <c r="J1072" s="4"/>
      <c r="K1072" s="4"/>
      <c r="L1072" s="260"/>
      <c r="M1072" s="4"/>
      <c r="N1072" s="3"/>
      <c r="O1072" s="41"/>
      <c r="P1072" s="41" t="s">
        <v>620</v>
      </c>
      <c r="Q1072" s="3"/>
      <c r="R1072" s="1778" t="str">
        <f>CHOOSE(2, "6722000004540", "HC DW-DX Billable FE/TT ICW-WK")</f>
        <v>HC DW-DX Billable FE/TT ICW-WK</v>
      </c>
      <c r="S1072" s="1745"/>
      <c r="T1072" s="1745"/>
      <c r="U1072" s="1745"/>
      <c r="V1072" s="1745"/>
      <c r="W1072" s="1745"/>
      <c r="X1072" s="1745"/>
      <c r="Y1072" s="1745"/>
      <c r="Z1072" s="1745"/>
      <c r="AA1072" s="1745"/>
      <c r="AB1072" s="1745"/>
      <c r="AC1072" s="1745"/>
      <c r="AD1072" s="1745"/>
      <c r="AE1072" s="877">
        <f t="shared" si="1680"/>
        <v>0</v>
      </c>
      <c r="AF1072" s="40">
        <f t="shared" si="1681"/>
        <v>0</v>
      </c>
      <c r="AG1072" s="40">
        <f t="shared" si="1682"/>
        <v>0</v>
      </c>
      <c r="AH1072" s="40">
        <f t="shared" si="1683"/>
        <v>0</v>
      </c>
      <c r="AI1072" s="40">
        <f t="shared" si="1684"/>
        <v>0</v>
      </c>
      <c r="AJ1072" s="40">
        <f t="shared" si="1685"/>
        <v>0</v>
      </c>
      <c r="AK1072" s="40">
        <f t="shared" si="1686"/>
        <v>0</v>
      </c>
      <c r="AL1072" s="8"/>
      <c r="AM1072" s="8"/>
      <c r="AN1072" s="8"/>
      <c r="AO1072" s="8"/>
      <c r="AP1072" s="8"/>
      <c r="AQ1072" s="8"/>
      <c r="AR1072" s="8"/>
      <c r="AS1072" s="8"/>
      <c r="AT1072" s="8"/>
      <c r="AU1072" s="8"/>
      <c r="AV1072" s="8"/>
      <c r="AW1072" s="8"/>
      <c r="AX1072" s="8"/>
      <c r="AY1072" s="8"/>
      <c r="AZ1072" s="8"/>
      <c r="BA1072" s="8"/>
      <c r="BB1072" s="8"/>
      <c r="BC1072" s="8"/>
      <c r="BD1072" s="8"/>
      <c r="BE1072" s="8"/>
      <c r="BF1072" s="8"/>
      <c r="BG1072" s="8"/>
      <c r="BH1072" s="8"/>
      <c r="BI1072" s="8"/>
    </row>
    <row r="1073" spans="1:61" s="34" customFormat="1" ht="14.5">
      <c r="A1073" s="1693">
        <f t="shared" si="1668"/>
        <v>1063</v>
      </c>
      <c r="B1073" s="616">
        <v>1</v>
      </c>
      <c r="C1073" s="1693">
        <f t="shared" si="1687"/>
        <v>1073</v>
      </c>
      <c r="D1073" s="616">
        <f t="shared" si="1687"/>
        <v>950</v>
      </c>
      <c r="F1073" s="1572"/>
      <c r="G1073" s="1768"/>
      <c r="H1073" s="4"/>
      <c r="I1073" s="4"/>
      <c r="J1073" s="4"/>
      <c r="K1073" s="4"/>
      <c r="L1073" s="260"/>
      <c r="M1073" s="4"/>
      <c r="N1073" s="3"/>
      <c r="O1073" s="41"/>
      <c r="P1073" s="41" t="s">
        <v>619</v>
      </c>
      <c r="Q1073" s="3"/>
      <c r="R1073" s="1778" t="str">
        <f>CHOOSE(2, "6722000004541", "HC DW-DX Billable FE/TT ICW-P")</f>
        <v>HC DW-DX Billable FE/TT ICW-P</v>
      </c>
      <c r="S1073" s="1745"/>
      <c r="T1073" s="1745"/>
      <c r="U1073" s="1745"/>
      <c r="V1073" s="1745"/>
      <c r="W1073" s="1745"/>
      <c r="X1073" s="1745"/>
      <c r="Y1073" s="1745"/>
      <c r="Z1073" s="1745"/>
      <c r="AA1073" s="1745"/>
      <c r="AB1073" s="1745"/>
      <c r="AC1073" s="1745"/>
      <c r="AD1073" s="1745"/>
      <c r="AE1073" s="877">
        <f t="shared" si="1680"/>
        <v>0</v>
      </c>
      <c r="AF1073" s="40">
        <f t="shared" si="1681"/>
        <v>0</v>
      </c>
      <c r="AG1073" s="40">
        <f t="shared" si="1682"/>
        <v>0</v>
      </c>
      <c r="AH1073" s="40">
        <f t="shared" si="1683"/>
        <v>0</v>
      </c>
      <c r="AI1073" s="40">
        <f t="shared" si="1684"/>
        <v>0</v>
      </c>
      <c r="AJ1073" s="40">
        <f t="shared" si="1685"/>
        <v>0</v>
      </c>
      <c r="AK1073" s="40">
        <f t="shared" si="1686"/>
        <v>0</v>
      </c>
      <c r="AL1073" s="8"/>
      <c r="AM1073" s="8"/>
      <c r="AN1073" s="8"/>
      <c r="AO1073" s="8"/>
      <c r="AP1073" s="8"/>
      <c r="AQ1073" s="8"/>
      <c r="AR1073" s="8"/>
      <c r="AS1073" s="8"/>
      <c r="AT1073" s="8"/>
      <c r="AU1073" s="8"/>
      <c r="AV1073" s="8"/>
      <c r="AW1073" s="8"/>
      <c r="AX1073" s="8"/>
      <c r="AY1073" s="8"/>
      <c r="AZ1073" s="8"/>
      <c r="BA1073" s="8"/>
      <c r="BB1073" s="8"/>
      <c r="BC1073" s="8"/>
      <c r="BD1073" s="8"/>
      <c r="BE1073" s="8"/>
      <c r="BF1073" s="8"/>
      <c r="BG1073" s="8"/>
      <c r="BH1073" s="8"/>
      <c r="BI1073" s="8"/>
    </row>
    <row r="1074" spans="1:61" s="34" customFormat="1" ht="14.5">
      <c r="A1074" s="1693">
        <f t="shared" si="1668"/>
        <v>1064</v>
      </c>
      <c r="B1074" s="616">
        <v>1</v>
      </c>
      <c r="C1074" s="1693">
        <f t="shared" si="1687"/>
        <v>1074</v>
      </c>
      <c r="D1074" s="616">
        <f t="shared" si="1687"/>
        <v>951</v>
      </c>
      <c r="E1074" s="709" t="s">
        <v>512</v>
      </c>
      <c r="F1074" s="1572"/>
      <c r="G1074" s="1768"/>
      <c r="H1074" s="4"/>
      <c r="I1074" s="4"/>
      <c r="J1074" s="4"/>
      <c r="K1074" s="4"/>
      <c r="L1074" s="246" t="s">
        <v>853</v>
      </c>
      <c r="M1074" s="247"/>
      <c r="N1074" s="248"/>
      <c r="O1074" s="247"/>
      <c r="P1074" s="247"/>
      <c r="Q1074" s="247"/>
      <c r="R1074" s="1790" t="str">
        <f>CHOOSE(2, "6722000004542", "HC DW-DX Billable SFT/PTE/C")</f>
        <v>HC DW-DX Billable SFT/PTE/C</v>
      </c>
      <c r="S1074" s="1746"/>
      <c r="T1074" s="1746"/>
      <c r="U1074" s="1746"/>
      <c r="V1074" s="1746"/>
      <c r="W1074" s="1746"/>
      <c r="X1074" s="1746"/>
      <c r="Y1074" s="1746"/>
      <c r="Z1074" s="1746"/>
      <c r="AA1074" s="1746"/>
      <c r="AB1074" s="1746"/>
      <c r="AC1074" s="1746"/>
      <c r="AD1074" s="1746"/>
      <c r="AE1074" s="913">
        <f t="shared" si="1680"/>
        <v>0</v>
      </c>
      <c r="AF1074" s="250">
        <f t="shared" si="1681"/>
        <v>0</v>
      </c>
      <c r="AG1074" s="250">
        <f t="shared" si="1682"/>
        <v>0</v>
      </c>
      <c r="AH1074" s="250">
        <f t="shared" si="1683"/>
        <v>0</v>
      </c>
      <c r="AI1074" s="250">
        <f t="shared" si="1684"/>
        <v>0</v>
      </c>
      <c r="AJ1074" s="250">
        <f t="shared" si="1685"/>
        <v>0</v>
      </c>
      <c r="AK1074" s="250">
        <f t="shared" si="1686"/>
        <v>0</v>
      </c>
      <c r="AL1074" s="8"/>
      <c r="AM1074" s="8"/>
      <c r="AN1074" s="8"/>
      <c r="AO1074" s="8"/>
      <c r="AP1074" s="8"/>
      <c r="AQ1074" s="8"/>
      <c r="AR1074" s="8"/>
      <c r="AS1074" s="8"/>
      <c r="AT1074" s="8"/>
      <c r="AU1074" s="8"/>
      <c r="AV1074" s="8"/>
      <c r="AW1074" s="8"/>
      <c r="AX1074" s="8"/>
      <c r="AY1074" s="8"/>
      <c r="AZ1074" s="8"/>
      <c r="BA1074" s="8"/>
      <c r="BB1074" s="8"/>
      <c r="BC1074" s="8"/>
      <c r="BD1074" s="8"/>
      <c r="BE1074" s="8"/>
      <c r="BF1074" s="8"/>
      <c r="BG1074" s="8"/>
      <c r="BH1074" s="8"/>
      <c r="BI1074" s="8"/>
    </row>
    <row r="1075" spans="1:61" s="34" customFormat="1" ht="14.5">
      <c r="A1075" s="1693">
        <f>A1065+1</f>
        <v>1058</v>
      </c>
      <c r="B1075" s="616">
        <v>1</v>
      </c>
      <c r="C1075" s="1693">
        <f t="shared" si="1687"/>
        <v>1075</v>
      </c>
      <c r="D1075" s="616">
        <v>1</v>
      </c>
      <c r="E1075" s="709" t="s">
        <v>512</v>
      </c>
      <c r="F1075" s="1572"/>
      <c r="G1075" s="4"/>
      <c r="H1075" s="4"/>
      <c r="I1075" s="4"/>
      <c r="J1075" s="4"/>
      <c r="K1075" s="3"/>
      <c r="L1075" s="4"/>
      <c r="M1075" s="4"/>
      <c r="N1075" s="3"/>
      <c r="O1075" s="3"/>
      <c r="P1075" s="3"/>
      <c r="Q1075" s="3"/>
      <c r="R1075" s="1773" t="str">
        <f>CHOOSE(2, "6722000003977", "▷ Blank 32")</f>
        <v>▷ Blank 32</v>
      </c>
      <c r="S1075" s="1608"/>
      <c r="T1075" s="1609"/>
      <c r="U1075" s="1609"/>
      <c r="V1075" s="1609"/>
      <c r="W1075" s="1609"/>
      <c r="X1075" s="1609"/>
      <c r="Y1075" s="1609"/>
      <c r="Z1075" s="1609"/>
      <c r="AA1075" s="1609"/>
      <c r="AB1075" s="1609"/>
      <c r="AC1075" s="454"/>
      <c r="AD1075" s="454"/>
      <c r="AE1075" s="454"/>
      <c r="AF1075" s="454"/>
      <c r="AG1075" s="454"/>
      <c r="AH1075" s="454"/>
      <c r="AI1075" s="454"/>
      <c r="AJ1075" s="454"/>
      <c r="AK1075" s="454"/>
      <c r="AL1075" s="8"/>
      <c r="AM1075" s="8"/>
      <c r="AN1075" s="8"/>
      <c r="AO1075" s="8"/>
      <c r="AP1075" s="8"/>
      <c r="AQ1075" s="8"/>
      <c r="AR1075" s="8"/>
      <c r="AS1075" s="8"/>
      <c r="AT1075" s="8"/>
      <c r="AU1075" s="8"/>
      <c r="AV1075" s="8"/>
      <c r="AW1075" s="8"/>
      <c r="AX1075" s="8"/>
      <c r="AY1075" s="8"/>
      <c r="AZ1075" s="8"/>
      <c r="BA1075" s="8"/>
      <c r="BB1075" s="8"/>
      <c r="BC1075" s="8"/>
      <c r="BD1075" s="8"/>
      <c r="BE1075" s="8"/>
      <c r="BF1075" s="8"/>
      <c r="BG1075" s="8"/>
      <c r="BH1075" s="8"/>
      <c r="BI1075" s="8"/>
    </row>
    <row r="1076" spans="1:61" ht="18">
      <c r="A1076" s="1693">
        <f t="shared" ref="A1076:A1139" si="1688">A1075+1</f>
        <v>1059</v>
      </c>
      <c r="B1076" s="616">
        <v>1</v>
      </c>
      <c r="C1076" s="1693">
        <f t="shared" si="1687"/>
        <v>1076</v>
      </c>
      <c r="D1076" s="616">
        <v>1</v>
      </c>
      <c r="E1076" s="709" t="s">
        <v>512</v>
      </c>
      <c r="F1076" s="1572"/>
      <c r="G1076" s="242" t="s">
        <v>229</v>
      </c>
      <c r="H1076" s="242"/>
      <c r="J1076" s="4"/>
      <c r="K1076" s="3"/>
      <c r="L1076" s="4"/>
      <c r="M1076" s="4"/>
      <c r="N1076" s="3"/>
      <c r="O1076" s="3"/>
      <c r="P1076" s="3"/>
      <c r="Q1076" s="222"/>
      <c r="R1076" s="1773" t="str">
        <f>CHOOSE(2, "6722000003978", "4. B/S (1) - Inventories")</f>
        <v>4. B/S (1) - Inventories</v>
      </c>
      <c r="S1076" s="1608"/>
      <c r="T1076" s="1609"/>
      <c r="U1076" s="1609"/>
      <c r="V1076" s="1609"/>
      <c r="W1076" s="1609"/>
      <c r="X1076" s="1609"/>
      <c r="Y1076" s="1366"/>
      <c r="Z1076" s="1366"/>
      <c r="AA1076" s="1366"/>
      <c r="AB1076" s="1366"/>
      <c r="AC1076" s="69"/>
      <c r="AD1076" s="69"/>
      <c r="AE1076" s="69"/>
      <c r="AF1076" s="69"/>
      <c r="AG1076" s="69"/>
      <c r="AH1076" s="69"/>
      <c r="AI1076" s="69"/>
      <c r="AJ1076" s="69"/>
      <c r="AK1076" s="69"/>
    </row>
    <row r="1077" spans="1:61" ht="15.5">
      <c r="A1077" s="1693">
        <f t="shared" si="1688"/>
        <v>1060</v>
      </c>
      <c r="B1077" s="616">
        <v>1</v>
      </c>
      <c r="C1077" s="1693">
        <f t="shared" si="1687"/>
        <v>1077</v>
      </c>
      <c r="D1077" s="616">
        <v>1</v>
      </c>
      <c r="E1077" s="709" t="s">
        <v>512</v>
      </c>
      <c r="F1077" s="1572"/>
      <c r="G1077" s="8"/>
      <c r="H1077" s="243" t="s">
        <v>263</v>
      </c>
      <c r="J1077" s="4"/>
      <c r="K1077" s="3"/>
      <c r="L1077" s="4"/>
      <c r="M1077" s="4"/>
      <c r="N1077" s="3"/>
      <c r="O1077" s="3"/>
      <c r="P1077" s="3"/>
      <c r="Q1077" s="3"/>
      <c r="R1077" s="1773" t="str">
        <f>CHOOSE(2, "6722000003979", "4-1. Inventories")</f>
        <v>4-1. Inventories</v>
      </c>
      <c r="S1077" s="1608"/>
      <c r="T1077" s="1609"/>
      <c r="U1077" s="1609"/>
      <c r="V1077" s="1609"/>
      <c r="W1077" s="1609"/>
      <c r="X1077" s="1609"/>
      <c r="Y1077" s="1366"/>
      <c r="Z1077" s="1366"/>
      <c r="AA1077" s="1366"/>
      <c r="AB1077" s="1366"/>
      <c r="AC1077" s="69"/>
      <c r="AD1077" s="69"/>
      <c r="AE1077" s="69"/>
      <c r="AF1077" s="69"/>
      <c r="AG1077" s="69"/>
      <c r="AH1077" s="69"/>
      <c r="AI1077" s="69"/>
      <c r="AJ1077" s="69"/>
      <c r="AK1077" s="69"/>
    </row>
    <row r="1078" spans="1:61" ht="14.5">
      <c r="A1078" s="1693">
        <f t="shared" si="1688"/>
        <v>1061</v>
      </c>
      <c r="B1078" s="616">
        <v>1</v>
      </c>
      <c r="C1078" s="1693">
        <f t="shared" si="1687"/>
        <v>1078</v>
      </c>
      <c r="D1078" s="616">
        <v>1</v>
      </c>
      <c r="E1078" s="709" t="s">
        <v>512</v>
      </c>
      <c r="F1078" s="1572"/>
      <c r="G1078" s="4"/>
      <c r="H1078" s="4"/>
      <c r="I1078" s="69"/>
      <c r="J1078" s="53"/>
      <c r="K1078" s="51"/>
      <c r="L1078" s="52"/>
      <c r="M1078" s="52"/>
      <c r="N1078" s="51"/>
      <c r="O1078" s="51"/>
      <c r="P1078" s="51"/>
      <c r="Q1078" s="447"/>
      <c r="R1078" s="1773" t="str">
        <f>CHOOSE(2, "6722000003980", "▷ Blank 33")</f>
        <v>▷ Blank 33</v>
      </c>
      <c r="S1078" s="1611">
        <f t="shared" ref="S1078:AD1078" si="1689">S13</f>
        <v>45017</v>
      </c>
      <c r="T1078" s="1611">
        <f t="shared" si="1689"/>
        <v>45047</v>
      </c>
      <c r="U1078" s="1611">
        <f t="shared" si="1689"/>
        <v>45078</v>
      </c>
      <c r="V1078" s="1611">
        <f t="shared" si="1689"/>
        <v>45108</v>
      </c>
      <c r="W1078" s="1611">
        <f t="shared" si="1689"/>
        <v>45139</v>
      </c>
      <c r="X1078" s="1611">
        <f t="shared" si="1689"/>
        <v>45170</v>
      </c>
      <c r="Y1078" s="1611">
        <f t="shared" si="1689"/>
        <v>45200</v>
      </c>
      <c r="Z1078" s="1611">
        <f t="shared" si="1689"/>
        <v>45231</v>
      </c>
      <c r="AA1078" s="1611">
        <f t="shared" si="1689"/>
        <v>45261</v>
      </c>
      <c r="AB1078" s="1611">
        <f t="shared" si="1689"/>
        <v>45292</v>
      </c>
      <c r="AC1078" s="1611">
        <f t="shared" si="1689"/>
        <v>45323</v>
      </c>
      <c r="AD1078" s="1611">
        <f t="shared" si="1689"/>
        <v>45352</v>
      </c>
      <c r="AE1078" s="1706" t="str">
        <f t="shared" ref="AE1078:AK1078" si="1690">AE$13</f>
        <v>Q1</v>
      </c>
      <c r="AF1078" s="1707" t="str">
        <f t="shared" si="1690"/>
        <v>Q2</v>
      </c>
      <c r="AG1078" s="1707" t="str">
        <f t="shared" si="1690"/>
        <v>Q3</v>
      </c>
      <c r="AH1078" s="1707" t="str">
        <f t="shared" si="1690"/>
        <v>Q4</v>
      </c>
      <c r="AI1078" s="1707" t="str">
        <f t="shared" si="1690"/>
        <v>1st H</v>
      </c>
      <c r="AJ1078" s="1707" t="str">
        <f t="shared" si="1690"/>
        <v>2nd H</v>
      </c>
      <c r="AK1078" s="1707" t="str">
        <f t="shared" si="1690"/>
        <v>FY23</v>
      </c>
      <c r="AM1078" s="2723" t="str">
        <f t="shared" ref="AM1078:AS1078" si="1691">AM$13</f>
        <v>Result</v>
      </c>
      <c r="AN1078" s="2724" t="str">
        <f t="shared" si="1691"/>
        <v>OP</v>
      </c>
      <c r="AO1078" s="2725" t="str">
        <f t="shared" si="1691"/>
        <v>vs OP</v>
      </c>
      <c r="AP1078" s="2726" t="str">
        <f t="shared" si="1691"/>
        <v>%</v>
      </c>
      <c r="AQ1078" s="2724" t="str">
        <f t="shared" si="1691"/>
        <v>FY22</v>
      </c>
      <c r="AR1078" s="2725" t="str">
        <f t="shared" si="1691"/>
        <v>vs FY22</v>
      </c>
      <c r="AS1078" s="2727" t="str">
        <f t="shared" si="1691"/>
        <v>%</v>
      </c>
      <c r="AU1078" s="2723" t="str">
        <f t="shared" ref="AU1078:BA1078" si="1692">AU$13</f>
        <v>Result</v>
      </c>
      <c r="AV1078" s="2724" t="str">
        <f t="shared" si="1692"/>
        <v>OP</v>
      </c>
      <c r="AW1078" s="2725" t="str">
        <f t="shared" si="1692"/>
        <v>vs OP</v>
      </c>
      <c r="AX1078" s="2726" t="str">
        <f t="shared" si="1692"/>
        <v>%</v>
      </c>
      <c r="AY1078" s="2724" t="str">
        <f t="shared" si="1692"/>
        <v>FY22</v>
      </c>
      <c r="AZ1078" s="2725" t="str">
        <f t="shared" si="1692"/>
        <v>vs FY22</v>
      </c>
      <c r="BA1078" s="2727" t="str">
        <f t="shared" si="1692"/>
        <v>%</v>
      </c>
      <c r="BC1078" s="2723" t="str">
        <f t="shared" ref="BC1078:BI1078" si="1693">BC$13</f>
        <v>Result</v>
      </c>
      <c r="BD1078" s="2724" t="str">
        <f t="shared" si="1693"/>
        <v>OP</v>
      </c>
      <c r="BE1078" s="2725" t="str">
        <f t="shared" si="1693"/>
        <v>vs OP</v>
      </c>
      <c r="BF1078" s="2726" t="str">
        <f t="shared" si="1693"/>
        <v>%</v>
      </c>
      <c r="BG1078" s="2724" t="str">
        <f t="shared" si="1693"/>
        <v>FY22</v>
      </c>
      <c r="BH1078" s="2725" t="str">
        <f t="shared" si="1693"/>
        <v>vs FY22</v>
      </c>
      <c r="BI1078" s="2727" t="str">
        <f t="shared" si="1693"/>
        <v>%</v>
      </c>
    </row>
    <row r="1079" spans="1:61" ht="14.5">
      <c r="A1079" s="1693">
        <f t="shared" si="1688"/>
        <v>1062</v>
      </c>
      <c r="B1079" s="616">
        <v>1</v>
      </c>
      <c r="C1079" s="1693">
        <f t="shared" si="1687"/>
        <v>1079</v>
      </c>
      <c r="D1079" s="616">
        <v>1</v>
      </c>
      <c r="E1079" s="709" t="s">
        <v>512</v>
      </c>
      <c r="F1079" s="1572"/>
      <c r="G1079" s="4"/>
      <c r="H1079" s="4"/>
      <c r="I1079" s="69"/>
      <c r="J1079" s="246" t="s">
        <v>140</v>
      </c>
      <c r="K1079" s="248"/>
      <c r="L1079" s="31"/>
      <c r="M1079" s="31"/>
      <c r="N1079" s="30"/>
      <c r="O1079" s="30"/>
      <c r="P1079" s="30"/>
      <c r="Q1079" s="248"/>
      <c r="R1079" s="1786" t="str">
        <f>CHOOSE(2, "6722000003981", "BS (0) Total Inventories")</f>
        <v>BS (0) Total Inventories</v>
      </c>
      <c r="S1079" s="1711">
        <f>S1080+S1081+S1082</f>
        <v>1727472.7220000001</v>
      </c>
      <c r="T1079" s="1711">
        <f t="shared" ref="T1079:AD1079" si="1694">T1080+T1081+T1082</f>
        <v>1680145.4002448525</v>
      </c>
      <c r="U1079" s="1711">
        <f t="shared" si="1694"/>
        <v>1683073.110454126</v>
      </c>
      <c r="V1079" s="1711">
        <f t="shared" si="1694"/>
        <v>1679984.0538192089</v>
      </c>
      <c r="W1079" s="1711">
        <f t="shared" si="1694"/>
        <v>1535808.5292474665</v>
      </c>
      <c r="X1079" s="1711">
        <f t="shared" si="1694"/>
        <v>1323116.4580953834</v>
      </c>
      <c r="Y1079" s="1711">
        <f t="shared" si="1694"/>
        <v>1507824.1998900045</v>
      </c>
      <c r="Z1079" s="1711">
        <f t="shared" si="1694"/>
        <v>1613144.1387800036</v>
      </c>
      <c r="AA1079" s="1711">
        <f t="shared" si="1694"/>
        <v>1562456.0574400034</v>
      </c>
      <c r="AB1079" s="1711">
        <f t="shared" si="1694"/>
        <v>1575901.1070800053</v>
      </c>
      <c r="AC1079" s="1711">
        <f t="shared" si="1694"/>
        <v>1644393.6746100041</v>
      </c>
      <c r="AD1079" s="1711">
        <f t="shared" si="1694"/>
        <v>1597083.8251497117</v>
      </c>
      <c r="AE1079" s="1725">
        <f t="shared" ref="AE1079:AK1079" si="1695">AE1080+AE1081+AE1082</f>
        <v>1683073.110454126</v>
      </c>
      <c r="AF1079" s="1726">
        <f t="shared" si="1695"/>
        <v>1323116.4580953834</v>
      </c>
      <c r="AG1079" s="1726">
        <f t="shared" si="1695"/>
        <v>1562456.0574400034</v>
      </c>
      <c r="AH1079" s="1726">
        <f t="shared" si="1695"/>
        <v>1597083.8251497117</v>
      </c>
      <c r="AI1079" s="1726">
        <f t="shared" si="1695"/>
        <v>1323116.4580953834</v>
      </c>
      <c r="AJ1079" s="1726">
        <f t="shared" si="1695"/>
        <v>1597083.8251497117</v>
      </c>
      <c r="AK1079" s="1726">
        <f t="shared" si="1695"/>
        <v>1597083.8251497117</v>
      </c>
      <c r="AM1079" s="2601">
        <f t="shared" ref="AM1079:AM1098" ca="1" si="1696">INDIRECT(AM$3&amp;(ROW()))</f>
        <v>1727472.7220000001</v>
      </c>
      <c r="AN1079" s="2601">
        <f t="shared" ref="AN1079:AN1098" ca="1" si="1697">INDIRECT(AN$1&amp;AN$3&amp;$C1079)</f>
        <v>1847488</v>
      </c>
      <c r="AO1079" s="2954">
        <f t="shared" ref="AO1079:AO1120" ca="1" si="1698">AM1079-AN1079</f>
        <v>-120015.27799999993</v>
      </c>
      <c r="AP1079" s="2955">
        <f t="shared" ref="AP1079:AP1098" ca="1" si="1699">IFERROR(AM1079/AN1079,0)</f>
        <v>0.93503866980462125</v>
      </c>
      <c r="AQ1079" s="2601">
        <f t="shared" ref="AQ1079:AQ1098" ca="1" si="1700">INDIRECT(AQ$1&amp;AQ$3&amp;$A1079)+INDIRECT(AQ$1&amp;AQ$3&amp;$B1079)</f>
        <v>967611.44212309434</v>
      </c>
      <c r="AR1079" s="2954">
        <f t="shared" ref="AR1079:AR1098" ca="1" si="1701">AM1079-AQ1079</f>
        <v>759861.27987690573</v>
      </c>
      <c r="AS1079" s="2955">
        <f t="shared" ref="AS1079:AS1098" ca="1" si="1702">IFERROR(AM1079/AQ1079,0)</f>
        <v>1.7852958809681378</v>
      </c>
      <c r="AU1079" s="2601">
        <f t="shared" ref="AU1079:AU1098" ca="1" si="1703">INDIRECT(AU$3&amp;(ROW()))</f>
        <v>1727472.7220000001</v>
      </c>
      <c r="AV1079" s="2601">
        <f t="shared" ref="AV1079:AV1098" ca="1" si="1704">INDIRECT(AV$1&amp;AV$3&amp;$C1079)</f>
        <v>1847488</v>
      </c>
      <c r="AW1079" s="2954">
        <f t="shared" ref="AW1079:AW1098" ca="1" si="1705">AU1079-AV1079</f>
        <v>-120015.27799999993</v>
      </c>
      <c r="AX1079" s="2955">
        <f t="shared" ref="AX1079:AX1098" ca="1" si="1706">IFERROR(AU1079/AV1079,0)</f>
        <v>0.93503866980462125</v>
      </c>
      <c r="AY1079" s="2601">
        <f t="shared" ref="AY1079:AY1098" ca="1" si="1707">INDIRECT(AY$1&amp;AY$3&amp;$A1079)+INDIRECT(AY$1&amp;AY$3&amp;$B1079)</f>
        <v>967611.44212309434</v>
      </c>
      <c r="AZ1079" s="2954">
        <f t="shared" ref="AZ1079:AZ1098" ca="1" si="1708">AU1079-AY1079</f>
        <v>759861.27987690573</v>
      </c>
      <c r="BA1079" s="2955">
        <f t="shared" ref="BA1079:BA1098" ca="1" si="1709">IFERROR(AU1079/AY1079,0)</f>
        <v>1.7852958809681378</v>
      </c>
      <c r="BC1079" s="2601">
        <f t="shared" ref="BC1079:BC1098" ca="1" si="1710">INDIRECT(BC$3&amp;(ROW()))</f>
        <v>1727472.7220000001</v>
      </c>
      <c r="BD1079" s="2601">
        <f t="shared" ref="BD1079:BD1098" ca="1" si="1711">INDIRECT(BD$1&amp;BD$3&amp;$C1079)</f>
        <v>1847488</v>
      </c>
      <c r="BE1079" s="2954">
        <f t="shared" ref="BE1079:BE1098" ca="1" si="1712">BC1079-BD1079</f>
        <v>-120015.27799999993</v>
      </c>
      <c r="BF1079" s="2955">
        <f t="shared" ref="BF1079:BF1098" ca="1" si="1713">IFERROR(BC1079/BD1079,0)</f>
        <v>0.93503866980462125</v>
      </c>
      <c r="BG1079" s="2601">
        <f t="shared" ref="BG1079:BG1098" ca="1" si="1714">INDIRECT(BG$1&amp;BG$3&amp;$A1079)+INDIRECT(BG$1&amp;BG$3&amp;$B1079)</f>
        <v>967611.44212309434</v>
      </c>
      <c r="BH1079" s="2954">
        <f t="shared" ref="BH1079:BH1098" ca="1" si="1715">BC1079-BG1079</f>
        <v>759861.27987690573</v>
      </c>
      <c r="BI1079" s="2955">
        <f t="shared" ref="BI1079:BI1098" ca="1" si="1716">IFERROR(BC1079/BG1079,0)</f>
        <v>1.7852958809681378</v>
      </c>
    </row>
    <row r="1080" spans="1:61" ht="14.5">
      <c r="A1080" s="1693">
        <f t="shared" si="1688"/>
        <v>1063</v>
      </c>
      <c r="B1080" s="616">
        <v>1</v>
      </c>
      <c r="C1080" s="1693">
        <f t="shared" si="1687"/>
        <v>1080</v>
      </c>
      <c r="D1080" s="616">
        <v>1</v>
      </c>
      <c r="E1080" s="709" t="s">
        <v>512</v>
      </c>
      <c r="F1080" s="1572"/>
      <c r="G1080" s="4"/>
      <c r="H1080" s="4"/>
      <c r="I1080" s="69"/>
      <c r="J1080" s="27"/>
      <c r="K1080" s="4"/>
      <c r="L1080" s="4"/>
      <c r="M1080" s="4"/>
      <c r="N1080" s="4"/>
      <c r="O1080" s="3" t="s">
        <v>259</v>
      </c>
      <c r="P1080" s="3"/>
      <c r="Q1080" s="3"/>
      <c r="R1080" s="1786" t="str">
        <f>CHOOSE(2, "6722000003982", "BS (0) Total Inventories P BT &lt;exclude MGI&gt;")</f>
        <v>BS (0) Total Inventories P BT &lt;exclude MGI&gt;</v>
      </c>
      <c r="S1080" s="1635">
        <f t="shared" ref="S1080:AD1080" si="1717">S1084+S1097+S1087+S1090+S1094</f>
        <v>1671473.78422</v>
      </c>
      <c r="T1080" s="1635">
        <f t="shared" si="1717"/>
        <v>1639881.7642648525</v>
      </c>
      <c r="U1080" s="1635">
        <f t="shared" si="1717"/>
        <v>1647897.6216041259</v>
      </c>
      <c r="V1080" s="1635">
        <f t="shared" si="1717"/>
        <v>1661676.8164692088</v>
      </c>
      <c r="W1080" s="1635">
        <f t="shared" si="1717"/>
        <v>1518129.6954474666</v>
      </c>
      <c r="X1080" s="1635">
        <f t="shared" si="1717"/>
        <v>1301284.4580953834</v>
      </c>
      <c r="Y1080" s="1635">
        <f t="shared" si="1717"/>
        <v>1479878.4068100043</v>
      </c>
      <c r="Z1080" s="1635">
        <f t="shared" si="1717"/>
        <v>1583268.2016000035</v>
      </c>
      <c r="AA1080" s="1635">
        <f t="shared" si="1717"/>
        <v>1534626.2757600034</v>
      </c>
      <c r="AB1080" s="1635">
        <f t="shared" si="1717"/>
        <v>1538513.8010200053</v>
      </c>
      <c r="AC1080" s="1384">
        <f t="shared" si="1717"/>
        <v>1611536.8001100041</v>
      </c>
      <c r="AD1080" s="1384">
        <f t="shared" si="1717"/>
        <v>1568431.9553597118</v>
      </c>
      <c r="AE1080" s="783">
        <f t="shared" ref="AE1080:AK1080" si="1718">AE1084+AE1097+AE1087+AE1090+AE1094</f>
        <v>1647897.6216041259</v>
      </c>
      <c r="AF1080" s="1226">
        <f t="shared" si="1718"/>
        <v>1301284.4580953834</v>
      </c>
      <c r="AG1080" s="1226">
        <f t="shared" si="1718"/>
        <v>1534626.2757600034</v>
      </c>
      <c r="AH1080" s="1226">
        <f t="shared" si="1718"/>
        <v>1568431.9553597118</v>
      </c>
      <c r="AI1080" s="1226">
        <f t="shared" si="1718"/>
        <v>1301284.4580953834</v>
      </c>
      <c r="AJ1080" s="1226">
        <f t="shared" si="1718"/>
        <v>1568431.9553597118</v>
      </c>
      <c r="AK1080" s="1226">
        <f t="shared" si="1718"/>
        <v>1568431.9553597118</v>
      </c>
      <c r="AM1080" s="1926">
        <f t="shared" ca="1" si="1696"/>
        <v>1671473.78422</v>
      </c>
      <c r="AN1080" s="1926">
        <f t="shared" ca="1" si="1697"/>
        <v>1746556</v>
      </c>
      <c r="AO1080" s="2707">
        <f t="shared" ca="1" si="1698"/>
        <v>-75082.21577999997</v>
      </c>
      <c r="AP1080" s="2708">
        <f t="shared" ca="1" si="1699"/>
        <v>0.9570112748861187</v>
      </c>
      <c r="AQ1080" s="1926">
        <f t="shared" ca="1" si="1700"/>
        <v>912500.0072930943</v>
      </c>
      <c r="AR1080" s="2707">
        <f t="shared" ca="1" si="1701"/>
        <v>758973.77692690573</v>
      </c>
      <c r="AS1080" s="2708">
        <f t="shared" ca="1" si="1702"/>
        <v>1.8317520776557363</v>
      </c>
      <c r="AU1080" s="1926">
        <f t="shared" ca="1" si="1703"/>
        <v>1671473.78422</v>
      </c>
      <c r="AV1080" s="1926">
        <f t="shared" ca="1" si="1704"/>
        <v>1746556</v>
      </c>
      <c r="AW1080" s="2707">
        <f t="shared" ca="1" si="1705"/>
        <v>-75082.21577999997</v>
      </c>
      <c r="AX1080" s="2708">
        <f t="shared" ca="1" si="1706"/>
        <v>0.9570112748861187</v>
      </c>
      <c r="AY1080" s="1926">
        <f t="shared" ca="1" si="1707"/>
        <v>912500.0072930943</v>
      </c>
      <c r="AZ1080" s="2707">
        <f t="shared" ca="1" si="1708"/>
        <v>758973.77692690573</v>
      </c>
      <c r="BA1080" s="2708">
        <f t="shared" ca="1" si="1709"/>
        <v>1.8317520776557363</v>
      </c>
      <c r="BC1080" s="1926">
        <f t="shared" ca="1" si="1710"/>
        <v>1671473.78422</v>
      </c>
      <c r="BD1080" s="1926">
        <f t="shared" ca="1" si="1711"/>
        <v>1746556</v>
      </c>
      <c r="BE1080" s="2707">
        <f t="shared" ca="1" si="1712"/>
        <v>-75082.21577999997</v>
      </c>
      <c r="BF1080" s="2708">
        <f t="shared" ca="1" si="1713"/>
        <v>0.9570112748861187</v>
      </c>
      <c r="BG1080" s="1926">
        <f t="shared" ca="1" si="1714"/>
        <v>912500.0072930943</v>
      </c>
      <c r="BH1080" s="2707">
        <f t="shared" ca="1" si="1715"/>
        <v>758973.77692690573</v>
      </c>
      <c r="BI1080" s="2708">
        <f t="shared" ca="1" si="1716"/>
        <v>1.8317520776557363</v>
      </c>
    </row>
    <row r="1081" spans="1:61" ht="14.5">
      <c r="A1081" s="1693">
        <f t="shared" si="1688"/>
        <v>1064</v>
      </c>
      <c r="B1081" s="616">
        <v>1</v>
      </c>
      <c r="C1081" s="1693">
        <f t="shared" si="1687"/>
        <v>1081</v>
      </c>
      <c r="D1081" s="616">
        <v>1</v>
      </c>
      <c r="E1081" s="709" t="s">
        <v>512</v>
      </c>
      <c r="F1081" s="1572"/>
      <c r="G1081" s="8"/>
      <c r="H1081" s="8"/>
      <c r="I1081" s="69"/>
      <c r="J1081" s="27"/>
      <c r="K1081" s="4"/>
      <c r="L1081" s="4"/>
      <c r="M1081" s="4"/>
      <c r="N1081" s="4"/>
      <c r="O1081" s="3" t="s">
        <v>260</v>
      </c>
      <c r="P1081" s="3"/>
      <c r="Q1081" s="3"/>
      <c r="R1081" s="1786" t="str">
        <f>CHOOSE(2, "6722000003983", "BS (0) Total Inventories Purchased from MGI (BT-Gr)")</f>
        <v>BS (0) Total Inventories Purchased from MGI (BT-Gr)</v>
      </c>
      <c r="S1081" s="1636">
        <f t="shared" ref="S1081:AD1081" si="1719">S1091</f>
        <v>22083</v>
      </c>
      <c r="T1081" s="1636">
        <f t="shared" si="1719"/>
        <v>17228.34532</v>
      </c>
      <c r="U1081" s="1636">
        <f t="shared" si="1719"/>
        <v>16646</v>
      </c>
      <c r="V1081" s="1636">
        <f t="shared" si="1719"/>
        <v>8696.1760399999985</v>
      </c>
      <c r="W1081" s="1636">
        <f t="shared" si="1719"/>
        <v>9459</v>
      </c>
      <c r="X1081" s="1636">
        <f t="shared" si="1719"/>
        <v>15854</v>
      </c>
      <c r="Y1081" s="1636">
        <f t="shared" si="1719"/>
        <v>11076.65568</v>
      </c>
      <c r="Z1081" s="1636">
        <f t="shared" si="1719"/>
        <v>9589.9066600000006</v>
      </c>
      <c r="AA1081" s="1636">
        <f t="shared" si="1719"/>
        <v>7458.2769999999982</v>
      </c>
      <c r="AB1081" s="1636">
        <f t="shared" si="1719"/>
        <v>14103.712</v>
      </c>
      <c r="AC1081" s="1226">
        <f t="shared" si="1719"/>
        <v>12949.089</v>
      </c>
      <c r="AD1081" s="1226">
        <f t="shared" si="1719"/>
        <v>9316.380000000001</v>
      </c>
      <c r="AE1081" s="783">
        <f t="shared" ref="AE1081:AK1081" si="1720">AE1091</f>
        <v>16646</v>
      </c>
      <c r="AF1081" s="1226">
        <f t="shared" si="1720"/>
        <v>15854</v>
      </c>
      <c r="AG1081" s="1226">
        <f t="shared" si="1720"/>
        <v>7458.2769999999982</v>
      </c>
      <c r="AH1081" s="1226">
        <f t="shared" si="1720"/>
        <v>9316.380000000001</v>
      </c>
      <c r="AI1081" s="1226">
        <f t="shared" si="1720"/>
        <v>15854</v>
      </c>
      <c r="AJ1081" s="1226">
        <f t="shared" si="1720"/>
        <v>9316.380000000001</v>
      </c>
      <c r="AK1081" s="1226">
        <f t="shared" si="1720"/>
        <v>9316.380000000001</v>
      </c>
      <c r="AM1081" s="1926">
        <f t="shared" ca="1" si="1696"/>
        <v>22083</v>
      </c>
      <c r="AN1081" s="1926">
        <f t="shared" ca="1" si="1697"/>
        <v>19957</v>
      </c>
      <c r="AO1081" s="2707">
        <f t="shared" ca="1" si="1698"/>
        <v>2126</v>
      </c>
      <c r="AP1081" s="2708">
        <f t="shared" ca="1" si="1699"/>
        <v>1.1065290374304755</v>
      </c>
      <c r="AQ1081" s="1926">
        <f t="shared" ca="1" si="1700"/>
        <v>14131</v>
      </c>
      <c r="AR1081" s="2707">
        <f t="shared" ca="1" si="1701"/>
        <v>7952</v>
      </c>
      <c r="AS1081" s="2708">
        <f t="shared" ca="1" si="1702"/>
        <v>1.5627344137003751</v>
      </c>
      <c r="AU1081" s="1926">
        <f t="shared" ca="1" si="1703"/>
        <v>22083</v>
      </c>
      <c r="AV1081" s="1926">
        <f t="shared" ca="1" si="1704"/>
        <v>19957</v>
      </c>
      <c r="AW1081" s="2707">
        <f t="shared" ca="1" si="1705"/>
        <v>2126</v>
      </c>
      <c r="AX1081" s="2708">
        <f t="shared" ca="1" si="1706"/>
        <v>1.1065290374304755</v>
      </c>
      <c r="AY1081" s="1926">
        <f t="shared" ca="1" si="1707"/>
        <v>14131</v>
      </c>
      <c r="AZ1081" s="2707">
        <f t="shared" ca="1" si="1708"/>
        <v>7952</v>
      </c>
      <c r="BA1081" s="2708">
        <f t="shared" ca="1" si="1709"/>
        <v>1.5627344137003751</v>
      </c>
      <c r="BC1081" s="1926">
        <f t="shared" ca="1" si="1710"/>
        <v>22083</v>
      </c>
      <c r="BD1081" s="1926">
        <f t="shared" ca="1" si="1711"/>
        <v>19957</v>
      </c>
      <c r="BE1081" s="2707">
        <f t="shared" ca="1" si="1712"/>
        <v>2126</v>
      </c>
      <c r="BF1081" s="2708">
        <f t="shared" ca="1" si="1713"/>
        <v>1.1065290374304755</v>
      </c>
      <c r="BG1081" s="1926">
        <f t="shared" ca="1" si="1714"/>
        <v>14131</v>
      </c>
      <c r="BH1081" s="2707">
        <f t="shared" ca="1" si="1715"/>
        <v>7952</v>
      </c>
      <c r="BI1081" s="2708">
        <f t="shared" ca="1" si="1716"/>
        <v>1.5627344137003751</v>
      </c>
    </row>
    <row r="1082" spans="1:61" ht="14.5">
      <c r="A1082" s="1693">
        <f t="shared" si="1688"/>
        <v>1065</v>
      </c>
      <c r="B1082" s="616">
        <v>1</v>
      </c>
      <c r="C1082" s="1693">
        <f t="shared" si="1687"/>
        <v>1082</v>
      </c>
      <c r="D1082" s="616">
        <v>1</v>
      </c>
      <c r="E1082" s="709" t="s">
        <v>512</v>
      </c>
      <c r="F1082" s="1572"/>
      <c r="G1082" s="4"/>
      <c r="H1082" s="4"/>
      <c r="I1082" s="69"/>
      <c r="J1082" s="25"/>
      <c r="K1082" s="4"/>
      <c r="L1082" s="4"/>
      <c r="M1082" s="4"/>
      <c r="N1082" s="4"/>
      <c r="O1082" s="3" t="s">
        <v>125</v>
      </c>
      <c r="P1082" s="3"/>
      <c r="Q1082" s="3"/>
      <c r="R1082" s="1786" t="str">
        <f>CHOOSE(2, "6722000003984", "BS (0) Total Inventories 3rd Party")</f>
        <v>BS (0) Total Inventories 3rd Party</v>
      </c>
      <c r="S1082" s="1637">
        <f t="shared" ref="S1082:AD1082" si="1721">S1085+S1098+S1088+S1092+S1095</f>
        <v>33915.937780000015</v>
      </c>
      <c r="T1082" s="1637">
        <f t="shared" si="1721"/>
        <v>23035.290660000006</v>
      </c>
      <c r="U1082" s="1637">
        <f t="shared" si="1721"/>
        <v>18529.48885000002</v>
      </c>
      <c r="V1082" s="1637">
        <f t="shared" si="1721"/>
        <v>9611.0613100000155</v>
      </c>
      <c r="W1082" s="1637">
        <f t="shared" si="1721"/>
        <v>8219.8338000000113</v>
      </c>
      <c r="X1082" s="1637">
        <f t="shared" si="1721"/>
        <v>5978</v>
      </c>
      <c r="Y1082" s="1637">
        <f t="shared" si="1721"/>
        <v>16869.137400000018</v>
      </c>
      <c r="Z1082" s="1637">
        <f t="shared" si="1721"/>
        <v>20286.030520000011</v>
      </c>
      <c r="AA1082" s="1637">
        <f t="shared" si="1721"/>
        <v>20371.504680000016</v>
      </c>
      <c r="AB1082" s="1637">
        <f t="shared" si="1721"/>
        <v>23283.594060000018</v>
      </c>
      <c r="AC1082" s="1228">
        <f t="shared" si="1721"/>
        <v>19907.78550000002</v>
      </c>
      <c r="AD1082" s="1228">
        <f t="shared" si="1721"/>
        <v>19335.489790000021</v>
      </c>
      <c r="AE1082" s="783">
        <f t="shared" ref="AE1082:AK1082" si="1722">AE1085+AE1098+AE1088+AE1092+AE1095</f>
        <v>18529.48885000002</v>
      </c>
      <c r="AF1082" s="1226">
        <f t="shared" si="1722"/>
        <v>5978</v>
      </c>
      <c r="AG1082" s="1226">
        <f t="shared" si="1722"/>
        <v>20371.504680000016</v>
      </c>
      <c r="AH1082" s="1226">
        <f t="shared" si="1722"/>
        <v>19335.489790000021</v>
      </c>
      <c r="AI1082" s="1226">
        <f t="shared" si="1722"/>
        <v>5978</v>
      </c>
      <c r="AJ1082" s="1226">
        <f t="shared" si="1722"/>
        <v>19335.489790000021</v>
      </c>
      <c r="AK1082" s="1226">
        <f t="shared" si="1722"/>
        <v>19335.489790000021</v>
      </c>
      <c r="AM1082" s="1926">
        <f t="shared" ca="1" si="1696"/>
        <v>33915.937780000015</v>
      </c>
      <c r="AN1082" s="1926">
        <f t="shared" ca="1" si="1697"/>
        <v>80975</v>
      </c>
      <c r="AO1082" s="2707">
        <f t="shared" ca="1" si="1698"/>
        <v>-47059.062219999985</v>
      </c>
      <c r="AP1082" s="2708">
        <f t="shared" ca="1" si="1699"/>
        <v>0.41884455424513756</v>
      </c>
      <c r="AQ1082" s="1926">
        <f t="shared" ca="1" si="1700"/>
        <v>40980.434829999998</v>
      </c>
      <c r="AR1082" s="2707">
        <f t="shared" ca="1" si="1701"/>
        <v>-7064.4970499999836</v>
      </c>
      <c r="AS1082" s="2708">
        <f t="shared" ca="1" si="1702"/>
        <v>0.82761293091921095</v>
      </c>
      <c r="AU1082" s="1926">
        <f t="shared" ca="1" si="1703"/>
        <v>33915.937780000015</v>
      </c>
      <c r="AV1082" s="1926">
        <f t="shared" ca="1" si="1704"/>
        <v>80975</v>
      </c>
      <c r="AW1082" s="2707">
        <f t="shared" ca="1" si="1705"/>
        <v>-47059.062219999985</v>
      </c>
      <c r="AX1082" s="2708">
        <f t="shared" ca="1" si="1706"/>
        <v>0.41884455424513756</v>
      </c>
      <c r="AY1082" s="1926">
        <f t="shared" ca="1" si="1707"/>
        <v>40980.434829999998</v>
      </c>
      <c r="AZ1082" s="2707">
        <f t="shared" ca="1" si="1708"/>
        <v>-7064.4970499999836</v>
      </c>
      <c r="BA1082" s="2708">
        <f t="shared" ca="1" si="1709"/>
        <v>0.82761293091921095</v>
      </c>
      <c r="BC1082" s="1926">
        <f t="shared" ca="1" si="1710"/>
        <v>33915.937780000015</v>
      </c>
      <c r="BD1082" s="1926">
        <f t="shared" ca="1" si="1711"/>
        <v>80975</v>
      </c>
      <c r="BE1082" s="2707">
        <f t="shared" ca="1" si="1712"/>
        <v>-47059.062219999985</v>
      </c>
      <c r="BF1082" s="2708">
        <f t="shared" ca="1" si="1713"/>
        <v>0.41884455424513756</v>
      </c>
      <c r="BG1082" s="1926">
        <f t="shared" ca="1" si="1714"/>
        <v>40980.434829999998</v>
      </c>
      <c r="BH1082" s="2707">
        <f t="shared" ca="1" si="1715"/>
        <v>-7064.4970499999836</v>
      </c>
      <c r="BI1082" s="2708">
        <f t="shared" ca="1" si="1716"/>
        <v>0.82761293091921095</v>
      </c>
    </row>
    <row r="1083" spans="1:61" ht="14.5">
      <c r="A1083" s="1693">
        <f t="shared" si="1688"/>
        <v>1066</v>
      </c>
      <c r="B1083" s="616">
        <v>1</v>
      </c>
      <c r="C1083" s="1693">
        <f t="shared" si="1687"/>
        <v>1083</v>
      </c>
      <c r="D1083" s="616">
        <v>1</v>
      </c>
      <c r="E1083" s="709" t="s">
        <v>512</v>
      </c>
      <c r="F1083" s="1572"/>
      <c r="G1083" s="4"/>
      <c r="H1083" s="4"/>
      <c r="I1083" s="69"/>
      <c r="J1083" s="7" t="s">
        <v>30</v>
      </c>
      <c r="K1083" s="321"/>
      <c r="L1083" s="321"/>
      <c r="M1083" s="321"/>
      <c r="N1083" s="321"/>
      <c r="O1083" s="322"/>
      <c r="P1083" s="322"/>
      <c r="Q1083" s="874"/>
      <c r="R1083" s="1805" t="str">
        <f>CHOOSE(2, "6722000003985", "BS (1) Office")</f>
        <v>BS (1) Office</v>
      </c>
      <c r="S1083" s="1263">
        <f>SUM(S1084:S1085)</f>
        <v>556741.58400000003</v>
      </c>
      <c r="T1083" s="1263">
        <f t="shared" ref="T1083:AD1083" si="1723">SUM(T1084:T1085)</f>
        <v>519191</v>
      </c>
      <c r="U1083" s="1263">
        <f t="shared" si="1723"/>
        <v>463094.95211000001</v>
      </c>
      <c r="V1083" s="1263">
        <f t="shared" si="1723"/>
        <v>460330</v>
      </c>
      <c r="W1083" s="1263">
        <f t="shared" si="1723"/>
        <v>432359</v>
      </c>
      <c r="X1083" s="1263">
        <f t="shared" si="1723"/>
        <v>375439</v>
      </c>
      <c r="Y1083" s="1263">
        <f t="shared" si="1723"/>
        <v>451406.79203059175</v>
      </c>
      <c r="Z1083" s="1263">
        <f t="shared" si="1723"/>
        <v>482126.88534888695</v>
      </c>
      <c r="AA1083" s="1263">
        <f t="shared" si="1723"/>
        <v>432133.85306478816</v>
      </c>
      <c r="AB1083" s="1263">
        <f t="shared" si="1723"/>
        <v>417752.31623176805</v>
      </c>
      <c r="AC1083" s="1263">
        <f t="shared" si="1723"/>
        <v>441117.02070039068</v>
      </c>
      <c r="AD1083" s="1263">
        <f t="shared" si="1723"/>
        <v>382975.05378636072</v>
      </c>
      <c r="AE1083" s="914">
        <f t="shared" ref="AE1083:AK1083" si="1724">SUM(AE1084:AE1085)</f>
        <v>463094.95211000001</v>
      </c>
      <c r="AF1083" s="323">
        <f t="shared" si="1724"/>
        <v>375439</v>
      </c>
      <c r="AG1083" s="323">
        <f t="shared" si="1724"/>
        <v>432133.85306478816</v>
      </c>
      <c r="AH1083" s="323">
        <f t="shared" si="1724"/>
        <v>382975.05378636072</v>
      </c>
      <c r="AI1083" s="323">
        <f t="shared" si="1724"/>
        <v>375439</v>
      </c>
      <c r="AJ1083" s="323">
        <f t="shared" si="1724"/>
        <v>382975.05378636072</v>
      </c>
      <c r="AK1083" s="323">
        <f t="shared" si="1724"/>
        <v>382975.05378636072</v>
      </c>
      <c r="AM1083" s="2110">
        <f t="shared" ca="1" si="1696"/>
        <v>556741.58400000003</v>
      </c>
      <c r="AN1083" s="2110">
        <f t="shared" ca="1" si="1697"/>
        <v>470253</v>
      </c>
      <c r="AO1083" s="2855">
        <f t="shared" ca="1" si="1698"/>
        <v>86488.584000000032</v>
      </c>
      <c r="AP1083" s="2856">
        <f t="shared" ca="1" si="1699"/>
        <v>1.1839192604831867</v>
      </c>
      <c r="AQ1083" s="2110">
        <f t="shared" ca="1" si="1700"/>
        <v>216570</v>
      </c>
      <c r="AR1083" s="2855">
        <f t="shared" ca="1" si="1701"/>
        <v>340171.58400000003</v>
      </c>
      <c r="AS1083" s="2856">
        <f t="shared" ca="1" si="1702"/>
        <v>2.5707234797063307</v>
      </c>
      <c r="AU1083" s="2110">
        <f t="shared" ca="1" si="1703"/>
        <v>556741.58400000003</v>
      </c>
      <c r="AV1083" s="2110">
        <f t="shared" ca="1" si="1704"/>
        <v>470253</v>
      </c>
      <c r="AW1083" s="2855">
        <f t="shared" ca="1" si="1705"/>
        <v>86488.584000000032</v>
      </c>
      <c r="AX1083" s="2856">
        <f t="shared" ca="1" si="1706"/>
        <v>1.1839192604831867</v>
      </c>
      <c r="AY1083" s="2110">
        <f t="shared" ca="1" si="1707"/>
        <v>216570</v>
      </c>
      <c r="AZ1083" s="2855">
        <f t="shared" ca="1" si="1708"/>
        <v>340171.58400000003</v>
      </c>
      <c r="BA1083" s="2856">
        <f t="shared" ca="1" si="1709"/>
        <v>2.5707234797063307</v>
      </c>
      <c r="BC1083" s="2110">
        <f t="shared" ca="1" si="1710"/>
        <v>556741.58400000003</v>
      </c>
      <c r="BD1083" s="2110">
        <f t="shared" ca="1" si="1711"/>
        <v>470253</v>
      </c>
      <c r="BE1083" s="2855">
        <f t="shared" ca="1" si="1712"/>
        <v>86488.584000000032</v>
      </c>
      <c r="BF1083" s="2856">
        <f t="shared" ca="1" si="1713"/>
        <v>1.1839192604831867</v>
      </c>
      <c r="BG1083" s="2110">
        <f t="shared" ca="1" si="1714"/>
        <v>216570</v>
      </c>
      <c r="BH1083" s="2855">
        <f t="shared" ca="1" si="1715"/>
        <v>340171.58400000003</v>
      </c>
      <c r="BI1083" s="2856">
        <f t="shared" ca="1" si="1716"/>
        <v>2.5707234797063307</v>
      </c>
    </row>
    <row r="1084" spans="1:61" ht="14.5">
      <c r="A1084" s="1693">
        <f t="shared" si="1688"/>
        <v>1067</v>
      </c>
      <c r="B1084" s="616">
        <v>1</v>
      </c>
      <c r="C1084" s="1693">
        <f t="shared" si="1687"/>
        <v>1084</v>
      </c>
      <c r="D1084" s="616">
        <v>1</v>
      </c>
      <c r="E1084" s="709" t="s">
        <v>512</v>
      </c>
      <c r="F1084" s="1572"/>
      <c r="G1084" s="4"/>
      <c r="H1084" s="4"/>
      <c r="I1084" s="69"/>
      <c r="J1084" s="27"/>
      <c r="K1084" s="4"/>
      <c r="L1084" s="4"/>
      <c r="M1084" s="4"/>
      <c r="N1084" s="4"/>
      <c r="O1084" s="3" t="s">
        <v>38</v>
      </c>
      <c r="P1084" s="3"/>
      <c r="Q1084" s="3"/>
      <c r="R1084" s="1790" t="str">
        <f>CHOOSE(2, "6722000003986", "BS (1) Office Purchased from BT cons. companies")</f>
        <v>BS (1) Office Purchased from BT cons. companies</v>
      </c>
      <c r="S1084" s="1215">
        <v>545099.58400000003</v>
      </c>
      <c r="T1084" s="1215">
        <v>507900</v>
      </c>
      <c r="U1084" s="1215">
        <v>454305</v>
      </c>
      <c r="V1084" s="1215">
        <v>457237</v>
      </c>
      <c r="W1084" s="1215">
        <v>429663</v>
      </c>
      <c r="X1084" s="1215">
        <v>372745</v>
      </c>
      <c r="Y1084" s="1215">
        <v>448758.32899059175</v>
      </c>
      <c r="Z1084" s="1215">
        <v>479512.11798888695</v>
      </c>
      <c r="AA1084" s="1215">
        <v>429754.37167478813</v>
      </c>
      <c r="AB1084" s="1215">
        <v>415070.58930176805</v>
      </c>
      <c r="AC1084" s="1215">
        <v>438686.55337039067</v>
      </c>
      <c r="AD1084" s="1215">
        <v>380453.84889636072</v>
      </c>
      <c r="AE1084" s="1221">
        <f>U1084</f>
        <v>454305</v>
      </c>
      <c r="AF1084" s="1214">
        <f>X1084</f>
        <v>372745</v>
      </c>
      <c r="AG1084" s="1214">
        <f>AA1084</f>
        <v>429754.37167478813</v>
      </c>
      <c r="AH1084" s="1214">
        <f>AD1084</f>
        <v>380453.84889636072</v>
      </c>
      <c r="AI1084" s="1214">
        <f>AF1084</f>
        <v>372745</v>
      </c>
      <c r="AJ1084" s="1214">
        <f>AH1084</f>
        <v>380453.84889636072</v>
      </c>
      <c r="AK1084" s="1214">
        <f>AJ1084</f>
        <v>380453.84889636072</v>
      </c>
      <c r="AM1084" s="596">
        <f t="shared" ca="1" si="1696"/>
        <v>545099.58400000003</v>
      </c>
      <c r="AN1084" s="596">
        <f t="shared" ca="1" si="1697"/>
        <v>465482</v>
      </c>
      <c r="AO1084" s="2956">
        <f t="shared" ca="1" si="1698"/>
        <v>79617.584000000032</v>
      </c>
      <c r="AP1084" s="2957">
        <f t="shared" ca="1" si="1699"/>
        <v>1.1710433142420116</v>
      </c>
      <c r="AQ1084" s="596">
        <f t="shared" ca="1" si="1700"/>
        <v>214437</v>
      </c>
      <c r="AR1084" s="2956">
        <f t="shared" ca="1" si="1701"/>
        <v>330662.58400000003</v>
      </c>
      <c r="AS1084" s="2957">
        <f t="shared" ca="1" si="1702"/>
        <v>2.5420034042632569</v>
      </c>
      <c r="AU1084" s="596">
        <f t="shared" ca="1" si="1703"/>
        <v>545099.58400000003</v>
      </c>
      <c r="AV1084" s="596">
        <f t="shared" ca="1" si="1704"/>
        <v>465482</v>
      </c>
      <c r="AW1084" s="2956">
        <f t="shared" ca="1" si="1705"/>
        <v>79617.584000000032</v>
      </c>
      <c r="AX1084" s="2957">
        <f t="shared" ca="1" si="1706"/>
        <v>1.1710433142420116</v>
      </c>
      <c r="AY1084" s="596">
        <f t="shared" ca="1" si="1707"/>
        <v>214437</v>
      </c>
      <c r="AZ1084" s="2956">
        <f t="shared" ca="1" si="1708"/>
        <v>330662.58400000003</v>
      </c>
      <c r="BA1084" s="2957">
        <f t="shared" ca="1" si="1709"/>
        <v>2.5420034042632569</v>
      </c>
      <c r="BC1084" s="596">
        <f t="shared" ca="1" si="1710"/>
        <v>545099.58400000003</v>
      </c>
      <c r="BD1084" s="596">
        <f t="shared" ca="1" si="1711"/>
        <v>465482</v>
      </c>
      <c r="BE1084" s="2956">
        <f t="shared" ca="1" si="1712"/>
        <v>79617.584000000032</v>
      </c>
      <c r="BF1084" s="2957">
        <f t="shared" ca="1" si="1713"/>
        <v>1.1710433142420116</v>
      </c>
      <c r="BG1084" s="596">
        <f t="shared" ca="1" si="1714"/>
        <v>214437</v>
      </c>
      <c r="BH1084" s="2956">
        <f t="shared" ca="1" si="1715"/>
        <v>330662.58400000003</v>
      </c>
      <c r="BI1084" s="2957">
        <f t="shared" ca="1" si="1716"/>
        <v>2.5420034042632569</v>
      </c>
    </row>
    <row r="1085" spans="1:61" ht="14.5">
      <c r="A1085" s="1693">
        <f t="shared" si="1688"/>
        <v>1068</v>
      </c>
      <c r="B1085" s="616">
        <v>1</v>
      </c>
      <c r="C1085" s="1693">
        <f t="shared" si="1687"/>
        <v>1085</v>
      </c>
      <c r="D1085" s="616">
        <v>1</v>
      </c>
      <c r="E1085" s="709" t="s">
        <v>512</v>
      </c>
      <c r="F1085" s="1572"/>
      <c r="G1085" s="4"/>
      <c r="H1085" s="4"/>
      <c r="I1085" s="69"/>
      <c r="J1085" s="25"/>
      <c r="K1085" s="4"/>
      <c r="L1085" s="4"/>
      <c r="M1085" s="4"/>
      <c r="N1085" s="4"/>
      <c r="O1085" s="3" t="s">
        <v>125</v>
      </c>
      <c r="P1085" s="3"/>
      <c r="Q1085" s="3"/>
      <c r="R1085" s="1790" t="str">
        <f>CHOOSE(2, "6722000003987", "BS (1) Office 3rd Party")</f>
        <v>BS (1) Office 3rd Party</v>
      </c>
      <c r="S1085" s="1215">
        <v>11642</v>
      </c>
      <c r="T1085" s="1215">
        <v>11291</v>
      </c>
      <c r="U1085" s="1215">
        <v>8789.9521100000038</v>
      </c>
      <c r="V1085" s="1215">
        <v>3093</v>
      </c>
      <c r="W1085" s="1215">
        <v>2696</v>
      </c>
      <c r="X1085" s="1215">
        <v>2694</v>
      </c>
      <c r="Y1085" s="1215">
        <v>2648.4630400000028</v>
      </c>
      <c r="Z1085" s="1215">
        <v>2614.767360000003</v>
      </c>
      <c r="AA1085" s="1215">
        <v>2379.4813900000022</v>
      </c>
      <c r="AB1085" s="1215">
        <v>2681.7269300000021</v>
      </c>
      <c r="AC1085" s="1215">
        <v>2430.4673300000018</v>
      </c>
      <c r="AD1085" s="1215">
        <v>2521.2048900000018</v>
      </c>
      <c r="AE1085" s="1221">
        <f>U1085</f>
        <v>8789.9521100000038</v>
      </c>
      <c r="AF1085" s="1214">
        <f>X1085</f>
        <v>2694</v>
      </c>
      <c r="AG1085" s="1214">
        <f>AA1085</f>
        <v>2379.4813900000022</v>
      </c>
      <c r="AH1085" s="1214">
        <f>AD1085</f>
        <v>2521.2048900000018</v>
      </c>
      <c r="AI1085" s="1214">
        <f>AF1085</f>
        <v>2694</v>
      </c>
      <c r="AJ1085" s="1214">
        <f>AH1085</f>
        <v>2521.2048900000018</v>
      </c>
      <c r="AK1085" s="1214">
        <f>AJ1085</f>
        <v>2521.2048900000018</v>
      </c>
      <c r="AM1085" s="596">
        <f t="shared" ca="1" si="1696"/>
        <v>11642</v>
      </c>
      <c r="AN1085" s="596">
        <f t="shared" ca="1" si="1697"/>
        <v>4771</v>
      </c>
      <c r="AO1085" s="2956">
        <f t="shared" ca="1" si="1698"/>
        <v>6871</v>
      </c>
      <c r="AP1085" s="2957">
        <f t="shared" ca="1" si="1699"/>
        <v>2.440159295745127</v>
      </c>
      <c r="AQ1085" s="596">
        <f t="shared" ca="1" si="1700"/>
        <v>2133</v>
      </c>
      <c r="AR1085" s="2956">
        <f t="shared" ca="1" si="1701"/>
        <v>9509</v>
      </c>
      <c r="AS1085" s="2957">
        <f t="shared" ca="1" si="1702"/>
        <v>5.4580403187998128</v>
      </c>
      <c r="AU1085" s="596">
        <f t="shared" ca="1" si="1703"/>
        <v>11642</v>
      </c>
      <c r="AV1085" s="596">
        <f t="shared" ca="1" si="1704"/>
        <v>4771</v>
      </c>
      <c r="AW1085" s="2956">
        <f t="shared" ca="1" si="1705"/>
        <v>6871</v>
      </c>
      <c r="AX1085" s="2957">
        <f t="shared" ca="1" si="1706"/>
        <v>2.440159295745127</v>
      </c>
      <c r="AY1085" s="596">
        <f t="shared" ca="1" si="1707"/>
        <v>2133</v>
      </c>
      <c r="AZ1085" s="2956">
        <f t="shared" ca="1" si="1708"/>
        <v>9509</v>
      </c>
      <c r="BA1085" s="2957">
        <f t="shared" ca="1" si="1709"/>
        <v>5.4580403187998128</v>
      </c>
      <c r="BC1085" s="596">
        <f t="shared" ca="1" si="1710"/>
        <v>11642</v>
      </c>
      <c r="BD1085" s="596">
        <f t="shared" ca="1" si="1711"/>
        <v>4771</v>
      </c>
      <c r="BE1085" s="2956">
        <f t="shared" ca="1" si="1712"/>
        <v>6871</v>
      </c>
      <c r="BF1085" s="2957">
        <f t="shared" ca="1" si="1713"/>
        <v>2.440159295745127</v>
      </c>
      <c r="BG1085" s="596">
        <f t="shared" ca="1" si="1714"/>
        <v>2133</v>
      </c>
      <c r="BH1085" s="2956">
        <f t="shared" ca="1" si="1715"/>
        <v>9509</v>
      </c>
      <c r="BI1085" s="2957">
        <f t="shared" ca="1" si="1716"/>
        <v>5.4580403187998128</v>
      </c>
    </row>
    <row r="1086" spans="1:61" ht="14.5">
      <c r="A1086" s="1693">
        <f t="shared" si="1688"/>
        <v>1069</v>
      </c>
      <c r="B1086" s="616">
        <v>1</v>
      </c>
      <c r="C1086" s="1693">
        <f t="shared" si="1687"/>
        <v>1086</v>
      </c>
      <c r="D1086" s="616">
        <v>1</v>
      </c>
      <c r="E1086" s="709" t="s">
        <v>512</v>
      </c>
      <c r="F1086" s="1572"/>
      <c r="G1086" s="4"/>
      <c r="H1086" s="4"/>
      <c r="I1086" s="69"/>
      <c r="J1086" s="6" t="s">
        <v>283</v>
      </c>
      <c r="K1086" s="318"/>
      <c r="L1086" s="318"/>
      <c r="M1086" s="318"/>
      <c r="N1086" s="318"/>
      <c r="O1086" s="319"/>
      <c r="P1086" s="319"/>
      <c r="Q1086" s="706"/>
      <c r="R1086" s="1806" t="str">
        <f>CHOOSE(2, "6722000003988", "BS (2) PP")</f>
        <v>BS (2) PP</v>
      </c>
      <c r="S1086" s="1262">
        <f>SUM(S1087:S1088)</f>
        <v>1093970.138</v>
      </c>
      <c r="T1086" s="1262">
        <f t="shared" ref="T1086:AD1086" si="1725">SUM(T1087:T1088)</f>
        <v>1064903.6405148525</v>
      </c>
      <c r="U1086" s="1262">
        <f t="shared" si="1725"/>
        <v>1140919.1583441261</v>
      </c>
      <c r="V1086" s="1262">
        <f t="shared" si="1725"/>
        <v>1158488.7964292089</v>
      </c>
      <c r="W1086" s="1262">
        <f t="shared" si="1725"/>
        <v>1039889.5292474666</v>
      </c>
      <c r="X1086" s="1262">
        <f t="shared" si="1725"/>
        <v>888179.45809538336</v>
      </c>
      <c r="Y1086" s="1262">
        <f t="shared" si="1725"/>
        <v>998293.06501941266</v>
      </c>
      <c r="Z1086" s="1262">
        <f t="shared" si="1725"/>
        <v>1065731.8421811166</v>
      </c>
      <c r="AA1086" s="1262">
        <f t="shared" si="1725"/>
        <v>1077099.6518152154</v>
      </c>
      <c r="AB1086" s="1262">
        <f t="shared" si="1725"/>
        <v>1089466.6695882373</v>
      </c>
      <c r="AC1086" s="1262">
        <f t="shared" si="1725"/>
        <v>1112665.9608796134</v>
      </c>
      <c r="AD1086" s="1262">
        <f t="shared" si="1725"/>
        <v>1140336.4999633511</v>
      </c>
      <c r="AE1086" s="915">
        <f t="shared" ref="AE1086:AK1086" si="1726">SUM(AE1087:AE1088)</f>
        <v>1140919.1583441261</v>
      </c>
      <c r="AF1086" s="320">
        <f t="shared" si="1726"/>
        <v>888179.45809538336</v>
      </c>
      <c r="AG1086" s="320">
        <f t="shared" si="1726"/>
        <v>1077099.6518152154</v>
      </c>
      <c r="AH1086" s="320">
        <f t="shared" si="1726"/>
        <v>1140336.4999633511</v>
      </c>
      <c r="AI1086" s="320">
        <f t="shared" si="1726"/>
        <v>888179.45809538336</v>
      </c>
      <c r="AJ1086" s="320">
        <f t="shared" si="1726"/>
        <v>1140336.4999633511</v>
      </c>
      <c r="AK1086" s="320">
        <f t="shared" si="1726"/>
        <v>1140336.4999633511</v>
      </c>
      <c r="AM1086" s="2115">
        <f t="shared" ca="1" si="1696"/>
        <v>1093970.138</v>
      </c>
      <c r="AN1086" s="2115">
        <f t="shared" ca="1" si="1697"/>
        <v>1283738</v>
      </c>
      <c r="AO1086" s="2958">
        <f t="shared" ca="1" si="1698"/>
        <v>-189767.86199999996</v>
      </c>
      <c r="AP1086" s="2959">
        <f t="shared" ca="1" si="1699"/>
        <v>0.85217555139755929</v>
      </c>
      <c r="AQ1086" s="2115">
        <f t="shared" ca="1" si="1700"/>
        <v>711417.44212309434</v>
      </c>
      <c r="AR1086" s="2958">
        <f t="shared" ca="1" si="1701"/>
        <v>382552.69587690569</v>
      </c>
      <c r="AS1086" s="2959">
        <f t="shared" ca="1" si="1702"/>
        <v>1.5377330850017503</v>
      </c>
      <c r="AU1086" s="2115">
        <f t="shared" ca="1" si="1703"/>
        <v>1093970.138</v>
      </c>
      <c r="AV1086" s="2115">
        <f t="shared" ca="1" si="1704"/>
        <v>1283738</v>
      </c>
      <c r="AW1086" s="2958">
        <f t="shared" ca="1" si="1705"/>
        <v>-189767.86199999996</v>
      </c>
      <c r="AX1086" s="2959">
        <f t="shared" ca="1" si="1706"/>
        <v>0.85217555139755929</v>
      </c>
      <c r="AY1086" s="2115">
        <f t="shared" ca="1" si="1707"/>
        <v>711417.44212309434</v>
      </c>
      <c r="AZ1086" s="2958">
        <f t="shared" ca="1" si="1708"/>
        <v>382552.69587690569</v>
      </c>
      <c r="BA1086" s="2959">
        <f t="shared" ca="1" si="1709"/>
        <v>1.5377330850017503</v>
      </c>
      <c r="BC1086" s="2115">
        <f t="shared" ca="1" si="1710"/>
        <v>1093970.138</v>
      </c>
      <c r="BD1086" s="2115">
        <f t="shared" ca="1" si="1711"/>
        <v>1283738</v>
      </c>
      <c r="BE1086" s="2958">
        <f t="shared" ca="1" si="1712"/>
        <v>-189767.86199999996</v>
      </c>
      <c r="BF1086" s="2959">
        <f t="shared" ca="1" si="1713"/>
        <v>0.85217555139755929</v>
      </c>
      <c r="BG1086" s="2115">
        <f t="shared" ca="1" si="1714"/>
        <v>711417.44212309434</v>
      </c>
      <c r="BH1086" s="2958">
        <f t="shared" ca="1" si="1715"/>
        <v>382552.69587690569</v>
      </c>
      <c r="BI1086" s="2959">
        <f t="shared" ca="1" si="1716"/>
        <v>1.5377330850017503</v>
      </c>
    </row>
    <row r="1087" spans="1:61" ht="14.5">
      <c r="A1087" s="1693">
        <f t="shared" si="1688"/>
        <v>1070</v>
      </c>
      <c r="B1087" s="616">
        <v>1</v>
      </c>
      <c r="C1087" s="1693">
        <f t="shared" ref="C1087:D1102" si="1727">C1086+1</f>
        <v>1087</v>
      </c>
      <c r="D1087" s="616">
        <v>1</v>
      </c>
      <c r="E1087" s="709" t="s">
        <v>512</v>
      </c>
      <c r="F1087" s="1572"/>
      <c r="G1087" s="4"/>
      <c r="H1087" s="4"/>
      <c r="I1087" s="69"/>
      <c r="J1087" s="27"/>
      <c r="K1087" s="4"/>
      <c r="L1087" s="4"/>
      <c r="M1087" s="4"/>
      <c r="N1087" s="4"/>
      <c r="O1087" s="3" t="s">
        <v>38</v>
      </c>
      <c r="P1087" s="3"/>
      <c r="Q1087" s="3"/>
      <c r="R1087" s="1790" t="str">
        <f>CHOOSE(2, "6722000003989", "BS (2) PP Purchased from BT cons. companies")</f>
        <v>BS (2) PP Purchased from BT cons. companies</v>
      </c>
      <c r="S1087" s="1215">
        <f>1090883.20022-7539</f>
        <v>1083344.20022</v>
      </c>
      <c r="T1087" s="1215">
        <v>1053852.3498548525</v>
      </c>
      <c r="U1087" s="1215">
        <v>1131634.6216041259</v>
      </c>
      <c r="V1087" s="1215">
        <v>1152437.4232892089</v>
      </c>
      <c r="W1087" s="1215">
        <v>1034941.6954474666</v>
      </c>
      <c r="X1087" s="1215">
        <v>884895.45809538336</v>
      </c>
      <c r="Y1087" s="1215">
        <v>992728.3906594126</v>
      </c>
      <c r="Z1087" s="1215">
        <v>1061550.8498811165</v>
      </c>
      <c r="AA1087" s="1215">
        <v>1072567.8317852153</v>
      </c>
      <c r="AB1087" s="1215">
        <v>1082134.5929882373</v>
      </c>
      <c r="AC1087" s="1215">
        <v>1106621.5216496135</v>
      </c>
      <c r="AD1087" s="1215">
        <v>1133482.1064633511</v>
      </c>
      <c r="AE1087" s="1221">
        <f>U1087</f>
        <v>1131634.6216041259</v>
      </c>
      <c r="AF1087" s="1214">
        <f>X1087</f>
        <v>884895.45809538336</v>
      </c>
      <c r="AG1087" s="1214">
        <f>AA1087</f>
        <v>1072567.8317852153</v>
      </c>
      <c r="AH1087" s="1214">
        <f>AD1087</f>
        <v>1133482.1064633511</v>
      </c>
      <c r="AI1087" s="1214">
        <f>AF1087</f>
        <v>884895.45809538336</v>
      </c>
      <c r="AJ1087" s="1214">
        <f>AH1087</f>
        <v>1133482.1064633511</v>
      </c>
      <c r="AK1087" s="1214">
        <f>AJ1087</f>
        <v>1133482.1064633511</v>
      </c>
      <c r="AM1087" s="596">
        <f t="shared" ca="1" si="1696"/>
        <v>1083344.20022</v>
      </c>
      <c r="AN1087" s="596">
        <f t="shared" ca="1" si="1697"/>
        <v>1221171</v>
      </c>
      <c r="AO1087" s="2956">
        <f t="shared" ca="1" si="1698"/>
        <v>-137826.79978</v>
      </c>
      <c r="AP1087" s="2957">
        <f t="shared" ca="1" si="1699"/>
        <v>0.88713554466982925</v>
      </c>
      <c r="AQ1087" s="596">
        <f t="shared" ca="1" si="1700"/>
        <v>680613.0072930943</v>
      </c>
      <c r="AR1087" s="2956">
        <f t="shared" ca="1" si="1701"/>
        <v>402731.1929269057</v>
      </c>
      <c r="AS1087" s="2957">
        <f t="shared" ca="1" si="1702"/>
        <v>1.5917183312858381</v>
      </c>
      <c r="AU1087" s="596">
        <f t="shared" ca="1" si="1703"/>
        <v>1083344.20022</v>
      </c>
      <c r="AV1087" s="596">
        <f t="shared" ca="1" si="1704"/>
        <v>1221171</v>
      </c>
      <c r="AW1087" s="2956">
        <f t="shared" ca="1" si="1705"/>
        <v>-137826.79978</v>
      </c>
      <c r="AX1087" s="2957">
        <f t="shared" ca="1" si="1706"/>
        <v>0.88713554466982925</v>
      </c>
      <c r="AY1087" s="596">
        <f t="shared" ca="1" si="1707"/>
        <v>680613.0072930943</v>
      </c>
      <c r="AZ1087" s="2956">
        <f t="shared" ca="1" si="1708"/>
        <v>402731.1929269057</v>
      </c>
      <c r="BA1087" s="2957">
        <f t="shared" ca="1" si="1709"/>
        <v>1.5917183312858381</v>
      </c>
      <c r="BC1087" s="596">
        <f t="shared" ca="1" si="1710"/>
        <v>1083344.20022</v>
      </c>
      <c r="BD1087" s="596">
        <f t="shared" ca="1" si="1711"/>
        <v>1221171</v>
      </c>
      <c r="BE1087" s="2956">
        <f t="shared" ca="1" si="1712"/>
        <v>-137826.79978</v>
      </c>
      <c r="BF1087" s="2957">
        <f t="shared" ca="1" si="1713"/>
        <v>0.88713554466982925</v>
      </c>
      <c r="BG1087" s="596">
        <f t="shared" ca="1" si="1714"/>
        <v>680613.0072930943</v>
      </c>
      <c r="BH1087" s="2956">
        <f t="shared" ca="1" si="1715"/>
        <v>402731.1929269057</v>
      </c>
      <c r="BI1087" s="2957">
        <f t="shared" ca="1" si="1716"/>
        <v>1.5917183312858381</v>
      </c>
    </row>
    <row r="1088" spans="1:61" ht="14.5">
      <c r="A1088" s="1693">
        <f t="shared" si="1688"/>
        <v>1071</v>
      </c>
      <c r="B1088" s="616">
        <v>1</v>
      </c>
      <c r="C1088" s="1693">
        <f t="shared" si="1727"/>
        <v>1088</v>
      </c>
      <c r="D1088" s="616">
        <v>1</v>
      </c>
      <c r="E1088" s="709" t="s">
        <v>512</v>
      </c>
      <c r="F1088" s="1572"/>
      <c r="G1088" s="4"/>
      <c r="H1088" s="4"/>
      <c r="I1088" s="69"/>
      <c r="J1088" s="25"/>
      <c r="K1088" s="4"/>
      <c r="L1088" s="4"/>
      <c r="M1088" s="4"/>
      <c r="N1088" s="4"/>
      <c r="O1088" s="3" t="s">
        <v>125</v>
      </c>
      <c r="P1088" s="3"/>
      <c r="Q1088" s="3"/>
      <c r="R1088" s="1790" t="str">
        <f>CHOOSE(2, "6722000003990", "BS (2) PP 3rd Party")</f>
        <v>BS (2) PP 3rd Party</v>
      </c>
      <c r="S1088" s="1215">
        <v>10625.937780000017</v>
      </c>
      <c r="T1088" s="1215">
        <v>11051.290660000004</v>
      </c>
      <c r="U1088" s="1215">
        <v>9284.5367400000159</v>
      </c>
      <c r="V1088" s="1215">
        <v>6051.3731400000152</v>
      </c>
      <c r="W1088" s="1215">
        <v>4947.8338000000122</v>
      </c>
      <c r="X1088" s="1215">
        <v>3284</v>
      </c>
      <c r="Y1088" s="1215">
        <v>5564.6743600000145</v>
      </c>
      <c r="Z1088" s="1215">
        <v>4180.9923000000081</v>
      </c>
      <c r="AA1088" s="1215">
        <v>4531.8200300000162</v>
      </c>
      <c r="AB1088" s="1215">
        <v>7332.0766000000121</v>
      </c>
      <c r="AC1088" s="1215">
        <v>6044.4392300000172</v>
      </c>
      <c r="AD1088" s="1215">
        <v>6854.3935000000201</v>
      </c>
      <c r="AE1088" s="1221">
        <f>U1088</f>
        <v>9284.5367400000159</v>
      </c>
      <c r="AF1088" s="1214">
        <f>X1088</f>
        <v>3284</v>
      </c>
      <c r="AG1088" s="1214">
        <f>AA1088</f>
        <v>4531.8200300000162</v>
      </c>
      <c r="AH1088" s="1214">
        <f>AD1088</f>
        <v>6854.3935000000201</v>
      </c>
      <c r="AI1088" s="1214">
        <f>AF1088</f>
        <v>3284</v>
      </c>
      <c r="AJ1088" s="1214">
        <f>AH1088</f>
        <v>6854.3935000000201</v>
      </c>
      <c r="AK1088" s="1214">
        <f>AJ1088</f>
        <v>6854.3935000000201</v>
      </c>
      <c r="AM1088" s="596">
        <f t="shared" ca="1" si="1696"/>
        <v>10625.937780000017</v>
      </c>
      <c r="AN1088" s="596">
        <f t="shared" ca="1" si="1697"/>
        <v>62567</v>
      </c>
      <c r="AO1088" s="2956">
        <f t="shared" ca="1" si="1698"/>
        <v>-51941.062219999985</v>
      </c>
      <c r="AP1088" s="2957">
        <f t="shared" ca="1" si="1699"/>
        <v>0.16983294356449913</v>
      </c>
      <c r="AQ1088" s="596">
        <f t="shared" ca="1" si="1700"/>
        <v>30804.434830000002</v>
      </c>
      <c r="AR1088" s="2956">
        <f t="shared" ca="1" si="1701"/>
        <v>-20178.497049999984</v>
      </c>
      <c r="AS1088" s="2957">
        <f t="shared" ca="1" si="1702"/>
        <v>0.34494831145714017</v>
      </c>
      <c r="AU1088" s="596">
        <f t="shared" ca="1" si="1703"/>
        <v>10625.937780000017</v>
      </c>
      <c r="AV1088" s="596">
        <f t="shared" ca="1" si="1704"/>
        <v>62567</v>
      </c>
      <c r="AW1088" s="2956">
        <f t="shared" ca="1" si="1705"/>
        <v>-51941.062219999985</v>
      </c>
      <c r="AX1088" s="2957">
        <f t="shared" ca="1" si="1706"/>
        <v>0.16983294356449913</v>
      </c>
      <c r="AY1088" s="596">
        <f t="shared" ca="1" si="1707"/>
        <v>30804.434830000002</v>
      </c>
      <c r="AZ1088" s="2956">
        <f t="shared" ca="1" si="1708"/>
        <v>-20178.497049999984</v>
      </c>
      <c r="BA1088" s="2957">
        <f t="shared" ca="1" si="1709"/>
        <v>0.34494831145714017</v>
      </c>
      <c r="BC1088" s="596">
        <f t="shared" ca="1" si="1710"/>
        <v>10625.937780000017</v>
      </c>
      <c r="BD1088" s="596">
        <f t="shared" ca="1" si="1711"/>
        <v>62567</v>
      </c>
      <c r="BE1088" s="2956">
        <f t="shared" ca="1" si="1712"/>
        <v>-51941.062219999985</v>
      </c>
      <c r="BF1088" s="2957">
        <f t="shared" ca="1" si="1713"/>
        <v>0.16983294356449913</v>
      </c>
      <c r="BG1088" s="596">
        <f t="shared" ca="1" si="1714"/>
        <v>30804.434830000002</v>
      </c>
      <c r="BH1088" s="2956">
        <f t="shared" ca="1" si="1715"/>
        <v>-20178.497049999984</v>
      </c>
      <c r="BI1088" s="2957">
        <f t="shared" ca="1" si="1716"/>
        <v>0.34494831145714017</v>
      </c>
    </row>
    <row r="1089" spans="1:61" ht="14.5">
      <c r="A1089" s="1693">
        <f t="shared" si="1688"/>
        <v>1072</v>
      </c>
      <c r="B1089" s="616">
        <v>1</v>
      </c>
      <c r="C1089" s="1693">
        <f t="shared" si="1727"/>
        <v>1089</v>
      </c>
      <c r="D1089" s="616">
        <v>1</v>
      </c>
      <c r="E1089" s="709" t="s">
        <v>512</v>
      </c>
      <c r="F1089" s="1572"/>
      <c r="G1089" s="4"/>
      <c r="H1089" s="4"/>
      <c r="I1089" s="69"/>
      <c r="J1089" s="365" t="s">
        <v>284</v>
      </c>
      <c r="K1089" s="356"/>
      <c r="L1089" s="356"/>
      <c r="M1089" s="356"/>
      <c r="N1089" s="356"/>
      <c r="O1089" s="357"/>
      <c r="P1089" s="357"/>
      <c r="Q1089" s="489"/>
      <c r="R1089" s="1795" t="str">
        <f>CHOOSE(2, "6722000003991", "BS (3) IP")</f>
        <v>BS (3) IP</v>
      </c>
      <c r="S1089" s="1269">
        <f>SUM(S1090:S1092)</f>
        <v>75462</v>
      </c>
      <c r="T1089" s="1269">
        <f t="shared" ref="T1089:AD1089" si="1728">SUM(T1090:T1092)</f>
        <v>95077.759729999991</v>
      </c>
      <c r="U1089" s="1269">
        <f t="shared" si="1728"/>
        <v>77880</v>
      </c>
      <c r="V1089" s="1269">
        <f t="shared" si="1728"/>
        <v>60489.176039999998</v>
      </c>
      <c r="W1089" s="1269">
        <f t="shared" si="1728"/>
        <v>62758</v>
      </c>
      <c r="X1089" s="1269">
        <f t="shared" si="1728"/>
        <v>59493</v>
      </c>
      <c r="Y1089" s="1269">
        <f t="shared" si="1728"/>
        <v>49468.342839999939</v>
      </c>
      <c r="Z1089" s="1269">
        <f t="shared" si="1728"/>
        <v>51795.140389999964</v>
      </c>
      <c r="AA1089" s="1269">
        <f t="shared" si="1728"/>
        <v>39762.349299999885</v>
      </c>
      <c r="AB1089" s="1269">
        <f t="shared" si="1728"/>
        <v>55407.077559999918</v>
      </c>
      <c r="AC1089" s="1269">
        <f t="shared" si="1728"/>
        <v>79172.560919999902</v>
      </c>
      <c r="AD1089" s="1269">
        <f t="shared" si="1728"/>
        <v>63812.380000000005</v>
      </c>
      <c r="AE1089" s="905">
        <f t="shared" ref="AE1089:AK1089" si="1729">SUM(AE1090:AE1092)</f>
        <v>77880</v>
      </c>
      <c r="AF1089" s="358">
        <f t="shared" si="1729"/>
        <v>59493</v>
      </c>
      <c r="AG1089" s="358">
        <f t="shared" si="1729"/>
        <v>39762.349299999885</v>
      </c>
      <c r="AH1089" s="358">
        <f t="shared" si="1729"/>
        <v>63812.380000000005</v>
      </c>
      <c r="AI1089" s="358">
        <f t="shared" si="1729"/>
        <v>59493</v>
      </c>
      <c r="AJ1089" s="358">
        <f t="shared" si="1729"/>
        <v>63812.380000000005</v>
      </c>
      <c r="AK1089" s="358">
        <f t="shared" si="1729"/>
        <v>63812.380000000005</v>
      </c>
      <c r="AM1089" s="2287">
        <f t="shared" ca="1" si="1696"/>
        <v>75462</v>
      </c>
      <c r="AN1089" s="2287">
        <f t="shared" ca="1" si="1697"/>
        <v>91578</v>
      </c>
      <c r="AO1089" s="2918">
        <f t="shared" ca="1" si="1698"/>
        <v>-16116</v>
      </c>
      <c r="AP1089" s="2919">
        <f t="shared" ca="1" si="1699"/>
        <v>0.82401886916071543</v>
      </c>
      <c r="AQ1089" s="2287">
        <f t="shared" ca="1" si="1700"/>
        <v>38764</v>
      </c>
      <c r="AR1089" s="2918">
        <f t="shared" ca="1" si="1701"/>
        <v>36698</v>
      </c>
      <c r="AS1089" s="2919">
        <f t="shared" ca="1" si="1702"/>
        <v>1.9467031266123207</v>
      </c>
      <c r="AU1089" s="2287">
        <f t="shared" ca="1" si="1703"/>
        <v>75462</v>
      </c>
      <c r="AV1089" s="2287">
        <f t="shared" ca="1" si="1704"/>
        <v>91578</v>
      </c>
      <c r="AW1089" s="2918">
        <f t="shared" ca="1" si="1705"/>
        <v>-16116</v>
      </c>
      <c r="AX1089" s="2919">
        <f t="shared" ca="1" si="1706"/>
        <v>0.82401886916071543</v>
      </c>
      <c r="AY1089" s="2287">
        <f t="shared" ca="1" si="1707"/>
        <v>38764</v>
      </c>
      <c r="AZ1089" s="2918">
        <f t="shared" ca="1" si="1708"/>
        <v>36698</v>
      </c>
      <c r="BA1089" s="2919">
        <f t="shared" ca="1" si="1709"/>
        <v>1.9467031266123207</v>
      </c>
      <c r="BC1089" s="2287">
        <f t="shared" ca="1" si="1710"/>
        <v>75462</v>
      </c>
      <c r="BD1089" s="2287">
        <f t="shared" ca="1" si="1711"/>
        <v>91578</v>
      </c>
      <c r="BE1089" s="2918">
        <f t="shared" ca="1" si="1712"/>
        <v>-16116</v>
      </c>
      <c r="BF1089" s="2919">
        <f t="shared" ca="1" si="1713"/>
        <v>0.82401886916071543</v>
      </c>
      <c r="BG1089" s="2287">
        <f t="shared" ca="1" si="1714"/>
        <v>38764</v>
      </c>
      <c r="BH1089" s="2918">
        <f t="shared" ca="1" si="1715"/>
        <v>36698</v>
      </c>
      <c r="BI1089" s="2919">
        <f t="shared" ca="1" si="1716"/>
        <v>1.9467031266123207</v>
      </c>
    </row>
    <row r="1090" spans="1:61" ht="14.5">
      <c r="A1090" s="1693">
        <f t="shared" si="1688"/>
        <v>1073</v>
      </c>
      <c r="B1090" s="616">
        <v>1</v>
      </c>
      <c r="C1090" s="1693">
        <f t="shared" si="1727"/>
        <v>1090</v>
      </c>
      <c r="D1090" s="616">
        <v>1</v>
      </c>
      <c r="E1090" s="709" t="s">
        <v>512</v>
      </c>
      <c r="F1090" s="1572"/>
      <c r="G1090" s="4"/>
      <c r="H1090" s="4"/>
      <c r="I1090" s="69"/>
      <c r="J1090" s="27"/>
      <c r="K1090" s="4"/>
      <c r="L1090" s="4"/>
      <c r="M1090" s="4"/>
      <c r="N1090" s="4"/>
      <c r="O1090" s="3" t="s">
        <v>259</v>
      </c>
      <c r="P1090" s="3"/>
      <c r="Q1090" s="3"/>
      <c r="R1090" s="1790" t="str">
        <f>CHOOSE(2, "6722000003992", "BS (3) IP P BT &lt;exclude MGI&gt;")</f>
        <v>BS (3) IP P BT &lt;exclude MGI&gt;</v>
      </c>
      <c r="S1090" s="1215">
        <v>42778</v>
      </c>
      <c r="T1090" s="1215">
        <v>77849.414409999998</v>
      </c>
      <c r="U1090" s="1215">
        <v>61234</v>
      </c>
      <c r="V1090" s="1215">
        <v>51793</v>
      </c>
      <c r="W1090" s="1215">
        <v>53299</v>
      </c>
      <c r="X1090" s="1215">
        <v>43639</v>
      </c>
      <c r="Y1090" s="1215">
        <v>38391.687159999943</v>
      </c>
      <c r="Z1090" s="1215">
        <v>42205.233729999964</v>
      </c>
      <c r="AA1090" s="1215">
        <v>32304.072299999883</v>
      </c>
      <c r="AB1090" s="1215">
        <v>41303.365559999918</v>
      </c>
      <c r="AC1090" s="1215">
        <v>66223.471919999894</v>
      </c>
      <c r="AD1090" s="1215">
        <v>54496</v>
      </c>
      <c r="AE1090" s="1221">
        <f>U1090</f>
        <v>61234</v>
      </c>
      <c r="AF1090" s="1214">
        <f>X1090</f>
        <v>43639</v>
      </c>
      <c r="AG1090" s="1214">
        <f>AA1090</f>
        <v>32304.072299999883</v>
      </c>
      <c r="AH1090" s="1214">
        <f>AD1090</f>
        <v>54496</v>
      </c>
      <c r="AI1090" s="1214">
        <f>AF1090</f>
        <v>43639</v>
      </c>
      <c r="AJ1090" s="1214">
        <f>AH1090</f>
        <v>54496</v>
      </c>
      <c r="AK1090" s="1214">
        <f>AJ1090</f>
        <v>54496</v>
      </c>
      <c r="AM1090" s="596">
        <f t="shared" ca="1" si="1696"/>
        <v>42778</v>
      </c>
      <c r="AN1090" s="596">
        <f t="shared" ca="1" si="1697"/>
        <v>59555</v>
      </c>
      <c r="AO1090" s="2956">
        <f t="shared" ca="1" si="1698"/>
        <v>-16777</v>
      </c>
      <c r="AP1090" s="2957">
        <f t="shared" ca="1" si="1699"/>
        <v>0.71829401393669712</v>
      </c>
      <c r="AQ1090" s="596">
        <f t="shared" ca="1" si="1700"/>
        <v>17212</v>
      </c>
      <c r="AR1090" s="2956">
        <f t="shared" ca="1" si="1701"/>
        <v>25566</v>
      </c>
      <c r="AS1090" s="2957">
        <f t="shared" ca="1" si="1702"/>
        <v>2.4853590518243087</v>
      </c>
      <c r="AU1090" s="596">
        <f t="shared" ca="1" si="1703"/>
        <v>42778</v>
      </c>
      <c r="AV1090" s="596">
        <f t="shared" ca="1" si="1704"/>
        <v>59555</v>
      </c>
      <c r="AW1090" s="2956">
        <f t="shared" ca="1" si="1705"/>
        <v>-16777</v>
      </c>
      <c r="AX1090" s="2957">
        <f t="shared" ca="1" si="1706"/>
        <v>0.71829401393669712</v>
      </c>
      <c r="AY1090" s="596">
        <f t="shared" ca="1" si="1707"/>
        <v>17212</v>
      </c>
      <c r="AZ1090" s="2956">
        <f t="shared" ca="1" si="1708"/>
        <v>25566</v>
      </c>
      <c r="BA1090" s="2957">
        <f t="shared" ca="1" si="1709"/>
        <v>2.4853590518243087</v>
      </c>
      <c r="BC1090" s="596">
        <f t="shared" ca="1" si="1710"/>
        <v>42778</v>
      </c>
      <c r="BD1090" s="596">
        <f t="shared" ca="1" si="1711"/>
        <v>59555</v>
      </c>
      <c r="BE1090" s="2956">
        <f t="shared" ca="1" si="1712"/>
        <v>-16777</v>
      </c>
      <c r="BF1090" s="2957">
        <f t="shared" ca="1" si="1713"/>
        <v>0.71829401393669712</v>
      </c>
      <c r="BG1090" s="596">
        <f t="shared" ca="1" si="1714"/>
        <v>17212</v>
      </c>
      <c r="BH1090" s="2956">
        <f t="shared" ca="1" si="1715"/>
        <v>25566</v>
      </c>
      <c r="BI1090" s="2957">
        <f t="shared" ca="1" si="1716"/>
        <v>2.4853590518243087</v>
      </c>
    </row>
    <row r="1091" spans="1:61" ht="14.5">
      <c r="A1091" s="1693">
        <f t="shared" si="1688"/>
        <v>1074</v>
      </c>
      <c r="B1091" s="616">
        <v>1</v>
      </c>
      <c r="C1091" s="1693">
        <f t="shared" si="1727"/>
        <v>1091</v>
      </c>
      <c r="D1091" s="616">
        <v>1</v>
      </c>
      <c r="E1091" s="709" t="s">
        <v>512</v>
      </c>
      <c r="F1091" s="1572"/>
      <c r="G1091" s="8"/>
      <c r="H1091" s="8"/>
      <c r="I1091" s="69"/>
      <c r="J1091" s="27"/>
      <c r="K1091" s="4"/>
      <c r="L1091" s="4"/>
      <c r="M1091" s="4"/>
      <c r="N1091" s="4"/>
      <c r="O1091" s="3" t="s">
        <v>260</v>
      </c>
      <c r="P1091" s="3"/>
      <c r="Q1091" s="3"/>
      <c r="R1091" s="1790" t="str">
        <f>CHOOSE(2, "6722000003993", "BS (3) IP Purchased from MGI (BT-Gr)")</f>
        <v>BS (3) IP Purchased from MGI (BT-Gr)</v>
      </c>
      <c r="S1091" s="1215">
        <v>22083</v>
      </c>
      <c r="T1091" s="1215">
        <v>17228.34532</v>
      </c>
      <c r="U1091" s="1215">
        <v>16646</v>
      </c>
      <c r="V1091" s="1215">
        <v>8696.1760399999985</v>
      </c>
      <c r="W1091" s="1215">
        <v>9459</v>
      </c>
      <c r="X1091" s="1215">
        <v>15854</v>
      </c>
      <c r="Y1091" s="1215">
        <v>11076.65568</v>
      </c>
      <c r="Z1091" s="1215">
        <v>9589.9066600000006</v>
      </c>
      <c r="AA1091" s="1215">
        <v>7458.2769999999982</v>
      </c>
      <c r="AB1091" s="1215">
        <v>14103.712</v>
      </c>
      <c r="AC1091" s="1215">
        <v>12949.089</v>
      </c>
      <c r="AD1091" s="1215">
        <v>9316.380000000001</v>
      </c>
      <c r="AE1091" s="1221">
        <f>U1091</f>
        <v>16646</v>
      </c>
      <c r="AF1091" s="1214">
        <f>X1091</f>
        <v>15854</v>
      </c>
      <c r="AG1091" s="1214">
        <f>AA1091</f>
        <v>7458.2769999999982</v>
      </c>
      <c r="AH1091" s="1214">
        <f>AD1091</f>
        <v>9316.380000000001</v>
      </c>
      <c r="AI1091" s="1214">
        <f>AF1091</f>
        <v>15854</v>
      </c>
      <c r="AJ1091" s="1214">
        <f>AH1091</f>
        <v>9316.380000000001</v>
      </c>
      <c r="AK1091" s="1214">
        <f>AJ1091</f>
        <v>9316.380000000001</v>
      </c>
      <c r="AM1091" s="596">
        <f t="shared" ca="1" si="1696"/>
        <v>22083</v>
      </c>
      <c r="AN1091" s="596">
        <f t="shared" ca="1" si="1697"/>
        <v>19957</v>
      </c>
      <c r="AO1091" s="2956">
        <f t="shared" ca="1" si="1698"/>
        <v>2126</v>
      </c>
      <c r="AP1091" s="2957">
        <f t="shared" ca="1" si="1699"/>
        <v>1.1065290374304755</v>
      </c>
      <c r="AQ1091" s="596">
        <f t="shared" ca="1" si="1700"/>
        <v>14131</v>
      </c>
      <c r="AR1091" s="2956">
        <f t="shared" ca="1" si="1701"/>
        <v>7952</v>
      </c>
      <c r="AS1091" s="2957">
        <f t="shared" ca="1" si="1702"/>
        <v>1.5627344137003751</v>
      </c>
      <c r="AU1091" s="596">
        <f t="shared" ca="1" si="1703"/>
        <v>22083</v>
      </c>
      <c r="AV1091" s="596">
        <f t="shared" ca="1" si="1704"/>
        <v>19957</v>
      </c>
      <c r="AW1091" s="2956">
        <f t="shared" ca="1" si="1705"/>
        <v>2126</v>
      </c>
      <c r="AX1091" s="2957">
        <f t="shared" ca="1" si="1706"/>
        <v>1.1065290374304755</v>
      </c>
      <c r="AY1091" s="596">
        <f t="shared" ca="1" si="1707"/>
        <v>14131</v>
      </c>
      <c r="AZ1091" s="2956">
        <f t="shared" ca="1" si="1708"/>
        <v>7952</v>
      </c>
      <c r="BA1091" s="2957">
        <f t="shared" ca="1" si="1709"/>
        <v>1.5627344137003751</v>
      </c>
      <c r="BC1091" s="596">
        <f t="shared" ca="1" si="1710"/>
        <v>22083</v>
      </c>
      <c r="BD1091" s="596">
        <f t="shared" ca="1" si="1711"/>
        <v>19957</v>
      </c>
      <c r="BE1091" s="2956">
        <f t="shared" ca="1" si="1712"/>
        <v>2126</v>
      </c>
      <c r="BF1091" s="2957">
        <f t="shared" ca="1" si="1713"/>
        <v>1.1065290374304755</v>
      </c>
      <c r="BG1091" s="596">
        <f t="shared" ca="1" si="1714"/>
        <v>14131</v>
      </c>
      <c r="BH1091" s="2956">
        <f t="shared" ca="1" si="1715"/>
        <v>7952</v>
      </c>
      <c r="BI1091" s="2957">
        <f t="shared" ca="1" si="1716"/>
        <v>1.5627344137003751</v>
      </c>
    </row>
    <row r="1092" spans="1:61" ht="14.5">
      <c r="A1092" s="1693">
        <f t="shared" si="1688"/>
        <v>1075</v>
      </c>
      <c r="B1092" s="616">
        <v>1</v>
      </c>
      <c r="C1092" s="1693">
        <f t="shared" si="1727"/>
        <v>1092</v>
      </c>
      <c r="D1092" s="616">
        <v>1</v>
      </c>
      <c r="E1092" s="709" t="s">
        <v>512</v>
      </c>
      <c r="F1092" s="1572"/>
      <c r="G1092" s="4"/>
      <c r="H1092" s="4"/>
      <c r="I1092" s="69"/>
      <c r="J1092" s="25"/>
      <c r="K1092" s="2"/>
      <c r="L1092" s="2"/>
      <c r="M1092" s="2"/>
      <c r="N1092" s="2"/>
      <c r="O1092" s="1" t="s">
        <v>125</v>
      </c>
      <c r="P1092" s="1"/>
      <c r="Q1092" s="1"/>
      <c r="R1092" s="1790" t="str">
        <f>CHOOSE(2, "6722000003994", "BS (3) IP 3rd Party")</f>
        <v>BS (3) IP 3rd Party</v>
      </c>
      <c r="S1092" s="1215">
        <v>10601</v>
      </c>
      <c r="T1092" s="1215">
        <v>0</v>
      </c>
      <c r="U1092" s="1215"/>
      <c r="V1092" s="1215"/>
      <c r="W1092" s="1215"/>
      <c r="X1092" s="1215"/>
      <c r="Y1092" s="1215"/>
      <c r="Z1092" s="1215"/>
      <c r="AA1092" s="1215"/>
      <c r="AB1092" s="1215"/>
      <c r="AC1092" s="1215"/>
      <c r="AD1092" s="1215"/>
      <c r="AE1092" s="1221">
        <f>U1092</f>
        <v>0</v>
      </c>
      <c r="AF1092" s="1214">
        <f>X1092</f>
        <v>0</v>
      </c>
      <c r="AG1092" s="1214">
        <f>AA1092</f>
        <v>0</v>
      </c>
      <c r="AH1092" s="1214">
        <f>AD1092</f>
        <v>0</v>
      </c>
      <c r="AI1092" s="1214">
        <f>AF1092</f>
        <v>0</v>
      </c>
      <c r="AJ1092" s="1214">
        <f>AH1092</f>
        <v>0</v>
      </c>
      <c r="AK1092" s="1214">
        <f>AJ1092</f>
        <v>0</v>
      </c>
      <c r="AM1092" s="596">
        <f t="shared" ca="1" si="1696"/>
        <v>10601</v>
      </c>
      <c r="AN1092" s="596">
        <f t="shared" ca="1" si="1697"/>
        <v>12066</v>
      </c>
      <c r="AO1092" s="2956">
        <f t="shared" ca="1" si="1698"/>
        <v>-1465</v>
      </c>
      <c r="AP1092" s="2957">
        <f t="shared" ca="1" si="1699"/>
        <v>0.8785844521796784</v>
      </c>
      <c r="AQ1092" s="596">
        <f t="shared" ca="1" si="1700"/>
        <v>7421</v>
      </c>
      <c r="AR1092" s="2956">
        <f t="shared" ca="1" si="1701"/>
        <v>3180</v>
      </c>
      <c r="AS1092" s="2957">
        <f t="shared" ca="1" si="1702"/>
        <v>1.4285136774019673</v>
      </c>
      <c r="AU1092" s="596">
        <f t="shared" ca="1" si="1703"/>
        <v>10601</v>
      </c>
      <c r="AV1092" s="596">
        <f t="shared" ca="1" si="1704"/>
        <v>12066</v>
      </c>
      <c r="AW1092" s="2956">
        <f t="shared" ca="1" si="1705"/>
        <v>-1465</v>
      </c>
      <c r="AX1092" s="2957">
        <f t="shared" ca="1" si="1706"/>
        <v>0.8785844521796784</v>
      </c>
      <c r="AY1092" s="596">
        <f t="shared" ca="1" si="1707"/>
        <v>7421</v>
      </c>
      <c r="AZ1092" s="2956">
        <f t="shared" ca="1" si="1708"/>
        <v>3180</v>
      </c>
      <c r="BA1092" s="2957">
        <f t="shared" ca="1" si="1709"/>
        <v>1.4285136774019673</v>
      </c>
      <c r="BC1092" s="596">
        <f t="shared" ca="1" si="1710"/>
        <v>10601</v>
      </c>
      <c r="BD1092" s="596">
        <f t="shared" ca="1" si="1711"/>
        <v>12066</v>
      </c>
      <c r="BE1092" s="2956">
        <f t="shared" ca="1" si="1712"/>
        <v>-1465</v>
      </c>
      <c r="BF1092" s="2957">
        <f t="shared" ca="1" si="1713"/>
        <v>0.8785844521796784</v>
      </c>
      <c r="BG1092" s="596">
        <f t="shared" ca="1" si="1714"/>
        <v>7421</v>
      </c>
      <c r="BH1092" s="2956">
        <f t="shared" ca="1" si="1715"/>
        <v>3180</v>
      </c>
      <c r="BI1092" s="2957">
        <f t="shared" ca="1" si="1716"/>
        <v>1.4285136774019673</v>
      </c>
    </row>
    <row r="1093" spans="1:61" ht="14.5">
      <c r="A1093" s="1693">
        <f t="shared" si="1688"/>
        <v>1076</v>
      </c>
      <c r="B1093" s="616">
        <v>1</v>
      </c>
      <c r="C1093" s="1693">
        <f t="shared" si="1727"/>
        <v>1093</v>
      </c>
      <c r="D1093" s="616">
        <v>1</v>
      </c>
      <c r="E1093" s="709" t="s">
        <v>512</v>
      </c>
      <c r="F1093" s="1572"/>
      <c r="G1093" s="4"/>
      <c r="H1093" s="4"/>
      <c r="I1093" s="69"/>
      <c r="J1093" s="5" t="s">
        <v>286</v>
      </c>
      <c r="K1093" s="255"/>
      <c r="L1093" s="255"/>
      <c r="M1093" s="255"/>
      <c r="N1093" s="255"/>
      <c r="O1093" s="254"/>
      <c r="P1093" s="254"/>
      <c r="Q1093" s="595"/>
      <c r="R1093" s="1808" t="str">
        <f>CHOOSE(2, "6722000003995", "BS (4) MS")</f>
        <v>BS (4) MS</v>
      </c>
      <c r="S1093" s="1261">
        <f>SUM(S1094:S1095)</f>
        <v>0</v>
      </c>
      <c r="T1093" s="1261">
        <f t="shared" ref="T1093:AD1093" si="1730">SUM(T1094:T1095)</f>
        <v>0</v>
      </c>
      <c r="U1093" s="1261">
        <f t="shared" si="1730"/>
        <v>0</v>
      </c>
      <c r="V1093" s="1261">
        <f t="shared" si="1730"/>
        <v>0</v>
      </c>
      <c r="W1093" s="1261">
        <f t="shared" si="1730"/>
        <v>0</v>
      </c>
      <c r="X1093" s="1261">
        <f t="shared" si="1730"/>
        <v>0</v>
      </c>
      <c r="Y1093" s="1261">
        <f t="shared" si="1730"/>
        <v>0</v>
      </c>
      <c r="Z1093" s="1261">
        <f t="shared" si="1730"/>
        <v>0</v>
      </c>
      <c r="AA1093" s="1261">
        <f t="shared" si="1730"/>
        <v>0</v>
      </c>
      <c r="AB1093" s="1261">
        <f t="shared" si="1730"/>
        <v>0</v>
      </c>
      <c r="AC1093" s="1261">
        <f t="shared" si="1730"/>
        <v>0</v>
      </c>
      <c r="AD1093" s="1261">
        <f t="shared" si="1730"/>
        <v>0</v>
      </c>
      <c r="AE1093" s="916">
        <f t="shared" ref="AE1093:AK1093" si="1731">SUM(AE1094:AE1095)</f>
        <v>0</v>
      </c>
      <c r="AF1093" s="317">
        <f t="shared" si="1731"/>
        <v>0</v>
      </c>
      <c r="AG1093" s="317">
        <f t="shared" si="1731"/>
        <v>0</v>
      </c>
      <c r="AH1093" s="317">
        <f t="shared" si="1731"/>
        <v>0</v>
      </c>
      <c r="AI1093" s="317">
        <f t="shared" si="1731"/>
        <v>0</v>
      </c>
      <c r="AJ1093" s="317">
        <f t="shared" si="1731"/>
        <v>0</v>
      </c>
      <c r="AK1093" s="317">
        <f t="shared" si="1731"/>
        <v>0</v>
      </c>
      <c r="AM1093" s="2125">
        <f t="shared" ca="1" si="1696"/>
        <v>0</v>
      </c>
      <c r="AN1093" s="2125">
        <f t="shared" ca="1" si="1697"/>
        <v>0</v>
      </c>
      <c r="AO1093" s="2960">
        <f t="shared" ca="1" si="1698"/>
        <v>0</v>
      </c>
      <c r="AP1093" s="2961">
        <f t="shared" ca="1" si="1699"/>
        <v>0</v>
      </c>
      <c r="AQ1093" s="2125">
        <f t="shared" ca="1" si="1700"/>
        <v>0</v>
      </c>
      <c r="AR1093" s="2960">
        <f t="shared" ca="1" si="1701"/>
        <v>0</v>
      </c>
      <c r="AS1093" s="2961">
        <f t="shared" ca="1" si="1702"/>
        <v>0</v>
      </c>
      <c r="AU1093" s="2125">
        <f t="shared" ca="1" si="1703"/>
        <v>0</v>
      </c>
      <c r="AV1093" s="2125">
        <f t="shared" ca="1" si="1704"/>
        <v>0</v>
      </c>
      <c r="AW1093" s="2960">
        <f t="shared" ca="1" si="1705"/>
        <v>0</v>
      </c>
      <c r="AX1093" s="2961">
        <f t="shared" ca="1" si="1706"/>
        <v>0</v>
      </c>
      <c r="AY1093" s="2125">
        <f t="shared" ca="1" si="1707"/>
        <v>0</v>
      </c>
      <c r="AZ1093" s="2960">
        <f t="shared" ca="1" si="1708"/>
        <v>0</v>
      </c>
      <c r="BA1093" s="2961">
        <f t="shared" ca="1" si="1709"/>
        <v>0</v>
      </c>
      <c r="BC1093" s="2125">
        <f t="shared" ca="1" si="1710"/>
        <v>0</v>
      </c>
      <c r="BD1093" s="2125">
        <f t="shared" ca="1" si="1711"/>
        <v>0</v>
      </c>
      <c r="BE1093" s="2960">
        <f t="shared" ca="1" si="1712"/>
        <v>0</v>
      </c>
      <c r="BF1093" s="2961">
        <f t="shared" ca="1" si="1713"/>
        <v>0</v>
      </c>
      <c r="BG1093" s="2125">
        <f t="shared" ca="1" si="1714"/>
        <v>0</v>
      </c>
      <c r="BH1093" s="2960">
        <f t="shared" ca="1" si="1715"/>
        <v>0</v>
      </c>
      <c r="BI1093" s="2961">
        <f t="shared" ca="1" si="1716"/>
        <v>0</v>
      </c>
    </row>
    <row r="1094" spans="1:61" ht="14.5">
      <c r="A1094" s="1693">
        <f t="shared" si="1688"/>
        <v>1077</v>
      </c>
      <c r="B1094" s="616">
        <v>1</v>
      </c>
      <c r="C1094" s="1693">
        <f t="shared" si="1727"/>
        <v>1094</v>
      </c>
      <c r="D1094" s="616">
        <v>1</v>
      </c>
      <c r="E1094" s="709" t="s">
        <v>512</v>
      </c>
      <c r="F1094" s="1572"/>
      <c r="G1094" s="4"/>
      <c r="H1094" s="4"/>
      <c r="I1094" s="69"/>
      <c r="J1094" s="27"/>
      <c r="K1094" s="4"/>
      <c r="L1094" s="4"/>
      <c r="M1094" s="4"/>
      <c r="N1094" s="4"/>
      <c r="O1094" s="3" t="s">
        <v>38</v>
      </c>
      <c r="P1094" s="3"/>
      <c r="Q1094" s="3"/>
      <c r="R1094" s="1790" t="str">
        <f>CHOOSE(2, "6722000003996", "BS (4) MS Purchased from BT cons. companies")</f>
        <v>BS (4) MS Purchased from BT cons. companies</v>
      </c>
      <c r="S1094" s="1215"/>
      <c r="T1094" s="1215"/>
      <c r="U1094" s="1215"/>
      <c r="V1094" s="1215"/>
      <c r="W1094" s="1215"/>
      <c r="X1094" s="1215"/>
      <c r="Y1094" s="1215"/>
      <c r="Z1094" s="1215"/>
      <c r="AA1094" s="1215"/>
      <c r="AB1094" s="1215"/>
      <c r="AC1094" s="1215"/>
      <c r="AD1094" s="1215"/>
      <c r="AE1094" s="1221">
        <f>U1094</f>
        <v>0</v>
      </c>
      <c r="AF1094" s="1214">
        <f>X1094</f>
        <v>0</v>
      </c>
      <c r="AG1094" s="1214">
        <f>AA1094</f>
        <v>0</v>
      </c>
      <c r="AH1094" s="1214">
        <f>AD1094</f>
        <v>0</v>
      </c>
      <c r="AI1094" s="1214">
        <f>AF1094</f>
        <v>0</v>
      </c>
      <c r="AJ1094" s="1214">
        <f>AH1094</f>
        <v>0</v>
      </c>
      <c r="AK1094" s="1214">
        <f>AJ1094</f>
        <v>0</v>
      </c>
      <c r="AM1094" s="596">
        <f t="shared" ca="1" si="1696"/>
        <v>0</v>
      </c>
      <c r="AN1094" s="596">
        <f t="shared" ca="1" si="1697"/>
        <v>0</v>
      </c>
      <c r="AO1094" s="2956">
        <f t="shared" ca="1" si="1698"/>
        <v>0</v>
      </c>
      <c r="AP1094" s="2957">
        <f t="shared" ca="1" si="1699"/>
        <v>0</v>
      </c>
      <c r="AQ1094" s="596">
        <f t="shared" ca="1" si="1700"/>
        <v>0</v>
      </c>
      <c r="AR1094" s="2956">
        <f t="shared" ca="1" si="1701"/>
        <v>0</v>
      </c>
      <c r="AS1094" s="2957">
        <f t="shared" ca="1" si="1702"/>
        <v>0</v>
      </c>
      <c r="AU1094" s="596">
        <f t="shared" ca="1" si="1703"/>
        <v>0</v>
      </c>
      <c r="AV1094" s="596">
        <f t="shared" ca="1" si="1704"/>
        <v>0</v>
      </c>
      <c r="AW1094" s="2956">
        <f t="shared" ca="1" si="1705"/>
        <v>0</v>
      </c>
      <c r="AX1094" s="2957">
        <f t="shared" ca="1" si="1706"/>
        <v>0</v>
      </c>
      <c r="AY1094" s="596">
        <f t="shared" ca="1" si="1707"/>
        <v>0</v>
      </c>
      <c r="AZ1094" s="2956">
        <f t="shared" ca="1" si="1708"/>
        <v>0</v>
      </c>
      <c r="BA1094" s="2957">
        <f t="shared" ca="1" si="1709"/>
        <v>0</v>
      </c>
      <c r="BC1094" s="596">
        <f t="shared" ca="1" si="1710"/>
        <v>0</v>
      </c>
      <c r="BD1094" s="596">
        <f t="shared" ca="1" si="1711"/>
        <v>0</v>
      </c>
      <c r="BE1094" s="2956">
        <f t="shared" ca="1" si="1712"/>
        <v>0</v>
      </c>
      <c r="BF1094" s="2957">
        <f t="shared" ca="1" si="1713"/>
        <v>0</v>
      </c>
      <c r="BG1094" s="596">
        <f t="shared" ca="1" si="1714"/>
        <v>0</v>
      </c>
      <c r="BH1094" s="2956">
        <f t="shared" ca="1" si="1715"/>
        <v>0</v>
      </c>
      <c r="BI1094" s="2957">
        <f t="shared" ca="1" si="1716"/>
        <v>0</v>
      </c>
    </row>
    <row r="1095" spans="1:61" ht="14.5">
      <c r="A1095" s="1693">
        <f t="shared" si="1688"/>
        <v>1078</v>
      </c>
      <c r="B1095" s="616">
        <v>1</v>
      </c>
      <c r="C1095" s="1693">
        <f t="shared" si="1727"/>
        <v>1095</v>
      </c>
      <c r="D1095" s="616">
        <v>1</v>
      </c>
      <c r="E1095" s="709" t="s">
        <v>512</v>
      </c>
      <c r="F1095" s="1572"/>
      <c r="G1095" s="4"/>
      <c r="H1095" s="4"/>
      <c r="I1095" s="69"/>
      <c r="J1095" s="25"/>
      <c r="K1095" s="2"/>
      <c r="L1095" s="2"/>
      <c r="M1095" s="2"/>
      <c r="N1095" s="2"/>
      <c r="O1095" s="1" t="s">
        <v>125</v>
      </c>
      <c r="P1095" s="1"/>
      <c r="Q1095" s="1"/>
      <c r="R1095" s="1790" t="str">
        <f>CHOOSE(2, "6722000003997", "BS (4) MS 3rd Party")</f>
        <v>BS (4) MS 3rd Party</v>
      </c>
      <c r="S1095" s="1213"/>
      <c r="T1095" s="1213"/>
      <c r="U1095" s="1213"/>
      <c r="V1095" s="1213"/>
      <c r="W1095" s="1213"/>
      <c r="X1095" s="1213"/>
      <c r="Y1095" s="1213"/>
      <c r="Z1095" s="1213"/>
      <c r="AA1095" s="1213"/>
      <c r="AB1095" s="1213"/>
      <c r="AC1095" s="1213"/>
      <c r="AD1095" s="1213"/>
      <c r="AE1095" s="917">
        <f>U1095</f>
        <v>0</v>
      </c>
      <c r="AF1095" s="10">
        <f>X1095</f>
        <v>0</v>
      </c>
      <c r="AG1095" s="10">
        <f>AA1095</f>
        <v>0</v>
      </c>
      <c r="AH1095" s="10">
        <f>AD1095</f>
        <v>0</v>
      </c>
      <c r="AI1095" s="10">
        <f>AF1095</f>
        <v>0</v>
      </c>
      <c r="AJ1095" s="10">
        <f>AH1095</f>
        <v>0</v>
      </c>
      <c r="AK1095" s="10">
        <f>AJ1095</f>
        <v>0</v>
      </c>
      <c r="AM1095" s="585">
        <f t="shared" ca="1" si="1696"/>
        <v>0</v>
      </c>
      <c r="AN1095" s="585">
        <f t="shared" ca="1" si="1697"/>
        <v>0</v>
      </c>
      <c r="AO1095" s="2962">
        <f t="shared" ca="1" si="1698"/>
        <v>0</v>
      </c>
      <c r="AP1095" s="2963">
        <f t="shared" ca="1" si="1699"/>
        <v>0</v>
      </c>
      <c r="AQ1095" s="585">
        <f t="shared" ca="1" si="1700"/>
        <v>0</v>
      </c>
      <c r="AR1095" s="2962">
        <f t="shared" ca="1" si="1701"/>
        <v>0</v>
      </c>
      <c r="AS1095" s="2963">
        <f t="shared" ca="1" si="1702"/>
        <v>0</v>
      </c>
      <c r="AU1095" s="585">
        <f t="shared" ca="1" si="1703"/>
        <v>0</v>
      </c>
      <c r="AV1095" s="585">
        <f t="shared" ca="1" si="1704"/>
        <v>0</v>
      </c>
      <c r="AW1095" s="2962">
        <f t="shared" ca="1" si="1705"/>
        <v>0</v>
      </c>
      <c r="AX1095" s="2963">
        <f t="shared" ca="1" si="1706"/>
        <v>0</v>
      </c>
      <c r="AY1095" s="585">
        <f t="shared" ca="1" si="1707"/>
        <v>0</v>
      </c>
      <c r="AZ1095" s="2962">
        <f t="shared" ca="1" si="1708"/>
        <v>0</v>
      </c>
      <c r="BA1095" s="2963">
        <f t="shared" ca="1" si="1709"/>
        <v>0</v>
      </c>
      <c r="BC1095" s="585">
        <f t="shared" ca="1" si="1710"/>
        <v>0</v>
      </c>
      <c r="BD1095" s="585">
        <f t="shared" ca="1" si="1711"/>
        <v>0</v>
      </c>
      <c r="BE1095" s="2962">
        <f t="shared" ca="1" si="1712"/>
        <v>0</v>
      </c>
      <c r="BF1095" s="2963">
        <f t="shared" ca="1" si="1713"/>
        <v>0</v>
      </c>
      <c r="BG1095" s="585">
        <f t="shared" ca="1" si="1714"/>
        <v>0</v>
      </c>
      <c r="BH1095" s="2962">
        <f t="shared" ca="1" si="1715"/>
        <v>0</v>
      </c>
      <c r="BI1095" s="2963">
        <f t="shared" ca="1" si="1716"/>
        <v>0</v>
      </c>
    </row>
    <row r="1096" spans="1:61" ht="14.5">
      <c r="A1096" s="1693">
        <f t="shared" si="1688"/>
        <v>1079</v>
      </c>
      <c r="B1096" s="616">
        <v>1</v>
      </c>
      <c r="C1096" s="1693">
        <f t="shared" si="1727"/>
        <v>1096</v>
      </c>
      <c r="D1096" s="616">
        <v>996</v>
      </c>
      <c r="E1096" s="709" t="s">
        <v>512</v>
      </c>
      <c r="F1096" s="1572"/>
      <c r="G1096" s="8"/>
      <c r="H1096" s="4"/>
      <c r="I1096" s="69"/>
      <c r="J1096" s="316" t="s">
        <v>539</v>
      </c>
      <c r="K1096" s="313"/>
      <c r="L1096" s="313"/>
      <c r="M1096" s="313"/>
      <c r="N1096" s="313"/>
      <c r="O1096" s="313"/>
      <c r="P1096" s="313"/>
      <c r="Q1096" s="471"/>
      <c r="R1096" s="1801" t="str">
        <f>CHOOSE(2, "6722000003998", "BS (5) DW-DX")</f>
        <v>BS (5) DW-DX</v>
      </c>
      <c r="S1096" s="1273">
        <f>SUM(S1097:S1098)</f>
        <v>1299</v>
      </c>
      <c r="T1096" s="1273">
        <f t="shared" ref="T1096:AD1096" si="1732">SUM(T1097:T1098)</f>
        <v>973</v>
      </c>
      <c r="U1096" s="1273">
        <f t="shared" si="1732"/>
        <v>1179</v>
      </c>
      <c r="V1096" s="1273">
        <f t="shared" si="1732"/>
        <v>676.08135000000118</v>
      </c>
      <c r="W1096" s="1273">
        <f t="shared" si="1732"/>
        <v>802</v>
      </c>
      <c r="X1096" s="1273">
        <f t="shared" si="1732"/>
        <v>5</v>
      </c>
      <c r="Y1096" s="1273">
        <f t="shared" si="1732"/>
        <v>8656</v>
      </c>
      <c r="Z1096" s="1273">
        <f t="shared" si="1732"/>
        <v>13490.270860000001</v>
      </c>
      <c r="AA1096" s="1273">
        <f t="shared" si="1732"/>
        <v>13460.203259999998</v>
      </c>
      <c r="AB1096" s="1273">
        <f t="shared" si="1732"/>
        <v>13275.043700000002</v>
      </c>
      <c r="AC1096" s="1273">
        <f t="shared" si="1732"/>
        <v>11438.13211</v>
      </c>
      <c r="AD1096" s="1273">
        <f t="shared" si="1732"/>
        <v>9959.8914000000004</v>
      </c>
      <c r="AE1096" s="918">
        <f t="shared" ref="AE1096:AK1096" si="1733">SUM(AE1097:AE1098)</f>
        <v>1179</v>
      </c>
      <c r="AF1096" s="375">
        <f t="shared" si="1733"/>
        <v>5</v>
      </c>
      <c r="AG1096" s="375">
        <f t="shared" si="1733"/>
        <v>13460.203259999998</v>
      </c>
      <c r="AH1096" s="375">
        <f t="shared" si="1733"/>
        <v>9959.8914000000004</v>
      </c>
      <c r="AI1096" s="375">
        <f t="shared" si="1733"/>
        <v>5</v>
      </c>
      <c r="AJ1096" s="375">
        <f t="shared" si="1733"/>
        <v>9959.8914000000004</v>
      </c>
      <c r="AK1096" s="375">
        <f t="shared" si="1733"/>
        <v>9959.8914000000004</v>
      </c>
      <c r="AM1096" s="2290">
        <f t="shared" ca="1" si="1696"/>
        <v>1299</v>
      </c>
      <c r="AN1096" s="2290">
        <f t="shared" ca="1" si="1697"/>
        <v>1919</v>
      </c>
      <c r="AO1096" s="2964">
        <f t="shared" ca="1" si="1698"/>
        <v>-620</v>
      </c>
      <c r="AP1096" s="2965">
        <f t="shared" ca="1" si="1699"/>
        <v>0.67691505992704537</v>
      </c>
      <c r="AQ1096" s="2290">
        <f t="shared" ca="1" si="1700"/>
        <v>860</v>
      </c>
      <c r="AR1096" s="2964">
        <f t="shared" ca="1" si="1701"/>
        <v>439</v>
      </c>
      <c r="AS1096" s="2965">
        <f t="shared" ca="1" si="1702"/>
        <v>1.5104651162790699</v>
      </c>
      <c r="AU1096" s="2290">
        <f t="shared" ca="1" si="1703"/>
        <v>1299</v>
      </c>
      <c r="AV1096" s="2290">
        <f t="shared" ca="1" si="1704"/>
        <v>1919</v>
      </c>
      <c r="AW1096" s="2964">
        <f t="shared" ca="1" si="1705"/>
        <v>-620</v>
      </c>
      <c r="AX1096" s="2965">
        <f t="shared" ca="1" si="1706"/>
        <v>0.67691505992704537</v>
      </c>
      <c r="AY1096" s="2290">
        <f t="shared" ca="1" si="1707"/>
        <v>860</v>
      </c>
      <c r="AZ1096" s="2964">
        <f t="shared" ca="1" si="1708"/>
        <v>439</v>
      </c>
      <c r="BA1096" s="2965">
        <f t="shared" ca="1" si="1709"/>
        <v>1.5104651162790699</v>
      </c>
      <c r="BC1096" s="2290">
        <f t="shared" ca="1" si="1710"/>
        <v>1299</v>
      </c>
      <c r="BD1096" s="2290">
        <f t="shared" ca="1" si="1711"/>
        <v>1919</v>
      </c>
      <c r="BE1096" s="2964">
        <f t="shared" ca="1" si="1712"/>
        <v>-620</v>
      </c>
      <c r="BF1096" s="2965">
        <f t="shared" ca="1" si="1713"/>
        <v>0.67691505992704537</v>
      </c>
      <c r="BG1096" s="2290">
        <f t="shared" ca="1" si="1714"/>
        <v>860</v>
      </c>
      <c r="BH1096" s="2964">
        <f t="shared" ca="1" si="1715"/>
        <v>439</v>
      </c>
      <c r="BI1096" s="2965">
        <f t="shared" ca="1" si="1716"/>
        <v>1.5104651162790699</v>
      </c>
    </row>
    <row r="1097" spans="1:61" ht="14.5">
      <c r="A1097" s="1693">
        <f t="shared" si="1688"/>
        <v>1080</v>
      </c>
      <c r="B1097" s="616">
        <v>1</v>
      </c>
      <c r="C1097" s="1693">
        <f t="shared" si="1727"/>
        <v>1097</v>
      </c>
      <c r="D1097" s="616">
        <f t="shared" si="1727"/>
        <v>997</v>
      </c>
      <c r="E1097" s="709" t="s">
        <v>512</v>
      </c>
      <c r="F1097" s="1572"/>
      <c r="G1097" s="4"/>
      <c r="H1097" s="4"/>
      <c r="I1097" s="69"/>
      <c r="J1097" s="29"/>
      <c r="K1097" s="4"/>
      <c r="L1097" s="4"/>
      <c r="M1097" s="4"/>
      <c r="N1097" s="4"/>
      <c r="O1097" s="3" t="s">
        <v>38</v>
      </c>
      <c r="P1097" s="3"/>
      <c r="Q1097" s="3"/>
      <c r="R1097" s="1790" t="str">
        <f>CHOOSE(2, "6722000003999", "BS (5) DW-DX Purchased from BT cons. companies")</f>
        <v>BS (5) DW-DX Purchased from BT cons. companies</v>
      </c>
      <c r="S1097" s="1215">
        <v>252</v>
      </c>
      <c r="T1097" s="1215">
        <v>280</v>
      </c>
      <c r="U1097" s="1215">
        <v>724</v>
      </c>
      <c r="V1097" s="1215">
        <v>209.39318000000009</v>
      </c>
      <c r="W1097" s="1215">
        <v>226</v>
      </c>
      <c r="X1097" s="1215">
        <v>5</v>
      </c>
      <c r="Y1097" s="1215">
        <v>0</v>
      </c>
      <c r="Z1097" s="1215"/>
      <c r="AA1097" s="1215"/>
      <c r="AB1097" s="1215">
        <v>5.2531699999999546</v>
      </c>
      <c r="AC1097" s="1215">
        <v>5.2531699999999546</v>
      </c>
      <c r="AD1097" s="1215"/>
      <c r="AE1097" s="1221">
        <f>U1097</f>
        <v>724</v>
      </c>
      <c r="AF1097" s="1214">
        <f>X1097</f>
        <v>5</v>
      </c>
      <c r="AG1097" s="1214">
        <f>AA1097</f>
        <v>0</v>
      </c>
      <c r="AH1097" s="1214">
        <f>AD1097</f>
        <v>0</v>
      </c>
      <c r="AI1097" s="1214">
        <f>AF1097</f>
        <v>5</v>
      </c>
      <c r="AJ1097" s="1214">
        <f>AH1097</f>
        <v>0</v>
      </c>
      <c r="AK1097" s="1214">
        <f>AJ1097</f>
        <v>0</v>
      </c>
      <c r="AM1097" s="596">
        <f t="shared" ca="1" si="1696"/>
        <v>252</v>
      </c>
      <c r="AN1097" s="596">
        <f t="shared" ca="1" si="1697"/>
        <v>348</v>
      </c>
      <c r="AO1097" s="2956">
        <f t="shared" ca="1" si="1698"/>
        <v>-96</v>
      </c>
      <c r="AP1097" s="2957">
        <f t="shared" ca="1" si="1699"/>
        <v>0.72413793103448276</v>
      </c>
      <c r="AQ1097" s="596">
        <f t="shared" ca="1" si="1700"/>
        <v>238</v>
      </c>
      <c r="AR1097" s="2956">
        <f t="shared" ca="1" si="1701"/>
        <v>14</v>
      </c>
      <c r="AS1097" s="2957">
        <f t="shared" ca="1" si="1702"/>
        <v>1.0588235294117647</v>
      </c>
      <c r="AU1097" s="596">
        <f t="shared" ca="1" si="1703"/>
        <v>252</v>
      </c>
      <c r="AV1097" s="596">
        <f t="shared" ca="1" si="1704"/>
        <v>348</v>
      </c>
      <c r="AW1097" s="2956">
        <f t="shared" ca="1" si="1705"/>
        <v>-96</v>
      </c>
      <c r="AX1097" s="2957">
        <f t="shared" ca="1" si="1706"/>
        <v>0.72413793103448276</v>
      </c>
      <c r="AY1097" s="596">
        <f t="shared" ca="1" si="1707"/>
        <v>238</v>
      </c>
      <c r="AZ1097" s="2956">
        <f t="shared" ca="1" si="1708"/>
        <v>14</v>
      </c>
      <c r="BA1097" s="2957">
        <f t="shared" ca="1" si="1709"/>
        <v>1.0588235294117647</v>
      </c>
      <c r="BC1097" s="596">
        <f t="shared" ca="1" si="1710"/>
        <v>252</v>
      </c>
      <c r="BD1097" s="596">
        <f t="shared" ca="1" si="1711"/>
        <v>348</v>
      </c>
      <c r="BE1097" s="2956">
        <f t="shared" ca="1" si="1712"/>
        <v>-96</v>
      </c>
      <c r="BF1097" s="2957">
        <f t="shared" ca="1" si="1713"/>
        <v>0.72413793103448276</v>
      </c>
      <c r="BG1097" s="596">
        <f t="shared" ca="1" si="1714"/>
        <v>238</v>
      </c>
      <c r="BH1097" s="2956">
        <f t="shared" ca="1" si="1715"/>
        <v>14</v>
      </c>
      <c r="BI1097" s="2957">
        <f t="shared" ca="1" si="1716"/>
        <v>1.0588235294117647</v>
      </c>
    </row>
    <row r="1098" spans="1:61" ht="14.5">
      <c r="A1098" s="1693">
        <f t="shared" si="1688"/>
        <v>1081</v>
      </c>
      <c r="B1098" s="616">
        <v>1</v>
      </c>
      <c r="C1098" s="1693">
        <f t="shared" si="1727"/>
        <v>1098</v>
      </c>
      <c r="D1098" s="616">
        <f t="shared" si="1727"/>
        <v>998</v>
      </c>
      <c r="E1098" s="709" t="s">
        <v>512</v>
      </c>
      <c r="F1098" s="1572"/>
      <c r="G1098" s="4"/>
      <c r="H1098" s="4"/>
      <c r="I1098" s="69"/>
      <c r="J1098" s="366"/>
      <c r="K1098" s="2"/>
      <c r="L1098" s="2"/>
      <c r="M1098" s="2"/>
      <c r="N1098" s="2"/>
      <c r="O1098" s="1" t="s">
        <v>125</v>
      </c>
      <c r="P1098" s="1"/>
      <c r="Q1098" s="1"/>
      <c r="R1098" s="1790" t="str">
        <f>CHOOSE(2, "6722000004000", "BS (5) DW-DX 3rd Party")</f>
        <v>BS (5) DW-DX 3rd Party</v>
      </c>
      <c r="S1098" s="1213">
        <v>1047</v>
      </c>
      <c r="T1098" s="1213">
        <v>693</v>
      </c>
      <c r="U1098" s="1213">
        <v>455</v>
      </c>
      <c r="V1098" s="1213">
        <v>466.68817000000109</v>
      </c>
      <c r="W1098" s="1213">
        <v>576</v>
      </c>
      <c r="X1098" s="1213"/>
      <c r="Y1098" s="1213">
        <v>8656</v>
      </c>
      <c r="Z1098" s="1213">
        <v>13490.270860000001</v>
      </c>
      <c r="AA1098" s="1213">
        <v>13460.203259999998</v>
      </c>
      <c r="AB1098" s="1213">
        <v>13269.790530000002</v>
      </c>
      <c r="AC1098" s="1213">
        <v>11432.878940000001</v>
      </c>
      <c r="AD1098" s="1213">
        <v>9959.8914000000004</v>
      </c>
      <c r="AE1098" s="917">
        <f>U1098</f>
        <v>455</v>
      </c>
      <c r="AF1098" s="10">
        <f>X1098</f>
        <v>0</v>
      </c>
      <c r="AG1098" s="10">
        <f>AA1098</f>
        <v>13460.203259999998</v>
      </c>
      <c r="AH1098" s="10">
        <f>AD1098</f>
        <v>9959.8914000000004</v>
      </c>
      <c r="AI1098" s="10">
        <f>AF1098</f>
        <v>0</v>
      </c>
      <c r="AJ1098" s="10">
        <f>AH1098</f>
        <v>9959.8914000000004</v>
      </c>
      <c r="AK1098" s="10">
        <f>AJ1098</f>
        <v>9959.8914000000004</v>
      </c>
      <c r="AM1098" s="585">
        <f t="shared" ca="1" si="1696"/>
        <v>1047</v>
      </c>
      <c r="AN1098" s="585">
        <f t="shared" ca="1" si="1697"/>
        <v>1571</v>
      </c>
      <c r="AO1098" s="2962">
        <f t="shared" ca="1" si="1698"/>
        <v>-524</v>
      </c>
      <c r="AP1098" s="2963">
        <f t="shared" ca="1" si="1699"/>
        <v>0.6664544875875239</v>
      </c>
      <c r="AQ1098" s="585">
        <f t="shared" ca="1" si="1700"/>
        <v>622</v>
      </c>
      <c r="AR1098" s="2962">
        <f t="shared" ca="1" si="1701"/>
        <v>425</v>
      </c>
      <c r="AS1098" s="2963">
        <f t="shared" ca="1" si="1702"/>
        <v>1.6832797427652733</v>
      </c>
      <c r="AU1098" s="585">
        <f t="shared" ca="1" si="1703"/>
        <v>1047</v>
      </c>
      <c r="AV1098" s="585">
        <f t="shared" ca="1" si="1704"/>
        <v>1571</v>
      </c>
      <c r="AW1098" s="2962">
        <f t="shared" ca="1" si="1705"/>
        <v>-524</v>
      </c>
      <c r="AX1098" s="2963">
        <f t="shared" ca="1" si="1706"/>
        <v>0.6664544875875239</v>
      </c>
      <c r="AY1098" s="585">
        <f t="shared" ca="1" si="1707"/>
        <v>622</v>
      </c>
      <c r="AZ1098" s="2962">
        <f t="shared" ca="1" si="1708"/>
        <v>425</v>
      </c>
      <c r="BA1098" s="2963">
        <f t="shared" ca="1" si="1709"/>
        <v>1.6832797427652733</v>
      </c>
      <c r="BC1098" s="585">
        <f t="shared" ca="1" si="1710"/>
        <v>1047</v>
      </c>
      <c r="BD1098" s="585">
        <f t="shared" ca="1" si="1711"/>
        <v>1571</v>
      </c>
      <c r="BE1098" s="2962">
        <f t="shared" ca="1" si="1712"/>
        <v>-524</v>
      </c>
      <c r="BF1098" s="2963">
        <f t="shared" ca="1" si="1713"/>
        <v>0.6664544875875239</v>
      </c>
      <c r="BG1098" s="585">
        <f t="shared" ca="1" si="1714"/>
        <v>622</v>
      </c>
      <c r="BH1098" s="2962">
        <f t="shared" ca="1" si="1715"/>
        <v>425</v>
      </c>
      <c r="BI1098" s="2963">
        <f t="shared" ca="1" si="1716"/>
        <v>1.6832797427652733</v>
      </c>
    </row>
    <row r="1099" spans="1:61" ht="14.5">
      <c r="A1099" s="1693">
        <f t="shared" si="1688"/>
        <v>1082</v>
      </c>
      <c r="C1099" s="1693">
        <f t="shared" si="1727"/>
        <v>1099</v>
      </c>
      <c r="D1099" s="616">
        <v>1</v>
      </c>
      <c r="F1099" s="69"/>
      <c r="I1099" s="4"/>
      <c r="J1099" s="4"/>
      <c r="K1099" s="3"/>
      <c r="L1099" s="3"/>
      <c r="M1099" s="3"/>
      <c r="N1099" s="3"/>
      <c r="O1099" s="3"/>
      <c r="P1099" s="3"/>
      <c r="Q1099" s="3"/>
      <c r="R1099" s="1773" t="str">
        <f>CHOOSE(2, "6722000004001", "▷ Blank 34")</f>
        <v>▷ Blank 34</v>
      </c>
      <c r="S1099" s="1608"/>
      <c r="T1099" s="1609"/>
      <c r="U1099" s="1609"/>
      <c r="V1099" s="1609"/>
      <c r="W1099" s="1609"/>
      <c r="X1099" s="1609"/>
      <c r="Y1099" s="1366"/>
      <c r="Z1099" s="1366"/>
      <c r="AA1099" s="1366"/>
      <c r="AB1099" s="1366"/>
      <c r="AC1099" s="69"/>
      <c r="AD1099" s="69"/>
      <c r="AE1099" s="69"/>
      <c r="AF1099" s="69"/>
      <c r="AG1099" s="69"/>
      <c r="AH1099" s="69"/>
      <c r="AI1099" s="69"/>
      <c r="AJ1099" s="69"/>
      <c r="AK1099" s="69"/>
    </row>
    <row r="1100" spans="1:61" ht="15.5">
      <c r="A1100" s="1693">
        <f t="shared" si="1688"/>
        <v>1083</v>
      </c>
      <c r="B1100" s="616">
        <v>1</v>
      </c>
      <c r="C1100" s="1693">
        <f t="shared" si="1727"/>
        <v>1100</v>
      </c>
      <c r="D1100" s="616">
        <v>1</v>
      </c>
      <c r="F1100" s="69"/>
      <c r="G1100" s="8"/>
      <c r="H1100" s="243" t="s">
        <v>550</v>
      </c>
      <c r="I1100" s="4"/>
      <c r="J1100" s="4"/>
      <c r="K1100" s="3"/>
      <c r="L1100" s="3"/>
      <c r="M1100" s="3"/>
      <c r="N1100" s="3"/>
      <c r="O1100" s="3"/>
      <c r="P1100" s="3"/>
      <c r="Q1100" s="3"/>
      <c r="R1100" s="1773" t="str">
        <f>CHOOSE(2, "6722000004002", "4-2. IP Inventories by product")</f>
        <v>4-2. IP Inventories by product</v>
      </c>
      <c r="S1100" s="1608"/>
      <c r="T1100" s="1609"/>
      <c r="U1100" s="1609"/>
      <c r="V1100" s="1609"/>
      <c r="W1100" s="1609"/>
      <c r="X1100" s="1609"/>
      <c r="Y1100" s="1366"/>
      <c r="Z1100" s="1366"/>
      <c r="AA1100" s="1366"/>
      <c r="AB1100" s="1366"/>
      <c r="AC1100" s="69"/>
      <c r="AD1100" s="69"/>
      <c r="AE1100" s="69"/>
      <c r="AF1100" s="69"/>
      <c r="AG1100" s="69"/>
      <c r="AH1100" s="69"/>
      <c r="AI1100" s="69"/>
      <c r="AJ1100" s="69"/>
      <c r="AK1100" s="69"/>
    </row>
    <row r="1101" spans="1:61" ht="14.5">
      <c r="A1101" s="1693">
        <f t="shared" si="1688"/>
        <v>1084</v>
      </c>
      <c r="B1101" s="616">
        <v>1</v>
      </c>
      <c r="C1101" s="1693">
        <f t="shared" si="1727"/>
        <v>1101</v>
      </c>
      <c r="D1101" s="616">
        <v>1</v>
      </c>
      <c r="F1101" s="69"/>
      <c r="G1101" s="8"/>
      <c r="I1101" s="4"/>
      <c r="J1101" s="365" t="s">
        <v>284</v>
      </c>
      <c r="K1101" s="581"/>
      <c r="L1101" s="581"/>
      <c r="M1101" s="581"/>
      <c r="N1101" s="581"/>
      <c r="O1101" s="489"/>
      <c r="P1101" s="489"/>
      <c r="Q1101" s="489"/>
      <c r="R1101" s="1807" t="str">
        <f>CHOOSE(2, "6722000003888", "(3) IP")</f>
        <v>(3) IP</v>
      </c>
      <c r="S1101" s="1357">
        <f>S1102+S1107</f>
        <v>75462</v>
      </c>
      <c r="T1101" s="1357">
        <f t="shared" ref="T1101:AD1101" si="1734">T1102+T1107</f>
        <v>95077.759729999991</v>
      </c>
      <c r="U1101" s="1357">
        <f t="shared" si="1734"/>
        <v>77880</v>
      </c>
      <c r="V1101" s="1357">
        <f t="shared" si="1734"/>
        <v>60489.176039999998</v>
      </c>
      <c r="W1101" s="1357">
        <f t="shared" si="1734"/>
        <v>62758</v>
      </c>
      <c r="X1101" s="1357">
        <f t="shared" si="1734"/>
        <v>59493</v>
      </c>
      <c r="Y1101" s="1358">
        <f t="shared" si="1734"/>
        <v>49468.342839999939</v>
      </c>
      <c r="Z1101" s="1358">
        <f t="shared" si="1734"/>
        <v>51795.140389999964</v>
      </c>
      <c r="AA1101" s="1358">
        <f t="shared" si="1734"/>
        <v>39762.349299999885</v>
      </c>
      <c r="AB1101" s="1358">
        <f t="shared" si="1734"/>
        <v>55407.077559999918</v>
      </c>
      <c r="AC1101" s="1358">
        <f t="shared" si="1734"/>
        <v>79172.560919999902</v>
      </c>
      <c r="AD1101" s="1358">
        <f t="shared" si="1734"/>
        <v>63812.380000000005</v>
      </c>
      <c r="AE1101" s="919">
        <f t="shared" ref="AE1101:AK1101" si="1735">AE1102+AE1107</f>
        <v>77880</v>
      </c>
      <c r="AF1101" s="714">
        <f t="shared" si="1735"/>
        <v>59493</v>
      </c>
      <c r="AG1101" s="714">
        <f t="shared" si="1735"/>
        <v>39762.349299999885</v>
      </c>
      <c r="AH1101" s="714">
        <f t="shared" si="1735"/>
        <v>63812.380000000005</v>
      </c>
      <c r="AI1101" s="714">
        <f t="shared" si="1735"/>
        <v>59493</v>
      </c>
      <c r="AJ1101" s="714">
        <f t="shared" si="1735"/>
        <v>63812.380000000005</v>
      </c>
      <c r="AK1101" s="714">
        <f t="shared" si="1735"/>
        <v>63812.380000000005</v>
      </c>
      <c r="AM1101" s="2287">
        <f t="shared" ref="AM1101:AM1110" ca="1" si="1736">INDIRECT(AM$3&amp;(ROW()))</f>
        <v>75462</v>
      </c>
      <c r="AN1101" s="2287">
        <f t="shared" ref="AN1101:AN1110" ca="1" si="1737">INDIRECT(AN$1&amp;AN$3&amp;$C1101)</f>
        <v>91578</v>
      </c>
      <c r="AO1101" s="2918">
        <f t="shared" ref="AO1101:AO1110" ca="1" si="1738">AM1101-AN1101</f>
        <v>-16116</v>
      </c>
      <c r="AP1101" s="2919">
        <f t="shared" ref="AP1101:AP1110" ca="1" si="1739">IFERROR(AM1101/AN1101,0)</f>
        <v>0.82401886916071543</v>
      </c>
      <c r="AQ1101" s="2287">
        <f t="shared" ref="AQ1101:AQ1110" ca="1" si="1740">INDIRECT(AQ$1&amp;AQ$3&amp;$A1101)+INDIRECT(AQ$1&amp;AQ$3&amp;$B1101)</f>
        <v>38764</v>
      </c>
      <c r="AR1101" s="2918">
        <f t="shared" ref="AR1101:AR1110" ca="1" si="1741">AM1101-AQ1101</f>
        <v>36698</v>
      </c>
      <c r="AS1101" s="2919">
        <f t="shared" ref="AS1101:AS1110" ca="1" si="1742">IFERROR(AM1101/AQ1101,0)</f>
        <v>1.9467031266123207</v>
      </c>
      <c r="AU1101" s="2287">
        <f t="shared" ref="AU1101:AU1110" ca="1" si="1743">INDIRECT(AU$3&amp;(ROW()))</f>
        <v>75462</v>
      </c>
      <c r="AV1101" s="2287">
        <f t="shared" ref="AV1101:AV1110" ca="1" si="1744">INDIRECT(AV$1&amp;AV$3&amp;$C1101)</f>
        <v>91578</v>
      </c>
      <c r="AW1101" s="2918">
        <f t="shared" ref="AW1101:AW1110" ca="1" si="1745">AU1101-AV1101</f>
        <v>-16116</v>
      </c>
      <c r="AX1101" s="2919">
        <f t="shared" ref="AX1101:AX1110" ca="1" si="1746">IFERROR(AU1101/AV1101,0)</f>
        <v>0.82401886916071543</v>
      </c>
      <c r="AY1101" s="2287">
        <f t="shared" ref="AY1101:AY1110" ca="1" si="1747">INDIRECT(AY$1&amp;AY$3&amp;$A1101)+INDIRECT(AY$1&amp;AY$3&amp;$B1101)</f>
        <v>38764</v>
      </c>
      <c r="AZ1101" s="2918">
        <f t="shared" ref="AZ1101:AZ1110" ca="1" si="1748">AU1101-AY1101</f>
        <v>36698</v>
      </c>
      <c r="BA1101" s="2919">
        <f t="shared" ref="BA1101:BA1110" ca="1" si="1749">IFERROR(AU1101/AY1101,0)</f>
        <v>1.9467031266123207</v>
      </c>
      <c r="BC1101" s="2287">
        <f t="shared" ref="BC1101:BC1110" ca="1" si="1750">INDIRECT(BC$3&amp;(ROW()))</f>
        <v>75462</v>
      </c>
      <c r="BD1101" s="2287">
        <f t="shared" ref="BD1101:BD1110" ca="1" si="1751">INDIRECT(BD$1&amp;BD$3&amp;$C1101)</f>
        <v>91578</v>
      </c>
      <c r="BE1101" s="2918">
        <f t="shared" ref="BE1101:BE1110" ca="1" si="1752">BC1101-BD1101</f>
        <v>-16116</v>
      </c>
      <c r="BF1101" s="2919">
        <f t="shared" ref="BF1101:BF1110" ca="1" si="1753">IFERROR(BC1101/BD1101,0)</f>
        <v>0.82401886916071543</v>
      </c>
      <c r="BG1101" s="2287">
        <f t="shared" ref="BG1101:BG1110" ca="1" si="1754">INDIRECT(BG$1&amp;BG$3&amp;$A1101)+INDIRECT(BG$1&amp;BG$3&amp;$B1101)</f>
        <v>38764</v>
      </c>
      <c r="BH1101" s="2918">
        <f t="shared" ref="BH1101:BH1110" ca="1" si="1755">BC1101-BG1101</f>
        <v>36698</v>
      </c>
      <c r="BI1101" s="2919">
        <f t="shared" ref="BI1101:BI1110" ca="1" si="1756">IFERROR(BC1101/BG1101,0)</f>
        <v>1.9467031266123207</v>
      </c>
    </row>
    <row r="1102" spans="1:61" ht="14.5">
      <c r="A1102" s="1693">
        <f t="shared" si="1688"/>
        <v>1085</v>
      </c>
      <c r="B1102" s="616">
        <v>1</v>
      </c>
      <c r="C1102" s="1693">
        <f t="shared" si="1727"/>
        <v>1102</v>
      </c>
      <c r="D1102" s="616">
        <v>1</v>
      </c>
      <c r="F1102" s="69"/>
      <c r="G1102" s="8"/>
      <c r="I1102" s="4"/>
      <c r="J1102" s="27"/>
      <c r="K1102" s="3"/>
      <c r="L1102" s="3"/>
      <c r="M1102" s="3"/>
      <c r="N1102" s="3"/>
      <c r="O1102" s="3" t="s">
        <v>551</v>
      </c>
      <c r="P1102" s="47"/>
      <c r="Q1102" s="47"/>
      <c r="R1102" s="1786" t="str">
        <f>CHOOSE(2, "6722000004003", "(3) IP from BT")</f>
        <v>(3) IP from BT</v>
      </c>
      <c r="S1102" s="1255">
        <f>S1090+S1091</f>
        <v>64861</v>
      </c>
      <c r="T1102" s="1255">
        <f t="shared" ref="T1102:AD1102" si="1757">T1090+T1091</f>
        <v>95077.759729999991</v>
      </c>
      <c r="U1102" s="1255">
        <f t="shared" si="1757"/>
        <v>77880</v>
      </c>
      <c r="V1102" s="1255">
        <f t="shared" si="1757"/>
        <v>60489.176039999998</v>
      </c>
      <c r="W1102" s="1255">
        <f t="shared" si="1757"/>
        <v>62758</v>
      </c>
      <c r="X1102" s="1255">
        <f t="shared" si="1757"/>
        <v>59493</v>
      </c>
      <c r="Y1102" s="1255">
        <f t="shared" si="1757"/>
        <v>49468.342839999939</v>
      </c>
      <c r="Z1102" s="1255">
        <f t="shared" si="1757"/>
        <v>51795.140389999964</v>
      </c>
      <c r="AA1102" s="1255">
        <f t="shared" si="1757"/>
        <v>39762.349299999885</v>
      </c>
      <c r="AB1102" s="1255">
        <f t="shared" si="1757"/>
        <v>55407.077559999918</v>
      </c>
      <c r="AC1102" s="1255">
        <f t="shared" si="1757"/>
        <v>79172.560919999902</v>
      </c>
      <c r="AD1102" s="1255">
        <f t="shared" si="1757"/>
        <v>63812.380000000005</v>
      </c>
      <c r="AE1102" s="1240">
        <f t="shared" ref="AE1102:AK1102" si="1758">AE1090+AE1091</f>
        <v>77880</v>
      </c>
      <c r="AF1102" s="1255">
        <f t="shared" si="1758"/>
        <v>59493</v>
      </c>
      <c r="AG1102" s="1255">
        <f t="shared" si="1758"/>
        <v>39762.349299999885</v>
      </c>
      <c r="AH1102" s="1255">
        <f t="shared" si="1758"/>
        <v>63812.380000000005</v>
      </c>
      <c r="AI1102" s="1255">
        <f t="shared" si="1758"/>
        <v>59493</v>
      </c>
      <c r="AJ1102" s="1255">
        <f t="shared" si="1758"/>
        <v>63812.380000000005</v>
      </c>
      <c r="AK1102" s="1255">
        <f t="shared" si="1758"/>
        <v>63812.380000000005</v>
      </c>
      <c r="AM1102" s="1970">
        <f t="shared" ca="1" si="1736"/>
        <v>64861</v>
      </c>
      <c r="AN1102" s="1970">
        <f t="shared" ca="1" si="1737"/>
        <v>79512</v>
      </c>
      <c r="AO1102" s="2966">
        <f t="shared" ca="1" si="1738"/>
        <v>-14651</v>
      </c>
      <c r="AP1102" s="2967">
        <f t="shared" ca="1" si="1739"/>
        <v>0.81573850487976662</v>
      </c>
      <c r="AQ1102" s="1970">
        <f t="shared" ca="1" si="1740"/>
        <v>31343</v>
      </c>
      <c r="AR1102" s="2966">
        <f t="shared" ca="1" si="1741"/>
        <v>33518</v>
      </c>
      <c r="AS1102" s="2967">
        <f t="shared" ca="1" si="1742"/>
        <v>2.0693934849886739</v>
      </c>
      <c r="AT1102" s="69"/>
      <c r="AU1102" s="1970">
        <f t="shared" ca="1" si="1743"/>
        <v>64861</v>
      </c>
      <c r="AV1102" s="1970">
        <f t="shared" ca="1" si="1744"/>
        <v>79512</v>
      </c>
      <c r="AW1102" s="2966">
        <f t="shared" ca="1" si="1745"/>
        <v>-14651</v>
      </c>
      <c r="AX1102" s="2967">
        <f t="shared" ca="1" si="1746"/>
        <v>0.81573850487976662</v>
      </c>
      <c r="AY1102" s="1970">
        <f t="shared" ca="1" si="1747"/>
        <v>31343</v>
      </c>
      <c r="AZ1102" s="2966">
        <f t="shared" ca="1" si="1748"/>
        <v>33518</v>
      </c>
      <c r="BA1102" s="2967">
        <f t="shared" ca="1" si="1749"/>
        <v>2.0693934849886739</v>
      </c>
      <c r="BB1102" s="69"/>
      <c r="BC1102" s="1970">
        <f t="shared" ca="1" si="1750"/>
        <v>64861</v>
      </c>
      <c r="BD1102" s="1970">
        <f t="shared" ca="1" si="1751"/>
        <v>79512</v>
      </c>
      <c r="BE1102" s="2966">
        <f t="shared" ca="1" si="1752"/>
        <v>-14651</v>
      </c>
      <c r="BF1102" s="2967">
        <f t="shared" ca="1" si="1753"/>
        <v>0.81573850487976662</v>
      </c>
      <c r="BG1102" s="1970">
        <f t="shared" ca="1" si="1754"/>
        <v>31343</v>
      </c>
      <c r="BH1102" s="2966">
        <f t="shared" ca="1" si="1755"/>
        <v>33518</v>
      </c>
      <c r="BI1102" s="2967">
        <f t="shared" ca="1" si="1756"/>
        <v>2.0693934849886739</v>
      </c>
    </row>
    <row r="1103" spans="1:61" ht="14.5">
      <c r="A1103" s="1693">
        <f t="shared" si="1688"/>
        <v>1086</v>
      </c>
      <c r="B1103" s="616">
        <v>1</v>
      </c>
      <c r="C1103" s="1693">
        <f t="shared" ref="C1103:C1166" si="1759">C1102+1</f>
        <v>1103</v>
      </c>
      <c r="D1103" s="616">
        <v>1</v>
      </c>
      <c r="F1103" s="69"/>
      <c r="G1103" s="8"/>
      <c r="I1103" s="4"/>
      <c r="J1103" s="27"/>
      <c r="K1103" s="3"/>
      <c r="L1103" s="3"/>
      <c r="M1103" s="3"/>
      <c r="N1103" s="3"/>
      <c r="O1103" s="3"/>
      <c r="P1103" s="740" t="s">
        <v>670</v>
      </c>
      <c r="Q1103" s="3"/>
      <c r="R1103" s="1787" t="str">
        <f>CHOOSE(2, "6722000004004", "(3) IP from BT KM-1/KM-1e")</f>
        <v>(3) IP from BT KM-1/KM-1e</v>
      </c>
      <c r="S1103" s="1350"/>
      <c r="T1103" s="1350"/>
      <c r="U1103" s="1350"/>
      <c r="V1103" s="1350"/>
      <c r="W1103" s="1350"/>
      <c r="X1103" s="1350"/>
      <c r="Y1103" s="1281"/>
      <c r="Z1103" s="1281"/>
      <c r="AA1103" s="1281"/>
      <c r="AB1103" s="1281"/>
      <c r="AC1103" s="1281"/>
      <c r="AD1103" s="1281"/>
      <c r="AE1103" s="88">
        <f>U1103</f>
        <v>0</v>
      </c>
      <c r="AF1103" s="17">
        <f>X1103</f>
        <v>0</v>
      </c>
      <c r="AG1103" s="17">
        <f>AA1103</f>
        <v>0</v>
      </c>
      <c r="AH1103" s="17">
        <f>AD1103</f>
        <v>0</v>
      </c>
      <c r="AI1103" s="17">
        <f>AF1103</f>
        <v>0</v>
      </c>
      <c r="AJ1103" s="17">
        <f>AH1103</f>
        <v>0</v>
      </c>
      <c r="AK1103" s="17">
        <f>AJ1103</f>
        <v>0</v>
      </c>
      <c r="AM1103" s="1378">
        <f t="shared" ca="1" si="1736"/>
        <v>0</v>
      </c>
      <c r="AN1103" s="1378">
        <f t="shared" ca="1" si="1737"/>
        <v>0</v>
      </c>
      <c r="AO1103" s="2968">
        <f t="shared" ca="1" si="1738"/>
        <v>0</v>
      </c>
      <c r="AP1103" s="2969">
        <f t="shared" ca="1" si="1739"/>
        <v>0</v>
      </c>
      <c r="AQ1103" s="1378">
        <f t="shared" ca="1" si="1740"/>
        <v>0</v>
      </c>
      <c r="AR1103" s="2968">
        <f t="shared" ca="1" si="1741"/>
        <v>0</v>
      </c>
      <c r="AS1103" s="2969">
        <f t="shared" ca="1" si="1742"/>
        <v>0</v>
      </c>
      <c r="AT1103" s="69"/>
      <c r="AU1103" s="1378">
        <f t="shared" ca="1" si="1743"/>
        <v>0</v>
      </c>
      <c r="AV1103" s="1378">
        <f t="shared" ca="1" si="1744"/>
        <v>0</v>
      </c>
      <c r="AW1103" s="2968">
        <f t="shared" ca="1" si="1745"/>
        <v>0</v>
      </c>
      <c r="AX1103" s="2969">
        <f t="shared" ca="1" si="1746"/>
        <v>0</v>
      </c>
      <c r="AY1103" s="1378">
        <f t="shared" ca="1" si="1747"/>
        <v>0</v>
      </c>
      <c r="AZ1103" s="2968">
        <f t="shared" ca="1" si="1748"/>
        <v>0</v>
      </c>
      <c r="BA1103" s="2969">
        <f t="shared" ca="1" si="1749"/>
        <v>0</v>
      </c>
      <c r="BB1103" s="69"/>
      <c r="BC1103" s="1378">
        <f t="shared" ca="1" si="1750"/>
        <v>0</v>
      </c>
      <c r="BD1103" s="1378">
        <f t="shared" ca="1" si="1751"/>
        <v>0</v>
      </c>
      <c r="BE1103" s="2968">
        <f t="shared" ca="1" si="1752"/>
        <v>0</v>
      </c>
      <c r="BF1103" s="2969">
        <f t="shared" ca="1" si="1753"/>
        <v>0</v>
      </c>
      <c r="BG1103" s="1378">
        <f t="shared" ca="1" si="1754"/>
        <v>0</v>
      </c>
      <c r="BH1103" s="2968">
        <f t="shared" ca="1" si="1755"/>
        <v>0</v>
      </c>
      <c r="BI1103" s="2969">
        <f t="shared" ca="1" si="1756"/>
        <v>0</v>
      </c>
    </row>
    <row r="1104" spans="1:61" ht="14.5">
      <c r="A1104" s="1693">
        <f t="shared" si="1688"/>
        <v>1087</v>
      </c>
      <c r="B1104" s="616">
        <v>1</v>
      </c>
      <c r="C1104" s="1693">
        <f t="shared" si="1759"/>
        <v>1104</v>
      </c>
      <c r="D1104" s="616">
        <v>1</v>
      </c>
      <c r="F1104" s="69"/>
      <c r="G1104" s="8"/>
      <c r="I1104" s="4"/>
      <c r="J1104" s="27"/>
      <c r="K1104" s="3"/>
      <c r="L1104" s="3"/>
      <c r="M1104" s="3"/>
      <c r="N1104" s="3"/>
      <c r="O1104" s="3"/>
      <c r="P1104" s="740" t="s">
        <v>552</v>
      </c>
      <c r="Q1104" s="3"/>
      <c r="R1104" s="1787" t="str">
        <f>CHOOSE(2, "6722000004005", "(3) IP from BT Label")</f>
        <v>(3) IP from BT Label</v>
      </c>
      <c r="S1104" s="1350"/>
      <c r="T1104" s="1350"/>
      <c r="U1104" s="1350"/>
      <c r="V1104" s="1350"/>
      <c r="W1104" s="1350"/>
      <c r="X1104" s="1350"/>
      <c r="Y1104" s="1281"/>
      <c r="Z1104" s="1281"/>
      <c r="AA1104" s="1281"/>
      <c r="AB1104" s="1281"/>
      <c r="AC1104" s="1281"/>
      <c r="AD1104" s="1281"/>
      <c r="AE1104" s="88">
        <f>U1104</f>
        <v>0</v>
      </c>
      <c r="AF1104" s="17">
        <f>X1104</f>
        <v>0</v>
      </c>
      <c r="AG1104" s="17">
        <f>AA1104</f>
        <v>0</v>
      </c>
      <c r="AH1104" s="17">
        <f>AD1104</f>
        <v>0</v>
      </c>
      <c r="AI1104" s="17">
        <f>AF1104</f>
        <v>0</v>
      </c>
      <c r="AJ1104" s="17">
        <f>AH1104</f>
        <v>0</v>
      </c>
      <c r="AK1104" s="17">
        <f>AJ1104</f>
        <v>0</v>
      </c>
      <c r="AL1104" s="69"/>
      <c r="AM1104" s="1378">
        <f t="shared" ca="1" si="1736"/>
        <v>0</v>
      </c>
      <c r="AN1104" s="1378">
        <f t="shared" ca="1" si="1737"/>
        <v>0</v>
      </c>
      <c r="AO1104" s="2968">
        <f t="shared" ca="1" si="1738"/>
        <v>0</v>
      </c>
      <c r="AP1104" s="2969">
        <f t="shared" ca="1" si="1739"/>
        <v>0</v>
      </c>
      <c r="AQ1104" s="1378">
        <f t="shared" ca="1" si="1740"/>
        <v>0</v>
      </c>
      <c r="AR1104" s="2968">
        <f t="shared" ca="1" si="1741"/>
        <v>0</v>
      </c>
      <c r="AS1104" s="2969">
        <f t="shared" ca="1" si="1742"/>
        <v>0</v>
      </c>
      <c r="AT1104" s="69"/>
      <c r="AU1104" s="1378">
        <f t="shared" ca="1" si="1743"/>
        <v>0</v>
      </c>
      <c r="AV1104" s="1378">
        <f t="shared" ca="1" si="1744"/>
        <v>0</v>
      </c>
      <c r="AW1104" s="2968">
        <f t="shared" ca="1" si="1745"/>
        <v>0</v>
      </c>
      <c r="AX1104" s="2969">
        <f t="shared" ca="1" si="1746"/>
        <v>0</v>
      </c>
      <c r="AY1104" s="1378">
        <f t="shared" ca="1" si="1747"/>
        <v>0</v>
      </c>
      <c r="AZ1104" s="2968">
        <f t="shared" ca="1" si="1748"/>
        <v>0</v>
      </c>
      <c r="BA1104" s="2969">
        <f t="shared" ca="1" si="1749"/>
        <v>0</v>
      </c>
      <c r="BB1104" s="69"/>
      <c r="BC1104" s="1378">
        <f t="shared" ca="1" si="1750"/>
        <v>0</v>
      </c>
      <c r="BD1104" s="1378">
        <f t="shared" ca="1" si="1751"/>
        <v>0</v>
      </c>
      <c r="BE1104" s="2968">
        <f t="shared" ca="1" si="1752"/>
        <v>0</v>
      </c>
      <c r="BF1104" s="2969">
        <f t="shared" ca="1" si="1753"/>
        <v>0</v>
      </c>
      <c r="BG1104" s="1378">
        <f t="shared" ca="1" si="1754"/>
        <v>0</v>
      </c>
      <c r="BH1104" s="2968">
        <f t="shared" ca="1" si="1755"/>
        <v>0</v>
      </c>
      <c r="BI1104" s="2969">
        <f t="shared" ca="1" si="1756"/>
        <v>0</v>
      </c>
    </row>
    <row r="1105" spans="1:61" ht="14.5">
      <c r="A1105" s="1693">
        <f t="shared" si="1688"/>
        <v>1088</v>
      </c>
      <c r="B1105" s="616">
        <v>1</v>
      </c>
      <c r="C1105" s="1693">
        <f t="shared" si="1759"/>
        <v>1105</v>
      </c>
      <c r="D1105" s="616">
        <v>1</v>
      </c>
      <c r="F1105" s="69"/>
      <c r="G1105" s="8"/>
      <c r="I1105" s="4"/>
      <c r="J1105" s="27"/>
      <c r="K1105" s="3"/>
      <c r="L1105" s="3"/>
      <c r="M1105" s="3"/>
      <c r="N1105" s="3"/>
      <c r="O1105" s="3"/>
      <c r="P1105" s="740" t="s">
        <v>553</v>
      </c>
      <c r="Q1105" s="3"/>
      <c r="R1105" s="1786" t="str">
        <f>CHOOSE(2, "6722000004006", "(3) IP from BT MGI")</f>
        <v>(3) IP from BT MGI</v>
      </c>
      <c r="S1105" s="1289">
        <f>S1091</f>
        <v>22083</v>
      </c>
      <c r="T1105" s="1289">
        <f t="shared" ref="T1105:AD1105" si="1760">T1091</f>
        <v>17228.34532</v>
      </c>
      <c r="U1105" s="1289">
        <f t="shared" si="1760"/>
        <v>16646</v>
      </c>
      <c r="V1105" s="1289">
        <f t="shared" si="1760"/>
        <v>8696.1760399999985</v>
      </c>
      <c r="W1105" s="1289">
        <f t="shared" si="1760"/>
        <v>9459</v>
      </c>
      <c r="X1105" s="1289">
        <f t="shared" si="1760"/>
        <v>15854</v>
      </c>
      <c r="Y1105" s="1226">
        <f t="shared" si="1760"/>
        <v>11076.65568</v>
      </c>
      <c r="Z1105" s="1226">
        <f t="shared" si="1760"/>
        <v>9589.9066600000006</v>
      </c>
      <c r="AA1105" s="1226">
        <f t="shared" si="1760"/>
        <v>7458.2769999999982</v>
      </c>
      <c r="AB1105" s="1226">
        <f t="shared" si="1760"/>
        <v>14103.712</v>
      </c>
      <c r="AC1105" s="1226">
        <f t="shared" si="1760"/>
        <v>12949.089</v>
      </c>
      <c r="AD1105" s="1226">
        <f t="shared" si="1760"/>
        <v>9316.380000000001</v>
      </c>
      <c r="AE1105" s="783">
        <f>U1105</f>
        <v>16646</v>
      </c>
      <c r="AF1105" s="1226">
        <f>X1105</f>
        <v>15854</v>
      </c>
      <c r="AG1105" s="1226">
        <f>AA1105</f>
        <v>7458.2769999999982</v>
      </c>
      <c r="AH1105" s="1226">
        <f>AD1105</f>
        <v>9316.380000000001</v>
      </c>
      <c r="AI1105" s="1226">
        <f>AF1105</f>
        <v>15854</v>
      </c>
      <c r="AJ1105" s="1226">
        <f>AH1105</f>
        <v>9316.380000000001</v>
      </c>
      <c r="AK1105" s="1226">
        <f>AJ1105</f>
        <v>9316.380000000001</v>
      </c>
      <c r="AM1105" s="1378">
        <f t="shared" ca="1" si="1736"/>
        <v>22083</v>
      </c>
      <c r="AN1105" s="1378">
        <f t="shared" ca="1" si="1737"/>
        <v>19957</v>
      </c>
      <c r="AO1105" s="2968">
        <f t="shared" ca="1" si="1738"/>
        <v>2126</v>
      </c>
      <c r="AP1105" s="2969">
        <f t="shared" ca="1" si="1739"/>
        <v>1.1065290374304755</v>
      </c>
      <c r="AQ1105" s="1378">
        <f t="shared" ca="1" si="1740"/>
        <v>14131</v>
      </c>
      <c r="AR1105" s="2968">
        <f t="shared" ca="1" si="1741"/>
        <v>7952</v>
      </c>
      <c r="AS1105" s="2969">
        <f t="shared" ca="1" si="1742"/>
        <v>1.5627344137003751</v>
      </c>
      <c r="AT1105" s="69"/>
      <c r="AU1105" s="1378">
        <f t="shared" ca="1" si="1743"/>
        <v>22083</v>
      </c>
      <c r="AV1105" s="1378">
        <f t="shared" ca="1" si="1744"/>
        <v>19957</v>
      </c>
      <c r="AW1105" s="2968">
        <f t="shared" ca="1" si="1745"/>
        <v>2126</v>
      </c>
      <c r="AX1105" s="2969">
        <f t="shared" ca="1" si="1746"/>
        <v>1.1065290374304755</v>
      </c>
      <c r="AY1105" s="1378">
        <f t="shared" ca="1" si="1747"/>
        <v>14131</v>
      </c>
      <c r="AZ1105" s="2968">
        <f t="shared" ca="1" si="1748"/>
        <v>7952</v>
      </c>
      <c r="BA1105" s="2969">
        <f t="shared" ca="1" si="1749"/>
        <v>1.5627344137003751</v>
      </c>
      <c r="BB1105" s="69"/>
      <c r="BC1105" s="1378">
        <f t="shared" ca="1" si="1750"/>
        <v>22083</v>
      </c>
      <c r="BD1105" s="1378">
        <f t="shared" ca="1" si="1751"/>
        <v>19957</v>
      </c>
      <c r="BE1105" s="2968">
        <f t="shared" ca="1" si="1752"/>
        <v>2126</v>
      </c>
      <c r="BF1105" s="2969">
        <f t="shared" ca="1" si="1753"/>
        <v>1.1065290374304755</v>
      </c>
      <c r="BG1105" s="1378">
        <f t="shared" ca="1" si="1754"/>
        <v>14131</v>
      </c>
      <c r="BH1105" s="2968">
        <f t="shared" ca="1" si="1755"/>
        <v>7952</v>
      </c>
      <c r="BI1105" s="2969">
        <f t="shared" ca="1" si="1756"/>
        <v>1.5627344137003751</v>
      </c>
    </row>
    <row r="1106" spans="1:61" ht="14.5">
      <c r="A1106" s="1693">
        <f t="shared" si="1688"/>
        <v>1089</v>
      </c>
      <c r="B1106" s="616">
        <v>1</v>
      </c>
      <c r="C1106" s="1693">
        <f t="shared" si="1759"/>
        <v>1106</v>
      </c>
      <c r="D1106" s="616">
        <v>1</v>
      </c>
      <c r="F1106" s="69"/>
      <c r="G1106" s="8"/>
      <c r="I1106" s="4"/>
      <c r="J1106" s="27"/>
      <c r="K1106" s="3"/>
      <c r="L1106" s="3"/>
      <c r="M1106" s="3"/>
      <c r="N1106" s="3"/>
      <c r="O1106" s="1"/>
      <c r="P1106" s="741" t="s">
        <v>554</v>
      </c>
      <c r="Q1106" s="1"/>
      <c r="R1106" s="1786" t="str">
        <f>CHOOSE(2, "6722000004007", "(3) IP from BT Others")</f>
        <v>(3) IP from BT Others</v>
      </c>
      <c r="S1106" s="1290">
        <f>S1102-SUM(S1103:S1105)</f>
        <v>42778</v>
      </c>
      <c r="T1106" s="1290">
        <f t="shared" ref="T1106:AD1106" si="1761">T1102-SUM(T1103:T1105)</f>
        <v>77849.414409999998</v>
      </c>
      <c r="U1106" s="1290">
        <f t="shared" si="1761"/>
        <v>61234</v>
      </c>
      <c r="V1106" s="1290">
        <f t="shared" si="1761"/>
        <v>51793</v>
      </c>
      <c r="W1106" s="1290">
        <f t="shared" si="1761"/>
        <v>53299</v>
      </c>
      <c r="X1106" s="1290">
        <f t="shared" si="1761"/>
        <v>43639</v>
      </c>
      <c r="Y1106" s="1228">
        <f t="shared" si="1761"/>
        <v>38391.687159999943</v>
      </c>
      <c r="Z1106" s="1228">
        <f t="shared" si="1761"/>
        <v>42205.233729999964</v>
      </c>
      <c r="AA1106" s="1228">
        <f t="shared" si="1761"/>
        <v>32304.072299999887</v>
      </c>
      <c r="AB1106" s="1228">
        <f t="shared" si="1761"/>
        <v>41303.365559999918</v>
      </c>
      <c r="AC1106" s="1228">
        <f t="shared" si="1761"/>
        <v>66223.471919999894</v>
      </c>
      <c r="AD1106" s="1228">
        <f t="shared" si="1761"/>
        <v>54496</v>
      </c>
      <c r="AE1106" s="784">
        <f>U1106</f>
        <v>61234</v>
      </c>
      <c r="AF1106" s="1228">
        <f>X1106</f>
        <v>43639</v>
      </c>
      <c r="AG1106" s="1228">
        <f>AA1106</f>
        <v>32304.072299999887</v>
      </c>
      <c r="AH1106" s="1228">
        <f>AD1106</f>
        <v>54496</v>
      </c>
      <c r="AI1106" s="1228">
        <f>AF1106</f>
        <v>43639</v>
      </c>
      <c r="AJ1106" s="1228">
        <f>AH1106</f>
        <v>54496</v>
      </c>
      <c r="AK1106" s="1228">
        <f>AJ1106</f>
        <v>54496</v>
      </c>
      <c r="AM1106" s="1379">
        <f t="shared" ca="1" si="1736"/>
        <v>42778</v>
      </c>
      <c r="AN1106" s="1379">
        <f t="shared" ca="1" si="1737"/>
        <v>59555</v>
      </c>
      <c r="AO1106" s="2970">
        <f t="shared" ca="1" si="1738"/>
        <v>-16777</v>
      </c>
      <c r="AP1106" s="2971">
        <f t="shared" ca="1" si="1739"/>
        <v>0.71829401393669712</v>
      </c>
      <c r="AQ1106" s="1379">
        <f t="shared" ca="1" si="1740"/>
        <v>17212</v>
      </c>
      <c r="AR1106" s="2970">
        <f t="shared" ca="1" si="1741"/>
        <v>25566</v>
      </c>
      <c r="AS1106" s="2971">
        <f t="shared" ca="1" si="1742"/>
        <v>2.4853590518243087</v>
      </c>
      <c r="AT1106" s="69"/>
      <c r="AU1106" s="1379">
        <f t="shared" ca="1" si="1743"/>
        <v>42778</v>
      </c>
      <c r="AV1106" s="1379">
        <f t="shared" ca="1" si="1744"/>
        <v>59555</v>
      </c>
      <c r="AW1106" s="2970">
        <f t="shared" ca="1" si="1745"/>
        <v>-16777</v>
      </c>
      <c r="AX1106" s="2971">
        <f t="shared" ca="1" si="1746"/>
        <v>0.71829401393669712</v>
      </c>
      <c r="AY1106" s="1379">
        <f t="shared" ca="1" si="1747"/>
        <v>17212</v>
      </c>
      <c r="AZ1106" s="2970">
        <f t="shared" ca="1" si="1748"/>
        <v>25566</v>
      </c>
      <c r="BA1106" s="2971">
        <f t="shared" ca="1" si="1749"/>
        <v>2.4853590518243087</v>
      </c>
      <c r="BB1106" s="69"/>
      <c r="BC1106" s="1379">
        <f t="shared" ca="1" si="1750"/>
        <v>42778</v>
      </c>
      <c r="BD1106" s="1379">
        <f t="shared" ca="1" si="1751"/>
        <v>59555</v>
      </c>
      <c r="BE1106" s="2970">
        <f t="shared" ca="1" si="1752"/>
        <v>-16777</v>
      </c>
      <c r="BF1106" s="2971">
        <f t="shared" ca="1" si="1753"/>
        <v>0.71829401393669712</v>
      </c>
      <c r="BG1106" s="1379">
        <f t="shared" ca="1" si="1754"/>
        <v>17212</v>
      </c>
      <c r="BH1106" s="2970">
        <f t="shared" ca="1" si="1755"/>
        <v>25566</v>
      </c>
      <c r="BI1106" s="2971">
        <f t="shared" ca="1" si="1756"/>
        <v>2.4853590518243087</v>
      </c>
    </row>
    <row r="1107" spans="1:61" ht="14.5">
      <c r="A1107" s="1693">
        <f t="shared" si="1688"/>
        <v>1090</v>
      </c>
      <c r="B1107" s="616">
        <v>1</v>
      </c>
      <c r="C1107" s="1693">
        <f t="shared" si="1759"/>
        <v>1107</v>
      </c>
      <c r="D1107" s="616">
        <v>1</v>
      </c>
      <c r="F1107" s="69"/>
      <c r="G1107" s="8"/>
      <c r="I1107" s="4"/>
      <c r="J1107" s="27"/>
      <c r="K1107" s="3"/>
      <c r="L1107" s="3"/>
      <c r="M1107" s="3"/>
      <c r="N1107" s="3"/>
      <c r="O1107" s="3" t="s">
        <v>555</v>
      </c>
      <c r="P1107" s="47"/>
      <c r="Q1107" s="47"/>
      <c r="R1107" s="1786" t="str">
        <f>CHOOSE(2, "6722000004008", "(3) IP from 3rd Party")</f>
        <v>(3) IP from 3rd Party</v>
      </c>
      <c r="S1107" s="1255">
        <f>S1092</f>
        <v>10601</v>
      </c>
      <c r="T1107" s="1255">
        <f t="shared" ref="T1107:AD1107" si="1762">T1092</f>
        <v>0</v>
      </c>
      <c r="U1107" s="1255">
        <f t="shared" si="1762"/>
        <v>0</v>
      </c>
      <c r="V1107" s="1255">
        <f t="shared" si="1762"/>
        <v>0</v>
      </c>
      <c r="W1107" s="1255">
        <f t="shared" si="1762"/>
        <v>0</v>
      </c>
      <c r="X1107" s="1255">
        <f t="shared" si="1762"/>
        <v>0</v>
      </c>
      <c r="Y1107" s="1255">
        <f t="shared" si="1762"/>
        <v>0</v>
      </c>
      <c r="Z1107" s="1255">
        <f t="shared" si="1762"/>
        <v>0</v>
      </c>
      <c r="AA1107" s="1255">
        <f t="shared" si="1762"/>
        <v>0</v>
      </c>
      <c r="AB1107" s="1255">
        <f t="shared" si="1762"/>
        <v>0</v>
      </c>
      <c r="AC1107" s="1255">
        <f t="shared" si="1762"/>
        <v>0</v>
      </c>
      <c r="AD1107" s="1255">
        <f t="shared" si="1762"/>
        <v>0</v>
      </c>
      <c r="AE1107" s="1240">
        <f t="shared" ref="AE1107:AK1107" si="1763">AE1092</f>
        <v>0</v>
      </c>
      <c r="AF1107" s="1255">
        <f t="shared" si="1763"/>
        <v>0</v>
      </c>
      <c r="AG1107" s="1255">
        <f t="shared" si="1763"/>
        <v>0</v>
      </c>
      <c r="AH1107" s="1255">
        <f t="shared" si="1763"/>
        <v>0</v>
      </c>
      <c r="AI1107" s="1255">
        <f t="shared" si="1763"/>
        <v>0</v>
      </c>
      <c r="AJ1107" s="1255">
        <f t="shared" si="1763"/>
        <v>0</v>
      </c>
      <c r="AK1107" s="1255">
        <f t="shared" si="1763"/>
        <v>0</v>
      </c>
      <c r="AL1107" s="392"/>
      <c r="AM1107" s="1970">
        <f t="shared" ca="1" si="1736"/>
        <v>10601</v>
      </c>
      <c r="AN1107" s="1970">
        <f t="shared" ca="1" si="1737"/>
        <v>12066</v>
      </c>
      <c r="AO1107" s="2966">
        <f t="shared" ca="1" si="1738"/>
        <v>-1465</v>
      </c>
      <c r="AP1107" s="2967">
        <f t="shared" ca="1" si="1739"/>
        <v>0.8785844521796784</v>
      </c>
      <c r="AQ1107" s="1970">
        <f t="shared" ca="1" si="1740"/>
        <v>7421</v>
      </c>
      <c r="AR1107" s="2966">
        <f t="shared" ca="1" si="1741"/>
        <v>3180</v>
      </c>
      <c r="AS1107" s="2967">
        <f t="shared" ca="1" si="1742"/>
        <v>1.4285136774019673</v>
      </c>
      <c r="AT1107" s="69"/>
      <c r="AU1107" s="1970">
        <f t="shared" ca="1" si="1743"/>
        <v>10601</v>
      </c>
      <c r="AV1107" s="1970">
        <f t="shared" ca="1" si="1744"/>
        <v>12066</v>
      </c>
      <c r="AW1107" s="2966">
        <f t="shared" ca="1" si="1745"/>
        <v>-1465</v>
      </c>
      <c r="AX1107" s="2967">
        <f t="shared" ca="1" si="1746"/>
        <v>0.8785844521796784</v>
      </c>
      <c r="AY1107" s="1970">
        <f t="shared" ca="1" si="1747"/>
        <v>7421</v>
      </c>
      <c r="AZ1107" s="2966">
        <f t="shared" ca="1" si="1748"/>
        <v>3180</v>
      </c>
      <c r="BA1107" s="2967">
        <f t="shared" ca="1" si="1749"/>
        <v>1.4285136774019673</v>
      </c>
      <c r="BB1107" s="69"/>
      <c r="BC1107" s="1970">
        <f t="shared" ca="1" si="1750"/>
        <v>10601</v>
      </c>
      <c r="BD1107" s="1970">
        <f t="shared" ca="1" si="1751"/>
        <v>12066</v>
      </c>
      <c r="BE1107" s="2966">
        <f t="shared" ca="1" si="1752"/>
        <v>-1465</v>
      </c>
      <c r="BF1107" s="2967">
        <f t="shared" ca="1" si="1753"/>
        <v>0.8785844521796784</v>
      </c>
      <c r="BG1107" s="1970">
        <f t="shared" ca="1" si="1754"/>
        <v>7421</v>
      </c>
      <c r="BH1107" s="2966">
        <f t="shared" ca="1" si="1755"/>
        <v>3180</v>
      </c>
      <c r="BI1107" s="2967">
        <f t="shared" ca="1" si="1756"/>
        <v>1.4285136774019673</v>
      </c>
    </row>
    <row r="1108" spans="1:61" ht="14.5">
      <c r="A1108" s="1693">
        <f t="shared" si="1688"/>
        <v>1091</v>
      </c>
      <c r="B1108" s="616">
        <v>1</v>
      </c>
      <c r="C1108" s="1693">
        <f t="shared" si="1759"/>
        <v>1108</v>
      </c>
      <c r="D1108" s="616">
        <v>1</v>
      </c>
      <c r="F1108" s="69"/>
      <c r="G1108" s="8"/>
      <c r="I1108" s="4"/>
      <c r="J1108" s="27"/>
      <c r="K1108" s="3"/>
      <c r="L1108" s="3"/>
      <c r="M1108" s="3"/>
      <c r="N1108" s="3"/>
      <c r="O1108" s="3"/>
      <c r="P1108" s="740" t="s">
        <v>670</v>
      </c>
      <c r="Q1108" s="3"/>
      <c r="R1108" s="1787" t="str">
        <f>CHOOSE(2, "6722000004009", "(3) IP from 3rd Party KM-1/KM-1e")</f>
        <v>(3) IP from 3rd Party KM-1/KM-1e</v>
      </c>
      <c r="S1108" s="1350"/>
      <c r="T1108" s="1350"/>
      <c r="U1108" s="1350"/>
      <c r="V1108" s="1350"/>
      <c r="W1108" s="1350"/>
      <c r="X1108" s="1350"/>
      <c r="Y1108" s="1281"/>
      <c r="Z1108" s="1281"/>
      <c r="AA1108" s="1281"/>
      <c r="AB1108" s="1281"/>
      <c r="AC1108" s="1281"/>
      <c r="AD1108" s="1281"/>
      <c r="AE1108" s="88">
        <f>U1108</f>
        <v>0</v>
      </c>
      <c r="AF1108" s="17">
        <f>X1108</f>
        <v>0</v>
      </c>
      <c r="AG1108" s="17">
        <f>AA1108</f>
        <v>0</v>
      </c>
      <c r="AH1108" s="17">
        <f>AD1108</f>
        <v>0</v>
      </c>
      <c r="AI1108" s="17">
        <f>AF1108</f>
        <v>0</v>
      </c>
      <c r="AJ1108" s="17">
        <f>AH1108</f>
        <v>0</v>
      </c>
      <c r="AK1108" s="17">
        <f>AJ1108</f>
        <v>0</v>
      </c>
      <c r="AL1108" s="392"/>
      <c r="AM1108" s="1378">
        <f t="shared" ca="1" si="1736"/>
        <v>0</v>
      </c>
      <c r="AN1108" s="1378">
        <f t="shared" ca="1" si="1737"/>
        <v>0</v>
      </c>
      <c r="AO1108" s="2968">
        <f t="shared" ca="1" si="1738"/>
        <v>0</v>
      </c>
      <c r="AP1108" s="2969">
        <f t="shared" ca="1" si="1739"/>
        <v>0</v>
      </c>
      <c r="AQ1108" s="1378">
        <f t="shared" ca="1" si="1740"/>
        <v>0</v>
      </c>
      <c r="AR1108" s="2968">
        <f t="shared" ca="1" si="1741"/>
        <v>0</v>
      </c>
      <c r="AS1108" s="2969">
        <f t="shared" ca="1" si="1742"/>
        <v>0</v>
      </c>
      <c r="AT1108" s="69"/>
      <c r="AU1108" s="1378">
        <f t="shared" ca="1" si="1743"/>
        <v>0</v>
      </c>
      <c r="AV1108" s="1378">
        <f t="shared" ca="1" si="1744"/>
        <v>0</v>
      </c>
      <c r="AW1108" s="2968">
        <f t="shared" ca="1" si="1745"/>
        <v>0</v>
      </c>
      <c r="AX1108" s="2969">
        <f t="shared" ca="1" si="1746"/>
        <v>0</v>
      </c>
      <c r="AY1108" s="1378">
        <f t="shared" ca="1" si="1747"/>
        <v>0</v>
      </c>
      <c r="AZ1108" s="2968">
        <f t="shared" ca="1" si="1748"/>
        <v>0</v>
      </c>
      <c r="BA1108" s="2969">
        <f t="shared" ca="1" si="1749"/>
        <v>0</v>
      </c>
      <c r="BB1108" s="69"/>
      <c r="BC1108" s="1378">
        <f t="shared" ca="1" si="1750"/>
        <v>0</v>
      </c>
      <c r="BD1108" s="1378">
        <f t="shared" ca="1" si="1751"/>
        <v>0</v>
      </c>
      <c r="BE1108" s="2968">
        <f t="shared" ca="1" si="1752"/>
        <v>0</v>
      </c>
      <c r="BF1108" s="2969">
        <f t="shared" ca="1" si="1753"/>
        <v>0</v>
      </c>
      <c r="BG1108" s="1378">
        <f t="shared" ca="1" si="1754"/>
        <v>0</v>
      </c>
      <c r="BH1108" s="2968">
        <f t="shared" ca="1" si="1755"/>
        <v>0</v>
      </c>
      <c r="BI1108" s="2969">
        <f t="shared" ca="1" si="1756"/>
        <v>0</v>
      </c>
    </row>
    <row r="1109" spans="1:61" ht="14.5">
      <c r="A1109" s="1693">
        <f t="shared" si="1688"/>
        <v>1092</v>
      </c>
      <c r="B1109" s="616">
        <v>1</v>
      </c>
      <c r="C1109" s="1693">
        <f t="shared" si="1759"/>
        <v>1109</v>
      </c>
      <c r="D1109" s="616">
        <v>1</v>
      </c>
      <c r="F1109" s="69"/>
      <c r="G1109" s="8"/>
      <c r="I1109" s="4"/>
      <c r="J1109" s="27"/>
      <c r="K1109" s="3"/>
      <c r="L1109" s="3"/>
      <c r="M1109" s="3"/>
      <c r="N1109" s="3"/>
      <c r="O1109" s="3"/>
      <c r="P1109" s="740" t="s">
        <v>552</v>
      </c>
      <c r="Q1109" s="3"/>
      <c r="R1109" s="1787" t="str">
        <f>CHOOSE(2, "6722000004010", "(3) IP from 3rd Party Label")</f>
        <v>(3) IP from 3rd Party Label</v>
      </c>
      <c r="S1109" s="1350"/>
      <c r="T1109" s="1350"/>
      <c r="U1109" s="1350"/>
      <c r="V1109" s="1350"/>
      <c r="W1109" s="1350"/>
      <c r="X1109" s="1350"/>
      <c r="Y1109" s="1281"/>
      <c r="Z1109" s="1281"/>
      <c r="AA1109" s="1281"/>
      <c r="AB1109" s="1281"/>
      <c r="AC1109" s="1281"/>
      <c r="AD1109" s="1281"/>
      <c r="AE1109" s="88">
        <f>U1109</f>
        <v>0</v>
      </c>
      <c r="AF1109" s="17">
        <f>X1109</f>
        <v>0</v>
      </c>
      <c r="AG1109" s="17">
        <f>AA1109</f>
        <v>0</v>
      </c>
      <c r="AH1109" s="17">
        <f>AD1109</f>
        <v>0</v>
      </c>
      <c r="AI1109" s="17">
        <f>AF1109</f>
        <v>0</v>
      </c>
      <c r="AJ1109" s="17">
        <f>AH1109</f>
        <v>0</v>
      </c>
      <c r="AK1109" s="17">
        <f>AJ1109</f>
        <v>0</v>
      </c>
      <c r="AL1109" s="392"/>
      <c r="AM1109" s="1378">
        <f t="shared" ca="1" si="1736"/>
        <v>0</v>
      </c>
      <c r="AN1109" s="1378">
        <f t="shared" ca="1" si="1737"/>
        <v>0</v>
      </c>
      <c r="AO1109" s="2968">
        <f t="shared" ca="1" si="1738"/>
        <v>0</v>
      </c>
      <c r="AP1109" s="2969">
        <f t="shared" ca="1" si="1739"/>
        <v>0</v>
      </c>
      <c r="AQ1109" s="1378">
        <f t="shared" ca="1" si="1740"/>
        <v>0</v>
      </c>
      <c r="AR1109" s="2968">
        <f t="shared" ca="1" si="1741"/>
        <v>0</v>
      </c>
      <c r="AS1109" s="2969">
        <f t="shared" ca="1" si="1742"/>
        <v>0</v>
      </c>
      <c r="AT1109" s="69"/>
      <c r="AU1109" s="1378">
        <f t="shared" ca="1" si="1743"/>
        <v>0</v>
      </c>
      <c r="AV1109" s="1378">
        <f t="shared" ca="1" si="1744"/>
        <v>0</v>
      </c>
      <c r="AW1109" s="2968">
        <f t="shared" ca="1" si="1745"/>
        <v>0</v>
      </c>
      <c r="AX1109" s="2969">
        <f t="shared" ca="1" si="1746"/>
        <v>0</v>
      </c>
      <c r="AY1109" s="1378">
        <f t="shared" ca="1" si="1747"/>
        <v>0</v>
      </c>
      <c r="AZ1109" s="2968">
        <f t="shared" ca="1" si="1748"/>
        <v>0</v>
      </c>
      <c r="BA1109" s="2969">
        <f t="shared" ca="1" si="1749"/>
        <v>0</v>
      </c>
      <c r="BB1109" s="69"/>
      <c r="BC1109" s="1378">
        <f t="shared" ca="1" si="1750"/>
        <v>0</v>
      </c>
      <c r="BD1109" s="1378">
        <f t="shared" ca="1" si="1751"/>
        <v>0</v>
      </c>
      <c r="BE1109" s="2968">
        <f t="shared" ca="1" si="1752"/>
        <v>0</v>
      </c>
      <c r="BF1109" s="2969">
        <f t="shared" ca="1" si="1753"/>
        <v>0</v>
      </c>
      <c r="BG1109" s="1378">
        <f t="shared" ca="1" si="1754"/>
        <v>0</v>
      </c>
      <c r="BH1109" s="2968">
        <f t="shared" ca="1" si="1755"/>
        <v>0</v>
      </c>
      <c r="BI1109" s="2969">
        <f t="shared" ca="1" si="1756"/>
        <v>0</v>
      </c>
    </row>
    <row r="1110" spans="1:61" ht="14.5">
      <c r="A1110" s="1693">
        <f t="shared" si="1688"/>
        <v>1093</v>
      </c>
      <c r="B1110" s="616">
        <v>1</v>
      </c>
      <c r="C1110" s="1693">
        <f t="shared" si="1759"/>
        <v>1110</v>
      </c>
      <c r="D1110" s="616">
        <v>1</v>
      </c>
      <c r="F1110" s="69"/>
      <c r="G1110" s="8"/>
      <c r="I1110" s="4"/>
      <c r="J1110" s="25"/>
      <c r="K1110" s="1"/>
      <c r="L1110" s="1"/>
      <c r="M1110" s="1"/>
      <c r="N1110" s="1"/>
      <c r="O1110" s="1"/>
      <c r="P1110" s="741" t="s">
        <v>554</v>
      </c>
      <c r="Q1110" s="1"/>
      <c r="R1110" s="1786" t="str">
        <f>CHOOSE(2, "6722000004011", "(3) IP from 3rd Party Others")</f>
        <v>(3) IP from 3rd Party Others</v>
      </c>
      <c r="S1110" s="1290">
        <f t="shared" ref="S1110:AD1110" si="1764">S1107-SUM(S1108:S1109)</f>
        <v>10601</v>
      </c>
      <c r="T1110" s="1290">
        <f t="shared" si="1764"/>
        <v>0</v>
      </c>
      <c r="U1110" s="1290">
        <f t="shared" si="1764"/>
        <v>0</v>
      </c>
      <c r="V1110" s="1290">
        <f t="shared" si="1764"/>
        <v>0</v>
      </c>
      <c r="W1110" s="1290">
        <f t="shared" si="1764"/>
        <v>0</v>
      </c>
      <c r="X1110" s="1290">
        <f t="shared" si="1764"/>
        <v>0</v>
      </c>
      <c r="Y1110" s="1228">
        <f t="shared" si="1764"/>
        <v>0</v>
      </c>
      <c r="Z1110" s="1228">
        <f t="shared" si="1764"/>
        <v>0</v>
      </c>
      <c r="AA1110" s="1228">
        <f t="shared" si="1764"/>
        <v>0</v>
      </c>
      <c r="AB1110" s="1228">
        <f t="shared" si="1764"/>
        <v>0</v>
      </c>
      <c r="AC1110" s="1228">
        <f t="shared" si="1764"/>
        <v>0</v>
      </c>
      <c r="AD1110" s="1228">
        <f t="shared" si="1764"/>
        <v>0</v>
      </c>
      <c r="AE1110" s="784">
        <f>U1110</f>
        <v>0</v>
      </c>
      <c r="AF1110" s="1228">
        <f>X1110</f>
        <v>0</v>
      </c>
      <c r="AG1110" s="1228">
        <f>AA1110</f>
        <v>0</v>
      </c>
      <c r="AH1110" s="1228">
        <f>AD1110</f>
        <v>0</v>
      </c>
      <c r="AI1110" s="1228">
        <f>AF1110</f>
        <v>0</v>
      </c>
      <c r="AJ1110" s="1228">
        <f>AH1110</f>
        <v>0</v>
      </c>
      <c r="AK1110" s="1228">
        <f>AJ1110</f>
        <v>0</v>
      </c>
      <c r="AL1110" s="392"/>
      <c r="AM1110" s="1379">
        <f t="shared" ca="1" si="1736"/>
        <v>10601</v>
      </c>
      <c r="AN1110" s="1379">
        <f t="shared" ca="1" si="1737"/>
        <v>12066</v>
      </c>
      <c r="AO1110" s="2970">
        <f t="shared" ca="1" si="1738"/>
        <v>-1465</v>
      </c>
      <c r="AP1110" s="2971">
        <f t="shared" ca="1" si="1739"/>
        <v>0.8785844521796784</v>
      </c>
      <c r="AQ1110" s="1379">
        <f t="shared" ca="1" si="1740"/>
        <v>7421</v>
      </c>
      <c r="AR1110" s="2970">
        <f t="shared" ca="1" si="1741"/>
        <v>3180</v>
      </c>
      <c r="AS1110" s="2971">
        <f t="shared" ca="1" si="1742"/>
        <v>1.4285136774019673</v>
      </c>
      <c r="AT1110" s="69"/>
      <c r="AU1110" s="1379">
        <f t="shared" ca="1" si="1743"/>
        <v>10601</v>
      </c>
      <c r="AV1110" s="1379">
        <f t="shared" ca="1" si="1744"/>
        <v>12066</v>
      </c>
      <c r="AW1110" s="2970">
        <f t="shared" ca="1" si="1745"/>
        <v>-1465</v>
      </c>
      <c r="AX1110" s="2971">
        <f t="shared" ca="1" si="1746"/>
        <v>0.8785844521796784</v>
      </c>
      <c r="AY1110" s="1379">
        <f t="shared" ca="1" si="1747"/>
        <v>7421</v>
      </c>
      <c r="AZ1110" s="2970">
        <f t="shared" ca="1" si="1748"/>
        <v>3180</v>
      </c>
      <c r="BA1110" s="2971">
        <f t="shared" ca="1" si="1749"/>
        <v>1.4285136774019673</v>
      </c>
      <c r="BB1110" s="69"/>
      <c r="BC1110" s="1379">
        <f t="shared" ca="1" si="1750"/>
        <v>10601</v>
      </c>
      <c r="BD1110" s="1379">
        <f t="shared" ca="1" si="1751"/>
        <v>12066</v>
      </c>
      <c r="BE1110" s="2970">
        <f t="shared" ca="1" si="1752"/>
        <v>-1465</v>
      </c>
      <c r="BF1110" s="2971">
        <f t="shared" ca="1" si="1753"/>
        <v>0.8785844521796784</v>
      </c>
      <c r="BG1110" s="1379">
        <f t="shared" ca="1" si="1754"/>
        <v>7421</v>
      </c>
      <c r="BH1110" s="2970">
        <f t="shared" ca="1" si="1755"/>
        <v>3180</v>
      </c>
      <c r="BI1110" s="2971">
        <f t="shared" ca="1" si="1756"/>
        <v>1.4285136774019673</v>
      </c>
    </row>
    <row r="1111" spans="1:61" ht="14.5">
      <c r="A1111" s="1693">
        <f t="shared" si="1688"/>
        <v>1094</v>
      </c>
      <c r="B1111" s="616">
        <v>1</v>
      </c>
      <c r="C1111" s="1693">
        <f t="shared" si="1759"/>
        <v>1111</v>
      </c>
      <c r="D1111" s="616">
        <v>1</v>
      </c>
      <c r="F1111" s="69"/>
      <c r="I1111" s="4"/>
      <c r="J1111" s="4"/>
      <c r="K1111" s="3"/>
      <c r="L1111" s="3"/>
      <c r="M1111" s="3"/>
      <c r="N1111" s="3"/>
      <c r="O1111" s="739"/>
      <c r="P1111" s="3"/>
      <c r="Q1111" s="3"/>
      <c r="R1111" s="1773" t="str">
        <f>CHOOSE(2, "6722000004012", "▷ Blank 35")</f>
        <v>▷ Blank 35</v>
      </c>
      <c r="S1111" s="1608"/>
      <c r="T1111" s="1609"/>
      <c r="U1111" s="1609"/>
      <c r="V1111" s="1609"/>
      <c r="W1111" s="1609"/>
      <c r="X1111" s="1609"/>
      <c r="Y1111" s="1366"/>
      <c r="Z1111" s="1366"/>
      <c r="AA1111" s="1366"/>
      <c r="AB1111" s="1366"/>
      <c r="AC1111" s="69"/>
      <c r="AD1111" s="69"/>
      <c r="AE1111" s="69"/>
      <c r="AF1111" s="69"/>
      <c r="AG1111" s="69"/>
      <c r="AH1111" s="69"/>
      <c r="AI1111" s="69"/>
      <c r="AJ1111" s="69"/>
      <c r="AK1111" s="69"/>
      <c r="AL1111" s="392"/>
    </row>
    <row r="1112" spans="1:61" ht="18">
      <c r="A1112" s="1693">
        <f t="shared" si="1688"/>
        <v>1095</v>
      </c>
      <c r="B1112" s="616">
        <v>1</v>
      </c>
      <c r="C1112" s="1693">
        <f t="shared" si="1759"/>
        <v>1112</v>
      </c>
      <c r="D1112" s="616">
        <v>1</v>
      </c>
      <c r="F1112" s="69"/>
      <c r="G1112" s="242" t="s">
        <v>394</v>
      </c>
      <c r="H1112" s="242"/>
      <c r="R1112" s="1772" t="str">
        <f>CHOOSE(2, "6722000004013", "5. One Rate / Free to Fee")</f>
        <v>5. One Rate / Free to Fee</v>
      </c>
      <c r="S1112" s="1125"/>
      <c r="T1112" s="1366"/>
      <c r="U1112" s="1366"/>
      <c r="V1112" s="1366"/>
      <c r="W1112" s="1366"/>
      <c r="X1112" s="1366"/>
      <c r="Y1112" s="1366"/>
      <c r="Z1112" s="1366"/>
      <c r="AA1112" s="1366"/>
      <c r="AB1112" s="1366"/>
      <c r="AC1112" s="69"/>
      <c r="AD1112" s="69"/>
      <c r="AE1112" s="69"/>
      <c r="AF1112" s="69"/>
      <c r="AG1112" s="69"/>
      <c r="AH1112" s="69"/>
      <c r="AI1112" s="69"/>
      <c r="AJ1112" s="69"/>
      <c r="AK1112" s="69"/>
      <c r="AL1112" s="392"/>
    </row>
    <row r="1113" spans="1:61" ht="15.5">
      <c r="A1113" s="1693">
        <f t="shared" si="1688"/>
        <v>1096</v>
      </c>
      <c r="B1113" s="616">
        <v>1</v>
      </c>
      <c r="C1113" s="1693">
        <f t="shared" si="1759"/>
        <v>1113</v>
      </c>
      <c r="D1113" s="616">
        <v>1</v>
      </c>
      <c r="F1113" s="69"/>
      <c r="G1113" s="244"/>
      <c r="H1113" s="243" t="s">
        <v>387</v>
      </c>
      <c r="Q1113" s="578" t="s">
        <v>408</v>
      </c>
      <c r="R1113" s="1772" t="str">
        <f>CHOOSE(2, "6722000004014", "5-1. One Rate  (included in Office/ITS)")</f>
        <v>5-1. One Rate  (included in Office/ITS)</v>
      </c>
      <c r="S1113" s="1125"/>
      <c r="T1113" s="1366"/>
      <c r="U1113" s="1366"/>
      <c r="V1113" s="1366"/>
      <c r="W1113" s="1366"/>
      <c r="X1113" s="1366"/>
      <c r="Y1113" s="1366"/>
      <c r="Z1113" s="1366"/>
      <c r="AA1113" s="1366"/>
      <c r="AB1113" s="1366"/>
      <c r="AC1113" s="69"/>
      <c r="AD1113" s="69"/>
      <c r="AE1113" s="69"/>
      <c r="AF1113" s="69"/>
      <c r="AG1113" s="69"/>
      <c r="AH1113" s="69"/>
      <c r="AI1113" s="69"/>
      <c r="AJ1113" s="69"/>
      <c r="AK1113" s="69"/>
      <c r="AL1113" s="392"/>
    </row>
    <row r="1114" spans="1:61" ht="14.5">
      <c r="A1114" s="1693">
        <f t="shared" si="1688"/>
        <v>1097</v>
      </c>
      <c r="B1114" s="616">
        <v>1</v>
      </c>
      <c r="C1114" s="1693">
        <f t="shared" si="1759"/>
        <v>1114</v>
      </c>
      <c r="D1114" s="616">
        <v>1</v>
      </c>
      <c r="F1114" s="69"/>
      <c r="G1114" s="244"/>
      <c r="J1114" s="556" t="s">
        <v>390</v>
      </c>
      <c r="K1114" s="557"/>
      <c r="L1114" s="557"/>
      <c r="M1114" s="557"/>
      <c r="N1114" s="557"/>
      <c r="O1114" s="557"/>
      <c r="P1114" s="557"/>
      <c r="Q1114" s="566" t="s">
        <v>389</v>
      </c>
      <c r="R1114" s="1781" t="str">
        <f>CHOOSE(2, "6722000004015", "Unit Sales (One Rate) (Unit)")</f>
        <v>Unit Sales (One Rate) (Unit)</v>
      </c>
      <c r="S1114" s="1296"/>
      <c r="T1114" s="1296"/>
      <c r="U1114" s="1296"/>
      <c r="V1114" s="1296"/>
      <c r="W1114" s="1296"/>
      <c r="X1114" s="1296"/>
      <c r="Y1114" s="1296"/>
      <c r="Z1114" s="1296"/>
      <c r="AA1114" s="1296"/>
      <c r="AB1114" s="1296"/>
      <c r="AC1114" s="1296"/>
      <c r="AD1114" s="1296"/>
      <c r="AE1114" s="920">
        <f>SUM(S1114,T1114,U1114)</f>
        <v>0</v>
      </c>
      <c r="AF1114" s="570">
        <f>SUM(V1114,W1114,X1114)</f>
        <v>0</v>
      </c>
      <c r="AG1114" s="570">
        <f>SUM(Y1114,Z1114,AA1114)</f>
        <v>0</v>
      </c>
      <c r="AH1114" s="570">
        <f>SUM(AB1114,AC1114,AD1114)</f>
        <v>0</v>
      </c>
      <c r="AI1114" s="570">
        <f>AE1114+AF1114</f>
        <v>0</v>
      </c>
      <c r="AJ1114" s="570">
        <f>AH1114+AG1114</f>
        <v>0</v>
      </c>
      <c r="AK1114" s="570">
        <f>AI1114+AJ1114</f>
        <v>0</v>
      </c>
      <c r="AL1114" s="392"/>
      <c r="AM1114" s="2297">
        <f ca="1">SUM((INDIRECT(AM$2&amp;(ROW())):INDIRECT(AM$3&amp;(ROW()))))</f>
        <v>0</v>
      </c>
      <c r="AN1114" s="2297">
        <f ca="1">SUM(INDIRECT(AN$1&amp;AN$2&amp;$C1114):INDIRECT(AN$1&amp;AN$3&amp;$C1114))</f>
        <v>0</v>
      </c>
      <c r="AO1114" s="2972">
        <f t="shared" ca="1" si="1698"/>
        <v>0</v>
      </c>
      <c r="AP1114" s="2973">
        <f ca="1">IFERROR(AM1114/AN1114,0)</f>
        <v>0</v>
      </c>
      <c r="AQ1114" s="2297">
        <f ca="1">SUM(INDIRECT(AQ$1&amp;AQ$2&amp;$A1114):INDIRECT(AQ$1&amp;AQ$3&amp;$A1114))+SUM(INDIRECT(AQ$1&amp;AQ$2&amp;$B1114):INDIRECT(AQ$1&amp;AQ$3&amp;$B1114))</f>
        <v>0</v>
      </c>
      <c r="AR1114" s="2972">
        <f t="shared" ref="AR1114:AR1117" ca="1" si="1765">AM1114-AQ1114</f>
        <v>0</v>
      </c>
      <c r="AS1114" s="2973">
        <f t="shared" ref="AS1114:AS1117" ca="1" si="1766">IFERROR(AM1114/AQ1114,0)</f>
        <v>0</v>
      </c>
      <c r="AU1114" s="2297">
        <f ca="1">SUM((INDIRECT(AU$2&amp;(ROW())):INDIRECT(AU$3&amp;(ROW()))))</f>
        <v>0</v>
      </c>
      <c r="AV1114" s="2297">
        <f ca="1">SUM(INDIRECT(AV$1&amp;AV$2&amp;$C1114):INDIRECT(AV$1&amp;AV$3&amp;$C1114))</f>
        <v>0</v>
      </c>
      <c r="AW1114" s="2972">
        <f t="shared" ref="AW1114:AW1117" ca="1" si="1767">AU1114-AV1114</f>
        <v>0</v>
      </c>
      <c r="AX1114" s="2973">
        <f t="shared" ref="AX1114:AX1117" ca="1" si="1768">IFERROR(AU1114/AV1114,0)</f>
        <v>0</v>
      </c>
      <c r="AY1114" s="2297">
        <f ca="1">SUM(INDIRECT(AY$1&amp;AY$2&amp;$A1114):INDIRECT(AY$1&amp;AY$3&amp;$A1114))+SUM(INDIRECT(AY$1&amp;AY$2&amp;$B1114):INDIRECT(AY$1&amp;AY$3&amp;$B1114))</f>
        <v>0</v>
      </c>
      <c r="AZ1114" s="2972">
        <f t="shared" ref="AZ1114:AZ1117" ca="1" si="1769">AU1114-AY1114</f>
        <v>0</v>
      </c>
      <c r="BA1114" s="2973">
        <f t="shared" ref="BA1114:BA1117" ca="1" si="1770">IFERROR(AU1114/AY1114,0)</f>
        <v>0</v>
      </c>
      <c r="BC1114" s="2297">
        <f ca="1">SUM((INDIRECT(BC$2&amp;(ROW())):INDIRECT(BC$3&amp;(ROW()))))</f>
        <v>0</v>
      </c>
      <c r="BD1114" s="2297">
        <f ca="1">SUM(INDIRECT(BD$1&amp;BD$2&amp;$C1114):INDIRECT(BD$1&amp;BD$3&amp;$C1114))</f>
        <v>0</v>
      </c>
      <c r="BE1114" s="2972">
        <f t="shared" ref="BE1114:BE1117" ca="1" si="1771">BC1114-BD1114</f>
        <v>0</v>
      </c>
      <c r="BF1114" s="2973">
        <f t="shared" ref="BF1114:BF1117" ca="1" si="1772">IFERROR(BC1114/BD1114,0)</f>
        <v>0</v>
      </c>
      <c r="BG1114" s="2297">
        <f ca="1">SUM(INDIRECT(BG$1&amp;BG$2&amp;$A1114):INDIRECT(BG$1&amp;BG$3&amp;$A1114))+SUM(INDIRECT(BG$1&amp;BG$2&amp;$B1114):INDIRECT(BG$1&amp;BG$3&amp;$B1114))</f>
        <v>0</v>
      </c>
      <c r="BH1114" s="2972">
        <f t="shared" ref="BH1114:BH1117" ca="1" si="1773">BC1114-BG1114</f>
        <v>0</v>
      </c>
      <c r="BI1114" s="2973">
        <f t="shared" ref="BI1114:BI1117" ca="1" si="1774">IFERROR(BC1114/BG1114,0)</f>
        <v>0</v>
      </c>
    </row>
    <row r="1115" spans="1:61" ht="14.5">
      <c r="A1115" s="1693">
        <f t="shared" si="1688"/>
        <v>1098</v>
      </c>
      <c r="B1115" s="616">
        <v>1</v>
      </c>
      <c r="C1115" s="1693">
        <f t="shared" si="1759"/>
        <v>1115</v>
      </c>
      <c r="D1115" s="616">
        <v>1</v>
      </c>
      <c r="F1115" s="69"/>
      <c r="G1115" s="244"/>
      <c r="J1115" s="562" t="s">
        <v>391</v>
      </c>
      <c r="K1115" s="563"/>
      <c r="L1115" s="563"/>
      <c r="M1115" s="563"/>
      <c r="N1115" s="563"/>
      <c r="O1115" s="563"/>
      <c r="P1115" s="563"/>
      <c r="Q1115" s="563"/>
      <c r="R1115" s="1823" t="str">
        <f>CHOOSE(2, "6722000004016", "Net Sales (One Rate)")</f>
        <v>Net Sales (One Rate)</v>
      </c>
      <c r="S1115" s="1297">
        <f>S1116+S1117</f>
        <v>0</v>
      </c>
      <c r="T1115" s="1297">
        <f t="shared" ref="T1115:AD1115" si="1775">T1116+T1117</f>
        <v>0</v>
      </c>
      <c r="U1115" s="1297">
        <f t="shared" si="1775"/>
        <v>0</v>
      </c>
      <c r="V1115" s="1297">
        <f t="shared" si="1775"/>
        <v>0</v>
      </c>
      <c r="W1115" s="1297">
        <f t="shared" si="1775"/>
        <v>0</v>
      </c>
      <c r="X1115" s="1297">
        <f t="shared" si="1775"/>
        <v>0</v>
      </c>
      <c r="Y1115" s="1297">
        <f t="shared" si="1775"/>
        <v>0</v>
      </c>
      <c r="Z1115" s="1297">
        <f t="shared" si="1775"/>
        <v>0</v>
      </c>
      <c r="AA1115" s="1297">
        <f t="shared" si="1775"/>
        <v>0</v>
      </c>
      <c r="AB1115" s="1297">
        <f t="shared" si="1775"/>
        <v>0</v>
      </c>
      <c r="AC1115" s="1297">
        <f t="shared" si="1775"/>
        <v>0</v>
      </c>
      <c r="AD1115" s="1297">
        <f t="shared" si="1775"/>
        <v>0</v>
      </c>
      <c r="AE1115" s="921">
        <f>SUM(S1115:U1115)</f>
        <v>0</v>
      </c>
      <c r="AF1115" s="1297">
        <f>SUM(V1115:X1115)</f>
        <v>0</v>
      </c>
      <c r="AG1115" s="1297">
        <f>SUM(Y1115:AA1115)</f>
        <v>0</v>
      </c>
      <c r="AH1115" s="1297">
        <f>SUM(AB1115:AD1115)</f>
        <v>0</v>
      </c>
      <c r="AI1115" s="1297">
        <f>AE1115+AF1115</f>
        <v>0</v>
      </c>
      <c r="AJ1115" s="1297">
        <f>AH1115+AG1115</f>
        <v>0</v>
      </c>
      <c r="AK1115" s="1297">
        <f>AI1115+AJ1115</f>
        <v>0</v>
      </c>
      <c r="AL1115" s="392"/>
      <c r="AM1115" s="2299">
        <f ca="1">SUM((INDIRECT(AM$2&amp;(ROW())):INDIRECT(AM$3&amp;(ROW()))))</f>
        <v>0</v>
      </c>
      <c r="AN1115" s="2299">
        <f ca="1">SUM(INDIRECT(AN$1&amp;AN$2&amp;$C1115):INDIRECT(AN$1&amp;AN$3&amp;$C1115))</f>
        <v>0</v>
      </c>
      <c r="AO1115" s="2974">
        <f t="shared" ca="1" si="1698"/>
        <v>0</v>
      </c>
      <c r="AP1115" s="2975">
        <f ca="1">IFERROR(AM1115/AN1115,0)</f>
        <v>0</v>
      </c>
      <c r="AQ1115" s="2299">
        <f ca="1">SUM(INDIRECT(AQ$1&amp;AQ$2&amp;$A1115):INDIRECT(AQ$1&amp;AQ$3&amp;$A1115))+SUM(INDIRECT(AQ$1&amp;AQ$2&amp;$B1115):INDIRECT(AQ$1&amp;AQ$3&amp;$B1115))</f>
        <v>0</v>
      </c>
      <c r="AR1115" s="2974">
        <f t="shared" ca="1" si="1765"/>
        <v>0</v>
      </c>
      <c r="AS1115" s="2975">
        <f t="shared" ca="1" si="1766"/>
        <v>0</v>
      </c>
      <c r="AU1115" s="2299">
        <f ca="1">SUM((INDIRECT(AU$2&amp;(ROW())):INDIRECT(AU$3&amp;(ROW()))))</f>
        <v>0</v>
      </c>
      <c r="AV1115" s="2299">
        <f ca="1">SUM(INDIRECT(AV$1&amp;AV$2&amp;$C1115):INDIRECT(AV$1&amp;AV$3&amp;$C1115))</f>
        <v>0</v>
      </c>
      <c r="AW1115" s="2974">
        <f t="shared" ca="1" si="1767"/>
        <v>0</v>
      </c>
      <c r="AX1115" s="2975">
        <f t="shared" ca="1" si="1768"/>
        <v>0</v>
      </c>
      <c r="AY1115" s="2299">
        <f ca="1">SUM(INDIRECT(AY$1&amp;AY$2&amp;$A1115):INDIRECT(AY$1&amp;AY$3&amp;$A1115))+SUM(INDIRECT(AY$1&amp;AY$2&amp;$B1115):INDIRECT(AY$1&amp;AY$3&amp;$B1115))</f>
        <v>0</v>
      </c>
      <c r="AZ1115" s="2974">
        <f t="shared" ca="1" si="1769"/>
        <v>0</v>
      </c>
      <c r="BA1115" s="2975">
        <f t="shared" ca="1" si="1770"/>
        <v>0</v>
      </c>
      <c r="BC1115" s="2299">
        <f ca="1">SUM((INDIRECT(BC$2&amp;(ROW())):INDIRECT(BC$3&amp;(ROW()))))</f>
        <v>0</v>
      </c>
      <c r="BD1115" s="2299">
        <f ca="1">SUM(INDIRECT(BD$1&amp;BD$2&amp;$C1115):INDIRECT(BD$1&amp;BD$3&amp;$C1115))</f>
        <v>0</v>
      </c>
      <c r="BE1115" s="2974">
        <f t="shared" ca="1" si="1771"/>
        <v>0</v>
      </c>
      <c r="BF1115" s="2975">
        <f t="shared" ca="1" si="1772"/>
        <v>0</v>
      </c>
      <c r="BG1115" s="2299">
        <f ca="1">SUM(INDIRECT(BG$1&amp;BG$2&amp;$A1115):INDIRECT(BG$1&amp;BG$3&amp;$A1115))+SUM(INDIRECT(BG$1&amp;BG$2&amp;$B1115):INDIRECT(BG$1&amp;BG$3&amp;$B1115))</f>
        <v>0</v>
      </c>
      <c r="BH1115" s="2974">
        <f t="shared" ca="1" si="1773"/>
        <v>0</v>
      </c>
      <c r="BI1115" s="2975">
        <f t="shared" ca="1" si="1774"/>
        <v>0</v>
      </c>
    </row>
    <row r="1116" spans="1:61" ht="14.5">
      <c r="A1116" s="1693">
        <f t="shared" si="1688"/>
        <v>1099</v>
      </c>
      <c r="B1116" s="616">
        <v>1</v>
      </c>
      <c r="C1116" s="1693">
        <f t="shared" si="1759"/>
        <v>1116</v>
      </c>
      <c r="D1116" s="616">
        <v>1</v>
      </c>
      <c r="F1116" s="69"/>
      <c r="G1116" s="244"/>
      <c r="J1116" s="564"/>
      <c r="K1116" s="565" t="s">
        <v>384</v>
      </c>
      <c r="L1116" s="565"/>
      <c r="M1116" s="565"/>
      <c r="N1116" s="565"/>
      <c r="O1116" s="565"/>
      <c r="P1116" s="565"/>
      <c r="Q1116" s="565"/>
      <c r="R1116" s="1781" t="str">
        <f>CHOOSE(2, "6722000004017", "Net Sales (One Rate) HW(One Rate)")</f>
        <v>Net Sales (One Rate) HW(One Rate)</v>
      </c>
      <c r="S1116" s="1300"/>
      <c r="T1116" s="1300"/>
      <c r="U1116" s="1300"/>
      <c r="V1116" s="1300"/>
      <c r="W1116" s="1300"/>
      <c r="X1116" s="1300"/>
      <c r="Y1116" s="1300"/>
      <c r="Z1116" s="1300"/>
      <c r="AA1116" s="1300"/>
      <c r="AB1116" s="1300"/>
      <c r="AC1116" s="1300"/>
      <c r="AD1116" s="1300"/>
      <c r="AE1116" s="922">
        <f>SUM(S1116,T1116,U1116)</f>
        <v>0</v>
      </c>
      <c r="AF1116" s="569">
        <f>SUM(V1116,W1116,X1116)</f>
        <v>0</v>
      </c>
      <c r="AG1116" s="569">
        <f>SUM(Y1116,Z1116,AA1116)</f>
        <v>0</v>
      </c>
      <c r="AH1116" s="569">
        <f>SUM(AB1116,AC1116,AD1116)</f>
        <v>0</v>
      </c>
      <c r="AI1116" s="569">
        <f>AE1116+AF1116</f>
        <v>0</v>
      </c>
      <c r="AJ1116" s="569">
        <f>AH1116+AG1116</f>
        <v>0</v>
      </c>
      <c r="AK1116" s="569">
        <f>AI1116+AJ1116</f>
        <v>0</v>
      </c>
      <c r="AL1116" s="392"/>
      <c r="AM1116" s="2303">
        <f ca="1">SUM((INDIRECT(AM$2&amp;(ROW())):INDIRECT(AM$3&amp;(ROW()))))</f>
        <v>0</v>
      </c>
      <c r="AN1116" s="2303">
        <f ca="1">SUM(INDIRECT(AN$1&amp;AN$2&amp;$C1116):INDIRECT(AN$1&amp;AN$3&amp;$C1116))</f>
        <v>0</v>
      </c>
      <c r="AO1116" s="2976">
        <f t="shared" ca="1" si="1698"/>
        <v>0</v>
      </c>
      <c r="AP1116" s="2977">
        <f ca="1">IFERROR(AM1116/AN1116,0)</f>
        <v>0</v>
      </c>
      <c r="AQ1116" s="2303">
        <f ca="1">SUM(INDIRECT(AQ$1&amp;AQ$2&amp;$A1116):INDIRECT(AQ$1&amp;AQ$3&amp;$A1116))+SUM(INDIRECT(AQ$1&amp;AQ$2&amp;$B1116):INDIRECT(AQ$1&amp;AQ$3&amp;$B1116))</f>
        <v>0</v>
      </c>
      <c r="AR1116" s="2976">
        <f t="shared" ca="1" si="1765"/>
        <v>0</v>
      </c>
      <c r="AS1116" s="2977">
        <f t="shared" ca="1" si="1766"/>
        <v>0</v>
      </c>
      <c r="AU1116" s="2303">
        <f ca="1">SUM((INDIRECT(AU$2&amp;(ROW())):INDIRECT(AU$3&amp;(ROW()))))</f>
        <v>0</v>
      </c>
      <c r="AV1116" s="2303">
        <f ca="1">SUM(INDIRECT(AV$1&amp;AV$2&amp;$C1116):INDIRECT(AV$1&amp;AV$3&amp;$C1116))</f>
        <v>0</v>
      </c>
      <c r="AW1116" s="2976">
        <f t="shared" ca="1" si="1767"/>
        <v>0</v>
      </c>
      <c r="AX1116" s="2977">
        <f t="shared" ca="1" si="1768"/>
        <v>0</v>
      </c>
      <c r="AY1116" s="2303">
        <f ca="1">SUM(INDIRECT(AY$1&amp;AY$2&amp;$A1116):INDIRECT(AY$1&amp;AY$3&amp;$A1116))+SUM(INDIRECT(AY$1&amp;AY$2&amp;$B1116):INDIRECT(AY$1&amp;AY$3&amp;$B1116))</f>
        <v>0</v>
      </c>
      <c r="AZ1116" s="2976">
        <f t="shared" ca="1" si="1769"/>
        <v>0</v>
      </c>
      <c r="BA1116" s="2977">
        <f t="shared" ca="1" si="1770"/>
        <v>0</v>
      </c>
      <c r="BC1116" s="2303">
        <f ca="1">SUM((INDIRECT(BC$2&amp;(ROW())):INDIRECT(BC$3&amp;(ROW()))))</f>
        <v>0</v>
      </c>
      <c r="BD1116" s="2303">
        <f ca="1">SUM(INDIRECT(BD$1&amp;BD$2&amp;$C1116):INDIRECT(BD$1&amp;BD$3&amp;$C1116))</f>
        <v>0</v>
      </c>
      <c r="BE1116" s="2976">
        <f t="shared" ca="1" si="1771"/>
        <v>0</v>
      </c>
      <c r="BF1116" s="2977">
        <f t="shared" ca="1" si="1772"/>
        <v>0</v>
      </c>
      <c r="BG1116" s="2303">
        <f ca="1">SUM(INDIRECT(BG$1&amp;BG$2&amp;$A1116):INDIRECT(BG$1&amp;BG$3&amp;$A1116))+SUM(INDIRECT(BG$1&amp;BG$2&amp;$B1116):INDIRECT(BG$1&amp;BG$3&amp;$B1116))</f>
        <v>0</v>
      </c>
      <c r="BH1116" s="2976">
        <f t="shared" ca="1" si="1773"/>
        <v>0</v>
      </c>
      <c r="BI1116" s="2977">
        <f t="shared" ca="1" si="1774"/>
        <v>0</v>
      </c>
    </row>
    <row r="1117" spans="1:61" ht="14.5">
      <c r="A1117" s="1693">
        <f t="shared" si="1688"/>
        <v>1100</v>
      </c>
      <c r="B1117" s="616">
        <v>1</v>
      </c>
      <c r="C1117" s="1693">
        <f t="shared" si="1759"/>
        <v>1117</v>
      </c>
      <c r="D1117" s="616">
        <v>1</v>
      </c>
      <c r="F1117" s="69"/>
      <c r="G1117" s="244"/>
      <c r="J1117" s="561"/>
      <c r="K1117" s="558" t="s">
        <v>385</v>
      </c>
      <c r="L1117" s="558"/>
      <c r="M1117" s="558"/>
      <c r="N1117" s="558"/>
      <c r="O1117" s="558"/>
      <c r="P1117" s="558"/>
      <c r="Q1117" s="558"/>
      <c r="R1117" s="1781" t="str">
        <f>CHOOSE(2, "6722000004018", "Net Sales (One Rate) NH(One Rate)")</f>
        <v>Net Sales (One Rate) NH(One Rate)</v>
      </c>
      <c r="S1117" s="1301"/>
      <c r="T1117" s="1301"/>
      <c r="U1117" s="1301"/>
      <c r="V1117" s="1301"/>
      <c r="W1117" s="1301"/>
      <c r="X1117" s="1301"/>
      <c r="Y1117" s="1301"/>
      <c r="Z1117" s="1301"/>
      <c r="AA1117" s="1301"/>
      <c r="AB1117" s="1301"/>
      <c r="AC1117" s="1301"/>
      <c r="AD1117" s="1301"/>
      <c r="AE1117" s="923">
        <f>SUM(S1117,T1117,U1117)</f>
        <v>0</v>
      </c>
      <c r="AF1117" s="571">
        <f>SUM(V1117,W1117,X1117)</f>
        <v>0</v>
      </c>
      <c r="AG1117" s="571">
        <f>SUM(Y1117,Z1117,AA1117)</f>
        <v>0</v>
      </c>
      <c r="AH1117" s="571">
        <f>SUM(AB1117,AC1117,AD1117)</f>
        <v>0</v>
      </c>
      <c r="AI1117" s="571">
        <f>AE1117+AF1117</f>
        <v>0</v>
      </c>
      <c r="AJ1117" s="571">
        <f>AH1117+AG1117</f>
        <v>0</v>
      </c>
      <c r="AK1117" s="571">
        <f>AI1117+AJ1117</f>
        <v>0</v>
      </c>
      <c r="AL1117" s="392"/>
      <c r="AM1117" s="2306">
        <f ca="1">SUM((INDIRECT(AM$2&amp;(ROW())):INDIRECT(AM$3&amp;(ROW()))))</f>
        <v>0</v>
      </c>
      <c r="AN1117" s="2306">
        <f ca="1">SUM(INDIRECT(AN$1&amp;AN$2&amp;$C1117):INDIRECT(AN$1&amp;AN$3&amp;$C1117))</f>
        <v>0</v>
      </c>
      <c r="AO1117" s="2978">
        <f t="shared" ca="1" si="1698"/>
        <v>0</v>
      </c>
      <c r="AP1117" s="2979">
        <f ca="1">IFERROR(AM1117/AN1117,0)</f>
        <v>0</v>
      </c>
      <c r="AQ1117" s="2306">
        <f ca="1">SUM(INDIRECT(AQ$1&amp;AQ$2&amp;$A1117):INDIRECT(AQ$1&amp;AQ$3&amp;$A1117))+SUM(INDIRECT(AQ$1&amp;AQ$2&amp;$B1117):INDIRECT(AQ$1&amp;AQ$3&amp;$B1117))</f>
        <v>0</v>
      </c>
      <c r="AR1117" s="2978">
        <f t="shared" ca="1" si="1765"/>
        <v>0</v>
      </c>
      <c r="AS1117" s="2979">
        <f t="shared" ca="1" si="1766"/>
        <v>0</v>
      </c>
      <c r="AU1117" s="2306">
        <f ca="1">SUM((INDIRECT(AU$2&amp;(ROW())):INDIRECT(AU$3&amp;(ROW()))))</f>
        <v>0</v>
      </c>
      <c r="AV1117" s="2306">
        <f ca="1">SUM(INDIRECT(AV$1&amp;AV$2&amp;$C1117):INDIRECT(AV$1&amp;AV$3&amp;$C1117))</f>
        <v>0</v>
      </c>
      <c r="AW1117" s="2978">
        <f t="shared" ca="1" si="1767"/>
        <v>0</v>
      </c>
      <c r="AX1117" s="2979">
        <f t="shared" ca="1" si="1768"/>
        <v>0</v>
      </c>
      <c r="AY1117" s="2306">
        <f ca="1">SUM(INDIRECT(AY$1&amp;AY$2&amp;$A1117):INDIRECT(AY$1&amp;AY$3&amp;$A1117))+SUM(INDIRECT(AY$1&amp;AY$2&amp;$B1117):INDIRECT(AY$1&amp;AY$3&amp;$B1117))</f>
        <v>0</v>
      </c>
      <c r="AZ1117" s="2978">
        <f t="shared" ca="1" si="1769"/>
        <v>0</v>
      </c>
      <c r="BA1117" s="2979">
        <f t="shared" ca="1" si="1770"/>
        <v>0</v>
      </c>
      <c r="BC1117" s="2306">
        <f ca="1">SUM((INDIRECT(BC$2&amp;(ROW())):INDIRECT(BC$3&amp;(ROW()))))</f>
        <v>0</v>
      </c>
      <c r="BD1117" s="2306">
        <f ca="1">SUM(INDIRECT(BD$1&amp;BD$2&amp;$C1117):INDIRECT(BD$1&amp;BD$3&amp;$C1117))</f>
        <v>0</v>
      </c>
      <c r="BE1117" s="2978">
        <f t="shared" ca="1" si="1771"/>
        <v>0</v>
      </c>
      <c r="BF1117" s="2979">
        <f t="shared" ca="1" si="1772"/>
        <v>0</v>
      </c>
      <c r="BG1117" s="2306">
        <f ca="1">SUM(INDIRECT(BG$1&amp;BG$2&amp;$A1117):INDIRECT(BG$1&amp;BG$3&amp;$A1117))+SUM(INDIRECT(BG$1&amp;BG$2&amp;$B1117):INDIRECT(BG$1&amp;BG$3&amp;$B1117))</f>
        <v>0</v>
      </c>
      <c r="BH1117" s="2978">
        <f t="shared" ca="1" si="1773"/>
        <v>0</v>
      </c>
      <c r="BI1117" s="2979">
        <f t="shared" ca="1" si="1774"/>
        <v>0</v>
      </c>
    </row>
    <row r="1118" spans="1:61" ht="14.5">
      <c r="A1118" s="1693">
        <f t="shared" si="1688"/>
        <v>1101</v>
      </c>
      <c r="B1118" s="616">
        <v>1</v>
      </c>
      <c r="C1118" s="1693">
        <f t="shared" si="1759"/>
        <v>1118</v>
      </c>
      <c r="D1118" s="616">
        <v>1</v>
      </c>
      <c r="F1118" s="69"/>
      <c r="G1118" s="244"/>
      <c r="J1118" s="22"/>
      <c r="K1118" s="69"/>
      <c r="L1118" s="22"/>
      <c r="M1118" s="22"/>
      <c r="N1118" s="69"/>
      <c r="O1118" s="69"/>
      <c r="P1118" s="69"/>
      <c r="Q1118" s="69"/>
      <c r="R1118" s="1772" t="str">
        <f>CHOOSE(2, "6722000004019", "▷ Blank 36")</f>
        <v>▷ Blank 36</v>
      </c>
      <c r="S1118" s="1125"/>
      <c r="T1118" s="1366"/>
      <c r="U1118" s="1366"/>
      <c r="V1118" s="1366"/>
      <c r="W1118" s="1366"/>
      <c r="X1118" s="1366"/>
      <c r="Y1118" s="1366"/>
      <c r="Z1118" s="1366"/>
      <c r="AA1118" s="1366"/>
      <c r="AB1118" s="1366"/>
      <c r="AC1118" s="69"/>
      <c r="AD1118" s="69"/>
      <c r="AE1118" s="69"/>
      <c r="AF1118" s="69"/>
      <c r="AG1118" s="69"/>
      <c r="AH1118" s="69"/>
      <c r="AI1118" s="69"/>
      <c r="AJ1118" s="69"/>
      <c r="AK1118" s="69"/>
      <c r="AL1118" s="392"/>
    </row>
    <row r="1119" spans="1:61" ht="15.5">
      <c r="A1119" s="1693">
        <f t="shared" si="1688"/>
        <v>1102</v>
      </c>
      <c r="B1119" s="616">
        <v>1</v>
      </c>
      <c r="C1119" s="1693">
        <f t="shared" si="1759"/>
        <v>1119</v>
      </c>
      <c r="D1119" s="616">
        <v>1</v>
      </c>
      <c r="F1119" s="69"/>
      <c r="G1119" s="244"/>
      <c r="H1119" s="243" t="s">
        <v>388</v>
      </c>
      <c r="J1119" s="22"/>
      <c r="K1119" s="69"/>
      <c r="L1119" s="22"/>
      <c r="M1119" s="22"/>
      <c r="N1119" s="69"/>
      <c r="O1119" s="69"/>
      <c r="P1119" s="69"/>
      <c r="Q1119" s="578" t="s">
        <v>408</v>
      </c>
      <c r="R1119" s="1772" t="str">
        <f>CHOOSE(2, "6722000004020", "5-2. Free to Fee  (included in Office/ITS)")</f>
        <v>5-2. Free to Fee  (included in Office/ITS)</v>
      </c>
      <c r="S1119" s="1125"/>
      <c r="T1119" s="1366"/>
      <c r="U1119" s="1366"/>
      <c r="V1119" s="1366"/>
      <c r="W1119" s="1366"/>
      <c r="X1119" s="1366"/>
      <c r="Y1119" s="1366"/>
      <c r="Z1119" s="1366"/>
      <c r="AA1119" s="1366"/>
      <c r="AB1119" s="1366"/>
      <c r="AC1119" s="69"/>
      <c r="AD1119" s="69"/>
      <c r="AE1119" s="69"/>
      <c r="AF1119" s="69"/>
      <c r="AG1119" s="69"/>
      <c r="AH1119" s="69"/>
      <c r="AI1119" s="69"/>
      <c r="AJ1119" s="69"/>
      <c r="AK1119" s="69"/>
      <c r="AL1119" s="392"/>
    </row>
    <row r="1120" spans="1:61" ht="14.5">
      <c r="A1120" s="1693">
        <f t="shared" si="1688"/>
        <v>1103</v>
      </c>
      <c r="B1120" s="616">
        <v>1</v>
      </c>
      <c r="C1120" s="1693">
        <f t="shared" si="1759"/>
        <v>1120</v>
      </c>
      <c r="D1120" s="616">
        <v>1</v>
      </c>
      <c r="F1120" s="69"/>
      <c r="G1120" s="244"/>
      <c r="J1120" s="559" t="s">
        <v>392</v>
      </c>
      <c r="K1120" s="560"/>
      <c r="L1120" s="560"/>
      <c r="M1120" s="560"/>
      <c r="N1120" s="560"/>
      <c r="O1120" s="560"/>
      <c r="P1120" s="560"/>
      <c r="Q1120" s="560"/>
      <c r="R1120" s="1781" t="str">
        <f>CHOOSE(2, "6722000004021", "Net Sales (Free to Fee)")</f>
        <v>Net Sales (Free to Fee)</v>
      </c>
      <c r="S1120" s="1296"/>
      <c r="T1120" s="1296"/>
      <c r="U1120" s="1296"/>
      <c r="V1120" s="1296"/>
      <c r="W1120" s="1296"/>
      <c r="X1120" s="1296"/>
      <c r="Y1120" s="1296"/>
      <c r="Z1120" s="1296"/>
      <c r="AA1120" s="1296"/>
      <c r="AB1120" s="1296"/>
      <c r="AC1120" s="1296"/>
      <c r="AD1120" s="1296"/>
      <c r="AE1120" s="920">
        <f>SUM(S1120,T1120,U1120)</f>
        <v>0</v>
      </c>
      <c r="AF1120" s="570">
        <f>SUM(V1120,W1120,X1120)</f>
        <v>0</v>
      </c>
      <c r="AG1120" s="570">
        <f>SUM(Y1120,Z1120,AA1120)</f>
        <v>0</v>
      </c>
      <c r="AH1120" s="570">
        <f>SUM(AB1120,AC1120,AD1120)</f>
        <v>0</v>
      </c>
      <c r="AI1120" s="570">
        <f>AE1120+AF1120</f>
        <v>0</v>
      </c>
      <c r="AJ1120" s="570">
        <f>AH1120+AG1120</f>
        <v>0</v>
      </c>
      <c r="AK1120" s="570">
        <f>AI1120+AJ1120</f>
        <v>0</v>
      </c>
      <c r="AL1120" s="392"/>
      <c r="AM1120" s="2297">
        <f ca="1">SUM((INDIRECT(AM$2&amp;(ROW())):INDIRECT(AM$3&amp;(ROW()))))</f>
        <v>0</v>
      </c>
      <c r="AN1120" s="2297">
        <f ca="1">SUM(INDIRECT(AN$1&amp;AN$2&amp;$C1120):INDIRECT(AN$1&amp;AN$3&amp;$C1120))</f>
        <v>0</v>
      </c>
      <c r="AO1120" s="2980">
        <f t="shared" ca="1" si="1698"/>
        <v>0</v>
      </c>
      <c r="AP1120" s="2973">
        <f ca="1">IFERROR(AM1120/AN1120,0)</f>
        <v>0</v>
      </c>
      <c r="AQ1120" s="2297">
        <f ca="1">SUM(INDIRECT(AQ$1&amp;AQ$2&amp;$A1120):INDIRECT(AQ$1&amp;AQ$3&amp;$A1120))+SUM(INDIRECT(AQ$1&amp;AQ$2&amp;$B1120):INDIRECT(AQ$1&amp;AQ$3&amp;$B1120))</f>
        <v>0</v>
      </c>
      <c r="AR1120" s="2980">
        <f t="shared" ref="AR1120" ca="1" si="1776">AM1120-AQ1120</f>
        <v>0</v>
      </c>
      <c r="AS1120" s="2973">
        <f t="shared" ref="AS1120" ca="1" si="1777">IFERROR(AM1120/AQ1120,0)</f>
        <v>0</v>
      </c>
      <c r="AU1120" s="2297">
        <f ca="1">SUM((INDIRECT(AU$2&amp;(ROW())):INDIRECT(AU$3&amp;(ROW()))))</f>
        <v>0</v>
      </c>
      <c r="AV1120" s="2297">
        <f ca="1">SUM(INDIRECT(AV$1&amp;AV$2&amp;$C1120):INDIRECT(AV$1&amp;AV$3&amp;$C1120))</f>
        <v>0</v>
      </c>
      <c r="AW1120" s="2980">
        <f t="shared" ref="AW1120" ca="1" si="1778">AU1120-AV1120</f>
        <v>0</v>
      </c>
      <c r="AX1120" s="2973">
        <f t="shared" ref="AX1120" ca="1" si="1779">IFERROR(AU1120/AV1120,0)</f>
        <v>0</v>
      </c>
      <c r="AY1120" s="2297">
        <f ca="1">SUM(INDIRECT(AY$1&amp;AY$2&amp;$A1120):INDIRECT(AY$1&amp;AY$3&amp;$A1120))+SUM(INDIRECT(AY$1&amp;AY$2&amp;$B1120):INDIRECT(AY$1&amp;AY$3&amp;$B1120))</f>
        <v>0</v>
      </c>
      <c r="AZ1120" s="2980">
        <f t="shared" ref="AZ1120" ca="1" si="1780">AU1120-AY1120</f>
        <v>0</v>
      </c>
      <c r="BA1120" s="2973">
        <f t="shared" ref="BA1120" ca="1" si="1781">IFERROR(AU1120/AY1120,0)</f>
        <v>0</v>
      </c>
      <c r="BC1120" s="2297">
        <f ca="1">SUM((INDIRECT(BC$2&amp;(ROW())):INDIRECT(BC$3&amp;(ROW()))))</f>
        <v>0</v>
      </c>
      <c r="BD1120" s="2297">
        <f ca="1">SUM(INDIRECT(BD$1&amp;BD$2&amp;$C1120):INDIRECT(BD$1&amp;BD$3&amp;$C1120))</f>
        <v>0</v>
      </c>
      <c r="BE1120" s="2980">
        <f t="shared" ref="BE1120" ca="1" si="1782">BC1120-BD1120</f>
        <v>0</v>
      </c>
      <c r="BF1120" s="2973">
        <f t="shared" ref="BF1120" ca="1" si="1783">IFERROR(BC1120/BD1120,0)</f>
        <v>0</v>
      </c>
      <c r="BG1120" s="2297">
        <f ca="1">SUM(INDIRECT(BG$1&amp;BG$2&amp;$A1120):INDIRECT(BG$1&amp;BG$3&amp;$A1120))+SUM(INDIRECT(BG$1&amp;BG$2&amp;$B1120):INDIRECT(BG$1&amp;BG$3&amp;$B1120))</f>
        <v>0</v>
      </c>
      <c r="BH1120" s="2980">
        <f t="shared" ref="BH1120" ca="1" si="1784">BC1120-BG1120</f>
        <v>0</v>
      </c>
      <c r="BI1120" s="2973">
        <f t="shared" ref="BI1120" ca="1" si="1785">IFERROR(BC1120/BG1120,0)</f>
        <v>0</v>
      </c>
    </row>
    <row r="1121" spans="1:38" s="69" customFormat="1" ht="14.5">
      <c r="A1121" s="1693">
        <f t="shared" si="1688"/>
        <v>1104</v>
      </c>
      <c r="B1121" s="616"/>
      <c r="C1121" s="1693">
        <f t="shared" si="1759"/>
        <v>1121</v>
      </c>
      <c r="D1121" s="616">
        <v>1</v>
      </c>
      <c r="E1121" s="709" t="s">
        <v>512</v>
      </c>
      <c r="G1121" s="244"/>
      <c r="H1121" s="244"/>
      <c r="I1121" s="455"/>
      <c r="J1121" s="216"/>
      <c r="K1121" s="216"/>
      <c r="L1121" s="216"/>
      <c r="M1121" s="210"/>
      <c r="N1121" s="22"/>
      <c r="R1121" s="1821" t="str">
        <f>CHOOSE(2, "6722000004022", "▷ Blank 37")</f>
        <v>▷ Blank 37</v>
      </c>
      <c r="S1121" s="1393"/>
      <c r="T1121" s="1239"/>
      <c r="U1121" s="1239"/>
      <c r="V1121" s="1239"/>
      <c r="W1121" s="1239"/>
      <c r="X1121" s="1239"/>
      <c r="Y1121" s="1239"/>
      <c r="Z1121" s="1239"/>
      <c r="AA1121" s="1239"/>
      <c r="AB1121" s="1239"/>
      <c r="AC1121" s="1239"/>
      <c r="AD1121" s="1239"/>
      <c r="AE1121" s="1239"/>
      <c r="AF1121" s="217"/>
      <c r="AG1121" s="217"/>
      <c r="AH1121" s="217"/>
      <c r="AI1121" s="217"/>
      <c r="AJ1121" s="217"/>
      <c r="AK1121" s="217"/>
      <c r="AL1121" s="392"/>
    </row>
    <row r="1122" spans="1:38" ht="18">
      <c r="A1122" s="1693">
        <f t="shared" si="1688"/>
        <v>1105</v>
      </c>
      <c r="B1122" s="616">
        <v>1</v>
      </c>
      <c r="C1122" s="1693">
        <f t="shared" si="1759"/>
        <v>1122</v>
      </c>
      <c r="D1122" s="616">
        <v>1</v>
      </c>
      <c r="E1122" s="709" t="s">
        <v>512</v>
      </c>
      <c r="F1122" s="69"/>
      <c r="G1122" s="242" t="s">
        <v>676</v>
      </c>
      <c r="H1122" s="242"/>
      <c r="R1122" s="1772" t="str">
        <f>CHOOSE(2, "6722000004023", "6. Purchase")</f>
        <v>6. Purchase</v>
      </c>
      <c r="S1122" s="1125"/>
      <c r="T1122" s="1366"/>
      <c r="U1122" s="1366"/>
      <c r="V1122" s="1366"/>
      <c r="W1122" s="1366"/>
      <c r="X1122" s="1366"/>
      <c r="Y1122" s="1366"/>
      <c r="Z1122" s="1366"/>
      <c r="AA1122" s="1366"/>
      <c r="AB1122" s="1366"/>
      <c r="AC1122" s="69"/>
      <c r="AD1122" s="69"/>
      <c r="AE1122" s="69"/>
      <c r="AF1122" s="69"/>
      <c r="AG1122" s="69"/>
      <c r="AH1122" s="69"/>
      <c r="AI1122" s="69"/>
      <c r="AJ1122" s="69"/>
      <c r="AK1122" s="69"/>
      <c r="AL1122" s="392"/>
    </row>
    <row r="1123" spans="1:38" ht="14.5">
      <c r="A1123" s="1693">
        <f t="shared" si="1688"/>
        <v>1106</v>
      </c>
      <c r="B1123" s="616">
        <v>1</v>
      </c>
      <c r="C1123" s="1693">
        <f t="shared" si="1759"/>
        <v>1123</v>
      </c>
      <c r="D1123" s="616">
        <v>1</v>
      </c>
      <c r="E1123" s="709" t="s">
        <v>512</v>
      </c>
      <c r="F1123" s="69"/>
      <c r="G1123" s="22"/>
      <c r="H1123" s="22" t="s">
        <v>677</v>
      </c>
      <c r="P1123" s="477" t="s">
        <v>281</v>
      </c>
      <c r="R1123" s="1772" t="str">
        <f>CHOOSE(2, "6722000004024", "6-1. Detail of Purchase")</f>
        <v>6-1. Detail of Purchase</v>
      </c>
      <c r="S1123" s="1125"/>
      <c r="T1123" s="1366"/>
      <c r="U1123" s="1366"/>
      <c r="V1123" s="1366"/>
      <c r="W1123" s="1366"/>
      <c r="X1123" s="1366"/>
      <c r="Y1123" s="1366"/>
      <c r="Z1123" s="1366"/>
      <c r="AA1123" s="1366"/>
      <c r="AB1123" s="1366"/>
      <c r="AC1123" s="69"/>
      <c r="AD1123" s="69"/>
      <c r="AE1123" s="69"/>
      <c r="AF1123" s="69"/>
      <c r="AG1123" s="69"/>
      <c r="AH1123" s="69"/>
      <c r="AI1123" s="69"/>
      <c r="AJ1123" s="69"/>
      <c r="AK1123" s="69"/>
      <c r="AL1123" s="392"/>
    </row>
    <row r="1124" spans="1:38" s="392" customFormat="1" ht="14.5">
      <c r="A1124" s="1693">
        <f t="shared" si="1688"/>
        <v>1107</v>
      </c>
      <c r="B1124" s="616">
        <v>1</v>
      </c>
      <c r="C1124" s="1693">
        <f t="shared" si="1759"/>
        <v>1124</v>
      </c>
      <c r="D1124" s="616">
        <v>1</v>
      </c>
      <c r="E1124" s="709" t="s">
        <v>512</v>
      </c>
      <c r="F1124" s="69"/>
      <c r="G1124" s="1569"/>
      <c r="H1124" s="476"/>
      <c r="J1124" s="831" t="s">
        <v>675</v>
      </c>
      <c r="K1124" s="180"/>
      <c r="L1124" s="180"/>
      <c r="M1124" s="180"/>
      <c r="N1124" s="179"/>
      <c r="O1124" s="179"/>
      <c r="P1124" s="179"/>
      <c r="Q1124" s="179"/>
      <c r="R1124" s="1824" t="str">
        <f>CHOOSE(2, "6722000004025", "▷ Blank 38")</f>
        <v>▷ Blank 38</v>
      </c>
      <c r="S1124" s="1127"/>
      <c r="T1124" s="8"/>
      <c r="U1124" s="173"/>
      <c r="V1124" s="1234"/>
    </row>
    <row r="1125" spans="1:38" s="392" customFormat="1" ht="14.5">
      <c r="A1125" s="1693">
        <f t="shared" si="1688"/>
        <v>1108</v>
      </c>
      <c r="B1125" s="616">
        <v>1</v>
      </c>
      <c r="C1125" s="1693">
        <f t="shared" si="1759"/>
        <v>1125</v>
      </c>
      <c r="D1125" s="616">
        <v>1</v>
      </c>
      <c r="E1125" s="709" t="s">
        <v>512</v>
      </c>
      <c r="F1125" s="69"/>
      <c r="G1125" s="391"/>
      <c r="H1125" s="238"/>
      <c r="I1125" s="238"/>
      <c r="J1125" s="538" t="s">
        <v>254</v>
      </c>
      <c r="K1125" s="405"/>
      <c r="L1125" s="402"/>
      <c r="M1125" s="402"/>
      <c r="N1125" s="403"/>
      <c r="O1125" s="403"/>
      <c r="P1125" s="403"/>
      <c r="Q1125" s="403"/>
      <c r="R1125" s="1825" t="str">
        <f>CHOOSE(2, "6722000004026", "TPA")</f>
        <v>TPA</v>
      </c>
      <c r="S1125" s="1203">
        <f t="shared" ref="S1125:AD1125" si="1786">SUM(S1127,S1151,S1152,S1153)</f>
        <v>600397.72366520029</v>
      </c>
      <c r="T1125" s="1203">
        <f t="shared" si="1786"/>
        <v>589467.8237200001</v>
      </c>
      <c r="U1125" s="1203">
        <f t="shared" si="1786"/>
        <v>582843.95178999996</v>
      </c>
      <c r="V1125" s="1203">
        <f t="shared" si="1786"/>
        <v>529022.11835999996</v>
      </c>
      <c r="W1125" s="1203">
        <f t="shared" si="1786"/>
        <v>496397.92763000005</v>
      </c>
      <c r="X1125" s="1203">
        <f t="shared" si="1786"/>
        <v>463933.38857000001</v>
      </c>
      <c r="Y1125" s="1203">
        <f t="shared" si="1786"/>
        <v>753483.99427999987</v>
      </c>
      <c r="Z1125" s="1203">
        <f t="shared" si="1786"/>
        <v>620097.51804519992</v>
      </c>
      <c r="AA1125" s="1203">
        <f t="shared" si="1786"/>
        <v>532290.23934980005</v>
      </c>
      <c r="AB1125" s="1203">
        <f t="shared" si="1786"/>
        <v>633448.78520099982</v>
      </c>
      <c r="AC1125" s="1203">
        <f t="shared" si="1786"/>
        <v>664617.09913999983</v>
      </c>
      <c r="AD1125" s="1203">
        <f t="shared" si="1786"/>
        <v>615696.60895250004</v>
      </c>
      <c r="AE1125" s="924">
        <f>SUM(S1125:U1125)</f>
        <v>1772709.4991752002</v>
      </c>
      <c r="AF1125" s="815">
        <f>SUM(V1125:X1125)</f>
        <v>1489353.43456</v>
      </c>
      <c r="AG1125" s="815">
        <f>SUM(Y1125:AA1125)</f>
        <v>1905871.7516749999</v>
      </c>
      <c r="AH1125" s="815">
        <f>SUM(AB1125:AD1125)</f>
        <v>1913762.4932934996</v>
      </c>
      <c r="AI1125" s="815">
        <f>SUM(AE1125:AF1125)</f>
        <v>3262062.9337352002</v>
      </c>
      <c r="AJ1125" s="815">
        <f>SUM(AG1125:AH1125)</f>
        <v>3819634.2449684995</v>
      </c>
      <c r="AK1125" s="815">
        <f>SUM(AI1125:AJ1125)</f>
        <v>7081697.1787036993</v>
      </c>
    </row>
    <row r="1126" spans="1:38" s="392" customFormat="1" ht="14.5">
      <c r="A1126" s="1693">
        <f t="shared" si="1688"/>
        <v>1109</v>
      </c>
      <c r="B1126" s="616">
        <v>1</v>
      </c>
      <c r="C1126" s="1693">
        <f t="shared" si="1759"/>
        <v>1126</v>
      </c>
      <c r="D1126" s="616">
        <v>1</v>
      </c>
      <c r="E1126" s="709" t="s">
        <v>512</v>
      </c>
      <c r="F1126" s="69"/>
      <c r="G1126" s="1570"/>
      <c r="H1126" s="237"/>
      <c r="I1126" s="237"/>
      <c r="J1126" s="406"/>
      <c r="K1126" s="539" t="s">
        <v>299</v>
      </c>
      <c r="L1126" s="393"/>
      <c r="M1126" s="393"/>
      <c r="N1126" s="394"/>
      <c r="O1126" s="540"/>
      <c r="P1126" s="394"/>
      <c r="Q1126" s="394"/>
      <c r="R1126" s="1826" t="str">
        <f>CHOOSE(2, "6722000004027", "TPA Total BT-G PA")</f>
        <v>TPA Total BT-G PA</v>
      </c>
      <c r="S1126" s="1202">
        <f t="shared" ref="S1126:AD1126" si="1787">S1127+S1151+S1152</f>
        <v>597467.57767000026</v>
      </c>
      <c r="T1126" s="1202">
        <f t="shared" si="1787"/>
        <v>587866.68922000006</v>
      </c>
      <c r="U1126" s="1202">
        <f t="shared" si="1787"/>
        <v>573814.65078999999</v>
      </c>
      <c r="V1126" s="1202">
        <f t="shared" si="1787"/>
        <v>527196.30872999993</v>
      </c>
      <c r="W1126" s="1202">
        <f t="shared" si="1787"/>
        <v>495304.21263000002</v>
      </c>
      <c r="X1126" s="1202">
        <f t="shared" si="1787"/>
        <v>457230.15370999998</v>
      </c>
      <c r="Y1126" s="1202">
        <f t="shared" si="1787"/>
        <v>750350.47927999985</v>
      </c>
      <c r="Z1126" s="1202">
        <f t="shared" si="1787"/>
        <v>617849.01055999997</v>
      </c>
      <c r="AA1126" s="1202">
        <f t="shared" si="1787"/>
        <v>528054.52897440002</v>
      </c>
      <c r="AB1126" s="1202">
        <f t="shared" si="1787"/>
        <v>623145.7349599998</v>
      </c>
      <c r="AC1126" s="1202">
        <f t="shared" si="1787"/>
        <v>660383.45996999985</v>
      </c>
      <c r="AD1126" s="1202">
        <f t="shared" si="1787"/>
        <v>607590.63688250002</v>
      </c>
      <c r="AE1126" s="925">
        <f>SUM(S1126:U1126)</f>
        <v>1759148.9176800004</v>
      </c>
      <c r="AF1126" s="816">
        <f>SUM(V1126:X1126)</f>
        <v>1479730.6750699999</v>
      </c>
      <c r="AG1126" s="816">
        <f>SUM(Y1126:AA1126)</f>
        <v>1896254.0188143998</v>
      </c>
      <c r="AH1126" s="816">
        <f>SUM(AB1126:AD1126)</f>
        <v>1891119.8318124998</v>
      </c>
      <c r="AI1126" s="816">
        <f>SUM(AE1126:AF1126)</f>
        <v>3238879.5927500003</v>
      </c>
      <c r="AJ1126" s="816">
        <f>SUM(AG1126:AH1126)</f>
        <v>3787373.8506268999</v>
      </c>
      <c r="AK1126" s="816">
        <f>SUM(AI1126:AJ1126)</f>
        <v>7026253.4433769006</v>
      </c>
    </row>
    <row r="1127" spans="1:38" s="392" customFormat="1" ht="14.5">
      <c r="A1127" s="1693">
        <f t="shared" si="1688"/>
        <v>1110</v>
      </c>
      <c r="B1127" s="616">
        <v>1</v>
      </c>
      <c r="C1127" s="1693">
        <f t="shared" si="1759"/>
        <v>1127</v>
      </c>
      <c r="D1127" s="616">
        <v>1</v>
      </c>
      <c r="E1127" s="709" t="s">
        <v>512</v>
      </c>
      <c r="F1127" s="69"/>
      <c r="G1127" s="391"/>
      <c r="H1127" s="238"/>
      <c r="I1127" s="238"/>
      <c r="J1127" s="398"/>
      <c r="K1127" s="397"/>
      <c r="L1127" s="410" t="s">
        <v>255</v>
      </c>
      <c r="M1127" s="414"/>
      <c r="N1127" s="421"/>
      <c r="O1127" s="421"/>
      <c r="P1127" s="421"/>
      <c r="Q1127" s="421"/>
      <c r="R1127" s="1827" t="str">
        <f>CHOOSE(2, "6722000004028", "TPA Total BT-G PA ①Supplier = BT")</f>
        <v>TPA Total BT-G PA ①Supplier = BT</v>
      </c>
      <c r="S1127" s="1177">
        <f t="shared" ref="S1127:AD1127" si="1788">S1128+S1137+S1146+S1149+S1150</f>
        <v>592397.29183000023</v>
      </c>
      <c r="T1127" s="1177">
        <f t="shared" si="1788"/>
        <v>554398.08342000004</v>
      </c>
      <c r="U1127" s="1177">
        <f t="shared" si="1788"/>
        <v>569659.35079000005</v>
      </c>
      <c r="V1127" s="1177">
        <f t="shared" si="1788"/>
        <v>517469.21056999994</v>
      </c>
      <c r="W1127" s="1177">
        <f t="shared" si="1788"/>
        <v>474009.77943</v>
      </c>
      <c r="X1127" s="1177">
        <f t="shared" si="1788"/>
        <v>441626.42570999998</v>
      </c>
      <c r="Y1127" s="1177">
        <f t="shared" si="1788"/>
        <v>738727.93060999992</v>
      </c>
      <c r="Z1127" s="1177">
        <f t="shared" si="1788"/>
        <v>615197.16505999991</v>
      </c>
      <c r="AA1127" s="1177">
        <f t="shared" si="1788"/>
        <v>514376.37699000002</v>
      </c>
      <c r="AB1127" s="1177">
        <f t="shared" si="1788"/>
        <v>591659.31685999979</v>
      </c>
      <c r="AC1127" s="1177">
        <f t="shared" si="1788"/>
        <v>657855.81176999991</v>
      </c>
      <c r="AD1127" s="1177">
        <f t="shared" si="1788"/>
        <v>579974.58781250007</v>
      </c>
      <c r="AE1127" s="926">
        <f t="shared" ref="AE1127:AK1127" si="1789">AE1128+AE1137+AE1146+AE1149+AE1150</f>
        <v>1716454.7260400001</v>
      </c>
      <c r="AF1127" s="817">
        <f t="shared" si="1789"/>
        <v>1433105.4157099999</v>
      </c>
      <c r="AG1127" s="817">
        <f t="shared" si="1789"/>
        <v>1868301.47266</v>
      </c>
      <c r="AH1127" s="817">
        <f t="shared" si="1789"/>
        <v>1829489.7164425002</v>
      </c>
      <c r="AI1127" s="817">
        <f t="shared" si="1789"/>
        <v>3149560.1417499995</v>
      </c>
      <c r="AJ1127" s="817">
        <f t="shared" si="1789"/>
        <v>3697791.1891025002</v>
      </c>
      <c r="AK1127" s="817">
        <f t="shared" si="1789"/>
        <v>6847351.3308525011</v>
      </c>
    </row>
    <row r="1128" spans="1:38" s="392" customFormat="1" ht="14.5">
      <c r="A1128" s="1693">
        <f t="shared" si="1688"/>
        <v>1111</v>
      </c>
      <c r="B1128" s="616">
        <v>1</v>
      </c>
      <c r="C1128" s="1693">
        <f t="shared" si="1759"/>
        <v>1128</v>
      </c>
      <c r="D1128" s="616">
        <v>1</v>
      </c>
      <c r="E1128" s="709" t="s">
        <v>512</v>
      </c>
      <c r="F1128" s="69"/>
      <c r="G1128" s="391"/>
      <c r="H1128" s="391"/>
      <c r="I1128" s="391"/>
      <c r="J1128" s="398"/>
      <c r="K1128" s="396"/>
      <c r="L1128" s="541" t="s">
        <v>230</v>
      </c>
      <c r="M1128" s="416"/>
      <c r="N1128" s="417"/>
      <c r="O1128" s="417"/>
      <c r="P1128" s="417"/>
      <c r="Q1128" s="417"/>
      <c r="R1128" s="1827" t="str">
        <f>CHOOSE(2, "6722000004029", "TPA Total BT-G PA (1) Office")</f>
        <v>TPA Total BT-G PA (1) Office</v>
      </c>
      <c r="S1128" s="818">
        <f t="shared" ref="S1128:AD1128" si="1790">S1129+S1133</f>
        <v>156939.05866999997</v>
      </c>
      <c r="T1128" s="818">
        <f t="shared" si="1790"/>
        <v>152620.12602</v>
      </c>
      <c r="U1128" s="818">
        <f t="shared" si="1790"/>
        <v>158736.76703000002</v>
      </c>
      <c r="V1128" s="818">
        <f t="shared" si="1790"/>
        <v>168033.55850000001</v>
      </c>
      <c r="W1128" s="818">
        <f t="shared" si="1790"/>
        <v>157981.11853000001</v>
      </c>
      <c r="X1128" s="818">
        <f t="shared" si="1790"/>
        <v>161353.04446999999</v>
      </c>
      <c r="Y1128" s="818">
        <f t="shared" si="1790"/>
        <v>211610.61540000001</v>
      </c>
      <c r="Z1128" s="818">
        <f t="shared" si="1790"/>
        <v>201073.06705999997</v>
      </c>
      <c r="AA1128" s="818">
        <f t="shared" si="1790"/>
        <v>142372.49128000002</v>
      </c>
      <c r="AB1128" s="818">
        <f t="shared" si="1790"/>
        <v>174283.29423999999</v>
      </c>
      <c r="AC1128" s="818">
        <f t="shared" si="1790"/>
        <v>214275.54543</v>
      </c>
      <c r="AD1128" s="818">
        <f t="shared" si="1790"/>
        <v>136034.88838999998</v>
      </c>
      <c r="AE1128" s="927">
        <f t="shared" ref="AE1128:AK1128" si="1791">AE1129+AE1133</f>
        <v>468295.95171999995</v>
      </c>
      <c r="AF1128" s="818">
        <f t="shared" si="1791"/>
        <v>487367.72149999999</v>
      </c>
      <c r="AG1128" s="818">
        <f t="shared" si="1791"/>
        <v>555056.17374000011</v>
      </c>
      <c r="AH1128" s="818">
        <f t="shared" si="1791"/>
        <v>524593.72805999999</v>
      </c>
      <c r="AI1128" s="818">
        <f t="shared" si="1791"/>
        <v>955663.67322</v>
      </c>
      <c r="AJ1128" s="818">
        <f t="shared" si="1791"/>
        <v>1079649.9018000001</v>
      </c>
      <c r="AK1128" s="818">
        <f t="shared" si="1791"/>
        <v>2035313.5750200001</v>
      </c>
    </row>
    <row r="1129" spans="1:38" s="392" customFormat="1" ht="14.5">
      <c r="A1129" s="1693">
        <f t="shared" si="1688"/>
        <v>1112</v>
      </c>
      <c r="B1129" s="616">
        <v>1</v>
      </c>
      <c r="C1129" s="1693">
        <f t="shared" si="1759"/>
        <v>1129</v>
      </c>
      <c r="D1129" s="616">
        <v>1</v>
      </c>
      <c r="E1129" s="709" t="s">
        <v>512</v>
      </c>
      <c r="F1129" s="69"/>
      <c r="G1129" s="391"/>
      <c r="H1129" s="391"/>
      <c r="I1129" s="391"/>
      <c r="J1129" s="398"/>
      <c r="K1129" s="395"/>
      <c r="L1129" s="411"/>
      <c r="M1129" s="385" t="s">
        <v>231</v>
      </c>
      <c r="N1129" s="811"/>
      <c r="O1129" s="803"/>
      <c r="P1129" s="803"/>
      <c r="Q1129" s="803"/>
      <c r="R1129" s="1828" t="str">
        <f>CHOOSE(2, "6722000004030", "TPA Total BT-G PA (1) Office RR")</f>
        <v>TPA Total BT-G PA (1) Office RR</v>
      </c>
      <c r="S1129" s="819">
        <f>SUM(S1130:S1132)</f>
        <v>147177.185</v>
      </c>
      <c r="T1129" s="819">
        <f t="shared" ref="T1129:AD1129" si="1792">SUM(T1130:T1132)</f>
        <v>148783.16500000001</v>
      </c>
      <c r="U1129" s="819">
        <f t="shared" si="1792"/>
        <v>155511.679</v>
      </c>
      <c r="V1129" s="819">
        <f>SUM(V1130:V1132)</f>
        <v>162524.98000000001</v>
      </c>
      <c r="W1129" s="819">
        <f t="shared" si="1792"/>
        <v>153024.07699999999</v>
      </c>
      <c r="X1129" s="819">
        <f t="shared" si="1792"/>
        <v>154405.85399999999</v>
      </c>
      <c r="Y1129" s="819">
        <f t="shared" si="1792"/>
        <v>203882.402</v>
      </c>
      <c r="Z1129" s="819">
        <f t="shared" si="1792"/>
        <v>194336.56999999998</v>
      </c>
      <c r="AA1129" s="819">
        <f t="shared" si="1792"/>
        <v>138678.402</v>
      </c>
      <c r="AB1129" s="819">
        <f t="shared" si="1792"/>
        <v>166974.88699999999</v>
      </c>
      <c r="AC1129" s="819">
        <f t="shared" si="1792"/>
        <v>209783.005</v>
      </c>
      <c r="AD1129" s="819">
        <f t="shared" si="1792"/>
        <v>125566.29999999999</v>
      </c>
      <c r="AE1129" s="928">
        <f t="shared" ref="AE1129:AK1129" si="1793">SUM(AE1130:AE1132)</f>
        <v>451472.02899999998</v>
      </c>
      <c r="AF1129" s="819">
        <f t="shared" si="1793"/>
        <v>469954.91099999996</v>
      </c>
      <c r="AG1129" s="819">
        <f t="shared" si="1793"/>
        <v>536897.37400000007</v>
      </c>
      <c r="AH1129" s="819">
        <f t="shared" si="1793"/>
        <v>502324.19200000004</v>
      </c>
      <c r="AI1129" s="819">
        <f t="shared" si="1793"/>
        <v>921426.94</v>
      </c>
      <c r="AJ1129" s="819">
        <f t="shared" si="1793"/>
        <v>1039221.566</v>
      </c>
      <c r="AK1129" s="819">
        <f t="shared" si="1793"/>
        <v>1960648.5060000001</v>
      </c>
    </row>
    <row r="1130" spans="1:38" s="392" customFormat="1" ht="14.5">
      <c r="A1130" s="1693">
        <f t="shared" si="1688"/>
        <v>1113</v>
      </c>
      <c r="B1130" s="616">
        <v>1</v>
      </c>
      <c r="C1130" s="1693">
        <f t="shared" si="1759"/>
        <v>1130</v>
      </c>
      <c r="D1130" s="616">
        <v>1</v>
      </c>
      <c r="E1130" s="709" t="s">
        <v>512</v>
      </c>
      <c r="F1130" s="69"/>
      <c r="G1130" s="391"/>
      <c r="H1130" s="238"/>
      <c r="I1130" s="238"/>
      <c r="J1130" s="398"/>
      <c r="K1130" s="395"/>
      <c r="L1130" s="411"/>
      <c r="M1130" s="1381"/>
      <c r="N1130" s="812"/>
      <c r="O1130" s="387" t="s">
        <v>72</v>
      </c>
      <c r="P1130" s="804"/>
      <c r="Q1130" s="804"/>
      <c r="R1130" s="1829" t="str">
        <f>CHOOSE(2, "6722000004031", "TPA Total BT-G PA (1) Office RR Machine")</f>
        <v>TPA Total BT-G PA (1) Office RR Machine</v>
      </c>
      <c r="S1130" s="1128">
        <v>100814.878</v>
      </c>
      <c r="T1130" s="1128">
        <v>119483.70600000001</v>
      </c>
      <c r="U1130" s="1128">
        <v>92912.411999999997</v>
      </c>
      <c r="V1130" s="1128">
        <v>120522.845</v>
      </c>
      <c r="W1130" s="1128">
        <v>115151.58199999999</v>
      </c>
      <c r="X1130" s="1128">
        <v>95850.164000000004</v>
      </c>
      <c r="Y1130" s="1128">
        <v>140237.03700000001</v>
      </c>
      <c r="Z1130" s="1128">
        <v>129434.25599999999</v>
      </c>
      <c r="AA1130" s="1128">
        <v>92856.085999999996</v>
      </c>
      <c r="AB1130" s="1128">
        <v>112713.36900000001</v>
      </c>
      <c r="AC1130" s="1128">
        <v>144045.848</v>
      </c>
      <c r="AD1130" s="1128">
        <v>80063.612999999998</v>
      </c>
      <c r="AE1130" s="929">
        <f>SUM(S1130,T1130,U1130)</f>
        <v>313210.99599999998</v>
      </c>
      <c r="AF1130" s="820">
        <f>SUM(V1130,W1130,X1130)</f>
        <v>331524.59100000001</v>
      </c>
      <c r="AG1130" s="820">
        <f>SUM(Y1130,Z1130,AA1130)</f>
        <v>362527.37900000002</v>
      </c>
      <c r="AH1130" s="820">
        <f>SUM(AB1130,AC1130,AD1130)</f>
        <v>336822.83</v>
      </c>
      <c r="AI1130" s="820">
        <f>AE1130+AF1130</f>
        <v>644735.58700000006</v>
      </c>
      <c r="AJ1130" s="820">
        <f>AH1130+AG1130</f>
        <v>699350.20900000003</v>
      </c>
      <c r="AK1130" s="820">
        <f>AI1130+AJ1130</f>
        <v>1344085.7960000001</v>
      </c>
    </row>
    <row r="1131" spans="1:38" s="392" customFormat="1" ht="14.5">
      <c r="A1131" s="1693">
        <f t="shared" si="1688"/>
        <v>1114</v>
      </c>
      <c r="B1131" s="616">
        <v>1</v>
      </c>
      <c r="C1131" s="1693">
        <f t="shared" si="1759"/>
        <v>1131</v>
      </c>
      <c r="D1131" s="616">
        <v>1</v>
      </c>
      <c r="E1131" s="709" t="s">
        <v>512</v>
      </c>
      <c r="F1131" s="69"/>
      <c r="G1131" s="391"/>
      <c r="H1131" s="238"/>
      <c r="I1131" s="238"/>
      <c r="J1131" s="398"/>
      <c r="K1131" s="395"/>
      <c r="L1131" s="411"/>
      <c r="M1131" s="1381"/>
      <c r="N1131" s="812"/>
      <c r="O1131" s="388" t="s">
        <v>71</v>
      </c>
      <c r="P1131" s="805"/>
      <c r="Q1131" s="805"/>
      <c r="R1131" s="1829" t="str">
        <f>CHOOSE(2, "6722000004032", "TPA Total BT-G PA (1) Office RR Option")</f>
        <v>TPA Total BT-G PA (1) Office RR Option</v>
      </c>
      <c r="S1131" s="1129">
        <v>7758.402</v>
      </c>
      <c r="T1131" s="1129">
        <v>7739.9560000000001</v>
      </c>
      <c r="U1131" s="1129">
        <v>8079.1329999999998</v>
      </c>
      <c r="V1131" s="1129">
        <v>15277.13</v>
      </c>
      <c r="W1131" s="1129">
        <v>21188.502</v>
      </c>
      <c r="X1131" s="1129">
        <v>12867.778</v>
      </c>
      <c r="Y1131" s="1129">
        <v>10912.447</v>
      </c>
      <c r="Z1131" s="1129">
        <v>22803.718000000001</v>
      </c>
      <c r="AA1131" s="1129">
        <v>8240.0310000000009</v>
      </c>
      <c r="AB1131" s="1129">
        <v>14630.745999999999</v>
      </c>
      <c r="AC1131" s="1129">
        <v>26550.874</v>
      </c>
      <c r="AD1131" s="1129">
        <v>11002.808999999999</v>
      </c>
      <c r="AE1131" s="930">
        <f>SUM(S1131,T1131,U1131)</f>
        <v>23577.491000000002</v>
      </c>
      <c r="AF1131" s="821">
        <f>SUM(V1131,W1131,X1131)</f>
        <v>49333.409999999996</v>
      </c>
      <c r="AG1131" s="821">
        <f>SUM(Y1131,Z1131,AA1131)</f>
        <v>41956.196000000004</v>
      </c>
      <c r="AH1131" s="821">
        <f>SUM(AB1131,AC1131,AD1131)</f>
        <v>52184.428999999996</v>
      </c>
      <c r="AI1131" s="821">
        <f>AE1131+AF1131</f>
        <v>72910.900999999998</v>
      </c>
      <c r="AJ1131" s="821">
        <f>AH1131+AG1131</f>
        <v>94140.625</v>
      </c>
      <c r="AK1131" s="821">
        <f>AI1131+AJ1131</f>
        <v>167051.52600000001</v>
      </c>
    </row>
    <row r="1132" spans="1:38" s="392" customFormat="1" ht="14.5">
      <c r="A1132" s="1693">
        <f t="shared" si="1688"/>
        <v>1115</v>
      </c>
      <c r="B1132" s="616">
        <v>1</v>
      </c>
      <c r="C1132" s="1693">
        <f t="shared" si="1759"/>
        <v>1132</v>
      </c>
      <c r="D1132" s="616">
        <v>1</v>
      </c>
      <c r="E1132" s="709" t="s">
        <v>512</v>
      </c>
      <c r="F1132" s="69"/>
      <c r="G1132" s="391"/>
      <c r="H1132" s="238"/>
      <c r="I1132" s="238"/>
      <c r="J1132" s="398"/>
      <c r="K1132" s="395"/>
      <c r="L1132" s="411"/>
      <c r="M1132" s="1382"/>
      <c r="N1132" s="813"/>
      <c r="O1132" s="389" t="s">
        <v>70</v>
      </c>
      <c r="P1132" s="806"/>
      <c r="Q1132" s="806"/>
      <c r="R1132" s="1829" t="str">
        <f>CHOOSE(2, "6722000004033", "TPA Total BT-G PA (1) Office RR Supplies")</f>
        <v>TPA Total BT-G PA (1) Office RR Supplies</v>
      </c>
      <c r="S1132" s="1130">
        <v>38603.904999999999</v>
      </c>
      <c r="T1132" s="1130">
        <v>21559.503000000001</v>
      </c>
      <c r="U1132" s="1130">
        <v>54520.133999999998</v>
      </c>
      <c r="V1132" s="1130">
        <v>26725.005000000001</v>
      </c>
      <c r="W1132" s="1130">
        <v>16683.992999999999</v>
      </c>
      <c r="X1132" s="1130">
        <v>45687.911999999997</v>
      </c>
      <c r="Y1132" s="1130">
        <v>52732.917999999998</v>
      </c>
      <c r="Z1132" s="1130">
        <v>42098.595999999998</v>
      </c>
      <c r="AA1132" s="1130">
        <v>37582.285000000003</v>
      </c>
      <c r="AB1132" s="1130">
        <v>39630.771999999997</v>
      </c>
      <c r="AC1132" s="1130">
        <v>39186.283000000003</v>
      </c>
      <c r="AD1132" s="1130">
        <v>34499.877999999997</v>
      </c>
      <c r="AE1132" s="931">
        <f>SUM(S1132,T1132,U1132)</f>
        <v>114683.54199999999</v>
      </c>
      <c r="AF1132" s="822">
        <f>SUM(V1132,W1132,X1132)</f>
        <v>89096.91</v>
      </c>
      <c r="AG1132" s="822">
        <f>SUM(Y1132,Z1132,AA1132)</f>
        <v>132413.799</v>
      </c>
      <c r="AH1132" s="822">
        <f>SUM(AB1132,AC1132,AD1132)</f>
        <v>113316.93299999999</v>
      </c>
      <c r="AI1132" s="822">
        <f>AE1132+AF1132</f>
        <v>203780.45199999999</v>
      </c>
      <c r="AJ1132" s="822">
        <f>AH1132+AG1132</f>
        <v>245730.73199999999</v>
      </c>
      <c r="AK1132" s="822">
        <f>AI1132+AJ1132</f>
        <v>449511.18400000001</v>
      </c>
    </row>
    <row r="1133" spans="1:38" s="392" customFormat="1" ht="14.5">
      <c r="A1133" s="1693">
        <f t="shared" si="1688"/>
        <v>1116</v>
      </c>
      <c r="B1133" s="616">
        <v>1</v>
      </c>
      <c r="C1133" s="1693">
        <f t="shared" si="1759"/>
        <v>1133</v>
      </c>
      <c r="D1133" s="616">
        <v>1</v>
      </c>
      <c r="E1133" s="709" t="s">
        <v>512</v>
      </c>
      <c r="F1133" s="69"/>
      <c r="G1133" s="391"/>
      <c r="H1133" s="391"/>
      <c r="I1133" s="391"/>
      <c r="J1133" s="398"/>
      <c r="K1133" s="395"/>
      <c r="L1133" s="411"/>
      <c r="M1133" s="385" t="s">
        <v>232</v>
      </c>
      <c r="O1133" s="386"/>
      <c r="P1133" s="806"/>
      <c r="Q1133" s="806"/>
      <c r="R1133" s="1828" t="str">
        <f>CHOOSE(2, "6722000004034", "TPA Total BT-G PA (1) Office Non-RR")</f>
        <v>TPA Total BT-G PA (1) Office Non-RR</v>
      </c>
      <c r="S1133" s="822">
        <f t="shared" ref="S1133:AD1133" si="1794">SUM(S1134:S1136)</f>
        <v>9761.8736699999772</v>
      </c>
      <c r="T1133" s="822">
        <f t="shared" si="1794"/>
        <v>3836.961020000002</v>
      </c>
      <c r="U1133" s="822">
        <f t="shared" si="1794"/>
        <v>3225.0880299999999</v>
      </c>
      <c r="V1133" s="822">
        <f t="shared" si="1794"/>
        <v>5508.5785000000069</v>
      </c>
      <c r="W1133" s="822">
        <f t="shared" si="1794"/>
        <v>4957.0415300000041</v>
      </c>
      <c r="X1133" s="822">
        <f t="shared" si="1794"/>
        <v>6947.1904700000023</v>
      </c>
      <c r="Y1133" s="822">
        <f t="shared" si="1794"/>
        <v>7728.2134000000051</v>
      </c>
      <c r="Z1133" s="822">
        <f t="shared" si="1794"/>
        <v>6736.497060000007</v>
      </c>
      <c r="AA1133" s="822">
        <f>SUM(AA1134:AA1136)</f>
        <v>3694.0892800000011</v>
      </c>
      <c r="AB1133" s="822">
        <f t="shared" si="1794"/>
        <v>7308.4072399999977</v>
      </c>
      <c r="AC1133" s="822">
        <f t="shared" si="1794"/>
        <v>4492.54043</v>
      </c>
      <c r="AD1133" s="822">
        <f t="shared" si="1794"/>
        <v>10468.588389999995</v>
      </c>
      <c r="AE1133" s="931">
        <f t="shared" ref="AE1133:AK1133" si="1795">SUM(AE1134:AE1136)</f>
        <v>16823.92271999998</v>
      </c>
      <c r="AF1133" s="822">
        <f t="shared" si="1795"/>
        <v>17412.810500000014</v>
      </c>
      <c r="AG1133" s="822">
        <f t="shared" si="1795"/>
        <v>18158.799740000013</v>
      </c>
      <c r="AH1133" s="822">
        <f t="shared" si="1795"/>
        <v>22269.536059999991</v>
      </c>
      <c r="AI1133" s="822">
        <f t="shared" si="1795"/>
        <v>34236.733219999995</v>
      </c>
      <c r="AJ1133" s="822">
        <f t="shared" si="1795"/>
        <v>40428.335800000001</v>
      </c>
      <c r="AK1133" s="822">
        <f t="shared" si="1795"/>
        <v>74665.069019999995</v>
      </c>
    </row>
    <row r="1134" spans="1:38" s="392" customFormat="1" ht="14.5">
      <c r="A1134" s="1693">
        <f t="shared" si="1688"/>
        <v>1117</v>
      </c>
      <c r="B1134" s="616">
        <v>1</v>
      </c>
      <c r="C1134" s="1693">
        <f t="shared" si="1759"/>
        <v>1134</v>
      </c>
      <c r="D1134" s="616">
        <v>1</v>
      </c>
      <c r="E1134" s="709" t="s">
        <v>512</v>
      </c>
      <c r="F1134" s="69"/>
      <c r="G1134" s="391"/>
      <c r="H1134" s="238"/>
      <c r="I1134" s="238"/>
      <c r="J1134" s="398"/>
      <c r="K1134" s="395"/>
      <c r="L1134" s="411"/>
      <c r="M1134" s="1381"/>
      <c r="N1134" s="812"/>
      <c r="O1134" s="387" t="s">
        <v>233</v>
      </c>
      <c r="P1134" s="804"/>
      <c r="Q1134" s="804"/>
      <c r="R1134" s="1829" t="str">
        <f>CHOOSE(2, "6722000004035", "TPA Total BT-G PA (1) Office Non-RR Others")</f>
        <v>TPA Total BT-G PA (1) Office Non-RR Others</v>
      </c>
      <c r="S1134" s="1128"/>
      <c r="T1134" s="1128"/>
      <c r="U1134" s="1128"/>
      <c r="V1134" s="1128"/>
      <c r="W1134" s="1128"/>
      <c r="X1134" s="1128"/>
      <c r="Y1134" s="1128"/>
      <c r="Z1134" s="1128"/>
      <c r="AA1134" s="1128"/>
      <c r="AB1134" s="1128"/>
      <c r="AC1134" s="1128"/>
      <c r="AD1134" s="1128"/>
      <c r="AE1134" s="929">
        <f>SUM(S1134,T1134,U1134)</f>
        <v>0</v>
      </c>
      <c r="AF1134" s="820">
        <f>SUM(V1134,W1134,X1134)</f>
        <v>0</v>
      </c>
      <c r="AG1134" s="820">
        <f>SUM(Y1134,Z1134,AA1134)</f>
        <v>0</v>
      </c>
      <c r="AH1134" s="820">
        <f>SUM(AB1134,AC1134,AD1134)</f>
        <v>0</v>
      </c>
      <c r="AI1134" s="820">
        <f>AE1134+AF1134</f>
        <v>0</v>
      </c>
      <c r="AJ1134" s="820">
        <f>AH1134+AG1134</f>
        <v>0</v>
      </c>
      <c r="AK1134" s="820">
        <f>AI1134+AJ1134</f>
        <v>0</v>
      </c>
    </row>
    <row r="1135" spans="1:38" s="392" customFormat="1" ht="14.5">
      <c r="A1135" s="1693">
        <f t="shared" si="1688"/>
        <v>1118</v>
      </c>
      <c r="B1135" s="616">
        <v>1</v>
      </c>
      <c r="C1135" s="1693">
        <f t="shared" si="1759"/>
        <v>1135</v>
      </c>
      <c r="D1135" s="616">
        <v>1</v>
      </c>
      <c r="E1135" s="709" t="s">
        <v>512</v>
      </c>
      <c r="F1135" s="69"/>
      <c r="G1135" s="391"/>
      <c r="H1135" s="238"/>
      <c r="I1135" s="238"/>
      <c r="J1135" s="398"/>
      <c r="K1135" s="395"/>
      <c r="L1135" s="411"/>
      <c r="M1135" s="1381"/>
      <c r="N1135" s="812"/>
      <c r="O1135" s="388" t="s">
        <v>234</v>
      </c>
      <c r="P1135" s="805"/>
      <c r="Q1135" s="805"/>
      <c r="R1135" s="1829" t="str">
        <f>CHOOSE(2, "6722000004036", "TPA Total BT-G PA (1) Office Non-RR BT Support/Discount")</f>
        <v>TPA Total BT-G PA (1) Office Non-RR BT Support/Discount</v>
      </c>
      <c r="S1135" s="1129"/>
      <c r="T1135" s="1129"/>
      <c r="U1135" s="1129"/>
      <c r="V1135" s="1129"/>
      <c r="W1135" s="1129"/>
      <c r="X1135" s="1129"/>
      <c r="Y1135" s="1129"/>
      <c r="Z1135" s="1129"/>
      <c r="AA1135" s="1129"/>
      <c r="AB1135" s="1129"/>
      <c r="AC1135" s="1129"/>
      <c r="AD1135" s="1129"/>
      <c r="AE1135" s="930">
        <f>SUM(S1135,T1135,U1135)</f>
        <v>0</v>
      </c>
      <c r="AF1135" s="821">
        <f>SUM(V1135,W1135,X1135)</f>
        <v>0</v>
      </c>
      <c r="AG1135" s="821">
        <f>SUM(Y1135,Z1135,AA1135)</f>
        <v>0</v>
      </c>
      <c r="AH1135" s="821">
        <f>SUM(AB1135,AC1135,AD1135)</f>
        <v>0</v>
      </c>
      <c r="AI1135" s="821">
        <f>AE1135+AF1135</f>
        <v>0</v>
      </c>
      <c r="AJ1135" s="821">
        <f>AH1135+AG1135</f>
        <v>0</v>
      </c>
      <c r="AK1135" s="821">
        <f>AI1135+AJ1135</f>
        <v>0</v>
      </c>
    </row>
    <row r="1136" spans="1:38" s="392" customFormat="1" ht="14.5">
      <c r="A1136" s="1693">
        <f t="shared" si="1688"/>
        <v>1119</v>
      </c>
      <c r="B1136" s="616">
        <v>1</v>
      </c>
      <c r="C1136" s="1693">
        <f t="shared" si="1759"/>
        <v>1136</v>
      </c>
      <c r="D1136" s="616">
        <v>1</v>
      </c>
      <c r="E1136" s="709" t="s">
        <v>512</v>
      </c>
      <c r="F1136" s="69"/>
      <c r="G1136" s="391"/>
      <c r="H1136" s="238"/>
      <c r="I1136" s="238"/>
      <c r="J1136" s="398"/>
      <c r="K1136" s="395"/>
      <c r="L1136" s="412"/>
      <c r="M1136" s="1382"/>
      <c r="N1136" s="814"/>
      <c r="O1136" s="390" t="s">
        <v>235</v>
      </c>
      <c r="P1136" s="807"/>
      <c r="Q1136" s="807"/>
      <c r="R1136" s="1829" t="str">
        <f>CHOOSE(2, "6722000004037", "TPA Total BT-G PA (1) Office Non-RR Parts")</f>
        <v>TPA Total BT-G PA (1) Office Non-RR Parts</v>
      </c>
      <c r="S1136" s="1131">
        <v>9761.8736699999772</v>
      </c>
      <c r="T1136" s="1131">
        <v>3836.961020000002</v>
      </c>
      <c r="U1136" s="1131">
        <v>3225.0880299999999</v>
      </c>
      <c r="V1136" s="1131">
        <v>5508.5785000000069</v>
      </c>
      <c r="W1136" s="1131">
        <v>4957.0415300000041</v>
      </c>
      <c r="X1136" s="1131">
        <v>6947.1904700000023</v>
      </c>
      <c r="Y1136" s="1131">
        <v>7728.2134000000051</v>
      </c>
      <c r="Z1136" s="1131">
        <v>6736.497060000007</v>
      </c>
      <c r="AA1136" s="1131">
        <v>3694.0892800000011</v>
      </c>
      <c r="AB1136" s="1131">
        <v>7308.4072399999977</v>
      </c>
      <c r="AC1136" s="1131">
        <v>4492.54043</v>
      </c>
      <c r="AD1136" s="1131">
        <v>10468.588389999995</v>
      </c>
      <c r="AE1136" s="932">
        <f>SUM(S1136,T1136,U1136)</f>
        <v>16823.92271999998</v>
      </c>
      <c r="AF1136" s="823">
        <f>SUM(V1136,W1136,X1136)</f>
        <v>17412.810500000014</v>
      </c>
      <c r="AG1136" s="823">
        <f>SUM(Y1136,Z1136,AA1136)</f>
        <v>18158.799740000013</v>
      </c>
      <c r="AH1136" s="823">
        <f>SUM(AB1136,AC1136,AD1136)</f>
        <v>22269.536059999991</v>
      </c>
      <c r="AI1136" s="823">
        <f>AE1136+AF1136</f>
        <v>34236.733219999995</v>
      </c>
      <c r="AJ1136" s="823">
        <f>AH1136+AG1136</f>
        <v>40428.335800000001</v>
      </c>
      <c r="AK1136" s="823">
        <f>AI1136+AJ1136</f>
        <v>74665.069019999995</v>
      </c>
    </row>
    <row r="1137" spans="1:38" s="392" customFormat="1" ht="14.5">
      <c r="A1137" s="1693">
        <f t="shared" si="1688"/>
        <v>1120</v>
      </c>
      <c r="B1137" s="616">
        <v>1</v>
      </c>
      <c r="C1137" s="1693">
        <f t="shared" si="1759"/>
        <v>1137</v>
      </c>
      <c r="D1137" s="616">
        <v>1</v>
      </c>
      <c r="E1137" s="709" t="s">
        <v>512</v>
      </c>
      <c r="F1137" s="69"/>
      <c r="G1137" s="391"/>
      <c r="H1137" s="391"/>
      <c r="I1137" s="391"/>
      <c r="J1137" s="399"/>
      <c r="K1137" s="396"/>
      <c r="L1137" s="541" t="s">
        <v>350</v>
      </c>
      <c r="M1137" s="416"/>
      <c r="N1137" s="417"/>
      <c r="O1137" s="417"/>
      <c r="P1137" s="417"/>
      <c r="Q1137" s="417"/>
      <c r="R1137" s="1827" t="str">
        <f>CHOOSE(2, "6722000004038", "TPA Total BT-G PA (2) PP")</f>
        <v>TPA Total BT-G PA (2) PP</v>
      </c>
      <c r="S1137" s="818">
        <f t="shared" ref="S1137:AD1137" si="1796">S1138+S1142</f>
        <v>427696.49095000018</v>
      </c>
      <c r="T1137" s="818">
        <f t="shared" si="1796"/>
        <v>391810.52187</v>
      </c>
      <c r="U1137" s="818">
        <f t="shared" si="1796"/>
        <v>408887.60093999997</v>
      </c>
      <c r="V1137" s="818">
        <f t="shared" si="1796"/>
        <v>333539.60495999997</v>
      </c>
      <c r="W1137" s="818">
        <f t="shared" si="1796"/>
        <v>314248.01351999998</v>
      </c>
      <c r="X1137" s="818">
        <f t="shared" si="1796"/>
        <v>278322.34382999997</v>
      </c>
      <c r="Y1137" s="818">
        <f t="shared" si="1796"/>
        <v>513243.07032</v>
      </c>
      <c r="Z1137" s="818">
        <f t="shared" si="1796"/>
        <v>410738.09504999989</v>
      </c>
      <c r="AA1137" s="818">
        <f t="shared" si="1796"/>
        <v>369309.95179999998</v>
      </c>
      <c r="AB1137" s="818">
        <f t="shared" si="1796"/>
        <v>413515.01477999985</v>
      </c>
      <c r="AC1137" s="818">
        <f t="shared" si="1796"/>
        <v>411965.97759000002</v>
      </c>
      <c r="AD1137" s="818">
        <f t="shared" si="1796"/>
        <v>431764.47907000006</v>
      </c>
      <c r="AE1137" s="927">
        <f t="shared" ref="AE1137:AK1137" si="1797">AE1138+AE1142</f>
        <v>1228394.6137600001</v>
      </c>
      <c r="AF1137" s="818">
        <f t="shared" si="1797"/>
        <v>926109.96230999997</v>
      </c>
      <c r="AG1137" s="818">
        <f t="shared" si="1797"/>
        <v>1293291.11717</v>
      </c>
      <c r="AH1137" s="818">
        <f t="shared" si="1797"/>
        <v>1257245.47144</v>
      </c>
      <c r="AI1137" s="818">
        <f t="shared" si="1797"/>
        <v>2154504.57607</v>
      </c>
      <c r="AJ1137" s="818">
        <f t="shared" si="1797"/>
        <v>2550536.58861</v>
      </c>
      <c r="AK1137" s="818">
        <f t="shared" si="1797"/>
        <v>4705041.1646800004</v>
      </c>
    </row>
    <row r="1138" spans="1:38" s="392" customFormat="1" ht="14.5">
      <c r="A1138" s="1693">
        <f t="shared" si="1688"/>
        <v>1121</v>
      </c>
      <c r="B1138" s="616">
        <v>1</v>
      </c>
      <c r="C1138" s="1693">
        <f t="shared" si="1759"/>
        <v>1138</v>
      </c>
      <c r="D1138" s="616">
        <v>1</v>
      </c>
      <c r="E1138" s="709" t="s">
        <v>512</v>
      </c>
      <c r="F1138" s="69"/>
      <c r="G1138" s="391"/>
      <c r="H1138" s="391"/>
      <c r="I1138" s="391"/>
      <c r="J1138" s="398"/>
      <c r="K1138" s="395"/>
      <c r="L1138" s="411"/>
      <c r="M1138" s="385" t="s">
        <v>231</v>
      </c>
      <c r="O1138" s="386"/>
      <c r="P1138" s="803"/>
      <c r="Q1138" s="803"/>
      <c r="R1138" s="1828" t="str">
        <f>CHOOSE(2, "6722000004039", "TPA Total BT-G PA (2) PP RR")</f>
        <v>TPA Total BT-G PA (2) PP RR</v>
      </c>
      <c r="S1138" s="819">
        <f t="shared" ref="S1138:AD1138" si="1798">SUM(S1139:S1141)</f>
        <v>323169.897</v>
      </c>
      <c r="T1138" s="819">
        <f t="shared" si="1798"/>
        <v>349021.30700000003</v>
      </c>
      <c r="U1138" s="819">
        <f t="shared" si="1798"/>
        <v>356898.859</v>
      </c>
      <c r="V1138" s="819">
        <f>SUM(V1139:V1141)</f>
        <v>277487.299</v>
      </c>
      <c r="W1138" s="819">
        <f t="shared" si="1798"/>
        <v>287132.85699999996</v>
      </c>
      <c r="X1138" s="819">
        <f t="shared" si="1798"/>
        <v>227568.42799999999</v>
      </c>
      <c r="Y1138" s="819">
        <f t="shared" si="1798"/>
        <v>452421.54300000001</v>
      </c>
      <c r="Z1138" s="819">
        <f t="shared" si="1798"/>
        <v>293308.27299999999</v>
      </c>
      <c r="AA1138" s="819">
        <f t="shared" si="1798"/>
        <v>325900.73</v>
      </c>
      <c r="AB1138" s="819">
        <f t="shared" si="1798"/>
        <v>320465.201</v>
      </c>
      <c r="AC1138" s="819">
        <f t="shared" si="1798"/>
        <v>331651.30900000001</v>
      </c>
      <c r="AD1138" s="819">
        <f t="shared" si="1798"/>
        <v>366342.23100000003</v>
      </c>
      <c r="AE1138" s="928">
        <f t="shared" ref="AE1138:AK1138" si="1799">SUM(AE1139:AE1141)</f>
        <v>1029090.0630000001</v>
      </c>
      <c r="AF1138" s="819">
        <f t="shared" si="1799"/>
        <v>792188.58400000003</v>
      </c>
      <c r="AG1138" s="819">
        <f t="shared" si="1799"/>
        <v>1071630.5460000001</v>
      </c>
      <c r="AH1138" s="819">
        <f t="shared" si="1799"/>
        <v>1018458.7410000002</v>
      </c>
      <c r="AI1138" s="819">
        <f t="shared" si="1799"/>
        <v>1821278.6469999999</v>
      </c>
      <c r="AJ1138" s="819">
        <f t="shared" si="1799"/>
        <v>2090089.287</v>
      </c>
      <c r="AK1138" s="819">
        <f t="shared" si="1799"/>
        <v>3911367.9340000004</v>
      </c>
      <c r="AL1138" s="8"/>
    </row>
    <row r="1139" spans="1:38" s="392" customFormat="1" ht="14.5">
      <c r="A1139" s="1693">
        <f t="shared" si="1688"/>
        <v>1122</v>
      </c>
      <c r="B1139" s="616">
        <v>1</v>
      </c>
      <c r="C1139" s="1693">
        <f t="shared" si="1759"/>
        <v>1139</v>
      </c>
      <c r="D1139" s="616">
        <v>1</v>
      </c>
      <c r="E1139" s="709" t="s">
        <v>512</v>
      </c>
      <c r="F1139" s="69"/>
      <c r="G1139" s="391"/>
      <c r="H1139" s="238"/>
      <c r="I1139" s="238"/>
      <c r="J1139" s="398"/>
      <c r="K1139" s="395"/>
      <c r="L1139" s="411"/>
      <c r="M1139" s="1381"/>
      <c r="N1139" s="812"/>
      <c r="O1139" s="387" t="s">
        <v>72</v>
      </c>
      <c r="P1139" s="804"/>
      <c r="Q1139" s="804"/>
      <c r="R1139" s="1829" t="str">
        <f>CHOOSE(2, "6722000004040", "TPA Total BT-G PA (2) PP RR Machine")</f>
        <v>TPA Total BT-G PA (2) PP RR Machine</v>
      </c>
      <c r="S1139" s="1128">
        <v>75341.009000000005</v>
      </c>
      <c r="T1139" s="1128">
        <v>96921.115000000005</v>
      </c>
      <c r="U1139" s="1128">
        <v>126998.26700000001</v>
      </c>
      <c r="V1139" s="1128">
        <v>69649.069000000003</v>
      </c>
      <c r="W1139" s="1128">
        <v>130967.43</v>
      </c>
      <c r="X1139" s="1128">
        <v>52044.434999999998</v>
      </c>
      <c r="Y1139" s="1128">
        <v>117893.92600000001</v>
      </c>
      <c r="Z1139" s="1128">
        <v>88255.668000000005</v>
      </c>
      <c r="AA1139" s="1128">
        <v>73869.141000000003</v>
      </c>
      <c r="AB1139" s="1128">
        <v>100601.75599999999</v>
      </c>
      <c r="AC1139" s="1128">
        <v>75538.03</v>
      </c>
      <c r="AD1139" s="1128">
        <v>131082.97200000001</v>
      </c>
      <c r="AE1139" s="929">
        <f>SUM(S1139,T1139,U1139)</f>
        <v>299260.391</v>
      </c>
      <c r="AF1139" s="820">
        <f>SUM(V1139,W1139,X1139)</f>
        <v>252660.93400000001</v>
      </c>
      <c r="AG1139" s="820">
        <f>SUM(Y1139,Z1139,AA1139)</f>
        <v>280018.73499999999</v>
      </c>
      <c r="AH1139" s="820">
        <f>SUM(AB1139,AC1139,AD1139)</f>
        <v>307222.75800000003</v>
      </c>
      <c r="AI1139" s="820">
        <f>AE1139+AF1139</f>
        <v>551921.32499999995</v>
      </c>
      <c r="AJ1139" s="820">
        <f>AH1139+AG1139</f>
        <v>587241.49300000002</v>
      </c>
      <c r="AK1139" s="820">
        <f>AI1139+AJ1139</f>
        <v>1139162.818</v>
      </c>
      <c r="AL1139" s="517"/>
    </row>
    <row r="1140" spans="1:38" s="392" customFormat="1" ht="14.5">
      <c r="A1140" s="1693">
        <f t="shared" ref="A1140:A1203" si="1800">A1139+1</f>
        <v>1123</v>
      </c>
      <c r="B1140" s="616">
        <v>1</v>
      </c>
      <c r="C1140" s="1693">
        <f t="shared" si="1759"/>
        <v>1140</v>
      </c>
      <c r="D1140" s="616">
        <v>1</v>
      </c>
      <c r="E1140" s="709" t="s">
        <v>512</v>
      </c>
      <c r="F1140" s="69"/>
      <c r="G1140" s="391"/>
      <c r="H1140" s="238"/>
      <c r="I1140" s="238"/>
      <c r="J1140" s="398"/>
      <c r="K1140" s="395"/>
      <c r="L1140" s="411"/>
      <c r="M1140" s="1381"/>
      <c r="N1140" s="812"/>
      <c r="O1140" s="388" t="s">
        <v>71</v>
      </c>
      <c r="P1140" s="805"/>
      <c r="Q1140" s="805"/>
      <c r="R1140" s="1829" t="str">
        <f>CHOOSE(2, "6722000004041", "TPA Total BT-G PA (2) PP RR Option")</f>
        <v>TPA Total BT-G PA (2) PP RR Option</v>
      </c>
      <c r="S1140" s="1129">
        <v>20825.692999999999</v>
      </c>
      <c r="T1140" s="1129">
        <v>40950.921000000002</v>
      </c>
      <c r="U1140" s="1129">
        <v>38542.349000000002</v>
      </c>
      <c r="V1140" s="1129">
        <v>28209.062999999998</v>
      </c>
      <c r="W1140" s="1129">
        <v>26569.477999999999</v>
      </c>
      <c r="X1140" s="1129">
        <v>14229.356</v>
      </c>
      <c r="Y1140" s="1129">
        <v>24726.485000000001</v>
      </c>
      <c r="Z1140" s="1129">
        <v>34255.639000000003</v>
      </c>
      <c r="AA1140" s="1129">
        <v>31040.716</v>
      </c>
      <c r="AB1140" s="1129">
        <v>18039.826000000001</v>
      </c>
      <c r="AC1140" s="1129">
        <v>27065.174999999999</v>
      </c>
      <c r="AD1140" s="1129">
        <v>16380.709000000001</v>
      </c>
      <c r="AE1140" s="930">
        <f>SUM(S1140,T1140,U1140)</f>
        <v>100318.963</v>
      </c>
      <c r="AF1140" s="821">
        <f>SUM(V1140,W1140,X1140)</f>
        <v>69007.896999999997</v>
      </c>
      <c r="AG1140" s="821">
        <f>SUM(Y1140,Z1140,AA1140)</f>
        <v>90022.84</v>
      </c>
      <c r="AH1140" s="821">
        <f>SUM(AB1140,AC1140,AD1140)</f>
        <v>61485.710000000006</v>
      </c>
      <c r="AI1140" s="821">
        <f>AE1140+AF1140</f>
        <v>169326.86</v>
      </c>
      <c r="AJ1140" s="821">
        <f>AH1140+AG1140</f>
        <v>151508.54999999999</v>
      </c>
      <c r="AK1140" s="821">
        <f>AI1140+AJ1140</f>
        <v>320835.40999999997</v>
      </c>
      <c r="AL1140" s="517"/>
    </row>
    <row r="1141" spans="1:38" s="392" customFormat="1" ht="14.5">
      <c r="A1141" s="1693">
        <f t="shared" si="1800"/>
        <v>1124</v>
      </c>
      <c r="B1141" s="616">
        <v>1</v>
      </c>
      <c r="C1141" s="1693">
        <f t="shared" si="1759"/>
        <v>1141</v>
      </c>
      <c r="D1141" s="616">
        <v>1</v>
      </c>
      <c r="E1141" s="709" t="s">
        <v>512</v>
      </c>
      <c r="F1141" s="69"/>
      <c r="G1141" s="391"/>
      <c r="H1141" s="238"/>
      <c r="I1141" s="238"/>
      <c r="J1141" s="398"/>
      <c r="K1141" s="395"/>
      <c r="L1141" s="411"/>
      <c r="M1141" s="1382"/>
      <c r="N1141" s="813"/>
      <c r="O1141" s="389" t="s">
        <v>70</v>
      </c>
      <c r="P1141" s="806"/>
      <c r="Q1141" s="806"/>
      <c r="R1141" s="1829" t="str">
        <f>CHOOSE(2, "6722000004042", "TPA Total BT-G PA (2) PP RR Supplies")</f>
        <v>TPA Total BT-G PA (2) PP RR Supplies</v>
      </c>
      <c r="S1141" s="1130">
        <v>227003.19500000001</v>
      </c>
      <c r="T1141" s="1130">
        <v>211149.27100000001</v>
      </c>
      <c r="U1141" s="1130">
        <v>191358.24299999999</v>
      </c>
      <c r="V1141" s="1130">
        <v>179629.16699999999</v>
      </c>
      <c r="W1141" s="1130">
        <v>129595.94899999999</v>
      </c>
      <c r="X1141" s="1130">
        <v>161294.63699999999</v>
      </c>
      <c r="Y1141" s="1130">
        <v>309801.13199999998</v>
      </c>
      <c r="Z1141" s="1130">
        <v>170796.96599999999</v>
      </c>
      <c r="AA1141" s="1130">
        <v>220990.87299999999</v>
      </c>
      <c r="AB1141" s="1130">
        <v>201823.61900000001</v>
      </c>
      <c r="AC1141" s="1130">
        <v>229048.10399999999</v>
      </c>
      <c r="AD1141" s="1130">
        <v>218878.55</v>
      </c>
      <c r="AE1141" s="931">
        <f>SUM(S1141,T1141,U1141)</f>
        <v>629510.70900000003</v>
      </c>
      <c r="AF1141" s="822">
        <f>SUM(V1141,W1141,X1141)</f>
        <v>470519.75299999997</v>
      </c>
      <c r="AG1141" s="822">
        <f>SUM(Y1141,Z1141,AA1141)</f>
        <v>701588.97100000002</v>
      </c>
      <c r="AH1141" s="822">
        <f>SUM(AB1141,AC1141,AD1141)</f>
        <v>649750.27300000004</v>
      </c>
      <c r="AI1141" s="822">
        <f>AE1141+AF1141</f>
        <v>1100030.4620000001</v>
      </c>
      <c r="AJ1141" s="822">
        <f>AH1141+AG1141</f>
        <v>1351339.2439999999</v>
      </c>
      <c r="AK1141" s="822">
        <f>AI1141+AJ1141</f>
        <v>2451369.7060000002</v>
      </c>
      <c r="AL1141" s="517"/>
    </row>
    <row r="1142" spans="1:38" s="392" customFormat="1" ht="14.5">
      <c r="A1142" s="1693">
        <f t="shared" si="1800"/>
        <v>1125</v>
      </c>
      <c r="B1142" s="616">
        <v>1</v>
      </c>
      <c r="C1142" s="1693">
        <f t="shared" si="1759"/>
        <v>1142</v>
      </c>
      <c r="D1142" s="616">
        <v>1</v>
      </c>
      <c r="E1142" s="709" t="s">
        <v>512</v>
      </c>
      <c r="F1142" s="69"/>
      <c r="G1142" s="391"/>
      <c r="H1142" s="238"/>
      <c r="I1142" s="238"/>
      <c r="J1142" s="398"/>
      <c r="K1142" s="395"/>
      <c r="L1142" s="411"/>
      <c r="M1142" s="385" t="s">
        <v>232</v>
      </c>
      <c r="O1142" s="386"/>
      <c r="P1142" s="806"/>
      <c r="Q1142" s="806"/>
      <c r="R1142" s="1828" t="str">
        <f>CHOOSE(2, "6722000004043", "TPA Total BT-G PA (2) PP Non-RR")</f>
        <v>TPA Total BT-G PA (2) PP Non-RR</v>
      </c>
      <c r="S1142" s="822">
        <f t="shared" ref="S1142:AD1142" si="1801">SUM(S1143:S1145)</f>
        <v>104526.5939500002</v>
      </c>
      <c r="T1142" s="822">
        <f t="shared" si="1801"/>
        <v>42789.21486999996</v>
      </c>
      <c r="U1142" s="822">
        <f t="shared" si="1801"/>
        <v>51988.741939999978</v>
      </c>
      <c r="V1142" s="822">
        <f t="shared" si="1801"/>
        <v>56052.305959999976</v>
      </c>
      <c r="W1142" s="822">
        <f t="shared" si="1801"/>
        <v>27115.15652</v>
      </c>
      <c r="X1142" s="822">
        <f t="shared" si="1801"/>
        <v>50753.915829999976</v>
      </c>
      <c r="Y1142" s="822">
        <f t="shared" si="1801"/>
        <v>60821.527320000001</v>
      </c>
      <c r="Z1142" s="822">
        <f t="shared" si="1801"/>
        <v>117429.82204999989</v>
      </c>
      <c r="AA1142" s="822">
        <f t="shared" si="1801"/>
        <v>43409.221800000007</v>
      </c>
      <c r="AB1142" s="822">
        <f t="shared" si="1801"/>
        <v>93049.813779999822</v>
      </c>
      <c r="AC1142" s="822">
        <f t="shared" si="1801"/>
        <v>80314.668590000001</v>
      </c>
      <c r="AD1142" s="822">
        <f t="shared" si="1801"/>
        <v>65422.248070000031</v>
      </c>
      <c r="AE1142" s="931">
        <f t="shared" ref="AE1142:AK1142" si="1802">SUM(AE1143:AE1145)</f>
        <v>199304.55076000013</v>
      </c>
      <c r="AF1142" s="822">
        <f t="shared" si="1802"/>
        <v>133921.37830999994</v>
      </c>
      <c r="AG1142" s="822">
        <f t="shared" si="1802"/>
        <v>221660.57116999989</v>
      </c>
      <c r="AH1142" s="822">
        <f t="shared" si="1802"/>
        <v>238786.73043999984</v>
      </c>
      <c r="AI1142" s="822">
        <f t="shared" si="1802"/>
        <v>333225.92907000007</v>
      </c>
      <c r="AJ1142" s="822">
        <f t="shared" si="1802"/>
        <v>460447.30160999973</v>
      </c>
      <c r="AK1142" s="822">
        <f t="shared" si="1802"/>
        <v>793673.2306799998</v>
      </c>
      <c r="AL1142" s="517"/>
    </row>
    <row r="1143" spans="1:38" s="392" customFormat="1" ht="14.5">
      <c r="A1143" s="1693">
        <f t="shared" si="1800"/>
        <v>1126</v>
      </c>
      <c r="B1143" s="616">
        <v>1</v>
      </c>
      <c r="C1143" s="1693">
        <f t="shared" si="1759"/>
        <v>1143</v>
      </c>
      <c r="D1143" s="616">
        <v>1</v>
      </c>
      <c r="E1143" s="709" t="s">
        <v>512</v>
      </c>
      <c r="F1143" s="69"/>
      <c r="G1143" s="391"/>
      <c r="H1143" s="238"/>
      <c r="I1143" s="238"/>
      <c r="J1143" s="398"/>
      <c r="K1143" s="395"/>
      <c r="L1143" s="411"/>
      <c r="M1143" s="1381"/>
      <c r="N1143" s="812"/>
      <c r="O1143" s="387" t="s">
        <v>233</v>
      </c>
      <c r="P1143" s="804"/>
      <c r="Q1143" s="804"/>
      <c r="R1143" s="1829" t="str">
        <f>CHOOSE(2, "6722000004044", "TPA Total BT-G PA (2) PP Non-RR Others")</f>
        <v>TPA Total BT-G PA (2) PP Non-RR Others</v>
      </c>
      <c r="S1143" s="1128"/>
      <c r="T1143" s="1128"/>
      <c r="U1143" s="1128"/>
      <c r="V1143" s="1128"/>
      <c r="W1143" s="1128"/>
      <c r="X1143" s="1128"/>
      <c r="Y1143" s="1128"/>
      <c r="Z1143" s="1128">
        <v>0</v>
      </c>
      <c r="AA1143" s="1128"/>
      <c r="AB1143" s="1128">
        <v>0</v>
      </c>
      <c r="AC1143" s="1128"/>
      <c r="AD1143" s="1128"/>
      <c r="AE1143" s="929">
        <f>SUM(S1143,T1143,U1143)</f>
        <v>0</v>
      </c>
      <c r="AF1143" s="820">
        <f>SUM(V1143,W1143,X1143)</f>
        <v>0</v>
      </c>
      <c r="AG1143" s="820">
        <f>SUM(Y1143,Z1143,AA1143)</f>
        <v>0</v>
      </c>
      <c r="AH1143" s="820">
        <f>SUM(AB1143,AC1143,AD1143)</f>
        <v>0</v>
      </c>
      <c r="AI1143" s="820">
        <f>AE1143+AF1143</f>
        <v>0</v>
      </c>
      <c r="AJ1143" s="820">
        <f>AH1143+AG1143</f>
        <v>0</v>
      </c>
      <c r="AK1143" s="820">
        <f>AI1143+AJ1143</f>
        <v>0</v>
      </c>
      <c r="AL1143" s="517"/>
    </row>
    <row r="1144" spans="1:38" s="392" customFormat="1" ht="14.5">
      <c r="A1144" s="1693">
        <f t="shared" si="1800"/>
        <v>1127</v>
      </c>
      <c r="B1144" s="616">
        <v>1</v>
      </c>
      <c r="C1144" s="1693">
        <f t="shared" si="1759"/>
        <v>1144</v>
      </c>
      <c r="D1144" s="616">
        <v>1</v>
      </c>
      <c r="E1144" s="709" t="s">
        <v>512</v>
      </c>
      <c r="F1144" s="69"/>
      <c r="G1144" s="391"/>
      <c r="H1144" s="238"/>
      <c r="I1144" s="238"/>
      <c r="J1144" s="398"/>
      <c r="K1144" s="395"/>
      <c r="L1144" s="411"/>
      <c r="M1144" s="1381"/>
      <c r="N1144" s="812"/>
      <c r="O1144" s="388" t="s">
        <v>234</v>
      </c>
      <c r="P1144" s="805"/>
      <c r="Q1144" s="805"/>
      <c r="R1144" s="1829" t="str">
        <f>CHOOSE(2, "6722000004045", "TPA Total BT-G PA (2) PP Non-RR BT Support/Discount")</f>
        <v>TPA Total BT-G PA (2) PP Non-RR BT Support/Discount</v>
      </c>
      <c r="S1144" s="1129"/>
      <c r="T1144" s="1129"/>
      <c r="U1144" s="1129"/>
      <c r="V1144" s="1129"/>
      <c r="W1144" s="1129"/>
      <c r="X1144" s="1129"/>
      <c r="Y1144" s="1129"/>
      <c r="Z1144" s="1129">
        <v>0</v>
      </c>
      <c r="AA1144" s="1129"/>
      <c r="AB1144" s="1129">
        <v>0</v>
      </c>
      <c r="AC1144" s="1129"/>
      <c r="AD1144" s="1129"/>
      <c r="AE1144" s="930">
        <f>SUM(S1144,T1144,U1144)</f>
        <v>0</v>
      </c>
      <c r="AF1144" s="821">
        <f>SUM(V1144,W1144,X1144)</f>
        <v>0</v>
      </c>
      <c r="AG1144" s="821">
        <f>SUM(Y1144,Z1144,AA1144)</f>
        <v>0</v>
      </c>
      <c r="AH1144" s="821">
        <f>SUM(AB1144,AC1144,AD1144)</f>
        <v>0</v>
      </c>
      <c r="AI1144" s="821">
        <f>AE1144+AF1144</f>
        <v>0</v>
      </c>
      <c r="AJ1144" s="821">
        <f>AH1144+AG1144</f>
        <v>0</v>
      </c>
      <c r="AK1144" s="821">
        <f>AI1144+AJ1144</f>
        <v>0</v>
      </c>
      <c r="AL1144" s="517"/>
    </row>
    <row r="1145" spans="1:38" s="392" customFormat="1" ht="14.5">
      <c r="A1145" s="1693">
        <f t="shared" si="1800"/>
        <v>1128</v>
      </c>
      <c r="B1145" s="616">
        <v>1</v>
      </c>
      <c r="C1145" s="1693">
        <f t="shared" si="1759"/>
        <v>1145</v>
      </c>
      <c r="D1145" s="616">
        <v>1</v>
      </c>
      <c r="E1145" s="709" t="s">
        <v>512</v>
      </c>
      <c r="F1145" s="69"/>
      <c r="G1145" s="391"/>
      <c r="H1145" s="238"/>
      <c r="I1145" s="238"/>
      <c r="J1145" s="398"/>
      <c r="K1145" s="395"/>
      <c r="L1145" s="412"/>
      <c r="M1145" s="1382"/>
      <c r="N1145" s="814"/>
      <c r="O1145" s="390" t="s">
        <v>235</v>
      </c>
      <c r="P1145" s="807"/>
      <c r="Q1145" s="807"/>
      <c r="R1145" s="1829" t="str">
        <f>CHOOSE(2, "6722000004046", "TPA Total BT-G PA (2) PP Non-RR Parts")</f>
        <v>TPA Total BT-G PA (2) PP Non-RR Parts</v>
      </c>
      <c r="S1145" s="1131">
        <v>104526.5939500002</v>
      </c>
      <c r="T1145" s="1131">
        <v>42789.21486999996</v>
      </c>
      <c r="U1145" s="1131">
        <v>51988.741939999978</v>
      </c>
      <c r="V1145" s="1131">
        <v>56052.305959999976</v>
      </c>
      <c r="W1145" s="1131">
        <v>27115.15652</v>
      </c>
      <c r="X1145" s="1131">
        <v>50753.915829999976</v>
      </c>
      <c r="Y1145" s="1131">
        <v>60821.527320000001</v>
      </c>
      <c r="Z1145" s="1131">
        <v>117429.82204999989</v>
      </c>
      <c r="AA1145" s="1131">
        <v>43409.221800000007</v>
      </c>
      <c r="AB1145" s="1131">
        <v>93049.813779999822</v>
      </c>
      <c r="AC1145" s="1131">
        <v>80314.668590000001</v>
      </c>
      <c r="AD1145" s="1131">
        <v>65422.248070000031</v>
      </c>
      <c r="AE1145" s="932">
        <f>SUM(S1145,T1145,U1145)</f>
        <v>199304.55076000013</v>
      </c>
      <c r="AF1145" s="823">
        <f>SUM(V1145,W1145,X1145)</f>
        <v>133921.37830999994</v>
      </c>
      <c r="AG1145" s="823">
        <f>SUM(Y1145,Z1145,AA1145)</f>
        <v>221660.57116999989</v>
      </c>
      <c r="AH1145" s="823">
        <f>SUM(AB1145,AC1145,AD1145)</f>
        <v>238786.73043999984</v>
      </c>
      <c r="AI1145" s="823">
        <f>AE1145+AF1145</f>
        <v>333225.92907000007</v>
      </c>
      <c r="AJ1145" s="823">
        <f>AH1145+AG1145</f>
        <v>460447.30160999973</v>
      </c>
      <c r="AK1145" s="823">
        <f>AI1145+AJ1145</f>
        <v>793673.2306799998</v>
      </c>
      <c r="AL1145" s="517"/>
    </row>
    <row r="1146" spans="1:38" s="392" customFormat="1" ht="14.5">
      <c r="A1146" s="1693">
        <f t="shared" si="1800"/>
        <v>1129</v>
      </c>
      <c r="B1146" s="616">
        <v>1</v>
      </c>
      <c r="C1146" s="1693">
        <f t="shared" si="1759"/>
        <v>1146</v>
      </c>
      <c r="D1146" s="616">
        <v>1</v>
      </c>
      <c r="E1146" s="709" t="s">
        <v>512</v>
      </c>
      <c r="F1146" s="69"/>
      <c r="G1146" s="391"/>
      <c r="H1146" s="238"/>
      <c r="I1146" s="238"/>
      <c r="J1146" s="398"/>
      <c r="K1146" s="395"/>
      <c r="L1146" s="541" t="s">
        <v>355</v>
      </c>
      <c r="M1146" s="416"/>
      <c r="N1146" s="418"/>
      <c r="O1146" s="418"/>
      <c r="P1146" s="418"/>
      <c r="Q1146" s="418"/>
      <c r="R1146" s="1827" t="str">
        <f>CHOOSE(2, "6722000004047", "TPA Total BT-G PA (3) IP")</f>
        <v>TPA Total BT-G PA (3) IP</v>
      </c>
      <c r="S1146" s="818">
        <f t="shared" ref="S1146:AD1146" si="1803">SUM(S1147:S1148)</f>
        <v>7761.7422100000013</v>
      </c>
      <c r="T1146" s="818">
        <f t="shared" si="1803"/>
        <v>9967.4355300000007</v>
      </c>
      <c r="U1146" s="818">
        <f t="shared" si="1803"/>
        <v>2034.9828199999995</v>
      </c>
      <c r="V1146" s="818">
        <f t="shared" si="1803"/>
        <v>15896.04711</v>
      </c>
      <c r="W1146" s="818">
        <f t="shared" si="1803"/>
        <v>1780.6473799999999</v>
      </c>
      <c r="X1146" s="818">
        <f t="shared" si="1803"/>
        <v>1951.0374099999999</v>
      </c>
      <c r="Y1146" s="818">
        <f t="shared" si="1803"/>
        <v>13874.244890000002</v>
      </c>
      <c r="Z1146" s="818">
        <f t="shared" si="1803"/>
        <v>3386.0029500000001</v>
      </c>
      <c r="AA1146" s="818">
        <f t="shared" si="1803"/>
        <v>2693.9339100000002</v>
      </c>
      <c r="AB1146" s="818">
        <f t="shared" si="1803"/>
        <v>3861.0078399999998</v>
      </c>
      <c r="AC1146" s="818">
        <f t="shared" si="1803"/>
        <v>28674.66246</v>
      </c>
      <c r="AD1146" s="818">
        <f t="shared" si="1803"/>
        <v>2837.6200100000001</v>
      </c>
      <c r="AE1146" s="927">
        <f t="shared" ref="AE1146:AK1146" si="1804">SUM(AE1147:AE1148)</f>
        <v>19764.160560000004</v>
      </c>
      <c r="AF1146" s="818">
        <f t="shared" si="1804"/>
        <v>19627.731899999999</v>
      </c>
      <c r="AG1146" s="818">
        <f t="shared" si="1804"/>
        <v>19954.18175</v>
      </c>
      <c r="AH1146" s="818">
        <f t="shared" si="1804"/>
        <v>35373.290309999997</v>
      </c>
      <c r="AI1146" s="818">
        <f t="shared" si="1804"/>
        <v>39391.892460000003</v>
      </c>
      <c r="AJ1146" s="818">
        <f t="shared" si="1804"/>
        <v>55327.47206</v>
      </c>
      <c r="AK1146" s="818">
        <f t="shared" si="1804"/>
        <v>94719.364520000003</v>
      </c>
      <c r="AL1146" s="517"/>
    </row>
    <row r="1147" spans="1:38" s="392" customFormat="1" ht="14.5">
      <c r="A1147" s="1693">
        <f t="shared" si="1800"/>
        <v>1130</v>
      </c>
      <c r="B1147" s="616">
        <v>1</v>
      </c>
      <c r="C1147" s="1693">
        <f t="shared" si="1759"/>
        <v>1147</v>
      </c>
      <c r="D1147" s="616">
        <v>1</v>
      </c>
      <c r="E1147" s="709" t="s">
        <v>512</v>
      </c>
      <c r="F1147" s="69"/>
      <c r="G1147" s="391"/>
      <c r="H1147" s="238"/>
      <c r="I1147" s="238"/>
      <c r="J1147" s="398"/>
      <c r="K1147" s="395"/>
      <c r="L1147" s="411"/>
      <c r="M1147" s="385" t="s">
        <v>231</v>
      </c>
      <c r="O1147" s="385" t="s">
        <v>217</v>
      </c>
      <c r="P1147" s="808"/>
      <c r="Q1147" s="808"/>
      <c r="R1147" s="1829" t="str">
        <f>CHOOSE(2, "6722000004048", "TPA Total BT-G PA (3) IP RR Label Printer")</f>
        <v>TPA Total BT-G PA (3) IP RR Label Printer</v>
      </c>
      <c r="S1147" s="1128"/>
      <c r="T1147" s="1128">
        <v>4725</v>
      </c>
      <c r="U1147" s="1128"/>
      <c r="V1147" s="1128">
        <v>13081.9</v>
      </c>
      <c r="W1147" s="1128"/>
      <c r="X1147" s="1128"/>
      <c r="Y1147" s="1128">
        <v>7220.6840000000002</v>
      </c>
      <c r="Z1147" s="1128">
        <v>0</v>
      </c>
      <c r="AA1147" s="1128">
        <v>264</v>
      </c>
      <c r="AB1147" s="1128">
        <v>1597</v>
      </c>
      <c r="AC1147" s="1128">
        <v>26163.8</v>
      </c>
      <c r="AD1147" s="1128"/>
      <c r="AE1147" s="929">
        <f t="shared" ref="AE1147:AE1153" si="1805">SUM(S1147,T1147,U1147)</f>
        <v>4725</v>
      </c>
      <c r="AF1147" s="820">
        <f t="shared" ref="AF1147:AF1153" si="1806">SUM(V1147,W1147,X1147)</f>
        <v>13081.9</v>
      </c>
      <c r="AG1147" s="820">
        <f t="shared" ref="AG1147:AG1153" si="1807">SUM(Y1147,Z1147,AA1147)</f>
        <v>7484.6840000000002</v>
      </c>
      <c r="AH1147" s="820">
        <f t="shared" ref="AH1147:AH1153" si="1808">SUM(AB1147,AC1147,AD1147)</f>
        <v>27760.799999999999</v>
      </c>
      <c r="AI1147" s="820">
        <f t="shared" ref="AI1147:AI1153" si="1809">AE1147+AF1147</f>
        <v>17806.900000000001</v>
      </c>
      <c r="AJ1147" s="820">
        <f t="shared" ref="AJ1147:AJ1153" si="1810">AH1147+AG1147</f>
        <v>35245.483999999997</v>
      </c>
      <c r="AK1147" s="820">
        <f t="shared" ref="AK1147:AK1153" si="1811">AI1147+AJ1147</f>
        <v>53052.383999999998</v>
      </c>
      <c r="AL1147" s="517"/>
    </row>
    <row r="1148" spans="1:38" s="392" customFormat="1" ht="14.5">
      <c r="A1148" s="1693">
        <f t="shared" si="1800"/>
        <v>1131</v>
      </c>
      <c r="B1148" s="616">
        <v>1</v>
      </c>
      <c r="C1148" s="1693">
        <f t="shared" si="1759"/>
        <v>1148</v>
      </c>
      <c r="D1148" s="616">
        <v>1</v>
      </c>
      <c r="E1148" s="709" t="s">
        <v>512</v>
      </c>
      <c r="F1148" s="69"/>
      <c r="G1148" s="391"/>
      <c r="H1148" s="238"/>
      <c r="I1148" s="238"/>
      <c r="J1148" s="398"/>
      <c r="K1148" s="395"/>
      <c r="L1148" s="412"/>
      <c r="M1148" s="1292" t="s">
        <v>232</v>
      </c>
      <c r="N1148" s="814"/>
      <c r="O1148" s="542" t="s">
        <v>236</v>
      </c>
      <c r="P1148" s="809"/>
      <c r="Q1148" s="809"/>
      <c r="R1148" s="1829" t="str">
        <f>CHOOSE(2, "6722000004049", "TPA Total BT-G PA (3) IP Non-RR Others")</f>
        <v>TPA Total BT-G PA (3) IP Non-RR Others</v>
      </c>
      <c r="S1148" s="1131">
        <v>7761.7422100000013</v>
      </c>
      <c r="T1148" s="1131">
        <v>5242.4355300000007</v>
      </c>
      <c r="U1148" s="1131">
        <v>2034.9828199999995</v>
      </c>
      <c r="V1148" s="1131">
        <v>2814.1471099999994</v>
      </c>
      <c r="W1148" s="1131">
        <v>1780.6473799999999</v>
      </c>
      <c r="X1148" s="1131">
        <v>1951.0374099999999</v>
      </c>
      <c r="Y1148" s="1131">
        <v>6653.5608900000007</v>
      </c>
      <c r="Z1148" s="1131">
        <v>3386.0029500000001</v>
      </c>
      <c r="AA1148" s="1131">
        <v>2429.9339100000002</v>
      </c>
      <c r="AB1148" s="1131">
        <v>2264.0078399999998</v>
      </c>
      <c r="AC1148" s="1131">
        <v>2510.8624599999998</v>
      </c>
      <c r="AD1148" s="1131">
        <v>2837.6200100000001</v>
      </c>
      <c r="AE1148" s="932">
        <f t="shared" si="1805"/>
        <v>15039.160560000002</v>
      </c>
      <c r="AF1148" s="823">
        <f t="shared" si="1806"/>
        <v>6545.8318999999992</v>
      </c>
      <c r="AG1148" s="823">
        <f t="shared" si="1807"/>
        <v>12469.49775</v>
      </c>
      <c r="AH1148" s="823">
        <f t="shared" si="1808"/>
        <v>7612.4903099999992</v>
      </c>
      <c r="AI1148" s="823">
        <f t="shared" si="1809"/>
        <v>21584.992460000001</v>
      </c>
      <c r="AJ1148" s="823">
        <f t="shared" si="1810"/>
        <v>20081.98806</v>
      </c>
      <c r="AK1148" s="823">
        <f t="shared" si="1811"/>
        <v>41666.980519999997</v>
      </c>
    </row>
    <row r="1149" spans="1:38" s="392" customFormat="1" ht="14.5">
      <c r="A1149" s="1693">
        <f t="shared" si="1800"/>
        <v>1132</v>
      </c>
      <c r="B1149" s="616">
        <v>1</v>
      </c>
      <c r="C1149" s="1693">
        <f t="shared" si="1759"/>
        <v>1149</v>
      </c>
      <c r="D1149" s="616">
        <v>1</v>
      </c>
      <c r="E1149" s="709" t="s">
        <v>512</v>
      </c>
      <c r="F1149" s="69"/>
      <c r="G1149" s="391"/>
      <c r="H1149" s="238"/>
      <c r="I1149" s="238"/>
      <c r="J1149" s="398"/>
      <c r="K1149" s="395"/>
      <c r="L1149" s="413" t="s">
        <v>286</v>
      </c>
      <c r="M1149" s="415"/>
      <c r="N1149" s="419"/>
      <c r="O1149" s="420"/>
      <c r="P1149" s="420"/>
      <c r="Q1149" s="420"/>
      <c r="R1149" s="1827" t="str">
        <f>CHOOSE(2, "6722000004050", "TPA Total BT-G PA (4) MS")</f>
        <v>TPA Total BT-G PA (4) MS</v>
      </c>
      <c r="S1149" s="1132"/>
      <c r="T1149" s="1132"/>
      <c r="U1149" s="1132"/>
      <c r="V1149" s="1132"/>
      <c r="W1149" s="1132"/>
      <c r="X1149" s="1132"/>
      <c r="Y1149" s="1132"/>
      <c r="Z1149" s="1132"/>
      <c r="AA1149" s="1132"/>
      <c r="AB1149" s="1132"/>
      <c r="AC1149" s="1132">
        <v>976.97047499999985</v>
      </c>
      <c r="AD1149" s="1132">
        <v>4372.2103424999996</v>
      </c>
      <c r="AE1149" s="933">
        <f t="shared" si="1805"/>
        <v>0</v>
      </c>
      <c r="AF1149" s="824">
        <f t="shared" si="1806"/>
        <v>0</v>
      </c>
      <c r="AG1149" s="824">
        <f t="shared" si="1807"/>
        <v>0</v>
      </c>
      <c r="AH1149" s="824">
        <f t="shared" si="1808"/>
        <v>5349.1808174999996</v>
      </c>
      <c r="AI1149" s="824">
        <f t="shared" si="1809"/>
        <v>0</v>
      </c>
      <c r="AJ1149" s="824">
        <f t="shared" si="1810"/>
        <v>5349.1808174999996</v>
      </c>
      <c r="AK1149" s="824">
        <f t="shared" si="1811"/>
        <v>5349.1808174999996</v>
      </c>
      <c r="AL1149" s="8"/>
    </row>
    <row r="1150" spans="1:38" s="392" customFormat="1" ht="14.5">
      <c r="A1150" s="1693">
        <f t="shared" si="1800"/>
        <v>1133</v>
      </c>
      <c r="B1150" s="616">
        <v>1</v>
      </c>
      <c r="C1150" s="1693">
        <f t="shared" si="1759"/>
        <v>1150</v>
      </c>
      <c r="D1150" s="616">
        <v>1</v>
      </c>
      <c r="E1150" s="709" t="s">
        <v>512</v>
      </c>
      <c r="F1150" s="69"/>
      <c r="G1150" s="391"/>
      <c r="H1150" s="238"/>
      <c r="I1150" s="238"/>
      <c r="J1150" s="398"/>
      <c r="K1150" s="395"/>
      <c r="L1150" s="802" t="s">
        <v>543</v>
      </c>
      <c r="M1150" s="414"/>
      <c r="N1150" s="415"/>
      <c r="O1150" s="415"/>
      <c r="P1150" s="415"/>
      <c r="Q1150" s="415"/>
      <c r="R1150" s="1827" t="str">
        <f>CHOOSE(2, "6722000004051", "TPA Total BT-G PA (5) DW-DX")</f>
        <v>TPA Total BT-G PA (5) DW-DX</v>
      </c>
      <c r="S1150" s="1131"/>
      <c r="T1150" s="1131"/>
      <c r="U1150" s="1131"/>
      <c r="V1150" s="1131"/>
      <c r="W1150" s="1131"/>
      <c r="X1150" s="1131"/>
      <c r="Y1150" s="1131"/>
      <c r="Z1150" s="1131"/>
      <c r="AA1150" s="1131"/>
      <c r="AB1150" s="1131"/>
      <c r="AC1150" s="1131">
        <v>1962.6558149999996</v>
      </c>
      <c r="AD1150" s="1131">
        <v>4965.3900000000003</v>
      </c>
      <c r="AE1150" s="934">
        <f t="shared" si="1805"/>
        <v>0</v>
      </c>
      <c r="AF1150" s="825">
        <f t="shared" si="1806"/>
        <v>0</v>
      </c>
      <c r="AG1150" s="825">
        <f t="shared" si="1807"/>
        <v>0</v>
      </c>
      <c r="AH1150" s="825">
        <f t="shared" si="1808"/>
        <v>6928.0458149999995</v>
      </c>
      <c r="AI1150" s="825">
        <f t="shared" si="1809"/>
        <v>0</v>
      </c>
      <c r="AJ1150" s="825">
        <f t="shared" si="1810"/>
        <v>6928.0458149999995</v>
      </c>
      <c r="AK1150" s="825">
        <f t="shared" si="1811"/>
        <v>6928.0458149999995</v>
      </c>
    </row>
    <row r="1151" spans="1:38" s="392" customFormat="1" ht="14.5">
      <c r="A1151" s="1693">
        <f t="shared" si="1800"/>
        <v>1134</v>
      </c>
      <c r="B1151" s="616">
        <v>1</v>
      </c>
      <c r="C1151" s="1693">
        <f t="shared" si="1759"/>
        <v>1151</v>
      </c>
      <c r="D1151" s="616">
        <v>1</v>
      </c>
      <c r="E1151" s="709" t="s">
        <v>512</v>
      </c>
      <c r="F1151" s="69"/>
      <c r="G1151" s="391"/>
      <c r="H1151" s="238"/>
      <c r="I1151" s="238"/>
      <c r="J1151" s="398"/>
      <c r="K1151" s="395"/>
      <c r="L1151" s="407" t="s">
        <v>252</v>
      </c>
      <c r="M1151" s="371"/>
      <c r="N1151" s="371"/>
      <c r="O1151" s="382"/>
      <c r="P1151" s="810"/>
      <c r="Q1151" s="810"/>
      <c r="R1151" s="1829" t="str">
        <f>CHOOSE(2, "6722000004052", "TPA Total BT-G PA ②Other BT-Gr Suppliers (BSF/BCUS)")</f>
        <v>TPA Total BT-G PA ②Other BT-Gr Suppliers (BSF/BCUS)</v>
      </c>
      <c r="S1151" s="1132">
        <v>1862.076</v>
      </c>
      <c r="T1151" s="1132">
        <v>21037.720499999999</v>
      </c>
      <c r="U1151" s="1132">
        <v>1992.6</v>
      </c>
      <c r="V1151" s="1132">
        <v>9666.8118400000003</v>
      </c>
      <c r="W1151" s="1132">
        <v>19201.2016</v>
      </c>
      <c r="X1151" s="1132">
        <v>4868.1639999999998</v>
      </c>
      <c r="Y1151" s="1132">
        <v>11562.800280000001</v>
      </c>
      <c r="Z1151" s="1132">
        <v>2651.8454999999999</v>
      </c>
      <c r="AA1151" s="1132">
        <v>11735.6189844</v>
      </c>
      <c r="AB1151" s="1132">
        <v>21436.059600000001</v>
      </c>
      <c r="AC1151" s="1132">
        <v>1342.4939999999999</v>
      </c>
      <c r="AD1151" s="1132">
        <v>27616.049070000001</v>
      </c>
      <c r="AE1151" s="384">
        <f t="shared" si="1805"/>
        <v>24892.396499999999</v>
      </c>
      <c r="AF1151" s="826">
        <f t="shared" si="1806"/>
        <v>33736.177439999999</v>
      </c>
      <c r="AG1151" s="826">
        <f t="shared" si="1807"/>
        <v>25950.264764400003</v>
      </c>
      <c r="AH1151" s="826">
        <f t="shared" si="1808"/>
        <v>50394.60267</v>
      </c>
      <c r="AI1151" s="826">
        <f t="shared" si="1809"/>
        <v>58628.573940000002</v>
      </c>
      <c r="AJ1151" s="826">
        <f t="shared" si="1810"/>
        <v>76344.867434400003</v>
      </c>
      <c r="AK1151" s="826">
        <f t="shared" si="1811"/>
        <v>134973.44137439999</v>
      </c>
    </row>
    <row r="1152" spans="1:38" s="392" customFormat="1" ht="14.5">
      <c r="A1152" s="1693">
        <f t="shared" si="1800"/>
        <v>1135</v>
      </c>
      <c r="B1152" s="616">
        <v>1</v>
      </c>
      <c r="C1152" s="1693">
        <f t="shared" si="1759"/>
        <v>1152</v>
      </c>
      <c r="D1152" s="616">
        <v>1</v>
      </c>
      <c r="E1152" s="709" t="s">
        <v>512</v>
      </c>
      <c r="F1152" s="69"/>
      <c r="G1152" s="391"/>
      <c r="H1152" s="238"/>
      <c r="I1152" s="238"/>
      <c r="J1152" s="400"/>
      <c r="K1152" s="404"/>
      <c r="L1152" s="408" t="s">
        <v>253</v>
      </c>
      <c r="M1152" s="372"/>
      <c r="N1152" s="373"/>
      <c r="O1152" s="384"/>
      <c r="P1152" s="373"/>
      <c r="Q1152" s="373"/>
      <c r="R1152" s="1829" t="str">
        <f>CHOOSE(2, "6722000004053", "TPA Total BT-G PA ③Other BT-Gr Suppliers (MGI)")</f>
        <v>TPA Total BT-G PA ③Other BT-Gr Suppliers (MGI)</v>
      </c>
      <c r="S1152" s="2330">
        <v>3208.20984</v>
      </c>
      <c r="T1152" s="1178">
        <v>12430.885299999998</v>
      </c>
      <c r="U1152" s="2330">
        <v>2162.6999999999998</v>
      </c>
      <c r="V1152" s="2330">
        <v>60.286319999999996</v>
      </c>
      <c r="W1152" s="1178">
        <v>2093.2316000000001</v>
      </c>
      <c r="X1152" s="2330">
        <v>10735.564</v>
      </c>
      <c r="Y1152" s="1178">
        <v>59.748390000000001</v>
      </c>
      <c r="Z1152" s="1178">
        <v>0</v>
      </c>
      <c r="AA1152" s="2330">
        <v>1942.5330000000001</v>
      </c>
      <c r="AB1152" s="2330">
        <v>10050.3585</v>
      </c>
      <c r="AC1152" s="1178">
        <v>1185.1542000000002</v>
      </c>
      <c r="AD1152" s="1178"/>
      <c r="AE1152" s="384">
        <f t="shared" si="1805"/>
        <v>17801.795139999998</v>
      </c>
      <c r="AF1152" s="826">
        <f t="shared" si="1806"/>
        <v>12889.081920000001</v>
      </c>
      <c r="AG1152" s="826">
        <f t="shared" si="1807"/>
        <v>2002.2813900000001</v>
      </c>
      <c r="AH1152" s="826">
        <f t="shared" si="1808"/>
        <v>11235.512700000001</v>
      </c>
      <c r="AI1152" s="826">
        <f t="shared" si="1809"/>
        <v>30690.877059999999</v>
      </c>
      <c r="AJ1152" s="826">
        <f t="shared" si="1810"/>
        <v>13237.794090000001</v>
      </c>
      <c r="AK1152" s="826">
        <f t="shared" si="1811"/>
        <v>43928.671150000002</v>
      </c>
    </row>
    <row r="1153" spans="1:38" s="392" customFormat="1" ht="14.5">
      <c r="A1153" s="1693">
        <f t="shared" si="1800"/>
        <v>1136</v>
      </c>
      <c r="B1153" s="616">
        <v>1</v>
      </c>
      <c r="C1153" s="1693">
        <f t="shared" si="1759"/>
        <v>1153</v>
      </c>
      <c r="D1153" s="616">
        <v>1</v>
      </c>
      <c r="E1153" s="709" t="s">
        <v>512</v>
      </c>
      <c r="F1153" s="69"/>
      <c r="G1153" s="391"/>
      <c r="H1153" s="238"/>
      <c r="I1153" s="238"/>
      <c r="J1153" s="401"/>
      <c r="K1153" s="409" t="s">
        <v>256</v>
      </c>
      <c r="L1153" s="374"/>
      <c r="M1153" s="374"/>
      <c r="N1153" s="371"/>
      <c r="O1153" s="371"/>
      <c r="P1153" s="371"/>
      <c r="Q1153" s="371"/>
      <c r="R1153" s="1829" t="str">
        <f>CHOOSE(2, "6722000004054", "TPA ④Other (3rd Party） Suppliers")</f>
        <v>TPA ④Other (3rd Party） Suppliers</v>
      </c>
      <c r="S1153" s="2330">
        <v>2930.1459951999996</v>
      </c>
      <c r="T1153" s="1178">
        <v>1601.1344999999999</v>
      </c>
      <c r="U1153" s="2330">
        <v>9029.3009999999995</v>
      </c>
      <c r="V1153" s="2330">
        <v>1825.8096300000002</v>
      </c>
      <c r="W1153" s="1178">
        <v>1093.7149999999999</v>
      </c>
      <c r="X1153" s="2330">
        <v>6703.2348600000005</v>
      </c>
      <c r="Y1153" s="1178">
        <v>3133.5149999999999</v>
      </c>
      <c r="Z1153" s="1178">
        <v>2248.5074851999998</v>
      </c>
      <c r="AA1153" s="2330">
        <v>4235.7103753999991</v>
      </c>
      <c r="AB1153" s="2330">
        <v>10303.050241000001</v>
      </c>
      <c r="AC1153" s="1178">
        <v>4233.6391700000004</v>
      </c>
      <c r="AD1153" s="1178">
        <v>8105.9720700000007</v>
      </c>
      <c r="AE1153" s="384">
        <f t="shared" si="1805"/>
        <v>13560.5814952</v>
      </c>
      <c r="AF1153" s="826">
        <f t="shared" si="1806"/>
        <v>9622.7594900000004</v>
      </c>
      <c r="AG1153" s="826">
        <f t="shared" si="1807"/>
        <v>9617.7328605999974</v>
      </c>
      <c r="AH1153" s="826">
        <f t="shared" si="1808"/>
        <v>22642.661481000003</v>
      </c>
      <c r="AI1153" s="826">
        <f t="shared" si="1809"/>
        <v>23183.3409852</v>
      </c>
      <c r="AJ1153" s="826">
        <f t="shared" si="1810"/>
        <v>32260.3943416</v>
      </c>
      <c r="AK1153" s="826">
        <f t="shared" si="1811"/>
        <v>55443.735326800001</v>
      </c>
    </row>
    <row r="1154" spans="1:38" s="392" customFormat="1" ht="14.5">
      <c r="A1154" s="1693">
        <f t="shared" si="1800"/>
        <v>1137</v>
      </c>
      <c r="B1154" s="616">
        <v>1</v>
      </c>
      <c r="C1154" s="1693">
        <f t="shared" si="1759"/>
        <v>1154</v>
      </c>
      <c r="D1154" s="616">
        <v>1</v>
      </c>
      <c r="E1154" s="709" t="s">
        <v>512</v>
      </c>
      <c r="F1154" s="69"/>
      <c r="G1154" s="391"/>
      <c r="H1154" s="238"/>
      <c r="I1154" s="238"/>
      <c r="J1154" s="8"/>
      <c r="K1154" s="8"/>
      <c r="L1154" s="8"/>
      <c r="M1154" s="8"/>
      <c r="N1154" s="8"/>
      <c r="O1154" s="8"/>
      <c r="P1154" s="8"/>
      <c r="Q1154" s="8"/>
      <c r="R1154" s="1772" t="str">
        <f>CHOOSE(2, "6722000004055", "▷ Blank 39")</f>
        <v>▷ Blank 39</v>
      </c>
      <c r="S1154" s="223"/>
      <c r="T1154" s="69"/>
      <c r="U1154" s="69"/>
      <c r="V1154" s="69"/>
      <c r="W1154" s="69"/>
      <c r="X1154" s="69"/>
      <c r="Y1154" s="69"/>
    </row>
    <row r="1155" spans="1:38" ht="14.5">
      <c r="A1155" s="1693">
        <f t="shared" si="1800"/>
        <v>1138</v>
      </c>
      <c r="B1155" s="616">
        <v>1</v>
      </c>
      <c r="C1155" s="1693">
        <f t="shared" si="1759"/>
        <v>1155</v>
      </c>
      <c r="D1155" s="616">
        <v>1</v>
      </c>
      <c r="E1155" s="709" t="s">
        <v>512</v>
      </c>
      <c r="F1155" s="69"/>
      <c r="G1155" s="22"/>
      <c r="H1155" s="22" t="s">
        <v>678</v>
      </c>
      <c r="P1155" s="477"/>
      <c r="R1155" s="1772" t="str">
        <f>CHOOSE(2, "6722000004056", "6-2. Additional Purchase information")</f>
        <v>6-2. Additional Purchase information</v>
      </c>
      <c r="S1155" s="1125"/>
      <c r="T1155" s="1366"/>
      <c r="U1155" s="1366"/>
      <c r="V1155" s="1366"/>
      <c r="W1155" s="1366"/>
      <c r="X1155" s="1366"/>
      <c r="Y1155" s="1366"/>
      <c r="Z1155" s="1366"/>
      <c r="AA1155" s="1366"/>
      <c r="AB1155" s="1366"/>
      <c r="AC1155" s="69"/>
      <c r="AD1155" s="69"/>
      <c r="AE1155" s="69"/>
      <c r="AF1155" s="69"/>
      <c r="AG1155" s="69"/>
      <c r="AH1155" s="69"/>
      <c r="AI1155" s="69"/>
      <c r="AJ1155" s="69"/>
      <c r="AK1155" s="69"/>
      <c r="AL1155" s="392"/>
    </row>
    <row r="1156" spans="1:38" s="517" customFormat="1" ht="14.5">
      <c r="A1156" s="1693">
        <f t="shared" si="1800"/>
        <v>1139</v>
      </c>
      <c r="B1156" s="616">
        <v>1</v>
      </c>
      <c r="C1156" s="1693">
        <f t="shared" si="1759"/>
        <v>1156</v>
      </c>
      <c r="D1156" s="616">
        <v>1</v>
      </c>
      <c r="E1156" s="709" t="s">
        <v>512</v>
      </c>
      <c r="F1156" s="69"/>
      <c r="G1156" s="391"/>
      <c r="H1156" s="238"/>
      <c r="J1156" s="831" t="s">
        <v>671</v>
      </c>
      <c r="K1156" s="181"/>
      <c r="L1156" s="827"/>
      <c r="M1156" s="827"/>
      <c r="N1156" s="827"/>
      <c r="O1156" s="179"/>
      <c r="P1156" s="179"/>
      <c r="Q1156" s="179"/>
      <c r="R1156" s="1772" t="str">
        <f>CHOOSE(2, "6722000004057", "▷ Blank 40")</f>
        <v>▷ Blank 40</v>
      </c>
      <c r="S1156" s="223"/>
      <c r="T1156" s="69"/>
      <c r="U1156" s="69"/>
      <c r="V1156" s="69"/>
      <c r="W1156" s="69"/>
      <c r="X1156" s="69"/>
      <c r="Y1156" s="69"/>
      <c r="AL1156" s="392"/>
    </row>
    <row r="1157" spans="1:38" s="517" customFormat="1" ht="14.5">
      <c r="A1157" s="1693">
        <f t="shared" si="1800"/>
        <v>1140</v>
      </c>
      <c r="B1157" s="616">
        <v>1</v>
      </c>
      <c r="C1157" s="1693">
        <f t="shared" si="1759"/>
        <v>1157</v>
      </c>
      <c r="D1157" s="616">
        <v>1</v>
      </c>
      <c r="E1157" s="709" t="s">
        <v>512</v>
      </c>
      <c r="F1157" s="69"/>
      <c r="G1157" s="391"/>
      <c r="H1157" s="238"/>
      <c r="J1157" s="543" t="s">
        <v>197</v>
      </c>
      <c r="K1157" s="378"/>
      <c r="L1157" s="378"/>
      <c r="M1157" s="378"/>
      <c r="N1157" s="378"/>
      <c r="O1157" s="487"/>
      <c r="P1157" s="487"/>
      <c r="Q1157" s="487"/>
      <c r="R1157" s="1772" t="str">
        <f>CHOOSE(2, "6722000004058", "①Supplier = BT")</f>
        <v>①Supplier = BT</v>
      </c>
      <c r="S1157" s="1384">
        <f t="shared" ref="S1157:AD1157" si="1812">S1127</f>
        <v>592397.29183000023</v>
      </c>
      <c r="T1157" s="1384">
        <f t="shared" si="1812"/>
        <v>554398.08342000004</v>
      </c>
      <c r="U1157" s="1384">
        <f t="shared" si="1812"/>
        <v>569659.35079000005</v>
      </c>
      <c r="V1157" s="1384">
        <f t="shared" si="1812"/>
        <v>517469.21056999994</v>
      </c>
      <c r="W1157" s="1384">
        <f t="shared" si="1812"/>
        <v>474009.77943</v>
      </c>
      <c r="X1157" s="1384">
        <f t="shared" si="1812"/>
        <v>441626.42570999998</v>
      </c>
      <c r="Y1157" s="1384">
        <f t="shared" si="1812"/>
        <v>738727.93060999992</v>
      </c>
      <c r="Z1157" s="1638">
        <f t="shared" si="1812"/>
        <v>615197.16505999991</v>
      </c>
      <c r="AA1157" s="1638">
        <f t="shared" si="1812"/>
        <v>514376.37699000002</v>
      </c>
      <c r="AB1157" s="1638">
        <f t="shared" si="1812"/>
        <v>591659.31685999979</v>
      </c>
      <c r="AC1157" s="1638">
        <f t="shared" si="1812"/>
        <v>657855.81176999991</v>
      </c>
      <c r="AD1157" s="1638">
        <f t="shared" si="1812"/>
        <v>579974.58781250007</v>
      </c>
      <c r="AE1157" s="1639">
        <f t="shared" ref="AE1157:AK1157" si="1813">AE1127</f>
        <v>1716454.7260400001</v>
      </c>
      <c r="AF1157" s="1640">
        <f t="shared" si="1813"/>
        <v>1433105.4157099999</v>
      </c>
      <c r="AG1157" s="1640">
        <f t="shared" si="1813"/>
        <v>1868301.47266</v>
      </c>
      <c r="AH1157" s="1640">
        <f t="shared" si="1813"/>
        <v>1829489.7164425002</v>
      </c>
      <c r="AI1157" s="1640">
        <f t="shared" si="1813"/>
        <v>3149560.1417499995</v>
      </c>
      <c r="AJ1157" s="1640">
        <f t="shared" si="1813"/>
        <v>3697791.1891025002</v>
      </c>
      <c r="AK1157" s="1640">
        <f t="shared" si="1813"/>
        <v>6847351.3308525011</v>
      </c>
      <c r="AL1157" s="392"/>
    </row>
    <row r="1158" spans="1:38" s="517" customFormat="1" ht="14.5">
      <c r="A1158" s="1693">
        <f t="shared" si="1800"/>
        <v>1141</v>
      </c>
      <c r="B1158" s="616">
        <v>1</v>
      </c>
      <c r="C1158" s="1693">
        <f t="shared" si="1759"/>
        <v>1158</v>
      </c>
      <c r="D1158" s="616">
        <v>1</v>
      </c>
      <c r="E1158" s="709" t="s">
        <v>512</v>
      </c>
      <c r="F1158" s="69"/>
      <c r="G1158" s="391"/>
      <c r="H1158" s="238"/>
      <c r="J1158" s="225"/>
      <c r="K1158" s="424"/>
      <c r="L1158" s="425" t="s">
        <v>237</v>
      </c>
      <c r="M1158" s="422"/>
      <c r="N1158" s="828"/>
      <c r="O1158" s="422"/>
      <c r="P1158" s="422"/>
      <c r="Q1158" s="422"/>
      <c r="R1158" s="1830" t="str">
        <f>CHOOSE(2, "6722000004059", "①Supplier = BT RR Purchase")</f>
        <v>①Supplier = BT RR Purchase</v>
      </c>
      <c r="S1158" s="1573">
        <v>592397.29183000023</v>
      </c>
      <c r="T1158" s="1573">
        <v>554398.08342000004</v>
      </c>
      <c r="U1158" s="1573">
        <v>569659.35079000005</v>
      </c>
      <c r="V1158" s="1573">
        <v>517469.21056999994</v>
      </c>
      <c r="W1158" s="1573">
        <v>474009.77943</v>
      </c>
      <c r="X1158" s="1573">
        <v>441626.42570999998</v>
      </c>
      <c r="Y1158" s="1573">
        <v>738727.93060999992</v>
      </c>
      <c r="Z1158" s="1574">
        <v>615197.16505999991</v>
      </c>
      <c r="AA1158" s="1574">
        <v>514376.37699000002</v>
      </c>
      <c r="AB1158" s="1574">
        <v>591659.31685999979</v>
      </c>
      <c r="AC1158" s="1574">
        <v>657855.81176999991</v>
      </c>
      <c r="AD1158" s="1574">
        <v>579974.58781250007</v>
      </c>
      <c r="AE1158" s="1575">
        <f t="shared" ref="AE1158:AE1164" si="1814">SUM(S1158,T1158,U1158)</f>
        <v>1716454.7260400003</v>
      </c>
      <c r="AF1158" s="1576">
        <f t="shared" ref="AF1158:AF1164" si="1815">SUM(V1158,W1158,X1158)</f>
        <v>1433105.4157099999</v>
      </c>
      <c r="AG1158" s="1576">
        <f t="shared" ref="AG1158:AG1164" si="1816">SUM(Y1158,Z1158,AA1158)</f>
        <v>1868301.4726599997</v>
      </c>
      <c r="AH1158" s="1576">
        <f t="shared" ref="AH1158:AH1164" si="1817">SUM(AB1158,AC1158,AD1158)</f>
        <v>1829489.7164424998</v>
      </c>
      <c r="AI1158" s="1576">
        <f t="shared" ref="AI1158:AI1164" si="1818">AE1158+AF1158</f>
        <v>3149560.1417500004</v>
      </c>
      <c r="AJ1158" s="1576">
        <f t="shared" ref="AJ1158:AJ1164" si="1819">AH1158+AG1158</f>
        <v>3697791.1891024997</v>
      </c>
      <c r="AK1158" s="1576">
        <f t="shared" ref="AK1158:AK1164" si="1820">AI1158+AJ1158</f>
        <v>6847351.3308525002</v>
      </c>
      <c r="AL1158" s="392"/>
    </row>
    <row r="1159" spans="1:38" s="517" customFormat="1" ht="14.5">
      <c r="A1159" s="1693">
        <f t="shared" si="1800"/>
        <v>1142</v>
      </c>
      <c r="B1159" s="616">
        <v>1</v>
      </c>
      <c r="C1159" s="1693">
        <f t="shared" si="1759"/>
        <v>1159</v>
      </c>
      <c r="D1159" s="616">
        <v>1</v>
      </c>
      <c r="E1159" s="709" t="s">
        <v>512</v>
      </c>
      <c r="F1159" s="69"/>
      <c r="G1159" s="391"/>
      <c r="H1159" s="238"/>
      <c r="J1159" s="225"/>
      <c r="K1159" s="424"/>
      <c r="L1159" s="426" t="s">
        <v>194</v>
      </c>
      <c r="M1159" s="423"/>
      <c r="N1159" s="829"/>
      <c r="O1159" s="423"/>
      <c r="P1159" s="423"/>
      <c r="Q1159" s="423"/>
      <c r="R1159" s="1830" t="str">
        <f>CHOOSE(2, "6722000004060", "①Supplier = BT Non-RR")</f>
        <v>①Supplier = BT Non-RR</v>
      </c>
      <c r="S1159" s="1577"/>
      <c r="T1159" s="1577"/>
      <c r="U1159" s="1577"/>
      <c r="V1159" s="1577"/>
      <c r="W1159" s="1577"/>
      <c r="X1159" s="1577"/>
      <c r="Y1159" s="1577"/>
      <c r="Z1159" s="1578"/>
      <c r="AA1159" s="1578"/>
      <c r="AB1159" s="1578"/>
      <c r="AC1159" s="1578"/>
      <c r="AD1159" s="1578"/>
      <c r="AE1159" s="771">
        <f t="shared" si="1814"/>
        <v>0</v>
      </c>
      <c r="AF1159" s="1579">
        <f t="shared" si="1815"/>
        <v>0</v>
      </c>
      <c r="AG1159" s="1579">
        <f t="shared" si="1816"/>
        <v>0</v>
      </c>
      <c r="AH1159" s="1579">
        <f t="shared" si="1817"/>
        <v>0</v>
      </c>
      <c r="AI1159" s="1579">
        <f t="shared" si="1818"/>
        <v>0</v>
      </c>
      <c r="AJ1159" s="1579">
        <f t="shared" si="1819"/>
        <v>0</v>
      </c>
      <c r="AK1159" s="1579">
        <f t="shared" si="1820"/>
        <v>0</v>
      </c>
      <c r="AL1159" s="392"/>
    </row>
    <row r="1160" spans="1:38" s="517" customFormat="1" ht="14.5">
      <c r="A1160" s="1693">
        <f t="shared" si="1800"/>
        <v>1143</v>
      </c>
      <c r="B1160" s="616">
        <v>1</v>
      </c>
      <c r="C1160" s="1693">
        <f t="shared" si="1759"/>
        <v>1160</v>
      </c>
      <c r="D1160" s="616">
        <v>1</v>
      </c>
      <c r="E1160" s="709" t="s">
        <v>512</v>
      </c>
      <c r="F1160" s="69"/>
      <c r="G1160" s="391"/>
      <c r="H1160" s="238"/>
      <c r="J1160" s="225"/>
      <c r="K1160" s="424"/>
      <c r="L1160" s="427" t="s">
        <v>195</v>
      </c>
      <c r="M1160" s="383"/>
      <c r="O1160" s="383" t="s">
        <v>238</v>
      </c>
      <c r="P1160" s="383"/>
      <c r="Q1160" s="383"/>
      <c r="R1160" s="1830" t="str">
        <f>CHOOSE(2, "6722000004061", "①Supplier = BT Purchase for South Africa (for BEU)")</f>
        <v>①Supplier = BT Purchase for South Africa (for BEU)</v>
      </c>
      <c r="S1160" s="1281"/>
      <c r="T1160" s="1281"/>
      <c r="U1160" s="1281"/>
      <c r="V1160" s="1281"/>
      <c r="W1160" s="1281"/>
      <c r="X1160" s="1281"/>
      <c r="Y1160" s="1281"/>
      <c r="Z1160" s="1580"/>
      <c r="AA1160" s="1580"/>
      <c r="AB1160" s="1580"/>
      <c r="AC1160" s="1580"/>
      <c r="AD1160" s="1580"/>
      <c r="AE1160" s="1372">
        <f t="shared" si="1814"/>
        <v>0</v>
      </c>
      <c r="AF1160" s="1581">
        <f t="shared" si="1815"/>
        <v>0</v>
      </c>
      <c r="AG1160" s="1581">
        <f t="shared" si="1816"/>
        <v>0</v>
      </c>
      <c r="AH1160" s="1581">
        <f t="shared" si="1817"/>
        <v>0</v>
      </c>
      <c r="AI1160" s="1581">
        <f t="shared" si="1818"/>
        <v>0</v>
      </c>
      <c r="AJ1160" s="1581">
        <f t="shared" si="1819"/>
        <v>0</v>
      </c>
      <c r="AK1160" s="1581">
        <f t="shared" si="1820"/>
        <v>0</v>
      </c>
      <c r="AL1160" s="392"/>
    </row>
    <row r="1161" spans="1:38" s="517" customFormat="1" ht="14.5">
      <c r="A1161" s="1693">
        <f t="shared" si="1800"/>
        <v>1144</v>
      </c>
      <c r="B1161" s="616">
        <v>1</v>
      </c>
      <c r="C1161" s="1693">
        <f t="shared" si="1759"/>
        <v>1161</v>
      </c>
      <c r="D1161" s="616">
        <v>1</v>
      </c>
      <c r="E1161" s="709" t="s">
        <v>512</v>
      </c>
      <c r="F1161" s="69"/>
      <c r="G1161" s="391"/>
      <c r="H1161" s="238"/>
      <c r="J1161" s="225"/>
      <c r="K1161" s="424"/>
      <c r="L1161" s="427" t="s">
        <v>196</v>
      </c>
      <c r="M1161" s="383"/>
      <c r="O1161" s="383" t="s">
        <v>239</v>
      </c>
      <c r="P1161" s="383"/>
      <c r="Q1161" s="383"/>
      <c r="R1161" s="1830" t="str">
        <f>CHOOSE(2, "6722000004062", "①Supplier = BT Purchase for Oli (for BEU)")</f>
        <v>①Supplier = BT Purchase for Oli (for BEU)</v>
      </c>
      <c r="S1161" s="1281"/>
      <c r="T1161" s="1281"/>
      <c r="U1161" s="1281"/>
      <c r="V1161" s="1281"/>
      <c r="W1161" s="1281"/>
      <c r="X1161" s="1281"/>
      <c r="Y1161" s="1281"/>
      <c r="Z1161" s="1580"/>
      <c r="AA1161" s="1580"/>
      <c r="AB1161" s="1580"/>
      <c r="AC1161" s="1580"/>
      <c r="AD1161" s="1580"/>
      <c r="AE1161" s="1372">
        <f t="shared" si="1814"/>
        <v>0</v>
      </c>
      <c r="AF1161" s="1581">
        <f t="shared" si="1815"/>
        <v>0</v>
      </c>
      <c r="AG1161" s="1581">
        <f t="shared" si="1816"/>
        <v>0</v>
      </c>
      <c r="AH1161" s="1581">
        <f t="shared" si="1817"/>
        <v>0</v>
      </c>
      <c r="AI1161" s="1581">
        <f t="shared" si="1818"/>
        <v>0</v>
      </c>
      <c r="AJ1161" s="1581">
        <f t="shared" si="1819"/>
        <v>0</v>
      </c>
      <c r="AK1161" s="1581">
        <f t="shared" si="1820"/>
        <v>0</v>
      </c>
      <c r="AL1161" s="392"/>
    </row>
    <row r="1162" spans="1:38" s="517" customFormat="1" ht="14.5">
      <c r="A1162" s="1693">
        <f t="shared" si="1800"/>
        <v>1145</v>
      </c>
      <c r="B1162" s="616">
        <v>1</v>
      </c>
      <c r="C1162" s="1693">
        <f t="shared" si="1759"/>
        <v>1162</v>
      </c>
      <c r="D1162" s="616">
        <v>1</v>
      </c>
      <c r="E1162" s="709" t="s">
        <v>512</v>
      </c>
      <c r="F1162" s="69"/>
      <c r="G1162" s="391"/>
      <c r="H1162" s="238"/>
      <c r="J1162" s="225"/>
      <c r="K1162" s="424"/>
      <c r="L1162" s="427" t="s">
        <v>240</v>
      </c>
      <c r="M1162" s="383"/>
      <c r="O1162" s="383" t="s">
        <v>241</v>
      </c>
      <c r="P1162" s="383"/>
      <c r="Q1162" s="383"/>
      <c r="R1162" s="1830" t="str">
        <f>CHOOSE(2, "6722000004063", "①Supplier = BT Purchase for Aurora (for BCN)")</f>
        <v>①Supplier = BT Purchase for Aurora (for BCN)</v>
      </c>
      <c r="S1162" s="1281"/>
      <c r="T1162" s="1281"/>
      <c r="U1162" s="1281"/>
      <c r="V1162" s="1281"/>
      <c r="W1162" s="1281"/>
      <c r="X1162" s="1281"/>
      <c r="Y1162" s="1281"/>
      <c r="Z1162" s="1580"/>
      <c r="AA1162" s="1580"/>
      <c r="AB1162" s="1580"/>
      <c r="AC1162" s="1580"/>
      <c r="AD1162" s="1580"/>
      <c r="AE1162" s="1372">
        <f t="shared" si="1814"/>
        <v>0</v>
      </c>
      <c r="AF1162" s="1581">
        <f t="shared" si="1815"/>
        <v>0</v>
      </c>
      <c r="AG1162" s="1581">
        <f t="shared" si="1816"/>
        <v>0</v>
      </c>
      <c r="AH1162" s="1581">
        <f t="shared" si="1817"/>
        <v>0</v>
      </c>
      <c r="AI1162" s="1581">
        <f t="shared" si="1818"/>
        <v>0</v>
      </c>
      <c r="AJ1162" s="1581">
        <f t="shared" si="1819"/>
        <v>0</v>
      </c>
      <c r="AK1162" s="1581">
        <f t="shared" si="1820"/>
        <v>0</v>
      </c>
      <c r="AL1162" s="392"/>
    </row>
    <row r="1163" spans="1:38" s="517" customFormat="1" ht="14.5">
      <c r="A1163" s="1693">
        <f t="shared" si="1800"/>
        <v>1146</v>
      </c>
      <c r="B1163" s="616">
        <v>1</v>
      </c>
      <c r="C1163" s="1693">
        <f t="shared" si="1759"/>
        <v>1163</v>
      </c>
      <c r="D1163" s="616">
        <v>1</v>
      </c>
      <c r="E1163" s="709" t="s">
        <v>512</v>
      </c>
      <c r="F1163" s="69"/>
      <c r="G1163" s="391"/>
      <c r="H1163" s="238"/>
      <c r="J1163" s="225"/>
      <c r="K1163" s="424"/>
      <c r="L1163" s="427" t="s">
        <v>242</v>
      </c>
      <c r="M1163" s="383"/>
      <c r="O1163" s="383" t="s">
        <v>243</v>
      </c>
      <c r="P1163" s="383"/>
      <c r="Q1163" s="383"/>
      <c r="R1163" s="1830" t="str">
        <f>CHOOSE(2, "6722000004064", "①Supplier = BT Purchase for Murata (for KMJ)")</f>
        <v>①Supplier = BT Purchase for Murata (for KMJ)</v>
      </c>
      <c r="S1163" s="1281"/>
      <c r="T1163" s="1281"/>
      <c r="U1163" s="1281"/>
      <c r="V1163" s="1281"/>
      <c r="W1163" s="1281"/>
      <c r="X1163" s="1281"/>
      <c r="Y1163" s="1281"/>
      <c r="Z1163" s="1580"/>
      <c r="AA1163" s="1580"/>
      <c r="AB1163" s="1580"/>
      <c r="AC1163" s="1580"/>
      <c r="AD1163" s="1580"/>
      <c r="AE1163" s="1372">
        <f t="shared" si="1814"/>
        <v>0</v>
      </c>
      <c r="AF1163" s="1581">
        <f t="shared" si="1815"/>
        <v>0</v>
      </c>
      <c r="AG1163" s="1581">
        <f t="shared" si="1816"/>
        <v>0</v>
      </c>
      <c r="AH1163" s="1581">
        <f t="shared" si="1817"/>
        <v>0</v>
      </c>
      <c r="AI1163" s="1581">
        <f t="shared" si="1818"/>
        <v>0</v>
      </c>
      <c r="AJ1163" s="1581">
        <f t="shared" si="1819"/>
        <v>0</v>
      </c>
      <c r="AK1163" s="1581">
        <f t="shared" si="1820"/>
        <v>0</v>
      </c>
      <c r="AL1163" s="392"/>
    </row>
    <row r="1164" spans="1:38" s="517" customFormat="1" ht="14.5">
      <c r="A1164" s="1693">
        <f t="shared" si="1800"/>
        <v>1147</v>
      </c>
      <c r="B1164" s="616">
        <v>1</v>
      </c>
      <c r="C1164" s="1693">
        <f t="shared" si="1759"/>
        <v>1164</v>
      </c>
      <c r="D1164" s="616">
        <v>1</v>
      </c>
      <c r="E1164" s="709" t="s">
        <v>512</v>
      </c>
      <c r="F1164" s="69"/>
      <c r="G1164" s="391"/>
      <c r="H1164" s="238"/>
      <c r="J1164" s="226"/>
      <c r="K1164" s="428"/>
      <c r="L1164" s="429" t="s">
        <v>234</v>
      </c>
      <c r="M1164" s="227"/>
      <c r="N1164" s="227"/>
      <c r="O1164" s="11" t="s">
        <v>244</v>
      </c>
      <c r="P1164" s="11"/>
      <c r="Q1164" s="11"/>
      <c r="R1164" s="1830" t="str">
        <f>CHOOSE(2, "6722000004065", "①Supplier = BT BT Support/Discount (for KMJ/BEU/BCN)")</f>
        <v>①Supplier = BT BT Support/Discount (for KMJ/BEU/BCN)</v>
      </c>
      <c r="S1164" s="1282"/>
      <c r="T1164" s="1282"/>
      <c r="U1164" s="1282"/>
      <c r="V1164" s="1282"/>
      <c r="W1164" s="1282"/>
      <c r="X1164" s="1282"/>
      <c r="Y1164" s="1282"/>
      <c r="Z1164" s="1582"/>
      <c r="AA1164" s="1582"/>
      <c r="AB1164" s="1582"/>
      <c r="AC1164" s="1582"/>
      <c r="AD1164" s="1582"/>
      <c r="AE1164" s="772">
        <f t="shared" si="1814"/>
        <v>0</v>
      </c>
      <c r="AF1164" s="1583">
        <f t="shared" si="1815"/>
        <v>0</v>
      </c>
      <c r="AG1164" s="1583">
        <f t="shared" si="1816"/>
        <v>0</v>
      </c>
      <c r="AH1164" s="1583">
        <f t="shared" si="1817"/>
        <v>0</v>
      </c>
      <c r="AI1164" s="1583">
        <f t="shared" si="1818"/>
        <v>0</v>
      </c>
      <c r="AJ1164" s="1583">
        <f t="shared" si="1819"/>
        <v>0</v>
      </c>
      <c r="AK1164" s="1583">
        <f t="shared" si="1820"/>
        <v>0</v>
      </c>
      <c r="AL1164" s="392"/>
    </row>
    <row r="1165" spans="1:38" s="392" customFormat="1" ht="14.5">
      <c r="A1165" s="1693">
        <f t="shared" si="1800"/>
        <v>1148</v>
      </c>
      <c r="B1165" s="616">
        <v>1</v>
      </c>
      <c r="C1165" s="1693">
        <f t="shared" si="1759"/>
        <v>1165</v>
      </c>
      <c r="D1165" s="616">
        <v>1</v>
      </c>
      <c r="E1165" s="709" t="s">
        <v>512</v>
      </c>
      <c r="F1165" s="69"/>
      <c r="G1165" s="391"/>
      <c r="H1165" s="238"/>
      <c r="J1165" s="8"/>
      <c r="K1165" s="8"/>
      <c r="M1165" s="8"/>
      <c r="N1165" s="8"/>
      <c r="O1165" s="8"/>
      <c r="P1165" s="8"/>
      <c r="Q1165" s="175" t="s">
        <v>245</v>
      </c>
      <c r="R1165" s="1772" t="str">
        <f>CHOOSE(2, "6722000004066", "①Supplier = BT BT Support/Discount (for KMJ/BEU/BCN) CHK--&gt;")</f>
        <v>①Supplier = BT BT Support/Discount (for KMJ/BEU/BCN) CHK--&gt;</v>
      </c>
      <c r="S1165" s="1641" t="str">
        <f>IF(ROUND(S1157,0)=ROUND(SUM(S1158:S1164),0),"OK","NG")</f>
        <v>OK</v>
      </c>
      <c r="T1165" s="1642" t="str">
        <f t="shared" ref="T1165:AD1165" si="1821">IF(ROUND(T1157,0)=ROUND(SUM(T1158:T1164),0),"OK","NG")</f>
        <v>OK</v>
      </c>
      <c r="U1165" s="1642" t="str">
        <f t="shared" si="1821"/>
        <v>OK</v>
      </c>
      <c r="V1165" s="1642" t="str">
        <f>IF(ROUND(V1157,0)=ROUND(SUM(V1158:V1164),0),"OK","NG")</f>
        <v>OK</v>
      </c>
      <c r="W1165" s="1642" t="str">
        <f>IF(ROUND(W1157,0)=ROUND(SUM(W1158:W1164),0),"OK","NG")</f>
        <v>OK</v>
      </c>
      <c r="X1165" s="1642" t="str">
        <f t="shared" si="1821"/>
        <v>OK</v>
      </c>
      <c r="Y1165" s="1642" t="str">
        <f t="shared" si="1821"/>
        <v>OK</v>
      </c>
      <c r="Z1165" s="1642" t="str">
        <f t="shared" si="1821"/>
        <v>OK</v>
      </c>
      <c r="AA1165" s="1642" t="str">
        <f t="shared" si="1821"/>
        <v>OK</v>
      </c>
      <c r="AB1165" s="1642" t="str">
        <f t="shared" si="1821"/>
        <v>OK</v>
      </c>
      <c r="AC1165" s="1642" t="str">
        <f t="shared" si="1821"/>
        <v>OK</v>
      </c>
      <c r="AD1165" s="1643" t="str">
        <f t="shared" si="1821"/>
        <v>OK</v>
      </c>
      <c r="AE1165" s="1644"/>
    </row>
    <row r="1166" spans="1:38" ht="14.5">
      <c r="A1166" s="1693">
        <f t="shared" si="1800"/>
        <v>1149</v>
      </c>
      <c r="B1166" s="616">
        <v>1</v>
      </c>
      <c r="C1166" s="1693">
        <f t="shared" si="1759"/>
        <v>1166</v>
      </c>
      <c r="D1166" s="616">
        <v>1</v>
      </c>
      <c r="E1166" s="709" t="s">
        <v>512</v>
      </c>
      <c r="F1166" s="69"/>
      <c r="G1166" s="22"/>
      <c r="H1166" s="22" t="s">
        <v>679</v>
      </c>
      <c r="P1166" s="477"/>
      <c r="R1166" s="1772" t="str">
        <f>CHOOSE(2, "6722000004067", "6-3. Inventory Analysis")</f>
        <v>6-3. Inventory Analysis</v>
      </c>
      <c r="S1166" s="1125"/>
      <c r="T1166" s="1366"/>
      <c r="U1166" s="1366"/>
      <c r="V1166" s="1366"/>
      <c r="W1166" s="1366"/>
      <c r="X1166" s="1366"/>
      <c r="Y1166" s="1366"/>
      <c r="Z1166" s="1366"/>
      <c r="AA1166" s="1366"/>
      <c r="AB1166" s="1366"/>
      <c r="AC1166" s="69"/>
      <c r="AD1166" s="69"/>
      <c r="AE1166" s="69"/>
      <c r="AF1166" s="69"/>
      <c r="AG1166" s="69"/>
      <c r="AH1166" s="69"/>
      <c r="AI1166" s="69"/>
      <c r="AJ1166" s="69"/>
      <c r="AK1166" s="69"/>
      <c r="AL1166" s="392"/>
    </row>
    <row r="1167" spans="1:38" s="392" customFormat="1" ht="14.5">
      <c r="A1167" s="1693">
        <f t="shared" si="1800"/>
        <v>1150</v>
      </c>
      <c r="B1167" s="616">
        <v>1</v>
      </c>
      <c r="C1167" s="1693">
        <f t="shared" ref="C1167:C1230" si="1822">C1166+1</f>
        <v>1167</v>
      </c>
      <c r="D1167" s="616">
        <v>1</v>
      </c>
      <c r="E1167" s="709" t="s">
        <v>512</v>
      </c>
      <c r="F1167" s="69"/>
      <c r="G1167" s="391"/>
      <c r="H1167" s="238"/>
      <c r="J1167" s="831" t="s">
        <v>672</v>
      </c>
      <c r="K1167" s="181"/>
      <c r="L1167" s="180"/>
      <c r="M1167" s="180"/>
      <c r="N1167" s="180"/>
      <c r="O1167" s="179"/>
      <c r="P1167" s="179"/>
      <c r="Q1167" s="179"/>
      <c r="R1167" s="1772" t="str">
        <f>CHOOSE(2, "6722000004068", "▷ Blank 41")</f>
        <v>▷ Blank 41</v>
      </c>
      <c r="S1167" s="223"/>
      <c r="T1167" s="69"/>
      <c r="U1167" s="69"/>
      <c r="V1167" s="69"/>
      <c r="W1167" s="69"/>
      <c r="X1167" s="69"/>
      <c r="Y1167" s="69"/>
      <c r="Z1167" s="3449"/>
    </row>
    <row r="1168" spans="1:38" s="392" customFormat="1" ht="14.5">
      <c r="A1168" s="1693">
        <f t="shared" si="1800"/>
        <v>1151</v>
      </c>
      <c r="B1168" s="616">
        <v>1</v>
      </c>
      <c r="C1168" s="1693">
        <f t="shared" si="1822"/>
        <v>1168</v>
      </c>
      <c r="D1168" s="616">
        <v>1</v>
      </c>
      <c r="E1168" s="709" t="s">
        <v>512</v>
      </c>
      <c r="F1168" s="69"/>
      <c r="G1168" s="391"/>
      <c r="H1168" s="238"/>
      <c r="J1168" s="458" t="s">
        <v>257</v>
      </c>
      <c r="K1168" s="463"/>
      <c r="L1168" s="463"/>
      <c r="M1168" s="463"/>
      <c r="N1168" s="464"/>
      <c r="O1168" s="464"/>
      <c r="P1168" s="464"/>
      <c r="Q1168" s="464"/>
      <c r="R1168" s="1831" t="str">
        <f>CHOOSE(2, "6722000004069", "IN Total")</f>
        <v>IN Total</v>
      </c>
      <c r="S1168" s="1275">
        <f t="shared" ref="S1168:AD1168" si="1823">SUM(S1169,S1172,S1175)</f>
        <v>2257404.7236652002</v>
      </c>
      <c r="T1168" s="1276">
        <f t="shared" si="1823"/>
        <v>2279366.5457200003</v>
      </c>
      <c r="U1168" s="1276">
        <f t="shared" si="1823"/>
        <v>2290398.7134930748</v>
      </c>
      <c r="V1168" s="1276">
        <f t="shared" si="1823"/>
        <v>2189027.228814126</v>
      </c>
      <c r="W1168" s="1276">
        <f t="shared" si="1823"/>
        <v>2159020.9814492092</v>
      </c>
      <c r="X1168" s="1277">
        <f t="shared" si="1823"/>
        <v>2026702.3619073441</v>
      </c>
      <c r="Y1168" s="1277">
        <f t="shared" si="1823"/>
        <v>2117356.4991520001</v>
      </c>
      <c r="Z1168" s="1277">
        <f t="shared" si="1823"/>
        <v>2324708.039646002</v>
      </c>
      <c r="AA1168" s="1277">
        <f t="shared" si="1823"/>
        <v>2190482.2746600565</v>
      </c>
      <c r="AB1168" s="1277">
        <f t="shared" si="1823"/>
        <v>2199342.0106059755</v>
      </c>
      <c r="AC1168" s="1277">
        <f t="shared" si="1823"/>
        <v>2291345.102658039</v>
      </c>
      <c r="AD1168" s="1278">
        <f t="shared" si="1823"/>
        <v>2341029.443802719</v>
      </c>
      <c r="AE1168" s="177"/>
      <c r="AF1168" s="177"/>
      <c r="AG1168" s="177"/>
      <c r="AH1168" s="177"/>
      <c r="AI1168" s="177"/>
      <c r="AJ1168" s="177"/>
      <c r="AK1168" s="177"/>
    </row>
    <row r="1169" spans="1:38" s="392" customFormat="1" ht="14.5">
      <c r="A1169" s="1693">
        <f t="shared" si="1800"/>
        <v>1152</v>
      </c>
      <c r="B1169" s="616">
        <v>1</v>
      </c>
      <c r="C1169" s="1693">
        <f t="shared" si="1822"/>
        <v>1169</v>
      </c>
      <c r="D1169" s="616">
        <v>1</v>
      </c>
      <c r="E1169" s="709" t="s">
        <v>512</v>
      </c>
      <c r="F1169" s="69"/>
      <c r="G1169" s="391"/>
      <c r="H1169" s="238"/>
      <c r="J1169" s="466"/>
      <c r="K1169" s="283" t="s">
        <v>264</v>
      </c>
      <c r="L1169" s="283"/>
      <c r="M1169" s="283"/>
      <c r="N1169" s="468"/>
      <c r="O1169" s="468"/>
      <c r="P1169" s="468"/>
      <c r="Q1169" s="468"/>
      <c r="R1169" s="1832" t="str">
        <f>CHOOSE(2, "6722000004070", "IN Total Inventory at the beginning")</f>
        <v>IN Total Inventory at the beginning</v>
      </c>
      <c r="S1169" s="1133">
        <f t="shared" ref="S1169:AD1169" si="1824">SUM(S1170:S1171)</f>
        <v>1807538</v>
      </c>
      <c r="T1169" s="1134">
        <f t="shared" si="1824"/>
        <v>1727472.7220000001</v>
      </c>
      <c r="U1169" s="1134">
        <f t="shared" si="1824"/>
        <v>1680145.4002448525</v>
      </c>
      <c r="V1169" s="1134">
        <f t="shared" si="1824"/>
        <v>1683073.110454126</v>
      </c>
      <c r="W1169" s="1134">
        <f t="shared" si="1824"/>
        <v>1679984.0538192089</v>
      </c>
      <c r="X1169" s="1135">
        <f t="shared" si="1824"/>
        <v>1535808.5292474665</v>
      </c>
      <c r="Y1169" s="1135">
        <f t="shared" si="1824"/>
        <v>1323116.4580953834</v>
      </c>
      <c r="Z1169" s="1135">
        <f t="shared" si="1824"/>
        <v>1507824.1998900045</v>
      </c>
      <c r="AA1169" s="1135">
        <f t="shared" si="1824"/>
        <v>1613144.1387800036</v>
      </c>
      <c r="AB1169" s="1135">
        <f t="shared" si="1824"/>
        <v>1562456.0574400034</v>
      </c>
      <c r="AC1169" s="1135">
        <f t="shared" si="1824"/>
        <v>1575901.1070800053</v>
      </c>
      <c r="AD1169" s="1136">
        <f t="shared" si="1824"/>
        <v>1644393.6746100041</v>
      </c>
      <c r="AE1169" s="176"/>
      <c r="AF1169" s="176"/>
      <c r="AG1169" s="176"/>
      <c r="AH1169" s="176"/>
      <c r="AI1169" s="176"/>
      <c r="AJ1169" s="176"/>
      <c r="AK1169" s="176"/>
    </row>
    <row r="1170" spans="1:38" s="392" customFormat="1" ht="14.5">
      <c r="A1170" s="1693">
        <f t="shared" si="1800"/>
        <v>1153</v>
      </c>
      <c r="B1170" s="616">
        <v>1</v>
      </c>
      <c r="C1170" s="1693">
        <f t="shared" si="1822"/>
        <v>1170</v>
      </c>
      <c r="D1170" s="616">
        <v>1</v>
      </c>
      <c r="E1170" s="709" t="s">
        <v>512</v>
      </c>
      <c r="F1170" s="69"/>
      <c r="G1170" s="391"/>
      <c r="H1170" s="238"/>
      <c r="J1170" s="466"/>
      <c r="K1170" s="283"/>
      <c r="L1170" s="459" t="s">
        <v>262</v>
      </c>
      <c r="M1170" s="459"/>
      <c r="N1170" s="460"/>
      <c r="O1170" s="460"/>
      <c r="P1170" s="460"/>
      <c r="Q1170" s="460"/>
      <c r="R1170" s="1833" t="str">
        <f>CHOOSE(2, "6722000004071", "IN Total Inventory at the beginning From BT-Gr")</f>
        <v>IN Total Inventory at the beginning From BT-Gr</v>
      </c>
      <c r="S1170" s="1430">
        <v>1774259</v>
      </c>
      <c r="T1170" s="1137">
        <f>S1198</f>
        <v>1693556.78422</v>
      </c>
      <c r="U1170" s="1137">
        <f t="shared" ref="U1170:AD1170" si="1825">T1198</f>
        <v>1657110.1095848526</v>
      </c>
      <c r="V1170" s="1137">
        <f t="shared" si="1825"/>
        <v>1664543.6216041259</v>
      </c>
      <c r="W1170" s="1381">
        <f t="shared" si="1825"/>
        <v>1670372.9925092089</v>
      </c>
      <c r="X1170" s="1381">
        <f t="shared" si="1825"/>
        <v>1527588.6954474666</v>
      </c>
      <c r="Y1170" s="1381">
        <f t="shared" si="1825"/>
        <v>1317138.4580953834</v>
      </c>
      <c r="Z1170" s="1381">
        <f t="shared" si="1825"/>
        <v>1490955.0624900043</v>
      </c>
      <c r="AA1170" s="1381">
        <f t="shared" si="1825"/>
        <v>1592858.1082600036</v>
      </c>
      <c r="AB1170" s="1381">
        <f t="shared" si="1825"/>
        <v>1542084.5527600034</v>
      </c>
      <c r="AC1170" s="1381">
        <f t="shared" si="1825"/>
        <v>1552617.5130200053</v>
      </c>
      <c r="AD1170" s="1138">
        <f t="shared" si="1825"/>
        <v>1624485.8891100041</v>
      </c>
      <c r="AE1170" s="176"/>
      <c r="AF1170" s="176"/>
      <c r="AG1170" s="176"/>
      <c r="AH1170" s="176"/>
      <c r="AI1170" s="176"/>
      <c r="AJ1170" s="176"/>
      <c r="AK1170" s="176"/>
    </row>
    <row r="1171" spans="1:38" s="392" customFormat="1" ht="14.5">
      <c r="A1171" s="1693">
        <f t="shared" si="1800"/>
        <v>1154</v>
      </c>
      <c r="B1171" s="616">
        <v>1</v>
      </c>
      <c r="C1171" s="1693">
        <f t="shared" si="1822"/>
        <v>1171</v>
      </c>
      <c r="D1171" s="616">
        <v>1</v>
      </c>
      <c r="E1171" s="709" t="s">
        <v>512</v>
      </c>
      <c r="F1171" s="69"/>
      <c r="G1171" s="391"/>
      <c r="H1171" s="238"/>
      <c r="J1171" s="466"/>
      <c r="K1171" s="457"/>
      <c r="L1171" s="224" t="s">
        <v>68</v>
      </c>
      <c r="M1171" s="224"/>
      <c r="N1171" s="178"/>
      <c r="O1171" s="178"/>
      <c r="P1171" s="178"/>
      <c r="Q1171" s="178"/>
      <c r="R1171" s="1833" t="str">
        <f>CHOOSE(2, "6722000004072", "IN Total Inventory at the beginning Others(3rd Party)")</f>
        <v>IN Total Inventory at the beginning Others(3rd Party)</v>
      </c>
      <c r="S1171" s="1431">
        <v>33279</v>
      </c>
      <c r="T1171" s="1139">
        <f t="shared" ref="T1171:AD1171" si="1826">S1199</f>
        <v>33915.937780000015</v>
      </c>
      <c r="U1171" s="1139">
        <f t="shared" si="1826"/>
        <v>23035.290660000006</v>
      </c>
      <c r="V1171" s="1139">
        <f t="shared" si="1826"/>
        <v>18529.48885000002</v>
      </c>
      <c r="W1171" s="1292">
        <f t="shared" si="1826"/>
        <v>9611.0613100000155</v>
      </c>
      <c r="X1171" s="1292">
        <f t="shared" si="1826"/>
        <v>8219.8338000000113</v>
      </c>
      <c r="Y1171" s="1292">
        <f t="shared" si="1826"/>
        <v>5978</v>
      </c>
      <c r="Z1171" s="1292">
        <f t="shared" si="1826"/>
        <v>16869.137400000018</v>
      </c>
      <c r="AA1171" s="1292">
        <f t="shared" si="1826"/>
        <v>20286.030520000011</v>
      </c>
      <c r="AB1171" s="1292">
        <f t="shared" si="1826"/>
        <v>20371.504680000016</v>
      </c>
      <c r="AC1171" s="1292">
        <f t="shared" si="1826"/>
        <v>23283.594060000018</v>
      </c>
      <c r="AD1171" s="1140">
        <f t="shared" si="1826"/>
        <v>19907.78550000002</v>
      </c>
      <c r="AE1171" s="176"/>
      <c r="AF1171" s="176"/>
      <c r="AG1171" s="176"/>
      <c r="AH1171" s="176"/>
      <c r="AI1171" s="176"/>
      <c r="AJ1171" s="176"/>
      <c r="AK1171" s="176"/>
    </row>
    <row r="1172" spans="1:38" s="392" customFormat="1" ht="14.25" customHeight="1">
      <c r="A1172" s="1693">
        <f t="shared" si="1800"/>
        <v>1155</v>
      </c>
      <c r="B1172" s="616">
        <v>1</v>
      </c>
      <c r="C1172" s="1693">
        <f t="shared" si="1822"/>
        <v>1172</v>
      </c>
      <c r="D1172" s="616">
        <v>1</v>
      </c>
      <c r="E1172" s="709" t="s">
        <v>512</v>
      </c>
      <c r="F1172" s="69"/>
      <c r="G1172" s="391"/>
      <c r="H1172" s="238"/>
      <c r="J1172" s="466"/>
      <c r="K1172" s="379" t="s">
        <v>265</v>
      </c>
      <c r="L1172" s="379"/>
      <c r="M1172" s="379"/>
      <c r="N1172" s="430"/>
      <c r="O1172" s="430"/>
      <c r="P1172" s="430"/>
      <c r="Q1172" s="430"/>
      <c r="R1172" s="1834" t="str">
        <f>CHOOSE(2, "6722000004073", "IN Total Purchase")</f>
        <v>IN Total Purchase</v>
      </c>
      <c r="S1172" s="1270">
        <f t="shared" ref="S1172:AD1172" si="1827">SUM(S1173:S1174)</f>
        <v>600397.72366520029</v>
      </c>
      <c r="T1172" s="1271">
        <f t="shared" si="1827"/>
        <v>589467.8237200001</v>
      </c>
      <c r="U1172" s="1271">
        <f t="shared" si="1827"/>
        <v>582843.95178999996</v>
      </c>
      <c r="V1172" s="1271">
        <f t="shared" si="1827"/>
        <v>529022.11835999996</v>
      </c>
      <c r="W1172" s="1271">
        <f t="shared" si="1827"/>
        <v>496397.92763000005</v>
      </c>
      <c r="X1172" s="1272">
        <f t="shared" si="1827"/>
        <v>463933.38857000001</v>
      </c>
      <c r="Y1172" s="1272">
        <f t="shared" si="1827"/>
        <v>753483.99427999987</v>
      </c>
      <c r="Z1172" s="1271">
        <f t="shared" si="1827"/>
        <v>620097.51804519992</v>
      </c>
      <c r="AA1172" s="1272">
        <f t="shared" si="1827"/>
        <v>532290.23934980005</v>
      </c>
      <c r="AB1172" s="1272">
        <f t="shared" si="1827"/>
        <v>633448.78520099982</v>
      </c>
      <c r="AC1172" s="1272">
        <f t="shared" si="1827"/>
        <v>664617.09913999983</v>
      </c>
      <c r="AD1172" s="1274">
        <f t="shared" si="1827"/>
        <v>615696.60895250004</v>
      </c>
      <c r="AF1172" s="177"/>
      <c r="AG1172" s="177"/>
      <c r="AH1172" s="177"/>
      <c r="AI1172" s="177"/>
      <c r="AJ1172" s="177"/>
      <c r="AK1172" s="177"/>
    </row>
    <row r="1173" spans="1:38" s="392" customFormat="1" ht="14.5">
      <c r="A1173" s="1693">
        <f t="shared" si="1800"/>
        <v>1156</v>
      </c>
      <c r="B1173" s="616">
        <v>1</v>
      </c>
      <c r="C1173" s="1693">
        <f t="shared" si="1822"/>
        <v>1173</v>
      </c>
      <c r="D1173" s="616">
        <v>1</v>
      </c>
      <c r="E1173" s="709" t="s">
        <v>512</v>
      </c>
      <c r="F1173" s="69"/>
      <c r="G1173" s="391"/>
      <c r="H1173" s="238"/>
      <c r="J1173" s="466"/>
      <c r="K1173" s="380"/>
      <c r="L1173" s="459" t="s">
        <v>262</v>
      </c>
      <c r="M1173" s="459"/>
      <c r="N1173" s="460"/>
      <c r="O1173" s="460"/>
      <c r="P1173" s="460"/>
      <c r="Q1173" s="460"/>
      <c r="R1173" s="1835" t="str">
        <f>CHOOSE(2, "6722000004074", "IN Total Purchase From BT-Gr (Include BSF/BCUS/MGI)")</f>
        <v>IN Total Purchase From BT-Gr (Include BSF/BCUS/MGI)</v>
      </c>
      <c r="S1173" s="1141">
        <f t="shared" ref="S1173:AD1173" si="1828">S1126</f>
        <v>597467.57767000026</v>
      </c>
      <c r="T1173" s="1142">
        <f t="shared" si="1828"/>
        <v>587866.68922000006</v>
      </c>
      <c r="U1173" s="1142">
        <f t="shared" si="1828"/>
        <v>573814.65078999999</v>
      </c>
      <c r="V1173" s="1142">
        <f t="shared" si="1828"/>
        <v>527196.30872999993</v>
      </c>
      <c r="W1173" s="1142">
        <f t="shared" si="1828"/>
        <v>495304.21263000002</v>
      </c>
      <c r="X1173" s="1143">
        <f t="shared" si="1828"/>
        <v>457230.15370999998</v>
      </c>
      <c r="Y1173" s="1143">
        <f t="shared" si="1828"/>
        <v>750350.47927999985</v>
      </c>
      <c r="Z1173" s="1143">
        <f t="shared" si="1828"/>
        <v>617849.01055999997</v>
      </c>
      <c r="AA1173" s="1143">
        <f t="shared" si="1828"/>
        <v>528054.52897440002</v>
      </c>
      <c r="AB1173" s="1143">
        <f t="shared" si="1828"/>
        <v>623145.7349599998</v>
      </c>
      <c r="AC1173" s="1143">
        <f t="shared" si="1828"/>
        <v>660383.45996999985</v>
      </c>
      <c r="AD1173" s="1144">
        <f t="shared" si="1828"/>
        <v>607590.63688250002</v>
      </c>
      <c r="AF1173" s="176"/>
      <c r="AG1173" s="176"/>
      <c r="AH1173" s="176"/>
      <c r="AI1173" s="176"/>
      <c r="AJ1173" s="176"/>
      <c r="AK1173" s="176"/>
    </row>
    <row r="1174" spans="1:38" s="392" customFormat="1" ht="14.5">
      <c r="A1174" s="1693">
        <f t="shared" si="1800"/>
        <v>1157</v>
      </c>
      <c r="B1174" s="616">
        <v>1</v>
      </c>
      <c r="C1174" s="1693">
        <f t="shared" si="1822"/>
        <v>1174</v>
      </c>
      <c r="D1174" s="616">
        <v>1</v>
      </c>
      <c r="E1174" s="709" t="s">
        <v>512</v>
      </c>
      <c r="F1174" s="69"/>
      <c r="G1174" s="391"/>
      <c r="H1174" s="238"/>
      <c r="J1174" s="466"/>
      <c r="K1174" s="381"/>
      <c r="L1174" s="224" t="s">
        <v>68</v>
      </c>
      <c r="M1174" s="224"/>
      <c r="N1174" s="178"/>
      <c r="O1174" s="178"/>
      <c r="P1174" s="178"/>
      <c r="Q1174" s="178"/>
      <c r="R1174" s="1835" t="str">
        <f>CHOOSE(2, "6722000004075", "IN Total Purchase Others(3rd Party)")</f>
        <v>IN Total Purchase Others(3rd Party)</v>
      </c>
      <c r="S1174" s="1145">
        <f t="shared" ref="S1174:AD1174" si="1829">S1153</f>
        <v>2930.1459951999996</v>
      </c>
      <c r="T1174" s="1146">
        <f t="shared" si="1829"/>
        <v>1601.1344999999999</v>
      </c>
      <c r="U1174" s="1146">
        <f t="shared" si="1829"/>
        <v>9029.3009999999995</v>
      </c>
      <c r="V1174" s="1146">
        <f t="shared" si="1829"/>
        <v>1825.8096300000002</v>
      </c>
      <c r="W1174" s="1146">
        <f t="shared" si="1829"/>
        <v>1093.7149999999999</v>
      </c>
      <c r="X1174" s="1147">
        <f t="shared" si="1829"/>
        <v>6703.2348600000005</v>
      </c>
      <c r="Y1174" s="1147">
        <f t="shared" si="1829"/>
        <v>3133.5149999999999</v>
      </c>
      <c r="Z1174" s="1147">
        <f t="shared" si="1829"/>
        <v>2248.5074851999998</v>
      </c>
      <c r="AA1174" s="1147">
        <f t="shared" si="1829"/>
        <v>4235.7103753999991</v>
      </c>
      <c r="AB1174" s="1147">
        <f t="shared" si="1829"/>
        <v>10303.050241000001</v>
      </c>
      <c r="AC1174" s="1147">
        <f t="shared" si="1829"/>
        <v>4233.6391700000004</v>
      </c>
      <c r="AD1174" s="1148">
        <f t="shared" si="1829"/>
        <v>8105.9720700000007</v>
      </c>
      <c r="AE1174" s="176"/>
      <c r="AF1174" s="176"/>
      <c r="AG1174" s="176"/>
      <c r="AH1174" s="176"/>
      <c r="AI1174" s="176"/>
      <c r="AJ1174" s="176"/>
      <c r="AK1174" s="176"/>
    </row>
    <row r="1175" spans="1:38" s="392" customFormat="1" ht="14.25" customHeight="1">
      <c r="A1175" s="1693">
        <f t="shared" si="1800"/>
        <v>1158</v>
      </c>
      <c r="B1175" s="616">
        <v>1</v>
      </c>
      <c r="C1175" s="1693">
        <f t="shared" si="1822"/>
        <v>1175</v>
      </c>
      <c r="D1175" s="616">
        <v>1</v>
      </c>
      <c r="E1175" s="709" t="s">
        <v>512</v>
      </c>
      <c r="F1175" s="69"/>
      <c r="G1175" s="391"/>
      <c r="H1175" s="238"/>
      <c r="J1175" s="466"/>
      <c r="K1175" s="379" t="s">
        <v>2</v>
      </c>
      <c r="L1175" s="379"/>
      <c r="M1175" s="379"/>
      <c r="N1175" s="430"/>
      <c r="O1175" s="430"/>
      <c r="P1175" s="430"/>
      <c r="Q1175" s="430"/>
      <c r="R1175" s="1834" t="str">
        <f>CHOOSE(2, "6722000004076", "IN Total Others")</f>
        <v>IN Total Others</v>
      </c>
      <c r="S1175" s="1270">
        <f t="shared" ref="S1175:AD1175" si="1830">SUM(S1176:S1177)</f>
        <v>-150531</v>
      </c>
      <c r="T1175" s="1271">
        <f t="shared" si="1830"/>
        <v>-37574</v>
      </c>
      <c r="U1175" s="1271">
        <f t="shared" si="1830"/>
        <v>27409.361458222382</v>
      </c>
      <c r="V1175" s="1271">
        <f t="shared" si="1830"/>
        <v>-23068</v>
      </c>
      <c r="W1175" s="1271">
        <f t="shared" si="1830"/>
        <v>-17361</v>
      </c>
      <c r="X1175" s="1272">
        <f t="shared" si="1830"/>
        <v>26960.444089877652</v>
      </c>
      <c r="Y1175" s="1272">
        <f t="shared" si="1830"/>
        <v>40756.046776616946</v>
      </c>
      <c r="Z1175" s="1272">
        <f t="shared" si="1830"/>
        <v>196786.32171079749</v>
      </c>
      <c r="AA1175" s="1272">
        <f t="shared" si="1830"/>
        <v>45047.896530252881</v>
      </c>
      <c r="AB1175" s="1272">
        <f t="shared" si="1830"/>
        <v>3437.16796497209</v>
      </c>
      <c r="AC1175" s="1272">
        <f t="shared" si="1830"/>
        <v>50826.896438033786</v>
      </c>
      <c r="AD1175" s="1274">
        <f t="shared" si="1830"/>
        <v>80939.160240214784</v>
      </c>
      <c r="AE1175" s="177"/>
      <c r="AF1175" s="177"/>
      <c r="AG1175" s="177"/>
      <c r="AH1175" s="177"/>
      <c r="AI1175" s="177"/>
      <c r="AJ1175" s="177"/>
      <c r="AK1175" s="177"/>
    </row>
    <row r="1176" spans="1:38" s="392" customFormat="1" ht="14.5">
      <c r="A1176" s="1693">
        <f t="shared" si="1800"/>
        <v>1159</v>
      </c>
      <c r="B1176" s="616">
        <v>1</v>
      </c>
      <c r="C1176" s="1693">
        <f t="shared" si="1822"/>
        <v>1176</v>
      </c>
      <c r="D1176" s="616">
        <v>1</v>
      </c>
      <c r="E1176" s="709" t="s">
        <v>512</v>
      </c>
      <c r="F1176" s="69"/>
      <c r="G1176" s="391"/>
      <c r="H1176" s="238"/>
      <c r="J1176" s="466"/>
      <c r="K1176" s="380"/>
      <c r="L1176" s="459" t="s">
        <v>69</v>
      </c>
      <c r="M1176" s="459"/>
      <c r="N1176" s="460"/>
      <c r="O1176" s="460"/>
      <c r="P1176" s="460"/>
      <c r="Q1176" s="460"/>
      <c r="R1176" s="1833" t="str">
        <f>CHOOSE(2, "6722000004077", "IN Total Others Incidental Cost")</f>
        <v>IN Total Others Incidental Cost</v>
      </c>
      <c r="S1176" s="1430"/>
      <c r="T1176" s="1149"/>
      <c r="U1176" s="1149"/>
      <c r="V1176" s="1149"/>
      <c r="W1176" s="1149"/>
      <c r="X1176" s="1150"/>
      <c r="Y1176" s="1150"/>
      <c r="Z1176" s="1150"/>
      <c r="AA1176" s="1150"/>
      <c r="AB1176" s="1150"/>
      <c r="AC1176" s="1150"/>
      <c r="AD1176" s="1151"/>
      <c r="AE1176" s="176"/>
      <c r="AF1176" s="176"/>
      <c r="AG1176" s="176"/>
      <c r="AH1176" s="176"/>
      <c r="AI1176" s="176"/>
      <c r="AJ1176" s="176"/>
      <c r="AK1176" s="176"/>
    </row>
    <row r="1177" spans="1:38" s="392" customFormat="1" ht="14.5">
      <c r="A1177" s="1693">
        <f t="shared" si="1800"/>
        <v>1160</v>
      </c>
      <c r="B1177" s="616">
        <v>1</v>
      </c>
      <c r="C1177" s="1693">
        <f t="shared" si="1822"/>
        <v>1177</v>
      </c>
      <c r="D1177" s="616">
        <v>1</v>
      </c>
      <c r="E1177" s="709" t="s">
        <v>512</v>
      </c>
      <c r="F1177" s="69"/>
      <c r="G1177" s="391"/>
      <c r="H1177" s="238"/>
      <c r="J1177" s="467"/>
      <c r="K1177" s="381"/>
      <c r="L1177" s="1029" t="s">
        <v>268</v>
      </c>
      <c r="M1177" s="211"/>
      <c r="N1177" s="308"/>
      <c r="O1177" s="308"/>
      <c r="P1177" s="308"/>
      <c r="Q1177" s="308"/>
      <c r="R1177" s="1833" t="str">
        <f>CHOOSE(2, "6722000004078", "IN Total Others &lt; free input &gt;")</f>
        <v>IN Total Others &lt; free input &gt;</v>
      </c>
      <c r="S1177" s="1431">
        <v>-150531</v>
      </c>
      <c r="T1177" s="1152">
        <v>-37574</v>
      </c>
      <c r="U1177" s="1152">
        <v>27409.361458222382</v>
      </c>
      <c r="V1177" s="1152">
        <v>-23068</v>
      </c>
      <c r="W1177" s="1152">
        <v>-17361</v>
      </c>
      <c r="X1177" s="1153">
        <v>26960.444089877652</v>
      </c>
      <c r="Y1177" s="1153">
        <f>40757-0.953223383054137</f>
        <v>40756.046776616946</v>
      </c>
      <c r="Z1177" s="1153">
        <v>196786.32171079749</v>
      </c>
      <c r="AA1177" s="1153">
        <v>45047.896530252881</v>
      </c>
      <c r="AB1177" s="1153">
        <v>3437.16796497209</v>
      </c>
      <c r="AC1177" s="1153">
        <v>50826.896438033786</v>
      </c>
      <c r="AD1177" s="1154">
        <v>80939.160240214784</v>
      </c>
      <c r="AE1177" s="3454"/>
      <c r="AF1177" s="176"/>
      <c r="AG1177" s="176"/>
      <c r="AH1177" s="176"/>
      <c r="AI1177" s="176"/>
      <c r="AJ1177" s="176"/>
      <c r="AK1177" s="176"/>
    </row>
    <row r="1178" spans="1:38" s="392" customFormat="1" ht="14.25" customHeight="1">
      <c r="A1178" s="1693">
        <f t="shared" si="1800"/>
        <v>1161</v>
      </c>
      <c r="B1178" s="616">
        <v>1</v>
      </c>
      <c r="C1178" s="1693">
        <f t="shared" si="1822"/>
        <v>1178</v>
      </c>
      <c r="D1178" s="616">
        <v>1</v>
      </c>
      <c r="E1178" s="709" t="s">
        <v>512</v>
      </c>
      <c r="F1178" s="69"/>
      <c r="G1178" s="391"/>
      <c r="H1178" s="238"/>
      <c r="J1178" s="458" t="s">
        <v>246</v>
      </c>
      <c r="K1178" s="463"/>
      <c r="L1178" s="463"/>
      <c r="M1178" s="463"/>
      <c r="N1178" s="464"/>
      <c r="O1178" s="464"/>
      <c r="P1178" s="464"/>
      <c r="Q1178" s="464"/>
      <c r="R1178" s="1831" t="str">
        <f>CHOOSE(2, "6722000004079", "OUT Total")</f>
        <v>OUT Total</v>
      </c>
      <c r="S1178" s="1275">
        <f t="shared" ref="S1178:AD1178" si="1831">SUM(S1179,S1192,S1193,S1197)</f>
        <v>2257404.9575339896</v>
      </c>
      <c r="T1178" s="1276">
        <f t="shared" si="1831"/>
        <v>2279366.6683318559</v>
      </c>
      <c r="U1178" s="1276">
        <f t="shared" si="1831"/>
        <v>2290398.7134930748</v>
      </c>
      <c r="V1178" s="1276">
        <f t="shared" si="1831"/>
        <v>2189027.2125470238</v>
      </c>
      <c r="W1178" s="1276">
        <f t="shared" si="1831"/>
        <v>2159020.957704491</v>
      </c>
      <c r="X1178" s="1277">
        <f t="shared" si="1831"/>
        <v>2026702.3619073441</v>
      </c>
      <c r="Y1178" s="1277">
        <f t="shared" si="1831"/>
        <v>2117356.4991520001</v>
      </c>
      <c r="Z1178" s="1277">
        <f t="shared" si="1831"/>
        <v>2324708.039646002</v>
      </c>
      <c r="AA1178" s="1277">
        <f t="shared" si="1831"/>
        <v>2190482.2746600565</v>
      </c>
      <c r="AB1178" s="1277">
        <f t="shared" si="1831"/>
        <v>2199342.0106059755</v>
      </c>
      <c r="AC1178" s="1277">
        <f t="shared" si="1831"/>
        <v>2291345.102658039</v>
      </c>
      <c r="AD1178" s="1278">
        <f t="shared" si="1831"/>
        <v>2341029.443802719</v>
      </c>
      <c r="AE1178" s="3455"/>
      <c r="AF1178" s="177"/>
      <c r="AG1178" s="177"/>
      <c r="AH1178" s="177"/>
      <c r="AI1178" s="177"/>
      <c r="AJ1178" s="177"/>
      <c r="AK1178" s="177"/>
    </row>
    <row r="1179" spans="1:38" s="392" customFormat="1" ht="14.5">
      <c r="A1179" s="1693">
        <f t="shared" si="1800"/>
        <v>1162</v>
      </c>
      <c r="B1179" s="616">
        <v>1</v>
      </c>
      <c r="C1179" s="1693">
        <f t="shared" si="1822"/>
        <v>1179</v>
      </c>
      <c r="D1179" s="616">
        <v>1</v>
      </c>
      <c r="E1179" s="709" t="s">
        <v>512</v>
      </c>
      <c r="F1179" s="69"/>
      <c r="G1179" s="391"/>
      <c r="H1179" s="238"/>
      <c r="J1179" s="466"/>
      <c r="K1179" s="380" t="s">
        <v>298</v>
      </c>
      <c r="L1179" s="380"/>
      <c r="M1179" s="380"/>
      <c r="N1179" s="465"/>
      <c r="O1179" s="465"/>
      <c r="P1179" s="465"/>
      <c r="Q1179" s="465"/>
      <c r="R1179" s="1836" t="str">
        <f>CHOOSE(2, "6722000004080", "OUT Total TFI")</f>
        <v>OUT Total TFI</v>
      </c>
      <c r="S1179" s="1155">
        <f t="shared" ref="S1179:AD1179" si="1832">S1180+S1188</f>
        <v>528126.19623398967</v>
      </c>
      <c r="T1179" s="1156">
        <f t="shared" si="1832"/>
        <v>598900.98416700365</v>
      </c>
      <c r="U1179" s="1156">
        <f t="shared" si="1832"/>
        <v>604964.63311894867</v>
      </c>
      <c r="V1179" s="1156">
        <f t="shared" si="1832"/>
        <v>498458.51717781468</v>
      </c>
      <c r="W1179" s="1156">
        <f t="shared" si="1832"/>
        <v>622569.42845702427</v>
      </c>
      <c r="X1179" s="1157">
        <f t="shared" si="1832"/>
        <v>701790.23916196066</v>
      </c>
      <c r="Y1179" s="1157">
        <f t="shared" si="1832"/>
        <v>608253.83941199537</v>
      </c>
      <c r="Z1179" s="1157">
        <f t="shared" si="1832"/>
        <v>709479.12486599828</v>
      </c>
      <c r="AA1179" s="1157">
        <f t="shared" si="1832"/>
        <v>627718.8979200531</v>
      </c>
      <c r="AB1179" s="1157">
        <f t="shared" si="1832"/>
        <v>622352.18332597008</v>
      </c>
      <c r="AC1179" s="1157">
        <f t="shared" si="1832"/>
        <v>646375.95292803471</v>
      </c>
      <c r="AD1179" s="1158">
        <f t="shared" si="1832"/>
        <v>742003.45127300732</v>
      </c>
      <c r="AE1179" s="176"/>
      <c r="AF1179" s="176"/>
      <c r="AG1179" s="176"/>
      <c r="AH1179" s="176"/>
      <c r="AI1179" s="176"/>
      <c r="AJ1179" s="176"/>
      <c r="AK1179" s="176"/>
    </row>
    <row r="1180" spans="1:38" s="392" customFormat="1" ht="14.25" customHeight="1">
      <c r="A1180" s="1693">
        <f t="shared" si="1800"/>
        <v>1163</v>
      </c>
      <c r="B1180" s="616">
        <v>1</v>
      </c>
      <c r="C1180" s="1693">
        <f t="shared" si="1822"/>
        <v>1180</v>
      </c>
      <c r="D1180" s="616">
        <v>1</v>
      </c>
      <c r="E1180" s="709" t="s">
        <v>512</v>
      </c>
      <c r="F1180" s="69"/>
      <c r="G1180" s="391"/>
      <c r="H1180" s="238"/>
      <c r="J1180" s="466"/>
      <c r="K1180" s="380"/>
      <c r="L1180" s="459" t="s">
        <v>262</v>
      </c>
      <c r="M1180" s="459"/>
      <c r="N1180" s="462"/>
      <c r="O1180" s="462"/>
      <c r="P1180" s="462"/>
      <c r="Q1180" s="462"/>
      <c r="R1180" s="1824" t="str">
        <f>CHOOSE(2, "6722000004081", "OUT Total TFI From BT-Gr")</f>
        <v>OUT Total TFI From BT-Gr</v>
      </c>
      <c r="S1180" s="1159">
        <f t="shared" ref="S1180:AD1180" si="1833">S1181+S1184+S1187</f>
        <v>528126.19623398967</v>
      </c>
      <c r="T1180" s="1137">
        <f t="shared" si="1833"/>
        <v>598900.98416700365</v>
      </c>
      <c r="U1180" s="1137">
        <f t="shared" si="1833"/>
        <v>604964.63311894867</v>
      </c>
      <c r="V1180" s="1137">
        <f t="shared" si="1833"/>
        <v>498458.51717781468</v>
      </c>
      <c r="W1180" s="1137">
        <f t="shared" si="1833"/>
        <v>622569.42845702427</v>
      </c>
      <c r="X1180" s="1381">
        <f t="shared" si="1833"/>
        <v>701790.23916196066</v>
      </c>
      <c r="Y1180" s="1381">
        <f t="shared" si="1833"/>
        <v>608253.83941199537</v>
      </c>
      <c r="Z1180" s="1381">
        <f t="shared" si="1833"/>
        <v>709479.12486599828</v>
      </c>
      <c r="AA1180" s="1381">
        <f t="shared" si="1833"/>
        <v>627718.8979200531</v>
      </c>
      <c r="AB1180" s="1381">
        <f t="shared" si="1833"/>
        <v>622352.18332597008</v>
      </c>
      <c r="AC1180" s="1381">
        <f t="shared" si="1833"/>
        <v>646375.95292803471</v>
      </c>
      <c r="AD1180" s="1138">
        <f t="shared" si="1833"/>
        <v>742003.45127300732</v>
      </c>
      <c r="AE1180" s="176"/>
      <c r="AF1180" s="176"/>
      <c r="AG1180" s="176"/>
      <c r="AH1180" s="176"/>
      <c r="AI1180" s="176"/>
      <c r="AJ1180" s="176"/>
      <c r="AK1180" s="176"/>
    </row>
    <row r="1181" spans="1:38" s="392" customFormat="1" ht="14.25" customHeight="1">
      <c r="A1181" s="1693">
        <f t="shared" si="1800"/>
        <v>1164</v>
      </c>
      <c r="B1181" s="616">
        <v>1</v>
      </c>
      <c r="C1181" s="1693">
        <f t="shared" si="1822"/>
        <v>1181</v>
      </c>
      <c r="D1181" s="616">
        <v>1</v>
      </c>
      <c r="E1181" s="709" t="s">
        <v>512</v>
      </c>
      <c r="F1181" s="69"/>
      <c r="G1181" s="391"/>
      <c r="H1181" s="238"/>
      <c r="J1181" s="466"/>
      <c r="K1181" s="380"/>
      <c r="L1181" s="459"/>
      <c r="M1181" s="479" t="s">
        <v>249</v>
      </c>
      <c r="N1181" s="480" t="s">
        <v>47</v>
      </c>
      <c r="O1181" s="480"/>
      <c r="P1181" s="480"/>
      <c r="Q1181" s="480"/>
      <c r="R1181" s="1833" t="str">
        <f>CHOOSE(2, "6722000004082", "OUT Total TFI From BT-Gr Office Total")</f>
        <v>OUT Total TFI From BT-Gr Office Total</v>
      </c>
      <c r="S1181" s="1160">
        <v>164755.58426400059</v>
      </c>
      <c r="T1181" s="1161">
        <v>210850.61316400053</v>
      </c>
      <c r="U1181" s="1161">
        <v>215669.89747399816</v>
      </c>
      <c r="V1181" s="1161">
        <v>172262.59041999935</v>
      </c>
      <c r="W1181" s="1161">
        <v>190406.8450750006</v>
      </c>
      <c r="X1181" s="1162">
        <v>222319.48033000034</v>
      </c>
      <c r="Y1181" s="1162">
        <v>146474.42937999978</v>
      </c>
      <c r="Z1181" s="1162">
        <v>176159.13350800105</v>
      </c>
      <c r="AA1181" s="1162">
        <v>200413.41410000206</v>
      </c>
      <c r="AB1181" s="1162">
        <v>185287.78817600053</v>
      </c>
      <c r="AC1181" s="1162">
        <v>194356.88251200094</v>
      </c>
      <c r="AD1181" s="1163">
        <v>213579.00331600092</v>
      </c>
      <c r="AE1181" s="176"/>
      <c r="AF1181" s="176"/>
      <c r="AG1181" s="176"/>
      <c r="AH1181" s="176"/>
      <c r="AI1181" s="176"/>
      <c r="AJ1181" s="176"/>
      <c r="AK1181" s="176"/>
    </row>
    <row r="1182" spans="1:38" s="392" customFormat="1" ht="14.25" customHeight="1">
      <c r="A1182" s="1693">
        <f t="shared" si="1800"/>
        <v>1165</v>
      </c>
      <c r="B1182" s="616">
        <v>1</v>
      </c>
      <c r="C1182" s="1693">
        <f t="shared" si="1822"/>
        <v>1182</v>
      </c>
      <c r="D1182" s="616">
        <v>1</v>
      </c>
      <c r="E1182" s="709" t="s">
        <v>512</v>
      </c>
      <c r="F1182" s="69"/>
      <c r="G1182" s="391"/>
      <c r="H1182" s="238"/>
      <c r="J1182" s="466"/>
      <c r="K1182" s="380"/>
      <c r="L1182" s="459"/>
      <c r="M1182" s="459"/>
      <c r="N1182" s="462" t="s">
        <v>282</v>
      </c>
      <c r="O1182" s="462"/>
      <c r="P1182" s="462"/>
      <c r="Q1182" s="462"/>
      <c r="R1182" s="1824" t="str">
        <f>CHOOSE(2, "6722000004083", "OUT Total TFI From BT-Gr Office except BT Support (HW, NH)")</f>
        <v>OUT Total TFI From BT-Gr Office except BT Support (HW, NH)</v>
      </c>
      <c r="S1182" s="1159">
        <f t="shared" ref="S1182:AD1182" si="1834">S1181-S1183</f>
        <v>164755.58426400059</v>
      </c>
      <c r="T1182" s="1137">
        <f t="shared" si="1834"/>
        <v>210850.61316400053</v>
      </c>
      <c r="U1182" s="1137">
        <f t="shared" si="1834"/>
        <v>215669.89747399816</v>
      </c>
      <c r="V1182" s="1137">
        <f t="shared" si="1834"/>
        <v>172262.59041999935</v>
      </c>
      <c r="W1182" s="1137">
        <f t="shared" si="1834"/>
        <v>190406.8450750006</v>
      </c>
      <c r="X1182" s="1381">
        <f t="shared" si="1834"/>
        <v>222319.48033000034</v>
      </c>
      <c r="Y1182" s="1381">
        <f t="shared" si="1834"/>
        <v>146474.42937999978</v>
      </c>
      <c r="Z1182" s="1381">
        <f t="shared" si="1834"/>
        <v>176159.13350800105</v>
      </c>
      <c r="AA1182" s="1381">
        <f t="shared" si="1834"/>
        <v>200413.41410000206</v>
      </c>
      <c r="AB1182" s="1381">
        <f t="shared" si="1834"/>
        <v>185287.78817600053</v>
      </c>
      <c r="AC1182" s="1381">
        <f t="shared" si="1834"/>
        <v>194356.88251200094</v>
      </c>
      <c r="AD1182" s="1138">
        <f t="shared" si="1834"/>
        <v>213579.00331600092</v>
      </c>
      <c r="AE1182" s="176"/>
      <c r="AF1182" s="176"/>
      <c r="AG1182" s="176"/>
      <c r="AH1182" s="176"/>
      <c r="AI1182" s="176"/>
      <c r="AJ1182" s="176"/>
      <c r="AK1182" s="176"/>
    </row>
    <row r="1183" spans="1:38" s="392" customFormat="1" ht="14.25" customHeight="1">
      <c r="A1183" s="1693">
        <f t="shared" si="1800"/>
        <v>1166</v>
      </c>
      <c r="B1183" s="616">
        <v>1</v>
      </c>
      <c r="C1183" s="1693">
        <f t="shared" si="1822"/>
        <v>1183</v>
      </c>
      <c r="D1183" s="616">
        <v>1</v>
      </c>
      <c r="E1183" s="709" t="s">
        <v>512</v>
      </c>
      <c r="F1183" s="69"/>
      <c r="G1183" s="391"/>
      <c r="H1183" s="238"/>
      <c r="J1183" s="466"/>
      <c r="K1183" s="380"/>
      <c r="L1183" s="459"/>
      <c r="M1183" s="481"/>
      <c r="N1183" s="482" t="s">
        <v>280</v>
      </c>
      <c r="O1183" s="482"/>
      <c r="P1183" s="482"/>
      <c r="Q1183" s="482"/>
      <c r="R1183" s="1824" t="str">
        <f>CHOOSE(2, "6722000004084", "OUT Total TFI From BT-Gr Office BT Support")</f>
        <v>OUT Total TFI From BT-Gr Office BT Support</v>
      </c>
      <c r="S1183" s="1164">
        <f t="shared" ref="S1183:AD1183" si="1835">S1135</f>
        <v>0</v>
      </c>
      <c r="T1183" s="1165">
        <f t="shared" si="1835"/>
        <v>0</v>
      </c>
      <c r="U1183" s="1165">
        <f t="shared" si="1835"/>
        <v>0</v>
      </c>
      <c r="V1183" s="1165">
        <f t="shared" si="1835"/>
        <v>0</v>
      </c>
      <c r="W1183" s="1165">
        <f t="shared" si="1835"/>
        <v>0</v>
      </c>
      <c r="X1183" s="1382">
        <f t="shared" si="1835"/>
        <v>0</v>
      </c>
      <c r="Y1183" s="1382">
        <f t="shared" si="1835"/>
        <v>0</v>
      </c>
      <c r="Z1183" s="1382">
        <f t="shared" si="1835"/>
        <v>0</v>
      </c>
      <c r="AA1183" s="1382">
        <f t="shared" si="1835"/>
        <v>0</v>
      </c>
      <c r="AB1183" s="1382">
        <f t="shared" si="1835"/>
        <v>0</v>
      </c>
      <c r="AC1183" s="1382">
        <f t="shared" si="1835"/>
        <v>0</v>
      </c>
      <c r="AD1183" s="1166">
        <f t="shared" si="1835"/>
        <v>0</v>
      </c>
      <c r="AE1183" s="176"/>
      <c r="AF1183" s="176"/>
      <c r="AG1183" s="176"/>
      <c r="AH1183" s="176"/>
      <c r="AI1183" s="176"/>
      <c r="AJ1183" s="176"/>
      <c r="AK1183" s="176"/>
    </row>
    <row r="1184" spans="1:38" s="392" customFormat="1" ht="14.25" customHeight="1">
      <c r="A1184" s="1693">
        <f t="shared" si="1800"/>
        <v>1167</v>
      </c>
      <c r="B1184" s="616">
        <v>1</v>
      </c>
      <c r="C1184" s="1693">
        <f t="shared" si="1822"/>
        <v>1184</v>
      </c>
      <c r="D1184" s="616">
        <v>1</v>
      </c>
      <c r="E1184" s="709" t="s">
        <v>512</v>
      </c>
      <c r="F1184" s="69"/>
      <c r="G1184" s="391"/>
      <c r="H1184" s="238"/>
      <c r="J1184" s="466"/>
      <c r="K1184" s="380"/>
      <c r="L1184" s="459"/>
      <c r="M1184" s="459" t="s">
        <v>250</v>
      </c>
      <c r="N1184" s="480" t="s">
        <v>47</v>
      </c>
      <c r="O1184" s="480"/>
      <c r="P1184" s="480"/>
      <c r="Q1184" s="480"/>
      <c r="R1184" s="1833" t="str">
        <f>CHOOSE(2, "6722000004085", "OUT Total TFI From BT-Gr PP Total")</f>
        <v>OUT Total TFI From BT-Gr PP Total</v>
      </c>
      <c r="S1184" s="1167">
        <v>355304.4455399891</v>
      </c>
      <c r="T1184" s="1161">
        <v>381014.6656930031</v>
      </c>
      <c r="U1184" s="1161">
        <v>359916.3014349505</v>
      </c>
      <c r="V1184" s="1161">
        <v>321423.58165781532</v>
      </c>
      <c r="W1184" s="1161">
        <v>411719.81481202372</v>
      </c>
      <c r="X1184" s="1162">
        <v>432814.5449619604</v>
      </c>
      <c r="Y1184" s="1162">
        <v>432552.84908199566</v>
      </c>
      <c r="Z1184" s="1162">
        <v>176159.13350800105</v>
      </c>
      <c r="AA1184" s="1162">
        <v>404315.93339005101</v>
      </c>
      <c r="AB1184" s="1162">
        <v>424923.02927996957</v>
      </c>
      <c r="AC1184" s="1162">
        <v>440353.84859603376</v>
      </c>
      <c r="AD1184" s="1163">
        <v>467970.1190670064</v>
      </c>
      <c r="AE1184" s="176"/>
      <c r="AF1184" s="176"/>
      <c r="AG1184" s="176"/>
      <c r="AH1184" s="176"/>
      <c r="AI1184" s="176"/>
      <c r="AJ1184" s="176"/>
      <c r="AK1184" s="176"/>
      <c r="AL1184" s="522"/>
    </row>
    <row r="1185" spans="1:38" s="392" customFormat="1" ht="14.25" customHeight="1">
      <c r="A1185" s="1693">
        <f t="shared" si="1800"/>
        <v>1168</v>
      </c>
      <c r="B1185" s="616">
        <v>1</v>
      </c>
      <c r="C1185" s="1693">
        <f t="shared" si="1822"/>
        <v>1185</v>
      </c>
      <c r="D1185" s="616">
        <v>1</v>
      </c>
      <c r="E1185" s="709" t="s">
        <v>512</v>
      </c>
      <c r="F1185" s="69"/>
      <c r="G1185" s="391"/>
      <c r="H1185" s="238"/>
      <c r="J1185" s="466"/>
      <c r="K1185" s="380"/>
      <c r="L1185" s="459"/>
      <c r="M1185" s="459"/>
      <c r="N1185" s="462" t="s">
        <v>282</v>
      </c>
      <c r="O1185" s="462"/>
      <c r="P1185" s="462"/>
      <c r="Q1185" s="462"/>
      <c r="R1185" s="1824" t="str">
        <f>CHOOSE(2, "6722000004086", "OUT Total TFI From BT-Gr PP except BT Support (HW, NH)")</f>
        <v>OUT Total TFI From BT-Gr PP except BT Support (HW, NH)</v>
      </c>
      <c r="S1185" s="1159">
        <f t="shared" ref="S1185:AD1185" si="1836">S1184-S1186</f>
        <v>355304.4455399891</v>
      </c>
      <c r="T1185" s="1137">
        <f t="shared" si="1836"/>
        <v>381014.6656930031</v>
      </c>
      <c r="U1185" s="1137">
        <f t="shared" si="1836"/>
        <v>359916.3014349505</v>
      </c>
      <c r="V1185" s="1137">
        <f t="shared" si="1836"/>
        <v>321423.58165781532</v>
      </c>
      <c r="W1185" s="1137">
        <f t="shared" si="1836"/>
        <v>411719.81481202372</v>
      </c>
      <c r="X1185" s="1381">
        <f t="shared" si="1836"/>
        <v>432814.5449619604</v>
      </c>
      <c r="Y1185" s="1381">
        <f t="shared" si="1836"/>
        <v>432552.84908199566</v>
      </c>
      <c r="Z1185" s="1381">
        <f t="shared" si="1836"/>
        <v>176159.13350800105</v>
      </c>
      <c r="AA1185" s="1381">
        <f t="shared" si="1836"/>
        <v>404315.93339005101</v>
      </c>
      <c r="AB1185" s="1381">
        <f t="shared" si="1836"/>
        <v>424923.02927996957</v>
      </c>
      <c r="AC1185" s="1381">
        <f t="shared" si="1836"/>
        <v>440353.84859603376</v>
      </c>
      <c r="AD1185" s="1138">
        <f t="shared" si="1836"/>
        <v>467970.1190670064</v>
      </c>
      <c r="AE1185" s="176"/>
      <c r="AF1185" s="176"/>
      <c r="AG1185" s="176"/>
      <c r="AH1185" s="176"/>
      <c r="AI1185" s="176"/>
      <c r="AJ1185" s="176"/>
      <c r="AK1185" s="176"/>
      <c r="AL1185" s="524"/>
    </row>
    <row r="1186" spans="1:38" s="392" customFormat="1" ht="14.25" customHeight="1">
      <c r="A1186" s="1693">
        <f t="shared" si="1800"/>
        <v>1169</v>
      </c>
      <c r="B1186" s="616">
        <v>1</v>
      </c>
      <c r="C1186" s="1693">
        <f t="shared" si="1822"/>
        <v>1186</v>
      </c>
      <c r="D1186" s="616">
        <v>1</v>
      </c>
      <c r="E1186" s="709" t="s">
        <v>512</v>
      </c>
      <c r="F1186" s="69"/>
      <c r="G1186" s="391"/>
      <c r="H1186" s="238"/>
      <c r="J1186" s="466"/>
      <c r="K1186" s="380"/>
      <c r="L1186" s="459"/>
      <c r="M1186" s="481"/>
      <c r="N1186" s="482" t="s">
        <v>280</v>
      </c>
      <c r="O1186" s="482"/>
      <c r="P1186" s="482"/>
      <c r="Q1186" s="482"/>
      <c r="R1186" s="1824" t="str">
        <f>CHOOSE(2, "6722000004087", "OUT Total TFI From BT-Gr PP BT Support")</f>
        <v>OUT Total TFI From BT-Gr PP BT Support</v>
      </c>
      <c r="S1186" s="1164">
        <f t="shared" ref="S1186:AD1186" si="1837">S1144</f>
        <v>0</v>
      </c>
      <c r="T1186" s="1165">
        <f t="shared" si="1837"/>
        <v>0</v>
      </c>
      <c r="U1186" s="1165">
        <f t="shared" si="1837"/>
        <v>0</v>
      </c>
      <c r="V1186" s="1165">
        <f t="shared" si="1837"/>
        <v>0</v>
      </c>
      <c r="W1186" s="1165">
        <f t="shared" si="1837"/>
        <v>0</v>
      </c>
      <c r="X1186" s="1382">
        <f t="shared" si="1837"/>
        <v>0</v>
      </c>
      <c r="Y1186" s="1382">
        <f t="shared" si="1837"/>
        <v>0</v>
      </c>
      <c r="Z1186" s="1382">
        <f t="shared" si="1837"/>
        <v>0</v>
      </c>
      <c r="AA1186" s="1382">
        <f t="shared" si="1837"/>
        <v>0</v>
      </c>
      <c r="AB1186" s="1382">
        <f t="shared" si="1837"/>
        <v>0</v>
      </c>
      <c r="AC1186" s="1382">
        <f t="shared" si="1837"/>
        <v>0</v>
      </c>
      <c r="AD1186" s="1166">
        <f t="shared" si="1837"/>
        <v>0</v>
      </c>
      <c r="AE1186" s="176"/>
      <c r="AF1186" s="176"/>
      <c r="AG1186" s="176"/>
      <c r="AH1186" s="176"/>
      <c r="AI1186" s="176"/>
      <c r="AJ1186" s="176"/>
      <c r="AK1186" s="176"/>
      <c r="AL1186" s="524"/>
    </row>
    <row r="1187" spans="1:38" s="392" customFormat="1" ht="14.25" customHeight="1">
      <c r="A1187" s="1693">
        <f t="shared" si="1800"/>
        <v>1170</v>
      </c>
      <c r="B1187" s="616">
        <v>1</v>
      </c>
      <c r="C1187" s="1693">
        <f t="shared" si="1822"/>
        <v>1187</v>
      </c>
      <c r="D1187" s="616">
        <v>1</v>
      </c>
      <c r="E1187" s="709" t="s">
        <v>512</v>
      </c>
      <c r="F1187" s="69"/>
      <c r="G1187" s="391"/>
      <c r="H1187" s="238"/>
      <c r="J1187" s="466"/>
      <c r="K1187" s="380"/>
      <c r="L1187" s="481"/>
      <c r="M1187" s="481" t="s">
        <v>233</v>
      </c>
      <c r="N1187" s="482" t="s">
        <v>673</v>
      </c>
      <c r="O1187" s="482"/>
      <c r="P1187" s="482"/>
      <c r="Q1187" s="482"/>
      <c r="R1187" s="1833" t="str">
        <f>CHOOSE(2, "6722000004088", "OUT Total TFI From BT-Gr Others IP, DW-DX, Others")</f>
        <v>OUT Total TFI From BT-Gr Others IP, DW-DX, Others</v>
      </c>
      <c r="S1187" s="1160">
        <v>8066.1664300000002</v>
      </c>
      <c r="T1187" s="1168">
        <v>7035.7053100000021</v>
      </c>
      <c r="U1187" s="1168">
        <v>29378.434209999996</v>
      </c>
      <c r="V1187" s="1168">
        <v>4772.3450999999968</v>
      </c>
      <c r="W1187" s="1168">
        <v>20442.768569999993</v>
      </c>
      <c r="X1187" s="1169">
        <v>46656.213869999992</v>
      </c>
      <c r="Y1187" s="1169">
        <v>29226.560949999999</v>
      </c>
      <c r="Z1187" s="1169">
        <v>357160.85784999619</v>
      </c>
      <c r="AA1187" s="1169">
        <v>22989.550430000007</v>
      </c>
      <c r="AB1187" s="1169">
        <v>12141.365870000007</v>
      </c>
      <c r="AC1187" s="1169">
        <v>11665.221820000006</v>
      </c>
      <c r="AD1187" s="1170">
        <v>60454.328889999997</v>
      </c>
      <c r="AE1187" s="176"/>
      <c r="AF1187" s="176"/>
      <c r="AG1187" s="176"/>
      <c r="AH1187" s="176"/>
      <c r="AI1187" s="176"/>
      <c r="AJ1187" s="176"/>
      <c r="AK1187" s="176"/>
      <c r="AL1187" s="524"/>
    </row>
    <row r="1188" spans="1:38" s="392" customFormat="1" ht="14.5">
      <c r="A1188" s="1693">
        <f t="shared" si="1800"/>
        <v>1171</v>
      </c>
      <c r="B1188" s="616">
        <v>1</v>
      </c>
      <c r="C1188" s="1693">
        <f t="shared" si="1822"/>
        <v>1188</v>
      </c>
      <c r="D1188" s="616">
        <v>1</v>
      </c>
      <c r="E1188" s="709" t="s">
        <v>512</v>
      </c>
      <c r="F1188" s="69"/>
      <c r="G1188" s="391"/>
      <c r="H1188" s="238"/>
      <c r="J1188" s="466"/>
      <c r="K1188" s="380"/>
      <c r="L1188" s="459" t="s">
        <v>68</v>
      </c>
      <c r="M1188" s="459"/>
      <c r="N1188" s="462"/>
      <c r="O1188" s="462"/>
      <c r="P1188" s="462"/>
      <c r="Q1188" s="462"/>
      <c r="R1188" s="1824" t="str">
        <f>CHOOSE(2, "6722000004089", "OUT Total TFI Others(3rd Party)")</f>
        <v>OUT Total TFI Others(3rd Party)</v>
      </c>
      <c r="S1188" s="1159">
        <f>SUM(S1189:S1191)</f>
        <v>0</v>
      </c>
      <c r="T1188" s="1137">
        <f t="shared" ref="T1188:AD1188" si="1838">SUM(T1189:T1191)</f>
        <v>0</v>
      </c>
      <c r="U1188" s="1137">
        <f t="shared" si="1838"/>
        <v>0</v>
      </c>
      <c r="V1188" s="1137">
        <f t="shared" si="1838"/>
        <v>0</v>
      </c>
      <c r="W1188" s="1137">
        <f t="shared" si="1838"/>
        <v>0</v>
      </c>
      <c r="X1188" s="1381">
        <f t="shared" si="1838"/>
        <v>0</v>
      </c>
      <c r="Y1188" s="1381">
        <f t="shared" si="1838"/>
        <v>0</v>
      </c>
      <c r="Z1188" s="1381">
        <f t="shared" si="1838"/>
        <v>0</v>
      </c>
      <c r="AA1188" s="1381">
        <f t="shared" si="1838"/>
        <v>0</v>
      </c>
      <c r="AB1188" s="1381">
        <f t="shared" si="1838"/>
        <v>0</v>
      </c>
      <c r="AC1188" s="1381">
        <f t="shared" si="1838"/>
        <v>0</v>
      </c>
      <c r="AD1188" s="1138">
        <f t="shared" si="1838"/>
        <v>0</v>
      </c>
      <c r="AE1188" s="176"/>
      <c r="AF1188" s="176"/>
      <c r="AG1188" s="176"/>
      <c r="AH1188" s="176"/>
      <c r="AI1188" s="176"/>
      <c r="AJ1188" s="176"/>
      <c r="AK1188" s="176"/>
      <c r="AL1188" s="524"/>
    </row>
    <row r="1189" spans="1:38" s="392" customFormat="1" ht="14.25" customHeight="1">
      <c r="A1189" s="1693">
        <f t="shared" si="1800"/>
        <v>1172</v>
      </c>
      <c r="B1189" s="616">
        <v>1</v>
      </c>
      <c r="C1189" s="1693">
        <f t="shared" si="1822"/>
        <v>1189</v>
      </c>
      <c r="D1189" s="616">
        <v>1</v>
      </c>
      <c r="E1189" s="709" t="s">
        <v>512</v>
      </c>
      <c r="F1189" s="69"/>
      <c r="G1189" s="391"/>
      <c r="H1189" s="238"/>
      <c r="J1189" s="466"/>
      <c r="K1189" s="380"/>
      <c r="L1189" s="459"/>
      <c r="M1189" s="459" t="s">
        <v>249</v>
      </c>
      <c r="N1189" s="462"/>
      <c r="O1189" s="462"/>
      <c r="P1189" s="462"/>
      <c r="Q1189" s="462"/>
      <c r="R1189" s="1833" t="str">
        <f>CHOOSE(2, "6722000004090", "OUT Total TFI Others(3rd Party) Office")</f>
        <v>OUT Total TFI Others(3rd Party) Office</v>
      </c>
      <c r="S1189" s="1430"/>
      <c r="T1189" s="1149"/>
      <c r="U1189" s="1149"/>
      <c r="V1189" s="1149"/>
      <c r="W1189" s="1149"/>
      <c r="X1189" s="1150"/>
      <c r="Y1189" s="1150"/>
      <c r="Z1189" s="1150"/>
      <c r="AA1189" s="1150"/>
      <c r="AB1189" s="1150"/>
      <c r="AC1189" s="1150"/>
      <c r="AD1189" s="1151"/>
      <c r="AE1189" s="176"/>
      <c r="AF1189" s="176"/>
      <c r="AG1189" s="176"/>
      <c r="AH1189" s="176"/>
      <c r="AI1189" s="176"/>
      <c r="AJ1189" s="176"/>
      <c r="AK1189" s="176"/>
      <c r="AL1189" s="524"/>
    </row>
    <row r="1190" spans="1:38" s="392" customFormat="1" ht="14.25" customHeight="1">
      <c r="A1190" s="1693">
        <f t="shared" si="1800"/>
        <v>1173</v>
      </c>
      <c r="B1190" s="616">
        <v>1</v>
      </c>
      <c r="C1190" s="1693">
        <f t="shared" si="1822"/>
        <v>1190</v>
      </c>
      <c r="D1190" s="616">
        <v>1</v>
      </c>
      <c r="E1190" s="709" t="s">
        <v>512</v>
      </c>
      <c r="F1190" s="69"/>
      <c r="G1190" s="391"/>
      <c r="H1190" s="238"/>
      <c r="J1190" s="466"/>
      <c r="K1190" s="380"/>
      <c r="L1190" s="459"/>
      <c r="M1190" s="459" t="s">
        <v>250</v>
      </c>
      <c r="N1190" s="462"/>
      <c r="O1190" s="462"/>
      <c r="P1190" s="462"/>
      <c r="Q1190" s="462"/>
      <c r="R1190" s="1833" t="str">
        <f>CHOOSE(2, "6722000004091", "OUT Total TFI Others(3rd Party) PP")</f>
        <v>OUT Total TFI Others(3rd Party) PP</v>
      </c>
      <c r="S1190" s="1430"/>
      <c r="T1190" s="1149"/>
      <c r="U1190" s="1149"/>
      <c r="V1190" s="1149"/>
      <c r="W1190" s="1149"/>
      <c r="X1190" s="1150"/>
      <c r="Y1190" s="1150"/>
      <c r="Z1190" s="1150"/>
      <c r="AA1190" s="1150"/>
      <c r="AB1190" s="1150"/>
      <c r="AC1190" s="1150"/>
      <c r="AD1190" s="1151"/>
      <c r="AE1190" s="176"/>
      <c r="AF1190" s="176"/>
      <c r="AG1190" s="176"/>
      <c r="AH1190" s="176"/>
      <c r="AI1190" s="176"/>
      <c r="AJ1190" s="176"/>
      <c r="AK1190" s="176"/>
      <c r="AL1190" s="524"/>
    </row>
    <row r="1191" spans="1:38" s="392" customFormat="1" ht="14.25" customHeight="1">
      <c r="A1191" s="1693">
        <f t="shared" si="1800"/>
        <v>1174</v>
      </c>
      <c r="B1191" s="616">
        <v>1</v>
      </c>
      <c r="C1191" s="1693">
        <f t="shared" si="1822"/>
        <v>1191</v>
      </c>
      <c r="D1191" s="616">
        <v>1</v>
      </c>
      <c r="E1191" s="709" t="s">
        <v>512</v>
      </c>
      <c r="F1191" s="69"/>
      <c r="G1191" s="391"/>
      <c r="H1191" s="238"/>
      <c r="J1191" s="466"/>
      <c r="K1191" s="380"/>
      <c r="L1191" s="459"/>
      <c r="M1191" s="459" t="s">
        <v>233</v>
      </c>
      <c r="N1191" s="482" t="s">
        <v>673</v>
      </c>
      <c r="O1191" s="462"/>
      <c r="P1191" s="462"/>
      <c r="Q1191" s="462"/>
      <c r="R1191" s="1833" t="str">
        <f>CHOOSE(2, "6722000004092", "OUT Total TFI Others(3rd Party) Others IP, DW-DX, Others")</f>
        <v>OUT Total TFI Others(3rd Party) Others IP, DW-DX, Others</v>
      </c>
      <c r="S1191" s="1430"/>
      <c r="T1191" s="1149"/>
      <c r="U1191" s="1149"/>
      <c r="V1191" s="1149"/>
      <c r="W1191" s="1149"/>
      <c r="X1191" s="1150"/>
      <c r="Y1191" s="1150"/>
      <c r="Z1191" s="1150"/>
      <c r="AA1191" s="1150"/>
      <c r="AB1191" s="1150"/>
      <c r="AC1191" s="1150"/>
      <c r="AD1191" s="1151"/>
      <c r="AE1191" s="176"/>
      <c r="AF1191" s="176"/>
      <c r="AG1191" s="176"/>
      <c r="AH1191" s="176"/>
      <c r="AI1191" s="176"/>
      <c r="AJ1191" s="176"/>
      <c r="AK1191" s="176"/>
      <c r="AL1191" s="519"/>
    </row>
    <row r="1192" spans="1:38" s="392" customFormat="1" ht="14.5">
      <c r="A1192" s="1693">
        <f t="shared" si="1800"/>
        <v>1175</v>
      </c>
      <c r="B1192" s="616">
        <v>1</v>
      </c>
      <c r="C1192" s="1693">
        <f t="shared" si="1822"/>
        <v>1192</v>
      </c>
      <c r="D1192" s="616">
        <v>1</v>
      </c>
      <c r="E1192" s="709" t="s">
        <v>512</v>
      </c>
      <c r="F1192" s="69"/>
      <c r="G1192" s="391"/>
      <c r="H1192" s="238"/>
      <c r="J1192" s="466"/>
      <c r="K1192" s="379" t="s">
        <v>266</v>
      </c>
      <c r="L1192" s="379"/>
      <c r="M1192" s="379"/>
      <c r="N1192" s="430"/>
      <c r="O1192" s="430"/>
      <c r="P1192" s="430"/>
      <c r="Q1192" s="430"/>
      <c r="R1192" s="1830" t="str">
        <f>CHOOSE(2, "6722000004093", "OUT Total L&amp;DoI")</f>
        <v>OUT Total L&amp;DoI</v>
      </c>
      <c r="S1192" s="1432">
        <v>1806.0393000000006</v>
      </c>
      <c r="T1192" s="1433">
        <v>320.28391999999991</v>
      </c>
      <c r="U1192" s="1433">
        <v>2360.9699199999995</v>
      </c>
      <c r="V1192" s="1433">
        <v>10584.641549999995</v>
      </c>
      <c r="W1192" s="1433">
        <v>643</v>
      </c>
      <c r="X1192" s="3446">
        <v>1795.6646499999979</v>
      </c>
      <c r="Y1192" s="1434">
        <v>1278.4598499999979</v>
      </c>
      <c r="Z1192" s="1434">
        <v>2084.7759999999998</v>
      </c>
      <c r="AA1192" s="1434">
        <v>307.31930000000102</v>
      </c>
      <c r="AB1192" s="1434">
        <v>1088.7201999999997</v>
      </c>
      <c r="AC1192" s="1434">
        <v>575.47511999999915</v>
      </c>
      <c r="AD1192" s="1435">
        <v>1942.1673800000058</v>
      </c>
      <c r="AE1192" s="177"/>
      <c r="AF1192" s="177"/>
      <c r="AG1192" s="177"/>
      <c r="AH1192" s="177"/>
      <c r="AI1192" s="177"/>
      <c r="AJ1192" s="177"/>
      <c r="AK1192" s="177"/>
      <c r="AL1192" s="517"/>
    </row>
    <row r="1193" spans="1:38" s="392" customFormat="1" ht="14.25" customHeight="1">
      <c r="A1193" s="1693">
        <f t="shared" si="1800"/>
        <v>1176</v>
      </c>
      <c r="B1193" s="616">
        <v>1</v>
      </c>
      <c r="C1193" s="1693">
        <f t="shared" si="1822"/>
        <v>1193</v>
      </c>
      <c r="D1193" s="616">
        <v>1</v>
      </c>
      <c r="E1193" s="709" t="s">
        <v>512</v>
      </c>
      <c r="F1193" s="69"/>
      <c r="G1193" s="391"/>
      <c r="H1193" s="238"/>
      <c r="J1193" s="466"/>
      <c r="K1193" s="379" t="s">
        <v>2</v>
      </c>
      <c r="L1193" s="379"/>
      <c r="M1193" s="379"/>
      <c r="N1193" s="430"/>
      <c r="O1193" s="430"/>
      <c r="P1193" s="430"/>
      <c r="Q1193" s="430"/>
      <c r="R1193" s="1834" t="str">
        <f>CHOOSE(2, "6722000004094", "OUT Total Others")</f>
        <v>OUT Total Others</v>
      </c>
      <c r="S1193" s="1270">
        <f t="shared" ref="S1193:AD1193" si="1839">SUM(S1194:S1196)</f>
        <v>0</v>
      </c>
      <c r="T1193" s="1271">
        <f t="shared" si="1839"/>
        <v>0</v>
      </c>
      <c r="U1193" s="1271">
        <f t="shared" si="1839"/>
        <v>0</v>
      </c>
      <c r="V1193" s="1271">
        <f t="shared" si="1839"/>
        <v>0</v>
      </c>
      <c r="W1193" s="1271">
        <f t="shared" si="1839"/>
        <v>0</v>
      </c>
      <c r="X1193" s="1272">
        <f t="shared" si="1839"/>
        <v>0</v>
      </c>
      <c r="Y1193" s="1272">
        <f t="shared" si="1839"/>
        <v>0</v>
      </c>
      <c r="Z1193" s="1272">
        <f t="shared" si="1839"/>
        <v>0</v>
      </c>
      <c r="AA1193" s="1272">
        <f t="shared" si="1839"/>
        <v>0</v>
      </c>
      <c r="AB1193" s="1272">
        <f t="shared" si="1839"/>
        <v>0</v>
      </c>
      <c r="AC1193" s="1272">
        <f t="shared" si="1839"/>
        <v>0</v>
      </c>
      <c r="AD1193" s="1274">
        <f t="shared" si="1839"/>
        <v>0</v>
      </c>
      <c r="AE1193" s="177"/>
      <c r="AF1193" s="177"/>
      <c r="AG1193" s="177"/>
      <c r="AH1193" s="177"/>
      <c r="AI1193" s="177"/>
      <c r="AJ1193" s="177"/>
      <c r="AK1193" s="177"/>
      <c r="AL1193" s="517"/>
    </row>
    <row r="1194" spans="1:38" s="392" customFormat="1" ht="14.25" customHeight="1">
      <c r="A1194" s="1693">
        <f t="shared" si="1800"/>
        <v>1177</v>
      </c>
      <c r="B1194" s="616">
        <v>1</v>
      </c>
      <c r="C1194" s="1693">
        <f t="shared" si="1822"/>
        <v>1194</v>
      </c>
      <c r="D1194" s="616">
        <v>1</v>
      </c>
      <c r="E1194" s="709" t="s">
        <v>512</v>
      </c>
      <c r="F1194" s="69"/>
      <c r="G1194" s="391"/>
      <c r="H1194" s="238"/>
      <c r="J1194" s="466"/>
      <c r="K1194" s="380"/>
      <c r="L1194" s="1030" t="s">
        <v>268</v>
      </c>
      <c r="M1194" s="69"/>
      <c r="N1194" s="1031"/>
      <c r="O1194" s="1031"/>
      <c r="P1194" s="1031"/>
      <c r="Q1194" s="1031"/>
      <c r="R1194" s="1830" t="str">
        <f>CHOOSE(2, "6722000004095", "OUT Total Others &lt; free input 1 &gt;")</f>
        <v>OUT Total Others &lt; free input 1 &gt;</v>
      </c>
      <c r="S1194" s="1436"/>
      <c r="T1194" s="1437"/>
      <c r="U1194" s="1437"/>
      <c r="V1194" s="1437"/>
      <c r="W1194" s="1437"/>
      <c r="X1194" s="1438"/>
      <c r="Y1194" s="1438"/>
      <c r="Z1194" s="1438"/>
      <c r="AA1194" s="1438"/>
      <c r="AB1194" s="1438"/>
      <c r="AC1194" s="1438"/>
      <c r="AD1194" s="1439"/>
      <c r="AE1194" s="177"/>
      <c r="AF1194" s="177"/>
      <c r="AG1194" s="177"/>
      <c r="AH1194" s="177"/>
      <c r="AI1194" s="177"/>
      <c r="AJ1194" s="177"/>
      <c r="AK1194" s="177"/>
      <c r="AL1194" s="517"/>
    </row>
    <row r="1195" spans="1:38" s="392" customFormat="1" ht="14.25" customHeight="1">
      <c r="A1195" s="1693">
        <f t="shared" si="1800"/>
        <v>1178</v>
      </c>
      <c r="B1195" s="616">
        <v>1</v>
      </c>
      <c r="C1195" s="1693">
        <f t="shared" si="1822"/>
        <v>1195</v>
      </c>
      <c r="D1195" s="616">
        <v>1</v>
      </c>
      <c r="E1195" s="709" t="s">
        <v>512</v>
      </c>
      <c r="F1195" s="69"/>
      <c r="G1195" s="391"/>
      <c r="H1195" s="238"/>
      <c r="J1195" s="466"/>
      <c r="K1195" s="380"/>
      <c r="L1195" s="1030" t="s">
        <v>268</v>
      </c>
      <c r="M1195" s="69"/>
      <c r="N1195" s="1031"/>
      <c r="O1195" s="1031"/>
      <c r="P1195" s="1031"/>
      <c r="Q1195" s="1031"/>
      <c r="R1195" s="1830" t="str">
        <f>CHOOSE(2, "6722000004096", "OUT Total Others &lt; free input 2 &gt;")</f>
        <v>OUT Total Others &lt; free input 2 &gt;</v>
      </c>
      <c r="S1195" s="1436"/>
      <c r="T1195" s="1437"/>
      <c r="U1195" s="1437"/>
      <c r="V1195" s="1437"/>
      <c r="W1195" s="1437"/>
      <c r="X1195" s="1438"/>
      <c r="Y1195" s="1438"/>
      <c r="Z1195" s="1438"/>
      <c r="AA1195" s="1438"/>
      <c r="AB1195" s="1438"/>
      <c r="AC1195" s="1438"/>
      <c r="AD1195" s="1439"/>
      <c r="AE1195" s="177"/>
      <c r="AF1195" s="177"/>
      <c r="AG1195" s="177"/>
      <c r="AH1195" s="177"/>
      <c r="AI1195" s="177"/>
      <c r="AJ1195" s="177"/>
      <c r="AK1195" s="177"/>
      <c r="AL1195" s="517"/>
    </row>
    <row r="1196" spans="1:38" s="392" customFormat="1" ht="14.5">
      <c r="A1196" s="1693">
        <f t="shared" si="1800"/>
        <v>1179</v>
      </c>
      <c r="B1196" s="616">
        <v>1</v>
      </c>
      <c r="C1196" s="1693">
        <f t="shared" si="1822"/>
        <v>1196</v>
      </c>
      <c r="D1196" s="616">
        <v>1</v>
      </c>
      <c r="E1196" s="709" t="s">
        <v>512</v>
      </c>
      <c r="F1196" s="69"/>
      <c r="G1196" s="391"/>
      <c r="H1196" s="238"/>
      <c r="J1196" s="466"/>
      <c r="K1196" s="381"/>
      <c r="L1196" s="211" t="s">
        <v>233</v>
      </c>
      <c r="M1196" s="211"/>
      <c r="N1196" s="483"/>
      <c r="O1196" s="483"/>
      <c r="P1196" s="483"/>
      <c r="Q1196" s="483"/>
      <c r="R1196" s="1830" t="str">
        <f>CHOOSE(2, "6722000004097", "OUT Total Others Others")</f>
        <v>OUT Total Others Others</v>
      </c>
      <c r="S1196" s="1440"/>
      <c r="T1196" s="1441"/>
      <c r="U1196" s="1441"/>
      <c r="V1196" s="1441"/>
      <c r="W1196" s="1441"/>
      <c r="X1196" s="1442"/>
      <c r="Y1196" s="1442"/>
      <c r="Z1196" s="1442"/>
      <c r="AA1196" s="1442"/>
      <c r="AB1196" s="1442"/>
      <c r="AC1196" s="1442"/>
      <c r="AD1196" s="1443"/>
      <c r="AE1196" s="177"/>
      <c r="AF1196" s="177"/>
      <c r="AG1196" s="177"/>
      <c r="AH1196" s="177"/>
      <c r="AI1196" s="177"/>
      <c r="AJ1196" s="177"/>
      <c r="AK1196" s="177"/>
      <c r="AL1196" s="517"/>
    </row>
    <row r="1197" spans="1:38" s="392" customFormat="1" ht="14.5">
      <c r="A1197" s="1693">
        <f t="shared" si="1800"/>
        <v>1180</v>
      </c>
      <c r="B1197" s="616">
        <v>1</v>
      </c>
      <c r="C1197" s="1693">
        <f t="shared" si="1822"/>
        <v>1197</v>
      </c>
      <c r="D1197" s="616">
        <v>1</v>
      </c>
      <c r="E1197" s="709" t="s">
        <v>512</v>
      </c>
      <c r="F1197" s="69"/>
      <c r="G1197" s="391"/>
      <c r="H1197" s="238"/>
      <c r="J1197" s="466"/>
      <c r="K1197" s="456" t="s">
        <v>267</v>
      </c>
      <c r="L1197" s="456"/>
      <c r="M1197" s="456"/>
      <c r="N1197" s="461"/>
      <c r="O1197" s="461"/>
      <c r="P1197" s="461"/>
      <c r="Q1197" s="461"/>
      <c r="R1197" s="1832" t="str">
        <f>CHOOSE(2, "6722000004098", "OUT Total Inventory at the end")</f>
        <v>OUT Total Inventory at the end</v>
      </c>
      <c r="S1197" s="1179">
        <f t="shared" ref="S1197:AD1197" si="1840">SUM(S1198:S1199)</f>
        <v>1727472.7220000001</v>
      </c>
      <c r="T1197" s="1180">
        <f t="shared" si="1840"/>
        <v>1680145.4002448525</v>
      </c>
      <c r="U1197" s="1180">
        <f t="shared" si="1840"/>
        <v>1683073.110454126</v>
      </c>
      <c r="V1197" s="1180">
        <f t="shared" si="1840"/>
        <v>1679984.0538192089</v>
      </c>
      <c r="W1197" s="1180">
        <f t="shared" si="1840"/>
        <v>1535808.5292474665</v>
      </c>
      <c r="X1197" s="1204">
        <f t="shared" si="1840"/>
        <v>1323116.4580953834</v>
      </c>
      <c r="Y1197" s="1204">
        <f t="shared" si="1840"/>
        <v>1507824.1998900045</v>
      </c>
      <c r="Z1197" s="1204">
        <f t="shared" si="1840"/>
        <v>1613144.1387800036</v>
      </c>
      <c r="AA1197" s="1204">
        <f>SUM(AA1198:AA1199)</f>
        <v>1562456.0574400034</v>
      </c>
      <c r="AB1197" s="1204">
        <f t="shared" si="1840"/>
        <v>1575901.1070800053</v>
      </c>
      <c r="AC1197" s="1204">
        <f t="shared" si="1840"/>
        <v>1644393.6746100041</v>
      </c>
      <c r="AD1197" s="1181">
        <f t="shared" si="1840"/>
        <v>1597083.8251497117</v>
      </c>
      <c r="AE1197" s="176"/>
      <c r="AF1197" s="176"/>
      <c r="AG1197" s="176"/>
      <c r="AH1197" s="176"/>
      <c r="AI1197" s="176"/>
      <c r="AJ1197" s="176"/>
      <c r="AK1197" s="176"/>
      <c r="AL1197" s="517"/>
    </row>
    <row r="1198" spans="1:38" s="392" customFormat="1" ht="14.25" customHeight="1">
      <c r="A1198" s="1693">
        <f t="shared" si="1800"/>
        <v>1181</v>
      </c>
      <c r="B1198" s="616">
        <v>1</v>
      </c>
      <c r="C1198" s="1693">
        <f t="shared" si="1822"/>
        <v>1198</v>
      </c>
      <c r="D1198" s="616">
        <v>1</v>
      </c>
      <c r="E1198" s="709" t="s">
        <v>512</v>
      </c>
      <c r="F1198" s="69"/>
      <c r="G1198" s="391"/>
      <c r="H1198" s="238"/>
      <c r="J1198" s="466"/>
      <c r="K1198" s="283"/>
      <c r="L1198" s="459" t="s">
        <v>262</v>
      </c>
      <c r="M1198" s="459"/>
      <c r="N1198" s="462"/>
      <c r="O1198" s="462"/>
      <c r="P1198" s="462"/>
      <c r="Q1198" s="462"/>
      <c r="R1198" s="1824" t="str">
        <f>CHOOSE(2, "6722000004099", "OUT Total Inventory at the end From BT-Gr")</f>
        <v>OUT Total Inventory at the end From BT-Gr</v>
      </c>
      <c r="S1198" s="1159">
        <f>S1080+S1081</f>
        <v>1693556.78422</v>
      </c>
      <c r="T1198" s="1137">
        <f t="shared" ref="T1198:AD1198" si="1841">T1080+T1081</f>
        <v>1657110.1095848526</v>
      </c>
      <c r="U1198" s="1137">
        <f t="shared" si="1841"/>
        <v>1664543.6216041259</v>
      </c>
      <c r="V1198" s="1137">
        <f t="shared" si="1841"/>
        <v>1670372.9925092089</v>
      </c>
      <c r="W1198" s="1137">
        <f t="shared" si="1841"/>
        <v>1527588.6954474666</v>
      </c>
      <c r="X1198" s="1137">
        <f t="shared" si="1841"/>
        <v>1317138.4580953834</v>
      </c>
      <c r="Y1198" s="1137">
        <f t="shared" si="1841"/>
        <v>1490955.0624900043</v>
      </c>
      <c r="Z1198" s="1137">
        <f t="shared" si="1841"/>
        <v>1592858.1082600036</v>
      </c>
      <c r="AA1198" s="1137">
        <f t="shared" si="1841"/>
        <v>1542084.5527600034</v>
      </c>
      <c r="AB1198" s="1137">
        <f t="shared" si="1841"/>
        <v>1552617.5130200053</v>
      </c>
      <c r="AC1198" s="1137">
        <f t="shared" si="1841"/>
        <v>1624485.8891100041</v>
      </c>
      <c r="AD1198" s="1138">
        <f t="shared" si="1841"/>
        <v>1577748.3353597117</v>
      </c>
      <c r="AE1198" s="176"/>
      <c r="AF1198" s="176"/>
      <c r="AG1198" s="176"/>
      <c r="AH1198" s="176"/>
      <c r="AI1198" s="176"/>
      <c r="AJ1198" s="176"/>
      <c r="AK1198" s="176"/>
      <c r="AL1198" s="517"/>
    </row>
    <row r="1199" spans="1:38" s="392" customFormat="1" ht="14.5">
      <c r="A1199" s="1693">
        <f t="shared" si="1800"/>
        <v>1182</v>
      </c>
      <c r="B1199" s="616">
        <v>1</v>
      </c>
      <c r="C1199" s="1693">
        <f t="shared" si="1822"/>
        <v>1199</v>
      </c>
      <c r="D1199" s="616">
        <v>1</v>
      </c>
      <c r="E1199" s="709" t="s">
        <v>512</v>
      </c>
      <c r="F1199" s="69"/>
      <c r="G1199" s="1571"/>
      <c r="H1199" s="236"/>
      <c r="J1199" s="467"/>
      <c r="K1199" s="457"/>
      <c r="L1199" s="211" t="s">
        <v>233</v>
      </c>
      <c r="M1199" s="211"/>
      <c r="N1199" s="308"/>
      <c r="O1199" s="308"/>
      <c r="P1199" s="308"/>
      <c r="Q1199" s="308"/>
      <c r="R1199" s="1824" t="str">
        <f>CHOOSE(2, "6722000004100", "OUT Total Inventory at the end Others")</f>
        <v>OUT Total Inventory at the end Others</v>
      </c>
      <c r="S1199" s="1171">
        <f>S1082</f>
        <v>33915.937780000015</v>
      </c>
      <c r="T1199" s="1139">
        <f t="shared" ref="T1199:AD1199" si="1842">T1082</f>
        <v>23035.290660000006</v>
      </c>
      <c r="U1199" s="1139">
        <f t="shared" si="1842"/>
        <v>18529.48885000002</v>
      </c>
      <c r="V1199" s="1139">
        <f t="shared" si="1842"/>
        <v>9611.0613100000155</v>
      </c>
      <c r="W1199" s="1139">
        <f t="shared" si="1842"/>
        <v>8219.8338000000113</v>
      </c>
      <c r="X1199" s="1139">
        <f t="shared" si="1842"/>
        <v>5978</v>
      </c>
      <c r="Y1199" s="1139">
        <f t="shared" si="1842"/>
        <v>16869.137400000018</v>
      </c>
      <c r="Z1199" s="1139">
        <f t="shared" si="1842"/>
        <v>20286.030520000011</v>
      </c>
      <c r="AA1199" s="1139">
        <f t="shared" si="1842"/>
        <v>20371.504680000016</v>
      </c>
      <c r="AB1199" s="1139">
        <f t="shared" si="1842"/>
        <v>23283.594060000018</v>
      </c>
      <c r="AC1199" s="1139">
        <f t="shared" si="1842"/>
        <v>19907.78550000002</v>
      </c>
      <c r="AD1199" s="1140">
        <f t="shared" si="1842"/>
        <v>19335.489790000021</v>
      </c>
      <c r="AE1199" s="176"/>
      <c r="AF1199" s="176"/>
      <c r="AG1199" s="176"/>
      <c r="AH1199" s="176"/>
      <c r="AI1199" s="176"/>
      <c r="AJ1199" s="176"/>
      <c r="AK1199" s="176"/>
      <c r="AL1199" s="517"/>
    </row>
    <row r="1200" spans="1:38" s="392" customFormat="1" ht="14.5">
      <c r="A1200" s="1693">
        <f t="shared" si="1800"/>
        <v>1183</v>
      </c>
      <c r="B1200" s="616">
        <v>1</v>
      </c>
      <c r="C1200" s="1693">
        <f t="shared" si="1822"/>
        <v>1200</v>
      </c>
      <c r="D1200" s="616">
        <v>1</v>
      </c>
      <c r="E1200" s="709" t="s">
        <v>512</v>
      </c>
      <c r="F1200" s="69"/>
      <c r="H1200" s="1234"/>
      <c r="J1200" s="8"/>
      <c r="K1200" s="8"/>
      <c r="M1200" s="175"/>
      <c r="N1200" s="173"/>
      <c r="O1200" s="8"/>
      <c r="Q1200" s="175" t="s">
        <v>247</v>
      </c>
      <c r="R1200" s="1772" t="str">
        <f>CHOOSE(2, "6722000004101", "▷ Blank 42")</f>
        <v>▷ Blank 42</v>
      </c>
      <c r="S1200" s="1641" t="str">
        <f>IF(ROUND(S1168,0)=ROUND(S1178,0),"OK","NG")</f>
        <v>OK</v>
      </c>
      <c r="T1200" s="1642" t="str">
        <f t="shared" ref="T1200:AD1200" si="1843">IF(ROUND(T1168,0)=ROUND(T1178,0),"OK","NG")</f>
        <v>OK</v>
      </c>
      <c r="U1200" s="1642" t="str">
        <f t="shared" si="1843"/>
        <v>OK</v>
      </c>
      <c r="V1200" s="1642" t="str">
        <f t="shared" si="1843"/>
        <v>OK</v>
      </c>
      <c r="W1200" s="1642" t="str">
        <f>IF(ROUND(W1168,0)=ROUND(W1178,0),"OK","NG")</f>
        <v>OK</v>
      </c>
      <c r="X1200" s="1642" t="str">
        <f t="shared" si="1843"/>
        <v>OK</v>
      </c>
      <c r="Y1200" s="1642" t="str">
        <f t="shared" si="1843"/>
        <v>OK</v>
      </c>
      <c r="Z1200" s="1642" t="str">
        <f t="shared" si="1843"/>
        <v>OK</v>
      </c>
      <c r="AA1200" s="1642" t="str">
        <f t="shared" si="1843"/>
        <v>OK</v>
      </c>
      <c r="AB1200" s="1642" t="str">
        <f t="shared" si="1843"/>
        <v>OK</v>
      </c>
      <c r="AC1200" s="1642" t="str">
        <f t="shared" si="1843"/>
        <v>OK</v>
      </c>
      <c r="AD1200" s="1642" t="str">
        <f t="shared" si="1843"/>
        <v>OK</v>
      </c>
      <c r="AE1200" s="174"/>
      <c r="AF1200" s="174"/>
      <c r="AG1200" s="174"/>
      <c r="AH1200" s="174"/>
      <c r="AI1200" s="174"/>
      <c r="AL1200" s="517"/>
    </row>
    <row r="1201" spans="1:38" s="522" customFormat="1" ht="14.5" hidden="1" outlineLevel="1">
      <c r="A1201" s="1693">
        <f t="shared" si="1800"/>
        <v>1184</v>
      </c>
      <c r="B1201" s="616">
        <v>1</v>
      </c>
      <c r="C1201" s="1693">
        <f t="shared" si="1822"/>
        <v>1201</v>
      </c>
      <c r="D1201" s="616">
        <v>1</v>
      </c>
      <c r="E1201" s="709" t="s">
        <v>512</v>
      </c>
      <c r="F1201" s="69"/>
      <c r="J1201" s="521" t="s">
        <v>344</v>
      </c>
      <c r="K1201" s="520"/>
      <c r="L1201" s="520"/>
      <c r="M1201" s="520"/>
      <c r="N1201" s="520"/>
      <c r="O1201" s="520"/>
      <c r="P1201" s="520"/>
      <c r="Q1201" s="520"/>
      <c r="R1201" s="1837" t="str">
        <f>CHOOSE(2, "6722000004102", "OUT check by BU")</f>
        <v>OUT check by BU</v>
      </c>
      <c r="S1201" s="1645"/>
      <c r="AL1201" s="517"/>
    </row>
    <row r="1202" spans="1:38" s="524" customFormat="1" ht="14.25" hidden="1" customHeight="1" outlineLevel="1">
      <c r="A1202" s="1693">
        <f t="shared" si="1800"/>
        <v>1185</v>
      </c>
      <c r="B1202" s="616">
        <v>1</v>
      </c>
      <c r="C1202" s="1693">
        <f t="shared" si="1822"/>
        <v>1202</v>
      </c>
      <c r="D1202" s="616">
        <v>1</v>
      </c>
      <c r="E1202" s="709" t="s">
        <v>512</v>
      </c>
      <c r="F1202" s="69"/>
      <c r="J1202" s="544"/>
      <c r="K1202" s="523" t="s">
        <v>339</v>
      </c>
      <c r="L1202" s="523"/>
      <c r="M1202" s="523"/>
      <c r="N1202" s="523"/>
      <c r="O1202" s="523"/>
      <c r="P1202" s="523"/>
      <c r="Q1202" s="523"/>
      <c r="R1202" s="1777" t="str">
        <f>CHOOSE(2, "6722000004103", "OUT check by BU Office &lt;OUT&gt;")</f>
        <v>OUT check by BU Office &lt;OUT&gt;</v>
      </c>
      <c r="S1202" s="1646">
        <f>S1181+S1189+S1083</f>
        <v>721497.16826400068</v>
      </c>
      <c r="T1202" s="1647">
        <f t="shared" ref="T1202:AD1202" si="1844">T1181+T1189+T1083</f>
        <v>730041.61316400056</v>
      </c>
      <c r="U1202" s="1647">
        <f t="shared" si="1844"/>
        <v>678764.84958399821</v>
      </c>
      <c r="V1202" s="1647">
        <f t="shared" si="1844"/>
        <v>632592.59041999932</v>
      </c>
      <c r="W1202" s="1647">
        <f t="shared" si="1844"/>
        <v>622765.84507500054</v>
      </c>
      <c r="X1202" s="1647">
        <f t="shared" si="1844"/>
        <v>597758.4803300004</v>
      </c>
      <c r="Y1202" s="1647">
        <f t="shared" si="1844"/>
        <v>597881.2214105915</v>
      </c>
      <c r="Z1202" s="1647">
        <f t="shared" si="1844"/>
        <v>658286.01885688794</v>
      </c>
      <c r="AA1202" s="1647">
        <f t="shared" si="1844"/>
        <v>632547.26716479019</v>
      </c>
      <c r="AB1202" s="1647">
        <f t="shared" si="1844"/>
        <v>603040.10440776858</v>
      </c>
      <c r="AC1202" s="1647">
        <f t="shared" si="1844"/>
        <v>635473.90321239165</v>
      </c>
      <c r="AD1202" s="1648">
        <f t="shared" si="1844"/>
        <v>596554.05710236169</v>
      </c>
      <c r="AL1202" s="517"/>
    </row>
    <row r="1203" spans="1:38" s="524" customFormat="1" ht="14.5" hidden="1" outlineLevel="1">
      <c r="A1203" s="1693">
        <f t="shared" si="1800"/>
        <v>1186</v>
      </c>
      <c r="B1203" s="616">
        <v>1</v>
      </c>
      <c r="C1203" s="1693">
        <f t="shared" si="1822"/>
        <v>1203</v>
      </c>
      <c r="D1203" s="616">
        <v>1</v>
      </c>
      <c r="E1203" s="709" t="s">
        <v>512</v>
      </c>
      <c r="F1203" s="69"/>
      <c r="J1203" s="525"/>
      <c r="K1203" s="526" t="s">
        <v>340</v>
      </c>
      <c r="L1203" s="526"/>
      <c r="M1203" s="526"/>
      <c r="N1203" s="526"/>
      <c r="O1203" s="526"/>
      <c r="P1203" s="526"/>
      <c r="Q1203" s="526"/>
      <c r="R1203" s="1777" t="str">
        <f>CHOOSE(2, "6722000004104", "OUT check by BU PP &lt;OUT&gt;")</f>
        <v>OUT check by BU PP &lt;OUT&gt;</v>
      </c>
      <c r="S1203" s="1649">
        <f>S1184+S1190+S1086</f>
        <v>1449274.5835399891</v>
      </c>
      <c r="T1203" s="1650">
        <f t="shared" ref="T1203:AD1203" si="1845">T1184+T1190+T1086</f>
        <v>1445918.3062078557</v>
      </c>
      <c r="U1203" s="1650">
        <f t="shared" si="1845"/>
        <v>1500835.4597790765</v>
      </c>
      <c r="V1203" s="1650">
        <f t="shared" si="1845"/>
        <v>1479912.3780870242</v>
      </c>
      <c r="W1203" s="1650">
        <f t="shared" si="1845"/>
        <v>1451609.3440594904</v>
      </c>
      <c r="X1203" s="1650">
        <f t="shared" si="1845"/>
        <v>1320994.0030573439</v>
      </c>
      <c r="Y1203" s="1650">
        <f t="shared" si="1845"/>
        <v>1430845.9141014083</v>
      </c>
      <c r="Z1203" s="1650">
        <f t="shared" si="1845"/>
        <v>1241890.9756891176</v>
      </c>
      <c r="AA1203" s="1650">
        <f t="shared" si="1845"/>
        <v>1481415.5852052663</v>
      </c>
      <c r="AB1203" s="1650">
        <f t="shared" si="1845"/>
        <v>1514389.6988682069</v>
      </c>
      <c r="AC1203" s="1650">
        <f t="shared" si="1845"/>
        <v>1553019.8094756473</v>
      </c>
      <c r="AD1203" s="1651">
        <f t="shared" si="1845"/>
        <v>1608306.6190303573</v>
      </c>
      <c r="AL1203" s="517"/>
    </row>
    <row r="1204" spans="1:38" s="524" customFormat="1" ht="14.25" hidden="1" customHeight="1" outlineLevel="1">
      <c r="A1204" s="1693">
        <f t="shared" ref="A1204:A1267" si="1846">A1203+1</f>
        <v>1187</v>
      </c>
      <c r="B1204" s="616">
        <v>1</v>
      </c>
      <c r="C1204" s="1693">
        <f t="shared" si="1822"/>
        <v>1204</v>
      </c>
      <c r="D1204" s="616">
        <v>1</v>
      </c>
      <c r="E1204" s="709" t="s">
        <v>512</v>
      </c>
      <c r="F1204" s="69"/>
      <c r="J1204" s="525"/>
      <c r="K1204" s="526" t="s">
        <v>341</v>
      </c>
      <c r="L1204" s="526"/>
      <c r="M1204" s="526"/>
      <c r="N1204" s="526"/>
      <c r="O1204" s="526"/>
      <c r="P1204" s="526"/>
      <c r="Q1204" s="526"/>
      <c r="R1204" s="1777" t="str">
        <f>CHOOSE(2, "6722000004105", "OUT check by BU Others &lt;OUT&gt;")</f>
        <v>OUT check by BU Others &lt;OUT&gt;</v>
      </c>
      <c r="S1204" s="1649">
        <f>S1187+S1191+S1089+S1093+S1096</f>
        <v>84827.166429999997</v>
      </c>
      <c r="T1204" s="1650">
        <f t="shared" ref="T1204:AD1204" si="1847">T1187+T1191+T1089+T1093+T1096</f>
        <v>103086.46504</v>
      </c>
      <c r="U1204" s="1650">
        <f t="shared" si="1847"/>
        <v>108437.43420999999</v>
      </c>
      <c r="V1204" s="1650">
        <f t="shared" si="1847"/>
        <v>65937.602490000005</v>
      </c>
      <c r="W1204" s="1650">
        <f t="shared" si="1847"/>
        <v>84002.768569999986</v>
      </c>
      <c r="X1204" s="1650">
        <f t="shared" si="1847"/>
        <v>106154.21386999999</v>
      </c>
      <c r="Y1204" s="1650">
        <f t="shared" si="1847"/>
        <v>87350.903789999938</v>
      </c>
      <c r="Z1204" s="1650">
        <f t="shared" si="1847"/>
        <v>422446.26909999613</v>
      </c>
      <c r="AA1204" s="1650">
        <f t="shared" si="1847"/>
        <v>76212.102989999883</v>
      </c>
      <c r="AB1204" s="1650">
        <f t="shared" si="1847"/>
        <v>80823.487129999936</v>
      </c>
      <c r="AC1204" s="1650">
        <f t="shared" si="1847"/>
        <v>102275.91484999991</v>
      </c>
      <c r="AD1204" s="1651">
        <f t="shared" si="1847"/>
        <v>134226.60029</v>
      </c>
      <c r="AL1204" s="517"/>
    </row>
    <row r="1205" spans="1:38" s="524" customFormat="1" ht="14.5" hidden="1" outlineLevel="1">
      <c r="A1205" s="1693">
        <f t="shared" si="1846"/>
        <v>1188</v>
      </c>
      <c r="B1205" s="616">
        <v>1</v>
      </c>
      <c r="C1205" s="1693">
        <f t="shared" si="1822"/>
        <v>1205</v>
      </c>
      <c r="D1205" s="616">
        <v>1</v>
      </c>
      <c r="E1205" s="709" t="s">
        <v>512</v>
      </c>
      <c r="F1205" s="69"/>
      <c r="J1205" s="525"/>
      <c r="K1205" s="524" t="s">
        <v>266</v>
      </c>
      <c r="L1205" s="526"/>
      <c r="M1205" s="526"/>
      <c r="N1205" s="526"/>
      <c r="O1205" s="526"/>
      <c r="P1205" s="526"/>
      <c r="Q1205" s="526"/>
      <c r="R1205" s="1777" t="str">
        <f>CHOOSE(2, "6722000004106", "OUT check by BU L&amp;DoI")</f>
        <v>OUT check by BU L&amp;DoI</v>
      </c>
      <c r="S1205" s="1649">
        <f t="shared" ref="S1205:AD1206" si="1848">S1192</f>
        <v>1806.0393000000006</v>
      </c>
      <c r="T1205" s="1650">
        <f t="shared" si="1848"/>
        <v>320.28391999999991</v>
      </c>
      <c r="U1205" s="1650">
        <f t="shared" si="1848"/>
        <v>2360.9699199999995</v>
      </c>
      <c r="V1205" s="1650">
        <f t="shared" si="1848"/>
        <v>10584.641549999995</v>
      </c>
      <c r="W1205" s="1650">
        <f t="shared" si="1848"/>
        <v>643</v>
      </c>
      <c r="X1205" s="1650">
        <f t="shared" si="1848"/>
        <v>1795.6646499999979</v>
      </c>
      <c r="Y1205" s="1650">
        <f t="shared" si="1848"/>
        <v>1278.4598499999979</v>
      </c>
      <c r="Z1205" s="1650">
        <f t="shared" si="1848"/>
        <v>2084.7759999999998</v>
      </c>
      <c r="AA1205" s="1650">
        <f t="shared" si="1848"/>
        <v>307.31930000000102</v>
      </c>
      <c r="AB1205" s="1650">
        <f t="shared" si="1848"/>
        <v>1088.7201999999997</v>
      </c>
      <c r="AC1205" s="1650">
        <f t="shared" si="1848"/>
        <v>575.47511999999915</v>
      </c>
      <c r="AD1205" s="1651">
        <f t="shared" si="1848"/>
        <v>1942.1673800000058</v>
      </c>
      <c r="AL1205" s="517"/>
    </row>
    <row r="1206" spans="1:38" s="524" customFormat="1" ht="14.5" hidden="1" outlineLevel="1">
      <c r="A1206" s="1693">
        <f t="shared" si="1846"/>
        <v>1189</v>
      </c>
      <c r="B1206" s="616">
        <v>1</v>
      </c>
      <c r="C1206" s="1693">
        <f t="shared" si="1822"/>
        <v>1206</v>
      </c>
      <c r="D1206" s="616">
        <v>1</v>
      </c>
      <c r="E1206" s="709" t="s">
        <v>512</v>
      </c>
      <c r="F1206" s="69"/>
      <c r="J1206" s="527"/>
      <c r="K1206" s="528"/>
      <c r="L1206" s="529" t="s">
        <v>342</v>
      </c>
      <c r="M1206" s="529"/>
      <c r="N1206" s="530"/>
      <c r="O1206" s="530"/>
      <c r="P1206" s="530"/>
      <c r="Q1206" s="530"/>
      <c r="R1206" s="1777" t="str">
        <f>CHOOSE(2, "6722000004107", "OUT check by BU L&amp;DoI Others of Others")</f>
        <v>OUT check by BU L&amp;DoI Others of Others</v>
      </c>
      <c r="S1206" s="1652">
        <f t="shared" si="1848"/>
        <v>0</v>
      </c>
      <c r="T1206" s="1653">
        <f t="shared" si="1848"/>
        <v>0</v>
      </c>
      <c r="U1206" s="1653">
        <f t="shared" si="1848"/>
        <v>0</v>
      </c>
      <c r="V1206" s="1653">
        <f t="shared" si="1848"/>
        <v>0</v>
      </c>
      <c r="W1206" s="1653">
        <f t="shared" si="1848"/>
        <v>0</v>
      </c>
      <c r="X1206" s="1653">
        <f t="shared" si="1848"/>
        <v>0</v>
      </c>
      <c r="Y1206" s="1653">
        <f t="shared" si="1848"/>
        <v>0</v>
      </c>
      <c r="Z1206" s="1653">
        <f t="shared" si="1848"/>
        <v>0</v>
      </c>
      <c r="AA1206" s="1653">
        <f t="shared" si="1848"/>
        <v>0</v>
      </c>
      <c r="AB1206" s="1653">
        <f t="shared" si="1848"/>
        <v>0</v>
      </c>
      <c r="AC1206" s="1653">
        <f t="shared" si="1848"/>
        <v>0</v>
      </c>
      <c r="AD1206" s="1654">
        <f t="shared" si="1848"/>
        <v>0</v>
      </c>
      <c r="AL1206" s="517"/>
    </row>
    <row r="1207" spans="1:38" s="524" customFormat="1" ht="14.25" hidden="1" customHeight="1" outlineLevel="1">
      <c r="A1207" s="1693">
        <f t="shared" si="1846"/>
        <v>1190</v>
      </c>
      <c r="B1207" s="616">
        <v>1</v>
      </c>
      <c r="C1207" s="1693">
        <f t="shared" si="1822"/>
        <v>1207</v>
      </c>
      <c r="D1207" s="616">
        <v>1</v>
      </c>
      <c r="E1207" s="709" t="s">
        <v>512</v>
      </c>
      <c r="F1207" s="69"/>
      <c r="J1207" s="531" t="s">
        <v>246</v>
      </c>
      <c r="K1207" s="532"/>
      <c r="L1207" s="532"/>
      <c r="M1207" s="532"/>
      <c r="N1207" s="532"/>
      <c r="O1207" s="532"/>
      <c r="P1207" s="532"/>
      <c r="Q1207" s="532"/>
      <c r="R1207" s="1777" t="str">
        <f>CHOOSE(2, "6722000004108", "OUT check by BU Total")</f>
        <v>OUT check by BU Total</v>
      </c>
      <c r="S1207" s="1655">
        <f>SUM(S1202:S1206)</f>
        <v>2257404.9575339896</v>
      </c>
      <c r="T1207" s="1656">
        <f t="shared" ref="T1207:AD1207" si="1849">SUM(T1202:T1206)</f>
        <v>2279366.6683318564</v>
      </c>
      <c r="U1207" s="1656">
        <f t="shared" si="1849"/>
        <v>2290398.7134930748</v>
      </c>
      <c r="V1207" s="1656">
        <f t="shared" si="1849"/>
        <v>2189027.2125470233</v>
      </c>
      <c r="W1207" s="1656">
        <f t="shared" si="1849"/>
        <v>2159020.957704491</v>
      </c>
      <c r="X1207" s="1656">
        <f t="shared" si="1849"/>
        <v>2026702.3619073443</v>
      </c>
      <c r="Y1207" s="1656">
        <f t="shared" si="1849"/>
        <v>2117356.4991520001</v>
      </c>
      <c r="Z1207" s="1656">
        <f t="shared" si="1849"/>
        <v>2324708.0396460015</v>
      </c>
      <c r="AA1207" s="1656">
        <f t="shared" si="1849"/>
        <v>2190482.2746600565</v>
      </c>
      <c r="AB1207" s="1656">
        <f t="shared" si="1849"/>
        <v>2199342.0106059751</v>
      </c>
      <c r="AC1207" s="1656">
        <f t="shared" si="1849"/>
        <v>2291345.102658039</v>
      </c>
      <c r="AD1207" s="1657">
        <f t="shared" si="1849"/>
        <v>2341029.443802719</v>
      </c>
      <c r="AL1207" s="517"/>
    </row>
    <row r="1208" spans="1:38" s="519" customFormat="1" ht="14.5" hidden="1" outlineLevel="1">
      <c r="A1208" s="1693">
        <f t="shared" si="1846"/>
        <v>1191</v>
      </c>
      <c r="B1208" s="616">
        <v>1</v>
      </c>
      <c r="C1208" s="1693">
        <f t="shared" si="1822"/>
        <v>1208</v>
      </c>
      <c r="D1208" s="616">
        <v>1</v>
      </c>
      <c r="E1208" s="709" t="s">
        <v>512</v>
      </c>
      <c r="F1208" s="69"/>
      <c r="J1208" s="518"/>
      <c r="K1208" s="518"/>
      <c r="L1208" s="518" t="s">
        <v>343</v>
      </c>
      <c r="M1208" s="518"/>
      <c r="N1208" s="518"/>
      <c r="O1208" s="518"/>
      <c r="P1208" s="518"/>
      <c r="Q1208" s="518"/>
      <c r="R1208" s="1777" t="str">
        <f>CHOOSE(2, "6722000004109", "▷ Blank 43")</f>
        <v>▷ Blank 43</v>
      </c>
      <c r="S1208" s="1658">
        <f t="shared" ref="S1208:AD1208" si="1850">S1207-S1178</f>
        <v>0</v>
      </c>
      <c r="T1208" s="1659">
        <f t="shared" si="1850"/>
        <v>0</v>
      </c>
      <c r="U1208" s="1659">
        <f t="shared" si="1850"/>
        <v>0</v>
      </c>
      <c r="V1208" s="1659">
        <f t="shared" si="1850"/>
        <v>0</v>
      </c>
      <c r="W1208" s="1659">
        <f t="shared" si="1850"/>
        <v>0</v>
      </c>
      <c r="X1208" s="1659">
        <f t="shared" si="1850"/>
        <v>0</v>
      </c>
      <c r="Y1208" s="1659">
        <f t="shared" si="1850"/>
        <v>0</v>
      </c>
      <c r="Z1208" s="1659">
        <f t="shared" si="1850"/>
        <v>0</v>
      </c>
      <c r="AA1208" s="1659">
        <f t="shared" si="1850"/>
        <v>0</v>
      </c>
      <c r="AB1208" s="1659">
        <f t="shared" si="1850"/>
        <v>0</v>
      </c>
      <c r="AC1208" s="1659">
        <f t="shared" si="1850"/>
        <v>0</v>
      </c>
      <c r="AD1208" s="1659">
        <f t="shared" si="1850"/>
        <v>0</v>
      </c>
      <c r="AL1208" s="517"/>
    </row>
    <row r="1209" spans="1:38" s="517" customFormat="1" ht="14.25" customHeight="1" collapsed="1">
      <c r="A1209" s="1693">
        <f t="shared" si="1846"/>
        <v>1192</v>
      </c>
      <c r="B1209" s="616">
        <v>1</v>
      </c>
      <c r="C1209" s="1693">
        <f t="shared" si="1822"/>
        <v>1209</v>
      </c>
      <c r="D1209" s="616">
        <v>1</v>
      </c>
      <c r="E1209" s="709" t="s">
        <v>512</v>
      </c>
      <c r="F1209" s="69"/>
      <c r="G1209" s="519"/>
      <c r="H1209" s="242"/>
      <c r="I1209" s="22"/>
      <c r="J1209" s="9"/>
      <c r="K1209" s="516"/>
      <c r="L1209" s="516"/>
      <c r="M1209" s="516"/>
      <c r="N1209" s="516"/>
      <c r="O1209" s="516"/>
      <c r="P1209" s="516"/>
      <c r="Q1209" s="516"/>
      <c r="R1209" s="1837" t="str">
        <f>CHOOSE(2, "6722000004110", "▷ Blank 44")</f>
        <v>▷ Blank 44</v>
      </c>
      <c r="S1209" s="1660"/>
      <c r="Y1209" s="2365"/>
      <c r="AA1209" s="2365"/>
      <c r="AB1209" s="2365"/>
    </row>
    <row r="1210" spans="1:38" s="517" customFormat="1" ht="14.25" customHeight="1">
      <c r="A1210" s="1693">
        <f t="shared" si="1846"/>
        <v>1193</v>
      </c>
      <c r="B1210" s="616">
        <v>1</v>
      </c>
      <c r="C1210" s="1693">
        <f t="shared" si="1822"/>
        <v>1210</v>
      </c>
      <c r="D1210" s="616">
        <v>1</v>
      </c>
      <c r="E1210" s="1069"/>
      <c r="F1210" s="1069"/>
      <c r="G1210" s="242" t="s">
        <v>686</v>
      </c>
      <c r="H1210" s="242"/>
      <c r="I1210" s="22"/>
      <c r="J1210" s="9"/>
      <c r="K1210" s="516"/>
      <c r="L1210" s="516"/>
      <c r="M1210" s="516"/>
      <c r="N1210" s="516"/>
      <c r="O1210" s="516"/>
      <c r="P1210" s="516"/>
      <c r="Q1210" s="516"/>
      <c r="R1210" s="1837" t="str">
        <f>CHOOSE(2, "6722000004111", "7. CX2")</f>
        <v>7. CX2</v>
      </c>
      <c r="S1210" s="1660"/>
    </row>
    <row r="1211" spans="1:38" s="517" customFormat="1" ht="14.25" customHeight="1">
      <c r="A1211" s="1693">
        <f t="shared" si="1846"/>
        <v>1194</v>
      </c>
      <c r="B1211" s="616">
        <v>1</v>
      </c>
      <c r="C1211" s="1693">
        <f t="shared" si="1822"/>
        <v>1211</v>
      </c>
      <c r="D1211" s="616">
        <v>1</v>
      </c>
      <c r="E1211" s="1069"/>
      <c r="F1211" s="1069"/>
      <c r="G1211" s="519"/>
      <c r="H1211" s="22"/>
      <c r="I1211" s="22"/>
      <c r="J1211" s="831" t="s">
        <v>687</v>
      </c>
      <c r="K1211" s="181"/>
      <c r="L1211" s="180"/>
      <c r="M1211" s="180"/>
      <c r="N1211" s="180"/>
      <c r="O1211" s="179"/>
      <c r="P1211" s="179"/>
      <c r="Q1211" s="179"/>
      <c r="R1211" s="1837" t="str">
        <f>CHOOSE(2, "6722000004112", "BUS ONLY")</f>
        <v>BUS ONLY</v>
      </c>
      <c r="S1211" s="1660"/>
      <c r="AD1211" s="834"/>
      <c r="AE1211" s="834"/>
    </row>
    <row r="1212" spans="1:38" s="517" customFormat="1" ht="14.25" customHeight="1">
      <c r="A1212" s="1693">
        <f t="shared" si="1846"/>
        <v>1195</v>
      </c>
      <c r="B1212" s="616">
        <v>1</v>
      </c>
      <c r="C1212" s="1693">
        <f t="shared" si="1822"/>
        <v>1212</v>
      </c>
      <c r="D1212" s="616">
        <v>1</v>
      </c>
      <c r="E1212" s="1069"/>
      <c r="F1212" s="1069"/>
      <c r="G1212" s="519"/>
      <c r="J1212" s="835"/>
      <c r="K1212" s="832"/>
      <c r="L1212" s="832"/>
      <c r="M1212" s="832"/>
      <c r="N1212" s="832"/>
      <c r="O1212" s="836"/>
      <c r="P1212" s="836"/>
      <c r="Q1212" s="836"/>
      <c r="R1212" s="1838" t="str">
        <f>CHOOSE(2, "6722000004113", "▷ Blank 45")</f>
        <v>▷ Blank 45</v>
      </c>
      <c r="S1212" s="1182">
        <f t="shared" ref="S1212:AD1212" si="1851">S13</f>
        <v>45017</v>
      </c>
      <c r="T1212" s="1183">
        <f t="shared" si="1851"/>
        <v>45047</v>
      </c>
      <c r="U1212" s="1183">
        <f t="shared" si="1851"/>
        <v>45078</v>
      </c>
      <c r="V1212" s="1183">
        <f t="shared" si="1851"/>
        <v>45108</v>
      </c>
      <c r="W1212" s="1183">
        <f t="shared" si="1851"/>
        <v>45139</v>
      </c>
      <c r="X1212" s="1183">
        <f t="shared" si="1851"/>
        <v>45170</v>
      </c>
      <c r="Y1212" s="1183">
        <f t="shared" si="1851"/>
        <v>45200</v>
      </c>
      <c r="Z1212" s="1183">
        <f t="shared" si="1851"/>
        <v>45231</v>
      </c>
      <c r="AA1212" s="1183">
        <f t="shared" si="1851"/>
        <v>45261</v>
      </c>
      <c r="AB1212" s="1183">
        <f t="shared" si="1851"/>
        <v>45292</v>
      </c>
      <c r="AC1212" s="1183">
        <f t="shared" si="1851"/>
        <v>45323</v>
      </c>
      <c r="AD1212" s="1183">
        <f t="shared" si="1851"/>
        <v>45352</v>
      </c>
      <c r="AE1212" s="1708" t="str">
        <f t="shared" ref="AE1212:AK1212" si="1852">AE13</f>
        <v>Q1</v>
      </c>
      <c r="AF1212" s="1709" t="str">
        <f t="shared" si="1852"/>
        <v>Q2</v>
      </c>
      <c r="AG1212" s="1709" t="str">
        <f t="shared" si="1852"/>
        <v>Q3</v>
      </c>
      <c r="AH1212" s="1709" t="str">
        <f t="shared" si="1852"/>
        <v>Q4</v>
      </c>
      <c r="AI1212" s="1709" t="str">
        <f t="shared" si="1852"/>
        <v>1st H</v>
      </c>
      <c r="AJ1212" s="1709" t="str">
        <f t="shared" si="1852"/>
        <v>2nd H</v>
      </c>
      <c r="AK1212" s="1709" t="str">
        <f t="shared" si="1852"/>
        <v>FY23</v>
      </c>
    </row>
    <row r="1213" spans="1:38" s="517" customFormat="1" ht="14.25" customHeight="1">
      <c r="A1213" s="1693">
        <f t="shared" si="1846"/>
        <v>1196</v>
      </c>
      <c r="B1213" s="616">
        <v>1</v>
      </c>
      <c r="C1213" s="1693">
        <f t="shared" si="1822"/>
        <v>1213</v>
      </c>
      <c r="D1213" s="616">
        <v>1</v>
      </c>
      <c r="E1213" s="1069"/>
      <c r="F1213" s="1069"/>
      <c r="G1213" s="519"/>
      <c r="J1213" s="837" t="s">
        <v>658</v>
      </c>
      <c r="K1213" s="833"/>
      <c r="L1213" s="833"/>
      <c r="M1213" s="833"/>
      <c r="N1213" s="833"/>
      <c r="O1213" s="838" t="s">
        <v>667</v>
      </c>
      <c r="P1213" s="839"/>
      <c r="Q1213" s="839"/>
      <c r="R1213" s="1781" t="str">
        <f>CHOOSE(2, "6722000004114", "New Customer * Number of Purchase Account")</f>
        <v>New Customer * Number of Purchase Account</v>
      </c>
      <c r="S1213" s="1207"/>
      <c r="T1213" s="1208"/>
      <c r="U1213" s="1208"/>
      <c r="V1213" s="1429"/>
      <c r="W1213" s="1429"/>
      <c r="X1213" s="1429"/>
      <c r="Y1213" s="1429"/>
      <c r="Z1213" s="1429"/>
      <c r="AA1213" s="1429"/>
      <c r="AB1213" s="1429"/>
      <c r="AC1213" s="1429"/>
      <c r="AD1213" s="1429"/>
      <c r="AE1213" s="935">
        <f t="shared" ref="AE1213:AE1249" si="1853">SUM($S1213:$U1213)</f>
        <v>0</v>
      </c>
      <c r="AF1213" s="846">
        <f t="shared" ref="AF1213:AF1249" si="1854">SUM($V1213:$X1213)</f>
        <v>0</v>
      </c>
      <c r="AG1213" s="846">
        <f t="shared" ref="AG1213:AG1249" si="1855">SUM($Y1213:$AA1213)</f>
        <v>0</v>
      </c>
      <c r="AH1213" s="846">
        <f t="shared" ref="AH1213:AH1249" si="1856">SUM($AB1213:$AD1213)</f>
        <v>0</v>
      </c>
      <c r="AI1213" s="846">
        <f t="shared" ref="AI1213:AI1249" si="1857">SUM($AE1213:$AF1213)</f>
        <v>0</v>
      </c>
      <c r="AJ1213" s="846">
        <f t="shared" ref="AJ1213:AJ1249" si="1858">SUM($AG1213:$AH1213)</f>
        <v>0</v>
      </c>
      <c r="AK1213" s="850">
        <f t="shared" ref="AK1213:AK1249" si="1859">SUM($AI1213:$AJ1213)</f>
        <v>0</v>
      </c>
    </row>
    <row r="1214" spans="1:38" s="517" customFormat="1" ht="14.25" customHeight="1">
      <c r="A1214" s="1693">
        <f t="shared" si="1846"/>
        <v>1197</v>
      </c>
      <c r="B1214" s="616">
        <v>1</v>
      </c>
      <c r="C1214" s="1693">
        <f t="shared" si="1822"/>
        <v>1214</v>
      </c>
      <c r="D1214" s="616">
        <v>1</v>
      </c>
      <c r="E1214" s="1069"/>
      <c r="F1214" s="1069"/>
      <c r="G1214" s="519"/>
      <c r="J1214" s="840"/>
      <c r="O1214" s="837" t="s">
        <v>659</v>
      </c>
      <c r="P1214" s="841" t="s">
        <v>660</v>
      </c>
      <c r="Q1214" s="841" t="s">
        <v>661</v>
      </c>
      <c r="R1214" s="1781" t="str">
        <f>CHOOSE(2, "6722000004115", "New Customer * Sales Office HW")</f>
        <v>New Customer * Sales Office HW</v>
      </c>
      <c r="S1214" s="2991"/>
      <c r="T1214" s="2992"/>
      <c r="U1214" s="2992"/>
      <c r="V1214" s="2992"/>
      <c r="W1214" s="2992"/>
      <c r="X1214" s="2992"/>
      <c r="Y1214" s="2992"/>
      <c r="Z1214" s="2992"/>
      <c r="AA1214" s="2992"/>
      <c r="AB1214" s="2992"/>
      <c r="AC1214" s="2992"/>
      <c r="AD1214" s="2992"/>
      <c r="AE1214" s="858">
        <f t="shared" si="1853"/>
        <v>0</v>
      </c>
      <c r="AF1214" s="796">
        <f t="shared" si="1854"/>
        <v>0</v>
      </c>
      <c r="AG1214" s="796">
        <f t="shared" si="1855"/>
        <v>0</v>
      </c>
      <c r="AH1214" s="796">
        <f t="shared" si="1856"/>
        <v>0</v>
      </c>
      <c r="AI1214" s="796">
        <f t="shared" si="1857"/>
        <v>0</v>
      </c>
      <c r="AJ1214" s="796">
        <f t="shared" si="1858"/>
        <v>0</v>
      </c>
      <c r="AK1214" s="800">
        <f t="shared" si="1859"/>
        <v>0</v>
      </c>
    </row>
    <row r="1215" spans="1:38" s="517" customFormat="1" ht="14.25" customHeight="1">
      <c r="A1215" s="1693">
        <f t="shared" si="1846"/>
        <v>1198</v>
      </c>
      <c r="B1215" s="616">
        <v>1</v>
      </c>
      <c r="C1215" s="1693">
        <f t="shared" si="1822"/>
        <v>1215</v>
      </c>
      <c r="D1215" s="616">
        <v>1</v>
      </c>
      <c r="E1215" s="1069"/>
      <c r="F1215" s="1069"/>
      <c r="G1215" s="519"/>
      <c r="J1215" s="936" t="s">
        <v>681</v>
      </c>
      <c r="O1215" s="840"/>
      <c r="P1215" s="842"/>
      <c r="Q1215" s="842" t="s">
        <v>662</v>
      </c>
      <c r="R1215" s="1781" t="str">
        <f>CHOOSE(2, "6722000004116", "New Customer * Sales Office NH")</f>
        <v>New Customer * Sales Office NH</v>
      </c>
      <c r="S1215" s="2991"/>
      <c r="T1215" s="2992"/>
      <c r="U1215" s="2992"/>
      <c r="V1215" s="2992"/>
      <c r="W1215" s="2992"/>
      <c r="X1215" s="2992"/>
      <c r="Y1215" s="2992"/>
      <c r="Z1215" s="2992"/>
      <c r="AA1215" s="2992"/>
      <c r="AB1215" s="2992"/>
      <c r="AC1215" s="2992"/>
      <c r="AD1215" s="2992"/>
      <c r="AE1215" s="858">
        <f t="shared" si="1853"/>
        <v>0</v>
      </c>
      <c r="AF1215" s="796">
        <f t="shared" si="1854"/>
        <v>0</v>
      </c>
      <c r="AG1215" s="796">
        <f t="shared" si="1855"/>
        <v>0</v>
      </c>
      <c r="AH1215" s="796">
        <f t="shared" si="1856"/>
        <v>0</v>
      </c>
      <c r="AI1215" s="796">
        <f t="shared" si="1857"/>
        <v>0</v>
      </c>
      <c r="AJ1215" s="796">
        <f t="shared" si="1858"/>
        <v>0</v>
      </c>
      <c r="AK1215" s="800">
        <f t="shared" si="1859"/>
        <v>0</v>
      </c>
    </row>
    <row r="1216" spans="1:38" s="517" customFormat="1" ht="14.25" customHeight="1">
      <c r="A1216" s="1693">
        <f t="shared" si="1846"/>
        <v>1199</v>
      </c>
      <c r="B1216" s="616">
        <v>1</v>
      </c>
      <c r="C1216" s="1693">
        <f t="shared" si="1822"/>
        <v>1216</v>
      </c>
      <c r="D1216" s="616">
        <v>1</v>
      </c>
      <c r="E1216" s="1069"/>
      <c r="F1216" s="1069"/>
      <c r="G1216" s="1568"/>
      <c r="J1216" s="936" t="s">
        <v>728</v>
      </c>
      <c r="O1216" s="840"/>
      <c r="P1216" s="843"/>
      <c r="Q1216" s="843" t="s">
        <v>417</v>
      </c>
      <c r="R1216" s="1781" t="str">
        <f>CHOOSE(2, "6722000004117", "New Customer * Sales Office Office Solution")</f>
        <v>New Customer * Sales Office Office Solution</v>
      </c>
      <c r="S1216" s="2993"/>
      <c r="T1216" s="2994"/>
      <c r="U1216" s="2994"/>
      <c r="V1216" s="2994"/>
      <c r="W1216" s="2994"/>
      <c r="X1216" s="2994"/>
      <c r="Y1216" s="2994"/>
      <c r="Z1216" s="2994"/>
      <c r="AA1216" s="2994"/>
      <c r="AB1216" s="2994"/>
      <c r="AC1216" s="2994"/>
      <c r="AD1216" s="2994"/>
      <c r="AE1216" s="859">
        <f t="shared" si="1853"/>
        <v>0</v>
      </c>
      <c r="AF1216" s="797">
        <f t="shared" si="1854"/>
        <v>0</v>
      </c>
      <c r="AG1216" s="797">
        <f t="shared" si="1855"/>
        <v>0</v>
      </c>
      <c r="AH1216" s="797">
        <f t="shared" si="1856"/>
        <v>0</v>
      </c>
      <c r="AI1216" s="797">
        <f t="shared" si="1857"/>
        <v>0</v>
      </c>
      <c r="AJ1216" s="797">
        <f t="shared" si="1858"/>
        <v>0</v>
      </c>
      <c r="AK1216" s="801">
        <f t="shared" si="1859"/>
        <v>0</v>
      </c>
    </row>
    <row r="1217" spans="1:37" s="517" customFormat="1" ht="14.25" customHeight="1">
      <c r="A1217" s="1693">
        <f t="shared" si="1846"/>
        <v>1200</v>
      </c>
      <c r="B1217" s="616">
        <v>1</v>
      </c>
      <c r="C1217" s="1693">
        <f t="shared" si="1822"/>
        <v>1217</v>
      </c>
      <c r="D1217" s="616">
        <v>1</v>
      </c>
      <c r="E1217" s="1069"/>
      <c r="F1217" s="1069"/>
      <c r="G1217" s="519"/>
      <c r="J1217" s="936" t="s">
        <v>680</v>
      </c>
      <c r="O1217" s="840"/>
      <c r="P1217" s="843" t="s">
        <v>663</v>
      </c>
      <c r="Q1217" s="843"/>
      <c r="R1217" s="1781" t="str">
        <f>CHOOSE(2, "6722000004118", "New Customer * Sales DW-DX")</f>
        <v>New Customer * Sales DW-DX</v>
      </c>
      <c r="S1217" s="2993"/>
      <c r="T1217" s="2994"/>
      <c r="U1217" s="2994"/>
      <c r="V1217" s="2994"/>
      <c r="W1217" s="2994"/>
      <c r="X1217" s="2994"/>
      <c r="Y1217" s="2994"/>
      <c r="Z1217" s="2994"/>
      <c r="AA1217" s="2994"/>
      <c r="AB1217" s="2994"/>
      <c r="AC1217" s="2994"/>
      <c r="AD1217" s="2994"/>
      <c r="AE1217" s="859">
        <f t="shared" si="1853"/>
        <v>0</v>
      </c>
      <c r="AF1217" s="797">
        <f t="shared" si="1854"/>
        <v>0</v>
      </c>
      <c r="AG1217" s="797">
        <f t="shared" si="1855"/>
        <v>0</v>
      </c>
      <c r="AH1217" s="797">
        <f t="shared" si="1856"/>
        <v>0</v>
      </c>
      <c r="AI1217" s="797">
        <f t="shared" si="1857"/>
        <v>0</v>
      </c>
      <c r="AJ1217" s="797">
        <f t="shared" si="1858"/>
        <v>0</v>
      </c>
      <c r="AK1217" s="801">
        <f t="shared" si="1859"/>
        <v>0</v>
      </c>
    </row>
    <row r="1218" spans="1:37" s="517" customFormat="1" ht="14.25" customHeight="1">
      <c r="A1218" s="1693">
        <f t="shared" si="1846"/>
        <v>1201</v>
      </c>
      <c r="B1218" s="616">
        <v>1</v>
      </c>
      <c r="C1218" s="1693">
        <f t="shared" si="1822"/>
        <v>1218</v>
      </c>
      <c r="D1218" s="616">
        <v>1</v>
      </c>
      <c r="E1218" s="1069"/>
      <c r="F1218" s="1069"/>
      <c r="G1218" s="519"/>
      <c r="J1218" s="936"/>
      <c r="O1218" s="844"/>
      <c r="P1218" s="845" t="s">
        <v>664</v>
      </c>
      <c r="Q1218" s="845"/>
      <c r="R1218" s="1823" t="str">
        <f>CHOOSE(2, "6722000004119", "New Customer * Sales Total")</f>
        <v>New Customer * Sales Total</v>
      </c>
      <c r="S1218" s="1172">
        <f>SUM(S1214:S1217)</f>
        <v>0</v>
      </c>
      <c r="T1218" s="798">
        <f t="shared" ref="T1218:AD1218" si="1860">SUM(T1214:T1217)</f>
        <v>0</v>
      </c>
      <c r="U1218" s="798">
        <f t="shared" si="1860"/>
        <v>0</v>
      </c>
      <c r="V1218" s="798">
        <f t="shared" si="1860"/>
        <v>0</v>
      </c>
      <c r="W1218" s="798">
        <f t="shared" si="1860"/>
        <v>0</v>
      </c>
      <c r="X1218" s="798">
        <f t="shared" si="1860"/>
        <v>0</v>
      </c>
      <c r="Y1218" s="798">
        <f t="shared" si="1860"/>
        <v>0</v>
      </c>
      <c r="Z1218" s="798">
        <f t="shared" si="1860"/>
        <v>0</v>
      </c>
      <c r="AA1218" s="798">
        <f t="shared" si="1860"/>
        <v>0</v>
      </c>
      <c r="AB1218" s="798">
        <f t="shared" si="1860"/>
        <v>0</v>
      </c>
      <c r="AC1218" s="798">
        <f t="shared" si="1860"/>
        <v>0</v>
      </c>
      <c r="AD1218" s="798">
        <f t="shared" si="1860"/>
        <v>0</v>
      </c>
      <c r="AE1218" s="860">
        <f t="shared" si="1853"/>
        <v>0</v>
      </c>
      <c r="AF1218" s="799">
        <f t="shared" si="1854"/>
        <v>0</v>
      </c>
      <c r="AG1218" s="799">
        <f t="shared" si="1855"/>
        <v>0</v>
      </c>
      <c r="AH1218" s="799">
        <f t="shared" si="1856"/>
        <v>0</v>
      </c>
      <c r="AI1218" s="799">
        <f t="shared" si="1857"/>
        <v>0</v>
      </c>
      <c r="AJ1218" s="799">
        <f t="shared" si="1858"/>
        <v>0</v>
      </c>
      <c r="AK1218" s="798">
        <f t="shared" si="1859"/>
        <v>0</v>
      </c>
    </row>
    <row r="1219" spans="1:37" s="517" customFormat="1" ht="14.25" customHeight="1">
      <c r="A1219" s="1693">
        <f t="shared" si="1846"/>
        <v>1202</v>
      </c>
      <c r="B1219" s="616">
        <v>1</v>
      </c>
      <c r="C1219" s="1693">
        <f t="shared" si="1822"/>
        <v>1219</v>
      </c>
      <c r="D1219" s="616">
        <v>1</v>
      </c>
      <c r="E1219" s="1069"/>
      <c r="F1219" s="1069"/>
      <c r="G1219" s="519"/>
      <c r="J1219" s="840"/>
      <c r="O1219" s="840" t="s">
        <v>665</v>
      </c>
      <c r="P1219" s="842" t="s">
        <v>660</v>
      </c>
      <c r="Q1219" s="842" t="s">
        <v>661</v>
      </c>
      <c r="R1219" s="1781" t="str">
        <f>CHOOSE(2, "6722000004120", "New Customer * GP Office HW")</f>
        <v>New Customer * GP Office HW</v>
      </c>
      <c r="S1219" s="2991"/>
      <c r="T1219" s="2992"/>
      <c r="U1219" s="2992"/>
      <c r="V1219" s="2992"/>
      <c r="W1219" s="2992"/>
      <c r="X1219" s="2992"/>
      <c r="Y1219" s="2992"/>
      <c r="Z1219" s="2992"/>
      <c r="AA1219" s="2992"/>
      <c r="AB1219" s="2992"/>
      <c r="AC1219" s="2992"/>
      <c r="AD1219" s="2992"/>
      <c r="AE1219" s="858">
        <f t="shared" si="1853"/>
        <v>0</v>
      </c>
      <c r="AF1219" s="796">
        <f t="shared" si="1854"/>
        <v>0</v>
      </c>
      <c r="AG1219" s="796">
        <f t="shared" si="1855"/>
        <v>0</v>
      </c>
      <c r="AH1219" s="796">
        <f t="shared" si="1856"/>
        <v>0</v>
      </c>
      <c r="AI1219" s="796">
        <f t="shared" si="1857"/>
        <v>0</v>
      </c>
      <c r="AJ1219" s="796">
        <f t="shared" si="1858"/>
        <v>0</v>
      </c>
      <c r="AK1219" s="800">
        <f t="shared" si="1859"/>
        <v>0</v>
      </c>
    </row>
    <row r="1220" spans="1:37" s="517" customFormat="1" ht="14.25" customHeight="1">
      <c r="A1220" s="1693">
        <f t="shared" si="1846"/>
        <v>1203</v>
      </c>
      <c r="B1220" s="616">
        <v>1</v>
      </c>
      <c r="C1220" s="1693">
        <f t="shared" si="1822"/>
        <v>1220</v>
      </c>
      <c r="D1220" s="616">
        <v>1</v>
      </c>
      <c r="E1220" s="1069"/>
      <c r="F1220" s="1069"/>
      <c r="G1220" s="519"/>
      <c r="J1220" s="840"/>
      <c r="O1220" s="840"/>
      <c r="P1220" s="842"/>
      <c r="Q1220" s="842" t="s">
        <v>662</v>
      </c>
      <c r="R1220" s="1781" t="str">
        <f>CHOOSE(2, "6722000004121", "New Customer * GP Office NH")</f>
        <v>New Customer * GP Office NH</v>
      </c>
      <c r="S1220" s="2991"/>
      <c r="T1220" s="2992"/>
      <c r="U1220" s="2992"/>
      <c r="V1220" s="2992"/>
      <c r="W1220" s="2992"/>
      <c r="X1220" s="2992"/>
      <c r="Y1220" s="2992"/>
      <c r="Z1220" s="2992"/>
      <c r="AA1220" s="2992"/>
      <c r="AB1220" s="2992"/>
      <c r="AC1220" s="2992"/>
      <c r="AD1220" s="2992"/>
      <c r="AE1220" s="858">
        <f t="shared" si="1853"/>
        <v>0</v>
      </c>
      <c r="AF1220" s="796">
        <f t="shared" si="1854"/>
        <v>0</v>
      </c>
      <c r="AG1220" s="796">
        <f t="shared" si="1855"/>
        <v>0</v>
      </c>
      <c r="AH1220" s="796">
        <f t="shared" si="1856"/>
        <v>0</v>
      </c>
      <c r="AI1220" s="796">
        <f t="shared" si="1857"/>
        <v>0</v>
      </c>
      <c r="AJ1220" s="796">
        <f t="shared" si="1858"/>
        <v>0</v>
      </c>
      <c r="AK1220" s="800">
        <f t="shared" si="1859"/>
        <v>0</v>
      </c>
    </row>
    <row r="1221" spans="1:37" s="517" customFormat="1" ht="14.25" customHeight="1">
      <c r="A1221" s="1693">
        <f t="shared" si="1846"/>
        <v>1204</v>
      </c>
      <c r="B1221" s="616">
        <v>1</v>
      </c>
      <c r="C1221" s="1693">
        <f t="shared" si="1822"/>
        <v>1221</v>
      </c>
      <c r="D1221" s="616">
        <v>1</v>
      </c>
      <c r="E1221" s="1069"/>
      <c r="F1221" s="1069"/>
      <c r="G1221" s="1568"/>
      <c r="J1221" s="936"/>
      <c r="O1221" s="840"/>
      <c r="P1221" s="843"/>
      <c r="Q1221" s="843" t="s">
        <v>417</v>
      </c>
      <c r="R1221" s="1781" t="str">
        <f>CHOOSE(2, "6722000004122", "New Customer * GP Office Office Solution")</f>
        <v>New Customer * GP Office Office Solution</v>
      </c>
      <c r="S1221" s="2993"/>
      <c r="T1221" s="2994"/>
      <c r="U1221" s="2994"/>
      <c r="V1221" s="2994"/>
      <c r="W1221" s="2994"/>
      <c r="X1221" s="2994"/>
      <c r="Y1221" s="2994"/>
      <c r="Z1221" s="2994"/>
      <c r="AA1221" s="2994"/>
      <c r="AB1221" s="2994"/>
      <c r="AC1221" s="2994"/>
      <c r="AD1221" s="2994"/>
      <c r="AE1221" s="859">
        <f t="shared" si="1853"/>
        <v>0</v>
      </c>
      <c r="AF1221" s="797">
        <f t="shared" si="1854"/>
        <v>0</v>
      </c>
      <c r="AG1221" s="797">
        <f t="shared" si="1855"/>
        <v>0</v>
      </c>
      <c r="AH1221" s="797">
        <f t="shared" si="1856"/>
        <v>0</v>
      </c>
      <c r="AI1221" s="797">
        <f t="shared" si="1857"/>
        <v>0</v>
      </c>
      <c r="AJ1221" s="797">
        <f t="shared" si="1858"/>
        <v>0</v>
      </c>
      <c r="AK1221" s="801">
        <f t="shared" si="1859"/>
        <v>0</v>
      </c>
    </row>
    <row r="1222" spans="1:37" s="517" customFormat="1" ht="14.25" customHeight="1">
      <c r="A1222" s="1693">
        <f t="shared" si="1846"/>
        <v>1205</v>
      </c>
      <c r="B1222" s="616">
        <v>1</v>
      </c>
      <c r="C1222" s="1693">
        <f t="shared" si="1822"/>
        <v>1222</v>
      </c>
      <c r="D1222" s="616">
        <v>1</v>
      </c>
      <c r="E1222" s="1069"/>
      <c r="F1222" s="1069"/>
      <c r="G1222" s="519"/>
      <c r="J1222" s="840"/>
      <c r="O1222" s="840"/>
      <c r="P1222" s="843" t="s">
        <v>563</v>
      </c>
      <c r="Q1222" s="843"/>
      <c r="R1222" s="1781" t="str">
        <f>CHOOSE(2, "6722000004123", "New Customer * GP DW-DX")</f>
        <v>New Customer * GP DW-DX</v>
      </c>
      <c r="S1222" s="2993"/>
      <c r="T1222" s="2994"/>
      <c r="U1222" s="2994"/>
      <c r="V1222" s="2994"/>
      <c r="W1222" s="2994"/>
      <c r="X1222" s="2994"/>
      <c r="Y1222" s="2994"/>
      <c r="Z1222" s="2994"/>
      <c r="AA1222" s="2994"/>
      <c r="AB1222" s="2994"/>
      <c r="AC1222" s="2994"/>
      <c r="AD1222" s="2994"/>
      <c r="AE1222" s="859">
        <f t="shared" si="1853"/>
        <v>0</v>
      </c>
      <c r="AF1222" s="797">
        <f t="shared" si="1854"/>
        <v>0</v>
      </c>
      <c r="AG1222" s="797">
        <f t="shared" si="1855"/>
        <v>0</v>
      </c>
      <c r="AH1222" s="797">
        <f t="shared" si="1856"/>
        <v>0</v>
      </c>
      <c r="AI1222" s="797">
        <f t="shared" si="1857"/>
        <v>0</v>
      </c>
      <c r="AJ1222" s="797">
        <f t="shared" si="1858"/>
        <v>0</v>
      </c>
      <c r="AK1222" s="801">
        <f t="shared" si="1859"/>
        <v>0</v>
      </c>
    </row>
    <row r="1223" spans="1:37" s="517" customFormat="1" ht="14.25" customHeight="1">
      <c r="A1223" s="1693">
        <f t="shared" si="1846"/>
        <v>1206</v>
      </c>
      <c r="B1223" s="616">
        <v>1</v>
      </c>
      <c r="C1223" s="1693">
        <f t="shared" si="1822"/>
        <v>1223</v>
      </c>
      <c r="D1223" s="616">
        <v>1</v>
      </c>
      <c r="E1223" s="1069"/>
      <c r="F1223" s="1069"/>
      <c r="G1223" s="519"/>
      <c r="J1223" s="844"/>
      <c r="K1223" s="834"/>
      <c r="L1223" s="834"/>
      <c r="M1223" s="834"/>
      <c r="N1223" s="834"/>
      <c r="O1223" s="844"/>
      <c r="P1223" s="845" t="s">
        <v>664</v>
      </c>
      <c r="Q1223" s="845"/>
      <c r="R1223" s="1823" t="str">
        <f>CHOOSE(2, "6722000004124", "New Customer * GP Total")</f>
        <v>New Customer * GP Total</v>
      </c>
      <c r="S1223" s="1172">
        <f t="shared" ref="S1223:AD1223" si="1861">SUM(S1219:S1222)</f>
        <v>0</v>
      </c>
      <c r="T1223" s="798">
        <f t="shared" si="1861"/>
        <v>0</v>
      </c>
      <c r="U1223" s="798">
        <f t="shared" si="1861"/>
        <v>0</v>
      </c>
      <c r="V1223" s="798">
        <f t="shared" si="1861"/>
        <v>0</v>
      </c>
      <c r="W1223" s="798">
        <f t="shared" si="1861"/>
        <v>0</v>
      </c>
      <c r="X1223" s="798">
        <f t="shared" si="1861"/>
        <v>0</v>
      </c>
      <c r="Y1223" s="798">
        <f t="shared" si="1861"/>
        <v>0</v>
      </c>
      <c r="Z1223" s="798">
        <f t="shared" si="1861"/>
        <v>0</v>
      </c>
      <c r="AA1223" s="798">
        <f t="shared" si="1861"/>
        <v>0</v>
      </c>
      <c r="AB1223" s="798">
        <f t="shared" si="1861"/>
        <v>0</v>
      </c>
      <c r="AC1223" s="798">
        <f t="shared" si="1861"/>
        <v>0</v>
      </c>
      <c r="AD1223" s="798">
        <f t="shared" si="1861"/>
        <v>0</v>
      </c>
      <c r="AE1223" s="860">
        <f t="shared" si="1853"/>
        <v>0</v>
      </c>
      <c r="AF1223" s="799">
        <f t="shared" si="1854"/>
        <v>0</v>
      </c>
      <c r="AG1223" s="799">
        <f t="shared" si="1855"/>
        <v>0</v>
      </c>
      <c r="AH1223" s="799">
        <f t="shared" si="1856"/>
        <v>0</v>
      </c>
      <c r="AI1223" s="799">
        <f t="shared" si="1857"/>
        <v>0</v>
      </c>
      <c r="AJ1223" s="799">
        <f t="shared" si="1858"/>
        <v>0</v>
      </c>
      <c r="AK1223" s="798">
        <f t="shared" si="1859"/>
        <v>0</v>
      </c>
    </row>
    <row r="1224" spans="1:37" s="517" customFormat="1" ht="14.25" customHeight="1">
      <c r="A1224" s="1693">
        <f t="shared" si="1846"/>
        <v>1207</v>
      </c>
      <c r="B1224" s="616">
        <v>1</v>
      </c>
      <c r="C1224" s="1693">
        <f t="shared" si="1822"/>
        <v>1224</v>
      </c>
      <c r="D1224" s="616">
        <v>1</v>
      </c>
      <c r="E1224" s="1069"/>
      <c r="F1224" s="1069"/>
      <c r="G1224" s="519"/>
      <c r="J1224" s="837" t="s">
        <v>666</v>
      </c>
      <c r="K1224" s="833"/>
      <c r="L1224" s="833"/>
      <c r="M1224" s="833"/>
      <c r="N1224" s="833"/>
      <c r="O1224" s="838" t="s">
        <v>667</v>
      </c>
      <c r="P1224" s="839"/>
      <c r="Q1224" s="839"/>
      <c r="R1224" s="1781" t="str">
        <f>CHOOSE(2, "6722000004125", "Existing Customer ** Number of Purchase Account")</f>
        <v>Existing Customer ** Number of Purchase Account</v>
      </c>
      <c r="S1224" s="1207"/>
      <c r="T1224" s="1208"/>
      <c r="U1224" s="1208"/>
      <c r="V1224" s="1208"/>
      <c r="W1224" s="1208"/>
      <c r="X1224" s="1208"/>
      <c r="Y1224" s="1208"/>
      <c r="Z1224" s="1208"/>
      <c r="AA1224" s="1208"/>
      <c r="AB1224" s="1208"/>
      <c r="AC1224" s="1208"/>
      <c r="AD1224" s="1208"/>
      <c r="AE1224" s="935">
        <f t="shared" si="1853"/>
        <v>0</v>
      </c>
      <c r="AF1224" s="846">
        <f t="shared" si="1854"/>
        <v>0</v>
      </c>
      <c r="AG1224" s="846">
        <f t="shared" si="1855"/>
        <v>0</v>
      </c>
      <c r="AH1224" s="846">
        <f t="shared" si="1856"/>
        <v>0</v>
      </c>
      <c r="AI1224" s="846">
        <f t="shared" si="1857"/>
        <v>0</v>
      </c>
      <c r="AJ1224" s="846">
        <f t="shared" si="1858"/>
        <v>0</v>
      </c>
      <c r="AK1224" s="850">
        <f t="shared" si="1859"/>
        <v>0</v>
      </c>
    </row>
    <row r="1225" spans="1:37" s="517" customFormat="1" ht="14.25" customHeight="1">
      <c r="A1225" s="1693">
        <f t="shared" si="1846"/>
        <v>1208</v>
      </c>
      <c r="B1225" s="616">
        <v>1</v>
      </c>
      <c r="C1225" s="1693">
        <f t="shared" si="1822"/>
        <v>1225</v>
      </c>
      <c r="D1225" s="616">
        <v>1</v>
      </c>
      <c r="E1225" s="1069"/>
      <c r="F1225" s="1069"/>
      <c r="G1225" s="519"/>
      <c r="J1225" s="840"/>
      <c r="O1225" s="837" t="s">
        <v>659</v>
      </c>
      <c r="P1225" s="841" t="s">
        <v>660</v>
      </c>
      <c r="Q1225" s="841" t="s">
        <v>661</v>
      </c>
      <c r="R1225" s="1781" t="str">
        <f>CHOOSE(2, "6722000004126", "Existing Customer ** Sales Office HW")</f>
        <v>Existing Customer ** Sales Office HW</v>
      </c>
      <c r="S1225" s="2991"/>
      <c r="T1225" s="2992"/>
      <c r="U1225" s="2992"/>
      <c r="V1225" s="2992"/>
      <c r="W1225" s="2992"/>
      <c r="X1225" s="2992"/>
      <c r="Y1225" s="2992"/>
      <c r="Z1225" s="2992"/>
      <c r="AA1225" s="2992"/>
      <c r="AB1225" s="2992"/>
      <c r="AC1225" s="2992"/>
      <c r="AD1225" s="2992"/>
      <c r="AE1225" s="858">
        <f t="shared" si="1853"/>
        <v>0</v>
      </c>
      <c r="AF1225" s="796">
        <f t="shared" si="1854"/>
        <v>0</v>
      </c>
      <c r="AG1225" s="796">
        <f t="shared" si="1855"/>
        <v>0</v>
      </c>
      <c r="AH1225" s="796">
        <f t="shared" si="1856"/>
        <v>0</v>
      </c>
      <c r="AI1225" s="796">
        <f t="shared" si="1857"/>
        <v>0</v>
      </c>
      <c r="AJ1225" s="796">
        <f t="shared" si="1858"/>
        <v>0</v>
      </c>
      <c r="AK1225" s="800">
        <f t="shared" si="1859"/>
        <v>0</v>
      </c>
    </row>
    <row r="1226" spans="1:37" s="517" customFormat="1" ht="14.25" customHeight="1">
      <c r="A1226" s="1693">
        <f t="shared" si="1846"/>
        <v>1209</v>
      </c>
      <c r="B1226" s="616">
        <v>1</v>
      </c>
      <c r="C1226" s="1693">
        <f t="shared" si="1822"/>
        <v>1226</v>
      </c>
      <c r="D1226" s="616">
        <v>1</v>
      </c>
      <c r="E1226" s="1069"/>
      <c r="F1226" s="1069"/>
      <c r="G1226" s="519"/>
      <c r="J1226" s="936" t="s">
        <v>682</v>
      </c>
      <c r="O1226" s="840"/>
      <c r="P1226" s="842"/>
      <c r="Q1226" s="842" t="s">
        <v>662</v>
      </c>
      <c r="R1226" s="1781" t="str">
        <f>CHOOSE(2, "6722000004127", "Existing Customer ** Sales Office NH")</f>
        <v>Existing Customer ** Sales Office NH</v>
      </c>
      <c r="S1226" s="2991"/>
      <c r="T1226" s="2992"/>
      <c r="U1226" s="2992"/>
      <c r="V1226" s="2992"/>
      <c r="W1226" s="2992"/>
      <c r="X1226" s="2992"/>
      <c r="Y1226" s="2992"/>
      <c r="Z1226" s="2992"/>
      <c r="AA1226" s="2992"/>
      <c r="AB1226" s="2992"/>
      <c r="AC1226" s="2992"/>
      <c r="AD1226" s="2992"/>
      <c r="AE1226" s="858">
        <f t="shared" si="1853"/>
        <v>0</v>
      </c>
      <c r="AF1226" s="796">
        <f t="shared" si="1854"/>
        <v>0</v>
      </c>
      <c r="AG1226" s="796">
        <f t="shared" si="1855"/>
        <v>0</v>
      </c>
      <c r="AH1226" s="796">
        <f t="shared" si="1856"/>
        <v>0</v>
      </c>
      <c r="AI1226" s="796">
        <f t="shared" si="1857"/>
        <v>0</v>
      </c>
      <c r="AJ1226" s="796">
        <f t="shared" si="1858"/>
        <v>0</v>
      </c>
      <c r="AK1226" s="800">
        <f t="shared" si="1859"/>
        <v>0</v>
      </c>
    </row>
    <row r="1227" spans="1:37" s="517" customFormat="1" ht="14.25" customHeight="1">
      <c r="A1227" s="1693">
        <f t="shared" si="1846"/>
        <v>1210</v>
      </c>
      <c r="B1227" s="616">
        <v>1</v>
      </c>
      <c r="C1227" s="1693">
        <f t="shared" si="1822"/>
        <v>1227</v>
      </c>
      <c r="D1227" s="616">
        <v>1</v>
      </c>
      <c r="E1227" s="1069"/>
      <c r="F1227" s="1069"/>
      <c r="G1227" s="1568"/>
      <c r="J1227" s="936" t="s">
        <v>683</v>
      </c>
      <c r="O1227" s="840"/>
      <c r="P1227" s="843"/>
      <c r="Q1227" s="843" t="s">
        <v>417</v>
      </c>
      <c r="R1227" s="1781" t="str">
        <f>CHOOSE(2, "6722000004128", "Existing Customer ** Sales Office Office Solution")</f>
        <v>Existing Customer ** Sales Office Office Solution</v>
      </c>
      <c r="S1227" s="2993"/>
      <c r="T1227" s="2994"/>
      <c r="U1227" s="2994"/>
      <c r="V1227" s="2994"/>
      <c r="W1227" s="2994"/>
      <c r="X1227" s="2994"/>
      <c r="Y1227" s="2994"/>
      <c r="Z1227" s="2994"/>
      <c r="AA1227" s="2994"/>
      <c r="AB1227" s="2994"/>
      <c r="AC1227" s="2994"/>
      <c r="AD1227" s="2994"/>
      <c r="AE1227" s="859">
        <f t="shared" si="1853"/>
        <v>0</v>
      </c>
      <c r="AF1227" s="797">
        <f t="shared" si="1854"/>
        <v>0</v>
      </c>
      <c r="AG1227" s="797">
        <f t="shared" si="1855"/>
        <v>0</v>
      </c>
      <c r="AH1227" s="797">
        <f t="shared" si="1856"/>
        <v>0</v>
      </c>
      <c r="AI1227" s="797">
        <f t="shared" si="1857"/>
        <v>0</v>
      </c>
      <c r="AJ1227" s="797">
        <f t="shared" si="1858"/>
        <v>0</v>
      </c>
      <c r="AK1227" s="801">
        <f t="shared" si="1859"/>
        <v>0</v>
      </c>
    </row>
    <row r="1228" spans="1:37" s="517" customFormat="1" ht="14.25" customHeight="1">
      <c r="A1228" s="1693">
        <f t="shared" si="1846"/>
        <v>1211</v>
      </c>
      <c r="B1228" s="616">
        <v>1</v>
      </c>
      <c r="C1228" s="1693">
        <f t="shared" si="1822"/>
        <v>1228</v>
      </c>
      <c r="D1228" s="616">
        <v>1</v>
      </c>
      <c r="E1228" s="1069"/>
      <c r="F1228" s="1069"/>
      <c r="G1228" s="519"/>
      <c r="J1228" s="936" t="s">
        <v>684</v>
      </c>
      <c r="O1228" s="840"/>
      <c r="P1228" s="843" t="s">
        <v>663</v>
      </c>
      <c r="Q1228" s="843"/>
      <c r="R1228" s="1781" t="str">
        <f>CHOOSE(2, "6722000004129", "Existing Customer ** Sales DW-DX")</f>
        <v>Existing Customer ** Sales DW-DX</v>
      </c>
      <c r="S1228" s="2993"/>
      <c r="T1228" s="2994"/>
      <c r="U1228" s="2994"/>
      <c r="V1228" s="2994"/>
      <c r="W1228" s="2994"/>
      <c r="X1228" s="2994"/>
      <c r="Y1228" s="2994"/>
      <c r="Z1228" s="2994"/>
      <c r="AA1228" s="2994"/>
      <c r="AB1228" s="2994"/>
      <c r="AC1228" s="2994"/>
      <c r="AD1228" s="2994"/>
      <c r="AE1228" s="859">
        <f t="shared" si="1853"/>
        <v>0</v>
      </c>
      <c r="AF1228" s="797">
        <f t="shared" si="1854"/>
        <v>0</v>
      </c>
      <c r="AG1228" s="797">
        <f t="shared" si="1855"/>
        <v>0</v>
      </c>
      <c r="AH1228" s="797">
        <f t="shared" si="1856"/>
        <v>0</v>
      </c>
      <c r="AI1228" s="797">
        <f t="shared" si="1857"/>
        <v>0</v>
      </c>
      <c r="AJ1228" s="797">
        <f t="shared" si="1858"/>
        <v>0</v>
      </c>
      <c r="AK1228" s="801">
        <f t="shared" si="1859"/>
        <v>0</v>
      </c>
    </row>
    <row r="1229" spans="1:37" s="517" customFormat="1" ht="14.25" customHeight="1">
      <c r="A1229" s="1693">
        <f t="shared" si="1846"/>
        <v>1212</v>
      </c>
      <c r="B1229" s="616">
        <v>1</v>
      </c>
      <c r="C1229" s="1693">
        <f t="shared" si="1822"/>
        <v>1229</v>
      </c>
      <c r="D1229" s="616">
        <v>1</v>
      </c>
      <c r="E1229" s="1069"/>
      <c r="F1229" s="1069"/>
      <c r="G1229" s="519"/>
      <c r="J1229" s="936" t="s">
        <v>685</v>
      </c>
      <c r="O1229" s="844"/>
      <c r="P1229" s="845" t="s">
        <v>664</v>
      </c>
      <c r="Q1229" s="845"/>
      <c r="R1229" s="1823" t="str">
        <f>CHOOSE(2, "6722000004130", "Existing Customer ** Sales Total")</f>
        <v>Existing Customer ** Sales Total</v>
      </c>
      <c r="S1229" s="1172">
        <f>SUM(S1225:S1228)</f>
        <v>0</v>
      </c>
      <c r="T1229" s="798">
        <f t="shared" ref="T1229:AD1229" si="1862">SUM(T1225:T1228)</f>
        <v>0</v>
      </c>
      <c r="U1229" s="798">
        <f t="shared" si="1862"/>
        <v>0</v>
      </c>
      <c r="V1229" s="798">
        <f t="shared" si="1862"/>
        <v>0</v>
      </c>
      <c r="W1229" s="798">
        <f t="shared" si="1862"/>
        <v>0</v>
      </c>
      <c r="X1229" s="798">
        <f t="shared" si="1862"/>
        <v>0</v>
      </c>
      <c r="Y1229" s="798">
        <f t="shared" si="1862"/>
        <v>0</v>
      </c>
      <c r="Z1229" s="798">
        <f t="shared" si="1862"/>
        <v>0</v>
      </c>
      <c r="AA1229" s="798">
        <f t="shared" si="1862"/>
        <v>0</v>
      </c>
      <c r="AB1229" s="798">
        <f t="shared" si="1862"/>
        <v>0</v>
      </c>
      <c r="AC1229" s="798">
        <f t="shared" si="1862"/>
        <v>0</v>
      </c>
      <c r="AD1229" s="798">
        <f t="shared" si="1862"/>
        <v>0</v>
      </c>
      <c r="AE1229" s="860">
        <f t="shared" si="1853"/>
        <v>0</v>
      </c>
      <c r="AF1229" s="799">
        <f t="shared" si="1854"/>
        <v>0</v>
      </c>
      <c r="AG1229" s="799">
        <f t="shared" si="1855"/>
        <v>0</v>
      </c>
      <c r="AH1229" s="799">
        <f t="shared" si="1856"/>
        <v>0</v>
      </c>
      <c r="AI1229" s="799">
        <f t="shared" si="1857"/>
        <v>0</v>
      </c>
      <c r="AJ1229" s="799">
        <f t="shared" si="1858"/>
        <v>0</v>
      </c>
      <c r="AK1229" s="798">
        <f t="shared" si="1859"/>
        <v>0</v>
      </c>
    </row>
    <row r="1230" spans="1:37" s="517" customFormat="1" ht="14.25" customHeight="1">
      <c r="A1230" s="1693">
        <f t="shared" si="1846"/>
        <v>1213</v>
      </c>
      <c r="B1230" s="616">
        <v>1</v>
      </c>
      <c r="C1230" s="1693">
        <f t="shared" si="1822"/>
        <v>1230</v>
      </c>
      <c r="D1230" s="616">
        <v>1</v>
      </c>
      <c r="E1230" s="1069"/>
      <c r="F1230" s="1069"/>
      <c r="G1230" s="519"/>
      <c r="J1230" s="840"/>
      <c r="O1230" s="840" t="s">
        <v>665</v>
      </c>
      <c r="P1230" s="842" t="s">
        <v>660</v>
      </c>
      <c r="Q1230" s="842" t="s">
        <v>661</v>
      </c>
      <c r="R1230" s="1781" t="str">
        <f>CHOOSE(2, "6722000004131", "Existing Customer ** GP Office HW")</f>
        <v>Existing Customer ** GP Office HW</v>
      </c>
      <c r="S1230" s="2991"/>
      <c r="T1230" s="2992"/>
      <c r="U1230" s="2992"/>
      <c r="V1230" s="2992"/>
      <c r="W1230" s="2992"/>
      <c r="X1230" s="2992"/>
      <c r="Y1230" s="2992"/>
      <c r="Z1230" s="2992"/>
      <c r="AA1230" s="2992"/>
      <c r="AB1230" s="2992"/>
      <c r="AC1230" s="2992"/>
      <c r="AD1230" s="2992"/>
      <c r="AE1230" s="858">
        <f t="shared" si="1853"/>
        <v>0</v>
      </c>
      <c r="AF1230" s="796">
        <f t="shared" si="1854"/>
        <v>0</v>
      </c>
      <c r="AG1230" s="796">
        <f t="shared" si="1855"/>
        <v>0</v>
      </c>
      <c r="AH1230" s="796">
        <f t="shared" si="1856"/>
        <v>0</v>
      </c>
      <c r="AI1230" s="796">
        <f t="shared" si="1857"/>
        <v>0</v>
      </c>
      <c r="AJ1230" s="796">
        <f t="shared" si="1858"/>
        <v>0</v>
      </c>
      <c r="AK1230" s="800">
        <f t="shared" si="1859"/>
        <v>0</v>
      </c>
    </row>
    <row r="1231" spans="1:37" s="517" customFormat="1" ht="14.25" customHeight="1">
      <c r="A1231" s="1693">
        <f t="shared" si="1846"/>
        <v>1214</v>
      </c>
      <c r="B1231" s="616">
        <v>1</v>
      </c>
      <c r="C1231" s="1693">
        <f t="shared" ref="C1231:C1294" si="1863">C1230+1</f>
        <v>1231</v>
      </c>
      <c r="D1231" s="616">
        <v>1</v>
      </c>
      <c r="E1231" s="1069"/>
      <c r="F1231" s="1069"/>
      <c r="G1231" s="519"/>
      <c r="J1231" s="840"/>
      <c r="O1231" s="840"/>
      <c r="P1231" s="842"/>
      <c r="Q1231" s="842" t="s">
        <v>662</v>
      </c>
      <c r="R1231" s="1781" t="str">
        <f>CHOOSE(2, "6722000004132", "Existing Customer ** GP Office NH")</f>
        <v>Existing Customer ** GP Office NH</v>
      </c>
      <c r="S1231" s="2991"/>
      <c r="T1231" s="2992"/>
      <c r="U1231" s="2992"/>
      <c r="V1231" s="2992"/>
      <c r="W1231" s="2992"/>
      <c r="X1231" s="2992"/>
      <c r="Y1231" s="2992"/>
      <c r="Z1231" s="2992"/>
      <c r="AA1231" s="2992"/>
      <c r="AB1231" s="2992"/>
      <c r="AC1231" s="2992"/>
      <c r="AD1231" s="2992"/>
      <c r="AE1231" s="858">
        <f t="shared" si="1853"/>
        <v>0</v>
      </c>
      <c r="AF1231" s="796">
        <f t="shared" si="1854"/>
        <v>0</v>
      </c>
      <c r="AG1231" s="796">
        <f t="shared" si="1855"/>
        <v>0</v>
      </c>
      <c r="AH1231" s="796">
        <f t="shared" si="1856"/>
        <v>0</v>
      </c>
      <c r="AI1231" s="796">
        <f t="shared" si="1857"/>
        <v>0</v>
      </c>
      <c r="AJ1231" s="796">
        <f t="shared" si="1858"/>
        <v>0</v>
      </c>
      <c r="AK1231" s="800">
        <f t="shared" si="1859"/>
        <v>0</v>
      </c>
    </row>
    <row r="1232" spans="1:37" s="517" customFormat="1" ht="14.25" customHeight="1">
      <c r="A1232" s="1693">
        <f t="shared" si="1846"/>
        <v>1215</v>
      </c>
      <c r="B1232" s="616">
        <v>1</v>
      </c>
      <c r="C1232" s="1693">
        <f t="shared" si="1863"/>
        <v>1232</v>
      </c>
      <c r="D1232" s="616">
        <v>1</v>
      </c>
      <c r="E1232" s="1069"/>
      <c r="F1232" s="1069"/>
      <c r="G1232" s="1568"/>
      <c r="J1232" s="936"/>
      <c r="O1232" s="840"/>
      <c r="P1232" s="843"/>
      <c r="Q1232" s="843" t="s">
        <v>417</v>
      </c>
      <c r="R1232" s="1781" t="str">
        <f>CHOOSE(2, "6722000004133", "Existing Customer ** GP Office Office Solution")</f>
        <v>Existing Customer ** GP Office Office Solution</v>
      </c>
      <c r="S1232" s="2993"/>
      <c r="T1232" s="2994"/>
      <c r="U1232" s="2994"/>
      <c r="V1232" s="2994"/>
      <c r="W1232" s="2994"/>
      <c r="X1232" s="2994"/>
      <c r="Y1232" s="2994"/>
      <c r="Z1232" s="2994"/>
      <c r="AA1232" s="2994"/>
      <c r="AB1232" s="2994"/>
      <c r="AC1232" s="2994"/>
      <c r="AD1232" s="2994"/>
      <c r="AE1232" s="859">
        <f t="shared" si="1853"/>
        <v>0</v>
      </c>
      <c r="AF1232" s="797">
        <f t="shared" si="1854"/>
        <v>0</v>
      </c>
      <c r="AG1232" s="797">
        <f t="shared" si="1855"/>
        <v>0</v>
      </c>
      <c r="AH1232" s="797">
        <f t="shared" si="1856"/>
        <v>0</v>
      </c>
      <c r="AI1232" s="797">
        <f t="shared" si="1857"/>
        <v>0</v>
      </c>
      <c r="AJ1232" s="797">
        <f t="shared" si="1858"/>
        <v>0</v>
      </c>
      <c r="AK1232" s="801">
        <f t="shared" si="1859"/>
        <v>0</v>
      </c>
    </row>
    <row r="1233" spans="1:38" s="517" customFormat="1" ht="14.25" customHeight="1">
      <c r="A1233" s="1693">
        <f t="shared" si="1846"/>
        <v>1216</v>
      </c>
      <c r="B1233" s="616">
        <v>1</v>
      </c>
      <c r="C1233" s="1693">
        <f t="shared" si="1863"/>
        <v>1233</v>
      </c>
      <c r="D1233" s="616">
        <v>1</v>
      </c>
      <c r="E1233" s="1069"/>
      <c r="F1233" s="1069"/>
      <c r="G1233" s="519"/>
      <c r="J1233" s="840"/>
      <c r="O1233" s="840"/>
      <c r="P1233" s="843" t="s">
        <v>563</v>
      </c>
      <c r="Q1233" s="843"/>
      <c r="R1233" s="1781" t="str">
        <f>CHOOSE(2, "6722000004134", "Existing Customer ** GP DW-DX")</f>
        <v>Existing Customer ** GP DW-DX</v>
      </c>
      <c r="S1233" s="2993"/>
      <c r="T1233" s="2994"/>
      <c r="U1233" s="2994"/>
      <c r="V1233" s="2994"/>
      <c r="W1233" s="2994"/>
      <c r="X1233" s="2994"/>
      <c r="Y1233" s="2994"/>
      <c r="Z1233" s="2994"/>
      <c r="AA1233" s="2994"/>
      <c r="AB1233" s="2994"/>
      <c r="AC1233" s="2994"/>
      <c r="AD1233" s="2994"/>
      <c r="AE1233" s="859">
        <f t="shared" si="1853"/>
        <v>0</v>
      </c>
      <c r="AF1233" s="797">
        <f t="shared" si="1854"/>
        <v>0</v>
      </c>
      <c r="AG1233" s="797">
        <f t="shared" si="1855"/>
        <v>0</v>
      </c>
      <c r="AH1233" s="797">
        <f t="shared" si="1856"/>
        <v>0</v>
      </c>
      <c r="AI1233" s="797">
        <f t="shared" si="1857"/>
        <v>0</v>
      </c>
      <c r="AJ1233" s="797">
        <f t="shared" si="1858"/>
        <v>0</v>
      </c>
      <c r="AK1233" s="801">
        <f t="shared" si="1859"/>
        <v>0</v>
      </c>
    </row>
    <row r="1234" spans="1:38" s="517" customFormat="1" ht="14.25" customHeight="1">
      <c r="A1234" s="1693">
        <f t="shared" si="1846"/>
        <v>1217</v>
      </c>
      <c r="B1234" s="616">
        <v>1</v>
      </c>
      <c r="C1234" s="1693">
        <f t="shared" si="1863"/>
        <v>1234</v>
      </c>
      <c r="D1234" s="616">
        <v>1</v>
      </c>
      <c r="E1234" s="1069"/>
      <c r="F1234" s="1069"/>
      <c r="G1234" s="519"/>
      <c r="J1234" s="844"/>
      <c r="K1234" s="834"/>
      <c r="L1234" s="834"/>
      <c r="M1234" s="834"/>
      <c r="N1234" s="834"/>
      <c r="O1234" s="844"/>
      <c r="P1234" s="845" t="s">
        <v>664</v>
      </c>
      <c r="Q1234" s="845"/>
      <c r="R1234" s="1823" t="str">
        <f>CHOOSE(2, "6722000004135", "Existing Customer ** GP Total")</f>
        <v>Existing Customer ** GP Total</v>
      </c>
      <c r="S1234" s="1173">
        <f t="shared" ref="S1234:AD1234" si="1864">SUM(S1230:S1233)</f>
        <v>0</v>
      </c>
      <c r="T1234" s="800">
        <f t="shared" si="1864"/>
        <v>0</v>
      </c>
      <c r="U1234" s="800">
        <f t="shared" si="1864"/>
        <v>0</v>
      </c>
      <c r="V1234" s="800">
        <f t="shared" si="1864"/>
        <v>0</v>
      </c>
      <c r="W1234" s="800">
        <f t="shared" si="1864"/>
        <v>0</v>
      </c>
      <c r="X1234" s="800">
        <f t="shared" si="1864"/>
        <v>0</v>
      </c>
      <c r="Y1234" s="800">
        <f t="shared" si="1864"/>
        <v>0</v>
      </c>
      <c r="Z1234" s="800">
        <f t="shared" si="1864"/>
        <v>0</v>
      </c>
      <c r="AA1234" s="800">
        <f t="shared" si="1864"/>
        <v>0</v>
      </c>
      <c r="AB1234" s="800">
        <f t="shared" si="1864"/>
        <v>0</v>
      </c>
      <c r="AC1234" s="800">
        <f t="shared" si="1864"/>
        <v>0</v>
      </c>
      <c r="AD1234" s="800">
        <f t="shared" si="1864"/>
        <v>0</v>
      </c>
      <c r="AE1234" s="860">
        <f t="shared" si="1853"/>
        <v>0</v>
      </c>
      <c r="AF1234" s="799">
        <f t="shared" si="1854"/>
        <v>0</v>
      </c>
      <c r="AG1234" s="799">
        <f t="shared" si="1855"/>
        <v>0</v>
      </c>
      <c r="AH1234" s="799">
        <f t="shared" si="1856"/>
        <v>0</v>
      </c>
      <c r="AI1234" s="799">
        <f t="shared" si="1857"/>
        <v>0</v>
      </c>
      <c r="AJ1234" s="799">
        <f t="shared" si="1858"/>
        <v>0</v>
      </c>
      <c r="AK1234" s="798">
        <f t="shared" si="1859"/>
        <v>0</v>
      </c>
      <c r="AL1234" s="621"/>
    </row>
    <row r="1235" spans="1:38" s="517" customFormat="1" ht="14.25" customHeight="1">
      <c r="A1235" s="1693">
        <f t="shared" si="1846"/>
        <v>1218</v>
      </c>
      <c r="B1235" s="616">
        <v>1</v>
      </c>
      <c r="C1235" s="1693">
        <f t="shared" si="1863"/>
        <v>1235</v>
      </c>
      <c r="D1235" s="616">
        <v>1</v>
      </c>
      <c r="E1235" s="1069"/>
      <c r="F1235" s="1069"/>
      <c r="G1235" s="519"/>
      <c r="J1235" s="837" t="s">
        <v>664</v>
      </c>
      <c r="K1235" s="833"/>
      <c r="L1235" s="833"/>
      <c r="M1235" s="833"/>
      <c r="N1235" s="833"/>
      <c r="O1235" s="838" t="s">
        <v>667</v>
      </c>
      <c r="P1235" s="839"/>
      <c r="Q1235" s="839"/>
      <c r="R1235" s="1823" t="str">
        <f>CHOOSE(2, "6722000004136", "Total Number of Purchase Account")</f>
        <v>Total Number of Purchase Account</v>
      </c>
      <c r="S1235" s="1205">
        <f>S1213+S1224</f>
        <v>0</v>
      </c>
      <c r="T1235" s="1206">
        <f t="shared" ref="T1235:AD1239" si="1865">T1213+T1224</f>
        <v>0</v>
      </c>
      <c r="U1235" s="1206">
        <f t="shared" si="1865"/>
        <v>0</v>
      </c>
      <c r="V1235" s="1206">
        <f t="shared" si="1865"/>
        <v>0</v>
      </c>
      <c r="W1235" s="1206">
        <f t="shared" si="1865"/>
        <v>0</v>
      </c>
      <c r="X1235" s="1206">
        <f t="shared" si="1865"/>
        <v>0</v>
      </c>
      <c r="Y1235" s="1206">
        <f t="shared" si="1865"/>
        <v>0</v>
      </c>
      <c r="Z1235" s="1206">
        <f t="shared" si="1865"/>
        <v>0</v>
      </c>
      <c r="AA1235" s="1206">
        <f t="shared" si="1865"/>
        <v>0</v>
      </c>
      <c r="AB1235" s="1206">
        <f t="shared" si="1865"/>
        <v>0</v>
      </c>
      <c r="AC1235" s="1206">
        <f t="shared" si="1865"/>
        <v>0</v>
      </c>
      <c r="AD1235" s="1206">
        <f t="shared" si="1865"/>
        <v>0</v>
      </c>
      <c r="AE1235" s="935">
        <f t="shared" si="1853"/>
        <v>0</v>
      </c>
      <c r="AF1235" s="846">
        <f t="shared" si="1854"/>
        <v>0</v>
      </c>
      <c r="AG1235" s="846">
        <f t="shared" si="1855"/>
        <v>0</v>
      </c>
      <c r="AH1235" s="851">
        <f t="shared" si="1856"/>
        <v>0</v>
      </c>
      <c r="AI1235" s="851">
        <f t="shared" si="1857"/>
        <v>0</v>
      </c>
      <c r="AJ1235" s="846">
        <f t="shared" si="1858"/>
        <v>0</v>
      </c>
      <c r="AK1235" s="847">
        <f t="shared" si="1859"/>
        <v>0</v>
      </c>
      <c r="AL1235" s="621"/>
    </row>
    <row r="1236" spans="1:38" s="517" customFormat="1" ht="14.25" customHeight="1">
      <c r="A1236" s="1693">
        <f t="shared" si="1846"/>
        <v>1219</v>
      </c>
      <c r="B1236" s="616">
        <v>1</v>
      </c>
      <c r="C1236" s="1693">
        <f t="shared" si="1863"/>
        <v>1236</v>
      </c>
      <c r="D1236" s="616">
        <v>1</v>
      </c>
      <c r="E1236" s="1069"/>
      <c r="F1236" s="1069"/>
      <c r="G1236" s="519"/>
      <c r="J1236" s="840"/>
      <c r="O1236" s="837" t="s">
        <v>659</v>
      </c>
      <c r="P1236" s="841" t="s">
        <v>660</v>
      </c>
      <c r="Q1236" s="841" t="s">
        <v>661</v>
      </c>
      <c r="R1236" s="1823" t="str">
        <f>CHOOSE(2, "6722000004137", "Total Sales Office HW")</f>
        <v>Total Sales Office HW</v>
      </c>
      <c r="S1236" s="1173">
        <f>S1214+S1225</f>
        <v>0</v>
      </c>
      <c r="T1236" s="800">
        <f t="shared" si="1865"/>
        <v>0</v>
      </c>
      <c r="U1236" s="800">
        <f t="shared" si="1865"/>
        <v>0</v>
      </c>
      <c r="V1236" s="800">
        <f t="shared" si="1865"/>
        <v>0</v>
      </c>
      <c r="W1236" s="800">
        <f t="shared" si="1865"/>
        <v>0</v>
      </c>
      <c r="X1236" s="800">
        <f t="shared" si="1865"/>
        <v>0</v>
      </c>
      <c r="Y1236" s="800">
        <f t="shared" si="1865"/>
        <v>0</v>
      </c>
      <c r="Z1236" s="800">
        <f t="shared" si="1865"/>
        <v>0</v>
      </c>
      <c r="AA1236" s="800">
        <f t="shared" si="1865"/>
        <v>0</v>
      </c>
      <c r="AB1236" s="800">
        <f t="shared" si="1865"/>
        <v>0</v>
      </c>
      <c r="AC1236" s="800">
        <f t="shared" si="1865"/>
        <v>0</v>
      </c>
      <c r="AD1236" s="800">
        <f t="shared" si="1865"/>
        <v>0</v>
      </c>
      <c r="AE1236" s="858">
        <f t="shared" si="1853"/>
        <v>0</v>
      </c>
      <c r="AF1236" s="796">
        <f t="shared" si="1854"/>
        <v>0</v>
      </c>
      <c r="AG1236" s="796">
        <f t="shared" si="1855"/>
        <v>0</v>
      </c>
      <c r="AH1236" s="852">
        <f t="shared" si="1856"/>
        <v>0</v>
      </c>
      <c r="AI1236" s="852">
        <f t="shared" si="1857"/>
        <v>0</v>
      </c>
      <c r="AJ1236" s="796">
        <f t="shared" si="1858"/>
        <v>0</v>
      </c>
      <c r="AK1236" s="848">
        <f t="shared" si="1859"/>
        <v>0</v>
      </c>
      <c r="AL1236" s="621"/>
    </row>
    <row r="1237" spans="1:38" s="517" customFormat="1" ht="14.25" customHeight="1">
      <c r="A1237" s="1693">
        <f t="shared" si="1846"/>
        <v>1220</v>
      </c>
      <c r="B1237" s="616">
        <v>1</v>
      </c>
      <c r="C1237" s="1693">
        <f t="shared" si="1863"/>
        <v>1237</v>
      </c>
      <c r="D1237" s="616">
        <v>1</v>
      </c>
      <c r="E1237" s="1069"/>
      <c r="F1237" s="1069"/>
      <c r="G1237" s="519"/>
      <c r="J1237" s="840"/>
      <c r="O1237" s="840"/>
      <c r="P1237" s="842"/>
      <c r="Q1237" s="842" t="s">
        <v>662</v>
      </c>
      <c r="R1237" s="1823" t="str">
        <f>CHOOSE(2, "6722000004138", "Total Sales Office NH")</f>
        <v>Total Sales Office NH</v>
      </c>
      <c r="S1237" s="1173">
        <f>S1215+S1226</f>
        <v>0</v>
      </c>
      <c r="T1237" s="800">
        <f t="shared" si="1865"/>
        <v>0</v>
      </c>
      <c r="U1237" s="800">
        <f t="shared" si="1865"/>
        <v>0</v>
      </c>
      <c r="V1237" s="800">
        <f t="shared" si="1865"/>
        <v>0</v>
      </c>
      <c r="W1237" s="800">
        <f t="shared" si="1865"/>
        <v>0</v>
      </c>
      <c r="X1237" s="800">
        <f t="shared" si="1865"/>
        <v>0</v>
      </c>
      <c r="Y1237" s="800">
        <f t="shared" si="1865"/>
        <v>0</v>
      </c>
      <c r="Z1237" s="800">
        <f t="shared" si="1865"/>
        <v>0</v>
      </c>
      <c r="AA1237" s="800">
        <f t="shared" si="1865"/>
        <v>0</v>
      </c>
      <c r="AB1237" s="800">
        <f t="shared" si="1865"/>
        <v>0</v>
      </c>
      <c r="AC1237" s="800">
        <f t="shared" si="1865"/>
        <v>0</v>
      </c>
      <c r="AD1237" s="800">
        <f t="shared" si="1865"/>
        <v>0</v>
      </c>
      <c r="AE1237" s="858">
        <f t="shared" si="1853"/>
        <v>0</v>
      </c>
      <c r="AF1237" s="796">
        <f t="shared" si="1854"/>
        <v>0</v>
      </c>
      <c r="AG1237" s="796">
        <f t="shared" si="1855"/>
        <v>0</v>
      </c>
      <c r="AH1237" s="852">
        <f t="shared" si="1856"/>
        <v>0</v>
      </c>
      <c r="AI1237" s="852">
        <f t="shared" si="1857"/>
        <v>0</v>
      </c>
      <c r="AJ1237" s="796">
        <f t="shared" si="1858"/>
        <v>0</v>
      </c>
      <c r="AK1237" s="848">
        <f t="shared" si="1859"/>
        <v>0</v>
      </c>
      <c r="AL1237" s="621"/>
    </row>
    <row r="1238" spans="1:38" s="517" customFormat="1" ht="14.25" customHeight="1">
      <c r="A1238" s="1693">
        <f t="shared" si="1846"/>
        <v>1221</v>
      </c>
      <c r="B1238" s="616">
        <v>1</v>
      </c>
      <c r="C1238" s="1693">
        <f t="shared" si="1863"/>
        <v>1238</v>
      </c>
      <c r="D1238" s="616">
        <v>1</v>
      </c>
      <c r="E1238" s="1069"/>
      <c r="F1238" s="1069"/>
      <c r="G1238" s="1568"/>
      <c r="J1238" s="840"/>
      <c r="O1238" s="840"/>
      <c r="P1238" s="843"/>
      <c r="Q1238" s="843" t="s">
        <v>417</v>
      </c>
      <c r="R1238" s="1823" t="str">
        <f>CHOOSE(2, "6722000004139", "Total Sales Office Office Solution")</f>
        <v>Total Sales Office Office Solution</v>
      </c>
      <c r="S1238" s="1174">
        <f>S1216+S1227</f>
        <v>0</v>
      </c>
      <c r="T1238" s="801">
        <f t="shared" si="1865"/>
        <v>0</v>
      </c>
      <c r="U1238" s="801">
        <f t="shared" si="1865"/>
        <v>0</v>
      </c>
      <c r="V1238" s="801">
        <f t="shared" si="1865"/>
        <v>0</v>
      </c>
      <c r="W1238" s="801">
        <f t="shared" si="1865"/>
        <v>0</v>
      </c>
      <c r="X1238" s="801">
        <f t="shared" si="1865"/>
        <v>0</v>
      </c>
      <c r="Y1238" s="801">
        <f t="shared" si="1865"/>
        <v>0</v>
      </c>
      <c r="Z1238" s="801">
        <f t="shared" si="1865"/>
        <v>0</v>
      </c>
      <c r="AA1238" s="801">
        <f t="shared" si="1865"/>
        <v>0</v>
      </c>
      <c r="AB1238" s="801">
        <f t="shared" si="1865"/>
        <v>0</v>
      </c>
      <c r="AC1238" s="801">
        <f t="shared" si="1865"/>
        <v>0</v>
      </c>
      <c r="AD1238" s="801">
        <f t="shared" si="1865"/>
        <v>0</v>
      </c>
      <c r="AE1238" s="859">
        <f t="shared" si="1853"/>
        <v>0</v>
      </c>
      <c r="AF1238" s="797">
        <f t="shared" si="1854"/>
        <v>0</v>
      </c>
      <c r="AG1238" s="797">
        <f t="shared" si="1855"/>
        <v>0</v>
      </c>
      <c r="AH1238" s="853">
        <f t="shared" si="1856"/>
        <v>0</v>
      </c>
      <c r="AI1238" s="853">
        <f t="shared" si="1857"/>
        <v>0</v>
      </c>
      <c r="AJ1238" s="797">
        <f t="shared" si="1858"/>
        <v>0</v>
      </c>
      <c r="AK1238" s="849">
        <f t="shared" si="1859"/>
        <v>0</v>
      </c>
      <c r="AL1238" s="621"/>
    </row>
    <row r="1239" spans="1:38" s="517" customFormat="1" ht="14.25" customHeight="1">
      <c r="A1239" s="1693">
        <f t="shared" si="1846"/>
        <v>1222</v>
      </c>
      <c r="B1239" s="616">
        <v>1</v>
      </c>
      <c r="C1239" s="1693">
        <f t="shared" si="1863"/>
        <v>1239</v>
      </c>
      <c r="D1239" s="616">
        <v>1</v>
      </c>
      <c r="E1239" s="1069"/>
      <c r="F1239" s="1069"/>
      <c r="G1239" s="519"/>
      <c r="J1239" s="840"/>
      <c r="O1239" s="840"/>
      <c r="P1239" s="843" t="s">
        <v>663</v>
      </c>
      <c r="Q1239" s="843"/>
      <c r="R1239" s="1823" t="str">
        <f>CHOOSE(2, "6722000004140", "Total Sales DW-DX")</f>
        <v>Total Sales DW-DX</v>
      </c>
      <c r="S1239" s="1174">
        <f>S1217+S1228</f>
        <v>0</v>
      </c>
      <c r="T1239" s="801">
        <f t="shared" si="1865"/>
        <v>0</v>
      </c>
      <c r="U1239" s="801">
        <f t="shared" si="1865"/>
        <v>0</v>
      </c>
      <c r="V1239" s="801">
        <f t="shared" si="1865"/>
        <v>0</v>
      </c>
      <c r="W1239" s="801">
        <f t="shared" si="1865"/>
        <v>0</v>
      </c>
      <c r="X1239" s="801">
        <f t="shared" si="1865"/>
        <v>0</v>
      </c>
      <c r="Y1239" s="801">
        <f t="shared" si="1865"/>
        <v>0</v>
      </c>
      <c r="Z1239" s="801">
        <f t="shared" si="1865"/>
        <v>0</v>
      </c>
      <c r="AA1239" s="801">
        <f t="shared" si="1865"/>
        <v>0</v>
      </c>
      <c r="AB1239" s="801">
        <f t="shared" si="1865"/>
        <v>0</v>
      </c>
      <c r="AC1239" s="801">
        <f t="shared" si="1865"/>
        <v>0</v>
      </c>
      <c r="AD1239" s="801">
        <f t="shared" si="1865"/>
        <v>0</v>
      </c>
      <c r="AE1239" s="859">
        <f t="shared" si="1853"/>
        <v>0</v>
      </c>
      <c r="AF1239" s="797">
        <f t="shared" si="1854"/>
        <v>0</v>
      </c>
      <c r="AG1239" s="797">
        <f t="shared" si="1855"/>
        <v>0</v>
      </c>
      <c r="AH1239" s="853">
        <f t="shared" si="1856"/>
        <v>0</v>
      </c>
      <c r="AI1239" s="853">
        <f t="shared" si="1857"/>
        <v>0</v>
      </c>
      <c r="AJ1239" s="797">
        <f t="shared" si="1858"/>
        <v>0</v>
      </c>
      <c r="AK1239" s="849">
        <f t="shared" si="1859"/>
        <v>0</v>
      </c>
      <c r="AL1239" s="621"/>
    </row>
    <row r="1240" spans="1:38" s="517" customFormat="1" ht="14.25" customHeight="1">
      <c r="A1240" s="1693">
        <f t="shared" si="1846"/>
        <v>1223</v>
      </c>
      <c r="B1240" s="616">
        <v>1</v>
      </c>
      <c r="C1240" s="1693">
        <f t="shared" si="1863"/>
        <v>1240</v>
      </c>
      <c r="D1240" s="616">
        <v>1</v>
      </c>
      <c r="E1240" s="1069"/>
      <c r="F1240" s="1069"/>
      <c r="G1240" s="519"/>
      <c r="J1240" s="840"/>
      <c r="O1240" s="844"/>
      <c r="P1240" s="845" t="s">
        <v>664</v>
      </c>
      <c r="Q1240" s="845"/>
      <c r="R1240" s="1823" t="str">
        <f>CHOOSE(2, "6722000004141", "Total Sales Total")</f>
        <v>Total Sales Total</v>
      </c>
      <c r="S1240" s="1175">
        <f>SUM(S1236:S1239)</f>
        <v>0</v>
      </c>
      <c r="T1240" s="1176">
        <f t="shared" ref="T1240:AD1240" si="1866">SUM(T1236:T1239)</f>
        <v>0</v>
      </c>
      <c r="U1240" s="1176">
        <f t="shared" si="1866"/>
        <v>0</v>
      </c>
      <c r="V1240" s="1176">
        <f t="shared" si="1866"/>
        <v>0</v>
      </c>
      <c r="W1240" s="1176">
        <f t="shared" si="1866"/>
        <v>0</v>
      </c>
      <c r="X1240" s="1176">
        <f t="shared" si="1866"/>
        <v>0</v>
      </c>
      <c r="Y1240" s="1176">
        <f t="shared" si="1866"/>
        <v>0</v>
      </c>
      <c r="Z1240" s="1176">
        <f t="shared" si="1866"/>
        <v>0</v>
      </c>
      <c r="AA1240" s="1176">
        <f t="shared" si="1866"/>
        <v>0</v>
      </c>
      <c r="AB1240" s="1176">
        <f t="shared" si="1866"/>
        <v>0</v>
      </c>
      <c r="AC1240" s="1176">
        <f t="shared" si="1866"/>
        <v>0</v>
      </c>
      <c r="AD1240" s="1176">
        <f t="shared" si="1866"/>
        <v>0</v>
      </c>
      <c r="AE1240" s="860">
        <f t="shared" si="1853"/>
        <v>0</v>
      </c>
      <c r="AF1240" s="799">
        <f t="shared" si="1854"/>
        <v>0</v>
      </c>
      <c r="AG1240" s="799">
        <f t="shared" si="1855"/>
        <v>0</v>
      </c>
      <c r="AH1240" s="799">
        <f t="shared" si="1856"/>
        <v>0</v>
      </c>
      <c r="AI1240" s="799">
        <f t="shared" si="1857"/>
        <v>0</v>
      </c>
      <c r="AJ1240" s="799">
        <f t="shared" si="1858"/>
        <v>0</v>
      </c>
      <c r="AK1240" s="798">
        <f t="shared" si="1859"/>
        <v>0</v>
      </c>
      <c r="AL1240" s="621"/>
    </row>
    <row r="1241" spans="1:38" s="517" customFormat="1" ht="14.25" customHeight="1">
      <c r="A1241" s="1693">
        <f t="shared" si="1846"/>
        <v>1224</v>
      </c>
      <c r="B1241" s="616">
        <v>1</v>
      </c>
      <c r="C1241" s="1693">
        <f t="shared" si="1863"/>
        <v>1241</v>
      </c>
      <c r="D1241" s="616">
        <v>1</v>
      </c>
      <c r="E1241" s="1069"/>
      <c r="F1241" s="1069"/>
      <c r="G1241" s="519"/>
      <c r="J1241" s="840"/>
      <c r="O1241" s="840" t="s">
        <v>665</v>
      </c>
      <c r="P1241" s="842" t="s">
        <v>660</v>
      </c>
      <c r="Q1241" s="842" t="s">
        <v>661</v>
      </c>
      <c r="R1241" s="1823" t="str">
        <f>CHOOSE(2, "6722000004142", "Total GP Office HW")</f>
        <v>Total GP Office HW</v>
      </c>
      <c r="S1241" s="1173">
        <f t="shared" ref="S1241:AD1244" si="1867">S1219+S1230</f>
        <v>0</v>
      </c>
      <c r="T1241" s="800">
        <f t="shared" si="1867"/>
        <v>0</v>
      </c>
      <c r="U1241" s="800">
        <f t="shared" si="1867"/>
        <v>0</v>
      </c>
      <c r="V1241" s="800">
        <f t="shared" si="1867"/>
        <v>0</v>
      </c>
      <c r="W1241" s="800">
        <f t="shared" si="1867"/>
        <v>0</v>
      </c>
      <c r="X1241" s="800">
        <f t="shared" si="1867"/>
        <v>0</v>
      </c>
      <c r="Y1241" s="800">
        <f t="shared" si="1867"/>
        <v>0</v>
      </c>
      <c r="Z1241" s="800">
        <f t="shared" si="1867"/>
        <v>0</v>
      </c>
      <c r="AA1241" s="800">
        <f t="shared" si="1867"/>
        <v>0</v>
      </c>
      <c r="AB1241" s="800">
        <f t="shared" si="1867"/>
        <v>0</v>
      </c>
      <c r="AC1241" s="800">
        <f t="shared" si="1867"/>
        <v>0</v>
      </c>
      <c r="AD1241" s="800">
        <f t="shared" si="1867"/>
        <v>0</v>
      </c>
      <c r="AE1241" s="858">
        <f t="shared" si="1853"/>
        <v>0</v>
      </c>
      <c r="AF1241" s="796">
        <f t="shared" si="1854"/>
        <v>0</v>
      </c>
      <c r="AG1241" s="796">
        <f t="shared" si="1855"/>
        <v>0</v>
      </c>
      <c r="AH1241" s="852">
        <f t="shared" si="1856"/>
        <v>0</v>
      </c>
      <c r="AI1241" s="852">
        <f t="shared" si="1857"/>
        <v>0</v>
      </c>
      <c r="AJ1241" s="796">
        <f t="shared" si="1858"/>
        <v>0</v>
      </c>
      <c r="AK1241" s="848">
        <f t="shared" si="1859"/>
        <v>0</v>
      </c>
      <c r="AL1241" s="621"/>
    </row>
    <row r="1242" spans="1:38" s="517" customFormat="1" ht="14.25" customHeight="1">
      <c r="A1242" s="1693">
        <f t="shared" si="1846"/>
        <v>1225</v>
      </c>
      <c r="B1242" s="616">
        <v>1</v>
      </c>
      <c r="C1242" s="1693">
        <f t="shared" si="1863"/>
        <v>1242</v>
      </c>
      <c r="D1242" s="616">
        <v>1</v>
      </c>
      <c r="E1242" s="1069"/>
      <c r="F1242" s="1069"/>
      <c r="G1242" s="519"/>
      <c r="J1242" s="840"/>
      <c r="O1242" s="840"/>
      <c r="P1242" s="842"/>
      <c r="Q1242" s="842" t="s">
        <v>662</v>
      </c>
      <c r="R1242" s="1823" t="str">
        <f>CHOOSE(2, "6722000004143", "Total GP Office NH")</f>
        <v>Total GP Office NH</v>
      </c>
      <c r="S1242" s="1173">
        <f t="shared" si="1867"/>
        <v>0</v>
      </c>
      <c r="T1242" s="800">
        <f t="shared" si="1867"/>
        <v>0</v>
      </c>
      <c r="U1242" s="800">
        <f t="shared" si="1867"/>
        <v>0</v>
      </c>
      <c r="V1242" s="800">
        <f t="shared" si="1867"/>
        <v>0</v>
      </c>
      <c r="W1242" s="800">
        <f t="shared" si="1867"/>
        <v>0</v>
      </c>
      <c r="X1242" s="800">
        <f t="shared" si="1867"/>
        <v>0</v>
      </c>
      <c r="Y1242" s="800">
        <f t="shared" si="1867"/>
        <v>0</v>
      </c>
      <c r="Z1242" s="800">
        <f t="shared" si="1867"/>
        <v>0</v>
      </c>
      <c r="AA1242" s="800">
        <f t="shared" si="1867"/>
        <v>0</v>
      </c>
      <c r="AB1242" s="800">
        <f t="shared" si="1867"/>
        <v>0</v>
      </c>
      <c r="AC1242" s="800">
        <f t="shared" si="1867"/>
        <v>0</v>
      </c>
      <c r="AD1242" s="800">
        <f t="shared" si="1867"/>
        <v>0</v>
      </c>
      <c r="AE1242" s="858">
        <f t="shared" si="1853"/>
        <v>0</v>
      </c>
      <c r="AF1242" s="796">
        <f t="shared" si="1854"/>
        <v>0</v>
      </c>
      <c r="AG1242" s="796">
        <f t="shared" si="1855"/>
        <v>0</v>
      </c>
      <c r="AH1242" s="852">
        <f t="shared" si="1856"/>
        <v>0</v>
      </c>
      <c r="AI1242" s="852">
        <f t="shared" si="1857"/>
        <v>0</v>
      </c>
      <c r="AJ1242" s="796">
        <f t="shared" si="1858"/>
        <v>0</v>
      </c>
      <c r="AK1242" s="848">
        <f t="shared" si="1859"/>
        <v>0</v>
      </c>
      <c r="AL1242" s="621"/>
    </row>
    <row r="1243" spans="1:38" s="517" customFormat="1" ht="14.25" customHeight="1">
      <c r="A1243" s="1693">
        <f t="shared" si="1846"/>
        <v>1226</v>
      </c>
      <c r="B1243" s="616">
        <v>1</v>
      </c>
      <c r="C1243" s="1693">
        <f t="shared" si="1863"/>
        <v>1243</v>
      </c>
      <c r="D1243" s="616">
        <v>1</v>
      </c>
      <c r="E1243" s="1069"/>
      <c r="F1243" s="1069"/>
      <c r="G1243" s="1568"/>
      <c r="J1243" s="840"/>
      <c r="O1243" s="840"/>
      <c r="P1243" s="843"/>
      <c r="Q1243" s="843" t="s">
        <v>417</v>
      </c>
      <c r="R1243" s="1823" t="str">
        <f>CHOOSE(2, "6722000004144", "Total GP Office Office Solution")</f>
        <v>Total GP Office Office Solution</v>
      </c>
      <c r="S1243" s="1174">
        <f>S1221+S1232</f>
        <v>0</v>
      </c>
      <c r="T1243" s="801">
        <f t="shared" si="1867"/>
        <v>0</v>
      </c>
      <c r="U1243" s="801">
        <f t="shared" si="1867"/>
        <v>0</v>
      </c>
      <c r="V1243" s="801">
        <f t="shared" si="1867"/>
        <v>0</v>
      </c>
      <c r="W1243" s="801">
        <f t="shared" si="1867"/>
        <v>0</v>
      </c>
      <c r="X1243" s="801">
        <f t="shared" si="1867"/>
        <v>0</v>
      </c>
      <c r="Y1243" s="801">
        <f t="shared" si="1867"/>
        <v>0</v>
      </c>
      <c r="Z1243" s="801">
        <f t="shared" si="1867"/>
        <v>0</v>
      </c>
      <c r="AA1243" s="801">
        <f t="shared" si="1867"/>
        <v>0</v>
      </c>
      <c r="AB1243" s="801">
        <f t="shared" si="1867"/>
        <v>0</v>
      </c>
      <c r="AC1243" s="801">
        <f t="shared" si="1867"/>
        <v>0</v>
      </c>
      <c r="AD1243" s="801">
        <f t="shared" si="1867"/>
        <v>0</v>
      </c>
      <c r="AE1243" s="859">
        <f t="shared" si="1853"/>
        <v>0</v>
      </c>
      <c r="AF1243" s="797">
        <f t="shared" si="1854"/>
        <v>0</v>
      </c>
      <c r="AG1243" s="797">
        <f t="shared" si="1855"/>
        <v>0</v>
      </c>
      <c r="AH1243" s="853">
        <f t="shared" si="1856"/>
        <v>0</v>
      </c>
      <c r="AI1243" s="853">
        <f t="shared" si="1857"/>
        <v>0</v>
      </c>
      <c r="AJ1243" s="797">
        <f t="shared" si="1858"/>
        <v>0</v>
      </c>
      <c r="AK1243" s="849">
        <f t="shared" si="1859"/>
        <v>0</v>
      </c>
      <c r="AL1243" s="621"/>
    </row>
    <row r="1244" spans="1:38" s="517" customFormat="1" ht="14.25" customHeight="1">
      <c r="A1244" s="1693">
        <f t="shared" si="1846"/>
        <v>1227</v>
      </c>
      <c r="B1244" s="616">
        <v>1</v>
      </c>
      <c r="C1244" s="1693">
        <f t="shared" si="1863"/>
        <v>1244</v>
      </c>
      <c r="D1244" s="616">
        <v>1</v>
      </c>
      <c r="E1244" s="1069"/>
      <c r="F1244" s="1069"/>
      <c r="G1244" s="519"/>
      <c r="J1244" s="840"/>
      <c r="O1244" s="840"/>
      <c r="P1244" s="843" t="s">
        <v>563</v>
      </c>
      <c r="Q1244" s="843"/>
      <c r="R1244" s="1823" t="str">
        <f>CHOOSE(2, "6722000004145", "Total GP DW-DX")</f>
        <v>Total GP DW-DX</v>
      </c>
      <c r="S1244" s="1174">
        <f>S1222+S1233</f>
        <v>0</v>
      </c>
      <c r="T1244" s="801">
        <f t="shared" si="1867"/>
        <v>0</v>
      </c>
      <c r="U1244" s="801">
        <f t="shared" si="1867"/>
        <v>0</v>
      </c>
      <c r="V1244" s="801">
        <f t="shared" si="1867"/>
        <v>0</v>
      </c>
      <c r="W1244" s="801">
        <f t="shared" si="1867"/>
        <v>0</v>
      </c>
      <c r="X1244" s="801">
        <f t="shared" si="1867"/>
        <v>0</v>
      </c>
      <c r="Y1244" s="801">
        <f t="shared" si="1867"/>
        <v>0</v>
      </c>
      <c r="Z1244" s="801">
        <f t="shared" si="1867"/>
        <v>0</v>
      </c>
      <c r="AA1244" s="801">
        <f t="shared" si="1867"/>
        <v>0</v>
      </c>
      <c r="AB1244" s="801">
        <f t="shared" si="1867"/>
        <v>0</v>
      </c>
      <c r="AC1244" s="801">
        <f t="shared" si="1867"/>
        <v>0</v>
      </c>
      <c r="AD1244" s="801">
        <f t="shared" si="1867"/>
        <v>0</v>
      </c>
      <c r="AE1244" s="859">
        <f t="shared" si="1853"/>
        <v>0</v>
      </c>
      <c r="AF1244" s="797">
        <f t="shared" si="1854"/>
        <v>0</v>
      </c>
      <c r="AG1244" s="797">
        <f t="shared" si="1855"/>
        <v>0</v>
      </c>
      <c r="AH1244" s="853">
        <f t="shared" si="1856"/>
        <v>0</v>
      </c>
      <c r="AI1244" s="853">
        <f t="shared" si="1857"/>
        <v>0</v>
      </c>
      <c r="AJ1244" s="797">
        <f t="shared" si="1858"/>
        <v>0</v>
      </c>
      <c r="AK1244" s="849">
        <f t="shared" si="1859"/>
        <v>0</v>
      </c>
      <c r="AL1244" s="621"/>
    </row>
    <row r="1245" spans="1:38" s="517" customFormat="1" ht="14.25" customHeight="1">
      <c r="A1245" s="1693">
        <f t="shared" si="1846"/>
        <v>1228</v>
      </c>
      <c r="B1245" s="616">
        <v>1</v>
      </c>
      <c r="C1245" s="1693">
        <f t="shared" si="1863"/>
        <v>1245</v>
      </c>
      <c r="D1245" s="616">
        <v>1</v>
      </c>
      <c r="E1245" s="1069"/>
      <c r="F1245" s="1069"/>
      <c r="G1245" s="519"/>
      <c r="J1245" s="844"/>
      <c r="K1245" s="834"/>
      <c r="L1245" s="834"/>
      <c r="M1245" s="834"/>
      <c r="N1245" s="834"/>
      <c r="O1245" s="844"/>
      <c r="P1245" s="845" t="s">
        <v>664</v>
      </c>
      <c r="Q1245" s="845"/>
      <c r="R1245" s="1823" t="str">
        <f>CHOOSE(2, "6722000004146", "Total GP Total")</f>
        <v>Total GP Total</v>
      </c>
      <c r="S1245" s="1172">
        <f>SUM(S1241:S1244)</f>
        <v>0</v>
      </c>
      <c r="T1245" s="798">
        <f t="shared" ref="T1245:AD1245" si="1868">SUM(T1241:T1244)</f>
        <v>0</v>
      </c>
      <c r="U1245" s="798">
        <f t="shared" si="1868"/>
        <v>0</v>
      </c>
      <c r="V1245" s="798">
        <f t="shared" si="1868"/>
        <v>0</v>
      </c>
      <c r="W1245" s="798">
        <f t="shared" si="1868"/>
        <v>0</v>
      </c>
      <c r="X1245" s="798">
        <f t="shared" si="1868"/>
        <v>0</v>
      </c>
      <c r="Y1245" s="798">
        <f t="shared" si="1868"/>
        <v>0</v>
      </c>
      <c r="Z1245" s="798">
        <f t="shared" si="1868"/>
        <v>0</v>
      </c>
      <c r="AA1245" s="798">
        <f t="shared" si="1868"/>
        <v>0</v>
      </c>
      <c r="AB1245" s="798">
        <f t="shared" si="1868"/>
        <v>0</v>
      </c>
      <c r="AC1245" s="798">
        <f t="shared" si="1868"/>
        <v>0</v>
      </c>
      <c r="AD1245" s="798">
        <f t="shared" si="1868"/>
        <v>0</v>
      </c>
      <c r="AE1245" s="860">
        <f t="shared" si="1853"/>
        <v>0</v>
      </c>
      <c r="AF1245" s="799">
        <f t="shared" si="1854"/>
        <v>0</v>
      </c>
      <c r="AG1245" s="799">
        <f t="shared" si="1855"/>
        <v>0</v>
      </c>
      <c r="AH1245" s="799">
        <f t="shared" si="1856"/>
        <v>0</v>
      </c>
      <c r="AI1245" s="799">
        <f t="shared" si="1857"/>
        <v>0</v>
      </c>
      <c r="AJ1245" s="799">
        <f t="shared" si="1858"/>
        <v>0</v>
      </c>
      <c r="AK1245" s="798">
        <f t="shared" si="1859"/>
        <v>0</v>
      </c>
      <c r="AL1245" s="621"/>
    </row>
    <row r="1246" spans="1:38" s="517" customFormat="1" ht="14.25" customHeight="1">
      <c r="A1246" s="1693">
        <f t="shared" si="1846"/>
        <v>1229</v>
      </c>
      <c r="B1246" s="616">
        <v>1</v>
      </c>
      <c r="C1246" s="1693">
        <f t="shared" si="1863"/>
        <v>1246</v>
      </c>
      <c r="D1246" s="616">
        <v>1</v>
      </c>
      <c r="E1246" s="1069"/>
      <c r="F1246" s="1069"/>
      <c r="G1246" s="519"/>
      <c r="J1246" s="837" t="s">
        <v>668</v>
      </c>
      <c r="K1246" s="833"/>
      <c r="L1246" s="833"/>
      <c r="M1246" s="833"/>
      <c r="N1246" s="833"/>
      <c r="O1246" s="841"/>
      <c r="P1246" s="841" t="s">
        <v>28</v>
      </c>
      <c r="Q1246" s="841"/>
      <c r="R1246" s="1781" t="str">
        <f>CHOOSE(2, "6722000004147", "S.G.&amp;A. Expenses GP Wages &amp; Salaries")</f>
        <v>S.G.&amp;A. Expenses GP Wages &amp; Salaries</v>
      </c>
      <c r="S1246" s="2991"/>
      <c r="T1246" s="2992"/>
      <c r="U1246" s="2992"/>
      <c r="V1246" s="2992"/>
      <c r="W1246" s="2992"/>
      <c r="X1246" s="2992"/>
      <c r="Y1246" s="2992"/>
      <c r="Z1246" s="2992"/>
      <c r="AA1246" s="2992"/>
      <c r="AB1246" s="2992"/>
      <c r="AC1246" s="2992"/>
      <c r="AD1246" s="2992"/>
      <c r="AE1246" s="857">
        <f t="shared" si="1853"/>
        <v>0</v>
      </c>
      <c r="AF1246" s="855">
        <f t="shared" si="1854"/>
        <v>0</v>
      </c>
      <c r="AG1246" s="855">
        <f t="shared" si="1855"/>
        <v>0</v>
      </c>
      <c r="AH1246" s="856">
        <f t="shared" si="1856"/>
        <v>0</v>
      </c>
      <c r="AI1246" s="856">
        <f t="shared" si="1857"/>
        <v>0</v>
      </c>
      <c r="AJ1246" s="855">
        <f t="shared" si="1858"/>
        <v>0</v>
      </c>
      <c r="AK1246" s="857">
        <f t="shared" si="1859"/>
        <v>0</v>
      </c>
      <c r="AL1246" s="621"/>
    </row>
    <row r="1247" spans="1:38" s="517" customFormat="1" ht="14.25" customHeight="1">
      <c r="A1247" s="1693">
        <f t="shared" si="1846"/>
        <v>1230</v>
      </c>
      <c r="B1247" s="616">
        <v>1</v>
      </c>
      <c r="C1247" s="1693">
        <f t="shared" si="1863"/>
        <v>1247</v>
      </c>
      <c r="D1247" s="616">
        <v>1</v>
      </c>
      <c r="E1247" s="1069"/>
      <c r="F1247" s="1069"/>
      <c r="G1247" s="519"/>
      <c r="J1247" s="840"/>
      <c r="O1247" s="842"/>
      <c r="P1247" s="842" t="s">
        <v>63</v>
      </c>
      <c r="Q1247" s="842"/>
      <c r="R1247" s="1781" t="str">
        <f>CHOOSE(2, "6722000004148", "S.G.&amp;A. Expenses GP Variable Expenses")</f>
        <v>S.G.&amp;A. Expenses GP Variable Expenses</v>
      </c>
      <c r="S1247" s="2991"/>
      <c r="T1247" s="2992"/>
      <c r="U1247" s="2992"/>
      <c r="V1247" s="2992"/>
      <c r="W1247" s="2992"/>
      <c r="X1247" s="2992"/>
      <c r="Y1247" s="2992"/>
      <c r="Z1247" s="2992"/>
      <c r="AA1247" s="2992"/>
      <c r="AB1247" s="2992"/>
      <c r="AC1247" s="2992"/>
      <c r="AD1247" s="2992"/>
      <c r="AE1247" s="858">
        <f t="shared" si="1853"/>
        <v>0</v>
      </c>
      <c r="AF1247" s="796">
        <f t="shared" si="1854"/>
        <v>0</v>
      </c>
      <c r="AG1247" s="796">
        <f t="shared" si="1855"/>
        <v>0</v>
      </c>
      <c r="AH1247" s="852">
        <f t="shared" si="1856"/>
        <v>0</v>
      </c>
      <c r="AI1247" s="852">
        <f t="shared" si="1857"/>
        <v>0</v>
      </c>
      <c r="AJ1247" s="796">
        <f t="shared" si="1858"/>
        <v>0</v>
      </c>
      <c r="AK1247" s="858">
        <f t="shared" si="1859"/>
        <v>0</v>
      </c>
      <c r="AL1247" s="621"/>
    </row>
    <row r="1248" spans="1:38" s="517" customFormat="1" ht="14.25" customHeight="1">
      <c r="A1248" s="1693">
        <f t="shared" si="1846"/>
        <v>1231</v>
      </c>
      <c r="B1248" s="616">
        <v>1</v>
      </c>
      <c r="C1248" s="1693">
        <f t="shared" si="1863"/>
        <v>1248</v>
      </c>
      <c r="D1248" s="616">
        <v>1</v>
      </c>
      <c r="E1248" s="1069"/>
      <c r="F1248" s="1069"/>
      <c r="G1248" s="519"/>
      <c r="J1248" s="840"/>
      <c r="O1248" s="842"/>
      <c r="P1248" s="843" t="s">
        <v>62</v>
      </c>
      <c r="Q1248" s="843"/>
      <c r="R1248" s="1781" t="str">
        <f>CHOOSE(2, "6722000004149", "S.G.&amp;A. Expenses GP Fixed Expenses")</f>
        <v>S.G.&amp;A. Expenses GP Fixed Expenses</v>
      </c>
      <c r="S1248" s="2993"/>
      <c r="T1248" s="2994"/>
      <c r="U1248" s="2994"/>
      <c r="V1248" s="2994"/>
      <c r="W1248" s="2994"/>
      <c r="X1248" s="2994"/>
      <c r="Y1248" s="2994"/>
      <c r="Z1248" s="2994"/>
      <c r="AA1248" s="2994"/>
      <c r="AB1248" s="2994"/>
      <c r="AC1248" s="2994"/>
      <c r="AD1248" s="2994"/>
      <c r="AE1248" s="859">
        <f t="shared" si="1853"/>
        <v>0</v>
      </c>
      <c r="AF1248" s="797">
        <f t="shared" si="1854"/>
        <v>0</v>
      </c>
      <c r="AG1248" s="797">
        <f t="shared" si="1855"/>
        <v>0</v>
      </c>
      <c r="AH1248" s="853">
        <f t="shared" si="1856"/>
        <v>0</v>
      </c>
      <c r="AI1248" s="853">
        <f t="shared" si="1857"/>
        <v>0</v>
      </c>
      <c r="AJ1248" s="797">
        <f t="shared" si="1858"/>
        <v>0</v>
      </c>
      <c r="AK1248" s="859">
        <f t="shared" si="1859"/>
        <v>0</v>
      </c>
      <c r="AL1248" s="621"/>
    </row>
    <row r="1249" spans="1:38" s="517" customFormat="1" ht="14.25" customHeight="1">
      <c r="A1249" s="1693">
        <f t="shared" si="1846"/>
        <v>1232</v>
      </c>
      <c r="B1249" s="616">
        <v>1</v>
      </c>
      <c r="C1249" s="1693">
        <f t="shared" si="1863"/>
        <v>1249</v>
      </c>
      <c r="D1249" s="616">
        <v>1</v>
      </c>
      <c r="E1249" s="1069"/>
      <c r="F1249" s="1069"/>
      <c r="G1249" s="519"/>
      <c r="J1249" s="844"/>
      <c r="K1249" s="834"/>
      <c r="L1249" s="834"/>
      <c r="M1249" s="834"/>
      <c r="N1249" s="834"/>
      <c r="O1249" s="845"/>
      <c r="P1249" s="845" t="s">
        <v>601</v>
      </c>
      <c r="Q1249" s="845"/>
      <c r="R1249" s="1782" t="str">
        <f>CHOOSE(2, "6722000004150", "S.G.&amp;A. Expenses GP Total")</f>
        <v>S.G.&amp;A. Expenses GP Total</v>
      </c>
      <c r="S1249" s="854">
        <f>SUM(S1246:S1248)</f>
        <v>0</v>
      </c>
      <c r="T1249" s="799">
        <f t="shared" ref="T1249:AD1249" si="1869">SUM(T1246:T1248)</f>
        <v>0</v>
      </c>
      <c r="U1249" s="799">
        <f t="shared" si="1869"/>
        <v>0</v>
      </c>
      <c r="V1249" s="799">
        <f t="shared" si="1869"/>
        <v>0</v>
      </c>
      <c r="W1249" s="799">
        <f t="shared" si="1869"/>
        <v>0</v>
      </c>
      <c r="X1249" s="799">
        <f t="shared" si="1869"/>
        <v>0</v>
      </c>
      <c r="Y1249" s="799">
        <f t="shared" si="1869"/>
        <v>0</v>
      </c>
      <c r="Z1249" s="799">
        <f t="shared" si="1869"/>
        <v>0</v>
      </c>
      <c r="AA1249" s="799">
        <f t="shared" si="1869"/>
        <v>0</v>
      </c>
      <c r="AB1249" s="799">
        <f t="shared" si="1869"/>
        <v>0</v>
      </c>
      <c r="AC1249" s="799">
        <f t="shared" si="1869"/>
        <v>0</v>
      </c>
      <c r="AD1249" s="799">
        <f t="shared" si="1869"/>
        <v>0</v>
      </c>
      <c r="AE1249" s="860">
        <f t="shared" si="1853"/>
        <v>0</v>
      </c>
      <c r="AF1249" s="799">
        <f t="shared" si="1854"/>
        <v>0</v>
      </c>
      <c r="AG1249" s="799">
        <f t="shared" si="1855"/>
        <v>0</v>
      </c>
      <c r="AH1249" s="854">
        <f t="shared" si="1856"/>
        <v>0</v>
      </c>
      <c r="AI1249" s="854">
        <f t="shared" si="1857"/>
        <v>0</v>
      </c>
      <c r="AJ1249" s="799">
        <f t="shared" si="1858"/>
        <v>0</v>
      </c>
      <c r="AK1249" s="860">
        <f t="shared" si="1859"/>
        <v>0</v>
      </c>
      <c r="AL1249" s="621"/>
    </row>
    <row r="1250" spans="1:38" s="517" customFormat="1" ht="14.25" customHeight="1">
      <c r="A1250" s="1693">
        <f t="shared" si="1846"/>
        <v>1233</v>
      </c>
      <c r="B1250" s="616">
        <v>1</v>
      </c>
      <c r="C1250" s="1693">
        <f t="shared" si="1863"/>
        <v>1250</v>
      </c>
      <c r="D1250" s="616">
        <v>1</v>
      </c>
      <c r="E1250" s="1069"/>
      <c r="F1250" s="1069"/>
      <c r="G1250" s="519"/>
      <c r="J1250" s="516"/>
      <c r="K1250" s="516"/>
      <c r="L1250" s="516"/>
      <c r="M1250" s="516"/>
      <c r="N1250" s="516"/>
      <c r="O1250" s="516"/>
      <c r="P1250" s="516"/>
      <c r="Q1250" s="516"/>
      <c r="R1250" s="1837" t="str">
        <f>CHOOSE(2, "6722000004151", "▷ Blank 46")</f>
        <v>▷ Blank 46</v>
      </c>
      <c r="AL1250" s="621"/>
    </row>
    <row r="1251" spans="1:38" s="621" customFormat="1" ht="18" hidden="1" outlineLevel="1">
      <c r="A1251" s="1693">
        <f t="shared" si="1846"/>
        <v>1234</v>
      </c>
      <c r="B1251" s="653"/>
      <c r="C1251" s="1693">
        <f t="shared" si="1863"/>
        <v>1251</v>
      </c>
      <c r="D1251" s="653"/>
      <c r="E1251" s="709" t="s">
        <v>512</v>
      </c>
      <c r="F1251" s="1069"/>
      <c r="G1251" s="654" t="s">
        <v>694</v>
      </c>
      <c r="H1251" s="654"/>
      <c r="I1251" s="623"/>
      <c r="J1251" s="622"/>
      <c r="L1251" s="622"/>
      <c r="M1251" s="622"/>
      <c r="R1251" s="1772" t="str">
        <f>CHOOSE(2, "6722000004152", "8. Rolling forecast only")</f>
        <v>8. Rolling forecast only</v>
      </c>
      <c r="S1251" s="1661"/>
      <c r="T1251" s="1661"/>
      <c r="U1251" s="1661"/>
      <c r="V1251" s="1661"/>
      <c r="W1251" s="1661"/>
      <c r="X1251" s="1661"/>
      <c r="Y1251" s="1661"/>
      <c r="Z1251" s="1661"/>
      <c r="AA1251" s="1661"/>
      <c r="AB1251" s="1661"/>
      <c r="AC1251" s="624"/>
      <c r="AD1251" s="624"/>
      <c r="AE1251" s="624"/>
      <c r="AF1251" s="624"/>
      <c r="AG1251" s="624"/>
      <c r="AH1251" s="624"/>
      <c r="AI1251" s="624"/>
      <c r="AJ1251" s="624"/>
      <c r="AK1251" s="624"/>
    </row>
    <row r="1252" spans="1:38" s="621" customFormat="1" ht="14.5" hidden="1" outlineLevel="1">
      <c r="A1252" s="1693">
        <f t="shared" si="1846"/>
        <v>1235</v>
      </c>
      <c r="B1252" s="653"/>
      <c r="C1252" s="1693">
        <f t="shared" si="1863"/>
        <v>1252</v>
      </c>
      <c r="D1252" s="653"/>
      <c r="E1252" s="709" t="s">
        <v>512</v>
      </c>
      <c r="F1252" s="1069"/>
      <c r="G1252" s="622"/>
      <c r="H1252" s="623" t="s">
        <v>695</v>
      </c>
      <c r="I1252" s="622"/>
      <c r="J1252" s="622"/>
      <c r="L1252" s="622"/>
      <c r="M1252" s="622"/>
      <c r="Q1252" s="622"/>
      <c r="R1252" s="1772" t="str">
        <f>CHOOSE(2, "6722000004153", "8-1. Depreciation &amp; Amortization")</f>
        <v>8-1. Depreciation &amp; Amortization</v>
      </c>
      <c r="S1252" s="1661"/>
      <c r="T1252" s="1661"/>
      <c r="U1252" s="1661"/>
      <c r="V1252" s="1661"/>
      <c r="W1252" s="1661"/>
      <c r="X1252" s="1661"/>
      <c r="Y1252" s="1661"/>
      <c r="Z1252" s="1661"/>
      <c r="AA1252" s="1661"/>
      <c r="AB1252" s="1661"/>
      <c r="AC1252" s="624"/>
      <c r="AD1252" s="624"/>
      <c r="AE1252" s="624"/>
      <c r="AF1252" s="624"/>
      <c r="AG1252" s="624"/>
      <c r="AH1252" s="624"/>
      <c r="AI1252" s="624"/>
      <c r="AJ1252" s="624"/>
      <c r="AK1252" s="624"/>
    </row>
    <row r="1253" spans="1:38" s="621" customFormat="1" ht="14.5" hidden="1" outlineLevel="1">
      <c r="A1253" s="1693">
        <f t="shared" si="1846"/>
        <v>1236</v>
      </c>
      <c r="B1253" s="653"/>
      <c r="C1253" s="1693">
        <f t="shared" si="1863"/>
        <v>1253</v>
      </c>
      <c r="D1253" s="653"/>
      <c r="E1253" s="709" t="s">
        <v>512</v>
      </c>
      <c r="F1253" s="1069"/>
      <c r="G1253" s="622"/>
      <c r="H1253" s="623"/>
      <c r="I1253" s="622"/>
      <c r="J1253" s="655" t="s">
        <v>444</v>
      </c>
      <c r="K1253" s="656"/>
      <c r="L1253" s="657"/>
      <c r="M1253" s="657"/>
      <c r="N1253" s="656"/>
      <c r="O1253" s="656"/>
      <c r="P1253" s="656"/>
      <c r="Q1253" s="658"/>
      <c r="R1253" s="1839" t="str">
        <f>CHOOSE(2, "6722000004154", "D&amp;A Total")</f>
        <v>D&amp;A Total</v>
      </c>
      <c r="S1253" s="1336">
        <v>0</v>
      </c>
      <c r="T1253" s="1336">
        <v>0</v>
      </c>
      <c r="U1253" s="1336">
        <v>0</v>
      </c>
      <c r="V1253" s="1336">
        <v>0</v>
      </c>
      <c r="W1253" s="1336">
        <v>0</v>
      </c>
      <c r="X1253" s="1336">
        <v>0</v>
      </c>
      <c r="Y1253" s="1336">
        <v>0</v>
      </c>
      <c r="Z1253" s="1336">
        <v>0</v>
      </c>
      <c r="AA1253" s="1336">
        <v>0</v>
      </c>
      <c r="AB1253" s="1336">
        <v>0</v>
      </c>
      <c r="AC1253" s="1336">
        <v>0</v>
      </c>
      <c r="AD1253" s="1336">
        <v>0</v>
      </c>
      <c r="AE1253" s="659">
        <f>SUM(S1253:U1253)</f>
        <v>0</v>
      </c>
      <c r="AF1253" s="659">
        <f>SUM(V1253:X1253)</f>
        <v>0</v>
      </c>
      <c r="AG1253" s="659">
        <f>SUM(Y1253:AA1253)</f>
        <v>0</v>
      </c>
      <c r="AH1253" s="659">
        <f>SUM(AB1253:AD1253)</f>
        <v>0</v>
      </c>
      <c r="AI1253" s="659">
        <f>AE1253+AF1253</f>
        <v>0</v>
      </c>
      <c r="AJ1253" s="659">
        <f>AH1253+AG1253</f>
        <v>0</v>
      </c>
      <c r="AK1253" s="659">
        <f>AI1253+AJ1253</f>
        <v>0</v>
      </c>
    </row>
    <row r="1254" spans="1:38" s="621" customFormat="1" ht="14.5" hidden="1" outlineLevel="1">
      <c r="A1254" s="1693">
        <f t="shared" si="1846"/>
        <v>1237</v>
      </c>
      <c r="B1254" s="653"/>
      <c r="C1254" s="1693">
        <f t="shared" si="1863"/>
        <v>1254</v>
      </c>
      <c r="D1254" s="653"/>
      <c r="E1254" s="709" t="s">
        <v>512</v>
      </c>
      <c r="F1254" s="1069"/>
      <c r="G1254" s="622"/>
      <c r="H1254" s="623"/>
      <c r="I1254" s="622"/>
      <c r="J1254" s="660"/>
      <c r="K1254" s="661" t="s">
        <v>445</v>
      </c>
      <c r="L1254" s="662"/>
      <c r="M1254" s="662"/>
      <c r="N1254" s="663"/>
      <c r="O1254" s="663"/>
      <c r="P1254" s="663"/>
      <c r="Q1254" s="664"/>
      <c r="R1254" s="1784" t="str">
        <f>CHOOSE(2, "6722000004155", "D&amp;A Total Depreciation &amp; Amortization  included in COCS")</f>
        <v>D&amp;A Total Depreciation &amp; Amortization  included in COCS</v>
      </c>
      <c r="S1254" s="1337">
        <f t="shared" ref="S1254:AD1254" si="1870">S846</f>
        <v>0</v>
      </c>
      <c r="T1254" s="1337">
        <f t="shared" si="1870"/>
        <v>0</v>
      </c>
      <c r="U1254" s="1337">
        <f t="shared" si="1870"/>
        <v>0</v>
      </c>
      <c r="V1254" s="1337">
        <f t="shared" si="1870"/>
        <v>0</v>
      </c>
      <c r="W1254" s="1337">
        <f t="shared" si="1870"/>
        <v>0</v>
      </c>
      <c r="X1254" s="1337">
        <f t="shared" si="1870"/>
        <v>0</v>
      </c>
      <c r="Y1254" s="1337">
        <f t="shared" si="1870"/>
        <v>0</v>
      </c>
      <c r="Z1254" s="1337">
        <f t="shared" si="1870"/>
        <v>0</v>
      </c>
      <c r="AA1254" s="1337">
        <f t="shared" si="1870"/>
        <v>0</v>
      </c>
      <c r="AB1254" s="1337">
        <f t="shared" si="1870"/>
        <v>0</v>
      </c>
      <c r="AC1254" s="1337">
        <f t="shared" si="1870"/>
        <v>0</v>
      </c>
      <c r="AD1254" s="1337">
        <f t="shared" si="1870"/>
        <v>0</v>
      </c>
      <c r="AE1254" s="665">
        <f>SUM(S1254:U1254)</f>
        <v>0</v>
      </c>
      <c r="AF1254" s="665">
        <f>SUM(V1254:X1254)</f>
        <v>0</v>
      </c>
      <c r="AG1254" s="665">
        <f>SUM(Y1254:AA1254)</f>
        <v>0</v>
      </c>
      <c r="AH1254" s="665">
        <f>SUM(AB1254:AD1254)</f>
        <v>0</v>
      </c>
      <c r="AI1254" s="665">
        <f>AE1254+AF1254</f>
        <v>0</v>
      </c>
      <c r="AJ1254" s="665">
        <f>AH1254+AG1254</f>
        <v>0</v>
      </c>
      <c r="AK1254" s="665">
        <f>AI1254+AJ1254</f>
        <v>0</v>
      </c>
    </row>
    <row r="1255" spans="1:38" s="621" customFormat="1" ht="14.5" hidden="1" outlineLevel="1">
      <c r="A1255" s="1693">
        <f t="shared" si="1846"/>
        <v>1238</v>
      </c>
      <c r="B1255" s="653"/>
      <c r="C1255" s="1693">
        <f t="shared" si="1863"/>
        <v>1255</v>
      </c>
      <c r="D1255" s="653"/>
      <c r="E1255" s="709" t="s">
        <v>512</v>
      </c>
      <c r="F1255" s="1069"/>
      <c r="G1255" s="622"/>
      <c r="H1255" s="623"/>
      <c r="I1255" s="623"/>
      <c r="J1255" s="666"/>
      <c r="K1255" s="667" t="s">
        <v>446</v>
      </c>
      <c r="L1255" s="668"/>
      <c r="M1255" s="668"/>
      <c r="N1255" s="669"/>
      <c r="O1255" s="669"/>
      <c r="P1255" s="669"/>
      <c r="Q1255" s="670"/>
      <c r="R1255" s="1784" t="str">
        <f>CHOOSE(2, "6722000004156", "D&amp;A Total Depreciation &amp; Amortization  included in SGA")</f>
        <v>D&amp;A Total Depreciation &amp; Amortization  included in SGA</v>
      </c>
      <c r="S1255" s="1338">
        <f>S1253-S1254</f>
        <v>0</v>
      </c>
      <c r="T1255" s="1338">
        <f t="shared" ref="T1255:AD1255" si="1871">T1253-T1254</f>
        <v>0</v>
      </c>
      <c r="U1255" s="1338">
        <f t="shared" si="1871"/>
        <v>0</v>
      </c>
      <c r="V1255" s="1338">
        <f t="shared" si="1871"/>
        <v>0</v>
      </c>
      <c r="W1255" s="1338">
        <f t="shared" si="1871"/>
        <v>0</v>
      </c>
      <c r="X1255" s="1338">
        <f t="shared" si="1871"/>
        <v>0</v>
      </c>
      <c r="Y1255" s="1338">
        <f t="shared" si="1871"/>
        <v>0</v>
      </c>
      <c r="Z1255" s="1338">
        <f t="shared" si="1871"/>
        <v>0</v>
      </c>
      <c r="AA1255" s="1338">
        <f t="shared" si="1871"/>
        <v>0</v>
      </c>
      <c r="AB1255" s="1338">
        <f t="shared" si="1871"/>
        <v>0</v>
      </c>
      <c r="AC1255" s="1338">
        <f t="shared" si="1871"/>
        <v>0</v>
      </c>
      <c r="AD1255" s="1338">
        <f t="shared" si="1871"/>
        <v>0</v>
      </c>
      <c r="AE1255" s="671">
        <f>SUM(S1255:U1255)</f>
        <v>0</v>
      </c>
      <c r="AF1255" s="671">
        <f>SUM(V1255:X1255)</f>
        <v>0</v>
      </c>
      <c r="AG1255" s="671">
        <f>SUM(Y1255:AA1255)</f>
        <v>0</v>
      </c>
      <c r="AH1255" s="671">
        <f>SUM(AB1255:AD1255)</f>
        <v>0</v>
      </c>
      <c r="AI1255" s="671">
        <f>AE1255+AF1255</f>
        <v>0</v>
      </c>
      <c r="AJ1255" s="671">
        <f>AH1255+AG1255</f>
        <v>0</v>
      </c>
      <c r="AK1255" s="671">
        <f>AI1255+AJ1255</f>
        <v>0</v>
      </c>
    </row>
    <row r="1256" spans="1:38" s="621" customFormat="1" ht="14.5" hidden="1" outlineLevel="1">
      <c r="A1256" s="1693">
        <f t="shared" si="1846"/>
        <v>1239</v>
      </c>
      <c r="B1256" s="653"/>
      <c r="C1256" s="1693">
        <f t="shared" si="1863"/>
        <v>1256</v>
      </c>
      <c r="D1256" s="653"/>
      <c r="E1256" s="709" t="s">
        <v>512</v>
      </c>
      <c r="F1256" s="1069"/>
      <c r="G1256" s="622"/>
      <c r="H1256" s="622"/>
      <c r="I1256" s="623"/>
      <c r="J1256" s="622"/>
      <c r="L1256" s="622"/>
      <c r="M1256" s="622"/>
      <c r="R1256" s="1772" t="str">
        <f>CHOOSE(2, "6722000004157", "▷ Blank 47")</f>
        <v>▷ Blank 47</v>
      </c>
      <c r="S1256" s="1661"/>
      <c r="T1256" s="1661"/>
      <c r="U1256" s="1661"/>
      <c r="V1256" s="1661"/>
      <c r="W1256" s="1661"/>
      <c r="X1256" s="1661"/>
      <c r="Y1256" s="1661"/>
      <c r="Z1256" s="1661"/>
      <c r="AA1256" s="1661"/>
      <c r="AB1256" s="1661"/>
      <c r="AC1256" s="624"/>
      <c r="AD1256" s="624"/>
      <c r="AE1256" s="624"/>
      <c r="AF1256" s="624"/>
      <c r="AG1256" s="624"/>
      <c r="AH1256" s="624"/>
      <c r="AI1256" s="624"/>
      <c r="AJ1256" s="624"/>
      <c r="AK1256" s="624"/>
    </row>
    <row r="1257" spans="1:38" s="621" customFormat="1" ht="15.5" hidden="1" outlineLevel="1">
      <c r="A1257" s="1693">
        <f t="shared" si="1846"/>
        <v>1240</v>
      </c>
      <c r="B1257" s="653"/>
      <c r="C1257" s="1693">
        <f t="shared" si="1863"/>
        <v>1257</v>
      </c>
      <c r="D1257" s="653"/>
      <c r="E1257" s="709" t="s">
        <v>512</v>
      </c>
      <c r="F1257" s="1069"/>
      <c r="G1257" s="622"/>
      <c r="H1257" s="672" t="s">
        <v>696</v>
      </c>
      <c r="I1257" s="623"/>
      <c r="J1257" s="622"/>
      <c r="K1257" s="673"/>
      <c r="L1257" s="674"/>
      <c r="M1257" s="673"/>
      <c r="N1257" s="673"/>
      <c r="O1257" s="674"/>
      <c r="P1257" s="674"/>
      <c r="Q1257" s="674"/>
      <c r="R1257" s="1773" t="str">
        <f>CHOOSE(2, "6722000004158", "8-2. Notes and Accounts Receivable-Trade")</f>
        <v>8-2. Notes and Accounts Receivable-Trade</v>
      </c>
      <c r="S1257" s="1662"/>
      <c r="T1257" s="1662"/>
      <c r="U1257" s="1662"/>
      <c r="V1257" s="1662"/>
      <c r="W1257" s="1662"/>
      <c r="X1257" s="1662"/>
      <c r="Y1257" s="1663"/>
      <c r="Z1257" s="1663"/>
      <c r="AA1257" s="1663"/>
      <c r="AB1257" s="1663"/>
      <c r="AC1257" s="1663"/>
      <c r="AD1257" s="1663"/>
      <c r="AE1257" s="1663"/>
      <c r="AF1257" s="1663"/>
      <c r="AG1257" s="1663"/>
      <c r="AH1257" s="1663"/>
      <c r="AI1257" s="1663"/>
      <c r="AJ1257" s="1663"/>
      <c r="AK1257" s="1663"/>
    </row>
    <row r="1258" spans="1:38" s="621" customFormat="1" ht="14.5" hidden="1" outlineLevel="1">
      <c r="A1258" s="1693">
        <f t="shared" si="1846"/>
        <v>1241</v>
      </c>
      <c r="B1258" s="653"/>
      <c r="C1258" s="1693">
        <f t="shared" si="1863"/>
        <v>1258</v>
      </c>
      <c r="D1258" s="653"/>
      <c r="E1258" s="709" t="s">
        <v>512</v>
      </c>
      <c r="F1258" s="1069"/>
      <c r="G1258" s="622"/>
      <c r="H1258" s="623"/>
      <c r="I1258" s="623"/>
      <c r="J1258" s="675" t="s">
        <v>444</v>
      </c>
      <c r="K1258" s="676"/>
      <c r="L1258" s="677"/>
      <c r="M1258" s="678"/>
      <c r="N1258" s="678"/>
      <c r="O1258" s="677"/>
      <c r="P1258" s="677"/>
      <c r="Q1258" s="677"/>
      <c r="R1258" s="1786" t="str">
        <f>CHOOSE(2, "6722000004159", "Notes and Accounts Receivable-Trade Total")</f>
        <v>Notes and Accounts Receivable-Trade Total</v>
      </c>
      <c r="S1258" s="1664">
        <f>SUM(S1259:S1260)</f>
        <v>0</v>
      </c>
      <c r="T1258" s="1664">
        <f t="shared" ref="T1258:AD1258" si="1872">SUM(T1259:T1260)</f>
        <v>0</v>
      </c>
      <c r="U1258" s="1664">
        <f t="shared" si="1872"/>
        <v>0</v>
      </c>
      <c r="V1258" s="1664">
        <f t="shared" si="1872"/>
        <v>0</v>
      </c>
      <c r="W1258" s="1664">
        <f t="shared" si="1872"/>
        <v>0</v>
      </c>
      <c r="X1258" s="1664">
        <f t="shared" si="1872"/>
        <v>0</v>
      </c>
      <c r="Y1258" s="1664">
        <f t="shared" si="1872"/>
        <v>0</v>
      </c>
      <c r="Z1258" s="1664">
        <f t="shared" si="1872"/>
        <v>0</v>
      </c>
      <c r="AA1258" s="1664">
        <f t="shared" si="1872"/>
        <v>0</v>
      </c>
      <c r="AB1258" s="1664">
        <f t="shared" si="1872"/>
        <v>0</v>
      </c>
      <c r="AC1258" s="1664">
        <f t="shared" si="1872"/>
        <v>0</v>
      </c>
      <c r="AD1258" s="1664">
        <f t="shared" si="1872"/>
        <v>0</v>
      </c>
      <c r="AE1258" s="1665">
        <f>U1258</f>
        <v>0</v>
      </c>
      <c r="AF1258" s="1665">
        <f>X1258</f>
        <v>0</v>
      </c>
      <c r="AG1258" s="1665">
        <f>AA1258</f>
        <v>0</v>
      </c>
      <c r="AH1258" s="1665">
        <f>AD1258</f>
        <v>0</v>
      </c>
      <c r="AI1258" s="1665">
        <f>AF1258</f>
        <v>0</v>
      </c>
      <c r="AJ1258" s="1665">
        <f>AH1258</f>
        <v>0</v>
      </c>
      <c r="AK1258" s="1665">
        <f>AJ1258</f>
        <v>0</v>
      </c>
    </row>
    <row r="1259" spans="1:38" s="621" customFormat="1" ht="14.5" hidden="1" outlineLevel="1">
      <c r="A1259" s="1693">
        <f t="shared" si="1846"/>
        <v>1242</v>
      </c>
      <c r="B1259" s="653"/>
      <c r="C1259" s="1693">
        <f t="shared" si="1863"/>
        <v>1259</v>
      </c>
      <c r="D1259" s="653"/>
      <c r="E1259" s="709" t="s">
        <v>512</v>
      </c>
      <c r="F1259" s="1069"/>
      <c r="G1259" s="622"/>
      <c r="H1259" s="623"/>
      <c r="I1259" s="623"/>
      <c r="J1259" s="679"/>
      <c r="K1259" s="679"/>
      <c r="L1259" s="674"/>
      <c r="M1259" s="673"/>
      <c r="N1259" s="674" t="s">
        <v>447</v>
      </c>
      <c r="O1259" s="674"/>
      <c r="P1259" s="674"/>
      <c r="Q1259" s="674"/>
      <c r="R1259" s="1839" t="str">
        <f>CHOOSE(2, "6722000004160", "Notes and Accounts Receivable-Trade Total SS")</f>
        <v>Notes and Accounts Receivable-Trade Total SS</v>
      </c>
      <c r="S1259" s="1339">
        <v>0</v>
      </c>
      <c r="T1259" s="1339">
        <v>0</v>
      </c>
      <c r="U1259" s="1339">
        <v>0</v>
      </c>
      <c r="V1259" s="1339">
        <v>0</v>
      </c>
      <c r="W1259" s="1339">
        <v>0</v>
      </c>
      <c r="X1259" s="1339">
        <v>0</v>
      </c>
      <c r="Y1259" s="1339">
        <v>0</v>
      </c>
      <c r="Z1259" s="1339">
        <v>0</v>
      </c>
      <c r="AA1259" s="1339">
        <v>0</v>
      </c>
      <c r="AB1259" s="1339">
        <v>0</v>
      </c>
      <c r="AC1259" s="1340">
        <v>0</v>
      </c>
      <c r="AD1259" s="1340">
        <v>0</v>
      </c>
      <c r="AE1259" s="680">
        <f>U1259</f>
        <v>0</v>
      </c>
      <c r="AF1259" s="680">
        <f>X1259</f>
        <v>0</v>
      </c>
      <c r="AG1259" s="680">
        <f>AA1259</f>
        <v>0</v>
      </c>
      <c r="AH1259" s="680">
        <f>AD1259</f>
        <v>0</v>
      </c>
      <c r="AI1259" s="680">
        <f>AF1259</f>
        <v>0</v>
      </c>
      <c r="AJ1259" s="680">
        <f>AH1259</f>
        <v>0</v>
      </c>
      <c r="AK1259" s="680">
        <f>AJ1259</f>
        <v>0</v>
      </c>
    </row>
    <row r="1260" spans="1:38" s="621" customFormat="1" ht="14.5" hidden="1" outlineLevel="1">
      <c r="A1260" s="1693">
        <f t="shared" si="1846"/>
        <v>1243</v>
      </c>
      <c r="B1260" s="653"/>
      <c r="C1260" s="1693">
        <f t="shared" si="1863"/>
        <v>1260</v>
      </c>
      <c r="D1260" s="653"/>
      <c r="E1260" s="709" t="s">
        <v>512</v>
      </c>
      <c r="F1260" s="1069"/>
      <c r="G1260" s="622"/>
      <c r="H1260" s="623"/>
      <c r="I1260" s="623"/>
      <c r="J1260" s="681"/>
      <c r="K1260" s="682"/>
      <c r="L1260" s="683"/>
      <c r="M1260" s="684"/>
      <c r="N1260" s="683" t="s">
        <v>448</v>
      </c>
      <c r="O1260" s="683"/>
      <c r="P1260" s="683"/>
      <c r="Q1260" s="683"/>
      <c r="R1260" s="1839" t="str">
        <f>CHOOSE(2, "6722000004161", "Notes and Accounts Receivable-Trade Total I&amp;O")</f>
        <v>Notes and Accounts Receivable-Trade Total I&amp;O</v>
      </c>
      <c r="S1260" s="1341">
        <v>0</v>
      </c>
      <c r="T1260" s="1341">
        <v>0</v>
      </c>
      <c r="U1260" s="1341">
        <v>0</v>
      </c>
      <c r="V1260" s="1341">
        <v>0</v>
      </c>
      <c r="W1260" s="1341">
        <v>0</v>
      </c>
      <c r="X1260" s="1341">
        <v>0</v>
      </c>
      <c r="Y1260" s="1341">
        <v>0</v>
      </c>
      <c r="Z1260" s="1341">
        <v>0</v>
      </c>
      <c r="AA1260" s="1341">
        <v>0</v>
      </c>
      <c r="AB1260" s="1341">
        <v>0</v>
      </c>
      <c r="AC1260" s="1341">
        <v>0</v>
      </c>
      <c r="AD1260" s="1341">
        <v>0</v>
      </c>
      <c r="AE1260" s="685">
        <f>U1260</f>
        <v>0</v>
      </c>
      <c r="AF1260" s="685">
        <f>X1260</f>
        <v>0</v>
      </c>
      <c r="AG1260" s="685">
        <f>AA1260</f>
        <v>0</v>
      </c>
      <c r="AH1260" s="685">
        <f>AD1260</f>
        <v>0</v>
      </c>
      <c r="AI1260" s="685">
        <f>AF1260</f>
        <v>0</v>
      </c>
      <c r="AJ1260" s="685">
        <f>AH1260</f>
        <v>0</v>
      </c>
      <c r="AK1260" s="685">
        <f>AJ1260</f>
        <v>0</v>
      </c>
    </row>
    <row r="1261" spans="1:38" s="621" customFormat="1" ht="14.5" hidden="1" outlineLevel="1">
      <c r="A1261" s="1693">
        <f t="shared" si="1846"/>
        <v>1244</v>
      </c>
      <c r="B1261" s="653"/>
      <c r="C1261" s="1693">
        <f t="shared" si="1863"/>
        <v>1261</v>
      </c>
      <c r="D1261" s="653"/>
      <c r="E1261" s="709" t="s">
        <v>512</v>
      </c>
      <c r="F1261" s="1069"/>
      <c r="G1261" s="622"/>
      <c r="H1261" s="623"/>
      <c r="I1261" s="623"/>
      <c r="J1261" s="673"/>
      <c r="K1261" s="673"/>
      <c r="L1261" s="674"/>
      <c r="M1261" s="673"/>
      <c r="N1261" s="674"/>
      <c r="O1261" s="674"/>
      <c r="P1261" s="674"/>
      <c r="Q1261" s="674"/>
      <c r="R1261" s="1786" t="str">
        <f>CHOOSE(2, "6722000004162", "▷ Blank 48")</f>
        <v>▷ Blank 48</v>
      </c>
      <c r="S1261" s="1666"/>
      <c r="T1261" s="1666"/>
      <c r="U1261" s="1666"/>
      <c r="V1261" s="1666"/>
      <c r="W1261" s="1666"/>
      <c r="X1261" s="1666"/>
      <c r="Y1261" s="1667"/>
      <c r="Z1261" s="1667"/>
      <c r="AA1261" s="1667"/>
      <c r="AB1261" s="1667"/>
      <c r="AC1261" s="1667"/>
      <c r="AD1261" s="1667"/>
      <c r="AE1261" s="1667"/>
      <c r="AF1261" s="1667"/>
      <c r="AG1261" s="1667"/>
      <c r="AH1261" s="1667"/>
      <c r="AI1261" s="1667"/>
      <c r="AJ1261" s="1667"/>
      <c r="AK1261" s="1667"/>
    </row>
    <row r="1262" spans="1:38" s="621" customFormat="1" ht="15.5" hidden="1" outlineLevel="1">
      <c r="A1262" s="1693">
        <f t="shared" si="1846"/>
        <v>1245</v>
      </c>
      <c r="B1262" s="653"/>
      <c r="C1262" s="1693">
        <f t="shared" si="1863"/>
        <v>1262</v>
      </c>
      <c r="D1262" s="653"/>
      <c r="E1262" s="709" t="s">
        <v>512</v>
      </c>
      <c r="F1262" s="1069"/>
      <c r="G1262" s="622"/>
      <c r="H1262" s="672" t="s">
        <v>697</v>
      </c>
      <c r="I1262" s="624"/>
      <c r="J1262" s="622"/>
      <c r="K1262" s="673"/>
      <c r="L1262" s="674"/>
      <c r="M1262" s="673"/>
      <c r="N1262" s="674"/>
      <c r="O1262" s="674"/>
      <c r="P1262" s="674"/>
      <c r="Q1262" s="674"/>
      <c r="R1262" s="1786" t="str">
        <f>CHOOSE(2, "6722000004163", "8-3. Notes and Accounts Payable-Trade")</f>
        <v>8-3. Notes and Accounts Payable-Trade</v>
      </c>
      <c r="S1262" s="1666"/>
      <c r="T1262" s="1666"/>
      <c r="U1262" s="1666"/>
      <c r="V1262" s="1666"/>
      <c r="W1262" s="1666"/>
      <c r="X1262" s="1666"/>
      <c r="Y1262" s="1667"/>
      <c r="Z1262" s="1667"/>
      <c r="AA1262" s="1667"/>
      <c r="AB1262" s="1667"/>
      <c r="AC1262" s="1667"/>
      <c r="AD1262" s="1667"/>
      <c r="AE1262" s="1667"/>
      <c r="AF1262" s="1667"/>
      <c r="AG1262" s="1667"/>
      <c r="AH1262" s="1667"/>
      <c r="AI1262" s="1667"/>
      <c r="AJ1262" s="1667"/>
      <c r="AK1262" s="1667"/>
    </row>
    <row r="1263" spans="1:38" s="621" customFormat="1" ht="14.5" hidden="1" outlineLevel="1">
      <c r="A1263" s="1693">
        <f t="shared" si="1846"/>
        <v>1246</v>
      </c>
      <c r="B1263" s="653"/>
      <c r="C1263" s="1693">
        <f t="shared" si="1863"/>
        <v>1263</v>
      </c>
      <c r="D1263" s="653"/>
      <c r="E1263" s="709" t="s">
        <v>512</v>
      </c>
      <c r="F1263" s="1069"/>
      <c r="G1263" s="622"/>
      <c r="H1263" s="623"/>
      <c r="I1263" s="623"/>
      <c r="J1263" s="675" t="s">
        <v>444</v>
      </c>
      <c r="K1263" s="676"/>
      <c r="L1263" s="677"/>
      <c r="M1263" s="678"/>
      <c r="N1263" s="678"/>
      <c r="O1263" s="677"/>
      <c r="P1263" s="677"/>
      <c r="Q1263" s="677"/>
      <c r="R1263" s="1786" t="str">
        <f>CHOOSE(2, "6722000004164", "Notes and Accounts Payable-Trade Total")</f>
        <v>Notes and Accounts Payable-Trade Total</v>
      </c>
      <c r="S1263" s="1664">
        <f t="shared" ref="S1263:AD1263" si="1873">SUM(S1264:S1265)</f>
        <v>0</v>
      </c>
      <c r="T1263" s="1664">
        <f t="shared" si="1873"/>
        <v>0</v>
      </c>
      <c r="U1263" s="1664">
        <f t="shared" si="1873"/>
        <v>0</v>
      </c>
      <c r="V1263" s="1664">
        <f t="shared" si="1873"/>
        <v>0</v>
      </c>
      <c r="W1263" s="1664">
        <f t="shared" si="1873"/>
        <v>0</v>
      </c>
      <c r="X1263" s="1664">
        <f t="shared" si="1873"/>
        <v>0</v>
      </c>
      <c r="Y1263" s="1664">
        <f t="shared" si="1873"/>
        <v>0</v>
      </c>
      <c r="Z1263" s="1664">
        <f t="shared" si="1873"/>
        <v>0</v>
      </c>
      <c r="AA1263" s="1664">
        <f t="shared" si="1873"/>
        <v>0</v>
      </c>
      <c r="AB1263" s="1664">
        <f t="shared" si="1873"/>
        <v>0</v>
      </c>
      <c r="AC1263" s="1664">
        <f t="shared" si="1873"/>
        <v>0</v>
      </c>
      <c r="AD1263" s="1664">
        <f t="shared" si="1873"/>
        <v>0</v>
      </c>
      <c r="AE1263" s="1665">
        <f>U1263</f>
        <v>0</v>
      </c>
      <c r="AF1263" s="1665">
        <f>X1263</f>
        <v>0</v>
      </c>
      <c r="AG1263" s="1665">
        <f>AA1263</f>
        <v>0</v>
      </c>
      <c r="AH1263" s="1665">
        <f>AD1263</f>
        <v>0</v>
      </c>
      <c r="AI1263" s="1665">
        <f>AF1263</f>
        <v>0</v>
      </c>
      <c r="AJ1263" s="1665">
        <f>AH1263</f>
        <v>0</v>
      </c>
      <c r="AK1263" s="1665">
        <f>AJ1263</f>
        <v>0</v>
      </c>
    </row>
    <row r="1264" spans="1:38" s="621" customFormat="1" ht="14.5" hidden="1" outlineLevel="1">
      <c r="A1264" s="1693">
        <f t="shared" si="1846"/>
        <v>1247</v>
      </c>
      <c r="B1264" s="653"/>
      <c r="C1264" s="1693">
        <f t="shared" si="1863"/>
        <v>1264</v>
      </c>
      <c r="D1264" s="653"/>
      <c r="E1264" s="709" t="s">
        <v>512</v>
      </c>
      <c r="F1264" s="1069"/>
      <c r="G1264" s="622"/>
      <c r="H1264" s="623"/>
      <c r="I1264" s="623"/>
      <c r="J1264" s="679"/>
      <c r="K1264" s="679"/>
      <c r="L1264" s="674"/>
      <c r="M1264" s="673"/>
      <c r="N1264" s="674" t="s">
        <v>447</v>
      </c>
      <c r="O1264" s="674"/>
      <c r="P1264" s="674"/>
      <c r="Q1264" s="674"/>
      <c r="R1264" s="1839" t="str">
        <f>CHOOSE(2, "6722000004165", "Notes and Accounts Payable-Trade Total SS")</f>
        <v>Notes and Accounts Payable-Trade Total SS</v>
      </c>
      <c r="S1264" s="1339">
        <v>0</v>
      </c>
      <c r="T1264" s="1339">
        <v>0</v>
      </c>
      <c r="U1264" s="1339">
        <v>0</v>
      </c>
      <c r="V1264" s="1339">
        <v>0</v>
      </c>
      <c r="W1264" s="1339">
        <v>0</v>
      </c>
      <c r="X1264" s="1339">
        <v>0</v>
      </c>
      <c r="Y1264" s="1339">
        <v>0</v>
      </c>
      <c r="Z1264" s="1339">
        <v>0</v>
      </c>
      <c r="AA1264" s="1339">
        <v>0</v>
      </c>
      <c r="AB1264" s="1339">
        <v>0</v>
      </c>
      <c r="AC1264" s="1342">
        <v>0</v>
      </c>
      <c r="AD1264" s="1342">
        <v>0</v>
      </c>
      <c r="AE1264" s="686">
        <f>U1264</f>
        <v>0</v>
      </c>
      <c r="AF1264" s="686">
        <f>X1264</f>
        <v>0</v>
      </c>
      <c r="AG1264" s="686">
        <f>AA1264</f>
        <v>0</v>
      </c>
      <c r="AH1264" s="686">
        <f>AD1264</f>
        <v>0</v>
      </c>
      <c r="AI1264" s="686">
        <f>AF1264</f>
        <v>0</v>
      </c>
      <c r="AJ1264" s="686">
        <f>AH1264</f>
        <v>0</v>
      </c>
      <c r="AK1264" s="686">
        <f>AJ1264</f>
        <v>0</v>
      </c>
    </row>
    <row r="1265" spans="1:38" s="621" customFormat="1" ht="14.5" hidden="1" outlineLevel="1">
      <c r="A1265" s="1693">
        <f t="shared" si="1846"/>
        <v>1248</v>
      </c>
      <c r="B1265" s="653"/>
      <c r="C1265" s="1693">
        <f t="shared" si="1863"/>
        <v>1265</v>
      </c>
      <c r="D1265" s="653"/>
      <c r="E1265" s="709" t="s">
        <v>512</v>
      </c>
      <c r="F1265" s="1069"/>
      <c r="G1265" s="622"/>
      <c r="H1265" s="623"/>
      <c r="I1265" s="623"/>
      <c r="J1265" s="681"/>
      <c r="K1265" s="682"/>
      <c r="L1265" s="683"/>
      <c r="M1265" s="684"/>
      <c r="N1265" s="683" t="s">
        <v>448</v>
      </c>
      <c r="O1265" s="683"/>
      <c r="P1265" s="683"/>
      <c r="Q1265" s="683"/>
      <c r="R1265" s="1839" t="str">
        <f>CHOOSE(2, "6722000004166", "Notes and Accounts Payable-Trade Total I&amp;O")</f>
        <v>Notes and Accounts Payable-Trade Total I&amp;O</v>
      </c>
      <c r="S1265" s="1341">
        <v>0</v>
      </c>
      <c r="T1265" s="1341">
        <v>0</v>
      </c>
      <c r="U1265" s="1341">
        <v>0</v>
      </c>
      <c r="V1265" s="1341">
        <v>0</v>
      </c>
      <c r="W1265" s="1341">
        <v>0</v>
      </c>
      <c r="X1265" s="1341">
        <v>0</v>
      </c>
      <c r="Y1265" s="1341">
        <v>0</v>
      </c>
      <c r="Z1265" s="1341">
        <v>0</v>
      </c>
      <c r="AA1265" s="1341">
        <v>0</v>
      </c>
      <c r="AB1265" s="1341">
        <v>0</v>
      </c>
      <c r="AC1265" s="1343">
        <v>0</v>
      </c>
      <c r="AD1265" s="1343">
        <v>0</v>
      </c>
      <c r="AE1265" s="685">
        <f>U1265</f>
        <v>0</v>
      </c>
      <c r="AF1265" s="685">
        <f>X1265</f>
        <v>0</v>
      </c>
      <c r="AG1265" s="685">
        <f>AA1265</f>
        <v>0</v>
      </c>
      <c r="AH1265" s="685">
        <f>AD1265</f>
        <v>0</v>
      </c>
      <c r="AI1265" s="685">
        <f>AF1265</f>
        <v>0</v>
      </c>
      <c r="AJ1265" s="685">
        <f>AH1265</f>
        <v>0</v>
      </c>
      <c r="AK1265" s="685">
        <f>AJ1265</f>
        <v>0</v>
      </c>
    </row>
    <row r="1266" spans="1:38" s="621" customFormat="1" ht="14.5" hidden="1" outlineLevel="1">
      <c r="A1266" s="1693">
        <f t="shared" si="1846"/>
        <v>1249</v>
      </c>
      <c r="B1266" s="653"/>
      <c r="C1266" s="1693">
        <f t="shared" si="1863"/>
        <v>1266</v>
      </c>
      <c r="D1266" s="653"/>
      <c r="E1266" s="709" t="s">
        <v>512</v>
      </c>
      <c r="F1266" s="1069"/>
      <c r="G1266" s="622"/>
      <c r="H1266" s="623"/>
      <c r="I1266" s="623"/>
      <c r="J1266" s="622"/>
      <c r="L1266" s="622"/>
      <c r="M1266" s="622"/>
      <c r="R1266" s="1772" t="str">
        <f>CHOOSE(2, "6722000004167", "▷ Blank 49")</f>
        <v>▷ Blank 49</v>
      </c>
      <c r="S1266" s="1661"/>
      <c r="T1266" s="1661"/>
      <c r="U1266" s="1661"/>
      <c r="V1266" s="1661"/>
      <c r="W1266" s="1661"/>
      <c r="X1266" s="1661"/>
      <c r="Y1266" s="1661"/>
      <c r="Z1266" s="1661"/>
      <c r="AA1266" s="1661"/>
      <c r="AB1266" s="1661"/>
      <c r="AC1266" s="624"/>
      <c r="AD1266" s="624"/>
      <c r="AE1266" s="624"/>
      <c r="AF1266" s="624"/>
      <c r="AG1266" s="624"/>
      <c r="AH1266" s="624"/>
      <c r="AI1266" s="624"/>
      <c r="AJ1266" s="624"/>
      <c r="AK1266" s="624"/>
    </row>
    <row r="1267" spans="1:38" s="621" customFormat="1" ht="15.5" hidden="1" outlineLevel="1">
      <c r="A1267" s="1693">
        <f t="shared" si="1846"/>
        <v>1250</v>
      </c>
      <c r="B1267" s="653"/>
      <c r="C1267" s="1693">
        <f t="shared" si="1863"/>
        <v>1267</v>
      </c>
      <c r="D1267" s="653"/>
      <c r="E1267" s="709" t="s">
        <v>512</v>
      </c>
      <c r="F1267" s="1069"/>
      <c r="G1267" s="622"/>
      <c r="H1267" s="672" t="s">
        <v>698</v>
      </c>
      <c r="I1267" s="623"/>
      <c r="J1267" s="622"/>
      <c r="L1267" s="622"/>
      <c r="M1267" s="622"/>
      <c r="N1267" s="622"/>
      <c r="R1267" s="1772" t="str">
        <f>CHOOSE(2, "6722000004168", "8-4. IP Unit")</f>
        <v>8-4. IP Unit</v>
      </c>
      <c r="S1267" s="1661"/>
      <c r="T1267" s="1661"/>
      <c r="U1267" s="1661"/>
      <c r="V1267" s="1661"/>
      <c r="W1267" s="1661"/>
      <c r="X1267" s="1661"/>
      <c r="Y1267" s="1661"/>
      <c r="Z1267" s="1661"/>
      <c r="AA1267" s="1661"/>
      <c r="AB1267" s="1661"/>
      <c r="AC1267" s="624"/>
      <c r="AD1267" s="624"/>
      <c r="AE1267" s="624"/>
      <c r="AF1267" s="624"/>
      <c r="AG1267" s="624"/>
      <c r="AH1267" s="624"/>
      <c r="AI1267" s="624"/>
      <c r="AJ1267" s="624"/>
      <c r="AK1267" s="624"/>
    </row>
    <row r="1268" spans="1:38" s="621" customFormat="1" ht="14.5" hidden="1" outlineLevel="1">
      <c r="A1268" s="1693">
        <f t="shared" ref="A1268:A1331" si="1874">A1267+1</f>
        <v>1251</v>
      </c>
      <c r="B1268" s="653"/>
      <c r="C1268" s="1693">
        <f t="shared" si="1863"/>
        <v>1268</v>
      </c>
      <c r="D1268" s="653"/>
      <c r="E1268" s="709" t="s">
        <v>512</v>
      </c>
      <c r="F1268" s="1069"/>
      <c r="G1268" s="622"/>
      <c r="H1268" s="623"/>
      <c r="I1268" s="623"/>
      <c r="J1268" s="687" t="s">
        <v>248</v>
      </c>
      <c r="K1268" s="688"/>
      <c r="L1268" s="688"/>
      <c r="M1268" s="688"/>
      <c r="N1268" s="610" t="s">
        <v>449</v>
      </c>
      <c r="O1268" s="611"/>
      <c r="P1268" s="611"/>
      <c r="Q1268" s="610" t="s">
        <v>450</v>
      </c>
      <c r="R1268" s="1840" t="str">
        <f>CHOOSE(2, "6722000004169", "IP Product Name Codename")</f>
        <v>IP Product Name Codename</v>
      </c>
      <c r="S1268" s="1367">
        <f t="shared" ref="S1268:AD1268" si="1875">S13</f>
        <v>45017</v>
      </c>
      <c r="T1268" s="1367">
        <f t="shared" si="1875"/>
        <v>45047</v>
      </c>
      <c r="U1268" s="1367">
        <f t="shared" si="1875"/>
        <v>45078</v>
      </c>
      <c r="V1268" s="1367">
        <f t="shared" si="1875"/>
        <v>45108</v>
      </c>
      <c r="W1268" s="1367">
        <f t="shared" si="1875"/>
        <v>45139</v>
      </c>
      <c r="X1268" s="1367">
        <f t="shared" si="1875"/>
        <v>45170</v>
      </c>
      <c r="Y1268" s="1367">
        <f t="shared" si="1875"/>
        <v>45200</v>
      </c>
      <c r="Z1268" s="1367">
        <f t="shared" si="1875"/>
        <v>45231</v>
      </c>
      <c r="AA1268" s="1367">
        <f t="shared" si="1875"/>
        <v>45261</v>
      </c>
      <c r="AB1268" s="1367">
        <f t="shared" si="1875"/>
        <v>45292</v>
      </c>
      <c r="AC1268" s="1367">
        <f t="shared" si="1875"/>
        <v>45323</v>
      </c>
      <c r="AD1268" s="1367">
        <f t="shared" si="1875"/>
        <v>45352</v>
      </c>
      <c r="AE1268" s="689" t="str">
        <f t="shared" ref="AE1268:AK1268" si="1876">AE$13</f>
        <v>Q1</v>
      </c>
      <c r="AF1268" s="689" t="str">
        <f t="shared" si="1876"/>
        <v>Q2</v>
      </c>
      <c r="AG1268" s="689" t="str">
        <f t="shared" si="1876"/>
        <v>Q3</v>
      </c>
      <c r="AH1268" s="689" t="str">
        <f t="shared" si="1876"/>
        <v>Q4</v>
      </c>
      <c r="AI1268" s="689" t="str">
        <f t="shared" si="1876"/>
        <v>1st H</v>
      </c>
      <c r="AJ1268" s="689" t="str">
        <f t="shared" si="1876"/>
        <v>2nd H</v>
      </c>
      <c r="AK1268" s="689" t="str">
        <f t="shared" si="1876"/>
        <v>FY23</v>
      </c>
    </row>
    <row r="1269" spans="1:38" s="621" customFormat="1" ht="14.5" hidden="1" outlineLevel="1">
      <c r="A1269" s="1693">
        <f t="shared" si="1874"/>
        <v>1252</v>
      </c>
      <c r="B1269" s="653"/>
      <c r="C1269" s="1693">
        <f t="shared" si="1863"/>
        <v>1269</v>
      </c>
      <c r="D1269" s="653"/>
      <c r="E1269" s="709" t="s">
        <v>512</v>
      </c>
      <c r="F1269" s="1069"/>
      <c r="G1269" s="622"/>
      <c r="H1269" s="623"/>
      <c r="I1269" s="623"/>
      <c r="J1269" s="690"/>
      <c r="K1269" s="662" t="s">
        <v>587</v>
      </c>
      <c r="L1269" s="663"/>
      <c r="M1269" s="663"/>
      <c r="N1269" s="663" t="s">
        <v>451</v>
      </c>
      <c r="O1269" s="663"/>
      <c r="P1269" s="663"/>
      <c r="Q1269" s="663" t="s">
        <v>10</v>
      </c>
      <c r="R1269" s="1841" t="str">
        <f>CHOOSE(2, "6722000004170", "IP KM-1/KM-1e Ac Jet KM-1 KM-1")</f>
        <v>IP KM-1/KM-1e Ac Jet KM-1 KM-1</v>
      </c>
      <c r="S1269" s="1344">
        <v>0</v>
      </c>
      <c r="T1269" s="1344">
        <v>0</v>
      </c>
      <c r="U1269" s="1344">
        <v>0</v>
      </c>
      <c r="V1269" s="1344">
        <v>0</v>
      </c>
      <c r="W1269" s="1344">
        <v>0</v>
      </c>
      <c r="X1269" s="1344">
        <v>0</v>
      </c>
      <c r="Y1269" s="1344">
        <v>0</v>
      </c>
      <c r="Z1269" s="1344">
        <v>0</v>
      </c>
      <c r="AA1269" s="1344">
        <v>0</v>
      </c>
      <c r="AB1269" s="1344">
        <v>0</v>
      </c>
      <c r="AC1269" s="1344">
        <v>0</v>
      </c>
      <c r="AD1269" s="1344">
        <v>0</v>
      </c>
      <c r="AE1269" s="691">
        <f t="shared" ref="AE1269:AE1290" si="1877">SUM(S1269:U1269)</f>
        <v>0</v>
      </c>
      <c r="AF1269" s="691">
        <f t="shared" ref="AF1269:AF1290" si="1878">SUM(V1269:X1269)</f>
        <v>0</v>
      </c>
      <c r="AG1269" s="691">
        <f t="shared" ref="AG1269:AG1290" si="1879">SUM(Y1269:AA1269)</f>
        <v>0</v>
      </c>
      <c r="AH1269" s="691">
        <f t="shared" ref="AH1269:AH1290" si="1880">SUM(AB1269:AD1269)</f>
        <v>0</v>
      </c>
      <c r="AI1269" s="691">
        <f t="shared" ref="AI1269:AI1289" si="1881">AE1269+AF1269</f>
        <v>0</v>
      </c>
      <c r="AJ1269" s="691">
        <f t="shared" ref="AJ1269:AJ1289" si="1882">AH1269+AG1269</f>
        <v>0</v>
      </c>
      <c r="AK1269" s="691">
        <f t="shared" ref="AK1269:AK1290" si="1883">AI1269+AJ1269</f>
        <v>0</v>
      </c>
    </row>
    <row r="1270" spans="1:38" s="621" customFormat="1" ht="14.5" hidden="1" outlineLevel="1">
      <c r="A1270" s="1693">
        <f t="shared" si="1874"/>
        <v>1253</v>
      </c>
      <c r="B1270" s="653"/>
      <c r="C1270" s="1693">
        <f t="shared" si="1863"/>
        <v>1270</v>
      </c>
      <c r="D1270" s="653"/>
      <c r="E1270" s="709" t="s">
        <v>512</v>
      </c>
      <c r="F1270" s="1069"/>
      <c r="G1270" s="622"/>
      <c r="H1270" s="623"/>
      <c r="I1270" s="622"/>
      <c r="J1270" s="692"/>
      <c r="K1270" s="693"/>
      <c r="L1270" s="693"/>
      <c r="M1270" s="693"/>
      <c r="N1270" s="693" t="s">
        <v>452</v>
      </c>
      <c r="O1270" s="693"/>
      <c r="P1270" s="693"/>
      <c r="Q1270" s="694" t="s">
        <v>453</v>
      </c>
      <c r="R1270" s="1841" t="str">
        <f>CHOOSE(2, "6722000004171", "IP KM-1/KM-1e Ac Jet KM-1e KM-2")</f>
        <v>IP KM-1/KM-1e Ac Jet KM-1e KM-2</v>
      </c>
      <c r="S1270" s="1345">
        <v>0</v>
      </c>
      <c r="T1270" s="1345">
        <v>0</v>
      </c>
      <c r="U1270" s="1345">
        <v>0</v>
      </c>
      <c r="V1270" s="1345">
        <v>0</v>
      </c>
      <c r="W1270" s="1345">
        <v>0</v>
      </c>
      <c r="X1270" s="1345">
        <v>0</v>
      </c>
      <c r="Y1270" s="1345">
        <v>0</v>
      </c>
      <c r="Z1270" s="1345">
        <v>0</v>
      </c>
      <c r="AA1270" s="1345">
        <v>0</v>
      </c>
      <c r="AB1270" s="1345">
        <v>0</v>
      </c>
      <c r="AC1270" s="1345">
        <v>0</v>
      </c>
      <c r="AD1270" s="1345">
        <v>0</v>
      </c>
      <c r="AE1270" s="695">
        <f t="shared" si="1877"/>
        <v>0</v>
      </c>
      <c r="AF1270" s="695">
        <f t="shared" si="1878"/>
        <v>0</v>
      </c>
      <c r="AG1270" s="695">
        <f t="shared" si="1879"/>
        <v>0</v>
      </c>
      <c r="AH1270" s="695">
        <f t="shared" si="1880"/>
        <v>0</v>
      </c>
      <c r="AI1270" s="695">
        <f t="shared" si="1881"/>
        <v>0</v>
      </c>
      <c r="AJ1270" s="695">
        <f t="shared" si="1882"/>
        <v>0</v>
      </c>
      <c r="AK1270" s="695">
        <f t="shared" si="1883"/>
        <v>0</v>
      </c>
    </row>
    <row r="1271" spans="1:38" s="621" customFormat="1" ht="14.5" hidden="1" outlineLevel="1">
      <c r="A1271" s="1693">
        <f t="shared" si="1874"/>
        <v>1254</v>
      </c>
      <c r="B1271" s="653"/>
      <c r="C1271" s="1693">
        <f t="shared" si="1863"/>
        <v>1271</v>
      </c>
      <c r="D1271" s="653"/>
      <c r="E1271" s="709" t="s">
        <v>512</v>
      </c>
      <c r="F1271" s="1069"/>
      <c r="G1271" s="622"/>
      <c r="H1271" s="623"/>
      <c r="I1271" s="622"/>
      <c r="J1271" s="690"/>
      <c r="K1271" s="696" t="s">
        <v>117</v>
      </c>
      <c r="L1271" s="697"/>
      <c r="M1271" s="697"/>
      <c r="N1271" s="698" t="s">
        <v>454</v>
      </c>
      <c r="O1271" s="697"/>
      <c r="P1271" s="697"/>
      <c r="Q1271" s="697" t="s">
        <v>455</v>
      </c>
      <c r="R1271" s="1841" t="str">
        <f>CHOOSE(2, "6722000004172", "IP Label Printer bh PRESS C71cf/AccurioLabel 190 Degas R2R")</f>
        <v>IP Label Printer bh PRESS C71cf/AccurioLabel 190 Degas R2R</v>
      </c>
      <c r="S1271" s="1346">
        <v>0</v>
      </c>
      <c r="T1271" s="1346">
        <v>0</v>
      </c>
      <c r="U1271" s="1346">
        <v>0</v>
      </c>
      <c r="V1271" s="1346">
        <v>0</v>
      </c>
      <c r="W1271" s="1346">
        <v>0</v>
      </c>
      <c r="X1271" s="1346">
        <v>0</v>
      </c>
      <c r="Y1271" s="1346">
        <v>0</v>
      </c>
      <c r="Z1271" s="1346">
        <v>0</v>
      </c>
      <c r="AA1271" s="1346">
        <v>0</v>
      </c>
      <c r="AB1271" s="1346">
        <v>0</v>
      </c>
      <c r="AC1271" s="1346">
        <v>0</v>
      </c>
      <c r="AD1271" s="1346">
        <v>0</v>
      </c>
      <c r="AE1271" s="699">
        <f t="shared" si="1877"/>
        <v>0</v>
      </c>
      <c r="AF1271" s="699">
        <f t="shared" si="1878"/>
        <v>0</v>
      </c>
      <c r="AG1271" s="699">
        <f t="shared" si="1879"/>
        <v>0</v>
      </c>
      <c r="AH1271" s="699">
        <f t="shared" si="1880"/>
        <v>0</v>
      </c>
      <c r="AI1271" s="699">
        <f t="shared" si="1881"/>
        <v>0</v>
      </c>
      <c r="AJ1271" s="699">
        <f t="shared" si="1882"/>
        <v>0</v>
      </c>
      <c r="AK1271" s="699">
        <f t="shared" si="1883"/>
        <v>0</v>
      </c>
    </row>
    <row r="1272" spans="1:38" s="621" customFormat="1" ht="14.5" hidden="1" outlineLevel="1">
      <c r="A1272" s="1693">
        <f t="shared" si="1874"/>
        <v>1255</v>
      </c>
      <c r="B1272" s="653"/>
      <c r="C1272" s="1693">
        <f t="shared" si="1863"/>
        <v>1272</v>
      </c>
      <c r="D1272" s="653"/>
      <c r="E1272" s="709" t="s">
        <v>512</v>
      </c>
      <c r="F1272" s="1069"/>
      <c r="G1272" s="622"/>
      <c r="H1272" s="623"/>
      <c r="I1272" s="622"/>
      <c r="J1272" s="692"/>
      <c r="K1272" s="693"/>
      <c r="L1272" s="693"/>
      <c r="M1272" s="693"/>
      <c r="N1272" s="693" t="s">
        <v>456</v>
      </c>
      <c r="O1272" s="693"/>
      <c r="P1272" s="693"/>
      <c r="Q1272" s="693" t="s">
        <v>457</v>
      </c>
      <c r="R1272" s="1841" t="str">
        <f>CHOOSE(2, "6722000004173", "IP Label Printer Accurio Label 230 Degas-e MLK R2R")</f>
        <v>IP Label Printer Accurio Label 230 Degas-e MLK R2R</v>
      </c>
      <c r="S1272" s="1345">
        <v>0</v>
      </c>
      <c r="T1272" s="1345">
        <v>0</v>
      </c>
      <c r="U1272" s="1345">
        <v>0</v>
      </c>
      <c r="V1272" s="1345">
        <v>0</v>
      </c>
      <c r="W1272" s="1347">
        <v>0</v>
      </c>
      <c r="X1272" s="1345">
        <v>0</v>
      </c>
      <c r="Y1272" s="1345">
        <v>0</v>
      </c>
      <c r="Z1272" s="1345">
        <v>0</v>
      </c>
      <c r="AA1272" s="1345">
        <v>0</v>
      </c>
      <c r="AB1272" s="1345">
        <v>0</v>
      </c>
      <c r="AC1272" s="1345">
        <v>0</v>
      </c>
      <c r="AD1272" s="1345">
        <v>0</v>
      </c>
      <c r="AE1272" s="695">
        <f t="shared" si="1877"/>
        <v>0</v>
      </c>
      <c r="AF1272" s="695">
        <f t="shared" si="1878"/>
        <v>0</v>
      </c>
      <c r="AG1272" s="695">
        <f t="shared" si="1879"/>
        <v>0</v>
      </c>
      <c r="AH1272" s="695">
        <f t="shared" si="1880"/>
        <v>0</v>
      </c>
      <c r="AI1272" s="695">
        <f t="shared" si="1881"/>
        <v>0</v>
      </c>
      <c r="AJ1272" s="695">
        <f t="shared" si="1882"/>
        <v>0</v>
      </c>
      <c r="AK1272" s="695">
        <f t="shared" si="1883"/>
        <v>0</v>
      </c>
    </row>
    <row r="1273" spans="1:38" s="621" customFormat="1" ht="14.5" hidden="1" outlineLevel="1">
      <c r="A1273" s="1693">
        <f t="shared" si="1874"/>
        <v>1256</v>
      </c>
      <c r="B1273" s="653"/>
      <c r="C1273" s="1693">
        <f t="shared" si="1863"/>
        <v>1273</v>
      </c>
      <c r="D1273" s="653"/>
      <c r="E1273" s="709" t="s">
        <v>512</v>
      </c>
      <c r="F1273" s="1069"/>
      <c r="G1273" s="622"/>
      <c r="H1273" s="623"/>
      <c r="I1273" s="622"/>
      <c r="J1273" s="690"/>
      <c r="K1273" s="696" t="s">
        <v>52</v>
      </c>
      <c r="L1273" s="697"/>
      <c r="M1273" s="697"/>
      <c r="N1273" s="697" t="s">
        <v>458</v>
      </c>
      <c r="O1273" s="697"/>
      <c r="P1273" s="697"/>
      <c r="Q1273" s="700" t="s">
        <v>459</v>
      </c>
      <c r="R1273" s="1841" t="str">
        <f>CHOOSE(2, "6722000004174", "IP MGI Meteor Unlimited Color MUC")</f>
        <v>IP MGI Meteor Unlimited Color MUC</v>
      </c>
      <c r="S1273" s="1346">
        <v>0</v>
      </c>
      <c r="T1273" s="1346">
        <v>0</v>
      </c>
      <c r="U1273" s="1346">
        <v>0</v>
      </c>
      <c r="V1273" s="1346">
        <v>0</v>
      </c>
      <c r="W1273" s="1346">
        <v>0</v>
      </c>
      <c r="X1273" s="1346">
        <v>0</v>
      </c>
      <c r="Y1273" s="1346">
        <v>0</v>
      </c>
      <c r="Z1273" s="1346">
        <v>0</v>
      </c>
      <c r="AA1273" s="1346">
        <v>0</v>
      </c>
      <c r="AB1273" s="1346">
        <v>0</v>
      </c>
      <c r="AC1273" s="1346">
        <v>0</v>
      </c>
      <c r="AD1273" s="1346">
        <v>0</v>
      </c>
      <c r="AE1273" s="699">
        <f t="shared" si="1877"/>
        <v>0</v>
      </c>
      <c r="AF1273" s="699">
        <f t="shared" si="1878"/>
        <v>0</v>
      </c>
      <c r="AG1273" s="699">
        <f t="shared" si="1879"/>
        <v>0</v>
      </c>
      <c r="AH1273" s="699">
        <f t="shared" si="1880"/>
        <v>0</v>
      </c>
      <c r="AI1273" s="699">
        <f t="shared" si="1881"/>
        <v>0</v>
      </c>
      <c r="AJ1273" s="699">
        <f t="shared" si="1882"/>
        <v>0</v>
      </c>
      <c r="AK1273" s="699">
        <f t="shared" si="1883"/>
        <v>0</v>
      </c>
    </row>
    <row r="1274" spans="1:38" s="621" customFormat="1" ht="14.5" hidden="1" outlineLevel="1">
      <c r="A1274" s="1693">
        <f t="shared" si="1874"/>
        <v>1257</v>
      </c>
      <c r="B1274" s="653"/>
      <c r="C1274" s="1693">
        <f t="shared" si="1863"/>
        <v>1274</v>
      </c>
      <c r="D1274" s="653"/>
      <c r="E1274" s="709" t="s">
        <v>512</v>
      </c>
      <c r="F1274" s="1069"/>
      <c r="G1274" s="622"/>
      <c r="H1274" s="623"/>
      <c r="I1274" s="622"/>
      <c r="J1274" s="690"/>
      <c r="N1274" s="621" t="s">
        <v>460</v>
      </c>
      <c r="Q1274" s="701" t="s">
        <v>461</v>
      </c>
      <c r="R1274" s="1841" t="str">
        <f>CHOOSE(2, "6722000004175", "IP MGI JETvarnish 3DS JV3DS")</f>
        <v>IP MGI JETvarnish 3DS JV3DS</v>
      </c>
      <c r="S1274" s="1348">
        <v>0</v>
      </c>
      <c r="T1274" s="1348">
        <v>0</v>
      </c>
      <c r="U1274" s="1348">
        <v>0</v>
      </c>
      <c r="V1274" s="1348">
        <v>0</v>
      </c>
      <c r="W1274" s="1348">
        <v>0</v>
      </c>
      <c r="X1274" s="1348">
        <v>0</v>
      </c>
      <c r="Y1274" s="1348">
        <v>0</v>
      </c>
      <c r="Z1274" s="1348">
        <v>0</v>
      </c>
      <c r="AA1274" s="1348">
        <v>0</v>
      </c>
      <c r="AB1274" s="1348">
        <v>0</v>
      </c>
      <c r="AC1274" s="1348">
        <v>0</v>
      </c>
      <c r="AD1274" s="1348">
        <v>0</v>
      </c>
      <c r="AE1274" s="636">
        <f t="shared" si="1877"/>
        <v>0</v>
      </c>
      <c r="AF1274" s="636">
        <f t="shared" si="1878"/>
        <v>0</v>
      </c>
      <c r="AG1274" s="636">
        <f t="shared" si="1879"/>
        <v>0</v>
      </c>
      <c r="AH1274" s="636">
        <f t="shared" si="1880"/>
        <v>0</v>
      </c>
      <c r="AI1274" s="636">
        <f t="shared" si="1881"/>
        <v>0</v>
      </c>
      <c r="AJ1274" s="636">
        <f t="shared" si="1882"/>
        <v>0</v>
      </c>
      <c r="AK1274" s="636">
        <f t="shared" si="1883"/>
        <v>0</v>
      </c>
      <c r="AL1274" s="8"/>
    </row>
    <row r="1275" spans="1:38" s="621" customFormat="1" ht="14.5" hidden="1" outlineLevel="1">
      <c r="A1275" s="1693">
        <f t="shared" si="1874"/>
        <v>1258</v>
      </c>
      <c r="B1275" s="653"/>
      <c r="C1275" s="1693">
        <f t="shared" si="1863"/>
        <v>1275</v>
      </c>
      <c r="D1275" s="653"/>
      <c r="E1275" s="709" t="s">
        <v>512</v>
      </c>
      <c r="F1275" s="1069"/>
      <c r="G1275" s="622"/>
      <c r="H1275" s="623"/>
      <c r="I1275" s="622"/>
      <c r="J1275" s="692"/>
      <c r="N1275" s="621" t="s">
        <v>462</v>
      </c>
      <c r="Q1275" s="701" t="s">
        <v>463</v>
      </c>
      <c r="R1275" s="1841" t="str">
        <f>CHOOSE(2, "6722000004176", "IP MGI JETvarnish 3D Evolution52 JV3D Evo52")</f>
        <v>IP MGI JETvarnish 3D Evolution52 JV3D Evo52</v>
      </c>
      <c r="S1275" s="1348">
        <v>0</v>
      </c>
      <c r="T1275" s="1348">
        <v>0</v>
      </c>
      <c r="U1275" s="1348">
        <v>0</v>
      </c>
      <c r="V1275" s="1348">
        <v>0</v>
      </c>
      <c r="W1275" s="1348">
        <v>0</v>
      </c>
      <c r="X1275" s="1348">
        <v>0</v>
      </c>
      <c r="Y1275" s="1348">
        <v>0</v>
      </c>
      <c r="Z1275" s="1348">
        <v>0</v>
      </c>
      <c r="AA1275" s="1348">
        <v>0</v>
      </c>
      <c r="AB1275" s="1348">
        <v>0</v>
      </c>
      <c r="AC1275" s="1348">
        <v>0</v>
      </c>
      <c r="AD1275" s="1348">
        <v>0</v>
      </c>
      <c r="AE1275" s="636">
        <f t="shared" si="1877"/>
        <v>0</v>
      </c>
      <c r="AF1275" s="636">
        <f t="shared" si="1878"/>
        <v>0</v>
      </c>
      <c r="AG1275" s="636">
        <f t="shared" si="1879"/>
        <v>0</v>
      </c>
      <c r="AH1275" s="636">
        <f t="shared" si="1880"/>
        <v>0</v>
      </c>
      <c r="AI1275" s="636">
        <f t="shared" si="1881"/>
        <v>0</v>
      </c>
      <c r="AJ1275" s="636">
        <f t="shared" si="1882"/>
        <v>0</v>
      </c>
      <c r="AK1275" s="636">
        <f t="shared" si="1883"/>
        <v>0</v>
      </c>
      <c r="AL1275" s="8"/>
    </row>
    <row r="1276" spans="1:38" s="621" customFormat="1" ht="14.5" hidden="1" outlineLevel="1">
      <c r="A1276" s="1693">
        <f t="shared" si="1874"/>
        <v>1259</v>
      </c>
      <c r="B1276" s="653"/>
      <c r="C1276" s="1693">
        <f t="shared" si="1863"/>
        <v>1276</v>
      </c>
      <c r="D1276" s="653"/>
      <c r="E1276" s="709" t="s">
        <v>512</v>
      </c>
      <c r="F1276" s="1069"/>
      <c r="G1276" s="622"/>
      <c r="H1276" s="623"/>
      <c r="I1276" s="622"/>
      <c r="J1276" s="692"/>
      <c r="N1276" s="621" t="s">
        <v>464</v>
      </c>
      <c r="Q1276" s="701" t="s">
        <v>465</v>
      </c>
      <c r="R1276" s="1841" t="str">
        <f>CHOOSE(2, "6722000004177", "IP MGI JETvarnish 3D Evolution64 JV3D Evo64")</f>
        <v>IP MGI JETvarnish 3D Evolution64 JV3D Evo64</v>
      </c>
      <c r="S1276" s="1348">
        <v>0</v>
      </c>
      <c r="T1276" s="1348">
        <v>0</v>
      </c>
      <c r="U1276" s="1348">
        <v>0</v>
      </c>
      <c r="V1276" s="1348">
        <v>0</v>
      </c>
      <c r="W1276" s="1348">
        <v>0</v>
      </c>
      <c r="X1276" s="1348">
        <v>0</v>
      </c>
      <c r="Y1276" s="1348">
        <v>0</v>
      </c>
      <c r="Z1276" s="1348">
        <v>0</v>
      </c>
      <c r="AA1276" s="1348">
        <v>0</v>
      </c>
      <c r="AB1276" s="1348">
        <v>0</v>
      </c>
      <c r="AC1276" s="1348">
        <v>0</v>
      </c>
      <c r="AD1276" s="1348">
        <v>0</v>
      </c>
      <c r="AE1276" s="636">
        <f t="shared" si="1877"/>
        <v>0</v>
      </c>
      <c r="AF1276" s="636">
        <f t="shared" si="1878"/>
        <v>0</v>
      </c>
      <c r="AG1276" s="636">
        <f t="shared" si="1879"/>
        <v>0</v>
      </c>
      <c r="AH1276" s="636">
        <f t="shared" si="1880"/>
        <v>0</v>
      </c>
      <c r="AI1276" s="636">
        <f t="shared" si="1881"/>
        <v>0</v>
      </c>
      <c r="AJ1276" s="636">
        <f t="shared" si="1882"/>
        <v>0</v>
      </c>
      <c r="AK1276" s="636">
        <f t="shared" si="1883"/>
        <v>0</v>
      </c>
      <c r="AL1276" s="8"/>
    </row>
    <row r="1277" spans="1:38" s="621" customFormat="1" ht="14.5" hidden="1" outlineLevel="1">
      <c r="A1277" s="1693">
        <f t="shared" si="1874"/>
        <v>1260</v>
      </c>
      <c r="B1277" s="653"/>
      <c r="C1277" s="1693">
        <f t="shared" si="1863"/>
        <v>1277</v>
      </c>
      <c r="D1277" s="653"/>
      <c r="E1277" s="709" t="s">
        <v>512</v>
      </c>
      <c r="F1277" s="1069"/>
      <c r="G1277" s="622"/>
      <c r="H1277" s="623"/>
      <c r="I1277" s="622"/>
      <c r="J1277" s="692"/>
      <c r="N1277" s="621" t="s">
        <v>466</v>
      </c>
      <c r="Q1277" s="701" t="s">
        <v>467</v>
      </c>
      <c r="R1277" s="1841" t="str">
        <f>CHOOSE(2, "6722000004178", "IP MGI JETvarnish 3D Evolution75 JV3D Evo75")</f>
        <v>IP MGI JETvarnish 3D Evolution75 JV3D Evo75</v>
      </c>
      <c r="S1277" s="1348">
        <v>0</v>
      </c>
      <c r="T1277" s="1348">
        <v>0</v>
      </c>
      <c r="U1277" s="1348">
        <v>0</v>
      </c>
      <c r="V1277" s="1348">
        <v>0</v>
      </c>
      <c r="W1277" s="1348">
        <v>0</v>
      </c>
      <c r="X1277" s="1348">
        <v>0</v>
      </c>
      <c r="Y1277" s="1348">
        <v>0</v>
      </c>
      <c r="Z1277" s="1348">
        <v>0</v>
      </c>
      <c r="AA1277" s="1348">
        <v>0</v>
      </c>
      <c r="AB1277" s="1348">
        <v>0</v>
      </c>
      <c r="AC1277" s="1348">
        <v>0</v>
      </c>
      <c r="AD1277" s="1348">
        <v>0</v>
      </c>
      <c r="AE1277" s="636">
        <f t="shared" si="1877"/>
        <v>0</v>
      </c>
      <c r="AF1277" s="636">
        <f t="shared" si="1878"/>
        <v>0</v>
      </c>
      <c r="AG1277" s="636">
        <f t="shared" si="1879"/>
        <v>0</v>
      </c>
      <c r="AH1277" s="636">
        <f t="shared" si="1880"/>
        <v>0</v>
      </c>
      <c r="AI1277" s="636">
        <f t="shared" si="1881"/>
        <v>0</v>
      </c>
      <c r="AJ1277" s="636">
        <f t="shared" si="1882"/>
        <v>0</v>
      </c>
      <c r="AK1277" s="636">
        <f t="shared" si="1883"/>
        <v>0</v>
      </c>
      <c r="AL1277" s="8"/>
    </row>
    <row r="1278" spans="1:38" s="621" customFormat="1" ht="14.5" hidden="1" outlineLevel="1">
      <c r="A1278" s="1693">
        <f t="shared" si="1874"/>
        <v>1261</v>
      </c>
      <c r="B1278" s="653"/>
      <c r="C1278" s="1693">
        <f t="shared" si="1863"/>
        <v>1278</v>
      </c>
      <c r="D1278" s="653"/>
      <c r="E1278" s="709" t="s">
        <v>512</v>
      </c>
      <c r="F1278" s="1069"/>
      <c r="G1278" s="622"/>
      <c r="H1278" s="623"/>
      <c r="I1278" s="622"/>
      <c r="J1278" s="692"/>
      <c r="N1278" s="621" t="s">
        <v>468</v>
      </c>
      <c r="Q1278" s="701" t="s">
        <v>469</v>
      </c>
      <c r="R1278" s="1841" t="str">
        <f>CHOOSE(2, "6722000004179", "IP MGI JETvarnish 3DW JV3DW")</f>
        <v>IP MGI JETvarnish 3DW JV3DW</v>
      </c>
      <c r="S1278" s="1348">
        <v>0</v>
      </c>
      <c r="T1278" s="1348">
        <v>0</v>
      </c>
      <c r="U1278" s="1348">
        <v>0</v>
      </c>
      <c r="V1278" s="1348">
        <v>0</v>
      </c>
      <c r="W1278" s="1348">
        <v>0</v>
      </c>
      <c r="X1278" s="1348">
        <v>0</v>
      </c>
      <c r="Y1278" s="1348">
        <v>0</v>
      </c>
      <c r="Z1278" s="1348">
        <v>0</v>
      </c>
      <c r="AA1278" s="1348">
        <v>0</v>
      </c>
      <c r="AB1278" s="1348">
        <v>0</v>
      </c>
      <c r="AC1278" s="1348">
        <v>0</v>
      </c>
      <c r="AD1278" s="1348">
        <v>0</v>
      </c>
      <c r="AE1278" s="636">
        <f t="shared" si="1877"/>
        <v>0</v>
      </c>
      <c r="AF1278" s="636">
        <f t="shared" si="1878"/>
        <v>0</v>
      </c>
      <c r="AG1278" s="636">
        <f t="shared" si="1879"/>
        <v>0</v>
      </c>
      <c r="AH1278" s="636">
        <f t="shared" si="1880"/>
        <v>0</v>
      </c>
      <c r="AI1278" s="636">
        <f t="shared" si="1881"/>
        <v>0</v>
      </c>
      <c r="AJ1278" s="636">
        <f t="shared" si="1882"/>
        <v>0</v>
      </c>
      <c r="AK1278" s="636">
        <f t="shared" si="1883"/>
        <v>0</v>
      </c>
      <c r="AL1278" s="8"/>
    </row>
    <row r="1279" spans="1:38" s="621" customFormat="1" ht="14.5" hidden="1" outlineLevel="1">
      <c r="A1279" s="1693">
        <f t="shared" si="1874"/>
        <v>1262</v>
      </c>
      <c r="B1279" s="653"/>
      <c r="C1279" s="1693">
        <f t="shared" si="1863"/>
        <v>1279</v>
      </c>
      <c r="D1279" s="653"/>
      <c r="E1279" s="709" t="s">
        <v>512</v>
      </c>
      <c r="F1279" s="1069"/>
      <c r="G1279" s="622"/>
      <c r="H1279" s="623"/>
      <c r="I1279" s="622"/>
      <c r="J1279" s="690"/>
      <c r="N1279" s="621" t="s">
        <v>470</v>
      </c>
      <c r="Q1279" s="701" t="s">
        <v>471</v>
      </c>
      <c r="R1279" s="1841" t="str">
        <f>CHOOSE(2, "6722000004180", "IP MGI JETvarnish 3D JV3D")</f>
        <v>IP MGI JETvarnish 3D JV3D</v>
      </c>
      <c r="S1279" s="1348">
        <v>0</v>
      </c>
      <c r="T1279" s="1348">
        <v>0</v>
      </c>
      <c r="U1279" s="1348">
        <v>0</v>
      </c>
      <c r="V1279" s="1348">
        <v>0</v>
      </c>
      <c r="W1279" s="1348">
        <v>0</v>
      </c>
      <c r="X1279" s="1348">
        <v>0</v>
      </c>
      <c r="Y1279" s="1348">
        <v>0</v>
      </c>
      <c r="Z1279" s="1348">
        <v>0</v>
      </c>
      <c r="AA1279" s="1348">
        <v>0</v>
      </c>
      <c r="AB1279" s="1348">
        <v>0</v>
      </c>
      <c r="AC1279" s="1348">
        <v>0</v>
      </c>
      <c r="AD1279" s="1348">
        <v>0</v>
      </c>
      <c r="AE1279" s="636">
        <f t="shared" si="1877"/>
        <v>0</v>
      </c>
      <c r="AF1279" s="636">
        <f t="shared" si="1878"/>
        <v>0</v>
      </c>
      <c r="AG1279" s="636">
        <f t="shared" si="1879"/>
        <v>0</v>
      </c>
      <c r="AH1279" s="636">
        <f t="shared" si="1880"/>
        <v>0</v>
      </c>
      <c r="AI1279" s="636">
        <f t="shared" si="1881"/>
        <v>0</v>
      </c>
      <c r="AJ1279" s="636">
        <f t="shared" si="1882"/>
        <v>0</v>
      </c>
      <c r="AK1279" s="636">
        <f t="shared" si="1883"/>
        <v>0</v>
      </c>
      <c r="AL1279" s="8"/>
    </row>
    <row r="1280" spans="1:38" s="621" customFormat="1" ht="14.5" hidden="1" outlineLevel="1">
      <c r="A1280" s="1693">
        <f t="shared" si="1874"/>
        <v>1263</v>
      </c>
      <c r="B1280" s="653"/>
      <c r="C1280" s="1693">
        <f t="shared" si="1863"/>
        <v>1280</v>
      </c>
      <c r="D1280" s="653"/>
      <c r="E1280" s="709" t="s">
        <v>512</v>
      </c>
      <c r="F1280" s="1069"/>
      <c r="G1280" s="622"/>
      <c r="H1280" s="623"/>
      <c r="I1280" s="622"/>
      <c r="J1280" s="690"/>
      <c r="N1280" s="621" t="s">
        <v>472</v>
      </c>
      <c r="Q1280" s="701" t="s">
        <v>473</v>
      </c>
      <c r="R1280" s="1841" t="str">
        <f>CHOOSE(2, "6722000004181", "IP MGI JETvarnish 3DL JV3DL")</f>
        <v>IP MGI JETvarnish 3DL JV3DL</v>
      </c>
      <c r="S1280" s="1348">
        <v>0</v>
      </c>
      <c r="T1280" s="1348">
        <v>0</v>
      </c>
      <c r="U1280" s="1348">
        <v>0</v>
      </c>
      <c r="V1280" s="1348">
        <v>0</v>
      </c>
      <c r="W1280" s="1348">
        <v>0</v>
      </c>
      <c r="X1280" s="1348">
        <v>0</v>
      </c>
      <c r="Y1280" s="1348">
        <v>0</v>
      </c>
      <c r="Z1280" s="1348">
        <v>0</v>
      </c>
      <c r="AA1280" s="1348">
        <v>0</v>
      </c>
      <c r="AB1280" s="1348">
        <v>0</v>
      </c>
      <c r="AC1280" s="1348">
        <v>0</v>
      </c>
      <c r="AD1280" s="1348">
        <v>0</v>
      </c>
      <c r="AE1280" s="636">
        <f t="shared" si="1877"/>
        <v>0</v>
      </c>
      <c r="AF1280" s="636">
        <f t="shared" si="1878"/>
        <v>0</v>
      </c>
      <c r="AG1280" s="636">
        <f t="shared" si="1879"/>
        <v>0</v>
      </c>
      <c r="AH1280" s="636">
        <f t="shared" si="1880"/>
        <v>0</v>
      </c>
      <c r="AI1280" s="636">
        <f t="shared" si="1881"/>
        <v>0</v>
      </c>
      <c r="AJ1280" s="636">
        <f t="shared" si="1882"/>
        <v>0</v>
      </c>
      <c r="AK1280" s="636">
        <f t="shared" si="1883"/>
        <v>0</v>
      </c>
      <c r="AL1280" s="8"/>
    </row>
    <row r="1281" spans="1:38" s="621" customFormat="1" ht="14.5" hidden="1" outlineLevel="1">
      <c r="A1281" s="1693">
        <f t="shared" si="1874"/>
        <v>1264</v>
      </c>
      <c r="B1281" s="653"/>
      <c r="C1281" s="1693">
        <f t="shared" si="1863"/>
        <v>1281</v>
      </c>
      <c r="D1281" s="653"/>
      <c r="E1281" s="709" t="s">
        <v>512</v>
      </c>
      <c r="F1281" s="1069"/>
      <c r="G1281" s="622"/>
      <c r="H1281" s="623"/>
      <c r="I1281" s="622"/>
      <c r="J1281" s="690"/>
      <c r="K1281" s="696" t="s">
        <v>118</v>
      </c>
      <c r="L1281" s="697"/>
      <c r="M1281" s="697"/>
      <c r="N1281" s="697" t="s">
        <v>474</v>
      </c>
      <c r="O1281" s="697"/>
      <c r="P1281" s="697"/>
      <c r="Q1281" s="697" t="s">
        <v>474</v>
      </c>
      <c r="R1281" s="1841" t="str">
        <f>CHOOSE(2, "6722000004182", "IP EFI/LF H1625LED H1625LED")</f>
        <v>IP EFI/LF H1625LED H1625LED</v>
      </c>
      <c r="S1281" s="1346">
        <v>0</v>
      </c>
      <c r="T1281" s="1346">
        <v>0</v>
      </c>
      <c r="U1281" s="1346">
        <v>0</v>
      </c>
      <c r="V1281" s="1346">
        <v>0</v>
      </c>
      <c r="W1281" s="1346">
        <v>0</v>
      </c>
      <c r="X1281" s="1346">
        <v>0</v>
      </c>
      <c r="Y1281" s="1346">
        <v>0</v>
      </c>
      <c r="Z1281" s="1346">
        <v>0</v>
      </c>
      <c r="AA1281" s="1346">
        <v>0</v>
      </c>
      <c r="AB1281" s="1346">
        <v>0</v>
      </c>
      <c r="AC1281" s="1346">
        <v>0</v>
      </c>
      <c r="AD1281" s="1346">
        <v>0</v>
      </c>
      <c r="AE1281" s="699">
        <f t="shared" si="1877"/>
        <v>0</v>
      </c>
      <c r="AF1281" s="699">
        <f t="shared" si="1878"/>
        <v>0</v>
      </c>
      <c r="AG1281" s="699">
        <f t="shared" si="1879"/>
        <v>0</v>
      </c>
      <c r="AH1281" s="699">
        <f t="shared" si="1880"/>
        <v>0</v>
      </c>
      <c r="AI1281" s="699">
        <f t="shared" si="1881"/>
        <v>0</v>
      </c>
      <c r="AJ1281" s="699">
        <f t="shared" si="1882"/>
        <v>0</v>
      </c>
      <c r="AK1281" s="699">
        <f t="shared" si="1883"/>
        <v>0</v>
      </c>
      <c r="AL1281" s="8"/>
    </row>
    <row r="1282" spans="1:38" s="621" customFormat="1" ht="14.5" hidden="1" outlineLevel="1">
      <c r="A1282" s="1693">
        <f t="shared" si="1874"/>
        <v>1265</v>
      </c>
      <c r="B1282" s="653"/>
      <c r="C1282" s="1693">
        <f t="shared" si="1863"/>
        <v>1282</v>
      </c>
      <c r="D1282" s="653"/>
      <c r="E1282" s="709" t="s">
        <v>512</v>
      </c>
      <c r="F1282" s="1069"/>
      <c r="G1282" s="622"/>
      <c r="H1282" s="623"/>
      <c r="I1282" s="622"/>
      <c r="J1282" s="692"/>
      <c r="N1282" s="621" t="s">
        <v>475</v>
      </c>
      <c r="Q1282" s="701" t="s">
        <v>476</v>
      </c>
      <c r="R1282" s="1841" t="str">
        <f>CHOOSE(2, "6722000004183", "IP EFI/LF AccurioWide 200 Agfa WF200(BUS)")</f>
        <v>IP EFI/LF AccurioWide 200 Agfa WF200(BUS)</v>
      </c>
      <c r="S1282" s="1348">
        <v>0</v>
      </c>
      <c r="T1282" s="1348">
        <v>0</v>
      </c>
      <c r="U1282" s="1348">
        <v>0</v>
      </c>
      <c r="V1282" s="1348">
        <v>0</v>
      </c>
      <c r="W1282" s="1348">
        <v>0</v>
      </c>
      <c r="X1282" s="1348">
        <v>0</v>
      </c>
      <c r="Y1282" s="1348">
        <v>0</v>
      </c>
      <c r="Z1282" s="1348">
        <v>0</v>
      </c>
      <c r="AA1282" s="1348">
        <v>0</v>
      </c>
      <c r="AB1282" s="1348">
        <v>0</v>
      </c>
      <c r="AC1282" s="1348">
        <v>0</v>
      </c>
      <c r="AD1282" s="1348">
        <v>0</v>
      </c>
      <c r="AE1282" s="636">
        <f t="shared" si="1877"/>
        <v>0</v>
      </c>
      <c r="AF1282" s="636">
        <f t="shared" si="1878"/>
        <v>0</v>
      </c>
      <c r="AG1282" s="636">
        <f t="shared" si="1879"/>
        <v>0</v>
      </c>
      <c r="AH1282" s="636">
        <f t="shared" si="1880"/>
        <v>0</v>
      </c>
      <c r="AI1282" s="636">
        <f t="shared" si="1881"/>
        <v>0</v>
      </c>
      <c r="AJ1282" s="636">
        <f t="shared" si="1882"/>
        <v>0</v>
      </c>
      <c r="AK1282" s="636">
        <f t="shared" si="1883"/>
        <v>0</v>
      </c>
      <c r="AL1282" s="8"/>
    </row>
    <row r="1283" spans="1:38" s="621" customFormat="1" ht="14.5" hidden="1" outlineLevel="1">
      <c r="A1283" s="1693">
        <f t="shared" si="1874"/>
        <v>1266</v>
      </c>
      <c r="B1283" s="653"/>
      <c r="C1283" s="1693">
        <f t="shared" si="1863"/>
        <v>1283</v>
      </c>
      <c r="D1283" s="653"/>
      <c r="E1283" s="709" t="s">
        <v>512</v>
      </c>
      <c r="F1283" s="1069"/>
      <c r="G1283" s="622"/>
      <c r="H1283" s="623"/>
      <c r="I1283" s="622"/>
      <c r="J1283" s="692"/>
      <c r="K1283" s="693"/>
      <c r="L1283" s="693"/>
      <c r="M1283" s="693"/>
      <c r="N1283" s="693" t="s">
        <v>477</v>
      </c>
      <c r="O1283" s="693"/>
      <c r="P1283" s="693"/>
      <c r="Q1283" s="694" t="s">
        <v>478</v>
      </c>
      <c r="R1283" s="1841" t="str">
        <f>CHOOSE(2, "6722000004184", "IP EFI/LF AccurioWide 160 Agfa WF160(BUS)")</f>
        <v>IP EFI/LF AccurioWide 160 Agfa WF160(BUS)</v>
      </c>
      <c r="S1283" s="1345">
        <v>0</v>
      </c>
      <c r="T1283" s="1345">
        <v>0</v>
      </c>
      <c r="U1283" s="1345">
        <v>0</v>
      </c>
      <c r="V1283" s="1345">
        <v>0</v>
      </c>
      <c r="W1283" s="1345">
        <v>0</v>
      </c>
      <c r="X1283" s="1345">
        <v>0</v>
      </c>
      <c r="Y1283" s="1345">
        <v>0</v>
      </c>
      <c r="Z1283" s="1345">
        <v>0</v>
      </c>
      <c r="AA1283" s="1345">
        <v>0</v>
      </c>
      <c r="AB1283" s="1345">
        <v>0</v>
      </c>
      <c r="AC1283" s="1345">
        <v>0</v>
      </c>
      <c r="AD1283" s="1345">
        <v>0</v>
      </c>
      <c r="AE1283" s="695">
        <f t="shared" si="1877"/>
        <v>0</v>
      </c>
      <c r="AF1283" s="695">
        <f t="shared" si="1878"/>
        <v>0</v>
      </c>
      <c r="AG1283" s="695">
        <f t="shared" si="1879"/>
        <v>0</v>
      </c>
      <c r="AH1283" s="695">
        <f t="shared" si="1880"/>
        <v>0</v>
      </c>
      <c r="AI1283" s="695">
        <f t="shared" si="1881"/>
        <v>0</v>
      </c>
      <c r="AJ1283" s="695">
        <f t="shared" si="1882"/>
        <v>0</v>
      </c>
      <c r="AK1283" s="695">
        <f t="shared" si="1883"/>
        <v>0</v>
      </c>
      <c r="AL1283" s="8"/>
    </row>
    <row r="1284" spans="1:38" s="621" customFormat="1" ht="14.5" hidden="1" outlineLevel="1">
      <c r="A1284" s="1693">
        <f t="shared" si="1874"/>
        <v>1267</v>
      </c>
      <c r="B1284" s="653"/>
      <c r="C1284" s="1693">
        <f t="shared" si="1863"/>
        <v>1284</v>
      </c>
      <c r="D1284" s="653"/>
      <c r="E1284" s="709" t="s">
        <v>512</v>
      </c>
      <c r="F1284" s="1069"/>
      <c r="G1284" s="622"/>
      <c r="H1284" s="623"/>
      <c r="I1284" s="622"/>
      <c r="J1284" s="690"/>
      <c r="K1284" s="622" t="s">
        <v>479</v>
      </c>
      <c r="N1284" s="701" t="s">
        <v>480</v>
      </c>
      <c r="Q1284" s="701" t="s">
        <v>481</v>
      </c>
      <c r="R1284" s="1841" t="str">
        <f>CHOOSE(2, "6722000004185", "IP Textile Printer Nassenger PRO 120  LIBRA2")</f>
        <v>IP Textile Printer Nassenger PRO 120  LIBRA2</v>
      </c>
      <c r="S1284" s="1348">
        <v>0</v>
      </c>
      <c r="T1284" s="1348">
        <v>0</v>
      </c>
      <c r="U1284" s="1348">
        <v>0</v>
      </c>
      <c r="V1284" s="1348">
        <v>0</v>
      </c>
      <c r="W1284" s="1348">
        <v>0</v>
      </c>
      <c r="X1284" s="1348">
        <v>0</v>
      </c>
      <c r="Y1284" s="1348">
        <v>0</v>
      </c>
      <c r="Z1284" s="1348">
        <v>0</v>
      </c>
      <c r="AA1284" s="1348">
        <v>0</v>
      </c>
      <c r="AB1284" s="1348">
        <v>0</v>
      </c>
      <c r="AC1284" s="1348">
        <v>0</v>
      </c>
      <c r="AD1284" s="1348">
        <v>0</v>
      </c>
      <c r="AE1284" s="636">
        <f t="shared" si="1877"/>
        <v>0</v>
      </c>
      <c r="AF1284" s="636">
        <f t="shared" si="1878"/>
        <v>0</v>
      </c>
      <c r="AG1284" s="636">
        <f t="shared" si="1879"/>
        <v>0</v>
      </c>
      <c r="AH1284" s="636">
        <f t="shared" si="1880"/>
        <v>0</v>
      </c>
      <c r="AI1284" s="636">
        <f t="shared" si="1881"/>
        <v>0</v>
      </c>
      <c r="AJ1284" s="636">
        <f t="shared" si="1882"/>
        <v>0</v>
      </c>
      <c r="AK1284" s="636">
        <f t="shared" si="1883"/>
        <v>0</v>
      </c>
      <c r="AL1284" s="8"/>
    </row>
    <row r="1285" spans="1:38" s="621" customFormat="1" ht="14.5" hidden="1" outlineLevel="1">
      <c r="A1285" s="1693">
        <f t="shared" si="1874"/>
        <v>1268</v>
      </c>
      <c r="B1285" s="653"/>
      <c r="C1285" s="1693">
        <f t="shared" si="1863"/>
        <v>1285</v>
      </c>
      <c r="D1285" s="653"/>
      <c r="E1285" s="709" t="s">
        <v>512</v>
      </c>
      <c r="F1285" s="1069"/>
      <c r="G1285" s="622"/>
      <c r="H1285" s="623"/>
      <c r="I1285" s="622"/>
      <c r="J1285" s="690"/>
      <c r="N1285" s="701" t="s">
        <v>482</v>
      </c>
      <c r="Q1285" s="701" t="s">
        <v>483</v>
      </c>
      <c r="R1285" s="1841" t="str">
        <f>CHOOSE(2, "6722000004186", "IP Textile Printer Nassenger PRO 1000 TP-9")</f>
        <v>IP Textile Printer Nassenger PRO 1000 TP-9</v>
      </c>
      <c r="S1285" s="1348">
        <v>0</v>
      </c>
      <c r="T1285" s="1348">
        <v>0</v>
      </c>
      <c r="U1285" s="1348">
        <v>0</v>
      </c>
      <c r="V1285" s="1348">
        <v>0</v>
      </c>
      <c r="W1285" s="1348">
        <v>0</v>
      </c>
      <c r="X1285" s="1348">
        <v>0</v>
      </c>
      <c r="Y1285" s="1348">
        <v>0</v>
      </c>
      <c r="Z1285" s="1348">
        <v>0</v>
      </c>
      <c r="AA1285" s="1348">
        <v>0</v>
      </c>
      <c r="AB1285" s="1348">
        <v>0</v>
      </c>
      <c r="AC1285" s="1348">
        <v>0</v>
      </c>
      <c r="AD1285" s="1348">
        <v>0</v>
      </c>
      <c r="AE1285" s="636">
        <f t="shared" si="1877"/>
        <v>0</v>
      </c>
      <c r="AF1285" s="636">
        <f t="shared" si="1878"/>
        <v>0</v>
      </c>
      <c r="AG1285" s="636">
        <f t="shared" si="1879"/>
        <v>0</v>
      </c>
      <c r="AH1285" s="636">
        <f t="shared" si="1880"/>
        <v>0</v>
      </c>
      <c r="AI1285" s="636">
        <f t="shared" si="1881"/>
        <v>0</v>
      </c>
      <c r="AJ1285" s="636">
        <f t="shared" si="1882"/>
        <v>0</v>
      </c>
      <c r="AK1285" s="636">
        <f t="shared" si="1883"/>
        <v>0</v>
      </c>
      <c r="AL1285" s="8"/>
    </row>
    <row r="1286" spans="1:38" s="621" customFormat="1" ht="14.5" hidden="1" outlineLevel="1">
      <c r="A1286" s="1693">
        <f t="shared" si="1874"/>
        <v>1269</v>
      </c>
      <c r="B1286" s="653"/>
      <c r="C1286" s="1693">
        <f t="shared" si="1863"/>
        <v>1286</v>
      </c>
      <c r="D1286" s="653"/>
      <c r="E1286" s="709" t="s">
        <v>512</v>
      </c>
      <c r="F1286" s="1069"/>
      <c r="G1286" s="622"/>
      <c r="H1286" s="623"/>
      <c r="I1286" s="622"/>
      <c r="J1286" s="690"/>
      <c r="N1286" s="701" t="s">
        <v>484</v>
      </c>
      <c r="Q1286" s="701" t="s">
        <v>485</v>
      </c>
      <c r="R1286" s="1841" t="str">
        <f>CHOOSE(2, "6722000004187", "IP Textile Printer Nassenger 10 TP-10")</f>
        <v>IP Textile Printer Nassenger 10 TP-10</v>
      </c>
      <c r="S1286" s="1348">
        <v>0</v>
      </c>
      <c r="T1286" s="1348">
        <v>0</v>
      </c>
      <c r="U1286" s="1348">
        <v>0</v>
      </c>
      <c r="V1286" s="1348">
        <v>0</v>
      </c>
      <c r="W1286" s="1348">
        <v>0</v>
      </c>
      <c r="X1286" s="1348">
        <v>0</v>
      </c>
      <c r="Y1286" s="1348">
        <v>0</v>
      </c>
      <c r="Z1286" s="1348">
        <v>0</v>
      </c>
      <c r="AA1286" s="1348">
        <v>0</v>
      </c>
      <c r="AB1286" s="1348">
        <v>0</v>
      </c>
      <c r="AC1286" s="1348">
        <v>0</v>
      </c>
      <c r="AD1286" s="1348">
        <v>0</v>
      </c>
      <c r="AE1286" s="636">
        <f t="shared" si="1877"/>
        <v>0</v>
      </c>
      <c r="AF1286" s="636">
        <f t="shared" si="1878"/>
        <v>0</v>
      </c>
      <c r="AG1286" s="636">
        <f t="shared" si="1879"/>
        <v>0</v>
      </c>
      <c r="AH1286" s="636">
        <f t="shared" si="1880"/>
        <v>0</v>
      </c>
      <c r="AI1286" s="636">
        <f t="shared" si="1881"/>
        <v>0</v>
      </c>
      <c r="AJ1286" s="636">
        <f t="shared" si="1882"/>
        <v>0</v>
      </c>
      <c r="AK1286" s="636">
        <f t="shared" si="1883"/>
        <v>0</v>
      </c>
      <c r="AL1286" s="8"/>
    </row>
    <row r="1287" spans="1:38" s="621" customFormat="1" ht="14.5" hidden="1" outlineLevel="1">
      <c r="A1287" s="1693">
        <f t="shared" si="1874"/>
        <v>1270</v>
      </c>
      <c r="B1287" s="653"/>
      <c r="C1287" s="1693">
        <f t="shared" si="1863"/>
        <v>1287</v>
      </c>
      <c r="D1287" s="653"/>
      <c r="E1287" s="709" t="s">
        <v>512</v>
      </c>
      <c r="F1287" s="1069"/>
      <c r="G1287" s="622"/>
      <c r="H1287" s="623"/>
      <c r="I1287" s="622"/>
      <c r="J1287" s="690"/>
      <c r="N1287" s="701" t="s">
        <v>486</v>
      </c>
      <c r="Q1287" s="701" t="s">
        <v>487</v>
      </c>
      <c r="R1287" s="1841" t="str">
        <f>CHOOSE(2, "6722000004188", "IP Textile Printer Nassenger 8")</f>
        <v>IP Textile Printer Nassenger 8</v>
      </c>
      <c r="S1287" s="1348">
        <v>0</v>
      </c>
      <c r="T1287" s="1348">
        <v>0</v>
      </c>
      <c r="U1287" s="1348">
        <v>0</v>
      </c>
      <c r="V1287" s="1348">
        <v>0</v>
      </c>
      <c r="W1287" s="1348">
        <v>0</v>
      </c>
      <c r="X1287" s="1348">
        <v>0</v>
      </c>
      <c r="Y1287" s="1348">
        <v>0</v>
      </c>
      <c r="Z1287" s="1348">
        <v>0</v>
      </c>
      <c r="AA1287" s="1348">
        <v>0</v>
      </c>
      <c r="AB1287" s="1348">
        <v>0</v>
      </c>
      <c r="AC1287" s="1348">
        <v>0</v>
      </c>
      <c r="AD1287" s="1348">
        <v>0</v>
      </c>
      <c r="AE1287" s="636">
        <f t="shared" si="1877"/>
        <v>0</v>
      </c>
      <c r="AF1287" s="636">
        <f t="shared" si="1878"/>
        <v>0</v>
      </c>
      <c r="AG1287" s="636">
        <f t="shared" si="1879"/>
        <v>0</v>
      </c>
      <c r="AH1287" s="636">
        <f t="shared" si="1880"/>
        <v>0</v>
      </c>
      <c r="AI1287" s="636">
        <f t="shared" si="1881"/>
        <v>0</v>
      </c>
      <c r="AJ1287" s="636">
        <f t="shared" si="1882"/>
        <v>0</v>
      </c>
      <c r="AK1287" s="636">
        <f t="shared" si="1883"/>
        <v>0</v>
      </c>
      <c r="AL1287" s="8"/>
    </row>
    <row r="1288" spans="1:38" s="621" customFormat="1" ht="14.5" hidden="1" outlineLevel="1">
      <c r="A1288" s="1693">
        <f t="shared" si="1874"/>
        <v>1271</v>
      </c>
      <c r="B1288" s="653"/>
      <c r="C1288" s="1693">
        <f t="shared" si="1863"/>
        <v>1288</v>
      </c>
      <c r="D1288" s="653"/>
      <c r="E1288" s="709" t="s">
        <v>512</v>
      </c>
      <c r="F1288" s="1069"/>
      <c r="G1288" s="622"/>
      <c r="H1288" s="623"/>
      <c r="I1288" s="622"/>
      <c r="J1288" s="690"/>
      <c r="N1288" s="701" t="s">
        <v>488</v>
      </c>
      <c r="Q1288" s="701" t="s">
        <v>489</v>
      </c>
      <c r="R1288" s="1841" t="str">
        <f>CHOOSE(2, "6722000004189", "IP Textile Printer Nassenger SP-1")</f>
        <v>IP Textile Printer Nassenger SP-1</v>
      </c>
      <c r="S1288" s="1348">
        <v>0</v>
      </c>
      <c r="T1288" s="1348">
        <v>0</v>
      </c>
      <c r="U1288" s="1348">
        <v>0</v>
      </c>
      <c r="V1288" s="1348">
        <v>0</v>
      </c>
      <c r="W1288" s="1348">
        <v>0</v>
      </c>
      <c r="X1288" s="1348">
        <v>0</v>
      </c>
      <c r="Y1288" s="1348">
        <v>0</v>
      </c>
      <c r="Z1288" s="1348">
        <v>0</v>
      </c>
      <c r="AA1288" s="1348">
        <v>0</v>
      </c>
      <c r="AB1288" s="1348">
        <v>0</v>
      </c>
      <c r="AC1288" s="1348">
        <v>0</v>
      </c>
      <c r="AD1288" s="1348">
        <v>0</v>
      </c>
      <c r="AE1288" s="636">
        <f t="shared" si="1877"/>
        <v>0</v>
      </c>
      <c r="AF1288" s="636">
        <f t="shared" si="1878"/>
        <v>0</v>
      </c>
      <c r="AG1288" s="636">
        <f t="shared" si="1879"/>
        <v>0</v>
      </c>
      <c r="AH1288" s="636">
        <f t="shared" si="1880"/>
        <v>0</v>
      </c>
      <c r="AI1288" s="636">
        <f t="shared" si="1881"/>
        <v>0</v>
      </c>
      <c r="AJ1288" s="636">
        <f t="shared" si="1882"/>
        <v>0</v>
      </c>
      <c r="AK1288" s="636">
        <f t="shared" si="1883"/>
        <v>0</v>
      </c>
      <c r="AL1288" s="8"/>
    </row>
    <row r="1289" spans="1:38" s="621" customFormat="1" ht="14.5" hidden="1" outlineLevel="1">
      <c r="A1289" s="1693">
        <f t="shared" si="1874"/>
        <v>1272</v>
      </c>
      <c r="B1289" s="653"/>
      <c r="C1289" s="1693">
        <f t="shared" si="1863"/>
        <v>1289</v>
      </c>
      <c r="D1289" s="653"/>
      <c r="E1289" s="709" t="s">
        <v>512</v>
      </c>
      <c r="F1289" s="1069"/>
      <c r="G1289" s="622"/>
      <c r="H1289" s="623"/>
      <c r="I1289" s="622"/>
      <c r="J1289" s="690"/>
      <c r="K1289" s="693"/>
      <c r="L1289" s="693"/>
      <c r="M1289" s="693"/>
      <c r="N1289" s="693" t="s">
        <v>2</v>
      </c>
      <c r="O1289" s="693"/>
      <c r="P1289" s="693"/>
      <c r="Q1289" s="694"/>
      <c r="R1289" s="1841" t="str">
        <f>CHOOSE(2, "6722000004190", "IP Textile Printer Others")</f>
        <v>IP Textile Printer Others</v>
      </c>
      <c r="S1289" s="1345">
        <v>0</v>
      </c>
      <c r="T1289" s="1345">
        <v>0</v>
      </c>
      <c r="U1289" s="1345">
        <v>0</v>
      </c>
      <c r="V1289" s="1345">
        <v>0</v>
      </c>
      <c r="W1289" s="1345">
        <v>0</v>
      </c>
      <c r="X1289" s="1345">
        <v>0</v>
      </c>
      <c r="Y1289" s="1345">
        <v>0</v>
      </c>
      <c r="Z1289" s="1345">
        <v>0</v>
      </c>
      <c r="AA1289" s="1345">
        <v>0</v>
      </c>
      <c r="AB1289" s="1345">
        <v>0</v>
      </c>
      <c r="AC1289" s="1345">
        <v>0</v>
      </c>
      <c r="AD1289" s="1345">
        <v>0</v>
      </c>
      <c r="AE1289" s="695">
        <f t="shared" si="1877"/>
        <v>0</v>
      </c>
      <c r="AF1289" s="695">
        <f t="shared" si="1878"/>
        <v>0</v>
      </c>
      <c r="AG1289" s="695">
        <f t="shared" si="1879"/>
        <v>0</v>
      </c>
      <c r="AH1289" s="695">
        <f t="shared" si="1880"/>
        <v>0</v>
      </c>
      <c r="AI1289" s="695">
        <f t="shared" si="1881"/>
        <v>0</v>
      </c>
      <c r="AJ1289" s="695">
        <f t="shared" si="1882"/>
        <v>0</v>
      </c>
      <c r="AK1289" s="695">
        <f>AI1289+AJ1289</f>
        <v>0</v>
      </c>
      <c r="AL1289" s="8"/>
    </row>
    <row r="1290" spans="1:38" s="621" customFormat="1" ht="14.5" hidden="1" outlineLevel="1">
      <c r="A1290" s="1693">
        <f t="shared" si="1874"/>
        <v>1273</v>
      </c>
      <c r="B1290" s="653"/>
      <c r="C1290" s="1693">
        <f t="shared" si="1863"/>
        <v>1290</v>
      </c>
      <c r="D1290" s="653"/>
      <c r="E1290" s="709" t="s">
        <v>512</v>
      </c>
      <c r="F1290" s="1069"/>
      <c r="G1290" s="622"/>
      <c r="H1290" s="623"/>
      <c r="I1290" s="622"/>
      <c r="J1290" s="702"/>
      <c r="K1290" s="703" t="s">
        <v>51</v>
      </c>
      <c r="L1290" s="703"/>
      <c r="M1290" s="703"/>
      <c r="N1290" s="703"/>
      <c r="O1290" s="703"/>
      <c r="P1290" s="703"/>
      <c r="Q1290" s="704"/>
      <c r="R1290" s="1841" t="str">
        <f>CHOOSE(2, "6722000004191", "IP Others")</f>
        <v>IP Others</v>
      </c>
      <c r="S1290" s="1349">
        <v>0</v>
      </c>
      <c r="T1290" s="1349">
        <v>0</v>
      </c>
      <c r="U1290" s="1349">
        <v>0</v>
      </c>
      <c r="V1290" s="1349">
        <v>0</v>
      </c>
      <c r="W1290" s="1349">
        <v>0</v>
      </c>
      <c r="X1290" s="1349">
        <v>0</v>
      </c>
      <c r="Y1290" s="1349">
        <v>0</v>
      </c>
      <c r="Z1290" s="1349">
        <v>0</v>
      </c>
      <c r="AA1290" s="1349">
        <v>0</v>
      </c>
      <c r="AB1290" s="1349">
        <v>0</v>
      </c>
      <c r="AC1290" s="1349">
        <v>0</v>
      </c>
      <c r="AD1290" s="1349">
        <v>0</v>
      </c>
      <c r="AE1290" s="705">
        <f t="shared" si="1877"/>
        <v>0</v>
      </c>
      <c r="AF1290" s="705">
        <f t="shared" si="1878"/>
        <v>0</v>
      </c>
      <c r="AG1290" s="705">
        <f t="shared" si="1879"/>
        <v>0</v>
      </c>
      <c r="AH1290" s="705">
        <f t="shared" si="1880"/>
        <v>0</v>
      </c>
      <c r="AI1290" s="705">
        <f>AE1290+AF1290</f>
        <v>0</v>
      </c>
      <c r="AJ1290" s="705">
        <f>AH1290+AG1290</f>
        <v>0</v>
      </c>
      <c r="AK1290" s="705">
        <f t="shared" si="1883"/>
        <v>0</v>
      </c>
      <c r="AL1290" s="8"/>
    </row>
    <row r="1291" spans="1:38" ht="14.5" hidden="1" outlineLevel="1" collapsed="1">
      <c r="A1291" s="1693">
        <f t="shared" si="1874"/>
        <v>1274</v>
      </c>
      <c r="C1291" s="1693">
        <f t="shared" si="1863"/>
        <v>1291</v>
      </c>
      <c r="E1291" s="709" t="s">
        <v>512</v>
      </c>
      <c r="F1291" s="1069"/>
      <c r="R1291" s="1772" t="str">
        <f>CHOOSE(2, "6722000004192", "▷ Blank 50")</f>
        <v>▷ Blank 50</v>
      </c>
      <c r="S1291" s="1366"/>
      <c r="T1291" s="1366"/>
      <c r="U1291" s="1366"/>
      <c r="V1291" s="1366"/>
      <c r="W1291" s="1366"/>
      <c r="X1291" s="1366"/>
      <c r="Y1291" s="1366"/>
      <c r="Z1291" s="1366"/>
      <c r="AA1291" s="1366"/>
      <c r="AB1291" s="1366"/>
      <c r="AC1291" s="69"/>
      <c r="AD1291" s="69"/>
      <c r="AE1291" s="69"/>
      <c r="AF1291" s="69"/>
      <c r="AG1291" s="69"/>
      <c r="AH1291" s="69"/>
      <c r="AI1291" s="69"/>
      <c r="AJ1291" s="69"/>
      <c r="AK1291" s="69"/>
    </row>
    <row r="1292" spans="1:38" ht="15.5" hidden="1" outlineLevel="1">
      <c r="A1292" s="1693">
        <f t="shared" si="1874"/>
        <v>1275</v>
      </c>
      <c r="B1292" s="616">
        <v>1</v>
      </c>
      <c r="C1292" s="1693">
        <f t="shared" si="1863"/>
        <v>1292</v>
      </c>
      <c r="D1292" s="616">
        <v>1</v>
      </c>
      <c r="E1292" s="709" t="s">
        <v>512</v>
      </c>
      <c r="F1292" s="1771" t="s">
        <v>882</v>
      </c>
      <c r="H1292" s="672" t="s">
        <v>730</v>
      </c>
      <c r="J1292" s="937"/>
      <c r="K1292" s="937"/>
      <c r="L1292" s="937"/>
      <c r="Q1292" s="947"/>
      <c r="R1292" s="1772" t="str">
        <f>CHOOSE(2, "6722000004193", "8-5. Open Orders amount of sales orders")</f>
        <v>8-5. Open Orders amount of sales orders</v>
      </c>
      <c r="S1292" s="1366"/>
      <c r="T1292" s="1366"/>
      <c r="U1292" s="1366"/>
      <c r="V1292" s="1366"/>
      <c r="W1292" s="1366"/>
      <c r="X1292" s="1366"/>
      <c r="Y1292" s="1366"/>
      <c r="Z1292" s="1366"/>
      <c r="AA1292" s="1366"/>
      <c r="AB1292" s="1366"/>
      <c r="AC1292" s="69"/>
      <c r="AD1292" s="69"/>
      <c r="AE1292" s="69"/>
      <c r="AF1292" s="69"/>
      <c r="AG1292" s="69"/>
      <c r="AH1292" s="69"/>
      <c r="AI1292" s="69"/>
      <c r="AJ1292" s="69"/>
      <c r="AK1292" s="69"/>
    </row>
    <row r="1293" spans="1:38" ht="14.5" hidden="1" outlineLevel="1">
      <c r="A1293" s="1693">
        <f t="shared" si="1874"/>
        <v>1276</v>
      </c>
      <c r="B1293" s="616">
        <v>1</v>
      </c>
      <c r="C1293" s="1693">
        <f t="shared" si="1863"/>
        <v>1293</v>
      </c>
      <c r="D1293" s="616">
        <v>1</v>
      </c>
      <c r="E1293" s="709" t="s">
        <v>512</v>
      </c>
      <c r="F1293" s="1771" t="s">
        <v>882</v>
      </c>
      <c r="J1293" s="938"/>
      <c r="K1293" s="939"/>
      <c r="L1293" s="939"/>
      <c r="M1293" s="939"/>
      <c r="N1293" s="939"/>
      <c r="O1293" s="939"/>
      <c r="P1293" s="939"/>
      <c r="Q1293" s="939"/>
      <c r="R1293" s="1838" t="str">
        <f>CHOOSE(2, "6722000004194", "▷ Blank 51")</f>
        <v>▷ Blank 51</v>
      </c>
      <c r="S1293" s="1394" t="str">
        <f>IF($Q$4="BBR","Jan/E","Apr/E")</f>
        <v>Apr/E</v>
      </c>
      <c r="T1293" s="1394" t="str">
        <f>IF($Q$4="BBR","Feb/E","May/E")</f>
        <v>May/E</v>
      </c>
      <c r="U1293" s="1394" t="str">
        <f>IF($Q$4="BBR","Mar/E","Jun/E")</f>
        <v>Jun/E</v>
      </c>
      <c r="V1293" s="1394" t="str">
        <f>IF($Q$4="BBR","Apr/E","Jul/E")</f>
        <v>Jul/E</v>
      </c>
      <c r="W1293" s="1394" t="str">
        <f>IF($Q$4="BBR","May/E","Aug/E")</f>
        <v>Aug/E</v>
      </c>
      <c r="X1293" s="1398" t="str">
        <f>IF($Q$4="BBR","Jun/E","Sep/E")</f>
        <v>Sep/E</v>
      </c>
      <c r="Y1293" s="1394" t="str">
        <f>IF($Q$4="BBR","Jul/E","Oct/E")</f>
        <v>Oct/E</v>
      </c>
      <c r="Z1293" s="1394" t="str">
        <f>IF($Q$4="BBR","Aug/E","Nov/E")</f>
        <v>Nov/E</v>
      </c>
      <c r="AA1293" s="1394" t="str">
        <f>IF($Q$4="BBR","Sep/E","Dec/E")</f>
        <v>Dec/E</v>
      </c>
      <c r="AB1293" s="1394" t="str">
        <f>IF($Q$4="BBR","Oct/E","Jan/E")</f>
        <v>Jan/E</v>
      </c>
      <c r="AC1293" s="1394" t="str">
        <f>IF($Q$4="BBR","Nov/E","Feb/E")</f>
        <v>Feb/E</v>
      </c>
      <c r="AD1293" s="1394" t="str">
        <f>IF($Q$4="BBR","Dec/E","Mar/E")</f>
        <v>Mar/E</v>
      </c>
    </row>
    <row r="1294" spans="1:38" ht="14.5" hidden="1" outlineLevel="1">
      <c r="A1294" s="1693">
        <f t="shared" si="1874"/>
        <v>1277</v>
      </c>
      <c r="B1294" s="616">
        <v>1</v>
      </c>
      <c r="C1294" s="1693">
        <f t="shared" si="1863"/>
        <v>1294</v>
      </c>
      <c r="D1294" s="616">
        <v>1</v>
      </c>
      <c r="E1294" s="709" t="s">
        <v>512</v>
      </c>
      <c r="F1294" s="1771" t="s">
        <v>882</v>
      </c>
      <c r="J1294" s="940" t="s">
        <v>688</v>
      </c>
      <c r="K1294" s="946"/>
      <c r="L1294" s="946"/>
      <c r="M1294" s="946"/>
      <c r="N1294" s="941" t="s">
        <v>585</v>
      </c>
      <c r="O1294" s="941"/>
      <c r="P1294" s="941"/>
      <c r="Q1294" s="941"/>
      <c r="R1294" s="1842" t="str">
        <f>CHOOSE(2, "6722000004195", "TTL Total")</f>
        <v>TTL Total</v>
      </c>
      <c r="S1294" s="1395">
        <f t="shared" ref="S1294:AD1294" si="1884">SUM(S1295,S1296,S1297)</f>
        <v>405105.88315312576</v>
      </c>
      <c r="T1294" s="1395">
        <f t="shared" si="1884"/>
        <v>319938.33595940046</v>
      </c>
      <c r="U1294" s="1395">
        <f t="shared" si="1884"/>
        <v>178552.98931525214</v>
      </c>
      <c r="V1294" s="1395">
        <f t="shared" si="1884"/>
        <v>433245.58178274427</v>
      </c>
      <c r="W1294" s="1395">
        <f t="shared" si="1884"/>
        <v>352199.7792034006</v>
      </c>
      <c r="X1294" s="1395">
        <f t="shared" si="1884"/>
        <v>200909.12291458607</v>
      </c>
      <c r="Y1294" s="1395">
        <f t="shared" si="1884"/>
        <v>446970.99071916705</v>
      </c>
      <c r="Z1294" s="1395">
        <f t="shared" si="1884"/>
        <v>314946.15245581936</v>
      </c>
      <c r="AA1294" s="1395">
        <f t="shared" si="1884"/>
        <v>200338.18399596843</v>
      </c>
      <c r="AB1294" s="1395">
        <f t="shared" si="1884"/>
        <v>447653.56302760652</v>
      </c>
      <c r="AC1294" s="1395">
        <f t="shared" si="1884"/>
        <v>364836.73099853366</v>
      </c>
      <c r="AD1294" s="1395">
        <f t="shared" si="1884"/>
        <v>206506.6558276506</v>
      </c>
    </row>
    <row r="1295" spans="1:38" ht="14.5" hidden="1" outlineLevel="1">
      <c r="A1295" s="1693">
        <f t="shared" si="1874"/>
        <v>1278</v>
      </c>
      <c r="B1295" s="616">
        <v>1</v>
      </c>
      <c r="C1295" s="1693">
        <f t="shared" ref="C1295:C1358" si="1885">C1294+1</f>
        <v>1295</v>
      </c>
      <c r="D1295" s="616">
        <v>1</v>
      </c>
      <c r="E1295" s="709" t="s">
        <v>512</v>
      </c>
      <c r="F1295" s="1771" t="s">
        <v>882</v>
      </c>
      <c r="J1295" s="940"/>
      <c r="K1295" s="942"/>
      <c r="L1295" s="942"/>
      <c r="M1295" s="942"/>
      <c r="N1295" s="942" t="s">
        <v>57</v>
      </c>
      <c r="O1295" s="942"/>
      <c r="P1295" s="942"/>
      <c r="Q1295" s="942"/>
      <c r="R1295" s="1794" t="str">
        <f>CHOOSE(2, "6722000004196", "TTL HW")</f>
        <v>TTL HW</v>
      </c>
      <c r="S1295" s="1399">
        <f t="shared" ref="S1295:AD1296" si="1886">SUM(S1299,S1303)</f>
        <v>277264.9983206258</v>
      </c>
      <c r="T1295" s="1396">
        <f t="shared" si="1886"/>
        <v>217539.13396940049</v>
      </c>
      <c r="U1295" s="1396">
        <f t="shared" si="1886"/>
        <v>105941.16241150216</v>
      </c>
      <c r="V1295" s="1396">
        <f t="shared" si="1886"/>
        <v>302512.38883774431</v>
      </c>
      <c r="W1295" s="1396">
        <f t="shared" si="1886"/>
        <v>247631.34612902559</v>
      </c>
      <c r="X1295" s="1396">
        <f t="shared" si="1886"/>
        <v>126271.71632208608</v>
      </c>
      <c r="Y1295" s="1396">
        <f t="shared" si="1886"/>
        <v>310082.45009166707</v>
      </c>
      <c r="Z1295" s="1396">
        <f t="shared" si="1886"/>
        <v>204457.50094644437</v>
      </c>
      <c r="AA1295" s="1396">
        <f t="shared" si="1886"/>
        <v>122912.81637846841</v>
      </c>
      <c r="AB1295" s="1396">
        <f t="shared" si="1886"/>
        <v>308369.70078510651</v>
      </c>
      <c r="AC1295" s="1396">
        <f t="shared" si="1886"/>
        <v>253855.29595103371</v>
      </c>
      <c r="AD1295" s="1396">
        <f t="shared" si="1886"/>
        <v>127883.6274026506</v>
      </c>
    </row>
    <row r="1296" spans="1:38" ht="14.5" hidden="1" outlineLevel="1">
      <c r="A1296" s="1693">
        <f t="shared" si="1874"/>
        <v>1279</v>
      </c>
      <c r="B1296" s="616">
        <v>1</v>
      </c>
      <c r="C1296" s="1693">
        <f t="shared" si="1885"/>
        <v>1296</v>
      </c>
      <c r="D1296" s="616">
        <v>1</v>
      </c>
      <c r="E1296" s="709" t="s">
        <v>512</v>
      </c>
      <c r="F1296" s="1771" t="s">
        <v>882</v>
      </c>
      <c r="J1296" s="940"/>
      <c r="K1296" s="942"/>
      <c r="L1296" s="942"/>
      <c r="M1296" s="942"/>
      <c r="N1296" s="942" t="s">
        <v>27</v>
      </c>
      <c r="O1296" s="942"/>
      <c r="P1296" s="942"/>
      <c r="Q1296" s="942"/>
      <c r="R1296" s="1794" t="str">
        <f>CHOOSE(2, "6722000004197", "TTL NH")</f>
        <v>TTL NH</v>
      </c>
      <c r="S1296" s="1399">
        <f>SUM(S1300,S1304)</f>
        <v>127840.88483249999</v>
      </c>
      <c r="T1296" s="1396">
        <f t="shared" si="1886"/>
        <v>102399.20198999999</v>
      </c>
      <c r="U1296" s="1396">
        <f t="shared" si="1886"/>
        <v>72611.826903749985</v>
      </c>
      <c r="V1296" s="1396">
        <f t="shared" si="1886"/>
        <v>130733.19294499999</v>
      </c>
      <c r="W1296" s="1396">
        <f t="shared" si="1886"/>
        <v>104568.43307437499</v>
      </c>
      <c r="X1296" s="1396">
        <f t="shared" si="1886"/>
        <v>74637.406592499989</v>
      </c>
      <c r="Y1296" s="1396">
        <f t="shared" si="1886"/>
        <v>136888.54062749998</v>
      </c>
      <c r="Z1296" s="1396">
        <f t="shared" si="1886"/>
        <v>110488.65150937499</v>
      </c>
      <c r="AA1296" s="1396">
        <f t="shared" si="1886"/>
        <v>77425.3676175</v>
      </c>
      <c r="AB1296" s="1396">
        <f t="shared" si="1886"/>
        <v>139283.86224250001</v>
      </c>
      <c r="AC1296" s="1396">
        <f t="shared" si="1886"/>
        <v>110981.43504749998</v>
      </c>
      <c r="AD1296" s="1396">
        <f t="shared" si="1886"/>
        <v>78623.028424999997</v>
      </c>
    </row>
    <row r="1297" spans="1:37" ht="14.5" hidden="1" outlineLevel="1">
      <c r="A1297" s="1693">
        <f t="shared" si="1874"/>
        <v>1280</v>
      </c>
      <c r="B1297" s="616">
        <v>1</v>
      </c>
      <c r="C1297" s="1693">
        <f t="shared" si="1885"/>
        <v>1297</v>
      </c>
      <c r="D1297" s="616">
        <v>1</v>
      </c>
      <c r="E1297" s="709" t="s">
        <v>512</v>
      </c>
      <c r="F1297" s="1771" t="s">
        <v>882</v>
      </c>
      <c r="J1297" s="943"/>
      <c r="K1297" s="944"/>
      <c r="L1297" s="944"/>
      <c r="M1297" s="944"/>
      <c r="N1297" s="944" t="s">
        <v>554</v>
      </c>
      <c r="O1297" s="942"/>
      <c r="P1297" s="942"/>
      <c r="Q1297" s="942"/>
      <c r="R1297" s="1794" t="str">
        <f>CHOOSE(2, "6722000004198", "TTL Others")</f>
        <v>TTL Others</v>
      </c>
      <c r="S1297" s="1399">
        <f>SUM(S1301,S1305,S1306,S1307)</f>
        <v>0</v>
      </c>
      <c r="T1297" s="1396">
        <f t="shared" ref="T1297:AD1297" si="1887">SUM(T1301,T1305,T1306,T1307)</f>
        <v>0</v>
      </c>
      <c r="U1297" s="1396">
        <f t="shared" si="1887"/>
        <v>0</v>
      </c>
      <c r="V1297" s="1396">
        <f t="shared" si="1887"/>
        <v>0</v>
      </c>
      <c r="W1297" s="1396">
        <f t="shared" si="1887"/>
        <v>0</v>
      </c>
      <c r="X1297" s="1396">
        <f t="shared" si="1887"/>
        <v>0</v>
      </c>
      <c r="Y1297" s="1396">
        <f t="shared" si="1887"/>
        <v>0</v>
      </c>
      <c r="Z1297" s="1396">
        <f t="shared" si="1887"/>
        <v>0</v>
      </c>
      <c r="AA1297" s="1396">
        <f t="shared" si="1887"/>
        <v>0</v>
      </c>
      <c r="AB1297" s="1396">
        <f t="shared" si="1887"/>
        <v>0</v>
      </c>
      <c r="AC1297" s="1396">
        <f t="shared" si="1887"/>
        <v>0</v>
      </c>
      <c r="AD1297" s="1396">
        <f t="shared" si="1887"/>
        <v>0</v>
      </c>
    </row>
    <row r="1298" spans="1:37" ht="14.5" hidden="1" outlineLevel="1">
      <c r="A1298" s="1693">
        <f t="shared" si="1874"/>
        <v>1281</v>
      </c>
      <c r="B1298" s="616">
        <v>1</v>
      </c>
      <c r="C1298" s="1693">
        <f t="shared" si="1885"/>
        <v>1298</v>
      </c>
      <c r="D1298" s="616">
        <v>1</v>
      </c>
      <c r="E1298" s="709" t="s">
        <v>512</v>
      </c>
      <c r="F1298" s="1771" t="s">
        <v>882</v>
      </c>
      <c r="J1298" s="940" t="s">
        <v>689</v>
      </c>
      <c r="K1298" s="946"/>
      <c r="L1298" s="946"/>
      <c r="M1298" s="946"/>
      <c r="N1298" s="941" t="s">
        <v>585</v>
      </c>
      <c r="O1298" s="941"/>
      <c r="P1298" s="941"/>
      <c r="Q1298" s="941"/>
      <c r="R1298" s="1843" t="str">
        <f>CHOOSE(2, "6722000004199", "Office Total")</f>
        <v>Office Total</v>
      </c>
      <c r="S1298" s="1397">
        <f t="shared" ref="S1298:AD1298" si="1888">SUM(S1299,S1300,S1301)</f>
        <v>278133.40163028979</v>
      </c>
      <c r="T1298" s="1397">
        <f t="shared" si="1888"/>
        <v>214671.51216741998</v>
      </c>
      <c r="U1298" s="1397">
        <f t="shared" si="1888"/>
        <v>107165.83175084587</v>
      </c>
      <c r="V1298" s="1397">
        <f t="shared" si="1888"/>
        <v>302177.6030676121</v>
      </c>
      <c r="W1298" s="1397">
        <f t="shared" si="1888"/>
        <v>238048.5928503068</v>
      </c>
      <c r="X1298" s="1397">
        <f t="shared" si="1888"/>
        <v>123225.60971954028</v>
      </c>
      <c r="Y1298" s="1397">
        <f t="shared" si="1888"/>
        <v>308363.96792284632</v>
      </c>
      <c r="Z1298" s="1397">
        <f t="shared" si="1888"/>
        <v>211304.71904483507</v>
      </c>
      <c r="AA1298" s="1397">
        <f t="shared" si="1888"/>
        <v>120525.14748245219</v>
      </c>
      <c r="AB1298" s="1397">
        <f t="shared" si="1888"/>
        <v>311076.2763636373</v>
      </c>
      <c r="AC1298" s="1397">
        <f t="shared" si="1888"/>
        <v>243383.28012377923</v>
      </c>
      <c r="AD1298" s="1397">
        <f t="shared" si="1888"/>
        <v>125337.06633787439</v>
      </c>
    </row>
    <row r="1299" spans="1:37" ht="14.5" hidden="1" outlineLevel="1">
      <c r="A1299" s="1693">
        <f t="shared" si="1874"/>
        <v>1282</v>
      </c>
      <c r="B1299" s="616">
        <v>1</v>
      </c>
      <c r="C1299" s="1693">
        <f t="shared" si="1885"/>
        <v>1299</v>
      </c>
      <c r="D1299" s="616">
        <v>1</v>
      </c>
      <c r="E1299" s="709" t="s">
        <v>512</v>
      </c>
      <c r="F1299" s="1771" t="s">
        <v>882</v>
      </c>
      <c r="J1299" s="940"/>
      <c r="K1299" s="942"/>
      <c r="L1299" s="942"/>
      <c r="M1299" s="942"/>
      <c r="N1299" s="942" t="s">
        <v>57</v>
      </c>
      <c r="O1299" s="942"/>
      <c r="P1299" s="942"/>
      <c r="Q1299" s="942"/>
      <c r="R1299" s="3001" t="str">
        <f>CHOOSE(2, "6722000004200", "Office HW")</f>
        <v>Office HW</v>
      </c>
      <c r="S1299" s="2995">
        <f>OP!X1299</f>
        <v>220205.17551778982</v>
      </c>
      <c r="T1299" s="2996">
        <f>OP!Y1299</f>
        <v>164706.80421741999</v>
      </c>
      <c r="U1299" s="2996">
        <f>OP!Z1299</f>
        <v>69510.334207095875</v>
      </c>
      <c r="V1299" s="2996">
        <f>OP!AA1299</f>
        <v>240853.84879261209</v>
      </c>
      <c r="W1299" s="2996">
        <f>OP!AB1299</f>
        <v>185537.23877843181</v>
      </c>
      <c r="X1299" s="2996">
        <f>OP!AC1299</f>
        <v>83292.922462040297</v>
      </c>
      <c r="Y1299" s="2996">
        <f>OP!AD1299</f>
        <v>247971.25054534635</v>
      </c>
      <c r="Z1299" s="2996">
        <f>OP!AE1299</f>
        <v>158187.93497296009</v>
      </c>
      <c r="AA1299" s="2996">
        <f>OP!AF1299</f>
        <v>81347.69148995218</v>
      </c>
      <c r="AB1299" s="2996">
        <f>OP!AG1299</f>
        <v>248446.14772113733</v>
      </c>
      <c r="AC1299" s="2996">
        <f>OP!AH1299</f>
        <v>189892.14527627925</v>
      </c>
      <c r="AD1299" s="2996">
        <f>OP!AI1299</f>
        <v>85040.904712874399</v>
      </c>
    </row>
    <row r="1300" spans="1:37" ht="14.5" hidden="1" outlineLevel="1">
      <c r="A1300" s="1693">
        <f t="shared" si="1874"/>
        <v>1283</v>
      </c>
      <c r="B1300" s="616">
        <v>1</v>
      </c>
      <c r="C1300" s="1693">
        <f t="shared" si="1885"/>
        <v>1300</v>
      </c>
      <c r="D1300" s="616">
        <v>1</v>
      </c>
      <c r="E1300" s="709" t="s">
        <v>512</v>
      </c>
      <c r="F1300" s="1771" t="s">
        <v>882</v>
      </c>
      <c r="J1300" s="940"/>
      <c r="K1300" s="942"/>
      <c r="L1300" s="942"/>
      <c r="M1300" s="942"/>
      <c r="N1300" s="942" t="s">
        <v>27</v>
      </c>
      <c r="O1300" s="942"/>
      <c r="P1300" s="942"/>
      <c r="Q1300" s="942"/>
      <c r="R1300" s="3001" t="str">
        <f>CHOOSE(2, "6722000004201", "Office NH")</f>
        <v>Office NH</v>
      </c>
      <c r="S1300" s="2995">
        <f>OP!X1300</f>
        <v>57928.2261125</v>
      </c>
      <c r="T1300" s="2996">
        <f>OP!Y1300</f>
        <v>49964.707949999989</v>
      </c>
      <c r="U1300" s="2996">
        <f>OP!Z1300</f>
        <v>37655.497543749996</v>
      </c>
      <c r="V1300" s="2996">
        <f>OP!AA1300</f>
        <v>61323.754275000007</v>
      </c>
      <c r="W1300" s="2996">
        <f>OP!AB1300</f>
        <v>52511.354071874994</v>
      </c>
      <c r="X1300" s="2996">
        <f>OP!AC1300</f>
        <v>39932.687257499994</v>
      </c>
      <c r="Y1300" s="2996">
        <f>OP!AD1300</f>
        <v>60392.717377499997</v>
      </c>
      <c r="Z1300" s="2996">
        <f>OP!AE1300</f>
        <v>53116.784071874987</v>
      </c>
      <c r="AA1300" s="2996">
        <f>OP!AF1300</f>
        <v>39177.455992499999</v>
      </c>
      <c r="AB1300" s="2996">
        <f>OP!AG1300</f>
        <v>62630.1286425</v>
      </c>
      <c r="AC1300" s="2996">
        <f>OP!AH1300</f>
        <v>53491.13484749999</v>
      </c>
      <c r="AD1300" s="2996">
        <f>OP!AI1300</f>
        <v>40296.161624999993</v>
      </c>
    </row>
    <row r="1301" spans="1:37" ht="14.5" hidden="1" outlineLevel="1">
      <c r="A1301" s="1693">
        <f t="shared" si="1874"/>
        <v>1284</v>
      </c>
      <c r="B1301" s="616">
        <v>1</v>
      </c>
      <c r="C1301" s="1693">
        <f t="shared" si="1885"/>
        <v>1301</v>
      </c>
      <c r="D1301" s="616">
        <v>1</v>
      </c>
      <c r="E1301" s="709" t="s">
        <v>512</v>
      </c>
      <c r="F1301" s="1771" t="s">
        <v>882</v>
      </c>
      <c r="J1301" s="943"/>
      <c r="K1301" s="944"/>
      <c r="L1301" s="944"/>
      <c r="M1301" s="944"/>
      <c r="N1301" s="944" t="s">
        <v>554</v>
      </c>
      <c r="O1301" s="942"/>
      <c r="P1301" s="942"/>
      <c r="Q1301" s="942"/>
      <c r="R1301" s="3001" t="str">
        <f>CHOOSE(2, "6722000004202", "Office Others")</f>
        <v>Office Others</v>
      </c>
      <c r="S1301" s="2995">
        <f>OP!X1301</f>
        <v>0</v>
      </c>
      <c r="T1301" s="2996">
        <f>OP!Y1301</f>
        <v>0</v>
      </c>
      <c r="U1301" s="2996">
        <f>OP!Z1301</f>
        <v>0</v>
      </c>
      <c r="V1301" s="2996">
        <f>OP!AA1301</f>
        <v>0</v>
      </c>
      <c r="W1301" s="2996">
        <f>OP!AB1301</f>
        <v>0</v>
      </c>
      <c r="X1301" s="2996">
        <f>OP!AC1301</f>
        <v>0</v>
      </c>
      <c r="Y1301" s="2996">
        <f>OP!AD1301</f>
        <v>0</v>
      </c>
      <c r="Z1301" s="2996">
        <f>OP!AE1301</f>
        <v>0</v>
      </c>
      <c r="AA1301" s="2996">
        <f>OP!AF1301</f>
        <v>0</v>
      </c>
      <c r="AB1301" s="2996">
        <f>OP!AG1301</f>
        <v>0</v>
      </c>
      <c r="AC1301" s="2996">
        <f>OP!AH1301</f>
        <v>0</v>
      </c>
      <c r="AD1301" s="2996">
        <f>OP!AI1301</f>
        <v>0</v>
      </c>
    </row>
    <row r="1302" spans="1:37" ht="14.5" hidden="1" outlineLevel="1">
      <c r="A1302" s="1693">
        <f t="shared" si="1874"/>
        <v>1285</v>
      </c>
      <c r="B1302" s="616">
        <v>1</v>
      </c>
      <c r="C1302" s="1693">
        <f t="shared" si="1885"/>
        <v>1302</v>
      </c>
      <c r="D1302" s="616">
        <v>1</v>
      </c>
      <c r="E1302" s="709" t="s">
        <v>512</v>
      </c>
      <c r="F1302" s="1771" t="s">
        <v>882</v>
      </c>
      <c r="J1302" s="940" t="s">
        <v>690</v>
      </c>
      <c r="K1302" s="946"/>
      <c r="L1302" s="946"/>
      <c r="M1302" s="946"/>
      <c r="N1302" s="941" t="s">
        <v>585</v>
      </c>
      <c r="O1302" s="941"/>
      <c r="P1302" s="941"/>
      <c r="Q1302" s="941"/>
      <c r="R1302" s="1843" t="str">
        <f>CHOOSE(2, "6722000004203", "PP Total")</f>
        <v>PP Total</v>
      </c>
      <c r="S1302" s="1397">
        <f t="shared" ref="S1302:AD1302" si="1889">SUM(S1303,S1304,S1305)</f>
        <v>126972.48152283597</v>
      </c>
      <c r="T1302" s="1397">
        <f t="shared" si="1889"/>
        <v>105266.82379198051</v>
      </c>
      <c r="U1302" s="1397">
        <f t="shared" si="1889"/>
        <v>71387.157564406283</v>
      </c>
      <c r="V1302" s="1397">
        <f t="shared" si="1889"/>
        <v>131067.97871513222</v>
      </c>
      <c r="W1302" s="1397">
        <f t="shared" si="1889"/>
        <v>114151.18635309378</v>
      </c>
      <c r="X1302" s="1397">
        <f t="shared" si="1889"/>
        <v>77683.513195045787</v>
      </c>
      <c r="Y1302" s="1397">
        <f t="shared" si="1889"/>
        <v>138607.0227963207</v>
      </c>
      <c r="Z1302" s="1397">
        <f t="shared" si="1889"/>
        <v>103641.43341098429</v>
      </c>
      <c r="AA1302" s="1397">
        <f t="shared" si="1889"/>
        <v>79813.036513516228</v>
      </c>
      <c r="AB1302" s="1397">
        <f t="shared" si="1889"/>
        <v>136577.28666396922</v>
      </c>
      <c r="AC1302" s="1397">
        <f t="shared" si="1889"/>
        <v>121453.45087475446</v>
      </c>
      <c r="AD1302" s="1397">
        <f t="shared" si="1889"/>
        <v>81169.589489776205</v>
      </c>
    </row>
    <row r="1303" spans="1:37" ht="14.5" hidden="1" outlineLevel="1">
      <c r="A1303" s="1693">
        <f t="shared" si="1874"/>
        <v>1286</v>
      </c>
      <c r="B1303" s="616">
        <v>1</v>
      </c>
      <c r="C1303" s="1693">
        <f t="shared" si="1885"/>
        <v>1303</v>
      </c>
      <c r="D1303" s="616">
        <v>1</v>
      </c>
      <c r="E1303" s="709" t="s">
        <v>512</v>
      </c>
      <c r="F1303" s="1771" t="s">
        <v>882</v>
      </c>
      <c r="J1303" s="940"/>
      <c r="K1303" s="942"/>
      <c r="L1303" s="942"/>
      <c r="M1303" s="942"/>
      <c r="N1303" s="942" t="s">
        <v>57</v>
      </c>
      <c r="O1303" s="942"/>
      <c r="P1303" s="942"/>
      <c r="Q1303" s="942"/>
      <c r="R1303" s="3001" t="str">
        <f>CHOOSE(2, "6722000004204", "PP HW")</f>
        <v>PP HW</v>
      </c>
      <c r="S1303" s="2995">
        <f>OP!X1303</f>
        <v>57059.822802835981</v>
      </c>
      <c r="T1303" s="2996">
        <f>OP!Y1303</f>
        <v>52832.329751980506</v>
      </c>
      <c r="U1303" s="2996">
        <f>OP!Z1303</f>
        <v>36430.82820440628</v>
      </c>
      <c r="V1303" s="2996">
        <f>OP!AA1303</f>
        <v>61658.540045132235</v>
      </c>
      <c r="W1303" s="2996">
        <f>OP!AB1303</f>
        <v>62094.107350593789</v>
      </c>
      <c r="X1303" s="2996">
        <f>OP!AC1303</f>
        <v>42978.793860045793</v>
      </c>
      <c r="Y1303" s="2996">
        <f>OP!AD1303</f>
        <v>62111.199546320699</v>
      </c>
      <c r="Z1303" s="2996">
        <f>OP!AE1303</f>
        <v>46269.565973484277</v>
      </c>
      <c r="AA1303" s="2996">
        <f>OP!AF1303</f>
        <v>41565.124888516228</v>
      </c>
      <c r="AB1303" s="2996">
        <f>OP!AG1303</f>
        <v>59923.553063969208</v>
      </c>
      <c r="AC1303" s="2996">
        <f>OP!AH1303</f>
        <v>63963.150674754455</v>
      </c>
      <c r="AD1303" s="2996">
        <f>OP!AI1303</f>
        <v>42842.722689776201</v>
      </c>
    </row>
    <row r="1304" spans="1:37" ht="14.5" hidden="1" outlineLevel="1">
      <c r="A1304" s="1693">
        <f t="shared" si="1874"/>
        <v>1287</v>
      </c>
      <c r="B1304" s="616">
        <v>1</v>
      </c>
      <c r="C1304" s="1693">
        <f t="shared" si="1885"/>
        <v>1304</v>
      </c>
      <c r="D1304" s="616">
        <v>1</v>
      </c>
      <c r="E1304" s="709" t="s">
        <v>512</v>
      </c>
      <c r="F1304" s="1771" t="s">
        <v>882</v>
      </c>
      <c r="J1304" s="940"/>
      <c r="K1304" s="942"/>
      <c r="L1304" s="942"/>
      <c r="M1304" s="942"/>
      <c r="N1304" s="942" t="s">
        <v>27</v>
      </c>
      <c r="O1304" s="942"/>
      <c r="P1304" s="942"/>
      <c r="Q1304" s="942"/>
      <c r="R1304" s="3001" t="str">
        <f>CHOOSE(2, "6722000004205", "PP NH")</f>
        <v>PP NH</v>
      </c>
      <c r="S1304" s="2995">
        <f>OP!X1304</f>
        <v>69912.658719999992</v>
      </c>
      <c r="T1304" s="2996">
        <f>OP!Y1304</f>
        <v>52434.494039999998</v>
      </c>
      <c r="U1304" s="2996">
        <f>OP!Z1304</f>
        <v>34956.329359999996</v>
      </c>
      <c r="V1304" s="2996">
        <f>OP!AA1304</f>
        <v>69409.438669999989</v>
      </c>
      <c r="W1304" s="2996">
        <f>OP!AB1304</f>
        <v>52057.079002499995</v>
      </c>
      <c r="X1304" s="2996">
        <f>OP!AC1304</f>
        <v>34704.719334999994</v>
      </c>
      <c r="Y1304" s="2996">
        <f>OP!AD1304</f>
        <v>76495.823250000001</v>
      </c>
      <c r="Z1304" s="2996">
        <f>OP!AE1304</f>
        <v>57371.867437500005</v>
      </c>
      <c r="AA1304" s="2996">
        <f>OP!AF1304</f>
        <v>38247.911625000001</v>
      </c>
      <c r="AB1304" s="2996">
        <f>OP!AG1304</f>
        <v>76653.733600000007</v>
      </c>
      <c r="AC1304" s="2996">
        <f>OP!AH1304</f>
        <v>57490.300199999998</v>
      </c>
      <c r="AD1304" s="2996">
        <f>OP!AI1304</f>
        <v>38326.866800000003</v>
      </c>
    </row>
    <row r="1305" spans="1:37" ht="14.5" hidden="1" outlineLevel="1">
      <c r="A1305" s="1693">
        <f t="shared" si="1874"/>
        <v>1288</v>
      </c>
      <c r="B1305" s="616">
        <v>1</v>
      </c>
      <c r="C1305" s="1693">
        <f t="shared" si="1885"/>
        <v>1305</v>
      </c>
      <c r="D1305" s="616">
        <v>1</v>
      </c>
      <c r="E1305" s="709" t="s">
        <v>512</v>
      </c>
      <c r="F1305" s="1771" t="s">
        <v>882</v>
      </c>
      <c r="J1305" s="943"/>
      <c r="K1305" s="944"/>
      <c r="L1305" s="944"/>
      <c r="M1305" s="944"/>
      <c r="N1305" s="944" t="s">
        <v>554</v>
      </c>
      <c r="O1305" s="944"/>
      <c r="P1305" s="944"/>
      <c r="Q1305" s="944"/>
      <c r="R1305" s="3001" t="str">
        <f>CHOOSE(2, "6722000004206", "PP Others")</f>
        <v>PP Others</v>
      </c>
      <c r="S1305" s="2995">
        <f>OP!X1305</f>
        <v>0</v>
      </c>
      <c r="T1305" s="2996">
        <f>OP!Y1305</f>
        <v>0</v>
      </c>
      <c r="U1305" s="2996">
        <f>OP!Z1305</f>
        <v>0</v>
      </c>
      <c r="V1305" s="2996">
        <f>OP!AA1305</f>
        <v>0</v>
      </c>
      <c r="W1305" s="2996">
        <f>OP!AB1305</f>
        <v>0</v>
      </c>
      <c r="X1305" s="2996">
        <f>OP!AC1305</f>
        <v>0</v>
      </c>
      <c r="Y1305" s="2996">
        <f>OP!AD1305</f>
        <v>0</v>
      </c>
      <c r="Z1305" s="2996">
        <f>OP!AE1305</f>
        <v>0</v>
      </c>
      <c r="AA1305" s="2996">
        <f>OP!AF1305</f>
        <v>0</v>
      </c>
      <c r="AB1305" s="2996">
        <f>OP!AG1305</f>
        <v>0</v>
      </c>
      <c r="AC1305" s="2996">
        <f>OP!AH1305</f>
        <v>0</v>
      </c>
      <c r="AD1305" s="2996">
        <f>OP!AI1305</f>
        <v>0</v>
      </c>
    </row>
    <row r="1306" spans="1:37" ht="14.5" hidden="1" outlineLevel="1">
      <c r="A1306" s="1693">
        <f t="shared" si="1874"/>
        <v>1289</v>
      </c>
      <c r="B1306" s="616">
        <v>1</v>
      </c>
      <c r="C1306" s="1693">
        <f t="shared" si="1885"/>
        <v>1306</v>
      </c>
      <c r="D1306" s="616">
        <v>1</v>
      </c>
      <c r="E1306" s="709" t="s">
        <v>512</v>
      </c>
      <c r="F1306" s="1771" t="s">
        <v>882</v>
      </c>
      <c r="J1306" s="943" t="s">
        <v>691</v>
      </c>
      <c r="K1306" s="945"/>
      <c r="L1306" s="945"/>
      <c r="M1306" s="945"/>
      <c r="N1306" s="945" t="s">
        <v>585</v>
      </c>
      <c r="O1306" s="945"/>
      <c r="P1306" s="945"/>
      <c r="Q1306" s="945"/>
      <c r="R1306" s="3001" t="str">
        <f>CHOOSE(2, "6722000004207", "DW-DX Total")</f>
        <v>DW-DX Total</v>
      </c>
      <c r="S1306" s="2997">
        <f>OP!X1306</f>
        <v>0</v>
      </c>
      <c r="T1306" s="2998">
        <f>OP!Y1306</f>
        <v>0</v>
      </c>
      <c r="U1306" s="2998">
        <f>OP!Z1306</f>
        <v>0</v>
      </c>
      <c r="V1306" s="2998">
        <f>OP!AA1306</f>
        <v>0</v>
      </c>
      <c r="W1306" s="2998">
        <f>OP!AB1306</f>
        <v>0</v>
      </c>
      <c r="X1306" s="2998">
        <f>OP!AC1306</f>
        <v>0</v>
      </c>
      <c r="Y1306" s="2998">
        <f>OP!AD1306</f>
        <v>0</v>
      </c>
      <c r="Z1306" s="2998">
        <f>OP!AE1306</f>
        <v>0</v>
      </c>
      <c r="AA1306" s="2998">
        <f>OP!AF1306</f>
        <v>0</v>
      </c>
      <c r="AB1306" s="2998">
        <f>OP!AG1306</f>
        <v>0</v>
      </c>
      <c r="AC1306" s="2998">
        <f>OP!AH1306</f>
        <v>0</v>
      </c>
      <c r="AD1306" s="2998">
        <f>OP!AI1306</f>
        <v>0</v>
      </c>
    </row>
    <row r="1307" spans="1:37" ht="14.5" hidden="1" outlineLevel="1">
      <c r="A1307" s="1693">
        <f t="shared" si="1874"/>
        <v>1290</v>
      </c>
      <c r="B1307" s="616">
        <v>1</v>
      </c>
      <c r="C1307" s="1693">
        <f t="shared" si="1885"/>
        <v>1307</v>
      </c>
      <c r="D1307" s="616">
        <v>1</v>
      </c>
      <c r="E1307" s="709" t="s">
        <v>512</v>
      </c>
      <c r="F1307" s="1771" t="s">
        <v>882</v>
      </c>
      <c r="J1307" s="943" t="s">
        <v>692</v>
      </c>
      <c r="K1307" s="945"/>
      <c r="L1307" s="945"/>
      <c r="M1307" s="945"/>
      <c r="N1307" s="945" t="s">
        <v>585</v>
      </c>
      <c r="O1307" s="945"/>
      <c r="P1307" s="945"/>
      <c r="Q1307" s="945"/>
      <c r="R1307" s="3001" t="str">
        <f>CHOOSE(2, "6722000004208", "IP Total")</f>
        <v>IP Total</v>
      </c>
      <c r="S1307" s="2999">
        <f>OP!X1307</f>
        <v>0</v>
      </c>
      <c r="T1307" s="3000">
        <f>OP!Y1307</f>
        <v>0</v>
      </c>
      <c r="U1307" s="3000">
        <f>OP!Z1307</f>
        <v>0</v>
      </c>
      <c r="V1307" s="3000">
        <f>OP!AA1307</f>
        <v>0</v>
      </c>
      <c r="W1307" s="3000">
        <f>OP!AB1307</f>
        <v>0</v>
      </c>
      <c r="X1307" s="3000">
        <f>OP!AC1307</f>
        <v>0</v>
      </c>
      <c r="Y1307" s="3000">
        <f>OP!AD1307</f>
        <v>0</v>
      </c>
      <c r="Z1307" s="3000">
        <f>OP!AE1307</f>
        <v>0</v>
      </c>
      <c r="AA1307" s="3000">
        <f>OP!AF1307</f>
        <v>0</v>
      </c>
      <c r="AB1307" s="3000">
        <f>OP!AG1307</f>
        <v>0</v>
      </c>
      <c r="AC1307" s="3000">
        <f>OP!AH1307</f>
        <v>0</v>
      </c>
      <c r="AD1307" s="3000">
        <f>OP!AI1307</f>
        <v>0</v>
      </c>
    </row>
    <row r="1308" spans="1:37" ht="14.5" collapsed="1">
      <c r="A1308" s="1693">
        <f t="shared" si="1874"/>
        <v>1291</v>
      </c>
      <c r="B1308" s="616">
        <v>1</v>
      </c>
      <c r="C1308" s="1693">
        <f t="shared" si="1885"/>
        <v>1308</v>
      </c>
      <c r="D1308" s="616">
        <v>1</v>
      </c>
      <c r="E1308" s="709" t="s">
        <v>512</v>
      </c>
      <c r="F1308" s="1069"/>
      <c r="R1308" s="1772" t="str">
        <f>CHOOSE(2, "6722000004209", "▷ Blank 52")</f>
        <v>▷ Blank 52</v>
      </c>
      <c r="S1308" s="1366"/>
      <c r="T1308" s="1366"/>
      <c r="U1308" s="1366"/>
      <c r="V1308" s="1366"/>
      <c r="W1308" s="1366"/>
      <c r="X1308" s="1366"/>
      <c r="Y1308" s="1366"/>
      <c r="Z1308" s="1366"/>
      <c r="AA1308" s="1366"/>
      <c r="AB1308" s="1366"/>
      <c r="AC1308" s="69"/>
      <c r="AD1308" s="69"/>
      <c r="AE1308" s="69"/>
      <c r="AF1308" s="69"/>
      <c r="AG1308" s="69"/>
      <c r="AH1308" s="69"/>
      <c r="AI1308" s="69"/>
      <c r="AJ1308" s="69"/>
      <c r="AK1308" s="69"/>
    </row>
    <row r="1309" spans="1:37" ht="25">
      <c r="A1309" s="1693">
        <f t="shared" si="1874"/>
        <v>1292</v>
      </c>
      <c r="B1309" s="616">
        <v>1</v>
      </c>
      <c r="C1309" s="1693">
        <f t="shared" si="1885"/>
        <v>1309</v>
      </c>
      <c r="D1309" s="616">
        <v>1</v>
      </c>
      <c r="E1309" s="709" t="s">
        <v>512</v>
      </c>
      <c r="F1309" s="1572"/>
      <c r="G1309" s="55" t="s">
        <v>785</v>
      </c>
      <c r="H1309" s="55"/>
      <c r="I1309" s="54"/>
      <c r="J1309" s="4"/>
      <c r="K1309" s="3"/>
      <c r="L1309" s="35"/>
      <c r="M1309" s="35"/>
      <c r="N1309" s="36"/>
      <c r="O1309" s="36"/>
      <c r="P1309" s="36"/>
      <c r="Q1309" s="36"/>
      <c r="R1309" s="1844" t="str">
        <f>CHOOSE(2, "6722000004210", "9. Other segments: BIC, IIS(Mobotix and DM)")</f>
        <v>9. Other segments: BIC, IIS(Mobotix and DM)</v>
      </c>
      <c r="S1309" s="1668"/>
      <c r="T1309" s="1366"/>
      <c r="U1309" s="1366"/>
      <c r="V1309" s="1366"/>
      <c r="W1309" s="1366"/>
      <c r="X1309" s="3444"/>
      <c r="Y1309" s="1366" t="s">
        <v>1316</v>
      </c>
      <c r="Z1309" s="1366"/>
      <c r="AA1309" s="1366"/>
      <c r="AB1309" s="1366"/>
      <c r="AC1309" s="69"/>
      <c r="AD1309" s="3457">
        <f>AD1312-AD1311</f>
        <v>0</v>
      </c>
      <c r="AE1309" s="1669"/>
      <c r="AF1309" s="69"/>
      <c r="AG1309" s="69"/>
      <c r="AH1309" s="69"/>
      <c r="AI1309" s="69"/>
      <c r="AJ1309" s="69"/>
      <c r="AK1309" s="69"/>
    </row>
    <row r="1310" spans="1:37" ht="14.5">
      <c r="A1310" s="1693">
        <f t="shared" si="1874"/>
        <v>1293</v>
      </c>
      <c r="B1310" s="616">
        <v>1</v>
      </c>
      <c r="C1310" s="1693">
        <f t="shared" si="1885"/>
        <v>1310</v>
      </c>
      <c r="D1310" s="616">
        <v>1</v>
      </c>
      <c r="E1310" s="709" t="s">
        <v>512</v>
      </c>
      <c r="F1310" s="1572"/>
      <c r="G1310" s="519"/>
      <c r="H1310" s="81" t="s">
        <v>779</v>
      </c>
      <c r="I1310" s="81"/>
      <c r="J1310" s="35"/>
      <c r="K1310" s="36"/>
      <c r="L1310" s="35"/>
      <c r="M1310" s="35"/>
      <c r="N1310" s="36"/>
      <c r="O1310" s="36"/>
      <c r="P1310" s="36"/>
      <c r="Q1310" s="36"/>
      <c r="R1310" s="1773" t="str">
        <f>CHOOSE(2, "6722000004211", "9-1. P/L: BT + BIC +IIS")</f>
        <v>9-1. P/L: BT + BIC +IIS</v>
      </c>
      <c r="S1310" s="1611">
        <f t="shared" ref="S1310:AD1310" si="1890">S13</f>
        <v>45017</v>
      </c>
      <c r="T1310" s="1611">
        <f t="shared" si="1890"/>
        <v>45047</v>
      </c>
      <c r="U1310" s="1611">
        <f t="shared" si="1890"/>
        <v>45078</v>
      </c>
      <c r="V1310" s="1611">
        <f t="shared" si="1890"/>
        <v>45108</v>
      </c>
      <c r="W1310" s="1611">
        <f t="shared" si="1890"/>
        <v>45139</v>
      </c>
      <c r="X1310" s="1611">
        <f t="shared" si="1890"/>
        <v>45170</v>
      </c>
      <c r="Y1310" s="1611">
        <f t="shared" si="1890"/>
        <v>45200</v>
      </c>
      <c r="Z1310" s="1611">
        <f t="shared" si="1890"/>
        <v>45231</v>
      </c>
      <c r="AA1310" s="1611">
        <f t="shared" si="1890"/>
        <v>45261</v>
      </c>
      <c r="AB1310" s="1611">
        <f t="shared" si="1890"/>
        <v>45292</v>
      </c>
      <c r="AC1310" s="1611">
        <f t="shared" si="1890"/>
        <v>45323</v>
      </c>
      <c r="AD1310" s="1611">
        <f t="shared" si="1890"/>
        <v>45352</v>
      </c>
      <c r="AE1310" s="1707" t="str">
        <f t="shared" ref="AE1310:AK1310" si="1891">AE13</f>
        <v>Q1</v>
      </c>
      <c r="AF1310" s="1707" t="str">
        <f t="shared" si="1891"/>
        <v>Q2</v>
      </c>
      <c r="AG1310" s="1707" t="str">
        <f t="shared" si="1891"/>
        <v>Q3</v>
      </c>
      <c r="AH1310" s="1707" t="str">
        <f t="shared" si="1891"/>
        <v>Q4</v>
      </c>
      <c r="AI1310" s="1707" t="str">
        <f t="shared" si="1891"/>
        <v>1st H</v>
      </c>
      <c r="AJ1310" s="1707" t="str">
        <f t="shared" si="1891"/>
        <v>2nd H</v>
      </c>
      <c r="AK1310" s="1707" t="str">
        <f t="shared" si="1891"/>
        <v>FY23</v>
      </c>
    </row>
    <row r="1311" spans="1:37" ht="14.5">
      <c r="A1311" s="1693">
        <f t="shared" si="1874"/>
        <v>1294</v>
      </c>
      <c r="B1311" s="616">
        <v>1</v>
      </c>
      <c r="C1311" s="1693">
        <f t="shared" si="1885"/>
        <v>1311</v>
      </c>
      <c r="D1311" s="616">
        <v>1</v>
      </c>
      <c r="E1311" s="709" t="s">
        <v>512</v>
      </c>
      <c r="F1311" s="1572"/>
      <c r="G1311" s="519"/>
      <c r="H1311" s="197" t="s">
        <v>26</v>
      </c>
      <c r="I1311" s="197" t="s">
        <v>31</v>
      </c>
      <c r="J1311" s="150" t="s">
        <v>0</v>
      </c>
      <c r="K1311" s="145"/>
      <c r="L1311" s="145"/>
      <c r="M1311" s="145"/>
      <c r="N1311" s="145"/>
      <c r="O1311" s="145"/>
      <c r="P1311" s="145"/>
      <c r="Q1311" s="144"/>
      <c r="R1311" s="1774" t="str">
        <f>CHOOSE(2, "6722000004212", "Other Seg PL Net Sales")</f>
        <v>Other Seg PL Net Sales</v>
      </c>
      <c r="S1311" s="1294">
        <f t="shared" ref="S1311:AD1311" si="1892">S14+S1337+S1353</f>
        <v>1110645</v>
      </c>
      <c r="T1311" s="1294">
        <f t="shared" si="1892"/>
        <v>995464.48228000023</v>
      </c>
      <c r="U1311" s="1294">
        <f t="shared" si="1892"/>
        <v>907844.29396000016</v>
      </c>
      <c r="V1311" s="1294">
        <f t="shared" si="1892"/>
        <v>844507.30103000009</v>
      </c>
      <c r="W1311" s="1294">
        <f t="shared" si="1892"/>
        <v>993624.25832000002</v>
      </c>
      <c r="X1311" s="1294">
        <f t="shared" si="1892"/>
        <v>1073606.7063500001</v>
      </c>
      <c r="Y1311" s="1294">
        <f t="shared" si="1892"/>
        <v>907920.40463</v>
      </c>
      <c r="Z1311" s="1294">
        <f t="shared" si="1892"/>
        <v>899951.36205999996</v>
      </c>
      <c r="AA1311" s="1294">
        <f t="shared" si="1892"/>
        <v>960881.45972999989</v>
      </c>
      <c r="AB1311" s="1294">
        <f t="shared" si="1892"/>
        <v>987477.70738000004</v>
      </c>
      <c r="AC1311" s="1294">
        <f t="shared" si="1892"/>
        <v>1024779.39111</v>
      </c>
      <c r="AD1311" s="1294">
        <f t="shared" si="1892"/>
        <v>1010603.2276199999</v>
      </c>
      <c r="AE1311" s="148">
        <f>SUM(S1311,T1311,U1311)</f>
        <v>3013953.7762400005</v>
      </c>
      <c r="AF1311" s="148">
        <f>SUM(V1311,W1311,X1311)</f>
        <v>2911738.2657000003</v>
      </c>
      <c r="AG1311" s="148">
        <f>SUM(Y1311,Z1311,AA1311)</f>
        <v>2768753.2264199997</v>
      </c>
      <c r="AH1311" s="148">
        <f>SUM(AB1311,AC1311,AD1311)</f>
        <v>3022860.3261099998</v>
      </c>
      <c r="AI1311" s="148">
        <f>AE1311+AF1311</f>
        <v>5925692.0419400008</v>
      </c>
      <c r="AJ1311" s="148">
        <f>AH1311+AG1311</f>
        <v>5791613.55253</v>
      </c>
      <c r="AK1311" s="148">
        <f>AI1311+AJ1311</f>
        <v>11717305.594470002</v>
      </c>
    </row>
    <row r="1312" spans="1:37" ht="14.5">
      <c r="A1312" s="1693">
        <f t="shared" si="1874"/>
        <v>1295</v>
      </c>
      <c r="B1312" s="616">
        <v>1</v>
      </c>
      <c r="C1312" s="1693">
        <f t="shared" si="1885"/>
        <v>1312</v>
      </c>
      <c r="D1312" s="616">
        <v>1</v>
      </c>
      <c r="E1312" s="709" t="s">
        <v>512</v>
      </c>
      <c r="F1312" s="1572"/>
      <c r="G1312" s="519"/>
      <c r="H1312" s="197" t="s">
        <v>26</v>
      </c>
      <c r="I1312" s="197" t="s">
        <v>31</v>
      </c>
      <c r="J1312" s="545" t="s">
        <v>371</v>
      </c>
      <c r="K1312" s="546"/>
      <c r="L1312" s="546"/>
      <c r="M1312" s="546"/>
      <c r="N1312" s="547" t="s">
        <v>370</v>
      </c>
      <c r="O1312" s="546"/>
      <c r="P1312" s="546"/>
      <c r="Q1312" s="548"/>
      <c r="R1312" s="1774" t="str">
        <f>CHOOSE(2, "6722000004213", "Other Seg PL Consolidated Sales")</f>
        <v>Other Seg PL Consolidated Sales</v>
      </c>
      <c r="S1312" s="1294">
        <f t="shared" ref="S1312:AD1312" si="1893">S15+S1338+S1368</f>
        <v>1110645</v>
      </c>
      <c r="T1312" s="1294">
        <f t="shared" si="1893"/>
        <v>995465.16428000014</v>
      </c>
      <c r="U1312" s="1294">
        <f t="shared" si="1893"/>
        <v>907844.29396000016</v>
      </c>
      <c r="V1312" s="1294">
        <f t="shared" si="1893"/>
        <v>844507.70503000007</v>
      </c>
      <c r="W1312" s="1294">
        <f t="shared" si="1893"/>
        <v>993623.97132000001</v>
      </c>
      <c r="X1312" s="1294">
        <f t="shared" si="1893"/>
        <v>1073606.8603500002</v>
      </c>
      <c r="Y1312" s="1294">
        <f t="shared" si="1893"/>
        <v>907920.13763000001</v>
      </c>
      <c r="Z1312" s="1294">
        <f t="shared" si="1893"/>
        <v>899951.86205999996</v>
      </c>
      <c r="AA1312" s="1294">
        <f t="shared" si="1893"/>
        <v>960881.45972999989</v>
      </c>
      <c r="AB1312" s="1294">
        <f t="shared" si="1893"/>
        <v>987477.70738000004</v>
      </c>
      <c r="AC1312" s="1294">
        <f t="shared" si="1893"/>
        <v>1024779.39111</v>
      </c>
      <c r="AD1312" s="1294">
        <f t="shared" si="1893"/>
        <v>1010603.2276199999</v>
      </c>
      <c r="AE1312" s="549">
        <f>SUM(S1312,T1312,U1312)</f>
        <v>3013954.4582400005</v>
      </c>
      <c r="AF1312" s="549">
        <f>SUM(V1312,W1312,X1312)</f>
        <v>2911738.5367000001</v>
      </c>
      <c r="AG1312" s="549">
        <f>SUM(Y1312,Z1312,AA1312)</f>
        <v>2768753.4594199997</v>
      </c>
      <c r="AH1312" s="549">
        <f>SUM(AB1312,AC1312,AD1312)</f>
        <v>3022860.3261099998</v>
      </c>
      <c r="AI1312" s="549">
        <f>AE1312+AF1312</f>
        <v>5925692.9949400006</v>
      </c>
      <c r="AJ1312" s="549">
        <f>AH1312+AG1312</f>
        <v>5791613.7855299991</v>
      </c>
      <c r="AK1312" s="549">
        <f>AI1312+AJ1312</f>
        <v>11717306.780469999</v>
      </c>
    </row>
    <row r="1313" spans="1:37" ht="14.5">
      <c r="A1313" s="1693">
        <f t="shared" si="1874"/>
        <v>1296</v>
      </c>
      <c r="B1313" s="616">
        <v>1</v>
      </c>
      <c r="C1313" s="1693">
        <f t="shared" si="1885"/>
        <v>1313</v>
      </c>
      <c r="D1313" s="616">
        <v>1</v>
      </c>
      <c r="E1313" s="709" t="s">
        <v>512</v>
      </c>
      <c r="F1313" s="1572"/>
      <c r="G1313" s="519"/>
      <c r="H1313" s="197" t="s">
        <v>26</v>
      </c>
      <c r="I1313" s="197" t="s">
        <v>31</v>
      </c>
      <c r="J1313" s="198" t="s">
        <v>37</v>
      </c>
      <c r="K1313" s="51"/>
      <c r="L1313" s="52"/>
      <c r="M1313" s="52"/>
      <c r="N1313" s="51"/>
      <c r="O1313" s="51"/>
      <c r="P1313" s="51"/>
      <c r="Q1313" s="102"/>
      <c r="R1313" s="1786" t="str">
        <f>CHOOSE(2, "6722000004214", "Other Seg PL Cost of Sales")</f>
        <v>Other Seg PL Cost of Sales</v>
      </c>
      <c r="S1313" s="1421">
        <f t="shared" ref="S1313:AD1313" si="1894">S1311-S1314</f>
        <v>705699</v>
      </c>
      <c r="T1313" s="1421">
        <f t="shared" si="1894"/>
        <v>684826.58997583366</v>
      </c>
      <c r="U1313" s="1421">
        <f t="shared" si="1894"/>
        <v>624003.90437875013</v>
      </c>
      <c r="V1313" s="1421">
        <f t="shared" si="1894"/>
        <v>582067.76488697913</v>
      </c>
      <c r="W1313" s="1421">
        <f t="shared" si="1894"/>
        <v>702124.07302183867</v>
      </c>
      <c r="X1313" s="1421">
        <f t="shared" si="1894"/>
        <v>734656.42693910818</v>
      </c>
      <c r="Y1313" s="1421">
        <f t="shared" si="1894"/>
        <v>634787.50692583318</v>
      </c>
      <c r="Z1313" s="1421">
        <f t="shared" si="1894"/>
        <v>581152.56000928918</v>
      </c>
      <c r="AA1313" s="1421">
        <f t="shared" si="1894"/>
        <v>647372.0337096873</v>
      </c>
      <c r="AB1313" s="1421">
        <f t="shared" si="1894"/>
        <v>664182.91599166673</v>
      </c>
      <c r="AC1313" s="1421">
        <f t="shared" si="1894"/>
        <v>644268.79027186288</v>
      </c>
      <c r="AD1313" s="1421">
        <f t="shared" si="1894"/>
        <v>727539.66892834054</v>
      </c>
      <c r="AE1313" s="1670">
        <f>SUM(S1313,T1313,U1313)</f>
        <v>2014529.4943545838</v>
      </c>
      <c r="AF1313" s="1670">
        <f>SUM(V1313,W1313,X1313)</f>
        <v>2018848.2648479261</v>
      </c>
      <c r="AG1313" s="1670">
        <f>SUM(Y1313,Z1313,AA1313)</f>
        <v>1863312.1006448097</v>
      </c>
      <c r="AH1313" s="1670">
        <f>SUM(AB1313,AC1313,AD1313)</f>
        <v>2035991.3751918701</v>
      </c>
      <c r="AI1313" s="1670">
        <f>AE1313+AF1313</f>
        <v>4033377.7592025101</v>
      </c>
      <c r="AJ1313" s="1670">
        <f>AH1313+AG1313</f>
        <v>3899303.4758366798</v>
      </c>
      <c r="AK1313" s="1670">
        <f>AI1313+AJ1313</f>
        <v>7932681.2350391895</v>
      </c>
    </row>
    <row r="1314" spans="1:37" ht="14.5">
      <c r="A1314" s="1693">
        <f t="shared" si="1874"/>
        <v>1297</v>
      </c>
      <c r="B1314" s="616">
        <v>1</v>
      </c>
      <c r="C1314" s="1693">
        <f t="shared" si="1885"/>
        <v>1314</v>
      </c>
      <c r="D1314" s="616">
        <v>1</v>
      </c>
      <c r="E1314" s="709" t="s">
        <v>512</v>
      </c>
      <c r="F1314" s="1572"/>
      <c r="G1314" s="519"/>
      <c r="H1314" s="197" t="s">
        <v>26</v>
      </c>
      <c r="I1314" s="197" t="s">
        <v>31</v>
      </c>
      <c r="J1314" s="199" t="s">
        <v>54</v>
      </c>
      <c r="K1314" s="160"/>
      <c r="L1314" s="160"/>
      <c r="M1314" s="160"/>
      <c r="N1314" s="160"/>
      <c r="O1314" s="160"/>
      <c r="P1314" s="160"/>
      <c r="Q1314" s="159"/>
      <c r="R1314" s="1774" t="str">
        <f>CHOOSE(2, "6722000004215", "Other Seg PL Gross Profit")</f>
        <v>Other Seg PL Gross Profit</v>
      </c>
      <c r="S1314" s="1302">
        <f t="shared" ref="S1314:AD1314" si="1895">S17+S1339+S1383</f>
        <v>404946</v>
      </c>
      <c r="T1314" s="1302">
        <f t="shared" si="1895"/>
        <v>310637.89230416663</v>
      </c>
      <c r="U1314" s="1302">
        <f t="shared" si="1895"/>
        <v>283840.38958124997</v>
      </c>
      <c r="V1314" s="1302">
        <f t="shared" si="1895"/>
        <v>262439.53614302096</v>
      </c>
      <c r="W1314" s="1302">
        <f t="shared" si="1895"/>
        <v>291500.18529816129</v>
      </c>
      <c r="X1314" s="1302">
        <f t="shared" si="1895"/>
        <v>338950.27941089193</v>
      </c>
      <c r="Y1314" s="1302">
        <f t="shared" si="1895"/>
        <v>273132.89770416683</v>
      </c>
      <c r="Z1314" s="1302">
        <f t="shared" si="1895"/>
        <v>318798.80205071077</v>
      </c>
      <c r="AA1314" s="1302">
        <f t="shared" si="1895"/>
        <v>313509.42602031259</v>
      </c>
      <c r="AB1314" s="1302">
        <f>AB17+AB1339+AB1383</f>
        <v>323294.79138833337</v>
      </c>
      <c r="AC1314" s="1302">
        <f t="shared" si="1895"/>
        <v>380510.60083813715</v>
      </c>
      <c r="AD1314" s="1302">
        <f t="shared" si="1895"/>
        <v>283063.55869165942</v>
      </c>
      <c r="AE1314" s="158">
        <f>SUM(S1314,T1314,U1314)</f>
        <v>999424.28188541671</v>
      </c>
      <c r="AF1314" s="158">
        <f>SUM(V1314,W1314,X1314)</f>
        <v>892890.00085207424</v>
      </c>
      <c r="AG1314" s="158">
        <f>SUM(Y1314,Z1314,AA1314)</f>
        <v>905441.12577519019</v>
      </c>
      <c r="AH1314" s="158">
        <f>SUM(AB1314,AC1314,AD1314)</f>
        <v>986868.95091812988</v>
      </c>
      <c r="AI1314" s="158">
        <f>AE1314+AF1314</f>
        <v>1892314.282737491</v>
      </c>
      <c r="AJ1314" s="158">
        <f>AH1314+AG1314</f>
        <v>1892310.0766933202</v>
      </c>
      <c r="AK1314" s="158">
        <f>AI1314+AJ1314</f>
        <v>3784624.3594308114</v>
      </c>
    </row>
    <row r="1315" spans="1:37" ht="14.5">
      <c r="A1315" s="1693">
        <f t="shared" si="1874"/>
        <v>1298</v>
      </c>
      <c r="B1315" s="616">
        <v>1</v>
      </c>
      <c r="C1315" s="1693">
        <f t="shared" si="1885"/>
        <v>1315</v>
      </c>
      <c r="D1315" s="616">
        <v>1</v>
      </c>
      <c r="E1315" s="709" t="s">
        <v>512</v>
      </c>
      <c r="F1315" s="1572"/>
      <c r="G1315" s="519"/>
      <c r="H1315" s="197" t="s">
        <v>26</v>
      </c>
      <c r="I1315" s="197" t="s">
        <v>31</v>
      </c>
      <c r="J1315" s="200" t="s">
        <v>54</v>
      </c>
      <c r="K1315" s="104"/>
      <c r="L1315" s="105"/>
      <c r="M1315" s="105"/>
      <c r="N1315" s="104"/>
      <c r="O1315" s="104"/>
      <c r="P1315" s="104"/>
      <c r="Q1315" s="149" t="s">
        <v>55</v>
      </c>
      <c r="R1315" s="1776" t="str">
        <f>CHOOSE(2, "6722000004216", "Other Seg PL Gross Profit (%)")</f>
        <v>Other Seg PL Gross Profit (%)</v>
      </c>
      <c r="S1315" s="1671">
        <f t="shared" ref="S1315:AD1315" si="1896">IFERROR(S1314/S1311,0)</f>
        <v>0.36460435152546494</v>
      </c>
      <c r="T1315" s="1671">
        <f t="shared" si="1896"/>
        <v>0.31205321519124946</v>
      </c>
      <c r="U1315" s="1671">
        <f t="shared" si="1896"/>
        <v>0.3126531625188097</v>
      </c>
      <c r="V1315" s="1671">
        <f t="shared" si="1896"/>
        <v>0.31076052962826678</v>
      </c>
      <c r="W1315" s="1671">
        <f t="shared" si="1896"/>
        <v>0.29337064071988739</v>
      </c>
      <c r="X1315" s="1671">
        <f t="shared" si="1896"/>
        <v>0.31571177546313944</v>
      </c>
      <c r="Y1315" s="1671">
        <f t="shared" si="1896"/>
        <v>0.30083352715866679</v>
      </c>
      <c r="Z1315" s="1671">
        <f t="shared" si="1896"/>
        <v>0.35424003506253526</v>
      </c>
      <c r="AA1315" s="1671">
        <f t="shared" si="1896"/>
        <v>0.32627273931209605</v>
      </c>
      <c r="AB1315" s="3452">
        <f t="shared" si="1896"/>
        <v>0.32739452138733033</v>
      </c>
      <c r="AC1315" s="1671">
        <f t="shared" si="1896"/>
        <v>0.37130977080441024</v>
      </c>
      <c r="AD1315" s="1671">
        <f t="shared" si="1896"/>
        <v>0.28009366184024798</v>
      </c>
      <c r="AE1315" s="1671">
        <f t="shared" ref="AE1315:AK1315" si="1897">IFERROR(AE1314/AE1311,0)</f>
        <v>0.33159907420087548</v>
      </c>
      <c r="AF1315" s="1671">
        <f t="shared" si="1897"/>
        <v>0.30665187574385838</v>
      </c>
      <c r="AG1315" s="1671">
        <f t="shared" si="1897"/>
        <v>0.32702124448480602</v>
      </c>
      <c r="AH1315" s="1671">
        <f t="shared" si="1897"/>
        <v>0.32646859082241908</v>
      </c>
      <c r="AI1315" s="1671">
        <f t="shared" si="1897"/>
        <v>0.31934063892357961</v>
      </c>
      <c r="AJ1315" s="1671">
        <f t="shared" si="1897"/>
        <v>0.32673279381126635</v>
      </c>
      <c r="AK1315" s="1671">
        <f t="shared" si="1897"/>
        <v>0.32299442298551723</v>
      </c>
    </row>
    <row r="1316" spans="1:37" ht="14.5">
      <c r="A1316" s="1693">
        <f t="shared" si="1874"/>
        <v>1299</v>
      </c>
      <c r="B1316" s="616">
        <v>1</v>
      </c>
      <c r="C1316" s="1693">
        <f t="shared" si="1885"/>
        <v>1316</v>
      </c>
      <c r="D1316" s="616">
        <v>1</v>
      </c>
      <c r="E1316" s="709" t="s">
        <v>512</v>
      </c>
      <c r="F1316" s="1572"/>
      <c r="G1316" s="519"/>
      <c r="H1316" s="197" t="s">
        <v>26</v>
      </c>
      <c r="I1316" s="197" t="s">
        <v>31</v>
      </c>
      <c r="J1316" s="199" t="s">
        <v>29</v>
      </c>
      <c r="K1316" s="160"/>
      <c r="L1316" s="160"/>
      <c r="M1316" s="160"/>
      <c r="N1316" s="160"/>
      <c r="O1316" s="160"/>
      <c r="P1316" s="160"/>
      <c r="Q1316" s="159"/>
      <c r="R1316" s="1774" t="str">
        <f>CHOOSE(2, "6722000004217", "Other Seg PL SGA Expenses")</f>
        <v>Other Seg PL SGA Expenses</v>
      </c>
      <c r="S1316" s="1302">
        <f t="shared" ref="S1316:AD1316" si="1898">S1318+S1319+S1320</f>
        <v>261054.809011943</v>
      </c>
      <c r="T1316" s="1302">
        <f t="shared" si="1898"/>
        <v>226966.91548000003</v>
      </c>
      <c r="U1316" s="1302">
        <f t="shared" si="1898"/>
        <v>197988.07627411722</v>
      </c>
      <c r="V1316" s="1302">
        <f t="shared" si="1898"/>
        <v>188688.86923152505</v>
      </c>
      <c r="W1316" s="1302">
        <f t="shared" si="1898"/>
        <v>208121.48513337722</v>
      </c>
      <c r="X1316" s="1302">
        <f t="shared" si="1898"/>
        <v>226556.51830037701</v>
      </c>
      <c r="Y1316" s="1302">
        <f t="shared" si="1898"/>
        <v>183578.55220742291</v>
      </c>
      <c r="Z1316" s="1302">
        <f t="shared" si="1898"/>
        <v>240950.95470130513</v>
      </c>
      <c r="AA1316" s="1302">
        <f t="shared" si="1898"/>
        <v>236162.06909773013</v>
      </c>
      <c r="AB1316" s="1302">
        <f t="shared" si="1898"/>
        <v>227173.22258199978</v>
      </c>
      <c r="AC1316" s="1302">
        <f t="shared" si="1898"/>
        <v>292915.21530800004</v>
      </c>
      <c r="AD1316" s="1302">
        <f t="shared" si="1898"/>
        <v>185768.78169199984</v>
      </c>
      <c r="AE1316" s="158">
        <f>SUM(S1316,T1316,U1316)</f>
        <v>686009.80076606025</v>
      </c>
      <c r="AF1316" s="158">
        <f>SUM(V1316,W1316,X1316)</f>
        <v>623366.87266527931</v>
      </c>
      <c r="AG1316" s="158">
        <f>SUM(Y1316,Z1316,AA1316)</f>
        <v>660691.57600645814</v>
      </c>
      <c r="AH1316" s="158">
        <f>SUM(AB1316,AC1316,AD1316)</f>
        <v>705857.2195819997</v>
      </c>
      <c r="AI1316" s="158">
        <f>AE1316+AF1316</f>
        <v>1309376.6734313397</v>
      </c>
      <c r="AJ1316" s="158">
        <f>AH1316+AG1316</f>
        <v>1366548.795588458</v>
      </c>
      <c r="AK1316" s="158">
        <f>AI1316+AJ1316</f>
        <v>2675925.4690197976</v>
      </c>
    </row>
    <row r="1317" spans="1:37" ht="14.5">
      <c r="A1317" s="1693">
        <f t="shared" si="1874"/>
        <v>1300</v>
      </c>
      <c r="B1317" s="616">
        <v>1</v>
      </c>
      <c r="C1317" s="1693">
        <f t="shared" si="1885"/>
        <v>1317</v>
      </c>
      <c r="D1317" s="616">
        <v>1</v>
      </c>
      <c r="E1317" s="709" t="s">
        <v>512</v>
      </c>
      <c r="F1317" s="1572"/>
      <c r="G1317" s="519"/>
      <c r="H1317" s="197" t="s">
        <v>26</v>
      </c>
      <c r="I1317" s="197" t="s">
        <v>31</v>
      </c>
      <c r="J1317" s="201" t="s">
        <v>29</v>
      </c>
      <c r="K1317" s="36"/>
      <c r="L1317" s="35"/>
      <c r="M1317" s="35"/>
      <c r="N1317" s="36"/>
      <c r="O1317" s="36"/>
      <c r="P1317" s="36"/>
      <c r="Q1317" s="157" t="s">
        <v>113</v>
      </c>
      <c r="R1317" s="1776" t="str">
        <f>CHOOSE(2, "6722000004218", "Other Seg PL SGA Expenses (%)")</f>
        <v>Other Seg PL SGA Expenses (%)</v>
      </c>
      <c r="S1317" s="1672">
        <f t="shared" ref="S1317:AD1317" si="1899">IFERROR(S1316/S1311,0)</f>
        <v>0.23504793071768476</v>
      </c>
      <c r="T1317" s="1672">
        <f t="shared" si="1899"/>
        <v>0.22800101813794266</v>
      </c>
      <c r="U1317" s="1672">
        <f t="shared" si="1899"/>
        <v>0.21808594005751455</v>
      </c>
      <c r="V1317" s="1672">
        <f t="shared" si="1899"/>
        <v>0.22343071398126624</v>
      </c>
      <c r="W1317" s="1672">
        <f t="shared" si="1899"/>
        <v>0.20945692840195435</v>
      </c>
      <c r="X1317" s="1672">
        <f t="shared" si="1899"/>
        <v>0.21102375475150831</v>
      </c>
      <c r="Y1317" s="1672">
        <f t="shared" si="1899"/>
        <v>0.20219674684174072</v>
      </c>
      <c r="Z1317" s="1672">
        <f t="shared" si="1899"/>
        <v>0.2677377521266987</v>
      </c>
      <c r="AA1317" s="1672">
        <f t="shared" si="1899"/>
        <v>0.2457764864815789</v>
      </c>
      <c r="AB1317" s="1672">
        <f t="shared" si="1899"/>
        <v>0.23005402641923059</v>
      </c>
      <c r="AC1317" s="1672">
        <f t="shared" si="1899"/>
        <v>0.28583246096579479</v>
      </c>
      <c r="AD1317" s="1672">
        <f t="shared" si="1899"/>
        <v>0.18381969957635177</v>
      </c>
      <c r="AE1317" s="1672">
        <f t="shared" ref="AE1317:AK1317" si="1900">IFERROR(AE1316/AE1311,0)</f>
        <v>0.22761125474919475</v>
      </c>
      <c r="AF1317" s="1672">
        <f t="shared" si="1900"/>
        <v>0.21408753664726041</v>
      </c>
      <c r="AG1317" s="1672">
        <f t="shared" si="1900"/>
        <v>0.23862421890907659</v>
      </c>
      <c r="AH1317" s="1672">
        <f t="shared" si="1900"/>
        <v>0.23350639574218754</v>
      </c>
      <c r="AI1317" s="1672">
        <f t="shared" si="1900"/>
        <v>0.2209660347118993</v>
      </c>
      <c r="AJ1317" s="1672">
        <f t="shared" si="1900"/>
        <v>0.23595303505557563</v>
      </c>
      <c r="AK1317" s="1672">
        <f t="shared" si="1900"/>
        <v>0.22837378844866044</v>
      </c>
    </row>
    <row r="1318" spans="1:37" ht="14.5">
      <c r="A1318" s="1693">
        <f t="shared" si="1874"/>
        <v>1301</v>
      </c>
      <c r="B1318" s="616">
        <v>1</v>
      </c>
      <c r="C1318" s="1693">
        <f t="shared" si="1885"/>
        <v>1318</v>
      </c>
      <c r="D1318" s="616">
        <v>1</v>
      </c>
      <c r="E1318" s="709" t="s">
        <v>512</v>
      </c>
      <c r="F1318" s="1572"/>
      <c r="G1318" s="519"/>
      <c r="H1318" s="197" t="s">
        <v>26</v>
      </c>
      <c r="I1318" s="197" t="s">
        <v>31</v>
      </c>
      <c r="J1318" s="201" t="s">
        <v>29</v>
      </c>
      <c r="K1318" s="108" t="s">
        <v>87</v>
      </c>
      <c r="L1318" s="108"/>
      <c r="M1318" s="156"/>
      <c r="N1318" s="108"/>
      <c r="O1318" s="108"/>
      <c r="P1318" s="108"/>
      <c r="Q1318" s="162"/>
      <c r="R1318" s="1786" t="str">
        <f>CHOOSE(2, "6722000004219", "Other Seg PL SGA Expenses Variable Expenses")</f>
        <v>Other Seg PL SGA Expenses Variable Expenses</v>
      </c>
      <c r="S1318" s="1289">
        <f t="shared" ref="S1318:AD1320" si="1901">S21+S1342+S1400</f>
        <v>86966.52</v>
      </c>
      <c r="T1318" s="1289">
        <f t="shared" si="1901"/>
        <v>58635.765709999992</v>
      </c>
      <c r="U1318" s="1289">
        <f t="shared" si="1901"/>
        <v>111747.62712000002</v>
      </c>
      <c r="V1318" s="1289">
        <f t="shared" si="1901"/>
        <v>67890.918460000059</v>
      </c>
      <c r="W1318" s="1289">
        <f t="shared" si="1901"/>
        <v>86236.98414</v>
      </c>
      <c r="X1318" s="1289">
        <f t="shared" si="1901"/>
        <v>103191.26718</v>
      </c>
      <c r="Y1318" s="1289">
        <f t="shared" si="1901"/>
        <v>65990.168269999995</v>
      </c>
      <c r="Z1318" s="1289">
        <f t="shared" si="1901"/>
        <v>85327.275272424551</v>
      </c>
      <c r="AA1318" s="1289">
        <f t="shared" si="1901"/>
        <v>49407.44223970508</v>
      </c>
      <c r="AB1318" s="1289">
        <f t="shared" si="1901"/>
        <v>62827.199299999957</v>
      </c>
      <c r="AC1318" s="1289">
        <f t="shared" si="1901"/>
        <v>121038.75616</v>
      </c>
      <c r="AD1318" s="1289">
        <f t="shared" si="1901"/>
        <v>98908.032749999998</v>
      </c>
      <c r="AE1318" s="1673">
        <f>SUM(S1318,T1318,U1318)</f>
        <v>257349.91283000002</v>
      </c>
      <c r="AF1318" s="1673">
        <f>SUM(V1318,W1318,X1318)</f>
        <v>257319.16978000005</v>
      </c>
      <c r="AG1318" s="1673">
        <f>SUM(Y1318,Z1318,AA1318)</f>
        <v>200724.8857821296</v>
      </c>
      <c r="AH1318" s="1673">
        <f>SUM(AB1318,AC1318,AD1318)</f>
        <v>282773.98820999998</v>
      </c>
      <c r="AI1318" s="1673">
        <f>AE1318+AF1318</f>
        <v>514669.08261000004</v>
      </c>
      <c r="AJ1318" s="1673">
        <f>AH1318+AG1318</f>
        <v>483498.87399212958</v>
      </c>
      <c r="AK1318" s="1673">
        <f>AI1318+AJ1318</f>
        <v>998167.95660212962</v>
      </c>
    </row>
    <row r="1319" spans="1:37" ht="14.5">
      <c r="A1319" s="1693">
        <f t="shared" si="1874"/>
        <v>1302</v>
      </c>
      <c r="B1319" s="616">
        <v>1</v>
      </c>
      <c r="C1319" s="1693">
        <f t="shared" si="1885"/>
        <v>1319</v>
      </c>
      <c r="D1319" s="616">
        <v>1</v>
      </c>
      <c r="E1319" s="709" t="s">
        <v>512</v>
      </c>
      <c r="F1319" s="1572"/>
      <c r="G1319" s="519"/>
      <c r="H1319" s="197" t="s">
        <v>26</v>
      </c>
      <c r="I1319" s="197" t="s">
        <v>31</v>
      </c>
      <c r="J1319" s="201" t="s">
        <v>29</v>
      </c>
      <c r="K1319" s="36" t="s">
        <v>88</v>
      </c>
      <c r="L1319" s="36"/>
      <c r="M1319" s="35"/>
      <c r="N1319" s="36"/>
      <c r="O1319" s="36"/>
      <c r="P1319" s="36"/>
      <c r="Q1319" s="157"/>
      <c r="R1319" s="1786" t="str">
        <f>CHOOSE(2, "6722000004220", "Other Seg PL SGA Expenses Wages &amp; Salaries")</f>
        <v>Other Seg PL SGA Expenses Wages &amp; Salaries</v>
      </c>
      <c r="S1319" s="1289">
        <f t="shared" si="1901"/>
        <v>63643.324551942998</v>
      </c>
      <c r="T1319" s="1289">
        <f t="shared" si="1901"/>
        <v>70744</v>
      </c>
      <c r="U1319" s="1289">
        <f t="shared" si="1901"/>
        <v>70437.982914117194</v>
      </c>
      <c r="V1319" s="1289">
        <f t="shared" si="1901"/>
        <v>65883.070546854651</v>
      </c>
      <c r="W1319" s="1289">
        <f t="shared" si="1901"/>
        <v>65617.898293377119</v>
      </c>
      <c r="X1319" s="1289">
        <f t="shared" si="1901"/>
        <v>61721.107920377101</v>
      </c>
      <c r="Y1319" s="1289">
        <f t="shared" si="1901"/>
        <v>63627.965827422842</v>
      </c>
      <c r="Z1319" s="1289">
        <f t="shared" si="1901"/>
        <v>72153.561228880586</v>
      </c>
      <c r="AA1319" s="1289">
        <f t="shared" si="1901"/>
        <v>78577.475038999983</v>
      </c>
      <c r="AB1319" s="1289">
        <f t="shared" si="1901"/>
        <v>77056.428951999958</v>
      </c>
      <c r="AC1319" s="1289">
        <f t="shared" si="1901"/>
        <v>87532.541197999963</v>
      </c>
      <c r="AD1319" s="1289">
        <f t="shared" si="1901"/>
        <v>72371.084291999854</v>
      </c>
      <c r="AE1319" s="1289">
        <f>SUM(S1319,T1319,U1319)</f>
        <v>204825.30746606019</v>
      </c>
      <c r="AF1319" s="1289">
        <f>SUM(V1319,W1319,X1319)</f>
        <v>193222.07676060888</v>
      </c>
      <c r="AG1319" s="1289">
        <f>SUM(Y1319,Z1319,AA1319)</f>
        <v>214359.00209530341</v>
      </c>
      <c r="AH1319" s="1289">
        <f>SUM(AB1319,AC1319,AD1319)</f>
        <v>236960.05444199976</v>
      </c>
      <c r="AI1319" s="1289">
        <f>AE1319+AF1319</f>
        <v>398047.38422666909</v>
      </c>
      <c r="AJ1319" s="1289">
        <f>AH1319+AG1319</f>
        <v>451319.05653730314</v>
      </c>
      <c r="AK1319" s="1289">
        <f>AI1319+AJ1319</f>
        <v>849366.44076397223</v>
      </c>
    </row>
    <row r="1320" spans="1:37" ht="14.5">
      <c r="A1320" s="1693">
        <f t="shared" si="1874"/>
        <v>1303</v>
      </c>
      <c r="B1320" s="616">
        <v>1</v>
      </c>
      <c r="C1320" s="1693">
        <f t="shared" si="1885"/>
        <v>1320</v>
      </c>
      <c r="D1320" s="616">
        <v>1</v>
      </c>
      <c r="E1320" s="709" t="s">
        <v>512</v>
      </c>
      <c r="F1320" s="1572"/>
      <c r="G1320" s="519"/>
      <c r="H1320" s="197" t="s">
        <v>26</v>
      </c>
      <c r="I1320" s="197" t="s">
        <v>31</v>
      </c>
      <c r="J1320" s="201" t="s">
        <v>29</v>
      </c>
      <c r="K1320" s="36" t="s">
        <v>89</v>
      </c>
      <c r="L1320" s="36"/>
      <c r="M1320" s="35"/>
      <c r="N1320" s="36"/>
      <c r="O1320" s="36"/>
      <c r="P1320" s="36"/>
      <c r="Q1320" s="157"/>
      <c r="R1320" s="1786" t="str">
        <f>CHOOSE(2, "6722000004221", "Other Seg PL SGA Expenses Fixed Expenses")</f>
        <v>Other Seg PL SGA Expenses Fixed Expenses</v>
      </c>
      <c r="S1320" s="1289">
        <f t="shared" si="1901"/>
        <v>110444.96445999999</v>
      </c>
      <c r="T1320" s="1289">
        <f t="shared" si="1901"/>
        <v>97587.149770000018</v>
      </c>
      <c r="U1320" s="1289">
        <f t="shared" si="1901"/>
        <v>15802.466240000011</v>
      </c>
      <c r="V1320" s="1289">
        <f t="shared" si="1901"/>
        <v>54914.880224670356</v>
      </c>
      <c r="W1320" s="1289">
        <f t="shared" si="1901"/>
        <v>56266.602700000098</v>
      </c>
      <c r="X1320" s="1289">
        <f t="shared" si="1901"/>
        <v>61644.143199999904</v>
      </c>
      <c r="Y1320" s="1289">
        <f t="shared" si="1901"/>
        <v>53960.418110000086</v>
      </c>
      <c r="Z1320" s="1289">
        <f t="shared" si="1901"/>
        <v>83470.118199999997</v>
      </c>
      <c r="AA1320" s="1289">
        <f t="shared" si="1901"/>
        <v>108177.15181902506</v>
      </c>
      <c r="AB1320" s="1289">
        <f t="shared" si="1901"/>
        <v>87289.594329999862</v>
      </c>
      <c r="AC1320" s="1289">
        <f t="shared" si="1901"/>
        <v>84343.917950000105</v>
      </c>
      <c r="AD1320" s="1289">
        <f t="shared" si="1901"/>
        <v>14489.66464999999</v>
      </c>
      <c r="AE1320" s="1289">
        <f>SUM(S1320,T1320,U1320)</f>
        <v>223834.58047000002</v>
      </c>
      <c r="AF1320" s="1289">
        <f>SUM(V1320,W1320,X1320)</f>
        <v>172825.62612467035</v>
      </c>
      <c r="AG1320" s="1289">
        <f>SUM(Y1320,Z1320,AA1320)</f>
        <v>245607.68812902516</v>
      </c>
      <c r="AH1320" s="1289">
        <f>SUM(AB1320,AC1320,AD1320)</f>
        <v>186123.17692999996</v>
      </c>
      <c r="AI1320" s="1289">
        <f>AE1320+AF1320</f>
        <v>396660.20659467037</v>
      </c>
      <c r="AJ1320" s="1289">
        <f>AH1320+AG1320</f>
        <v>431730.86505902512</v>
      </c>
      <c r="AK1320" s="1289">
        <f>AI1320+AJ1320</f>
        <v>828391.07165369554</v>
      </c>
    </row>
    <row r="1321" spans="1:37" ht="14.5">
      <c r="A1321" s="1693">
        <f t="shared" si="1874"/>
        <v>1304</v>
      </c>
      <c r="B1321" s="616">
        <v>1</v>
      </c>
      <c r="C1321" s="1693">
        <f t="shared" si="1885"/>
        <v>1321</v>
      </c>
      <c r="D1321" s="616">
        <v>1</v>
      </c>
      <c r="E1321" s="709" t="s">
        <v>512</v>
      </c>
      <c r="F1321" s="1572"/>
      <c r="G1321" s="519"/>
      <c r="H1321" s="197" t="s">
        <v>26</v>
      </c>
      <c r="I1321" s="197" t="s">
        <v>31</v>
      </c>
      <c r="J1321" s="199" t="s">
        <v>90</v>
      </c>
      <c r="K1321" s="160"/>
      <c r="L1321" s="160"/>
      <c r="M1321" s="160"/>
      <c r="N1321" s="160"/>
      <c r="O1321" s="160"/>
      <c r="P1321" s="160"/>
      <c r="Q1321" s="159"/>
      <c r="R1321" s="1774" t="str">
        <f>CHOOSE(2, "6722000004222", "Other Seg PL Business Contribution Profit")</f>
        <v>Other Seg PL Business Contribution Profit</v>
      </c>
      <c r="S1321" s="1302">
        <f t="shared" ref="S1321:AD1321" si="1902">S1314-S1316</f>
        <v>143891.190988057</v>
      </c>
      <c r="T1321" s="1302">
        <f t="shared" si="1902"/>
        <v>83670.976824166602</v>
      </c>
      <c r="U1321" s="1302">
        <f t="shared" si="1902"/>
        <v>85852.313307132747</v>
      </c>
      <c r="V1321" s="1302">
        <f t="shared" si="1902"/>
        <v>73750.666911495908</v>
      </c>
      <c r="W1321" s="1302">
        <f t="shared" si="1902"/>
        <v>83378.700164784066</v>
      </c>
      <c r="X1321" s="1302">
        <f t="shared" si="1902"/>
        <v>112393.76111051493</v>
      </c>
      <c r="Y1321" s="1302">
        <f t="shared" si="1902"/>
        <v>89554.345496743917</v>
      </c>
      <c r="Z1321" s="1302">
        <f t="shared" si="1902"/>
        <v>77847.847349405638</v>
      </c>
      <c r="AA1321" s="1302">
        <f t="shared" si="1902"/>
        <v>77347.356922582461</v>
      </c>
      <c r="AB1321" s="1302">
        <f t="shared" si="1902"/>
        <v>96121.568806333584</v>
      </c>
      <c r="AC1321" s="1302">
        <f t="shared" si="1902"/>
        <v>87595.385530137108</v>
      </c>
      <c r="AD1321" s="1302">
        <f t="shared" si="1902"/>
        <v>97294.776999659574</v>
      </c>
      <c r="AE1321" s="158">
        <f>SUM(S1321,T1321,U1321)</f>
        <v>313414.48111935635</v>
      </c>
      <c r="AF1321" s="158">
        <f>SUM(V1321,W1321,X1321)</f>
        <v>269523.12818679493</v>
      </c>
      <c r="AG1321" s="158">
        <f>SUM(Y1321,Z1321,AA1321)</f>
        <v>244749.54976873202</v>
      </c>
      <c r="AH1321" s="158">
        <f>SUM(AB1321,AC1321,AD1321)</f>
        <v>281011.73133613029</v>
      </c>
      <c r="AI1321" s="158">
        <f>AE1321+AF1321</f>
        <v>582937.60930615128</v>
      </c>
      <c r="AJ1321" s="158">
        <f>AH1321+AG1321</f>
        <v>525761.28110486234</v>
      </c>
      <c r="AK1321" s="158">
        <f>AI1321+AJ1321</f>
        <v>1108698.8904110137</v>
      </c>
    </row>
    <row r="1322" spans="1:37" ht="14.5">
      <c r="A1322" s="1693">
        <f t="shared" si="1874"/>
        <v>1305</v>
      </c>
      <c r="B1322" s="616">
        <v>1</v>
      </c>
      <c r="C1322" s="1693">
        <f t="shared" si="1885"/>
        <v>1322</v>
      </c>
      <c r="D1322" s="616">
        <v>1</v>
      </c>
      <c r="E1322" s="709" t="s">
        <v>512</v>
      </c>
      <c r="F1322" s="1572"/>
      <c r="G1322" s="519"/>
      <c r="H1322" s="197" t="s">
        <v>26</v>
      </c>
      <c r="I1322" s="197" t="s">
        <v>31</v>
      </c>
      <c r="J1322" s="201" t="s">
        <v>56</v>
      </c>
      <c r="K1322" s="36"/>
      <c r="L1322" s="35"/>
      <c r="M1322" s="35"/>
      <c r="N1322" s="36"/>
      <c r="O1322" s="36"/>
      <c r="P1322" s="36"/>
      <c r="Q1322" s="157" t="s">
        <v>55</v>
      </c>
      <c r="R1322" s="1776" t="str">
        <f>CHOOSE(2, "6722000004223", "Other Seg PL Business Contribution Profit (%)")</f>
        <v>Other Seg PL Business Contribution Profit (%)</v>
      </c>
      <c r="S1322" s="1674">
        <f t="shared" ref="S1322:AD1322" si="1903">IFERROR(S1321/S1311,0)</f>
        <v>0.12955642080778015</v>
      </c>
      <c r="T1322" s="1674">
        <f t="shared" si="1903"/>
        <v>8.4052197053306785E-2</v>
      </c>
      <c r="U1322" s="1674">
        <f t="shared" si="1903"/>
        <v>9.4567222461295133E-2</v>
      </c>
      <c r="V1322" s="1674">
        <f t="shared" si="1903"/>
        <v>8.7329815647000555E-2</v>
      </c>
      <c r="W1322" s="1674">
        <f t="shared" si="1903"/>
        <v>8.3913712317933042E-2</v>
      </c>
      <c r="X1322" s="1674">
        <f t="shared" si="1903"/>
        <v>0.10468802071163116</v>
      </c>
      <c r="Y1322" s="1674">
        <f t="shared" si="1903"/>
        <v>9.8636780316926048E-2</v>
      </c>
      <c r="Z1322" s="1674">
        <f t="shared" si="1903"/>
        <v>8.6502282935836602E-2</v>
      </c>
      <c r="AA1322" s="1674">
        <f t="shared" si="1903"/>
        <v>8.0496252830517159E-2</v>
      </c>
      <c r="AB1322" s="3453">
        <f t="shared" si="1903"/>
        <v>9.7340494968099767E-2</v>
      </c>
      <c r="AC1322" s="1674">
        <f t="shared" si="1903"/>
        <v>8.5477309838615415E-2</v>
      </c>
      <c r="AD1322" s="1674">
        <f t="shared" si="1903"/>
        <v>9.6273962263896201E-2</v>
      </c>
      <c r="AE1322" s="1674">
        <f t="shared" ref="AE1322:AK1322" si="1904">IFERROR(AE1321/AE1311,0)</f>
        <v>0.10398781945168067</v>
      </c>
      <c r="AF1322" s="1674">
        <f t="shared" si="1904"/>
        <v>9.2564339096597975E-2</v>
      </c>
      <c r="AG1322" s="1674">
        <f t="shared" si="1904"/>
        <v>8.8397025575729399E-2</v>
      </c>
      <c r="AH1322" s="1674">
        <f t="shared" si="1904"/>
        <v>9.2962195080231597E-2</v>
      </c>
      <c r="AI1322" s="1674">
        <f t="shared" si="1904"/>
        <v>9.8374604211680303E-2</v>
      </c>
      <c r="AJ1322" s="1674">
        <f t="shared" si="1904"/>
        <v>9.077975875569072E-2</v>
      </c>
      <c r="AK1322" s="1674">
        <f t="shared" si="1904"/>
        <v>9.4620634536856804E-2</v>
      </c>
    </row>
    <row r="1323" spans="1:37" ht="14.5">
      <c r="A1323" s="1693">
        <f t="shared" si="1874"/>
        <v>1306</v>
      </c>
      <c r="B1323" s="616">
        <v>1</v>
      </c>
      <c r="C1323" s="1693">
        <f t="shared" si="1885"/>
        <v>1323</v>
      </c>
      <c r="D1323" s="616">
        <v>1</v>
      </c>
      <c r="E1323" s="709" t="s">
        <v>512</v>
      </c>
      <c r="F1323" s="1572"/>
      <c r="G1323" s="519"/>
      <c r="H1323" s="203" t="s">
        <v>26</v>
      </c>
      <c r="I1323" s="203" t="s">
        <v>31</v>
      </c>
      <c r="J1323" s="153" t="s">
        <v>91</v>
      </c>
      <c r="K1323" s="36"/>
      <c r="L1323" s="35"/>
      <c r="M1323" s="35"/>
      <c r="N1323" s="36"/>
      <c r="O1323" s="36"/>
      <c r="P1323" s="36"/>
      <c r="Q1323" s="152"/>
      <c r="R1323" s="1786" t="str">
        <f>CHOOSE(2, "6722000004224", "Other Seg PL Other Income")</f>
        <v>Other Seg PL Other Income</v>
      </c>
      <c r="S1323" s="1289">
        <f t="shared" ref="S1323:AD1324" si="1905">S26+S1347+S1405</f>
        <v>1465</v>
      </c>
      <c r="T1323" s="1289">
        <f t="shared" si="1905"/>
        <v>3570</v>
      </c>
      <c r="U1323" s="1289">
        <f t="shared" si="1905"/>
        <v>1463</v>
      </c>
      <c r="V1323" s="1289">
        <f t="shared" si="1905"/>
        <v>2188</v>
      </c>
      <c r="W1323" s="1289">
        <f t="shared" si="1905"/>
        <v>1450</v>
      </c>
      <c r="X1323" s="1289">
        <f t="shared" si="1905"/>
        <v>1389</v>
      </c>
      <c r="Y1323" s="1289">
        <f t="shared" si="1905"/>
        <v>2530.5748100000001</v>
      </c>
      <c r="Z1323" s="1289">
        <f t="shared" si="1905"/>
        <v>2736.2130900000002</v>
      </c>
      <c r="AA1323" s="1289">
        <f t="shared" si="1905"/>
        <v>2183.53856</v>
      </c>
      <c r="AB1323" s="1289">
        <f t="shared" si="1905"/>
        <v>1830.0158799999999</v>
      </c>
      <c r="AC1323" s="1289">
        <f t="shared" si="1905"/>
        <v>2094.5670699999951</v>
      </c>
      <c r="AD1323" s="1289">
        <f t="shared" si="1905"/>
        <v>6234.7175999999999</v>
      </c>
      <c r="AE1323" s="1289">
        <f>SUM(S1323,T1323,U1323)</f>
        <v>6498</v>
      </c>
      <c r="AF1323" s="1289">
        <f>SUM(V1323,W1323,X1323)</f>
        <v>5027</v>
      </c>
      <c r="AG1323" s="1289">
        <f>SUM(Y1323,Z1323,AA1323)</f>
        <v>7450.3264600000002</v>
      </c>
      <c r="AH1323" s="1289">
        <f>SUM(AB1323,AC1323,AD1323)</f>
        <v>10159.300549999994</v>
      </c>
      <c r="AI1323" s="1289">
        <f>AE1323+AF1323</f>
        <v>11525</v>
      </c>
      <c r="AJ1323" s="1289">
        <f>AH1323+AG1323</f>
        <v>17609.627009999997</v>
      </c>
      <c r="AK1323" s="1289">
        <f>AI1323+AJ1323</f>
        <v>29134.627009999997</v>
      </c>
    </row>
    <row r="1324" spans="1:37" ht="14.5">
      <c r="A1324" s="1693">
        <f t="shared" si="1874"/>
        <v>1307</v>
      </c>
      <c r="B1324" s="616">
        <v>1</v>
      </c>
      <c r="C1324" s="1693">
        <f t="shared" si="1885"/>
        <v>1324</v>
      </c>
      <c r="D1324" s="616">
        <v>1</v>
      </c>
      <c r="E1324" s="709" t="s">
        <v>512</v>
      </c>
      <c r="F1324" s="1572"/>
      <c r="G1324" s="519"/>
      <c r="H1324" s="203" t="s">
        <v>26</v>
      </c>
      <c r="I1324" s="203" t="s">
        <v>31</v>
      </c>
      <c r="J1324" s="106" t="s">
        <v>73</v>
      </c>
      <c r="K1324" s="104"/>
      <c r="L1324" s="105"/>
      <c r="M1324" s="105"/>
      <c r="N1324" s="104"/>
      <c r="O1324" s="104"/>
      <c r="P1324" s="104"/>
      <c r="Q1324" s="103"/>
      <c r="R1324" s="1786" t="str">
        <f>CHOOSE(2, "6722000004225", "Other Seg PL Other Expenses")</f>
        <v>Other Seg PL Other Expenses</v>
      </c>
      <c r="S1324" s="1290">
        <f t="shared" si="1905"/>
        <v>0</v>
      </c>
      <c r="T1324" s="1290">
        <f t="shared" si="1905"/>
        <v>0</v>
      </c>
      <c r="U1324" s="1290">
        <f t="shared" si="1905"/>
        <v>0</v>
      </c>
      <c r="V1324" s="1290">
        <f t="shared" si="1905"/>
        <v>0</v>
      </c>
      <c r="W1324" s="1290">
        <f t="shared" si="1905"/>
        <v>0</v>
      </c>
      <c r="X1324" s="1290">
        <f t="shared" si="1905"/>
        <v>0</v>
      </c>
      <c r="Y1324" s="1290">
        <f t="shared" si="1905"/>
        <v>0</v>
      </c>
      <c r="Z1324" s="1290">
        <f t="shared" si="1905"/>
        <v>0</v>
      </c>
      <c r="AA1324" s="1290">
        <f t="shared" si="1905"/>
        <v>0</v>
      </c>
      <c r="AB1324" s="1290">
        <f t="shared" si="1905"/>
        <v>0</v>
      </c>
      <c r="AC1324" s="1290">
        <f t="shared" si="1905"/>
        <v>0</v>
      </c>
      <c r="AD1324" s="1290">
        <f t="shared" si="1905"/>
        <v>0</v>
      </c>
      <c r="AE1324" s="1290">
        <f>SUM(S1324,T1324,U1324)</f>
        <v>0</v>
      </c>
      <c r="AF1324" s="1290">
        <f>SUM(V1324,W1324,X1324)</f>
        <v>0</v>
      </c>
      <c r="AG1324" s="1290">
        <f>SUM(Y1324,Z1324,AA1324)</f>
        <v>0</v>
      </c>
      <c r="AH1324" s="1290">
        <f>SUM(AB1324,AC1324,AD1324)</f>
        <v>0</v>
      </c>
      <c r="AI1324" s="1290">
        <f>AE1324+AF1324</f>
        <v>0</v>
      </c>
      <c r="AJ1324" s="1290">
        <f>AH1324+AG1324</f>
        <v>0</v>
      </c>
      <c r="AK1324" s="1290">
        <f>AI1324+AJ1324</f>
        <v>0</v>
      </c>
    </row>
    <row r="1325" spans="1:37" ht="14.5">
      <c r="A1325" s="1693">
        <f t="shared" si="1874"/>
        <v>1308</v>
      </c>
      <c r="B1325" s="616">
        <v>1</v>
      </c>
      <c r="C1325" s="1693">
        <f t="shared" si="1885"/>
        <v>1325</v>
      </c>
      <c r="D1325" s="616">
        <v>1</v>
      </c>
      <c r="E1325" s="709" t="s">
        <v>512</v>
      </c>
      <c r="F1325" s="1572"/>
      <c r="G1325" s="519"/>
      <c r="H1325" s="203" t="s">
        <v>26</v>
      </c>
      <c r="I1325" s="203" t="s">
        <v>31</v>
      </c>
      <c r="J1325" s="199" t="s">
        <v>92</v>
      </c>
      <c r="K1325" s="160"/>
      <c r="L1325" s="160"/>
      <c r="M1325" s="160"/>
      <c r="N1325" s="160"/>
      <c r="O1325" s="160"/>
      <c r="P1325" s="160"/>
      <c r="Q1325" s="159"/>
      <c r="R1325" s="1774" t="str">
        <f>CHOOSE(2, "6722000004226", "Other Seg PL Operating Profit")</f>
        <v>Other Seg PL Operating Profit</v>
      </c>
      <c r="S1325" s="1302">
        <f t="shared" ref="S1325:AD1325" si="1906">S1321+S1323-S1324</f>
        <v>145356.190988057</v>
      </c>
      <c r="T1325" s="1302">
        <f t="shared" si="1906"/>
        <v>87240.976824166602</v>
      </c>
      <c r="U1325" s="1302">
        <f t="shared" si="1906"/>
        <v>87315.313307132747</v>
      </c>
      <c r="V1325" s="1302">
        <f t="shared" si="1906"/>
        <v>75938.666911495908</v>
      </c>
      <c r="W1325" s="1302">
        <f t="shared" si="1906"/>
        <v>84828.700164784066</v>
      </c>
      <c r="X1325" s="1302">
        <f t="shared" si="1906"/>
        <v>113782.76111051493</v>
      </c>
      <c r="Y1325" s="1302">
        <f t="shared" si="1906"/>
        <v>92084.920306743923</v>
      </c>
      <c r="Z1325" s="1302">
        <f t="shared" si="1906"/>
        <v>80584.060439405643</v>
      </c>
      <c r="AA1325" s="1302">
        <f t="shared" si="1906"/>
        <v>79530.895482582462</v>
      </c>
      <c r="AB1325" s="1302">
        <f t="shared" si="1906"/>
        <v>97951.58468633359</v>
      </c>
      <c r="AC1325" s="1302">
        <f t="shared" si="1906"/>
        <v>89689.952600137098</v>
      </c>
      <c r="AD1325" s="1302">
        <f t="shared" si="1906"/>
        <v>103529.49459965958</v>
      </c>
      <c r="AE1325" s="158">
        <f>SUM(S1325,T1325,U1325)</f>
        <v>319912.48111935635</v>
      </c>
      <c r="AF1325" s="158">
        <f>SUM(V1325,W1325,X1325)</f>
        <v>274550.12818679493</v>
      </c>
      <c r="AG1325" s="158">
        <f>SUM(Y1325,Z1325,AA1325)</f>
        <v>252199.876228732</v>
      </c>
      <c r="AH1325" s="158">
        <f>SUM(AB1325,AC1325,AD1325)</f>
        <v>291171.03188613028</v>
      </c>
      <c r="AI1325" s="158">
        <f>AE1325+AF1325</f>
        <v>594462.60930615128</v>
      </c>
      <c r="AJ1325" s="158">
        <f>AH1325+AG1325</f>
        <v>543370.90811486228</v>
      </c>
      <c r="AK1325" s="158">
        <f>AI1325+AJ1325</f>
        <v>1137833.5174210137</v>
      </c>
    </row>
    <row r="1326" spans="1:37" ht="14.5">
      <c r="A1326" s="1693">
        <f t="shared" si="1874"/>
        <v>1309</v>
      </c>
      <c r="B1326" s="616">
        <v>1</v>
      </c>
      <c r="C1326" s="1693">
        <f t="shared" si="1885"/>
        <v>1326</v>
      </c>
      <c r="D1326" s="616">
        <v>1</v>
      </c>
      <c r="E1326" s="709" t="s">
        <v>512</v>
      </c>
      <c r="F1326" s="1572"/>
      <c r="G1326" s="519"/>
      <c r="H1326" s="203" t="s">
        <v>26</v>
      </c>
      <c r="I1326" s="203" t="s">
        <v>31</v>
      </c>
      <c r="J1326" s="200" t="s">
        <v>1</v>
      </c>
      <c r="K1326" s="104"/>
      <c r="L1326" s="105"/>
      <c r="M1326" s="105"/>
      <c r="N1326" s="104"/>
      <c r="O1326" s="104"/>
      <c r="P1326" s="104"/>
      <c r="Q1326" s="149" t="s">
        <v>55</v>
      </c>
      <c r="R1326" s="1776" t="str">
        <f>CHOOSE(2, "6722000004227", "Other Seg PL Operating Profit (%)")</f>
        <v>Other Seg PL Operating Profit (%)</v>
      </c>
      <c r="S1326" s="1671">
        <f t="shared" ref="S1326:AD1326" si="1907">IFERROR(S1325/S1311,0)</f>
        <v>0.13087547415065751</v>
      </c>
      <c r="T1326" s="1671">
        <f t="shared" si="1907"/>
        <v>8.7638462624352889E-2</v>
      </c>
      <c r="U1326" s="1671">
        <f t="shared" si="1907"/>
        <v>9.6178732287080806E-2</v>
      </c>
      <c r="V1326" s="1671">
        <f t="shared" si="1907"/>
        <v>8.9920675426817032E-2</v>
      </c>
      <c r="W1326" s="1671">
        <f t="shared" si="1907"/>
        <v>8.53730164642022E-2</v>
      </c>
      <c r="X1326" s="1671">
        <f t="shared" si="1907"/>
        <v>0.10598179057333616</v>
      </c>
      <c r="Y1326" s="1671">
        <f t="shared" si="1907"/>
        <v>0.10142400130798999</v>
      </c>
      <c r="Z1326" s="1671">
        <f t="shared" si="1907"/>
        <v>8.9542684012331203E-2</v>
      </c>
      <c r="AA1326" s="1671">
        <f t="shared" si="1907"/>
        <v>8.2768685645084689E-2</v>
      </c>
      <c r="AB1326" s="1671">
        <f t="shared" si="1907"/>
        <v>9.9193717442210547E-2</v>
      </c>
      <c r="AC1326" s="1671">
        <f t="shared" si="1907"/>
        <v>8.7521229816095863E-2</v>
      </c>
      <c r="AD1326" s="1671">
        <f t="shared" si="1907"/>
        <v>0.10244326533913271</v>
      </c>
      <c r="AE1326" s="1671">
        <f t="shared" ref="AE1326:AK1326" si="1908">IFERROR(AE1325/AE1311,0)</f>
        <v>0.10614379146798228</v>
      </c>
      <c r="AF1326" s="1671">
        <f t="shared" si="1908"/>
        <v>9.4290799218106E-2</v>
      </c>
      <c r="AG1326" s="1671">
        <f t="shared" si="1908"/>
        <v>9.1087885269871688E-2</v>
      </c>
      <c r="AH1326" s="1671">
        <f t="shared" si="1908"/>
        <v>9.632301875516254E-2</v>
      </c>
      <c r="AI1326" s="1671">
        <f t="shared" si="1908"/>
        <v>0.10031952472365259</v>
      </c>
      <c r="AJ1326" s="1671">
        <f t="shared" si="1908"/>
        <v>9.3820297778241246E-2</v>
      </c>
      <c r="AK1326" s="1671">
        <f t="shared" si="1908"/>
        <v>9.7107095846165836E-2</v>
      </c>
    </row>
    <row r="1327" spans="1:37" ht="14.5">
      <c r="A1327" s="1693">
        <f t="shared" si="1874"/>
        <v>1310</v>
      </c>
      <c r="B1327" s="616">
        <v>1</v>
      </c>
      <c r="C1327" s="1693">
        <f t="shared" si="1885"/>
        <v>1327</v>
      </c>
      <c r="D1327" s="616">
        <v>1</v>
      </c>
      <c r="E1327" s="709" t="s">
        <v>512</v>
      </c>
      <c r="F1327" s="1572"/>
      <c r="G1327" s="519"/>
      <c r="H1327" s="203" t="s">
        <v>26</v>
      </c>
      <c r="I1327" s="203" t="s">
        <v>31</v>
      </c>
      <c r="J1327" s="153" t="s">
        <v>93</v>
      </c>
      <c r="K1327" s="36"/>
      <c r="L1327" s="35"/>
      <c r="M1327" s="35"/>
      <c r="N1327" s="36"/>
      <c r="O1327" s="36"/>
      <c r="P1327" s="36"/>
      <c r="Q1327" s="157"/>
      <c r="R1327" s="1786" t="str">
        <f>CHOOSE(2, "6722000004228", "Other Seg PL Financial Income (Expenses), net")</f>
        <v>Other Seg PL Financial Income (Expenses), net</v>
      </c>
      <c r="S1327" s="1289">
        <f t="shared" ref="S1327:AD1327" si="1909">S1328-S1329</f>
        <v>17132</v>
      </c>
      <c r="T1327" s="1289">
        <f t="shared" si="1909"/>
        <v>16223</v>
      </c>
      <c r="U1327" s="1289">
        <f t="shared" si="1909"/>
        <v>17280</v>
      </c>
      <c r="V1327" s="1289">
        <f t="shared" si="1909"/>
        <v>18309</v>
      </c>
      <c r="W1327" s="1289">
        <f t="shared" si="1909"/>
        <v>14086</v>
      </c>
      <c r="X1327" s="1289">
        <f t="shared" si="1909"/>
        <v>12995</v>
      </c>
      <c r="Y1327" s="1289">
        <f t="shared" si="1909"/>
        <v>21648</v>
      </c>
      <c r="Z1327" s="1289">
        <f t="shared" si="1909"/>
        <v>15369.527389999999</v>
      </c>
      <c r="AA1327" s="1289">
        <f t="shared" si="1909"/>
        <v>16854</v>
      </c>
      <c r="AB1327" s="1289">
        <f t="shared" si="1909"/>
        <v>18868.41344</v>
      </c>
      <c r="AC1327" s="1289">
        <f t="shared" si="1909"/>
        <v>19119.216610000003</v>
      </c>
      <c r="AD1327" s="1289">
        <f t="shared" si="1909"/>
        <v>68779.575790000003</v>
      </c>
      <c r="AE1327" s="1289">
        <f t="shared" ref="AE1327:AE1332" si="1910">SUM(S1327,T1327,U1327)</f>
        <v>50635</v>
      </c>
      <c r="AF1327" s="1289">
        <f t="shared" ref="AF1327:AF1332" si="1911">SUM(V1327,W1327,X1327)</f>
        <v>45390</v>
      </c>
      <c r="AG1327" s="1289">
        <f t="shared" ref="AG1327:AG1332" si="1912">SUM(Y1327,Z1327,AA1327)</f>
        <v>53871.527390000003</v>
      </c>
      <c r="AH1327" s="1289">
        <f t="shared" ref="AH1327:AH1332" si="1913">SUM(AB1327,AC1327,AD1327)</f>
        <v>106767.20584000001</v>
      </c>
      <c r="AI1327" s="1289">
        <f t="shared" ref="AI1327:AI1332" si="1914">AE1327+AF1327</f>
        <v>96025</v>
      </c>
      <c r="AJ1327" s="1289">
        <f t="shared" ref="AJ1327:AJ1332" si="1915">AH1327+AG1327</f>
        <v>160638.73323000001</v>
      </c>
      <c r="AK1327" s="1289">
        <f t="shared" ref="AK1327:AK1332" si="1916">AI1327+AJ1327</f>
        <v>256663.73323000001</v>
      </c>
    </row>
    <row r="1328" spans="1:37" ht="14.5">
      <c r="A1328" s="1693">
        <f t="shared" si="1874"/>
        <v>1311</v>
      </c>
      <c r="B1328" s="616">
        <v>1</v>
      </c>
      <c r="C1328" s="1693">
        <f t="shared" si="1885"/>
        <v>1328</v>
      </c>
      <c r="D1328" s="616">
        <v>1</v>
      </c>
      <c r="E1328" s="709" t="s">
        <v>512</v>
      </c>
      <c r="F1328" s="1572"/>
      <c r="G1328" s="519"/>
      <c r="H1328" s="197" t="s">
        <v>26</v>
      </c>
      <c r="I1328" s="197" t="s">
        <v>31</v>
      </c>
      <c r="J1328" s="204" t="s">
        <v>177</v>
      </c>
      <c r="K1328" s="108" t="s">
        <v>94</v>
      </c>
      <c r="L1328" s="108"/>
      <c r="M1328" s="156"/>
      <c r="N1328" s="108"/>
      <c r="O1328" s="108"/>
      <c r="P1328" s="108"/>
      <c r="Q1328" s="155"/>
      <c r="R1328" s="1821" t="str">
        <f>CHOOSE(2, "6722000004229", "Other Seg PL Financial Income Financial Income")</f>
        <v>Other Seg PL Financial Income Financial Income</v>
      </c>
      <c r="S1328" s="1291">
        <f t="shared" ref="S1328:AD1329" si="1917">S31</f>
        <v>17428</v>
      </c>
      <c r="T1328" s="1291">
        <f t="shared" si="1917"/>
        <v>16612</v>
      </c>
      <c r="U1328" s="1291">
        <f t="shared" si="1917"/>
        <v>20268</v>
      </c>
      <c r="V1328" s="1291">
        <f t="shared" si="1917"/>
        <v>18309</v>
      </c>
      <c r="W1328" s="1291">
        <f t="shared" si="1917"/>
        <v>14086</v>
      </c>
      <c r="X1328" s="1291">
        <f t="shared" si="1917"/>
        <v>15948</v>
      </c>
      <c r="Y1328" s="1291">
        <f t="shared" si="1917"/>
        <v>21648</v>
      </c>
      <c r="Z1328" s="1291">
        <f t="shared" si="1917"/>
        <v>16659.667389999999</v>
      </c>
      <c r="AA1328" s="1291">
        <f t="shared" si="1917"/>
        <v>19655</v>
      </c>
      <c r="AB1328" s="1291">
        <f t="shared" si="1917"/>
        <v>18868.41344</v>
      </c>
      <c r="AC1328" s="1291">
        <f t="shared" si="1917"/>
        <v>19394.060000000001</v>
      </c>
      <c r="AD1328" s="1291">
        <f t="shared" si="1917"/>
        <v>71654.877800000002</v>
      </c>
      <c r="AE1328" s="202">
        <f t="shared" si="1910"/>
        <v>54308</v>
      </c>
      <c r="AF1328" s="202">
        <f t="shared" si="1911"/>
        <v>48343</v>
      </c>
      <c r="AG1328" s="202">
        <f t="shared" si="1912"/>
        <v>57962.667390000002</v>
      </c>
      <c r="AH1328" s="202">
        <f t="shared" si="1913"/>
        <v>109917.35124</v>
      </c>
      <c r="AI1328" s="202">
        <f t="shared" si="1914"/>
        <v>102651</v>
      </c>
      <c r="AJ1328" s="202">
        <f t="shared" si="1915"/>
        <v>167880.01863000001</v>
      </c>
      <c r="AK1328" s="202">
        <f t="shared" si="1916"/>
        <v>270531.01863000001</v>
      </c>
    </row>
    <row r="1329" spans="1:38" ht="14.5">
      <c r="A1329" s="1693">
        <f t="shared" si="1874"/>
        <v>1312</v>
      </c>
      <c r="B1329" s="616">
        <v>1</v>
      </c>
      <c r="C1329" s="1693">
        <f t="shared" si="1885"/>
        <v>1329</v>
      </c>
      <c r="D1329" s="616">
        <v>1</v>
      </c>
      <c r="E1329" s="709" t="s">
        <v>512</v>
      </c>
      <c r="F1329" s="1572"/>
      <c r="G1329" s="519"/>
      <c r="H1329" s="197" t="s">
        <v>26</v>
      </c>
      <c r="I1329" s="197" t="s">
        <v>31</v>
      </c>
      <c r="J1329" s="204" t="s">
        <v>178</v>
      </c>
      <c r="K1329" s="36" t="s">
        <v>95</v>
      </c>
      <c r="L1329" s="36"/>
      <c r="M1329" s="35"/>
      <c r="N1329" s="36"/>
      <c r="O1329" s="36"/>
      <c r="P1329" s="36"/>
      <c r="Q1329" s="152"/>
      <c r="R1329" s="1821" t="str">
        <f>CHOOSE(2, "6722000004230", "Other Seg PL Financial Expenses Financial Expenses")</f>
        <v>Other Seg PL Financial Expenses Financial Expenses</v>
      </c>
      <c r="S1329" s="1236">
        <f t="shared" si="1917"/>
        <v>296</v>
      </c>
      <c r="T1329" s="1236">
        <f t="shared" si="1917"/>
        <v>389</v>
      </c>
      <c r="U1329" s="1236">
        <f t="shared" si="1917"/>
        <v>2988</v>
      </c>
      <c r="V1329" s="1236">
        <f t="shared" si="1917"/>
        <v>0</v>
      </c>
      <c r="W1329" s="1236">
        <f t="shared" si="1917"/>
        <v>0</v>
      </c>
      <c r="X1329" s="1236">
        <f t="shared" si="1917"/>
        <v>2953</v>
      </c>
      <c r="Y1329" s="1236">
        <f t="shared" si="1917"/>
        <v>0</v>
      </c>
      <c r="Z1329" s="1236">
        <f t="shared" si="1917"/>
        <v>1290.1400000000001</v>
      </c>
      <c r="AA1329" s="1236">
        <f t="shared" si="1917"/>
        <v>2801</v>
      </c>
      <c r="AB1329" s="1236">
        <f t="shared" si="1917"/>
        <v>0</v>
      </c>
      <c r="AC1329" s="1236">
        <f t="shared" si="1917"/>
        <v>274.84338999999989</v>
      </c>
      <c r="AD1329" s="1236">
        <f t="shared" si="1917"/>
        <v>2875.3020099999999</v>
      </c>
      <c r="AE1329" s="37">
        <f t="shared" si="1910"/>
        <v>3673</v>
      </c>
      <c r="AF1329" s="37">
        <f t="shared" si="1911"/>
        <v>2953</v>
      </c>
      <c r="AG1329" s="37">
        <f t="shared" si="1912"/>
        <v>4091.1400000000003</v>
      </c>
      <c r="AH1329" s="37">
        <f t="shared" si="1913"/>
        <v>3150.1453999999999</v>
      </c>
      <c r="AI1329" s="37">
        <f t="shared" si="1914"/>
        <v>6626</v>
      </c>
      <c r="AJ1329" s="37">
        <f t="shared" si="1915"/>
        <v>7241.2854000000007</v>
      </c>
      <c r="AK1329" s="37">
        <f t="shared" si="1916"/>
        <v>13867.285400000001</v>
      </c>
    </row>
    <row r="1330" spans="1:38" ht="14.5">
      <c r="A1330" s="1693">
        <f t="shared" si="1874"/>
        <v>1313</v>
      </c>
      <c r="B1330" s="616">
        <v>1</v>
      </c>
      <c r="C1330" s="1693">
        <f t="shared" si="1885"/>
        <v>1330</v>
      </c>
      <c r="D1330" s="616">
        <v>1</v>
      </c>
      <c r="E1330" s="709" t="s">
        <v>512</v>
      </c>
      <c r="F1330" s="1572"/>
      <c r="G1330" s="519"/>
      <c r="H1330" s="203" t="s">
        <v>26</v>
      </c>
      <c r="I1330" s="203" t="s">
        <v>31</v>
      </c>
      <c r="J1330" s="150" t="s">
        <v>64</v>
      </c>
      <c r="K1330" s="145"/>
      <c r="L1330" s="145"/>
      <c r="M1330" s="145"/>
      <c r="N1330" s="145"/>
      <c r="O1330" s="145"/>
      <c r="P1330" s="145"/>
      <c r="Q1330" s="144"/>
      <c r="R1330" s="1774" t="str">
        <f>CHOOSE(2, "6722000004231", "Other Seg PL Profit before Taxes")</f>
        <v>Other Seg PL Profit before Taxes</v>
      </c>
      <c r="S1330" s="1294">
        <f t="shared" ref="S1330:AD1330" si="1918">S1325+S1327</f>
        <v>162488.190988057</v>
      </c>
      <c r="T1330" s="1294">
        <f t="shared" si="1918"/>
        <v>103463.9768241666</v>
      </c>
      <c r="U1330" s="1294">
        <f t="shared" si="1918"/>
        <v>104595.31330713275</v>
      </c>
      <c r="V1330" s="1294">
        <f t="shared" si="1918"/>
        <v>94247.666911495908</v>
      </c>
      <c r="W1330" s="1294">
        <f t="shared" si="1918"/>
        <v>98914.700164784066</v>
      </c>
      <c r="X1330" s="1294">
        <f t="shared" si="1918"/>
        <v>126777.76111051493</v>
      </c>
      <c r="Y1330" s="1294">
        <f t="shared" si="1918"/>
        <v>113732.92030674392</v>
      </c>
      <c r="Z1330" s="1294">
        <f t="shared" si="1918"/>
        <v>95953.587829405646</v>
      </c>
      <c r="AA1330" s="1294">
        <f t="shared" si="1918"/>
        <v>96384.895482582462</v>
      </c>
      <c r="AB1330" s="1294">
        <f t="shared" si="1918"/>
        <v>116819.99812633359</v>
      </c>
      <c r="AC1330" s="1294">
        <f t="shared" si="1918"/>
        <v>108809.1692101371</v>
      </c>
      <c r="AD1330" s="1294">
        <f t="shared" si="1918"/>
        <v>172309.07038965958</v>
      </c>
      <c r="AE1330" s="148">
        <f t="shared" si="1910"/>
        <v>370547.48111935635</v>
      </c>
      <c r="AF1330" s="148">
        <f t="shared" si="1911"/>
        <v>319940.12818679493</v>
      </c>
      <c r="AG1330" s="148">
        <f t="shared" si="1912"/>
        <v>306071.403618732</v>
      </c>
      <c r="AH1330" s="148">
        <f t="shared" si="1913"/>
        <v>397938.23772613029</v>
      </c>
      <c r="AI1330" s="148">
        <f t="shared" si="1914"/>
        <v>690487.60930615128</v>
      </c>
      <c r="AJ1330" s="148">
        <f t="shared" si="1915"/>
        <v>704009.64134486229</v>
      </c>
      <c r="AK1330" s="148">
        <f t="shared" si="1916"/>
        <v>1394497.2506510136</v>
      </c>
    </row>
    <row r="1331" spans="1:38" ht="14.5">
      <c r="A1331" s="1693">
        <f t="shared" si="1874"/>
        <v>1314</v>
      </c>
      <c r="B1331" s="616">
        <v>1</v>
      </c>
      <c r="C1331" s="1693">
        <f t="shared" si="1885"/>
        <v>1331</v>
      </c>
      <c r="D1331" s="616">
        <v>1</v>
      </c>
      <c r="E1331" s="709" t="s">
        <v>512</v>
      </c>
      <c r="F1331" s="1572"/>
      <c r="G1331" s="519"/>
      <c r="H1331" s="203" t="s">
        <v>26</v>
      </c>
      <c r="I1331" s="203" t="s">
        <v>31</v>
      </c>
      <c r="J1331" s="198" t="s">
        <v>96</v>
      </c>
      <c r="K1331" s="51"/>
      <c r="L1331" s="52"/>
      <c r="M1331" s="52"/>
      <c r="N1331" s="51"/>
      <c r="O1331" s="51"/>
      <c r="P1331" s="51"/>
      <c r="Q1331" s="102"/>
      <c r="R1331" s="1821" t="str">
        <f>CHOOSE(2, "6722000004232", "Other Seg PL Tax Expenses &amp; Others")</f>
        <v>Other Seg PL Tax Expenses &amp; Others</v>
      </c>
      <c r="S1331" s="1198">
        <f t="shared" ref="S1331:AD1331" si="1919">S34</f>
        <v>40897.977900000005</v>
      </c>
      <c r="T1331" s="1198">
        <f t="shared" si="1919"/>
        <v>26041</v>
      </c>
      <c r="U1331" s="1198">
        <f t="shared" si="1919"/>
        <v>26327.022099999995</v>
      </c>
      <c r="V1331" s="1198">
        <f t="shared" si="1919"/>
        <v>23722</v>
      </c>
      <c r="W1331" s="1198">
        <f t="shared" si="1919"/>
        <v>24896.830031476155</v>
      </c>
      <c r="X1331" s="1198">
        <f t="shared" si="1919"/>
        <v>31910</v>
      </c>
      <c r="Y1331" s="1198">
        <f t="shared" si="1919"/>
        <v>28626.576041207449</v>
      </c>
      <c r="Z1331" s="1198">
        <f t="shared" si="1919"/>
        <v>24151.661664157178</v>
      </c>
      <c r="AA1331" s="1198">
        <f t="shared" si="1919"/>
        <v>24174</v>
      </c>
      <c r="AB1331" s="1198">
        <f t="shared" si="1919"/>
        <v>29403.33</v>
      </c>
      <c r="AC1331" s="1198">
        <f t="shared" si="1919"/>
        <v>27490.866705016782</v>
      </c>
      <c r="AD1331" s="1198">
        <f t="shared" si="1919"/>
        <v>43353</v>
      </c>
      <c r="AE1331" s="57">
        <f t="shared" si="1910"/>
        <v>93266</v>
      </c>
      <c r="AF1331" s="57">
        <f t="shared" si="1911"/>
        <v>80528.830031476158</v>
      </c>
      <c r="AG1331" s="57">
        <f t="shared" si="1912"/>
        <v>76952.23770536462</v>
      </c>
      <c r="AH1331" s="57">
        <f t="shared" si="1913"/>
        <v>100247.19670501679</v>
      </c>
      <c r="AI1331" s="57">
        <f t="shared" si="1914"/>
        <v>173794.83003147616</v>
      </c>
      <c r="AJ1331" s="57">
        <f t="shared" si="1915"/>
        <v>177199.43441038142</v>
      </c>
      <c r="AK1331" s="57">
        <f t="shared" si="1916"/>
        <v>350994.26444185758</v>
      </c>
    </row>
    <row r="1332" spans="1:38" ht="14.5">
      <c r="A1332" s="1693">
        <f t="shared" ref="A1332:A1395" si="1920">A1331+1</f>
        <v>1315</v>
      </c>
      <c r="B1332" s="616">
        <v>1</v>
      </c>
      <c r="C1332" s="1693">
        <f t="shared" si="1885"/>
        <v>1332</v>
      </c>
      <c r="D1332" s="616">
        <v>1</v>
      </c>
      <c r="E1332" s="709" t="s">
        <v>512</v>
      </c>
      <c r="F1332" s="1572"/>
      <c r="G1332" s="519"/>
      <c r="H1332" s="203" t="s">
        <v>26</v>
      </c>
      <c r="I1332" s="203" t="s">
        <v>31</v>
      </c>
      <c r="J1332" s="150" t="s">
        <v>97</v>
      </c>
      <c r="K1332" s="145"/>
      <c r="L1332" s="145"/>
      <c r="M1332" s="145"/>
      <c r="N1332" s="145"/>
      <c r="O1332" s="145"/>
      <c r="P1332" s="145"/>
      <c r="Q1332" s="144"/>
      <c r="R1332" s="1774" t="str">
        <f>CHOOSE(2, "6722000004233", "Other Seg PL Net Profit")</f>
        <v>Other Seg PL Net Profit</v>
      </c>
      <c r="S1332" s="1294">
        <f t="shared" ref="S1332:AD1332" si="1921">S1330-S1331</f>
        <v>121590.213088057</v>
      </c>
      <c r="T1332" s="1294">
        <f t="shared" si="1921"/>
        <v>77422.976824166602</v>
      </c>
      <c r="U1332" s="1294">
        <f t="shared" si="1921"/>
        <v>78268.291207132745</v>
      </c>
      <c r="V1332" s="1294">
        <f t="shared" si="1921"/>
        <v>70525.666911495908</v>
      </c>
      <c r="W1332" s="1294">
        <f t="shared" si="1921"/>
        <v>74017.870133307908</v>
      </c>
      <c r="X1332" s="1294">
        <f t="shared" si="1921"/>
        <v>94867.761110514926</v>
      </c>
      <c r="Y1332" s="1294">
        <f t="shared" si="1921"/>
        <v>85106.344265536478</v>
      </c>
      <c r="Z1332" s="1294">
        <f t="shared" si="1921"/>
        <v>71801.926165248471</v>
      </c>
      <c r="AA1332" s="1294">
        <f t="shared" si="1921"/>
        <v>72210.895482582462</v>
      </c>
      <c r="AB1332" s="1294">
        <f t="shared" si="1921"/>
        <v>87416.668126333592</v>
      </c>
      <c r="AC1332" s="1294">
        <f t="shared" si="1921"/>
        <v>81318.302505120315</v>
      </c>
      <c r="AD1332" s="1294">
        <f t="shared" si="1921"/>
        <v>128956.07038965958</v>
      </c>
      <c r="AE1332" s="148">
        <f t="shared" si="1910"/>
        <v>277281.48111935635</v>
      </c>
      <c r="AF1332" s="148">
        <f t="shared" si="1911"/>
        <v>239411.29815531874</v>
      </c>
      <c r="AG1332" s="148">
        <f t="shared" si="1912"/>
        <v>229119.16591336741</v>
      </c>
      <c r="AH1332" s="148">
        <f t="shared" si="1913"/>
        <v>297691.04102111352</v>
      </c>
      <c r="AI1332" s="148">
        <f t="shared" si="1914"/>
        <v>516692.77927467506</v>
      </c>
      <c r="AJ1332" s="148">
        <f t="shared" si="1915"/>
        <v>526810.20693448093</v>
      </c>
      <c r="AK1332" s="148">
        <f t="shared" si="1916"/>
        <v>1043502.986209156</v>
      </c>
    </row>
    <row r="1333" spans="1:38" ht="14.5">
      <c r="A1333" s="1693">
        <f t="shared" si="1920"/>
        <v>1316</v>
      </c>
      <c r="B1333" s="616">
        <v>1</v>
      </c>
      <c r="C1333" s="1693">
        <f t="shared" si="1885"/>
        <v>1333</v>
      </c>
      <c r="D1333" s="616">
        <v>1</v>
      </c>
      <c r="E1333" s="709" t="s">
        <v>512</v>
      </c>
      <c r="F1333" s="1572"/>
      <c r="G1333" s="519"/>
      <c r="H1333" s="203" t="s">
        <v>26</v>
      </c>
      <c r="I1333" s="203" t="s">
        <v>31</v>
      </c>
      <c r="J1333" s="200" t="s">
        <v>179</v>
      </c>
      <c r="K1333" s="104"/>
      <c r="L1333" s="105"/>
      <c r="M1333" s="105"/>
      <c r="N1333" s="104"/>
      <c r="O1333" s="104"/>
      <c r="P1333" s="104"/>
      <c r="Q1333" s="149" t="s">
        <v>55</v>
      </c>
      <c r="R1333" s="1776" t="str">
        <f>CHOOSE(2, "6722000004234", "Other Seg PL Net Profit (%)")</f>
        <v>Other Seg PL Net Profit (%)</v>
      </c>
      <c r="S1333" s="1671">
        <f t="shared" ref="S1333:AD1333" si="1922">IFERROR(S1332/S1311,0)</f>
        <v>0.10947711743001319</v>
      </c>
      <c r="T1333" s="1671">
        <f t="shared" si="1922"/>
        <v>7.777573002588492E-2</v>
      </c>
      <c r="U1333" s="1671">
        <f t="shared" si="1922"/>
        <v>8.621334267105199E-2</v>
      </c>
      <c r="V1333" s="1671">
        <f t="shared" si="1922"/>
        <v>8.3511020953258241E-2</v>
      </c>
      <c r="W1333" s="1671">
        <f t="shared" si="1922"/>
        <v>7.4492817092102648E-2</v>
      </c>
      <c r="X1333" s="1671">
        <f t="shared" si="1922"/>
        <v>8.8363607035431141E-2</v>
      </c>
      <c r="Y1333" s="1671">
        <f t="shared" si="1922"/>
        <v>9.3737671090473415E-2</v>
      </c>
      <c r="Z1333" s="1671">
        <f t="shared" si="1922"/>
        <v>7.9784229673138071E-2</v>
      </c>
      <c r="AA1333" s="1671">
        <f t="shared" si="1922"/>
        <v>7.5150680400132966E-2</v>
      </c>
      <c r="AB1333" s="1671">
        <f t="shared" si="1922"/>
        <v>8.8525206668482306E-2</v>
      </c>
      <c r="AC1333" s="1671">
        <f t="shared" si="1922"/>
        <v>7.935200806198843E-2</v>
      </c>
      <c r="AD1333" s="1671">
        <f t="shared" si="1922"/>
        <v>0.12760306603547555</v>
      </c>
      <c r="AE1333" s="1675">
        <f t="shared" ref="AE1333:AK1333" si="1923">IFERROR(AE1332/AE1311,0)</f>
        <v>9.1999248065865652E-2</v>
      </c>
      <c r="AF1333" s="1675">
        <f t="shared" si="1923"/>
        <v>8.2222808614208581E-2</v>
      </c>
      <c r="AG1333" s="1675">
        <f t="shared" si="1923"/>
        <v>8.2751746788795141E-2</v>
      </c>
      <c r="AH1333" s="1675">
        <f t="shared" si="1923"/>
        <v>9.8479919316748724E-2</v>
      </c>
      <c r="AI1333" s="1675">
        <f t="shared" si="1923"/>
        <v>8.7195347921846439E-2</v>
      </c>
      <c r="AJ1333" s="1675">
        <f t="shared" si="1923"/>
        <v>9.0960869912383904E-2</v>
      </c>
      <c r="AK1333" s="1675">
        <f t="shared" si="1923"/>
        <v>8.9056564907007169E-2</v>
      </c>
    </row>
    <row r="1334" spans="1:38" ht="14.5">
      <c r="A1334" s="1693">
        <f t="shared" si="1920"/>
        <v>1317</v>
      </c>
      <c r="B1334" s="616">
        <v>1</v>
      </c>
      <c r="C1334" s="1693">
        <f t="shared" si="1885"/>
        <v>1334</v>
      </c>
      <c r="D1334" s="616">
        <v>1</v>
      </c>
      <c r="E1334" s="709" t="s">
        <v>512</v>
      </c>
      <c r="F1334" s="1572"/>
      <c r="G1334" s="519"/>
      <c r="H1334" s="205" t="s">
        <v>26</v>
      </c>
      <c r="I1334" s="205" t="s">
        <v>31</v>
      </c>
      <c r="R1334" s="1786" t="str">
        <f>CHOOSE(2, "6722000004235", "▷ Blank 53")</f>
        <v>▷ Blank 53</v>
      </c>
      <c r="S1334" s="1676"/>
      <c r="T1334" s="1676"/>
      <c r="U1334" s="1676"/>
      <c r="V1334" s="1676"/>
      <c r="W1334" s="1676"/>
      <c r="X1334" s="1676"/>
      <c r="Y1334" s="1676" t="s">
        <v>1316</v>
      </c>
      <c r="Z1334" s="1676"/>
      <c r="AA1334" s="1676"/>
      <c r="AB1334" s="1677"/>
      <c r="AC1334" s="1677"/>
      <c r="AD1334" s="1677"/>
      <c r="AE1334" s="1677"/>
      <c r="AF1334" s="1677"/>
      <c r="AG1334" s="1677"/>
      <c r="AH1334" s="1677"/>
      <c r="AI1334" s="1677"/>
      <c r="AJ1334" s="1677"/>
      <c r="AK1334" s="1677"/>
    </row>
    <row r="1335" spans="1:38" ht="14.5">
      <c r="A1335" s="1693">
        <f t="shared" si="1920"/>
        <v>1318</v>
      </c>
      <c r="B1335" s="616">
        <v>1</v>
      </c>
      <c r="C1335" s="1693">
        <f t="shared" si="1885"/>
        <v>1335</v>
      </c>
      <c r="D1335" s="616">
        <v>1</v>
      </c>
      <c r="E1335" s="709" t="s">
        <v>512</v>
      </c>
      <c r="F1335" s="1572"/>
      <c r="G1335" s="519"/>
      <c r="H1335" s="81" t="s">
        <v>780</v>
      </c>
      <c r="I1335"/>
      <c r="J1335"/>
      <c r="K1335"/>
      <c r="L1335"/>
      <c r="M1335"/>
      <c r="N1335"/>
      <c r="O1335"/>
      <c r="P1335"/>
      <c r="Q1335"/>
      <c r="R1335" s="1845" t="str">
        <f>CHOOSE(2, "6722000004236", "9-2. P/L Statement by BU")</f>
        <v>9-2. P/L Statement by BU</v>
      </c>
      <c r="S1335"/>
      <c r="T1335"/>
      <c r="U1335"/>
      <c r="V1335"/>
      <c r="W1335"/>
      <c r="X1335"/>
      <c r="Y1335" s="3413"/>
      <c r="Z1335"/>
      <c r="AA1335"/>
      <c r="AB1335"/>
      <c r="AC1335"/>
      <c r="AD1335"/>
      <c r="AE1335"/>
      <c r="AF1335"/>
      <c r="AG1335"/>
      <c r="AH1335"/>
      <c r="AI1335"/>
      <c r="AJ1335"/>
      <c r="AK1335"/>
    </row>
    <row r="1336" spans="1:38" ht="14.5">
      <c r="A1336" s="1693">
        <f t="shared" si="1920"/>
        <v>1319</v>
      </c>
      <c r="B1336" s="616">
        <v>1</v>
      </c>
      <c r="C1336" s="1693">
        <f t="shared" si="1885"/>
        <v>1336</v>
      </c>
      <c r="D1336" s="616">
        <v>1</v>
      </c>
      <c r="E1336" s="709" t="s">
        <v>512</v>
      </c>
      <c r="F1336" s="1572"/>
      <c r="G1336" s="519"/>
      <c r="H1336"/>
      <c r="I1336" s="4" t="s">
        <v>279</v>
      </c>
      <c r="J1336" s="4"/>
      <c r="K1336" s="3"/>
      <c r="L1336" s="4"/>
      <c r="M1336" s="4"/>
      <c r="N1336" s="3"/>
      <c r="O1336" s="3"/>
      <c r="P1336" s="3"/>
      <c r="Q1336" s="3"/>
      <c r="R1336" s="1773" t="str">
        <f>CHOOSE(2, "6722000004237", "PL (1) BIC")</f>
        <v>PL (1) BIC</v>
      </c>
      <c r="S1336" s="1609"/>
      <c r="T1336" s="1609"/>
      <c r="U1336" s="1609"/>
      <c r="V1336" s="1609"/>
      <c r="W1336" s="1609"/>
      <c r="X1336" s="1609"/>
      <c r="Y1336" s="1366"/>
      <c r="Z1336" s="1366"/>
      <c r="AA1336" s="1366"/>
      <c r="AB1336" s="1366"/>
      <c r="AC1336" s="69"/>
      <c r="AD1336" s="69"/>
      <c r="AE1336" s="69"/>
      <c r="AF1336" s="69"/>
      <c r="AG1336" s="69"/>
      <c r="AH1336" s="69"/>
      <c r="AI1336" s="69"/>
      <c r="AJ1336" s="69"/>
      <c r="AK1336" s="69"/>
      <c r="AL1336" s="2564"/>
    </row>
    <row r="1337" spans="1:38" ht="14.5">
      <c r="A1337" s="1693">
        <f t="shared" si="1920"/>
        <v>1320</v>
      </c>
      <c r="B1337" s="616">
        <v>1</v>
      </c>
      <c r="C1337" s="1693">
        <f t="shared" si="1885"/>
        <v>1337</v>
      </c>
      <c r="D1337" s="616">
        <v>1</v>
      </c>
      <c r="E1337" s="709" t="s">
        <v>512</v>
      </c>
      <c r="F1337" s="1572"/>
      <c r="G1337" s="519"/>
      <c r="H1337"/>
      <c r="I1337" s="4"/>
      <c r="J1337" s="1090" t="s">
        <v>0</v>
      </c>
      <c r="K1337" s="1091"/>
      <c r="L1337" s="1092"/>
      <c r="M1337" s="1092"/>
      <c r="N1337" s="1092"/>
      <c r="O1337" s="1092"/>
      <c r="P1337" s="1092"/>
      <c r="Q1337" s="1093"/>
      <c r="R1337" s="1846" t="str">
        <f>CHOOSE(2, "6722000004238", "BIC Net Sales")</f>
        <v>BIC Net Sales</v>
      </c>
      <c r="S1337" s="1594"/>
      <c r="T1337" s="1594"/>
      <c r="U1337" s="1594"/>
      <c r="V1337" s="1594"/>
      <c r="W1337" s="1594"/>
      <c r="X1337" s="1594"/>
      <c r="Y1337" s="1594"/>
      <c r="Z1337" s="1594"/>
      <c r="AA1337" s="1594"/>
      <c r="AB1337" s="1594"/>
      <c r="AC1337" s="1594"/>
      <c r="AD1337" s="1594"/>
      <c r="AE1337" s="1095">
        <f>SUM(S1337,T1337,U1337)</f>
        <v>0</v>
      </c>
      <c r="AF1337" s="1095">
        <f>SUM(V1337,W1337,X1337)</f>
        <v>0</v>
      </c>
      <c r="AG1337" s="1095">
        <f>SUM(Y1337,Z1337,AA1337)</f>
        <v>0</v>
      </c>
      <c r="AH1337" s="1095">
        <f>SUM(AB1337,AC1337,AD1337)</f>
        <v>0</v>
      </c>
      <c r="AI1337" s="1095">
        <f>AE1337+AF1337</f>
        <v>0</v>
      </c>
      <c r="AJ1337" s="1095">
        <f>AH1337+AG1337</f>
        <v>0</v>
      </c>
      <c r="AK1337" s="1095">
        <f>AI1337+AJ1337</f>
        <v>0</v>
      </c>
    </row>
    <row r="1338" spans="1:38" ht="14.5">
      <c r="A1338" s="1693">
        <f t="shared" si="1920"/>
        <v>1321</v>
      </c>
      <c r="B1338" s="616">
        <v>1</v>
      </c>
      <c r="C1338" s="1693">
        <f t="shared" si="1885"/>
        <v>1338</v>
      </c>
      <c r="D1338" s="616">
        <v>1</v>
      </c>
      <c r="E1338" s="709" t="s">
        <v>512</v>
      </c>
      <c r="F1338" s="1572"/>
      <c r="G1338" s="519"/>
      <c r="H1338"/>
      <c r="I1338" s="4"/>
      <c r="J1338" s="1096" t="s">
        <v>369</v>
      </c>
      <c r="K1338" s="1091"/>
      <c r="L1338" s="1092"/>
      <c r="M1338" s="1092"/>
      <c r="N1338" s="1097" t="s">
        <v>370</v>
      </c>
      <c r="O1338" s="1092"/>
      <c r="P1338" s="1092"/>
      <c r="Q1338" s="1093"/>
      <c r="R1338" s="1846" t="str">
        <f>CHOOSE(2, "6722000004239", "BIC Consolidated Sales (Excludes Sales to KM-Gr. Companies)")</f>
        <v>BIC Consolidated Sales (Excludes Sales to KM-Gr. Companies)</v>
      </c>
      <c r="S1338" s="1594"/>
      <c r="T1338" s="1594"/>
      <c r="U1338" s="1594"/>
      <c r="V1338" s="1594"/>
      <c r="W1338" s="1594"/>
      <c r="X1338" s="1594"/>
      <c r="Y1338" s="1594"/>
      <c r="Z1338" s="1594"/>
      <c r="AA1338" s="1594"/>
      <c r="AB1338" s="1594"/>
      <c r="AC1338" s="1594"/>
      <c r="AD1338" s="1594"/>
      <c r="AE1338" s="1094">
        <f>SUM(S1338,T1338,U1338)</f>
        <v>0</v>
      </c>
      <c r="AF1338" s="1094">
        <f>SUM(V1338,W1338,X1338)</f>
        <v>0</v>
      </c>
      <c r="AG1338" s="1094">
        <f>SUM(Y1338,Z1338,AA1338)</f>
        <v>0</v>
      </c>
      <c r="AH1338" s="1094">
        <f>SUM(AB1338,AC1338,AD1338)</f>
        <v>0</v>
      </c>
      <c r="AI1338" s="1094">
        <f>AE1338+AF1338</f>
        <v>0</v>
      </c>
      <c r="AJ1338" s="1094">
        <f>AH1338+AG1338</f>
        <v>0</v>
      </c>
      <c r="AK1338" s="1094">
        <f>AI1338+AJ1338</f>
        <v>0</v>
      </c>
    </row>
    <row r="1339" spans="1:38" ht="14.5">
      <c r="A1339" s="1693">
        <f t="shared" si="1920"/>
        <v>1322</v>
      </c>
      <c r="B1339" s="616">
        <v>1</v>
      </c>
      <c r="C1339" s="1693">
        <f t="shared" si="1885"/>
        <v>1339</v>
      </c>
      <c r="D1339" s="616">
        <v>1</v>
      </c>
      <c r="E1339" s="709" t="s">
        <v>512</v>
      </c>
      <c r="F1339" s="1572"/>
      <c r="G1339" s="519"/>
      <c r="H1339"/>
      <c r="I1339" s="4"/>
      <c r="J1339" s="1090" t="s">
        <v>54</v>
      </c>
      <c r="K1339" s="1091"/>
      <c r="L1339" s="1092"/>
      <c r="M1339" s="1092"/>
      <c r="N1339" s="1092"/>
      <c r="O1339" s="1092"/>
      <c r="P1339" s="1092"/>
      <c r="Q1339" s="1093"/>
      <c r="R1339" s="1846" t="str">
        <f>CHOOSE(2, "6722000004240", "BIC Gross Profit")</f>
        <v>BIC Gross Profit</v>
      </c>
      <c r="S1339" s="1594"/>
      <c r="T1339" s="1594"/>
      <c r="U1339" s="1594"/>
      <c r="V1339" s="1594"/>
      <c r="W1339" s="1594"/>
      <c r="X1339" s="1594"/>
      <c r="Y1339" s="1594"/>
      <c r="Z1339" s="1594"/>
      <c r="AA1339" s="1594"/>
      <c r="AB1339" s="1594"/>
      <c r="AC1339" s="1594"/>
      <c r="AD1339" s="1594"/>
      <c r="AE1339" s="1095">
        <f>SUM(S1339,T1339,U1339)</f>
        <v>0</v>
      </c>
      <c r="AF1339" s="1095">
        <f>SUM(V1339,W1339,X1339)</f>
        <v>0</v>
      </c>
      <c r="AG1339" s="1095">
        <f>SUM(Y1339,Z1339,AA1339)</f>
        <v>0</v>
      </c>
      <c r="AH1339" s="1095">
        <f>SUM(AB1339,AC1339,AD1339)</f>
        <v>0</v>
      </c>
      <c r="AI1339" s="1095">
        <f>AE1339+AF1339</f>
        <v>0</v>
      </c>
      <c r="AJ1339" s="1095">
        <f>AH1339+AG1339</f>
        <v>0</v>
      </c>
      <c r="AK1339" s="1095">
        <f>AI1339+AJ1339</f>
        <v>0</v>
      </c>
    </row>
    <row r="1340" spans="1:38" ht="14.5">
      <c r="A1340" s="1693">
        <f t="shared" si="1920"/>
        <v>1323</v>
      </c>
      <c r="B1340" s="616">
        <v>1</v>
      </c>
      <c r="C1340" s="1693">
        <f t="shared" si="1885"/>
        <v>1340</v>
      </c>
      <c r="D1340" s="616">
        <v>1</v>
      </c>
      <c r="E1340" s="709" t="s">
        <v>512</v>
      </c>
      <c r="F1340" s="1572"/>
      <c r="G1340" s="519"/>
      <c r="H1340"/>
      <c r="I1340" s="4"/>
      <c r="J1340" s="27"/>
      <c r="K1340" s="3" t="s">
        <v>113</v>
      </c>
      <c r="L1340" s="4"/>
      <c r="M1340" s="4"/>
      <c r="N1340" s="4"/>
      <c r="O1340" s="4"/>
      <c r="P1340" s="4"/>
      <c r="Q1340" s="79"/>
      <c r="R1340" s="1785" t="str">
        <f>CHOOSE(2, "6722000004241", "BIC Gross Profit (%)")</f>
        <v>BIC Gross Profit (%)</v>
      </c>
      <c r="S1340" s="1223">
        <f t="shared" ref="S1340:AD1340" si="1924">IFERROR(S1339/S1337,0)</f>
        <v>0</v>
      </c>
      <c r="T1340" s="1223">
        <f t="shared" si="1924"/>
        <v>0</v>
      </c>
      <c r="U1340" s="1223">
        <f t="shared" si="1924"/>
        <v>0</v>
      </c>
      <c r="V1340" s="1223">
        <f t="shared" si="1924"/>
        <v>0</v>
      </c>
      <c r="W1340" s="1223">
        <f t="shared" si="1924"/>
        <v>0</v>
      </c>
      <c r="X1340" s="1223">
        <f t="shared" si="1924"/>
        <v>0</v>
      </c>
      <c r="Y1340" s="1223">
        <f t="shared" si="1924"/>
        <v>0</v>
      </c>
      <c r="Z1340" s="1223">
        <f t="shared" si="1924"/>
        <v>0</v>
      </c>
      <c r="AA1340" s="1223">
        <f t="shared" si="1924"/>
        <v>0</v>
      </c>
      <c r="AB1340" s="1223">
        <f t="shared" si="1924"/>
        <v>0</v>
      </c>
      <c r="AC1340" s="1223">
        <f t="shared" si="1924"/>
        <v>0</v>
      </c>
      <c r="AD1340" s="1223">
        <f t="shared" si="1924"/>
        <v>0</v>
      </c>
      <c r="AE1340" s="1223">
        <f t="shared" ref="AE1340:AK1340" si="1925">IFERROR(AE1339/AE1337,0)</f>
        <v>0</v>
      </c>
      <c r="AF1340" s="1223">
        <f t="shared" si="1925"/>
        <v>0</v>
      </c>
      <c r="AG1340" s="1223">
        <f t="shared" si="1925"/>
        <v>0</v>
      </c>
      <c r="AH1340" s="1223">
        <f t="shared" si="1925"/>
        <v>0</v>
      </c>
      <c r="AI1340" s="1223">
        <f t="shared" si="1925"/>
        <v>0</v>
      </c>
      <c r="AJ1340" s="1223">
        <f t="shared" si="1925"/>
        <v>0</v>
      </c>
      <c r="AK1340" s="1223">
        <f t="shared" si="1925"/>
        <v>0</v>
      </c>
    </row>
    <row r="1341" spans="1:38" ht="14.5">
      <c r="A1341" s="1693">
        <f t="shared" si="1920"/>
        <v>1324</v>
      </c>
      <c r="B1341" s="616">
        <v>1</v>
      </c>
      <c r="C1341" s="1693">
        <f t="shared" si="1885"/>
        <v>1341</v>
      </c>
      <c r="D1341" s="616">
        <v>1</v>
      </c>
      <c r="E1341" s="709" t="s">
        <v>512</v>
      </c>
      <c r="F1341" s="1572"/>
      <c r="G1341" s="519"/>
      <c r="H1341"/>
      <c r="I1341" s="4"/>
      <c r="J1341" s="1098" t="s">
        <v>29</v>
      </c>
      <c r="K1341" s="1099"/>
      <c r="L1341" s="1100"/>
      <c r="M1341" s="1100"/>
      <c r="N1341" s="1100"/>
      <c r="O1341" s="1100"/>
      <c r="P1341" s="1100"/>
      <c r="Q1341" s="1101"/>
      <c r="R1341" s="1846" t="str">
        <f>CHOOSE(2, "6722000004242", "BIC SGA Expenses")</f>
        <v>BIC SGA Expenses</v>
      </c>
      <c r="S1341" s="1461">
        <f>SUM(S1342:S1344)</f>
        <v>0</v>
      </c>
      <c r="T1341" s="1461">
        <f t="shared" ref="T1341:AD1341" si="1926">SUM(T1342:T1344)</f>
        <v>0</v>
      </c>
      <c r="U1341" s="1461">
        <f t="shared" si="1926"/>
        <v>0</v>
      </c>
      <c r="V1341" s="1461">
        <f t="shared" si="1926"/>
        <v>0</v>
      </c>
      <c r="W1341" s="1461">
        <f t="shared" si="1926"/>
        <v>0</v>
      </c>
      <c r="X1341" s="1461">
        <f t="shared" si="1926"/>
        <v>0</v>
      </c>
      <c r="Y1341" s="1461">
        <f t="shared" si="1926"/>
        <v>0</v>
      </c>
      <c r="Z1341" s="1461">
        <f t="shared" si="1926"/>
        <v>0</v>
      </c>
      <c r="AA1341" s="1461">
        <f t="shared" si="1926"/>
        <v>0</v>
      </c>
      <c r="AB1341" s="1461">
        <f t="shared" si="1926"/>
        <v>0</v>
      </c>
      <c r="AC1341" s="1461">
        <f t="shared" si="1926"/>
        <v>0</v>
      </c>
      <c r="AD1341" s="1461">
        <f t="shared" si="1926"/>
        <v>0</v>
      </c>
      <c r="AE1341" s="1461">
        <f>SUM(S1341,T1341,U1341)</f>
        <v>0</v>
      </c>
      <c r="AF1341" s="1461">
        <f>SUM(V1341,W1341,X1341)</f>
        <v>0</v>
      </c>
      <c r="AG1341" s="1461">
        <f>SUM(Y1341,Z1341,AA1341)</f>
        <v>0</v>
      </c>
      <c r="AH1341" s="1461">
        <f>SUM(AB1341,AC1341,AD1341)</f>
        <v>0</v>
      </c>
      <c r="AI1341" s="1461">
        <f>AE1341+AF1341</f>
        <v>0</v>
      </c>
      <c r="AJ1341" s="1461">
        <f>AH1341+AG1341</f>
        <v>0</v>
      </c>
      <c r="AK1341" s="1461">
        <f>AI1341+AJ1341</f>
        <v>0</v>
      </c>
    </row>
    <row r="1342" spans="1:38" ht="14.5">
      <c r="A1342" s="1693">
        <f t="shared" si="1920"/>
        <v>1325</v>
      </c>
      <c r="B1342" s="616">
        <v>1</v>
      </c>
      <c r="C1342" s="1693">
        <f t="shared" si="1885"/>
        <v>1342</v>
      </c>
      <c r="D1342" s="616">
        <v>1</v>
      </c>
      <c r="E1342" s="709" t="s">
        <v>512</v>
      </c>
      <c r="F1342" s="1572"/>
      <c r="G1342" s="519"/>
      <c r="H1342"/>
      <c r="I1342" s="4"/>
      <c r="J1342" s="27"/>
      <c r="K1342" s="36" t="s">
        <v>87</v>
      </c>
      <c r="L1342" s="4"/>
      <c r="M1342" s="4"/>
      <c r="N1342" s="3"/>
      <c r="O1342" s="3"/>
      <c r="P1342" s="3"/>
      <c r="Q1342" s="26"/>
      <c r="R1342" s="1790" t="str">
        <f>CHOOSE(2, "6722000004243", "BIC SGA Expenses Variable Expenses")</f>
        <v>BIC SGA Expenses Variable Expenses</v>
      </c>
      <c r="S1342" s="1222"/>
      <c r="T1342" s="1222"/>
      <c r="U1342" s="1222"/>
      <c r="V1342" s="1222"/>
      <c r="W1342" s="1222"/>
      <c r="X1342" s="1222"/>
      <c r="Y1342" s="1222"/>
      <c r="Z1342" s="1222"/>
      <c r="AA1342" s="1222"/>
      <c r="AB1342" s="1222"/>
      <c r="AC1342" s="1222"/>
      <c r="AD1342" s="1222"/>
      <c r="AE1342" s="1221">
        <f>SUM(S1342:U1342)</f>
        <v>0</v>
      </c>
      <c r="AF1342" s="1221">
        <f>SUM(V1342:X1342)</f>
        <v>0</v>
      </c>
      <c r="AG1342" s="1221">
        <f>SUM(Y1342:AA1342)</f>
        <v>0</v>
      </c>
      <c r="AH1342" s="1221">
        <f>SUM(AB1342:AD1342)</f>
        <v>0</v>
      </c>
      <c r="AI1342" s="1221">
        <f>AE1342+AF1342</f>
        <v>0</v>
      </c>
      <c r="AJ1342" s="1221">
        <f>AH1342+AG1342</f>
        <v>0</v>
      </c>
      <c r="AK1342" s="1221">
        <f>AI1342+AJ1342</f>
        <v>0</v>
      </c>
    </row>
    <row r="1343" spans="1:38" ht="14.5">
      <c r="A1343" s="1693">
        <f t="shared" si="1920"/>
        <v>1326</v>
      </c>
      <c r="B1343" s="616">
        <v>1</v>
      </c>
      <c r="C1343" s="1693">
        <f t="shared" si="1885"/>
        <v>1343</v>
      </c>
      <c r="D1343" s="616">
        <v>1</v>
      </c>
      <c r="E1343" s="709" t="s">
        <v>512</v>
      </c>
      <c r="F1343" s="1572"/>
      <c r="G1343" s="519"/>
      <c r="H1343"/>
      <c r="I1343" s="4"/>
      <c r="J1343" s="27"/>
      <c r="K1343" s="36" t="s">
        <v>88</v>
      </c>
      <c r="L1343" s="4"/>
      <c r="M1343" s="4"/>
      <c r="N1343" s="3"/>
      <c r="O1343" s="3"/>
      <c r="P1343" s="3"/>
      <c r="Q1343" s="26"/>
      <c r="R1343" s="1790" t="str">
        <f>CHOOSE(2, "6722000004244", "BIC SGA Expenses Wages &amp; Salaries")</f>
        <v>BIC SGA Expenses Wages &amp; Salaries</v>
      </c>
      <c r="S1343" s="1222"/>
      <c r="T1343" s="1222"/>
      <c r="U1343" s="1222"/>
      <c r="V1343" s="1222"/>
      <c r="W1343" s="1222"/>
      <c r="X1343" s="1222"/>
      <c r="Y1343" s="1222"/>
      <c r="Z1343" s="1222"/>
      <c r="AA1343" s="1222"/>
      <c r="AB1343" s="1222"/>
      <c r="AC1343" s="1222"/>
      <c r="AD1343" s="1222"/>
      <c r="AE1343" s="1221">
        <f>SUM(S1343:U1343)</f>
        <v>0</v>
      </c>
      <c r="AF1343" s="1221">
        <f>SUM(V1343:X1343)</f>
        <v>0</v>
      </c>
      <c r="AG1343" s="1221">
        <f>SUM(Y1343:AA1343)</f>
        <v>0</v>
      </c>
      <c r="AH1343" s="1221">
        <f>SUM(AB1343:AD1343)</f>
        <v>0</v>
      </c>
      <c r="AI1343" s="1221">
        <f>AE1343+AF1343</f>
        <v>0</v>
      </c>
      <c r="AJ1343" s="1221">
        <f>AH1343+AG1343</f>
        <v>0</v>
      </c>
      <c r="AK1343" s="1221">
        <f>AI1343+AJ1343</f>
        <v>0</v>
      </c>
    </row>
    <row r="1344" spans="1:38" ht="14.5">
      <c r="A1344" s="1693">
        <f t="shared" si="1920"/>
        <v>1327</v>
      </c>
      <c r="B1344" s="616">
        <v>1</v>
      </c>
      <c r="C1344" s="1693">
        <f t="shared" si="1885"/>
        <v>1344</v>
      </c>
      <c r="D1344" s="616">
        <v>1</v>
      </c>
      <c r="E1344" s="709" t="s">
        <v>512</v>
      </c>
      <c r="F1344" s="1572"/>
      <c r="G1344" s="519"/>
      <c r="H1344"/>
      <c r="I1344" s="4"/>
      <c r="J1344" s="27"/>
      <c r="K1344" s="36" t="s">
        <v>89</v>
      </c>
      <c r="L1344" s="48"/>
      <c r="M1344" s="48"/>
      <c r="N1344" s="47"/>
      <c r="O1344" s="47"/>
      <c r="P1344" s="47"/>
      <c r="Q1344" s="46"/>
      <c r="R1344" s="1790" t="str">
        <f>CHOOSE(2, "6722000004245", "BIC SGA Expenses Fixed Expenses")</f>
        <v>BIC SGA Expenses Fixed Expenses</v>
      </c>
      <c r="S1344" s="1231"/>
      <c r="T1344" s="1231"/>
      <c r="U1344" s="1231"/>
      <c r="V1344" s="1231"/>
      <c r="W1344" s="1231"/>
      <c r="X1344" s="1231"/>
      <c r="Y1344" s="1231"/>
      <c r="Z1344" s="1231"/>
      <c r="AA1344" s="1231"/>
      <c r="AB1344" s="1231"/>
      <c r="AC1344" s="1231"/>
      <c r="AD1344" s="1231"/>
      <c r="AE1344" s="1230">
        <f>SUM(S1344:U1344)</f>
        <v>0</v>
      </c>
      <c r="AF1344" s="1230">
        <f>SUM(V1344:X1344)</f>
        <v>0</v>
      </c>
      <c r="AG1344" s="1230">
        <f>SUM(Y1344:AA1344)</f>
        <v>0</v>
      </c>
      <c r="AH1344" s="1230">
        <f>SUM(AB1344:AD1344)</f>
        <v>0</v>
      </c>
      <c r="AI1344" s="1230">
        <f>AE1344+AF1344</f>
        <v>0</v>
      </c>
      <c r="AJ1344" s="1230">
        <f>AH1344+AG1344</f>
        <v>0</v>
      </c>
      <c r="AK1344" s="1230">
        <f>AI1344+AJ1344</f>
        <v>0</v>
      </c>
    </row>
    <row r="1345" spans="1:37" ht="14.5">
      <c r="A1345" s="1693">
        <f t="shared" si="1920"/>
        <v>1328</v>
      </c>
      <c r="B1345" s="616">
        <v>1</v>
      </c>
      <c r="C1345" s="1693">
        <f t="shared" si="1885"/>
        <v>1345</v>
      </c>
      <c r="D1345" s="616">
        <v>1</v>
      </c>
      <c r="E1345" s="709" t="s">
        <v>512</v>
      </c>
      <c r="F1345" s="1572"/>
      <c r="G1345" s="519"/>
      <c r="H1345"/>
      <c r="I1345" s="4"/>
      <c r="J1345" s="1102" t="s">
        <v>56</v>
      </c>
      <c r="K1345" s="1103"/>
      <c r="L1345" s="1104"/>
      <c r="M1345" s="1104"/>
      <c r="N1345" s="1104"/>
      <c r="O1345" s="1104"/>
      <c r="P1345" s="1104"/>
      <c r="Q1345" s="1105"/>
      <c r="R1345" s="1774" t="str">
        <f>CHOOSE(2, "6722000004246", "BIC Business Contribution Profit")</f>
        <v>BIC Business Contribution Profit</v>
      </c>
      <c r="S1345" s="1193">
        <f t="shared" ref="S1345:AD1345" si="1927">S1339-S1341</f>
        <v>0</v>
      </c>
      <c r="T1345" s="1193">
        <f t="shared" si="1927"/>
        <v>0</v>
      </c>
      <c r="U1345" s="1193">
        <f t="shared" si="1927"/>
        <v>0</v>
      </c>
      <c r="V1345" s="1193">
        <f t="shared" si="1927"/>
        <v>0</v>
      </c>
      <c r="W1345" s="1193">
        <f t="shared" si="1927"/>
        <v>0</v>
      </c>
      <c r="X1345" s="1193">
        <f t="shared" si="1927"/>
        <v>0</v>
      </c>
      <c r="Y1345" s="1193">
        <f t="shared" si="1927"/>
        <v>0</v>
      </c>
      <c r="Z1345" s="1193">
        <f t="shared" si="1927"/>
        <v>0</v>
      </c>
      <c r="AA1345" s="1193">
        <f t="shared" si="1927"/>
        <v>0</v>
      </c>
      <c r="AB1345" s="1193">
        <f t="shared" si="1927"/>
        <v>0</v>
      </c>
      <c r="AC1345" s="1193">
        <f t="shared" si="1927"/>
        <v>0</v>
      </c>
      <c r="AD1345" s="1193">
        <f t="shared" si="1927"/>
        <v>0</v>
      </c>
      <c r="AE1345" s="159">
        <f t="shared" ref="AE1345:AK1345" si="1928">AE1339-AE1341</f>
        <v>0</v>
      </c>
      <c r="AF1345" s="159">
        <f t="shared" si="1928"/>
        <v>0</v>
      </c>
      <c r="AG1345" s="159">
        <f t="shared" si="1928"/>
        <v>0</v>
      </c>
      <c r="AH1345" s="159">
        <f t="shared" si="1928"/>
        <v>0</v>
      </c>
      <c r="AI1345" s="159">
        <f t="shared" si="1928"/>
        <v>0</v>
      </c>
      <c r="AJ1345" s="159">
        <f t="shared" si="1928"/>
        <v>0</v>
      </c>
      <c r="AK1345" s="159">
        <f t="shared" si="1928"/>
        <v>0</v>
      </c>
    </row>
    <row r="1346" spans="1:37" ht="14.5">
      <c r="A1346" s="1693">
        <f t="shared" si="1920"/>
        <v>1329</v>
      </c>
      <c r="B1346" s="616">
        <v>1</v>
      </c>
      <c r="C1346" s="1693">
        <f t="shared" si="1885"/>
        <v>1346</v>
      </c>
      <c r="D1346" s="616">
        <v>1</v>
      </c>
      <c r="E1346" s="709" t="s">
        <v>512</v>
      </c>
      <c r="F1346" s="1572"/>
      <c r="G1346" s="519"/>
      <c r="H1346"/>
      <c r="I1346" s="4"/>
      <c r="J1346" s="25"/>
      <c r="K1346" s="1" t="s">
        <v>55</v>
      </c>
      <c r="L1346" s="2"/>
      <c r="M1346" s="2"/>
      <c r="N1346" s="1"/>
      <c r="O1346" s="1"/>
      <c r="P1346" s="1"/>
      <c r="Q1346" s="24"/>
      <c r="R1346" s="1792" t="str">
        <f>CHOOSE(2, "6722000004247", "BIC Business Contribution Profit (%)")</f>
        <v>BIC Business Contribution Profit (%)</v>
      </c>
      <c r="S1346" s="1229">
        <f t="shared" ref="S1346:AD1346" si="1929">IFERROR(S1345/S1337,0)</f>
        <v>0</v>
      </c>
      <c r="T1346" s="1229">
        <f t="shared" si="1929"/>
        <v>0</v>
      </c>
      <c r="U1346" s="1229">
        <f t="shared" si="1929"/>
        <v>0</v>
      </c>
      <c r="V1346" s="1229">
        <f t="shared" si="1929"/>
        <v>0</v>
      </c>
      <c r="W1346" s="1229">
        <f t="shared" si="1929"/>
        <v>0</v>
      </c>
      <c r="X1346" s="1229">
        <f t="shared" si="1929"/>
        <v>0</v>
      </c>
      <c r="Y1346" s="1229">
        <f t="shared" si="1929"/>
        <v>0</v>
      </c>
      <c r="Z1346" s="1229">
        <f t="shared" si="1929"/>
        <v>0</v>
      </c>
      <c r="AA1346" s="1229">
        <f t="shared" si="1929"/>
        <v>0</v>
      </c>
      <c r="AB1346" s="1229">
        <f t="shared" si="1929"/>
        <v>0</v>
      </c>
      <c r="AC1346" s="1229">
        <f t="shared" si="1929"/>
        <v>0</v>
      </c>
      <c r="AD1346" s="1229">
        <f t="shared" si="1929"/>
        <v>0</v>
      </c>
      <c r="AE1346" s="1229">
        <f t="shared" ref="AE1346:AK1346" si="1930">IFERROR(AE1345/AE1337,0)</f>
        <v>0</v>
      </c>
      <c r="AF1346" s="1229">
        <f t="shared" si="1930"/>
        <v>0</v>
      </c>
      <c r="AG1346" s="1229">
        <f t="shared" si="1930"/>
        <v>0</v>
      </c>
      <c r="AH1346" s="1229">
        <f t="shared" si="1930"/>
        <v>0</v>
      </c>
      <c r="AI1346" s="1229">
        <f t="shared" si="1930"/>
        <v>0</v>
      </c>
      <c r="AJ1346" s="1229">
        <f t="shared" si="1930"/>
        <v>0</v>
      </c>
      <c r="AK1346" s="1229">
        <f t="shared" si="1930"/>
        <v>0</v>
      </c>
    </row>
    <row r="1347" spans="1:37" ht="14.5">
      <c r="A1347" s="1693">
        <f t="shared" si="1920"/>
        <v>1330</v>
      </c>
      <c r="B1347" s="616">
        <v>1</v>
      </c>
      <c r="C1347" s="1693">
        <f t="shared" si="1885"/>
        <v>1347</v>
      </c>
      <c r="D1347" s="616">
        <v>1</v>
      </c>
      <c r="E1347" s="709" t="s">
        <v>512</v>
      </c>
      <c r="F1347" s="1572"/>
      <c r="G1347" s="519"/>
      <c r="H1347"/>
      <c r="I1347" s="4"/>
      <c r="J1347" s="53" t="s">
        <v>91</v>
      </c>
      <c r="K1347" s="447"/>
      <c r="L1347" s="514"/>
      <c r="M1347" s="514"/>
      <c r="N1347" s="447"/>
      <c r="O1347" s="447"/>
      <c r="P1347" s="447"/>
      <c r="Q1347" s="515"/>
      <c r="R1347" s="1790" t="str">
        <f>CHOOSE(2, "6722000004248", "BIC Other Income")</f>
        <v>BIC Other Income</v>
      </c>
      <c r="S1347" s="1197"/>
      <c r="T1347" s="1556"/>
      <c r="U1347" s="1556"/>
      <c r="V1347" s="1556"/>
      <c r="W1347" s="1556"/>
      <c r="X1347" s="1556"/>
      <c r="Y1347" s="1556"/>
      <c r="Z1347" s="1556"/>
      <c r="AA1347" s="1556"/>
      <c r="AB1347" s="1556"/>
      <c r="AC1347" s="1556"/>
      <c r="AD1347" s="1556"/>
      <c r="AE1347" s="107">
        <f>SUM(S1347,T1347,U1347)</f>
        <v>0</v>
      </c>
      <c r="AF1347" s="107">
        <f>SUM(V1347,W1347,X1347)</f>
        <v>0</v>
      </c>
      <c r="AG1347" s="107">
        <f>SUM(Y1347,Z1347,AA1347)</f>
        <v>0</v>
      </c>
      <c r="AH1347" s="107">
        <f>SUM(AB1347,AC1347,AD1347)</f>
        <v>0</v>
      </c>
      <c r="AI1347" s="107">
        <f>AE1347+AF1347</f>
        <v>0</v>
      </c>
      <c r="AJ1347" s="107">
        <f>AH1347+AG1347</f>
        <v>0</v>
      </c>
      <c r="AK1347" s="107">
        <f>AI1347+AJ1347</f>
        <v>0</v>
      </c>
    </row>
    <row r="1348" spans="1:37" ht="14.5">
      <c r="A1348" s="1693">
        <f t="shared" si="1920"/>
        <v>1331</v>
      </c>
      <c r="B1348" s="616">
        <v>1</v>
      </c>
      <c r="C1348" s="1693">
        <f t="shared" si="1885"/>
        <v>1348</v>
      </c>
      <c r="D1348" s="616">
        <v>1</v>
      </c>
      <c r="E1348" s="709" t="s">
        <v>512</v>
      </c>
      <c r="F1348" s="1572"/>
      <c r="G1348" s="519"/>
      <c r="H1348"/>
      <c r="I1348" s="4"/>
      <c r="J1348" s="106" t="s">
        <v>73</v>
      </c>
      <c r="K1348" s="104"/>
      <c r="L1348" s="105"/>
      <c r="M1348" s="105"/>
      <c r="N1348" s="104"/>
      <c r="O1348" s="104"/>
      <c r="P1348" s="104"/>
      <c r="Q1348" s="103"/>
      <c r="R1348" s="1790" t="str">
        <f>CHOOSE(2, "6722000004249", "BIC Other Expenses")</f>
        <v>BIC Other Expenses</v>
      </c>
      <c r="S1348" s="1216"/>
      <c r="T1348" s="1557"/>
      <c r="U1348" s="1557"/>
      <c r="V1348" s="1557"/>
      <c r="W1348" s="1557"/>
      <c r="X1348" s="1557"/>
      <c r="Y1348" s="1557"/>
      <c r="Z1348" s="1557"/>
      <c r="AA1348" s="1557"/>
      <c r="AB1348" s="1557"/>
      <c r="AC1348" s="1557"/>
      <c r="AD1348" s="1557"/>
      <c r="AE1348" s="80">
        <f>SUM(S1348,T1348,U1348)</f>
        <v>0</v>
      </c>
      <c r="AF1348" s="80">
        <f>SUM(V1348,W1348,X1348)</f>
        <v>0</v>
      </c>
      <c r="AG1348" s="80">
        <f>SUM(Y1348,Z1348,AA1348)</f>
        <v>0</v>
      </c>
      <c r="AH1348" s="80">
        <f>SUM(AB1348,AC1348,AD1348)</f>
        <v>0</v>
      </c>
      <c r="AI1348" s="80">
        <f>AE1348+AF1348</f>
        <v>0</v>
      </c>
      <c r="AJ1348" s="80">
        <f>AH1348+AG1348</f>
        <v>0</v>
      </c>
      <c r="AK1348" s="80">
        <f>AI1348+AJ1348</f>
        <v>0</v>
      </c>
    </row>
    <row r="1349" spans="1:37" ht="14.5">
      <c r="A1349" s="1693">
        <f t="shared" si="1920"/>
        <v>1332</v>
      </c>
      <c r="B1349" s="616">
        <v>1</v>
      </c>
      <c r="C1349" s="1693">
        <f t="shared" si="1885"/>
        <v>1349</v>
      </c>
      <c r="D1349" s="616">
        <v>1</v>
      </c>
      <c r="E1349" s="709" t="s">
        <v>512</v>
      </c>
      <c r="F1349" s="1572"/>
      <c r="G1349" s="519"/>
      <c r="H1349"/>
      <c r="I1349" s="4"/>
      <c r="J1349" s="1102" t="s">
        <v>92</v>
      </c>
      <c r="K1349" s="1103"/>
      <c r="L1349" s="1104"/>
      <c r="M1349" s="1104"/>
      <c r="N1349" s="1104"/>
      <c r="O1349" s="1104"/>
      <c r="P1349" s="1104"/>
      <c r="Q1349" s="1105"/>
      <c r="R1349" s="1774" t="str">
        <f>CHOOSE(2, "6722000004250", "BIC Operating Profit")</f>
        <v>BIC Operating Profit</v>
      </c>
      <c r="S1349" s="1193">
        <f t="shared" ref="S1349:AD1349" si="1931">S1345+S1347-S1348</f>
        <v>0</v>
      </c>
      <c r="T1349" s="1184">
        <f t="shared" si="1931"/>
        <v>0</v>
      </c>
      <c r="U1349" s="1184">
        <f t="shared" si="1931"/>
        <v>0</v>
      </c>
      <c r="V1349" s="1184">
        <f t="shared" si="1931"/>
        <v>0</v>
      </c>
      <c r="W1349" s="1184">
        <f t="shared" si="1931"/>
        <v>0</v>
      </c>
      <c r="X1349" s="1184">
        <f t="shared" si="1931"/>
        <v>0</v>
      </c>
      <c r="Y1349" s="1184">
        <f t="shared" si="1931"/>
        <v>0</v>
      </c>
      <c r="Z1349" s="1184">
        <f t="shared" si="1931"/>
        <v>0</v>
      </c>
      <c r="AA1349" s="1184">
        <f t="shared" si="1931"/>
        <v>0</v>
      </c>
      <c r="AB1349" s="1184">
        <f t="shared" si="1931"/>
        <v>0</v>
      </c>
      <c r="AC1349" s="1184">
        <f t="shared" si="1931"/>
        <v>0</v>
      </c>
      <c r="AD1349" s="1184">
        <f t="shared" si="1931"/>
        <v>0</v>
      </c>
      <c r="AE1349" s="1106">
        <f t="shared" ref="AE1349:AK1349" si="1932">AE1345+AE1347-AE1348</f>
        <v>0</v>
      </c>
      <c r="AF1349" s="1106">
        <f t="shared" si="1932"/>
        <v>0</v>
      </c>
      <c r="AG1349" s="1106">
        <f t="shared" si="1932"/>
        <v>0</v>
      </c>
      <c r="AH1349" s="1106">
        <f t="shared" si="1932"/>
        <v>0</v>
      </c>
      <c r="AI1349" s="1106">
        <f t="shared" si="1932"/>
        <v>0</v>
      </c>
      <c r="AJ1349" s="1106">
        <f t="shared" si="1932"/>
        <v>0</v>
      </c>
      <c r="AK1349" s="1106">
        <f t="shared" si="1932"/>
        <v>0</v>
      </c>
    </row>
    <row r="1350" spans="1:37" ht="14.5">
      <c r="A1350" s="1693">
        <f t="shared" si="1920"/>
        <v>1333</v>
      </c>
      <c r="B1350" s="616">
        <v>1</v>
      </c>
      <c r="C1350" s="1693">
        <f t="shared" si="1885"/>
        <v>1350</v>
      </c>
      <c r="D1350" s="616">
        <v>1</v>
      </c>
      <c r="E1350" s="709" t="s">
        <v>512</v>
      </c>
      <c r="F1350" s="1572"/>
      <c r="G1350" s="519"/>
      <c r="H1350"/>
      <c r="I1350" s="4"/>
      <c r="J1350" s="25"/>
      <c r="K1350" s="1" t="s">
        <v>55</v>
      </c>
      <c r="L1350" s="2"/>
      <c r="M1350" s="2"/>
      <c r="N1350" s="1"/>
      <c r="O1350" s="1"/>
      <c r="P1350" s="1"/>
      <c r="Q1350" s="24"/>
      <c r="R1350" s="1792" t="str">
        <f>CHOOSE(2, "6722000004251", "BIC Operating Profit (%)")</f>
        <v>BIC Operating Profit (%)</v>
      </c>
      <c r="S1350" s="1229">
        <f t="shared" ref="S1350:AD1350" si="1933">IFERROR(S1349/S1337,0)</f>
        <v>0</v>
      </c>
      <c r="T1350" s="1229">
        <f t="shared" si="1933"/>
        <v>0</v>
      </c>
      <c r="U1350" s="1229">
        <f t="shared" si="1933"/>
        <v>0</v>
      </c>
      <c r="V1350" s="1229">
        <f t="shared" si="1933"/>
        <v>0</v>
      </c>
      <c r="W1350" s="1229">
        <f t="shared" si="1933"/>
        <v>0</v>
      </c>
      <c r="X1350" s="1229">
        <f t="shared" si="1933"/>
        <v>0</v>
      </c>
      <c r="Y1350" s="1229">
        <f t="shared" si="1933"/>
        <v>0</v>
      </c>
      <c r="Z1350" s="1229">
        <f t="shared" si="1933"/>
        <v>0</v>
      </c>
      <c r="AA1350" s="1229">
        <f t="shared" si="1933"/>
        <v>0</v>
      </c>
      <c r="AB1350" s="1229">
        <f t="shared" si="1933"/>
        <v>0</v>
      </c>
      <c r="AC1350" s="1229">
        <f t="shared" si="1933"/>
        <v>0</v>
      </c>
      <c r="AD1350" s="1229">
        <f t="shared" si="1933"/>
        <v>0</v>
      </c>
      <c r="AE1350" s="1229">
        <f t="shared" ref="AE1350:AK1350" si="1934">IFERROR(AE1349/AE1337,0)</f>
        <v>0</v>
      </c>
      <c r="AF1350" s="1229">
        <f t="shared" si="1934"/>
        <v>0</v>
      </c>
      <c r="AG1350" s="1229">
        <f t="shared" si="1934"/>
        <v>0</v>
      </c>
      <c r="AH1350" s="1229">
        <f t="shared" si="1934"/>
        <v>0</v>
      </c>
      <c r="AI1350" s="1229">
        <f t="shared" si="1934"/>
        <v>0</v>
      </c>
      <c r="AJ1350" s="1229">
        <f t="shared" si="1934"/>
        <v>0</v>
      </c>
      <c r="AK1350" s="1229">
        <f t="shared" si="1934"/>
        <v>0</v>
      </c>
    </row>
    <row r="1351" spans="1:37" ht="14.5">
      <c r="A1351" s="1693">
        <f t="shared" si="1920"/>
        <v>1334</v>
      </c>
      <c r="B1351" s="616">
        <v>1</v>
      </c>
      <c r="C1351" s="1693">
        <f t="shared" si="1885"/>
        <v>1351</v>
      </c>
      <c r="D1351" s="616">
        <v>1</v>
      </c>
      <c r="E1351" s="709" t="s">
        <v>512</v>
      </c>
      <c r="F1351" s="1572"/>
      <c r="G1351" s="519"/>
      <c r="H1351"/>
      <c r="I1351" s="4"/>
      <c r="J1351" s="4"/>
      <c r="K1351" s="3"/>
      <c r="L1351" s="4"/>
      <c r="M1351" s="4"/>
      <c r="N1351" s="3"/>
      <c r="O1351" s="3"/>
      <c r="P1351" s="3"/>
      <c r="Q1351" s="3"/>
      <c r="R1351" s="1847" t="str">
        <f>CHOOSE(2, "6722000004252", "▷ Blank 54")</f>
        <v>▷ Blank 54</v>
      </c>
      <c r="S1351" s="1678"/>
      <c r="T1351" s="1678"/>
      <c r="U1351" s="1678"/>
      <c r="V1351" s="1678"/>
      <c r="W1351" s="1678"/>
      <c r="X1351" s="1678"/>
      <c r="Y1351" s="1678"/>
      <c r="Z1351" s="1678"/>
      <c r="AA1351" s="1678"/>
      <c r="AB1351" s="1678"/>
      <c r="AC1351" s="1678"/>
      <c r="AD1351" s="1678"/>
      <c r="AE1351" s="1678"/>
      <c r="AF1351" s="1678"/>
      <c r="AG1351" s="1678"/>
      <c r="AH1351" s="1678"/>
      <c r="AI1351" s="1678"/>
      <c r="AJ1351" s="1678"/>
      <c r="AK1351" s="1678"/>
    </row>
    <row r="1352" spans="1:37" ht="14.5">
      <c r="A1352" s="1693">
        <f t="shared" si="1920"/>
        <v>1335</v>
      </c>
      <c r="B1352" s="616">
        <v>1</v>
      </c>
      <c r="C1352" s="1693">
        <f t="shared" si="1885"/>
        <v>1352</v>
      </c>
      <c r="D1352" s="616">
        <v>1</v>
      </c>
      <c r="E1352" s="709" t="s">
        <v>512</v>
      </c>
      <c r="F1352" s="1572"/>
      <c r="G1352" s="519"/>
      <c r="H1352"/>
      <c r="I1352" s="4" t="s">
        <v>567</v>
      </c>
      <c r="J1352" s="746"/>
      <c r="K1352" s="3"/>
      <c r="L1352" s="4"/>
      <c r="M1352" s="4"/>
      <c r="N1352" s="3"/>
      <c r="O1352" s="3" t="s">
        <v>568</v>
      </c>
      <c r="P1352" s="3"/>
      <c r="Q1352" s="3"/>
      <c r="R1352" s="1773" t="str">
        <f>CHOOSE(2, "6722000004253", "PL (2) IIS (Imaging-IoT Solution)")</f>
        <v>PL (2) IIS (Imaging-IoT Solution)</v>
      </c>
      <c r="S1352" s="1679"/>
      <c r="T1352" s="1609"/>
      <c r="U1352" s="1609"/>
      <c r="V1352" s="1609"/>
      <c r="W1352" s="1609"/>
      <c r="X1352" s="1609"/>
      <c r="Y1352" s="1366"/>
      <c r="Z1352" s="1366"/>
      <c r="AA1352" s="1366"/>
      <c r="AB1352" s="1366"/>
      <c r="AC1352" s="69"/>
      <c r="AD1352" s="69"/>
      <c r="AE1352" s="69"/>
      <c r="AF1352" s="69"/>
      <c r="AG1352" s="69"/>
      <c r="AH1352" s="69"/>
      <c r="AI1352" s="69"/>
      <c r="AJ1352" s="69"/>
      <c r="AK1352" s="69"/>
    </row>
    <row r="1353" spans="1:37" ht="14.5">
      <c r="A1353" s="1693">
        <f t="shared" si="1920"/>
        <v>1336</v>
      </c>
      <c r="B1353" s="616">
        <v>1</v>
      </c>
      <c r="C1353" s="1693">
        <f t="shared" si="1885"/>
        <v>1353</v>
      </c>
      <c r="D1353" s="616">
        <v>1</v>
      </c>
      <c r="E1353" s="709" t="s">
        <v>512</v>
      </c>
      <c r="F1353" s="1572"/>
      <c r="G1353" s="519"/>
      <c r="H1353"/>
      <c r="I1353" s="4"/>
      <c r="J1353" s="1096" t="s">
        <v>0</v>
      </c>
      <c r="K1353" s="1091"/>
      <c r="L1353" s="1092"/>
      <c r="M1353" s="1092"/>
      <c r="N1353" s="1092"/>
      <c r="O1353" s="1092"/>
      <c r="P1353" s="1092"/>
      <c r="Q1353" s="1107"/>
      <c r="R1353" s="1846" t="str">
        <f>CHOOSE(2, "6722000004254", "IIS Net Sales")</f>
        <v>IIS Net Sales</v>
      </c>
      <c r="S1353" s="1201">
        <f t="shared" ref="S1353:AD1353" si="1935">S1354+S1366+S1367</f>
        <v>183</v>
      </c>
      <c r="T1353" s="1201">
        <f t="shared" si="1935"/>
        <v>125.02</v>
      </c>
      <c r="U1353" s="1201">
        <f t="shared" si="1935"/>
        <v>1731</v>
      </c>
      <c r="V1353" s="1201">
        <f t="shared" si="1935"/>
        <v>0</v>
      </c>
      <c r="W1353" s="1201">
        <f t="shared" si="1935"/>
        <v>7315</v>
      </c>
      <c r="X1353" s="1201">
        <f t="shared" si="1935"/>
        <v>1808.1</v>
      </c>
      <c r="Y1353" s="1201">
        <f t="shared" si="1935"/>
        <v>396</v>
      </c>
      <c r="Z1353" s="1201">
        <f t="shared" si="1935"/>
        <v>7.5</v>
      </c>
      <c r="AA1353" s="1201">
        <f t="shared" si="1935"/>
        <v>3890.82</v>
      </c>
      <c r="AB1353" s="1201">
        <f t="shared" si="1935"/>
        <v>989.52</v>
      </c>
      <c r="AC1353" s="1201">
        <f t="shared" si="1935"/>
        <v>1598.4059999999999</v>
      </c>
      <c r="AD1353" s="1201">
        <f t="shared" si="1935"/>
        <v>6400.1</v>
      </c>
      <c r="AE1353" s="1108">
        <f t="shared" ref="AE1353:AK1353" si="1936">AE1354+AE1366+AE1367</f>
        <v>2039.02</v>
      </c>
      <c r="AF1353" s="1108">
        <f t="shared" si="1936"/>
        <v>9123.1</v>
      </c>
      <c r="AG1353" s="1108">
        <f t="shared" si="1936"/>
        <v>4294.32</v>
      </c>
      <c r="AH1353" s="1108">
        <f t="shared" si="1936"/>
        <v>8988.0259999999998</v>
      </c>
      <c r="AI1353" s="1108">
        <f t="shared" si="1936"/>
        <v>11162.12</v>
      </c>
      <c r="AJ1353" s="1108">
        <f t="shared" si="1936"/>
        <v>13282.346</v>
      </c>
      <c r="AK1353" s="1108">
        <f t="shared" si="1936"/>
        <v>24444.466</v>
      </c>
    </row>
    <row r="1354" spans="1:37" ht="14.5">
      <c r="A1354" s="1693">
        <f t="shared" si="1920"/>
        <v>1337</v>
      </c>
      <c r="B1354" s="616">
        <v>1</v>
      </c>
      <c r="C1354" s="1693">
        <f t="shared" si="1885"/>
        <v>1354</v>
      </c>
      <c r="D1354" s="616">
        <v>1</v>
      </c>
      <c r="E1354" s="709" t="s">
        <v>512</v>
      </c>
      <c r="F1354" s="1572"/>
      <c r="G1354" s="519"/>
      <c r="H1354"/>
      <c r="I1354" s="4"/>
      <c r="J1354" s="1098"/>
      <c r="K1354" s="1116" t="s">
        <v>572</v>
      </c>
      <c r="L1354" s="1117"/>
      <c r="M1354" s="1117"/>
      <c r="N1354" s="1117"/>
      <c r="O1354" s="1117"/>
      <c r="P1354" s="1117"/>
      <c r="Q1354" s="1118"/>
      <c r="R1354" s="1848" t="str">
        <f>CHOOSE(2, "6722000004255", "IIS Net Sales MX")</f>
        <v>IIS Net Sales MX</v>
      </c>
      <c r="S1354" s="1463">
        <f t="shared" ref="S1354:AD1354" si="1937">S1355+S1365</f>
        <v>183</v>
      </c>
      <c r="T1354" s="1463">
        <f t="shared" si="1937"/>
        <v>125.02</v>
      </c>
      <c r="U1354" s="1463">
        <f t="shared" si="1937"/>
        <v>1731</v>
      </c>
      <c r="V1354" s="1463">
        <f t="shared" si="1937"/>
        <v>0</v>
      </c>
      <c r="W1354" s="1463">
        <f t="shared" si="1937"/>
        <v>7315</v>
      </c>
      <c r="X1354" s="1463">
        <f t="shared" si="1937"/>
        <v>1808.1</v>
      </c>
      <c r="Y1354" s="1463">
        <f t="shared" si="1937"/>
        <v>396</v>
      </c>
      <c r="Z1354" s="1463">
        <f t="shared" si="1937"/>
        <v>7.5</v>
      </c>
      <c r="AA1354" s="1463">
        <f t="shared" si="1937"/>
        <v>3890.82</v>
      </c>
      <c r="AB1354" s="1463">
        <f t="shared" si="1937"/>
        <v>989.52</v>
      </c>
      <c r="AC1354" s="1463">
        <f t="shared" si="1937"/>
        <v>1598.4059999999999</v>
      </c>
      <c r="AD1354" s="1463">
        <f t="shared" si="1937"/>
        <v>6400.1</v>
      </c>
      <c r="AE1354" s="1463">
        <f t="shared" ref="AE1354:AK1354" si="1938">AE1355+AE1365</f>
        <v>2039.02</v>
      </c>
      <c r="AF1354" s="1463">
        <f t="shared" si="1938"/>
        <v>9123.1</v>
      </c>
      <c r="AG1354" s="1463">
        <f t="shared" si="1938"/>
        <v>4294.32</v>
      </c>
      <c r="AH1354" s="1463">
        <f t="shared" si="1938"/>
        <v>8988.0259999999998</v>
      </c>
      <c r="AI1354" s="1463">
        <f t="shared" si="1938"/>
        <v>11162.12</v>
      </c>
      <c r="AJ1354" s="1463">
        <f t="shared" si="1938"/>
        <v>13282.346</v>
      </c>
      <c r="AK1354" s="1463">
        <f t="shared" si="1938"/>
        <v>24444.466</v>
      </c>
    </row>
    <row r="1355" spans="1:37" ht="14.5">
      <c r="A1355" s="1693">
        <f t="shared" si="1920"/>
        <v>1338</v>
      </c>
      <c r="B1355" s="616">
        <v>1</v>
      </c>
      <c r="C1355" s="1693">
        <f t="shared" si="1885"/>
        <v>1355</v>
      </c>
      <c r="D1355" s="616">
        <v>1</v>
      </c>
      <c r="E1355" s="709" t="s">
        <v>512</v>
      </c>
      <c r="F1355" s="1572"/>
      <c r="G1355" s="519"/>
      <c r="H1355"/>
      <c r="I1355" s="4"/>
      <c r="J1355" s="1098"/>
      <c r="K1355" s="1119"/>
      <c r="L1355" s="761" t="s">
        <v>571</v>
      </c>
      <c r="M1355" s="758"/>
      <c r="N1355" s="759"/>
      <c r="O1355" s="758"/>
      <c r="P1355" s="758"/>
      <c r="Q1355" s="760"/>
      <c r="R1355" s="1782" t="str">
        <f>CHOOSE(2, "6722000004256", "IIS Net Sales MX Direct")</f>
        <v>IIS Net Sales MX Direct</v>
      </c>
      <c r="S1355" s="1370">
        <f t="shared" ref="S1355:AD1355" si="1939">S1356+S1362</f>
        <v>0</v>
      </c>
      <c r="T1355" s="1370">
        <f t="shared" si="1939"/>
        <v>0</v>
      </c>
      <c r="U1355" s="1370">
        <f t="shared" si="1939"/>
        <v>0</v>
      </c>
      <c r="V1355" s="1370">
        <f t="shared" si="1939"/>
        <v>0</v>
      </c>
      <c r="W1355" s="1370">
        <f t="shared" si="1939"/>
        <v>0</v>
      </c>
      <c r="X1355" s="1370">
        <f t="shared" si="1939"/>
        <v>0</v>
      </c>
      <c r="Y1355" s="1370">
        <f t="shared" si="1939"/>
        <v>0</v>
      </c>
      <c r="Z1355" s="1370">
        <f t="shared" si="1939"/>
        <v>0</v>
      </c>
      <c r="AA1355" s="1370">
        <f t="shared" si="1939"/>
        <v>0</v>
      </c>
      <c r="AB1355" s="1370">
        <f t="shared" si="1939"/>
        <v>0</v>
      </c>
      <c r="AC1355" s="1370">
        <f t="shared" si="1939"/>
        <v>0</v>
      </c>
      <c r="AD1355" s="1370">
        <f t="shared" si="1939"/>
        <v>0</v>
      </c>
      <c r="AE1355" s="1370">
        <f t="shared" ref="AE1355:AK1355" si="1940">AE1356+AE1362</f>
        <v>0</v>
      </c>
      <c r="AF1355" s="1370">
        <f t="shared" si="1940"/>
        <v>0</v>
      </c>
      <c r="AG1355" s="1370">
        <f t="shared" si="1940"/>
        <v>0</v>
      </c>
      <c r="AH1355" s="1370">
        <f t="shared" si="1940"/>
        <v>0</v>
      </c>
      <c r="AI1355" s="1370">
        <f t="shared" si="1940"/>
        <v>0</v>
      </c>
      <c r="AJ1355" s="1370">
        <f t="shared" si="1940"/>
        <v>0</v>
      </c>
      <c r="AK1355" s="1370">
        <f t="shared" si="1940"/>
        <v>0</v>
      </c>
    </row>
    <row r="1356" spans="1:37" ht="14.5">
      <c r="A1356" s="1693">
        <f t="shared" si="1920"/>
        <v>1339</v>
      </c>
      <c r="B1356" s="616">
        <v>1</v>
      </c>
      <c r="C1356" s="1693">
        <f t="shared" si="1885"/>
        <v>1356</v>
      </c>
      <c r="D1356" s="616">
        <v>1</v>
      </c>
      <c r="E1356" s="709" t="s">
        <v>512</v>
      </c>
      <c r="F1356" s="1572"/>
      <c r="G1356" s="519"/>
      <c r="H1356"/>
      <c r="I1356" s="4"/>
      <c r="J1356" s="1098"/>
      <c r="K1356" s="1119"/>
      <c r="L1356" s="29"/>
      <c r="M1356" s="12" t="s">
        <v>573</v>
      </c>
      <c r="N1356" s="768"/>
      <c r="O1356" s="769"/>
      <c r="P1356" s="769"/>
      <c r="Q1356" s="770"/>
      <c r="R1356" s="1782" t="str">
        <f>CHOOSE(2, "6722000004257", "IIS Net Sales MX Direct Product")</f>
        <v>IIS Net Sales MX Direct Product</v>
      </c>
      <c r="S1356" s="1371">
        <f t="shared" ref="S1356:AD1356" si="1941">S1357+S1360</f>
        <v>0</v>
      </c>
      <c r="T1356" s="1371">
        <f t="shared" si="1941"/>
        <v>0</v>
      </c>
      <c r="U1356" s="1371">
        <f t="shared" si="1941"/>
        <v>0</v>
      </c>
      <c r="V1356" s="1371">
        <f t="shared" si="1941"/>
        <v>0</v>
      </c>
      <c r="W1356" s="1371">
        <f t="shared" si="1941"/>
        <v>0</v>
      </c>
      <c r="X1356" s="1371">
        <f t="shared" si="1941"/>
        <v>0</v>
      </c>
      <c r="Y1356" s="1371">
        <f t="shared" si="1941"/>
        <v>0</v>
      </c>
      <c r="Z1356" s="1371">
        <f t="shared" si="1941"/>
        <v>0</v>
      </c>
      <c r="AA1356" s="1371">
        <f t="shared" si="1941"/>
        <v>0</v>
      </c>
      <c r="AB1356" s="1371">
        <f t="shared" si="1941"/>
        <v>0</v>
      </c>
      <c r="AC1356" s="1371">
        <f t="shared" si="1941"/>
        <v>0</v>
      </c>
      <c r="AD1356" s="1371">
        <f t="shared" si="1941"/>
        <v>0</v>
      </c>
      <c r="AE1356" s="1371">
        <f t="shared" ref="AE1356:AK1356" si="1942">AE1357+AE1360</f>
        <v>0</v>
      </c>
      <c r="AF1356" s="1371">
        <f t="shared" si="1942"/>
        <v>0</v>
      </c>
      <c r="AG1356" s="1371">
        <f t="shared" si="1942"/>
        <v>0</v>
      </c>
      <c r="AH1356" s="1371">
        <f t="shared" si="1942"/>
        <v>0</v>
      </c>
      <c r="AI1356" s="1371">
        <f t="shared" si="1942"/>
        <v>0</v>
      </c>
      <c r="AJ1356" s="1371">
        <f t="shared" si="1942"/>
        <v>0</v>
      </c>
      <c r="AK1356" s="1371">
        <f t="shared" si="1942"/>
        <v>0</v>
      </c>
    </row>
    <row r="1357" spans="1:37" ht="14.5">
      <c r="A1357" s="1693">
        <f t="shared" si="1920"/>
        <v>1340</v>
      </c>
      <c r="B1357" s="616">
        <v>1</v>
      </c>
      <c r="C1357" s="1693">
        <f t="shared" si="1885"/>
        <v>1357</v>
      </c>
      <c r="D1357" s="616">
        <v>1</v>
      </c>
      <c r="E1357" s="709" t="s">
        <v>512</v>
      </c>
      <c r="F1357" s="1572"/>
      <c r="G1357" s="519"/>
      <c r="H1357"/>
      <c r="I1357" s="4"/>
      <c r="J1357" s="1098"/>
      <c r="K1357" s="1119"/>
      <c r="L1357" s="762"/>
      <c r="M1357" s="28"/>
      <c r="N1357" s="12" t="s">
        <v>183</v>
      </c>
      <c r="O1357" s="12"/>
      <c r="P1357" s="12"/>
      <c r="Q1357" s="754"/>
      <c r="R1357" s="1782" t="str">
        <f>CHOOSE(2, "6722000004258", "IIS Net Sales MX Direct Product HW")</f>
        <v>IIS Net Sales MX Direct Product HW</v>
      </c>
      <c r="S1357" s="1372">
        <f>SUM(S1358:S1359)</f>
        <v>0</v>
      </c>
      <c r="T1357" s="1372">
        <f t="shared" ref="T1357:AD1357" si="1943">SUM(T1358:T1359)</f>
        <v>0</v>
      </c>
      <c r="U1357" s="1372">
        <f t="shared" si="1943"/>
        <v>0</v>
      </c>
      <c r="V1357" s="1372">
        <f t="shared" si="1943"/>
        <v>0</v>
      </c>
      <c r="W1357" s="1372">
        <f t="shared" si="1943"/>
        <v>0</v>
      </c>
      <c r="X1357" s="1372">
        <f t="shared" si="1943"/>
        <v>0</v>
      </c>
      <c r="Y1357" s="1372">
        <f t="shared" si="1943"/>
        <v>0</v>
      </c>
      <c r="Z1357" s="1372">
        <f t="shared" si="1943"/>
        <v>0</v>
      </c>
      <c r="AA1357" s="1372">
        <f t="shared" si="1943"/>
        <v>0</v>
      </c>
      <c r="AB1357" s="1372">
        <f t="shared" si="1943"/>
        <v>0</v>
      </c>
      <c r="AC1357" s="1372">
        <f t="shared" si="1943"/>
        <v>0</v>
      </c>
      <c r="AD1357" s="1372">
        <f t="shared" si="1943"/>
        <v>0</v>
      </c>
      <c r="AE1357" s="1372">
        <f t="shared" ref="AE1357:AK1357" si="1944">SUM(AE1358:AE1359)</f>
        <v>0</v>
      </c>
      <c r="AF1357" s="1372">
        <f t="shared" si="1944"/>
        <v>0</v>
      </c>
      <c r="AG1357" s="1372">
        <f t="shared" si="1944"/>
        <v>0</v>
      </c>
      <c r="AH1357" s="1372">
        <f t="shared" si="1944"/>
        <v>0</v>
      </c>
      <c r="AI1357" s="1372">
        <f t="shared" si="1944"/>
        <v>0</v>
      </c>
      <c r="AJ1357" s="1372">
        <f t="shared" si="1944"/>
        <v>0</v>
      </c>
      <c r="AK1357" s="1372">
        <f t="shared" si="1944"/>
        <v>0</v>
      </c>
    </row>
    <row r="1358" spans="1:37" ht="14.5">
      <c r="A1358" s="1693">
        <f t="shared" si="1920"/>
        <v>1341</v>
      </c>
      <c r="B1358" s="616">
        <v>1</v>
      </c>
      <c r="C1358" s="1693">
        <f t="shared" si="1885"/>
        <v>1358</v>
      </c>
      <c r="D1358" s="616">
        <v>1</v>
      </c>
      <c r="E1358" s="709" t="s">
        <v>512</v>
      </c>
      <c r="F1358" s="1069"/>
      <c r="G1358" s="519"/>
      <c r="H1358"/>
      <c r="I1358" s="4"/>
      <c r="J1358" s="1098"/>
      <c r="K1358" s="1119"/>
      <c r="L1358" s="762"/>
      <c r="M1358" s="28"/>
      <c r="N1358" s="28"/>
      <c r="O1358" s="28" t="s">
        <v>574</v>
      </c>
      <c r="P1358" s="12"/>
      <c r="Q1358" s="754"/>
      <c r="R1358" s="1779" t="str">
        <f>CHOOSE(2, "6722000004259", "IIS Net Sales MX Direct Product HW Camera Device")</f>
        <v>IIS Net Sales MX Direct Product HW Camera Device</v>
      </c>
      <c r="S1358" s="1373"/>
      <c r="T1358" s="1373"/>
      <c r="U1358" s="1373"/>
      <c r="V1358" s="1373"/>
      <c r="W1358" s="1373"/>
      <c r="X1358" s="1373"/>
      <c r="Y1358" s="1373"/>
      <c r="Z1358" s="1373"/>
      <c r="AA1358" s="1373"/>
      <c r="AB1358" s="1373"/>
      <c r="AC1358" s="1373"/>
      <c r="AD1358" s="1373"/>
      <c r="AE1358" s="1372">
        <f>SUM(S1358,T1358,U1358)</f>
        <v>0</v>
      </c>
      <c r="AF1358" s="1372">
        <f>SUM(V1358,W1358,X1358)</f>
        <v>0</v>
      </c>
      <c r="AG1358" s="1372">
        <f>SUM(Y1358,Z1358,AA1358)</f>
        <v>0</v>
      </c>
      <c r="AH1358" s="1372">
        <f>SUM(AB1358,AC1358,AD1358)</f>
        <v>0</v>
      </c>
      <c r="AI1358" s="1372">
        <f>AE1358+AF1358</f>
        <v>0</v>
      </c>
      <c r="AJ1358" s="1372">
        <f>AH1358+AG1358</f>
        <v>0</v>
      </c>
      <c r="AK1358" s="1372">
        <f>AI1358+AJ1358</f>
        <v>0</v>
      </c>
    </row>
    <row r="1359" spans="1:37" ht="14.5">
      <c r="A1359" s="1693">
        <f t="shared" si="1920"/>
        <v>1342</v>
      </c>
      <c r="B1359" s="616">
        <v>1</v>
      </c>
      <c r="C1359" s="1693">
        <f t="shared" ref="C1359:C1422" si="1945">C1358+1</f>
        <v>1359</v>
      </c>
      <c r="D1359" s="616">
        <v>1</v>
      </c>
      <c r="E1359" s="709" t="s">
        <v>512</v>
      </c>
      <c r="F1359" s="1069"/>
      <c r="G1359" s="519"/>
      <c r="H1359"/>
      <c r="I1359" s="4"/>
      <c r="J1359" s="1098"/>
      <c r="K1359" s="1119"/>
      <c r="L1359" s="762"/>
      <c r="M1359" s="28"/>
      <c r="N1359" s="765"/>
      <c r="O1359" s="765" t="s">
        <v>233</v>
      </c>
      <c r="P1359" s="766"/>
      <c r="Q1359" s="767"/>
      <c r="R1359" s="1779" t="str">
        <f>CHOOSE(2, "6722000004260", "IIS Net Sales MX Direct Product HW Others")</f>
        <v>IIS Net Sales MX Direct Product HW Others</v>
      </c>
      <c r="S1359" s="1374"/>
      <c r="T1359" s="1374"/>
      <c r="U1359" s="1374"/>
      <c r="V1359" s="1374"/>
      <c r="W1359" s="1374"/>
      <c r="X1359" s="1374"/>
      <c r="Y1359" s="1374"/>
      <c r="Z1359" s="1374"/>
      <c r="AA1359" s="1374"/>
      <c r="AB1359" s="1374"/>
      <c r="AC1359" s="1374"/>
      <c r="AD1359" s="1374"/>
      <c r="AE1359" s="771">
        <f>SUM(S1359,T1359,U1359)</f>
        <v>0</v>
      </c>
      <c r="AF1359" s="771">
        <f>SUM(V1359,W1359,X1359)</f>
        <v>0</v>
      </c>
      <c r="AG1359" s="771">
        <f>SUM(Y1359,Z1359,AA1359)</f>
        <v>0</v>
      </c>
      <c r="AH1359" s="771">
        <f>SUM(AB1359,AC1359,AD1359)</f>
        <v>0</v>
      </c>
      <c r="AI1359" s="771">
        <f>AE1359+AF1359</f>
        <v>0</v>
      </c>
      <c r="AJ1359" s="771">
        <f>AH1359+AG1359</f>
        <v>0</v>
      </c>
      <c r="AK1359" s="771">
        <f>AI1359+AJ1359</f>
        <v>0</v>
      </c>
    </row>
    <row r="1360" spans="1:37" ht="14.5">
      <c r="A1360" s="1693">
        <f t="shared" si="1920"/>
        <v>1343</v>
      </c>
      <c r="B1360" s="616">
        <v>1</v>
      </c>
      <c r="C1360" s="1693">
        <f t="shared" si="1945"/>
        <v>1360</v>
      </c>
      <c r="D1360" s="616">
        <v>1</v>
      </c>
      <c r="E1360" s="709" t="s">
        <v>512</v>
      </c>
      <c r="F1360" s="1572"/>
      <c r="G1360" s="519"/>
      <c r="H1360"/>
      <c r="I1360" s="4"/>
      <c r="J1360" s="1098"/>
      <c r="K1360" s="1119"/>
      <c r="L1360" s="762"/>
      <c r="M1360" s="28"/>
      <c r="N1360" s="12" t="s">
        <v>189</v>
      </c>
      <c r="O1360" s="12"/>
      <c r="P1360" s="12"/>
      <c r="Q1360" s="754"/>
      <c r="R1360" s="1782" t="str">
        <f>CHOOSE(2, "6722000004261", "IIS Net Sales MX Direct Product NH")</f>
        <v>IIS Net Sales MX Direct Product NH</v>
      </c>
      <c r="S1360" s="1372">
        <f t="shared" ref="S1360:AD1360" si="1946">S1361</f>
        <v>0</v>
      </c>
      <c r="T1360" s="1372">
        <f t="shared" si="1946"/>
        <v>0</v>
      </c>
      <c r="U1360" s="1372">
        <f t="shared" si="1946"/>
        <v>0</v>
      </c>
      <c r="V1360" s="1372">
        <f t="shared" si="1946"/>
        <v>0</v>
      </c>
      <c r="W1360" s="1372">
        <f t="shared" si="1946"/>
        <v>0</v>
      </c>
      <c r="X1360" s="1372">
        <f t="shared" si="1946"/>
        <v>0</v>
      </c>
      <c r="Y1360" s="1372">
        <f t="shared" si="1946"/>
        <v>0</v>
      </c>
      <c r="Z1360" s="1372">
        <f t="shared" si="1946"/>
        <v>0</v>
      </c>
      <c r="AA1360" s="1372">
        <f t="shared" si="1946"/>
        <v>0</v>
      </c>
      <c r="AB1360" s="1372">
        <f t="shared" si="1946"/>
        <v>0</v>
      </c>
      <c r="AC1360" s="1372">
        <f t="shared" si="1946"/>
        <v>0</v>
      </c>
      <c r="AD1360" s="1372">
        <f t="shared" si="1946"/>
        <v>0</v>
      </c>
      <c r="AE1360" s="1372">
        <f t="shared" ref="AE1360:AK1360" si="1947">AE1361</f>
        <v>0</v>
      </c>
      <c r="AF1360" s="1372">
        <f t="shared" si="1947"/>
        <v>0</v>
      </c>
      <c r="AG1360" s="1372">
        <f t="shared" si="1947"/>
        <v>0</v>
      </c>
      <c r="AH1360" s="1372">
        <f t="shared" si="1947"/>
        <v>0</v>
      </c>
      <c r="AI1360" s="1372">
        <f t="shared" si="1947"/>
        <v>0</v>
      </c>
      <c r="AJ1360" s="1372">
        <f t="shared" si="1947"/>
        <v>0</v>
      </c>
      <c r="AK1360" s="1372">
        <f t="shared" si="1947"/>
        <v>0</v>
      </c>
    </row>
    <row r="1361" spans="1:37" ht="14.5">
      <c r="A1361" s="1693">
        <f t="shared" si="1920"/>
        <v>1344</v>
      </c>
      <c r="B1361" s="616">
        <v>1</v>
      </c>
      <c r="C1361" s="1693">
        <f t="shared" si="1945"/>
        <v>1361</v>
      </c>
      <c r="D1361" s="616">
        <v>1</v>
      </c>
      <c r="E1361" s="709" t="s">
        <v>512</v>
      </c>
      <c r="F1361" s="1069"/>
      <c r="G1361" s="519"/>
      <c r="H1361"/>
      <c r="I1361" s="4"/>
      <c r="J1361" s="1098"/>
      <c r="K1361" s="1119"/>
      <c r="L1361" s="762"/>
      <c r="M1361" s="765"/>
      <c r="N1361" s="765"/>
      <c r="O1361" s="765" t="s">
        <v>575</v>
      </c>
      <c r="P1361" s="766"/>
      <c r="Q1361" s="767"/>
      <c r="R1361" s="1779" t="str">
        <f>CHOOSE(2, "6722000004262", "IIS Net Sales MX Direct Product NH SW/Apps")</f>
        <v>IIS Net Sales MX Direct Product NH SW/Apps</v>
      </c>
      <c r="S1361" s="1374"/>
      <c r="T1361" s="1374"/>
      <c r="U1361" s="1374"/>
      <c r="V1361" s="1374"/>
      <c r="W1361" s="1374"/>
      <c r="X1361" s="1374"/>
      <c r="Y1361" s="1374"/>
      <c r="Z1361" s="1374"/>
      <c r="AA1361" s="1374"/>
      <c r="AB1361" s="1374"/>
      <c r="AC1361" s="1374"/>
      <c r="AD1361" s="1374"/>
      <c r="AE1361" s="771">
        <f>SUM(S1361,T1361,U1361)</f>
        <v>0</v>
      </c>
      <c r="AF1361" s="771">
        <f>SUM(V1361,W1361,X1361)</f>
        <v>0</v>
      </c>
      <c r="AG1361" s="771">
        <f>SUM(Y1361,Z1361,AA1361)</f>
        <v>0</v>
      </c>
      <c r="AH1361" s="771">
        <f>SUM(AB1361,AC1361,AD1361)</f>
        <v>0</v>
      </c>
      <c r="AI1361" s="771">
        <f>AE1361+AF1361</f>
        <v>0</v>
      </c>
      <c r="AJ1361" s="771">
        <f>AH1361+AG1361</f>
        <v>0</v>
      </c>
      <c r="AK1361" s="771">
        <f>AI1361+AJ1361</f>
        <v>0</v>
      </c>
    </row>
    <row r="1362" spans="1:37" ht="14.5">
      <c r="A1362" s="1693">
        <f t="shared" si="1920"/>
        <v>1345</v>
      </c>
      <c r="B1362" s="616">
        <v>1</v>
      </c>
      <c r="C1362" s="1693">
        <f t="shared" si="1945"/>
        <v>1362</v>
      </c>
      <c r="D1362" s="616">
        <v>1</v>
      </c>
      <c r="E1362" s="709" t="s">
        <v>512</v>
      </c>
      <c r="F1362" s="1572"/>
      <c r="G1362" s="519"/>
      <c r="H1362"/>
      <c r="I1362" s="4"/>
      <c r="J1362" s="1098"/>
      <c r="K1362" s="1119"/>
      <c r="L1362" s="762"/>
      <c r="M1362" s="12" t="s">
        <v>576</v>
      </c>
      <c r="N1362" s="28"/>
      <c r="O1362" s="12"/>
      <c r="P1362" s="12"/>
      <c r="Q1362" s="754"/>
      <c r="R1362" s="1782" t="str">
        <f>CHOOSE(2, "6722000004263", "IIS Net Sales MX Direct Service")</f>
        <v>IIS Net Sales MX Direct Service</v>
      </c>
      <c r="S1362" s="1372">
        <f>SUM(S1363:S1364)</f>
        <v>0</v>
      </c>
      <c r="T1362" s="1372">
        <f t="shared" ref="T1362:AD1362" si="1948">SUM(T1363:T1364)</f>
        <v>0</v>
      </c>
      <c r="U1362" s="1372">
        <f t="shared" si="1948"/>
        <v>0</v>
      </c>
      <c r="V1362" s="1372">
        <f t="shared" si="1948"/>
        <v>0</v>
      </c>
      <c r="W1362" s="1372">
        <f t="shared" si="1948"/>
        <v>0</v>
      </c>
      <c r="X1362" s="1372">
        <f t="shared" si="1948"/>
        <v>0</v>
      </c>
      <c r="Y1362" s="1372">
        <f t="shared" si="1948"/>
        <v>0</v>
      </c>
      <c r="Z1362" s="1372">
        <f t="shared" si="1948"/>
        <v>0</v>
      </c>
      <c r="AA1362" s="1372">
        <f t="shared" si="1948"/>
        <v>0</v>
      </c>
      <c r="AB1362" s="1372">
        <f t="shared" si="1948"/>
        <v>0</v>
      </c>
      <c r="AC1362" s="1372">
        <f t="shared" si="1948"/>
        <v>0</v>
      </c>
      <c r="AD1362" s="1372">
        <f t="shared" si="1948"/>
        <v>0</v>
      </c>
      <c r="AE1362" s="1372">
        <f t="shared" ref="AE1362:AK1362" si="1949">SUM(AE1363:AE1364)</f>
        <v>0</v>
      </c>
      <c r="AF1362" s="1372">
        <f t="shared" si="1949"/>
        <v>0</v>
      </c>
      <c r="AG1362" s="1372">
        <f t="shared" si="1949"/>
        <v>0</v>
      </c>
      <c r="AH1362" s="1372">
        <f t="shared" si="1949"/>
        <v>0</v>
      </c>
      <c r="AI1362" s="1372">
        <f t="shared" si="1949"/>
        <v>0</v>
      </c>
      <c r="AJ1362" s="1372">
        <f t="shared" si="1949"/>
        <v>0</v>
      </c>
      <c r="AK1362" s="1372">
        <f t="shared" si="1949"/>
        <v>0</v>
      </c>
    </row>
    <row r="1363" spans="1:37" ht="14.5">
      <c r="A1363" s="1693">
        <f t="shared" si="1920"/>
        <v>1346</v>
      </c>
      <c r="B1363" s="616">
        <v>1</v>
      </c>
      <c r="C1363" s="1693">
        <f t="shared" si="1945"/>
        <v>1363</v>
      </c>
      <c r="D1363" s="616">
        <v>1</v>
      </c>
      <c r="E1363" s="709" t="s">
        <v>512</v>
      </c>
      <c r="F1363" s="1069"/>
      <c r="G1363" s="519"/>
      <c r="H1363"/>
      <c r="I1363" s="4"/>
      <c r="J1363" s="1098"/>
      <c r="K1363" s="1119"/>
      <c r="L1363" s="762"/>
      <c r="M1363" s="28"/>
      <c r="N1363" s="28" t="s">
        <v>577</v>
      </c>
      <c r="O1363" s="12"/>
      <c r="P1363" s="12"/>
      <c r="Q1363" s="754"/>
      <c r="R1363" s="1779" t="str">
        <f>CHOOSE(2, "6722000004264", "IIS Net Sales MX Direct Service Onetime")</f>
        <v>IIS Net Sales MX Direct Service Onetime</v>
      </c>
      <c r="S1363" s="1373"/>
      <c r="T1363" s="1373"/>
      <c r="U1363" s="1373"/>
      <c r="V1363" s="1373"/>
      <c r="W1363" s="1373"/>
      <c r="X1363" s="1373"/>
      <c r="Y1363" s="1373"/>
      <c r="Z1363" s="1373"/>
      <c r="AA1363" s="1373"/>
      <c r="AB1363" s="1373"/>
      <c r="AC1363" s="1373"/>
      <c r="AD1363" s="1373"/>
      <c r="AE1363" s="1372">
        <f>SUM(S1363,T1363,U1363)</f>
        <v>0</v>
      </c>
      <c r="AF1363" s="1372">
        <f>SUM(V1363,W1363,X1363)</f>
        <v>0</v>
      </c>
      <c r="AG1363" s="1372">
        <f>SUM(Y1363,Z1363,AA1363)</f>
        <v>0</v>
      </c>
      <c r="AH1363" s="1372">
        <f>SUM(AB1363,AC1363,AD1363)</f>
        <v>0</v>
      </c>
      <c r="AI1363" s="1372">
        <f>AE1363+AF1363</f>
        <v>0</v>
      </c>
      <c r="AJ1363" s="1372">
        <f>AH1363+AG1363</f>
        <v>0</v>
      </c>
      <c r="AK1363" s="1372">
        <f>AI1363+AJ1363</f>
        <v>0</v>
      </c>
    </row>
    <row r="1364" spans="1:37" ht="14.5">
      <c r="A1364" s="1693">
        <f t="shared" si="1920"/>
        <v>1347</v>
      </c>
      <c r="B1364" s="616">
        <v>1</v>
      </c>
      <c r="C1364" s="1693">
        <f t="shared" si="1945"/>
        <v>1364</v>
      </c>
      <c r="D1364" s="616">
        <v>1</v>
      </c>
      <c r="E1364" s="709" t="s">
        <v>512</v>
      </c>
      <c r="F1364" s="1069"/>
      <c r="G1364" s="519"/>
      <c r="H1364"/>
      <c r="I1364" s="4"/>
      <c r="J1364" s="1098"/>
      <c r="K1364" s="1119"/>
      <c r="L1364" s="763"/>
      <c r="M1364" s="757"/>
      <c r="N1364" s="757" t="s">
        <v>578</v>
      </c>
      <c r="O1364" s="755"/>
      <c r="P1364" s="755"/>
      <c r="Q1364" s="756"/>
      <c r="R1364" s="1779" t="str">
        <f>CHOOSE(2, "6722000004265", "IIS Net Sales MX Direct Service Recurring")</f>
        <v>IIS Net Sales MX Direct Service Recurring</v>
      </c>
      <c r="S1364" s="1375"/>
      <c r="T1364" s="1375"/>
      <c r="U1364" s="1375"/>
      <c r="V1364" s="1375"/>
      <c r="W1364" s="1375"/>
      <c r="X1364" s="1375"/>
      <c r="Y1364" s="1375"/>
      <c r="Z1364" s="1375"/>
      <c r="AA1364" s="1375"/>
      <c r="AB1364" s="1375"/>
      <c r="AC1364" s="1375"/>
      <c r="AD1364" s="1375"/>
      <c r="AE1364" s="772">
        <f>SUM(S1364,T1364,U1364)</f>
        <v>0</v>
      </c>
      <c r="AF1364" s="772">
        <f>SUM(V1364,W1364,X1364)</f>
        <v>0</v>
      </c>
      <c r="AG1364" s="772">
        <f>SUM(Y1364,Z1364,AA1364)</f>
        <v>0</v>
      </c>
      <c r="AH1364" s="772">
        <f>SUM(AB1364,AC1364,AD1364)</f>
        <v>0</v>
      </c>
      <c r="AI1364" s="772">
        <f>AE1364+AF1364</f>
        <v>0</v>
      </c>
      <c r="AJ1364" s="772">
        <f>AH1364+AG1364</f>
        <v>0</v>
      </c>
      <c r="AK1364" s="772">
        <f>AI1364+AJ1364</f>
        <v>0</v>
      </c>
    </row>
    <row r="1365" spans="1:37" ht="14.5">
      <c r="A1365" s="1693">
        <f t="shared" si="1920"/>
        <v>1348</v>
      </c>
      <c r="B1365" s="616">
        <v>1</v>
      </c>
      <c r="C1365" s="1693">
        <f t="shared" si="1945"/>
        <v>1365</v>
      </c>
      <c r="D1365" s="616">
        <v>1</v>
      </c>
      <c r="E1365" s="709" t="s">
        <v>512</v>
      </c>
      <c r="F1365" s="1572"/>
      <c r="G1365" s="519"/>
      <c r="H1365"/>
      <c r="I1365" s="4"/>
      <c r="J1365" s="1098"/>
      <c r="K1365" s="1120"/>
      <c r="L1365" s="342" t="s">
        <v>579</v>
      </c>
      <c r="M1365" s="343"/>
      <c r="N1365" s="343"/>
      <c r="O1365" s="344"/>
      <c r="P1365" s="344"/>
      <c r="Q1365" s="764"/>
      <c r="R1365" s="1779" t="str">
        <f>CHOOSE(2, "6722000004266", "IIS Net Sales MX Indirect")</f>
        <v>IIS Net Sales MX Indirect</v>
      </c>
      <c r="S1365" s="1376">
        <v>183</v>
      </c>
      <c r="T1365" s="1376">
        <v>125.02</v>
      </c>
      <c r="U1365" s="1376">
        <v>1731</v>
      </c>
      <c r="V1365" s="1376"/>
      <c r="W1365" s="1376">
        <v>7315</v>
      </c>
      <c r="X1365" s="1376">
        <v>1808.1</v>
      </c>
      <c r="Y1365" s="1376">
        <v>396</v>
      </c>
      <c r="Z1365" s="1376">
        <v>7.5</v>
      </c>
      <c r="AA1365" s="1376">
        <v>3890.82</v>
      </c>
      <c r="AB1365" s="1376">
        <v>989.52</v>
      </c>
      <c r="AC1365" s="1376">
        <v>1598.4059999999999</v>
      </c>
      <c r="AD1365" s="1376">
        <v>6400.1</v>
      </c>
      <c r="AE1365" s="773">
        <f>SUM(S1365,T1365,U1365)</f>
        <v>2039.02</v>
      </c>
      <c r="AF1365" s="773">
        <f>SUM(V1365,W1365,X1365)</f>
        <v>9123.1</v>
      </c>
      <c r="AG1365" s="773">
        <f>SUM(Y1365,Z1365,AA1365)</f>
        <v>4294.32</v>
      </c>
      <c r="AH1365" s="773">
        <f>SUM(AB1365,AC1365,AD1365)</f>
        <v>8988.0259999999998</v>
      </c>
      <c r="AI1365" s="773">
        <f>AE1365+AF1365</f>
        <v>11162.12</v>
      </c>
      <c r="AJ1365" s="773">
        <f>AH1365+AG1365</f>
        <v>13282.346</v>
      </c>
      <c r="AK1365" s="773">
        <f>AI1365+AJ1365</f>
        <v>24444.466</v>
      </c>
    </row>
    <row r="1366" spans="1:37" ht="14.5">
      <c r="A1366" s="1693">
        <f t="shared" si="1920"/>
        <v>1349</v>
      </c>
      <c r="B1366" s="616">
        <v>1</v>
      </c>
      <c r="C1366" s="1693">
        <f t="shared" si="1945"/>
        <v>1366</v>
      </c>
      <c r="D1366" s="616">
        <v>1</v>
      </c>
      <c r="E1366" s="709" t="s">
        <v>512</v>
      </c>
      <c r="F1366" s="1572"/>
      <c r="G1366" s="519"/>
      <c r="H1366"/>
      <c r="I1366" s="4"/>
      <c r="J1366" s="1098"/>
      <c r="K1366" s="1121" t="s">
        <v>580</v>
      </c>
      <c r="L1366" s="1120"/>
      <c r="M1366" s="1120"/>
      <c r="N1366" s="1120"/>
      <c r="O1366" s="1117"/>
      <c r="P1366" s="1117"/>
      <c r="Q1366" s="1118"/>
      <c r="R1366" s="1848" t="str">
        <f>CHOOSE(2, "6722000004267", "IIS Net Sales DM")</f>
        <v>IIS Net Sales DM</v>
      </c>
      <c r="S1366" s="1463">
        <v>0</v>
      </c>
      <c r="T1366" s="1463">
        <v>0</v>
      </c>
      <c r="U1366" s="1463">
        <v>0</v>
      </c>
      <c r="V1366" s="1463">
        <v>0</v>
      </c>
      <c r="W1366" s="1463">
        <v>0</v>
      </c>
      <c r="X1366" s="1463">
        <v>0</v>
      </c>
      <c r="Y1366" s="1463">
        <v>0</v>
      </c>
      <c r="Z1366" s="1463">
        <v>0</v>
      </c>
      <c r="AA1366" s="1463">
        <v>0</v>
      </c>
      <c r="AB1366" s="1463">
        <v>0</v>
      </c>
      <c r="AC1366" s="1463">
        <v>0</v>
      </c>
      <c r="AD1366" s="1463">
        <v>0</v>
      </c>
      <c r="AE1366" s="1463">
        <f>SUM(S1366,T1366,U1366)</f>
        <v>0</v>
      </c>
      <c r="AF1366" s="1463">
        <f>SUM(V1366,W1366,X1366)</f>
        <v>0</v>
      </c>
      <c r="AG1366" s="1463">
        <f>SUM(Y1366,Z1366,AA1366)</f>
        <v>0</v>
      </c>
      <c r="AH1366" s="1463">
        <f>SUM(AB1366,AC1366,AD1366)</f>
        <v>0</v>
      </c>
      <c r="AI1366" s="1463">
        <f>AE1366+AF1366</f>
        <v>0</v>
      </c>
      <c r="AJ1366" s="1463">
        <f>AH1366+AG1366</f>
        <v>0</v>
      </c>
      <c r="AK1366" s="1463">
        <f>AI1366+AJ1366</f>
        <v>0</v>
      </c>
    </row>
    <row r="1367" spans="1:37" ht="14.5">
      <c r="A1367" s="1693">
        <f t="shared" si="1920"/>
        <v>1350</v>
      </c>
      <c r="B1367" s="616">
        <v>1</v>
      </c>
      <c r="C1367" s="1693">
        <f t="shared" si="1945"/>
        <v>1367</v>
      </c>
      <c r="D1367" s="616">
        <v>1</v>
      </c>
      <c r="E1367" s="709" t="s">
        <v>512</v>
      </c>
      <c r="F1367" s="1572"/>
      <c r="G1367" s="519"/>
      <c r="H1367"/>
      <c r="I1367" s="4"/>
      <c r="J1367" s="1098"/>
      <c r="K1367" s="1116" t="s">
        <v>581</v>
      </c>
      <c r="L1367" s="1119"/>
      <c r="M1367" s="1119"/>
      <c r="N1367" s="1119"/>
      <c r="O1367" s="1116"/>
      <c r="P1367" s="1116"/>
      <c r="Q1367" s="1122"/>
      <c r="R1367" s="1848" t="str">
        <f>CHOOSE(2, "6722000004268", "IIS Net Sales Gas")</f>
        <v>IIS Net Sales Gas</v>
      </c>
      <c r="S1367" s="1464">
        <v>0</v>
      </c>
      <c r="T1367" s="1464">
        <v>0</v>
      </c>
      <c r="U1367" s="1464">
        <v>0</v>
      </c>
      <c r="V1367" s="1464">
        <v>0</v>
      </c>
      <c r="W1367" s="1464">
        <v>0</v>
      </c>
      <c r="X1367" s="1464">
        <v>0</v>
      </c>
      <c r="Y1367" s="1464">
        <v>0</v>
      </c>
      <c r="Z1367" s="1464">
        <v>0</v>
      </c>
      <c r="AA1367" s="1464">
        <v>0</v>
      </c>
      <c r="AB1367" s="1464">
        <v>0</v>
      </c>
      <c r="AC1367" s="1464">
        <v>0</v>
      </c>
      <c r="AD1367" s="1464">
        <v>0</v>
      </c>
      <c r="AE1367" s="1464">
        <f>SUM(S1367,T1367,U1367)</f>
        <v>0</v>
      </c>
      <c r="AF1367" s="1464">
        <f>SUM(V1367,W1367,X1367)</f>
        <v>0</v>
      </c>
      <c r="AG1367" s="1464">
        <f>SUM(Y1367,Z1367,AA1367)</f>
        <v>0</v>
      </c>
      <c r="AH1367" s="1464">
        <f>SUM(AB1367,AC1367,AD1367)</f>
        <v>0</v>
      </c>
      <c r="AI1367" s="1464">
        <f>AE1367+AF1367</f>
        <v>0</v>
      </c>
      <c r="AJ1367" s="1464">
        <f>AH1367+AG1367</f>
        <v>0</v>
      </c>
      <c r="AK1367" s="1464">
        <f>AI1367+AJ1367</f>
        <v>0</v>
      </c>
    </row>
    <row r="1368" spans="1:37" ht="14.5">
      <c r="A1368" s="1693">
        <f t="shared" si="1920"/>
        <v>1351</v>
      </c>
      <c r="B1368" s="616">
        <v>1</v>
      </c>
      <c r="C1368" s="1693">
        <f t="shared" si="1945"/>
        <v>1368</v>
      </c>
      <c r="D1368" s="616">
        <v>1</v>
      </c>
      <c r="E1368" s="709" t="s">
        <v>512</v>
      </c>
      <c r="F1368" s="1572"/>
      <c r="G1368" s="519"/>
      <c r="H1368"/>
      <c r="I1368" s="4"/>
      <c r="J1368" s="1096" t="s">
        <v>369</v>
      </c>
      <c r="K1368" s="1091"/>
      <c r="L1368" s="1092"/>
      <c r="M1368" s="1092"/>
      <c r="N1368" s="1097"/>
      <c r="O1368" s="1097" t="s">
        <v>791</v>
      </c>
      <c r="P1368" s="1092"/>
      <c r="Q1368" s="1107"/>
      <c r="R1368" s="1846" t="str">
        <f>CHOOSE(2, "6722000004269", "IIS Consolidated Sales")</f>
        <v>IIS Consolidated Sales</v>
      </c>
      <c r="S1368" s="1201">
        <f t="shared" ref="S1368:AD1368" si="1950">S1369+S1381+S1382</f>
        <v>183</v>
      </c>
      <c r="T1368" s="1201">
        <f t="shared" si="1950"/>
        <v>125.02</v>
      </c>
      <c r="U1368" s="1201">
        <f t="shared" si="1950"/>
        <v>1731</v>
      </c>
      <c r="V1368" s="1201">
        <f t="shared" si="1950"/>
        <v>0</v>
      </c>
      <c r="W1368" s="1201">
        <f t="shared" si="1950"/>
        <v>7315</v>
      </c>
      <c r="X1368" s="1201">
        <f t="shared" si="1950"/>
        <v>1808.1</v>
      </c>
      <c r="Y1368" s="1201">
        <f t="shared" si="1950"/>
        <v>396</v>
      </c>
      <c r="Z1368" s="1201">
        <f t="shared" si="1950"/>
        <v>8</v>
      </c>
      <c r="AA1368" s="1201">
        <f t="shared" si="1950"/>
        <v>3890.82</v>
      </c>
      <c r="AB1368" s="1201">
        <f t="shared" si="1950"/>
        <v>989.52</v>
      </c>
      <c r="AC1368" s="1201">
        <f t="shared" si="1950"/>
        <v>1598.4059999999999</v>
      </c>
      <c r="AD1368" s="1201">
        <f t="shared" si="1950"/>
        <v>6400.1</v>
      </c>
      <c r="AE1368" s="1108">
        <f t="shared" ref="AE1368:AK1368" si="1951">AE1369+AE1381+AE1382</f>
        <v>2039.02</v>
      </c>
      <c r="AF1368" s="1108">
        <f t="shared" si="1951"/>
        <v>9123.1</v>
      </c>
      <c r="AG1368" s="1108">
        <f t="shared" si="1951"/>
        <v>4294.82</v>
      </c>
      <c r="AH1368" s="1108">
        <f t="shared" si="1951"/>
        <v>8988.0259999999998</v>
      </c>
      <c r="AI1368" s="1108">
        <f t="shared" si="1951"/>
        <v>11162.12</v>
      </c>
      <c r="AJ1368" s="1108">
        <f t="shared" si="1951"/>
        <v>13282.846</v>
      </c>
      <c r="AK1368" s="1108">
        <f t="shared" si="1951"/>
        <v>24444.966</v>
      </c>
    </row>
    <row r="1369" spans="1:37" ht="14.5">
      <c r="A1369" s="1693">
        <f t="shared" si="1920"/>
        <v>1352</v>
      </c>
      <c r="B1369" s="616">
        <v>1</v>
      </c>
      <c r="C1369" s="1693">
        <f t="shared" si="1945"/>
        <v>1369</v>
      </c>
      <c r="D1369" s="616">
        <v>1</v>
      </c>
      <c r="E1369" s="709" t="s">
        <v>512</v>
      </c>
      <c r="F1369" s="1572"/>
      <c r="G1369" s="519"/>
      <c r="H1369"/>
      <c r="I1369" s="4"/>
      <c r="J1369" s="1098"/>
      <c r="K1369" s="1116" t="s">
        <v>572</v>
      </c>
      <c r="L1369" s="1117"/>
      <c r="M1369" s="1117"/>
      <c r="N1369" s="1117"/>
      <c r="O1369" s="1117"/>
      <c r="P1369" s="1117"/>
      <c r="Q1369" s="1118"/>
      <c r="R1369" s="1848" t="str">
        <f>CHOOSE(2, "6722000004270", "IIS Consolidated Sales MX")</f>
        <v>IIS Consolidated Sales MX</v>
      </c>
      <c r="S1369" s="1463">
        <f t="shared" ref="S1369:AD1369" si="1952">S1370+S1380</f>
        <v>183</v>
      </c>
      <c r="T1369" s="1463">
        <f t="shared" si="1952"/>
        <v>125.02</v>
      </c>
      <c r="U1369" s="1463">
        <f t="shared" si="1952"/>
        <v>1731</v>
      </c>
      <c r="V1369" s="1463">
        <f t="shared" si="1952"/>
        <v>0</v>
      </c>
      <c r="W1369" s="1463">
        <f t="shared" si="1952"/>
        <v>7315</v>
      </c>
      <c r="X1369" s="1463">
        <f t="shared" si="1952"/>
        <v>1808.1</v>
      </c>
      <c r="Y1369" s="1463">
        <f t="shared" si="1952"/>
        <v>396</v>
      </c>
      <c r="Z1369" s="1463">
        <f t="shared" si="1952"/>
        <v>8</v>
      </c>
      <c r="AA1369" s="1463">
        <f t="shared" si="1952"/>
        <v>3890.82</v>
      </c>
      <c r="AB1369" s="1463">
        <f t="shared" si="1952"/>
        <v>989.52</v>
      </c>
      <c r="AC1369" s="1463">
        <f t="shared" si="1952"/>
        <v>1598.4059999999999</v>
      </c>
      <c r="AD1369" s="1463">
        <f t="shared" si="1952"/>
        <v>6400.1</v>
      </c>
      <c r="AE1369" s="1463">
        <f t="shared" ref="AE1369:AK1369" si="1953">AE1370+AE1380</f>
        <v>2039.02</v>
      </c>
      <c r="AF1369" s="1463">
        <f t="shared" si="1953"/>
        <v>9123.1</v>
      </c>
      <c r="AG1369" s="1463">
        <f t="shared" si="1953"/>
        <v>4294.82</v>
      </c>
      <c r="AH1369" s="1463">
        <f t="shared" si="1953"/>
        <v>8988.0259999999998</v>
      </c>
      <c r="AI1369" s="1463">
        <f t="shared" si="1953"/>
        <v>11162.12</v>
      </c>
      <c r="AJ1369" s="1463">
        <f t="shared" si="1953"/>
        <v>13282.846</v>
      </c>
      <c r="AK1369" s="1463">
        <f t="shared" si="1953"/>
        <v>24444.966</v>
      </c>
    </row>
    <row r="1370" spans="1:37" ht="14.5">
      <c r="A1370" s="1693">
        <f t="shared" si="1920"/>
        <v>1353</v>
      </c>
      <c r="B1370" s="616">
        <v>1</v>
      </c>
      <c r="C1370" s="1693">
        <f t="shared" si="1945"/>
        <v>1370</v>
      </c>
      <c r="D1370" s="616">
        <v>1</v>
      </c>
      <c r="E1370" s="709" t="s">
        <v>512</v>
      </c>
      <c r="F1370" s="1572"/>
      <c r="G1370" s="519"/>
      <c r="H1370"/>
      <c r="I1370" s="4"/>
      <c r="J1370" s="1098"/>
      <c r="K1370" s="1119"/>
      <c r="L1370" s="761" t="s">
        <v>571</v>
      </c>
      <c r="M1370" s="758"/>
      <c r="N1370" s="759"/>
      <c r="O1370" s="758"/>
      <c r="P1370" s="758"/>
      <c r="Q1370" s="760"/>
      <c r="R1370" s="1782" t="str">
        <f>CHOOSE(2, "6722000004271", "IIS Consolidated Sales MX Direct")</f>
        <v>IIS Consolidated Sales MX Direct</v>
      </c>
      <c r="S1370" s="1370">
        <f t="shared" ref="S1370:AD1370" si="1954">S1371+S1377</f>
        <v>0</v>
      </c>
      <c r="T1370" s="1370">
        <f t="shared" si="1954"/>
        <v>0</v>
      </c>
      <c r="U1370" s="1370">
        <f t="shared" si="1954"/>
        <v>0</v>
      </c>
      <c r="V1370" s="1370">
        <f t="shared" si="1954"/>
        <v>0</v>
      </c>
      <c r="W1370" s="1370">
        <f t="shared" si="1954"/>
        <v>0</v>
      </c>
      <c r="X1370" s="1370">
        <f t="shared" si="1954"/>
        <v>0</v>
      </c>
      <c r="Y1370" s="1370">
        <f t="shared" si="1954"/>
        <v>0</v>
      </c>
      <c r="Z1370" s="1370">
        <f t="shared" si="1954"/>
        <v>0</v>
      </c>
      <c r="AA1370" s="1370">
        <f t="shared" si="1954"/>
        <v>0</v>
      </c>
      <c r="AB1370" s="1370">
        <f t="shared" si="1954"/>
        <v>0</v>
      </c>
      <c r="AC1370" s="1370">
        <f t="shared" si="1954"/>
        <v>0</v>
      </c>
      <c r="AD1370" s="1370">
        <f t="shared" si="1954"/>
        <v>0</v>
      </c>
      <c r="AE1370" s="1370">
        <f t="shared" ref="AE1370:AK1370" si="1955">AE1371+AE1377</f>
        <v>0</v>
      </c>
      <c r="AF1370" s="1370">
        <f t="shared" si="1955"/>
        <v>0</v>
      </c>
      <c r="AG1370" s="1370">
        <f t="shared" si="1955"/>
        <v>0</v>
      </c>
      <c r="AH1370" s="1370">
        <f t="shared" si="1955"/>
        <v>0</v>
      </c>
      <c r="AI1370" s="1370">
        <f t="shared" si="1955"/>
        <v>0</v>
      </c>
      <c r="AJ1370" s="1370">
        <f t="shared" si="1955"/>
        <v>0</v>
      </c>
      <c r="AK1370" s="1370">
        <f t="shared" si="1955"/>
        <v>0</v>
      </c>
    </row>
    <row r="1371" spans="1:37" ht="14.5">
      <c r="A1371" s="1693">
        <f t="shared" si="1920"/>
        <v>1354</v>
      </c>
      <c r="B1371" s="616">
        <v>1</v>
      </c>
      <c r="C1371" s="1693">
        <f t="shared" si="1945"/>
        <v>1371</v>
      </c>
      <c r="D1371" s="616">
        <v>1</v>
      </c>
      <c r="E1371" s="709" t="s">
        <v>512</v>
      </c>
      <c r="F1371" s="1572"/>
      <c r="G1371" s="519"/>
      <c r="H1371"/>
      <c r="I1371" s="4"/>
      <c r="J1371" s="1098"/>
      <c r="K1371" s="1119"/>
      <c r="L1371" s="29"/>
      <c r="M1371" s="12" t="s">
        <v>573</v>
      </c>
      <c r="N1371" s="768"/>
      <c r="O1371" s="769"/>
      <c r="P1371" s="769"/>
      <c r="Q1371" s="770"/>
      <c r="R1371" s="1782" t="str">
        <f>CHOOSE(2, "6722000004272", "IIS Consolidated Sales MX Direct Product")</f>
        <v>IIS Consolidated Sales MX Direct Product</v>
      </c>
      <c r="S1371" s="1371">
        <f t="shared" ref="S1371:AD1371" si="1956">S1372+S1375</f>
        <v>0</v>
      </c>
      <c r="T1371" s="1371">
        <f t="shared" si="1956"/>
        <v>0</v>
      </c>
      <c r="U1371" s="1371">
        <f t="shared" si="1956"/>
        <v>0</v>
      </c>
      <c r="V1371" s="1371">
        <f t="shared" si="1956"/>
        <v>0</v>
      </c>
      <c r="W1371" s="1371">
        <f t="shared" si="1956"/>
        <v>0</v>
      </c>
      <c r="X1371" s="1371">
        <f t="shared" si="1956"/>
        <v>0</v>
      </c>
      <c r="Y1371" s="1371">
        <f t="shared" si="1956"/>
        <v>0</v>
      </c>
      <c r="Z1371" s="1371">
        <f t="shared" si="1956"/>
        <v>0</v>
      </c>
      <c r="AA1371" s="1371">
        <f t="shared" si="1956"/>
        <v>0</v>
      </c>
      <c r="AB1371" s="1371">
        <f t="shared" si="1956"/>
        <v>0</v>
      </c>
      <c r="AC1371" s="1371">
        <f t="shared" si="1956"/>
        <v>0</v>
      </c>
      <c r="AD1371" s="1371">
        <f t="shared" si="1956"/>
        <v>0</v>
      </c>
      <c r="AE1371" s="1371">
        <f t="shared" ref="AE1371:AK1371" si="1957">AE1372+AE1375</f>
        <v>0</v>
      </c>
      <c r="AF1371" s="1371">
        <f t="shared" si="1957"/>
        <v>0</v>
      </c>
      <c r="AG1371" s="1371">
        <f t="shared" si="1957"/>
        <v>0</v>
      </c>
      <c r="AH1371" s="1371">
        <f t="shared" si="1957"/>
        <v>0</v>
      </c>
      <c r="AI1371" s="1371">
        <f t="shared" si="1957"/>
        <v>0</v>
      </c>
      <c r="AJ1371" s="1371">
        <f t="shared" si="1957"/>
        <v>0</v>
      </c>
      <c r="AK1371" s="1371">
        <f t="shared" si="1957"/>
        <v>0</v>
      </c>
    </row>
    <row r="1372" spans="1:37" ht="14.5">
      <c r="A1372" s="1693">
        <f t="shared" si="1920"/>
        <v>1355</v>
      </c>
      <c r="B1372" s="616">
        <v>1</v>
      </c>
      <c r="C1372" s="1693">
        <f t="shared" si="1945"/>
        <v>1372</v>
      </c>
      <c r="D1372" s="616">
        <v>1</v>
      </c>
      <c r="E1372" s="709" t="s">
        <v>512</v>
      </c>
      <c r="F1372" s="1572"/>
      <c r="G1372" s="519"/>
      <c r="H1372"/>
      <c r="I1372" s="4"/>
      <c r="J1372" s="1098"/>
      <c r="K1372" s="1119"/>
      <c r="L1372" s="762"/>
      <c r="M1372" s="28"/>
      <c r="N1372" s="12" t="s">
        <v>183</v>
      </c>
      <c r="O1372" s="12"/>
      <c r="P1372" s="12"/>
      <c r="Q1372" s="754"/>
      <c r="R1372" s="1782" t="str">
        <f>CHOOSE(2, "6722000004273", "IIS Consolidated Sales MX Direct Product HW")</f>
        <v>IIS Consolidated Sales MX Direct Product HW</v>
      </c>
      <c r="S1372" s="1372">
        <f>SUM(S1373:S1374)</f>
        <v>0</v>
      </c>
      <c r="T1372" s="1372">
        <f t="shared" ref="T1372:AD1372" si="1958">SUM(T1373:T1374)</f>
        <v>0</v>
      </c>
      <c r="U1372" s="1372">
        <f t="shared" si="1958"/>
        <v>0</v>
      </c>
      <c r="V1372" s="1372">
        <f t="shared" si="1958"/>
        <v>0</v>
      </c>
      <c r="W1372" s="1372">
        <f t="shared" si="1958"/>
        <v>0</v>
      </c>
      <c r="X1372" s="1372">
        <f t="shared" si="1958"/>
        <v>0</v>
      </c>
      <c r="Y1372" s="1372">
        <f t="shared" si="1958"/>
        <v>0</v>
      </c>
      <c r="Z1372" s="1372">
        <f t="shared" si="1958"/>
        <v>0</v>
      </c>
      <c r="AA1372" s="1372">
        <f t="shared" si="1958"/>
        <v>0</v>
      </c>
      <c r="AB1372" s="1372">
        <f t="shared" si="1958"/>
        <v>0</v>
      </c>
      <c r="AC1372" s="1372">
        <f t="shared" si="1958"/>
        <v>0</v>
      </c>
      <c r="AD1372" s="1372">
        <f t="shared" si="1958"/>
        <v>0</v>
      </c>
      <c r="AE1372" s="1372">
        <f t="shared" ref="AE1372:AK1372" si="1959">SUM(AE1373:AE1374)</f>
        <v>0</v>
      </c>
      <c r="AF1372" s="1372">
        <f t="shared" si="1959"/>
        <v>0</v>
      </c>
      <c r="AG1372" s="1372">
        <f t="shared" si="1959"/>
        <v>0</v>
      </c>
      <c r="AH1372" s="1372">
        <f t="shared" si="1959"/>
        <v>0</v>
      </c>
      <c r="AI1372" s="1372">
        <f t="shared" si="1959"/>
        <v>0</v>
      </c>
      <c r="AJ1372" s="1372">
        <f t="shared" si="1959"/>
        <v>0</v>
      </c>
      <c r="AK1372" s="1372">
        <f t="shared" si="1959"/>
        <v>0</v>
      </c>
    </row>
    <row r="1373" spans="1:37" ht="14.5">
      <c r="A1373" s="1693">
        <f t="shared" si="1920"/>
        <v>1356</v>
      </c>
      <c r="B1373" s="616">
        <v>1</v>
      </c>
      <c r="C1373" s="1693">
        <f t="shared" si="1945"/>
        <v>1373</v>
      </c>
      <c r="D1373" s="616">
        <v>1</v>
      </c>
      <c r="E1373" s="709" t="s">
        <v>512</v>
      </c>
      <c r="F1373" s="1069"/>
      <c r="G1373" s="519"/>
      <c r="H1373"/>
      <c r="I1373" s="4"/>
      <c r="J1373" s="1098"/>
      <c r="K1373" s="1119"/>
      <c r="L1373" s="762"/>
      <c r="M1373" s="28"/>
      <c r="N1373" s="28"/>
      <c r="O1373" s="28" t="s">
        <v>574</v>
      </c>
      <c r="P1373" s="12"/>
      <c r="Q1373" s="754"/>
      <c r="R1373" s="1779" t="str">
        <f>CHOOSE(2, "6722000004274", "IIS Consolidated Sales MX Direct Product HW Camera Device")</f>
        <v>IIS Consolidated Sales MX Direct Product HW Camera Device</v>
      </c>
      <c r="S1373" s="1373"/>
      <c r="T1373" s="1373"/>
      <c r="U1373" s="1373"/>
      <c r="V1373" s="1373"/>
      <c r="W1373" s="1373"/>
      <c r="X1373" s="1373"/>
      <c r="Y1373" s="1373"/>
      <c r="Z1373" s="1373"/>
      <c r="AA1373" s="1373"/>
      <c r="AB1373" s="1373"/>
      <c r="AC1373" s="1373"/>
      <c r="AD1373" s="1373"/>
      <c r="AE1373" s="1372">
        <f>SUM(S1373,T1373,U1373)</f>
        <v>0</v>
      </c>
      <c r="AF1373" s="1372">
        <f>SUM(V1373,W1373,X1373)</f>
        <v>0</v>
      </c>
      <c r="AG1373" s="1372">
        <f>SUM(Y1373,Z1373,AA1373)</f>
        <v>0</v>
      </c>
      <c r="AH1373" s="1372">
        <f>SUM(AB1373,AC1373,AD1373)</f>
        <v>0</v>
      </c>
      <c r="AI1373" s="1372">
        <f>AE1373+AF1373</f>
        <v>0</v>
      </c>
      <c r="AJ1373" s="1372">
        <f>AH1373+AG1373</f>
        <v>0</v>
      </c>
      <c r="AK1373" s="1372">
        <f>AI1373+AJ1373</f>
        <v>0</v>
      </c>
    </row>
    <row r="1374" spans="1:37" ht="14.5">
      <c r="A1374" s="1693">
        <f t="shared" si="1920"/>
        <v>1357</v>
      </c>
      <c r="B1374" s="616">
        <v>1</v>
      </c>
      <c r="C1374" s="1693">
        <f t="shared" si="1945"/>
        <v>1374</v>
      </c>
      <c r="D1374" s="616">
        <v>1</v>
      </c>
      <c r="E1374" s="709" t="s">
        <v>512</v>
      </c>
      <c r="F1374" s="1069"/>
      <c r="G1374" s="519"/>
      <c r="H1374"/>
      <c r="I1374" s="4"/>
      <c r="J1374" s="1098"/>
      <c r="K1374" s="1119"/>
      <c r="L1374" s="762"/>
      <c r="M1374" s="28"/>
      <c r="N1374" s="765"/>
      <c r="O1374" s="765" t="s">
        <v>233</v>
      </c>
      <c r="P1374" s="766"/>
      <c r="Q1374" s="767"/>
      <c r="R1374" s="1779" t="str">
        <f>CHOOSE(2, "6722000004275", "IIS Consolidated Sales MX Direct Product HW Others")</f>
        <v>IIS Consolidated Sales MX Direct Product HW Others</v>
      </c>
      <c r="S1374" s="1374"/>
      <c r="T1374" s="1374"/>
      <c r="U1374" s="1374"/>
      <c r="V1374" s="1374"/>
      <c r="W1374" s="1374"/>
      <c r="X1374" s="1374"/>
      <c r="Y1374" s="1374"/>
      <c r="Z1374" s="1374"/>
      <c r="AA1374" s="1374"/>
      <c r="AB1374" s="1374"/>
      <c r="AC1374" s="1374"/>
      <c r="AD1374" s="1374"/>
      <c r="AE1374" s="771">
        <f>SUM(S1374,T1374,U1374)</f>
        <v>0</v>
      </c>
      <c r="AF1374" s="771">
        <f>SUM(V1374,W1374,X1374)</f>
        <v>0</v>
      </c>
      <c r="AG1374" s="771">
        <f>SUM(Y1374,Z1374,AA1374)</f>
        <v>0</v>
      </c>
      <c r="AH1374" s="771">
        <f>SUM(AB1374,AC1374,AD1374)</f>
        <v>0</v>
      </c>
      <c r="AI1374" s="771">
        <f>AE1374+AF1374</f>
        <v>0</v>
      </c>
      <c r="AJ1374" s="771">
        <f>AH1374+AG1374</f>
        <v>0</v>
      </c>
      <c r="AK1374" s="771">
        <f>AI1374+AJ1374</f>
        <v>0</v>
      </c>
    </row>
    <row r="1375" spans="1:37" ht="14.5">
      <c r="A1375" s="1693">
        <f t="shared" si="1920"/>
        <v>1358</v>
      </c>
      <c r="B1375" s="616">
        <v>1</v>
      </c>
      <c r="C1375" s="1693">
        <f t="shared" si="1945"/>
        <v>1375</v>
      </c>
      <c r="D1375" s="616">
        <v>1</v>
      </c>
      <c r="E1375" s="709" t="s">
        <v>512</v>
      </c>
      <c r="F1375" s="1572"/>
      <c r="G1375" s="519"/>
      <c r="H1375"/>
      <c r="I1375" s="4"/>
      <c r="J1375" s="1098"/>
      <c r="K1375" s="1119"/>
      <c r="L1375" s="762"/>
      <c r="M1375" s="28"/>
      <c r="N1375" s="12" t="s">
        <v>189</v>
      </c>
      <c r="O1375" s="12"/>
      <c r="P1375" s="12"/>
      <c r="Q1375" s="754"/>
      <c r="R1375" s="1782" t="str">
        <f>CHOOSE(2, "6722000004276", "IIS Consolidated Sales MX Direct Product NH")</f>
        <v>IIS Consolidated Sales MX Direct Product NH</v>
      </c>
      <c r="S1375" s="1372">
        <f t="shared" ref="S1375:AD1375" si="1960">S1376</f>
        <v>0</v>
      </c>
      <c r="T1375" s="1372">
        <f t="shared" si="1960"/>
        <v>0</v>
      </c>
      <c r="U1375" s="1372">
        <f t="shared" si="1960"/>
        <v>0</v>
      </c>
      <c r="V1375" s="1372">
        <f t="shared" si="1960"/>
        <v>0</v>
      </c>
      <c r="W1375" s="1372">
        <f t="shared" si="1960"/>
        <v>0</v>
      </c>
      <c r="X1375" s="1372">
        <f t="shared" si="1960"/>
        <v>0</v>
      </c>
      <c r="Y1375" s="1372">
        <f t="shared" si="1960"/>
        <v>0</v>
      </c>
      <c r="Z1375" s="1372">
        <f t="shared" si="1960"/>
        <v>0</v>
      </c>
      <c r="AA1375" s="1372">
        <f t="shared" si="1960"/>
        <v>0</v>
      </c>
      <c r="AB1375" s="1372">
        <f t="shared" si="1960"/>
        <v>0</v>
      </c>
      <c r="AC1375" s="1372">
        <f t="shared" si="1960"/>
        <v>0</v>
      </c>
      <c r="AD1375" s="1372">
        <f t="shared" si="1960"/>
        <v>0</v>
      </c>
      <c r="AE1375" s="1372">
        <f t="shared" ref="AE1375:AK1375" si="1961">AE1376</f>
        <v>0</v>
      </c>
      <c r="AF1375" s="1372">
        <f t="shared" si="1961"/>
        <v>0</v>
      </c>
      <c r="AG1375" s="1372">
        <f t="shared" si="1961"/>
        <v>0</v>
      </c>
      <c r="AH1375" s="1372">
        <f t="shared" si="1961"/>
        <v>0</v>
      </c>
      <c r="AI1375" s="1372">
        <f t="shared" si="1961"/>
        <v>0</v>
      </c>
      <c r="AJ1375" s="1372">
        <f t="shared" si="1961"/>
        <v>0</v>
      </c>
      <c r="AK1375" s="1372">
        <f t="shared" si="1961"/>
        <v>0</v>
      </c>
    </row>
    <row r="1376" spans="1:37" ht="14.5">
      <c r="A1376" s="1693">
        <f t="shared" si="1920"/>
        <v>1359</v>
      </c>
      <c r="B1376" s="616">
        <v>1</v>
      </c>
      <c r="C1376" s="1693">
        <f t="shared" si="1945"/>
        <v>1376</v>
      </c>
      <c r="D1376" s="616">
        <v>1</v>
      </c>
      <c r="E1376" s="709" t="s">
        <v>512</v>
      </c>
      <c r="F1376" s="1069"/>
      <c r="G1376" s="519"/>
      <c r="H1376"/>
      <c r="I1376" s="4"/>
      <c r="J1376" s="1098"/>
      <c r="K1376" s="1119"/>
      <c r="L1376" s="762"/>
      <c r="M1376" s="765"/>
      <c r="N1376" s="765"/>
      <c r="O1376" s="765" t="s">
        <v>575</v>
      </c>
      <c r="P1376" s="766"/>
      <c r="Q1376" s="767"/>
      <c r="R1376" s="1779" t="str">
        <f>CHOOSE(2, "6722000004277", "IIS Consolidated Sales MX Direct Product NH SW/Apps")</f>
        <v>IIS Consolidated Sales MX Direct Product NH SW/Apps</v>
      </c>
      <c r="S1376" s="1374"/>
      <c r="T1376" s="1374"/>
      <c r="U1376" s="1374"/>
      <c r="V1376" s="1374"/>
      <c r="W1376" s="1374"/>
      <c r="X1376" s="1374"/>
      <c r="Y1376" s="1374"/>
      <c r="Z1376" s="1374"/>
      <c r="AA1376" s="1374"/>
      <c r="AB1376" s="1374"/>
      <c r="AC1376" s="1374"/>
      <c r="AD1376" s="1374"/>
      <c r="AE1376" s="771">
        <f>SUM(S1376,T1376,U1376)</f>
        <v>0</v>
      </c>
      <c r="AF1376" s="771">
        <f>SUM(V1376,W1376,X1376)</f>
        <v>0</v>
      </c>
      <c r="AG1376" s="771">
        <f>SUM(Y1376,Z1376,AA1376)</f>
        <v>0</v>
      </c>
      <c r="AH1376" s="771">
        <f>SUM(AB1376,AC1376,AD1376)</f>
        <v>0</v>
      </c>
      <c r="AI1376" s="771">
        <f>AE1376+AF1376</f>
        <v>0</v>
      </c>
      <c r="AJ1376" s="771">
        <f>AH1376+AG1376</f>
        <v>0</v>
      </c>
      <c r="AK1376" s="771">
        <f>AI1376+AJ1376</f>
        <v>0</v>
      </c>
    </row>
    <row r="1377" spans="1:37" ht="14.5">
      <c r="A1377" s="1693">
        <f t="shared" si="1920"/>
        <v>1360</v>
      </c>
      <c r="B1377" s="616">
        <v>1</v>
      </c>
      <c r="C1377" s="1693">
        <f t="shared" si="1945"/>
        <v>1377</v>
      </c>
      <c r="D1377" s="616">
        <v>1</v>
      </c>
      <c r="E1377" s="709" t="s">
        <v>512</v>
      </c>
      <c r="F1377" s="1572"/>
      <c r="G1377" s="519"/>
      <c r="H1377"/>
      <c r="I1377" s="4"/>
      <c r="J1377" s="1098"/>
      <c r="K1377" s="1119"/>
      <c r="L1377" s="762"/>
      <c r="M1377" s="12" t="s">
        <v>576</v>
      </c>
      <c r="N1377" s="28"/>
      <c r="O1377" s="12"/>
      <c r="P1377" s="12"/>
      <c r="Q1377" s="754"/>
      <c r="R1377" s="1782" t="str">
        <f>CHOOSE(2, "6722000004278", "IIS Consolidated Sales MX Direct Service")</f>
        <v>IIS Consolidated Sales MX Direct Service</v>
      </c>
      <c r="S1377" s="1372">
        <f>SUM(S1378:S1379)</f>
        <v>0</v>
      </c>
      <c r="T1377" s="1372">
        <f t="shared" ref="T1377:AD1377" si="1962">SUM(T1378:T1379)</f>
        <v>0</v>
      </c>
      <c r="U1377" s="1372">
        <f t="shared" si="1962"/>
        <v>0</v>
      </c>
      <c r="V1377" s="1372">
        <f t="shared" si="1962"/>
        <v>0</v>
      </c>
      <c r="W1377" s="1372">
        <f t="shared" si="1962"/>
        <v>0</v>
      </c>
      <c r="X1377" s="1372">
        <f t="shared" si="1962"/>
        <v>0</v>
      </c>
      <c r="Y1377" s="1372">
        <f t="shared" si="1962"/>
        <v>0</v>
      </c>
      <c r="Z1377" s="1372">
        <f t="shared" si="1962"/>
        <v>0</v>
      </c>
      <c r="AA1377" s="1372">
        <f t="shared" si="1962"/>
        <v>0</v>
      </c>
      <c r="AB1377" s="1372">
        <f t="shared" si="1962"/>
        <v>0</v>
      </c>
      <c r="AC1377" s="1372">
        <f t="shared" si="1962"/>
        <v>0</v>
      </c>
      <c r="AD1377" s="1372">
        <f t="shared" si="1962"/>
        <v>0</v>
      </c>
      <c r="AE1377" s="1372">
        <f t="shared" ref="AE1377:AK1377" si="1963">SUM(AE1378:AE1379)</f>
        <v>0</v>
      </c>
      <c r="AF1377" s="1372">
        <f t="shared" si="1963"/>
        <v>0</v>
      </c>
      <c r="AG1377" s="1372">
        <f t="shared" si="1963"/>
        <v>0</v>
      </c>
      <c r="AH1377" s="1372">
        <f t="shared" si="1963"/>
        <v>0</v>
      </c>
      <c r="AI1377" s="1372">
        <f t="shared" si="1963"/>
        <v>0</v>
      </c>
      <c r="AJ1377" s="1372">
        <f t="shared" si="1963"/>
        <v>0</v>
      </c>
      <c r="AK1377" s="1372">
        <f t="shared" si="1963"/>
        <v>0</v>
      </c>
    </row>
    <row r="1378" spans="1:37" ht="14.5">
      <c r="A1378" s="1693">
        <f t="shared" si="1920"/>
        <v>1361</v>
      </c>
      <c r="B1378" s="616">
        <v>1</v>
      </c>
      <c r="C1378" s="1693">
        <f t="shared" si="1945"/>
        <v>1378</v>
      </c>
      <c r="D1378" s="616">
        <v>1</v>
      </c>
      <c r="E1378" s="709" t="s">
        <v>512</v>
      </c>
      <c r="F1378" s="1069"/>
      <c r="G1378" s="519"/>
      <c r="H1378"/>
      <c r="I1378" s="4"/>
      <c r="J1378" s="1098"/>
      <c r="K1378" s="1119"/>
      <c r="L1378" s="762"/>
      <c r="M1378" s="28"/>
      <c r="N1378" s="28" t="s">
        <v>577</v>
      </c>
      <c r="O1378" s="12"/>
      <c r="P1378" s="12"/>
      <c r="Q1378" s="754"/>
      <c r="R1378" s="1779" t="str">
        <f>CHOOSE(2, "6722000004279", "IIS Consolidated Sales MX Direct Service Onetime")</f>
        <v>IIS Consolidated Sales MX Direct Service Onetime</v>
      </c>
      <c r="S1378" s="1373"/>
      <c r="T1378" s="1373"/>
      <c r="U1378" s="1373"/>
      <c r="V1378" s="1373"/>
      <c r="W1378" s="1373"/>
      <c r="X1378" s="1373"/>
      <c r="Y1378" s="1373"/>
      <c r="Z1378" s="1373"/>
      <c r="AA1378" s="1373"/>
      <c r="AB1378" s="1373"/>
      <c r="AC1378" s="1373"/>
      <c r="AD1378" s="1373"/>
      <c r="AE1378" s="1372">
        <f>SUM(S1378,T1378,U1378)</f>
        <v>0</v>
      </c>
      <c r="AF1378" s="1372">
        <f>SUM(V1378,W1378,X1378)</f>
        <v>0</v>
      </c>
      <c r="AG1378" s="1372">
        <f>SUM(Y1378,Z1378,AA1378)</f>
        <v>0</v>
      </c>
      <c r="AH1378" s="1372">
        <f>SUM(AB1378,AC1378,AD1378)</f>
        <v>0</v>
      </c>
      <c r="AI1378" s="1372">
        <f>AE1378+AF1378</f>
        <v>0</v>
      </c>
      <c r="AJ1378" s="1372">
        <f>AH1378+AG1378</f>
        <v>0</v>
      </c>
      <c r="AK1378" s="1372">
        <f>AI1378+AJ1378</f>
        <v>0</v>
      </c>
    </row>
    <row r="1379" spans="1:37" ht="14.5">
      <c r="A1379" s="1693">
        <f t="shared" si="1920"/>
        <v>1362</v>
      </c>
      <c r="B1379" s="616">
        <v>1</v>
      </c>
      <c r="C1379" s="1693">
        <f t="shared" si="1945"/>
        <v>1379</v>
      </c>
      <c r="D1379" s="616">
        <v>1</v>
      </c>
      <c r="E1379" s="709" t="s">
        <v>512</v>
      </c>
      <c r="F1379" s="1069"/>
      <c r="G1379" s="519"/>
      <c r="H1379"/>
      <c r="I1379" s="4"/>
      <c r="J1379" s="1098"/>
      <c r="K1379" s="1119"/>
      <c r="L1379" s="763"/>
      <c r="M1379" s="757"/>
      <c r="N1379" s="757" t="s">
        <v>578</v>
      </c>
      <c r="O1379" s="755"/>
      <c r="P1379" s="755"/>
      <c r="Q1379" s="756"/>
      <c r="R1379" s="1779" t="str">
        <f>CHOOSE(2, "6722000004280", "IIS Consolidated Sales MX Direct Service Recurring")</f>
        <v>IIS Consolidated Sales MX Direct Service Recurring</v>
      </c>
      <c r="S1379" s="1375"/>
      <c r="T1379" s="1375"/>
      <c r="U1379" s="1375"/>
      <c r="V1379" s="1375"/>
      <c r="W1379" s="1375"/>
      <c r="X1379" s="1375"/>
      <c r="Y1379" s="1375"/>
      <c r="Z1379" s="1375"/>
      <c r="AA1379" s="1375"/>
      <c r="AB1379" s="1375"/>
      <c r="AC1379" s="1375"/>
      <c r="AD1379" s="1375"/>
      <c r="AE1379" s="772">
        <f>SUM(S1379,T1379,U1379)</f>
        <v>0</v>
      </c>
      <c r="AF1379" s="772">
        <f>SUM(V1379,W1379,X1379)</f>
        <v>0</v>
      </c>
      <c r="AG1379" s="772">
        <f>SUM(Y1379,Z1379,AA1379)</f>
        <v>0</v>
      </c>
      <c r="AH1379" s="772">
        <f>SUM(AB1379,AC1379,AD1379)</f>
        <v>0</v>
      </c>
      <c r="AI1379" s="772">
        <f>AE1379+AF1379</f>
        <v>0</v>
      </c>
      <c r="AJ1379" s="772">
        <f>AH1379+AG1379</f>
        <v>0</v>
      </c>
      <c r="AK1379" s="772">
        <f>AI1379+AJ1379</f>
        <v>0</v>
      </c>
    </row>
    <row r="1380" spans="1:37" ht="14.5">
      <c r="A1380" s="1693">
        <f t="shared" si="1920"/>
        <v>1363</v>
      </c>
      <c r="B1380" s="616">
        <v>1</v>
      </c>
      <c r="C1380" s="1693">
        <f t="shared" si="1945"/>
        <v>1380</v>
      </c>
      <c r="D1380" s="616">
        <v>1</v>
      </c>
      <c r="E1380" s="709" t="s">
        <v>512</v>
      </c>
      <c r="F1380" s="1572"/>
      <c r="G1380" s="519"/>
      <c r="H1380"/>
      <c r="I1380" s="4"/>
      <c r="J1380" s="1098"/>
      <c r="K1380" s="1120"/>
      <c r="L1380" s="342" t="s">
        <v>579</v>
      </c>
      <c r="M1380" s="343"/>
      <c r="N1380" s="343"/>
      <c r="O1380" s="344"/>
      <c r="P1380" s="344"/>
      <c r="Q1380" s="764"/>
      <c r="R1380" s="1779" t="str">
        <f>CHOOSE(2, "6722000004281", "IIS Consolidated Sales MX Indirect")</f>
        <v>IIS Consolidated Sales MX Indirect</v>
      </c>
      <c r="S1380" s="1376">
        <v>183</v>
      </c>
      <c r="T1380" s="1376">
        <v>125.02</v>
      </c>
      <c r="U1380" s="1376">
        <v>1731</v>
      </c>
      <c r="V1380" s="1376"/>
      <c r="W1380" s="1376">
        <v>7315</v>
      </c>
      <c r="X1380" s="1376">
        <v>1808.1</v>
      </c>
      <c r="Y1380" s="1376">
        <v>396</v>
      </c>
      <c r="Z1380" s="1376">
        <v>8</v>
      </c>
      <c r="AA1380" s="1376">
        <v>3890.82</v>
      </c>
      <c r="AB1380" s="1376">
        <v>989.52</v>
      </c>
      <c r="AC1380" s="1376">
        <v>1598.4059999999999</v>
      </c>
      <c r="AD1380" s="1376">
        <v>6400.1</v>
      </c>
      <c r="AE1380" s="773">
        <f>SUM(S1380,T1380,U1380)</f>
        <v>2039.02</v>
      </c>
      <c r="AF1380" s="773">
        <f>SUM(V1380,W1380,X1380)</f>
        <v>9123.1</v>
      </c>
      <c r="AG1380" s="773">
        <f>SUM(Y1380,Z1380,AA1380)</f>
        <v>4294.82</v>
      </c>
      <c r="AH1380" s="773">
        <f>SUM(AB1380,AC1380,AD1380)</f>
        <v>8988.0259999999998</v>
      </c>
      <c r="AI1380" s="773">
        <f>AE1380+AF1380</f>
        <v>11162.12</v>
      </c>
      <c r="AJ1380" s="773">
        <f>AH1380+AG1380</f>
        <v>13282.846</v>
      </c>
      <c r="AK1380" s="773">
        <f>AI1380+AJ1380</f>
        <v>24444.966</v>
      </c>
    </row>
    <row r="1381" spans="1:37" ht="14.5">
      <c r="A1381" s="1693">
        <f t="shared" si="1920"/>
        <v>1364</v>
      </c>
      <c r="B1381" s="616">
        <v>1</v>
      </c>
      <c r="C1381" s="1693">
        <f t="shared" si="1945"/>
        <v>1381</v>
      </c>
      <c r="D1381" s="616">
        <v>1</v>
      </c>
      <c r="E1381" s="709" t="s">
        <v>512</v>
      </c>
      <c r="F1381" s="1572"/>
      <c r="G1381" s="519"/>
      <c r="H1381"/>
      <c r="I1381" s="4"/>
      <c r="J1381" s="1098"/>
      <c r="K1381" s="1121" t="s">
        <v>580</v>
      </c>
      <c r="L1381" s="1120"/>
      <c r="M1381" s="1120"/>
      <c r="N1381" s="1120"/>
      <c r="O1381" s="1117"/>
      <c r="P1381" s="1117"/>
      <c r="Q1381" s="1118"/>
      <c r="R1381" s="1848" t="str">
        <f>CHOOSE(2, "6722000004282", "IIS Consolidated Sales DM")</f>
        <v>IIS Consolidated Sales DM</v>
      </c>
      <c r="S1381" s="1463">
        <v>0</v>
      </c>
      <c r="T1381" s="1463">
        <v>0</v>
      </c>
      <c r="U1381" s="1463">
        <v>0</v>
      </c>
      <c r="V1381" s="1463">
        <v>0</v>
      </c>
      <c r="W1381" s="1463">
        <v>0</v>
      </c>
      <c r="X1381" s="1463">
        <v>0</v>
      </c>
      <c r="Y1381" s="1463">
        <v>0</v>
      </c>
      <c r="Z1381" s="1463">
        <v>0</v>
      </c>
      <c r="AA1381" s="1463">
        <v>0</v>
      </c>
      <c r="AB1381" s="1463">
        <v>0</v>
      </c>
      <c r="AC1381" s="1463">
        <v>0</v>
      </c>
      <c r="AD1381" s="1463">
        <v>0</v>
      </c>
      <c r="AE1381" s="1463">
        <f>SUM(S1381,T1381,U1381)</f>
        <v>0</v>
      </c>
      <c r="AF1381" s="1463">
        <f>SUM(V1381,W1381,X1381)</f>
        <v>0</v>
      </c>
      <c r="AG1381" s="1463">
        <f>SUM(Y1381,Z1381,AA1381)</f>
        <v>0</v>
      </c>
      <c r="AH1381" s="1463">
        <f>SUM(AB1381,AC1381,AD1381)</f>
        <v>0</v>
      </c>
      <c r="AI1381" s="1463">
        <f>AE1381+AF1381</f>
        <v>0</v>
      </c>
      <c r="AJ1381" s="1463">
        <f>AH1381+AG1381</f>
        <v>0</v>
      </c>
      <c r="AK1381" s="1463">
        <f>AI1381+AJ1381</f>
        <v>0</v>
      </c>
    </row>
    <row r="1382" spans="1:37" ht="14.5">
      <c r="A1382" s="1693">
        <f t="shared" si="1920"/>
        <v>1365</v>
      </c>
      <c r="B1382" s="616">
        <v>1</v>
      </c>
      <c r="C1382" s="1693">
        <f t="shared" si="1945"/>
        <v>1382</v>
      </c>
      <c r="D1382" s="616">
        <v>1</v>
      </c>
      <c r="E1382" s="709" t="s">
        <v>512</v>
      </c>
      <c r="F1382" s="1572"/>
      <c r="G1382" s="519"/>
      <c r="H1382"/>
      <c r="I1382" s="4"/>
      <c r="J1382" s="1098"/>
      <c r="K1382" s="1116" t="s">
        <v>581</v>
      </c>
      <c r="L1382" s="1119"/>
      <c r="M1382" s="1119"/>
      <c r="N1382" s="1119"/>
      <c r="O1382" s="1116"/>
      <c r="P1382" s="1116"/>
      <c r="Q1382" s="1122"/>
      <c r="R1382" s="1848" t="str">
        <f>CHOOSE(2, "6722000004283", "IIS Consolidated Sales Gas")</f>
        <v>IIS Consolidated Sales Gas</v>
      </c>
      <c r="S1382" s="1464">
        <v>0</v>
      </c>
      <c r="T1382" s="1464">
        <v>0</v>
      </c>
      <c r="U1382" s="1464">
        <v>0</v>
      </c>
      <c r="V1382" s="1464">
        <v>0</v>
      </c>
      <c r="W1382" s="1464">
        <v>0</v>
      </c>
      <c r="X1382" s="1464">
        <v>0</v>
      </c>
      <c r="Y1382" s="1464">
        <v>0</v>
      </c>
      <c r="Z1382" s="1464">
        <v>0</v>
      </c>
      <c r="AA1382" s="1464">
        <v>0</v>
      </c>
      <c r="AB1382" s="1464">
        <v>0</v>
      </c>
      <c r="AC1382" s="1464">
        <v>0</v>
      </c>
      <c r="AD1382" s="1464">
        <v>0</v>
      </c>
      <c r="AE1382" s="1464">
        <f>SUM(S1382,T1382,U1382)</f>
        <v>0</v>
      </c>
      <c r="AF1382" s="1464">
        <f>SUM(V1382,W1382,X1382)</f>
        <v>0</v>
      </c>
      <c r="AG1382" s="1464">
        <f>SUM(Y1382,Z1382,AA1382)</f>
        <v>0</v>
      </c>
      <c r="AH1382" s="1464">
        <f>SUM(AB1382,AC1382,AD1382)</f>
        <v>0</v>
      </c>
      <c r="AI1382" s="1464">
        <f>AE1382+AF1382</f>
        <v>0</v>
      </c>
      <c r="AJ1382" s="1464">
        <f>AH1382+AG1382</f>
        <v>0</v>
      </c>
      <c r="AK1382" s="1464">
        <f>AI1382+AJ1382</f>
        <v>0</v>
      </c>
    </row>
    <row r="1383" spans="1:37" ht="14.5">
      <c r="A1383" s="1693">
        <f t="shared" si="1920"/>
        <v>1366</v>
      </c>
      <c r="B1383" s="616">
        <v>1</v>
      </c>
      <c r="C1383" s="1693">
        <f t="shared" si="1945"/>
        <v>1383</v>
      </c>
      <c r="D1383" s="616">
        <v>1</v>
      </c>
      <c r="E1383" s="709" t="s">
        <v>512</v>
      </c>
      <c r="F1383" s="1572"/>
      <c r="G1383" s="519"/>
      <c r="H1383"/>
      <c r="I1383" s="4"/>
      <c r="J1383" s="1090" t="s">
        <v>54</v>
      </c>
      <c r="K1383" s="1091"/>
      <c r="L1383" s="1092"/>
      <c r="M1383" s="1092"/>
      <c r="N1383" s="1092"/>
      <c r="O1383" s="1092"/>
      <c r="P1383" s="1092"/>
      <c r="Q1383" s="1107"/>
      <c r="R1383" s="1846" t="str">
        <f>CHOOSE(2, "6722000004284", "IIS Gross Profit")</f>
        <v>IIS Gross Profit</v>
      </c>
      <c r="S1383" s="1201">
        <f t="shared" ref="S1383:AD1383" si="1964">S1384+S1396+S1397</f>
        <v>-227</v>
      </c>
      <c r="T1383" s="1201">
        <f t="shared" si="1964"/>
        <v>-217.89052000000001</v>
      </c>
      <c r="U1383" s="1201">
        <f t="shared" si="1964"/>
        <v>-242.21925083333301</v>
      </c>
      <c r="V1383" s="1201">
        <f t="shared" si="1964"/>
        <v>-55</v>
      </c>
      <c r="W1383" s="1201">
        <f t="shared" si="1964"/>
        <v>1462</v>
      </c>
      <c r="X1383" s="1201">
        <f t="shared" si="1964"/>
        <v>394.28987916666694</v>
      </c>
      <c r="Y1383" s="1201">
        <f t="shared" si="1964"/>
        <v>-181.78329083333298</v>
      </c>
      <c r="Z1383" s="1201">
        <f t="shared" si="1964"/>
        <v>-238.09810083333298</v>
      </c>
      <c r="AA1383" s="1201">
        <f t="shared" si="1964"/>
        <v>816.24349625000013</v>
      </c>
      <c r="AB1383" s="1201">
        <f t="shared" si="1964"/>
        <v>118.16829750000001</v>
      </c>
      <c r="AC1383" s="1201">
        <f t="shared" si="1964"/>
        <v>108.66154750000001</v>
      </c>
      <c r="AD1383" s="1201">
        <f t="shared" si="1964"/>
        <v>3713.0305874999999</v>
      </c>
      <c r="AE1383" s="1108">
        <f t="shared" ref="AE1383:AK1383" si="1965">AE1384+AE1396+AE1397</f>
        <v>-687.10977083333307</v>
      </c>
      <c r="AF1383" s="1108">
        <f t="shared" si="1965"/>
        <v>1801.2898791666669</v>
      </c>
      <c r="AG1383" s="1108">
        <f t="shared" si="1965"/>
        <v>396.36210458333414</v>
      </c>
      <c r="AH1383" s="1108">
        <f t="shared" si="1965"/>
        <v>3939.8604325000001</v>
      </c>
      <c r="AI1383" s="1108">
        <f t="shared" si="1965"/>
        <v>1114.1801083333339</v>
      </c>
      <c r="AJ1383" s="1108">
        <f t="shared" si="1965"/>
        <v>4336.2225370833339</v>
      </c>
      <c r="AK1383" s="1108">
        <f t="shared" si="1965"/>
        <v>5450.4026454166678</v>
      </c>
    </row>
    <row r="1384" spans="1:37" ht="14.5">
      <c r="A1384" s="1693">
        <f t="shared" si="1920"/>
        <v>1367</v>
      </c>
      <c r="B1384" s="616">
        <v>1</v>
      </c>
      <c r="C1384" s="1693">
        <f t="shared" si="1945"/>
        <v>1384</v>
      </c>
      <c r="D1384" s="616">
        <v>1</v>
      </c>
      <c r="E1384" s="709" t="s">
        <v>512</v>
      </c>
      <c r="F1384" s="1572"/>
      <c r="G1384" s="519"/>
      <c r="H1384"/>
      <c r="I1384" s="4"/>
      <c r="J1384" s="1098"/>
      <c r="K1384" s="1116" t="s">
        <v>572</v>
      </c>
      <c r="L1384" s="1117"/>
      <c r="M1384" s="1117"/>
      <c r="N1384" s="1117"/>
      <c r="O1384" s="1117"/>
      <c r="P1384" s="1117"/>
      <c r="Q1384" s="1118"/>
      <c r="R1384" s="1848" t="str">
        <f>CHOOSE(2, "6722000004285", "IIS Gross Profit MX")</f>
        <v>IIS Gross Profit MX</v>
      </c>
      <c r="S1384" s="1463">
        <f t="shared" ref="S1384:AD1384" si="1966">S1385+S1395</f>
        <v>-227</v>
      </c>
      <c r="T1384" s="1463">
        <f t="shared" si="1966"/>
        <v>-217.89052000000001</v>
      </c>
      <c r="U1384" s="1463">
        <f t="shared" si="1966"/>
        <v>-242.21925083333301</v>
      </c>
      <c r="V1384" s="1463">
        <f t="shared" si="1966"/>
        <v>-55</v>
      </c>
      <c r="W1384" s="1463">
        <f t="shared" si="1966"/>
        <v>1462</v>
      </c>
      <c r="X1384" s="1463">
        <f t="shared" si="1966"/>
        <v>394.28987916666694</v>
      </c>
      <c r="Y1384" s="1463">
        <f t="shared" si="1966"/>
        <v>-181.78329083333298</v>
      </c>
      <c r="Z1384" s="1463">
        <f t="shared" si="1966"/>
        <v>-238.09810083333298</v>
      </c>
      <c r="AA1384" s="1463">
        <f t="shared" si="1966"/>
        <v>816.24349625000013</v>
      </c>
      <c r="AB1384" s="1463">
        <f t="shared" si="1966"/>
        <v>118.16829750000001</v>
      </c>
      <c r="AC1384" s="1463">
        <f t="shared" si="1966"/>
        <v>108.66154750000001</v>
      </c>
      <c r="AD1384" s="1463">
        <f t="shared" si="1966"/>
        <v>3713.0305874999999</v>
      </c>
      <c r="AE1384" s="1463">
        <f t="shared" ref="AE1384:AK1384" si="1967">AE1385+AE1395</f>
        <v>-687.10977083333307</v>
      </c>
      <c r="AF1384" s="1463">
        <f t="shared" si="1967"/>
        <v>1801.2898791666669</v>
      </c>
      <c r="AG1384" s="1463">
        <f t="shared" si="1967"/>
        <v>396.36210458333414</v>
      </c>
      <c r="AH1384" s="1463">
        <f t="shared" si="1967"/>
        <v>3939.8604325000001</v>
      </c>
      <c r="AI1384" s="1463">
        <f t="shared" si="1967"/>
        <v>1114.1801083333339</v>
      </c>
      <c r="AJ1384" s="1463">
        <f t="shared" si="1967"/>
        <v>4336.2225370833339</v>
      </c>
      <c r="AK1384" s="1463">
        <f t="shared" si="1967"/>
        <v>5450.4026454166678</v>
      </c>
    </row>
    <row r="1385" spans="1:37" ht="14.5">
      <c r="A1385" s="1693">
        <f t="shared" si="1920"/>
        <v>1368</v>
      </c>
      <c r="B1385" s="616">
        <v>1</v>
      </c>
      <c r="C1385" s="1693">
        <f t="shared" si="1945"/>
        <v>1385</v>
      </c>
      <c r="D1385" s="616">
        <v>1</v>
      </c>
      <c r="E1385" s="709" t="s">
        <v>512</v>
      </c>
      <c r="F1385" s="1572"/>
      <c r="G1385" s="519"/>
      <c r="H1385"/>
      <c r="I1385" s="4"/>
      <c r="J1385" s="1098"/>
      <c r="K1385" s="1119"/>
      <c r="L1385" s="761" t="s">
        <v>571</v>
      </c>
      <c r="M1385" s="758"/>
      <c r="N1385" s="759"/>
      <c r="O1385" s="758"/>
      <c r="P1385" s="758"/>
      <c r="Q1385" s="760"/>
      <c r="R1385" s="1782" t="str">
        <f>CHOOSE(2, "6722000004286", "IIS Gross Profit MX Direct")</f>
        <v>IIS Gross Profit MX Direct</v>
      </c>
      <c r="S1385" s="1370">
        <f t="shared" ref="S1385:AD1385" si="1968">S1386+S1392</f>
        <v>0</v>
      </c>
      <c r="T1385" s="1370">
        <f t="shared" si="1968"/>
        <v>0</v>
      </c>
      <c r="U1385" s="1370">
        <f t="shared" si="1968"/>
        <v>0</v>
      </c>
      <c r="V1385" s="1370">
        <f t="shared" si="1968"/>
        <v>0</v>
      </c>
      <c r="W1385" s="1370">
        <f t="shared" si="1968"/>
        <v>0</v>
      </c>
      <c r="X1385" s="1370">
        <f t="shared" si="1968"/>
        <v>0</v>
      </c>
      <c r="Y1385" s="1370">
        <f t="shared" si="1968"/>
        <v>0</v>
      </c>
      <c r="Z1385" s="1370">
        <f t="shared" si="1968"/>
        <v>0</v>
      </c>
      <c r="AA1385" s="1370">
        <f t="shared" si="1968"/>
        <v>0</v>
      </c>
      <c r="AB1385" s="1370">
        <f t="shared" si="1968"/>
        <v>0</v>
      </c>
      <c r="AC1385" s="1370">
        <f t="shared" si="1968"/>
        <v>0</v>
      </c>
      <c r="AD1385" s="1370">
        <f t="shared" si="1968"/>
        <v>0</v>
      </c>
      <c r="AE1385" s="1370">
        <f t="shared" ref="AE1385:AK1385" si="1969">AE1386+AE1392</f>
        <v>0</v>
      </c>
      <c r="AF1385" s="1370">
        <f t="shared" si="1969"/>
        <v>0</v>
      </c>
      <c r="AG1385" s="1370">
        <f t="shared" si="1969"/>
        <v>0</v>
      </c>
      <c r="AH1385" s="1370">
        <f t="shared" si="1969"/>
        <v>0</v>
      </c>
      <c r="AI1385" s="1370">
        <f t="shared" si="1969"/>
        <v>0</v>
      </c>
      <c r="AJ1385" s="1370">
        <f t="shared" si="1969"/>
        <v>0</v>
      </c>
      <c r="AK1385" s="1370">
        <f t="shared" si="1969"/>
        <v>0</v>
      </c>
    </row>
    <row r="1386" spans="1:37" ht="14.5">
      <c r="A1386" s="1693">
        <f t="shared" si="1920"/>
        <v>1369</v>
      </c>
      <c r="B1386" s="616">
        <v>1</v>
      </c>
      <c r="C1386" s="1693">
        <f t="shared" si="1945"/>
        <v>1386</v>
      </c>
      <c r="D1386" s="616">
        <v>1</v>
      </c>
      <c r="E1386" s="709" t="s">
        <v>512</v>
      </c>
      <c r="F1386" s="1572"/>
      <c r="G1386" s="519"/>
      <c r="H1386"/>
      <c r="I1386" s="4"/>
      <c r="J1386" s="1098"/>
      <c r="K1386" s="1119"/>
      <c r="L1386" s="29"/>
      <c r="M1386" s="12" t="s">
        <v>573</v>
      </c>
      <c r="N1386" s="768"/>
      <c r="O1386" s="769"/>
      <c r="P1386" s="769"/>
      <c r="Q1386" s="770"/>
      <c r="R1386" s="1782" t="str">
        <f>CHOOSE(2, "6722000004287", "IIS Gross Profit MX Direct Product")</f>
        <v>IIS Gross Profit MX Direct Product</v>
      </c>
      <c r="S1386" s="1371">
        <f t="shared" ref="S1386:AD1386" si="1970">S1387+S1390</f>
        <v>0</v>
      </c>
      <c r="T1386" s="1371">
        <f t="shared" si="1970"/>
        <v>0</v>
      </c>
      <c r="U1386" s="1371">
        <f t="shared" si="1970"/>
        <v>0</v>
      </c>
      <c r="V1386" s="1371">
        <f t="shared" si="1970"/>
        <v>0</v>
      </c>
      <c r="W1386" s="1371">
        <f t="shared" si="1970"/>
        <v>0</v>
      </c>
      <c r="X1386" s="1371">
        <f t="shared" si="1970"/>
        <v>0</v>
      </c>
      <c r="Y1386" s="1371">
        <f t="shared" si="1970"/>
        <v>0</v>
      </c>
      <c r="Z1386" s="1371">
        <f t="shared" si="1970"/>
        <v>0</v>
      </c>
      <c r="AA1386" s="1371">
        <f t="shared" si="1970"/>
        <v>0</v>
      </c>
      <c r="AB1386" s="1371">
        <f t="shared" si="1970"/>
        <v>0</v>
      </c>
      <c r="AC1386" s="1371">
        <f t="shared" si="1970"/>
        <v>0</v>
      </c>
      <c r="AD1386" s="1371">
        <f t="shared" si="1970"/>
        <v>0</v>
      </c>
      <c r="AE1386" s="1371">
        <f t="shared" ref="AE1386:AK1386" si="1971">AE1387+AE1390</f>
        <v>0</v>
      </c>
      <c r="AF1386" s="1371">
        <f t="shared" si="1971"/>
        <v>0</v>
      </c>
      <c r="AG1386" s="1371">
        <f t="shared" si="1971"/>
        <v>0</v>
      </c>
      <c r="AH1386" s="1371">
        <f t="shared" si="1971"/>
        <v>0</v>
      </c>
      <c r="AI1386" s="1371">
        <f t="shared" si="1971"/>
        <v>0</v>
      </c>
      <c r="AJ1386" s="1371">
        <f t="shared" si="1971"/>
        <v>0</v>
      </c>
      <c r="AK1386" s="1371">
        <f t="shared" si="1971"/>
        <v>0</v>
      </c>
    </row>
    <row r="1387" spans="1:37" ht="14.5">
      <c r="A1387" s="1693">
        <f t="shared" si="1920"/>
        <v>1370</v>
      </c>
      <c r="B1387" s="616">
        <v>1</v>
      </c>
      <c r="C1387" s="1693">
        <f t="shared" si="1945"/>
        <v>1387</v>
      </c>
      <c r="D1387" s="616">
        <v>1</v>
      </c>
      <c r="E1387" s="709" t="s">
        <v>512</v>
      </c>
      <c r="F1387" s="1572"/>
      <c r="G1387" s="519"/>
      <c r="H1387"/>
      <c r="I1387" s="4"/>
      <c r="J1387" s="1098"/>
      <c r="K1387" s="1119"/>
      <c r="L1387" s="762"/>
      <c r="M1387" s="28"/>
      <c r="N1387" s="12" t="s">
        <v>183</v>
      </c>
      <c r="O1387" s="12"/>
      <c r="P1387" s="12"/>
      <c r="Q1387" s="754"/>
      <c r="R1387" s="1782" t="str">
        <f>CHOOSE(2, "6722000004288", "IIS Gross Profit MX Direct Product HW")</f>
        <v>IIS Gross Profit MX Direct Product HW</v>
      </c>
      <c r="S1387" s="1372">
        <f>SUM(S1388:S1389)</f>
        <v>0</v>
      </c>
      <c r="T1387" s="1372">
        <f t="shared" ref="T1387:AD1387" si="1972">SUM(T1388:T1389)</f>
        <v>0</v>
      </c>
      <c r="U1387" s="1372">
        <f t="shared" si="1972"/>
        <v>0</v>
      </c>
      <c r="V1387" s="1372">
        <f t="shared" si="1972"/>
        <v>0</v>
      </c>
      <c r="W1387" s="1372">
        <f t="shared" si="1972"/>
        <v>0</v>
      </c>
      <c r="X1387" s="1372">
        <f t="shared" si="1972"/>
        <v>0</v>
      </c>
      <c r="Y1387" s="1372">
        <f t="shared" si="1972"/>
        <v>0</v>
      </c>
      <c r="Z1387" s="1372">
        <f t="shared" si="1972"/>
        <v>0</v>
      </c>
      <c r="AA1387" s="1372">
        <f t="shared" si="1972"/>
        <v>0</v>
      </c>
      <c r="AB1387" s="1372">
        <f t="shared" si="1972"/>
        <v>0</v>
      </c>
      <c r="AC1387" s="1372">
        <f t="shared" si="1972"/>
        <v>0</v>
      </c>
      <c r="AD1387" s="1372">
        <f t="shared" si="1972"/>
        <v>0</v>
      </c>
      <c r="AE1387" s="1372">
        <f t="shared" ref="AE1387:AK1387" si="1973">SUM(AE1388:AE1389)</f>
        <v>0</v>
      </c>
      <c r="AF1387" s="1372">
        <f t="shared" si="1973"/>
        <v>0</v>
      </c>
      <c r="AG1387" s="1372">
        <f t="shared" si="1973"/>
        <v>0</v>
      </c>
      <c r="AH1387" s="1372">
        <f t="shared" si="1973"/>
        <v>0</v>
      </c>
      <c r="AI1387" s="1372">
        <f t="shared" si="1973"/>
        <v>0</v>
      </c>
      <c r="AJ1387" s="1372">
        <f t="shared" si="1973"/>
        <v>0</v>
      </c>
      <c r="AK1387" s="1372">
        <f t="shared" si="1973"/>
        <v>0</v>
      </c>
    </row>
    <row r="1388" spans="1:37" ht="14.5">
      <c r="A1388" s="1693">
        <f t="shared" si="1920"/>
        <v>1371</v>
      </c>
      <c r="B1388" s="616">
        <v>1</v>
      </c>
      <c r="C1388" s="1693">
        <f t="shared" si="1945"/>
        <v>1388</v>
      </c>
      <c r="D1388" s="616">
        <v>1</v>
      </c>
      <c r="E1388" s="709" t="s">
        <v>512</v>
      </c>
      <c r="F1388" s="1069"/>
      <c r="G1388" s="519"/>
      <c r="H1388"/>
      <c r="I1388" s="4"/>
      <c r="J1388" s="1098"/>
      <c r="K1388" s="1119"/>
      <c r="L1388" s="762"/>
      <c r="M1388" s="28"/>
      <c r="N1388" s="28"/>
      <c r="O1388" s="28" t="s">
        <v>574</v>
      </c>
      <c r="P1388" s="12"/>
      <c r="Q1388" s="754"/>
      <c r="R1388" s="1779" t="str">
        <f>CHOOSE(2, "6722000004289", "IIS Gross Profit MX Direct Product HW Camera Device")</f>
        <v>IIS Gross Profit MX Direct Product HW Camera Device</v>
      </c>
      <c r="S1388" s="1373"/>
      <c r="T1388" s="1373"/>
      <c r="U1388" s="1373"/>
      <c r="V1388" s="1373"/>
      <c r="W1388" s="1373"/>
      <c r="X1388" s="1373"/>
      <c r="Y1388" s="1373"/>
      <c r="Z1388" s="1373"/>
      <c r="AA1388" s="1373"/>
      <c r="AB1388" s="1373"/>
      <c r="AC1388" s="1373"/>
      <c r="AD1388" s="1373"/>
      <c r="AE1388" s="1372">
        <f>SUM(S1388,T1388,U1388)</f>
        <v>0</v>
      </c>
      <c r="AF1388" s="1372">
        <f>SUM(V1388,W1388,X1388)</f>
        <v>0</v>
      </c>
      <c r="AG1388" s="1372">
        <f>SUM(Y1388,Z1388,AA1388)</f>
        <v>0</v>
      </c>
      <c r="AH1388" s="1372">
        <f>SUM(AB1388,AC1388,AD1388)</f>
        <v>0</v>
      </c>
      <c r="AI1388" s="1372">
        <f>AE1388+AF1388</f>
        <v>0</v>
      </c>
      <c r="AJ1388" s="1372">
        <f>AH1388+AG1388</f>
        <v>0</v>
      </c>
      <c r="AK1388" s="1372">
        <f>AI1388+AJ1388</f>
        <v>0</v>
      </c>
    </row>
    <row r="1389" spans="1:37" ht="14.5">
      <c r="A1389" s="1693">
        <f t="shared" si="1920"/>
        <v>1372</v>
      </c>
      <c r="B1389" s="616">
        <v>1</v>
      </c>
      <c r="C1389" s="1693">
        <f t="shared" si="1945"/>
        <v>1389</v>
      </c>
      <c r="D1389" s="616">
        <v>1</v>
      </c>
      <c r="E1389" s="709" t="s">
        <v>512</v>
      </c>
      <c r="F1389" s="1069"/>
      <c r="G1389" s="519"/>
      <c r="H1389"/>
      <c r="I1389" s="4"/>
      <c r="J1389" s="1098"/>
      <c r="K1389" s="1119"/>
      <c r="L1389" s="762"/>
      <c r="M1389" s="28"/>
      <c r="N1389" s="765"/>
      <c r="O1389" s="765" t="s">
        <v>233</v>
      </c>
      <c r="P1389" s="766"/>
      <c r="Q1389" s="767"/>
      <c r="R1389" s="1779" t="str">
        <f>CHOOSE(2, "6722000004290", "IIS Gross Profit MX Direct Product HW Others")</f>
        <v>IIS Gross Profit MX Direct Product HW Others</v>
      </c>
      <c r="S1389" s="1374"/>
      <c r="T1389" s="1374"/>
      <c r="U1389" s="1374"/>
      <c r="V1389" s="1374"/>
      <c r="W1389" s="1374"/>
      <c r="X1389" s="1374"/>
      <c r="Y1389" s="1374"/>
      <c r="Z1389" s="1374"/>
      <c r="AA1389" s="1374"/>
      <c r="AB1389" s="1374"/>
      <c r="AC1389" s="1374"/>
      <c r="AD1389" s="1374"/>
      <c r="AE1389" s="771">
        <f>SUM(S1389,T1389,U1389)</f>
        <v>0</v>
      </c>
      <c r="AF1389" s="771">
        <f>SUM(V1389,W1389,X1389)</f>
        <v>0</v>
      </c>
      <c r="AG1389" s="771">
        <f>SUM(Y1389,Z1389,AA1389)</f>
        <v>0</v>
      </c>
      <c r="AH1389" s="771">
        <f>SUM(AB1389,AC1389,AD1389)</f>
        <v>0</v>
      </c>
      <c r="AI1389" s="771">
        <f>AE1389+AF1389</f>
        <v>0</v>
      </c>
      <c r="AJ1389" s="771">
        <f>AH1389+AG1389</f>
        <v>0</v>
      </c>
      <c r="AK1389" s="771">
        <f>AI1389+AJ1389</f>
        <v>0</v>
      </c>
    </row>
    <row r="1390" spans="1:37" ht="14.5">
      <c r="A1390" s="1693">
        <f t="shared" si="1920"/>
        <v>1373</v>
      </c>
      <c r="B1390" s="616">
        <v>1</v>
      </c>
      <c r="C1390" s="1693">
        <f t="shared" si="1945"/>
        <v>1390</v>
      </c>
      <c r="D1390" s="616">
        <v>1</v>
      </c>
      <c r="E1390" s="709" t="s">
        <v>512</v>
      </c>
      <c r="F1390" s="1572"/>
      <c r="G1390" s="519"/>
      <c r="H1390"/>
      <c r="I1390" s="4"/>
      <c r="J1390" s="1098"/>
      <c r="K1390" s="1119"/>
      <c r="L1390" s="762"/>
      <c r="M1390" s="28"/>
      <c r="N1390" s="12" t="s">
        <v>189</v>
      </c>
      <c r="O1390" s="12"/>
      <c r="P1390" s="12"/>
      <c r="Q1390" s="754"/>
      <c r="R1390" s="1782" t="str">
        <f>CHOOSE(2, "6722000004291", "IIS Gross Profit MX Direct Product NH")</f>
        <v>IIS Gross Profit MX Direct Product NH</v>
      </c>
      <c r="S1390" s="1372">
        <f t="shared" ref="S1390:AD1390" si="1974">S1391</f>
        <v>0</v>
      </c>
      <c r="T1390" s="1372">
        <f t="shared" si="1974"/>
        <v>0</v>
      </c>
      <c r="U1390" s="1372">
        <f t="shared" si="1974"/>
        <v>0</v>
      </c>
      <c r="V1390" s="1372">
        <f t="shared" si="1974"/>
        <v>0</v>
      </c>
      <c r="W1390" s="1372">
        <f t="shared" si="1974"/>
        <v>0</v>
      </c>
      <c r="X1390" s="1372">
        <f t="shared" si="1974"/>
        <v>0</v>
      </c>
      <c r="Y1390" s="1372">
        <f t="shared" si="1974"/>
        <v>0</v>
      </c>
      <c r="Z1390" s="1372">
        <f t="shared" si="1974"/>
        <v>0</v>
      </c>
      <c r="AA1390" s="1372">
        <f t="shared" si="1974"/>
        <v>0</v>
      </c>
      <c r="AB1390" s="1372">
        <f t="shared" si="1974"/>
        <v>0</v>
      </c>
      <c r="AC1390" s="1372">
        <f t="shared" si="1974"/>
        <v>0</v>
      </c>
      <c r="AD1390" s="1372">
        <f t="shared" si="1974"/>
        <v>0</v>
      </c>
      <c r="AE1390" s="1372">
        <f t="shared" ref="AE1390:AK1390" si="1975">AE1391</f>
        <v>0</v>
      </c>
      <c r="AF1390" s="1372">
        <f t="shared" si="1975"/>
        <v>0</v>
      </c>
      <c r="AG1390" s="1372">
        <f t="shared" si="1975"/>
        <v>0</v>
      </c>
      <c r="AH1390" s="1372">
        <f t="shared" si="1975"/>
        <v>0</v>
      </c>
      <c r="AI1390" s="1372">
        <f t="shared" si="1975"/>
        <v>0</v>
      </c>
      <c r="AJ1390" s="1372">
        <f t="shared" si="1975"/>
        <v>0</v>
      </c>
      <c r="AK1390" s="1372">
        <f t="shared" si="1975"/>
        <v>0</v>
      </c>
    </row>
    <row r="1391" spans="1:37" ht="14.5">
      <c r="A1391" s="1693">
        <f t="shared" si="1920"/>
        <v>1374</v>
      </c>
      <c r="B1391" s="616">
        <v>1</v>
      </c>
      <c r="C1391" s="1693">
        <f t="shared" si="1945"/>
        <v>1391</v>
      </c>
      <c r="D1391" s="616">
        <v>1</v>
      </c>
      <c r="E1391" s="709" t="s">
        <v>512</v>
      </c>
      <c r="F1391" s="1069"/>
      <c r="G1391" s="519"/>
      <c r="H1391"/>
      <c r="I1391" s="4"/>
      <c r="J1391" s="1098"/>
      <c r="K1391" s="1119"/>
      <c r="L1391" s="762"/>
      <c r="M1391" s="765"/>
      <c r="N1391" s="765"/>
      <c r="O1391" s="765" t="s">
        <v>575</v>
      </c>
      <c r="P1391" s="766"/>
      <c r="Q1391" s="767"/>
      <c r="R1391" s="1779" t="str">
        <f>CHOOSE(2, "6722000004292", "IIS Gross Profit MX Direct Product NH SW/Apps")</f>
        <v>IIS Gross Profit MX Direct Product NH SW/Apps</v>
      </c>
      <c r="S1391" s="1374"/>
      <c r="T1391" s="1374"/>
      <c r="U1391" s="1374"/>
      <c r="V1391" s="1374"/>
      <c r="W1391" s="1374"/>
      <c r="X1391" s="1374"/>
      <c r="Y1391" s="1374"/>
      <c r="Z1391" s="1374"/>
      <c r="AA1391" s="1374"/>
      <c r="AB1391" s="1374"/>
      <c r="AC1391" s="1374"/>
      <c r="AD1391" s="1374"/>
      <c r="AE1391" s="771">
        <f>SUM(S1391,T1391,U1391)</f>
        <v>0</v>
      </c>
      <c r="AF1391" s="771">
        <f>SUM(V1391,W1391,X1391)</f>
        <v>0</v>
      </c>
      <c r="AG1391" s="771">
        <f>SUM(Y1391,Z1391,AA1391)</f>
        <v>0</v>
      </c>
      <c r="AH1391" s="771">
        <f>SUM(AB1391,AC1391,AD1391)</f>
        <v>0</v>
      </c>
      <c r="AI1391" s="771">
        <f>AE1391+AF1391</f>
        <v>0</v>
      </c>
      <c r="AJ1391" s="771">
        <f>AH1391+AG1391</f>
        <v>0</v>
      </c>
      <c r="AK1391" s="771">
        <f>AI1391+AJ1391</f>
        <v>0</v>
      </c>
    </row>
    <row r="1392" spans="1:37" ht="14.5">
      <c r="A1392" s="1693">
        <f t="shared" si="1920"/>
        <v>1375</v>
      </c>
      <c r="B1392" s="616">
        <v>1</v>
      </c>
      <c r="C1392" s="1693">
        <f t="shared" si="1945"/>
        <v>1392</v>
      </c>
      <c r="D1392" s="616">
        <v>1</v>
      </c>
      <c r="E1392" s="709" t="s">
        <v>512</v>
      </c>
      <c r="F1392" s="1572"/>
      <c r="G1392" s="519"/>
      <c r="H1392"/>
      <c r="I1392" s="4"/>
      <c r="J1392" s="1098"/>
      <c r="K1392" s="1119"/>
      <c r="L1392" s="762"/>
      <c r="M1392" s="12" t="s">
        <v>576</v>
      </c>
      <c r="N1392" s="28"/>
      <c r="O1392" s="12"/>
      <c r="P1392" s="12"/>
      <c r="Q1392" s="754"/>
      <c r="R1392" s="1782" t="str">
        <f>CHOOSE(2, "6722000004293", "IIS Gross Profit MX Direct Service")</f>
        <v>IIS Gross Profit MX Direct Service</v>
      </c>
      <c r="S1392" s="1372">
        <f>SUM(S1393:S1394)</f>
        <v>0</v>
      </c>
      <c r="T1392" s="1372">
        <f t="shared" ref="T1392:AD1392" si="1976">SUM(T1393:T1394)</f>
        <v>0</v>
      </c>
      <c r="U1392" s="1372">
        <f t="shared" si="1976"/>
        <v>0</v>
      </c>
      <c r="V1392" s="1372">
        <f t="shared" si="1976"/>
        <v>0</v>
      </c>
      <c r="W1392" s="1372">
        <f t="shared" si="1976"/>
        <v>0</v>
      </c>
      <c r="X1392" s="1372">
        <f t="shared" si="1976"/>
        <v>0</v>
      </c>
      <c r="Y1392" s="1372">
        <f t="shared" si="1976"/>
        <v>0</v>
      </c>
      <c r="Z1392" s="1372">
        <f t="shared" si="1976"/>
        <v>0</v>
      </c>
      <c r="AA1392" s="1372">
        <f t="shared" si="1976"/>
        <v>0</v>
      </c>
      <c r="AB1392" s="1372">
        <f t="shared" si="1976"/>
        <v>0</v>
      </c>
      <c r="AC1392" s="1372">
        <f t="shared" si="1976"/>
        <v>0</v>
      </c>
      <c r="AD1392" s="1372">
        <f t="shared" si="1976"/>
        <v>0</v>
      </c>
      <c r="AE1392" s="1372">
        <f t="shared" ref="AE1392:AK1392" si="1977">SUM(AE1393:AE1394)</f>
        <v>0</v>
      </c>
      <c r="AF1392" s="1372">
        <f t="shared" si="1977"/>
        <v>0</v>
      </c>
      <c r="AG1392" s="1372">
        <f t="shared" si="1977"/>
        <v>0</v>
      </c>
      <c r="AH1392" s="1372">
        <f t="shared" si="1977"/>
        <v>0</v>
      </c>
      <c r="AI1392" s="1372">
        <f t="shared" si="1977"/>
        <v>0</v>
      </c>
      <c r="AJ1392" s="1372">
        <f t="shared" si="1977"/>
        <v>0</v>
      </c>
      <c r="AK1392" s="1372">
        <f t="shared" si="1977"/>
        <v>0</v>
      </c>
    </row>
    <row r="1393" spans="1:37" ht="14.5">
      <c r="A1393" s="1693">
        <f t="shared" si="1920"/>
        <v>1376</v>
      </c>
      <c r="B1393" s="616">
        <v>1</v>
      </c>
      <c r="C1393" s="1693">
        <f t="shared" si="1945"/>
        <v>1393</v>
      </c>
      <c r="D1393" s="616">
        <v>1</v>
      </c>
      <c r="E1393" s="709" t="s">
        <v>512</v>
      </c>
      <c r="F1393" s="1069"/>
      <c r="G1393" s="519"/>
      <c r="H1393"/>
      <c r="I1393" s="4"/>
      <c r="J1393" s="1098"/>
      <c r="K1393" s="1119"/>
      <c r="L1393" s="762"/>
      <c r="M1393" s="28"/>
      <c r="N1393" s="28" t="s">
        <v>577</v>
      </c>
      <c r="O1393" s="12"/>
      <c r="P1393" s="12"/>
      <c r="Q1393" s="754"/>
      <c r="R1393" s="1779" t="str">
        <f>CHOOSE(2, "6722000004294", "IIS Gross Profit MX Direct Service Onetime")</f>
        <v>IIS Gross Profit MX Direct Service Onetime</v>
      </c>
      <c r="S1393" s="1373"/>
      <c r="T1393" s="1373"/>
      <c r="U1393" s="1373"/>
      <c r="V1393" s="1373"/>
      <c r="W1393" s="1373"/>
      <c r="X1393" s="1373"/>
      <c r="Y1393" s="1373"/>
      <c r="Z1393" s="1373"/>
      <c r="AA1393" s="1373"/>
      <c r="AB1393" s="1373"/>
      <c r="AC1393" s="1373"/>
      <c r="AD1393" s="1373"/>
      <c r="AE1393" s="1372">
        <f>SUM(S1393,T1393,U1393)</f>
        <v>0</v>
      </c>
      <c r="AF1393" s="1372">
        <f>SUM(V1393,W1393,X1393)</f>
        <v>0</v>
      </c>
      <c r="AG1393" s="1372">
        <f>SUM(Y1393,Z1393,AA1393)</f>
        <v>0</v>
      </c>
      <c r="AH1393" s="1372">
        <f>SUM(AB1393,AC1393,AD1393)</f>
        <v>0</v>
      </c>
      <c r="AI1393" s="1372">
        <f>AE1393+AF1393</f>
        <v>0</v>
      </c>
      <c r="AJ1393" s="1372">
        <f>AH1393+AG1393</f>
        <v>0</v>
      </c>
      <c r="AK1393" s="1372">
        <f>AI1393+AJ1393</f>
        <v>0</v>
      </c>
    </row>
    <row r="1394" spans="1:37" ht="14.5">
      <c r="A1394" s="1693">
        <f t="shared" si="1920"/>
        <v>1377</v>
      </c>
      <c r="B1394" s="616">
        <v>1</v>
      </c>
      <c r="C1394" s="1693">
        <f t="shared" si="1945"/>
        <v>1394</v>
      </c>
      <c r="D1394" s="616">
        <v>1</v>
      </c>
      <c r="E1394" s="709" t="s">
        <v>512</v>
      </c>
      <c r="F1394" s="1069"/>
      <c r="G1394" s="519"/>
      <c r="H1394"/>
      <c r="I1394" s="4"/>
      <c r="J1394" s="1098"/>
      <c r="K1394" s="1119"/>
      <c r="L1394" s="763"/>
      <c r="M1394" s="757"/>
      <c r="N1394" s="757" t="s">
        <v>578</v>
      </c>
      <c r="O1394" s="755"/>
      <c r="P1394" s="755"/>
      <c r="Q1394" s="756"/>
      <c r="R1394" s="1779" t="str">
        <f>CHOOSE(2, "6722000004295", "IIS Gross Profit MX Direct Service Recurring")</f>
        <v>IIS Gross Profit MX Direct Service Recurring</v>
      </c>
      <c r="S1394" s="1375"/>
      <c r="T1394" s="1375"/>
      <c r="U1394" s="1375"/>
      <c r="V1394" s="1375"/>
      <c r="W1394" s="1375"/>
      <c r="X1394" s="1375"/>
      <c r="Y1394" s="1375"/>
      <c r="Z1394" s="1375"/>
      <c r="AA1394" s="1375"/>
      <c r="AB1394" s="1375"/>
      <c r="AC1394" s="1375"/>
      <c r="AD1394" s="1375"/>
      <c r="AE1394" s="772">
        <f>SUM(S1394,T1394,U1394)</f>
        <v>0</v>
      </c>
      <c r="AF1394" s="772">
        <f>SUM(V1394,W1394,X1394)</f>
        <v>0</v>
      </c>
      <c r="AG1394" s="772">
        <f>SUM(Y1394,Z1394,AA1394)</f>
        <v>0</v>
      </c>
      <c r="AH1394" s="772">
        <f>SUM(AB1394,AC1394,AD1394)</f>
        <v>0</v>
      </c>
      <c r="AI1394" s="772">
        <f>AE1394+AF1394</f>
        <v>0</v>
      </c>
      <c r="AJ1394" s="772">
        <f>AH1394+AG1394</f>
        <v>0</v>
      </c>
      <c r="AK1394" s="772">
        <f>AI1394+AJ1394</f>
        <v>0</v>
      </c>
    </row>
    <row r="1395" spans="1:37" ht="14.5">
      <c r="A1395" s="1693">
        <f t="shared" si="1920"/>
        <v>1378</v>
      </c>
      <c r="B1395" s="616">
        <v>1</v>
      </c>
      <c r="C1395" s="1693">
        <f t="shared" si="1945"/>
        <v>1395</v>
      </c>
      <c r="D1395" s="616">
        <v>1</v>
      </c>
      <c r="E1395" s="709" t="s">
        <v>512</v>
      </c>
      <c r="F1395" s="1572"/>
      <c r="G1395" s="519"/>
      <c r="H1395"/>
      <c r="I1395" s="4"/>
      <c r="J1395" s="1098"/>
      <c r="K1395" s="1120"/>
      <c r="L1395" s="342" t="s">
        <v>579</v>
      </c>
      <c r="M1395" s="343"/>
      <c r="N1395" s="343"/>
      <c r="O1395" s="344"/>
      <c r="P1395" s="344"/>
      <c r="Q1395" s="764"/>
      <c r="R1395" s="1779" t="str">
        <f>CHOOSE(2, "6722000004296", "IIS Gross Profit MX Indirect")</f>
        <v>IIS Gross Profit MX Indirect</v>
      </c>
      <c r="S1395" s="1376">
        <v>-227</v>
      </c>
      <c r="T1395" s="1376">
        <v>-217.89052000000001</v>
      </c>
      <c r="U1395" s="1376">
        <v>-242.21925083333301</v>
      </c>
      <c r="V1395" s="1376">
        <v>-55</v>
      </c>
      <c r="W1395" s="1376">
        <v>1462</v>
      </c>
      <c r="X1395" s="1376">
        <v>394.28987916666694</v>
      </c>
      <c r="Y1395" s="1376">
        <v>-181.78329083333298</v>
      </c>
      <c r="Z1395" s="1376">
        <v>-238.09810083333298</v>
      </c>
      <c r="AA1395" s="1376">
        <v>816.24349625000013</v>
      </c>
      <c r="AB1395" s="1376">
        <v>118.16829750000001</v>
      </c>
      <c r="AC1395" s="1376">
        <v>108.66154750000001</v>
      </c>
      <c r="AD1395" s="1376">
        <v>3713.0305874999999</v>
      </c>
      <c r="AE1395" s="773">
        <f>SUM(S1395,T1395,U1395)</f>
        <v>-687.10977083333307</v>
      </c>
      <c r="AF1395" s="773">
        <f>SUM(V1395,W1395,X1395)</f>
        <v>1801.2898791666669</v>
      </c>
      <c r="AG1395" s="773">
        <f>SUM(Y1395,Z1395,AA1395)</f>
        <v>396.36210458333414</v>
      </c>
      <c r="AH1395" s="773">
        <f>SUM(AB1395,AC1395,AD1395)</f>
        <v>3939.8604325000001</v>
      </c>
      <c r="AI1395" s="773">
        <f>AE1395+AF1395</f>
        <v>1114.1801083333339</v>
      </c>
      <c r="AJ1395" s="773">
        <f>AH1395+AG1395</f>
        <v>4336.2225370833339</v>
      </c>
      <c r="AK1395" s="773">
        <f>AI1395+AJ1395</f>
        <v>5450.4026454166678</v>
      </c>
    </row>
    <row r="1396" spans="1:37" ht="14.5">
      <c r="A1396" s="1693">
        <f t="shared" ref="A1396:A1459" si="1978">A1395+1</f>
        <v>1379</v>
      </c>
      <c r="B1396" s="616">
        <v>1</v>
      </c>
      <c r="C1396" s="1693">
        <f t="shared" si="1945"/>
        <v>1396</v>
      </c>
      <c r="D1396" s="616">
        <v>1</v>
      </c>
      <c r="E1396" s="709" t="s">
        <v>512</v>
      </c>
      <c r="F1396" s="1572"/>
      <c r="G1396" s="519"/>
      <c r="H1396"/>
      <c r="I1396" s="4"/>
      <c r="J1396" s="1098"/>
      <c r="K1396" s="1121" t="s">
        <v>580</v>
      </c>
      <c r="L1396" s="1120"/>
      <c r="M1396" s="1120"/>
      <c r="N1396" s="1120"/>
      <c r="O1396" s="1117"/>
      <c r="P1396" s="1117"/>
      <c r="Q1396" s="1118"/>
      <c r="R1396" s="1848" t="str">
        <f>CHOOSE(2, "6722000004297", "IIS Gross Profit DM")</f>
        <v>IIS Gross Profit DM</v>
      </c>
      <c r="S1396" s="1463">
        <v>0</v>
      </c>
      <c r="T1396" s="1463">
        <v>0</v>
      </c>
      <c r="U1396" s="1463">
        <v>0</v>
      </c>
      <c r="V1396" s="1463">
        <v>0</v>
      </c>
      <c r="W1396" s="1463">
        <v>0</v>
      </c>
      <c r="X1396" s="1463">
        <v>0</v>
      </c>
      <c r="Y1396" s="1463">
        <v>0</v>
      </c>
      <c r="Z1396" s="1463">
        <v>0</v>
      </c>
      <c r="AA1396" s="1463">
        <v>0</v>
      </c>
      <c r="AB1396" s="1463">
        <v>0</v>
      </c>
      <c r="AC1396" s="1463">
        <v>0</v>
      </c>
      <c r="AD1396" s="1463">
        <v>0</v>
      </c>
      <c r="AE1396" s="1463">
        <f>SUM(S1396,T1396,U1396)</f>
        <v>0</v>
      </c>
      <c r="AF1396" s="1463">
        <f>SUM(V1396,W1396,X1396)</f>
        <v>0</v>
      </c>
      <c r="AG1396" s="1463">
        <f>SUM(Y1396,Z1396,AA1396)</f>
        <v>0</v>
      </c>
      <c r="AH1396" s="1463">
        <f>SUM(AB1396,AC1396,AD1396)</f>
        <v>0</v>
      </c>
      <c r="AI1396" s="1463">
        <f>AE1396+AF1396</f>
        <v>0</v>
      </c>
      <c r="AJ1396" s="1463">
        <f>AH1396+AG1396</f>
        <v>0</v>
      </c>
      <c r="AK1396" s="1463">
        <f>AI1396+AJ1396</f>
        <v>0</v>
      </c>
    </row>
    <row r="1397" spans="1:37" ht="14.5">
      <c r="A1397" s="1693">
        <f t="shared" si="1978"/>
        <v>1380</v>
      </c>
      <c r="B1397" s="616">
        <v>1</v>
      </c>
      <c r="C1397" s="1693">
        <f t="shared" si="1945"/>
        <v>1397</v>
      </c>
      <c r="D1397" s="616">
        <v>1</v>
      </c>
      <c r="E1397" s="709" t="s">
        <v>512</v>
      </c>
      <c r="F1397" s="1572"/>
      <c r="G1397" s="519"/>
      <c r="H1397"/>
      <c r="I1397" s="4"/>
      <c r="J1397" s="1098"/>
      <c r="K1397" s="1116" t="s">
        <v>581</v>
      </c>
      <c r="L1397" s="1119"/>
      <c r="M1397" s="1119"/>
      <c r="N1397" s="1119"/>
      <c r="O1397" s="1116"/>
      <c r="P1397" s="1116"/>
      <c r="Q1397" s="1122"/>
      <c r="R1397" s="1848" t="str">
        <f>CHOOSE(2, "6722000004298", "IIS Gross Profit Gas")</f>
        <v>IIS Gross Profit Gas</v>
      </c>
      <c r="S1397" s="1464">
        <v>0</v>
      </c>
      <c r="T1397" s="1464">
        <v>0</v>
      </c>
      <c r="U1397" s="1464">
        <v>0</v>
      </c>
      <c r="V1397" s="1464">
        <v>0</v>
      </c>
      <c r="W1397" s="1464">
        <v>0</v>
      </c>
      <c r="X1397" s="1464">
        <v>0</v>
      </c>
      <c r="Y1397" s="1464">
        <v>0</v>
      </c>
      <c r="Z1397" s="1464">
        <v>0</v>
      </c>
      <c r="AA1397" s="1464">
        <v>0</v>
      </c>
      <c r="AB1397" s="1464">
        <v>0</v>
      </c>
      <c r="AC1397" s="1464">
        <v>0</v>
      </c>
      <c r="AD1397" s="1464">
        <v>0</v>
      </c>
      <c r="AE1397" s="1464">
        <f>SUM(S1397,T1397,U1397)</f>
        <v>0</v>
      </c>
      <c r="AF1397" s="1464">
        <f>SUM(V1397,W1397,X1397)</f>
        <v>0</v>
      </c>
      <c r="AG1397" s="1464">
        <f>SUM(Y1397,Z1397,AA1397)</f>
        <v>0</v>
      </c>
      <c r="AH1397" s="1464">
        <f>SUM(AB1397,AC1397,AD1397)</f>
        <v>0</v>
      </c>
      <c r="AI1397" s="1464">
        <f>AE1397+AF1397</f>
        <v>0</v>
      </c>
      <c r="AJ1397" s="1464">
        <f>AH1397+AG1397</f>
        <v>0</v>
      </c>
      <c r="AK1397" s="1464">
        <f>AI1397+AJ1397</f>
        <v>0</v>
      </c>
    </row>
    <row r="1398" spans="1:37" ht="14.5">
      <c r="A1398" s="1693">
        <f t="shared" si="1978"/>
        <v>1381</v>
      </c>
      <c r="B1398" s="616">
        <v>1</v>
      </c>
      <c r="C1398" s="1693">
        <f t="shared" si="1945"/>
        <v>1398</v>
      </c>
      <c r="D1398" s="616">
        <v>1</v>
      </c>
      <c r="E1398" s="709" t="s">
        <v>512</v>
      </c>
      <c r="F1398" s="1572"/>
      <c r="G1398" s="519"/>
      <c r="H1398"/>
      <c r="I1398" s="4"/>
      <c r="J1398" s="1109"/>
      <c r="K1398" s="3" t="s">
        <v>113</v>
      </c>
      <c r="L1398" s="4"/>
      <c r="M1398" s="4"/>
      <c r="N1398" s="4"/>
      <c r="O1398" s="4"/>
      <c r="P1398" s="4"/>
      <c r="Q1398" s="79"/>
      <c r="R1398" s="1785" t="str">
        <f>CHOOSE(2, "6722000004299", "IIS Gross Profit (%)")</f>
        <v>IIS Gross Profit (%)</v>
      </c>
      <c r="S1398" s="1223">
        <f t="shared" ref="S1398:AD1398" si="1979">IFERROR(S1383/S1353,0)</f>
        <v>-1.2404371584699454</v>
      </c>
      <c r="T1398" s="1223">
        <f t="shared" si="1979"/>
        <v>-1.74284530475124</v>
      </c>
      <c r="U1398" s="1223">
        <f t="shared" si="1979"/>
        <v>-0.13993024311573252</v>
      </c>
      <c r="V1398" s="1223">
        <f t="shared" si="1979"/>
        <v>0</v>
      </c>
      <c r="W1398" s="1223">
        <f t="shared" si="1979"/>
        <v>0.19986329460013671</v>
      </c>
      <c r="X1398" s="1223">
        <f t="shared" si="1979"/>
        <v>0.21806862406209113</v>
      </c>
      <c r="Y1398" s="1223">
        <f t="shared" si="1979"/>
        <v>-0.45904871422558835</v>
      </c>
      <c r="Z1398" s="1223">
        <f t="shared" si="1979"/>
        <v>-31.746413444444396</v>
      </c>
      <c r="AA1398" s="1223">
        <f t="shared" si="1979"/>
        <v>0.20978701051449311</v>
      </c>
      <c r="AB1398" s="1223">
        <f t="shared" si="1979"/>
        <v>0.11941981718408927</v>
      </c>
      <c r="AC1398" s="1223">
        <f t="shared" si="1979"/>
        <v>6.7981193451476046E-2</v>
      </c>
      <c r="AD1398" s="1223">
        <f t="shared" si="1979"/>
        <v>0.58015196442243089</v>
      </c>
      <c r="AE1398" s="1223">
        <f t="shared" ref="AE1398:AK1398" si="1980">IFERROR(AE1383/AE1353,0)</f>
        <v>-0.33698039785452477</v>
      </c>
      <c r="AF1398" s="1223">
        <f t="shared" si="1980"/>
        <v>0.19744274195905634</v>
      </c>
      <c r="AG1398" s="1223">
        <f t="shared" si="1980"/>
        <v>9.2299154367474753E-2</v>
      </c>
      <c r="AH1398" s="1223">
        <f t="shared" si="1980"/>
        <v>0.43834546456585688</v>
      </c>
      <c r="AI1398" s="1223">
        <f t="shared" si="1980"/>
        <v>9.9817965434284339E-2</v>
      </c>
      <c r="AJ1398" s="1223">
        <f t="shared" si="1980"/>
        <v>0.32646510918201754</v>
      </c>
      <c r="AK1398" s="1223">
        <f t="shared" si="1980"/>
        <v>0.22297082069277635</v>
      </c>
    </row>
    <row r="1399" spans="1:37" ht="14.5">
      <c r="A1399" s="1693">
        <f t="shared" si="1978"/>
        <v>1382</v>
      </c>
      <c r="B1399" s="616">
        <v>1</v>
      </c>
      <c r="C1399" s="1693">
        <f t="shared" si="1945"/>
        <v>1399</v>
      </c>
      <c r="D1399" s="616">
        <v>1</v>
      </c>
      <c r="E1399" s="709" t="s">
        <v>512</v>
      </c>
      <c r="F1399" s="1572"/>
      <c r="G1399" s="519"/>
      <c r="H1399"/>
      <c r="I1399" s="4"/>
      <c r="J1399" s="1098" t="s">
        <v>29</v>
      </c>
      <c r="K1399" s="1099"/>
      <c r="L1399" s="1100"/>
      <c r="M1399" s="1100"/>
      <c r="N1399" s="1100"/>
      <c r="O1399" s="1100"/>
      <c r="P1399" s="1100"/>
      <c r="Q1399" s="1101"/>
      <c r="R1399" s="1846" t="str">
        <f>CHOOSE(2, "6722000004300", "IIS SGA Expenses")</f>
        <v>IIS SGA Expenses</v>
      </c>
      <c r="S1399" s="1461">
        <f>SUM(S1400:S1402)</f>
        <v>347</v>
      </c>
      <c r="T1399" s="1461">
        <f t="shared" ref="T1399:AD1399" si="1981">SUM(T1400:T1402)</f>
        <v>393.71537635668653</v>
      </c>
      <c r="U1399" s="1461">
        <f t="shared" si="1981"/>
        <v>348.33629435754182</v>
      </c>
      <c r="V1399" s="1461">
        <f t="shared" si="1981"/>
        <v>368.22588816793933</v>
      </c>
      <c r="W1399" s="1461">
        <f t="shared" si="1981"/>
        <v>414.30408557898039</v>
      </c>
      <c r="X1399" s="1461">
        <f t="shared" si="1981"/>
        <v>326.67119610389608</v>
      </c>
      <c r="Y1399" s="1461">
        <f t="shared" si="1981"/>
        <v>354.06438470016798</v>
      </c>
      <c r="Z1399" s="1461">
        <f t="shared" si="1981"/>
        <v>581.8174137855691</v>
      </c>
      <c r="AA1399" s="1461">
        <f t="shared" si="1981"/>
        <v>633.02427611325868</v>
      </c>
      <c r="AB1399" s="1461">
        <f t="shared" si="1981"/>
        <v>470.98047649995186</v>
      </c>
      <c r="AC1399" s="1461">
        <f t="shared" si="1981"/>
        <v>520.25795125557556</v>
      </c>
      <c r="AD1399" s="1461">
        <f t="shared" si="1981"/>
        <v>439.32354594838466</v>
      </c>
      <c r="AE1399" s="1461">
        <f t="shared" ref="AE1399:AK1399" si="1982">SUM(AE1400:AE1402)</f>
        <v>1089.0516707142283</v>
      </c>
      <c r="AF1399" s="1461">
        <f t="shared" si="1982"/>
        <v>1109.2011698508156</v>
      </c>
      <c r="AG1399" s="1461">
        <f t="shared" si="1982"/>
        <v>1568.9060745989957</v>
      </c>
      <c r="AH1399" s="1461">
        <f t="shared" si="1982"/>
        <v>1430.5619737039119</v>
      </c>
      <c r="AI1399" s="1461">
        <f t="shared" si="1982"/>
        <v>2198.2528405650442</v>
      </c>
      <c r="AJ1399" s="1461">
        <f t="shared" si="1982"/>
        <v>2999.4680483029078</v>
      </c>
      <c r="AK1399" s="1461">
        <f t="shared" si="1982"/>
        <v>5197.7208888679515</v>
      </c>
    </row>
    <row r="1400" spans="1:37" ht="14.5">
      <c r="A1400" s="1693">
        <f t="shared" si="1978"/>
        <v>1383</v>
      </c>
      <c r="B1400" s="616">
        <v>1</v>
      </c>
      <c r="C1400" s="1693">
        <f t="shared" si="1945"/>
        <v>1400</v>
      </c>
      <c r="D1400" s="616">
        <v>1</v>
      </c>
      <c r="E1400" s="709" t="s">
        <v>512</v>
      </c>
      <c r="F1400" s="1572"/>
      <c r="G1400" s="519"/>
      <c r="H1400"/>
      <c r="I1400" s="4"/>
      <c r="J1400" s="27"/>
      <c r="K1400" s="36" t="s">
        <v>87</v>
      </c>
      <c r="L1400" s="4"/>
      <c r="M1400" s="4"/>
      <c r="N1400" s="3"/>
      <c r="O1400" s="3"/>
      <c r="P1400" s="3"/>
      <c r="Q1400" s="26"/>
      <c r="R1400" s="1790" t="str">
        <f>CHOOSE(2, "6722000004301", "IIS SGA Expenses Variable Expenses")</f>
        <v>IIS SGA Expenses Variable Expenses</v>
      </c>
      <c r="S1400" s="1222"/>
      <c r="T1400" s="1222"/>
      <c r="U1400" s="1222"/>
      <c r="V1400" s="1222"/>
      <c r="W1400" s="1222">
        <v>0</v>
      </c>
      <c r="X1400" s="1222">
        <v>0</v>
      </c>
      <c r="Y1400" s="1222">
        <v>0</v>
      </c>
      <c r="Z1400" s="1222">
        <v>0</v>
      </c>
      <c r="AA1400" s="1222">
        <v>0</v>
      </c>
      <c r="AB1400" s="1222">
        <v>0</v>
      </c>
      <c r="AC1400" s="1222">
        <v>0</v>
      </c>
      <c r="AD1400" s="1222">
        <v>0</v>
      </c>
      <c r="AE1400" s="1221">
        <f>SUM(S1400:U1400)</f>
        <v>0</v>
      </c>
      <c r="AF1400" s="1221">
        <f>SUM(V1400:X1400)</f>
        <v>0</v>
      </c>
      <c r="AG1400" s="1221">
        <f>SUM(Y1400:AA1400)</f>
        <v>0</v>
      </c>
      <c r="AH1400" s="1221">
        <f>SUM(AB1400:AD1400)</f>
        <v>0</v>
      </c>
      <c r="AI1400" s="1221">
        <f>AE1400+AF1400</f>
        <v>0</v>
      </c>
      <c r="AJ1400" s="1221">
        <f>AH1400+AG1400</f>
        <v>0</v>
      </c>
      <c r="AK1400" s="1221">
        <f>AI1400+AJ1400</f>
        <v>0</v>
      </c>
    </row>
    <row r="1401" spans="1:37" ht="14.5">
      <c r="A1401" s="1693">
        <f t="shared" si="1978"/>
        <v>1384</v>
      </c>
      <c r="B1401" s="616">
        <v>1</v>
      </c>
      <c r="C1401" s="1693">
        <f t="shared" si="1945"/>
        <v>1401</v>
      </c>
      <c r="D1401" s="616">
        <v>1</v>
      </c>
      <c r="E1401" s="709" t="s">
        <v>512</v>
      </c>
      <c r="F1401" s="1572"/>
      <c r="G1401" s="519"/>
      <c r="H1401"/>
      <c r="I1401" s="4"/>
      <c r="J1401" s="27"/>
      <c r="K1401" s="36" t="s">
        <v>88</v>
      </c>
      <c r="L1401" s="4"/>
      <c r="M1401" s="4"/>
      <c r="N1401" s="3"/>
      <c r="O1401" s="3"/>
      <c r="P1401" s="3"/>
      <c r="Q1401" s="26"/>
      <c r="R1401" s="1790" t="str">
        <f>CHOOSE(2, "6722000004302", "IIS SGA Expenses Wages &amp; Salaries")</f>
        <v>IIS SGA Expenses Wages &amp; Salaries</v>
      </c>
      <c r="S1401" s="1222">
        <v>323</v>
      </c>
      <c r="T1401" s="1222">
        <v>365</v>
      </c>
      <c r="U1401" s="1222">
        <v>332.3709188442906</v>
      </c>
      <c r="V1401" s="1222">
        <v>352.26051265468811</v>
      </c>
      <c r="W1401" s="1222">
        <v>382.79504779964475</v>
      </c>
      <c r="X1401" s="1222">
        <v>295.89979999999997</v>
      </c>
      <c r="Y1401" s="1222">
        <v>326.58697430590274</v>
      </c>
      <c r="Z1401" s="1222">
        <v>557.74515666666662</v>
      </c>
      <c r="AA1401" s="1222">
        <v>603.36638417967367</v>
      </c>
      <c r="AB1401" s="1222">
        <v>441.67039709883602</v>
      </c>
      <c r="AC1401" s="1222">
        <v>491.33588131363348</v>
      </c>
      <c r="AD1401" s="1222">
        <v>367.39369158633951</v>
      </c>
      <c r="AE1401" s="1221">
        <f>SUM(S1401:U1401)</f>
        <v>1020.3709188442906</v>
      </c>
      <c r="AF1401" s="1221">
        <f>SUM(V1401:X1401)</f>
        <v>1030.9553604543328</v>
      </c>
      <c r="AG1401" s="1221">
        <f>SUM(Y1401:AA1401)</f>
        <v>1487.6985151522431</v>
      </c>
      <c r="AH1401" s="1221">
        <f>SUM(AB1401:AD1401)</f>
        <v>1300.399969998809</v>
      </c>
      <c r="AI1401" s="1221">
        <f>AE1401+AF1401</f>
        <v>2051.3262792986234</v>
      </c>
      <c r="AJ1401" s="1221">
        <f>AH1401+AG1401</f>
        <v>2788.098485151052</v>
      </c>
      <c r="AK1401" s="1221">
        <f>AI1401+AJ1401</f>
        <v>4839.4247644496754</v>
      </c>
    </row>
    <row r="1402" spans="1:37" ht="14.5">
      <c r="A1402" s="1693">
        <f t="shared" si="1978"/>
        <v>1385</v>
      </c>
      <c r="B1402" s="616">
        <v>1</v>
      </c>
      <c r="C1402" s="1693">
        <f t="shared" si="1945"/>
        <v>1402</v>
      </c>
      <c r="D1402" s="616">
        <v>1</v>
      </c>
      <c r="E1402" s="709" t="s">
        <v>512</v>
      </c>
      <c r="F1402" s="1572"/>
      <c r="G1402" s="519"/>
      <c r="H1402"/>
      <c r="I1402" s="4"/>
      <c r="J1402" s="27"/>
      <c r="K1402" s="36" t="s">
        <v>89</v>
      </c>
      <c r="L1402" s="48"/>
      <c r="M1402" s="48"/>
      <c r="N1402" s="47"/>
      <c r="O1402" s="47"/>
      <c r="P1402" s="47"/>
      <c r="Q1402" s="46"/>
      <c r="R1402" s="1790" t="str">
        <f>CHOOSE(2, "6722000004303", "IIS SGA Expenses Fixed Expenses")</f>
        <v>IIS SGA Expenses Fixed Expenses</v>
      </c>
      <c r="S1402" s="1231">
        <v>24</v>
      </c>
      <c r="T1402" s="1231">
        <v>28.715376356686555</v>
      </c>
      <c r="U1402" s="1231">
        <v>15.965375513251212</v>
      </c>
      <c r="V1402" s="1231">
        <v>15.965375513251212</v>
      </c>
      <c r="W1402" s="1231">
        <v>31.509037779335639</v>
      </c>
      <c r="X1402" s="1231">
        <v>30.771396103896105</v>
      </c>
      <c r="Y1402" s="1231">
        <v>27.477410394265231</v>
      </c>
      <c r="Z1402" s="1231">
        <v>24.072257118902439</v>
      </c>
      <c r="AA1402" s="1231">
        <v>29.657891933585027</v>
      </c>
      <c r="AB1402" s="1231">
        <v>29.310079401115857</v>
      </c>
      <c r="AC1402" s="1231">
        <v>28.92206994194207</v>
      </c>
      <c r="AD1402" s="1231">
        <v>71.929854362045148</v>
      </c>
      <c r="AE1402" s="1230">
        <f>SUM(S1402:U1402)</f>
        <v>68.680751869937765</v>
      </c>
      <c r="AF1402" s="1230">
        <f>SUM(V1402:X1402)</f>
        <v>78.245809396482954</v>
      </c>
      <c r="AG1402" s="1230">
        <f>SUM(Y1402:AA1402)</f>
        <v>81.207559446752697</v>
      </c>
      <c r="AH1402" s="1230">
        <f>SUM(AB1402:AD1402)</f>
        <v>130.16200370510307</v>
      </c>
      <c r="AI1402" s="1230">
        <f>AE1402+AF1402</f>
        <v>146.92656126642072</v>
      </c>
      <c r="AJ1402" s="1230">
        <f>AH1402+AG1402</f>
        <v>211.36956315185577</v>
      </c>
      <c r="AK1402" s="1230">
        <f>AI1402+AJ1402</f>
        <v>358.29612441827646</v>
      </c>
    </row>
    <row r="1403" spans="1:37" ht="14.5">
      <c r="A1403" s="1693">
        <f t="shared" si="1978"/>
        <v>1386</v>
      </c>
      <c r="B1403" s="616">
        <v>1</v>
      </c>
      <c r="C1403" s="1693">
        <f t="shared" si="1945"/>
        <v>1403</v>
      </c>
      <c r="D1403" s="616">
        <v>1</v>
      </c>
      <c r="E1403" s="709" t="s">
        <v>512</v>
      </c>
      <c r="F1403" s="1572"/>
      <c r="G1403" s="519"/>
      <c r="H1403"/>
      <c r="I1403" s="4"/>
      <c r="J1403" s="1102" t="s">
        <v>56</v>
      </c>
      <c r="K1403" s="1103"/>
      <c r="L1403" s="1104"/>
      <c r="M1403" s="1104"/>
      <c r="N1403" s="1104"/>
      <c r="O1403" s="1104"/>
      <c r="P1403" s="1104"/>
      <c r="Q1403" s="1105"/>
      <c r="R1403" s="1774" t="str">
        <f>CHOOSE(2, "6722000004304", "IIS Business Contribution Profit")</f>
        <v>IIS Business Contribution Profit</v>
      </c>
      <c r="S1403" s="1193">
        <f t="shared" ref="S1403:AD1403" si="1983">S1383-S1399</f>
        <v>-574</v>
      </c>
      <c r="T1403" s="1193">
        <f t="shared" si="1983"/>
        <v>-611.60589635668657</v>
      </c>
      <c r="U1403" s="1193">
        <f t="shared" si="1983"/>
        <v>-590.5555451908748</v>
      </c>
      <c r="V1403" s="1193">
        <f t="shared" si="1983"/>
        <v>-423.22588816793933</v>
      </c>
      <c r="W1403" s="1193">
        <f t="shared" si="1983"/>
        <v>1047.6959144210196</v>
      </c>
      <c r="X1403" s="1193">
        <f t="shared" si="1983"/>
        <v>67.618683062770856</v>
      </c>
      <c r="Y1403" s="1193">
        <f t="shared" si="1983"/>
        <v>-535.84767553350093</v>
      </c>
      <c r="Z1403" s="1193">
        <f t="shared" si="1983"/>
        <v>-819.91551461890208</v>
      </c>
      <c r="AA1403" s="1193">
        <f t="shared" si="1983"/>
        <v>183.21922013674146</v>
      </c>
      <c r="AB1403" s="1193">
        <f t="shared" si="1983"/>
        <v>-352.81217899995187</v>
      </c>
      <c r="AC1403" s="1193">
        <f t="shared" si="1983"/>
        <v>-411.59640375557558</v>
      </c>
      <c r="AD1403" s="1193">
        <f t="shared" si="1983"/>
        <v>3273.7070415516155</v>
      </c>
      <c r="AE1403" s="159">
        <f t="shared" ref="AE1403:AK1403" si="1984">AE1383-AE1399</f>
        <v>-1776.1614415475615</v>
      </c>
      <c r="AF1403" s="159">
        <f t="shared" si="1984"/>
        <v>692.08870931585125</v>
      </c>
      <c r="AG1403" s="159">
        <f t="shared" si="1984"/>
        <v>-1172.5439700156617</v>
      </c>
      <c r="AH1403" s="159">
        <f t="shared" si="1984"/>
        <v>2509.2984587960882</v>
      </c>
      <c r="AI1403" s="159">
        <f t="shared" si="1984"/>
        <v>-1084.0727322317102</v>
      </c>
      <c r="AJ1403" s="159">
        <f t="shared" si="1984"/>
        <v>1336.7544887804261</v>
      </c>
      <c r="AK1403" s="159">
        <f t="shared" si="1984"/>
        <v>252.68175654871629</v>
      </c>
    </row>
    <row r="1404" spans="1:37" ht="14.5">
      <c r="A1404" s="1693">
        <f t="shared" si="1978"/>
        <v>1387</v>
      </c>
      <c r="B1404" s="616">
        <v>1</v>
      </c>
      <c r="C1404" s="1693">
        <f t="shared" si="1945"/>
        <v>1404</v>
      </c>
      <c r="D1404" s="616">
        <v>1</v>
      </c>
      <c r="E1404" s="709" t="s">
        <v>512</v>
      </c>
      <c r="F1404" s="1572"/>
      <c r="G1404" s="519"/>
      <c r="H1404"/>
      <c r="I1404" s="4"/>
      <c r="J1404" s="25"/>
      <c r="K1404" s="1" t="s">
        <v>55</v>
      </c>
      <c r="L1404" s="2"/>
      <c r="M1404" s="2"/>
      <c r="N1404" s="1"/>
      <c r="O1404" s="1"/>
      <c r="P1404" s="1"/>
      <c r="Q1404" s="24"/>
      <c r="R1404" s="1792" t="str">
        <f>CHOOSE(2, "6722000004305", "IIS Business Contribution Profit (%)")</f>
        <v>IIS Business Contribution Profit (%)</v>
      </c>
      <c r="S1404" s="1229">
        <f t="shared" ref="S1404:AD1404" si="1985">IFERROR(S1403/S1353,0)</f>
        <v>-3.1366120218579234</v>
      </c>
      <c r="T1404" s="1229">
        <f t="shared" si="1985"/>
        <v>-4.892064440543006</v>
      </c>
      <c r="U1404" s="1229">
        <f t="shared" si="1985"/>
        <v>-0.34116438197046495</v>
      </c>
      <c r="V1404" s="1229">
        <f t="shared" si="1985"/>
        <v>0</v>
      </c>
      <c r="W1404" s="1229">
        <f t="shared" si="1985"/>
        <v>0.14322568891606555</v>
      </c>
      <c r="X1404" s="1229">
        <f t="shared" si="1985"/>
        <v>3.7397645629539768E-2</v>
      </c>
      <c r="Y1404" s="1229">
        <f t="shared" si="1985"/>
        <v>-1.353150695791669</v>
      </c>
      <c r="Z1404" s="1229">
        <f t="shared" si="1985"/>
        <v>-109.32206861585361</v>
      </c>
      <c r="AA1404" s="1229">
        <f t="shared" si="1985"/>
        <v>4.7090130136254425E-2</v>
      </c>
      <c r="AB1404" s="1229">
        <f t="shared" si="1985"/>
        <v>-0.35654881053435189</v>
      </c>
      <c r="AC1404" s="1229">
        <f t="shared" si="1985"/>
        <v>-0.25750429099714067</v>
      </c>
      <c r="AD1404" s="1229">
        <f t="shared" si="1985"/>
        <v>0.51150873291848808</v>
      </c>
      <c r="AE1404" s="1229">
        <f t="shared" ref="AE1404:AK1404" si="1986">IFERROR(AE1403/AE1353,0)</f>
        <v>-0.87108583611125023</v>
      </c>
      <c r="AF1404" s="1229">
        <f t="shared" si="1986"/>
        <v>7.586113375013441E-2</v>
      </c>
      <c r="AG1404" s="1229">
        <f t="shared" si="1986"/>
        <v>-0.27304531800510018</v>
      </c>
      <c r="AH1404" s="1229">
        <f t="shared" si="1986"/>
        <v>0.27918237650804395</v>
      </c>
      <c r="AI1404" s="1229">
        <f t="shared" si="1986"/>
        <v>-9.7120684263536872E-2</v>
      </c>
      <c r="AJ1404" s="1229">
        <f t="shared" si="1986"/>
        <v>0.10064144457465768</v>
      </c>
      <c r="AK1404" s="1229">
        <f t="shared" si="1986"/>
        <v>1.0336971834390503E-2</v>
      </c>
    </row>
    <row r="1405" spans="1:37" ht="14.5">
      <c r="A1405" s="1693">
        <f t="shared" si="1978"/>
        <v>1388</v>
      </c>
      <c r="B1405" s="616">
        <v>1</v>
      </c>
      <c r="C1405" s="1693">
        <f t="shared" si="1945"/>
        <v>1405</v>
      </c>
      <c r="D1405" s="616">
        <v>1</v>
      </c>
      <c r="E1405" s="709" t="s">
        <v>512</v>
      </c>
      <c r="F1405" s="1572"/>
      <c r="G1405" s="519"/>
      <c r="H1405"/>
      <c r="I1405" s="4"/>
      <c r="J1405" s="53" t="s">
        <v>91</v>
      </c>
      <c r="K1405" s="447"/>
      <c r="L1405" s="514"/>
      <c r="M1405" s="514"/>
      <c r="N1405" s="447"/>
      <c r="O1405" s="447"/>
      <c r="P1405" s="447"/>
      <c r="Q1405" s="515"/>
      <c r="R1405" s="1790" t="str">
        <f>CHOOSE(2, "6722000004306", "IIS Other Income")</f>
        <v>IIS Other Income</v>
      </c>
      <c r="S1405" s="1197"/>
      <c r="T1405" s="1556"/>
      <c r="U1405" s="1556"/>
      <c r="V1405" s="1556"/>
      <c r="W1405" s="1556"/>
      <c r="X1405" s="1556"/>
      <c r="Y1405" s="1556"/>
      <c r="Z1405" s="1556"/>
      <c r="AA1405" s="1556"/>
      <c r="AB1405" s="1556"/>
      <c r="AC1405" s="1556"/>
      <c r="AD1405" s="1556"/>
      <c r="AE1405" s="107">
        <f>SUM(S1405:U1405)</f>
        <v>0</v>
      </c>
      <c r="AF1405" s="107">
        <f>SUM(V1405:X1405)</f>
        <v>0</v>
      </c>
      <c r="AG1405" s="107">
        <f>SUM(Y1405:AA1405)</f>
        <v>0</v>
      </c>
      <c r="AH1405" s="107">
        <f>SUM(AB1405:AD1405)</f>
        <v>0</v>
      </c>
      <c r="AI1405" s="107">
        <f>AE1405+AF1405</f>
        <v>0</v>
      </c>
      <c r="AJ1405" s="107">
        <f>AH1405+AG1405</f>
        <v>0</v>
      </c>
      <c r="AK1405" s="107">
        <f>AI1405+AJ1405</f>
        <v>0</v>
      </c>
    </row>
    <row r="1406" spans="1:37" ht="14.5">
      <c r="A1406" s="1693">
        <f t="shared" si="1978"/>
        <v>1389</v>
      </c>
      <c r="B1406" s="616">
        <v>1</v>
      </c>
      <c r="C1406" s="1693">
        <f t="shared" si="1945"/>
        <v>1406</v>
      </c>
      <c r="D1406" s="616">
        <v>1</v>
      </c>
      <c r="E1406" s="709" t="s">
        <v>512</v>
      </c>
      <c r="F1406" s="1572"/>
      <c r="G1406" s="519"/>
      <c r="H1406"/>
      <c r="I1406" s="4"/>
      <c r="J1406" s="106" t="s">
        <v>73</v>
      </c>
      <c r="K1406" s="104"/>
      <c r="L1406" s="105"/>
      <c r="M1406" s="105"/>
      <c r="N1406" s="104"/>
      <c r="O1406" s="104"/>
      <c r="P1406" s="104"/>
      <c r="Q1406" s="103"/>
      <c r="R1406" s="1790" t="str">
        <f>CHOOSE(2, "6722000004307", "IIS Other Expenses")</f>
        <v>IIS Other Expenses</v>
      </c>
      <c r="S1406" s="1216"/>
      <c r="T1406" s="1557"/>
      <c r="U1406" s="1557"/>
      <c r="V1406" s="1557"/>
      <c r="W1406" s="1557"/>
      <c r="X1406" s="1557"/>
      <c r="Y1406" s="1557"/>
      <c r="Z1406" s="1557"/>
      <c r="AA1406" s="1557"/>
      <c r="AB1406" s="1557"/>
      <c r="AC1406" s="1557"/>
      <c r="AD1406" s="1557"/>
      <c r="AE1406" s="80">
        <f>SUM(S1406:U1406)</f>
        <v>0</v>
      </c>
      <c r="AF1406" s="80">
        <f>SUM(V1406:X1406)</f>
        <v>0</v>
      </c>
      <c r="AG1406" s="80">
        <f>SUM(Y1406:AA1406)</f>
        <v>0</v>
      </c>
      <c r="AH1406" s="80">
        <f>SUM(AB1406:AD1406)</f>
        <v>0</v>
      </c>
      <c r="AI1406" s="80">
        <f>AE1406+AF1406</f>
        <v>0</v>
      </c>
      <c r="AJ1406" s="80">
        <f>AH1406+AG1406</f>
        <v>0</v>
      </c>
      <c r="AK1406" s="80">
        <f>AI1406+AJ1406</f>
        <v>0</v>
      </c>
    </row>
    <row r="1407" spans="1:37" ht="14.5">
      <c r="A1407" s="1693">
        <f t="shared" si="1978"/>
        <v>1390</v>
      </c>
      <c r="B1407" s="616">
        <v>1</v>
      </c>
      <c r="C1407" s="1693">
        <f t="shared" si="1945"/>
        <v>1407</v>
      </c>
      <c r="D1407" s="616">
        <v>1</v>
      </c>
      <c r="E1407" s="709" t="s">
        <v>512</v>
      </c>
      <c r="F1407" s="1572"/>
      <c r="G1407" s="519"/>
      <c r="H1407"/>
      <c r="I1407" s="4"/>
      <c r="J1407" s="1102" t="s">
        <v>92</v>
      </c>
      <c r="K1407" s="1103"/>
      <c r="L1407" s="1104"/>
      <c r="M1407" s="1104"/>
      <c r="N1407" s="1104"/>
      <c r="O1407" s="1104"/>
      <c r="P1407" s="1104"/>
      <c r="Q1407" s="1105"/>
      <c r="R1407" s="1774" t="str">
        <f>CHOOSE(2, "6722000004308", "IIS Operating Profit")</f>
        <v>IIS Operating Profit</v>
      </c>
      <c r="S1407" s="1193">
        <f t="shared" ref="S1407:AD1407" si="1987">S1403+S1405-S1406</f>
        <v>-574</v>
      </c>
      <c r="T1407" s="1184">
        <f t="shared" si="1987"/>
        <v>-611.60589635668657</v>
      </c>
      <c r="U1407" s="1184">
        <f t="shared" si="1987"/>
        <v>-590.5555451908748</v>
      </c>
      <c r="V1407" s="1184">
        <f t="shared" si="1987"/>
        <v>-423.22588816793933</v>
      </c>
      <c r="W1407" s="1184">
        <f t="shared" si="1987"/>
        <v>1047.6959144210196</v>
      </c>
      <c r="X1407" s="1184">
        <f t="shared" si="1987"/>
        <v>67.618683062770856</v>
      </c>
      <c r="Y1407" s="1184">
        <f t="shared" si="1987"/>
        <v>-535.84767553350093</v>
      </c>
      <c r="Z1407" s="1184">
        <f t="shared" si="1987"/>
        <v>-819.91551461890208</v>
      </c>
      <c r="AA1407" s="1184">
        <f t="shared" si="1987"/>
        <v>183.21922013674146</v>
      </c>
      <c r="AB1407" s="1184">
        <f t="shared" si="1987"/>
        <v>-352.81217899995187</v>
      </c>
      <c r="AC1407" s="1184">
        <f t="shared" si="1987"/>
        <v>-411.59640375557558</v>
      </c>
      <c r="AD1407" s="1184">
        <f t="shared" si="1987"/>
        <v>3273.7070415516155</v>
      </c>
      <c r="AE1407" s="1106">
        <f t="shared" ref="AE1407:AK1407" si="1988">AE1403+AE1405-AE1406</f>
        <v>-1776.1614415475615</v>
      </c>
      <c r="AF1407" s="1106">
        <f t="shared" si="1988"/>
        <v>692.08870931585125</v>
      </c>
      <c r="AG1407" s="1106">
        <f t="shared" si="1988"/>
        <v>-1172.5439700156617</v>
      </c>
      <c r="AH1407" s="1106">
        <f t="shared" si="1988"/>
        <v>2509.2984587960882</v>
      </c>
      <c r="AI1407" s="1106">
        <f t="shared" si="1988"/>
        <v>-1084.0727322317102</v>
      </c>
      <c r="AJ1407" s="1106">
        <f t="shared" si="1988"/>
        <v>1336.7544887804261</v>
      </c>
      <c r="AK1407" s="1106">
        <f t="shared" si="1988"/>
        <v>252.68175654871629</v>
      </c>
    </row>
    <row r="1408" spans="1:37" ht="14.5">
      <c r="A1408" s="1693">
        <f t="shared" si="1978"/>
        <v>1391</v>
      </c>
      <c r="B1408" s="616">
        <v>1</v>
      </c>
      <c r="C1408" s="1693">
        <f t="shared" si="1945"/>
        <v>1408</v>
      </c>
      <c r="D1408" s="616">
        <v>1</v>
      </c>
      <c r="E1408" s="709" t="s">
        <v>512</v>
      </c>
      <c r="F1408" s="1572"/>
      <c r="G1408" s="519"/>
      <c r="H1408"/>
      <c r="I1408" s="4"/>
      <c r="J1408" s="25"/>
      <c r="K1408" s="1" t="s">
        <v>55</v>
      </c>
      <c r="L1408" s="2"/>
      <c r="M1408" s="2"/>
      <c r="N1408" s="1"/>
      <c r="O1408" s="1"/>
      <c r="P1408" s="1"/>
      <c r="Q1408" s="24"/>
      <c r="R1408" s="1792" t="str">
        <f>CHOOSE(2, "6722000004309", "IIS Operating Profit (%)")</f>
        <v>IIS Operating Profit (%)</v>
      </c>
      <c r="S1408" s="1229">
        <f t="shared" ref="S1408:AD1408" si="1989">IFERROR(S1407/S1353,0)</f>
        <v>-3.1366120218579234</v>
      </c>
      <c r="T1408" s="1229">
        <f t="shared" si="1989"/>
        <v>-4.892064440543006</v>
      </c>
      <c r="U1408" s="1229">
        <f t="shared" si="1989"/>
        <v>-0.34116438197046495</v>
      </c>
      <c r="V1408" s="1229">
        <f t="shared" si="1989"/>
        <v>0</v>
      </c>
      <c r="W1408" s="1229">
        <f t="shared" si="1989"/>
        <v>0.14322568891606555</v>
      </c>
      <c r="X1408" s="1229">
        <f t="shared" si="1989"/>
        <v>3.7397645629539768E-2</v>
      </c>
      <c r="Y1408" s="1229">
        <f t="shared" si="1989"/>
        <v>-1.353150695791669</v>
      </c>
      <c r="Z1408" s="1229">
        <f t="shared" si="1989"/>
        <v>-109.32206861585361</v>
      </c>
      <c r="AA1408" s="1229">
        <f t="shared" si="1989"/>
        <v>4.7090130136254425E-2</v>
      </c>
      <c r="AB1408" s="1229">
        <f t="shared" si="1989"/>
        <v>-0.35654881053435189</v>
      </c>
      <c r="AC1408" s="1229">
        <f t="shared" si="1989"/>
        <v>-0.25750429099714067</v>
      </c>
      <c r="AD1408" s="1229">
        <f t="shared" si="1989"/>
        <v>0.51150873291848808</v>
      </c>
      <c r="AE1408" s="1229">
        <f t="shared" ref="AE1408:AK1408" si="1990">IFERROR(AE1407/AE1353,0)</f>
        <v>-0.87108583611125023</v>
      </c>
      <c r="AF1408" s="1229">
        <f t="shared" si="1990"/>
        <v>7.586113375013441E-2</v>
      </c>
      <c r="AG1408" s="1229">
        <f t="shared" si="1990"/>
        <v>-0.27304531800510018</v>
      </c>
      <c r="AH1408" s="1229">
        <f t="shared" si="1990"/>
        <v>0.27918237650804395</v>
      </c>
      <c r="AI1408" s="1229">
        <f t="shared" si="1990"/>
        <v>-9.7120684263536872E-2</v>
      </c>
      <c r="AJ1408" s="1229">
        <f t="shared" si="1990"/>
        <v>0.10064144457465768</v>
      </c>
      <c r="AK1408" s="1229">
        <f t="shared" si="1990"/>
        <v>1.0336971834390503E-2</v>
      </c>
    </row>
    <row r="1409" spans="1:37" ht="14.5">
      <c r="A1409" s="1693">
        <f t="shared" si="1978"/>
        <v>1392</v>
      </c>
      <c r="B1409" s="616">
        <v>1</v>
      </c>
      <c r="C1409" s="1693">
        <f t="shared" si="1945"/>
        <v>1409</v>
      </c>
      <c r="D1409" s="616">
        <v>1</v>
      </c>
      <c r="E1409" s="709" t="s">
        <v>512</v>
      </c>
      <c r="F1409" s="1572"/>
      <c r="G1409" s="519"/>
      <c r="H1409"/>
      <c r="I1409" s="4"/>
      <c r="J1409" s="4"/>
      <c r="K1409" s="3"/>
      <c r="L1409" s="4"/>
      <c r="M1409" s="4"/>
      <c r="N1409" s="3"/>
      <c r="O1409" s="3"/>
      <c r="P1409" s="3"/>
      <c r="Q1409" s="3"/>
      <c r="R1409" s="1847" t="str">
        <f>CHOOSE(2, "6722000004310", "▷ Blank 55")</f>
        <v>▷ Blank 55</v>
      </c>
      <c r="S1409" s="1678"/>
      <c r="T1409" s="1678"/>
      <c r="U1409" s="1678"/>
      <c r="V1409" s="1678"/>
      <c r="W1409" s="1678"/>
      <c r="X1409" s="1678"/>
      <c r="Y1409" s="1678"/>
      <c r="Z1409" s="1678"/>
      <c r="AA1409" s="1678"/>
      <c r="AB1409" s="1678"/>
      <c r="AC1409" s="1678"/>
      <c r="AD1409" s="1678"/>
      <c r="AE1409" s="1678"/>
      <c r="AF1409" s="1678"/>
      <c r="AG1409" s="1678"/>
      <c r="AH1409" s="1678"/>
      <c r="AI1409" s="1678"/>
      <c r="AJ1409" s="1678"/>
      <c r="AK1409" s="1678"/>
    </row>
    <row r="1410" spans="1:37" ht="14.5">
      <c r="A1410" s="1693">
        <f t="shared" si="1978"/>
        <v>1393</v>
      </c>
      <c r="B1410" s="616">
        <v>1</v>
      </c>
      <c r="C1410" s="1693">
        <f t="shared" si="1945"/>
        <v>1410</v>
      </c>
      <c r="D1410" s="616">
        <v>1</v>
      </c>
      <c r="E1410" s="709" t="s">
        <v>512</v>
      </c>
      <c r="F1410" s="1572"/>
      <c r="G1410" s="519"/>
      <c r="H1410" s="35" t="s">
        <v>781</v>
      </c>
      <c r="I1410" s="9"/>
      <c r="K1410"/>
      <c r="L1410"/>
      <c r="M1410"/>
      <c r="N1410"/>
      <c r="O1410"/>
      <c r="P1410"/>
      <c r="Q1410"/>
      <c r="R1410" s="1845" t="str">
        <f>CHOOSE(2, "6722000004311", "9-3. Headcount : includes BIC, IIS(Mobotix and DM)")</f>
        <v>9-3. Headcount : includes BIC, IIS(Mobotix and DM)</v>
      </c>
      <c r="S1410"/>
      <c r="T1410"/>
      <c r="U1410"/>
      <c r="V1410"/>
      <c r="W1410"/>
      <c r="X1410"/>
      <c r="Y1410"/>
      <c r="Z1410"/>
      <c r="AA1410"/>
      <c r="AB1410"/>
      <c r="AC1410" s="3413"/>
      <c r="AD1410"/>
      <c r="AE1410"/>
      <c r="AF1410"/>
      <c r="AG1410"/>
      <c r="AH1410"/>
      <c r="AI1410"/>
      <c r="AJ1410"/>
      <c r="AK1410"/>
    </row>
    <row r="1411" spans="1:37" ht="14.5">
      <c r="A1411" s="1693">
        <f t="shared" si="1978"/>
        <v>1394</v>
      </c>
      <c r="B1411" s="616">
        <v>1</v>
      </c>
      <c r="C1411" s="1693">
        <f t="shared" si="1945"/>
        <v>1411</v>
      </c>
      <c r="D1411" s="616">
        <v>1</v>
      </c>
      <c r="E1411" s="709" t="s">
        <v>512</v>
      </c>
      <c r="F1411" s="1572"/>
      <c r="G1411" s="519"/>
      <c r="H1411" s="206"/>
      <c r="I1411" s="4" t="s">
        <v>782</v>
      </c>
      <c r="J1411" s="4"/>
      <c r="K1411" s="3"/>
      <c r="L1411" s="4"/>
      <c r="M1411" s="4"/>
      <c r="N1411" s="3"/>
      <c r="O1411" s="3"/>
      <c r="P1411" s="3"/>
      <c r="Q1411" s="3"/>
      <c r="R1411" s="1773" t="str">
        <f>CHOOSE(2, "6722000004312", "(0) Total : BT + BIC +IIS")</f>
        <v>(0) Total : BT + BIC +IIS</v>
      </c>
      <c r="S1411" s="1609"/>
      <c r="T1411" s="1609"/>
      <c r="U1411" s="1609"/>
      <c r="V1411" s="1609"/>
      <c r="W1411" s="1609"/>
      <c r="X1411" s="1609"/>
      <c r="Y1411" s="1627"/>
      <c r="Z1411" s="1627"/>
      <c r="AA1411" s="1627"/>
      <c r="AB1411" s="1627"/>
      <c r="AC1411" s="454"/>
      <c r="AD1411" s="454"/>
      <c r="AE1411" s="454"/>
      <c r="AF1411" s="454"/>
      <c r="AG1411" s="454"/>
      <c r="AH1411" s="454"/>
      <c r="AI1411" s="454"/>
      <c r="AJ1411" s="454"/>
      <c r="AK1411" s="454"/>
    </row>
    <row r="1412" spans="1:37" ht="14.5">
      <c r="A1412" s="1693">
        <f t="shared" si="1978"/>
        <v>1395</v>
      </c>
      <c r="B1412" s="616">
        <v>1</v>
      </c>
      <c r="C1412" s="1693">
        <f t="shared" si="1945"/>
        <v>1412</v>
      </c>
      <c r="D1412" s="616">
        <v>1</v>
      </c>
      <c r="E1412" s="709" t="s">
        <v>512</v>
      </c>
      <c r="F1412" s="1572"/>
      <c r="G1412" s="519"/>
      <c r="H1412" s="206"/>
      <c r="I1412" s="206" t="s">
        <v>50</v>
      </c>
      <c r="J1412" s="198"/>
      <c r="K1412" s="51"/>
      <c r="L1412" s="52"/>
      <c r="M1412" s="52"/>
      <c r="N1412" s="51"/>
      <c r="O1412" s="51"/>
      <c r="P1412" s="51"/>
      <c r="Q1412" s="51"/>
      <c r="R1412" s="1773" t="str">
        <f>CHOOSE(2, "6722000004313", "▷ Blank 56")</f>
        <v>▷ Blank 56</v>
      </c>
      <c r="S1412" s="1611">
        <f t="shared" ref="S1412:AD1412" si="1991">S13</f>
        <v>45017</v>
      </c>
      <c r="T1412" s="1611">
        <f t="shared" si="1991"/>
        <v>45047</v>
      </c>
      <c r="U1412" s="1611">
        <f t="shared" si="1991"/>
        <v>45078</v>
      </c>
      <c r="V1412" s="1611">
        <f t="shared" si="1991"/>
        <v>45108</v>
      </c>
      <c r="W1412" s="1611">
        <f t="shared" si="1991"/>
        <v>45139</v>
      </c>
      <c r="X1412" s="1611">
        <f t="shared" si="1991"/>
        <v>45170</v>
      </c>
      <c r="Y1412" s="1611">
        <f t="shared" si="1991"/>
        <v>45200</v>
      </c>
      <c r="Z1412" s="1611">
        <f t="shared" si="1991"/>
        <v>45231</v>
      </c>
      <c r="AA1412" s="1611">
        <f t="shared" si="1991"/>
        <v>45261</v>
      </c>
      <c r="AB1412" s="1611">
        <f t="shared" si="1991"/>
        <v>45292</v>
      </c>
      <c r="AC1412" s="1611">
        <f t="shared" si="1991"/>
        <v>45323</v>
      </c>
      <c r="AD1412" s="1611">
        <f t="shared" si="1991"/>
        <v>45352</v>
      </c>
      <c r="AE1412" s="1611" t="str">
        <f t="shared" ref="AE1412:AK1412" si="1992">AE13</f>
        <v>Q1</v>
      </c>
      <c r="AF1412" s="1611" t="str">
        <f t="shared" si="1992"/>
        <v>Q2</v>
      </c>
      <c r="AG1412" s="1611" t="str">
        <f t="shared" si="1992"/>
        <v>Q3</v>
      </c>
      <c r="AH1412" s="1611" t="str">
        <f t="shared" si="1992"/>
        <v>Q4</v>
      </c>
      <c r="AI1412" s="1611" t="str">
        <f t="shared" si="1992"/>
        <v>1st H</v>
      </c>
      <c r="AJ1412" s="1611" t="str">
        <f t="shared" si="1992"/>
        <v>2nd H</v>
      </c>
      <c r="AK1412" s="1611" t="str">
        <f t="shared" si="1992"/>
        <v>FY23</v>
      </c>
    </row>
    <row r="1413" spans="1:37" ht="14.5">
      <c r="A1413" s="1693">
        <f t="shared" si="1978"/>
        <v>1396</v>
      </c>
      <c r="B1413" s="616">
        <v>1</v>
      </c>
      <c r="C1413" s="1693">
        <f t="shared" si="1945"/>
        <v>1413</v>
      </c>
      <c r="D1413" s="616">
        <v>1</v>
      </c>
      <c r="E1413" s="709" t="s">
        <v>512</v>
      </c>
      <c r="F1413" s="1572"/>
      <c r="G1413" s="519"/>
      <c r="H1413" s="206"/>
      <c r="I1413" s="206" t="s">
        <v>50</v>
      </c>
      <c r="J1413" s="199" t="s">
        <v>202</v>
      </c>
      <c r="K1413" s="1115"/>
      <c r="L1413" s="861"/>
      <c r="M1413" s="861"/>
      <c r="N1413" s="861"/>
      <c r="O1413" s="861"/>
      <c r="P1413" s="861"/>
      <c r="Q1413" s="861"/>
      <c r="R1413" s="1774" t="str">
        <f>CHOOSE(2, "6722000004314", "Total FE/TTOC")</f>
        <v>Total FE/TTOC</v>
      </c>
      <c r="S1413" s="1193">
        <f t="shared" ref="S1413:AD1413" si="1993">S1414+S1415+S1416+S1417+S1418</f>
        <v>736</v>
      </c>
      <c r="T1413" s="1193">
        <f t="shared" si="1993"/>
        <v>737</v>
      </c>
      <c r="U1413" s="1193">
        <f t="shared" si="1993"/>
        <v>729</v>
      </c>
      <c r="V1413" s="1193">
        <f t="shared" si="1993"/>
        <v>752</v>
      </c>
      <c r="W1413" s="1193">
        <f t="shared" si="1993"/>
        <v>749</v>
      </c>
      <c r="X1413" s="1193">
        <f t="shared" si="1993"/>
        <v>750</v>
      </c>
      <c r="Y1413" s="1193">
        <f t="shared" si="1993"/>
        <v>753</v>
      </c>
      <c r="Z1413" s="1193">
        <f t="shared" si="1993"/>
        <v>754</v>
      </c>
      <c r="AA1413" s="1193">
        <f t="shared" si="1993"/>
        <v>750</v>
      </c>
      <c r="AB1413" s="1193">
        <f t="shared" si="1993"/>
        <v>762</v>
      </c>
      <c r="AC1413" s="1193">
        <f t="shared" si="1993"/>
        <v>765</v>
      </c>
      <c r="AD1413" s="1193">
        <f t="shared" si="1993"/>
        <v>768</v>
      </c>
      <c r="AE1413" s="875">
        <f t="shared" ref="AE1413:AK1413" si="1994">AE1414+AE1415+AE1416+AE1417+AE1418</f>
        <v>729</v>
      </c>
      <c r="AF1413" s="875">
        <f t="shared" si="1994"/>
        <v>750</v>
      </c>
      <c r="AG1413" s="875">
        <f t="shared" si="1994"/>
        <v>750</v>
      </c>
      <c r="AH1413" s="875">
        <f t="shared" si="1994"/>
        <v>768</v>
      </c>
      <c r="AI1413" s="875">
        <f t="shared" si="1994"/>
        <v>750</v>
      </c>
      <c r="AJ1413" s="875">
        <f t="shared" si="1994"/>
        <v>768</v>
      </c>
      <c r="AK1413" s="875">
        <f t="shared" si="1994"/>
        <v>768</v>
      </c>
    </row>
    <row r="1414" spans="1:37" ht="14.5">
      <c r="A1414" s="1693">
        <f t="shared" si="1978"/>
        <v>1397</v>
      </c>
      <c r="B1414" s="616">
        <v>1</v>
      </c>
      <c r="C1414" s="1693">
        <f t="shared" si="1945"/>
        <v>1414</v>
      </c>
      <c r="D1414" s="616">
        <v>1</v>
      </c>
      <c r="E1414" s="709" t="s">
        <v>512</v>
      </c>
      <c r="F1414" s="1572"/>
      <c r="G1414" s="519"/>
      <c r="H1414" s="206"/>
      <c r="I1414" s="206" t="s">
        <v>50</v>
      </c>
      <c r="J1414" s="1112"/>
      <c r="K1414" s="4" t="s">
        <v>46</v>
      </c>
      <c r="L1414" s="4"/>
      <c r="M1414" s="4"/>
      <c r="N1414" s="3"/>
      <c r="O1414" s="3"/>
      <c r="P1414" s="3"/>
      <c r="Q1414" s="26"/>
      <c r="R1414" s="1786" t="str">
        <f>CHOOSE(2, "6722000004315", "Total FE/TTOC Sales Total")</f>
        <v>Total FE/TTOC Sales Total</v>
      </c>
      <c r="S1414" s="1289">
        <f t="shared" ref="S1414:AD1414" si="1995">S888+S1423+S1432</f>
        <v>181</v>
      </c>
      <c r="T1414" s="1289">
        <f t="shared" si="1995"/>
        <v>183</v>
      </c>
      <c r="U1414" s="1289">
        <f t="shared" si="1995"/>
        <v>180</v>
      </c>
      <c r="V1414" s="1289">
        <f t="shared" si="1995"/>
        <v>187</v>
      </c>
      <c r="W1414" s="1289">
        <f t="shared" si="1995"/>
        <v>187</v>
      </c>
      <c r="X1414" s="1289">
        <f t="shared" si="1995"/>
        <v>184</v>
      </c>
      <c r="Y1414" s="1289">
        <f t="shared" si="1995"/>
        <v>184</v>
      </c>
      <c r="Z1414" s="1289">
        <f t="shared" si="1995"/>
        <v>184</v>
      </c>
      <c r="AA1414" s="1289">
        <f t="shared" si="1995"/>
        <v>182</v>
      </c>
      <c r="AB1414" s="1289">
        <f t="shared" si="1995"/>
        <v>188</v>
      </c>
      <c r="AC1414" s="1289">
        <f t="shared" si="1995"/>
        <v>187</v>
      </c>
      <c r="AD1414" s="1289">
        <f t="shared" si="1995"/>
        <v>188</v>
      </c>
      <c r="AE1414" s="1289">
        <f t="shared" ref="AE1414:AK1414" si="1996">AE888+AE1423+AE1432</f>
        <v>180</v>
      </c>
      <c r="AF1414" s="1289">
        <f t="shared" si="1996"/>
        <v>184</v>
      </c>
      <c r="AG1414" s="1289">
        <f t="shared" si="1996"/>
        <v>182</v>
      </c>
      <c r="AH1414" s="1289">
        <f t="shared" si="1996"/>
        <v>188</v>
      </c>
      <c r="AI1414" s="1289">
        <f t="shared" si="1996"/>
        <v>184</v>
      </c>
      <c r="AJ1414" s="1289">
        <f t="shared" si="1996"/>
        <v>188</v>
      </c>
      <c r="AK1414" s="1289">
        <f t="shared" si="1996"/>
        <v>188</v>
      </c>
    </row>
    <row r="1415" spans="1:37" ht="14.5">
      <c r="A1415" s="1693">
        <f t="shared" si="1978"/>
        <v>1398</v>
      </c>
      <c r="B1415" s="616">
        <v>1</v>
      </c>
      <c r="C1415" s="1693">
        <f t="shared" si="1945"/>
        <v>1415</v>
      </c>
      <c r="D1415" s="616">
        <v>1</v>
      </c>
      <c r="E1415" s="709" t="s">
        <v>512</v>
      </c>
      <c r="F1415" s="1572"/>
      <c r="G1415" s="519"/>
      <c r="H1415" s="206"/>
      <c r="I1415" s="206" t="s">
        <v>50</v>
      </c>
      <c r="J1415" s="1112"/>
      <c r="K1415" s="4" t="s">
        <v>137</v>
      </c>
      <c r="L1415" s="4"/>
      <c r="M1415" s="4"/>
      <c r="N1415" s="3"/>
      <c r="O1415" s="3"/>
      <c r="P1415" s="3"/>
      <c r="Q1415" s="26"/>
      <c r="R1415" s="1784" t="str">
        <f>CHOOSE(2, "6722000004316", "Total FE/TTOC Service Total")</f>
        <v>Total FE/TTOC Service Total</v>
      </c>
      <c r="S1415" s="1289">
        <f t="shared" ref="S1415:AD1415" si="1997">S893+S1424+S1433</f>
        <v>424</v>
      </c>
      <c r="T1415" s="1289">
        <f t="shared" si="1997"/>
        <v>424</v>
      </c>
      <c r="U1415" s="1289">
        <f t="shared" si="1997"/>
        <v>421</v>
      </c>
      <c r="V1415" s="1289">
        <f t="shared" si="1997"/>
        <v>433</v>
      </c>
      <c r="W1415" s="1289">
        <f t="shared" si="1997"/>
        <v>430</v>
      </c>
      <c r="X1415" s="1289">
        <f t="shared" si="1997"/>
        <v>433</v>
      </c>
      <c r="Y1415" s="1289">
        <f t="shared" si="1997"/>
        <v>435</v>
      </c>
      <c r="Z1415" s="1289">
        <f t="shared" si="1997"/>
        <v>437</v>
      </c>
      <c r="AA1415" s="1289">
        <f t="shared" si="1997"/>
        <v>439</v>
      </c>
      <c r="AB1415" s="1289">
        <f t="shared" si="1997"/>
        <v>444</v>
      </c>
      <c r="AC1415" s="1289">
        <f t="shared" si="1997"/>
        <v>443</v>
      </c>
      <c r="AD1415" s="1289">
        <f t="shared" si="1997"/>
        <v>444</v>
      </c>
      <c r="AE1415" s="37">
        <f t="shared" ref="AE1415:AK1415" si="1998">AE893+AE1424+AE1433</f>
        <v>421</v>
      </c>
      <c r="AF1415" s="37">
        <f t="shared" si="1998"/>
        <v>433</v>
      </c>
      <c r="AG1415" s="37">
        <f t="shared" si="1998"/>
        <v>439</v>
      </c>
      <c r="AH1415" s="37">
        <f t="shared" si="1998"/>
        <v>444</v>
      </c>
      <c r="AI1415" s="37">
        <f t="shared" si="1998"/>
        <v>433</v>
      </c>
      <c r="AJ1415" s="37">
        <f t="shared" si="1998"/>
        <v>444</v>
      </c>
      <c r="AK1415" s="37">
        <f t="shared" si="1998"/>
        <v>444</v>
      </c>
    </row>
    <row r="1416" spans="1:37" ht="14.5">
      <c r="A1416" s="1693">
        <f t="shared" si="1978"/>
        <v>1399</v>
      </c>
      <c r="B1416" s="616">
        <v>1</v>
      </c>
      <c r="C1416" s="1693">
        <f t="shared" si="1945"/>
        <v>1416</v>
      </c>
      <c r="D1416" s="616">
        <v>1</v>
      </c>
      <c r="E1416" s="709" t="s">
        <v>512</v>
      </c>
      <c r="F1416" s="1572"/>
      <c r="G1416" s="519"/>
      <c r="H1416" s="206"/>
      <c r="I1416" s="206" t="s">
        <v>50</v>
      </c>
      <c r="J1416" s="1112"/>
      <c r="K1416" s="4" t="s">
        <v>176</v>
      </c>
      <c r="L1416" s="4"/>
      <c r="M1416" s="4"/>
      <c r="N1416" s="3"/>
      <c r="O1416" s="3"/>
      <c r="P1416" s="3"/>
      <c r="Q1416" s="26"/>
      <c r="R1416" s="1784" t="str">
        <f>CHOOSE(2, "6722000004317", "Total FE/TTOC Marketing Total")</f>
        <v>Total FE/TTOC Marketing Total</v>
      </c>
      <c r="S1416" s="1289">
        <f t="shared" ref="S1416:AD1416" si="1999">S899+S1425+S1434</f>
        <v>17</v>
      </c>
      <c r="T1416" s="1289">
        <f t="shared" si="1999"/>
        <v>17</v>
      </c>
      <c r="U1416" s="1289">
        <f t="shared" si="1999"/>
        <v>17</v>
      </c>
      <c r="V1416" s="1289">
        <f t="shared" si="1999"/>
        <v>17</v>
      </c>
      <c r="W1416" s="1289">
        <f t="shared" si="1999"/>
        <v>16</v>
      </c>
      <c r="X1416" s="1289">
        <f t="shared" si="1999"/>
        <v>16</v>
      </c>
      <c r="Y1416" s="1289">
        <f t="shared" si="1999"/>
        <v>16</v>
      </c>
      <c r="Z1416" s="1289">
        <f t="shared" si="1999"/>
        <v>16</v>
      </c>
      <c r="AA1416" s="1289">
        <f t="shared" si="1999"/>
        <v>16</v>
      </c>
      <c r="AB1416" s="1289">
        <f t="shared" si="1999"/>
        <v>17</v>
      </c>
      <c r="AC1416" s="1289">
        <f t="shared" si="1999"/>
        <v>18</v>
      </c>
      <c r="AD1416" s="1289">
        <f t="shared" si="1999"/>
        <v>19</v>
      </c>
      <c r="AE1416" s="37">
        <f t="shared" ref="AE1416:AK1416" si="2000">AE899+AE1425+AE1434</f>
        <v>17</v>
      </c>
      <c r="AF1416" s="37">
        <f t="shared" si="2000"/>
        <v>16</v>
      </c>
      <c r="AG1416" s="37">
        <f t="shared" si="2000"/>
        <v>16</v>
      </c>
      <c r="AH1416" s="37">
        <f t="shared" si="2000"/>
        <v>19</v>
      </c>
      <c r="AI1416" s="37">
        <f t="shared" si="2000"/>
        <v>16</v>
      </c>
      <c r="AJ1416" s="37">
        <f t="shared" si="2000"/>
        <v>19</v>
      </c>
      <c r="AK1416" s="37">
        <f t="shared" si="2000"/>
        <v>19</v>
      </c>
    </row>
    <row r="1417" spans="1:37" ht="14.5">
      <c r="A1417" s="1693">
        <f t="shared" si="1978"/>
        <v>1400</v>
      </c>
      <c r="B1417" s="616">
        <v>1</v>
      </c>
      <c r="C1417" s="1693">
        <f t="shared" si="1945"/>
        <v>1417</v>
      </c>
      <c r="D1417" s="616">
        <v>1</v>
      </c>
      <c r="E1417" s="709" t="s">
        <v>512</v>
      </c>
      <c r="F1417" s="1572"/>
      <c r="G1417" s="519"/>
      <c r="H1417" s="206"/>
      <c r="I1417" s="206" t="s">
        <v>50</v>
      </c>
      <c r="J1417" s="1112"/>
      <c r="K1417" s="4" t="s">
        <v>138</v>
      </c>
      <c r="L1417" s="4"/>
      <c r="M1417" s="4"/>
      <c r="N1417" s="3"/>
      <c r="O1417" s="3"/>
      <c r="P1417" s="3"/>
      <c r="Q1417" s="26"/>
      <c r="R1417" s="1784" t="str">
        <f>CHOOSE(2, "6722000004318", "Total FE/TTOC Administration Total")</f>
        <v>Total FE/TTOC Administration Total</v>
      </c>
      <c r="S1417" s="1289">
        <f t="shared" ref="S1417:AD1417" si="2001">S904+S1426+S1435</f>
        <v>76</v>
      </c>
      <c r="T1417" s="1289">
        <f t="shared" si="2001"/>
        <v>76</v>
      </c>
      <c r="U1417" s="1289">
        <f t="shared" si="2001"/>
        <v>74</v>
      </c>
      <c r="V1417" s="1289">
        <f t="shared" si="2001"/>
        <v>76</v>
      </c>
      <c r="W1417" s="1289">
        <f t="shared" si="2001"/>
        <v>77</v>
      </c>
      <c r="X1417" s="1289">
        <f t="shared" si="2001"/>
        <v>78</v>
      </c>
      <c r="Y1417" s="1289">
        <f t="shared" si="2001"/>
        <v>79</v>
      </c>
      <c r="Z1417" s="1289">
        <f t="shared" si="2001"/>
        <v>79</v>
      </c>
      <c r="AA1417" s="1289">
        <f t="shared" si="2001"/>
        <v>76</v>
      </c>
      <c r="AB1417" s="1289">
        <f t="shared" si="2001"/>
        <v>76</v>
      </c>
      <c r="AC1417" s="1289">
        <f t="shared" si="2001"/>
        <v>78</v>
      </c>
      <c r="AD1417" s="1289">
        <f t="shared" si="2001"/>
        <v>78</v>
      </c>
      <c r="AE1417" s="37">
        <f t="shared" ref="AE1417:AK1417" si="2002">AE904+AE1426+AE1435</f>
        <v>74</v>
      </c>
      <c r="AF1417" s="37">
        <f t="shared" si="2002"/>
        <v>78</v>
      </c>
      <c r="AG1417" s="37">
        <f t="shared" si="2002"/>
        <v>76</v>
      </c>
      <c r="AH1417" s="37">
        <f t="shared" si="2002"/>
        <v>78</v>
      </c>
      <c r="AI1417" s="37">
        <f t="shared" si="2002"/>
        <v>78</v>
      </c>
      <c r="AJ1417" s="37">
        <f t="shared" si="2002"/>
        <v>78</v>
      </c>
      <c r="AK1417" s="37">
        <f t="shared" si="2002"/>
        <v>78</v>
      </c>
    </row>
    <row r="1418" spans="1:37" ht="14.5">
      <c r="A1418" s="1693">
        <f t="shared" si="1978"/>
        <v>1401</v>
      </c>
      <c r="B1418" s="616">
        <v>1</v>
      </c>
      <c r="C1418" s="1693">
        <f t="shared" si="1945"/>
        <v>1418</v>
      </c>
      <c r="D1418" s="616">
        <v>1</v>
      </c>
      <c r="E1418" s="709" t="s">
        <v>512</v>
      </c>
      <c r="F1418" s="1572"/>
      <c r="G1418" s="519"/>
      <c r="H1418" s="206"/>
      <c r="I1418" s="206" t="s">
        <v>50</v>
      </c>
      <c r="J1418" s="1112"/>
      <c r="K1418" s="2" t="s">
        <v>139</v>
      </c>
      <c r="L1418" s="2"/>
      <c r="M1418" s="2"/>
      <c r="N1418" s="1"/>
      <c r="O1418" s="1"/>
      <c r="P1418" s="1"/>
      <c r="Q1418" s="24"/>
      <c r="R1418" s="1784" t="str">
        <f>CHOOSE(2, "6722000004319", "Total FE/TTOC Logistics Total")</f>
        <v>Total FE/TTOC Logistics Total</v>
      </c>
      <c r="S1418" s="1290">
        <f t="shared" ref="S1418:AD1418" si="2003">S910+S1427+S1436</f>
        <v>38</v>
      </c>
      <c r="T1418" s="1290">
        <f t="shared" si="2003"/>
        <v>37</v>
      </c>
      <c r="U1418" s="1290">
        <f t="shared" si="2003"/>
        <v>37</v>
      </c>
      <c r="V1418" s="1290">
        <f t="shared" si="2003"/>
        <v>39</v>
      </c>
      <c r="W1418" s="1290">
        <f t="shared" si="2003"/>
        <v>39</v>
      </c>
      <c r="X1418" s="1290">
        <f t="shared" si="2003"/>
        <v>39</v>
      </c>
      <c r="Y1418" s="1290">
        <f t="shared" si="2003"/>
        <v>39</v>
      </c>
      <c r="Z1418" s="1290">
        <f t="shared" si="2003"/>
        <v>38</v>
      </c>
      <c r="AA1418" s="1290">
        <f t="shared" si="2003"/>
        <v>37</v>
      </c>
      <c r="AB1418" s="1290">
        <f t="shared" si="2003"/>
        <v>37</v>
      </c>
      <c r="AC1418" s="1290">
        <f t="shared" si="2003"/>
        <v>39</v>
      </c>
      <c r="AD1418" s="1290">
        <f t="shared" si="2003"/>
        <v>39</v>
      </c>
      <c r="AE1418" s="60">
        <f t="shared" ref="AE1418:AK1418" si="2004">AE910+AE1427+AE1436</f>
        <v>37</v>
      </c>
      <c r="AF1418" s="60">
        <f t="shared" si="2004"/>
        <v>39</v>
      </c>
      <c r="AG1418" s="60">
        <f t="shared" si="2004"/>
        <v>37</v>
      </c>
      <c r="AH1418" s="60">
        <f t="shared" si="2004"/>
        <v>39</v>
      </c>
      <c r="AI1418" s="60">
        <f t="shared" si="2004"/>
        <v>39</v>
      </c>
      <c r="AJ1418" s="60">
        <f t="shared" si="2004"/>
        <v>39</v>
      </c>
      <c r="AK1418" s="60">
        <f t="shared" si="2004"/>
        <v>39</v>
      </c>
    </row>
    <row r="1419" spans="1:37" ht="14.5">
      <c r="A1419" s="1693">
        <f t="shared" si="1978"/>
        <v>1402</v>
      </c>
      <c r="B1419" s="616">
        <v>1</v>
      </c>
      <c r="C1419" s="1693">
        <f t="shared" si="1945"/>
        <v>1419</v>
      </c>
      <c r="D1419" s="616">
        <v>1</v>
      </c>
      <c r="E1419" s="709" t="s">
        <v>512</v>
      </c>
      <c r="F1419" s="1572"/>
      <c r="G1419" s="519"/>
      <c r="H1419" s="206"/>
      <c r="I1419" s="206" t="s">
        <v>50</v>
      </c>
      <c r="J1419" s="246" t="s">
        <v>182</v>
      </c>
      <c r="K1419" s="247"/>
      <c r="L1419" s="248"/>
      <c r="M1419" s="248"/>
      <c r="N1419" s="247"/>
      <c r="O1419" s="247"/>
      <c r="P1419" s="247"/>
      <c r="Q1419" s="249"/>
      <c r="R1419" s="1784" t="str">
        <f>CHOOSE(2, "6722000004320", "Total Semi-Full-Time/Part-Time Employees /Contractors")</f>
        <v>Total Semi-Full-Time/Part-Time Employees /Contractors</v>
      </c>
      <c r="S1419" s="1256">
        <f t="shared" ref="S1419:AD1419" si="2005">S914+S1428+S1437</f>
        <v>27</v>
      </c>
      <c r="T1419" s="1256">
        <f t="shared" si="2005"/>
        <v>25</v>
      </c>
      <c r="U1419" s="1256">
        <f t="shared" si="2005"/>
        <v>27</v>
      </c>
      <c r="V1419" s="1256">
        <f t="shared" si="2005"/>
        <v>28</v>
      </c>
      <c r="W1419" s="1256">
        <f t="shared" si="2005"/>
        <v>29</v>
      </c>
      <c r="X1419" s="1256">
        <f t="shared" si="2005"/>
        <v>28</v>
      </c>
      <c r="Y1419" s="1256">
        <f t="shared" si="2005"/>
        <v>28</v>
      </c>
      <c r="Z1419" s="1256">
        <f t="shared" si="2005"/>
        <v>28</v>
      </c>
      <c r="AA1419" s="1256">
        <f t="shared" si="2005"/>
        <v>28</v>
      </c>
      <c r="AB1419" s="1256">
        <f t="shared" si="2005"/>
        <v>31</v>
      </c>
      <c r="AC1419" s="1256">
        <f t="shared" si="2005"/>
        <v>32</v>
      </c>
      <c r="AD1419" s="1256">
        <f t="shared" si="2005"/>
        <v>34</v>
      </c>
      <c r="AE1419" s="250">
        <f t="shared" ref="AE1419:AK1419" si="2006">AE914+AE1428+AE1437</f>
        <v>27</v>
      </c>
      <c r="AF1419" s="250">
        <f t="shared" si="2006"/>
        <v>28</v>
      </c>
      <c r="AG1419" s="250">
        <f t="shared" si="2006"/>
        <v>28</v>
      </c>
      <c r="AH1419" s="250">
        <f t="shared" si="2006"/>
        <v>34</v>
      </c>
      <c r="AI1419" s="250">
        <f t="shared" si="2006"/>
        <v>28</v>
      </c>
      <c r="AJ1419" s="250">
        <f t="shared" si="2006"/>
        <v>34</v>
      </c>
      <c r="AK1419" s="250">
        <f t="shared" si="2006"/>
        <v>34</v>
      </c>
    </row>
    <row r="1420" spans="1:37" ht="14.5">
      <c r="A1420" s="1693">
        <f t="shared" si="1978"/>
        <v>1403</v>
      </c>
      <c r="B1420" s="616">
        <v>1</v>
      </c>
      <c r="C1420" s="1693">
        <f t="shared" si="1945"/>
        <v>1420</v>
      </c>
      <c r="D1420" s="616">
        <v>1</v>
      </c>
      <c r="E1420" s="709" t="s">
        <v>512</v>
      </c>
      <c r="F1420" s="1572"/>
      <c r="G1420" s="519"/>
      <c r="H1420" s="206"/>
      <c r="I1420" s="4"/>
      <c r="J1420" s="4"/>
      <c r="K1420" s="3"/>
      <c r="L1420" s="4"/>
      <c r="M1420" s="4"/>
      <c r="N1420" s="3"/>
      <c r="O1420" s="3"/>
      <c r="P1420" s="3"/>
      <c r="Q1420" s="3"/>
      <c r="R1420" s="1773" t="str">
        <f>CHOOSE(2, "6722000004321", "▷ Blank 57")</f>
        <v>▷ Blank 57</v>
      </c>
      <c r="S1420" s="1629"/>
      <c r="T1420" s="1629"/>
      <c r="U1420" s="1629"/>
      <c r="V1420" s="1629"/>
      <c r="W1420" s="1629"/>
      <c r="X1420" s="1629"/>
      <c r="Y1420" s="1629"/>
      <c r="Z1420" s="1629"/>
      <c r="AA1420" s="1629"/>
      <c r="AB1420" s="1629"/>
      <c r="AC1420" s="454"/>
      <c r="AD1420" s="454"/>
      <c r="AE1420" s="454"/>
      <c r="AF1420" s="454"/>
      <c r="AG1420" s="454"/>
      <c r="AH1420" s="454"/>
      <c r="AI1420" s="454"/>
      <c r="AJ1420" s="454"/>
      <c r="AK1420" s="454"/>
    </row>
    <row r="1421" spans="1:37" ht="14.5">
      <c r="A1421" s="1693">
        <f t="shared" si="1978"/>
        <v>1404</v>
      </c>
      <c r="B1421" s="616">
        <v>1</v>
      </c>
      <c r="C1421" s="1693">
        <f t="shared" si="1945"/>
        <v>1421</v>
      </c>
      <c r="D1421" s="616">
        <v>1</v>
      </c>
      <c r="E1421" s="709" t="s">
        <v>512</v>
      </c>
      <c r="F1421" s="1572"/>
      <c r="G1421" s="519"/>
      <c r="H1421" s="4"/>
      <c r="I1421" s="4" t="s">
        <v>279</v>
      </c>
      <c r="J1421" s="4"/>
      <c r="K1421" s="3"/>
      <c r="L1421" s="4"/>
      <c r="M1421" s="4"/>
      <c r="N1421" s="34"/>
      <c r="O1421" s="3"/>
      <c r="P1421" s="3"/>
      <c r="Q1421" s="3"/>
      <c r="R1421" s="1773" t="str">
        <f>CHOOSE(2, "6722000004322", "(1) BIC")</f>
        <v>(1) BIC</v>
      </c>
      <c r="S1421" s="1609"/>
      <c r="T1421" s="1609"/>
      <c r="U1421" s="1609"/>
      <c r="V1421" s="1609"/>
      <c r="W1421" s="1609"/>
      <c r="X1421" s="1609"/>
      <c r="Y1421" s="1609"/>
      <c r="Z1421" s="1609"/>
      <c r="AA1421" s="1609"/>
      <c r="AB1421" s="1609"/>
      <c r="AC1421" s="454"/>
      <c r="AD1421" s="454"/>
      <c r="AE1421" s="454"/>
      <c r="AF1421" s="454"/>
      <c r="AG1421" s="454"/>
      <c r="AH1421" s="454"/>
      <c r="AI1421" s="454"/>
      <c r="AJ1421" s="454"/>
      <c r="AK1421" s="454"/>
    </row>
    <row r="1422" spans="1:37" ht="14.5">
      <c r="A1422" s="1693">
        <f t="shared" si="1978"/>
        <v>1405</v>
      </c>
      <c r="B1422" s="616">
        <v>1</v>
      </c>
      <c r="C1422" s="1693">
        <f t="shared" si="1945"/>
        <v>1422</v>
      </c>
      <c r="D1422" s="616">
        <v>1</v>
      </c>
      <c r="E1422" s="709" t="s">
        <v>512</v>
      </c>
      <c r="F1422" s="1572"/>
      <c r="G1422" s="519"/>
      <c r="H1422" s="206"/>
      <c r="I1422" s="206" t="s">
        <v>50</v>
      </c>
      <c r="J1422" s="199" t="s">
        <v>202</v>
      </c>
      <c r="K1422" s="1110"/>
      <c r="L1422" s="1111"/>
      <c r="M1422" s="1111"/>
      <c r="N1422" s="1111"/>
      <c r="O1422" s="1111"/>
      <c r="P1422" s="1111"/>
      <c r="Q1422" s="1111"/>
      <c r="R1422" s="1774" t="str">
        <f>CHOOSE(2, "6722000004323", "BIC FE/TTOC")</f>
        <v>BIC FE/TTOC</v>
      </c>
      <c r="S1422" s="1193">
        <f>SUM(S1423:S1427)</f>
        <v>0</v>
      </c>
      <c r="T1422" s="1193">
        <f t="shared" ref="T1422:AD1422" si="2007">SUM(T1423:T1427)</f>
        <v>0</v>
      </c>
      <c r="U1422" s="1193">
        <f t="shared" si="2007"/>
        <v>0</v>
      </c>
      <c r="V1422" s="1193">
        <f t="shared" si="2007"/>
        <v>0</v>
      </c>
      <c r="W1422" s="1193">
        <f t="shared" si="2007"/>
        <v>0</v>
      </c>
      <c r="X1422" s="1193">
        <f t="shared" si="2007"/>
        <v>0</v>
      </c>
      <c r="Y1422" s="1193">
        <f t="shared" si="2007"/>
        <v>0</v>
      </c>
      <c r="Z1422" s="1193">
        <f t="shared" si="2007"/>
        <v>0</v>
      </c>
      <c r="AA1422" s="1193">
        <f t="shared" si="2007"/>
        <v>0</v>
      </c>
      <c r="AB1422" s="1193">
        <f t="shared" si="2007"/>
        <v>0</v>
      </c>
      <c r="AC1422" s="1193">
        <f t="shared" si="2007"/>
        <v>0</v>
      </c>
      <c r="AD1422" s="1193">
        <f t="shared" si="2007"/>
        <v>0</v>
      </c>
      <c r="AE1422" s="159">
        <f t="shared" ref="AE1422:AK1422" si="2008">SUM(AE1423:AE1427)</f>
        <v>0</v>
      </c>
      <c r="AF1422" s="159">
        <f t="shared" si="2008"/>
        <v>0</v>
      </c>
      <c r="AG1422" s="159">
        <f t="shared" si="2008"/>
        <v>0</v>
      </c>
      <c r="AH1422" s="159">
        <f t="shared" si="2008"/>
        <v>0</v>
      </c>
      <c r="AI1422" s="159">
        <f t="shared" si="2008"/>
        <v>0</v>
      </c>
      <c r="AJ1422" s="159">
        <f t="shared" si="2008"/>
        <v>0</v>
      </c>
      <c r="AK1422" s="159">
        <f t="shared" si="2008"/>
        <v>0</v>
      </c>
    </row>
    <row r="1423" spans="1:37" ht="14.5">
      <c r="A1423" s="1693">
        <f t="shared" si="1978"/>
        <v>1406</v>
      </c>
      <c r="B1423" s="616">
        <v>1</v>
      </c>
      <c r="C1423" s="1693">
        <f t="shared" ref="C1423:C1486" si="2009">C1422+1</f>
        <v>1423</v>
      </c>
      <c r="D1423" s="616">
        <v>1</v>
      </c>
      <c r="E1423" s="709" t="s">
        <v>512</v>
      </c>
      <c r="F1423" s="1572"/>
      <c r="G1423" s="519"/>
      <c r="H1423" s="4"/>
      <c r="I1423" s="4"/>
      <c r="J1423" s="1112"/>
      <c r="K1423" s="207" t="s">
        <v>46</v>
      </c>
      <c r="L1423" s="33"/>
      <c r="M1423" s="33"/>
      <c r="N1423" s="32"/>
      <c r="O1423" s="32"/>
      <c r="P1423" s="32"/>
      <c r="Q1423" s="50"/>
      <c r="R1423" s="1800" t="str">
        <f>CHOOSE(2, "6722000004324", "BIC FE/TTOC Sales Total")</f>
        <v>BIC FE/TTOC Sales Total</v>
      </c>
      <c r="S1423" s="1556"/>
      <c r="T1423" s="1556"/>
      <c r="U1423" s="1556"/>
      <c r="V1423" s="1556"/>
      <c r="W1423" s="1556"/>
      <c r="X1423" s="1556"/>
      <c r="Y1423" s="1556"/>
      <c r="Z1423" s="1556"/>
      <c r="AA1423" s="1556"/>
      <c r="AB1423" s="1556"/>
      <c r="AC1423" s="1556"/>
      <c r="AD1423" s="1556"/>
      <c r="AE1423" s="436">
        <f t="shared" ref="AE1423:AE1428" si="2010">U1423</f>
        <v>0</v>
      </c>
      <c r="AF1423" s="436">
        <f t="shared" ref="AF1423:AF1428" si="2011">X1423</f>
        <v>0</v>
      </c>
      <c r="AG1423" s="436">
        <f t="shared" ref="AG1423:AG1428" si="2012">AA1423</f>
        <v>0</v>
      </c>
      <c r="AH1423" s="436">
        <f t="shared" ref="AH1423:AH1428" si="2013">AD1423</f>
        <v>0</v>
      </c>
      <c r="AI1423" s="436">
        <f t="shared" ref="AI1423:AI1428" si="2014">AF1423</f>
        <v>0</v>
      </c>
      <c r="AJ1423" s="436">
        <f t="shared" ref="AJ1423:AJ1428" si="2015">AH1423</f>
        <v>0</v>
      </c>
      <c r="AK1423" s="436">
        <f t="shared" ref="AK1423:AK1428" si="2016">AJ1423</f>
        <v>0</v>
      </c>
    </row>
    <row r="1424" spans="1:37" ht="14.5">
      <c r="A1424" s="1693">
        <f t="shared" si="1978"/>
        <v>1407</v>
      </c>
      <c r="B1424" s="616">
        <v>1</v>
      </c>
      <c r="C1424" s="1693">
        <f t="shared" si="2009"/>
        <v>1424</v>
      </c>
      <c r="D1424" s="616">
        <v>1</v>
      </c>
      <c r="E1424" s="709" t="s">
        <v>512</v>
      </c>
      <c r="F1424" s="1572"/>
      <c r="G1424" s="519"/>
      <c r="H1424" s="4"/>
      <c r="I1424" s="4"/>
      <c r="J1424" s="1112"/>
      <c r="K1424" s="27" t="s">
        <v>137</v>
      </c>
      <c r="L1424" s="4"/>
      <c r="M1424" s="4"/>
      <c r="N1424" s="3"/>
      <c r="O1424" s="3"/>
      <c r="P1424" s="3"/>
      <c r="Q1424" s="26"/>
      <c r="R1424" s="1800" t="str">
        <f>CHOOSE(2, "6722000004325", "BIC FE/TTOC Service Total")</f>
        <v>BIC FE/TTOC Service Total</v>
      </c>
      <c r="S1424" s="1558"/>
      <c r="T1424" s="1558"/>
      <c r="U1424" s="1558"/>
      <c r="V1424" s="1558"/>
      <c r="W1424" s="1558"/>
      <c r="X1424" s="1558"/>
      <c r="Y1424" s="1558"/>
      <c r="Z1424" s="1558"/>
      <c r="AA1424" s="1558"/>
      <c r="AB1424" s="1558"/>
      <c r="AC1424" s="1558"/>
      <c r="AD1424" s="1558"/>
      <c r="AE1424" s="437">
        <f t="shared" si="2010"/>
        <v>0</v>
      </c>
      <c r="AF1424" s="437">
        <f t="shared" si="2011"/>
        <v>0</v>
      </c>
      <c r="AG1424" s="437">
        <f t="shared" si="2012"/>
        <v>0</v>
      </c>
      <c r="AH1424" s="437">
        <f t="shared" si="2013"/>
        <v>0</v>
      </c>
      <c r="AI1424" s="437">
        <f t="shared" si="2014"/>
        <v>0</v>
      </c>
      <c r="AJ1424" s="437">
        <f t="shared" si="2015"/>
        <v>0</v>
      </c>
      <c r="AK1424" s="437">
        <f t="shared" si="2016"/>
        <v>0</v>
      </c>
    </row>
    <row r="1425" spans="1:37" ht="14.5">
      <c r="A1425" s="1693">
        <f t="shared" si="1978"/>
        <v>1408</v>
      </c>
      <c r="B1425" s="616">
        <v>1</v>
      </c>
      <c r="C1425" s="1693">
        <f t="shared" si="2009"/>
        <v>1425</v>
      </c>
      <c r="D1425" s="616">
        <v>1</v>
      </c>
      <c r="E1425" s="709" t="s">
        <v>512</v>
      </c>
      <c r="F1425" s="1572"/>
      <c r="G1425" s="519"/>
      <c r="H1425" s="4"/>
      <c r="I1425" s="4"/>
      <c r="J1425" s="1112"/>
      <c r="K1425" s="27" t="s">
        <v>258</v>
      </c>
      <c r="L1425" s="4"/>
      <c r="M1425" s="4"/>
      <c r="N1425" s="3"/>
      <c r="O1425" s="3"/>
      <c r="P1425" s="3"/>
      <c r="Q1425" s="26"/>
      <c r="R1425" s="1800" t="str">
        <f>CHOOSE(2, "6722000004326", "BIC FE/TTOC MarketingTotal")</f>
        <v>BIC FE/TTOC MarketingTotal</v>
      </c>
      <c r="S1425" s="1558"/>
      <c r="T1425" s="1558"/>
      <c r="U1425" s="1558"/>
      <c r="V1425" s="1558"/>
      <c r="W1425" s="1558"/>
      <c r="X1425" s="1558"/>
      <c r="Y1425" s="1558"/>
      <c r="Z1425" s="1558"/>
      <c r="AA1425" s="1558"/>
      <c r="AB1425" s="1558"/>
      <c r="AC1425" s="1558"/>
      <c r="AD1425" s="1558"/>
      <c r="AE1425" s="437">
        <f t="shared" si="2010"/>
        <v>0</v>
      </c>
      <c r="AF1425" s="437">
        <f t="shared" si="2011"/>
        <v>0</v>
      </c>
      <c r="AG1425" s="437">
        <f t="shared" si="2012"/>
        <v>0</v>
      </c>
      <c r="AH1425" s="437">
        <f t="shared" si="2013"/>
        <v>0</v>
      </c>
      <c r="AI1425" s="437">
        <f t="shared" si="2014"/>
        <v>0</v>
      </c>
      <c r="AJ1425" s="437">
        <f t="shared" si="2015"/>
        <v>0</v>
      </c>
      <c r="AK1425" s="437">
        <f t="shared" si="2016"/>
        <v>0</v>
      </c>
    </row>
    <row r="1426" spans="1:37" ht="14.5">
      <c r="A1426" s="1693">
        <f t="shared" si="1978"/>
        <v>1409</v>
      </c>
      <c r="B1426" s="616">
        <v>1</v>
      </c>
      <c r="C1426" s="1693">
        <f t="shared" si="2009"/>
        <v>1426</v>
      </c>
      <c r="D1426" s="616">
        <v>1</v>
      </c>
      <c r="E1426" s="709" t="s">
        <v>512</v>
      </c>
      <c r="F1426" s="1572"/>
      <c r="G1426" s="519"/>
      <c r="H1426" s="4"/>
      <c r="I1426" s="4"/>
      <c r="J1426" s="1112"/>
      <c r="K1426" s="27" t="s">
        <v>17</v>
      </c>
      <c r="L1426" s="4"/>
      <c r="M1426" s="4"/>
      <c r="N1426" s="3"/>
      <c r="O1426" s="3"/>
      <c r="P1426" s="3"/>
      <c r="Q1426" s="26"/>
      <c r="R1426" s="1800" t="str">
        <f>CHOOSE(2, "6722000004327", "BIC FE/TTOC Administration Total")</f>
        <v>BIC FE/TTOC Administration Total</v>
      </c>
      <c r="S1426" s="1558"/>
      <c r="T1426" s="1558"/>
      <c r="U1426" s="1558"/>
      <c r="V1426" s="1558"/>
      <c r="W1426" s="1558"/>
      <c r="X1426" s="1558"/>
      <c r="Y1426" s="1558"/>
      <c r="Z1426" s="1558"/>
      <c r="AA1426" s="1558"/>
      <c r="AB1426" s="1558"/>
      <c r="AC1426" s="1558"/>
      <c r="AD1426" s="1558"/>
      <c r="AE1426" s="437">
        <f t="shared" si="2010"/>
        <v>0</v>
      </c>
      <c r="AF1426" s="437">
        <f t="shared" si="2011"/>
        <v>0</v>
      </c>
      <c r="AG1426" s="437">
        <f t="shared" si="2012"/>
        <v>0</v>
      </c>
      <c r="AH1426" s="437">
        <f t="shared" si="2013"/>
        <v>0</v>
      </c>
      <c r="AI1426" s="437">
        <f t="shared" si="2014"/>
        <v>0</v>
      </c>
      <c r="AJ1426" s="437">
        <f t="shared" si="2015"/>
        <v>0</v>
      </c>
      <c r="AK1426" s="437">
        <f t="shared" si="2016"/>
        <v>0</v>
      </c>
    </row>
    <row r="1427" spans="1:37" ht="14.5">
      <c r="A1427" s="1693">
        <f t="shared" si="1978"/>
        <v>1410</v>
      </c>
      <c r="B1427" s="616">
        <v>1</v>
      </c>
      <c r="C1427" s="1693">
        <f t="shared" si="2009"/>
        <v>1427</v>
      </c>
      <c r="D1427" s="616">
        <v>1</v>
      </c>
      <c r="E1427" s="709" t="s">
        <v>512</v>
      </c>
      <c r="F1427" s="1572"/>
      <c r="G1427" s="519"/>
      <c r="H1427" s="4"/>
      <c r="I1427" s="4"/>
      <c r="J1427" s="1113"/>
      <c r="K1427" s="49" t="s">
        <v>139</v>
      </c>
      <c r="L1427" s="48"/>
      <c r="M1427" s="48"/>
      <c r="N1427" s="47"/>
      <c r="O1427" s="47"/>
      <c r="P1427" s="47"/>
      <c r="Q1427" s="46"/>
      <c r="R1427" s="1800" t="str">
        <f>CHOOSE(2, "6722000004328", "BIC FE/TTOC Logistics Total")</f>
        <v>BIC FE/TTOC Logistics Total</v>
      </c>
      <c r="S1427" s="1559"/>
      <c r="T1427" s="1559"/>
      <c r="U1427" s="1559"/>
      <c r="V1427" s="1559"/>
      <c r="W1427" s="1559"/>
      <c r="X1427" s="1559"/>
      <c r="Y1427" s="1559"/>
      <c r="Z1427" s="1559"/>
      <c r="AA1427" s="1559"/>
      <c r="AB1427" s="1559"/>
      <c r="AC1427" s="1559"/>
      <c r="AD1427" s="1559"/>
      <c r="AE1427" s="438">
        <f t="shared" si="2010"/>
        <v>0</v>
      </c>
      <c r="AF1427" s="438">
        <f t="shared" si="2011"/>
        <v>0</v>
      </c>
      <c r="AG1427" s="438">
        <f t="shared" si="2012"/>
        <v>0</v>
      </c>
      <c r="AH1427" s="438">
        <f t="shared" si="2013"/>
        <v>0</v>
      </c>
      <c r="AI1427" s="438">
        <f t="shared" si="2014"/>
        <v>0</v>
      </c>
      <c r="AJ1427" s="438">
        <f t="shared" si="2015"/>
        <v>0</v>
      </c>
      <c r="AK1427" s="438">
        <f t="shared" si="2016"/>
        <v>0</v>
      </c>
    </row>
    <row r="1428" spans="1:37" ht="14.5">
      <c r="A1428" s="1693">
        <f t="shared" si="1978"/>
        <v>1411</v>
      </c>
      <c r="B1428" s="616">
        <v>1</v>
      </c>
      <c r="C1428" s="1693">
        <f t="shared" si="2009"/>
        <v>1428</v>
      </c>
      <c r="D1428" s="616">
        <v>1</v>
      </c>
      <c r="E1428" s="709" t="s">
        <v>512</v>
      </c>
      <c r="F1428" s="1572"/>
      <c r="G1428" s="519"/>
      <c r="H1428" s="206" t="s">
        <v>136</v>
      </c>
      <c r="I1428" s="206" t="s">
        <v>50</v>
      </c>
      <c r="J1428" s="246" t="s">
        <v>182</v>
      </c>
      <c r="K1428" s="247"/>
      <c r="L1428" s="248"/>
      <c r="M1428" s="248"/>
      <c r="N1428" s="247"/>
      <c r="O1428" s="247"/>
      <c r="P1428" s="247"/>
      <c r="Q1428" s="249"/>
      <c r="R1428" s="1790" t="str">
        <f>CHOOSE(2, "6722000004329", "BIC Semi-Full-Time/Part-Time Employees /Contractors")</f>
        <v>BIC Semi-Full-Time/Part-Time Employees /Contractors</v>
      </c>
      <c r="S1428" s="1243"/>
      <c r="T1428" s="1243"/>
      <c r="U1428" s="1243"/>
      <c r="V1428" s="1243"/>
      <c r="W1428" s="1243"/>
      <c r="X1428" s="1243"/>
      <c r="Y1428" s="1243"/>
      <c r="Z1428" s="1243"/>
      <c r="AA1428" s="1243"/>
      <c r="AB1428" s="1243"/>
      <c r="AC1428" s="1243"/>
      <c r="AD1428" s="1243"/>
      <c r="AE1428" s="250">
        <f t="shared" si="2010"/>
        <v>0</v>
      </c>
      <c r="AF1428" s="250">
        <f t="shared" si="2011"/>
        <v>0</v>
      </c>
      <c r="AG1428" s="250">
        <f t="shared" si="2012"/>
        <v>0</v>
      </c>
      <c r="AH1428" s="250">
        <f t="shared" si="2013"/>
        <v>0</v>
      </c>
      <c r="AI1428" s="250">
        <f t="shared" si="2014"/>
        <v>0</v>
      </c>
      <c r="AJ1428" s="250">
        <f t="shared" si="2015"/>
        <v>0</v>
      </c>
      <c r="AK1428" s="250">
        <f t="shared" si="2016"/>
        <v>0</v>
      </c>
    </row>
    <row r="1429" spans="1:37" ht="14.5">
      <c r="A1429" s="1693">
        <f t="shared" si="1978"/>
        <v>1412</v>
      </c>
      <c r="B1429" s="616">
        <v>1</v>
      </c>
      <c r="C1429" s="1693">
        <f t="shared" si="2009"/>
        <v>1429</v>
      </c>
      <c r="D1429" s="616">
        <v>1</v>
      </c>
      <c r="E1429" s="709" t="s">
        <v>512</v>
      </c>
      <c r="F1429" s="1572"/>
      <c r="G1429" s="519"/>
      <c r="H1429" s="4"/>
      <c r="I1429" s="4"/>
      <c r="J1429" s="4"/>
      <c r="K1429" s="3"/>
      <c r="L1429" s="4"/>
      <c r="M1429" s="4"/>
      <c r="N1429" s="3"/>
      <c r="O1429" s="3"/>
      <c r="P1429" s="3"/>
      <c r="Q1429" s="3"/>
      <c r="R1429" s="1773" t="str">
        <f>CHOOSE(2, "6722000004330", "▷ Blank 58")</f>
        <v>▷ Blank 58</v>
      </c>
      <c r="S1429" s="1609"/>
      <c r="T1429" s="1609"/>
      <c r="U1429" s="1609"/>
      <c r="V1429" s="1609"/>
      <c r="W1429" s="1609"/>
      <c r="X1429" s="1609"/>
      <c r="Y1429" s="1609"/>
      <c r="Z1429" s="1609"/>
      <c r="AA1429" s="1609"/>
      <c r="AB1429" s="1609"/>
      <c r="AC1429" s="454"/>
      <c r="AD1429" s="454"/>
      <c r="AE1429" s="454"/>
      <c r="AF1429" s="454"/>
      <c r="AG1429" s="454"/>
      <c r="AH1429" s="454"/>
      <c r="AI1429" s="454"/>
      <c r="AJ1429" s="454"/>
      <c r="AK1429" s="454"/>
    </row>
    <row r="1430" spans="1:37" ht="14.5">
      <c r="A1430" s="1693">
        <f t="shared" si="1978"/>
        <v>1413</v>
      </c>
      <c r="B1430" s="616">
        <v>1</v>
      </c>
      <c r="C1430" s="1693">
        <f t="shared" si="2009"/>
        <v>1430</v>
      </c>
      <c r="D1430" s="616">
        <v>1</v>
      </c>
      <c r="E1430" s="709" t="s">
        <v>512</v>
      </c>
      <c r="F1430" s="1572"/>
      <c r="G1430" s="519"/>
      <c r="H1430" s="4"/>
      <c r="I1430" s="4" t="s">
        <v>567</v>
      </c>
      <c r="J1430" s="746"/>
      <c r="K1430" s="3"/>
      <c r="L1430" s="4"/>
      <c r="M1430" s="4"/>
      <c r="N1430" s="3"/>
      <c r="O1430" s="3" t="s">
        <v>568</v>
      </c>
      <c r="P1430" s="3"/>
      <c r="Q1430" s="3"/>
      <c r="R1430" s="1773" t="str">
        <f>CHOOSE(2, "6722000004331", "(2) IIS (Imaging-IoT Solution)")</f>
        <v>(2) IIS (Imaging-IoT Solution)</v>
      </c>
      <c r="S1430" s="1609"/>
      <c r="T1430" s="1609"/>
      <c r="U1430" s="1609"/>
      <c r="V1430" s="1609"/>
      <c r="W1430" s="1609"/>
      <c r="X1430" s="1609"/>
      <c r="Y1430" s="1609"/>
      <c r="Z1430" s="1609"/>
      <c r="AA1430" s="1609"/>
      <c r="AB1430" s="1609"/>
      <c r="AC1430" s="454"/>
      <c r="AD1430" s="454"/>
      <c r="AE1430" s="454"/>
      <c r="AF1430" s="454"/>
      <c r="AG1430" s="454"/>
      <c r="AH1430" s="454"/>
      <c r="AI1430" s="454"/>
      <c r="AJ1430" s="454"/>
      <c r="AK1430" s="454"/>
    </row>
    <row r="1431" spans="1:37" ht="14.5">
      <c r="A1431" s="1693">
        <f t="shared" si="1978"/>
        <v>1414</v>
      </c>
      <c r="B1431" s="616">
        <v>1</v>
      </c>
      <c r="C1431" s="1693">
        <f t="shared" si="2009"/>
        <v>1431</v>
      </c>
      <c r="D1431" s="616">
        <v>1</v>
      </c>
      <c r="E1431" s="709" t="s">
        <v>512</v>
      </c>
      <c r="F1431" s="1572"/>
      <c r="G1431" s="519"/>
      <c r="H1431" s="206"/>
      <c r="I1431" s="206" t="s">
        <v>50</v>
      </c>
      <c r="J1431" s="199" t="s">
        <v>202</v>
      </c>
      <c r="K1431" s="1110"/>
      <c r="L1431" s="1111"/>
      <c r="M1431" s="1111"/>
      <c r="N1431" s="1111"/>
      <c r="O1431" s="1111"/>
      <c r="P1431" s="1111"/>
      <c r="Q1431" s="1111"/>
      <c r="R1431" s="1774" t="str">
        <f>CHOOSE(2, "6722000004332", "(0) Total FE/TTOC")</f>
        <v>(0) Total FE/TTOC</v>
      </c>
      <c r="S1431" s="1193">
        <f t="shared" ref="S1431:AD1431" si="2017">SUM(S1432:S1436)</f>
        <v>3</v>
      </c>
      <c r="T1431" s="1193">
        <f t="shared" si="2017"/>
        <v>3</v>
      </c>
      <c r="U1431" s="1193">
        <f t="shared" si="2017"/>
        <v>3</v>
      </c>
      <c r="V1431" s="1193">
        <f t="shared" si="2017"/>
        <v>3</v>
      </c>
      <c r="W1431" s="1193">
        <f t="shared" si="2017"/>
        <v>3</v>
      </c>
      <c r="X1431" s="1193">
        <f t="shared" si="2017"/>
        <v>3</v>
      </c>
      <c r="Y1431" s="1193">
        <f t="shared" si="2017"/>
        <v>4</v>
      </c>
      <c r="Z1431" s="1193">
        <f t="shared" si="2017"/>
        <v>4</v>
      </c>
      <c r="AA1431" s="1193">
        <f t="shared" si="2017"/>
        <v>4</v>
      </c>
      <c r="AB1431" s="1193">
        <f t="shared" si="2017"/>
        <v>4</v>
      </c>
      <c r="AC1431" s="1193">
        <f t="shared" si="2017"/>
        <v>4</v>
      </c>
      <c r="AD1431" s="1193">
        <f t="shared" si="2017"/>
        <v>2</v>
      </c>
      <c r="AE1431" s="159">
        <f t="shared" ref="AE1431:AK1431" si="2018">SUM(AE1432:AE1436)</f>
        <v>3</v>
      </c>
      <c r="AF1431" s="159">
        <f t="shared" si="2018"/>
        <v>3</v>
      </c>
      <c r="AG1431" s="159">
        <f t="shared" si="2018"/>
        <v>4</v>
      </c>
      <c r="AH1431" s="159">
        <f t="shared" si="2018"/>
        <v>2</v>
      </c>
      <c r="AI1431" s="159">
        <f t="shared" si="2018"/>
        <v>3</v>
      </c>
      <c r="AJ1431" s="159">
        <f t="shared" si="2018"/>
        <v>2</v>
      </c>
      <c r="AK1431" s="159">
        <f t="shared" si="2018"/>
        <v>2</v>
      </c>
    </row>
    <row r="1432" spans="1:37" ht="14.5">
      <c r="A1432" s="1693">
        <f t="shared" si="1978"/>
        <v>1415</v>
      </c>
      <c r="B1432" s="616">
        <v>1</v>
      </c>
      <c r="C1432" s="1693">
        <f t="shared" si="2009"/>
        <v>1432</v>
      </c>
      <c r="D1432" s="616">
        <v>1</v>
      </c>
      <c r="E1432" s="709" t="s">
        <v>512</v>
      </c>
      <c r="F1432" s="1572"/>
      <c r="G1432" s="519"/>
      <c r="H1432" s="439"/>
      <c r="I1432" s="439"/>
      <c r="J1432" s="1112"/>
      <c r="K1432" s="207" t="s">
        <v>46</v>
      </c>
      <c r="L1432" s="33"/>
      <c r="M1432" s="441"/>
      <c r="N1432" s="440"/>
      <c r="O1432" s="440"/>
      <c r="P1432" s="440"/>
      <c r="Q1432" s="436"/>
      <c r="R1432" s="1800" t="str">
        <f>CHOOSE(2, "6722000004333", "FE/TTOC Sales Total")</f>
        <v>FE/TTOC Sales Total</v>
      </c>
      <c r="S1432" s="1556">
        <v>3</v>
      </c>
      <c r="T1432" s="1556">
        <v>3</v>
      </c>
      <c r="U1432" s="1556">
        <v>3</v>
      </c>
      <c r="V1432" s="1556">
        <v>3</v>
      </c>
      <c r="W1432" s="1556">
        <v>3</v>
      </c>
      <c r="X1432" s="3445">
        <v>3</v>
      </c>
      <c r="Y1432" s="1556">
        <v>4</v>
      </c>
      <c r="Z1432" s="1556">
        <v>4</v>
      </c>
      <c r="AA1432" s="1556">
        <v>4</v>
      </c>
      <c r="AB1432" s="3445">
        <v>4</v>
      </c>
      <c r="AC1432" s="1556">
        <v>4</v>
      </c>
      <c r="AD1432" s="1556">
        <v>2</v>
      </c>
      <c r="AE1432" s="436">
        <f t="shared" ref="AE1432:AE1437" si="2019">U1432</f>
        <v>3</v>
      </c>
      <c r="AF1432" s="436">
        <f t="shared" ref="AF1432:AF1437" si="2020">X1432</f>
        <v>3</v>
      </c>
      <c r="AG1432" s="436">
        <f t="shared" ref="AG1432:AG1437" si="2021">AA1432</f>
        <v>4</v>
      </c>
      <c r="AH1432" s="436">
        <f t="shared" ref="AH1432:AH1437" si="2022">AD1432</f>
        <v>2</v>
      </c>
      <c r="AI1432" s="436">
        <f t="shared" ref="AI1432:AI1437" si="2023">AF1432</f>
        <v>3</v>
      </c>
      <c r="AJ1432" s="436">
        <f t="shared" ref="AJ1432:AJ1437" si="2024">AH1432</f>
        <v>2</v>
      </c>
      <c r="AK1432" s="436">
        <f t="shared" ref="AK1432:AK1437" si="2025">AJ1432</f>
        <v>2</v>
      </c>
    </row>
    <row r="1433" spans="1:37" ht="14.5">
      <c r="A1433" s="1693">
        <f t="shared" si="1978"/>
        <v>1416</v>
      </c>
      <c r="B1433" s="616">
        <v>1</v>
      </c>
      <c r="C1433" s="1693">
        <f t="shared" si="2009"/>
        <v>1433</v>
      </c>
      <c r="D1433" s="616">
        <v>1</v>
      </c>
      <c r="E1433" s="709" t="s">
        <v>512</v>
      </c>
      <c r="F1433" s="1572"/>
      <c r="G1433" s="519"/>
      <c r="H1433" s="439"/>
      <c r="I1433" s="439"/>
      <c r="J1433" s="1112"/>
      <c r="K1433" s="27" t="s">
        <v>137</v>
      </c>
      <c r="L1433" s="4"/>
      <c r="M1433" s="439"/>
      <c r="N1433" s="442"/>
      <c r="O1433" s="442"/>
      <c r="P1433" s="442"/>
      <c r="Q1433" s="437"/>
      <c r="R1433" s="1800" t="str">
        <f>CHOOSE(2, "6722000004334", "FE/TTOC Service Total")</f>
        <v>FE/TTOC Service Total</v>
      </c>
      <c r="S1433" s="1558"/>
      <c r="T1433" s="1558"/>
      <c r="U1433" s="1558"/>
      <c r="V1433" s="1558"/>
      <c r="W1433" s="1558"/>
      <c r="X1433" s="1558"/>
      <c r="Y1433" s="1558"/>
      <c r="Z1433" s="1558"/>
      <c r="AA1433" s="1558"/>
      <c r="AB1433" s="1558"/>
      <c r="AC1433" s="1558"/>
      <c r="AD1433" s="1558"/>
      <c r="AE1433" s="437">
        <f t="shared" si="2019"/>
        <v>0</v>
      </c>
      <c r="AF1433" s="437">
        <f t="shared" si="2020"/>
        <v>0</v>
      </c>
      <c r="AG1433" s="437">
        <f t="shared" si="2021"/>
        <v>0</v>
      </c>
      <c r="AH1433" s="437">
        <f t="shared" si="2022"/>
        <v>0</v>
      </c>
      <c r="AI1433" s="437">
        <f t="shared" si="2023"/>
        <v>0</v>
      </c>
      <c r="AJ1433" s="437">
        <f t="shared" si="2024"/>
        <v>0</v>
      </c>
      <c r="AK1433" s="437">
        <f t="shared" si="2025"/>
        <v>0</v>
      </c>
    </row>
    <row r="1434" spans="1:37" ht="14.5">
      <c r="A1434" s="1693">
        <f t="shared" si="1978"/>
        <v>1417</v>
      </c>
      <c r="B1434" s="616">
        <v>1</v>
      </c>
      <c r="C1434" s="1693">
        <f t="shared" si="2009"/>
        <v>1434</v>
      </c>
      <c r="D1434" s="616">
        <v>1</v>
      </c>
      <c r="E1434" s="709" t="s">
        <v>512</v>
      </c>
      <c r="F1434" s="1572"/>
      <c r="G1434" s="519"/>
      <c r="H1434" s="439"/>
      <c r="I1434" s="439"/>
      <c r="J1434" s="1112"/>
      <c r="K1434" s="27" t="s">
        <v>258</v>
      </c>
      <c r="L1434" s="4"/>
      <c r="M1434" s="439"/>
      <c r="N1434" s="442"/>
      <c r="O1434" s="442"/>
      <c r="P1434" s="442"/>
      <c r="Q1434" s="437"/>
      <c r="R1434" s="1800" t="str">
        <f>CHOOSE(2, "6722000004335", "FE/TTOC MarketingTotal")</f>
        <v>FE/TTOC MarketingTotal</v>
      </c>
      <c r="S1434" s="1558"/>
      <c r="T1434" s="1558"/>
      <c r="U1434" s="1558"/>
      <c r="V1434" s="1558"/>
      <c r="W1434" s="1558"/>
      <c r="X1434" s="1558"/>
      <c r="Y1434" s="1558"/>
      <c r="Z1434" s="1558"/>
      <c r="AA1434" s="1558"/>
      <c r="AB1434" s="1558"/>
      <c r="AC1434" s="1558"/>
      <c r="AD1434" s="1558"/>
      <c r="AE1434" s="437">
        <f t="shared" si="2019"/>
        <v>0</v>
      </c>
      <c r="AF1434" s="437">
        <f t="shared" si="2020"/>
        <v>0</v>
      </c>
      <c r="AG1434" s="437">
        <f t="shared" si="2021"/>
        <v>0</v>
      </c>
      <c r="AH1434" s="437">
        <f t="shared" si="2022"/>
        <v>0</v>
      </c>
      <c r="AI1434" s="437">
        <f t="shared" si="2023"/>
        <v>0</v>
      </c>
      <c r="AJ1434" s="437">
        <f t="shared" si="2024"/>
        <v>0</v>
      </c>
      <c r="AK1434" s="437">
        <f t="shared" si="2025"/>
        <v>0</v>
      </c>
    </row>
    <row r="1435" spans="1:37" ht="14.5">
      <c r="A1435" s="1693">
        <f t="shared" si="1978"/>
        <v>1418</v>
      </c>
      <c r="B1435" s="616">
        <v>1</v>
      </c>
      <c r="C1435" s="1693">
        <f t="shared" si="2009"/>
        <v>1435</v>
      </c>
      <c r="D1435" s="616">
        <v>1</v>
      </c>
      <c r="E1435" s="709" t="s">
        <v>512</v>
      </c>
      <c r="F1435" s="1572"/>
      <c r="G1435" s="519"/>
      <c r="H1435" s="4"/>
      <c r="I1435" s="4"/>
      <c r="J1435" s="1112"/>
      <c r="K1435" s="27" t="s">
        <v>17</v>
      </c>
      <c r="L1435" s="4"/>
      <c r="M1435" s="4"/>
      <c r="N1435" s="3"/>
      <c r="O1435" s="3"/>
      <c r="P1435" s="3"/>
      <c r="Q1435" s="26"/>
      <c r="R1435" s="1800" t="str">
        <f>CHOOSE(2, "6722000004336", "FE/TTOC Administration Total")</f>
        <v>FE/TTOC Administration Total</v>
      </c>
      <c r="S1435" s="1558"/>
      <c r="T1435" s="1558"/>
      <c r="U1435" s="1558"/>
      <c r="V1435" s="1558"/>
      <c r="W1435" s="1558"/>
      <c r="X1435" s="1558"/>
      <c r="Y1435" s="1558"/>
      <c r="Z1435" s="1558"/>
      <c r="AA1435" s="1558"/>
      <c r="AB1435" s="1558"/>
      <c r="AC1435" s="1558"/>
      <c r="AD1435" s="1558"/>
      <c r="AE1435" s="437">
        <f t="shared" si="2019"/>
        <v>0</v>
      </c>
      <c r="AF1435" s="437">
        <f t="shared" si="2020"/>
        <v>0</v>
      </c>
      <c r="AG1435" s="437">
        <f t="shared" si="2021"/>
        <v>0</v>
      </c>
      <c r="AH1435" s="437">
        <f t="shared" si="2022"/>
        <v>0</v>
      </c>
      <c r="AI1435" s="437">
        <f t="shared" si="2023"/>
        <v>0</v>
      </c>
      <c r="AJ1435" s="437">
        <f t="shared" si="2024"/>
        <v>0</v>
      </c>
      <c r="AK1435" s="437">
        <f t="shared" si="2025"/>
        <v>0</v>
      </c>
    </row>
    <row r="1436" spans="1:37" ht="14.5">
      <c r="A1436" s="1693">
        <f t="shared" si="1978"/>
        <v>1419</v>
      </c>
      <c r="B1436" s="616">
        <v>1</v>
      </c>
      <c r="C1436" s="1693">
        <f t="shared" si="2009"/>
        <v>1436</v>
      </c>
      <c r="D1436" s="616">
        <v>1</v>
      </c>
      <c r="E1436" s="709" t="s">
        <v>512</v>
      </c>
      <c r="F1436" s="1572"/>
      <c r="G1436" s="519"/>
      <c r="H1436" s="439"/>
      <c r="I1436" s="439"/>
      <c r="J1436" s="1113"/>
      <c r="K1436" s="49" t="s">
        <v>139</v>
      </c>
      <c r="L1436" s="48"/>
      <c r="M1436" s="444"/>
      <c r="N1436" s="443"/>
      <c r="O1436" s="443"/>
      <c r="P1436" s="443"/>
      <c r="Q1436" s="438"/>
      <c r="R1436" s="1800" t="str">
        <f>CHOOSE(2, "6722000004337", "FE/TTOC Logistics Total")</f>
        <v>FE/TTOC Logistics Total</v>
      </c>
      <c r="S1436" s="1559"/>
      <c r="T1436" s="1559"/>
      <c r="U1436" s="1559"/>
      <c r="V1436" s="1559"/>
      <c r="W1436" s="1559"/>
      <c r="X1436" s="1559"/>
      <c r="Y1436" s="1559"/>
      <c r="Z1436" s="1559"/>
      <c r="AA1436" s="1559"/>
      <c r="AB1436" s="1559"/>
      <c r="AC1436" s="1559"/>
      <c r="AD1436" s="1559"/>
      <c r="AE1436" s="438">
        <f t="shared" si="2019"/>
        <v>0</v>
      </c>
      <c r="AF1436" s="438">
        <f t="shared" si="2020"/>
        <v>0</v>
      </c>
      <c r="AG1436" s="438">
        <f t="shared" si="2021"/>
        <v>0</v>
      </c>
      <c r="AH1436" s="438">
        <f t="shared" si="2022"/>
        <v>0</v>
      </c>
      <c r="AI1436" s="438">
        <f t="shared" si="2023"/>
        <v>0</v>
      </c>
      <c r="AJ1436" s="438">
        <f t="shared" si="2024"/>
        <v>0</v>
      </c>
      <c r="AK1436" s="438">
        <f t="shared" si="2025"/>
        <v>0</v>
      </c>
    </row>
    <row r="1437" spans="1:37" ht="14.5">
      <c r="A1437" s="1693">
        <f t="shared" si="1978"/>
        <v>1420</v>
      </c>
      <c r="B1437" s="616">
        <v>1</v>
      </c>
      <c r="C1437" s="1693">
        <f t="shared" si="2009"/>
        <v>1437</v>
      </c>
      <c r="D1437" s="616">
        <v>1</v>
      </c>
      <c r="E1437" s="709" t="s">
        <v>512</v>
      </c>
      <c r="F1437" s="1572"/>
      <c r="G1437" s="519"/>
      <c r="H1437" s="439"/>
      <c r="I1437" s="206" t="s">
        <v>50</v>
      </c>
      <c r="J1437" s="246" t="s">
        <v>182</v>
      </c>
      <c r="K1437" s="247"/>
      <c r="L1437" s="248"/>
      <c r="M1437" s="248"/>
      <c r="N1437" s="247"/>
      <c r="O1437" s="247"/>
      <c r="P1437" s="247"/>
      <c r="Q1437" s="249"/>
      <c r="R1437" s="1790" t="str">
        <f>CHOOSE(2, "6722000004338", "IIS Semi-Full-Time/Part-Time Employees /Contractors")</f>
        <v>IIS Semi-Full-Time/Part-Time Employees /Contractors</v>
      </c>
      <c r="S1437" s="1243"/>
      <c r="T1437" s="1243"/>
      <c r="U1437" s="1243"/>
      <c r="V1437" s="1243"/>
      <c r="W1437" s="1243"/>
      <c r="X1437" s="1243"/>
      <c r="Y1437" s="1243"/>
      <c r="Z1437" s="1243"/>
      <c r="AA1437" s="1243"/>
      <c r="AB1437" s="1243"/>
      <c r="AC1437" s="1243"/>
      <c r="AD1437" s="3456"/>
      <c r="AE1437" s="250">
        <f t="shared" si="2019"/>
        <v>0</v>
      </c>
      <c r="AF1437" s="250">
        <f t="shared" si="2020"/>
        <v>0</v>
      </c>
      <c r="AG1437" s="250">
        <f t="shared" si="2021"/>
        <v>0</v>
      </c>
      <c r="AH1437" s="250">
        <f t="shared" si="2022"/>
        <v>0</v>
      </c>
      <c r="AI1437" s="250">
        <f t="shared" si="2023"/>
        <v>0</v>
      </c>
      <c r="AJ1437" s="250">
        <f t="shared" si="2024"/>
        <v>0</v>
      </c>
      <c r="AK1437" s="250">
        <f t="shared" si="2025"/>
        <v>0</v>
      </c>
    </row>
    <row r="1438" spans="1:37" ht="14.5">
      <c r="A1438" s="1693">
        <f t="shared" si="1978"/>
        <v>1421</v>
      </c>
      <c r="B1438" s="616">
        <v>1</v>
      </c>
      <c r="C1438" s="1693">
        <f t="shared" si="2009"/>
        <v>1438</v>
      </c>
      <c r="D1438" s="616">
        <v>1</v>
      </c>
      <c r="E1438" s="709" t="s">
        <v>512</v>
      </c>
      <c r="F1438" s="1572"/>
      <c r="G1438" s="519"/>
      <c r="H1438" s="439"/>
      <c r="I1438"/>
      <c r="J1438"/>
      <c r="K1438"/>
      <c r="L1438"/>
      <c r="M1438"/>
      <c r="N1438"/>
      <c r="O1438"/>
      <c r="P1438"/>
      <c r="Q1438"/>
      <c r="R1438" s="1845" t="str">
        <f>CHOOSE(2, "6722000004339", "▷ Blank 59")</f>
        <v>▷ Blank 59</v>
      </c>
      <c r="S1438"/>
      <c r="T1438"/>
      <c r="U1438"/>
      <c r="V1438"/>
      <c r="W1438"/>
      <c r="X1438"/>
      <c r="Y1438"/>
      <c r="Z1438"/>
      <c r="AA1438"/>
      <c r="AB1438"/>
      <c r="AC1438"/>
      <c r="AD1438"/>
      <c r="AE1438"/>
      <c r="AF1438"/>
      <c r="AG1438"/>
      <c r="AH1438"/>
      <c r="AI1438"/>
      <c r="AJ1438"/>
      <c r="AK1438"/>
    </row>
    <row r="1439" spans="1:37" ht="14.5">
      <c r="A1439" s="1693">
        <f t="shared" si="1978"/>
        <v>1422</v>
      </c>
      <c r="B1439" s="616">
        <v>1</v>
      </c>
      <c r="C1439" s="1693">
        <f t="shared" si="2009"/>
        <v>1439</v>
      </c>
      <c r="D1439" s="616">
        <v>1</v>
      </c>
      <c r="E1439" s="709" t="s">
        <v>512</v>
      </c>
      <c r="F1439" s="1572"/>
      <c r="G1439"/>
      <c r="H1439" s="4" t="s">
        <v>783</v>
      </c>
      <c r="J1439" s="22"/>
      <c r="K1439" s="22"/>
      <c r="L1439" s="4"/>
      <c r="M1439" s="3"/>
      <c r="N1439" s="4"/>
      <c r="O1439" s="4"/>
      <c r="P1439" s="3"/>
      <c r="Q1439" s="3"/>
      <c r="R1439" s="1845" t="str">
        <f>CHOOSE(2, "6722000004340", "9-4. Inventories: BT + BIC +IIS")</f>
        <v>9-4. Inventories: BT + BIC +IIS</v>
      </c>
      <c r="S1439"/>
      <c r="T1439"/>
      <c r="U1439"/>
      <c r="V1439"/>
      <c r="W1439"/>
      <c r="X1439"/>
      <c r="Y1439"/>
      <c r="Z1439"/>
      <c r="AA1439"/>
      <c r="AB1439"/>
      <c r="AC1439"/>
      <c r="AD1439"/>
      <c r="AE1439"/>
      <c r="AF1439"/>
      <c r="AG1439"/>
      <c r="AH1439"/>
      <c r="AI1439"/>
      <c r="AJ1439"/>
      <c r="AK1439"/>
    </row>
    <row r="1440" spans="1:37" ht="14.5">
      <c r="A1440" s="1693">
        <f t="shared" si="1978"/>
        <v>1423</v>
      </c>
      <c r="B1440" s="616">
        <v>1</v>
      </c>
      <c r="C1440" s="1693">
        <f t="shared" si="2009"/>
        <v>1440</v>
      </c>
      <c r="D1440" s="616">
        <v>1</v>
      </c>
      <c r="E1440" s="709" t="s">
        <v>512</v>
      </c>
      <c r="F1440" s="1572"/>
      <c r="G1440"/>
      <c r="H1440" s="8"/>
      <c r="I1440" s="4"/>
      <c r="J1440" s="198"/>
      <c r="K1440" s="447"/>
      <c r="L1440" s="514"/>
      <c r="M1440" s="514"/>
      <c r="N1440" s="447"/>
      <c r="O1440" s="447"/>
      <c r="P1440" s="447"/>
      <c r="Q1440" s="447"/>
      <c r="R1440" s="1773" t="str">
        <f>CHOOSE(2, "6722000004341", "▷ Blank 60")</f>
        <v>▷ Blank 60</v>
      </c>
      <c r="S1440" s="1611">
        <f t="shared" ref="S1440:AD1440" si="2026">S13</f>
        <v>45017</v>
      </c>
      <c r="T1440" s="1611">
        <f t="shared" si="2026"/>
        <v>45047</v>
      </c>
      <c r="U1440" s="1611">
        <f t="shared" si="2026"/>
        <v>45078</v>
      </c>
      <c r="V1440" s="1611">
        <f t="shared" si="2026"/>
        <v>45108</v>
      </c>
      <c r="W1440" s="1611">
        <f t="shared" si="2026"/>
        <v>45139</v>
      </c>
      <c r="X1440" s="1611">
        <f t="shared" si="2026"/>
        <v>45170</v>
      </c>
      <c r="Y1440" s="1611">
        <f t="shared" si="2026"/>
        <v>45200</v>
      </c>
      <c r="Z1440" s="1611">
        <f t="shared" si="2026"/>
        <v>45231</v>
      </c>
      <c r="AA1440" s="1611">
        <f t="shared" si="2026"/>
        <v>45261</v>
      </c>
      <c r="AB1440" s="1611">
        <f t="shared" si="2026"/>
        <v>45292</v>
      </c>
      <c r="AC1440" s="1611">
        <f t="shared" si="2026"/>
        <v>45323</v>
      </c>
      <c r="AD1440" s="1611">
        <f t="shared" si="2026"/>
        <v>45352</v>
      </c>
      <c r="AE1440" s="1611" t="str">
        <f t="shared" ref="AE1440:AK1440" si="2027">AE13</f>
        <v>Q1</v>
      </c>
      <c r="AF1440" s="1611" t="str">
        <f t="shared" si="2027"/>
        <v>Q2</v>
      </c>
      <c r="AG1440" s="1611" t="str">
        <f t="shared" si="2027"/>
        <v>Q3</v>
      </c>
      <c r="AH1440" s="1611" t="str">
        <f t="shared" si="2027"/>
        <v>Q4</v>
      </c>
      <c r="AI1440" s="1611" t="str">
        <f t="shared" si="2027"/>
        <v>1st H</v>
      </c>
      <c r="AJ1440" s="1611" t="str">
        <f t="shared" si="2027"/>
        <v>2nd H</v>
      </c>
      <c r="AK1440" s="1611" t="str">
        <f t="shared" si="2027"/>
        <v>FY23</v>
      </c>
    </row>
    <row r="1441" spans="1:38" ht="14.5">
      <c r="A1441" s="1693">
        <f t="shared" si="1978"/>
        <v>1424</v>
      </c>
      <c r="B1441" s="616">
        <v>1</v>
      </c>
      <c r="C1441" s="1693">
        <f t="shared" si="2009"/>
        <v>1441</v>
      </c>
      <c r="D1441" s="616">
        <v>1</v>
      </c>
      <c r="E1441" s="709" t="s">
        <v>512</v>
      </c>
      <c r="F1441" s="1572"/>
      <c r="G1441"/>
      <c r="H1441" s="8"/>
      <c r="I1441" s="4"/>
      <c r="J1441" s="246" t="s">
        <v>717</v>
      </c>
      <c r="K1441" s="248"/>
      <c r="L1441" s="248"/>
      <c r="M1441" s="248"/>
      <c r="N1441" s="247"/>
      <c r="O1441" s="247"/>
      <c r="P1441" s="247"/>
      <c r="Q1441" s="247"/>
      <c r="R1441" s="1849" t="str">
        <f>CHOOSE(2, "6722000004342", "Inventories (0) TIS")</f>
        <v>Inventories (0) TIS</v>
      </c>
      <c r="S1441" s="1680">
        <f t="shared" ref="S1441:AD1441" si="2028">S1442+S1443+S1444</f>
        <v>1734602.7220000001</v>
      </c>
      <c r="T1441" s="1680">
        <f t="shared" si="2028"/>
        <v>1688726.4002448525</v>
      </c>
      <c r="U1441" s="1680">
        <f t="shared" si="2028"/>
        <v>1690075.110454126</v>
      </c>
      <c r="V1441" s="1680">
        <f t="shared" si="2028"/>
        <v>1686842.5733492088</v>
      </c>
      <c r="W1441" s="1680">
        <f t="shared" si="2028"/>
        <v>1542387.5292474665</v>
      </c>
      <c r="X1441" s="1680">
        <f t="shared" si="2028"/>
        <v>1328678.4580953834</v>
      </c>
      <c r="Y1441" s="1680">
        <f t="shared" si="2028"/>
        <v>1513001.1357900044</v>
      </c>
      <c r="Z1441" s="1680">
        <f t="shared" si="2028"/>
        <v>1618881.8202200036</v>
      </c>
      <c r="AA1441" s="1680">
        <f t="shared" si="2028"/>
        <v>1566794.7679600033</v>
      </c>
      <c r="AB1441" s="1680">
        <f t="shared" si="2028"/>
        <v>1579285.0626200053</v>
      </c>
      <c r="AC1441" s="1680">
        <f t="shared" si="2028"/>
        <v>1647525.1899900041</v>
      </c>
      <c r="AD1441" s="1680">
        <f t="shared" si="2028"/>
        <v>1599440.9771883315</v>
      </c>
      <c r="AE1441" s="1681">
        <f t="shared" ref="AE1441:AK1441" si="2029">AE1442+AE1443+AE1444</f>
        <v>1690075.110454126</v>
      </c>
      <c r="AF1441" s="1681">
        <f t="shared" si="2029"/>
        <v>1328678.4580953834</v>
      </c>
      <c r="AG1441" s="1681">
        <f t="shared" si="2029"/>
        <v>1566794.7679600033</v>
      </c>
      <c r="AH1441" s="1681">
        <f t="shared" si="2029"/>
        <v>1599440.9771883315</v>
      </c>
      <c r="AI1441" s="1681">
        <f t="shared" si="2029"/>
        <v>1328678.4580953834</v>
      </c>
      <c r="AJ1441" s="1681">
        <f t="shared" si="2029"/>
        <v>1599440.9771883315</v>
      </c>
      <c r="AK1441" s="1681">
        <f t="shared" si="2029"/>
        <v>1599440.9771883315</v>
      </c>
    </row>
    <row r="1442" spans="1:38" ht="14.5">
      <c r="A1442" s="1693">
        <f t="shared" si="1978"/>
        <v>1425</v>
      </c>
      <c r="B1442" s="616">
        <v>1</v>
      </c>
      <c r="C1442" s="1693">
        <f t="shared" si="2009"/>
        <v>1442</v>
      </c>
      <c r="D1442" s="616">
        <v>1</v>
      </c>
      <c r="E1442" s="709" t="s">
        <v>512</v>
      </c>
      <c r="F1442" s="1572"/>
      <c r="G1442"/>
      <c r="H1442" s="8"/>
      <c r="I1442" s="4"/>
      <c r="J1442" s="27"/>
      <c r="K1442" s="3" t="s">
        <v>718</v>
      </c>
      <c r="L1442" s="3"/>
      <c r="M1442" s="3"/>
      <c r="N1442" s="4"/>
      <c r="O1442" s="3"/>
      <c r="P1442" s="3"/>
      <c r="Q1442" s="3"/>
      <c r="R1442" s="1849" t="str">
        <f>CHOOSE(2, "6722000004343", "Inventories (0) TIS Purchased from KM group")</f>
        <v>Inventories (0) TIS Purchased from KM group</v>
      </c>
      <c r="S1442" s="1682">
        <f t="shared" ref="S1442:AC1442" si="2030">S1446+S1459+S1449+S1452+S1456+S1462+S1465+S1466</f>
        <v>1678603.78422</v>
      </c>
      <c r="T1442" s="1682">
        <f t="shared" si="2030"/>
        <v>1648462.7642648525</v>
      </c>
      <c r="U1442" s="1682">
        <f t="shared" si="2030"/>
        <v>1654899.6216041259</v>
      </c>
      <c r="V1442" s="1682">
        <f t="shared" si="2030"/>
        <v>1668535.3359992087</v>
      </c>
      <c r="W1442" s="1682">
        <f t="shared" si="2030"/>
        <v>1524708.6954474666</v>
      </c>
      <c r="X1442" s="1682">
        <f t="shared" si="2030"/>
        <v>1306846.4580953834</v>
      </c>
      <c r="Y1442" s="1682">
        <f t="shared" si="2030"/>
        <v>1485055.3427100042</v>
      </c>
      <c r="Z1442" s="1682">
        <f t="shared" si="2030"/>
        <v>1589005.8830400035</v>
      </c>
      <c r="AA1442" s="1682">
        <f t="shared" si="2030"/>
        <v>1538964.9862800033</v>
      </c>
      <c r="AB1442" s="1682">
        <f t="shared" si="2030"/>
        <v>1541897.7565600052</v>
      </c>
      <c r="AC1442" s="1683">
        <f t="shared" si="2030"/>
        <v>1614668.3154900041</v>
      </c>
      <c r="AD1442" s="1683">
        <f>AD1446+AD1459+AD1449+AD1452+AD1456+AD1462+AD1465+AD1466</f>
        <v>1570789.1073983316</v>
      </c>
      <c r="AE1442" s="579">
        <f t="shared" ref="AE1442:AK1442" si="2031">AE1446+AE1459+AE1449+AE1452+AE1456+AE1462+AE1465+AE1466</f>
        <v>1654899.6216041259</v>
      </c>
      <c r="AF1442" s="579">
        <f t="shared" si="2031"/>
        <v>1306846.4580953834</v>
      </c>
      <c r="AG1442" s="579">
        <f t="shared" si="2031"/>
        <v>1538964.9862800033</v>
      </c>
      <c r="AH1442" s="579">
        <f t="shared" si="2031"/>
        <v>1570789.1073983316</v>
      </c>
      <c r="AI1442" s="579">
        <f t="shared" si="2031"/>
        <v>1306846.4580953834</v>
      </c>
      <c r="AJ1442" s="579">
        <f t="shared" si="2031"/>
        <v>1570789.1073983316</v>
      </c>
      <c r="AK1442" s="579">
        <f t="shared" si="2031"/>
        <v>1570789.1073983316</v>
      </c>
    </row>
    <row r="1443" spans="1:38" ht="14.5">
      <c r="A1443" s="1693">
        <f t="shared" si="1978"/>
        <v>1426</v>
      </c>
      <c r="B1443" s="616">
        <v>1</v>
      </c>
      <c r="C1443" s="1693">
        <f t="shared" si="2009"/>
        <v>1443</v>
      </c>
      <c r="D1443" s="616">
        <v>1</v>
      </c>
      <c r="E1443" s="709" t="s">
        <v>512</v>
      </c>
      <c r="F1443" s="1572"/>
      <c r="G1443"/>
      <c r="H1443" s="8"/>
      <c r="I1443" s="8"/>
      <c r="J1443" s="27"/>
      <c r="K1443" s="3" t="s">
        <v>600</v>
      </c>
      <c r="L1443" s="3"/>
      <c r="M1443" s="3"/>
      <c r="N1443" s="4"/>
      <c r="O1443" s="3"/>
      <c r="P1443" s="3"/>
      <c r="Q1443" s="3"/>
      <c r="R1443" s="1849" t="str">
        <f>CHOOSE(2, "6722000004344", "Inventories (0) TIS Purchased from MGI (BT-Gr)")</f>
        <v>Inventories (0) TIS Purchased from MGI (BT-Gr)</v>
      </c>
      <c r="S1443" s="1684">
        <f t="shared" ref="S1443:AC1443" si="2032">S1453</f>
        <v>22083</v>
      </c>
      <c r="T1443" s="1684">
        <f t="shared" si="2032"/>
        <v>17228.34532</v>
      </c>
      <c r="U1443" s="1684">
        <f t="shared" si="2032"/>
        <v>16646</v>
      </c>
      <c r="V1443" s="1684">
        <f t="shared" si="2032"/>
        <v>8696.1760399999985</v>
      </c>
      <c r="W1443" s="1684">
        <f t="shared" si="2032"/>
        <v>9459</v>
      </c>
      <c r="X1443" s="1684">
        <f t="shared" si="2032"/>
        <v>15854</v>
      </c>
      <c r="Y1443" s="1684">
        <f t="shared" si="2032"/>
        <v>11076.65568</v>
      </c>
      <c r="Z1443" s="1684">
        <f t="shared" si="2032"/>
        <v>9589.9066600000006</v>
      </c>
      <c r="AA1443" s="1684">
        <f t="shared" si="2032"/>
        <v>7458.2769999999982</v>
      </c>
      <c r="AB1443" s="1684">
        <f t="shared" si="2032"/>
        <v>14103.712</v>
      </c>
      <c r="AC1443" s="579">
        <f t="shared" si="2032"/>
        <v>12949.089</v>
      </c>
      <c r="AD1443" s="579">
        <f>AD1453</f>
        <v>9316.380000000001</v>
      </c>
      <c r="AE1443" s="579">
        <f t="shared" ref="AE1443:AK1443" si="2033">AE1453</f>
        <v>16646</v>
      </c>
      <c r="AF1443" s="579">
        <f t="shared" si="2033"/>
        <v>15854</v>
      </c>
      <c r="AG1443" s="579">
        <f t="shared" si="2033"/>
        <v>7458.2769999999982</v>
      </c>
      <c r="AH1443" s="579">
        <f t="shared" si="2033"/>
        <v>9316.380000000001</v>
      </c>
      <c r="AI1443" s="579">
        <f t="shared" si="2033"/>
        <v>15854</v>
      </c>
      <c r="AJ1443" s="579">
        <f t="shared" si="2033"/>
        <v>9316.380000000001</v>
      </c>
      <c r="AK1443" s="579">
        <f t="shared" si="2033"/>
        <v>9316.380000000001</v>
      </c>
    </row>
    <row r="1444" spans="1:38" ht="14.5">
      <c r="A1444" s="1693">
        <f t="shared" si="1978"/>
        <v>1427</v>
      </c>
      <c r="B1444" s="616">
        <v>1</v>
      </c>
      <c r="C1444" s="1693">
        <f t="shared" si="2009"/>
        <v>1444</v>
      </c>
      <c r="D1444" s="616">
        <v>1</v>
      </c>
      <c r="E1444" s="709" t="s">
        <v>512</v>
      </c>
      <c r="F1444" s="1572"/>
      <c r="G1444"/>
      <c r="H1444" s="8"/>
      <c r="I1444" s="4"/>
      <c r="J1444" s="25"/>
      <c r="K1444" s="3" t="s">
        <v>66</v>
      </c>
      <c r="L1444" s="3"/>
      <c r="M1444" s="3"/>
      <c r="N1444" s="4"/>
      <c r="O1444" s="3"/>
      <c r="P1444" s="3"/>
      <c r="Q1444" s="3"/>
      <c r="R1444" s="1849" t="str">
        <f>CHOOSE(2, "6722000004345", "Inventories (0) TIS 3rd Party")</f>
        <v>Inventories (0) TIS 3rd Party</v>
      </c>
      <c r="S1444" s="1685">
        <f t="shared" ref="S1444:AD1444" si="2034">S1447+S1460+S1450+S1454+S1457+S1463+S1467</f>
        <v>33915.937780000015</v>
      </c>
      <c r="T1444" s="1685">
        <f t="shared" si="2034"/>
        <v>23035.290660000006</v>
      </c>
      <c r="U1444" s="1685">
        <f t="shared" si="2034"/>
        <v>18529.48885000002</v>
      </c>
      <c r="V1444" s="1685">
        <f t="shared" si="2034"/>
        <v>9611.0613100000155</v>
      </c>
      <c r="W1444" s="1685">
        <f t="shared" si="2034"/>
        <v>8219.8338000000113</v>
      </c>
      <c r="X1444" s="1685">
        <f t="shared" si="2034"/>
        <v>5978</v>
      </c>
      <c r="Y1444" s="1685">
        <f t="shared" si="2034"/>
        <v>16869.137400000018</v>
      </c>
      <c r="Z1444" s="1685">
        <f t="shared" si="2034"/>
        <v>20286.030520000011</v>
      </c>
      <c r="AA1444" s="1685">
        <f t="shared" si="2034"/>
        <v>20371.504680000016</v>
      </c>
      <c r="AB1444" s="1685">
        <f t="shared" si="2034"/>
        <v>23283.594060000018</v>
      </c>
      <c r="AC1444" s="584">
        <f t="shared" si="2034"/>
        <v>19907.78550000002</v>
      </c>
      <c r="AD1444" s="584">
        <f t="shared" si="2034"/>
        <v>19335.489790000021</v>
      </c>
      <c r="AE1444" s="579">
        <f t="shared" ref="AE1444:AK1444" si="2035">AE1447+AE1460+AE1450+AE1454+AE1457</f>
        <v>18529.48885000002</v>
      </c>
      <c r="AF1444" s="579">
        <f t="shared" si="2035"/>
        <v>5978</v>
      </c>
      <c r="AG1444" s="579">
        <f t="shared" si="2035"/>
        <v>20371.504680000016</v>
      </c>
      <c r="AH1444" s="579">
        <f t="shared" si="2035"/>
        <v>19335.489790000021</v>
      </c>
      <c r="AI1444" s="579">
        <f t="shared" si="2035"/>
        <v>5978</v>
      </c>
      <c r="AJ1444" s="579">
        <f t="shared" si="2035"/>
        <v>19335.489790000021</v>
      </c>
      <c r="AK1444" s="579">
        <f t="shared" si="2035"/>
        <v>19335.489790000021</v>
      </c>
    </row>
    <row r="1445" spans="1:38" ht="14.5">
      <c r="A1445" s="1693">
        <f t="shared" si="1978"/>
        <v>1428</v>
      </c>
      <c r="B1445" s="616">
        <v>1</v>
      </c>
      <c r="C1445" s="1693">
        <f t="shared" si="2009"/>
        <v>1445</v>
      </c>
      <c r="D1445" s="616">
        <v>1</v>
      </c>
      <c r="E1445" s="709" t="s">
        <v>512</v>
      </c>
      <c r="F1445" s="1572"/>
      <c r="G1445"/>
      <c r="H1445" s="8"/>
      <c r="I1445" s="4"/>
      <c r="J1445" s="498" t="s">
        <v>30</v>
      </c>
      <c r="K1445" s="586"/>
      <c r="L1445" s="586"/>
      <c r="M1445" s="586"/>
      <c r="N1445" s="707"/>
      <c r="O1445" s="586"/>
      <c r="P1445" s="586"/>
      <c r="Q1445" s="586"/>
      <c r="R1445" s="1850" t="str">
        <f>CHOOSE(2, "6722000004346", "Inventories (1) Office")</f>
        <v>Inventories (1) Office</v>
      </c>
      <c r="S1445" s="1400">
        <f t="shared" ref="S1445:AD1445" si="2036">SUM(S1446:S1447)</f>
        <v>556741.58400000003</v>
      </c>
      <c r="T1445" s="1400">
        <f t="shared" si="2036"/>
        <v>519191</v>
      </c>
      <c r="U1445" s="1400">
        <f t="shared" si="2036"/>
        <v>463094.95211000001</v>
      </c>
      <c r="V1445" s="1400">
        <f t="shared" si="2036"/>
        <v>460330</v>
      </c>
      <c r="W1445" s="1400">
        <f t="shared" si="2036"/>
        <v>432359</v>
      </c>
      <c r="X1445" s="1400">
        <f t="shared" si="2036"/>
        <v>375439</v>
      </c>
      <c r="Y1445" s="1400">
        <f t="shared" si="2036"/>
        <v>451406.79203059175</v>
      </c>
      <c r="Z1445" s="1400">
        <f t="shared" si="2036"/>
        <v>482126.88534888695</v>
      </c>
      <c r="AA1445" s="1400">
        <f t="shared" si="2036"/>
        <v>432133.85306478816</v>
      </c>
      <c r="AB1445" s="1400">
        <f t="shared" si="2036"/>
        <v>417752.31623176805</v>
      </c>
      <c r="AC1445" s="1400">
        <f t="shared" si="2036"/>
        <v>441117.02070039068</v>
      </c>
      <c r="AD1445" s="1400">
        <f t="shared" si="2036"/>
        <v>382975.05378636072</v>
      </c>
      <c r="AE1445" s="962">
        <f t="shared" ref="AE1445:AK1445" si="2037">SUM(AE1446:AE1447)</f>
        <v>463094.95211000001</v>
      </c>
      <c r="AF1445" s="962">
        <f t="shared" si="2037"/>
        <v>375439</v>
      </c>
      <c r="AG1445" s="962">
        <f t="shared" si="2037"/>
        <v>432133.85306478816</v>
      </c>
      <c r="AH1445" s="962">
        <f t="shared" si="2037"/>
        <v>382975.05378636072</v>
      </c>
      <c r="AI1445" s="962">
        <f t="shared" si="2037"/>
        <v>375439</v>
      </c>
      <c r="AJ1445" s="962">
        <f t="shared" si="2037"/>
        <v>382975.05378636072</v>
      </c>
      <c r="AK1445" s="962">
        <f t="shared" si="2037"/>
        <v>382975.05378636072</v>
      </c>
    </row>
    <row r="1446" spans="1:38" ht="14.5">
      <c r="A1446" s="1693">
        <f t="shared" si="1978"/>
        <v>1429</v>
      </c>
      <c r="B1446" s="616">
        <v>1</v>
      </c>
      <c r="C1446" s="1693">
        <f t="shared" si="2009"/>
        <v>1446</v>
      </c>
      <c r="D1446" s="616">
        <v>1</v>
      </c>
      <c r="E1446" s="709" t="s">
        <v>512</v>
      </c>
      <c r="F1446" s="1572"/>
      <c r="G1446"/>
      <c r="H1446" s="8"/>
      <c r="I1446" s="4"/>
      <c r="J1446" s="498"/>
      <c r="K1446" s="3" t="s">
        <v>586</v>
      </c>
      <c r="L1446" s="3"/>
      <c r="M1446" s="3"/>
      <c r="N1446" s="4"/>
      <c r="O1446" s="3"/>
      <c r="P1446" s="3"/>
      <c r="Q1446" s="3"/>
      <c r="R1446" s="1850" t="str">
        <f>CHOOSE(2, "6722000004347", "Inventories (1) Office Purchased from BT cons. companies")</f>
        <v>Inventories (1) Office Purchased from BT cons. companies</v>
      </c>
      <c r="S1446" s="1378">
        <f t="shared" ref="S1446:AD1447" si="2038">S1084</f>
        <v>545099.58400000003</v>
      </c>
      <c r="T1446" s="1378">
        <f t="shared" si="2038"/>
        <v>507900</v>
      </c>
      <c r="U1446" s="1378">
        <f t="shared" si="2038"/>
        <v>454305</v>
      </c>
      <c r="V1446" s="1378">
        <f t="shared" si="2038"/>
        <v>457237</v>
      </c>
      <c r="W1446" s="1378">
        <f t="shared" si="2038"/>
        <v>429663</v>
      </c>
      <c r="X1446" s="1378">
        <f t="shared" si="2038"/>
        <v>372745</v>
      </c>
      <c r="Y1446" s="1378">
        <f t="shared" si="2038"/>
        <v>448758.32899059175</v>
      </c>
      <c r="Z1446" s="1378">
        <f t="shared" si="2038"/>
        <v>479512.11798888695</v>
      </c>
      <c r="AA1446" s="1378">
        <f t="shared" si="2038"/>
        <v>429754.37167478813</v>
      </c>
      <c r="AB1446" s="1378">
        <f t="shared" si="2038"/>
        <v>415070.58930176805</v>
      </c>
      <c r="AC1446" s="1378">
        <f t="shared" si="2038"/>
        <v>438686.55337039067</v>
      </c>
      <c r="AD1446" s="1378">
        <f t="shared" si="2038"/>
        <v>380453.84889636072</v>
      </c>
      <c r="AE1446" s="1378">
        <f>U1446</f>
        <v>454305</v>
      </c>
      <c r="AF1446" s="1378">
        <f>X1446</f>
        <v>372745</v>
      </c>
      <c r="AG1446" s="1378">
        <f>AA1446</f>
        <v>429754.37167478813</v>
      </c>
      <c r="AH1446" s="1378">
        <f>AD1446</f>
        <v>380453.84889636072</v>
      </c>
      <c r="AI1446" s="1378">
        <f>AF1446</f>
        <v>372745</v>
      </c>
      <c r="AJ1446" s="1378">
        <f>AH1446</f>
        <v>380453.84889636072</v>
      </c>
      <c r="AK1446" s="1378">
        <f>AJ1446</f>
        <v>380453.84889636072</v>
      </c>
    </row>
    <row r="1447" spans="1:38" ht="14.5">
      <c r="A1447" s="1693">
        <f t="shared" si="1978"/>
        <v>1430</v>
      </c>
      <c r="B1447" s="616">
        <v>1</v>
      </c>
      <c r="C1447" s="1693">
        <f t="shared" si="2009"/>
        <v>1447</v>
      </c>
      <c r="D1447" s="616">
        <v>1</v>
      </c>
      <c r="E1447" s="709" t="s">
        <v>512</v>
      </c>
      <c r="F1447" s="1572"/>
      <c r="G1447"/>
      <c r="H1447" s="8"/>
      <c r="I1447" s="4"/>
      <c r="J1447" s="788"/>
      <c r="K1447" s="3" t="s">
        <v>66</v>
      </c>
      <c r="L1447" s="3"/>
      <c r="M1447" s="3"/>
      <c r="N1447" s="4"/>
      <c r="O1447" s="3"/>
      <c r="P1447" s="3"/>
      <c r="Q1447" s="3"/>
      <c r="R1447" s="1850" t="str">
        <f>CHOOSE(2, "6722000004348", "Inventories (1) Office 3rd Party")</f>
        <v>Inventories (1) Office 3rd Party</v>
      </c>
      <c r="S1447" s="1378">
        <f t="shared" si="2038"/>
        <v>11642</v>
      </c>
      <c r="T1447" s="1378">
        <f t="shared" si="2038"/>
        <v>11291</v>
      </c>
      <c r="U1447" s="1378">
        <f t="shared" si="2038"/>
        <v>8789.9521100000038</v>
      </c>
      <c r="V1447" s="1378">
        <f t="shared" si="2038"/>
        <v>3093</v>
      </c>
      <c r="W1447" s="1378">
        <f t="shared" si="2038"/>
        <v>2696</v>
      </c>
      <c r="X1447" s="1378">
        <f t="shared" si="2038"/>
        <v>2694</v>
      </c>
      <c r="Y1447" s="1378">
        <f t="shared" si="2038"/>
        <v>2648.4630400000028</v>
      </c>
      <c r="Z1447" s="1378">
        <f t="shared" si="2038"/>
        <v>2614.767360000003</v>
      </c>
      <c r="AA1447" s="1378">
        <f t="shared" si="2038"/>
        <v>2379.4813900000022</v>
      </c>
      <c r="AB1447" s="1378">
        <f t="shared" si="2038"/>
        <v>2681.7269300000021</v>
      </c>
      <c r="AC1447" s="1378">
        <f t="shared" si="2038"/>
        <v>2430.4673300000018</v>
      </c>
      <c r="AD1447" s="1378">
        <f t="shared" si="2038"/>
        <v>2521.2048900000018</v>
      </c>
      <c r="AE1447" s="1378">
        <f>U1447</f>
        <v>8789.9521100000038</v>
      </c>
      <c r="AF1447" s="1378">
        <f>X1447</f>
        <v>2694</v>
      </c>
      <c r="AG1447" s="1378">
        <f>AA1447</f>
        <v>2379.4813900000022</v>
      </c>
      <c r="AH1447" s="1378">
        <f>AD1447</f>
        <v>2521.2048900000018</v>
      </c>
      <c r="AI1447" s="1378">
        <f>AF1447</f>
        <v>2694</v>
      </c>
      <c r="AJ1447" s="1378">
        <f>AH1447</f>
        <v>2521.2048900000018</v>
      </c>
      <c r="AK1447" s="1378">
        <f>AJ1447</f>
        <v>2521.2048900000018</v>
      </c>
    </row>
    <row r="1448" spans="1:38" ht="14.5">
      <c r="A1448" s="1693">
        <f t="shared" si="1978"/>
        <v>1431</v>
      </c>
      <c r="B1448" s="616">
        <v>1</v>
      </c>
      <c r="C1448" s="1693">
        <f t="shared" si="2009"/>
        <v>1448</v>
      </c>
      <c r="D1448" s="616">
        <v>1</v>
      </c>
      <c r="E1448" s="709" t="s">
        <v>512</v>
      </c>
      <c r="F1448" s="1572"/>
      <c r="G1448"/>
      <c r="H1448" s="8"/>
      <c r="I1448" s="4"/>
      <c r="J1448" s="498" t="s">
        <v>283</v>
      </c>
      <c r="K1448" s="586"/>
      <c r="L1448" s="586"/>
      <c r="M1448" s="586"/>
      <c r="N1448" s="707"/>
      <c r="O1448" s="586"/>
      <c r="P1448" s="586"/>
      <c r="Q1448" s="586"/>
      <c r="R1448" s="1850" t="str">
        <f>CHOOSE(2, "6722000004349", "Inventories (2) PP")</f>
        <v>Inventories (2) PP</v>
      </c>
      <c r="S1448" s="1400">
        <f t="shared" ref="S1448:AD1448" si="2039">SUM(S1449:S1450)</f>
        <v>1093970.138</v>
      </c>
      <c r="T1448" s="1400">
        <f t="shared" si="2039"/>
        <v>1064903.6405148525</v>
      </c>
      <c r="U1448" s="1400">
        <f t="shared" si="2039"/>
        <v>1140919.1583441261</v>
      </c>
      <c r="V1448" s="1400">
        <f t="shared" si="2039"/>
        <v>1158488.7964292089</v>
      </c>
      <c r="W1448" s="1400">
        <f t="shared" si="2039"/>
        <v>1039889.5292474666</v>
      </c>
      <c r="X1448" s="1400">
        <f t="shared" si="2039"/>
        <v>888179.45809538336</v>
      </c>
      <c r="Y1448" s="1400">
        <f t="shared" si="2039"/>
        <v>998293.06501941266</v>
      </c>
      <c r="Z1448" s="1400">
        <f t="shared" si="2039"/>
        <v>1065731.8421811166</v>
      </c>
      <c r="AA1448" s="1400">
        <f t="shared" si="2039"/>
        <v>1077099.6518152154</v>
      </c>
      <c r="AB1448" s="1400">
        <f t="shared" si="2039"/>
        <v>1089466.6695882373</v>
      </c>
      <c r="AC1448" s="1400">
        <f t="shared" si="2039"/>
        <v>1112665.9608796134</v>
      </c>
      <c r="AD1448" s="1400">
        <f t="shared" si="2039"/>
        <v>1140336.4999633511</v>
      </c>
      <c r="AE1448" s="962">
        <f t="shared" ref="AE1448:AK1448" si="2040">SUM(AE1449:AE1450)</f>
        <v>1140919.1583441261</v>
      </c>
      <c r="AF1448" s="962">
        <f t="shared" si="2040"/>
        <v>888179.45809538336</v>
      </c>
      <c r="AG1448" s="962">
        <f t="shared" si="2040"/>
        <v>1077099.6518152154</v>
      </c>
      <c r="AH1448" s="962">
        <f t="shared" si="2040"/>
        <v>1140336.4999633511</v>
      </c>
      <c r="AI1448" s="962">
        <f t="shared" si="2040"/>
        <v>888179.45809538336</v>
      </c>
      <c r="AJ1448" s="962">
        <f t="shared" si="2040"/>
        <v>1140336.4999633511</v>
      </c>
      <c r="AK1448" s="962">
        <f t="shared" si="2040"/>
        <v>1140336.4999633511</v>
      </c>
    </row>
    <row r="1449" spans="1:38" ht="14.5">
      <c r="A1449" s="1693">
        <f t="shared" si="1978"/>
        <v>1432</v>
      </c>
      <c r="B1449" s="616">
        <v>1</v>
      </c>
      <c r="C1449" s="1693">
        <f t="shared" si="2009"/>
        <v>1449</v>
      </c>
      <c r="D1449" s="616">
        <v>1</v>
      </c>
      <c r="E1449" s="709" t="s">
        <v>512</v>
      </c>
      <c r="F1449" s="1572"/>
      <c r="G1449"/>
      <c r="H1449" s="8"/>
      <c r="I1449" s="4"/>
      <c r="J1449" s="498"/>
      <c r="K1449" s="3" t="s">
        <v>586</v>
      </c>
      <c r="L1449" s="3"/>
      <c r="M1449" s="3"/>
      <c r="N1449" s="4"/>
      <c r="O1449" s="3"/>
      <c r="P1449" s="3"/>
      <c r="Q1449" s="3"/>
      <c r="R1449" s="1850" t="str">
        <f>CHOOSE(2, "6722000004350", "Inventories (2) PP Purchased from BT cons. companies")</f>
        <v>Inventories (2) PP Purchased from BT cons. companies</v>
      </c>
      <c r="S1449" s="1378">
        <f t="shared" ref="S1449:AD1450" si="2041">S1087</f>
        <v>1083344.20022</v>
      </c>
      <c r="T1449" s="1378">
        <f t="shared" si="2041"/>
        <v>1053852.3498548525</v>
      </c>
      <c r="U1449" s="1378">
        <f t="shared" si="2041"/>
        <v>1131634.6216041259</v>
      </c>
      <c r="V1449" s="1378">
        <f t="shared" si="2041"/>
        <v>1152437.4232892089</v>
      </c>
      <c r="W1449" s="1378">
        <f t="shared" si="2041"/>
        <v>1034941.6954474666</v>
      </c>
      <c r="X1449" s="1378">
        <f t="shared" si="2041"/>
        <v>884895.45809538336</v>
      </c>
      <c r="Y1449" s="1378">
        <f t="shared" si="2041"/>
        <v>992728.3906594126</v>
      </c>
      <c r="Z1449" s="1378">
        <f t="shared" si="2041"/>
        <v>1061550.8498811165</v>
      </c>
      <c r="AA1449" s="1378">
        <f t="shared" si="2041"/>
        <v>1072567.8317852153</v>
      </c>
      <c r="AB1449" s="1378">
        <f t="shared" si="2041"/>
        <v>1082134.5929882373</v>
      </c>
      <c r="AC1449" s="1378">
        <f t="shared" si="2041"/>
        <v>1106621.5216496135</v>
      </c>
      <c r="AD1449" s="1378">
        <f t="shared" si="2041"/>
        <v>1133482.1064633511</v>
      </c>
      <c r="AE1449" s="1378">
        <f>U1449</f>
        <v>1131634.6216041259</v>
      </c>
      <c r="AF1449" s="1378">
        <f>X1449</f>
        <v>884895.45809538336</v>
      </c>
      <c r="AG1449" s="1378">
        <f>AA1449</f>
        <v>1072567.8317852153</v>
      </c>
      <c r="AH1449" s="1378">
        <f>AD1449</f>
        <v>1133482.1064633511</v>
      </c>
      <c r="AI1449" s="1378">
        <f>AF1449</f>
        <v>884895.45809538336</v>
      </c>
      <c r="AJ1449" s="1378">
        <f>AH1449</f>
        <v>1133482.1064633511</v>
      </c>
      <c r="AK1449" s="1378">
        <f>AJ1449</f>
        <v>1133482.1064633511</v>
      </c>
    </row>
    <row r="1450" spans="1:38" ht="14.5">
      <c r="A1450" s="1693">
        <f t="shared" si="1978"/>
        <v>1433</v>
      </c>
      <c r="B1450" s="616">
        <v>1</v>
      </c>
      <c r="C1450" s="1693">
        <f t="shared" si="2009"/>
        <v>1450</v>
      </c>
      <c r="D1450" s="616">
        <v>1</v>
      </c>
      <c r="E1450" s="709" t="s">
        <v>512</v>
      </c>
      <c r="F1450" s="1572"/>
      <c r="G1450"/>
      <c r="H1450" s="8"/>
      <c r="I1450" s="4"/>
      <c r="J1450" s="788"/>
      <c r="K1450" s="3" t="s">
        <v>66</v>
      </c>
      <c r="L1450" s="3"/>
      <c r="M1450" s="3"/>
      <c r="N1450" s="4"/>
      <c r="O1450" s="3"/>
      <c r="P1450" s="3"/>
      <c r="Q1450" s="3"/>
      <c r="R1450" s="1850" t="str">
        <f>CHOOSE(2, "6722000004351", "Inventories (2) PP 3rd Party")</f>
        <v>Inventories (2) PP 3rd Party</v>
      </c>
      <c r="S1450" s="1378">
        <f t="shared" si="2041"/>
        <v>10625.937780000017</v>
      </c>
      <c r="T1450" s="1378">
        <f t="shared" si="2041"/>
        <v>11051.290660000004</v>
      </c>
      <c r="U1450" s="1378">
        <f t="shared" si="2041"/>
        <v>9284.5367400000159</v>
      </c>
      <c r="V1450" s="1378">
        <f t="shared" si="2041"/>
        <v>6051.3731400000152</v>
      </c>
      <c r="W1450" s="1378">
        <f t="shared" si="2041"/>
        <v>4947.8338000000122</v>
      </c>
      <c r="X1450" s="1378">
        <f t="shared" si="2041"/>
        <v>3284</v>
      </c>
      <c r="Y1450" s="1378">
        <f t="shared" si="2041"/>
        <v>5564.6743600000145</v>
      </c>
      <c r="Z1450" s="1378">
        <f t="shared" si="2041"/>
        <v>4180.9923000000081</v>
      </c>
      <c r="AA1450" s="1378">
        <f t="shared" si="2041"/>
        <v>4531.8200300000162</v>
      </c>
      <c r="AB1450" s="1378">
        <f t="shared" si="2041"/>
        <v>7332.0766000000121</v>
      </c>
      <c r="AC1450" s="1378">
        <f t="shared" si="2041"/>
        <v>6044.4392300000172</v>
      </c>
      <c r="AD1450" s="1378">
        <f t="shared" si="2041"/>
        <v>6854.3935000000201</v>
      </c>
      <c r="AE1450" s="1378">
        <f>U1450</f>
        <v>9284.5367400000159</v>
      </c>
      <c r="AF1450" s="1378">
        <f>X1450</f>
        <v>3284</v>
      </c>
      <c r="AG1450" s="1378">
        <f>AA1450</f>
        <v>4531.8200300000162</v>
      </c>
      <c r="AH1450" s="1378">
        <f>AD1450</f>
        <v>6854.3935000000201</v>
      </c>
      <c r="AI1450" s="1378">
        <f>AF1450</f>
        <v>3284</v>
      </c>
      <c r="AJ1450" s="1378">
        <f>AH1450</f>
        <v>6854.3935000000201</v>
      </c>
      <c r="AK1450" s="1378">
        <f>AJ1450</f>
        <v>6854.3935000000201</v>
      </c>
    </row>
    <row r="1451" spans="1:38" ht="14.5">
      <c r="A1451" s="1693">
        <f t="shared" si="1978"/>
        <v>1434</v>
      </c>
      <c r="B1451" s="616">
        <v>1</v>
      </c>
      <c r="C1451" s="1693">
        <f t="shared" si="2009"/>
        <v>1451</v>
      </c>
      <c r="D1451" s="616">
        <v>1</v>
      </c>
      <c r="E1451" s="709" t="s">
        <v>512</v>
      </c>
      <c r="F1451" s="1572"/>
      <c r="G1451"/>
      <c r="H1451" s="8"/>
      <c r="I1451" s="4"/>
      <c r="J1451" s="572" t="s">
        <v>284</v>
      </c>
      <c r="K1451" s="586"/>
      <c r="L1451" s="586"/>
      <c r="M1451" s="586"/>
      <c r="N1451" s="707"/>
      <c r="O1451" s="586"/>
      <c r="P1451" s="586"/>
      <c r="Q1451" s="586"/>
      <c r="R1451" s="1850" t="str">
        <f>CHOOSE(2, "6722000004352", "Inventories (3) IP")</f>
        <v>Inventories (3) IP</v>
      </c>
      <c r="S1451" s="1400">
        <f t="shared" ref="S1451:AD1451" si="2042">SUM(S1452:S1454)</f>
        <v>75462</v>
      </c>
      <c r="T1451" s="1400">
        <f t="shared" si="2042"/>
        <v>95077.759729999991</v>
      </c>
      <c r="U1451" s="1400">
        <f t="shared" si="2042"/>
        <v>77880</v>
      </c>
      <c r="V1451" s="1400">
        <f t="shared" si="2042"/>
        <v>60489.176039999998</v>
      </c>
      <c r="W1451" s="1400">
        <f t="shared" si="2042"/>
        <v>62758</v>
      </c>
      <c r="X1451" s="1400">
        <f t="shared" si="2042"/>
        <v>59493</v>
      </c>
      <c r="Y1451" s="1400">
        <f t="shared" si="2042"/>
        <v>49468.342839999939</v>
      </c>
      <c r="Z1451" s="1400">
        <f t="shared" si="2042"/>
        <v>51795.140389999964</v>
      </c>
      <c r="AA1451" s="1400">
        <f t="shared" si="2042"/>
        <v>39762.349299999885</v>
      </c>
      <c r="AB1451" s="1400">
        <f t="shared" si="2042"/>
        <v>55407.077559999918</v>
      </c>
      <c r="AC1451" s="1400">
        <f t="shared" si="2042"/>
        <v>79172.560919999902</v>
      </c>
      <c r="AD1451" s="1400">
        <f t="shared" si="2042"/>
        <v>63812.380000000005</v>
      </c>
      <c r="AE1451" s="962">
        <f t="shared" ref="AE1451:AK1451" si="2043">SUM(AE1452:AE1454)</f>
        <v>77880</v>
      </c>
      <c r="AF1451" s="962">
        <f t="shared" si="2043"/>
        <v>59493</v>
      </c>
      <c r="AG1451" s="962">
        <f t="shared" si="2043"/>
        <v>39762.349299999885</v>
      </c>
      <c r="AH1451" s="962">
        <f t="shared" si="2043"/>
        <v>63812.380000000005</v>
      </c>
      <c r="AI1451" s="962">
        <f t="shared" si="2043"/>
        <v>59493</v>
      </c>
      <c r="AJ1451" s="962">
        <f t="shared" si="2043"/>
        <v>63812.380000000005</v>
      </c>
      <c r="AK1451" s="962">
        <f t="shared" si="2043"/>
        <v>63812.380000000005</v>
      </c>
    </row>
    <row r="1452" spans="1:38" ht="14.5">
      <c r="A1452" s="1693">
        <f t="shared" si="1978"/>
        <v>1435</v>
      </c>
      <c r="B1452" s="616">
        <v>1</v>
      </c>
      <c r="C1452" s="1693">
        <f t="shared" si="2009"/>
        <v>1452</v>
      </c>
      <c r="D1452" s="616">
        <v>1</v>
      </c>
      <c r="E1452" s="709" t="s">
        <v>512</v>
      </c>
      <c r="F1452" s="1572"/>
      <c r="G1452"/>
      <c r="H1452" s="8"/>
      <c r="I1452" s="4"/>
      <c r="J1452" s="498"/>
      <c r="K1452" s="3" t="s">
        <v>599</v>
      </c>
      <c r="L1452" s="3"/>
      <c r="M1452" s="3"/>
      <c r="N1452" s="4"/>
      <c r="O1452" s="3"/>
      <c r="P1452" s="3"/>
      <c r="Q1452" s="3"/>
      <c r="R1452" s="1850" t="str">
        <f>CHOOSE(2, "6722000004353", "Inventories (3) IP Purchased from BT cons. Companies")</f>
        <v>Inventories (3) IP Purchased from BT cons. Companies</v>
      </c>
      <c r="S1452" s="1378">
        <f t="shared" ref="S1452:AD1454" si="2044">S1090</f>
        <v>42778</v>
      </c>
      <c r="T1452" s="1378">
        <f t="shared" si="2044"/>
        <v>77849.414409999998</v>
      </c>
      <c r="U1452" s="1378">
        <f t="shared" si="2044"/>
        <v>61234</v>
      </c>
      <c r="V1452" s="1378">
        <f t="shared" si="2044"/>
        <v>51793</v>
      </c>
      <c r="W1452" s="1378">
        <f t="shared" si="2044"/>
        <v>53299</v>
      </c>
      <c r="X1452" s="1378">
        <f t="shared" si="2044"/>
        <v>43639</v>
      </c>
      <c r="Y1452" s="1378">
        <f t="shared" si="2044"/>
        <v>38391.687159999943</v>
      </c>
      <c r="Z1452" s="1378">
        <f t="shared" si="2044"/>
        <v>42205.233729999964</v>
      </c>
      <c r="AA1452" s="1378">
        <f t="shared" si="2044"/>
        <v>32304.072299999883</v>
      </c>
      <c r="AB1452" s="1378">
        <f t="shared" si="2044"/>
        <v>41303.365559999918</v>
      </c>
      <c r="AC1452" s="1378">
        <f t="shared" si="2044"/>
        <v>66223.471919999894</v>
      </c>
      <c r="AD1452" s="1378">
        <f t="shared" si="2044"/>
        <v>54496</v>
      </c>
      <c r="AE1452" s="1378">
        <f>U1452</f>
        <v>61234</v>
      </c>
      <c r="AF1452" s="1378">
        <f>X1452</f>
        <v>43639</v>
      </c>
      <c r="AG1452" s="1378">
        <f>AA1452</f>
        <v>32304.072299999883</v>
      </c>
      <c r="AH1452" s="1378">
        <f>AD1452</f>
        <v>54496</v>
      </c>
      <c r="AI1452" s="1378">
        <f>AF1452</f>
        <v>43639</v>
      </c>
      <c r="AJ1452" s="1378">
        <f>AH1452</f>
        <v>54496</v>
      </c>
      <c r="AK1452" s="1378">
        <f>AJ1452</f>
        <v>54496</v>
      </c>
    </row>
    <row r="1453" spans="1:38" ht="14.5">
      <c r="A1453" s="1693">
        <f t="shared" si="1978"/>
        <v>1436</v>
      </c>
      <c r="B1453" s="616">
        <v>1</v>
      </c>
      <c r="C1453" s="1693">
        <f t="shared" si="2009"/>
        <v>1453</v>
      </c>
      <c r="D1453" s="616">
        <v>1</v>
      </c>
      <c r="E1453" s="709" t="s">
        <v>512</v>
      </c>
      <c r="F1453" s="1572"/>
      <c r="G1453"/>
      <c r="H1453" s="8"/>
      <c r="I1453" s="8"/>
      <c r="J1453" s="498"/>
      <c r="K1453" s="3" t="s">
        <v>600</v>
      </c>
      <c r="L1453" s="3"/>
      <c r="M1453" s="3"/>
      <c r="N1453" s="4"/>
      <c r="O1453" s="3"/>
      <c r="P1453" s="3"/>
      <c r="Q1453" s="3"/>
      <c r="R1453" s="1850" t="str">
        <f>CHOOSE(2, "6722000004354", "Inventories (3) IP Purchased from MGI (BT-Gr)")</f>
        <v>Inventories (3) IP Purchased from MGI (BT-Gr)</v>
      </c>
      <c r="S1453" s="1378">
        <f t="shared" si="2044"/>
        <v>22083</v>
      </c>
      <c r="T1453" s="1378">
        <f t="shared" si="2044"/>
        <v>17228.34532</v>
      </c>
      <c r="U1453" s="1378">
        <f t="shared" si="2044"/>
        <v>16646</v>
      </c>
      <c r="V1453" s="1378">
        <f t="shared" si="2044"/>
        <v>8696.1760399999985</v>
      </c>
      <c r="W1453" s="1378">
        <f t="shared" si="2044"/>
        <v>9459</v>
      </c>
      <c r="X1453" s="1378">
        <f t="shared" si="2044"/>
        <v>15854</v>
      </c>
      <c r="Y1453" s="1378">
        <f t="shared" si="2044"/>
        <v>11076.65568</v>
      </c>
      <c r="Z1453" s="1378">
        <f t="shared" si="2044"/>
        <v>9589.9066600000006</v>
      </c>
      <c r="AA1453" s="1378">
        <f t="shared" si="2044"/>
        <v>7458.2769999999982</v>
      </c>
      <c r="AB1453" s="1378">
        <f t="shared" si="2044"/>
        <v>14103.712</v>
      </c>
      <c r="AC1453" s="1378">
        <f t="shared" si="2044"/>
        <v>12949.089</v>
      </c>
      <c r="AD1453" s="1378">
        <f t="shared" si="2044"/>
        <v>9316.380000000001</v>
      </c>
      <c r="AE1453" s="1378">
        <f>U1453</f>
        <v>16646</v>
      </c>
      <c r="AF1453" s="1378">
        <f>X1453</f>
        <v>15854</v>
      </c>
      <c r="AG1453" s="1378">
        <f>AA1453</f>
        <v>7458.2769999999982</v>
      </c>
      <c r="AH1453" s="1378">
        <f>AD1453</f>
        <v>9316.380000000001</v>
      </c>
      <c r="AI1453" s="1378">
        <f>AF1453</f>
        <v>15854</v>
      </c>
      <c r="AJ1453" s="1378">
        <f>AH1453</f>
        <v>9316.380000000001</v>
      </c>
      <c r="AK1453" s="1378">
        <f>AJ1453</f>
        <v>9316.380000000001</v>
      </c>
    </row>
    <row r="1454" spans="1:38" ht="14.5">
      <c r="A1454" s="1693">
        <f t="shared" si="1978"/>
        <v>1437</v>
      </c>
      <c r="B1454" s="616">
        <v>1</v>
      </c>
      <c r="C1454" s="1693">
        <f t="shared" si="2009"/>
        <v>1454</v>
      </c>
      <c r="D1454" s="616">
        <v>1</v>
      </c>
      <c r="E1454" s="709" t="s">
        <v>512</v>
      </c>
      <c r="F1454" s="1572"/>
      <c r="G1454"/>
      <c r="H1454" s="8"/>
      <c r="I1454" s="4"/>
      <c r="J1454" s="788"/>
      <c r="K1454" s="1" t="s">
        <v>66</v>
      </c>
      <c r="L1454" s="1"/>
      <c r="M1454" s="1"/>
      <c r="N1454" s="2"/>
      <c r="O1454" s="1"/>
      <c r="P1454" s="1"/>
      <c r="Q1454" s="1"/>
      <c r="R1454" s="1850" t="str">
        <f>CHOOSE(2, "6722000004355", "Inventories (3) IP 3rd Party")</f>
        <v>Inventories (3) IP 3rd Party</v>
      </c>
      <c r="S1454" s="1378">
        <f t="shared" si="2044"/>
        <v>10601</v>
      </c>
      <c r="T1454" s="1378">
        <f t="shared" si="2044"/>
        <v>0</v>
      </c>
      <c r="U1454" s="1378">
        <f t="shared" si="2044"/>
        <v>0</v>
      </c>
      <c r="V1454" s="1378">
        <f t="shared" si="2044"/>
        <v>0</v>
      </c>
      <c r="W1454" s="1378">
        <f t="shared" si="2044"/>
        <v>0</v>
      </c>
      <c r="X1454" s="1378">
        <f t="shared" si="2044"/>
        <v>0</v>
      </c>
      <c r="Y1454" s="1378">
        <f t="shared" si="2044"/>
        <v>0</v>
      </c>
      <c r="Z1454" s="1378">
        <f t="shared" si="2044"/>
        <v>0</v>
      </c>
      <c r="AA1454" s="1378">
        <f t="shared" si="2044"/>
        <v>0</v>
      </c>
      <c r="AB1454" s="1378">
        <f t="shared" si="2044"/>
        <v>0</v>
      </c>
      <c r="AC1454" s="1378">
        <f t="shared" si="2044"/>
        <v>0</v>
      </c>
      <c r="AD1454" s="1378">
        <f t="shared" si="2044"/>
        <v>0</v>
      </c>
      <c r="AE1454" s="1378">
        <f>U1454</f>
        <v>0</v>
      </c>
      <c r="AF1454" s="1378">
        <f>X1454</f>
        <v>0</v>
      </c>
      <c r="AG1454" s="1378">
        <f>AA1454</f>
        <v>0</v>
      </c>
      <c r="AH1454" s="1378">
        <f>AD1454</f>
        <v>0</v>
      </c>
      <c r="AI1454" s="1378">
        <f>AF1454</f>
        <v>0</v>
      </c>
      <c r="AJ1454" s="1378">
        <f>AH1454</f>
        <v>0</v>
      </c>
      <c r="AK1454" s="1378">
        <f>AJ1454</f>
        <v>0</v>
      </c>
    </row>
    <row r="1455" spans="1:38" ht="14.5">
      <c r="A1455" s="1693">
        <f t="shared" si="1978"/>
        <v>1438</v>
      </c>
      <c r="B1455" s="616">
        <v>1</v>
      </c>
      <c r="C1455" s="1693">
        <f t="shared" si="2009"/>
        <v>1455</v>
      </c>
      <c r="D1455" s="616">
        <v>1</v>
      </c>
      <c r="E1455" s="709" t="s">
        <v>512</v>
      </c>
      <c r="F1455" s="1572"/>
      <c r="G1455"/>
      <c r="H1455" s="8"/>
      <c r="I1455" s="4"/>
      <c r="J1455" s="498" t="s">
        <v>286</v>
      </c>
      <c r="K1455" s="586"/>
      <c r="L1455" s="586"/>
      <c r="M1455" s="586"/>
      <c r="N1455" s="707"/>
      <c r="O1455" s="586"/>
      <c r="P1455" s="586"/>
      <c r="Q1455" s="586"/>
      <c r="R1455" s="1850" t="str">
        <f>CHOOSE(2, "6722000004356", "Inventories (4) MS")</f>
        <v>Inventories (4) MS</v>
      </c>
      <c r="S1455" s="1400">
        <f t="shared" ref="S1455:AD1455" si="2045">SUM(S1456:S1457)</f>
        <v>0</v>
      </c>
      <c r="T1455" s="1400">
        <f t="shared" si="2045"/>
        <v>0</v>
      </c>
      <c r="U1455" s="1400">
        <f t="shared" si="2045"/>
        <v>0</v>
      </c>
      <c r="V1455" s="1400">
        <f t="shared" si="2045"/>
        <v>0</v>
      </c>
      <c r="W1455" s="1400">
        <f t="shared" si="2045"/>
        <v>0</v>
      </c>
      <c r="X1455" s="1400">
        <f t="shared" si="2045"/>
        <v>0</v>
      </c>
      <c r="Y1455" s="1400">
        <f t="shared" si="2045"/>
        <v>0</v>
      </c>
      <c r="Z1455" s="1400">
        <f t="shared" si="2045"/>
        <v>0</v>
      </c>
      <c r="AA1455" s="1400">
        <f t="shared" si="2045"/>
        <v>0</v>
      </c>
      <c r="AB1455" s="1400">
        <f t="shared" si="2045"/>
        <v>0</v>
      </c>
      <c r="AC1455" s="1400">
        <f t="shared" si="2045"/>
        <v>0</v>
      </c>
      <c r="AD1455" s="1400">
        <f t="shared" si="2045"/>
        <v>0</v>
      </c>
      <c r="AE1455" s="962">
        <f t="shared" ref="AE1455:AK1455" si="2046">SUM(AE1456:AE1457)</f>
        <v>0</v>
      </c>
      <c r="AF1455" s="962">
        <f t="shared" si="2046"/>
        <v>0</v>
      </c>
      <c r="AG1455" s="962">
        <f t="shared" si="2046"/>
        <v>0</v>
      </c>
      <c r="AH1455" s="962">
        <f t="shared" si="2046"/>
        <v>0</v>
      </c>
      <c r="AI1455" s="962">
        <f t="shared" si="2046"/>
        <v>0</v>
      </c>
      <c r="AJ1455" s="962">
        <f t="shared" si="2046"/>
        <v>0</v>
      </c>
      <c r="AK1455" s="962">
        <f t="shared" si="2046"/>
        <v>0</v>
      </c>
      <c r="AL1455" s="621"/>
    </row>
    <row r="1456" spans="1:38" ht="14.5">
      <c r="A1456" s="1693">
        <f t="shared" si="1978"/>
        <v>1439</v>
      </c>
      <c r="B1456" s="616">
        <v>1</v>
      </c>
      <c r="C1456" s="1693">
        <f t="shared" si="2009"/>
        <v>1456</v>
      </c>
      <c r="D1456" s="616">
        <v>1</v>
      </c>
      <c r="E1456" s="709" t="s">
        <v>512</v>
      </c>
      <c r="F1456" s="1572"/>
      <c r="G1456"/>
      <c r="H1456" s="8"/>
      <c r="I1456" s="4"/>
      <c r="J1456" s="498"/>
      <c r="K1456" s="3" t="s">
        <v>586</v>
      </c>
      <c r="L1456" s="3"/>
      <c r="M1456" s="3"/>
      <c r="N1456" s="4"/>
      <c r="O1456" s="3"/>
      <c r="P1456" s="3"/>
      <c r="Q1456" s="3"/>
      <c r="R1456" s="1850" t="str">
        <f>CHOOSE(2, "6722000004357", "Inventories (4) MS Purchased from BT cons. companies")</f>
        <v>Inventories (4) MS Purchased from BT cons. companies</v>
      </c>
      <c r="S1456" s="1378">
        <f t="shared" ref="S1456:AD1457" si="2047">S1094</f>
        <v>0</v>
      </c>
      <c r="T1456" s="1378">
        <f t="shared" si="2047"/>
        <v>0</v>
      </c>
      <c r="U1456" s="1378">
        <f t="shared" si="2047"/>
        <v>0</v>
      </c>
      <c r="V1456" s="1378">
        <f t="shared" si="2047"/>
        <v>0</v>
      </c>
      <c r="W1456" s="1378">
        <f t="shared" si="2047"/>
        <v>0</v>
      </c>
      <c r="X1456" s="1378">
        <f t="shared" si="2047"/>
        <v>0</v>
      </c>
      <c r="Y1456" s="1378">
        <f t="shared" si="2047"/>
        <v>0</v>
      </c>
      <c r="Z1456" s="1378">
        <f t="shared" si="2047"/>
        <v>0</v>
      </c>
      <c r="AA1456" s="1378">
        <f t="shared" si="2047"/>
        <v>0</v>
      </c>
      <c r="AB1456" s="1378">
        <f t="shared" si="2047"/>
        <v>0</v>
      </c>
      <c r="AC1456" s="1378">
        <f t="shared" si="2047"/>
        <v>0</v>
      </c>
      <c r="AD1456" s="1378">
        <f t="shared" si="2047"/>
        <v>0</v>
      </c>
      <c r="AE1456" s="1378">
        <f>U1456</f>
        <v>0</v>
      </c>
      <c r="AF1456" s="1378">
        <f>X1456</f>
        <v>0</v>
      </c>
      <c r="AG1456" s="1378">
        <f>AA1456</f>
        <v>0</v>
      </c>
      <c r="AH1456" s="1378">
        <f>AD1456</f>
        <v>0</v>
      </c>
      <c r="AI1456" s="1378">
        <f>AF1456</f>
        <v>0</v>
      </c>
      <c r="AJ1456" s="1378">
        <f>AH1456</f>
        <v>0</v>
      </c>
      <c r="AK1456" s="1378">
        <f>AJ1456</f>
        <v>0</v>
      </c>
      <c r="AL1456" s="621"/>
    </row>
    <row r="1457" spans="1:61" ht="14.5">
      <c r="A1457" s="1693">
        <f t="shared" si="1978"/>
        <v>1440</v>
      </c>
      <c r="B1457" s="616">
        <v>1</v>
      </c>
      <c r="C1457" s="1693">
        <f t="shared" si="2009"/>
        <v>1457</v>
      </c>
      <c r="D1457" s="616">
        <v>1</v>
      </c>
      <c r="E1457" s="709" t="s">
        <v>512</v>
      </c>
      <c r="F1457" s="1572"/>
      <c r="G1457"/>
      <c r="H1457" s="8"/>
      <c r="I1457" s="4"/>
      <c r="J1457" s="788"/>
      <c r="K1457" s="1" t="s">
        <v>66</v>
      </c>
      <c r="L1457" s="1"/>
      <c r="M1457" s="1"/>
      <c r="N1457" s="2"/>
      <c r="O1457" s="1"/>
      <c r="P1457" s="1"/>
      <c r="Q1457" s="1"/>
      <c r="R1457" s="1850" t="str">
        <f>CHOOSE(2, "6722000004358", "Inventories (4) MS 3rd Party")</f>
        <v>Inventories (4) MS 3rd Party</v>
      </c>
      <c r="S1457" s="1379">
        <f t="shared" si="2047"/>
        <v>0</v>
      </c>
      <c r="T1457" s="1379">
        <f t="shared" si="2047"/>
        <v>0</v>
      </c>
      <c r="U1457" s="1379">
        <f t="shared" si="2047"/>
        <v>0</v>
      </c>
      <c r="V1457" s="1379">
        <f t="shared" si="2047"/>
        <v>0</v>
      </c>
      <c r="W1457" s="1379">
        <f t="shared" si="2047"/>
        <v>0</v>
      </c>
      <c r="X1457" s="1379">
        <f t="shared" si="2047"/>
        <v>0</v>
      </c>
      <c r="Y1457" s="1379">
        <f t="shared" si="2047"/>
        <v>0</v>
      </c>
      <c r="Z1457" s="1379">
        <f t="shared" si="2047"/>
        <v>0</v>
      </c>
      <c r="AA1457" s="1379">
        <f t="shared" si="2047"/>
        <v>0</v>
      </c>
      <c r="AB1457" s="1379">
        <f t="shared" si="2047"/>
        <v>0</v>
      </c>
      <c r="AC1457" s="1379">
        <f t="shared" si="2047"/>
        <v>0</v>
      </c>
      <c r="AD1457" s="1379">
        <f t="shared" si="2047"/>
        <v>0</v>
      </c>
      <c r="AE1457" s="1379">
        <f>U1457</f>
        <v>0</v>
      </c>
      <c r="AF1457" s="1379">
        <f>X1457</f>
        <v>0</v>
      </c>
      <c r="AG1457" s="1379">
        <f>AA1457</f>
        <v>0</v>
      </c>
      <c r="AH1457" s="1379">
        <f>AD1457</f>
        <v>0</v>
      </c>
      <c r="AI1457" s="1379">
        <f>AF1457</f>
        <v>0</v>
      </c>
      <c r="AJ1457" s="1379">
        <f>AH1457</f>
        <v>0</v>
      </c>
      <c r="AK1457" s="1379">
        <f>AJ1457</f>
        <v>0</v>
      </c>
      <c r="AL1457" s="641"/>
    </row>
    <row r="1458" spans="1:61" ht="14.5">
      <c r="A1458" s="1693">
        <f t="shared" si="1978"/>
        <v>1441</v>
      </c>
      <c r="B1458" s="616">
        <v>1</v>
      </c>
      <c r="C1458" s="1693">
        <f t="shared" si="2009"/>
        <v>1458</v>
      </c>
      <c r="D1458" s="616">
        <v>1</v>
      </c>
      <c r="E1458" s="709" t="s">
        <v>512</v>
      </c>
      <c r="F1458" s="1572"/>
      <c r="G1458"/>
      <c r="H1458" s="8"/>
      <c r="I1458" s="4"/>
      <c r="J1458" s="963" t="s">
        <v>539</v>
      </c>
      <c r="K1458" s="964"/>
      <c r="L1458" s="964"/>
      <c r="M1458" s="964"/>
      <c r="N1458" s="965"/>
      <c r="O1458" s="965"/>
      <c r="P1458" s="965"/>
      <c r="Q1458" s="965"/>
      <c r="R1458" s="1851" t="str">
        <f>CHOOSE(2, "6722000004359", "Inventories (5) DW-DX")</f>
        <v>Inventories (5) DW-DX</v>
      </c>
      <c r="S1458" s="1401">
        <f t="shared" ref="S1458:AD1458" si="2048">SUM(S1459:S1460)</f>
        <v>1299</v>
      </c>
      <c r="T1458" s="1401">
        <f t="shared" si="2048"/>
        <v>973</v>
      </c>
      <c r="U1458" s="1401">
        <f t="shared" si="2048"/>
        <v>1179</v>
      </c>
      <c r="V1458" s="1401">
        <f t="shared" si="2048"/>
        <v>676.08135000000118</v>
      </c>
      <c r="W1458" s="1401">
        <f t="shared" si="2048"/>
        <v>802</v>
      </c>
      <c r="X1458" s="1401">
        <f t="shared" si="2048"/>
        <v>5</v>
      </c>
      <c r="Y1458" s="1401">
        <f t="shared" si="2048"/>
        <v>8656</v>
      </c>
      <c r="Z1458" s="1401">
        <f t="shared" si="2048"/>
        <v>13490.270860000001</v>
      </c>
      <c r="AA1458" s="1401">
        <f t="shared" si="2048"/>
        <v>13460.203259999998</v>
      </c>
      <c r="AB1458" s="1401">
        <f t="shared" si="2048"/>
        <v>13275.043700000002</v>
      </c>
      <c r="AC1458" s="1401">
        <f t="shared" si="2048"/>
        <v>11438.13211</v>
      </c>
      <c r="AD1458" s="1401">
        <f t="shared" si="2048"/>
        <v>9959.8914000000004</v>
      </c>
      <c r="AE1458" s="966">
        <f t="shared" ref="AE1458:AK1458" si="2049">SUM(AE1459:AE1460)</f>
        <v>1179</v>
      </c>
      <c r="AF1458" s="966">
        <f t="shared" si="2049"/>
        <v>5</v>
      </c>
      <c r="AG1458" s="966">
        <f t="shared" si="2049"/>
        <v>13460.203259999998</v>
      </c>
      <c r="AH1458" s="966">
        <f t="shared" si="2049"/>
        <v>9959.8914000000004</v>
      </c>
      <c r="AI1458" s="966">
        <f t="shared" si="2049"/>
        <v>5</v>
      </c>
      <c r="AJ1458" s="966">
        <f t="shared" si="2049"/>
        <v>9959.8914000000004</v>
      </c>
      <c r="AK1458" s="966">
        <f t="shared" si="2049"/>
        <v>9959.8914000000004</v>
      </c>
      <c r="AL1458" s="624"/>
    </row>
    <row r="1459" spans="1:61" ht="14.5">
      <c r="A1459" s="1693">
        <f t="shared" si="1978"/>
        <v>1442</v>
      </c>
      <c r="B1459" s="616">
        <v>1</v>
      </c>
      <c r="C1459" s="1693">
        <f t="shared" si="2009"/>
        <v>1459</v>
      </c>
      <c r="D1459" s="616">
        <v>1</v>
      </c>
      <c r="E1459" s="709" t="s">
        <v>512</v>
      </c>
      <c r="F1459" s="1572"/>
      <c r="G1459"/>
      <c r="H1459" s="8"/>
      <c r="I1459" s="4"/>
      <c r="J1459" s="29"/>
      <c r="K1459" s="3" t="s">
        <v>586</v>
      </c>
      <c r="L1459" s="3"/>
      <c r="M1459" s="3"/>
      <c r="N1459" s="4"/>
      <c r="O1459" s="3"/>
      <c r="P1459" s="3"/>
      <c r="Q1459" s="3"/>
      <c r="R1459" s="1850" t="str">
        <f>CHOOSE(2, "6722000004360", "Inventories (5) DW-DX Purchased from BT cons. companies")</f>
        <v>Inventories (5) DW-DX Purchased from BT cons. companies</v>
      </c>
      <c r="S1459" s="1378">
        <f t="shared" ref="S1459:AD1460" si="2050">S1097</f>
        <v>252</v>
      </c>
      <c r="T1459" s="1378">
        <f t="shared" si="2050"/>
        <v>280</v>
      </c>
      <c r="U1459" s="1378">
        <f t="shared" si="2050"/>
        <v>724</v>
      </c>
      <c r="V1459" s="1378">
        <f t="shared" si="2050"/>
        <v>209.39318000000009</v>
      </c>
      <c r="W1459" s="1378">
        <f t="shared" si="2050"/>
        <v>226</v>
      </c>
      <c r="X1459" s="1378">
        <f t="shared" si="2050"/>
        <v>5</v>
      </c>
      <c r="Y1459" s="1378">
        <f t="shared" si="2050"/>
        <v>0</v>
      </c>
      <c r="Z1459" s="1378">
        <f t="shared" si="2050"/>
        <v>0</v>
      </c>
      <c r="AA1459" s="1378">
        <f t="shared" si="2050"/>
        <v>0</v>
      </c>
      <c r="AB1459" s="1378">
        <f t="shared" si="2050"/>
        <v>5.2531699999999546</v>
      </c>
      <c r="AC1459" s="1378">
        <f t="shared" si="2050"/>
        <v>5.2531699999999546</v>
      </c>
      <c r="AD1459" s="1378">
        <f t="shared" si="2050"/>
        <v>0</v>
      </c>
      <c r="AE1459" s="596">
        <f>U1459</f>
        <v>724</v>
      </c>
      <c r="AF1459" s="596">
        <f>X1459</f>
        <v>5</v>
      </c>
      <c r="AG1459" s="596">
        <f>AA1459</f>
        <v>0</v>
      </c>
      <c r="AH1459" s="596">
        <f>AD1459</f>
        <v>0</v>
      </c>
      <c r="AI1459" s="596">
        <f>AF1459</f>
        <v>5</v>
      </c>
      <c r="AJ1459" s="596">
        <f>AH1459</f>
        <v>0</v>
      </c>
      <c r="AK1459" s="596">
        <f>AJ1459</f>
        <v>0</v>
      </c>
      <c r="AL1459" s="624"/>
    </row>
    <row r="1460" spans="1:61" ht="14.5">
      <c r="A1460" s="1693">
        <f t="shared" ref="A1460:A1523" si="2051">A1459+1</f>
        <v>1443</v>
      </c>
      <c r="B1460" s="616">
        <v>1</v>
      </c>
      <c r="C1460" s="1693">
        <f t="shared" si="2009"/>
        <v>1460</v>
      </c>
      <c r="D1460" s="616">
        <v>1</v>
      </c>
      <c r="E1460" s="709" t="s">
        <v>512</v>
      </c>
      <c r="F1460" s="1572"/>
      <c r="G1460"/>
      <c r="H1460" s="8"/>
      <c r="I1460" s="4"/>
      <c r="J1460" s="366"/>
      <c r="K1460" s="1" t="s">
        <v>66</v>
      </c>
      <c r="L1460" s="1"/>
      <c r="M1460" s="1"/>
      <c r="N1460" s="2"/>
      <c r="O1460" s="1"/>
      <c r="P1460" s="1"/>
      <c r="Q1460" s="1"/>
      <c r="R1460" s="1850" t="str">
        <f>CHOOSE(2, "6722000004361", "Inventories (5) DW-DX 3rd Party")</f>
        <v>Inventories (5) DW-DX 3rd Party</v>
      </c>
      <c r="S1460" s="1379">
        <f t="shared" si="2050"/>
        <v>1047</v>
      </c>
      <c r="T1460" s="1379">
        <f t="shared" si="2050"/>
        <v>693</v>
      </c>
      <c r="U1460" s="1379">
        <f t="shared" si="2050"/>
        <v>455</v>
      </c>
      <c r="V1460" s="1379">
        <f t="shared" si="2050"/>
        <v>466.68817000000109</v>
      </c>
      <c r="W1460" s="1379">
        <f t="shared" si="2050"/>
        <v>576</v>
      </c>
      <c r="X1460" s="1379">
        <f t="shared" si="2050"/>
        <v>0</v>
      </c>
      <c r="Y1460" s="1379">
        <f t="shared" si="2050"/>
        <v>8656</v>
      </c>
      <c r="Z1460" s="1379">
        <f t="shared" si="2050"/>
        <v>13490.270860000001</v>
      </c>
      <c r="AA1460" s="1379">
        <f t="shared" si="2050"/>
        <v>13460.203259999998</v>
      </c>
      <c r="AB1460" s="1379">
        <f t="shared" si="2050"/>
        <v>13269.790530000002</v>
      </c>
      <c r="AC1460" s="1379">
        <f t="shared" si="2050"/>
        <v>11432.878940000001</v>
      </c>
      <c r="AD1460" s="1379">
        <f t="shared" si="2050"/>
        <v>9959.8914000000004</v>
      </c>
      <c r="AE1460" s="585">
        <f>U1460</f>
        <v>455</v>
      </c>
      <c r="AF1460" s="585">
        <f>X1460</f>
        <v>0</v>
      </c>
      <c r="AG1460" s="585">
        <f>AA1460</f>
        <v>13460.203259999998</v>
      </c>
      <c r="AH1460" s="585">
        <f>AD1460</f>
        <v>9959.8914000000004</v>
      </c>
      <c r="AI1460" s="585">
        <f>AF1460</f>
        <v>0</v>
      </c>
      <c r="AJ1460" s="585">
        <f>AH1460</f>
        <v>9959.8914000000004</v>
      </c>
      <c r="AK1460" s="585">
        <f>AJ1460</f>
        <v>9959.8914000000004</v>
      </c>
      <c r="AL1460" s="624"/>
    </row>
    <row r="1461" spans="1:61" ht="14.5">
      <c r="A1461" s="1693">
        <f t="shared" si="2051"/>
        <v>1444</v>
      </c>
      <c r="B1461" s="616">
        <v>1</v>
      </c>
      <c r="C1461" s="1693">
        <f t="shared" si="2009"/>
        <v>1461</v>
      </c>
      <c r="D1461" s="616">
        <v>1</v>
      </c>
      <c r="E1461" s="709" t="s">
        <v>512</v>
      </c>
      <c r="F1461" s="1572"/>
      <c r="G1461"/>
      <c r="H1461" s="8"/>
      <c r="I1461"/>
      <c r="J1461" s="1096" t="s">
        <v>719</v>
      </c>
      <c r="K1461" s="1091"/>
      <c r="L1461" s="1091"/>
      <c r="M1461" s="1091"/>
      <c r="N1461" s="1092"/>
      <c r="O1461" s="1092"/>
      <c r="P1461" s="1092"/>
      <c r="Q1461" s="1092"/>
      <c r="R1461" s="1852" t="str">
        <f>CHOOSE(2, "6722000004362", "Inventories (6) BIC")</f>
        <v>Inventories (6) BIC</v>
      </c>
      <c r="S1461" s="1462">
        <f t="shared" ref="S1461:AD1461" si="2052">SUM(S1462:S1463)</f>
        <v>0</v>
      </c>
      <c r="T1461" s="1462">
        <f t="shared" si="2052"/>
        <v>0</v>
      </c>
      <c r="U1461" s="1462">
        <f t="shared" si="2052"/>
        <v>0</v>
      </c>
      <c r="V1461" s="1462">
        <f t="shared" si="2052"/>
        <v>0</v>
      </c>
      <c r="W1461" s="1462">
        <f t="shared" si="2052"/>
        <v>0</v>
      </c>
      <c r="X1461" s="1462">
        <f t="shared" si="2052"/>
        <v>0</v>
      </c>
      <c r="Y1461" s="1462">
        <f t="shared" si="2052"/>
        <v>0</v>
      </c>
      <c r="Z1461" s="1462">
        <f t="shared" si="2052"/>
        <v>0</v>
      </c>
      <c r="AA1461" s="1462">
        <f t="shared" si="2052"/>
        <v>0</v>
      </c>
      <c r="AB1461" s="1462">
        <f t="shared" si="2052"/>
        <v>0</v>
      </c>
      <c r="AC1461" s="1462">
        <f t="shared" si="2052"/>
        <v>0</v>
      </c>
      <c r="AD1461" s="1462">
        <f t="shared" si="2052"/>
        <v>0</v>
      </c>
      <c r="AE1461" s="1114">
        <f t="shared" ref="AE1461:AK1461" si="2053">SUM(AE1462:AE1463)</f>
        <v>0</v>
      </c>
      <c r="AF1461" s="1114">
        <f t="shared" si="2053"/>
        <v>0</v>
      </c>
      <c r="AG1461" s="1114">
        <f t="shared" si="2053"/>
        <v>0</v>
      </c>
      <c r="AH1461" s="1114">
        <f t="shared" si="2053"/>
        <v>0</v>
      </c>
      <c r="AI1461" s="1114">
        <f t="shared" si="2053"/>
        <v>0</v>
      </c>
      <c r="AJ1461" s="1114">
        <f t="shared" si="2053"/>
        <v>0</v>
      </c>
      <c r="AK1461" s="1114">
        <f t="shared" si="2053"/>
        <v>0</v>
      </c>
      <c r="AL1461" s="621"/>
    </row>
    <row r="1462" spans="1:61" ht="14.5">
      <c r="A1462" s="1693">
        <f t="shared" si="2051"/>
        <v>1445</v>
      </c>
      <c r="B1462" s="616">
        <v>1</v>
      </c>
      <c r="C1462" s="1693">
        <f t="shared" si="2009"/>
        <v>1462</v>
      </c>
      <c r="D1462" s="616">
        <v>1</v>
      </c>
      <c r="E1462" s="709" t="s">
        <v>512</v>
      </c>
      <c r="F1462" s="1572"/>
      <c r="G1462"/>
      <c r="H1462" s="8"/>
      <c r="I1462"/>
      <c r="J1462" s="29"/>
      <c r="K1462" s="3" t="s">
        <v>718</v>
      </c>
      <c r="L1462" s="3"/>
      <c r="M1462" s="3"/>
      <c r="N1462" s="4"/>
      <c r="O1462" s="3"/>
      <c r="P1462" s="3"/>
      <c r="Q1462" s="3"/>
      <c r="R1462" s="1853" t="str">
        <f>CHOOSE(2, "6722000004363", "Inventories (6) BIC Purchased from KM group")</f>
        <v>Inventories (6) BIC Purchased from KM group</v>
      </c>
      <c r="S1462" s="1215"/>
      <c r="T1462" s="1215"/>
      <c r="U1462" s="1215"/>
      <c r="V1462" s="1215"/>
      <c r="W1462" s="1215"/>
      <c r="X1462" s="1215"/>
      <c r="Y1462" s="1215"/>
      <c r="Z1462" s="1215"/>
      <c r="AA1462" s="1215"/>
      <c r="AB1462" s="1215"/>
      <c r="AC1462" s="1215"/>
      <c r="AD1462" s="1215"/>
      <c r="AE1462" s="596">
        <f>U1462</f>
        <v>0</v>
      </c>
      <c r="AF1462" s="596">
        <f>X1462</f>
        <v>0</v>
      </c>
      <c r="AG1462" s="596">
        <f>AA1462</f>
        <v>0</v>
      </c>
      <c r="AH1462" s="596">
        <f>AD1462</f>
        <v>0</v>
      </c>
      <c r="AI1462" s="596">
        <f>AF1462</f>
        <v>0</v>
      </c>
      <c r="AJ1462" s="596">
        <f>AH1462</f>
        <v>0</v>
      </c>
      <c r="AK1462" s="596">
        <f>AJ1462</f>
        <v>0</v>
      </c>
      <c r="AL1462" s="641"/>
    </row>
    <row r="1463" spans="1:61" ht="14.5">
      <c r="A1463" s="1693">
        <f t="shared" si="2051"/>
        <v>1446</v>
      </c>
      <c r="B1463" s="616">
        <v>1</v>
      </c>
      <c r="C1463" s="1693">
        <f t="shared" si="2009"/>
        <v>1463</v>
      </c>
      <c r="D1463" s="616">
        <v>1</v>
      </c>
      <c r="E1463" s="709" t="s">
        <v>512</v>
      </c>
      <c r="F1463" s="1572"/>
      <c r="G1463"/>
      <c r="H1463" s="8"/>
      <c r="I1463"/>
      <c r="J1463" s="366"/>
      <c r="K1463" s="1" t="s">
        <v>66</v>
      </c>
      <c r="L1463" s="1"/>
      <c r="M1463" s="1"/>
      <c r="N1463" s="2"/>
      <c r="O1463" s="1"/>
      <c r="P1463" s="1"/>
      <c r="Q1463" s="1"/>
      <c r="R1463" s="1853" t="str">
        <f>CHOOSE(2, "6722000004364", "Inventories (6) BIC 3rd Party")</f>
        <v>Inventories (6) BIC 3rd Party</v>
      </c>
      <c r="S1463" s="1213"/>
      <c r="T1463" s="1213"/>
      <c r="U1463" s="1213"/>
      <c r="V1463" s="1213"/>
      <c r="W1463" s="1213"/>
      <c r="X1463" s="1213"/>
      <c r="Y1463" s="1213"/>
      <c r="Z1463" s="1213"/>
      <c r="AA1463" s="1213"/>
      <c r="AB1463" s="1213"/>
      <c r="AC1463" s="1213"/>
      <c r="AD1463" s="1213"/>
      <c r="AE1463" s="585">
        <f>U1463</f>
        <v>0</v>
      </c>
      <c r="AF1463" s="585">
        <f>X1463</f>
        <v>0</v>
      </c>
      <c r="AG1463" s="585">
        <f>AA1463</f>
        <v>0</v>
      </c>
      <c r="AH1463" s="585">
        <f>AD1463</f>
        <v>0</v>
      </c>
      <c r="AI1463" s="585">
        <f>AF1463</f>
        <v>0</v>
      </c>
      <c r="AJ1463" s="585">
        <f>AH1463</f>
        <v>0</v>
      </c>
      <c r="AK1463" s="585">
        <f>AJ1463</f>
        <v>0</v>
      </c>
      <c r="AL1463" s="624"/>
    </row>
    <row r="1464" spans="1:61" ht="14.5">
      <c r="A1464" s="1693">
        <f t="shared" si="2051"/>
        <v>1447</v>
      </c>
      <c r="B1464" s="616">
        <v>1</v>
      </c>
      <c r="C1464" s="1693">
        <f t="shared" si="2009"/>
        <v>1464</v>
      </c>
      <c r="D1464" s="616">
        <v>1</v>
      </c>
      <c r="E1464" s="709" t="s">
        <v>512</v>
      </c>
      <c r="F1464" s="1572"/>
      <c r="G1464"/>
      <c r="H1464" s="8"/>
      <c r="I1464"/>
      <c r="J1464" s="1096" t="s">
        <v>720</v>
      </c>
      <c r="K1464" s="1091"/>
      <c r="L1464" s="1091"/>
      <c r="M1464" s="1091"/>
      <c r="N1464" s="1092"/>
      <c r="O1464" s="1092"/>
      <c r="P1464" s="1092"/>
      <c r="Q1464" s="1092"/>
      <c r="R1464" s="1852" t="str">
        <f>CHOOSE(2, "6722000004365", "Inventories (7) IIS (Imaging-IoT Solution)")</f>
        <v>Inventories (7) IIS (Imaging-IoT Solution)</v>
      </c>
      <c r="S1464" s="1462">
        <f t="shared" ref="S1464:AD1464" si="2054">SUM(S1465:S1467)</f>
        <v>7130</v>
      </c>
      <c r="T1464" s="1462">
        <f t="shared" si="2054"/>
        <v>8581</v>
      </c>
      <c r="U1464" s="1462">
        <f t="shared" si="2054"/>
        <v>7002</v>
      </c>
      <c r="V1464" s="1462">
        <f t="shared" si="2054"/>
        <v>6858.5195300000014</v>
      </c>
      <c r="W1464" s="1462">
        <f t="shared" si="2054"/>
        <v>6579</v>
      </c>
      <c r="X1464" s="1462">
        <f t="shared" si="2054"/>
        <v>5562</v>
      </c>
      <c r="Y1464" s="1462">
        <f t="shared" si="2054"/>
        <v>5176.9359000000022</v>
      </c>
      <c r="Z1464" s="1462">
        <f t="shared" si="2054"/>
        <v>5737.6814400000003</v>
      </c>
      <c r="AA1464" s="1462">
        <f t="shared" si="2054"/>
        <v>4338.7105200000033</v>
      </c>
      <c r="AB1464" s="1462">
        <f t="shared" si="2054"/>
        <v>3383.9555400000017</v>
      </c>
      <c r="AC1464" s="1462">
        <f t="shared" si="2054"/>
        <v>3131.5153799999998</v>
      </c>
      <c r="AD1464" s="1462">
        <f t="shared" si="2054"/>
        <v>2357.1520386198154</v>
      </c>
      <c r="AE1464" s="1114">
        <f t="shared" ref="AE1464:AK1464" si="2055">SUM(AE1465:AE1467)</f>
        <v>7002</v>
      </c>
      <c r="AF1464" s="1114">
        <f t="shared" si="2055"/>
        <v>5562</v>
      </c>
      <c r="AG1464" s="1114">
        <f t="shared" si="2055"/>
        <v>4338.7105200000033</v>
      </c>
      <c r="AH1464" s="1114">
        <f t="shared" si="2055"/>
        <v>2357.1520386198154</v>
      </c>
      <c r="AI1464" s="1114">
        <f t="shared" si="2055"/>
        <v>5562</v>
      </c>
      <c r="AJ1464" s="1114">
        <f t="shared" si="2055"/>
        <v>2357.1520386198154</v>
      </c>
      <c r="AK1464" s="1114">
        <f t="shared" si="2055"/>
        <v>2357.1520386198154</v>
      </c>
      <c r="AL1464" s="641"/>
    </row>
    <row r="1465" spans="1:61" ht="14.5">
      <c r="A1465" s="1693">
        <f t="shared" si="2051"/>
        <v>1448</v>
      </c>
      <c r="B1465" s="616">
        <v>1</v>
      </c>
      <c r="C1465" s="1693">
        <f t="shared" si="2009"/>
        <v>1465</v>
      </c>
      <c r="D1465" s="616">
        <v>1</v>
      </c>
      <c r="E1465" s="709" t="s">
        <v>512</v>
      </c>
      <c r="F1465" s="1572"/>
      <c r="G1465"/>
      <c r="H1465" s="8"/>
      <c r="I1465"/>
      <c r="J1465" s="29"/>
      <c r="K1465" s="3" t="s">
        <v>721</v>
      </c>
      <c r="L1465" s="3"/>
      <c r="M1465" s="3"/>
      <c r="N1465" s="4"/>
      <c r="O1465" s="3"/>
      <c r="P1465" s="3"/>
      <c r="Q1465" s="3"/>
      <c r="R1465" s="1853" t="str">
        <f>CHOOSE(2, "6722000004366", "Inventories (7) IIS (Imaging-IoT Solution) PKM")</f>
        <v>Inventories (7) IIS (Imaging-IoT Solution) PKM</v>
      </c>
      <c r="S1465" s="1215"/>
      <c r="T1465" s="1215"/>
      <c r="U1465" s="1215"/>
      <c r="V1465" s="1215"/>
      <c r="W1465" s="1215"/>
      <c r="X1465" s="1215"/>
      <c r="Y1465" s="1215"/>
      <c r="Z1465" s="1215"/>
      <c r="AA1465" s="1215"/>
      <c r="AB1465" s="1215"/>
      <c r="AC1465" s="1215"/>
      <c r="AD1465" s="1215"/>
      <c r="AE1465" s="596">
        <f>U1465</f>
        <v>0</v>
      </c>
      <c r="AF1465" s="596">
        <f>X1465</f>
        <v>0</v>
      </c>
      <c r="AG1465" s="596">
        <f>AA1465</f>
        <v>0</v>
      </c>
      <c r="AH1465" s="596">
        <f>AD1465</f>
        <v>0</v>
      </c>
      <c r="AI1465" s="596">
        <f>AF1465</f>
        <v>0</v>
      </c>
      <c r="AJ1465" s="596">
        <f>AH1465</f>
        <v>0</v>
      </c>
      <c r="AK1465" s="596">
        <f>AJ1465</f>
        <v>0</v>
      </c>
      <c r="AL1465" s="624"/>
    </row>
    <row r="1466" spans="1:61" ht="14.5">
      <c r="A1466" s="1693">
        <f t="shared" si="2051"/>
        <v>1449</v>
      </c>
      <c r="B1466" s="616">
        <v>1</v>
      </c>
      <c r="C1466" s="1693">
        <f t="shared" si="2009"/>
        <v>1466</v>
      </c>
      <c r="D1466" s="616">
        <v>1</v>
      </c>
      <c r="E1466" s="709" t="s">
        <v>512</v>
      </c>
      <c r="F1466" s="1572"/>
      <c r="G1466"/>
      <c r="H1466" s="8"/>
      <c r="I1466"/>
      <c r="J1466" s="29"/>
      <c r="K1466" s="3" t="s">
        <v>722</v>
      </c>
      <c r="L1466" s="3"/>
      <c r="M1466" s="3"/>
      <c r="N1466" s="4"/>
      <c r="O1466" s="3"/>
      <c r="P1466" s="3"/>
      <c r="Q1466" s="3"/>
      <c r="R1466" s="1853" t="str">
        <f>CHOOSE(2, "6722000004367", "(7) IIS (Imaging-IoT Solution) PurchasedfromHMX")</f>
        <v>(7) IIS (Imaging-IoT Solution) PurchasedfromHMX</v>
      </c>
      <c r="S1466" s="1215">
        <v>7130</v>
      </c>
      <c r="T1466" s="1215">
        <v>8581</v>
      </c>
      <c r="U1466" s="1215">
        <v>7002</v>
      </c>
      <c r="V1466" s="1215">
        <v>6858.5195300000014</v>
      </c>
      <c r="W1466" s="1215">
        <v>6579</v>
      </c>
      <c r="X1466" s="1215">
        <v>5562</v>
      </c>
      <c r="Y1466" s="1215">
        <v>5176.9359000000022</v>
      </c>
      <c r="Z1466" s="1215">
        <v>5737.6814400000003</v>
      </c>
      <c r="AA1466" s="1215">
        <v>4338.7105200000033</v>
      </c>
      <c r="AB1466" s="1215">
        <v>3383.9555400000017</v>
      </c>
      <c r="AC1466" s="1215">
        <v>3131.5153799999998</v>
      </c>
      <c r="AD1466" s="1215">
        <v>2357.1520386198154</v>
      </c>
      <c r="AE1466" s="596">
        <f>U1466</f>
        <v>7002</v>
      </c>
      <c r="AF1466" s="596">
        <f>X1466</f>
        <v>5562</v>
      </c>
      <c r="AG1466" s="596">
        <f>AA1466</f>
        <v>4338.7105200000033</v>
      </c>
      <c r="AH1466" s="596">
        <f>AD1466</f>
        <v>2357.1520386198154</v>
      </c>
      <c r="AI1466" s="596">
        <f>AF1466</f>
        <v>5562</v>
      </c>
      <c r="AJ1466" s="596">
        <f>AH1466</f>
        <v>2357.1520386198154</v>
      </c>
      <c r="AK1466" s="596">
        <f>AJ1466</f>
        <v>2357.1520386198154</v>
      </c>
      <c r="AL1466" s="624"/>
    </row>
    <row r="1467" spans="1:61" ht="14.5">
      <c r="A1467" s="1693">
        <f t="shared" si="2051"/>
        <v>1450</v>
      </c>
      <c r="B1467" s="616">
        <v>1</v>
      </c>
      <c r="C1467" s="1693">
        <f t="shared" si="2009"/>
        <v>1467</v>
      </c>
      <c r="D1467" s="616">
        <v>1</v>
      </c>
      <c r="E1467" s="709" t="s">
        <v>512</v>
      </c>
      <c r="F1467" s="1572"/>
      <c r="G1467"/>
      <c r="H1467" s="8"/>
      <c r="I1467"/>
      <c r="J1467" s="366"/>
      <c r="K1467" s="1" t="s">
        <v>66</v>
      </c>
      <c r="L1467" s="1"/>
      <c r="M1467" s="1"/>
      <c r="N1467" s="2"/>
      <c r="O1467" s="1"/>
      <c r="P1467" s="1"/>
      <c r="Q1467" s="1"/>
      <c r="R1467" s="1853" t="str">
        <f>CHOOSE(2, "6722000004368", "(7) IIS (Imaging-IoT Solution) 3rd Party")</f>
        <v>(7) IIS (Imaging-IoT Solution) 3rd Party</v>
      </c>
      <c r="S1467" s="1213"/>
      <c r="T1467" s="1213"/>
      <c r="U1467" s="1213"/>
      <c r="V1467" s="1213"/>
      <c r="W1467" s="1213"/>
      <c r="X1467" s="1213"/>
      <c r="Y1467" s="1213"/>
      <c r="Z1467" s="1213"/>
      <c r="AA1467" s="1213"/>
      <c r="AB1467" s="1213"/>
      <c r="AC1467" s="1213"/>
      <c r="AD1467" s="1213"/>
      <c r="AE1467" s="585">
        <f>U1467</f>
        <v>0</v>
      </c>
      <c r="AF1467" s="585">
        <f>X1467</f>
        <v>0</v>
      </c>
      <c r="AG1467" s="585">
        <f>AA1467</f>
        <v>0</v>
      </c>
      <c r="AH1467" s="585">
        <f>AD1467</f>
        <v>0</v>
      </c>
      <c r="AI1467" s="585">
        <f>AF1467</f>
        <v>0</v>
      </c>
      <c r="AJ1467" s="585">
        <f>AH1467</f>
        <v>0</v>
      </c>
      <c r="AK1467" s="585">
        <f>AJ1467</f>
        <v>0</v>
      </c>
      <c r="AL1467" s="624"/>
    </row>
    <row r="1468" spans="1:61" ht="14.5">
      <c r="A1468" s="1693">
        <f t="shared" si="2051"/>
        <v>1451</v>
      </c>
      <c r="B1468" s="616">
        <v>1</v>
      </c>
      <c r="C1468" s="1693">
        <f t="shared" si="2009"/>
        <v>1468</v>
      </c>
      <c r="D1468" s="616">
        <v>1</v>
      </c>
      <c r="E1468" s="709" t="s">
        <v>512</v>
      </c>
      <c r="F1468" s="1572"/>
      <c r="H1468" s="22"/>
      <c r="I1468" s="9"/>
      <c r="J1468" s="8"/>
      <c r="K1468" s="9"/>
      <c r="M1468" s="8"/>
      <c r="Q1468" s="1210"/>
      <c r="R1468" s="1772" t="str">
        <f>CHOOSE(2, "6722000004369", "▷ Blank 61")</f>
        <v>▷ Blank 61</v>
      </c>
      <c r="S1468" s="1366"/>
      <c r="T1468" s="1366"/>
      <c r="U1468" s="1366"/>
      <c r="V1468" s="1366"/>
      <c r="W1468" s="1366"/>
      <c r="X1468" s="1366"/>
      <c r="Y1468" s="1366"/>
      <c r="Z1468" s="1366"/>
      <c r="AA1468" s="1366"/>
      <c r="AB1468" s="69"/>
      <c r="AC1468" s="69"/>
      <c r="AD1468" s="69"/>
      <c r="AE1468" s="69"/>
      <c r="AF1468" s="69"/>
      <c r="AG1468" s="69"/>
      <c r="AH1468" s="69"/>
      <c r="AI1468" s="69"/>
      <c r="AJ1468" s="69"/>
      <c r="AK1468" s="69"/>
      <c r="AL1468" s="621"/>
    </row>
    <row r="1469" spans="1:61" ht="18">
      <c r="A1469" s="1693">
        <f t="shared" si="2051"/>
        <v>1452</v>
      </c>
      <c r="B1469" s="616">
        <v>1</v>
      </c>
      <c r="C1469" s="1693">
        <f t="shared" si="2009"/>
        <v>1469</v>
      </c>
      <c r="D1469" s="616">
        <v>1</v>
      </c>
      <c r="E1469" s="709" t="s">
        <v>512</v>
      </c>
      <c r="F1469" s="1572"/>
      <c r="G1469" s="242" t="s">
        <v>784</v>
      </c>
      <c r="H1469" s="242"/>
      <c r="R1469" s="1772" t="str">
        <f>CHOOSE(2, "6722000004370", "10. Reference")</f>
        <v>10. Reference</v>
      </c>
      <c r="S1469" s="1366"/>
      <c r="T1469" s="1366"/>
      <c r="U1469" s="1366"/>
      <c r="V1469" s="1366"/>
      <c r="W1469" s="1366"/>
      <c r="X1469" s="1366"/>
      <c r="Y1469" s="1366"/>
      <c r="Z1469" s="1366"/>
      <c r="AA1469" s="1366"/>
      <c r="AB1469" s="1366"/>
      <c r="AC1469" s="69"/>
      <c r="AD1469" s="69"/>
      <c r="AE1469" s="69"/>
      <c r="AF1469" s="69"/>
      <c r="AG1469" s="69"/>
      <c r="AH1469" s="69"/>
      <c r="AI1469" s="69"/>
      <c r="AJ1469" s="69"/>
      <c r="AK1469" s="69"/>
      <c r="AL1469" s="641"/>
    </row>
    <row r="1470" spans="1:61" ht="14.5">
      <c r="A1470" s="1693">
        <f t="shared" si="2051"/>
        <v>1453</v>
      </c>
      <c r="B1470" s="616">
        <v>1</v>
      </c>
      <c r="C1470" s="1693">
        <f t="shared" si="2009"/>
        <v>1470</v>
      </c>
      <c r="D1470" s="616">
        <v>1</v>
      </c>
      <c r="E1470" s="709" t="s">
        <v>512</v>
      </c>
      <c r="F1470" s="1572"/>
      <c r="H1470" s="4" t="s">
        <v>817</v>
      </c>
      <c r="R1470" s="1772" t="str">
        <f>CHOOSE(2, "6722000004371", "10-1. Variable Costing Income Statement")</f>
        <v>10-1. Variable Costing Income Statement</v>
      </c>
      <c r="S1470" s="1366"/>
      <c r="T1470" s="1366"/>
      <c r="U1470" s="1366"/>
      <c r="V1470" s="1366"/>
      <c r="W1470" s="1366"/>
      <c r="X1470" s="1366"/>
      <c r="Y1470" s="1366"/>
      <c r="Z1470" s="1366"/>
      <c r="AA1470" s="1366"/>
      <c r="AB1470" s="1366"/>
      <c r="AC1470" s="69"/>
      <c r="AD1470" s="69"/>
      <c r="AE1470" s="69"/>
      <c r="AF1470" s="69"/>
      <c r="AG1470" s="69"/>
      <c r="AH1470" s="69"/>
      <c r="AI1470" s="69"/>
      <c r="AJ1470" s="69"/>
      <c r="AK1470" s="69"/>
      <c r="AL1470" s="621"/>
    </row>
    <row r="1471" spans="1:61" ht="14.5">
      <c r="A1471" s="1693">
        <f t="shared" si="2051"/>
        <v>1454</v>
      </c>
      <c r="B1471" s="616">
        <v>1</v>
      </c>
      <c r="C1471" s="1693">
        <f t="shared" si="2009"/>
        <v>1471</v>
      </c>
      <c r="D1471" s="616">
        <v>1</v>
      </c>
      <c r="E1471" s="709" t="s">
        <v>512</v>
      </c>
      <c r="F1471" s="1572"/>
      <c r="J1471" s="612"/>
      <c r="K1471" s="613"/>
      <c r="L1471" s="614"/>
      <c r="M1471" s="614"/>
      <c r="N1471" s="613"/>
      <c r="O1471" s="613"/>
      <c r="P1471" s="613"/>
      <c r="Q1471" s="615"/>
      <c r="R1471" s="1773" t="str">
        <f>CHOOSE(2, "6722000004372", "▷ Blank 62")</f>
        <v>▷ Blank 62</v>
      </c>
      <c r="S1471" s="1686">
        <f t="shared" ref="S1471:AD1472" si="2056">S13</f>
        <v>45017</v>
      </c>
      <c r="T1471" s="1686">
        <f t="shared" si="2056"/>
        <v>45047</v>
      </c>
      <c r="U1471" s="1686">
        <f t="shared" si="2056"/>
        <v>45078</v>
      </c>
      <c r="V1471" s="1686">
        <f t="shared" si="2056"/>
        <v>45108</v>
      </c>
      <c r="W1471" s="1686">
        <f t="shared" si="2056"/>
        <v>45139</v>
      </c>
      <c r="X1471" s="1686">
        <f t="shared" si="2056"/>
        <v>45170</v>
      </c>
      <c r="Y1471" s="1686">
        <f t="shared" si="2056"/>
        <v>45200</v>
      </c>
      <c r="Z1471" s="1686">
        <f t="shared" si="2056"/>
        <v>45231</v>
      </c>
      <c r="AA1471" s="1686">
        <f t="shared" si="2056"/>
        <v>45261</v>
      </c>
      <c r="AB1471" s="1686">
        <f t="shared" si="2056"/>
        <v>45292</v>
      </c>
      <c r="AC1471" s="1686">
        <f t="shared" si="2056"/>
        <v>45323</v>
      </c>
      <c r="AD1471" s="1686">
        <f t="shared" si="2056"/>
        <v>45352</v>
      </c>
      <c r="AE1471" s="1687" t="str">
        <f t="shared" ref="AE1471:AK1471" si="2057">AE$13</f>
        <v>Q1</v>
      </c>
      <c r="AF1471" s="1687" t="str">
        <f t="shared" si="2057"/>
        <v>Q2</v>
      </c>
      <c r="AG1471" s="1687" t="str">
        <f t="shared" si="2057"/>
        <v>Q3</v>
      </c>
      <c r="AH1471" s="1687" t="str">
        <f t="shared" si="2057"/>
        <v>Q4</v>
      </c>
      <c r="AI1471" s="1687" t="str">
        <f t="shared" si="2057"/>
        <v>1st H</v>
      </c>
      <c r="AJ1471" s="1687" t="str">
        <f t="shared" si="2057"/>
        <v>2nd H</v>
      </c>
      <c r="AK1471" s="1687" t="str">
        <f t="shared" si="2057"/>
        <v>FY23</v>
      </c>
      <c r="AL1471" s="641"/>
      <c r="AM1471" s="2723">
        <f>AM$10</f>
        <v>0</v>
      </c>
      <c r="AN1471" s="2724">
        <f t="shared" ref="AN1471:AS1471" si="2058">AN$10</f>
        <v>0</v>
      </c>
      <c r="AO1471" s="2725">
        <f t="shared" si="2058"/>
        <v>0</v>
      </c>
      <c r="AP1471" s="2726">
        <f t="shared" si="2058"/>
        <v>0</v>
      </c>
      <c r="AQ1471" s="2724">
        <f t="shared" si="2058"/>
        <v>0</v>
      </c>
      <c r="AR1471" s="2725">
        <f t="shared" si="2058"/>
        <v>0</v>
      </c>
      <c r="AS1471" s="2727">
        <f t="shared" si="2058"/>
        <v>0</v>
      </c>
      <c r="AU1471" s="2723">
        <f>AU$10</f>
        <v>0</v>
      </c>
      <c r="AV1471" s="2724">
        <f t="shared" ref="AV1471:BA1471" si="2059">AV$10</f>
        <v>0</v>
      </c>
      <c r="AW1471" s="2725">
        <f t="shared" si="2059"/>
        <v>0</v>
      </c>
      <c r="AX1471" s="2726">
        <f t="shared" si="2059"/>
        <v>0</v>
      </c>
      <c r="AY1471" s="2724">
        <f t="shared" si="2059"/>
        <v>0</v>
      </c>
      <c r="AZ1471" s="2725">
        <f t="shared" si="2059"/>
        <v>0</v>
      </c>
      <c r="BA1471" s="2727">
        <f t="shared" si="2059"/>
        <v>0</v>
      </c>
      <c r="BC1471" s="2723">
        <f>BC$10</f>
        <v>0</v>
      </c>
      <c r="BD1471" s="2724">
        <f t="shared" ref="BD1471:BI1471" si="2060">BD$10</f>
        <v>0</v>
      </c>
      <c r="BE1471" s="2725">
        <f t="shared" si="2060"/>
        <v>0</v>
      </c>
      <c r="BF1471" s="2726">
        <f t="shared" si="2060"/>
        <v>0</v>
      </c>
      <c r="BG1471" s="2724">
        <f t="shared" si="2060"/>
        <v>0</v>
      </c>
      <c r="BH1471" s="2725">
        <f t="shared" si="2060"/>
        <v>0</v>
      </c>
      <c r="BI1471" s="2727">
        <f t="shared" si="2060"/>
        <v>0</v>
      </c>
    </row>
    <row r="1472" spans="1:61" s="621" customFormat="1" ht="14.5">
      <c r="A1472" s="1693">
        <f t="shared" si="2051"/>
        <v>1455</v>
      </c>
      <c r="B1472" s="616">
        <v>1</v>
      </c>
      <c r="C1472" s="1693">
        <f t="shared" si="2009"/>
        <v>1472</v>
      </c>
      <c r="D1472" s="616">
        <v>1</v>
      </c>
      <c r="E1472" s="709" t="s">
        <v>512</v>
      </c>
      <c r="F1472" s="1572"/>
      <c r="G1472" s="622"/>
      <c r="H1472" s="622"/>
      <c r="I1472" s="623"/>
      <c r="J1472" s="631" t="s">
        <v>0</v>
      </c>
      <c r="K1472" s="632"/>
      <c r="L1472" s="632"/>
      <c r="M1472" s="632"/>
      <c r="N1472" s="632"/>
      <c r="O1472" s="632"/>
      <c r="P1472" s="632"/>
      <c r="Q1472" s="647" t="s">
        <v>500</v>
      </c>
      <c r="R1472" s="1784" t="str">
        <f>CHOOSE(2, "6722000004373", "Net Sales A")</f>
        <v>Net Sales A</v>
      </c>
      <c r="S1472" s="1331">
        <f t="shared" si="2056"/>
        <v>1110462</v>
      </c>
      <c r="T1472" s="1331">
        <f t="shared" si="2056"/>
        <v>995339.46228000021</v>
      </c>
      <c r="U1472" s="1331">
        <f t="shared" si="2056"/>
        <v>906113.29396000016</v>
      </c>
      <c r="V1472" s="1331">
        <f t="shared" si="2056"/>
        <v>844507.30103000009</v>
      </c>
      <c r="W1472" s="1331">
        <f t="shared" si="2056"/>
        <v>986309.25832000002</v>
      </c>
      <c r="X1472" s="1331">
        <f t="shared" si="2056"/>
        <v>1071798.60635</v>
      </c>
      <c r="Y1472" s="1331">
        <f t="shared" si="2056"/>
        <v>907524.40463</v>
      </c>
      <c r="Z1472" s="1331">
        <f t="shared" si="2056"/>
        <v>899943.86205999996</v>
      </c>
      <c r="AA1472" s="1331">
        <f t="shared" si="2056"/>
        <v>956990.63972999994</v>
      </c>
      <c r="AB1472" s="1331">
        <f t="shared" si="2056"/>
        <v>986488.18738000002</v>
      </c>
      <c r="AC1472" s="1331">
        <f t="shared" si="2056"/>
        <v>1023180.98511</v>
      </c>
      <c r="AD1472" s="1331">
        <f t="shared" si="2056"/>
        <v>1004203.1276199999</v>
      </c>
      <c r="AE1472" s="633">
        <f t="shared" ref="AE1472:AH1472" si="2061">AE14</f>
        <v>3011914.75624</v>
      </c>
      <c r="AF1472" s="633">
        <f t="shared" si="2061"/>
        <v>2902615.1657000002</v>
      </c>
      <c r="AG1472" s="633">
        <f t="shared" si="2061"/>
        <v>2764458.9064199999</v>
      </c>
      <c r="AH1472" s="633">
        <f t="shared" si="2061"/>
        <v>3013872.3001100002</v>
      </c>
      <c r="AI1472" s="633">
        <f t="shared" ref="AI1472:AK1472" si="2062">AI14</f>
        <v>5914529.9219400007</v>
      </c>
      <c r="AJ1472" s="633">
        <f t="shared" si="2062"/>
        <v>5778331.2065300001</v>
      </c>
      <c r="AK1472" s="633">
        <f t="shared" si="2062"/>
        <v>11692861.12847</v>
      </c>
      <c r="AL1472" s="8"/>
      <c r="AM1472" s="2508">
        <f ca="1">AM14</f>
        <v>1110462</v>
      </c>
      <c r="AN1472" s="2508">
        <f ca="1">AN14</f>
        <v>941049.21058490593</v>
      </c>
      <c r="AO1472" s="2981">
        <f t="shared" ref="AO1472:AO1488" ca="1" si="2063">AM1472-AN1472</f>
        <v>169412.78941509407</v>
      </c>
      <c r="AP1472" s="2982">
        <f t="shared" ref="AP1472:AP1487" ca="1" si="2064">IFERROR(AM1472/AN1472,0)</f>
        <v>1.1800254306677502</v>
      </c>
      <c r="AQ1472" s="2508">
        <f ca="1">AQ14</f>
        <v>649255</v>
      </c>
      <c r="AR1472" s="2981">
        <f ca="1">AM1472-AQ1472</f>
        <v>461207</v>
      </c>
      <c r="AS1472" s="2982">
        <f ca="1">IFERROR(AM1472/AQ1472,0)</f>
        <v>1.7103634165312551</v>
      </c>
      <c r="AU1472" s="2508">
        <f ca="1">AU14</f>
        <v>1110462</v>
      </c>
      <c r="AV1472" s="2508">
        <f ca="1">AV14</f>
        <v>941049.21058490593</v>
      </c>
      <c r="AW1472" s="2981">
        <f t="shared" ref="AW1472:AW1488" ca="1" si="2065">AU1472-AV1472</f>
        <v>169412.78941509407</v>
      </c>
      <c r="AX1472" s="2982">
        <f ca="1">IFERROR(AU1472/AV1472,0)</f>
        <v>1.1800254306677502</v>
      </c>
      <c r="AY1472" s="2508">
        <f ca="1">AY14</f>
        <v>649255</v>
      </c>
      <c r="AZ1472" s="2981">
        <f ca="1">AU1472-AY1472</f>
        <v>461207</v>
      </c>
      <c r="BA1472" s="2982">
        <f ca="1">IFERROR(AU1472/AY1472,0)</f>
        <v>1.7103634165312551</v>
      </c>
      <c r="BC1472" s="2508">
        <f ca="1">BC14</f>
        <v>1110462</v>
      </c>
      <c r="BD1472" s="2508">
        <f ca="1">BD14</f>
        <v>941049.21058490593</v>
      </c>
      <c r="BE1472" s="2981">
        <f t="shared" ref="BE1472:BE1488" ca="1" si="2066">BC1472-BD1472</f>
        <v>169412.78941509407</v>
      </c>
      <c r="BF1472" s="2982">
        <f ca="1">IFERROR(BC1472/BD1472,0)</f>
        <v>1.1800254306677502</v>
      </c>
      <c r="BG1472" s="2508">
        <f ca="1">BG14</f>
        <v>649255</v>
      </c>
      <c r="BH1472" s="2981">
        <f ca="1">BC1472-BG1472</f>
        <v>461207</v>
      </c>
      <c r="BI1472" s="2982">
        <f ca="1">IFERROR(BC1472/BG1472,0)</f>
        <v>1.7103634165312551</v>
      </c>
    </row>
    <row r="1473" spans="1:61" s="621" customFormat="1" ht="14.5">
      <c r="A1473" s="1693">
        <f t="shared" si="2051"/>
        <v>1456</v>
      </c>
      <c r="B1473" s="616">
        <v>1</v>
      </c>
      <c r="C1473" s="1693">
        <f t="shared" si="2009"/>
        <v>1473</v>
      </c>
      <c r="D1473" s="616">
        <v>1</v>
      </c>
      <c r="E1473" s="709" t="s">
        <v>512</v>
      </c>
      <c r="F1473" s="1572"/>
      <c r="G1473" s="622"/>
      <c r="H1473" s="622"/>
      <c r="I1473" s="623"/>
      <c r="J1473" s="1328" t="s">
        <v>490</v>
      </c>
      <c r="K1473" s="1327"/>
      <c r="L1473" s="1327"/>
      <c r="M1473" s="634"/>
      <c r="N1473" s="626"/>
      <c r="O1473" s="626"/>
      <c r="P1473" s="626"/>
      <c r="Q1473" s="648" t="s">
        <v>501</v>
      </c>
      <c r="R1473" s="1784" t="str">
        <f>CHOOSE(2, "6722000004374", "Variable Cost B")</f>
        <v>Variable Cost B</v>
      </c>
      <c r="S1473" s="1326">
        <f>SUM(S1475:S1477)</f>
        <v>777962.61677194305</v>
      </c>
      <c r="T1473" s="1326">
        <f t="shared" ref="T1473:AD1473" si="2067">SUM(T1475:T1477)</f>
        <v>725695.93719583354</v>
      </c>
      <c r="U1473" s="1326">
        <f t="shared" si="2067"/>
        <v>716827.7962231898</v>
      </c>
      <c r="V1473" s="1326">
        <f t="shared" si="2067"/>
        <v>626752.77618480206</v>
      </c>
      <c r="W1473" s="1326">
        <f t="shared" si="2067"/>
        <v>754708.29615830618</v>
      </c>
      <c r="X1473" s="1326">
        <f t="shared" si="2067"/>
        <v>813240.02405865199</v>
      </c>
      <c r="Y1473" s="1326">
        <f t="shared" si="2067"/>
        <v>675325.13460811682</v>
      </c>
      <c r="Z1473" s="1326">
        <f t="shared" si="2067"/>
        <v>645524.00171066972</v>
      </c>
      <c r="AA1473" s="1326">
        <f t="shared" si="2067"/>
        <v>665927.23617075756</v>
      </c>
      <c r="AB1473" s="1326">
        <f t="shared" si="2067"/>
        <v>699398.27905406768</v>
      </c>
      <c r="AC1473" s="1326">
        <f t="shared" si="2067"/>
        <v>737202.03044604941</v>
      </c>
      <c r="AD1473" s="1326">
        <f t="shared" si="2067"/>
        <v>798896.12981625402</v>
      </c>
      <c r="AE1473" s="1326">
        <f t="shared" ref="AE1473:AK1473" si="2068">SUM(AE1475:AE1477)</f>
        <v>2220485.675610966</v>
      </c>
      <c r="AF1473" s="1326">
        <f t="shared" si="2068"/>
        <v>2194700.9714017604</v>
      </c>
      <c r="AG1473" s="1326">
        <f t="shared" si="2068"/>
        <v>1987320.0266316736</v>
      </c>
      <c r="AH1473" s="1326">
        <f t="shared" si="2068"/>
        <v>2235496.439316371</v>
      </c>
      <c r="AI1473" s="1326">
        <f t="shared" si="2068"/>
        <v>4415186.6470127264</v>
      </c>
      <c r="AJ1473" s="1326">
        <f t="shared" si="2068"/>
        <v>4222816.4659480443</v>
      </c>
      <c r="AK1473" s="1326">
        <f t="shared" si="2068"/>
        <v>8638003.1129607707</v>
      </c>
      <c r="AL1473" s="8"/>
      <c r="AM1473" s="2509">
        <f ca="1">SUM(AM1475:AM1477)</f>
        <v>777961.94219194306</v>
      </c>
      <c r="AN1473" s="2513">
        <f ca="1">SUM(AN1475:AN1477)</f>
        <v>662482.84999957448</v>
      </c>
      <c r="AO1473" s="2983">
        <f t="shared" ca="1" si="2063"/>
        <v>115479.09219236858</v>
      </c>
      <c r="AP1473" s="2984">
        <f t="shared" ca="1" si="2064"/>
        <v>1.1743125760801849</v>
      </c>
      <c r="AQ1473" s="2509">
        <f ca="1">SUM(AQ1475:AQ1477)</f>
        <v>490038</v>
      </c>
      <c r="AR1473" s="2983">
        <f t="shared" ref="AR1473:AR1488" ca="1" si="2069">AM1473-AQ1473</f>
        <v>287923.94219194306</v>
      </c>
      <c r="AS1473" s="2984">
        <f t="shared" ref="AS1473:AS1487" ca="1" si="2070">IFERROR(AM1473/AQ1473,0)</f>
        <v>1.587554316587577</v>
      </c>
      <c r="AU1473" s="2509">
        <f ca="1">SUM(AU1475:AU1477)</f>
        <v>777961.94219194306</v>
      </c>
      <c r="AV1473" s="2513">
        <f ca="1">SUM(AV1475:AV1477)</f>
        <v>662482.84999957448</v>
      </c>
      <c r="AW1473" s="2983">
        <f t="shared" ca="1" si="2065"/>
        <v>115479.09219236858</v>
      </c>
      <c r="AX1473" s="2984">
        <f ca="1">IFERROR(AU1473/AV1473,0)</f>
        <v>1.1743125760801849</v>
      </c>
      <c r="AY1473" s="2509">
        <f ca="1">SUM(AY1475:AY1477)</f>
        <v>490038</v>
      </c>
      <c r="AZ1473" s="2983">
        <f t="shared" ref="AZ1473:AZ1488" ca="1" si="2071">AU1473-AY1473</f>
        <v>287923.94219194306</v>
      </c>
      <c r="BA1473" s="2984">
        <f ca="1">IFERROR(AU1473/AY1473,0)</f>
        <v>1.587554316587577</v>
      </c>
      <c r="BC1473" s="2509">
        <f ca="1">SUM(BC1475:BC1477)</f>
        <v>777961.94219194306</v>
      </c>
      <c r="BD1473" s="2513">
        <f ca="1">SUM(BD1475:BD1477)</f>
        <v>662482.84999957448</v>
      </c>
      <c r="BE1473" s="2983">
        <f t="shared" ca="1" si="2066"/>
        <v>115479.09219236858</v>
      </c>
      <c r="BF1473" s="2984">
        <f ca="1">IFERROR(BC1473/BD1473,0)</f>
        <v>1.1743125760801849</v>
      </c>
      <c r="BG1473" s="2509">
        <f ca="1">SUM(BG1475:BG1477)</f>
        <v>490038</v>
      </c>
      <c r="BH1473" s="2983">
        <f t="shared" ref="BH1473:BH1488" ca="1" si="2072">BC1473-BG1473</f>
        <v>287923.94219194306</v>
      </c>
      <c r="BI1473" s="2984">
        <f ca="1">IFERROR(BC1473/BG1473,0)</f>
        <v>1.587554316587577</v>
      </c>
    </row>
    <row r="1474" spans="1:61" s="641" customFormat="1" ht="14.5">
      <c r="A1474" s="1693">
        <f t="shared" si="2051"/>
        <v>1457</v>
      </c>
      <c r="B1474" s="616">
        <v>1</v>
      </c>
      <c r="C1474" s="1693">
        <f t="shared" si="2009"/>
        <v>1474</v>
      </c>
      <c r="D1474" s="616">
        <v>1</v>
      </c>
      <c r="E1474" s="709" t="s">
        <v>512</v>
      </c>
      <c r="F1474" s="1572"/>
      <c r="G1474" s="637"/>
      <c r="H1474" s="637"/>
      <c r="I1474" s="637"/>
      <c r="J1474" s="638"/>
      <c r="K1474" s="639" t="s">
        <v>55</v>
      </c>
      <c r="L1474" s="639"/>
      <c r="M1474" s="639"/>
      <c r="N1474" s="640"/>
      <c r="O1474" s="640"/>
      <c r="P1474" s="640"/>
      <c r="Q1474" s="649"/>
      <c r="R1474" s="1785" t="str">
        <f>CHOOSE(2, "6722000004375", "Variable Cost (%)")</f>
        <v>Variable Cost (%)</v>
      </c>
      <c r="S1474" s="1332">
        <f>IFERROR(S1473/S1472,0)</f>
        <v>0.70057563137860013</v>
      </c>
      <c r="T1474" s="1332">
        <f t="shared" ref="T1474:AD1474" si="2073">IFERROR(T1473/T1472,0)</f>
        <v>0.72909390685013054</v>
      </c>
      <c r="U1474" s="1332">
        <f t="shared" si="2073"/>
        <v>0.79110173198146871</v>
      </c>
      <c r="V1474" s="1332">
        <f t="shared" si="2073"/>
        <v>0.74215199255280029</v>
      </c>
      <c r="W1474" s="1332">
        <f t="shared" si="2073"/>
        <v>0.76518423586919959</v>
      </c>
      <c r="X1474" s="1332">
        <f t="shared" si="2073"/>
        <v>0.75876197192318917</v>
      </c>
      <c r="Y1474" s="1332">
        <f t="shared" si="2073"/>
        <v>0.74413991641739774</v>
      </c>
      <c r="Z1474" s="1332">
        <f t="shared" si="2073"/>
        <v>0.7172936323306266</v>
      </c>
      <c r="AA1474" s="1332">
        <f t="shared" si="2073"/>
        <v>0.69585553768701291</v>
      </c>
      <c r="AB1474" s="1332">
        <f t="shared" si="2073"/>
        <v>0.70897785498231825</v>
      </c>
      <c r="AC1474" s="1332">
        <f t="shared" si="2073"/>
        <v>0.72050012771376359</v>
      </c>
      <c r="AD1474" s="1332">
        <f t="shared" si="2073"/>
        <v>0.79555232187900926</v>
      </c>
      <c r="AE1474" s="1332">
        <f t="shared" ref="AE1474:AK1474" si="2074">IFERROR(AE1473/AE1472,0)</f>
        <v>0.73723390444919679</v>
      </c>
      <c r="AF1474" s="1332">
        <f t="shared" si="2074"/>
        <v>0.75611159113904858</v>
      </c>
      <c r="AG1474" s="1332">
        <f t="shared" si="2074"/>
        <v>0.71888210094801941</v>
      </c>
      <c r="AH1474" s="1332">
        <f t="shared" si="2074"/>
        <v>0.74173562006418781</v>
      </c>
      <c r="AI1474" s="1332">
        <f t="shared" si="2074"/>
        <v>0.74649831944117029</v>
      </c>
      <c r="AJ1474" s="1332">
        <f t="shared" si="2074"/>
        <v>0.73080208022273052</v>
      </c>
      <c r="AK1474" s="1332">
        <f t="shared" si="2074"/>
        <v>0.73874161490969881</v>
      </c>
      <c r="AL1474" s="8"/>
      <c r="AM1474" s="1334">
        <f ca="1">IFERROR(AM1473/AM1472,0)</f>
        <v>0.70057502390171211</v>
      </c>
      <c r="AN1474" s="1332">
        <f ca="1">IFERROR(AN1473/AN1472,0)</f>
        <v>0.70398321633765626</v>
      </c>
      <c r="AO1474" s="1334">
        <f t="shared" ca="1" si="2063"/>
        <v>-3.4081924359441462E-3</v>
      </c>
      <c r="AP1474" s="1334"/>
      <c r="AQ1474" s="1334">
        <f ca="1">IFERROR(AQ1473/AQ1472,0)</f>
        <v>0.75476969757645296</v>
      </c>
      <c r="AR1474" s="1334">
        <f t="shared" ca="1" si="2069"/>
        <v>-5.4194673674740845E-2</v>
      </c>
      <c r="AS1474" s="1334"/>
      <c r="AU1474" s="1334">
        <f ca="1">IFERROR(AU1473/AU1472,0)</f>
        <v>0.70057502390171211</v>
      </c>
      <c r="AV1474" s="1332">
        <f ca="1">IFERROR(AV1473/AV1472,0)</f>
        <v>0.70398321633765626</v>
      </c>
      <c r="AW1474" s="1334">
        <f t="shared" ca="1" si="2065"/>
        <v>-3.4081924359441462E-3</v>
      </c>
      <c r="AX1474" s="1334"/>
      <c r="AY1474" s="1334">
        <f ca="1">IFERROR(AY1473/AY1472,0)</f>
        <v>0.75476969757645296</v>
      </c>
      <c r="AZ1474" s="1334">
        <f t="shared" ca="1" si="2071"/>
        <v>-5.4194673674740845E-2</v>
      </c>
      <c r="BA1474" s="1334"/>
      <c r="BC1474" s="1334">
        <f ca="1">IFERROR(BC1473/BC1472,0)</f>
        <v>0.70057502390171211</v>
      </c>
      <c r="BD1474" s="1332">
        <f ca="1">IFERROR(BD1473/BD1472,0)</f>
        <v>0.70398321633765626</v>
      </c>
      <c r="BE1474" s="1334">
        <f t="shared" ca="1" si="2066"/>
        <v>-3.4081924359441462E-3</v>
      </c>
      <c r="BF1474" s="1334"/>
      <c r="BG1474" s="1334">
        <f ca="1">IFERROR(BG1473/BG1472,0)</f>
        <v>0.75476969757645296</v>
      </c>
      <c r="BH1474" s="1334">
        <f t="shared" ca="1" si="2072"/>
        <v>-5.4194673674740845E-2</v>
      </c>
      <c r="BI1474" s="1334"/>
    </row>
    <row r="1475" spans="1:61" s="624" customFormat="1" ht="14.5">
      <c r="A1475" s="1693">
        <f t="shared" si="2051"/>
        <v>1458</v>
      </c>
      <c r="B1475" s="616">
        <v>1</v>
      </c>
      <c r="C1475" s="1693">
        <f t="shared" si="2009"/>
        <v>1475</v>
      </c>
      <c r="D1475" s="616">
        <v>1</v>
      </c>
      <c r="E1475" s="709" t="s">
        <v>512</v>
      </c>
      <c r="F1475" s="1572"/>
      <c r="G1475" s="623"/>
      <c r="H1475" s="623"/>
      <c r="I1475" s="623"/>
      <c r="J1475" s="625"/>
      <c r="K1475" s="626" t="s">
        <v>495</v>
      </c>
      <c r="L1475" s="626"/>
      <c r="M1475" s="626"/>
      <c r="N1475" s="626"/>
      <c r="O1475" s="626"/>
      <c r="P1475" s="626"/>
      <c r="Q1475" s="648"/>
      <c r="R1475" s="1784" t="str">
        <f>CHOOSE(2, "6722000004376", "Variable Cost COGS (material cost)")</f>
        <v>Variable Cost COGS (material cost)</v>
      </c>
      <c r="S1475" s="1327">
        <f t="shared" ref="S1475:AD1475" si="2075">S16-S1482</f>
        <v>681181</v>
      </c>
      <c r="T1475" s="1327">
        <f t="shared" si="2075"/>
        <v>657329.23395583348</v>
      </c>
      <c r="U1475" s="1327">
        <f t="shared" si="2075"/>
        <v>594424.96112791682</v>
      </c>
      <c r="V1475" s="1327">
        <f t="shared" si="2075"/>
        <v>551801.97488697909</v>
      </c>
      <c r="W1475" s="1327">
        <f t="shared" si="2075"/>
        <v>664909.9818127288</v>
      </c>
      <c r="X1475" s="1327">
        <f t="shared" si="2075"/>
        <v>702831.3001982749</v>
      </c>
      <c r="Y1475" s="1327">
        <f t="shared" si="2075"/>
        <v>604545.16022499988</v>
      </c>
      <c r="Z1475" s="1327">
        <f t="shared" si="2075"/>
        <v>547621.03151845583</v>
      </c>
      <c r="AA1475" s="1327">
        <f t="shared" si="2075"/>
        <v>609400.99173593742</v>
      </c>
      <c r="AB1475" s="1327">
        <f t="shared" si="2075"/>
        <v>628629.1044991666</v>
      </c>
      <c r="AC1475" s="1327">
        <f t="shared" si="2075"/>
        <v>608270.96446936287</v>
      </c>
      <c r="AD1475" s="1327">
        <f t="shared" si="2075"/>
        <v>691773.83570584049</v>
      </c>
      <c r="AE1475" s="1327">
        <f t="shared" ref="AE1475:AK1475" si="2076">AE16-AE1482</f>
        <v>1932935.1950837502</v>
      </c>
      <c r="AF1475" s="1327">
        <f t="shared" si="2076"/>
        <v>1919543.2568979829</v>
      </c>
      <c r="AG1475" s="1327">
        <f t="shared" si="2076"/>
        <v>1761567.1834793929</v>
      </c>
      <c r="AH1475" s="1327">
        <f t="shared" si="2076"/>
        <v>1928673.9046743701</v>
      </c>
      <c r="AI1475" s="1327">
        <f t="shared" si="2076"/>
        <v>3852478.4519817331</v>
      </c>
      <c r="AJ1475" s="1327">
        <f t="shared" si="2076"/>
        <v>3690241.0881537632</v>
      </c>
      <c r="AK1475" s="1327">
        <f t="shared" si="2076"/>
        <v>7542719.5401354963</v>
      </c>
      <c r="AL1475" s="8"/>
      <c r="AM1475" s="2510">
        <f ca="1">AM16-AM1482</f>
        <v>681181</v>
      </c>
      <c r="AN1475" s="2510">
        <f ca="1">AN16-AN1482</f>
        <v>574579.35095184983</v>
      </c>
      <c r="AO1475" s="2985">
        <f t="shared" ca="1" si="2063"/>
        <v>106601.64904815017</v>
      </c>
      <c r="AP1475" s="2986">
        <f t="shared" ca="1" si="2064"/>
        <v>1.1855298991715479</v>
      </c>
      <c r="AQ1475" s="2510">
        <f ca="1">AQ16-AQ1482</f>
        <v>420274</v>
      </c>
      <c r="AR1475" s="2985">
        <f t="shared" ca="1" si="2069"/>
        <v>260907</v>
      </c>
      <c r="AS1475" s="2986">
        <f t="shared" ca="1" si="2070"/>
        <v>1.6208021433636151</v>
      </c>
      <c r="AU1475" s="2510">
        <f ca="1">AU16-AU1482</f>
        <v>681181</v>
      </c>
      <c r="AV1475" s="2510">
        <f ca="1">AV16-AV1482</f>
        <v>574579.35095184983</v>
      </c>
      <c r="AW1475" s="2985">
        <f t="shared" ca="1" si="2065"/>
        <v>106601.64904815017</v>
      </c>
      <c r="AX1475" s="2986">
        <f ca="1">IFERROR(AU1475/AV1475,0)</f>
        <v>1.1855298991715479</v>
      </c>
      <c r="AY1475" s="2510">
        <f ca="1">AY16-AY1482</f>
        <v>420274</v>
      </c>
      <c r="AZ1475" s="2985">
        <f t="shared" ca="1" si="2071"/>
        <v>260907</v>
      </c>
      <c r="BA1475" s="2986">
        <f ca="1">IFERROR(AU1475/AY1475,0)</f>
        <v>1.6208021433636151</v>
      </c>
      <c r="BC1475" s="2510">
        <f ca="1">BC16-BC1482</f>
        <v>681181</v>
      </c>
      <c r="BD1475" s="2510">
        <f ca="1">BD16-BD1482</f>
        <v>574579.35095184983</v>
      </c>
      <c r="BE1475" s="2985">
        <f t="shared" ca="1" si="2066"/>
        <v>106601.64904815017</v>
      </c>
      <c r="BF1475" s="2986">
        <f ca="1">IFERROR(BC1475/BD1475,0)</f>
        <v>1.1855298991715479</v>
      </c>
      <c r="BG1475" s="2510">
        <f ca="1">BG16-BG1482</f>
        <v>420274</v>
      </c>
      <c r="BH1475" s="2985">
        <f t="shared" ca="1" si="2072"/>
        <v>260907</v>
      </c>
      <c r="BI1475" s="2986">
        <f ca="1">IFERROR(BC1475/BG1475,0)</f>
        <v>1.6208021433636151</v>
      </c>
    </row>
    <row r="1476" spans="1:61" s="624" customFormat="1" ht="14.5">
      <c r="A1476" s="1693">
        <f t="shared" si="2051"/>
        <v>1459</v>
      </c>
      <c r="B1476" s="616">
        <v>1</v>
      </c>
      <c r="C1476" s="1693">
        <f t="shared" si="2009"/>
        <v>1476</v>
      </c>
      <c r="D1476" s="616">
        <v>1</v>
      </c>
      <c r="E1476" s="709" t="s">
        <v>512</v>
      </c>
      <c r="F1476" s="1572"/>
      <c r="G1476" s="623"/>
      <c r="H1476" s="623"/>
      <c r="I1476" s="623"/>
      <c r="J1476" s="625"/>
      <c r="K1476" s="626" t="s">
        <v>496</v>
      </c>
      <c r="L1476" s="626"/>
      <c r="M1476" s="626"/>
      <c r="N1476" s="626"/>
      <c r="O1476" s="626"/>
      <c r="P1476" s="626"/>
      <c r="Q1476" s="648"/>
      <c r="R1476" s="1784" t="str">
        <f>CHOOSE(2, "6722000004377", "Variable Cost Wages &amp; Salaries (SG&amp;A - variable)")</f>
        <v>Variable Cost Wages &amp; Salaries (SG&amp;A - variable)</v>
      </c>
      <c r="S1476" s="1327">
        <f t="shared" ref="S1476:AD1476" si="2077">S22-SUM(S46:S47)</f>
        <v>9814.4221919429983</v>
      </c>
      <c r="T1476" s="1327">
        <f t="shared" si="2077"/>
        <v>9730.9375299999956</v>
      </c>
      <c r="U1476" s="1327">
        <f t="shared" si="2077"/>
        <v>10655.207975272904</v>
      </c>
      <c r="V1476" s="1327">
        <f t="shared" si="2077"/>
        <v>7059.8828378228645</v>
      </c>
      <c r="W1476" s="1327">
        <f t="shared" si="2077"/>
        <v>3561.2052055774693</v>
      </c>
      <c r="X1476" s="1327">
        <f t="shared" si="2077"/>
        <v>7217.456680377094</v>
      </c>
      <c r="Y1476" s="1327">
        <f t="shared" si="2077"/>
        <v>4789.8061131169379</v>
      </c>
      <c r="Z1476" s="1327">
        <f t="shared" si="2077"/>
        <v>12575.299862213913</v>
      </c>
      <c r="AA1476" s="1327">
        <f t="shared" si="2077"/>
        <v>7662.851394820289</v>
      </c>
      <c r="AB1476" s="1327">
        <f t="shared" si="2077"/>
        <v>7941.9752549010591</v>
      </c>
      <c r="AC1476" s="1327">
        <f t="shared" si="2077"/>
        <v>7892.3098166864074</v>
      </c>
      <c r="AD1476" s="1327">
        <f t="shared" si="2077"/>
        <v>8214.2613604134604</v>
      </c>
      <c r="AE1476" s="1327">
        <f t="shared" ref="AE1476:AK1476" si="2078">AE22-SUM(AE46:AE47)</f>
        <v>30200.567697215913</v>
      </c>
      <c r="AF1476" s="1327">
        <f t="shared" si="2078"/>
        <v>17838.544723777391</v>
      </c>
      <c r="AG1476" s="1327">
        <f t="shared" si="2078"/>
        <v>25027.957370151154</v>
      </c>
      <c r="AH1476" s="1327">
        <f t="shared" si="2078"/>
        <v>24048.546432000963</v>
      </c>
      <c r="AI1476" s="1327">
        <f t="shared" si="2078"/>
        <v>48039.112420993333</v>
      </c>
      <c r="AJ1476" s="1327">
        <f t="shared" si="2078"/>
        <v>49076.503802152118</v>
      </c>
      <c r="AK1476" s="1327">
        <f t="shared" si="2078"/>
        <v>97115.616223145393</v>
      </c>
      <c r="AL1476" s="8"/>
      <c r="AM1476" s="2510">
        <f ca="1">AM22-SUM(AM46:AM47)</f>
        <v>9814.4221919429983</v>
      </c>
      <c r="AN1476" s="2510">
        <f ca="1">AN22-SUM(AN46:AN47)</f>
        <v>9148.7627500000017</v>
      </c>
      <c r="AO1476" s="2985">
        <f t="shared" ca="1" si="2063"/>
        <v>665.65944194299664</v>
      </c>
      <c r="AP1476" s="2986">
        <f t="shared" ca="1" si="2064"/>
        <v>1.0727595042229068</v>
      </c>
      <c r="AQ1476" s="2510">
        <f ca="1">AQ22-SUM(AQ46:AQ47)</f>
        <v>8101</v>
      </c>
      <c r="AR1476" s="2985">
        <f t="shared" ca="1" si="2069"/>
        <v>1713.4221919429983</v>
      </c>
      <c r="AS1476" s="2986">
        <f t="shared" ca="1" si="2070"/>
        <v>1.2115074919075421</v>
      </c>
      <c r="AU1476" s="2510">
        <f ca="1">AU22-SUM(AU46:AU47)</f>
        <v>9814.4221919429983</v>
      </c>
      <c r="AV1476" s="2510">
        <f ca="1">AV22-SUM(AV46:AV47)</f>
        <v>9148.7627500000017</v>
      </c>
      <c r="AW1476" s="2985">
        <f ca="1">AU1476-AV1476</f>
        <v>665.65944194299664</v>
      </c>
      <c r="AX1476" s="2986">
        <f ca="1">IFERROR(AU1476/AV1476,0)</f>
        <v>1.0727595042229068</v>
      </c>
      <c r="AY1476" s="2510">
        <f ca="1">AY22-SUM(AY46:AY47)</f>
        <v>8101</v>
      </c>
      <c r="AZ1476" s="2985">
        <f ca="1">AU1476-AY1476</f>
        <v>1713.4221919429983</v>
      </c>
      <c r="BA1476" s="2986">
        <f ca="1">IFERROR(AU1476/AY1476,0)</f>
        <v>1.2115074919075421</v>
      </c>
      <c r="BC1476" s="2510">
        <f ca="1">BC22-SUM(BC46:BC47)</f>
        <v>9814.4221919429983</v>
      </c>
      <c r="BD1476" s="2510">
        <f ca="1">BD22-SUM(BD46:BD47)</f>
        <v>9148.7627500000017</v>
      </c>
      <c r="BE1476" s="2985">
        <f ca="1">BC1476-BD1476</f>
        <v>665.65944194299664</v>
      </c>
      <c r="BF1476" s="2986">
        <f ca="1">IFERROR(BC1476/BD1476,0)</f>
        <v>1.0727595042229068</v>
      </c>
      <c r="BG1476" s="2510">
        <f ca="1">BG22-SUM(BG46:BG47)</f>
        <v>8101</v>
      </c>
      <c r="BH1476" s="2985">
        <f ca="1">BC1476-BG1476</f>
        <v>1713.4221919429983</v>
      </c>
      <c r="BI1476" s="2986">
        <f ca="1">IFERROR(BC1476/BG1476,0)</f>
        <v>1.2115074919075421</v>
      </c>
    </row>
    <row r="1477" spans="1:61" s="624" customFormat="1" ht="14.5">
      <c r="A1477" s="1693">
        <f t="shared" si="2051"/>
        <v>1460</v>
      </c>
      <c r="B1477" s="616">
        <v>1</v>
      </c>
      <c r="C1477" s="1693">
        <f t="shared" si="2009"/>
        <v>1477</v>
      </c>
      <c r="D1477" s="616">
        <v>1</v>
      </c>
      <c r="E1477" s="709" t="s">
        <v>512</v>
      </c>
      <c r="F1477" s="1572"/>
      <c r="G1477" s="623"/>
      <c r="H1477" s="623"/>
      <c r="I1477" s="623"/>
      <c r="J1477" s="627"/>
      <c r="K1477" s="628" t="s">
        <v>498</v>
      </c>
      <c r="L1477" s="628"/>
      <c r="M1477" s="628"/>
      <c r="N1477" s="628"/>
      <c r="O1477" s="628"/>
      <c r="P1477" s="628"/>
      <c r="Q1477" s="650"/>
      <c r="R1477" s="1784" t="str">
        <f>CHOOSE(2, "6722000004378", "Variable Cost SG&amp;A variable")</f>
        <v>Variable Cost SG&amp;A variable</v>
      </c>
      <c r="S1477" s="1329">
        <f t="shared" ref="S1477:AD1477" si="2079">S40</f>
        <v>86967.19458000001</v>
      </c>
      <c r="T1477" s="1329">
        <f t="shared" si="2079"/>
        <v>58635.765710000007</v>
      </c>
      <c r="U1477" s="1329">
        <f t="shared" si="2079"/>
        <v>111747.62712000003</v>
      </c>
      <c r="V1477" s="1329">
        <f t="shared" si="2079"/>
        <v>67890.918460000059</v>
      </c>
      <c r="W1477" s="1329">
        <f t="shared" si="2079"/>
        <v>86237.109139999986</v>
      </c>
      <c r="X1477" s="1329">
        <f t="shared" si="2079"/>
        <v>103191.26717999997</v>
      </c>
      <c r="Y1477" s="1329">
        <f t="shared" si="2079"/>
        <v>65990.168270000009</v>
      </c>
      <c r="Z1477" s="1329">
        <f t="shared" si="2079"/>
        <v>85327.670330000023</v>
      </c>
      <c r="AA1477" s="1329">
        <f t="shared" si="2079"/>
        <v>48863.393039999937</v>
      </c>
      <c r="AB1477" s="1329">
        <f t="shared" si="2079"/>
        <v>62827.199299999942</v>
      </c>
      <c r="AC1477" s="1329">
        <f t="shared" si="2079"/>
        <v>121038.75616000008</v>
      </c>
      <c r="AD1477" s="1329">
        <f t="shared" si="2079"/>
        <v>98908.032750000013</v>
      </c>
      <c r="AE1477" s="1329">
        <f t="shared" ref="AE1477:AK1477" si="2080">AE21</f>
        <v>257349.91283000002</v>
      </c>
      <c r="AF1477" s="1329">
        <f t="shared" si="2080"/>
        <v>257319.16978000005</v>
      </c>
      <c r="AG1477" s="1329">
        <f t="shared" si="2080"/>
        <v>200724.8857821296</v>
      </c>
      <c r="AH1477" s="1329">
        <f t="shared" si="2080"/>
        <v>282773.98820999998</v>
      </c>
      <c r="AI1477" s="1329">
        <f t="shared" si="2080"/>
        <v>514669.08261000004</v>
      </c>
      <c r="AJ1477" s="1329">
        <f t="shared" si="2080"/>
        <v>483498.87399212958</v>
      </c>
      <c r="AK1477" s="1329">
        <f t="shared" si="2080"/>
        <v>998167.95660212962</v>
      </c>
      <c r="AL1477" s="8"/>
      <c r="AM1477" s="2090">
        <f ca="1">AM21</f>
        <v>86966.52</v>
      </c>
      <c r="AN1477" s="2090">
        <f ca="1">AN21</f>
        <v>78754.736297724594</v>
      </c>
      <c r="AO1477" s="2987">
        <f t="shared" ca="1" si="2063"/>
        <v>8211.7837022754102</v>
      </c>
      <c r="AP1477" s="2988">
        <f t="shared" ca="1" si="2064"/>
        <v>1.1042703472618023</v>
      </c>
      <c r="AQ1477" s="2090">
        <f ca="1">AQ21</f>
        <v>61663.000000000007</v>
      </c>
      <c r="AR1477" s="2987">
        <f t="shared" ca="1" si="2069"/>
        <v>25303.519999999997</v>
      </c>
      <c r="AS1477" s="2988">
        <f t="shared" ca="1" si="2070"/>
        <v>1.4103517506446328</v>
      </c>
      <c r="AU1477" s="2090">
        <f ca="1">AU21</f>
        <v>86966.52</v>
      </c>
      <c r="AV1477" s="2090">
        <f ca="1">AV21</f>
        <v>78754.736297724594</v>
      </c>
      <c r="AW1477" s="2987">
        <f t="shared" ca="1" si="2065"/>
        <v>8211.7837022754102</v>
      </c>
      <c r="AX1477" s="2988">
        <f ca="1">IFERROR(AU1477/AV1477,0)</f>
        <v>1.1042703472618023</v>
      </c>
      <c r="AY1477" s="2090">
        <f ca="1">AY21</f>
        <v>61663.000000000007</v>
      </c>
      <c r="AZ1477" s="2987">
        <f t="shared" ca="1" si="2071"/>
        <v>25303.519999999997</v>
      </c>
      <c r="BA1477" s="2988">
        <f ca="1">IFERROR(AU1477/AY1477,0)</f>
        <v>1.4103517506446328</v>
      </c>
      <c r="BC1477" s="2090">
        <f ca="1">BC21</f>
        <v>86966.52</v>
      </c>
      <c r="BD1477" s="2090">
        <f ca="1">BD21</f>
        <v>78754.736297724594</v>
      </c>
      <c r="BE1477" s="2987">
        <f t="shared" ca="1" si="2066"/>
        <v>8211.7837022754102</v>
      </c>
      <c r="BF1477" s="2988">
        <f ca="1">IFERROR(BC1477/BD1477,0)</f>
        <v>1.1042703472618023</v>
      </c>
      <c r="BG1477" s="2090">
        <f ca="1">BG21</f>
        <v>61663.000000000007</v>
      </c>
      <c r="BH1477" s="2987">
        <f t="shared" ca="1" si="2072"/>
        <v>25303.519999999997</v>
      </c>
      <c r="BI1477" s="2988">
        <f ca="1">IFERROR(BC1477/BG1477,0)</f>
        <v>1.4103517506446328</v>
      </c>
    </row>
    <row r="1478" spans="1:61" s="621" customFormat="1" ht="14.5">
      <c r="A1478" s="1693">
        <f t="shared" si="2051"/>
        <v>1461</v>
      </c>
      <c r="B1478" s="616">
        <v>1</v>
      </c>
      <c r="C1478" s="1693">
        <f t="shared" si="2009"/>
        <v>1478</v>
      </c>
      <c r="D1478" s="616">
        <v>1</v>
      </c>
      <c r="E1478" s="709" t="s">
        <v>512</v>
      </c>
      <c r="F1478" s="1572"/>
      <c r="G1478" s="622"/>
      <c r="H1478" s="622"/>
      <c r="I1478" s="623"/>
      <c r="J1478" s="629" t="s">
        <v>491</v>
      </c>
      <c r="K1478" s="630"/>
      <c r="L1478" s="630"/>
      <c r="M1478" s="630"/>
      <c r="N1478" s="630"/>
      <c r="O1478" s="630"/>
      <c r="P1478" s="630"/>
      <c r="Q1478" s="651" t="s">
        <v>502</v>
      </c>
      <c r="R1478" s="1774" t="str">
        <f>CHOOSE(2, "6722000004379", "Marginal Profit C = A - B")</f>
        <v>Marginal Profit C = A - B</v>
      </c>
      <c r="S1478" s="1330">
        <f>S1472-S1473</f>
        <v>332499.38322805695</v>
      </c>
      <c r="T1478" s="1330">
        <f t="shared" ref="T1478:AD1478" si="2081">T1472-T1473</f>
        <v>269643.52508416667</v>
      </c>
      <c r="U1478" s="1330">
        <f t="shared" si="2081"/>
        <v>189285.49773681036</v>
      </c>
      <c r="V1478" s="1330">
        <f t="shared" si="2081"/>
        <v>217754.52484519803</v>
      </c>
      <c r="W1478" s="1330">
        <f t="shared" si="2081"/>
        <v>231600.96216169384</v>
      </c>
      <c r="X1478" s="1330">
        <f t="shared" si="2081"/>
        <v>258558.58229134802</v>
      </c>
      <c r="Y1478" s="1330">
        <f t="shared" si="2081"/>
        <v>232199.27002188319</v>
      </c>
      <c r="Z1478" s="1330">
        <f t="shared" si="2081"/>
        <v>254419.86034933024</v>
      </c>
      <c r="AA1478" s="1330">
        <f t="shared" si="2081"/>
        <v>291063.40355924238</v>
      </c>
      <c r="AB1478" s="1330">
        <f t="shared" si="2081"/>
        <v>287089.90832593234</v>
      </c>
      <c r="AC1478" s="1330">
        <f t="shared" si="2081"/>
        <v>285978.9546639506</v>
      </c>
      <c r="AD1478" s="1330">
        <f t="shared" si="2081"/>
        <v>205306.99780374591</v>
      </c>
      <c r="AE1478" s="1330">
        <f t="shared" ref="AE1478:AK1478" si="2082">AE1472-AE1473</f>
        <v>791429.08062903397</v>
      </c>
      <c r="AF1478" s="1330">
        <f t="shared" si="2082"/>
        <v>707914.19429823989</v>
      </c>
      <c r="AG1478" s="1330">
        <f t="shared" si="2082"/>
        <v>777138.87978832633</v>
      </c>
      <c r="AH1478" s="1330">
        <f t="shared" si="2082"/>
        <v>778375.8607936292</v>
      </c>
      <c r="AI1478" s="1330">
        <f t="shared" si="2082"/>
        <v>1499343.2749272743</v>
      </c>
      <c r="AJ1478" s="1330">
        <f t="shared" si="2082"/>
        <v>1555514.7405819558</v>
      </c>
      <c r="AK1478" s="1330">
        <f t="shared" si="2082"/>
        <v>3054858.0155092292</v>
      </c>
      <c r="AL1478" s="8"/>
      <c r="AM1478" s="2524">
        <f ca="1">AM1472-AM1473</f>
        <v>332500.05780805694</v>
      </c>
      <c r="AN1478" s="2524">
        <f ca="1">AN1472-AN1473</f>
        <v>278566.36058533145</v>
      </c>
      <c r="AO1478" s="2989">
        <f t="shared" ca="1" si="2063"/>
        <v>53933.697222725488</v>
      </c>
      <c r="AP1478" s="2990">
        <f t="shared" ca="1" si="2064"/>
        <v>1.1936116662090803</v>
      </c>
      <c r="AQ1478" s="2524">
        <f ca="1">AQ1472-AQ1473</f>
        <v>159217</v>
      </c>
      <c r="AR1478" s="2989">
        <f t="shared" ca="1" si="2069"/>
        <v>173283.05780805694</v>
      </c>
      <c r="AS1478" s="2990">
        <f t="shared" ca="1" si="2070"/>
        <v>2.0883452006259189</v>
      </c>
      <c r="AU1478" s="2524">
        <f ca="1">AU1472-AU1473</f>
        <v>332500.05780805694</v>
      </c>
      <c r="AV1478" s="2524">
        <f ca="1">AV1472-AV1473</f>
        <v>278566.36058533145</v>
      </c>
      <c r="AW1478" s="2989">
        <f t="shared" ca="1" si="2065"/>
        <v>53933.697222725488</v>
      </c>
      <c r="AX1478" s="2990">
        <f ca="1">IFERROR(AU1478/AV1478,0)</f>
        <v>1.1936116662090803</v>
      </c>
      <c r="AY1478" s="2524">
        <f ca="1">AY1472-AY1473</f>
        <v>159217</v>
      </c>
      <c r="AZ1478" s="2989">
        <f t="shared" ca="1" si="2071"/>
        <v>173283.05780805694</v>
      </c>
      <c r="BA1478" s="2990">
        <f ca="1">IFERROR(AU1478/AY1478,0)</f>
        <v>2.0883452006259189</v>
      </c>
      <c r="BC1478" s="2524">
        <f ca="1">BC1472-BC1473</f>
        <v>332500.05780805694</v>
      </c>
      <c r="BD1478" s="2524">
        <f ca="1">BD1472-BD1473</f>
        <v>278566.36058533145</v>
      </c>
      <c r="BE1478" s="2989">
        <f t="shared" ca="1" si="2066"/>
        <v>53933.697222725488</v>
      </c>
      <c r="BF1478" s="2990">
        <f ca="1">IFERROR(BC1478/BD1478,0)</f>
        <v>1.1936116662090803</v>
      </c>
      <c r="BG1478" s="2524">
        <f ca="1">BG1472-BG1473</f>
        <v>159217</v>
      </c>
      <c r="BH1478" s="2989">
        <f t="shared" ca="1" si="2072"/>
        <v>173283.05780805694</v>
      </c>
      <c r="BI1478" s="2990">
        <f ca="1">IFERROR(BC1478/BG1478,0)</f>
        <v>2.0883452006259189</v>
      </c>
    </row>
    <row r="1479" spans="1:61" s="641" customFormat="1" ht="14.5">
      <c r="A1479" s="1693">
        <f t="shared" si="2051"/>
        <v>1462</v>
      </c>
      <c r="B1479" s="616">
        <v>1</v>
      </c>
      <c r="C1479" s="1693">
        <f t="shared" si="2009"/>
        <v>1479</v>
      </c>
      <c r="D1479" s="616">
        <v>1</v>
      </c>
      <c r="E1479" s="709" t="s">
        <v>512</v>
      </c>
      <c r="F1479" s="1572"/>
      <c r="G1479" s="637"/>
      <c r="H1479" s="637"/>
      <c r="I1479" s="637"/>
      <c r="J1479" s="638"/>
      <c r="K1479" s="642" t="s">
        <v>55</v>
      </c>
      <c r="L1479" s="643"/>
      <c r="M1479" s="643"/>
      <c r="N1479" s="643"/>
      <c r="O1479" s="643"/>
      <c r="P1479" s="643"/>
      <c r="Q1479" s="648" t="s">
        <v>503</v>
      </c>
      <c r="R1479" s="1785" t="str">
        <f>CHOOSE(2, "6722000004380", "Marginal Profit (%) D = C / A")</f>
        <v>Marginal Profit (%) D = C / A</v>
      </c>
      <c r="S1479" s="1333">
        <f>IFERROR(S1478/S1472,0)</f>
        <v>0.29942436862139987</v>
      </c>
      <c r="T1479" s="1333">
        <f t="shared" ref="T1479:AD1479" si="2083">IFERROR(T1478/T1472,0)</f>
        <v>0.27090609314986941</v>
      </c>
      <c r="U1479" s="1333">
        <f t="shared" si="2083"/>
        <v>0.20889826801853131</v>
      </c>
      <c r="V1479" s="1333">
        <f t="shared" si="2083"/>
        <v>0.25784800744719977</v>
      </c>
      <c r="W1479" s="1333">
        <f t="shared" si="2083"/>
        <v>0.23481576413080044</v>
      </c>
      <c r="X1479" s="1333">
        <f t="shared" si="2083"/>
        <v>0.24123802807681083</v>
      </c>
      <c r="Y1479" s="1333">
        <f t="shared" si="2083"/>
        <v>0.25586008358260232</v>
      </c>
      <c r="Z1479" s="1333">
        <f t="shared" si="2083"/>
        <v>0.28270636766937346</v>
      </c>
      <c r="AA1479" s="1333">
        <f t="shared" si="2083"/>
        <v>0.30414446231298709</v>
      </c>
      <c r="AB1479" s="1333">
        <f t="shared" si="2083"/>
        <v>0.2910221450176817</v>
      </c>
      <c r="AC1479" s="1333">
        <f t="shared" si="2083"/>
        <v>0.27949987228623646</v>
      </c>
      <c r="AD1479" s="1333">
        <f t="shared" si="2083"/>
        <v>0.20444767812099071</v>
      </c>
      <c r="AE1479" s="1333">
        <f t="shared" ref="AE1479:AK1479" si="2084">IFERROR(AE1478/AE1472,0)</f>
        <v>0.26276609555080321</v>
      </c>
      <c r="AF1479" s="1333">
        <f t="shared" si="2084"/>
        <v>0.24388840886095142</v>
      </c>
      <c r="AG1479" s="1333">
        <f t="shared" si="2084"/>
        <v>0.28111789905198065</v>
      </c>
      <c r="AH1479" s="1333">
        <f t="shared" si="2084"/>
        <v>0.25826437993581219</v>
      </c>
      <c r="AI1479" s="1333">
        <f t="shared" si="2084"/>
        <v>0.25350168055882977</v>
      </c>
      <c r="AJ1479" s="1333">
        <f t="shared" si="2084"/>
        <v>0.26919791977726948</v>
      </c>
      <c r="AK1479" s="1333">
        <f t="shared" si="2084"/>
        <v>0.26125838509030119</v>
      </c>
      <c r="AL1479" s="8"/>
      <c r="AM1479" s="1333">
        <f ca="1">IFERROR(AM1478/AM1472,0)</f>
        <v>0.29942497609828789</v>
      </c>
      <c r="AN1479" s="1333">
        <f ca="1">IFERROR(AN1478/AN1472,0)</f>
        <v>0.29601678366234374</v>
      </c>
      <c r="AO1479" s="1333">
        <f t="shared" ca="1" si="2063"/>
        <v>3.4081924359441462E-3</v>
      </c>
      <c r="AP1479" s="1333"/>
      <c r="AQ1479" s="1333">
        <f ca="1">IFERROR(AQ1478/AQ1472,0)</f>
        <v>0.24523030242354699</v>
      </c>
      <c r="AR1479" s="1333">
        <f t="shared" ca="1" si="2069"/>
        <v>5.4194673674740901E-2</v>
      </c>
      <c r="AS1479" s="1333"/>
      <c r="AU1479" s="1333">
        <f ca="1">IFERROR(AU1478/AU1472,0)</f>
        <v>0.29942497609828789</v>
      </c>
      <c r="AV1479" s="1333">
        <f ca="1">IFERROR(AV1478/AV1472,0)</f>
        <v>0.29601678366234374</v>
      </c>
      <c r="AW1479" s="1333">
        <f t="shared" ca="1" si="2065"/>
        <v>3.4081924359441462E-3</v>
      </c>
      <c r="AX1479" s="1333"/>
      <c r="AY1479" s="1333">
        <f ca="1">IFERROR(AY1478/AY1472,0)</f>
        <v>0.24523030242354699</v>
      </c>
      <c r="AZ1479" s="1333">
        <f t="shared" ca="1" si="2071"/>
        <v>5.4194673674740901E-2</v>
      </c>
      <c r="BA1479" s="1333"/>
      <c r="BC1479" s="1333">
        <f ca="1">IFERROR(BC1478/BC1472,0)</f>
        <v>0.29942497609828789</v>
      </c>
      <c r="BD1479" s="1333">
        <f ca="1">IFERROR(BD1478/BD1472,0)</f>
        <v>0.29601678366234374</v>
      </c>
      <c r="BE1479" s="1333">
        <f t="shared" ca="1" si="2066"/>
        <v>3.4081924359441462E-3</v>
      </c>
      <c r="BF1479" s="1333"/>
      <c r="BG1479" s="1333">
        <f ca="1">IFERROR(BG1478/BG1472,0)</f>
        <v>0.24523030242354699</v>
      </c>
      <c r="BH1479" s="1333">
        <f t="shared" ca="1" si="2072"/>
        <v>5.4194673674740901E-2</v>
      </c>
      <c r="BI1479" s="1333"/>
    </row>
    <row r="1480" spans="1:61" s="621" customFormat="1" ht="14.5">
      <c r="A1480" s="1693">
        <f t="shared" si="2051"/>
        <v>1463</v>
      </c>
      <c r="B1480" s="616">
        <v>1</v>
      </c>
      <c r="C1480" s="1693">
        <f t="shared" si="2009"/>
        <v>1480</v>
      </c>
      <c r="D1480" s="616">
        <v>1</v>
      </c>
      <c r="E1480" s="709" t="s">
        <v>512</v>
      </c>
      <c r="F1480" s="1572"/>
      <c r="G1480" s="622"/>
      <c r="H1480" s="622"/>
      <c r="I1480" s="623"/>
      <c r="J1480" s="625" t="s">
        <v>492</v>
      </c>
      <c r="K1480" s="626"/>
      <c r="L1480" s="626"/>
      <c r="M1480" s="626"/>
      <c r="N1480" s="626"/>
      <c r="O1480" s="626"/>
      <c r="P1480" s="626"/>
      <c r="Q1480" s="648" t="s">
        <v>504</v>
      </c>
      <c r="R1480" s="1784" t="str">
        <f>CHOOSE(2, "6722000004381", "Fixed Cost E")</f>
        <v>Fixed Cost E</v>
      </c>
      <c r="S1480" s="1328">
        <f>SUM(S1482:S1484)</f>
        <v>188034.86682</v>
      </c>
      <c r="T1480" s="1328">
        <f t="shared" ref="T1480:AD1480" si="2085">SUM(T1482:T1484)</f>
        <v>185360.94236364332</v>
      </c>
      <c r="U1480" s="1328">
        <f t="shared" si="2085"/>
        <v>102842.62888448677</v>
      </c>
      <c r="V1480" s="1328">
        <f t="shared" si="2085"/>
        <v>143580.63204553421</v>
      </c>
      <c r="W1480" s="1328">
        <f t="shared" si="2085"/>
        <v>149270.08291133065</v>
      </c>
      <c r="X1480" s="1328">
        <f t="shared" si="2085"/>
        <v>146232.439863896</v>
      </c>
      <c r="Y1480" s="1328">
        <f t="shared" si="2085"/>
        <v>142109.0768496058</v>
      </c>
      <c r="Z1480" s="1328">
        <f t="shared" si="2085"/>
        <v>175752.49254288111</v>
      </c>
      <c r="AA1480" s="1328">
        <f t="shared" si="2085"/>
        <v>213355.21665709146</v>
      </c>
      <c r="AB1480" s="1328">
        <f t="shared" si="2085"/>
        <v>190615.52734059875</v>
      </c>
      <c r="AC1480" s="1328">
        <f t="shared" si="2085"/>
        <v>197971.97273005807</v>
      </c>
      <c r="AD1480" s="1328">
        <f t="shared" si="2085"/>
        <v>111285.92784563801</v>
      </c>
      <c r="AE1480" s="1328">
        <f t="shared" ref="AE1480:AK1480" si="2086">SUM(AE1482:AE1484)</f>
        <v>476238.43806813005</v>
      </c>
      <c r="AF1480" s="1328">
        <f t="shared" si="2086"/>
        <v>439083.15482076089</v>
      </c>
      <c r="AG1480" s="1328">
        <f t="shared" si="2086"/>
        <v>531216.78604957834</v>
      </c>
      <c r="AH1480" s="1328">
        <f t="shared" si="2086"/>
        <v>499873.42791629484</v>
      </c>
      <c r="AI1480" s="1328">
        <f t="shared" si="2086"/>
        <v>915321.592888891</v>
      </c>
      <c r="AJ1480" s="1328">
        <f t="shared" si="2086"/>
        <v>1031090.2139658732</v>
      </c>
      <c r="AK1480" s="1328">
        <f t="shared" si="2086"/>
        <v>1946411.8068547642</v>
      </c>
      <c r="AL1480" s="8"/>
      <c r="AM1480" s="2509">
        <f ca="1">SUM(AM1482:AM1484)</f>
        <v>188034.86682</v>
      </c>
      <c r="AN1480" s="2509">
        <f ca="1">SUM(AN1482:AN1484)</f>
        <v>136087.36951345106</v>
      </c>
      <c r="AO1480" s="2983">
        <f t="shared" ca="1" si="2063"/>
        <v>51947.497306548932</v>
      </c>
      <c r="AP1480" s="2984">
        <f t="shared" ca="1" si="2064"/>
        <v>1.3817216652234163</v>
      </c>
      <c r="AQ1480" s="2509">
        <f ca="1">SUM(AQ1482:AQ1484)</f>
        <v>114840</v>
      </c>
      <c r="AR1480" s="2983">
        <f t="shared" ca="1" si="2069"/>
        <v>73194.866819999996</v>
      </c>
      <c r="AS1480" s="2984">
        <f t="shared" ca="1" si="2070"/>
        <v>1.6373638699059561</v>
      </c>
      <c r="AT1480" s="624"/>
      <c r="AU1480" s="2509">
        <f ca="1">SUM(AU1482:AU1484)</f>
        <v>188034.86682</v>
      </c>
      <c r="AV1480" s="2509">
        <f ca="1">SUM(AV1482:AV1484)</f>
        <v>136087.36951345106</v>
      </c>
      <c r="AW1480" s="2983">
        <f t="shared" ca="1" si="2065"/>
        <v>51947.497306548932</v>
      </c>
      <c r="AX1480" s="2984">
        <f ca="1">IFERROR(AU1480/AV1480,0)</f>
        <v>1.3817216652234163</v>
      </c>
      <c r="AY1480" s="2509">
        <f ca="1">SUM(AY1482:AY1484)</f>
        <v>114840</v>
      </c>
      <c r="AZ1480" s="2983">
        <f t="shared" ca="1" si="2071"/>
        <v>73194.866819999996</v>
      </c>
      <c r="BA1480" s="2984">
        <f ca="1">IFERROR(AU1480/AY1480,0)</f>
        <v>1.6373638699059561</v>
      </c>
      <c r="BB1480" s="624"/>
      <c r="BC1480" s="2509">
        <f ca="1">SUM(BC1482:BC1484)</f>
        <v>188034.86682</v>
      </c>
      <c r="BD1480" s="2509">
        <f ca="1">SUM(BD1482:BD1484)</f>
        <v>136087.36951345106</v>
      </c>
      <c r="BE1480" s="2983">
        <f t="shared" ca="1" si="2066"/>
        <v>51947.497306548932</v>
      </c>
      <c r="BF1480" s="2984">
        <f ca="1">IFERROR(BC1480/BD1480,0)</f>
        <v>1.3817216652234163</v>
      </c>
      <c r="BG1480" s="2509">
        <f ca="1">SUM(BG1482:BG1484)</f>
        <v>114840</v>
      </c>
      <c r="BH1480" s="2983">
        <f t="shared" ca="1" si="2072"/>
        <v>73194.866819999996</v>
      </c>
      <c r="BI1480" s="2984">
        <f ca="1">IFERROR(BC1480/BG1480,0)</f>
        <v>1.6373638699059561</v>
      </c>
    </row>
    <row r="1481" spans="1:61" s="641" customFormat="1" ht="14.5">
      <c r="A1481" s="1693">
        <f t="shared" si="2051"/>
        <v>1464</v>
      </c>
      <c r="B1481" s="616">
        <v>1</v>
      </c>
      <c r="C1481" s="1693">
        <f t="shared" si="2009"/>
        <v>1481</v>
      </c>
      <c r="D1481" s="616">
        <v>1</v>
      </c>
      <c r="E1481" s="709" t="s">
        <v>512</v>
      </c>
      <c r="F1481" s="1572"/>
      <c r="G1481" s="637"/>
      <c r="H1481" s="637"/>
      <c r="I1481" s="637"/>
      <c r="J1481" s="638"/>
      <c r="K1481" s="639" t="s">
        <v>55</v>
      </c>
      <c r="L1481" s="640"/>
      <c r="M1481" s="640"/>
      <c r="N1481" s="640"/>
      <c r="O1481" s="640"/>
      <c r="P1481" s="640"/>
      <c r="Q1481" s="649"/>
      <c r="R1481" s="1785" t="str">
        <f>CHOOSE(2, "6722000004382", "Fixed Cost (%)")</f>
        <v>Fixed Cost (%)</v>
      </c>
      <c r="S1481" s="1334">
        <f>IFERROR(S1480/S1472,0)</f>
        <v>0.16933030290095474</v>
      </c>
      <c r="T1481" s="1334">
        <f t="shared" ref="T1481:AD1481" si="2087">IFERROR(T1480/T1472,0)</f>
        <v>0.18622886903232136</v>
      </c>
      <c r="U1481" s="1334">
        <f t="shared" si="2087"/>
        <v>0.11349864257595441</v>
      </c>
      <c r="V1481" s="1334">
        <f t="shared" si="2087"/>
        <v>0.1700170405518302</v>
      </c>
      <c r="W1481" s="1334">
        <f t="shared" si="2087"/>
        <v>0.15134206807060224</v>
      </c>
      <c r="X1481" s="1334">
        <f t="shared" si="2087"/>
        <v>0.13643649002482769</v>
      </c>
      <c r="Y1481" s="1334">
        <f t="shared" si="2087"/>
        <v>0.15658981303929126</v>
      </c>
      <c r="Z1481" s="1334">
        <f t="shared" si="2087"/>
        <v>0.19529272874930009</v>
      </c>
      <c r="AA1481" s="1334">
        <f t="shared" si="2087"/>
        <v>0.22294389077544827</v>
      </c>
      <c r="AB1481" s="1334">
        <f t="shared" si="2087"/>
        <v>0.19322636578837485</v>
      </c>
      <c r="AC1481" s="1334">
        <f t="shared" si="2087"/>
        <v>0.19348675904954832</v>
      </c>
      <c r="AD1481" s="1334">
        <f t="shared" si="2087"/>
        <v>0.11082013666835508</v>
      </c>
      <c r="AE1481" s="1334">
        <f t="shared" ref="AE1481:AK1481" si="2088">IFERROR(AE1480/AE1472,0)</f>
        <v>0.158118166220167</v>
      </c>
      <c r="AF1481" s="1334">
        <f t="shared" si="2088"/>
        <v>0.15127157055105883</v>
      </c>
      <c r="AG1481" s="1334">
        <f t="shared" si="2088"/>
        <v>0.19215940769309864</v>
      </c>
      <c r="AH1481" s="1334">
        <f t="shared" si="2088"/>
        <v>0.16585753414238902</v>
      </c>
      <c r="AI1481" s="1334">
        <f t="shared" si="2088"/>
        <v>0.15475813039570524</v>
      </c>
      <c r="AJ1481" s="1334">
        <f t="shared" si="2088"/>
        <v>0.17844082956003882</v>
      </c>
      <c r="AK1481" s="1334">
        <f t="shared" si="2088"/>
        <v>0.16646155166553753</v>
      </c>
      <c r="AL1481" s="8"/>
      <c r="AM1481" s="1334">
        <f ca="1">IFERROR(AM1480/AM1472,0)</f>
        <v>0.16933030290095474</v>
      </c>
      <c r="AN1481" s="1334">
        <f ca="1">IFERROR(AN1480/AN1472,0)</f>
        <v>0.14461238369124865</v>
      </c>
      <c r="AO1481" s="1334">
        <f t="shared" ca="1" si="2063"/>
        <v>2.4717919209706091E-2</v>
      </c>
      <c r="AP1481" s="1334"/>
      <c r="AQ1481" s="1334">
        <f ca="1">IFERROR(AQ1480/AQ1472,0)</f>
        <v>0.17687965437308917</v>
      </c>
      <c r="AR1481" s="1334">
        <f t="shared" ca="1" si="2069"/>
        <v>-7.5493514721344246E-3</v>
      </c>
      <c r="AS1481" s="1334"/>
      <c r="AU1481" s="1334">
        <f ca="1">IFERROR(AU1480/AU1472,0)</f>
        <v>0.16933030290095474</v>
      </c>
      <c r="AV1481" s="1334">
        <f ca="1">IFERROR(AV1480/AV1472,0)</f>
        <v>0.14461238369124865</v>
      </c>
      <c r="AW1481" s="1334">
        <f t="shared" ca="1" si="2065"/>
        <v>2.4717919209706091E-2</v>
      </c>
      <c r="AX1481" s="1334"/>
      <c r="AY1481" s="1334">
        <f ca="1">IFERROR(AY1480/AY1472,0)</f>
        <v>0.17687965437308917</v>
      </c>
      <c r="AZ1481" s="1334">
        <f t="shared" ca="1" si="2071"/>
        <v>-7.5493514721344246E-3</v>
      </c>
      <c r="BA1481" s="1334"/>
      <c r="BC1481" s="1334">
        <f ca="1">IFERROR(BC1480/BC1472,0)</f>
        <v>0.16933030290095474</v>
      </c>
      <c r="BD1481" s="1334">
        <f ca="1">IFERROR(BD1480/BD1472,0)</f>
        <v>0.14461238369124865</v>
      </c>
      <c r="BE1481" s="1334">
        <f t="shared" ca="1" si="2066"/>
        <v>2.4717919209706091E-2</v>
      </c>
      <c r="BF1481" s="1334"/>
      <c r="BG1481" s="1334">
        <f ca="1">IFERROR(BG1480/BG1472,0)</f>
        <v>0.17687965437308917</v>
      </c>
      <c r="BH1481" s="1334">
        <f t="shared" ca="1" si="2072"/>
        <v>-7.5493514721344246E-3</v>
      </c>
      <c r="BI1481" s="1334"/>
    </row>
    <row r="1482" spans="1:61" s="624" customFormat="1" ht="14.5">
      <c r="A1482" s="1693">
        <f t="shared" si="2051"/>
        <v>1465</v>
      </c>
      <c r="B1482" s="616">
        <v>1</v>
      </c>
      <c r="C1482" s="1693">
        <f t="shared" si="2009"/>
        <v>1482</v>
      </c>
      <c r="D1482" s="616">
        <v>1</v>
      </c>
      <c r="E1482" s="709" t="s">
        <v>512</v>
      </c>
      <c r="F1482" s="1572"/>
      <c r="G1482" s="623"/>
      <c r="H1482" s="623"/>
      <c r="I1482" s="623"/>
      <c r="J1482" s="625"/>
      <c r="K1482" s="626" t="s">
        <v>494</v>
      </c>
      <c r="L1482" s="626"/>
      <c r="M1482" s="626"/>
      <c r="N1482" s="626"/>
      <c r="O1482" s="626"/>
      <c r="P1482" s="626"/>
      <c r="Q1482" s="648"/>
      <c r="R1482" s="1784" t="str">
        <f>CHOOSE(2, "6722000004383", "Fixed Cost COGS (ex. field service cost/ Service desk cost)")</f>
        <v>Fixed Cost COGS (ex. field service cost/ Service desk cost)</v>
      </c>
      <c r="S1482" s="1327">
        <f t="shared" ref="S1482:AD1482" si="2089">S842</f>
        <v>24108</v>
      </c>
      <c r="T1482" s="1327">
        <f t="shared" si="2089"/>
        <v>27154.445499999998</v>
      </c>
      <c r="U1482" s="1327">
        <f t="shared" si="2089"/>
        <v>27605.723999999998</v>
      </c>
      <c r="V1482" s="1327">
        <f t="shared" si="2089"/>
        <v>30210.79</v>
      </c>
      <c r="W1482" s="1327">
        <f t="shared" si="2089"/>
        <v>31361.091209109887</v>
      </c>
      <c r="X1482" s="1327">
        <f t="shared" si="2089"/>
        <v>30411.316619999976</v>
      </c>
      <c r="Y1482" s="1327">
        <f t="shared" si="2089"/>
        <v>29664.563409999966</v>
      </c>
      <c r="Z1482" s="1327">
        <f t="shared" si="2089"/>
        <v>33285.930389999987</v>
      </c>
      <c r="AA1482" s="1327">
        <f t="shared" si="2089"/>
        <v>34896.465469999974</v>
      </c>
      <c r="AB1482" s="1327">
        <f t="shared" si="2089"/>
        <v>34682.45978999995</v>
      </c>
      <c r="AC1482" s="1327">
        <f t="shared" si="2089"/>
        <v>34508.081349999979</v>
      </c>
      <c r="AD1482" s="1327">
        <f t="shared" si="2089"/>
        <v>33078.763810000004</v>
      </c>
      <c r="AE1482" s="1327">
        <f t="shared" ref="AE1482:AK1482" si="2090">AE842</f>
        <v>78868.169500000004</v>
      </c>
      <c r="AF1482" s="1327">
        <f t="shared" si="2090"/>
        <v>91983.197829109879</v>
      </c>
      <c r="AG1482" s="1327">
        <f t="shared" si="2090"/>
        <v>97846.959269999934</v>
      </c>
      <c r="AH1482" s="1327">
        <f t="shared" si="2090"/>
        <v>102269.30494999993</v>
      </c>
      <c r="AI1482" s="1327">
        <f t="shared" si="2090"/>
        <v>170851.36732910987</v>
      </c>
      <c r="AJ1482" s="1327">
        <f t="shared" si="2090"/>
        <v>200116.26421999984</v>
      </c>
      <c r="AK1482" s="1327">
        <f t="shared" si="2090"/>
        <v>370967.63154910976</v>
      </c>
      <c r="AL1482" s="8"/>
      <c r="AM1482" s="2510">
        <f ca="1">AM842</f>
        <v>24108</v>
      </c>
      <c r="AN1482" s="2510">
        <f ca="1">AN842</f>
        <v>28046.333333333332</v>
      </c>
      <c r="AO1482" s="2985">
        <f t="shared" ca="1" si="2063"/>
        <v>-3938.3333333333321</v>
      </c>
      <c r="AP1482" s="2986">
        <f t="shared" ca="1" si="2064"/>
        <v>0.85957760372716585</v>
      </c>
      <c r="AQ1482" s="2510">
        <f ca="1">AQ842</f>
        <v>22107</v>
      </c>
      <c r="AR1482" s="2985">
        <f t="shared" ca="1" si="2069"/>
        <v>2001</v>
      </c>
      <c r="AS1482" s="2986">
        <f t="shared" ca="1" si="2070"/>
        <v>1.0905143167322568</v>
      </c>
      <c r="AU1482" s="2510">
        <f ca="1">AU842</f>
        <v>24108</v>
      </c>
      <c r="AV1482" s="2510">
        <f ca="1">AV842</f>
        <v>28046.333333333332</v>
      </c>
      <c r="AW1482" s="2985">
        <f t="shared" ca="1" si="2065"/>
        <v>-3938.3333333333321</v>
      </c>
      <c r="AX1482" s="2986">
        <f t="shared" ref="AX1482:AX1487" ca="1" si="2091">IFERROR(AU1482/AV1482,0)</f>
        <v>0.85957760372716585</v>
      </c>
      <c r="AY1482" s="2510">
        <f ca="1">AY842</f>
        <v>22107</v>
      </c>
      <c r="AZ1482" s="2985">
        <f t="shared" ca="1" si="2071"/>
        <v>2001</v>
      </c>
      <c r="BA1482" s="2986">
        <f t="shared" ref="BA1482:BA1487" ca="1" si="2092">IFERROR(AU1482/AY1482,0)</f>
        <v>1.0905143167322568</v>
      </c>
      <c r="BC1482" s="2510">
        <f ca="1">BC842</f>
        <v>24108</v>
      </c>
      <c r="BD1482" s="2510">
        <f ca="1">BD842</f>
        <v>28046.333333333332</v>
      </c>
      <c r="BE1482" s="2985">
        <f t="shared" ca="1" si="2066"/>
        <v>-3938.3333333333321</v>
      </c>
      <c r="BF1482" s="2986">
        <f t="shared" ref="BF1482:BF1487" ca="1" si="2093">IFERROR(BC1482/BD1482,0)</f>
        <v>0.85957760372716585</v>
      </c>
      <c r="BG1482" s="2510">
        <f ca="1">BG842</f>
        <v>22107</v>
      </c>
      <c r="BH1482" s="2985">
        <f t="shared" ca="1" si="2072"/>
        <v>2001</v>
      </c>
      <c r="BI1482" s="2986">
        <f t="shared" ref="BI1482:BI1487" ca="1" si="2094">IFERROR(BC1482/BG1482,0)</f>
        <v>1.0905143167322568</v>
      </c>
    </row>
    <row r="1483" spans="1:61" s="624" customFormat="1" ht="14.5">
      <c r="A1483" s="1693">
        <f t="shared" si="2051"/>
        <v>1466</v>
      </c>
      <c r="B1483" s="616">
        <v>1</v>
      </c>
      <c r="C1483" s="1693">
        <f t="shared" si="2009"/>
        <v>1483</v>
      </c>
      <c r="D1483" s="616">
        <v>1</v>
      </c>
      <c r="E1483" s="709" t="s">
        <v>512</v>
      </c>
      <c r="F1483" s="1572"/>
      <c r="G1483" s="623"/>
      <c r="H1483" s="623"/>
      <c r="I1483" s="623"/>
      <c r="J1483" s="625"/>
      <c r="K1483" s="626" t="s">
        <v>497</v>
      </c>
      <c r="L1483" s="626"/>
      <c r="M1483" s="626"/>
      <c r="N1483" s="626"/>
      <c r="O1483" s="626"/>
      <c r="P1483" s="626"/>
      <c r="Q1483" s="648"/>
      <c r="R1483" s="1784" t="str">
        <f>CHOOSE(2, "6722000004384", "Fixed Cost Wages &amp; Salaries (SG&amp;A - fixed)")</f>
        <v>Fixed Cost Wages &amp; Salaries (SG&amp;A - fixed)</v>
      </c>
      <c r="S1483" s="1327">
        <f t="shared" ref="S1483:AD1483" si="2095">SUM(S46:S47)</f>
        <v>53505.90236</v>
      </c>
      <c r="T1483" s="1327">
        <f t="shared" si="2095"/>
        <v>60648.062470000004</v>
      </c>
      <c r="U1483" s="1327">
        <f t="shared" si="2095"/>
        <v>59450.404020000002</v>
      </c>
      <c r="V1483" s="1327">
        <f t="shared" si="2095"/>
        <v>58470.927196377095</v>
      </c>
      <c r="W1483" s="1327">
        <f t="shared" si="2095"/>
        <v>61673.89804</v>
      </c>
      <c r="X1483" s="1327">
        <f t="shared" si="2095"/>
        <v>54207.751440000007</v>
      </c>
      <c r="Y1483" s="1327">
        <f t="shared" si="2095"/>
        <v>58511.572740000003</v>
      </c>
      <c r="Z1483" s="1327">
        <f t="shared" si="2095"/>
        <v>59020.516210000002</v>
      </c>
      <c r="AA1483" s="1327">
        <f t="shared" si="2095"/>
        <v>70311.257260000013</v>
      </c>
      <c r="AB1483" s="1327">
        <f t="shared" si="2095"/>
        <v>68672.783300000068</v>
      </c>
      <c r="AC1483" s="1327">
        <f t="shared" si="2095"/>
        <v>79148.895499999926</v>
      </c>
      <c r="AD1483" s="1327">
        <f t="shared" si="2095"/>
        <v>63789.429240000049</v>
      </c>
      <c r="AE1483" s="1327">
        <f t="shared" ref="AE1483:AK1483" si="2096">SUM(AE46:AE47)</f>
        <v>173604.36885</v>
      </c>
      <c r="AF1483" s="1327">
        <f t="shared" si="2096"/>
        <v>174352.57667637712</v>
      </c>
      <c r="AG1483" s="1327">
        <f t="shared" si="2096"/>
        <v>187843.34621000002</v>
      </c>
      <c r="AH1483" s="1327">
        <f t="shared" si="2096"/>
        <v>211611.10804000002</v>
      </c>
      <c r="AI1483" s="1327">
        <f t="shared" si="2096"/>
        <v>347956.94552637712</v>
      </c>
      <c r="AJ1483" s="1327">
        <f t="shared" si="2096"/>
        <v>399454.45425000007</v>
      </c>
      <c r="AK1483" s="1327">
        <f t="shared" si="2096"/>
        <v>747411.39977637725</v>
      </c>
      <c r="AL1483" s="8"/>
      <c r="AM1483" s="2510">
        <f ca="1">SUM(AM46:AM47)</f>
        <v>53505.90236</v>
      </c>
      <c r="AN1483" s="2510">
        <f ca="1">SUM(AN46:AN47)</f>
        <v>56783.20416666667</v>
      </c>
      <c r="AO1483" s="2985">
        <f ca="1">AM1483-AN1483</f>
        <v>-3277.30180666667</v>
      </c>
      <c r="AP1483" s="2986">
        <f ca="1">IFERROR(AM1483/AN1483,0)</f>
        <v>0.94228395782232843</v>
      </c>
      <c r="AQ1483" s="2510">
        <f ca="1">SUM(AQ46:AQ47)</f>
        <v>48981</v>
      </c>
      <c r="AR1483" s="2985">
        <f ca="1">AM1483-AQ1483</f>
        <v>4524.90236</v>
      </c>
      <c r="AS1483" s="2986">
        <f ca="1">IFERROR(AM1483/AQ1483,0)</f>
        <v>1.0923807672362753</v>
      </c>
      <c r="AU1483" s="2510">
        <f ca="1">SUM(AU46:AU47)</f>
        <v>53505.90236</v>
      </c>
      <c r="AV1483" s="2510">
        <f ca="1">SUM(AV46:AV47)</f>
        <v>56783.20416666667</v>
      </c>
      <c r="AW1483" s="2985">
        <f ca="1">AU1483-AV1483</f>
        <v>-3277.30180666667</v>
      </c>
      <c r="AX1483" s="2986">
        <f t="shared" ca="1" si="2091"/>
        <v>0.94228395782232843</v>
      </c>
      <c r="AY1483" s="2510">
        <f ca="1">SUM(AY46:AY47)</f>
        <v>48981</v>
      </c>
      <c r="AZ1483" s="2985">
        <f ca="1">AU1483-AY1483</f>
        <v>4524.90236</v>
      </c>
      <c r="BA1483" s="2986">
        <f t="shared" ca="1" si="2092"/>
        <v>1.0923807672362753</v>
      </c>
      <c r="BC1483" s="2510">
        <f ca="1">SUM(BC46:BC47)</f>
        <v>53505.90236</v>
      </c>
      <c r="BD1483" s="2510">
        <f ca="1">SUM(BD46:BD47)</f>
        <v>56783.20416666667</v>
      </c>
      <c r="BE1483" s="2985">
        <f ca="1">BC1483-BD1483</f>
        <v>-3277.30180666667</v>
      </c>
      <c r="BF1483" s="2986">
        <f t="shared" ca="1" si="2093"/>
        <v>0.94228395782232843</v>
      </c>
      <c r="BG1483" s="2510">
        <f ca="1">SUM(BG46:BG47)</f>
        <v>48981</v>
      </c>
      <c r="BH1483" s="2985">
        <f ca="1">BC1483-BG1483</f>
        <v>4524.90236</v>
      </c>
      <c r="BI1483" s="2986">
        <f t="shared" ca="1" si="2094"/>
        <v>1.0923807672362753</v>
      </c>
    </row>
    <row r="1484" spans="1:61" s="624" customFormat="1" ht="14.5">
      <c r="A1484" s="1693">
        <f t="shared" si="2051"/>
        <v>1467</v>
      </c>
      <c r="B1484" s="616">
        <v>1</v>
      </c>
      <c r="C1484" s="1693">
        <f t="shared" si="2009"/>
        <v>1484</v>
      </c>
      <c r="D1484" s="616">
        <v>1</v>
      </c>
      <c r="E1484" s="709" t="s">
        <v>512</v>
      </c>
      <c r="F1484" s="1572"/>
      <c r="G1484" s="623"/>
      <c r="H1484" s="623"/>
      <c r="I1484" s="623"/>
      <c r="J1484" s="627"/>
      <c r="K1484" s="628" t="s">
        <v>499</v>
      </c>
      <c r="L1484" s="628"/>
      <c r="M1484" s="628"/>
      <c r="N1484" s="628"/>
      <c r="O1484" s="628"/>
      <c r="P1484" s="628"/>
      <c r="Q1484" s="650"/>
      <c r="R1484" s="1784" t="str">
        <f>CHOOSE(2, "6722000004385", "Fixed Cost SG&amp;A fixed (ex.SG&amp;A Fixed expenses)")</f>
        <v>Fixed Cost SG&amp;A fixed (ex.SG&amp;A Fixed expenses)</v>
      </c>
      <c r="S1484" s="1329">
        <f t="shared" ref="S1484:AD1484" si="2097">S23</f>
        <v>110420.96445999999</v>
      </c>
      <c r="T1484" s="1329">
        <f t="shared" si="2097"/>
        <v>97558.434393643329</v>
      </c>
      <c r="U1484" s="1329">
        <f t="shared" si="2097"/>
        <v>15786.500864486759</v>
      </c>
      <c r="V1484" s="1329">
        <f t="shared" si="2097"/>
        <v>54898.914849157103</v>
      </c>
      <c r="W1484" s="1329">
        <f t="shared" si="2097"/>
        <v>56235.093662220759</v>
      </c>
      <c r="X1484" s="1329">
        <f t="shared" si="2097"/>
        <v>61613.371803896007</v>
      </c>
      <c r="Y1484" s="1329">
        <f t="shared" si="2097"/>
        <v>53932.940699605824</v>
      </c>
      <c r="Z1484" s="1329">
        <f t="shared" si="2097"/>
        <v>83446.045942881101</v>
      </c>
      <c r="AA1484" s="1329">
        <f t="shared" si="2097"/>
        <v>108147.49392709148</v>
      </c>
      <c r="AB1484" s="1329">
        <f t="shared" si="2097"/>
        <v>87260.28425059875</v>
      </c>
      <c r="AC1484" s="1329">
        <f t="shared" si="2097"/>
        <v>84314.995880058166</v>
      </c>
      <c r="AD1484" s="1329">
        <f t="shared" si="2097"/>
        <v>14417.734795637945</v>
      </c>
      <c r="AE1484" s="1329">
        <f t="shared" ref="AE1484:AK1484" si="2098">AE23</f>
        <v>223765.89971813009</v>
      </c>
      <c r="AF1484" s="1329">
        <f t="shared" si="2098"/>
        <v>172747.38031527388</v>
      </c>
      <c r="AG1484" s="1329">
        <f t="shared" si="2098"/>
        <v>245526.48056957842</v>
      </c>
      <c r="AH1484" s="1329">
        <f t="shared" si="2098"/>
        <v>185993.01492629485</v>
      </c>
      <c r="AI1484" s="1329">
        <f t="shared" si="2098"/>
        <v>396513.28003340401</v>
      </c>
      <c r="AJ1484" s="1329">
        <f t="shared" si="2098"/>
        <v>431519.49549587327</v>
      </c>
      <c r="AK1484" s="1329">
        <f t="shared" si="2098"/>
        <v>828032.77552927728</v>
      </c>
      <c r="AL1484" s="8"/>
      <c r="AM1484" s="2090">
        <f ca="1">AM23</f>
        <v>110420.96445999999</v>
      </c>
      <c r="AN1484" s="2090">
        <f ca="1">AN23</f>
        <v>51257.832013451043</v>
      </c>
      <c r="AO1484" s="2987">
        <f t="shared" ca="1" si="2063"/>
        <v>59163.132446548945</v>
      </c>
      <c r="AP1484" s="2988">
        <f t="shared" ca="1" si="2064"/>
        <v>2.1542261957357738</v>
      </c>
      <c r="AQ1484" s="2090">
        <f ca="1">AQ23</f>
        <v>43752.000000000007</v>
      </c>
      <c r="AR1484" s="2987">
        <f t="shared" ca="1" si="2069"/>
        <v>66668.964459999988</v>
      </c>
      <c r="AS1484" s="2988">
        <f t="shared" ca="1" si="2070"/>
        <v>2.5237923857195095</v>
      </c>
      <c r="AU1484" s="2090">
        <f ca="1">AU23</f>
        <v>110420.96445999999</v>
      </c>
      <c r="AV1484" s="2090">
        <f ca="1">AV23</f>
        <v>51257.832013451043</v>
      </c>
      <c r="AW1484" s="2987">
        <f t="shared" ca="1" si="2065"/>
        <v>59163.132446548945</v>
      </c>
      <c r="AX1484" s="2988">
        <f t="shared" ca="1" si="2091"/>
        <v>2.1542261957357738</v>
      </c>
      <c r="AY1484" s="2090">
        <f ca="1">AY23</f>
        <v>43752.000000000007</v>
      </c>
      <c r="AZ1484" s="2987">
        <f t="shared" ca="1" si="2071"/>
        <v>66668.964459999988</v>
      </c>
      <c r="BA1484" s="2988">
        <f t="shared" ca="1" si="2092"/>
        <v>2.5237923857195095</v>
      </c>
      <c r="BC1484" s="2090">
        <f ca="1">BC23</f>
        <v>110420.96445999999</v>
      </c>
      <c r="BD1484" s="2090">
        <f ca="1">BD23</f>
        <v>51257.832013451043</v>
      </c>
      <c r="BE1484" s="2987">
        <f t="shared" ca="1" si="2066"/>
        <v>59163.132446548945</v>
      </c>
      <c r="BF1484" s="2988">
        <f t="shared" ca="1" si="2093"/>
        <v>2.1542261957357738</v>
      </c>
      <c r="BG1484" s="2090">
        <f ca="1">BG23</f>
        <v>43752.000000000007</v>
      </c>
      <c r="BH1484" s="2987">
        <f t="shared" ca="1" si="2072"/>
        <v>66668.964459999988</v>
      </c>
      <c r="BI1484" s="2988">
        <f t="shared" ca="1" si="2094"/>
        <v>2.5237923857195095</v>
      </c>
    </row>
    <row r="1485" spans="1:61" s="621" customFormat="1" ht="14.5">
      <c r="A1485" s="1693">
        <f t="shared" si="2051"/>
        <v>1468</v>
      </c>
      <c r="B1485" s="616">
        <v>1</v>
      </c>
      <c r="C1485" s="1693">
        <f t="shared" si="2009"/>
        <v>1485</v>
      </c>
      <c r="D1485" s="616">
        <v>1</v>
      </c>
      <c r="E1485" s="709" t="s">
        <v>512</v>
      </c>
      <c r="F1485" s="1572"/>
      <c r="G1485" s="622"/>
      <c r="H1485" s="622"/>
      <c r="I1485" s="623"/>
      <c r="J1485" s="629" t="s">
        <v>506</v>
      </c>
      <c r="K1485" s="630"/>
      <c r="L1485" s="630"/>
      <c r="M1485" s="630"/>
      <c r="N1485" s="630"/>
      <c r="O1485" s="630"/>
      <c r="P1485" s="630"/>
      <c r="Q1485" s="651" t="s">
        <v>505</v>
      </c>
      <c r="R1485" s="1774" t="str">
        <f>CHOOSE(2, "6722000004386", "Break-even Point Net Sales F = E / D")</f>
        <v>Break-even Point Net Sales F = E / D</v>
      </c>
      <c r="S1485" s="1330">
        <f>IFERROR(S1480/S1479,0)</f>
        <v>627987.85444800009</v>
      </c>
      <c r="T1485" s="1330">
        <f t="shared" ref="T1485:AD1485" si="2099">IFERROR(T1480/T1479,0)</f>
        <v>684225.81496200897</v>
      </c>
      <c r="U1485" s="1330">
        <f t="shared" si="2099"/>
        <v>492309.62927545013</v>
      </c>
      <c r="V1485" s="1330">
        <f t="shared" si="2099"/>
        <v>556842.12364889262</v>
      </c>
      <c r="W1485" s="1330">
        <f t="shared" si="2099"/>
        <v>635690.21212810103</v>
      </c>
      <c r="X1485" s="1330">
        <f t="shared" si="2099"/>
        <v>606174.90960975352</v>
      </c>
      <c r="Y1485" s="1330">
        <f t="shared" si="2099"/>
        <v>555417.14385365252</v>
      </c>
      <c r="Z1485" s="1330">
        <f t="shared" si="2099"/>
        <v>621678.57764146489</v>
      </c>
      <c r="AA1485" s="1330">
        <f t="shared" si="2099"/>
        <v>701493.01760928729</v>
      </c>
      <c r="AB1485" s="1330">
        <f t="shared" si="2099"/>
        <v>654986.3321535805</v>
      </c>
      <c r="AC1485" s="1330">
        <f t="shared" si="2099"/>
        <v>708307.91839258699</v>
      </c>
      <c r="AD1485" s="1330">
        <f t="shared" si="2099"/>
        <v>544324.73319545249</v>
      </c>
      <c r="AE1485" s="1330">
        <f t="shared" ref="AE1485:AK1485" si="2100">IFERROR(AE1480/AE1479,0)</f>
        <v>1812404.439278408</v>
      </c>
      <c r="AF1485" s="1330">
        <f t="shared" si="2100"/>
        <v>1800344.4971880408</v>
      </c>
      <c r="AG1485" s="1330">
        <f t="shared" si="2100"/>
        <v>1889658.3527445639</v>
      </c>
      <c r="AH1485" s="1330">
        <f t="shared" si="2100"/>
        <v>1935510.5339750338</v>
      </c>
      <c r="AI1485" s="1330">
        <f t="shared" si="2100"/>
        <v>3610712.1296833912</v>
      </c>
      <c r="AJ1485" s="1330">
        <f t="shared" si="2100"/>
        <v>3830230.9869964174</v>
      </c>
      <c r="AK1485" s="1330">
        <f t="shared" si="2100"/>
        <v>7450141.0019127522</v>
      </c>
      <c r="AL1485" s="8"/>
      <c r="AM1485" s="2524">
        <f ca="1">IFERROR(AM1480/AM1479,0)</f>
        <v>627986.58037890773</v>
      </c>
      <c r="AN1485" s="2524">
        <f ca="1">IFERROR(AN1480/AN1479,0)</f>
        <v>459728.55940723041</v>
      </c>
      <c r="AO1485" s="2989">
        <f ca="1">AM1485-AN1485</f>
        <v>168258.02097167732</v>
      </c>
      <c r="AP1485" s="2990">
        <f ca="1">IFERROR(AM1485/AN1485,0)</f>
        <v>1.3659942753798624</v>
      </c>
      <c r="AQ1485" s="2524">
        <f ca="1">IFERROR(AQ1480/AQ1479,0)</f>
        <v>468294.4924222916</v>
      </c>
      <c r="AR1485" s="2989">
        <f ca="1">AM1485-AQ1485</f>
        <v>159692.08795661613</v>
      </c>
      <c r="AS1485" s="2990">
        <f ca="1">IFERROR(AM1485/AQ1485,0)</f>
        <v>1.3410078284939797</v>
      </c>
      <c r="AU1485" s="2524">
        <f ca="1">IFERROR(AU1480/AU1479,0)</f>
        <v>627986.58037890773</v>
      </c>
      <c r="AV1485" s="2524">
        <f ca="1">IFERROR(AV1480/AV1479,0)</f>
        <v>459728.55940723041</v>
      </c>
      <c r="AW1485" s="2989">
        <f ca="1">AU1485-AV1485</f>
        <v>168258.02097167732</v>
      </c>
      <c r="AX1485" s="2990">
        <f t="shared" ca="1" si="2091"/>
        <v>1.3659942753798624</v>
      </c>
      <c r="AY1485" s="2524">
        <f ca="1">IFERROR(AY1480/AY1479,0)</f>
        <v>468294.4924222916</v>
      </c>
      <c r="AZ1485" s="2989">
        <f ca="1">AU1485-AY1485</f>
        <v>159692.08795661613</v>
      </c>
      <c r="BA1485" s="2990">
        <f t="shared" ca="1" si="2092"/>
        <v>1.3410078284939797</v>
      </c>
      <c r="BC1485" s="2524">
        <f ca="1">IFERROR(BC1480/BC1479,0)</f>
        <v>627986.58037890773</v>
      </c>
      <c r="BD1485" s="2524">
        <f ca="1">IFERROR(BD1480/BD1479,0)</f>
        <v>459728.55940723041</v>
      </c>
      <c r="BE1485" s="2989">
        <f ca="1">BC1485-BD1485</f>
        <v>168258.02097167732</v>
      </c>
      <c r="BF1485" s="2990">
        <f t="shared" ca="1" si="2093"/>
        <v>1.3659942753798624</v>
      </c>
      <c r="BG1485" s="2524">
        <f ca="1">IFERROR(BG1480/BG1479,0)</f>
        <v>468294.4924222916</v>
      </c>
      <c r="BH1485" s="2989">
        <f ca="1">BC1485-BG1485</f>
        <v>159692.08795661613</v>
      </c>
      <c r="BI1485" s="2990">
        <f t="shared" ca="1" si="2094"/>
        <v>1.3410078284939797</v>
      </c>
    </row>
    <row r="1486" spans="1:61" s="641" customFormat="1" ht="14.5">
      <c r="A1486" s="1693">
        <f t="shared" si="2051"/>
        <v>1469</v>
      </c>
      <c r="B1486" s="616">
        <v>1</v>
      </c>
      <c r="C1486" s="1693">
        <f t="shared" si="2009"/>
        <v>1486</v>
      </c>
      <c r="D1486" s="616">
        <v>1</v>
      </c>
      <c r="E1486" s="709" t="s">
        <v>512</v>
      </c>
      <c r="F1486" s="1572"/>
      <c r="G1486" s="637"/>
      <c r="H1486" s="637"/>
      <c r="I1486" s="637"/>
      <c r="J1486" s="644"/>
      <c r="K1486" s="645" t="s">
        <v>55</v>
      </c>
      <c r="L1486" s="646"/>
      <c r="M1486" s="646"/>
      <c r="N1486" s="646"/>
      <c r="O1486" s="646"/>
      <c r="P1486" s="646"/>
      <c r="Q1486" s="650" t="s">
        <v>507</v>
      </c>
      <c r="R1486" s="1785" t="str">
        <f>CHOOSE(2, "6722000004387", "Break-even Point Net Sales (%) G = F / A")</f>
        <v>Break-even Point Net Sales (%) G = F / A</v>
      </c>
      <c r="S1486" s="1335">
        <f>IFERROR(S1485/S1472,0)</f>
        <v>0.56551944546323973</v>
      </c>
      <c r="T1486" s="1335">
        <f t="shared" ref="T1486:AD1486" si="2101">IFERROR(T1485/T1472,0)</f>
        <v>0.68742960657328844</v>
      </c>
      <c r="U1486" s="1335">
        <f t="shared" si="2101"/>
        <v>0.54332017039933511</v>
      </c>
      <c r="V1486" s="1335">
        <f t="shared" si="2101"/>
        <v>0.65936922388917452</v>
      </c>
      <c r="W1486" s="1335">
        <f t="shared" si="2101"/>
        <v>0.64451408801625232</v>
      </c>
      <c r="X1486" s="1335">
        <f t="shared" si="2101"/>
        <v>0.56556792107994658</v>
      </c>
      <c r="Y1486" s="1335">
        <f t="shared" si="2101"/>
        <v>0.6120134522223647</v>
      </c>
      <c r="Z1486" s="1335">
        <f t="shared" si="2101"/>
        <v>0.69079706396177087</v>
      </c>
      <c r="AA1486" s="1335">
        <f t="shared" si="2101"/>
        <v>0.7330197271388178</v>
      </c>
      <c r="AB1486" s="1335">
        <f t="shared" si="2101"/>
        <v>0.66395760287120054</v>
      </c>
      <c r="AC1486" s="1335">
        <f t="shared" si="2101"/>
        <v>0.6922606349222159</v>
      </c>
      <c r="AD1486" s="1335">
        <f t="shared" si="2101"/>
        <v>0.54204644282031167</v>
      </c>
      <c r="AE1486" s="1335">
        <f t="shared" ref="AE1486:AK1486" si="2102">IFERROR(AE1485/AE1472,0)</f>
        <v>0.60174493169951759</v>
      </c>
      <c r="AF1486" s="1335">
        <f t="shared" si="2102"/>
        <v>0.62024911826499951</v>
      </c>
      <c r="AG1486" s="1335">
        <f t="shared" si="2102"/>
        <v>0.68355450983776389</v>
      </c>
      <c r="AH1486" s="1335">
        <f t="shared" si="2102"/>
        <v>0.64220057827413313</v>
      </c>
      <c r="AI1486" s="1335">
        <f t="shared" si="2102"/>
        <v>0.61048167434057998</v>
      </c>
      <c r="AJ1486" s="1335">
        <f t="shared" si="2102"/>
        <v>0.66286110125842812</v>
      </c>
      <c r="AK1486" s="1335">
        <f t="shared" si="2102"/>
        <v>0.63715295341813372</v>
      </c>
      <c r="AL1486" s="8"/>
      <c r="AM1486" s="1335">
        <f ca="1">IFERROR(AM1485/AM1472,0)</f>
        <v>0.56551829813078491</v>
      </c>
      <c r="AN1486" s="1335">
        <f ca="1">IFERROR(AN1485/AN1472,0)</f>
        <v>0.48852765002744936</v>
      </c>
      <c r="AO1486" s="1335">
        <f t="shared" ca="1" si="2063"/>
        <v>7.6990648103335557E-2</v>
      </c>
      <c r="AP1486" s="1335"/>
      <c r="AQ1486" s="1335">
        <f ca="1">IFERROR(AQ1485/AQ1472,0)</f>
        <v>0.72127976283939532</v>
      </c>
      <c r="AR1486" s="1335">
        <f t="shared" ca="1" si="2069"/>
        <v>-0.15576146470861041</v>
      </c>
      <c r="AS1486" s="1335"/>
      <c r="AU1486" s="1335">
        <f ca="1">IFERROR(AU1485/AU1472,0)</f>
        <v>0.56551829813078491</v>
      </c>
      <c r="AV1486" s="1335">
        <f ca="1">IFERROR(AV1485/AV1472,0)</f>
        <v>0.48852765002744936</v>
      </c>
      <c r="AW1486" s="1335">
        <f t="shared" ca="1" si="2065"/>
        <v>7.6990648103335557E-2</v>
      </c>
      <c r="AX1486" s="1335"/>
      <c r="AY1486" s="1335">
        <f ca="1">IFERROR(AY1485/AY1472,0)</f>
        <v>0.72127976283939532</v>
      </c>
      <c r="AZ1486" s="1335">
        <f t="shared" ca="1" si="2071"/>
        <v>-0.15576146470861041</v>
      </c>
      <c r="BA1486" s="1335"/>
      <c r="BC1486" s="1335">
        <f ca="1">IFERROR(BC1485/BC1472,0)</f>
        <v>0.56551829813078491</v>
      </c>
      <c r="BD1486" s="1335">
        <f ca="1">IFERROR(BD1485/BD1472,0)</f>
        <v>0.48852765002744936</v>
      </c>
      <c r="BE1486" s="1335">
        <f t="shared" ca="1" si="2066"/>
        <v>7.6990648103335557E-2</v>
      </c>
      <c r="BF1486" s="1335"/>
      <c r="BG1486" s="1335">
        <f ca="1">IFERROR(BG1485/BG1472,0)</f>
        <v>0.72127976283939532</v>
      </c>
      <c r="BH1486" s="1335">
        <f t="shared" ca="1" si="2072"/>
        <v>-0.15576146470861041</v>
      </c>
      <c r="BI1486" s="1335"/>
    </row>
    <row r="1487" spans="1:61" s="621" customFormat="1" ht="14.5">
      <c r="A1487" s="1693">
        <f t="shared" si="2051"/>
        <v>1470</v>
      </c>
      <c r="B1487" s="616">
        <v>1</v>
      </c>
      <c r="C1487" s="1693">
        <f t="shared" ref="C1487:C1550" si="2103">C1486+1</f>
        <v>1487</v>
      </c>
      <c r="D1487" s="616">
        <v>1</v>
      </c>
      <c r="E1487" s="709" t="s">
        <v>512</v>
      </c>
      <c r="F1487" s="1572"/>
      <c r="G1487" s="622"/>
      <c r="H1487" s="622"/>
      <c r="I1487" s="623"/>
      <c r="J1487" s="625" t="s">
        <v>493</v>
      </c>
      <c r="K1487" s="626"/>
      <c r="L1487" s="626"/>
      <c r="M1487" s="626"/>
      <c r="N1487" s="626"/>
      <c r="O1487" s="626"/>
      <c r="P1487" s="626"/>
      <c r="Q1487" s="648" t="s">
        <v>508</v>
      </c>
      <c r="R1487" s="1784" t="str">
        <f>CHOOSE(2, "6722000004388", "BCP H = C - D")</f>
        <v>BCP H = C - D</v>
      </c>
      <c r="S1487" s="1328">
        <f t="shared" ref="S1487:AD1487" si="2104">S1478-S1480</f>
        <v>144464.51640805695</v>
      </c>
      <c r="T1487" s="1328">
        <f t="shared" si="2104"/>
        <v>84282.582720523351</v>
      </c>
      <c r="U1487" s="1328">
        <f t="shared" si="2104"/>
        <v>86442.868852323591</v>
      </c>
      <c r="V1487" s="1328">
        <f t="shared" si="2104"/>
        <v>74173.892799663823</v>
      </c>
      <c r="W1487" s="1328">
        <f t="shared" si="2104"/>
        <v>82330.879250363185</v>
      </c>
      <c r="X1487" s="1328">
        <f t="shared" si="2104"/>
        <v>112326.14242745203</v>
      </c>
      <c r="Y1487" s="1328">
        <f t="shared" si="2104"/>
        <v>90090.193172277388</v>
      </c>
      <c r="Z1487" s="1328">
        <f t="shared" si="2104"/>
        <v>78667.367806449125</v>
      </c>
      <c r="AA1487" s="1328">
        <f t="shared" si="2104"/>
        <v>77708.186902150919</v>
      </c>
      <c r="AB1487" s="1328">
        <f t="shared" si="2104"/>
        <v>96474.380985333584</v>
      </c>
      <c r="AC1487" s="1328">
        <f t="shared" si="2104"/>
        <v>88006.98193389253</v>
      </c>
      <c r="AD1487" s="1328">
        <f t="shared" si="2104"/>
        <v>94021.069958107895</v>
      </c>
      <c r="AE1487" s="1328">
        <f t="shared" ref="AE1487:AK1487" si="2105">AE1478-AE1480</f>
        <v>315190.64256090391</v>
      </c>
      <c r="AF1487" s="1328">
        <f t="shared" si="2105"/>
        <v>268831.039477479</v>
      </c>
      <c r="AG1487" s="1328">
        <f t="shared" si="2105"/>
        <v>245922.09373874799</v>
      </c>
      <c r="AH1487" s="1328">
        <f t="shared" si="2105"/>
        <v>278502.43287733436</v>
      </c>
      <c r="AI1487" s="1328">
        <f t="shared" si="2105"/>
        <v>584021.68203838333</v>
      </c>
      <c r="AJ1487" s="1328">
        <f t="shared" si="2105"/>
        <v>524424.52661608253</v>
      </c>
      <c r="AK1487" s="1328">
        <f t="shared" si="2105"/>
        <v>1108446.2086544649</v>
      </c>
      <c r="AL1487" s="8"/>
      <c r="AM1487" s="2509">
        <f ca="1">AM1478-AM1480</f>
        <v>144465.19098805694</v>
      </c>
      <c r="AN1487" s="2509">
        <f ca="1">AN1478-AN1480</f>
        <v>142478.99107188039</v>
      </c>
      <c r="AO1487" s="2983">
        <f t="shared" ca="1" si="2063"/>
        <v>1986.1999161765561</v>
      </c>
      <c r="AP1487" s="2984">
        <f t="shared" ca="1" si="2064"/>
        <v>1.0139403002592469</v>
      </c>
      <c r="AQ1487" s="2509">
        <f ca="1">AQ1478-AQ1480</f>
        <v>44377</v>
      </c>
      <c r="AR1487" s="2983">
        <f t="shared" ca="1" si="2069"/>
        <v>100088.19098805694</v>
      </c>
      <c r="AS1487" s="2984">
        <f t="shared" ca="1" si="2070"/>
        <v>3.2554068771673825</v>
      </c>
      <c r="AU1487" s="2509">
        <f ca="1">AU1478-AU1480</f>
        <v>144465.19098805694</v>
      </c>
      <c r="AV1487" s="2509">
        <f ca="1">AV1478-AV1480</f>
        <v>142478.99107188039</v>
      </c>
      <c r="AW1487" s="2983">
        <f t="shared" ca="1" si="2065"/>
        <v>1986.1999161765561</v>
      </c>
      <c r="AX1487" s="2984">
        <f t="shared" ca="1" si="2091"/>
        <v>1.0139403002592469</v>
      </c>
      <c r="AY1487" s="2509">
        <f ca="1">AY1478-AY1480</f>
        <v>44377</v>
      </c>
      <c r="AZ1487" s="2983">
        <f t="shared" ca="1" si="2071"/>
        <v>100088.19098805694</v>
      </c>
      <c r="BA1487" s="2984">
        <f t="shared" ca="1" si="2092"/>
        <v>3.2554068771673825</v>
      </c>
      <c r="BC1487" s="2509">
        <f ca="1">BC1478-BC1480</f>
        <v>144465.19098805694</v>
      </c>
      <c r="BD1487" s="2509">
        <f ca="1">BD1478-BD1480</f>
        <v>142478.99107188039</v>
      </c>
      <c r="BE1487" s="2983">
        <f t="shared" ca="1" si="2066"/>
        <v>1986.1999161765561</v>
      </c>
      <c r="BF1487" s="2984">
        <f t="shared" ca="1" si="2093"/>
        <v>1.0139403002592469</v>
      </c>
      <c r="BG1487" s="2509">
        <f ca="1">BG1478-BG1480</f>
        <v>44377</v>
      </c>
      <c r="BH1487" s="2983">
        <f t="shared" ca="1" si="2072"/>
        <v>100088.19098805694</v>
      </c>
      <c r="BI1487" s="2984">
        <f t="shared" ca="1" si="2094"/>
        <v>3.2554068771673825</v>
      </c>
    </row>
    <row r="1488" spans="1:61" s="641" customFormat="1" ht="14.5">
      <c r="A1488" s="1693">
        <f t="shared" si="2051"/>
        <v>1471</v>
      </c>
      <c r="B1488" s="616">
        <v>1</v>
      </c>
      <c r="C1488" s="1693">
        <f t="shared" si="2103"/>
        <v>1488</v>
      </c>
      <c r="D1488" s="616">
        <v>1</v>
      </c>
      <c r="E1488" s="709" t="s">
        <v>512</v>
      </c>
      <c r="F1488" s="1572"/>
      <c r="G1488" s="637"/>
      <c r="H1488" s="637"/>
      <c r="I1488" s="637"/>
      <c r="J1488" s="644"/>
      <c r="K1488" s="645" t="s">
        <v>55</v>
      </c>
      <c r="L1488" s="646"/>
      <c r="M1488" s="646"/>
      <c r="N1488" s="646"/>
      <c r="O1488" s="646"/>
      <c r="P1488" s="646"/>
      <c r="Q1488" s="652"/>
      <c r="R1488" s="1785" t="str">
        <f>CHOOSE(2, "6722000004389", "BCP (%)")</f>
        <v>BCP (%)</v>
      </c>
      <c r="S1488" s="1335">
        <f>IFERROR(S1487/S1472,0)</f>
        <v>0.13009406572044513</v>
      </c>
      <c r="T1488" s="1335">
        <f t="shared" ref="T1488:AD1488" si="2106">IFERROR(T1487/T1472,0)</f>
        <v>8.4677224117548064E-2</v>
      </c>
      <c r="U1488" s="1335">
        <f t="shared" si="2106"/>
        <v>9.5399625442576894E-2</v>
      </c>
      <c r="V1488" s="1335">
        <f t="shared" si="2106"/>
        <v>8.7830966895369553E-2</v>
      </c>
      <c r="W1488" s="1335">
        <f t="shared" si="2106"/>
        <v>8.3473696060198194E-2</v>
      </c>
      <c r="X1488" s="1335">
        <f t="shared" si="2106"/>
        <v>0.10480153805198314</v>
      </c>
      <c r="Y1488" s="1335">
        <f t="shared" si="2106"/>
        <v>9.9270270543311057E-2</v>
      </c>
      <c r="Z1488" s="1335">
        <f t="shared" si="2106"/>
        <v>8.7413638920073339E-2</v>
      </c>
      <c r="AA1488" s="1335">
        <f t="shared" si="2106"/>
        <v>8.1200571537538846E-2</v>
      </c>
      <c r="AB1488" s="1335">
        <f t="shared" si="2106"/>
        <v>9.7795779229306865E-2</v>
      </c>
      <c r="AC1488" s="1335">
        <f t="shared" si="2106"/>
        <v>8.6013113236688116E-2</v>
      </c>
      <c r="AD1488" s="1335">
        <f t="shared" si="2106"/>
        <v>9.3627541452635632E-2</v>
      </c>
      <c r="AE1488" s="1335">
        <f t="shared" ref="AE1488:AK1488" si="2107">IFERROR(AE1487/AE1472,0)</f>
        <v>0.10464792933063621</v>
      </c>
      <c r="AF1488" s="1335">
        <f t="shared" si="2107"/>
        <v>9.2616838309892591E-2</v>
      </c>
      <c r="AG1488" s="1335">
        <f t="shared" si="2107"/>
        <v>8.8958491358882022E-2</v>
      </c>
      <c r="AH1488" s="1335">
        <f t="shared" si="2107"/>
        <v>9.2406845793423162E-2</v>
      </c>
      <c r="AI1488" s="1335">
        <f t="shared" si="2107"/>
        <v>9.8743550163124499E-2</v>
      </c>
      <c r="AJ1488" s="1335">
        <f t="shared" si="2107"/>
        <v>9.0757090217230663E-2</v>
      </c>
      <c r="AK1488" s="1335">
        <f t="shared" si="2107"/>
        <v>9.479683342476368E-2</v>
      </c>
      <c r="AL1488" s="8"/>
      <c r="AM1488" s="1335">
        <f ca="1">IFERROR(AM1487/AM1472,0)</f>
        <v>0.13009467319733314</v>
      </c>
      <c r="AN1488" s="1335">
        <f ca="1">IFERROR(AN1487/AN1472,0)</f>
        <v>0.15140439997109509</v>
      </c>
      <c r="AO1488" s="1335">
        <f t="shared" ca="1" si="2063"/>
        <v>-2.1309726773761944E-2</v>
      </c>
      <c r="AP1488" s="1335"/>
      <c r="AQ1488" s="1335">
        <f ca="1">IFERROR(AQ1487/AQ1472,0)</f>
        <v>6.8350648050457832E-2</v>
      </c>
      <c r="AR1488" s="1335">
        <f t="shared" ca="1" si="2069"/>
        <v>6.1744025146875312E-2</v>
      </c>
      <c r="AS1488" s="1335"/>
      <c r="AU1488" s="1335">
        <f ca="1">IFERROR(AU1487/AU1472,0)</f>
        <v>0.13009467319733314</v>
      </c>
      <c r="AV1488" s="1335">
        <f ca="1">IFERROR(AV1487/AV1472,0)</f>
        <v>0.15140439997109509</v>
      </c>
      <c r="AW1488" s="1335">
        <f t="shared" ca="1" si="2065"/>
        <v>-2.1309726773761944E-2</v>
      </c>
      <c r="AX1488" s="1335"/>
      <c r="AY1488" s="1335">
        <f ca="1">IFERROR(AY1487/AY1472,0)</f>
        <v>6.8350648050457832E-2</v>
      </c>
      <c r="AZ1488" s="1335">
        <f t="shared" ca="1" si="2071"/>
        <v>6.1744025146875312E-2</v>
      </c>
      <c r="BA1488" s="1335"/>
      <c r="BC1488" s="1335">
        <f ca="1">IFERROR(BC1487/BC1472,0)</f>
        <v>0.13009467319733314</v>
      </c>
      <c r="BD1488" s="1335">
        <f ca="1">IFERROR(BD1487/BD1472,0)</f>
        <v>0.15140439997109509</v>
      </c>
      <c r="BE1488" s="1335">
        <f t="shared" ca="1" si="2066"/>
        <v>-2.1309726773761944E-2</v>
      </c>
      <c r="BF1488" s="1335"/>
      <c r="BG1488" s="1335">
        <f ca="1">IFERROR(BG1487/BG1472,0)</f>
        <v>6.8350648050457832E-2</v>
      </c>
      <c r="BH1488" s="1335">
        <f t="shared" ca="1" si="2072"/>
        <v>6.1744025146875312E-2</v>
      </c>
      <c r="BI1488" s="1335"/>
    </row>
    <row r="1489" spans="1:37" ht="14.5">
      <c r="A1489" s="1693">
        <f t="shared" si="2051"/>
        <v>1472</v>
      </c>
      <c r="B1489" s="616">
        <v>1</v>
      </c>
      <c r="C1489" s="1693">
        <f t="shared" si="2103"/>
        <v>1489</v>
      </c>
      <c r="D1489" s="616">
        <v>1</v>
      </c>
      <c r="F1489" s="69"/>
      <c r="G1489"/>
      <c r="R1489" s="1772" t="str">
        <f>CHOOSE(2, "6722000004390", "▷ Blank 63")</f>
        <v>▷ Blank 63</v>
      </c>
      <c r="S1489" s="1366"/>
      <c r="T1489" s="1366"/>
      <c r="U1489" s="1366"/>
      <c r="V1489" s="1366"/>
      <c r="W1489" s="1366"/>
      <c r="X1489" s="1366"/>
      <c r="Y1489" s="1366"/>
      <c r="Z1489" s="1366"/>
      <c r="AA1489" s="1366"/>
      <c r="AB1489" s="1366"/>
      <c r="AC1489" s="69"/>
      <c r="AD1489" s="69"/>
      <c r="AE1489" s="69"/>
      <c r="AF1489" s="69"/>
      <c r="AG1489" s="69"/>
      <c r="AH1489" s="69"/>
      <c r="AI1489" s="69"/>
      <c r="AJ1489" s="69"/>
      <c r="AK1489" s="69"/>
    </row>
    <row r="1490" spans="1:37" ht="14.5">
      <c r="A1490" s="1693">
        <f t="shared" si="2051"/>
        <v>1473</v>
      </c>
      <c r="B1490" s="616">
        <v>1</v>
      </c>
      <c r="C1490" s="1693">
        <f t="shared" si="2103"/>
        <v>1490</v>
      </c>
      <c r="D1490" s="616">
        <v>1</v>
      </c>
      <c r="F1490" s="69"/>
      <c r="G1490"/>
      <c r="I1490" s="4" t="s">
        <v>30</v>
      </c>
      <c r="R1490" s="1772" t="str">
        <f>CHOOSE(2, "6722000004391", "RF (1) Office")</f>
        <v>RF (1) Office</v>
      </c>
      <c r="S1490" s="1366"/>
      <c r="T1490" s="1366"/>
      <c r="U1490" s="1366"/>
      <c r="V1490" s="1366"/>
      <c r="W1490" s="1366"/>
      <c r="X1490" s="1366"/>
      <c r="Y1490" s="1366"/>
      <c r="Z1490" s="1366"/>
      <c r="AA1490" s="1366"/>
      <c r="AB1490" s="1366"/>
      <c r="AC1490" s="69"/>
      <c r="AD1490" s="69"/>
      <c r="AE1490" s="69"/>
      <c r="AF1490" s="69"/>
      <c r="AG1490" s="69"/>
      <c r="AH1490" s="69"/>
      <c r="AI1490" s="69"/>
      <c r="AJ1490" s="69"/>
      <c r="AK1490" s="69"/>
    </row>
    <row r="1491" spans="1:37" ht="14.5">
      <c r="A1491" s="1693">
        <f t="shared" si="2051"/>
        <v>1474</v>
      </c>
      <c r="B1491" s="616">
        <v>1</v>
      </c>
      <c r="C1491" s="1693">
        <f t="shared" si="2103"/>
        <v>1491</v>
      </c>
      <c r="D1491" s="616">
        <v>1</v>
      </c>
      <c r="F1491" s="69"/>
      <c r="G1491"/>
      <c r="H1491" s="1050"/>
      <c r="I1491" s="1051"/>
      <c r="J1491" s="747" t="s">
        <v>0</v>
      </c>
      <c r="K1491" s="748"/>
      <c r="L1491" s="748"/>
      <c r="M1491" s="1052"/>
      <c r="N1491" s="1053"/>
      <c r="O1491" s="1053"/>
      <c r="P1491" s="1053"/>
      <c r="Q1491" s="1053"/>
      <c r="R1491" s="1846" t="str">
        <f>CHOOSE(2, "6722000004392", "RF (1) Office Net Sales")</f>
        <v>RF (1) Office Net Sales</v>
      </c>
      <c r="S1491" s="1446">
        <f>SUM(S1492,S1495,S1498,S1499)</f>
        <v>282234</v>
      </c>
      <c r="T1491" s="1446">
        <f t="shared" ref="T1491:AD1491" si="2108">SUM(T1492,T1495,T1498,T1499)</f>
        <v>305251.20121000003</v>
      </c>
      <c r="U1491" s="1446">
        <f t="shared" si="2108"/>
        <v>319681.62479999999</v>
      </c>
      <c r="V1491" s="1446">
        <f t="shared" si="2108"/>
        <v>269779.66502000001</v>
      </c>
      <c r="W1491" s="1446">
        <f t="shared" si="2108"/>
        <v>303956.91165000002</v>
      </c>
      <c r="X1491" s="1446">
        <f t="shared" si="2108"/>
        <v>340734.44316000002</v>
      </c>
      <c r="Y1491" s="1446">
        <f t="shared" si="2108"/>
        <v>251139.65906999999</v>
      </c>
      <c r="Z1491" s="1446">
        <f t="shared" si="2108"/>
        <v>282806.13997999998</v>
      </c>
      <c r="AA1491" s="1446">
        <f t="shared" si="2108"/>
        <v>322378.30074999994</v>
      </c>
      <c r="AB1491" s="1446">
        <f t="shared" si="2108"/>
        <v>308461.61430000002</v>
      </c>
      <c r="AC1491" s="1446">
        <f t="shared" si="2108"/>
        <v>301585.90937000001</v>
      </c>
      <c r="AD1491" s="1446">
        <f t="shared" si="2108"/>
        <v>331071.25172999996</v>
      </c>
      <c r="AE1491" s="1054">
        <f t="shared" ref="AE1491:AE1517" si="2109">SUM(S1491:U1491)</f>
        <v>907166.82601000008</v>
      </c>
      <c r="AF1491" s="1054">
        <f t="shared" ref="AF1491:AF1529" si="2110">SUM(V1491:X1491)</f>
        <v>914471.01983000012</v>
      </c>
      <c r="AG1491" s="1054">
        <f t="shared" ref="AG1491:AG1529" si="2111">SUM(Y1491:AA1491)</f>
        <v>856324.09979999997</v>
      </c>
      <c r="AH1491" s="1054">
        <f t="shared" ref="AH1491:AH1529" si="2112">SUM(AB1491:AD1491)</f>
        <v>941118.77539999993</v>
      </c>
      <c r="AI1491" s="1054">
        <f t="shared" ref="AI1491:AI1530" si="2113">AE1491+AF1491</f>
        <v>1821637.8458400001</v>
      </c>
      <c r="AJ1491" s="1054">
        <f t="shared" ref="AJ1491:AJ1530" si="2114">AH1491+AG1491</f>
        <v>1797442.8751999999</v>
      </c>
      <c r="AK1491" s="1054">
        <f t="shared" ref="AK1491:AK1530" si="2115">AI1491+AJ1491</f>
        <v>3619080.7210400002</v>
      </c>
    </row>
    <row r="1492" spans="1:37" ht="14.5">
      <c r="A1492" s="1693">
        <f t="shared" si="2051"/>
        <v>1475</v>
      </c>
      <c r="B1492" s="616">
        <v>1</v>
      </c>
      <c r="C1492" s="1693">
        <f t="shared" si="2103"/>
        <v>1492</v>
      </c>
      <c r="D1492" s="616">
        <v>1</v>
      </c>
      <c r="F1492" s="69"/>
      <c r="G1492"/>
      <c r="H1492" s="1050"/>
      <c r="I1492" s="1051"/>
      <c r="J1492" s="750"/>
      <c r="K1492" s="1055" t="s">
        <v>799</v>
      </c>
      <c r="L1492" s="1055"/>
      <c r="M1492" s="1056"/>
      <c r="N1492" s="213"/>
      <c r="O1492" s="213"/>
      <c r="P1492" s="213"/>
      <c r="Q1492" s="213"/>
      <c r="R1492" s="1848" t="str">
        <f>CHOOSE(2, "6722000004393", "RF (1) Office Net Sales HW")</f>
        <v>RF (1) Office Net Sales HW</v>
      </c>
      <c r="S1492" s="1447">
        <f>SUM(S1493:S1494)</f>
        <v>164832</v>
      </c>
      <c r="T1492" s="1447">
        <f t="shared" ref="T1492:AD1492" si="2116">SUM(T1493:T1494)</f>
        <v>203516.09668000002</v>
      </c>
      <c r="U1492" s="1447">
        <f t="shared" si="2116"/>
        <v>223907.18607999998</v>
      </c>
      <c r="V1492" s="1447">
        <f t="shared" si="2116"/>
        <v>174736.71161000003</v>
      </c>
      <c r="W1492" s="1447">
        <f t="shared" si="2116"/>
        <v>189715.95994</v>
      </c>
      <c r="X1492" s="1447">
        <f t="shared" si="2116"/>
        <v>246073.7984</v>
      </c>
      <c r="Y1492" s="1447">
        <f t="shared" si="2116"/>
        <v>147995.62100000001</v>
      </c>
      <c r="Z1492" s="1447">
        <f t="shared" si="2116"/>
        <v>173836.37663999997</v>
      </c>
      <c r="AA1492" s="1447">
        <f t="shared" si="2116"/>
        <v>203736.56680999999</v>
      </c>
      <c r="AB1492" s="1447">
        <f t="shared" si="2116"/>
        <v>193370.45759000001</v>
      </c>
      <c r="AC1492" s="1447">
        <f t="shared" si="2116"/>
        <v>197254.29931999999</v>
      </c>
      <c r="AD1492" s="1447">
        <f t="shared" si="2116"/>
        <v>227812.79194999998</v>
      </c>
      <c r="AE1492" s="1447">
        <f t="shared" si="2109"/>
        <v>592255.28275999997</v>
      </c>
      <c r="AF1492" s="1447">
        <f t="shared" si="2110"/>
        <v>610526.46995000006</v>
      </c>
      <c r="AG1492" s="1447">
        <f t="shared" si="2111"/>
        <v>525568.56444999995</v>
      </c>
      <c r="AH1492" s="1447">
        <f t="shared" si="2112"/>
        <v>618437.54885999998</v>
      </c>
      <c r="AI1492" s="1447">
        <f t="shared" si="2113"/>
        <v>1202781.7527100001</v>
      </c>
      <c r="AJ1492" s="1447">
        <f t="shared" si="2114"/>
        <v>1144006.1133099999</v>
      </c>
      <c r="AK1492" s="1447">
        <f t="shared" si="2115"/>
        <v>2346787.8660200001</v>
      </c>
    </row>
    <row r="1493" spans="1:37" ht="14.5">
      <c r="A1493" s="1693">
        <f t="shared" si="2051"/>
        <v>1476</v>
      </c>
      <c r="B1493" s="616">
        <v>1</v>
      </c>
      <c r="C1493" s="1693">
        <f t="shared" si="2103"/>
        <v>1493</v>
      </c>
      <c r="D1493" s="616">
        <v>1</v>
      </c>
      <c r="F1493" s="69"/>
      <c r="G1493"/>
      <c r="H1493" s="1050"/>
      <c r="I1493" s="1051"/>
      <c r="J1493" s="750"/>
      <c r="K1493" s="749"/>
      <c r="L1493" s="749" t="s">
        <v>120</v>
      </c>
      <c r="R1493" s="1777" t="str">
        <f>CHOOSE(2, "6722000004394", "RF (1) Office Net Sales HW Direct")</f>
        <v>RF (1) Office Net Sales HW Direct</v>
      </c>
      <c r="S1493" s="1226">
        <f t="shared" ref="S1493:AD1493" si="2117">S462</f>
        <v>29590</v>
      </c>
      <c r="T1493" s="1226">
        <f t="shared" si="2117"/>
        <v>39583.173999999999</v>
      </c>
      <c r="U1493" s="1226">
        <f t="shared" si="2117"/>
        <v>38832.873079999998</v>
      </c>
      <c r="V1493" s="1226">
        <f t="shared" si="2117"/>
        <v>29442.046000000002</v>
      </c>
      <c r="W1493" s="1226">
        <f t="shared" si="2117"/>
        <v>28197.25</v>
      </c>
      <c r="X1493" s="1226">
        <f t="shared" si="2117"/>
        <v>35685.215000000004</v>
      </c>
      <c r="Y1493" s="1226">
        <f t="shared" si="2117"/>
        <v>37560.373</v>
      </c>
      <c r="Z1493" s="1226">
        <f t="shared" si="2117"/>
        <v>36095.723999999995</v>
      </c>
      <c r="AA1493" s="1226">
        <f t="shared" si="2117"/>
        <v>34232.364999999998</v>
      </c>
      <c r="AB1493" s="1226">
        <f t="shared" si="2117"/>
        <v>37343.539999999994</v>
      </c>
      <c r="AC1493" s="1226">
        <f t="shared" si="2117"/>
        <v>35948.231999999996</v>
      </c>
      <c r="AD1493" s="1226">
        <f t="shared" si="2117"/>
        <v>49613.95018</v>
      </c>
      <c r="AE1493" s="1226">
        <f t="shared" si="2109"/>
        <v>108006.04707999999</v>
      </c>
      <c r="AF1493" s="1226">
        <f t="shared" si="2110"/>
        <v>93324.510999999999</v>
      </c>
      <c r="AG1493" s="1226">
        <f t="shared" si="2111"/>
        <v>107888.462</v>
      </c>
      <c r="AH1493" s="1226">
        <f t="shared" si="2112"/>
        <v>122905.72218</v>
      </c>
      <c r="AI1493" s="1226">
        <f t="shared" si="2113"/>
        <v>201330.55807999999</v>
      </c>
      <c r="AJ1493" s="1226">
        <f t="shared" si="2114"/>
        <v>230794.18417999998</v>
      </c>
      <c r="AK1493" s="1226">
        <f t="shared" si="2115"/>
        <v>432124.74225999997</v>
      </c>
    </row>
    <row r="1494" spans="1:37" ht="14.5">
      <c r="A1494" s="1693">
        <f t="shared" si="2051"/>
        <v>1477</v>
      </c>
      <c r="B1494" s="616">
        <v>1</v>
      </c>
      <c r="C1494" s="1693">
        <f t="shared" si="2103"/>
        <v>1494</v>
      </c>
      <c r="D1494" s="616">
        <v>1</v>
      </c>
      <c r="F1494" s="69"/>
      <c r="G1494"/>
      <c r="H1494" s="1050"/>
      <c r="I1494" s="1051"/>
      <c r="J1494" s="750"/>
      <c r="K1494" s="749"/>
      <c r="L1494" s="749" t="s">
        <v>129</v>
      </c>
      <c r="R1494" s="1777" t="str">
        <f>CHOOSE(2, "6722000004395", "RF (1) Office Net Sales HW Indirect")</f>
        <v>RF (1) Office Net Sales HW Indirect</v>
      </c>
      <c r="S1494" s="1226">
        <f t="shared" ref="S1494:AD1494" si="2118">S478</f>
        <v>135242</v>
      </c>
      <c r="T1494" s="1226">
        <f t="shared" si="2118"/>
        <v>163932.92268000002</v>
      </c>
      <c r="U1494" s="1226">
        <f t="shared" si="2118"/>
        <v>185074.31299999999</v>
      </c>
      <c r="V1494" s="1226">
        <f t="shared" si="2118"/>
        <v>145294.66561000003</v>
      </c>
      <c r="W1494" s="1226">
        <f t="shared" si="2118"/>
        <v>161518.70994</v>
      </c>
      <c r="X1494" s="1226">
        <f t="shared" si="2118"/>
        <v>210388.5834</v>
      </c>
      <c r="Y1494" s="1226">
        <f t="shared" si="2118"/>
        <v>110435.24800000001</v>
      </c>
      <c r="Z1494" s="1226">
        <f t="shared" si="2118"/>
        <v>137740.65263999999</v>
      </c>
      <c r="AA1494" s="1226">
        <f t="shared" si="2118"/>
        <v>169504.20181</v>
      </c>
      <c r="AB1494" s="1226">
        <f t="shared" si="2118"/>
        <v>156026.91759</v>
      </c>
      <c r="AC1494" s="1226">
        <f t="shared" si="2118"/>
        <v>161306.06732</v>
      </c>
      <c r="AD1494" s="1226">
        <f t="shared" si="2118"/>
        <v>178198.84177</v>
      </c>
      <c r="AE1494" s="1226">
        <f t="shared" si="2109"/>
        <v>484249.23568000004</v>
      </c>
      <c r="AF1494" s="1226">
        <f t="shared" si="2110"/>
        <v>517201.95895</v>
      </c>
      <c r="AG1494" s="1226">
        <f t="shared" si="2111"/>
        <v>417680.10245000001</v>
      </c>
      <c r="AH1494" s="1226">
        <f t="shared" si="2112"/>
        <v>495531.82668</v>
      </c>
      <c r="AI1494" s="1226">
        <f t="shared" si="2113"/>
        <v>1001451.19463</v>
      </c>
      <c r="AJ1494" s="1226">
        <f t="shared" si="2114"/>
        <v>913211.92913000006</v>
      </c>
      <c r="AK1494" s="1226">
        <f t="shared" si="2115"/>
        <v>1914663.1237600001</v>
      </c>
    </row>
    <row r="1495" spans="1:37" ht="14.5">
      <c r="A1495" s="1693">
        <f t="shared" si="2051"/>
        <v>1478</v>
      </c>
      <c r="B1495" s="616">
        <v>1</v>
      </c>
      <c r="C1495" s="1693">
        <f t="shared" si="2103"/>
        <v>1495</v>
      </c>
      <c r="D1495" s="616">
        <v>1</v>
      </c>
      <c r="F1495" s="69"/>
      <c r="G1495"/>
      <c r="H1495" s="1050"/>
      <c r="I1495" s="1051"/>
      <c r="J1495" s="750"/>
      <c r="K1495" s="1055" t="s">
        <v>800</v>
      </c>
      <c r="L1495" s="1055"/>
      <c r="M1495" s="1056"/>
      <c r="N1495" s="213"/>
      <c r="O1495" s="213"/>
      <c r="P1495" s="213"/>
      <c r="Q1495" s="213"/>
      <c r="R1495" s="1848" t="str">
        <f>CHOOSE(2, "6722000004396", "RF (1) Office Net Sales NH")</f>
        <v>RF (1) Office Net Sales NH</v>
      </c>
      <c r="S1495" s="1447">
        <f>SUM(S1496:S1497)</f>
        <v>114337</v>
      </c>
      <c r="T1495" s="1447">
        <f t="shared" ref="T1495:AD1495" si="2119">SUM(T1496:T1497)</f>
        <v>99051.599530000007</v>
      </c>
      <c r="U1495" s="1447">
        <f t="shared" si="2119"/>
        <v>90658.289720000001</v>
      </c>
      <c r="V1495" s="1447">
        <f t="shared" si="2119"/>
        <v>92769.971409999998</v>
      </c>
      <c r="W1495" s="1447">
        <f t="shared" si="2119"/>
        <v>111167.66471000001</v>
      </c>
      <c r="X1495" s="1447">
        <f t="shared" si="2119"/>
        <v>90874.798759999991</v>
      </c>
      <c r="Y1495" s="1447">
        <f t="shared" si="2119"/>
        <v>101705.77107</v>
      </c>
      <c r="Z1495" s="1447">
        <f t="shared" si="2119"/>
        <v>105807.08633999999</v>
      </c>
      <c r="AA1495" s="1447">
        <f t="shared" si="2119"/>
        <v>115428.11193999999</v>
      </c>
      <c r="AB1495" s="1447">
        <f t="shared" si="2119"/>
        <v>109216.80370999999</v>
      </c>
      <c r="AC1495" s="1447">
        <f t="shared" si="2119"/>
        <v>101836.91905</v>
      </c>
      <c r="AD1495" s="1447">
        <f t="shared" si="2119"/>
        <v>100394.54178</v>
      </c>
      <c r="AE1495" s="1447">
        <f t="shared" si="2109"/>
        <v>304046.88925000001</v>
      </c>
      <c r="AF1495" s="1447">
        <f t="shared" si="2110"/>
        <v>294812.43488000002</v>
      </c>
      <c r="AG1495" s="1447">
        <f t="shared" si="2111"/>
        <v>322940.96934999997</v>
      </c>
      <c r="AH1495" s="1447">
        <f t="shared" si="2112"/>
        <v>311448.26454</v>
      </c>
      <c r="AI1495" s="1447">
        <f t="shared" si="2113"/>
        <v>598859.32413000008</v>
      </c>
      <c r="AJ1495" s="1447">
        <f t="shared" si="2114"/>
        <v>634389.23389000003</v>
      </c>
      <c r="AK1495" s="1447">
        <f t="shared" si="2115"/>
        <v>1233248.5580200001</v>
      </c>
    </row>
    <row r="1496" spans="1:37" ht="14.5">
      <c r="A1496" s="1693">
        <f t="shared" si="2051"/>
        <v>1479</v>
      </c>
      <c r="B1496" s="616">
        <v>1</v>
      </c>
      <c r="C1496" s="1693">
        <f t="shared" si="2103"/>
        <v>1496</v>
      </c>
      <c r="D1496" s="616">
        <v>1</v>
      </c>
      <c r="F1496" s="69"/>
      <c r="G1496"/>
      <c r="H1496" s="1050"/>
      <c r="I1496" s="1051"/>
      <c r="J1496" s="750"/>
      <c r="K1496" s="749"/>
      <c r="L1496" s="749" t="s">
        <v>120</v>
      </c>
      <c r="R1496" s="1777" t="str">
        <f>CHOOSE(2, "6722000004397", "RF (1) Office Net Sales NH Direct")</f>
        <v>RF (1) Office Net Sales NH Direct</v>
      </c>
      <c r="S1496" s="1226">
        <f t="shared" ref="S1496:AD1496" si="2120">S467</f>
        <v>35889</v>
      </c>
      <c r="T1496" s="1226">
        <f t="shared" si="2120"/>
        <v>31385.634719999998</v>
      </c>
      <c r="U1496" s="1226">
        <f t="shared" si="2120"/>
        <v>30327.630720000001</v>
      </c>
      <c r="V1496" s="1226">
        <f t="shared" si="2120"/>
        <v>29753.734</v>
      </c>
      <c r="W1496" s="1226">
        <f t="shared" si="2120"/>
        <v>35480.163570000004</v>
      </c>
      <c r="X1496" s="1226">
        <f t="shared" si="2120"/>
        <v>29169.23</v>
      </c>
      <c r="Y1496" s="1226">
        <f t="shared" si="2120"/>
        <v>30653.692320000002</v>
      </c>
      <c r="Z1496" s="1226">
        <f t="shared" si="2120"/>
        <v>31566.691060000001</v>
      </c>
      <c r="AA1496" s="1226">
        <f t="shared" si="2120"/>
        <v>30231.360820000002</v>
      </c>
      <c r="AB1496" s="1226">
        <f t="shared" si="2120"/>
        <v>31946.773860000001</v>
      </c>
      <c r="AC1496" s="1226">
        <f t="shared" si="2120"/>
        <v>35058.999539999997</v>
      </c>
      <c r="AD1496" s="1226">
        <f t="shared" si="2120"/>
        <v>25265.454760000001</v>
      </c>
      <c r="AE1496" s="1226">
        <f t="shared" si="2109"/>
        <v>97602.265440000003</v>
      </c>
      <c r="AF1496" s="1226">
        <f t="shared" si="2110"/>
        <v>94403.127569999997</v>
      </c>
      <c r="AG1496" s="1226">
        <f t="shared" si="2111"/>
        <v>92451.744200000001</v>
      </c>
      <c r="AH1496" s="1226">
        <f t="shared" si="2112"/>
        <v>92271.228159999999</v>
      </c>
      <c r="AI1496" s="1226">
        <f t="shared" si="2113"/>
        <v>192005.39301</v>
      </c>
      <c r="AJ1496" s="1226">
        <f t="shared" si="2114"/>
        <v>184722.97236000001</v>
      </c>
      <c r="AK1496" s="1226">
        <f t="shared" si="2115"/>
        <v>376728.36537000001</v>
      </c>
    </row>
    <row r="1497" spans="1:37" ht="14.5">
      <c r="A1497" s="1693">
        <f t="shared" si="2051"/>
        <v>1480</v>
      </c>
      <c r="B1497" s="616">
        <v>1</v>
      </c>
      <c r="C1497" s="1693">
        <f t="shared" si="2103"/>
        <v>1497</v>
      </c>
      <c r="D1497" s="616">
        <v>1</v>
      </c>
      <c r="F1497" s="69"/>
      <c r="G1497"/>
      <c r="H1497" s="1050"/>
      <c r="I1497" s="1051"/>
      <c r="J1497" s="750"/>
      <c r="K1497" s="749"/>
      <c r="L1497" s="749" t="s">
        <v>129</v>
      </c>
      <c r="R1497" s="1777" t="str">
        <f>CHOOSE(2, "6722000004398", "RF (1) Office Net Sales NH Indirect")</f>
        <v>RF (1) Office Net Sales NH Indirect</v>
      </c>
      <c r="S1497" s="1226">
        <f t="shared" ref="S1497:AD1497" si="2121">S483</f>
        <v>78448</v>
      </c>
      <c r="T1497" s="1226">
        <f t="shared" si="2121"/>
        <v>67665.964810000005</v>
      </c>
      <c r="U1497" s="1226">
        <f t="shared" si="2121"/>
        <v>60330.659</v>
      </c>
      <c r="V1497" s="1226">
        <f t="shared" si="2121"/>
        <v>63016.237409999994</v>
      </c>
      <c r="W1497" s="1226">
        <f t="shared" si="2121"/>
        <v>75687.501140000008</v>
      </c>
      <c r="X1497" s="1226">
        <f t="shared" si="2121"/>
        <v>61705.568759999995</v>
      </c>
      <c r="Y1497" s="1226">
        <f t="shared" si="2121"/>
        <v>71052.078750000001</v>
      </c>
      <c r="Z1497" s="1226">
        <f t="shared" si="2121"/>
        <v>74240.395279999997</v>
      </c>
      <c r="AA1497" s="1226">
        <f t="shared" si="2121"/>
        <v>85196.751119999986</v>
      </c>
      <c r="AB1497" s="1226">
        <f t="shared" si="2121"/>
        <v>77270.029849999992</v>
      </c>
      <c r="AC1497" s="1226">
        <f t="shared" si="2121"/>
        <v>66777.919510000007</v>
      </c>
      <c r="AD1497" s="1226">
        <f t="shared" si="2121"/>
        <v>75129.087019999992</v>
      </c>
      <c r="AE1497" s="1226">
        <f t="shared" si="2109"/>
        <v>206444.62381000002</v>
      </c>
      <c r="AF1497" s="1226">
        <f t="shared" si="2110"/>
        <v>200409.30731</v>
      </c>
      <c r="AG1497" s="1226">
        <f t="shared" si="2111"/>
        <v>230489.22514999995</v>
      </c>
      <c r="AH1497" s="1226">
        <f t="shared" si="2112"/>
        <v>219177.03638000001</v>
      </c>
      <c r="AI1497" s="1226">
        <f t="shared" si="2113"/>
        <v>406853.93112000002</v>
      </c>
      <c r="AJ1497" s="1226">
        <f t="shared" si="2114"/>
        <v>449666.26152999996</v>
      </c>
      <c r="AK1497" s="1226">
        <f t="shared" si="2115"/>
        <v>856520.19264999998</v>
      </c>
    </row>
    <row r="1498" spans="1:37" ht="14.5">
      <c r="A1498" s="1693">
        <f t="shared" si="2051"/>
        <v>1481</v>
      </c>
      <c r="B1498" s="616">
        <v>1</v>
      </c>
      <c r="C1498" s="1693">
        <f t="shared" si="2103"/>
        <v>1498</v>
      </c>
      <c r="D1498" s="616">
        <v>1</v>
      </c>
      <c r="F1498" s="69"/>
      <c r="G1498"/>
      <c r="H1498" s="1050"/>
      <c r="I1498" s="1051"/>
      <c r="J1498" s="750"/>
      <c r="K1498" s="1055" t="s">
        <v>417</v>
      </c>
      <c r="L1498" s="1055"/>
      <c r="M1498" s="1056"/>
      <c r="N1498" s="213"/>
      <c r="O1498" s="213"/>
      <c r="P1498" s="213"/>
      <c r="Q1498" s="213"/>
      <c r="R1498" s="1848" t="str">
        <f>CHOOSE(2, "6722000004399", "RF (1) Office Net Sales Office Solution")</f>
        <v>RF (1) Office Net Sales Office Solution</v>
      </c>
      <c r="S1498" s="1447">
        <f t="shared" ref="S1498:AD1498" si="2122">S143</f>
        <v>3065</v>
      </c>
      <c r="T1498" s="1447">
        <f t="shared" si="2122"/>
        <v>2683.5050000000001</v>
      </c>
      <c r="U1498" s="1447">
        <f t="shared" si="2122"/>
        <v>5116.1489999999994</v>
      </c>
      <c r="V1498" s="1447">
        <f t="shared" si="2122"/>
        <v>2272.982</v>
      </c>
      <c r="W1498" s="1447">
        <f t="shared" si="2122"/>
        <v>3073.2870000000003</v>
      </c>
      <c r="X1498" s="1447">
        <f t="shared" si="2122"/>
        <v>3785.8459999999995</v>
      </c>
      <c r="Y1498" s="1447">
        <f t="shared" si="2122"/>
        <v>1438.2670000000001</v>
      </c>
      <c r="Z1498" s="1447">
        <f t="shared" si="2122"/>
        <v>3162.6769999999997</v>
      </c>
      <c r="AA1498" s="1447">
        <f t="shared" si="2122"/>
        <v>3213.6220000000003</v>
      </c>
      <c r="AB1498" s="1447">
        <f t="shared" si="2122"/>
        <v>5874.3530000000001</v>
      </c>
      <c r="AC1498" s="1447">
        <f t="shared" si="2122"/>
        <v>2494.6910000000003</v>
      </c>
      <c r="AD1498" s="1447">
        <f t="shared" si="2122"/>
        <v>2863.9180000000001</v>
      </c>
      <c r="AE1498" s="1447">
        <f t="shared" si="2109"/>
        <v>10864.653999999999</v>
      </c>
      <c r="AF1498" s="1447">
        <f t="shared" si="2110"/>
        <v>9132.1149999999998</v>
      </c>
      <c r="AG1498" s="1447">
        <f t="shared" si="2111"/>
        <v>7814.5659999999998</v>
      </c>
      <c r="AH1498" s="1447">
        <f t="shared" si="2112"/>
        <v>11232.962</v>
      </c>
      <c r="AI1498" s="1447">
        <f t="shared" si="2113"/>
        <v>19996.769</v>
      </c>
      <c r="AJ1498" s="1447">
        <f t="shared" si="2114"/>
        <v>19047.527999999998</v>
      </c>
      <c r="AK1498" s="1447">
        <f t="shared" si="2115"/>
        <v>39044.296999999999</v>
      </c>
    </row>
    <row r="1499" spans="1:37" ht="14.5">
      <c r="A1499" s="1693">
        <f t="shared" si="2051"/>
        <v>1482</v>
      </c>
      <c r="B1499" s="616">
        <v>1</v>
      </c>
      <c r="C1499" s="1693">
        <f t="shared" si="2103"/>
        <v>1499</v>
      </c>
      <c r="D1499" s="616">
        <v>1</v>
      </c>
      <c r="F1499" s="69"/>
      <c r="G1499"/>
      <c r="H1499" s="1050"/>
      <c r="I1499" s="1051"/>
      <c r="J1499" s="750"/>
      <c r="K1499" s="1055" t="s">
        <v>51</v>
      </c>
      <c r="L1499" s="1055"/>
      <c r="M1499" s="1056"/>
      <c r="N1499" s="213"/>
      <c r="O1499" s="213"/>
      <c r="P1499" s="213"/>
      <c r="Q1499" s="213"/>
      <c r="R1499" s="1848" t="str">
        <f>CHOOSE(2, "6722000004400", "RF (1) Office Net Sales Others")</f>
        <v>RF (1) Office Net Sales Others</v>
      </c>
      <c r="S1499" s="1447">
        <f t="shared" ref="S1499:AD1499" si="2123">SUM(S476,S492)</f>
        <v>0</v>
      </c>
      <c r="T1499" s="1447">
        <f t="shared" si="2123"/>
        <v>0</v>
      </c>
      <c r="U1499" s="1447">
        <f t="shared" si="2123"/>
        <v>0</v>
      </c>
      <c r="V1499" s="1447">
        <f t="shared" si="2123"/>
        <v>0</v>
      </c>
      <c r="W1499" s="1447">
        <f t="shared" si="2123"/>
        <v>0</v>
      </c>
      <c r="X1499" s="1447">
        <f t="shared" si="2123"/>
        <v>0</v>
      </c>
      <c r="Y1499" s="1447">
        <f t="shared" si="2123"/>
        <v>0</v>
      </c>
      <c r="Z1499" s="1447">
        <f t="shared" si="2123"/>
        <v>0</v>
      </c>
      <c r="AA1499" s="1447">
        <f t="shared" si="2123"/>
        <v>0</v>
      </c>
      <c r="AB1499" s="1447">
        <f t="shared" si="2123"/>
        <v>0</v>
      </c>
      <c r="AC1499" s="1447">
        <f t="shared" si="2123"/>
        <v>0</v>
      </c>
      <c r="AD1499" s="1447">
        <f t="shared" si="2123"/>
        <v>0</v>
      </c>
      <c r="AE1499" s="1447">
        <f t="shared" si="2109"/>
        <v>0</v>
      </c>
      <c r="AF1499" s="1447">
        <f t="shared" si="2110"/>
        <v>0</v>
      </c>
      <c r="AG1499" s="1447">
        <f t="shared" si="2111"/>
        <v>0</v>
      </c>
      <c r="AH1499" s="1447">
        <f t="shared" si="2112"/>
        <v>0</v>
      </c>
      <c r="AI1499" s="1447">
        <f t="shared" si="2113"/>
        <v>0</v>
      </c>
      <c r="AJ1499" s="1447">
        <f t="shared" si="2114"/>
        <v>0</v>
      </c>
      <c r="AK1499" s="1447">
        <f t="shared" si="2115"/>
        <v>0</v>
      </c>
    </row>
    <row r="1500" spans="1:37" ht="14.5">
      <c r="A1500" s="1693">
        <f t="shared" si="2051"/>
        <v>1483</v>
      </c>
      <c r="B1500" s="616">
        <v>1</v>
      </c>
      <c r="C1500" s="1693">
        <f t="shared" si="2103"/>
        <v>1500</v>
      </c>
      <c r="D1500" s="616">
        <v>1</v>
      </c>
      <c r="F1500" s="69"/>
      <c r="G1500"/>
      <c r="H1500" s="1050"/>
      <c r="I1500" s="1051"/>
      <c r="J1500" s="747" t="s">
        <v>801</v>
      </c>
      <c r="K1500" s="748"/>
      <c r="L1500" s="748"/>
      <c r="M1500" s="1052"/>
      <c r="N1500" s="1053"/>
      <c r="O1500" s="1053"/>
      <c r="P1500" s="1053"/>
      <c r="Q1500" s="1053"/>
      <c r="R1500" s="1846" t="str">
        <f>CHOOSE(2, "6722000004401", "RF (1) Office Variable cost")</f>
        <v>RF (1) Office Variable cost</v>
      </c>
      <c r="S1500" s="1446">
        <f>SUM(S1501,S1504,S1507,S1508)</f>
        <v>209577.66390234523</v>
      </c>
      <c r="T1500" s="1446">
        <f t="shared" ref="T1500:AD1500" si="2124">SUM(T1501,T1504,T1507,T1508)</f>
        <v>223356.46187335832</v>
      </c>
      <c r="U1500" s="1446">
        <f t="shared" si="2124"/>
        <v>250234.16914840078</v>
      </c>
      <c r="V1500" s="1446">
        <f t="shared" si="2124"/>
        <v>198978.23562760622</v>
      </c>
      <c r="W1500" s="1446">
        <f t="shared" si="2124"/>
        <v>228014.15931644017</v>
      </c>
      <c r="X1500" s="1446">
        <f t="shared" si="2124"/>
        <v>262528.70076580392</v>
      </c>
      <c r="Y1500" s="1446">
        <f t="shared" si="2124"/>
        <v>191403.62251884586</v>
      </c>
      <c r="Z1500" s="1446">
        <f t="shared" si="2124"/>
        <v>193842.28821202699</v>
      </c>
      <c r="AA1500" s="1446">
        <f t="shared" si="2124"/>
        <v>239433.30374971963</v>
      </c>
      <c r="AB1500" s="1446">
        <f t="shared" si="2124"/>
        <v>214486.44847278958</v>
      </c>
      <c r="AC1500" s="1446">
        <f t="shared" si="2124"/>
        <v>213048.47900357796</v>
      </c>
      <c r="AD1500" s="1446">
        <f t="shared" si="2124"/>
        <v>272846.74680026283</v>
      </c>
      <c r="AE1500" s="1054">
        <f t="shared" si="2109"/>
        <v>683168.29492410435</v>
      </c>
      <c r="AF1500" s="1054">
        <f t="shared" si="2110"/>
        <v>689521.09570985031</v>
      </c>
      <c r="AG1500" s="1054">
        <f t="shared" si="2111"/>
        <v>624679.21448059252</v>
      </c>
      <c r="AH1500" s="1054">
        <f t="shared" si="2112"/>
        <v>700381.67427663039</v>
      </c>
      <c r="AI1500" s="1054">
        <f t="shared" si="2113"/>
        <v>1372689.3906339547</v>
      </c>
      <c r="AJ1500" s="1054">
        <f t="shared" si="2114"/>
        <v>1325060.8887572228</v>
      </c>
      <c r="AK1500" s="1054">
        <f t="shared" si="2115"/>
        <v>2697750.2793911775</v>
      </c>
    </row>
    <row r="1501" spans="1:37" ht="14.5">
      <c r="A1501" s="1693">
        <f t="shared" si="2051"/>
        <v>1484</v>
      </c>
      <c r="B1501" s="616">
        <v>1</v>
      </c>
      <c r="C1501" s="1693">
        <f t="shared" si="2103"/>
        <v>1501</v>
      </c>
      <c r="D1501" s="616">
        <v>1</v>
      </c>
      <c r="F1501" s="69"/>
      <c r="G1501"/>
      <c r="H1501" s="1050"/>
      <c r="I1501" s="1051"/>
      <c r="J1501" s="750"/>
      <c r="K1501" s="1055" t="s">
        <v>799</v>
      </c>
      <c r="L1501" s="1055"/>
      <c r="M1501" s="1056"/>
      <c r="N1501" s="213"/>
      <c r="O1501" s="213"/>
      <c r="P1501" s="213"/>
      <c r="Q1501" s="213"/>
      <c r="R1501" s="1848" t="str">
        <f>CHOOSE(2, "6722000004402", "RF (1) Office Variable cost HW")</f>
        <v>RF (1) Office Variable cost HW</v>
      </c>
      <c r="S1501" s="1447">
        <f>SUM(S1502:S1503)</f>
        <v>116163</v>
      </c>
      <c r="T1501" s="1447">
        <f t="shared" ref="T1501:AD1501" si="2125">SUM(T1502:T1503)</f>
        <v>158018.87351999999</v>
      </c>
      <c r="U1501" s="1447">
        <f t="shared" si="2125"/>
        <v>168964.38487958335</v>
      </c>
      <c r="V1501" s="1447">
        <f t="shared" si="2125"/>
        <v>126129.02983958332</v>
      </c>
      <c r="W1501" s="1447">
        <f t="shared" si="2125"/>
        <v>140252.90319291476</v>
      </c>
      <c r="X1501" s="1447">
        <f t="shared" si="2125"/>
        <v>172826.14751958349</v>
      </c>
      <c r="Y1501" s="1447">
        <f t="shared" si="2125"/>
        <v>100373.78612458322</v>
      </c>
      <c r="Z1501" s="1447">
        <f t="shared" si="2125"/>
        <v>119104.41033458343</v>
      </c>
      <c r="AA1501" s="1447">
        <f t="shared" si="2125"/>
        <v>142457.78976333333</v>
      </c>
      <c r="AB1501" s="1447">
        <f t="shared" si="2125"/>
        <v>143068.90600333331</v>
      </c>
      <c r="AC1501" s="1447">
        <f t="shared" si="2125"/>
        <v>131629.37642928946</v>
      </c>
      <c r="AD1501" s="1447">
        <f t="shared" si="2125"/>
        <v>178895.86385333334</v>
      </c>
      <c r="AE1501" s="1447">
        <f t="shared" si="2109"/>
        <v>443146.2583995834</v>
      </c>
      <c r="AF1501" s="1447">
        <f t="shared" si="2110"/>
        <v>439208.08055208158</v>
      </c>
      <c r="AG1501" s="1447">
        <f t="shared" si="2111"/>
        <v>361935.98622249998</v>
      </c>
      <c r="AH1501" s="1447">
        <f t="shared" si="2112"/>
        <v>453594.14628595609</v>
      </c>
      <c r="AI1501" s="1447">
        <f t="shared" si="2113"/>
        <v>882354.33895166498</v>
      </c>
      <c r="AJ1501" s="1447">
        <f t="shared" si="2114"/>
        <v>815530.13250845601</v>
      </c>
      <c r="AK1501" s="1447">
        <f t="shared" si="2115"/>
        <v>1697884.471460121</v>
      </c>
    </row>
    <row r="1502" spans="1:37" ht="14.5">
      <c r="A1502" s="1693">
        <f t="shared" si="2051"/>
        <v>1485</v>
      </c>
      <c r="B1502" s="616">
        <v>1</v>
      </c>
      <c r="C1502" s="1693">
        <f t="shared" si="2103"/>
        <v>1502</v>
      </c>
      <c r="D1502" s="616">
        <v>1</v>
      </c>
      <c r="F1502" s="69"/>
      <c r="G1502"/>
      <c r="H1502" s="1050"/>
      <c r="I1502" s="1051"/>
      <c r="J1502" s="750"/>
      <c r="K1502" s="749"/>
      <c r="L1502" s="749" t="s">
        <v>120</v>
      </c>
      <c r="R1502" s="1777" t="str">
        <f>CHOOSE(2, "6722000004403", "RF (1) Office Variable cost HW Direct")</f>
        <v>RF (1) Office Variable cost HW Direct</v>
      </c>
      <c r="S1502" s="1226">
        <f t="shared" ref="S1502:AD1502" si="2126">S462-S495</f>
        <v>13804</v>
      </c>
      <c r="T1502" s="1226">
        <f t="shared" si="2126"/>
        <v>20221.319169999999</v>
      </c>
      <c r="U1502" s="1226">
        <f t="shared" si="2126"/>
        <v>20359.719636001235</v>
      </c>
      <c r="V1502" s="1226">
        <f t="shared" si="2126"/>
        <v>15517.97594604255</v>
      </c>
      <c r="W1502" s="1226">
        <f t="shared" si="2126"/>
        <v>14887.55998</v>
      </c>
      <c r="X1502" s="1226">
        <f t="shared" si="2126"/>
        <v>16880.759096758935</v>
      </c>
      <c r="Y1502" s="1226">
        <f t="shared" si="2126"/>
        <v>19243.145654457159</v>
      </c>
      <c r="Z1502" s="1226">
        <f t="shared" si="2126"/>
        <v>17046.50408084935</v>
      </c>
      <c r="AA1502" s="1226">
        <f t="shared" si="2126"/>
        <v>17762.858937216322</v>
      </c>
      <c r="AB1502" s="1226">
        <f t="shared" si="2126"/>
        <v>29697.016447936952</v>
      </c>
      <c r="AC1502" s="1226">
        <f t="shared" si="2126"/>
        <v>8053.2226831667504</v>
      </c>
      <c r="AD1502" s="1226">
        <f t="shared" si="2126"/>
        <v>47421.684596333405</v>
      </c>
      <c r="AE1502" s="1226">
        <f t="shared" si="2109"/>
        <v>54385.038806001234</v>
      </c>
      <c r="AF1502" s="1226">
        <f t="shared" si="2110"/>
        <v>47286.295022801482</v>
      </c>
      <c r="AG1502" s="1226">
        <f t="shared" si="2111"/>
        <v>54052.508672522832</v>
      </c>
      <c r="AH1502" s="1226">
        <f t="shared" si="2112"/>
        <v>85171.923727437112</v>
      </c>
      <c r="AI1502" s="1226">
        <f t="shared" si="2113"/>
        <v>101671.33382880272</v>
      </c>
      <c r="AJ1502" s="1226">
        <f t="shared" si="2114"/>
        <v>139224.43239995994</v>
      </c>
      <c r="AK1502" s="1226">
        <f t="shared" si="2115"/>
        <v>240895.76622876266</v>
      </c>
    </row>
    <row r="1503" spans="1:37" ht="14.5">
      <c r="A1503" s="1693">
        <f t="shared" si="2051"/>
        <v>1486</v>
      </c>
      <c r="B1503" s="616">
        <v>1</v>
      </c>
      <c r="C1503" s="1693">
        <f t="shared" si="2103"/>
        <v>1503</v>
      </c>
      <c r="D1503" s="616">
        <v>1</v>
      </c>
      <c r="F1503" s="69"/>
      <c r="G1503"/>
      <c r="H1503" s="1050"/>
      <c r="I1503" s="1051"/>
      <c r="J1503" s="750"/>
      <c r="K1503" s="749"/>
      <c r="L1503" s="749" t="s">
        <v>129</v>
      </c>
      <c r="R1503" s="1777" t="str">
        <f>CHOOSE(2, "6722000004404", "RF (1) Office Variable cost HW Indirect")</f>
        <v>RF (1) Office Variable cost HW Indirect</v>
      </c>
      <c r="S1503" s="1226">
        <f t="shared" ref="S1503:AD1503" si="2127">S478-S519</f>
        <v>102359</v>
      </c>
      <c r="T1503" s="1226">
        <f t="shared" si="2127"/>
        <v>137797.55434999999</v>
      </c>
      <c r="U1503" s="1226">
        <f t="shared" si="2127"/>
        <v>148604.6652435821</v>
      </c>
      <c r="V1503" s="1226">
        <f t="shared" si="2127"/>
        <v>110611.05389354077</v>
      </c>
      <c r="W1503" s="1226">
        <f t="shared" si="2127"/>
        <v>125365.34321291477</v>
      </c>
      <c r="X1503" s="1226">
        <f t="shared" si="2127"/>
        <v>155945.38842282456</v>
      </c>
      <c r="Y1503" s="1226">
        <f t="shared" si="2127"/>
        <v>81130.640470126062</v>
      </c>
      <c r="Z1503" s="1226">
        <f t="shared" si="2127"/>
        <v>102057.90625373408</v>
      </c>
      <c r="AA1503" s="1226">
        <f t="shared" si="2127"/>
        <v>124694.93082611701</v>
      </c>
      <c r="AB1503" s="1226">
        <f t="shared" si="2127"/>
        <v>113371.88955539637</v>
      </c>
      <c r="AC1503" s="1226">
        <f t="shared" si="2127"/>
        <v>123576.15374612271</v>
      </c>
      <c r="AD1503" s="1226">
        <f t="shared" si="2127"/>
        <v>131474.17925699992</v>
      </c>
      <c r="AE1503" s="1226">
        <f t="shared" si="2109"/>
        <v>388761.21959358209</v>
      </c>
      <c r="AF1503" s="1226">
        <f t="shared" si="2110"/>
        <v>391921.78552928008</v>
      </c>
      <c r="AG1503" s="1226">
        <f t="shared" si="2111"/>
        <v>307883.47754997713</v>
      </c>
      <c r="AH1503" s="1226">
        <f t="shared" si="2112"/>
        <v>368422.22255851899</v>
      </c>
      <c r="AI1503" s="1226">
        <f t="shared" si="2113"/>
        <v>780683.00512286217</v>
      </c>
      <c r="AJ1503" s="1226">
        <f t="shared" si="2114"/>
        <v>676305.70010849612</v>
      </c>
      <c r="AK1503" s="1226">
        <f t="shared" si="2115"/>
        <v>1456988.7052313583</v>
      </c>
    </row>
    <row r="1504" spans="1:37" ht="14.5">
      <c r="A1504" s="1693">
        <f t="shared" si="2051"/>
        <v>1487</v>
      </c>
      <c r="B1504" s="616">
        <v>1</v>
      </c>
      <c r="C1504" s="1693">
        <f t="shared" si="2103"/>
        <v>1504</v>
      </c>
      <c r="D1504" s="616">
        <v>1</v>
      </c>
      <c r="F1504" s="69"/>
      <c r="G1504"/>
      <c r="H1504" s="1050"/>
      <c r="I1504" s="1051"/>
      <c r="J1504" s="750"/>
      <c r="K1504" s="1055" t="s">
        <v>800</v>
      </c>
      <c r="L1504" s="1055"/>
      <c r="M1504" s="1056"/>
      <c r="N1504" s="213"/>
      <c r="O1504" s="213"/>
      <c r="P1504" s="213"/>
      <c r="Q1504" s="213"/>
      <c r="R1504" s="1848" t="str">
        <f>CHOOSE(2, "6722000004405", "RF (1) Office Variable cost NH")</f>
        <v>RF (1) Office Variable cost NH</v>
      </c>
      <c r="S1504" s="1447">
        <f>SUM(S1505:S1506)</f>
        <v>54163</v>
      </c>
      <c r="T1504" s="1447">
        <f t="shared" ref="T1504:AD1504" si="2128">SUM(T1505:T1506)</f>
        <v>50678.108350000017</v>
      </c>
      <c r="U1504" s="1447">
        <f t="shared" si="2128"/>
        <v>42992.419361250038</v>
      </c>
      <c r="V1504" s="1447">
        <f t="shared" si="2128"/>
        <v>46144.640713350876</v>
      </c>
      <c r="W1504" s="1447">
        <f t="shared" si="2128"/>
        <v>52381.914455890139</v>
      </c>
      <c r="X1504" s="1447">
        <f t="shared" si="2128"/>
        <v>45081.322056250006</v>
      </c>
      <c r="Y1504" s="1447">
        <f t="shared" si="2128"/>
        <v>47844.047682083336</v>
      </c>
      <c r="Z1504" s="1447">
        <f t="shared" si="2128"/>
        <v>50794.284082083337</v>
      </c>
      <c r="AA1504" s="1447">
        <f t="shared" si="2128"/>
        <v>55393.216683021288</v>
      </c>
      <c r="AB1504" s="1447">
        <f t="shared" si="2128"/>
        <v>52809.877163749989</v>
      </c>
      <c r="AC1504" s="1447">
        <f t="shared" si="2128"/>
        <v>54060.60017050735</v>
      </c>
      <c r="AD1504" s="1447">
        <f t="shared" si="2128"/>
        <v>48277.472118749982</v>
      </c>
      <c r="AE1504" s="1447">
        <f t="shared" si="2109"/>
        <v>147833.52771125006</v>
      </c>
      <c r="AF1504" s="1447">
        <f t="shared" si="2110"/>
        <v>143607.87722549101</v>
      </c>
      <c r="AG1504" s="1447">
        <f t="shared" si="2111"/>
        <v>154031.54844718796</v>
      </c>
      <c r="AH1504" s="1447">
        <f t="shared" si="2112"/>
        <v>155147.94945300731</v>
      </c>
      <c r="AI1504" s="1447">
        <f t="shared" si="2113"/>
        <v>291441.40493674111</v>
      </c>
      <c r="AJ1504" s="1447">
        <f t="shared" si="2114"/>
        <v>309179.4979001953</v>
      </c>
      <c r="AK1504" s="1447">
        <f t="shared" si="2115"/>
        <v>600620.90283693641</v>
      </c>
    </row>
    <row r="1505" spans="1:37" ht="14.5">
      <c r="A1505" s="1693">
        <f t="shared" si="2051"/>
        <v>1488</v>
      </c>
      <c r="B1505" s="616">
        <v>1</v>
      </c>
      <c r="C1505" s="1693">
        <f t="shared" si="2103"/>
        <v>1505</v>
      </c>
      <c r="D1505" s="616">
        <v>1</v>
      </c>
      <c r="F1505" s="69"/>
      <c r="G1505"/>
      <c r="H1505" s="1050"/>
      <c r="I1505" s="1051"/>
      <c r="J1505" s="750"/>
      <c r="K1505" s="749"/>
      <c r="L1505" s="749" t="s">
        <v>120</v>
      </c>
      <c r="R1505" s="1777" t="str">
        <f>CHOOSE(2, "6722000004406", "RF (1) Office Variable cost NH Direct")</f>
        <v>RF (1) Office Variable cost NH Direct</v>
      </c>
      <c r="S1505" s="1226">
        <f t="shared" ref="S1505:AD1505" si="2129">S1496-S500+(S509+S513+S516)</f>
        <v>8806</v>
      </c>
      <c r="T1505" s="1226">
        <f t="shared" si="2129"/>
        <v>7835.1146600000011</v>
      </c>
      <c r="U1505" s="1226">
        <f t="shared" si="2129"/>
        <v>6889.8287346571014</v>
      </c>
      <c r="V1505" s="1226">
        <f t="shared" si="2129"/>
        <v>8352.3323000000019</v>
      </c>
      <c r="W1505" s="1226">
        <f t="shared" si="2129"/>
        <v>7233.7782309253016</v>
      </c>
      <c r="X1505" s="1226">
        <f t="shared" si="2129"/>
        <v>6963.9766276653718</v>
      </c>
      <c r="Y1505" s="1226">
        <f t="shared" si="2129"/>
        <v>6820.5479785866437</v>
      </c>
      <c r="Z1505" s="1226">
        <f t="shared" si="2129"/>
        <v>7133.3043207526498</v>
      </c>
      <c r="AA1505" s="1226">
        <f t="shared" si="2129"/>
        <v>7614.6875993464037</v>
      </c>
      <c r="AB1505" s="1226">
        <f t="shared" si="2129"/>
        <v>7948.0255688227007</v>
      </c>
      <c r="AC1505" s="1226">
        <f t="shared" si="2129"/>
        <v>8677.3483866368406</v>
      </c>
      <c r="AD1505" s="1226">
        <f t="shared" si="2129"/>
        <v>7285.5522398856965</v>
      </c>
      <c r="AE1505" s="1226">
        <f t="shared" si="2109"/>
        <v>23530.943394657101</v>
      </c>
      <c r="AF1505" s="1226">
        <f t="shared" si="2110"/>
        <v>22550.087158590675</v>
      </c>
      <c r="AG1505" s="1226">
        <f t="shared" si="2111"/>
        <v>21568.539898685696</v>
      </c>
      <c r="AH1505" s="1226">
        <f t="shared" si="2112"/>
        <v>23910.926195345237</v>
      </c>
      <c r="AI1505" s="1226">
        <f t="shared" si="2113"/>
        <v>46081.03055324778</v>
      </c>
      <c r="AJ1505" s="1226">
        <f t="shared" si="2114"/>
        <v>45479.466094030933</v>
      </c>
      <c r="AK1505" s="1226">
        <f t="shared" si="2115"/>
        <v>91560.49664727872</v>
      </c>
    </row>
    <row r="1506" spans="1:37" ht="14.5">
      <c r="A1506" s="1693">
        <f t="shared" si="2051"/>
        <v>1489</v>
      </c>
      <c r="B1506" s="616">
        <v>1</v>
      </c>
      <c r="C1506" s="1693">
        <f t="shared" si="2103"/>
        <v>1506</v>
      </c>
      <c r="D1506" s="616">
        <v>1</v>
      </c>
      <c r="F1506" s="69"/>
      <c r="G1506"/>
      <c r="H1506" s="1050"/>
      <c r="I1506" s="1051"/>
      <c r="J1506" s="750"/>
      <c r="K1506" s="749"/>
      <c r="L1506" s="749" t="s">
        <v>129</v>
      </c>
      <c r="R1506" s="1777" t="str">
        <f>CHOOSE(2, "6722000004407", "RF (1) Office Variable cost NH Indirect")</f>
        <v>RF (1) Office Variable cost NH Indirect</v>
      </c>
      <c r="S1506" s="1226">
        <f t="shared" ref="S1506:AD1506" si="2130">S1497-S524+(S533+S537+S540)</f>
        <v>45357</v>
      </c>
      <c r="T1506" s="1226">
        <f t="shared" si="2130"/>
        <v>42842.993690000018</v>
      </c>
      <c r="U1506" s="1226">
        <f t="shared" si="2130"/>
        <v>36102.590626592937</v>
      </c>
      <c r="V1506" s="1226">
        <f t="shared" si="2130"/>
        <v>37792.308413350875</v>
      </c>
      <c r="W1506" s="1226">
        <f t="shared" si="2130"/>
        <v>45148.136224964837</v>
      </c>
      <c r="X1506" s="1226">
        <f t="shared" si="2130"/>
        <v>38117.345428584638</v>
      </c>
      <c r="Y1506" s="1226">
        <f t="shared" si="2130"/>
        <v>41023.499703496695</v>
      </c>
      <c r="Z1506" s="1226">
        <f t="shared" si="2130"/>
        <v>43660.979761330687</v>
      </c>
      <c r="AA1506" s="1226">
        <f t="shared" si="2130"/>
        <v>47778.529083674883</v>
      </c>
      <c r="AB1506" s="1226">
        <f t="shared" si="2130"/>
        <v>44861.851594927284</v>
      </c>
      <c r="AC1506" s="1226">
        <f t="shared" si="2130"/>
        <v>45383.25178387051</v>
      </c>
      <c r="AD1506" s="1226">
        <f t="shared" si="2130"/>
        <v>40991.919878864283</v>
      </c>
      <c r="AE1506" s="1226">
        <f t="shared" si="2109"/>
        <v>124302.58431659295</v>
      </c>
      <c r="AF1506" s="1226">
        <f t="shared" si="2110"/>
        <v>121057.79006690034</v>
      </c>
      <c r="AG1506" s="1226">
        <f t="shared" si="2111"/>
        <v>132463.00854850226</v>
      </c>
      <c r="AH1506" s="1226">
        <f t="shared" si="2112"/>
        <v>131237.02325766208</v>
      </c>
      <c r="AI1506" s="1226">
        <f t="shared" si="2113"/>
        <v>245360.3743834933</v>
      </c>
      <c r="AJ1506" s="1226">
        <f t="shared" si="2114"/>
        <v>263700.0318061643</v>
      </c>
      <c r="AK1506" s="1226">
        <f t="shared" si="2115"/>
        <v>509060.40618965763</v>
      </c>
    </row>
    <row r="1507" spans="1:37" ht="14.5">
      <c r="A1507" s="1693">
        <f t="shared" si="2051"/>
        <v>1490</v>
      </c>
      <c r="B1507" s="616">
        <v>1</v>
      </c>
      <c r="C1507" s="1693">
        <f t="shared" si="2103"/>
        <v>1507</v>
      </c>
      <c r="D1507" s="616">
        <v>1</v>
      </c>
      <c r="F1507" s="69"/>
      <c r="G1507"/>
      <c r="H1507" s="1050"/>
      <c r="I1507" s="1051"/>
      <c r="J1507" s="750"/>
      <c r="K1507" s="1055" t="s">
        <v>417</v>
      </c>
      <c r="L1507" s="1055"/>
      <c r="M1507" s="1056"/>
      <c r="N1507" s="213"/>
      <c r="O1507" s="213"/>
      <c r="P1507" s="213"/>
      <c r="Q1507" s="213"/>
      <c r="R1507" s="1848" t="str">
        <f>CHOOSE(2, "6722000004408", "RF (1) Office Variable cost Office Solution")</f>
        <v>RF (1) Office Variable cost Office Solution</v>
      </c>
      <c r="S1507" s="1447">
        <f t="shared" ref="S1507:AD1507" si="2131">S143-S145-(S857)</f>
        <v>1458</v>
      </c>
      <c r="T1507" s="1447">
        <f t="shared" si="2131"/>
        <v>765.99150000000009</v>
      </c>
      <c r="U1507" s="1447">
        <f t="shared" si="2131"/>
        <v>1751.5819099999994</v>
      </c>
      <c r="V1507" s="1447">
        <f t="shared" si="2131"/>
        <v>1080.4766599999998</v>
      </c>
      <c r="W1507" s="1447">
        <f t="shared" si="2131"/>
        <v>1192.4685200000004</v>
      </c>
      <c r="X1507" s="1447">
        <f t="shared" si="2131"/>
        <v>1400.9236899999996</v>
      </c>
      <c r="Y1507" s="1447">
        <f t="shared" si="2131"/>
        <v>425.89076999999997</v>
      </c>
      <c r="Z1507" s="1447">
        <f t="shared" si="2131"/>
        <v>818.03876999999966</v>
      </c>
      <c r="AA1507" s="1447">
        <f t="shared" si="2131"/>
        <v>1262.6980000000003</v>
      </c>
      <c r="AB1507" s="1447">
        <f t="shared" si="2131"/>
        <v>2999.4026899999999</v>
      </c>
      <c r="AC1507" s="1447">
        <f t="shared" si="2131"/>
        <v>782.17867000000024</v>
      </c>
      <c r="AD1507" s="1447">
        <f t="shared" si="2131"/>
        <v>628.45555000000013</v>
      </c>
      <c r="AE1507" s="1447">
        <f t="shared" si="2109"/>
        <v>3975.5734099999995</v>
      </c>
      <c r="AF1507" s="1447">
        <f t="shared" si="2110"/>
        <v>3673.8688699999998</v>
      </c>
      <c r="AG1507" s="1447">
        <f t="shared" si="2111"/>
        <v>2506.62754</v>
      </c>
      <c r="AH1507" s="1447">
        <f t="shared" si="2112"/>
        <v>4410.0369100000007</v>
      </c>
      <c r="AI1507" s="1447">
        <f t="shared" si="2113"/>
        <v>7649.4422799999993</v>
      </c>
      <c r="AJ1507" s="1447">
        <f t="shared" si="2114"/>
        <v>6916.6644500000002</v>
      </c>
      <c r="AK1507" s="1447">
        <f t="shared" si="2115"/>
        <v>14566.10673</v>
      </c>
    </row>
    <row r="1508" spans="1:37" ht="14.5">
      <c r="A1508" s="1693">
        <f t="shared" si="2051"/>
        <v>1491</v>
      </c>
      <c r="B1508" s="616">
        <v>1</v>
      </c>
      <c r="C1508" s="1693">
        <f t="shared" si="2103"/>
        <v>1508</v>
      </c>
      <c r="D1508" s="616">
        <v>1</v>
      </c>
      <c r="F1508" s="69"/>
      <c r="G1508"/>
      <c r="H1508" s="1050"/>
      <c r="I1508" s="1051"/>
      <c r="J1508" s="750"/>
      <c r="K1508" s="1055" t="s">
        <v>802</v>
      </c>
      <c r="L1508" s="1055"/>
      <c r="M1508" s="1056"/>
      <c r="N1508" s="213"/>
      <c r="O1508" s="213"/>
      <c r="P1508" s="213"/>
      <c r="Q1508" s="213"/>
      <c r="R1508" s="1848" t="str">
        <f>CHOOSE(2, "6722000004409", "RF (1) Office Variable cost Others (inc. SG&amp;A variable)")</f>
        <v>RF (1) Office Variable cost Others (inc. SG&amp;A variable)</v>
      </c>
      <c r="S1508" s="1447">
        <f t="shared" ref="S1508:AD1508" si="2132">S122+S83</f>
        <v>37793.663902345215</v>
      </c>
      <c r="T1508" s="1447">
        <f t="shared" si="2132"/>
        <v>13893.488503358309</v>
      </c>
      <c r="U1508" s="1447">
        <f t="shared" si="2132"/>
        <v>36525.782997567381</v>
      </c>
      <c r="V1508" s="1447">
        <f t="shared" si="2132"/>
        <v>25624.088414672035</v>
      </c>
      <c r="W1508" s="1447">
        <f t="shared" si="2132"/>
        <v>34186.87314763527</v>
      </c>
      <c r="X1508" s="1447">
        <f t="shared" si="2132"/>
        <v>43220.30749997044</v>
      </c>
      <c r="Y1508" s="1447">
        <f t="shared" si="2132"/>
        <v>42759.897942179319</v>
      </c>
      <c r="Z1508" s="1447">
        <f t="shared" si="2132"/>
        <v>23125.555025360223</v>
      </c>
      <c r="AA1508" s="1447">
        <f t="shared" si="2132"/>
        <v>40319.599303365023</v>
      </c>
      <c r="AB1508" s="1447">
        <f t="shared" si="2132"/>
        <v>15608.262615706293</v>
      </c>
      <c r="AC1508" s="1447">
        <f t="shared" si="2132"/>
        <v>26576.323733781152</v>
      </c>
      <c r="AD1508" s="1447">
        <f t="shared" si="2132"/>
        <v>45044.955278179492</v>
      </c>
      <c r="AE1508" s="1447">
        <f t="shared" si="2109"/>
        <v>88212.935403270909</v>
      </c>
      <c r="AF1508" s="1447">
        <f t="shared" si="2110"/>
        <v>103031.26906227774</v>
      </c>
      <c r="AG1508" s="1447">
        <f t="shared" si="2111"/>
        <v>106205.05227090456</v>
      </c>
      <c r="AH1508" s="1447">
        <f t="shared" si="2112"/>
        <v>87229.541627666942</v>
      </c>
      <c r="AI1508" s="1447">
        <f t="shared" si="2113"/>
        <v>191244.20446554865</v>
      </c>
      <c r="AJ1508" s="1447">
        <f t="shared" si="2114"/>
        <v>193434.5938985715</v>
      </c>
      <c r="AK1508" s="1447">
        <f t="shared" si="2115"/>
        <v>384678.79836412019</v>
      </c>
    </row>
    <row r="1509" spans="1:37" ht="14.5">
      <c r="A1509" s="1693">
        <f t="shared" si="2051"/>
        <v>1492</v>
      </c>
      <c r="B1509" s="616">
        <v>1</v>
      </c>
      <c r="C1509" s="1693">
        <f t="shared" si="2103"/>
        <v>1509</v>
      </c>
      <c r="D1509" s="616">
        <v>1</v>
      </c>
      <c r="F1509" s="69"/>
      <c r="G1509"/>
      <c r="H1509" s="1050"/>
      <c r="I1509" s="1051"/>
      <c r="J1509" s="747" t="s">
        <v>491</v>
      </c>
      <c r="K1509" s="748"/>
      <c r="L1509" s="748"/>
      <c r="M1509" s="1052"/>
      <c r="N1509" s="1053"/>
      <c r="O1509" s="1053"/>
      <c r="P1509" s="1053"/>
      <c r="Q1509" s="1053"/>
      <c r="R1509" s="1846" t="str">
        <f>CHOOSE(2, "6722000004410", "RF (1) Office Marginal Profit")</f>
        <v>RF (1) Office Marginal Profit</v>
      </c>
      <c r="S1509" s="1446">
        <f t="shared" ref="S1509:AD1517" si="2133">S1491-S1500</f>
        <v>72656.33609765477</v>
      </c>
      <c r="T1509" s="1446">
        <f t="shared" si="2133"/>
        <v>81894.739336641709</v>
      </c>
      <c r="U1509" s="1446">
        <f t="shared" si="2133"/>
        <v>69447.455651599215</v>
      </c>
      <c r="V1509" s="1446">
        <f t="shared" si="2133"/>
        <v>70801.429392393795</v>
      </c>
      <c r="W1509" s="1446">
        <f t="shared" si="2133"/>
        <v>75942.752333559853</v>
      </c>
      <c r="X1509" s="1446">
        <f t="shared" si="2133"/>
        <v>78205.742394196102</v>
      </c>
      <c r="Y1509" s="1446">
        <f t="shared" si="2133"/>
        <v>59736.036551154131</v>
      </c>
      <c r="Z1509" s="1446">
        <f t="shared" si="2133"/>
        <v>88963.851767972985</v>
      </c>
      <c r="AA1509" s="1446">
        <f t="shared" si="2133"/>
        <v>82944.997000280302</v>
      </c>
      <c r="AB1509" s="1446">
        <f t="shared" si="2133"/>
        <v>93975.16582721044</v>
      </c>
      <c r="AC1509" s="1446">
        <f t="shared" si="2133"/>
        <v>88537.43036642205</v>
      </c>
      <c r="AD1509" s="1446">
        <f t="shared" si="2133"/>
        <v>58224.50492973713</v>
      </c>
      <c r="AE1509" s="1054">
        <f t="shared" si="2109"/>
        <v>223998.53108589569</v>
      </c>
      <c r="AF1509" s="1054">
        <f t="shared" si="2110"/>
        <v>224949.92412014975</v>
      </c>
      <c r="AG1509" s="1054">
        <f t="shared" si="2111"/>
        <v>231644.88531940742</v>
      </c>
      <c r="AH1509" s="1054">
        <f t="shared" si="2112"/>
        <v>240737.10112336962</v>
      </c>
      <c r="AI1509" s="1054">
        <f t="shared" si="2113"/>
        <v>448948.45520604542</v>
      </c>
      <c r="AJ1509" s="1054">
        <f t="shared" si="2114"/>
        <v>472381.98644277704</v>
      </c>
      <c r="AK1509" s="1054">
        <f t="shared" si="2115"/>
        <v>921330.44164882251</v>
      </c>
    </row>
    <row r="1510" spans="1:37" ht="14.5">
      <c r="A1510" s="1693">
        <f t="shared" si="2051"/>
        <v>1493</v>
      </c>
      <c r="B1510" s="616">
        <v>1</v>
      </c>
      <c r="C1510" s="1693">
        <f t="shared" si="2103"/>
        <v>1510</v>
      </c>
      <c r="D1510" s="616">
        <v>1</v>
      </c>
      <c r="F1510" s="69"/>
      <c r="G1510"/>
      <c r="H1510" s="1050"/>
      <c r="I1510" s="1051"/>
      <c r="J1510" s="750"/>
      <c r="K1510" s="1055" t="s">
        <v>799</v>
      </c>
      <c r="L1510" s="1055"/>
      <c r="M1510" s="1056"/>
      <c r="N1510" s="213"/>
      <c r="O1510" s="213"/>
      <c r="P1510" s="213"/>
      <c r="Q1510" s="213"/>
      <c r="R1510" s="1848" t="str">
        <f>CHOOSE(2, "6722000004411", "RF (1) Office Marginal Profit HW")</f>
        <v>RF (1) Office Marginal Profit HW</v>
      </c>
      <c r="S1510" s="1447">
        <f t="shared" si="2133"/>
        <v>48669</v>
      </c>
      <c r="T1510" s="1447">
        <f t="shared" si="2133"/>
        <v>45497.223160000023</v>
      </c>
      <c r="U1510" s="1447">
        <f t="shared" si="2133"/>
        <v>54942.801200416638</v>
      </c>
      <c r="V1510" s="1447">
        <f t="shared" si="2133"/>
        <v>48607.681770416704</v>
      </c>
      <c r="W1510" s="1447">
        <f t="shared" si="2133"/>
        <v>49463.05674708524</v>
      </c>
      <c r="X1510" s="1447">
        <f t="shared" si="2133"/>
        <v>73247.650880416506</v>
      </c>
      <c r="Y1510" s="1447">
        <f t="shared" si="2133"/>
        <v>47621.834875416796</v>
      </c>
      <c r="Z1510" s="1447">
        <f t="shared" si="2133"/>
        <v>54731.966305416543</v>
      </c>
      <c r="AA1510" s="1447">
        <f t="shared" si="2133"/>
        <v>61278.777046666655</v>
      </c>
      <c r="AB1510" s="1447">
        <f t="shared" si="2133"/>
        <v>50301.551586666697</v>
      </c>
      <c r="AC1510" s="1447">
        <f t="shared" si="2133"/>
        <v>65624.922890710528</v>
      </c>
      <c r="AD1510" s="1447">
        <f t="shared" si="2133"/>
        <v>48916.928096666641</v>
      </c>
      <c r="AE1510" s="1447">
        <f t="shared" si="2109"/>
        <v>149109.02436041666</v>
      </c>
      <c r="AF1510" s="1447">
        <f t="shared" si="2110"/>
        <v>171318.38939791845</v>
      </c>
      <c r="AG1510" s="1447">
        <f t="shared" si="2111"/>
        <v>163632.57822749999</v>
      </c>
      <c r="AH1510" s="1447">
        <f t="shared" si="2112"/>
        <v>164843.40257404387</v>
      </c>
      <c r="AI1510" s="1447">
        <f t="shared" si="2113"/>
        <v>320427.41375833511</v>
      </c>
      <c r="AJ1510" s="1447">
        <f t="shared" si="2114"/>
        <v>328475.98080154386</v>
      </c>
      <c r="AK1510" s="1447">
        <f t="shared" si="2115"/>
        <v>648903.39455987897</v>
      </c>
    </row>
    <row r="1511" spans="1:37" ht="14.5">
      <c r="A1511" s="1693">
        <f t="shared" si="2051"/>
        <v>1494</v>
      </c>
      <c r="B1511" s="616">
        <v>1</v>
      </c>
      <c r="C1511" s="1693">
        <f t="shared" si="2103"/>
        <v>1511</v>
      </c>
      <c r="D1511" s="616">
        <v>1</v>
      </c>
      <c r="F1511" s="69"/>
      <c r="G1511"/>
      <c r="H1511" s="1050"/>
      <c r="I1511" s="1051"/>
      <c r="J1511" s="750"/>
      <c r="K1511" s="749"/>
      <c r="L1511" s="749" t="s">
        <v>120</v>
      </c>
      <c r="R1511" s="1777" t="str">
        <f>CHOOSE(2, "6722000004412", "RF (1) Office Marginal Profit HW Direct")</f>
        <v>RF (1) Office Marginal Profit HW Direct</v>
      </c>
      <c r="S1511" s="1226">
        <f t="shared" si="2133"/>
        <v>15786</v>
      </c>
      <c r="T1511" s="1226">
        <f t="shared" si="2133"/>
        <v>19361.85483</v>
      </c>
      <c r="U1511" s="1226">
        <f t="shared" si="2133"/>
        <v>18473.153443998763</v>
      </c>
      <c r="V1511" s="1226">
        <f t="shared" si="2133"/>
        <v>13924.070053957452</v>
      </c>
      <c r="W1511" s="1226">
        <f t="shared" si="2133"/>
        <v>13309.69002</v>
      </c>
      <c r="X1511" s="1226">
        <f t="shared" si="2133"/>
        <v>18804.455903241069</v>
      </c>
      <c r="Y1511" s="1226">
        <f t="shared" si="2133"/>
        <v>18317.22734554284</v>
      </c>
      <c r="Z1511" s="1226">
        <f t="shared" si="2133"/>
        <v>19049.219919150644</v>
      </c>
      <c r="AA1511" s="1226">
        <f t="shared" si="2133"/>
        <v>16469.506062783676</v>
      </c>
      <c r="AB1511" s="1226">
        <f t="shared" si="2133"/>
        <v>7646.5235520630413</v>
      </c>
      <c r="AC1511" s="1226">
        <f t="shared" si="2133"/>
        <v>27895.009316833246</v>
      </c>
      <c r="AD1511" s="1226">
        <f t="shared" si="2133"/>
        <v>2192.2655836665945</v>
      </c>
      <c r="AE1511" s="1226">
        <f t="shared" si="2109"/>
        <v>53621.008273998756</v>
      </c>
      <c r="AF1511" s="1226">
        <f t="shared" si="2110"/>
        <v>46038.215977198517</v>
      </c>
      <c r="AG1511" s="1226">
        <f t="shared" si="2111"/>
        <v>53835.953327477167</v>
      </c>
      <c r="AH1511" s="1226">
        <f t="shared" si="2112"/>
        <v>37733.798452562885</v>
      </c>
      <c r="AI1511" s="1226">
        <f t="shared" si="2113"/>
        <v>99659.224251197273</v>
      </c>
      <c r="AJ1511" s="1226">
        <f t="shared" si="2114"/>
        <v>91569.751780040053</v>
      </c>
      <c r="AK1511" s="1226">
        <f t="shared" si="2115"/>
        <v>191228.97603123734</v>
      </c>
    </row>
    <row r="1512" spans="1:37" ht="14.5">
      <c r="A1512" s="1693">
        <f t="shared" si="2051"/>
        <v>1495</v>
      </c>
      <c r="B1512" s="616">
        <v>1</v>
      </c>
      <c r="C1512" s="1693">
        <f t="shared" si="2103"/>
        <v>1512</v>
      </c>
      <c r="D1512" s="616">
        <v>1</v>
      </c>
      <c r="F1512" s="69"/>
      <c r="G1512"/>
      <c r="H1512" s="1050"/>
      <c r="I1512" s="1051"/>
      <c r="J1512" s="750"/>
      <c r="K1512" s="749"/>
      <c r="L1512" s="749" t="s">
        <v>129</v>
      </c>
      <c r="R1512" s="1777" t="str">
        <f>CHOOSE(2, "6722000004413", "RF (1) Office Marginal Profit HW Indirect")</f>
        <v>RF (1) Office Marginal Profit HW Indirect</v>
      </c>
      <c r="S1512" s="1226">
        <f t="shared" si="2133"/>
        <v>32883</v>
      </c>
      <c r="T1512" s="1226">
        <f t="shared" si="2133"/>
        <v>26135.368330000027</v>
      </c>
      <c r="U1512" s="1226">
        <f t="shared" si="2133"/>
        <v>36469.647756417893</v>
      </c>
      <c r="V1512" s="1226">
        <f t="shared" si="2133"/>
        <v>34683.611716459258</v>
      </c>
      <c r="W1512" s="1226">
        <f t="shared" si="2133"/>
        <v>36153.366727085231</v>
      </c>
      <c r="X1512" s="1226">
        <f t="shared" si="2133"/>
        <v>54443.194977175444</v>
      </c>
      <c r="Y1512" s="1226">
        <f t="shared" si="2133"/>
        <v>29304.607529873945</v>
      </c>
      <c r="Z1512" s="1226">
        <f t="shared" si="2133"/>
        <v>35682.746386265906</v>
      </c>
      <c r="AA1512" s="1226">
        <f t="shared" si="2133"/>
        <v>44809.270983882991</v>
      </c>
      <c r="AB1512" s="1226">
        <f t="shared" si="2133"/>
        <v>42655.028034603631</v>
      </c>
      <c r="AC1512" s="1226">
        <f t="shared" si="2133"/>
        <v>37729.913573877289</v>
      </c>
      <c r="AD1512" s="1226">
        <f t="shared" si="2133"/>
        <v>46724.662513000076</v>
      </c>
      <c r="AE1512" s="1226">
        <f t="shared" si="2109"/>
        <v>95488.01608641792</v>
      </c>
      <c r="AF1512" s="1226">
        <f t="shared" si="2110"/>
        <v>125280.17342071993</v>
      </c>
      <c r="AG1512" s="1226">
        <f t="shared" si="2111"/>
        <v>109796.62490002284</v>
      </c>
      <c r="AH1512" s="1226">
        <f t="shared" si="2112"/>
        <v>127109.604121481</v>
      </c>
      <c r="AI1512" s="1226">
        <f t="shared" si="2113"/>
        <v>220768.18950713787</v>
      </c>
      <c r="AJ1512" s="1226">
        <f t="shared" si="2114"/>
        <v>236906.22902150382</v>
      </c>
      <c r="AK1512" s="1226">
        <f t="shared" si="2115"/>
        <v>457674.41852864169</v>
      </c>
    </row>
    <row r="1513" spans="1:37" ht="14.5">
      <c r="A1513" s="1693">
        <f t="shared" si="2051"/>
        <v>1496</v>
      </c>
      <c r="B1513" s="616">
        <v>1</v>
      </c>
      <c r="C1513" s="1693">
        <f t="shared" si="2103"/>
        <v>1513</v>
      </c>
      <c r="D1513" s="616">
        <v>1</v>
      </c>
      <c r="F1513" s="69"/>
      <c r="G1513"/>
      <c r="H1513" s="1050"/>
      <c r="I1513" s="1051"/>
      <c r="J1513" s="750"/>
      <c r="K1513" s="1055" t="s">
        <v>800</v>
      </c>
      <c r="L1513" s="1055"/>
      <c r="M1513" s="1056"/>
      <c r="N1513" s="213"/>
      <c r="O1513" s="213"/>
      <c r="P1513" s="213"/>
      <c r="Q1513" s="213"/>
      <c r="R1513" s="1848" t="str">
        <f>CHOOSE(2, "6722000004414", "RF (1) Office Marginal Profit NH")</f>
        <v>RF (1) Office Marginal Profit NH</v>
      </c>
      <c r="S1513" s="1447">
        <f t="shared" si="2133"/>
        <v>60174</v>
      </c>
      <c r="T1513" s="1447">
        <f t="shared" si="2133"/>
        <v>48373.49117999999</v>
      </c>
      <c r="U1513" s="1447">
        <f t="shared" si="2133"/>
        <v>47665.870358749962</v>
      </c>
      <c r="V1513" s="1447">
        <f t="shared" si="2133"/>
        <v>46625.330696649122</v>
      </c>
      <c r="W1513" s="1447">
        <f t="shared" si="2133"/>
        <v>58785.750254109873</v>
      </c>
      <c r="X1513" s="1447">
        <f t="shared" si="2133"/>
        <v>45793.476703749984</v>
      </c>
      <c r="Y1513" s="1447">
        <f t="shared" si="2133"/>
        <v>53861.723387916667</v>
      </c>
      <c r="Z1513" s="1447">
        <f t="shared" si="2133"/>
        <v>55012.802257916657</v>
      </c>
      <c r="AA1513" s="1447">
        <f t="shared" si="2133"/>
        <v>60034.8952569787</v>
      </c>
      <c r="AB1513" s="1447">
        <f t="shared" si="2133"/>
        <v>56406.926546250004</v>
      </c>
      <c r="AC1513" s="1447">
        <f t="shared" si="2133"/>
        <v>47776.318879492646</v>
      </c>
      <c r="AD1513" s="1447">
        <f t="shared" si="2133"/>
        <v>52117.069661250018</v>
      </c>
      <c r="AE1513" s="1447">
        <f t="shared" si="2109"/>
        <v>156213.36153874994</v>
      </c>
      <c r="AF1513" s="1447">
        <f t="shared" si="2110"/>
        <v>151204.55765450897</v>
      </c>
      <c r="AG1513" s="1447">
        <f t="shared" si="2111"/>
        <v>168909.42090281201</v>
      </c>
      <c r="AH1513" s="1447">
        <f t="shared" si="2112"/>
        <v>156300.31508699266</v>
      </c>
      <c r="AI1513" s="1447">
        <f t="shared" si="2113"/>
        <v>307417.91919325892</v>
      </c>
      <c r="AJ1513" s="1447">
        <f t="shared" si="2114"/>
        <v>325209.73598980467</v>
      </c>
      <c r="AK1513" s="1447">
        <f t="shared" si="2115"/>
        <v>632627.65518306359</v>
      </c>
    </row>
    <row r="1514" spans="1:37" ht="14.5">
      <c r="A1514" s="1693">
        <f t="shared" si="2051"/>
        <v>1497</v>
      </c>
      <c r="B1514" s="616">
        <v>1</v>
      </c>
      <c r="C1514" s="1693">
        <f t="shared" si="2103"/>
        <v>1514</v>
      </c>
      <c r="D1514" s="616">
        <v>1</v>
      </c>
      <c r="F1514" s="69"/>
      <c r="G1514"/>
      <c r="H1514" s="1050"/>
      <c r="I1514" s="1051"/>
      <c r="J1514" s="750"/>
      <c r="K1514" s="749"/>
      <c r="L1514" s="749" t="s">
        <v>120</v>
      </c>
      <c r="R1514" s="1777" t="str">
        <f>CHOOSE(2, "6722000004415", "RF (1) Office Marginal Profit NH Direct")</f>
        <v>RF (1) Office Marginal Profit NH Direct</v>
      </c>
      <c r="S1514" s="1226">
        <f t="shared" si="2133"/>
        <v>27083</v>
      </c>
      <c r="T1514" s="1226">
        <f t="shared" si="2133"/>
        <v>23550.520059999995</v>
      </c>
      <c r="U1514" s="1226">
        <f t="shared" si="2133"/>
        <v>23437.8019853429</v>
      </c>
      <c r="V1514" s="1226">
        <f t="shared" si="2133"/>
        <v>21401.401699999999</v>
      </c>
      <c r="W1514" s="1226">
        <f t="shared" si="2133"/>
        <v>28246.385339074703</v>
      </c>
      <c r="X1514" s="1226">
        <f t="shared" si="2133"/>
        <v>22205.253372334628</v>
      </c>
      <c r="Y1514" s="1226">
        <f t="shared" si="2133"/>
        <v>23833.144341413357</v>
      </c>
      <c r="Z1514" s="1226">
        <f t="shared" si="2133"/>
        <v>24433.386739247351</v>
      </c>
      <c r="AA1514" s="1226">
        <f t="shared" si="2133"/>
        <v>22616.673220653596</v>
      </c>
      <c r="AB1514" s="1226">
        <f t="shared" si="2133"/>
        <v>23998.7482911773</v>
      </c>
      <c r="AC1514" s="1226">
        <f t="shared" si="2133"/>
        <v>26381.651153363156</v>
      </c>
      <c r="AD1514" s="1226">
        <f t="shared" si="2133"/>
        <v>17979.902520114305</v>
      </c>
      <c r="AE1514" s="1226">
        <f t="shared" si="2109"/>
        <v>74071.322045342895</v>
      </c>
      <c r="AF1514" s="1226">
        <f t="shared" si="2110"/>
        <v>71853.040411409325</v>
      </c>
      <c r="AG1514" s="1226">
        <f t="shared" si="2111"/>
        <v>70883.204301314312</v>
      </c>
      <c r="AH1514" s="1226">
        <f t="shared" si="2112"/>
        <v>68360.301964654762</v>
      </c>
      <c r="AI1514" s="1226">
        <f t="shared" si="2113"/>
        <v>145924.36245675222</v>
      </c>
      <c r="AJ1514" s="1226">
        <f t="shared" si="2114"/>
        <v>139243.50626596907</v>
      </c>
      <c r="AK1514" s="1226">
        <f t="shared" si="2115"/>
        <v>285167.86872272129</v>
      </c>
    </row>
    <row r="1515" spans="1:37" ht="14.5">
      <c r="A1515" s="1693">
        <f t="shared" si="2051"/>
        <v>1498</v>
      </c>
      <c r="B1515" s="616">
        <v>1</v>
      </c>
      <c r="C1515" s="1693">
        <f t="shared" si="2103"/>
        <v>1515</v>
      </c>
      <c r="D1515" s="616">
        <v>1</v>
      </c>
      <c r="F1515" s="69"/>
      <c r="G1515"/>
      <c r="H1515" s="1050"/>
      <c r="I1515" s="1051"/>
      <c r="J1515" s="750"/>
      <c r="K1515" s="749"/>
      <c r="L1515" s="749" t="s">
        <v>129</v>
      </c>
      <c r="R1515" s="1777" t="str">
        <f>CHOOSE(2, "6722000004416", "RF (1) Office Marginal Profit NH Indirect")</f>
        <v>RF (1) Office Marginal Profit NH Indirect</v>
      </c>
      <c r="S1515" s="1226">
        <f t="shared" si="2133"/>
        <v>33091</v>
      </c>
      <c r="T1515" s="1226">
        <f t="shared" si="2133"/>
        <v>24822.971119999987</v>
      </c>
      <c r="U1515" s="1226">
        <f t="shared" si="2133"/>
        <v>24228.068373407063</v>
      </c>
      <c r="V1515" s="1226">
        <f t="shared" si="2133"/>
        <v>25223.92899664912</v>
      </c>
      <c r="W1515" s="1226">
        <f t="shared" si="2133"/>
        <v>30539.36491503517</v>
      </c>
      <c r="X1515" s="1226">
        <f t="shared" si="2133"/>
        <v>23588.223331415356</v>
      </c>
      <c r="Y1515" s="1226">
        <f t="shared" si="2133"/>
        <v>30028.579046503306</v>
      </c>
      <c r="Z1515" s="1226">
        <f t="shared" si="2133"/>
        <v>30579.41551866931</v>
      </c>
      <c r="AA1515" s="1226">
        <f t="shared" si="2133"/>
        <v>37418.222036325104</v>
      </c>
      <c r="AB1515" s="1226">
        <f t="shared" si="2133"/>
        <v>32408.178255072708</v>
      </c>
      <c r="AC1515" s="1226">
        <f t="shared" si="2133"/>
        <v>21394.667726129497</v>
      </c>
      <c r="AD1515" s="1226">
        <f t="shared" si="2133"/>
        <v>34137.167141135709</v>
      </c>
      <c r="AE1515" s="1226">
        <f t="shared" si="2109"/>
        <v>82142.03949340705</v>
      </c>
      <c r="AF1515" s="1226">
        <f t="shared" si="2110"/>
        <v>79351.517243099646</v>
      </c>
      <c r="AG1515" s="1226">
        <f t="shared" si="2111"/>
        <v>98026.216601497727</v>
      </c>
      <c r="AH1515" s="1226">
        <f t="shared" si="2112"/>
        <v>87940.013122337914</v>
      </c>
      <c r="AI1515" s="1226">
        <f t="shared" si="2113"/>
        <v>161493.5567365067</v>
      </c>
      <c r="AJ1515" s="1226">
        <f t="shared" si="2114"/>
        <v>185966.22972383566</v>
      </c>
      <c r="AK1515" s="1226">
        <f t="shared" si="2115"/>
        <v>347459.78646034235</v>
      </c>
    </row>
    <row r="1516" spans="1:37" ht="14.5">
      <c r="A1516" s="1693">
        <f t="shared" si="2051"/>
        <v>1499</v>
      </c>
      <c r="B1516" s="616">
        <v>1</v>
      </c>
      <c r="C1516" s="1693">
        <f t="shared" si="2103"/>
        <v>1516</v>
      </c>
      <c r="D1516" s="616">
        <v>1</v>
      </c>
      <c r="F1516" s="69"/>
      <c r="G1516"/>
      <c r="H1516" s="1050"/>
      <c r="I1516" s="1051"/>
      <c r="J1516" s="750"/>
      <c r="K1516" s="1055" t="s">
        <v>417</v>
      </c>
      <c r="L1516" s="1055"/>
      <c r="M1516" s="1056"/>
      <c r="N1516" s="213"/>
      <c r="O1516" s="213"/>
      <c r="P1516" s="213"/>
      <c r="Q1516" s="213"/>
      <c r="R1516" s="1848" t="str">
        <f>CHOOSE(2, "6722000004417", "RF (1) Office Marginal Profit Office Solution")</f>
        <v>RF (1) Office Marginal Profit Office Solution</v>
      </c>
      <c r="S1516" s="1447">
        <f t="shared" si="2133"/>
        <v>1607</v>
      </c>
      <c r="T1516" s="1447">
        <f t="shared" si="2133"/>
        <v>1917.5135</v>
      </c>
      <c r="U1516" s="1447">
        <f t="shared" si="2133"/>
        <v>3364.56709</v>
      </c>
      <c r="V1516" s="1447">
        <f t="shared" si="2133"/>
        <v>1192.5053400000002</v>
      </c>
      <c r="W1516" s="1447">
        <f t="shared" si="2133"/>
        <v>1880.8184799999999</v>
      </c>
      <c r="X1516" s="1447">
        <f t="shared" si="2133"/>
        <v>2384.9223099999999</v>
      </c>
      <c r="Y1516" s="1447">
        <f t="shared" si="2133"/>
        <v>1012.3762300000001</v>
      </c>
      <c r="Z1516" s="1447">
        <f t="shared" si="2133"/>
        <v>2344.63823</v>
      </c>
      <c r="AA1516" s="1447">
        <f t="shared" si="2133"/>
        <v>1950.924</v>
      </c>
      <c r="AB1516" s="1447">
        <f t="shared" si="2133"/>
        <v>2874.9503100000002</v>
      </c>
      <c r="AC1516" s="1447">
        <f t="shared" si="2133"/>
        <v>1712.51233</v>
      </c>
      <c r="AD1516" s="1447">
        <f t="shared" si="2133"/>
        <v>2235.46245</v>
      </c>
      <c r="AE1516" s="1447">
        <f t="shared" si="2109"/>
        <v>6889.0805899999996</v>
      </c>
      <c r="AF1516" s="1447">
        <f t="shared" si="2110"/>
        <v>5458.2461299999995</v>
      </c>
      <c r="AG1516" s="1447">
        <f t="shared" si="2111"/>
        <v>5307.9384600000003</v>
      </c>
      <c r="AH1516" s="1447">
        <f t="shared" si="2112"/>
        <v>6822.9250899999997</v>
      </c>
      <c r="AI1516" s="1447">
        <f t="shared" si="2113"/>
        <v>12347.326719999999</v>
      </c>
      <c r="AJ1516" s="1447">
        <f t="shared" si="2114"/>
        <v>12130.86355</v>
      </c>
      <c r="AK1516" s="1447">
        <f t="shared" si="2115"/>
        <v>24478.190269999999</v>
      </c>
    </row>
    <row r="1517" spans="1:37" ht="14.5">
      <c r="A1517" s="1693">
        <f t="shared" si="2051"/>
        <v>1500</v>
      </c>
      <c r="B1517" s="616">
        <v>1</v>
      </c>
      <c r="C1517" s="1693">
        <f t="shared" si="2103"/>
        <v>1517</v>
      </c>
      <c r="D1517" s="616">
        <v>1</v>
      </c>
      <c r="F1517" s="69"/>
      <c r="G1517"/>
      <c r="H1517" s="1050"/>
      <c r="I1517" s="1051"/>
      <c r="J1517" s="750"/>
      <c r="K1517" s="1055" t="s">
        <v>51</v>
      </c>
      <c r="L1517" s="1055"/>
      <c r="M1517" s="1056"/>
      <c r="N1517" s="213"/>
      <c r="O1517" s="213"/>
      <c r="P1517" s="213"/>
      <c r="Q1517" s="213"/>
      <c r="R1517" s="1848" t="str">
        <f>CHOOSE(2, "6722000004418", "RF (1) Office Marginal Profit Others")</f>
        <v>RF (1) Office Marginal Profit Others</v>
      </c>
      <c r="S1517" s="1447">
        <f t="shared" si="2133"/>
        <v>-37793.663902345215</v>
      </c>
      <c r="T1517" s="1447">
        <f t="shared" si="2133"/>
        <v>-13893.488503358309</v>
      </c>
      <c r="U1517" s="1447">
        <f t="shared" si="2133"/>
        <v>-36525.782997567381</v>
      </c>
      <c r="V1517" s="1447">
        <f t="shared" si="2133"/>
        <v>-25624.088414672035</v>
      </c>
      <c r="W1517" s="1447">
        <f t="shared" si="2133"/>
        <v>-34186.87314763527</v>
      </c>
      <c r="X1517" s="1447">
        <f t="shared" si="2133"/>
        <v>-43220.30749997044</v>
      </c>
      <c r="Y1517" s="1447">
        <f t="shared" si="2133"/>
        <v>-42759.897942179319</v>
      </c>
      <c r="Z1517" s="1447">
        <f t="shared" si="2133"/>
        <v>-23125.555025360223</v>
      </c>
      <c r="AA1517" s="1447">
        <f t="shared" si="2133"/>
        <v>-40319.599303365023</v>
      </c>
      <c r="AB1517" s="1447">
        <f t="shared" si="2133"/>
        <v>-15608.262615706293</v>
      </c>
      <c r="AC1517" s="1447">
        <f t="shared" si="2133"/>
        <v>-26576.323733781152</v>
      </c>
      <c r="AD1517" s="1447">
        <f t="shared" si="2133"/>
        <v>-45044.955278179492</v>
      </c>
      <c r="AE1517" s="1447">
        <f t="shared" si="2109"/>
        <v>-88212.935403270909</v>
      </c>
      <c r="AF1517" s="1447">
        <f t="shared" si="2110"/>
        <v>-103031.26906227774</v>
      </c>
      <c r="AG1517" s="1447">
        <f t="shared" si="2111"/>
        <v>-106205.05227090456</v>
      </c>
      <c r="AH1517" s="1447">
        <f t="shared" si="2112"/>
        <v>-87229.541627666942</v>
      </c>
      <c r="AI1517" s="1447">
        <f t="shared" si="2113"/>
        <v>-191244.20446554865</v>
      </c>
      <c r="AJ1517" s="1447">
        <f t="shared" si="2114"/>
        <v>-193434.5938985715</v>
      </c>
      <c r="AK1517" s="1447">
        <f t="shared" si="2115"/>
        <v>-384678.79836412019</v>
      </c>
    </row>
    <row r="1518" spans="1:37" ht="14.5">
      <c r="A1518" s="1693">
        <f t="shared" si="2051"/>
        <v>1501</v>
      </c>
      <c r="B1518" s="616">
        <v>1</v>
      </c>
      <c r="C1518" s="1693">
        <f t="shared" si="2103"/>
        <v>1518</v>
      </c>
      <c r="D1518" s="616">
        <v>1</v>
      </c>
      <c r="F1518" s="69"/>
      <c r="G1518"/>
      <c r="H1518" s="1050"/>
      <c r="I1518" s="1051"/>
      <c r="J1518" s="747" t="s">
        <v>803</v>
      </c>
      <c r="K1518" s="748"/>
      <c r="L1518" s="748"/>
      <c r="M1518" s="1052"/>
      <c r="N1518" s="1053"/>
      <c r="O1518" s="1053"/>
      <c r="P1518" s="1053"/>
      <c r="Q1518" s="1053"/>
      <c r="R1518" s="1846" t="str">
        <f>CHOOSE(2, "6722000004419", "RF (1) Office Marginal Profit %")</f>
        <v>RF (1) Office Marginal Profit %</v>
      </c>
      <c r="S1518" s="1448">
        <f t="shared" ref="S1518:AD1526" si="2134">IFERROR(S1509/S1491,"")</f>
        <v>0.25743296731667614</v>
      </c>
      <c r="T1518" s="1448">
        <f t="shared" si="2134"/>
        <v>0.26828637860232879</v>
      </c>
      <c r="U1518" s="1448">
        <f t="shared" si="2134"/>
        <v>0.21723943531332807</v>
      </c>
      <c r="V1518" s="1448">
        <f t="shared" si="2134"/>
        <v>0.26244168324230427</v>
      </c>
      <c r="W1518" s="1448">
        <f t="shared" si="2134"/>
        <v>0.24984709813411426</v>
      </c>
      <c r="X1518" s="1448">
        <f t="shared" si="2134"/>
        <v>0.22952109469447654</v>
      </c>
      <c r="Y1518" s="1448">
        <f t="shared" si="2134"/>
        <v>0.23785982975514011</v>
      </c>
      <c r="Z1518" s="1448">
        <f t="shared" si="2134"/>
        <v>0.31457538996241208</v>
      </c>
      <c r="AA1518" s="1448">
        <f t="shared" si="2134"/>
        <v>0.25729088095356345</v>
      </c>
      <c r="AB1518" s="1448">
        <f t="shared" si="2134"/>
        <v>0.30465756992315146</v>
      </c>
      <c r="AC1518" s="1448">
        <f t="shared" si="2134"/>
        <v>0.29357283485615404</v>
      </c>
      <c r="AD1518" s="1448">
        <f t="shared" si="2134"/>
        <v>0.17586699124580357</v>
      </c>
      <c r="AE1518" s="1057">
        <f t="shared" ref="AE1518:AK1526" si="2135">IFERROR(AE1509/AE1491,"")</f>
        <v>0.24692099034431234</v>
      </c>
      <c r="AF1518" s="1057">
        <f t="shared" si="2135"/>
        <v>0.24598912293794489</v>
      </c>
      <c r="AG1518" s="1057">
        <f t="shared" si="2135"/>
        <v>0.27051076265809826</v>
      </c>
      <c r="AH1518" s="1057">
        <f t="shared" si="2135"/>
        <v>0.25579885070409958</v>
      </c>
      <c r="AI1518" s="1057">
        <f t="shared" si="2135"/>
        <v>0.24645318839378016</v>
      </c>
      <c r="AJ1518" s="1057">
        <f t="shared" si="2135"/>
        <v>0.26280778819756123</v>
      </c>
      <c r="AK1518" s="1057">
        <f t="shared" si="2135"/>
        <v>0.25457581984633482</v>
      </c>
    </row>
    <row r="1519" spans="1:37" ht="14.5">
      <c r="A1519" s="1693">
        <f t="shared" si="2051"/>
        <v>1502</v>
      </c>
      <c r="B1519" s="616">
        <v>1</v>
      </c>
      <c r="C1519" s="1693">
        <f t="shared" si="2103"/>
        <v>1519</v>
      </c>
      <c r="D1519" s="616">
        <v>1</v>
      </c>
      <c r="F1519" s="69"/>
      <c r="G1519"/>
      <c r="H1519" s="1050"/>
      <c r="I1519" s="1051"/>
      <c r="J1519" s="750"/>
      <c r="K1519" s="1055" t="s">
        <v>799</v>
      </c>
      <c r="L1519" s="1055"/>
      <c r="M1519" s="1056"/>
      <c r="N1519" s="213"/>
      <c r="O1519" s="213"/>
      <c r="P1519" s="213"/>
      <c r="Q1519" s="213"/>
      <c r="R1519" s="1848" t="str">
        <f>CHOOSE(2, "6722000004420", "RF (1) Office Marginal Profit % HW")</f>
        <v>RF (1) Office Marginal Profit % HW</v>
      </c>
      <c r="S1519" s="1449">
        <f t="shared" si="2134"/>
        <v>0.29526426907396625</v>
      </c>
      <c r="T1519" s="1449">
        <f t="shared" si="2134"/>
        <v>0.22355589509727039</v>
      </c>
      <c r="U1519" s="1449">
        <f t="shared" si="2134"/>
        <v>0.24538203602266734</v>
      </c>
      <c r="V1519" s="1449">
        <f t="shared" si="2134"/>
        <v>0.27817669980482185</v>
      </c>
      <c r="W1519" s="1449">
        <f t="shared" si="2134"/>
        <v>0.260721642832414</v>
      </c>
      <c r="X1519" s="1449">
        <f t="shared" si="2134"/>
        <v>0.29766538069750259</v>
      </c>
      <c r="Y1519" s="1449">
        <f t="shared" si="2134"/>
        <v>0.32177867529889137</v>
      </c>
      <c r="Z1519" s="1449">
        <f t="shared" si="2134"/>
        <v>0.31484760188462563</v>
      </c>
      <c r="AA1519" s="1449">
        <f t="shared" si="2134"/>
        <v>0.30077456396825331</v>
      </c>
      <c r="AB1519" s="1449">
        <f t="shared" si="2134"/>
        <v>0.26013048846023934</v>
      </c>
      <c r="AC1519" s="1449">
        <f t="shared" si="2134"/>
        <v>0.33269197739639172</v>
      </c>
      <c r="AD1519" s="1449">
        <f t="shared" si="2134"/>
        <v>0.21472423773026256</v>
      </c>
      <c r="AE1519" s="1449">
        <f t="shared" si="2135"/>
        <v>0.25176478572811689</v>
      </c>
      <c r="AF1519" s="1449">
        <f t="shared" si="2135"/>
        <v>0.28060763591781501</v>
      </c>
      <c r="AG1519" s="1449">
        <f t="shared" si="2135"/>
        <v>0.31134392217452955</v>
      </c>
      <c r="AH1519" s="1449">
        <f t="shared" si="2135"/>
        <v>0.26654817916200074</v>
      </c>
      <c r="AI1519" s="1449">
        <f t="shared" si="2135"/>
        <v>0.26640528344928477</v>
      </c>
      <c r="AJ1519" s="1449">
        <f t="shared" si="2135"/>
        <v>0.2871278194931588</v>
      </c>
      <c r="AK1519" s="1449">
        <f t="shared" si="2135"/>
        <v>0.27650705202442394</v>
      </c>
    </row>
    <row r="1520" spans="1:37" ht="14.5">
      <c r="A1520" s="1693">
        <f t="shared" si="2051"/>
        <v>1503</v>
      </c>
      <c r="B1520" s="616">
        <v>1</v>
      </c>
      <c r="C1520" s="1693">
        <f t="shared" si="2103"/>
        <v>1520</v>
      </c>
      <c r="D1520" s="616">
        <v>1</v>
      </c>
      <c r="F1520" s="69"/>
      <c r="G1520"/>
      <c r="H1520" s="1050"/>
      <c r="I1520" s="1051"/>
      <c r="J1520" s="750"/>
      <c r="K1520" s="749"/>
      <c r="L1520" s="749" t="s">
        <v>120</v>
      </c>
      <c r="R1520" s="1777" t="str">
        <f>CHOOSE(2, "6722000004421", "RF (1) Office Marginal Profit % HW Direct")</f>
        <v>RF (1) Office Marginal Profit % HW Direct</v>
      </c>
      <c r="S1520" s="1688">
        <f t="shared" si="2134"/>
        <v>0.53349104427171345</v>
      </c>
      <c r="T1520" s="1688">
        <f t="shared" si="2134"/>
        <v>0.48914356463683284</v>
      </c>
      <c r="U1520" s="1688">
        <f t="shared" si="2134"/>
        <v>0.47570916027619259</v>
      </c>
      <c r="V1520" s="1688">
        <f t="shared" si="2134"/>
        <v>0.47293146861999508</v>
      </c>
      <c r="W1520" s="1688">
        <f t="shared" si="2134"/>
        <v>0.47202085380666553</v>
      </c>
      <c r="X1520" s="1688">
        <f t="shared" si="2134"/>
        <v>0.52695369505945433</v>
      </c>
      <c r="Y1520" s="1688">
        <f t="shared" si="2134"/>
        <v>0.48767426632165872</v>
      </c>
      <c r="Z1520" s="1688">
        <f t="shared" si="2134"/>
        <v>0.52774173248750034</v>
      </c>
      <c r="AA1520" s="1688">
        <f t="shared" si="2134"/>
        <v>0.48110920945087132</v>
      </c>
      <c r="AB1520" s="1688">
        <f t="shared" si="2134"/>
        <v>0.20476161478164745</v>
      </c>
      <c r="AC1520" s="1688">
        <f t="shared" si="2134"/>
        <v>0.77597722516181733</v>
      </c>
      <c r="AD1520" s="1688">
        <f t="shared" si="2134"/>
        <v>4.4186475289974471E-2</v>
      </c>
      <c r="AE1520" s="1688">
        <f t="shared" si="2135"/>
        <v>0.49646301965186929</v>
      </c>
      <c r="AF1520" s="1688">
        <f t="shared" si="2135"/>
        <v>0.49331323018878198</v>
      </c>
      <c r="AG1520" s="1688">
        <f t="shared" si="2135"/>
        <v>0.49899639247315591</v>
      </c>
      <c r="AH1520" s="1688">
        <f t="shared" si="2135"/>
        <v>0.30701417137682441</v>
      </c>
      <c r="AI1520" s="1688">
        <f t="shared" si="2135"/>
        <v>0.49500297024755202</v>
      </c>
      <c r="AJ1520" s="1688">
        <f t="shared" si="2135"/>
        <v>0.39675935555041275</v>
      </c>
      <c r="AK1520" s="1688">
        <f t="shared" si="2135"/>
        <v>0.44253188334256283</v>
      </c>
    </row>
    <row r="1521" spans="1:37" ht="14.5">
      <c r="A1521" s="1693">
        <f t="shared" si="2051"/>
        <v>1504</v>
      </c>
      <c r="B1521" s="616">
        <v>1</v>
      </c>
      <c r="C1521" s="1693">
        <f t="shared" si="2103"/>
        <v>1521</v>
      </c>
      <c r="D1521" s="616">
        <v>1</v>
      </c>
      <c r="F1521" s="69"/>
      <c r="G1521"/>
      <c r="H1521" s="1050"/>
      <c r="I1521" s="1051"/>
      <c r="J1521" s="750"/>
      <c r="K1521" s="749"/>
      <c r="L1521" s="749" t="s">
        <v>129</v>
      </c>
      <c r="R1521" s="1777" t="str">
        <f>CHOOSE(2, "6722000004422", "RF (1) Office Marginal Profit % HW Indirect")</f>
        <v>RF (1) Office Marginal Profit % HW Indirect</v>
      </c>
      <c r="S1521" s="1688">
        <f t="shared" si="2134"/>
        <v>0.24314192336700138</v>
      </c>
      <c r="T1521" s="1688">
        <f t="shared" si="2134"/>
        <v>0.15942720902388063</v>
      </c>
      <c r="U1521" s="1688">
        <f t="shared" si="2134"/>
        <v>0.19705407609114234</v>
      </c>
      <c r="V1521" s="1688">
        <f t="shared" si="2134"/>
        <v>0.2387122167964309</v>
      </c>
      <c r="W1521" s="1688">
        <f t="shared" si="2134"/>
        <v>0.2238339245064257</v>
      </c>
      <c r="X1521" s="1688">
        <f t="shared" si="2134"/>
        <v>0.25877447386803137</v>
      </c>
      <c r="Y1521" s="1688">
        <f t="shared" si="2134"/>
        <v>0.26535556410281202</v>
      </c>
      <c r="Z1521" s="1688">
        <f t="shared" si="2134"/>
        <v>0.25905748014369151</v>
      </c>
      <c r="AA1521" s="1688">
        <f t="shared" si="2134"/>
        <v>0.26435492752038342</v>
      </c>
      <c r="AB1521" s="1688">
        <f t="shared" si="2134"/>
        <v>0.27338249510696899</v>
      </c>
      <c r="AC1521" s="1688">
        <f t="shared" si="2134"/>
        <v>0.23390263119507121</v>
      </c>
      <c r="AD1521" s="1688">
        <f t="shared" si="2134"/>
        <v>0.26220519756973099</v>
      </c>
      <c r="AE1521" s="1688">
        <f t="shared" si="2135"/>
        <v>0.19718774765298336</v>
      </c>
      <c r="AF1521" s="1688">
        <f t="shared" si="2135"/>
        <v>0.24222679603738947</v>
      </c>
      <c r="AG1521" s="1688">
        <f t="shared" si="2135"/>
        <v>0.26287252913410319</v>
      </c>
      <c r="AH1521" s="1688">
        <f t="shared" si="2135"/>
        <v>0.25651148377915323</v>
      </c>
      <c r="AI1521" s="1688">
        <f t="shared" si="2135"/>
        <v>0.22044827615259247</v>
      </c>
      <c r="AJ1521" s="1688">
        <f t="shared" si="2135"/>
        <v>0.25942086547993298</v>
      </c>
      <c r="AK1521" s="1688">
        <f t="shared" si="2135"/>
        <v>0.23903652441473064</v>
      </c>
    </row>
    <row r="1522" spans="1:37" ht="14.5">
      <c r="A1522" s="1693">
        <f t="shared" si="2051"/>
        <v>1505</v>
      </c>
      <c r="B1522" s="616">
        <v>1</v>
      </c>
      <c r="C1522" s="1693">
        <f t="shared" si="2103"/>
        <v>1522</v>
      </c>
      <c r="D1522" s="616">
        <v>1</v>
      </c>
      <c r="F1522" s="69"/>
      <c r="G1522"/>
      <c r="H1522" s="1050"/>
      <c r="I1522" s="1051"/>
      <c r="J1522" s="750"/>
      <c r="K1522" s="1055" t="s">
        <v>800</v>
      </c>
      <c r="L1522" s="1055"/>
      <c r="M1522" s="1056"/>
      <c r="N1522" s="213"/>
      <c r="O1522" s="213"/>
      <c r="P1522" s="213"/>
      <c r="Q1522" s="213"/>
      <c r="R1522" s="1848" t="str">
        <f>CHOOSE(2, "6722000004423", "RF (1) Office Marginal Profit % NH")</f>
        <v>RF (1) Office Marginal Profit % NH</v>
      </c>
      <c r="S1522" s="1449">
        <f t="shared" si="2134"/>
        <v>0.52628632900985683</v>
      </c>
      <c r="T1522" s="1449">
        <f t="shared" si="2134"/>
        <v>0.4883665827662782</v>
      </c>
      <c r="U1522" s="1449">
        <f t="shared" si="2134"/>
        <v>0.52577508913930526</v>
      </c>
      <c r="V1522" s="1449">
        <f t="shared" si="2134"/>
        <v>0.50259076280822501</v>
      </c>
      <c r="W1522" s="1449">
        <f t="shared" si="2134"/>
        <v>0.52880260107525534</v>
      </c>
      <c r="X1522" s="1449">
        <f t="shared" si="2134"/>
        <v>0.50391832860824692</v>
      </c>
      <c r="Y1522" s="1449">
        <f t="shared" si="2134"/>
        <v>0.52958374752250592</v>
      </c>
      <c r="Z1522" s="1449">
        <f t="shared" si="2134"/>
        <v>0.51993495105931542</v>
      </c>
      <c r="AA1522" s="1449">
        <f t="shared" si="2134"/>
        <v>0.52010636098929774</v>
      </c>
      <c r="AB1522" s="1449">
        <f t="shared" si="2134"/>
        <v>0.51646747231337753</v>
      </c>
      <c r="AC1522" s="1449">
        <f t="shared" si="2134"/>
        <v>0.46914536815509295</v>
      </c>
      <c r="AD1522" s="1449">
        <f t="shared" si="2134"/>
        <v>0.51912254129768309</v>
      </c>
      <c r="AE1522" s="1449">
        <f t="shared" si="2135"/>
        <v>0.51378049590997399</v>
      </c>
      <c r="AF1522" s="1449">
        <f t="shared" si="2135"/>
        <v>0.51288392131782035</v>
      </c>
      <c r="AG1522" s="1449">
        <f t="shared" si="2135"/>
        <v>0.52303497212752148</v>
      </c>
      <c r="AH1522" s="1449">
        <f t="shared" si="2135"/>
        <v>0.50185001132641938</v>
      </c>
      <c r="AI1522" s="1449">
        <f t="shared" si="2135"/>
        <v>0.51333912123663417</v>
      </c>
      <c r="AJ1522" s="1449">
        <f t="shared" si="2135"/>
        <v>0.51263438692938856</v>
      </c>
      <c r="AK1522" s="1449">
        <f t="shared" si="2135"/>
        <v>0.51297660237994291</v>
      </c>
    </row>
    <row r="1523" spans="1:37" ht="14.5">
      <c r="A1523" s="1693">
        <f t="shared" si="2051"/>
        <v>1506</v>
      </c>
      <c r="B1523" s="616">
        <v>1</v>
      </c>
      <c r="C1523" s="1693">
        <f t="shared" si="2103"/>
        <v>1523</v>
      </c>
      <c r="D1523" s="616">
        <v>1</v>
      </c>
      <c r="F1523" s="69"/>
      <c r="G1523"/>
      <c r="H1523" s="1050"/>
      <c r="I1523" s="1051"/>
      <c r="J1523" s="750"/>
      <c r="K1523" s="749"/>
      <c r="L1523" s="749" t="s">
        <v>120</v>
      </c>
      <c r="R1523" s="1777" t="str">
        <f>CHOOSE(2, "6722000004424", "RF (1) Office Marginal Profit % NH Direct")</f>
        <v>RF (1) Office Marginal Profit % NH Direct</v>
      </c>
      <c r="S1523" s="1688">
        <f t="shared" si="2134"/>
        <v>0.75463233859957091</v>
      </c>
      <c r="T1523" s="1688">
        <f t="shared" si="2134"/>
        <v>0.75035984679299161</v>
      </c>
      <c r="U1523" s="1688">
        <f t="shared" si="2134"/>
        <v>0.77282007954173937</v>
      </c>
      <c r="V1523" s="1688">
        <f t="shared" si="2134"/>
        <v>0.719284567778955</v>
      </c>
      <c r="W1523" s="1688">
        <f t="shared" si="2134"/>
        <v>0.79611767525666732</v>
      </c>
      <c r="X1523" s="1688">
        <f t="shared" si="2134"/>
        <v>0.76125606923235989</v>
      </c>
      <c r="Y1523" s="1688">
        <f t="shared" si="2134"/>
        <v>0.77749669085911133</v>
      </c>
      <c r="Z1523" s="1688">
        <f t="shared" si="2134"/>
        <v>0.77402432496981999</v>
      </c>
      <c r="AA1523" s="1688">
        <f t="shared" si="2134"/>
        <v>0.74811958863893424</v>
      </c>
      <c r="AB1523" s="1688">
        <f t="shared" si="2134"/>
        <v>0.75121038500935189</v>
      </c>
      <c r="AC1523" s="1688">
        <f t="shared" si="2134"/>
        <v>0.75249298324281733</v>
      </c>
      <c r="AD1523" s="1688">
        <f t="shared" si="2134"/>
        <v>0.71163977418605173</v>
      </c>
      <c r="AE1523" s="1688">
        <f t="shared" si="2135"/>
        <v>0.75890986455511611</v>
      </c>
      <c r="AF1523" s="1688">
        <f t="shared" si="2135"/>
        <v>0.76112987208109428</v>
      </c>
      <c r="AG1523" s="1688">
        <f t="shared" si="2135"/>
        <v>0.76670488928768432</v>
      </c>
      <c r="AH1523" s="1688">
        <f t="shared" si="2135"/>
        <v>0.74086259961899226</v>
      </c>
      <c r="AI1523" s="1688">
        <f t="shared" si="2135"/>
        <v>0.76000137375908083</v>
      </c>
      <c r="AJ1523" s="1688">
        <f t="shared" si="2135"/>
        <v>0.75379637132842559</v>
      </c>
      <c r="AK1523" s="1688">
        <f t="shared" si="2135"/>
        <v>0.75695884604454067</v>
      </c>
    </row>
    <row r="1524" spans="1:37" ht="14.5">
      <c r="A1524" s="1693">
        <f t="shared" ref="A1524:A1587" si="2136">A1523+1</f>
        <v>1507</v>
      </c>
      <c r="B1524" s="616">
        <v>1</v>
      </c>
      <c r="C1524" s="1693">
        <f t="shared" si="2103"/>
        <v>1524</v>
      </c>
      <c r="D1524" s="616">
        <v>1</v>
      </c>
      <c r="F1524" s="69"/>
      <c r="G1524"/>
      <c r="H1524" s="1050"/>
      <c r="I1524" s="1051"/>
      <c r="J1524" s="750"/>
      <c r="K1524" s="749"/>
      <c r="L1524" s="749" t="s">
        <v>129</v>
      </c>
      <c r="R1524" s="1777" t="str">
        <f>CHOOSE(2, "6722000004425", "RF (1) Office Marginal Profit % NH Indirect")</f>
        <v>RF (1) Office Marginal Profit % NH Indirect</v>
      </c>
      <c r="S1524" s="1688">
        <f t="shared" si="2134"/>
        <v>0.42182082398531512</v>
      </c>
      <c r="T1524" s="1688">
        <f t="shared" si="2134"/>
        <v>0.36684574275561838</v>
      </c>
      <c r="U1524" s="1688">
        <f t="shared" si="2134"/>
        <v>0.40158799481051688</v>
      </c>
      <c r="V1524" s="1688">
        <f t="shared" si="2134"/>
        <v>0.40027665937170592</v>
      </c>
      <c r="W1524" s="1688">
        <f t="shared" si="2134"/>
        <v>0.40349284168526278</v>
      </c>
      <c r="X1524" s="1688">
        <f t="shared" si="2134"/>
        <v>0.38227057630989997</v>
      </c>
      <c r="Y1524" s="1688">
        <f t="shared" si="2134"/>
        <v>0.42262773411824078</v>
      </c>
      <c r="Z1524" s="1688">
        <f t="shared" si="2134"/>
        <v>0.41189726163684981</v>
      </c>
      <c r="AA1524" s="1688">
        <f t="shared" si="2134"/>
        <v>0.43919775747811529</v>
      </c>
      <c r="AB1524" s="1688">
        <f t="shared" si="2134"/>
        <v>0.41941459473983511</v>
      </c>
      <c r="AC1524" s="1688">
        <f t="shared" si="2134"/>
        <v>0.32038535915940958</v>
      </c>
      <c r="AD1524" s="1688">
        <f t="shared" si="2134"/>
        <v>0.45438016745828563</v>
      </c>
      <c r="AE1524" s="1688">
        <f t="shared" si="2135"/>
        <v>0.39788897369885468</v>
      </c>
      <c r="AF1524" s="1688">
        <f t="shared" si="2135"/>
        <v>0.39594726566444338</v>
      </c>
      <c r="AG1524" s="1688">
        <f t="shared" si="2135"/>
        <v>0.42529630848341521</v>
      </c>
      <c r="AH1524" s="1688">
        <f t="shared" si="2135"/>
        <v>0.40122822433765909</v>
      </c>
      <c r="AI1524" s="1688">
        <f t="shared" si="2135"/>
        <v>0.39693252143820329</v>
      </c>
      <c r="AJ1524" s="1688">
        <f t="shared" si="2135"/>
        <v>0.41356500505748689</v>
      </c>
      <c r="AK1524" s="1688">
        <f t="shared" si="2135"/>
        <v>0.40566444252216821</v>
      </c>
    </row>
    <row r="1525" spans="1:37" ht="14.5">
      <c r="A1525" s="1693">
        <f t="shared" si="2136"/>
        <v>1508</v>
      </c>
      <c r="B1525" s="616">
        <v>1</v>
      </c>
      <c r="C1525" s="1693">
        <f t="shared" si="2103"/>
        <v>1525</v>
      </c>
      <c r="D1525" s="616">
        <v>1</v>
      </c>
      <c r="F1525" s="69"/>
      <c r="G1525"/>
      <c r="H1525" s="1050"/>
      <c r="I1525" s="1051"/>
      <c r="J1525" s="750"/>
      <c r="K1525" s="1055" t="s">
        <v>417</v>
      </c>
      <c r="L1525" s="1055"/>
      <c r="M1525" s="1056"/>
      <c r="N1525" s="213"/>
      <c r="O1525" s="213"/>
      <c r="P1525" s="213"/>
      <c r="Q1525" s="213"/>
      <c r="R1525" s="1848" t="str">
        <f>CHOOSE(2, "6722000004426", "RF (1) Office Marginal Profit % Office Solution")</f>
        <v>RF (1) Office Marginal Profit % Office Solution</v>
      </c>
      <c r="S1525" s="1450">
        <f t="shared" si="2134"/>
        <v>0.52430668841761829</v>
      </c>
      <c r="T1525" s="1450">
        <f t="shared" si="2134"/>
        <v>0.71455559054296525</v>
      </c>
      <c r="U1525" s="1450">
        <f t="shared" si="2134"/>
        <v>0.65763665014447392</v>
      </c>
      <c r="V1525" s="1450">
        <f t="shared" si="2134"/>
        <v>0.52464354755119058</v>
      </c>
      <c r="W1525" s="1450">
        <f t="shared" si="2134"/>
        <v>0.61198920894794395</v>
      </c>
      <c r="X1525" s="1450">
        <f t="shared" si="2134"/>
        <v>0.62995756034450434</v>
      </c>
      <c r="Y1525" s="1450">
        <f t="shared" si="2134"/>
        <v>0.70388615604752114</v>
      </c>
      <c r="Z1525" s="1450">
        <f t="shared" si="2134"/>
        <v>0.74134609066939183</v>
      </c>
      <c r="AA1525" s="1450">
        <f t="shared" si="2134"/>
        <v>0.60707948850238136</v>
      </c>
      <c r="AB1525" s="1450">
        <f t="shared" si="2134"/>
        <v>0.48940714151839365</v>
      </c>
      <c r="AC1525" s="1450">
        <f t="shared" si="2134"/>
        <v>0.6864627041986362</v>
      </c>
      <c r="AD1525" s="1450">
        <f t="shared" si="2134"/>
        <v>0.78056091340604017</v>
      </c>
      <c r="AE1525" s="1450">
        <f t="shared" si="2135"/>
        <v>0.63408191277881476</v>
      </c>
      <c r="AF1525" s="1450">
        <f t="shared" si="2135"/>
        <v>0.59769791882822321</v>
      </c>
      <c r="AG1525" s="1450">
        <f t="shared" si="2135"/>
        <v>0.67923650014600945</v>
      </c>
      <c r="AH1525" s="1450">
        <f t="shared" si="2135"/>
        <v>0.60740213400526055</v>
      </c>
      <c r="AI1525" s="1450">
        <f t="shared" si="2135"/>
        <v>0.61746608764645927</v>
      </c>
      <c r="AJ1525" s="1450">
        <f t="shared" si="2135"/>
        <v>0.63687338062975951</v>
      </c>
      <c r="AK1525" s="1450">
        <f t="shared" si="2135"/>
        <v>0.62693382006596254</v>
      </c>
    </row>
    <row r="1526" spans="1:37" ht="14.5">
      <c r="A1526" s="1693">
        <f t="shared" si="2136"/>
        <v>1509</v>
      </c>
      <c r="B1526" s="616">
        <v>1</v>
      </c>
      <c r="C1526" s="1693">
        <f t="shared" si="2103"/>
        <v>1526</v>
      </c>
      <c r="D1526" s="616">
        <v>1</v>
      </c>
      <c r="F1526" s="69"/>
      <c r="G1526"/>
      <c r="H1526" s="1050"/>
      <c r="I1526" s="1051"/>
      <c r="J1526" s="750"/>
      <c r="K1526" s="1055" t="s">
        <v>51</v>
      </c>
      <c r="L1526" s="1055"/>
      <c r="M1526" s="1056"/>
      <c r="N1526" s="213"/>
      <c r="O1526" s="213"/>
      <c r="P1526" s="213"/>
      <c r="Q1526" s="213"/>
      <c r="R1526" s="1848" t="str">
        <f>CHOOSE(2, "6722000004427", "RF (1) Office Marginal Profit % Others")</f>
        <v>RF (1) Office Marginal Profit % Others</v>
      </c>
      <c r="S1526" s="1450" t="str">
        <f t="shared" si="2134"/>
        <v/>
      </c>
      <c r="T1526" s="1450" t="str">
        <f t="shared" si="2134"/>
        <v/>
      </c>
      <c r="U1526" s="1450" t="str">
        <f t="shared" si="2134"/>
        <v/>
      </c>
      <c r="V1526" s="1450" t="str">
        <f t="shared" si="2134"/>
        <v/>
      </c>
      <c r="W1526" s="1450" t="str">
        <f t="shared" si="2134"/>
        <v/>
      </c>
      <c r="X1526" s="1450" t="str">
        <f t="shared" si="2134"/>
        <v/>
      </c>
      <c r="Y1526" s="1450" t="str">
        <f t="shared" si="2134"/>
        <v/>
      </c>
      <c r="Z1526" s="1450" t="str">
        <f t="shared" si="2134"/>
        <v/>
      </c>
      <c r="AA1526" s="1450" t="str">
        <f t="shared" si="2134"/>
        <v/>
      </c>
      <c r="AB1526" s="1450" t="str">
        <f t="shared" si="2134"/>
        <v/>
      </c>
      <c r="AC1526" s="1450" t="str">
        <f t="shared" si="2134"/>
        <v/>
      </c>
      <c r="AD1526" s="1450" t="str">
        <f t="shared" si="2134"/>
        <v/>
      </c>
      <c r="AE1526" s="1450" t="str">
        <f t="shared" si="2135"/>
        <v/>
      </c>
      <c r="AF1526" s="1450" t="str">
        <f t="shared" si="2135"/>
        <v/>
      </c>
      <c r="AG1526" s="1450" t="str">
        <f t="shared" si="2135"/>
        <v/>
      </c>
      <c r="AH1526" s="1450" t="str">
        <f t="shared" si="2135"/>
        <v/>
      </c>
      <c r="AI1526" s="1450" t="str">
        <f t="shared" si="2135"/>
        <v/>
      </c>
      <c r="AJ1526" s="1450" t="str">
        <f t="shared" si="2135"/>
        <v/>
      </c>
      <c r="AK1526" s="1450" t="str">
        <f t="shared" si="2135"/>
        <v/>
      </c>
    </row>
    <row r="1527" spans="1:37" ht="14.5">
      <c r="A1527" s="1693">
        <f t="shared" si="2136"/>
        <v>1510</v>
      </c>
      <c r="B1527" s="616">
        <v>1</v>
      </c>
      <c r="C1527" s="1693">
        <f t="shared" si="2103"/>
        <v>1527</v>
      </c>
      <c r="D1527" s="616">
        <v>1</v>
      </c>
      <c r="F1527" s="69"/>
      <c r="G1527"/>
      <c r="H1527" s="1050"/>
      <c r="I1527" s="1051"/>
      <c r="J1527" s="747" t="s">
        <v>492</v>
      </c>
      <c r="K1527" s="748"/>
      <c r="L1527" s="748"/>
      <c r="M1527" s="1052"/>
      <c r="N1527" s="1053"/>
      <c r="O1527" s="1053"/>
      <c r="P1527" s="1053"/>
      <c r="Q1527" s="1053"/>
      <c r="R1527" s="1846" t="str">
        <f>CHOOSE(2, "6722000004428", "RF (1) Office Fixed Cost")</f>
        <v>RF (1) Office Fixed Cost</v>
      </c>
      <c r="S1527" s="1446">
        <f>SUM(S1528:S1529)</f>
        <v>63245.679272741894</v>
      </c>
      <c r="T1527" s="1446">
        <f t="shared" ref="T1527:AD1527" si="2137">SUM(T1528:T1529)</f>
        <v>72016.826378637692</v>
      </c>
      <c r="U1527" s="1446">
        <f t="shared" si="2137"/>
        <v>43570.264104354428</v>
      </c>
      <c r="V1527" s="1446">
        <f t="shared" si="2137"/>
        <v>57143.685936509282</v>
      </c>
      <c r="W1527" s="1446">
        <f t="shared" si="2137"/>
        <v>56238.761128024758</v>
      </c>
      <c r="X1527" s="1446">
        <f t="shared" si="2137"/>
        <v>54680.539136991378</v>
      </c>
      <c r="Y1527" s="1446">
        <f t="shared" si="2137"/>
        <v>52737.843679429847</v>
      </c>
      <c r="Z1527" s="1446">
        <f t="shared" si="2137"/>
        <v>72194.951217384994</v>
      </c>
      <c r="AA1527" s="1446">
        <f t="shared" si="2137"/>
        <v>63245.487400710976</v>
      </c>
      <c r="AB1527" s="1446">
        <f t="shared" si="2137"/>
        <v>64589.668015644544</v>
      </c>
      <c r="AC1527" s="1446">
        <f t="shared" si="2137"/>
        <v>70400.471407391102</v>
      </c>
      <c r="AD1527" s="1446">
        <f t="shared" si="2137"/>
        <v>45879.63374191866</v>
      </c>
      <c r="AE1527" s="1054">
        <f>SUM(S1527:U1527)</f>
        <v>178832.76975573401</v>
      </c>
      <c r="AF1527" s="1054">
        <f t="shared" si="2110"/>
        <v>168062.9862015254</v>
      </c>
      <c r="AG1527" s="1054">
        <f t="shared" si="2111"/>
        <v>188178.28229752582</v>
      </c>
      <c r="AH1527" s="1054">
        <f t="shared" si="2112"/>
        <v>180869.7731649543</v>
      </c>
      <c r="AI1527" s="1054">
        <f t="shared" si="2113"/>
        <v>346895.75595725945</v>
      </c>
      <c r="AJ1527" s="1054">
        <f t="shared" si="2114"/>
        <v>369048.05546248012</v>
      </c>
      <c r="AK1527" s="1054">
        <f t="shared" si="2115"/>
        <v>715943.81141973962</v>
      </c>
    </row>
    <row r="1528" spans="1:37" ht="14.5">
      <c r="A1528" s="1693">
        <f t="shared" si="2136"/>
        <v>1511</v>
      </c>
      <c r="B1528" s="616">
        <v>1</v>
      </c>
      <c r="C1528" s="1693">
        <f t="shared" si="2103"/>
        <v>1528</v>
      </c>
      <c r="D1528" s="616">
        <v>1</v>
      </c>
      <c r="F1528" s="69"/>
      <c r="G1528"/>
      <c r="H1528" s="1050"/>
      <c r="I1528" s="1051"/>
      <c r="J1528" s="750"/>
      <c r="K1528" s="749" t="s">
        <v>804</v>
      </c>
      <c r="L1528" s="749"/>
      <c r="R1528" s="1777" t="str">
        <f>CHOOSE(2, "6722000004429", "RF (1) Office Fixed Cost COGs")</f>
        <v>RF (1) Office Fixed Cost COGs</v>
      </c>
      <c r="S1528" s="1226">
        <f t="shared" ref="S1528:AD1528" si="2138">S847</f>
        <v>7422</v>
      </c>
      <c r="T1528" s="1226">
        <f t="shared" si="2138"/>
        <v>8822.6180000000004</v>
      </c>
      <c r="U1528" s="1226">
        <f t="shared" si="2138"/>
        <v>8195.2570000000014</v>
      </c>
      <c r="V1528" s="1226">
        <f t="shared" si="2138"/>
        <v>8907</v>
      </c>
      <c r="W1528" s="1226">
        <f t="shared" si="2138"/>
        <v>8591</v>
      </c>
      <c r="X1528" s="1226">
        <f t="shared" si="2138"/>
        <v>9110.3826199999803</v>
      </c>
      <c r="Y1528" s="1226">
        <f t="shared" si="2138"/>
        <v>8165.5444099999704</v>
      </c>
      <c r="Z1528" s="1226">
        <f t="shared" si="2138"/>
        <v>9265.7403899999917</v>
      </c>
      <c r="AA1528" s="1226">
        <f t="shared" si="2138"/>
        <v>10211.38565593796</v>
      </c>
      <c r="AB1528" s="1226">
        <f t="shared" si="2138"/>
        <v>7033.8437317931748</v>
      </c>
      <c r="AC1528" s="1226">
        <f t="shared" si="2138"/>
        <v>9632.3080720837934</v>
      </c>
      <c r="AD1528" s="1226">
        <f t="shared" si="2138"/>
        <v>7475.3919387663118</v>
      </c>
      <c r="AE1528" s="1226">
        <f>SUM(S1528:U1528)</f>
        <v>24439.875</v>
      </c>
      <c r="AF1528" s="1226">
        <f t="shared" si="2110"/>
        <v>26608.382619999982</v>
      </c>
      <c r="AG1528" s="1226">
        <f t="shared" si="2111"/>
        <v>27642.670455937921</v>
      </c>
      <c r="AH1528" s="1226">
        <f t="shared" si="2112"/>
        <v>24141.54374264328</v>
      </c>
      <c r="AI1528" s="1226">
        <f t="shared" si="2113"/>
        <v>51048.257619999982</v>
      </c>
      <c r="AJ1528" s="1226">
        <f t="shared" si="2114"/>
        <v>51784.214198581205</v>
      </c>
      <c r="AK1528" s="1226">
        <f t="shared" si="2115"/>
        <v>102832.47181858119</v>
      </c>
    </row>
    <row r="1529" spans="1:37" ht="14.5">
      <c r="A1529" s="1693">
        <f t="shared" si="2136"/>
        <v>1512</v>
      </c>
      <c r="B1529" s="616">
        <v>1</v>
      </c>
      <c r="C1529" s="1693">
        <f t="shared" si="2103"/>
        <v>1529</v>
      </c>
      <c r="D1529" s="616">
        <v>1</v>
      </c>
      <c r="F1529" s="69"/>
      <c r="G1529"/>
      <c r="H1529" s="1050"/>
      <c r="I1529" s="1051"/>
      <c r="J1529" s="750"/>
      <c r="K1529" s="749" t="s">
        <v>805</v>
      </c>
      <c r="L1529" s="749"/>
      <c r="R1529" s="1777" t="str">
        <f>CHOOSE(2, "6722000004430", "RF (1) Office Fixed Cost SG&amp;A")</f>
        <v>RF (1) Office Fixed Cost SG&amp;A</v>
      </c>
      <c r="S1529" s="1226">
        <f t="shared" ref="S1529:AD1529" si="2139">S84+S85</f>
        <v>55823.679272741894</v>
      </c>
      <c r="T1529" s="1226">
        <f t="shared" si="2139"/>
        <v>63194.208378637697</v>
      </c>
      <c r="U1529" s="1226">
        <f t="shared" si="2139"/>
        <v>35375.007104354423</v>
      </c>
      <c r="V1529" s="1226">
        <f t="shared" si="2139"/>
        <v>48236.685936509282</v>
      </c>
      <c r="W1529" s="1226">
        <f t="shared" si="2139"/>
        <v>47647.761128024758</v>
      </c>
      <c r="X1529" s="1226">
        <f t="shared" si="2139"/>
        <v>45570.156516991396</v>
      </c>
      <c r="Y1529" s="1226">
        <f t="shared" si="2139"/>
        <v>44572.299269429874</v>
      </c>
      <c r="Z1529" s="1226">
        <f t="shared" si="2139"/>
        <v>62929.210827385003</v>
      </c>
      <c r="AA1529" s="1226">
        <f t="shared" si="2139"/>
        <v>53034.101744773012</v>
      </c>
      <c r="AB1529" s="1226">
        <f t="shared" si="2139"/>
        <v>57555.824283851369</v>
      </c>
      <c r="AC1529" s="1226">
        <f t="shared" si="2139"/>
        <v>60768.163335307305</v>
      </c>
      <c r="AD1529" s="1226">
        <f t="shared" si="2139"/>
        <v>38404.241803152348</v>
      </c>
      <c r="AE1529" s="1226">
        <f>SUM(S1529:U1529)</f>
        <v>154392.89475573401</v>
      </c>
      <c r="AF1529" s="1226">
        <f t="shared" si="2110"/>
        <v>141454.60358152544</v>
      </c>
      <c r="AG1529" s="1226">
        <f t="shared" si="2111"/>
        <v>160535.61184158787</v>
      </c>
      <c r="AH1529" s="1226">
        <f t="shared" si="2112"/>
        <v>156728.22942231101</v>
      </c>
      <c r="AI1529" s="1226">
        <f t="shared" si="2113"/>
        <v>295847.49833725946</v>
      </c>
      <c r="AJ1529" s="1226">
        <f t="shared" si="2114"/>
        <v>317263.84126389888</v>
      </c>
      <c r="AK1529" s="1226">
        <f t="shared" si="2115"/>
        <v>613111.3396011584</v>
      </c>
    </row>
    <row r="1530" spans="1:37" ht="14.5">
      <c r="A1530" s="1693">
        <f t="shared" si="2136"/>
        <v>1513</v>
      </c>
      <c r="B1530" s="616">
        <v>1</v>
      </c>
      <c r="C1530" s="1693">
        <f t="shared" si="2103"/>
        <v>1530</v>
      </c>
      <c r="D1530" s="616">
        <v>1</v>
      </c>
      <c r="F1530" s="69"/>
      <c r="G1530"/>
      <c r="H1530" s="1050"/>
      <c r="I1530" s="1051"/>
      <c r="J1530" s="747" t="s">
        <v>493</v>
      </c>
      <c r="K1530" s="748"/>
      <c r="L1530" s="748"/>
      <c r="M1530" s="1052"/>
      <c r="N1530" s="1053"/>
      <c r="O1530" s="1053"/>
      <c r="P1530" s="1053"/>
      <c r="Q1530" s="1053"/>
      <c r="R1530" s="1846" t="str">
        <f>CHOOSE(2, "6722000004431", "RF (1) Office BCP")</f>
        <v>RF (1) Office BCP</v>
      </c>
      <c r="S1530" s="1446">
        <f>S1509-S1527</f>
        <v>9410.6568249128759</v>
      </c>
      <c r="T1530" s="1446">
        <f t="shared" ref="T1530:AD1530" si="2140">T1509-T1527</f>
        <v>9877.9129580040171</v>
      </c>
      <c r="U1530" s="1446">
        <f t="shared" si="2140"/>
        <v>25877.191547244787</v>
      </c>
      <c r="V1530" s="1446">
        <f t="shared" si="2140"/>
        <v>13657.743455884513</v>
      </c>
      <c r="W1530" s="1446">
        <f t="shared" si="2140"/>
        <v>19703.991205535094</v>
      </c>
      <c r="X1530" s="1446">
        <f t="shared" si="2140"/>
        <v>23525.203257204725</v>
      </c>
      <c r="Y1530" s="1446">
        <f t="shared" si="2140"/>
        <v>6998.1928717242845</v>
      </c>
      <c r="Z1530" s="1446">
        <f t="shared" si="2140"/>
        <v>16768.90055058799</v>
      </c>
      <c r="AA1530" s="1446">
        <f t="shared" si="2140"/>
        <v>19699.509599569326</v>
      </c>
      <c r="AB1530" s="1446">
        <f t="shared" si="2140"/>
        <v>29385.497811565896</v>
      </c>
      <c r="AC1530" s="1446">
        <f t="shared" si="2140"/>
        <v>18136.958959030948</v>
      </c>
      <c r="AD1530" s="1446">
        <f t="shared" si="2140"/>
        <v>12344.871187818469</v>
      </c>
      <c r="AE1530" s="1054">
        <f>SUM(S1530:U1530)</f>
        <v>45165.76133016168</v>
      </c>
      <c r="AF1530" s="1054">
        <f>SUM(V1530:X1530)</f>
        <v>56886.937918624331</v>
      </c>
      <c r="AG1530" s="1054">
        <f>SUM(Y1530:AA1530)</f>
        <v>43466.603021881601</v>
      </c>
      <c r="AH1530" s="1054">
        <f>SUM(AB1530:AD1530)</f>
        <v>59867.327958415313</v>
      </c>
      <c r="AI1530" s="1054">
        <f t="shared" si="2113"/>
        <v>102052.69924878601</v>
      </c>
      <c r="AJ1530" s="1054">
        <f t="shared" si="2114"/>
        <v>103333.93098029692</v>
      </c>
      <c r="AK1530" s="1054">
        <f t="shared" si="2115"/>
        <v>205386.63022908295</v>
      </c>
    </row>
    <row r="1531" spans="1:37" ht="14.5">
      <c r="A1531" s="1693">
        <f t="shared" si="2136"/>
        <v>1514</v>
      </c>
      <c r="B1531" s="616">
        <v>1</v>
      </c>
      <c r="C1531" s="1693">
        <f t="shared" si="2103"/>
        <v>1531</v>
      </c>
      <c r="D1531" s="616">
        <v>1</v>
      </c>
      <c r="F1531" s="69"/>
      <c r="G1531"/>
      <c r="H1531" s="1050"/>
      <c r="I1531" s="1051"/>
      <c r="J1531" s="747" t="s">
        <v>506</v>
      </c>
      <c r="K1531" s="748"/>
      <c r="L1531" s="748"/>
      <c r="M1531" s="1052"/>
      <c r="N1531" s="1053"/>
      <c r="O1531" s="1053"/>
      <c r="P1531" s="1053"/>
      <c r="Q1531" s="1053"/>
      <c r="R1531" s="1846" t="str">
        <f>CHOOSE(2, "6722000004432", "RF (1) Office Break-even Point Net Sales")</f>
        <v>RF (1) Office Break-even Point Net Sales</v>
      </c>
      <c r="S1531" s="1446">
        <f>IFERROR(S1527/S1518,0)</f>
        <v>245678.24366854093</v>
      </c>
      <c r="T1531" s="1446">
        <f t="shared" ref="T1531:AD1531" si="2141">IFERROR(T1527/T1518,0)</f>
        <v>268432.66047951556</v>
      </c>
      <c r="U1531" s="1446">
        <f t="shared" si="2141"/>
        <v>200563.3279312861</v>
      </c>
      <c r="V1531" s="1446">
        <f t="shared" si="2141"/>
        <v>217738.60474652683</v>
      </c>
      <c r="W1531" s="1446">
        <f t="shared" si="2141"/>
        <v>225092.71289529491</v>
      </c>
      <c r="X1531" s="1446">
        <f t="shared" si="2141"/>
        <v>238237.53197839411</v>
      </c>
      <c r="Y1531" s="1446">
        <f t="shared" si="2141"/>
        <v>221718.15953000443</v>
      </c>
      <c r="Z1531" s="1446">
        <f t="shared" si="2141"/>
        <v>229499.67963486086</v>
      </c>
      <c r="AA1531" s="1446">
        <f t="shared" si="2141"/>
        <v>245813.17132699193</v>
      </c>
      <c r="AB1531" s="1446">
        <f t="shared" si="2141"/>
        <v>212007.42864172719</v>
      </c>
      <c r="AC1531" s="1446">
        <f t="shared" si="2141"/>
        <v>239805.8098321195</v>
      </c>
      <c r="AD1531" s="1446">
        <f t="shared" si="2141"/>
        <v>260876.89006855292</v>
      </c>
      <c r="AE1531" s="1054">
        <f t="shared" ref="AE1531:AK1531" si="2142">IFERROR(AE1527/AE1518,0)</f>
        <v>724250.98209093313</v>
      </c>
      <c r="AF1531" s="1054">
        <f t="shared" si="2142"/>
        <v>683213.07948206423</v>
      </c>
      <c r="AG1531" s="1054">
        <f t="shared" si="2142"/>
        <v>695640.64826273313</v>
      </c>
      <c r="AH1531" s="1054">
        <f t="shared" si="2142"/>
        <v>707078.13059793226</v>
      </c>
      <c r="AI1531" s="1054">
        <f t="shared" si="2142"/>
        <v>1407552.3153832899</v>
      </c>
      <c r="AJ1531" s="1054">
        <f t="shared" si="2142"/>
        <v>1404250.832875069</v>
      </c>
      <c r="AK1531" s="1054">
        <f t="shared" si="2142"/>
        <v>2812300.9162924127</v>
      </c>
    </row>
    <row r="1532" spans="1:37" ht="14.5">
      <c r="A1532" s="1693">
        <f t="shared" si="2136"/>
        <v>1515</v>
      </c>
      <c r="B1532" s="616">
        <v>1</v>
      </c>
      <c r="C1532" s="1693">
        <f t="shared" si="2103"/>
        <v>1532</v>
      </c>
      <c r="D1532" s="616">
        <v>1</v>
      </c>
      <c r="F1532" s="69"/>
      <c r="G1532"/>
      <c r="H1532" s="1050"/>
      <c r="I1532" s="1051"/>
      <c r="J1532" s="751"/>
      <c r="K1532" s="752" t="s">
        <v>55</v>
      </c>
      <c r="L1532" s="753"/>
      <c r="M1532" s="16"/>
      <c r="N1532" s="11"/>
      <c r="O1532" s="11"/>
      <c r="P1532" s="11"/>
      <c r="Q1532" s="11"/>
      <c r="R1532" s="1772" t="str">
        <f>CHOOSE(2, "6722000004433", "RF (1) Office Break-even Point Net Sales (%)")</f>
        <v>RF (1) Office Break-even Point Net Sales (%)</v>
      </c>
      <c r="S1532" s="1689">
        <f>IFERROR(S1531/S1491,0)</f>
        <v>0.87047713481912503</v>
      </c>
      <c r="T1532" s="1689">
        <f t="shared" ref="T1532:AD1532" si="2143">IFERROR(T1531/T1491,0)</f>
        <v>0.87938281459814849</v>
      </c>
      <c r="U1532" s="1689">
        <f t="shared" si="2143"/>
        <v>0.62738459883880726</v>
      </c>
      <c r="V1532" s="1689">
        <f t="shared" si="2143"/>
        <v>0.80709791351540472</v>
      </c>
      <c r="W1532" s="1689">
        <f t="shared" si="2143"/>
        <v>0.74054151844549743</v>
      </c>
      <c r="X1532" s="1689">
        <f t="shared" si="2143"/>
        <v>0.69918828800798383</v>
      </c>
      <c r="Y1532" s="1689">
        <f t="shared" si="2143"/>
        <v>0.88284805494700891</v>
      </c>
      <c r="Z1532" s="1689">
        <f t="shared" si="2143"/>
        <v>0.81150882951512671</v>
      </c>
      <c r="AA1532" s="1689">
        <f t="shared" si="2143"/>
        <v>0.7624991221652252</v>
      </c>
      <c r="AB1532" s="1689">
        <f t="shared" si="2143"/>
        <v>0.68730570940841762</v>
      </c>
      <c r="AC1532" s="1689">
        <f t="shared" si="2143"/>
        <v>0.79514925061672648</v>
      </c>
      <c r="AD1532" s="1689">
        <f t="shared" si="2143"/>
        <v>0.78797808237758749</v>
      </c>
      <c r="AE1532" s="1689">
        <f t="shared" ref="AE1532:AK1532" si="2144">IFERROR(AE1531/AE1491,0)</f>
        <v>0.7983658146720517</v>
      </c>
      <c r="AF1532" s="1689">
        <f t="shared" si="2144"/>
        <v>0.74711288238425899</v>
      </c>
      <c r="AG1532" s="1689">
        <f t="shared" si="2144"/>
        <v>0.81235673318689094</v>
      </c>
      <c r="AH1532" s="1689">
        <f t="shared" si="2144"/>
        <v>0.75131657032068633</v>
      </c>
      <c r="AI1532" s="1689">
        <f t="shared" si="2144"/>
        <v>0.77268504197893106</v>
      </c>
      <c r="AJ1532" s="1689">
        <f t="shared" si="2144"/>
        <v>0.78124921367463163</v>
      </c>
      <c r="AK1532" s="1689">
        <f t="shared" si="2144"/>
        <v>0.77707604031673916</v>
      </c>
    </row>
    <row r="1533" spans="1:37" ht="14.5">
      <c r="A1533" s="1693">
        <f t="shared" si="2136"/>
        <v>1516</v>
      </c>
      <c r="B1533" s="616">
        <v>1</v>
      </c>
      <c r="C1533" s="1693">
        <f t="shared" si="2103"/>
        <v>1533</v>
      </c>
      <c r="D1533" s="616">
        <v>1</v>
      </c>
      <c r="F1533" s="69"/>
      <c r="G1533"/>
      <c r="R1533" s="1772" t="str">
        <f>CHOOSE(2, "6722000004434", "▷ Blank 64")</f>
        <v>▷ Blank 64</v>
      </c>
      <c r="S1533" s="1366"/>
      <c r="T1533" s="1366"/>
      <c r="U1533" s="1366"/>
      <c r="V1533" s="1366"/>
      <c r="W1533" s="1366"/>
      <c r="X1533" s="1366"/>
      <c r="Y1533" s="1366"/>
      <c r="Z1533" s="1366"/>
      <c r="AA1533" s="1366"/>
      <c r="AB1533" s="1366"/>
      <c r="AC1533" s="69"/>
      <c r="AD1533" s="69"/>
      <c r="AE1533" s="69"/>
      <c r="AF1533" s="69"/>
      <c r="AG1533" s="69"/>
      <c r="AH1533" s="69"/>
      <c r="AI1533" s="69"/>
      <c r="AJ1533" s="69"/>
      <c r="AK1533" s="69"/>
    </row>
    <row r="1534" spans="1:37" ht="14.5">
      <c r="A1534" s="1693">
        <f t="shared" si="2136"/>
        <v>1517</v>
      </c>
      <c r="B1534" s="616">
        <v>1</v>
      </c>
      <c r="C1534" s="1693">
        <f t="shared" si="2103"/>
        <v>1534</v>
      </c>
      <c r="D1534" s="616">
        <v>1</v>
      </c>
      <c r="F1534" s="69"/>
      <c r="G1534"/>
      <c r="I1534" s="4" t="s">
        <v>283</v>
      </c>
      <c r="R1534" s="1772" t="str">
        <f>CHOOSE(2, "6722000004435", "RF (2) PP")</f>
        <v>RF (2) PP</v>
      </c>
      <c r="S1534" s="1366"/>
      <c r="T1534" s="1366"/>
      <c r="U1534" s="1366"/>
      <c r="V1534" s="1366"/>
      <c r="W1534" s="1366"/>
      <c r="X1534" s="1366"/>
      <c r="Y1534" s="1366"/>
      <c r="Z1534" s="1366"/>
      <c r="AA1534" s="1366"/>
      <c r="AB1534" s="1366"/>
      <c r="AC1534" s="69"/>
      <c r="AD1534" s="69"/>
      <c r="AE1534" s="69"/>
      <c r="AF1534" s="69"/>
      <c r="AG1534" s="69"/>
      <c r="AH1534" s="69"/>
      <c r="AI1534" s="69"/>
      <c r="AJ1534" s="69"/>
      <c r="AK1534" s="69"/>
    </row>
    <row r="1535" spans="1:37" ht="14.5">
      <c r="A1535" s="1693">
        <f t="shared" si="2136"/>
        <v>1518</v>
      </c>
      <c r="B1535" s="616">
        <v>1</v>
      </c>
      <c r="C1535" s="1693">
        <f t="shared" si="2103"/>
        <v>1535</v>
      </c>
      <c r="D1535" s="616">
        <v>1</v>
      </c>
      <c r="F1535" s="69"/>
      <c r="G1535"/>
      <c r="H1535" s="1050"/>
      <c r="I1535" s="1051"/>
      <c r="J1535" s="1058" t="s">
        <v>0</v>
      </c>
      <c r="K1535" s="1059"/>
      <c r="L1535" s="1059"/>
      <c r="M1535" s="1060"/>
      <c r="N1535" s="1061"/>
      <c r="O1535" s="1061"/>
      <c r="P1535" s="1061"/>
      <c r="Q1535" s="1061"/>
      <c r="R1535" s="1854" t="str">
        <f>CHOOSE(2, "6722000004436", "RF (2) PP Net Sales")</f>
        <v>RF (2) PP Net Sales</v>
      </c>
      <c r="S1535" s="1451">
        <f>SUM(S1536,S1539,S1542,S1543)</f>
        <v>741421</v>
      </c>
      <c r="T1535" s="1451">
        <f t="shared" ref="T1535:AD1535" si="2145">SUM(T1536,T1539,T1542,T1543)</f>
        <v>670439.83007000014</v>
      </c>
      <c r="U1535" s="1451">
        <f t="shared" si="2145"/>
        <v>548754.72616000008</v>
      </c>
      <c r="V1535" s="1451">
        <f t="shared" si="2145"/>
        <v>566025.12901000003</v>
      </c>
      <c r="W1535" s="1451">
        <f t="shared" si="2145"/>
        <v>645300.38467000006</v>
      </c>
      <c r="X1535" s="1451">
        <f t="shared" si="2145"/>
        <v>660270.56619000004</v>
      </c>
      <c r="Y1535" s="1451">
        <f t="shared" si="2145"/>
        <v>644306.11956000002</v>
      </c>
      <c r="Z1535" s="1451">
        <f t="shared" si="2145"/>
        <v>565927.86107999994</v>
      </c>
      <c r="AA1535" s="1451">
        <f t="shared" si="2145"/>
        <v>603751.41897999996</v>
      </c>
      <c r="AB1535" s="1451">
        <f t="shared" si="2145"/>
        <v>656242.02197999996</v>
      </c>
      <c r="AC1535" s="1451">
        <f t="shared" si="2145"/>
        <v>698873.97473999998</v>
      </c>
      <c r="AD1535" s="1451">
        <f t="shared" si="2145"/>
        <v>600052.71788999997</v>
      </c>
      <c r="AE1535" s="1062">
        <f t="shared" ref="AE1535:AE1561" si="2146">SUM(S1535:U1535)</f>
        <v>1960615.5562300002</v>
      </c>
      <c r="AF1535" s="1062">
        <f t="shared" ref="AF1535:AF1561" si="2147">SUM(V1535:X1535)</f>
        <v>1871596.07987</v>
      </c>
      <c r="AG1535" s="1062">
        <f t="shared" ref="AG1535:AG1561" si="2148">SUM(Y1535:AA1535)</f>
        <v>1813985.3996199998</v>
      </c>
      <c r="AH1535" s="1062">
        <f t="shared" ref="AH1535:AH1561" si="2149">SUM(AB1535:AD1535)</f>
        <v>1955168.7146099999</v>
      </c>
      <c r="AI1535" s="1062">
        <f t="shared" ref="AI1535:AI1561" si="2150">AE1535+AF1535</f>
        <v>3832211.6361000002</v>
      </c>
      <c r="AJ1535" s="1062">
        <f t="shared" ref="AJ1535:AJ1561" si="2151">AH1535+AG1535</f>
        <v>3769154.1142299995</v>
      </c>
      <c r="AK1535" s="1062">
        <f t="shared" ref="AK1535:AK1561" si="2152">AI1535+AJ1535</f>
        <v>7601365.7503299993</v>
      </c>
    </row>
    <row r="1536" spans="1:37" ht="14.5">
      <c r="A1536" s="1693">
        <f t="shared" si="2136"/>
        <v>1519</v>
      </c>
      <c r="B1536" s="616">
        <v>1</v>
      </c>
      <c r="C1536" s="1693">
        <f t="shared" si="2103"/>
        <v>1536</v>
      </c>
      <c r="D1536" s="616">
        <v>1</v>
      </c>
      <c r="F1536" s="69"/>
      <c r="G1536"/>
      <c r="H1536" s="1050"/>
      <c r="I1536" s="1051"/>
      <c r="J1536" s="750"/>
      <c r="K1536" s="1055" t="s">
        <v>799</v>
      </c>
      <c r="L1536" s="1055"/>
      <c r="M1536" s="1056"/>
      <c r="N1536" s="213"/>
      <c r="O1536" s="213"/>
      <c r="P1536" s="213"/>
      <c r="Q1536" s="213"/>
      <c r="R1536" s="1848" t="str">
        <f>CHOOSE(2, "6722000004437", "RF (2) PP Net Sales HW")</f>
        <v>RF (2) PP Net Sales HW</v>
      </c>
      <c r="S1536" s="1447">
        <f>SUM(S1537:S1538)</f>
        <v>196704</v>
      </c>
      <c r="T1536" s="1447">
        <f t="shared" ref="T1536:AD1536" si="2153">SUM(T1537:T1538)</f>
        <v>203899.04200000002</v>
      </c>
      <c r="U1536" s="1447">
        <f t="shared" si="2153"/>
        <v>165723.19819</v>
      </c>
      <c r="V1536" s="1447">
        <f t="shared" si="2153"/>
        <v>171697.24600000001</v>
      </c>
      <c r="W1536" s="1447">
        <f t="shared" si="2153"/>
        <v>210205.47500000001</v>
      </c>
      <c r="X1536" s="1447">
        <f t="shared" si="2153"/>
        <v>212318.11991000001</v>
      </c>
      <c r="Y1536" s="1447">
        <f t="shared" si="2153"/>
        <v>176528.96290000001</v>
      </c>
      <c r="Z1536" s="1447">
        <f t="shared" si="2153"/>
        <v>158480.75</v>
      </c>
      <c r="AA1536" s="1447">
        <f t="shared" si="2153"/>
        <v>168559.79379</v>
      </c>
      <c r="AB1536" s="1447">
        <f t="shared" si="2153"/>
        <v>171945.52100000001</v>
      </c>
      <c r="AC1536" s="1447">
        <f t="shared" si="2153"/>
        <v>212179.49667999998</v>
      </c>
      <c r="AD1536" s="1447">
        <f t="shared" si="2153"/>
        <v>190060.58517999999</v>
      </c>
      <c r="AE1536" s="1447">
        <f t="shared" si="2146"/>
        <v>566326.24019000004</v>
      </c>
      <c r="AF1536" s="1447">
        <f t="shared" si="2147"/>
        <v>594220.84091000003</v>
      </c>
      <c r="AG1536" s="1447">
        <f t="shared" si="2148"/>
        <v>503569.50669000007</v>
      </c>
      <c r="AH1536" s="1447">
        <f t="shared" si="2149"/>
        <v>574185.60285999998</v>
      </c>
      <c r="AI1536" s="1447">
        <f t="shared" si="2150"/>
        <v>1160547.0811000001</v>
      </c>
      <c r="AJ1536" s="1447">
        <f t="shared" si="2151"/>
        <v>1077755.1095500002</v>
      </c>
      <c r="AK1536" s="1447">
        <f t="shared" si="2152"/>
        <v>2238302.1906500002</v>
      </c>
    </row>
    <row r="1537" spans="1:37" ht="14.5">
      <c r="A1537" s="1693">
        <f t="shared" si="2136"/>
        <v>1520</v>
      </c>
      <c r="B1537" s="616">
        <v>1</v>
      </c>
      <c r="C1537" s="1693">
        <f t="shared" si="2103"/>
        <v>1537</v>
      </c>
      <c r="D1537" s="616">
        <v>1</v>
      </c>
      <c r="F1537" s="69"/>
      <c r="G1537"/>
      <c r="H1537" s="1050"/>
      <c r="I1537" s="1051"/>
      <c r="J1537" s="750"/>
      <c r="K1537" s="749"/>
      <c r="L1537" s="749" t="s">
        <v>120</v>
      </c>
      <c r="R1537" s="1777" t="str">
        <f>CHOOSE(2, "6722000004438", "RF (2) PP Net Sales HW Direct")</f>
        <v>RF (2) PP Net Sales HW Direct</v>
      </c>
      <c r="S1537" s="1226">
        <f t="shared" ref="S1537:AD1537" si="2154">S562</f>
        <v>173967</v>
      </c>
      <c r="T1537" s="1226">
        <f t="shared" si="2154"/>
        <v>177103.152</v>
      </c>
      <c r="U1537" s="1226">
        <f t="shared" si="2154"/>
        <v>147042.73019</v>
      </c>
      <c r="V1537" s="1226">
        <f t="shared" si="2154"/>
        <v>155687.508</v>
      </c>
      <c r="W1537" s="1226">
        <f t="shared" si="2154"/>
        <v>187192.307</v>
      </c>
      <c r="X1537" s="1226">
        <f t="shared" si="2154"/>
        <v>168589</v>
      </c>
      <c r="Y1537" s="1226">
        <f t="shared" si="2154"/>
        <v>152393.592</v>
      </c>
      <c r="Z1537" s="1226">
        <f t="shared" si="2154"/>
        <v>137776.978</v>
      </c>
      <c r="AA1537" s="1226">
        <f t="shared" si="2154"/>
        <v>144738.25099999999</v>
      </c>
      <c r="AB1537" s="1226">
        <f t="shared" si="2154"/>
        <v>142969.81299999999</v>
      </c>
      <c r="AC1537" s="1226">
        <f t="shared" si="2154"/>
        <v>185027.31899999999</v>
      </c>
      <c r="AD1537" s="1226">
        <f t="shared" si="2154"/>
        <v>158362.845</v>
      </c>
      <c r="AE1537" s="1226">
        <f t="shared" si="2146"/>
        <v>498112.88219000003</v>
      </c>
      <c r="AF1537" s="1226">
        <f t="shared" si="2147"/>
        <v>511468.815</v>
      </c>
      <c r="AG1537" s="1226">
        <f t="shared" si="2148"/>
        <v>434908.821</v>
      </c>
      <c r="AH1537" s="1226">
        <f t="shared" si="2149"/>
        <v>486359.97699999996</v>
      </c>
      <c r="AI1537" s="1226">
        <f t="shared" si="2150"/>
        <v>1009581.69719</v>
      </c>
      <c r="AJ1537" s="1226">
        <f t="shared" si="2151"/>
        <v>921268.79799999995</v>
      </c>
      <c r="AK1537" s="1226">
        <f t="shared" si="2152"/>
        <v>1930850.4951899999</v>
      </c>
    </row>
    <row r="1538" spans="1:37" ht="14.5">
      <c r="A1538" s="1693">
        <f t="shared" si="2136"/>
        <v>1521</v>
      </c>
      <c r="B1538" s="616">
        <v>1</v>
      </c>
      <c r="C1538" s="1693">
        <f t="shared" si="2103"/>
        <v>1538</v>
      </c>
      <c r="D1538" s="616">
        <v>1</v>
      </c>
      <c r="F1538" s="69"/>
      <c r="G1538"/>
      <c r="H1538" s="1050"/>
      <c r="I1538" s="1051"/>
      <c r="J1538" s="750"/>
      <c r="K1538" s="749"/>
      <c r="L1538" s="749" t="s">
        <v>129</v>
      </c>
      <c r="R1538" s="1777" t="str">
        <f>CHOOSE(2, "6722000004439", "RF (2) PP Net Sales HW Indirect")</f>
        <v>RF (2) PP Net Sales HW Indirect</v>
      </c>
      <c r="S1538" s="1226">
        <f t="shared" ref="S1538:AD1538" si="2155">S577</f>
        <v>22737</v>
      </c>
      <c r="T1538" s="1226">
        <f t="shared" si="2155"/>
        <v>26795.89</v>
      </c>
      <c r="U1538" s="1226">
        <f t="shared" si="2155"/>
        <v>18680.468000000001</v>
      </c>
      <c r="V1538" s="1226">
        <f t="shared" si="2155"/>
        <v>16009.737999999999</v>
      </c>
      <c r="W1538" s="1226">
        <f t="shared" si="2155"/>
        <v>23013.168000000001</v>
      </c>
      <c r="X1538" s="1226">
        <f t="shared" si="2155"/>
        <v>43729.119909999994</v>
      </c>
      <c r="Y1538" s="1226">
        <f t="shared" si="2155"/>
        <v>24135.370899999998</v>
      </c>
      <c r="Z1538" s="1226">
        <f t="shared" si="2155"/>
        <v>20703.772000000001</v>
      </c>
      <c r="AA1538" s="1226">
        <f t="shared" si="2155"/>
        <v>23821.54279</v>
      </c>
      <c r="AB1538" s="1226">
        <f t="shared" si="2155"/>
        <v>28975.707999999999</v>
      </c>
      <c r="AC1538" s="1226">
        <f t="shared" si="2155"/>
        <v>27152.177680000001</v>
      </c>
      <c r="AD1538" s="1226">
        <f t="shared" si="2155"/>
        <v>31697.740180000001</v>
      </c>
      <c r="AE1538" s="1226">
        <f t="shared" si="2146"/>
        <v>68213.358000000007</v>
      </c>
      <c r="AF1538" s="1226">
        <f t="shared" si="2147"/>
        <v>82752.025909999997</v>
      </c>
      <c r="AG1538" s="1226">
        <f t="shared" si="2148"/>
        <v>68660.685689999998</v>
      </c>
      <c r="AH1538" s="1226">
        <f t="shared" si="2149"/>
        <v>87825.62586</v>
      </c>
      <c r="AI1538" s="1226">
        <f t="shared" si="2150"/>
        <v>150965.38391</v>
      </c>
      <c r="AJ1538" s="1226">
        <f t="shared" si="2151"/>
        <v>156486.31154999998</v>
      </c>
      <c r="AK1538" s="1226">
        <f t="shared" si="2152"/>
        <v>307451.69545999996</v>
      </c>
    </row>
    <row r="1539" spans="1:37" ht="14.5">
      <c r="A1539" s="1693">
        <f t="shared" si="2136"/>
        <v>1522</v>
      </c>
      <c r="B1539" s="616">
        <v>1</v>
      </c>
      <c r="C1539" s="1693">
        <f t="shared" si="2103"/>
        <v>1539</v>
      </c>
      <c r="D1539" s="616">
        <v>1</v>
      </c>
      <c r="F1539" s="69"/>
      <c r="G1539"/>
      <c r="H1539" s="1050"/>
      <c r="I1539" s="1051"/>
      <c r="J1539" s="750"/>
      <c r="K1539" s="1055" t="s">
        <v>800</v>
      </c>
      <c r="L1539" s="1055"/>
      <c r="M1539" s="1056"/>
      <c r="N1539" s="213"/>
      <c r="O1539" s="213"/>
      <c r="P1539" s="213"/>
      <c r="Q1539" s="213"/>
      <c r="R1539" s="1848" t="str">
        <f>CHOOSE(2, "6722000004440", "RF (2) PP Net Sales NH")</f>
        <v>RF (2) PP Net Sales NH</v>
      </c>
      <c r="S1539" s="1447">
        <f>SUM(S1540:S1541)</f>
        <v>544717</v>
      </c>
      <c r="T1539" s="1447">
        <f t="shared" ref="T1539:AD1539" si="2156">SUM(T1540:T1541)</f>
        <v>466540.78807000007</v>
      </c>
      <c r="U1539" s="1447">
        <f t="shared" si="2156"/>
        <v>383031.52797000005</v>
      </c>
      <c r="V1539" s="1447">
        <f t="shared" si="2156"/>
        <v>394327.88300999999</v>
      </c>
      <c r="W1539" s="1447">
        <f t="shared" si="2156"/>
        <v>435094.90967000002</v>
      </c>
      <c r="X1539" s="1447">
        <f t="shared" si="2156"/>
        <v>447801.44628000003</v>
      </c>
      <c r="Y1539" s="1447">
        <f t="shared" si="2156"/>
        <v>467475.15665999998</v>
      </c>
      <c r="Z1539" s="1447">
        <f t="shared" si="2156"/>
        <v>407105.11107999994</v>
      </c>
      <c r="AA1539" s="1447">
        <f t="shared" si="2156"/>
        <v>435191.62518999999</v>
      </c>
      <c r="AB1539" s="1447">
        <f t="shared" si="2156"/>
        <v>484145.50097999995</v>
      </c>
      <c r="AC1539" s="1447">
        <f t="shared" si="2156"/>
        <v>486569.47805999999</v>
      </c>
      <c r="AD1539" s="1447">
        <f t="shared" si="2156"/>
        <v>409322.39270999999</v>
      </c>
      <c r="AE1539" s="1447">
        <f t="shared" si="2146"/>
        <v>1394289.3160399999</v>
      </c>
      <c r="AF1539" s="1447">
        <f t="shared" si="2147"/>
        <v>1277224.23896</v>
      </c>
      <c r="AG1539" s="1447">
        <f t="shared" si="2148"/>
        <v>1309771.8929299999</v>
      </c>
      <c r="AH1539" s="1447">
        <f t="shared" si="2149"/>
        <v>1380037.3717499999</v>
      </c>
      <c r="AI1539" s="1447">
        <f t="shared" si="2150"/>
        <v>2671513.5549999997</v>
      </c>
      <c r="AJ1539" s="1447">
        <f t="shared" si="2151"/>
        <v>2689809.26468</v>
      </c>
      <c r="AK1539" s="1447">
        <f t="shared" si="2152"/>
        <v>5361322.8196799997</v>
      </c>
    </row>
    <row r="1540" spans="1:37" ht="14.5">
      <c r="A1540" s="1693">
        <f t="shared" si="2136"/>
        <v>1523</v>
      </c>
      <c r="B1540" s="616">
        <v>1</v>
      </c>
      <c r="C1540" s="1693">
        <f t="shared" si="2103"/>
        <v>1540</v>
      </c>
      <c r="D1540" s="616">
        <v>1</v>
      </c>
      <c r="F1540" s="69"/>
      <c r="G1540"/>
      <c r="H1540" s="1050"/>
      <c r="I1540" s="1051"/>
      <c r="J1540" s="750"/>
      <c r="K1540" s="749"/>
      <c r="L1540" s="749" t="s">
        <v>120</v>
      </c>
      <c r="R1540" s="1777" t="str">
        <f>CHOOSE(2, "6722000004441", "RF (2) PP Net Sales NH Direct")</f>
        <v>RF (2) PP Net Sales NH Direct</v>
      </c>
      <c r="S1540" s="1226">
        <f t="shared" ref="S1540:AD1540" si="2157">S565</f>
        <v>488843</v>
      </c>
      <c r="T1540" s="1226">
        <f t="shared" si="2157"/>
        <v>410775.12953000009</v>
      </c>
      <c r="U1540" s="1226">
        <f t="shared" si="2157"/>
        <v>340151.65397000004</v>
      </c>
      <c r="V1540" s="1226">
        <f t="shared" si="2157"/>
        <v>357130.87001000001</v>
      </c>
      <c r="W1540" s="1226">
        <f t="shared" si="2157"/>
        <v>388258.64867000002</v>
      </c>
      <c r="X1540" s="1226">
        <f t="shared" si="2157"/>
        <v>395638</v>
      </c>
      <c r="Y1540" s="1226">
        <f t="shared" si="2157"/>
        <v>413046.64866000001</v>
      </c>
      <c r="Z1540" s="1226">
        <f t="shared" si="2157"/>
        <v>363911.49851999996</v>
      </c>
      <c r="AA1540" s="1226">
        <f t="shared" si="2157"/>
        <v>393221.81718999997</v>
      </c>
      <c r="AB1540" s="1226">
        <f t="shared" si="2157"/>
        <v>431022.48349999997</v>
      </c>
      <c r="AC1540" s="1226">
        <f t="shared" si="2157"/>
        <v>435387.96337999997</v>
      </c>
      <c r="AD1540" s="1226">
        <f t="shared" si="2157"/>
        <v>336836.99002999999</v>
      </c>
      <c r="AE1540" s="1226">
        <f t="shared" si="2146"/>
        <v>1239769.7835000001</v>
      </c>
      <c r="AF1540" s="1226">
        <f t="shared" si="2147"/>
        <v>1141027.51868</v>
      </c>
      <c r="AG1540" s="1226">
        <f t="shared" si="2148"/>
        <v>1170179.9643699999</v>
      </c>
      <c r="AH1540" s="1226">
        <f t="shared" si="2149"/>
        <v>1203247.4369099999</v>
      </c>
      <c r="AI1540" s="1226">
        <f t="shared" si="2150"/>
        <v>2380797.3021800001</v>
      </c>
      <c r="AJ1540" s="1226">
        <f t="shared" si="2151"/>
        <v>2373427.4012799999</v>
      </c>
      <c r="AK1540" s="1226">
        <f t="shared" si="2152"/>
        <v>4754224.7034600005</v>
      </c>
    </row>
    <row r="1541" spans="1:37" ht="14.5">
      <c r="A1541" s="1693">
        <f t="shared" si="2136"/>
        <v>1524</v>
      </c>
      <c r="B1541" s="616">
        <v>1</v>
      </c>
      <c r="C1541" s="1693">
        <f t="shared" si="2103"/>
        <v>1541</v>
      </c>
      <c r="D1541" s="616">
        <v>1</v>
      </c>
      <c r="F1541" s="69"/>
      <c r="G1541"/>
      <c r="H1541" s="1050"/>
      <c r="I1541" s="1051"/>
      <c r="J1541" s="750"/>
      <c r="K1541" s="749"/>
      <c r="L1541" s="749" t="s">
        <v>129</v>
      </c>
      <c r="R1541" s="1777" t="str">
        <f>CHOOSE(2, "6722000004442", "RF (2) PP Net Sales NH Indirect")</f>
        <v>RF (2) PP Net Sales NH Indirect</v>
      </c>
      <c r="S1541" s="1226">
        <f t="shared" ref="S1541:AD1541" si="2158">S580</f>
        <v>55874</v>
      </c>
      <c r="T1541" s="1226">
        <f t="shared" si="2158"/>
        <v>55765.658539999997</v>
      </c>
      <c r="U1541" s="1226">
        <f t="shared" si="2158"/>
        <v>42879.874000000003</v>
      </c>
      <c r="V1541" s="1226">
        <f t="shared" si="2158"/>
        <v>37197.012999999999</v>
      </c>
      <c r="W1541" s="1226">
        <f t="shared" si="2158"/>
        <v>46836.260999999999</v>
      </c>
      <c r="X1541" s="1226">
        <f t="shared" si="2158"/>
        <v>52163.446280000004</v>
      </c>
      <c r="Y1541" s="1226">
        <f t="shared" si="2158"/>
        <v>54428.508000000002</v>
      </c>
      <c r="Z1541" s="1226">
        <f t="shared" si="2158"/>
        <v>43193.612560000001</v>
      </c>
      <c r="AA1541" s="1226">
        <f t="shared" si="2158"/>
        <v>41969.807999999997</v>
      </c>
      <c r="AB1541" s="1226">
        <f t="shared" si="2158"/>
        <v>53123.017479999995</v>
      </c>
      <c r="AC1541" s="1226">
        <f t="shared" si="2158"/>
        <v>51181.51468</v>
      </c>
      <c r="AD1541" s="1226">
        <f t="shared" si="2158"/>
        <v>72485.402679999999</v>
      </c>
      <c r="AE1541" s="1226">
        <f t="shared" si="2146"/>
        <v>154519.53254000001</v>
      </c>
      <c r="AF1541" s="1226">
        <f t="shared" si="2147"/>
        <v>136196.72028000001</v>
      </c>
      <c r="AG1541" s="1226">
        <f t="shared" si="2148"/>
        <v>139591.92856</v>
      </c>
      <c r="AH1541" s="1226">
        <f t="shared" si="2149"/>
        <v>176789.93484</v>
      </c>
      <c r="AI1541" s="1226">
        <f t="shared" si="2150"/>
        <v>290716.25282000005</v>
      </c>
      <c r="AJ1541" s="1226">
        <f t="shared" si="2151"/>
        <v>316381.86340000003</v>
      </c>
      <c r="AK1541" s="1226">
        <f t="shared" si="2152"/>
        <v>607098.11622000008</v>
      </c>
    </row>
    <row r="1542" spans="1:37" ht="14.5">
      <c r="A1542" s="1693">
        <f t="shared" si="2136"/>
        <v>1525</v>
      </c>
      <c r="B1542" s="616">
        <v>1</v>
      </c>
      <c r="C1542" s="1693">
        <f t="shared" si="2103"/>
        <v>1542</v>
      </c>
      <c r="D1542" s="616">
        <v>1</v>
      </c>
      <c r="F1542" s="69"/>
      <c r="G1542"/>
      <c r="H1542" s="1050"/>
      <c r="I1542" s="1051"/>
      <c r="J1542" s="750"/>
      <c r="K1542" s="1055" t="s">
        <v>116</v>
      </c>
      <c r="L1542" s="1055"/>
      <c r="M1542" s="1056"/>
      <c r="N1542" s="213"/>
      <c r="O1542" s="213"/>
      <c r="P1542" s="213"/>
      <c r="Q1542" s="213"/>
      <c r="R1542" s="1848" t="str">
        <f>CHOOSE(2, "6722000004443", "RF (2) PP Net Sales Solution")</f>
        <v>RF (2) PP Net Sales Solution</v>
      </c>
      <c r="S1542" s="1447">
        <f t="shared" ref="S1542:AD1543" si="2159">S157</f>
        <v>0</v>
      </c>
      <c r="T1542" s="1447">
        <f t="shared" si="2159"/>
        <v>0</v>
      </c>
      <c r="U1542" s="1447">
        <f t="shared" si="2159"/>
        <v>0</v>
      </c>
      <c r="V1542" s="1447">
        <f t="shared" si="2159"/>
        <v>0</v>
      </c>
      <c r="W1542" s="1447">
        <f t="shared" si="2159"/>
        <v>0</v>
      </c>
      <c r="X1542" s="1447">
        <f t="shared" si="2159"/>
        <v>151</v>
      </c>
      <c r="Y1542" s="1447">
        <f t="shared" si="2159"/>
        <v>302</v>
      </c>
      <c r="Z1542" s="1447">
        <f t="shared" si="2159"/>
        <v>342</v>
      </c>
      <c r="AA1542" s="1447">
        <f t="shared" si="2159"/>
        <v>0</v>
      </c>
      <c r="AB1542" s="1447">
        <f t="shared" si="2159"/>
        <v>151</v>
      </c>
      <c r="AC1542" s="1447">
        <f t="shared" si="2159"/>
        <v>125</v>
      </c>
      <c r="AD1542" s="1447">
        <f t="shared" si="2159"/>
        <v>669.74</v>
      </c>
      <c r="AE1542" s="1447">
        <f t="shared" si="2146"/>
        <v>0</v>
      </c>
      <c r="AF1542" s="1447">
        <f t="shared" si="2147"/>
        <v>151</v>
      </c>
      <c r="AG1542" s="1447">
        <f t="shared" si="2148"/>
        <v>644</v>
      </c>
      <c r="AH1542" s="1447">
        <f t="shared" si="2149"/>
        <v>945.74</v>
      </c>
      <c r="AI1542" s="1447">
        <f t="shared" si="2150"/>
        <v>151</v>
      </c>
      <c r="AJ1542" s="1447">
        <f t="shared" si="2151"/>
        <v>1589.74</v>
      </c>
      <c r="AK1542" s="1447">
        <f t="shared" si="2152"/>
        <v>1740.74</v>
      </c>
    </row>
    <row r="1543" spans="1:37" ht="14.5">
      <c r="A1543" s="1693">
        <f t="shared" si="2136"/>
        <v>1526</v>
      </c>
      <c r="B1543" s="616">
        <v>1</v>
      </c>
      <c r="C1543" s="1693">
        <f t="shared" si="2103"/>
        <v>1543</v>
      </c>
      <c r="D1543" s="616">
        <v>1</v>
      </c>
      <c r="F1543" s="69"/>
      <c r="G1543"/>
      <c r="H1543" s="1050"/>
      <c r="I1543" s="1051"/>
      <c r="J1543" s="750"/>
      <c r="K1543" s="1055" t="s">
        <v>51</v>
      </c>
      <c r="L1543" s="1055"/>
      <c r="M1543" s="1056"/>
      <c r="N1543" s="213"/>
      <c r="O1543" s="213"/>
      <c r="P1543" s="213"/>
      <c r="Q1543" s="213"/>
      <c r="R1543" s="1848" t="str">
        <f>CHOOSE(2, "6722000004444", "RF (2) PP Net Sales Others")</f>
        <v>RF (2) PP Net Sales Others</v>
      </c>
      <c r="S1543" s="1447">
        <f t="shared" si="2159"/>
        <v>0</v>
      </c>
      <c r="T1543" s="1447">
        <f t="shared" si="2159"/>
        <v>0</v>
      </c>
      <c r="U1543" s="1447">
        <f t="shared" si="2159"/>
        <v>0</v>
      </c>
      <c r="V1543" s="1447">
        <f t="shared" si="2159"/>
        <v>0</v>
      </c>
      <c r="W1543" s="1447">
        <f t="shared" si="2159"/>
        <v>0</v>
      </c>
      <c r="X1543" s="1447">
        <f t="shared" si="2159"/>
        <v>0</v>
      </c>
      <c r="Y1543" s="1447">
        <f t="shared" si="2159"/>
        <v>0</v>
      </c>
      <c r="Z1543" s="1447">
        <f t="shared" si="2159"/>
        <v>0</v>
      </c>
      <c r="AA1543" s="1447">
        <f t="shared" si="2159"/>
        <v>0</v>
      </c>
      <c r="AB1543" s="1447">
        <f t="shared" si="2159"/>
        <v>0</v>
      </c>
      <c r="AC1543" s="1447">
        <f t="shared" si="2159"/>
        <v>0</v>
      </c>
      <c r="AD1543" s="1447">
        <f t="shared" si="2159"/>
        <v>0</v>
      </c>
      <c r="AE1543" s="1447">
        <f t="shared" si="2146"/>
        <v>0</v>
      </c>
      <c r="AF1543" s="1447">
        <f t="shared" si="2147"/>
        <v>0</v>
      </c>
      <c r="AG1543" s="1447">
        <f t="shared" si="2148"/>
        <v>0</v>
      </c>
      <c r="AH1543" s="1447">
        <f t="shared" si="2149"/>
        <v>0</v>
      </c>
      <c r="AI1543" s="1447">
        <f t="shared" si="2150"/>
        <v>0</v>
      </c>
      <c r="AJ1543" s="1447">
        <f t="shared" si="2151"/>
        <v>0</v>
      </c>
      <c r="AK1543" s="1447">
        <f t="shared" si="2152"/>
        <v>0</v>
      </c>
    </row>
    <row r="1544" spans="1:37" ht="14.5">
      <c r="A1544" s="1693">
        <f t="shared" si="2136"/>
        <v>1527</v>
      </c>
      <c r="B1544" s="616">
        <v>1</v>
      </c>
      <c r="C1544" s="1693">
        <f t="shared" si="2103"/>
        <v>1544</v>
      </c>
      <c r="D1544" s="616">
        <v>1</v>
      </c>
      <c r="F1544" s="69"/>
      <c r="G1544"/>
      <c r="H1544" s="1050"/>
      <c r="I1544" s="1051"/>
      <c r="J1544" s="1058" t="s">
        <v>801</v>
      </c>
      <c r="K1544" s="1059"/>
      <c r="L1544" s="1059"/>
      <c r="M1544" s="1060"/>
      <c r="N1544" s="1061"/>
      <c r="O1544" s="1061"/>
      <c r="P1544" s="1061"/>
      <c r="Q1544" s="1061"/>
      <c r="R1544" s="1854" t="str">
        <f>CHOOSE(2, "6722000004445", "RF (2) PP Variable cost")</f>
        <v>RF (2) PP Variable cost</v>
      </c>
      <c r="S1544" s="1451">
        <f>SUM(S1545,S1548,S1551,S1552)</f>
        <v>473541.41057189385</v>
      </c>
      <c r="T1544" s="1451">
        <f t="shared" ref="T1544:AD1544" si="2160">SUM(T1545,T1548,T1551,T1552)</f>
        <v>474348.24691469298</v>
      </c>
      <c r="U1544" s="1451">
        <f t="shared" si="2160"/>
        <v>423822.53818156035</v>
      </c>
      <c r="V1544" s="1451">
        <f t="shared" si="2160"/>
        <v>414223.80763283133</v>
      </c>
      <c r="W1544" s="1451">
        <f t="shared" si="2160"/>
        <v>500141.48951452679</v>
      </c>
      <c r="X1544" s="1451">
        <f t="shared" si="2160"/>
        <v>495249.20463926642</v>
      </c>
      <c r="Y1544" s="1451">
        <f t="shared" si="2160"/>
        <v>466968.11392853723</v>
      </c>
      <c r="Z1544" s="1451">
        <f t="shared" si="2160"/>
        <v>402606.06685431831</v>
      </c>
      <c r="AA1544" s="1451">
        <f t="shared" si="2160"/>
        <v>392158.53399133956</v>
      </c>
      <c r="AB1544" s="1451">
        <f t="shared" si="2160"/>
        <v>458998.81882604287</v>
      </c>
      <c r="AC1544" s="1451">
        <f t="shared" si="2160"/>
        <v>504164.63775297831</v>
      </c>
      <c r="AD1544" s="1451">
        <f t="shared" si="2160"/>
        <v>468049.00017390144</v>
      </c>
      <c r="AE1544" s="1062">
        <f t="shared" si="2146"/>
        <v>1371712.1956681472</v>
      </c>
      <c r="AF1544" s="1062">
        <f t="shared" si="2147"/>
        <v>1409614.5017866245</v>
      </c>
      <c r="AG1544" s="1062">
        <f t="shared" si="2148"/>
        <v>1261732.7147741951</v>
      </c>
      <c r="AH1544" s="1062">
        <f t="shared" si="2149"/>
        <v>1431212.4567529226</v>
      </c>
      <c r="AI1544" s="1062">
        <f t="shared" si="2150"/>
        <v>2781326.697454772</v>
      </c>
      <c r="AJ1544" s="1062">
        <f t="shared" si="2151"/>
        <v>2692945.1715271175</v>
      </c>
      <c r="AK1544" s="1062">
        <f t="shared" si="2152"/>
        <v>5474271.8689818894</v>
      </c>
    </row>
    <row r="1545" spans="1:37" ht="14.5">
      <c r="A1545" s="1693">
        <f t="shared" si="2136"/>
        <v>1528</v>
      </c>
      <c r="B1545" s="616">
        <v>1</v>
      </c>
      <c r="C1545" s="1693">
        <f t="shared" si="2103"/>
        <v>1545</v>
      </c>
      <c r="D1545" s="616">
        <v>1</v>
      </c>
      <c r="F1545" s="69"/>
      <c r="G1545"/>
      <c r="H1545" s="1050"/>
      <c r="I1545" s="1051"/>
      <c r="J1545" s="750"/>
      <c r="K1545" s="1055" t="s">
        <v>799</v>
      </c>
      <c r="L1545" s="1055"/>
      <c r="M1545" s="1056"/>
      <c r="N1545" s="213"/>
      <c r="O1545" s="213"/>
      <c r="P1545" s="213"/>
      <c r="Q1545" s="213"/>
      <c r="R1545" s="1848" t="str">
        <f>CHOOSE(2, "6722000004446", "RF (2) PP Variable cost HW")</f>
        <v>RF (2) PP Variable cost HW</v>
      </c>
      <c r="S1545" s="1447">
        <f>SUM(S1546:S1547)</f>
        <v>133451</v>
      </c>
      <c r="T1545" s="1447">
        <f t="shared" ref="T1545:AD1545" si="2161">SUM(T1546:T1547)</f>
        <v>134891.77496000004</v>
      </c>
      <c r="U1545" s="1447">
        <f t="shared" si="2161"/>
        <v>107867.88189708334</v>
      </c>
      <c r="V1545" s="1447">
        <f t="shared" si="2161"/>
        <v>115320.42729708333</v>
      </c>
      <c r="W1545" s="1447">
        <f t="shared" si="2161"/>
        <v>127845.07359874999</v>
      </c>
      <c r="X1545" s="1447">
        <f t="shared" si="2161"/>
        <v>136131.73620115849</v>
      </c>
      <c r="Y1545" s="1447">
        <f t="shared" si="2161"/>
        <v>119734.48425874999</v>
      </c>
      <c r="Z1545" s="1447">
        <f t="shared" si="2161"/>
        <v>95846.460445107048</v>
      </c>
      <c r="AA1545" s="1447">
        <f t="shared" si="2161"/>
        <v>105022.14277999998</v>
      </c>
      <c r="AB1545" s="1447">
        <f t="shared" si="2161"/>
        <v>112456.55321499999</v>
      </c>
      <c r="AC1545" s="1447">
        <f t="shared" si="2161"/>
        <v>144338.10802451058</v>
      </c>
      <c r="AD1545" s="1447">
        <f t="shared" si="2161"/>
        <v>116224.5221211038</v>
      </c>
      <c r="AE1545" s="1447">
        <f t="shared" si="2146"/>
        <v>376210.65685708344</v>
      </c>
      <c r="AF1545" s="1447">
        <f t="shared" si="2147"/>
        <v>379297.2370969918</v>
      </c>
      <c r="AG1545" s="1447">
        <f t="shared" si="2148"/>
        <v>320603.087483857</v>
      </c>
      <c r="AH1545" s="1447">
        <f t="shared" si="2149"/>
        <v>373019.18336061435</v>
      </c>
      <c r="AI1545" s="1447">
        <f t="shared" si="2150"/>
        <v>755507.89395407517</v>
      </c>
      <c r="AJ1545" s="1447">
        <f t="shared" si="2151"/>
        <v>693622.27084447141</v>
      </c>
      <c r="AK1545" s="1447">
        <f t="shared" si="2152"/>
        <v>1449130.1647985466</v>
      </c>
    </row>
    <row r="1546" spans="1:37" ht="14.5">
      <c r="A1546" s="1693">
        <f t="shared" si="2136"/>
        <v>1529</v>
      </c>
      <c r="B1546" s="616">
        <v>1</v>
      </c>
      <c r="C1546" s="1693">
        <f t="shared" si="2103"/>
        <v>1546</v>
      </c>
      <c r="D1546" s="616">
        <v>1</v>
      </c>
      <c r="F1546" s="69"/>
      <c r="G1546"/>
      <c r="H1546" s="1050"/>
      <c r="I1546" s="1051"/>
      <c r="J1546" s="750"/>
      <c r="K1546" s="749"/>
      <c r="L1546" s="749" t="s">
        <v>120</v>
      </c>
      <c r="R1546" s="1777" t="str">
        <f>CHOOSE(2, "6722000004447", "RF (2) PP Variable cost HW Direct")</f>
        <v>RF (2) PP Variable cost HW Direct</v>
      </c>
      <c r="S1546" s="1226">
        <f t="shared" ref="S1546:AD1546" si="2162">S562-S593</f>
        <v>117001</v>
      </c>
      <c r="T1546" s="1226">
        <f t="shared" si="2162"/>
        <v>111935.37049000003</v>
      </c>
      <c r="U1546" s="1226">
        <f t="shared" si="2162"/>
        <v>93188.062260675273</v>
      </c>
      <c r="V1546" s="1226">
        <f t="shared" si="2162"/>
        <v>103548.70994826776</v>
      </c>
      <c r="W1546" s="1226">
        <f t="shared" si="2162"/>
        <v>112439.74169209413</v>
      </c>
      <c r="X1546" s="1226">
        <f t="shared" si="2162"/>
        <v>103707</v>
      </c>
      <c r="Y1546" s="1226">
        <f t="shared" si="2162"/>
        <v>101255.36617761035</v>
      </c>
      <c r="Z1546" s="1226">
        <f t="shared" si="2162"/>
        <v>87188.688445107051</v>
      </c>
      <c r="AA1546" s="1226">
        <f t="shared" si="2162"/>
        <v>89704.849059240456</v>
      </c>
      <c r="AB1546" s="1226">
        <f t="shared" si="2162"/>
        <v>92622.273141174097</v>
      </c>
      <c r="AC1546" s="1226">
        <f t="shared" si="2162"/>
        <v>123985.09237777299</v>
      </c>
      <c r="AD1546" s="1226">
        <f t="shared" si="2162"/>
        <v>95660.311000000002</v>
      </c>
      <c r="AE1546" s="1226">
        <f t="shared" si="2146"/>
        <v>322124.4327506753</v>
      </c>
      <c r="AF1546" s="1226">
        <f t="shared" si="2147"/>
        <v>319695.45164036192</v>
      </c>
      <c r="AG1546" s="1226">
        <f t="shared" si="2148"/>
        <v>278148.90368195786</v>
      </c>
      <c r="AH1546" s="1226">
        <f t="shared" si="2149"/>
        <v>312267.67651894706</v>
      </c>
      <c r="AI1546" s="1226">
        <f t="shared" si="2150"/>
        <v>641819.88439103728</v>
      </c>
      <c r="AJ1546" s="1226">
        <f t="shared" si="2151"/>
        <v>590416.58020090498</v>
      </c>
      <c r="AK1546" s="1226">
        <f t="shared" si="2152"/>
        <v>1232236.4645919423</v>
      </c>
    </row>
    <row r="1547" spans="1:37" ht="14.5">
      <c r="A1547" s="1693">
        <f t="shared" si="2136"/>
        <v>1530</v>
      </c>
      <c r="B1547" s="616">
        <v>1</v>
      </c>
      <c r="C1547" s="1693">
        <f t="shared" si="2103"/>
        <v>1547</v>
      </c>
      <c r="D1547" s="616">
        <v>1</v>
      </c>
      <c r="F1547" s="69"/>
      <c r="G1547"/>
      <c r="H1547" s="1050"/>
      <c r="I1547" s="1051"/>
      <c r="J1547" s="750"/>
      <c r="K1547" s="749"/>
      <c r="L1547" s="749" t="s">
        <v>129</v>
      </c>
      <c r="R1547" s="1777" t="str">
        <f>CHOOSE(2, "6722000004448", "RF (2) PP Variable cost HW Indirect")</f>
        <v>RF (2) PP Variable cost HW Indirect</v>
      </c>
      <c r="S1547" s="1226">
        <f t="shared" ref="S1547:AD1547" si="2163">S577-S616</f>
        <v>16450</v>
      </c>
      <c r="T1547" s="1226">
        <f t="shared" si="2163"/>
        <v>22956.404470000001</v>
      </c>
      <c r="U1547" s="1226">
        <f t="shared" si="2163"/>
        <v>14679.819636408067</v>
      </c>
      <c r="V1547" s="1226">
        <f t="shared" si="2163"/>
        <v>11771.717348815564</v>
      </c>
      <c r="W1547" s="1226">
        <f t="shared" si="2163"/>
        <v>15405.331906655869</v>
      </c>
      <c r="X1547" s="1226">
        <f t="shared" si="2163"/>
        <v>32424.736201158492</v>
      </c>
      <c r="Y1547" s="1226">
        <f t="shared" si="2163"/>
        <v>18479.118081139641</v>
      </c>
      <c r="Z1547" s="1226">
        <f t="shared" si="2163"/>
        <v>8657.7720000000008</v>
      </c>
      <c r="AA1547" s="1226">
        <f t="shared" si="2163"/>
        <v>15317.293720759522</v>
      </c>
      <c r="AB1547" s="1226">
        <f t="shared" si="2163"/>
        <v>19834.280073825892</v>
      </c>
      <c r="AC1547" s="1226">
        <f t="shared" si="2163"/>
        <v>20353.0156467376</v>
      </c>
      <c r="AD1547" s="1226">
        <f t="shared" si="2163"/>
        <v>20564.211121103806</v>
      </c>
      <c r="AE1547" s="1226">
        <f t="shared" si="2146"/>
        <v>54086.224106408066</v>
      </c>
      <c r="AF1547" s="1226">
        <f t="shared" si="2147"/>
        <v>59601.785456629921</v>
      </c>
      <c r="AG1547" s="1226">
        <f t="shared" si="2148"/>
        <v>42454.183801899162</v>
      </c>
      <c r="AH1547" s="1226">
        <f t="shared" si="2149"/>
        <v>60751.506841667295</v>
      </c>
      <c r="AI1547" s="1226">
        <f t="shared" si="2150"/>
        <v>113688.00956303798</v>
      </c>
      <c r="AJ1547" s="1226">
        <f t="shared" si="2151"/>
        <v>103205.69064356646</v>
      </c>
      <c r="AK1547" s="1226">
        <f t="shared" si="2152"/>
        <v>216893.70020660444</v>
      </c>
    </row>
    <row r="1548" spans="1:37" ht="14.5">
      <c r="A1548" s="1693">
        <f t="shared" si="2136"/>
        <v>1531</v>
      </c>
      <c r="B1548" s="616">
        <v>1</v>
      </c>
      <c r="C1548" s="1693">
        <f t="shared" si="2103"/>
        <v>1548</v>
      </c>
      <c r="D1548" s="616">
        <v>1</v>
      </c>
      <c r="F1548" s="69"/>
      <c r="G1548"/>
      <c r="H1548" s="1050"/>
      <c r="I1548" s="1051"/>
      <c r="J1548" s="750"/>
      <c r="K1548" s="1055" t="s">
        <v>800</v>
      </c>
      <c r="L1548" s="1055"/>
      <c r="M1548" s="1056"/>
      <c r="N1548" s="213"/>
      <c r="O1548" s="213"/>
      <c r="P1548" s="213"/>
      <c r="Q1548" s="213"/>
      <c r="R1548" s="1848" t="str">
        <f>CHOOSE(2, "6722000004449", "RF (2) PP Variable cost NH")</f>
        <v>RF (2) PP Variable cost NH</v>
      </c>
      <c r="S1548" s="1447">
        <f>SUM(S1549:S1550)</f>
        <v>291383</v>
      </c>
      <c r="T1548" s="1447">
        <f t="shared" ref="T1548:AD1548" si="2164">SUM(T1549:T1550)</f>
        <v>295149.66465000005</v>
      </c>
      <c r="U1548" s="1447">
        <f t="shared" si="2164"/>
        <v>243228.91289416671</v>
      </c>
      <c r="V1548" s="1447">
        <f t="shared" si="2164"/>
        <v>256614.03015487822</v>
      </c>
      <c r="W1548" s="1447">
        <f t="shared" si="2164"/>
        <v>320438.66004517395</v>
      </c>
      <c r="X1548" s="1447">
        <f t="shared" si="2164"/>
        <v>300073.9914791995</v>
      </c>
      <c r="Y1548" s="1447">
        <f t="shared" si="2164"/>
        <v>322976.60322750005</v>
      </c>
      <c r="Z1548" s="1447">
        <f t="shared" si="2164"/>
        <v>244977.62765459865</v>
      </c>
      <c r="AA1548" s="1447">
        <f t="shared" si="2164"/>
        <v>278348.54827499948</v>
      </c>
      <c r="AB1548" s="1447">
        <f t="shared" si="2164"/>
        <v>299850.806255</v>
      </c>
      <c r="AC1548" s="1447">
        <f t="shared" si="2164"/>
        <v>265464.34081297211</v>
      </c>
      <c r="AD1548" s="1447">
        <f t="shared" si="2164"/>
        <v>297586.70483</v>
      </c>
      <c r="AE1548" s="1447">
        <f t="shared" si="2146"/>
        <v>829761.57754416671</v>
      </c>
      <c r="AF1548" s="1447">
        <f t="shared" si="2147"/>
        <v>877126.68167925172</v>
      </c>
      <c r="AG1548" s="1447">
        <f t="shared" si="2148"/>
        <v>846302.77915709815</v>
      </c>
      <c r="AH1548" s="1447">
        <f t="shared" si="2149"/>
        <v>862901.85189797217</v>
      </c>
      <c r="AI1548" s="1447">
        <f t="shared" si="2150"/>
        <v>1706888.2592234183</v>
      </c>
      <c r="AJ1548" s="1447">
        <f t="shared" si="2151"/>
        <v>1709204.6310550703</v>
      </c>
      <c r="AK1548" s="1447">
        <f t="shared" si="2152"/>
        <v>3416092.8902784884</v>
      </c>
    </row>
    <row r="1549" spans="1:37" ht="14.5">
      <c r="A1549" s="1693">
        <f t="shared" si="2136"/>
        <v>1532</v>
      </c>
      <c r="B1549" s="616">
        <v>1</v>
      </c>
      <c r="C1549" s="1693">
        <f t="shared" si="2103"/>
        <v>1549</v>
      </c>
      <c r="D1549" s="616">
        <v>1</v>
      </c>
      <c r="F1549" s="69"/>
      <c r="G1549"/>
      <c r="H1549" s="1050"/>
      <c r="I1549" s="1051"/>
      <c r="J1549" s="750"/>
      <c r="K1549" s="749"/>
      <c r="L1549" s="749" t="s">
        <v>120</v>
      </c>
      <c r="R1549" s="1777" t="str">
        <f>CHOOSE(2, "6722000004450", "RF (2) PP Variable cost NH Direct")</f>
        <v>RF (2) PP Variable cost NH Direct</v>
      </c>
      <c r="S1549" s="1226">
        <f t="shared" ref="S1549:AD1549" si="2165">S565-S596+(S601+S605+S608)</f>
        <v>251746</v>
      </c>
      <c r="T1549" s="1226">
        <f t="shared" si="2165"/>
        <v>257607.94574000008</v>
      </c>
      <c r="U1549" s="1226">
        <f t="shared" si="2165"/>
        <v>210650.53878009005</v>
      </c>
      <c r="V1549" s="1226">
        <f t="shared" si="2165"/>
        <v>231603.87001000001</v>
      </c>
      <c r="W1549" s="1226">
        <f t="shared" si="2165"/>
        <v>288415.64867000002</v>
      </c>
      <c r="X1549" s="1226">
        <f t="shared" si="2165"/>
        <v>264952</v>
      </c>
      <c r="Y1549" s="1226">
        <f t="shared" si="2165"/>
        <v>285289.90345796215</v>
      </c>
      <c r="Z1549" s="1226">
        <f t="shared" si="2165"/>
        <v>216595.49851999996</v>
      </c>
      <c r="AA1549" s="1226">
        <f t="shared" si="2165"/>
        <v>248651.07553148677</v>
      </c>
      <c r="AB1549" s="1226">
        <f t="shared" si="2165"/>
        <v>264020.67844095605</v>
      </c>
      <c r="AC1549" s="1226">
        <f t="shared" si="2165"/>
        <v>229895.84719168945</v>
      </c>
      <c r="AD1549" s="1226">
        <f t="shared" si="2165"/>
        <v>244943.24320356606</v>
      </c>
      <c r="AE1549" s="1226">
        <f t="shared" si="2146"/>
        <v>720004.48452009016</v>
      </c>
      <c r="AF1549" s="1226">
        <f t="shared" si="2147"/>
        <v>784971.51867999998</v>
      </c>
      <c r="AG1549" s="1226">
        <f t="shared" si="2148"/>
        <v>750536.47750944889</v>
      </c>
      <c r="AH1549" s="1226">
        <f t="shared" si="2149"/>
        <v>738859.76883621153</v>
      </c>
      <c r="AI1549" s="1226">
        <f t="shared" si="2150"/>
        <v>1504976.00320009</v>
      </c>
      <c r="AJ1549" s="1226">
        <f t="shared" si="2151"/>
        <v>1489396.2463456604</v>
      </c>
      <c r="AK1549" s="1226">
        <f t="shared" si="2152"/>
        <v>2994372.2495457502</v>
      </c>
    </row>
    <row r="1550" spans="1:37" ht="14.5">
      <c r="A1550" s="1693">
        <f t="shared" si="2136"/>
        <v>1533</v>
      </c>
      <c r="B1550" s="616">
        <v>1</v>
      </c>
      <c r="C1550" s="1693">
        <f t="shared" si="2103"/>
        <v>1550</v>
      </c>
      <c r="D1550" s="616">
        <v>1</v>
      </c>
      <c r="F1550" s="69"/>
      <c r="G1550"/>
      <c r="H1550" s="1050"/>
      <c r="I1550" s="1051"/>
      <c r="J1550" s="750"/>
      <c r="K1550" s="749"/>
      <c r="L1550" s="749" t="s">
        <v>129</v>
      </c>
      <c r="R1550" s="1777" t="str">
        <f>CHOOSE(2, "6722000004451", "RF (2) PP Variable cost NH Indirect")</f>
        <v>RF (2) PP Variable cost NH Indirect</v>
      </c>
      <c r="S1550" s="1226">
        <f t="shared" ref="S1550:AD1550" si="2166">S580-S619+(S624+S628+S631)</f>
        <v>39637</v>
      </c>
      <c r="T1550" s="1226">
        <f t="shared" si="2166"/>
        <v>37541.718909999981</v>
      </c>
      <c r="U1550" s="1226">
        <f t="shared" si="2166"/>
        <v>32578.37411407668</v>
      </c>
      <c r="V1550" s="1226">
        <f t="shared" si="2166"/>
        <v>25010.160144878188</v>
      </c>
      <c r="W1550" s="1226">
        <f t="shared" si="2166"/>
        <v>32023.011375173901</v>
      </c>
      <c r="X1550" s="1226">
        <f t="shared" si="2166"/>
        <v>35121.991479199518</v>
      </c>
      <c r="Y1550" s="1226">
        <f t="shared" si="2166"/>
        <v>37686.699769537889</v>
      </c>
      <c r="Z1550" s="1226">
        <f t="shared" si="2166"/>
        <v>28382.129134598694</v>
      </c>
      <c r="AA1550" s="1226">
        <f t="shared" si="2166"/>
        <v>29697.472743512732</v>
      </c>
      <c r="AB1550" s="1226">
        <f t="shared" si="2166"/>
        <v>35830.127814043954</v>
      </c>
      <c r="AC1550" s="1226">
        <f t="shared" si="2166"/>
        <v>35568.493621282643</v>
      </c>
      <c r="AD1550" s="1226">
        <f t="shared" si="2166"/>
        <v>52643.461626433942</v>
      </c>
      <c r="AE1550" s="1226">
        <f t="shared" si="2146"/>
        <v>109757.09302407666</v>
      </c>
      <c r="AF1550" s="1226">
        <f t="shared" si="2147"/>
        <v>92155.162999251595</v>
      </c>
      <c r="AG1550" s="1226">
        <f t="shared" si="2148"/>
        <v>95766.301647649307</v>
      </c>
      <c r="AH1550" s="1226">
        <f t="shared" si="2149"/>
        <v>124042.08306176054</v>
      </c>
      <c r="AI1550" s="1226">
        <f t="shared" si="2150"/>
        <v>201912.25602332826</v>
      </c>
      <c r="AJ1550" s="1226">
        <f t="shared" si="2151"/>
        <v>219808.38470940985</v>
      </c>
      <c r="AK1550" s="1226">
        <f t="shared" si="2152"/>
        <v>421720.64073273807</v>
      </c>
    </row>
    <row r="1551" spans="1:37" ht="14.5">
      <c r="A1551" s="1693">
        <f t="shared" si="2136"/>
        <v>1534</v>
      </c>
      <c r="B1551" s="616">
        <v>1</v>
      </c>
      <c r="C1551" s="1693">
        <f t="shared" ref="C1551:C1613" si="2167">C1550+1</f>
        <v>1551</v>
      </c>
      <c r="D1551" s="616">
        <v>1</v>
      </c>
      <c r="F1551" s="69"/>
      <c r="G1551"/>
      <c r="H1551" s="1050"/>
      <c r="I1551" s="1051"/>
      <c r="J1551" s="750"/>
      <c r="K1551" s="1055" t="s">
        <v>417</v>
      </c>
      <c r="L1551" s="1055"/>
      <c r="M1551" s="1056"/>
      <c r="N1551" s="213"/>
      <c r="O1551" s="213"/>
      <c r="P1551" s="213"/>
      <c r="Q1551" s="213"/>
      <c r="R1551" s="1848" t="str">
        <f>CHOOSE(2, "6722000004452", "RF (2) PP Variable cost Office Solution")</f>
        <v>RF (2) PP Variable cost Office Solution</v>
      </c>
      <c r="S1551" s="1447">
        <f t="shared" ref="S1551:AD1551" si="2168">S174</f>
        <v>0</v>
      </c>
      <c r="T1551" s="1447">
        <f t="shared" si="2168"/>
        <v>0</v>
      </c>
      <c r="U1551" s="1447">
        <f t="shared" si="2168"/>
        <v>0</v>
      </c>
      <c r="V1551" s="1447">
        <f t="shared" si="2168"/>
        <v>0</v>
      </c>
      <c r="W1551" s="1447">
        <f t="shared" si="2168"/>
        <v>0</v>
      </c>
      <c r="X1551" s="1447">
        <f t="shared" si="2168"/>
        <v>1199.6975700000003</v>
      </c>
      <c r="Y1551" s="1447">
        <f t="shared" si="2168"/>
        <v>1354.6253200000001</v>
      </c>
      <c r="Z1551" s="1447">
        <f t="shared" si="2168"/>
        <v>205.173</v>
      </c>
      <c r="AA1551" s="1447">
        <f t="shared" si="2168"/>
        <v>0</v>
      </c>
      <c r="AB1551" s="1447">
        <f t="shared" si="2168"/>
        <v>63.263999999999996</v>
      </c>
      <c r="AC1551" s="1447">
        <f t="shared" si="2168"/>
        <v>64.26400000000001</v>
      </c>
      <c r="AD1551" s="1447">
        <f t="shared" si="2168"/>
        <v>334.75100000000003</v>
      </c>
      <c r="AE1551" s="1447">
        <f t="shared" si="2146"/>
        <v>0</v>
      </c>
      <c r="AF1551" s="1447">
        <f t="shared" si="2147"/>
        <v>1199.6975700000003</v>
      </c>
      <c r="AG1551" s="1447">
        <f t="shared" si="2148"/>
        <v>1559.7983200000001</v>
      </c>
      <c r="AH1551" s="1447">
        <f t="shared" si="2149"/>
        <v>462.27900000000005</v>
      </c>
      <c r="AI1551" s="1447">
        <f t="shared" si="2150"/>
        <v>1199.6975700000003</v>
      </c>
      <c r="AJ1551" s="1447">
        <f t="shared" si="2151"/>
        <v>2022.0773200000001</v>
      </c>
      <c r="AK1551" s="1447">
        <f t="shared" si="2152"/>
        <v>3221.7748900000006</v>
      </c>
    </row>
    <row r="1552" spans="1:37" ht="14.5">
      <c r="A1552" s="1693">
        <f t="shared" si="2136"/>
        <v>1535</v>
      </c>
      <c r="B1552" s="616">
        <v>1</v>
      </c>
      <c r="C1552" s="1693">
        <f t="shared" si="2167"/>
        <v>1552</v>
      </c>
      <c r="D1552" s="616">
        <v>1</v>
      </c>
      <c r="F1552" s="69"/>
      <c r="G1552"/>
      <c r="H1552" s="1050"/>
      <c r="I1552" s="1051"/>
      <c r="J1552" s="750"/>
      <c r="K1552" s="1055" t="s">
        <v>802</v>
      </c>
      <c r="L1552" s="1055"/>
      <c r="M1552" s="1056"/>
      <c r="N1552" s="213"/>
      <c r="O1552" s="213"/>
      <c r="P1552" s="213"/>
      <c r="Q1552" s="213"/>
      <c r="R1552" s="1848" t="str">
        <f>CHOOSE(2, "6722000004453", "RF (2) PP Variable cost Others (inc. SG&amp;A variable)")</f>
        <v>RF (2) PP Variable cost Others (inc. SG&amp;A variable)</v>
      </c>
      <c r="S1552" s="1447">
        <f t="shared" ref="S1552:AD1552" si="2169">S175+S187</f>
        <v>48707.410571893852</v>
      </c>
      <c r="T1552" s="1447">
        <f t="shared" si="2169"/>
        <v>44306.807304692884</v>
      </c>
      <c r="U1552" s="1447">
        <f t="shared" si="2169"/>
        <v>72725.743390310323</v>
      </c>
      <c r="V1552" s="1447">
        <f t="shared" si="2169"/>
        <v>42289.350180869791</v>
      </c>
      <c r="W1552" s="1447">
        <f t="shared" si="2169"/>
        <v>51857.755870602836</v>
      </c>
      <c r="X1552" s="1447">
        <f t="shared" si="2169"/>
        <v>57843.779388908435</v>
      </c>
      <c r="Y1552" s="1447">
        <f t="shared" si="2169"/>
        <v>22902.401122287178</v>
      </c>
      <c r="Z1552" s="1447">
        <f t="shared" si="2169"/>
        <v>61576.805754612615</v>
      </c>
      <c r="AA1552" s="1447">
        <f t="shared" si="2169"/>
        <v>8787.8429363400537</v>
      </c>
      <c r="AB1552" s="1447">
        <f t="shared" si="2169"/>
        <v>46628.195356042823</v>
      </c>
      <c r="AC1552" s="1447">
        <f t="shared" si="2169"/>
        <v>94297.924915495561</v>
      </c>
      <c r="AD1552" s="1447">
        <f t="shared" si="2169"/>
        <v>53903.022222797648</v>
      </c>
      <c r="AE1552" s="1447">
        <f t="shared" si="2146"/>
        <v>165739.96126689707</v>
      </c>
      <c r="AF1552" s="1447">
        <f t="shared" si="2147"/>
        <v>151990.88544038107</v>
      </c>
      <c r="AG1552" s="1447">
        <f t="shared" si="2148"/>
        <v>93267.049813239835</v>
      </c>
      <c r="AH1552" s="1447">
        <f t="shared" si="2149"/>
        <v>194829.14249433603</v>
      </c>
      <c r="AI1552" s="1447">
        <f t="shared" si="2150"/>
        <v>317730.84670727816</v>
      </c>
      <c r="AJ1552" s="1447">
        <f t="shared" si="2151"/>
        <v>288096.19230757584</v>
      </c>
      <c r="AK1552" s="1447">
        <f t="shared" si="2152"/>
        <v>605827.039014854</v>
      </c>
    </row>
    <row r="1553" spans="1:37" ht="14.5">
      <c r="A1553" s="1693">
        <f t="shared" si="2136"/>
        <v>1536</v>
      </c>
      <c r="B1553" s="616">
        <v>1</v>
      </c>
      <c r="C1553" s="1693">
        <f t="shared" si="2167"/>
        <v>1553</v>
      </c>
      <c r="D1553" s="616">
        <v>1</v>
      </c>
      <c r="F1553" s="69"/>
      <c r="G1553"/>
      <c r="H1553" s="1050"/>
      <c r="I1553" s="1051"/>
      <c r="J1553" s="1058" t="s">
        <v>491</v>
      </c>
      <c r="K1553" s="1059"/>
      <c r="L1553" s="1059"/>
      <c r="M1553" s="1060"/>
      <c r="N1553" s="1061"/>
      <c r="O1553" s="1061"/>
      <c r="P1553" s="1061"/>
      <c r="Q1553" s="1061"/>
      <c r="R1553" s="1854" t="str">
        <f>CHOOSE(2, "6722000004454", "RF (2) PP Marginal Profit")</f>
        <v>RF (2) PP Marginal Profit</v>
      </c>
      <c r="S1553" s="1451">
        <f t="shared" ref="S1553:AD1561" si="2170">S1535-S1544</f>
        <v>267879.58942810615</v>
      </c>
      <c r="T1553" s="1451">
        <f t="shared" si="2170"/>
        <v>196091.58315530716</v>
      </c>
      <c r="U1553" s="1451">
        <f t="shared" si="2170"/>
        <v>124932.18797843973</v>
      </c>
      <c r="V1553" s="1451">
        <f t="shared" si="2170"/>
        <v>151801.3213771687</v>
      </c>
      <c r="W1553" s="1451">
        <f t="shared" si="2170"/>
        <v>145158.89515547326</v>
      </c>
      <c r="X1553" s="1451">
        <f t="shared" si="2170"/>
        <v>165021.36155073362</v>
      </c>
      <c r="Y1553" s="1451">
        <f t="shared" si="2170"/>
        <v>177338.00563146279</v>
      </c>
      <c r="Z1553" s="1451">
        <f t="shared" si="2170"/>
        <v>163321.79422568163</v>
      </c>
      <c r="AA1553" s="1451">
        <f t="shared" si="2170"/>
        <v>211592.8849886604</v>
      </c>
      <c r="AB1553" s="1451">
        <f t="shared" si="2170"/>
        <v>197243.20315395709</v>
      </c>
      <c r="AC1553" s="1451">
        <f t="shared" si="2170"/>
        <v>194709.33698702167</v>
      </c>
      <c r="AD1553" s="1451">
        <f t="shared" si="2170"/>
        <v>132003.71771609853</v>
      </c>
      <c r="AE1553" s="1062">
        <f t="shared" si="2146"/>
        <v>588903.36056185304</v>
      </c>
      <c r="AF1553" s="1062">
        <f t="shared" si="2147"/>
        <v>461981.57808337559</v>
      </c>
      <c r="AG1553" s="1062">
        <f t="shared" si="2148"/>
        <v>552252.68484580482</v>
      </c>
      <c r="AH1553" s="1062">
        <f t="shared" si="2149"/>
        <v>523956.25785707729</v>
      </c>
      <c r="AI1553" s="1062">
        <f t="shared" si="2150"/>
        <v>1050884.9386452287</v>
      </c>
      <c r="AJ1553" s="1062">
        <f t="shared" si="2151"/>
        <v>1076208.942702882</v>
      </c>
      <c r="AK1553" s="1062">
        <f t="shared" si="2152"/>
        <v>2127093.8813481107</v>
      </c>
    </row>
    <row r="1554" spans="1:37" ht="14.5">
      <c r="A1554" s="1693">
        <f t="shared" si="2136"/>
        <v>1537</v>
      </c>
      <c r="B1554" s="616">
        <v>1</v>
      </c>
      <c r="C1554" s="1693">
        <f t="shared" si="2167"/>
        <v>1554</v>
      </c>
      <c r="D1554" s="616">
        <v>1</v>
      </c>
      <c r="F1554" s="69"/>
      <c r="G1554"/>
      <c r="H1554" s="1050"/>
      <c r="I1554" s="1051"/>
      <c r="J1554" s="750"/>
      <c r="K1554" s="1055" t="s">
        <v>799</v>
      </c>
      <c r="L1554" s="1055"/>
      <c r="M1554" s="1056"/>
      <c r="N1554" s="213"/>
      <c r="O1554" s="213"/>
      <c r="P1554" s="213"/>
      <c r="Q1554" s="213"/>
      <c r="R1554" s="1848" t="str">
        <f>CHOOSE(2, "6722000004455", "RF (2) PP Marginal Profit HW")</f>
        <v>RF (2) PP Marginal Profit HW</v>
      </c>
      <c r="S1554" s="1447">
        <f t="shared" si="2170"/>
        <v>63253</v>
      </c>
      <c r="T1554" s="1447">
        <f t="shared" si="2170"/>
        <v>69007.267039999977</v>
      </c>
      <c r="U1554" s="1447">
        <f t="shared" si="2170"/>
        <v>57855.316292916657</v>
      </c>
      <c r="V1554" s="1447">
        <f t="shared" si="2170"/>
        <v>56376.818702916687</v>
      </c>
      <c r="W1554" s="1447">
        <f t="shared" si="2170"/>
        <v>82360.401401250012</v>
      </c>
      <c r="X1554" s="1447">
        <f t="shared" si="2170"/>
        <v>76186.383708841517</v>
      </c>
      <c r="Y1554" s="1447">
        <f t="shared" si="2170"/>
        <v>56794.478641250025</v>
      </c>
      <c r="Z1554" s="1447">
        <f t="shared" si="2170"/>
        <v>62634.289554892952</v>
      </c>
      <c r="AA1554" s="1447">
        <f t="shared" si="2170"/>
        <v>63537.651010000016</v>
      </c>
      <c r="AB1554" s="1447">
        <f t="shared" si="2170"/>
        <v>59488.967785000015</v>
      </c>
      <c r="AC1554" s="1447">
        <f t="shared" si="2170"/>
        <v>67841.388655489398</v>
      </c>
      <c r="AD1554" s="1447">
        <f t="shared" si="2170"/>
        <v>73836.063058896194</v>
      </c>
      <c r="AE1554" s="1447">
        <f t="shared" si="2146"/>
        <v>190115.58333291663</v>
      </c>
      <c r="AF1554" s="1447">
        <f t="shared" si="2147"/>
        <v>214923.60381300823</v>
      </c>
      <c r="AG1554" s="1447">
        <f t="shared" si="2148"/>
        <v>182966.41920614301</v>
      </c>
      <c r="AH1554" s="1447">
        <f t="shared" si="2149"/>
        <v>201166.41949938561</v>
      </c>
      <c r="AI1554" s="1447">
        <f t="shared" si="2150"/>
        <v>405039.18714592489</v>
      </c>
      <c r="AJ1554" s="1447">
        <f t="shared" si="2151"/>
        <v>384132.83870552864</v>
      </c>
      <c r="AK1554" s="1447">
        <f t="shared" si="2152"/>
        <v>789172.02585145354</v>
      </c>
    </row>
    <row r="1555" spans="1:37" ht="14.5">
      <c r="A1555" s="1693">
        <f t="shared" si="2136"/>
        <v>1538</v>
      </c>
      <c r="B1555" s="616">
        <v>1</v>
      </c>
      <c r="C1555" s="1693">
        <f t="shared" si="2167"/>
        <v>1555</v>
      </c>
      <c r="D1555" s="616">
        <v>1</v>
      </c>
      <c r="F1555" s="69"/>
      <c r="G1555"/>
      <c r="H1555" s="1050"/>
      <c r="I1555" s="1051"/>
      <c r="J1555" s="750"/>
      <c r="K1555" s="749"/>
      <c r="L1555" s="749" t="s">
        <v>120</v>
      </c>
      <c r="R1555" s="1777" t="str">
        <f>CHOOSE(2, "6722000004456", "RF (2) PP Marginal Profit HW Direct")</f>
        <v>RF (2) PP Marginal Profit HW Direct</v>
      </c>
      <c r="S1555" s="1226">
        <f t="shared" si="2170"/>
        <v>56966</v>
      </c>
      <c r="T1555" s="1226">
        <f t="shared" si="2170"/>
        <v>65167.781509999972</v>
      </c>
      <c r="U1555" s="1226">
        <f t="shared" si="2170"/>
        <v>53854.667929324729</v>
      </c>
      <c r="V1555" s="1226">
        <f t="shared" si="2170"/>
        <v>52138.798051732243</v>
      </c>
      <c r="W1555" s="1226">
        <f t="shared" si="2170"/>
        <v>74752.565307905868</v>
      </c>
      <c r="X1555" s="1226">
        <f t="shared" si="2170"/>
        <v>64882</v>
      </c>
      <c r="Y1555" s="1226">
        <f t="shared" si="2170"/>
        <v>51138.22582238965</v>
      </c>
      <c r="Z1555" s="1226">
        <f t="shared" si="2170"/>
        <v>50588.289554892952</v>
      </c>
      <c r="AA1555" s="1226">
        <f t="shared" si="2170"/>
        <v>55033.401940759533</v>
      </c>
      <c r="AB1555" s="1226">
        <f t="shared" si="2170"/>
        <v>50347.539858825898</v>
      </c>
      <c r="AC1555" s="1226">
        <f t="shared" si="2170"/>
        <v>61042.226622226997</v>
      </c>
      <c r="AD1555" s="1226">
        <f t="shared" si="2170"/>
        <v>62702.534</v>
      </c>
      <c r="AE1555" s="1226">
        <f t="shared" si="2146"/>
        <v>175988.4494393247</v>
      </c>
      <c r="AF1555" s="1226">
        <f t="shared" si="2147"/>
        <v>191773.36335963811</v>
      </c>
      <c r="AG1555" s="1226">
        <f t="shared" si="2148"/>
        <v>156759.91731804213</v>
      </c>
      <c r="AH1555" s="1226">
        <f t="shared" si="2149"/>
        <v>174092.30048105289</v>
      </c>
      <c r="AI1555" s="1226">
        <f t="shared" si="2150"/>
        <v>367761.81279896281</v>
      </c>
      <c r="AJ1555" s="1226">
        <f t="shared" si="2151"/>
        <v>330852.21779909503</v>
      </c>
      <c r="AK1555" s="1226">
        <f t="shared" si="2152"/>
        <v>698614.0305980579</v>
      </c>
    </row>
    <row r="1556" spans="1:37" ht="14.5">
      <c r="A1556" s="1693">
        <f t="shared" si="2136"/>
        <v>1539</v>
      </c>
      <c r="B1556" s="616">
        <v>1</v>
      </c>
      <c r="C1556" s="1693">
        <f t="shared" si="2167"/>
        <v>1556</v>
      </c>
      <c r="D1556" s="616">
        <v>1</v>
      </c>
      <c r="F1556" s="69"/>
      <c r="G1556"/>
      <c r="H1556" s="1050"/>
      <c r="I1556" s="1051"/>
      <c r="J1556" s="750"/>
      <c r="K1556" s="749"/>
      <c r="L1556" s="749" t="s">
        <v>129</v>
      </c>
      <c r="R1556" s="1777" t="str">
        <f>CHOOSE(2, "6722000004457", "RF (2) PP Marginal Profit HW Indirect")</f>
        <v>RF (2) PP Marginal Profit HW Indirect</v>
      </c>
      <c r="S1556" s="1226">
        <f t="shared" si="2170"/>
        <v>6287</v>
      </c>
      <c r="T1556" s="1226">
        <f t="shared" si="2170"/>
        <v>3839.4855299999981</v>
      </c>
      <c r="U1556" s="1226">
        <f t="shared" si="2170"/>
        <v>4000.648363591934</v>
      </c>
      <c r="V1556" s="1226">
        <f t="shared" si="2170"/>
        <v>4238.0206511844353</v>
      </c>
      <c r="W1556" s="1226">
        <f t="shared" si="2170"/>
        <v>7607.8360933441327</v>
      </c>
      <c r="X1556" s="1226">
        <f t="shared" si="2170"/>
        <v>11304.383708841502</v>
      </c>
      <c r="Y1556" s="1226">
        <f t="shared" si="2170"/>
        <v>5656.2528188603574</v>
      </c>
      <c r="Z1556" s="1226">
        <f t="shared" si="2170"/>
        <v>12046</v>
      </c>
      <c r="AA1556" s="1226">
        <f t="shared" si="2170"/>
        <v>8504.2490692404772</v>
      </c>
      <c r="AB1556" s="1226">
        <f t="shared" si="2170"/>
        <v>9141.4279261741067</v>
      </c>
      <c r="AC1556" s="1226">
        <f t="shared" si="2170"/>
        <v>6799.1620332624007</v>
      </c>
      <c r="AD1556" s="1226">
        <f t="shared" si="2170"/>
        <v>11133.529058896194</v>
      </c>
      <c r="AE1556" s="1226">
        <f t="shared" si="2146"/>
        <v>14127.133893591932</v>
      </c>
      <c r="AF1556" s="1226">
        <f t="shared" si="2147"/>
        <v>23150.240453370068</v>
      </c>
      <c r="AG1556" s="1226">
        <f t="shared" si="2148"/>
        <v>26206.501888100836</v>
      </c>
      <c r="AH1556" s="1226">
        <f t="shared" si="2149"/>
        <v>27074.119018332702</v>
      </c>
      <c r="AI1556" s="1226">
        <f t="shared" si="2150"/>
        <v>37277.374346962002</v>
      </c>
      <c r="AJ1556" s="1226">
        <f t="shared" si="2151"/>
        <v>53280.620906433542</v>
      </c>
      <c r="AK1556" s="1226">
        <f t="shared" si="2152"/>
        <v>90557.995253395551</v>
      </c>
    </row>
    <row r="1557" spans="1:37" ht="14.5">
      <c r="A1557" s="1693">
        <f t="shared" si="2136"/>
        <v>1540</v>
      </c>
      <c r="B1557" s="616">
        <v>1</v>
      </c>
      <c r="C1557" s="1693">
        <f t="shared" si="2167"/>
        <v>1557</v>
      </c>
      <c r="D1557" s="616">
        <v>1</v>
      </c>
      <c r="F1557" s="69"/>
      <c r="G1557"/>
      <c r="H1557" s="1050"/>
      <c r="I1557" s="1051"/>
      <c r="J1557" s="750"/>
      <c r="K1557" s="1055" t="s">
        <v>800</v>
      </c>
      <c r="L1557" s="1055"/>
      <c r="M1557" s="1056"/>
      <c r="N1557" s="213"/>
      <c r="O1557" s="213"/>
      <c r="P1557" s="213"/>
      <c r="Q1557" s="213"/>
      <c r="R1557" s="1848" t="str">
        <f>CHOOSE(2, "6722000004458", "RF (2) PP Marginal Profit NH")</f>
        <v>RF (2) PP Marginal Profit NH</v>
      </c>
      <c r="S1557" s="1447">
        <f t="shared" si="2170"/>
        <v>253334</v>
      </c>
      <c r="T1557" s="1447">
        <f t="shared" si="2170"/>
        <v>171391.12342000002</v>
      </c>
      <c r="U1557" s="1447">
        <f t="shared" si="2170"/>
        <v>139802.61507583334</v>
      </c>
      <c r="V1557" s="1447">
        <f t="shared" si="2170"/>
        <v>137713.85285512178</v>
      </c>
      <c r="W1557" s="1447">
        <f t="shared" si="2170"/>
        <v>114656.24962482607</v>
      </c>
      <c r="X1557" s="1447">
        <f t="shared" si="2170"/>
        <v>147727.45480080054</v>
      </c>
      <c r="Y1557" s="1447">
        <f t="shared" si="2170"/>
        <v>144498.55343249993</v>
      </c>
      <c r="Z1557" s="1447">
        <f t="shared" si="2170"/>
        <v>162127.4834254013</v>
      </c>
      <c r="AA1557" s="1447">
        <f t="shared" si="2170"/>
        <v>156843.07691500051</v>
      </c>
      <c r="AB1557" s="1447">
        <f t="shared" si="2170"/>
        <v>184294.69472499995</v>
      </c>
      <c r="AC1557" s="1447">
        <f t="shared" si="2170"/>
        <v>221105.13724702789</v>
      </c>
      <c r="AD1557" s="1447">
        <f t="shared" si="2170"/>
        <v>111735.68787999998</v>
      </c>
      <c r="AE1557" s="1447">
        <f t="shared" si="2146"/>
        <v>564527.73849583336</v>
      </c>
      <c r="AF1557" s="1447">
        <f t="shared" si="2147"/>
        <v>400097.55728074838</v>
      </c>
      <c r="AG1557" s="1447">
        <f t="shared" si="2148"/>
        <v>463469.11377290176</v>
      </c>
      <c r="AH1557" s="1447">
        <f t="shared" si="2149"/>
        <v>517135.51985202782</v>
      </c>
      <c r="AI1557" s="1447">
        <f t="shared" si="2150"/>
        <v>964625.29577658174</v>
      </c>
      <c r="AJ1557" s="1447">
        <f t="shared" si="2151"/>
        <v>980604.63362492959</v>
      </c>
      <c r="AK1557" s="1447">
        <f t="shared" si="2152"/>
        <v>1945229.9294015113</v>
      </c>
    </row>
    <row r="1558" spans="1:37" ht="14.5">
      <c r="A1558" s="1693">
        <f t="shared" si="2136"/>
        <v>1541</v>
      </c>
      <c r="B1558" s="616">
        <v>1</v>
      </c>
      <c r="C1558" s="1693">
        <f t="shared" si="2167"/>
        <v>1558</v>
      </c>
      <c r="D1558" s="616">
        <v>1</v>
      </c>
      <c r="F1558" s="69"/>
      <c r="G1558"/>
      <c r="H1558" s="1050"/>
      <c r="I1558" s="1051"/>
      <c r="J1558" s="750"/>
      <c r="K1558" s="749"/>
      <c r="L1558" s="749" t="s">
        <v>120</v>
      </c>
      <c r="R1558" s="1777" t="str">
        <f>CHOOSE(2, "6722000004459", "RF (2) PP Marginal Profit NH Direct")</f>
        <v>RF (2) PP Marginal Profit NH Direct</v>
      </c>
      <c r="S1558" s="1226">
        <f t="shared" si="2170"/>
        <v>237097</v>
      </c>
      <c r="T1558" s="1226">
        <f t="shared" si="2170"/>
        <v>153167.18379000001</v>
      </c>
      <c r="U1558" s="1226">
        <f t="shared" si="2170"/>
        <v>129501.11518990999</v>
      </c>
      <c r="V1558" s="1226">
        <f t="shared" si="2170"/>
        <v>125527</v>
      </c>
      <c r="W1558" s="1226">
        <f t="shared" si="2170"/>
        <v>99843</v>
      </c>
      <c r="X1558" s="1226">
        <f t="shared" si="2170"/>
        <v>130686</v>
      </c>
      <c r="Y1558" s="1226">
        <f t="shared" si="2170"/>
        <v>127756.74520203786</v>
      </c>
      <c r="Z1558" s="1226">
        <f t="shared" si="2170"/>
        <v>147316</v>
      </c>
      <c r="AA1558" s="1226">
        <f t="shared" si="2170"/>
        <v>144570.7416585132</v>
      </c>
      <c r="AB1558" s="1226">
        <f t="shared" si="2170"/>
        <v>167001.80505904392</v>
      </c>
      <c r="AC1558" s="1226">
        <f t="shared" si="2170"/>
        <v>205492.11618831052</v>
      </c>
      <c r="AD1558" s="1226">
        <f t="shared" si="2170"/>
        <v>91893.746826433926</v>
      </c>
      <c r="AE1558" s="1226">
        <f t="shared" si="2146"/>
        <v>519765.29897991003</v>
      </c>
      <c r="AF1558" s="1226">
        <f t="shared" si="2147"/>
        <v>356056</v>
      </c>
      <c r="AG1558" s="1226">
        <f t="shared" si="2148"/>
        <v>419643.48686055106</v>
      </c>
      <c r="AH1558" s="1226">
        <f t="shared" si="2149"/>
        <v>464387.6680737884</v>
      </c>
      <c r="AI1558" s="1226">
        <f t="shared" si="2150"/>
        <v>875821.29897991009</v>
      </c>
      <c r="AJ1558" s="1226">
        <f t="shared" si="2151"/>
        <v>884031.15493433946</v>
      </c>
      <c r="AK1558" s="1226">
        <f t="shared" si="2152"/>
        <v>1759852.4539142495</v>
      </c>
    </row>
    <row r="1559" spans="1:37" ht="14.5">
      <c r="A1559" s="1693">
        <f t="shared" si="2136"/>
        <v>1542</v>
      </c>
      <c r="B1559" s="616">
        <v>1</v>
      </c>
      <c r="C1559" s="1693">
        <f t="shared" si="2167"/>
        <v>1559</v>
      </c>
      <c r="D1559" s="616">
        <v>1</v>
      </c>
      <c r="F1559" s="69"/>
      <c r="G1559"/>
      <c r="H1559" s="1050"/>
      <c r="I1559" s="1051"/>
      <c r="J1559" s="750"/>
      <c r="K1559" s="749"/>
      <c r="L1559" s="749" t="s">
        <v>129</v>
      </c>
      <c r="R1559" s="1777" t="str">
        <f>CHOOSE(2, "6722000004460", "RF (2) PP Marginal Profit NH Indirect")</f>
        <v>RF (2) PP Marginal Profit NH Indirect</v>
      </c>
      <c r="S1559" s="1226">
        <f t="shared" si="2170"/>
        <v>16237</v>
      </c>
      <c r="T1559" s="1226">
        <f t="shared" si="2170"/>
        <v>18223.939630000015</v>
      </c>
      <c r="U1559" s="1226">
        <f t="shared" si="2170"/>
        <v>10301.499885923324</v>
      </c>
      <c r="V1559" s="1226">
        <f t="shared" si="2170"/>
        <v>12186.852855121811</v>
      </c>
      <c r="W1559" s="1226">
        <f t="shared" si="2170"/>
        <v>14813.249624826098</v>
      </c>
      <c r="X1559" s="1226">
        <f t="shared" si="2170"/>
        <v>17041.454800800486</v>
      </c>
      <c r="Y1559" s="1226">
        <f t="shared" si="2170"/>
        <v>16741.808230462113</v>
      </c>
      <c r="Z1559" s="1226">
        <f t="shared" si="2170"/>
        <v>14811.483425401308</v>
      </c>
      <c r="AA1559" s="1226">
        <f t="shared" si="2170"/>
        <v>12272.335256487266</v>
      </c>
      <c r="AB1559" s="1226">
        <f t="shared" si="2170"/>
        <v>17292.889665956041</v>
      </c>
      <c r="AC1559" s="1226">
        <f t="shared" si="2170"/>
        <v>15613.021058717357</v>
      </c>
      <c r="AD1559" s="1226">
        <f t="shared" si="2170"/>
        <v>19841.941053566057</v>
      </c>
      <c r="AE1559" s="1226">
        <f t="shared" si="2146"/>
        <v>44762.439515923339</v>
      </c>
      <c r="AF1559" s="1226">
        <f t="shared" si="2147"/>
        <v>44041.557280748399</v>
      </c>
      <c r="AG1559" s="1226">
        <f t="shared" si="2148"/>
        <v>43825.626912350686</v>
      </c>
      <c r="AH1559" s="1226">
        <f t="shared" si="2149"/>
        <v>52747.851778239456</v>
      </c>
      <c r="AI1559" s="1226">
        <f t="shared" si="2150"/>
        <v>88803.996796671738</v>
      </c>
      <c r="AJ1559" s="1226">
        <f t="shared" si="2151"/>
        <v>96573.478690590142</v>
      </c>
      <c r="AK1559" s="1226">
        <f t="shared" si="2152"/>
        <v>185377.47548726189</v>
      </c>
    </row>
    <row r="1560" spans="1:37" ht="14.5">
      <c r="A1560" s="1693">
        <f t="shared" si="2136"/>
        <v>1543</v>
      </c>
      <c r="B1560" s="616">
        <v>1</v>
      </c>
      <c r="C1560" s="1693">
        <f t="shared" si="2167"/>
        <v>1560</v>
      </c>
      <c r="D1560" s="616">
        <v>1</v>
      </c>
      <c r="F1560" s="69"/>
      <c r="G1560"/>
      <c r="H1560" s="1050"/>
      <c r="I1560" s="1051"/>
      <c r="J1560" s="750"/>
      <c r="K1560" s="1055" t="s">
        <v>417</v>
      </c>
      <c r="L1560" s="1055"/>
      <c r="M1560" s="1056"/>
      <c r="N1560" s="213"/>
      <c r="O1560" s="213"/>
      <c r="P1560" s="213"/>
      <c r="Q1560" s="213"/>
      <c r="R1560" s="1848" t="str">
        <f>CHOOSE(2, "6722000004461", "RF (2) PP Marginal Profit Office Solution")</f>
        <v>RF (2) PP Marginal Profit Office Solution</v>
      </c>
      <c r="S1560" s="1447">
        <f t="shared" si="2170"/>
        <v>0</v>
      </c>
      <c r="T1560" s="1447">
        <f t="shared" si="2170"/>
        <v>0</v>
      </c>
      <c r="U1560" s="1447">
        <f t="shared" si="2170"/>
        <v>0</v>
      </c>
      <c r="V1560" s="1447">
        <f t="shared" si="2170"/>
        <v>0</v>
      </c>
      <c r="W1560" s="1447">
        <f t="shared" si="2170"/>
        <v>0</v>
      </c>
      <c r="X1560" s="1447">
        <f t="shared" si="2170"/>
        <v>-1048.6975700000003</v>
      </c>
      <c r="Y1560" s="1447">
        <f t="shared" si="2170"/>
        <v>-1052.6253200000001</v>
      </c>
      <c r="Z1560" s="1447">
        <f t="shared" si="2170"/>
        <v>136.827</v>
      </c>
      <c r="AA1560" s="1447">
        <f t="shared" si="2170"/>
        <v>0</v>
      </c>
      <c r="AB1560" s="1447">
        <f t="shared" si="2170"/>
        <v>87.736000000000004</v>
      </c>
      <c r="AC1560" s="1447">
        <f t="shared" si="2170"/>
        <v>60.73599999999999</v>
      </c>
      <c r="AD1560" s="1447">
        <f t="shared" si="2170"/>
        <v>334.98899999999998</v>
      </c>
      <c r="AE1560" s="1447">
        <f t="shared" si="2146"/>
        <v>0</v>
      </c>
      <c r="AF1560" s="1447">
        <f t="shared" si="2147"/>
        <v>-1048.6975700000003</v>
      </c>
      <c r="AG1560" s="1447">
        <f t="shared" si="2148"/>
        <v>-915.7983200000001</v>
      </c>
      <c r="AH1560" s="1447">
        <f t="shared" si="2149"/>
        <v>483.46099999999996</v>
      </c>
      <c r="AI1560" s="1447">
        <f t="shared" si="2150"/>
        <v>-1048.6975700000003</v>
      </c>
      <c r="AJ1560" s="1447">
        <f t="shared" si="2151"/>
        <v>-432.33732000000015</v>
      </c>
      <c r="AK1560" s="1447">
        <f t="shared" si="2152"/>
        <v>-1481.0348900000004</v>
      </c>
    </row>
    <row r="1561" spans="1:37" ht="14.5">
      <c r="A1561" s="1693">
        <f t="shared" si="2136"/>
        <v>1544</v>
      </c>
      <c r="B1561" s="616">
        <v>1</v>
      </c>
      <c r="C1561" s="1693">
        <f t="shared" si="2167"/>
        <v>1561</v>
      </c>
      <c r="D1561" s="616">
        <v>1</v>
      </c>
      <c r="F1561" s="69"/>
      <c r="G1561"/>
      <c r="H1561" s="1050"/>
      <c r="I1561" s="1051"/>
      <c r="J1561" s="750"/>
      <c r="K1561" s="1055" t="s">
        <v>51</v>
      </c>
      <c r="L1561" s="1055"/>
      <c r="M1561" s="1056"/>
      <c r="N1561" s="213"/>
      <c r="O1561" s="213"/>
      <c r="P1561" s="213"/>
      <c r="Q1561" s="213"/>
      <c r="R1561" s="1848" t="str">
        <f>CHOOSE(2, "6722000004462", "RF (2) PP Marginal Profit Others")</f>
        <v>RF (2) PP Marginal Profit Others</v>
      </c>
      <c r="S1561" s="1447">
        <f t="shared" si="2170"/>
        <v>-48707.410571893852</v>
      </c>
      <c r="T1561" s="1447">
        <f t="shared" si="2170"/>
        <v>-44306.807304692884</v>
      </c>
      <c r="U1561" s="1447">
        <f t="shared" si="2170"/>
        <v>-72725.743390310323</v>
      </c>
      <c r="V1561" s="1447">
        <f t="shared" si="2170"/>
        <v>-42289.350180869791</v>
      </c>
      <c r="W1561" s="1447">
        <f t="shared" si="2170"/>
        <v>-51857.755870602836</v>
      </c>
      <c r="X1561" s="1447">
        <f t="shared" si="2170"/>
        <v>-57843.779388908435</v>
      </c>
      <c r="Y1561" s="1447">
        <f t="shared" si="2170"/>
        <v>-22902.401122287178</v>
      </c>
      <c r="Z1561" s="1447">
        <f t="shared" si="2170"/>
        <v>-61576.805754612615</v>
      </c>
      <c r="AA1561" s="1447">
        <f t="shared" si="2170"/>
        <v>-8787.8429363400537</v>
      </c>
      <c r="AB1561" s="1447">
        <f t="shared" si="2170"/>
        <v>-46628.195356042823</v>
      </c>
      <c r="AC1561" s="1447">
        <f t="shared" si="2170"/>
        <v>-94297.924915495561</v>
      </c>
      <c r="AD1561" s="1447">
        <f t="shared" si="2170"/>
        <v>-53903.022222797648</v>
      </c>
      <c r="AE1561" s="1447">
        <f t="shared" si="2146"/>
        <v>-165739.96126689707</v>
      </c>
      <c r="AF1561" s="1447">
        <f t="shared" si="2147"/>
        <v>-151990.88544038107</v>
      </c>
      <c r="AG1561" s="1447">
        <f t="shared" si="2148"/>
        <v>-93267.049813239835</v>
      </c>
      <c r="AH1561" s="1447">
        <f t="shared" si="2149"/>
        <v>-194829.14249433603</v>
      </c>
      <c r="AI1561" s="1447">
        <f t="shared" si="2150"/>
        <v>-317730.84670727816</v>
      </c>
      <c r="AJ1561" s="1447">
        <f t="shared" si="2151"/>
        <v>-288096.19230757584</v>
      </c>
      <c r="AK1561" s="1447">
        <f t="shared" si="2152"/>
        <v>-605827.039014854</v>
      </c>
    </row>
    <row r="1562" spans="1:37" ht="14.5">
      <c r="A1562" s="1693">
        <f t="shared" si="2136"/>
        <v>1545</v>
      </c>
      <c r="B1562" s="616">
        <v>1</v>
      </c>
      <c r="C1562" s="1693">
        <f t="shared" si="2167"/>
        <v>1562</v>
      </c>
      <c r="D1562" s="616">
        <v>1</v>
      </c>
      <c r="F1562" s="69"/>
      <c r="G1562"/>
      <c r="H1562" s="1050"/>
      <c r="I1562" s="1051"/>
      <c r="J1562" s="1058" t="s">
        <v>803</v>
      </c>
      <c r="K1562" s="1059"/>
      <c r="L1562" s="1059"/>
      <c r="M1562" s="1060"/>
      <c r="N1562" s="1061"/>
      <c r="O1562" s="1061"/>
      <c r="P1562" s="1061"/>
      <c r="Q1562" s="1061"/>
      <c r="R1562" s="1854" t="str">
        <f>CHOOSE(2, "6722000004463", "RF (2) PP Marginal Profit %")</f>
        <v>RF (2) PP Marginal Profit %</v>
      </c>
      <c r="S1562" s="1452">
        <f t="shared" ref="S1562:AD1570" si="2171">IFERROR(S1553/S1535,"")</f>
        <v>0.36130564069281307</v>
      </c>
      <c r="T1562" s="1452">
        <f t="shared" si="2171"/>
        <v>0.29248200115860268</v>
      </c>
      <c r="U1562" s="1452">
        <f t="shared" si="2171"/>
        <v>0.22766489657897421</v>
      </c>
      <c r="V1562" s="1452">
        <f t="shared" si="2171"/>
        <v>0.26818830754506451</v>
      </c>
      <c r="W1562" s="1452">
        <f t="shared" si="2171"/>
        <v>0.22494778959368825</v>
      </c>
      <c r="X1562" s="1452">
        <f t="shared" si="2171"/>
        <v>0.24992990752710145</v>
      </c>
      <c r="Y1562" s="1452">
        <f t="shared" si="2171"/>
        <v>0.27523874172197499</v>
      </c>
      <c r="Z1562" s="1452">
        <f t="shared" si="2171"/>
        <v>0.28859118883810236</v>
      </c>
      <c r="AA1562" s="1452">
        <f t="shared" si="2171"/>
        <v>0.35046358209167155</v>
      </c>
      <c r="AB1562" s="1452">
        <f t="shared" si="2171"/>
        <v>0.30056472543291107</v>
      </c>
      <c r="AC1562" s="1452">
        <f t="shared" si="2171"/>
        <v>0.27860436076398298</v>
      </c>
      <c r="AD1562" s="1452">
        <f t="shared" si="2171"/>
        <v>0.21998686745436438</v>
      </c>
      <c r="AE1562" s="1063">
        <f t="shared" ref="AE1562:AK1570" si="2172">IFERROR(AE1553/AE1535,"")</f>
        <v>0.30036656533228517</v>
      </c>
      <c r="AF1562" s="1063">
        <f t="shared" si="2172"/>
        <v>0.24683829115279221</v>
      </c>
      <c r="AG1562" s="1063">
        <f t="shared" si="2172"/>
        <v>0.30444163716063682</v>
      </c>
      <c r="AH1562" s="1063">
        <f t="shared" si="2172"/>
        <v>0.26798518917667496</v>
      </c>
      <c r="AI1562" s="1063">
        <f t="shared" si="2172"/>
        <v>0.27422413959232761</v>
      </c>
      <c r="AJ1562" s="1063">
        <f t="shared" si="2172"/>
        <v>0.28553062838151971</v>
      </c>
      <c r="AK1562" s="1063">
        <f t="shared" si="2172"/>
        <v>0.279830487206298</v>
      </c>
    </row>
    <row r="1563" spans="1:37" ht="14.5">
      <c r="A1563" s="1693">
        <f t="shared" si="2136"/>
        <v>1546</v>
      </c>
      <c r="B1563" s="616">
        <v>1</v>
      </c>
      <c r="C1563" s="1693">
        <f t="shared" si="2167"/>
        <v>1563</v>
      </c>
      <c r="D1563" s="616">
        <v>1</v>
      </c>
      <c r="F1563" s="69"/>
      <c r="G1563"/>
      <c r="H1563" s="1050"/>
      <c r="I1563" s="1051"/>
      <c r="J1563" s="750"/>
      <c r="K1563" s="1055" t="s">
        <v>799</v>
      </c>
      <c r="L1563" s="1055"/>
      <c r="M1563" s="1056"/>
      <c r="N1563" s="213"/>
      <c r="O1563" s="213"/>
      <c r="P1563" s="213"/>
      <c r="Q1563" s="213"/>
      <c r="R1563" s="1848" t="str">
        <f>CHOOSE(2, "6722000004464", "RF (2) PP Marginal Profit % HW")</f>
        <v>RF (2) PP Marginal Profit % HW</v>
      </c>
      <c r="S1563" s="1449">
        <f t="shared" si="2171"/>
        <v>0.32156438099886125</v>
      </c>
      <c r="T1563" s="1449">
        <f t="shared" si="2171"/>
        <v>0.33843840737613651</v>
      </c>
      <c r="U1563" s="1449">
        <f t="shared" si="2171"/>
        <v>0.34910813286734976</v>
      </c>
      <c r="V1563" s="1449">
        <f t="shared" si="2171"/>
        <v>0.32835016295437075</v>
      </c>
      <c r="W1563" s="1449">
        <f t="shared" si="2171"/>
        <v>0.39180902115537197</v>
      </c>
      <c r="X1563" s="1449">
        <f t="shared" si="2171"/>
        <v>0.35883128458907004</v>
      </c>
      <c r="Y1563" s="1449">
        <f t="shared" si="2171"/>
        <v>0.32172895432135357</v>
      </c>
      <c r="Z1563" s="1449">
        <f t="shared" si="2171"/>
        <v>0.39521701881706739</v>
      </c>
      <c r="AA1563" s="1449">
        <f t="shared" si="2171"/>
        <v>0.37694428535643748</v>
      </c>
      <c r="AB1563" s="1449">
        <f t="shared" si="2171"/>
        <v>0.34597567554551195</v>
      </c>
      <c r="AC1563" s="1449">
        <f t="shared" si="2171"/>
        <v>0.31973583554024954</v>
      </c>
      <c r="AD1563" s="1449">
        <f t="shared" si="2171"/>
        <v>0.38848698160625222</v>
      </c>
      <c r="AE1563" s="1449">
        <f t="shared" si="2172"/>
        <v>0.33569976074061775</v>
      </c>
      <c r="AF1563" s="1449">
        <f t="shared" si="2172"/>
        <v>0.36168977763194998</v>
      </c>
      <c r="AG1563" s="1449">
        <f t="shared" si="2172"/>
        <v>0.36333895673865346</v>
      </c>
      <c r="AH1563" s="1449">
        <f t="shared" si="2172"/>
        <v>0.35035085954329426</v>
      </c>
      <c r="AI1563" s="1449">
        <f t="shared" si="2172"/>
        <v>0.34900711375019533</v>
      </c>
      <c r="AJ1563" s="1449">
        <f t="shared" si="2172"/>
        <v>0.3564194085481231</v>
      </c>
      <c r="AK1563" s="1449">
        <f t="shared" si="2172"/>
        <v>0.35257617543691855</v>
      </c>
    </row>
    <row r="1564" spans="1:37" ht="14.5">
      <c r="A1564" s="1693">
        <f t="shared" si="2136"/>
        <v>1547</v>
      </c>
      <c r="B1564" s="616">
        <v>1</v>
      </c>
      <c r="C1564" s="1693">
        <f t="shared" si="2167"/>
        <v>1564</v>
      </c>
      <c r="D1564" s="616">
        <v>1</v>
      </c>
      <c r="F1564" s="69"/>
      <c r="G1564"/>
      <c r="H1564" s="1050"/>
      <c r="I1564" s="1051"/>
      <c r="J1564" s="750"/>
      <c r="K1564" s="749"/>
      <c r="L1564" s="749" t="s">
        <v>120</v>
      </c>
      <c r="R1564" s="1777" t="str">
        <f>CHOOSE(2, "6722000004465", "RF (2) PP Marginal Profit % HW Direct")</f>
        <v>RF (2) PP Marginal Profit % HW Direct</v>
      </c>
      <c r="S1564" s="1688">
        <f t="shared" si="2171"/>
        <v>0.32745290773537511</v>
      </c>
      <c r="T1564" s="1688">
        <f t="shared" si="2171"/>
        <v>0.36796511396928705</v>
      </c>
      <c r="U1564" s="1688">
        <f t="shared" si="2171"/>
        <v>0.36625182258066674</v>
      </c>
      <c r="V1564" s="1688">
        <f t="shared" si="2171"/>
        <v>0.33489390845495609</v>
      </c>
      <c r="W1564" s="1688">
        <f t="shared" si="2171"/>
        <v>0.39933566985691282</v>
      </c>
      <c r="X1564" s="1688">
        <f t="shared" si="2171"/>
        <v>0.38485310429506076</v>
      </c>
      <c r="Y1564" s="1688">
        <f t="shared" si="2171"/>
        <v>0.33556677253456724</v>
      </c>
      <c r="Z1564" s="1688">
        <f t="shared" si="2171"/>
        <v>0.36717520074284798</v>
      </c>
      <c r="AA1564" s="1688">
        <f t="shared" si="2171"/>
        <v>0.38022707584575921</v>
      </c>
      <c r="AB1564" s="1688">
        <f t="shared" si="2171"/>
        <v>0.35215503750309796</v>
      </c>
      <c r="AC1564" s="1688">
        <f t="shared" si="2171"/>
        <v>0.3299092639515952</v>
      </c>
      <c r="AD1564" s="1688">
        <f t="shared" si="2171"/>
        <v>0.39594220475137332</v>
      </c>
      <c r="AE1564" s="1688">
        <f t="shared" si="2172"/>
        <v>0.35331037548271182</v>
      </c>
      <c r="AF1564" s="1688">
        <f t="shared" si="2172"/>
        <v>0.37494634616117917</v>
      </c>
      <c r="AG1564" s="1688">
        <f t="shared" si="2172"/>
        <v>0.36044317739428455</v>
      </c>
      <c r="AH1564" s="1688">
        <f t="shared" si="2172"/>
        <v>0.35794947922092879</v>
      </c>
      <c r="AI1564" s="1688">
        <f t="shared" si="2172"/>
        <v>0.36427147384165703</v>
      </c>
      <c r="AJ1564" s="1688">
        <f t="shared" si="2172"/>
        <v>0.35912669409552178</v>
      </c>
      <c r="AK1564" s="1688">
        <f t="shared" si="2172"/>
        <v>0.3618167394826251</v>
      </c>
    </row>
    <row r="1565" spans="1:37" ht="14.5">
      <c r="A1565" s="1693">
        <f t="shared" si="2136"/>
        <v>1548</v>
      </c>
      <c r="B1565" s="616">
        <v>1</v>
      </c>
      <c r="C1565" s="1693">
        <f t="shared" si="2167"/>
        <v>1565</v>
      </c>
      <c r="D1565" s="616">
        <v>1</v>
      </c>
      <c r="F1565" s="69"/>
      <c r="G1565"/>
      <c r="H1565" s="1050"/>
      <c r="I1565" s="1051"/>
      <c r="J1565" s="750"/>
      <c r="K1565" s="749"/>
      <c r="L1565" s="749" t="s">
        <v>129</v>
      </c>
      <c r="R1565" s="1777" t="str">
        <f>CHOOSE(2, "6722000004466", "RF (2) PP Marginal Profit % HW Indirect")</f>
        <v>RF (2) PP Marginal Profit % HW Indirect</v>
      </c>
      <c r="S1565" s="1688">
        <f t="shared" si="2171"/>
        <v>0.27650965386814441</v>
      </c>
      <c r="T1565" s="1688">
        <f t="shared" si="2171"/>
        <v>0.14328635958723515</v>
      </c>
      <c r="U1565" s="1688">
        <f t="shared" si="2171"/>
        <v>0.21416210576693978</v>
      </c>
      <c r="V1565" s="1688">
        <f t="shared" si="2171"/>
        <v>0.26471517842355918</v>
      </c>
      <c r="W1565" s="1688">
        <f t="shared" si="2171"/>
        <v>0.33058621452483777</v>
      </c>
      <c r="X1565" s="1688">
        <f t="shared" si="2171"/>
        <v>0.25850928928154371</v>
      </c>
      <c r="Y1565" s="1688">
        <f t="shared" si="2171"/>
        <v>0.23435533028665234</v>
      </c>
      <c r="Z1565" s="1688">
        <f t="shared" si="2171"/>
        <v>0.58182634546014123</v>
      </c>
      <c r="AA1565" s="1688">
        <f t="shared" si="2171"/>
        <v>0.35699824919863965</v>
      </c>
      <c r="AB1565" s="1688">
        <f t="shared" si="2171"/>
        <v>0.31548592104027645</v>
      </c>
      <c r="AC1565" s="1688">
        <f t="shared" si="2171"/>
        <v>0.25040945567583661</v>
      </c>
      <c r="AD1565" s="1688">
        <f t="shared" si="2171"/>
        <v>0.35124046684946342</v>
      </c>
      <c r="AE1565" s="1688">
        <f t="shared" si="2172"/>
        <v>0.2071021616263479</v>
      </c>
      <c r="AF1565" s="1688">
        <f t="shared" si="2172"/>
        <v>0.27975436490881761</v>
      </c>
      <c r="AG1565" s="1688">
        <f t="shared" si="2172"/>
        <v>0.38168133080438565</v>
      </c>
      <c r="AH1565" s="1688">
        <f t="shared" si="2172"/>
        <v>0.30827129044876583</v>
      </c>
      <c r="AI1565" s="1688">
        <f t="shared" si="2172"/>
        <v>0.24692663563976625</v>
      </c>
      <c r="AJ1565" s="1688">
        <f t="shared" si="2172"/>
        <v>0.34048103235796118</v>
      </c>
      <c r="AK1565" s="1688">
        <f t="shared" si="2172"/>
        <v>0.29454381481912273</v>
      </c>
    </row>
    <row r="1566" spans="1:37" ht="14.5">
      <c r="A1566" s="1693">
        <f t="shared" si="2136"/>
        <v>1549</v>
      </c>
      <c r="B1566" s="616">
        <v>1</v>
      </c>
      <c r="C1566" s="1693">
        <f t="shared" si="2167"/>
        <v>1566</v>
      </c>
      <c r="D1566" s="616">
        <v>1</v>
      </c>
      <c r="F1566" s="69"/>
      <c r="G1566"/>
      <c r="H1566" s="1050"/>
      <c r="I1566" s="1051"/>
      <c r="J1566" s="750"/>
      <c r="K1566" s="1055" t="s">
        <v>800</v>
      </c>
      <c r="L1566" s="1055"/>
      <c r="M1566" s="1056"/>
      <c r="N1566" s="213"/>
      <c r="O1566" s="213"/>
      <c r="P1566" s="213"/>
      <c r="Q1566" s="213"/>
      <c r="R1566" s="1848" t="str">
        <f>CHOOSE(2, "6722000004467", "RF (2) PP Marginal Profit % NH")</f>
        <v>RF (2) PP Marginal Profit % NH</v>
      </c>
      <c r="S1566" s="1449">
        <f t="shared" si="2171"/>
        <v>0.46507452493680207</v>
      </c>
      <c r="T1566" s="1449">
        <f t="shared" si="2171"/>
        <v>0.36736578623493127</v>
      </c>
      <c r="U1566" s="1449">
        <f t="shared" si="2171"/>
        <v>0.3649898373033747</v>
      </c>
      <c r="V1566" s="1449">
        <f t="shared" si="2171"/>
        <v>0.3492369137173833</v>
      </c>
      <c r="W1566" s="1449">
        <f t="shared" si="2171"/>
        <v>0.26352008970131985</v>
      </c>
      <c r="X1566" s="1449">
        <f t="shared" si="2171"/>
        <v>0.32989499258658028</v>
      </c>
      <c r="Y1566" s="1449">
        <f t="shared" si="2171"/>
        <v>0.30910424088609995</v>
      </c>
      <c r="Z1566" s="1449">
        <f t="shared" si="2171"/>
        <v>0.39824477515228673</v>
      </c>
      <c r="AA1566" s="1449">
        <f t="shared" si="2171"/>
        <v>0.36040003491915662</v>
      </c>
      <c r="AB1566" s="1449">
        <f t="shared" si="2171"/>
        <v>0.38065972801968301</v>
      </c>
      <c r="AC1566" s="1449">
        <f t="shared" si="2171"/>
        <v>0.45441637261875867</v>
      </c>
      <c r="AD1566" s="1449">
        <f t="shared" si="2171"/>
        <v>0.27297721764067617</v>
      </c>
      <c r="AE1566" s="1449">
        <f t="shared" si="2172"/>
        <v>0.40488565178078001</v>
      </c>
      <c r="AF1566" s="1449">
        <f t="shared" si="2172"/>
        <v>0.31325553107771753</v>
      </c>
      <c r="AG1566" s="1449">
        <f t="shared" si="2172"/>
        <v>0.35385483249003546</v>
      </c>
      <c r="AH1566" s="1449">
        <f t="shared" si="2172"/>
        <v>0.3747257360112341</v>
      </c>
      <c r="AI1566" s="1449">
        <f t="shared" si="2172"/>
        <v>0.36107819627985449</v>
      </c>
      <c r="AJ1566" s="1449">
        <f t="shared" si="2172"/>
        <v>0.36456288797175723</v>
      </c>
      <c r="AK1566" s="1449">
        <f t="shared" si="2172"/>
        <v>0.36282648794455841</v>
      </c>
    </row>
    <row r="1567" spans="1:37" ht="14.5">
      <c r="A1567" s="1693">
        <f t="shared" si="2136"/>
        <v>1550</v>
      </c>
      <c r="B1567" s="616">
        <v>1</v>
      </c>
      <c r="C1567" s="1693">
        <f t="shared" si="2167"/>
        <v>1567</v>
      </c>
      <c r="D1567" s="616">
        <v>1</v>
      </c>
      <c r="F1567" s="69"/>
      <c r="G1567"/>
      <c r="H1567" s="1050"/>
      <c r="I1567" s="1051"/>
      <c r="J1567" s="750"/>
      <c r="K1567" s="749"/>
      <c r="L1567" s="749" t="s">
        <v>120</v>
      </c>
      <c r="R1567" s="1777" t="str">
        <f>CHOOSE(2, "6722000004468", "RF (2) PP Marginal Profit % NH Direct")</f>
        <v>RF (2) PP Marginal Profit % NH Direct</v>
      </c>
      <c r="S1567" s="1688">
        <f t="shared" si="2171"/>
        <v>0.48501666179120906</v>
      </c>
      <c r="T1567" s="1688">
        <f t="shared" si="2171"/>
        <v>0.3728735572799905</v>
      </c>
      <c r="U1567" s="1688">
        <f t="shared" si="2171"/>
        <v>0.38071581801372473</v>
      </c>
      <c r="V1567" s="1688">
        <f t="shared" si="2171"/>
        <v>0.35148739731316175</v>
      </c>
      <c r="W1567" s="1688">
        <f t="shared" si="2171"/>
        <v>0.25715589425249724</v>
      </c>
      <c r="X1567" s="1688">
        <f t="shared" si="2171"/>
        <v>0.33031710806343173</v>
      </c>
      <c r="Y1567" s="1688">
        <f t="shared" si="2171"/>
        <v>0.30930343005204003</v>
      </c>
      <c r="Z1567" s="1688">
        <f t="shared" si="2171"/>
        <v>0.40481271023070947</v>
      </c>
      <c r="AA1567" s="1688">
        <f t="shared" si="2171"/>
        <v>0.36765696952328153</v>
      </c>
      <c r="AB1567" s="1688">
        <f t="shared" si="2171"/>
        <v>0.38745497381703042</v>
      </c>
      <c r="AC1567" s="1688">
        <f t="shared" si="2171"/>
        <v>0.47197472937247953</v>
      </c>
      <c r="AD1567" s="1688">
        <f t="shared" si="2171"/>
        <v>0.27281370379853331</v>
      </c>
      <c r="AE1567" s="1688">
        <f t="shared" si="2172"/>
        <v>0.41924339978068997</v>
      </c>
      <c r="AF1567" s="1688">
        <f t="shared" si="2172"/>
        <v>0.31204856514933499</v>
      </c>
      <c r="AG1567" s="1688">
        <f t="shared" si="2172"/>
        <v>0.35861448635080517</v>
      </c>
      <c r="AH1567" s="1688">
        <f t="shared" si="2172"/>
        <v>0.38594527927386185</v>
      </c>
      <c r="AI1567" s="1688">
        <f t="shared" si="2172"/>
        <v>0.36786890600806538</v>
      </c>
      <c r="AJ1567" s="1688">
        <f t="shared" si="2172"/>
        <v>0.37247027419401058</v>
      </c>
      <c r="AK1567" s="1688">
        <f t="shared" si="2172"/>
        <v>0.37016602362809542</v>
      </c>
    </row>
    <row r="1568" spans="1:37" ht="14.5">
      <c r="A1568" s="1693">
        <f t="shared" si="2136"/>
        <v>1551</v>
      </c>
      <c r="B1568" s="616">
        <v>1</v>
      </c>
      <c r="C1568" s="1693">
        <f t="shared" si="2167"/>
        <v>1568</v>
      </c>
      <c r="D1568" s="616">
        <v>1</v>
      </c>
      <c r="F1568" s="69"/>
      <c r="G1568"/>
      <c r="H1568" s="1050"/>
      <c r="I1568" s="1051"/>
      <c r="J1568" s="750"/>
      <c r="K1568" s="749"/>
      <c r="L1568" s="749" t="s">
        <v>129</v>
      </c>
      <c r="R1568" s="1777" t="str">
        <f>CHOOSE(2, "6722000004469", "RF (2) PP Marginal Profit % NH Indirect")</f>
        <v>RF (2) PP Marginal Profit % NH Indirect</v>
      </c>
      <c r="S1568" s="1688">
        <f t="shared" si="2171"/>
        <v>0.29060027919962772</v>
      </c>
      <c r="T1568" s="1688">
        <f t="shared" si="2171"/>
        <v>0.32679502236897667</v>
      </c>
      <c r="U1568" s="1688">
        <f t="shared" si="2171"/>
        <v>0.24024090849528437</v>
      </c>
      <c r="V1568" s="1688">
        <f t="shared" si="2171"/>
        <v>0.32762987864433663</v>
      </c>
      <c r="W1568" s="1688">
        <f t="shared" si="2171"/>
        <v>0.31627737373882381</v>
      </c>
      <c r="X1568" s="1688">
        <f t="shared" si="2171"/>
        <v>0.32669342261871132</v>
      </c>
      <c r="Y1568" s="1688">
        <f t="shared" si="2171"/>
        <v>0.30759263565450135</v>
      </c>
      <c r="Z1568" s="1688">
        <f t="shared" si="2171"/>
        <v>0.3429091142776437</v>
      </c>
      <c r="AA1568" s="1688">
        <f t="shared" si="2171"/>
        <v>0.29240865854061726</v>
      </c>
      <c r="AB1568" s="1688">
        <f t="shared" si="2171"/>
        <v>0.32552536520476366</v>
      </c>
      <c r="AC1568" s="1688">
        <f t="shared" si="2171"/>
        <v>0.30505195393950302</v>
      </c>
      <c r="AD1568" s="1688">
        <f t="shared" si="2171"/>
        <v>0.27373706042804119</v>
      </c>
      <c r="AE1568" s="1688">
        <f t="shared" si="2172"/>
        <v>0.28968790404757289</v>
      </c>
      <c r="AF1568" s="1688">
        <f t="shared" si="2172"/>
        <v>0.32336723814057761</v>
      </c>
      <c r="AG1568" s="1688">
        <f t="shared" si="2172"/>
        <v>0.31395530790674164</v>
      </c>
      <c r="AH1568" s="1688">
        <f t="shared" si="2172"/>
        <v>0.29836456371782583</v>
      </c>
      <c r="AI1568" s="1688">
        <f t="shared" si="2172"/>
        <v>0.30546622672539619</v>
      </c>
      <c r="AJ1568" s="1688">
        <f t="shared" si="2172"/>
        <v>0.30524340950762013</v>
      </c>
      <c r="AK1568" s="1688">
        <f t="shared" si="2172"/>
        <v>0.30535010821889103</v>
      </c>
    </row>
    <row r="1569" spans="1:37" ht="14.5">
      <c r="A1569" s="1693">
        <f t="shared" si="2136"/>
        <v>1552</v>
      </c>
      <c r="B1569" s="616">
        <v>1</v>
      </c>
      <c r="C1569" s="1693">
        <f t="shared" si="2167"/>
        <v>1569</v>
      </c>
      <c r="D1569" s="616">
        <v>1</v>
      </c>
      <c r="F1569" s="69"/>
      <c r="G1569"/>
      <c r="H1569" s="1050"/>
      <c r="I1569" s="1051"/>
      <c r="J1569" s="750"/>
      <c r="K1569" s="1055" t="s">
        <v>417</v>
      </c>
      <c r="L1569" s="1055"/>
      <c r="M1569" s="1056"/>
      <c r="N1569" s="213"/>
      <c r="O1569" s="213"/>
      <c r="P1569" s="213"/>
      <c r="Q1569" s="213"/>
      <c r="R1569" s="1848" t="str">
        <f>CHOOSE(2, "6722000004470", "RF (2) PP Marginal Profit % Office Solution")</f>
        <v>RF (2) PP Marginal Profit % Office Solution</v>
      </c>
      <c r="S1569" s="1450" t="str">
        <f t="shared" si="2171"/>
        <v/>
      </c>
      <c r="T1569" s="1450" t="str">
        <f t="shared" si="2171"/>
        <v/>
      </c>
      <c r="U1569" s="1450" t="str">
        <f t="shared" si="2171"/>
        <v/>
      </c>
      <c r="V1569" s="1450" t="str">
        <f t="shared" si="2171"/>
        <v/>
      </c>
      <c r="W1569" s="1450" t="str">
        <f t="shared" si="2171"/>
        <v/>
      </c>
      <c r="X1569" s="1450">
        <f t="shared" si="2171"/>
        <v>-6.9450170198675512</v>
      </c>
      <c r="Y1569" s="1450">
        <f t="shared" si="2171"/>
        <v>-3.4855143046357617</v>
      </c>
      <c r="Z1569" s="1450">
        <f t="shared" si="2171"/>
        <v>0.40007894736842103</v>
      </c>
      <c r="AA1569" s="1450" t="str">
        <f t="shared" si="2171"/>
        <v/>
      </c>
      <c r="AB1569" s="1450">
        <f t="shared" si="2171"/>
        <v>0.58103311258278145</v>
      </c>
      <c r="AC1569" s="1450">
        <f t="shared" si="2171"/>
        <v>0.48588799999999993</v>
      </c>
      <c r="AD1569" s="1450">
        <f t="shared" si="2171"/>
        <v>0.50017768089109205</v>
      </c>
      <c r="AE1569" s="1450" t="str">
        <f t="shared" si="2172"/>
        <v/>
      </c>
      <c r="AF1569" s="1450">
        <f t="shared" si="2172"/>
        <v>-6.9450170198675512</v>
      </c>
      <c r="AG1569" s="1450">
        <f t="shared" si="2172"/>
        <v>-1.4220470807453418</v>
      </c>
      <c r="AH1569" s="1450">
        <f t="shared" si="2172"/>
        <v>0.51119863810349564</v>
      </c>
      <c r="AI1569" s="1450">
        <f t="shared" si="2172"/>
        <v>-6.9450170198675512</v>
      </c>
      <c r="AJ1569" s="1450">
        <f t="shared" si="2172"/>
        <v>-0.27195473473649789</v>
      </c>
      <c r="AK1569" s="1450">
        <f t="shared" si="2172"/>
        <v>-0.85080763927984671</v>
      </c>
    </row>
    <row r="1570" spans="1:37" ht="14.5">
      <c r="A1570" s="1693">
        <f t="shared" si="2136"/>
        <v>1553</v>
      </c>
      <c r="B1570" s="616">
        <v>1</v>
      </c>
      <c r="C1570" s="1693">
        <f t="shared" si="2167"/>
        <v>1570</v>
      </c>
      <c r="D1570" s="616">
        <v>1</v>
      </c>
      <c r="F1570" s="69"/>
      <c r="G1570"/>
      <c r="H1570" s="1050"/>
      <c r="I1570" s="1051"/>
      <c r="J1570" s="750"/>
      <c r="K1570" s="1055" t="s">
        <v>51</v>
      </c>
      <c r="L1570" s="1055"/>
      <c r="M1570" s="1056"/>
      <c r="N1570" s="213"/>
      <c r="O1570" s="213"/>
      <c r="P1570" s="213"/>
      <c r="Q1570" s="213"/>
      <c r="R1570" s="1848" t="str">
        <f>CHOOSE(2, "6722000004471", "RF (2) PP Marginal Profit % Others")</f>
        <v>RF (2) PP Marginal Profit % Others</v>
      </c>
      <c r="S1570" s="1450" t="str">
        <f t="shared" si="2171"/>
        <v/>
      </c>
      <c r="T1570" s="1450" t="str">
        <f t="shared" si="2171"/>
        <v/>
      </c>
      <c r="U1570" s="1450" t="str">
        <f t="shared" si="2171"/>
        <v/>
      </c>
      <c r="V1570" s="1450" t="str">
        <f t="shared" si="2171"/>
        <v/>
      </c>
      <c r="W1570" s="1450" t="str">
        <f t="shared" si="2171"/>
        <v/>
      </c>
      <c r="X1570" s="1450" t="str">
        <f t="shared" si="2171"/>
        <v/>
      </c>
      <c r="Y1570" s="1450" t="str">
        <f t="shared" si="2171"/>
        <v/>
      </c>
      <c r="Z1570" s="1450" t="str">
        <f t="shared" si="2171"/>
        <v/>
      </c>
      <c r="AA1570" s="1450" t="str">
        <f t="shared" si="2171"/>
        <v/>
      </c>
      <c r="AB1570" s="1450" t="str">
        <f t="shared" si="2171"/>
        <v/>
      </c>
      <c r="AC1570" s="1450" t="str">
        <f t="shared" si="2171"/>
        <v/>
      </c>
      <c r="AD1570" s="1450" t="str">
        <f t="shared" si="2171"/>
        <v/>
      </c>
      <c r="AE1570" s="1450" t="str">
        <f t="shared" si="2172"/>
        <v/>
      </c>
      <c r="AF1570" s="1450" t="str">
        <f t="shared" si="2172"/>
        <v/>
      </c>
      <c r="AG1570" s="1450" t="str">
        <f t="shared" si="2172"/>
        <v/>
      </c>
      <c r="AH1570" s="1450" t="str">
        <f t="shared" si="2172"/>
        <v/>
      </c>
      <c r="AI1570" s="1450" t="str">
        <f t="shared" si="2172"/>
        <v/>
      </c>
      <c r="AJ1570" s="1450" t="str">
        <f t="shared" si="2172"/>
        <v/>
      </c>
      <c r="AK1570" s="1450" t="str">
        <f t="shared" si="2172"/>
        <v/>
      </c>
    </row>
    <row r="1571" spans="1:37" ht="14.5">
      <c r="A1571" s="1693">
        <f t="shared" si="2136"/>
        <v>1554</v>
      </c>
      <c r="B1571" s="616">
        <v>1</v>
      </c>
      <c r="C1571" s="1693">
        <f t="shared" si="2167"/>
        <v>1571</v>
      </c>
      <c r="D1571" s="616">
        <v>1</v>
      </c>
      <c r="F1571" s="69"/>
      <c r="G1571"/>
      <c r="H1571" s="1050"/>
      <c r="I1571" s="1051"/>
      <c r="J1571" s="1058" t="s">
        <v>492</v>
      </c>
      <c r="K1571" s="1059"/>
      <c r="L1571" s="1059"/>
      <c r="M1571" s="1060"/>
      <c r="N1571" s="1061"/>
      <c r="O1571" s="1061"/>
      <c r="P1571" s="1061"/>
      <c r="Q1571" s="1061"/>
      <c r="R1571" s="1854" t="str">
        <f>CHOOSE(2, "6722000004472", "RF (2) PP Fixed Cost")</f>
        <v>RF (2) PP Fixed Cost</v>
      </c>
      <c r="S1571" s="1451">
        <f>SUM(S1572:S1573)</f>
        <v>131033.12068101473</v>
      </c>
      <c r="T1571" s="1451">
        <f t="shared" ref="T1571:AD1571" si="2173">SUM(T1572:T1573)</f>
        <v>119153.11785783441</v>
      </c>
      <c r="U1571" s="1451">
        <f t="shared" si="2173"/>
        <v>66170.184621490524</v>
      </c>
      <c r="V1571" s="1451">
        <f t="shared" si="2173"/>
        <v>89858.213438274557</v>
      </c>
      <c r="W1571" s="1451">
        <f t="shared" si="2173"/>
        <v>92685.404763799001</v>
      </c>
      <c r="X1571" s="1451">
        <f t="shared" si="2173"/>
        <v>95743.999073532555</v>
      </c>
      <c r="Y1571" s="1451">
        <f t="shared" si="2173"/>
        <v>90912.698077570763</v>
      </c>
      <c r="Z1571" s="1451">
        <f t="shared" si="2173"/>
        <v>112572.59366668043</v>
      </c>
      <c r="AA1571" s="1451">
        <f t="shared" si="2173"/>
        <v>152837.44670569917</v>
      </c>
      <c r="AB1571" s="1451">
        <f t="shared" si="2173"/>
        <v>129908.56447026183</v>
      </c>
      <c r="AC1571" s="1451">
        <f t="shared" si="2173"/>
        <v>131440.50620745731</v>
      </c>
      <c r="AD1571" s="1451">
        <f t="shared" si="2173"/>
        <v>70276.029275485969</v>
      </c>
      <c r="AE1571" s="1062">
        <f>SUM(S1571:U1571)</f>
        <v>316356.42316033965</v>
      </c>
      <c r="AF1571" s="1062">
        <f>SUM(V1571:X1571)</f>
        <v>278287.61727560614</v>
      </c>
      <c r="AG1571" s="1062">
        <f>SUM(Y1571:AA1571)</f>
        <v>356322.73844995035</v>
      </c>
      <c r="AH1571" s="1062">
        <f>SUM(AB1571:AD1571)</f>
        <v>331625.09995320509</v>
      </c>
      <c r="AI1571" s="1062">
        <f>AE1571+AF1571</f>
        <v>594644.04043594585</v>
      </c>
      <c r="AJ1571" s="1062">
        <f>AH1571+AG1571</f>
        <v>687947.83840315545</v>
      </c>
      <c r="AK1571" s="1062">
        <f>AI1571+AJ1571</f>
        <v>1282591.8788391012</v>
      </c>
    </row>
    <row r="1572" spans="1:37" ht="14.5">
      <c r="A1572" s="1693">
        <f t="shared" si="2136"/>
        <v>1555</v>
      </c>
      <c r="B1572" s="616">
        <v>1</v>
      </c>
      <c r="C1572" s="1693">
        <f t="shared" si="2167"/>
        <v>1572</v>
      </c>
      <c r="D1572" s="616">
        <v>1</v>
      </c>
      <c r="F1572" s="69"/>
      <c r="G1572"/>
      <c r="H1572" s="1050"/>
      <c r="I1572" s="1051"/>
      <c r="J1572" s="750"/>
      <c r="K1572" s="749" t="s">
        <v>804</v>
      </c>
      <c r="L1572" s="749"/>
      <c r="R1572" s="1777" t="str">
        <f>CHOOSE(2, "6722000004473", "RF (2) PP Fixed Cost COGs")</f>
        <v>RF (2) PP Fixed Cost COGs</v>
      </c>
      <c r="S1572" s="1226">
        <f t="shared" ref="S1572:AD1572" si="2174">S862</f>
        <v>15655</v>
      </c>
      <c r="T1572" s="1226">
        <f t="shared" si="2174"/>
        <v>17213.608499999998</v>
      </c>
      <c r="U1572" s="1226">
        <f t="shared" si="2174"/>
        <v>18170.151999999998</v>
      </c>
      <c r="V1572" s="1226">
        <f t="shared" si="2174"/>
        <v>20315.686000000002</v>
      </c>
      <c r="W1572" s="1226">
        <f t="shared" si="2174"/>
        <v>21806.8487225873</v>
      </c>
      <c r="X1572" s="1226">
        <f t="shared" si="2174"/>
        <v>20350.960999999999</v>
      </c>
      <c r="Y1572" s="1226">
        <f t="shared" si="2174"/>
        <v>20583.007999999998</v>
      </c>
      <c r="Z1572" s="1226">
        <f t="shared" si="2174"/>
        <v>22918.916000000001</v>
      </c>
      <c r="AA1572" s="1226">
        <f t="shared" si="2174"/>
        <v>23015.775667814192</v>
      </c>
      <c r="AB1572" s="1226">
        <f t="shared" si="2174"/>
        <v>26470.077080285879</v>
      </c>
      <c r="AC1572" s="1226">
        <f t="shared" si="2174"/>
        <v>23758.507449098124</v>
      </c>
      <c r="AD1572" s="1226">
        <f t="shared" si="2174"/>
        <v>24418.094482783476</v>
      </c>
      <c r="AE1572" s="1226">
        <f>SUM(S1572:U1572)</f>
        <v>51038.760500000004</v>
      </c>
      <c r="AF1572" s="1226">
        <f>SUM(V1572:X1572)</f>
        <v>62473.495722587293</v>
      </c>
      <c r="AG1572" s="1226">
        <f>SUM(Y1572:AA1572)</f>
        <v>66517.699667814188</v>
      </c>
      <c r="AH1572" s="1226">
        <f>SUM(AB1572:AD1572)</f>
        <v>74646.679012167471</v>
      </c>
      <c r="AI1572" s="1226">
        <f>AE1572+AF1572</f>
        <v>113512.2562225873</v>
      </c>
      <c r="AJ1572" s="1226">
        <f>AH1572+AG1572</f>
        <v>141164.37867998166</v>
      </c>
      <c r="AK1572" s="1226">
        <f>AI1572+AJ1572</f>
        <v>254676.63490256894</v>
      </c>
    </row>
    <row r="1573" spans="1:37" ht="14.5">
      <c r="A1573" s="1693">
        <f t="shared" si="2136"/>
        <v>1556</v>
      </c>
      <c r="B1573" s="616">
        <v>1</v>
      </c>
      <c r="C1573" s="1693">
        <f t="shared" si="2167"/>
        <v>1573</v>
      </c>
      <c r="D1573" s="616">
        <v>1</v>
      </c>
      <c r="F1573" s="69"/>
      <c r="G1573"/>
      <c r="H1573" s="1050"/>
      <c r="I1573" s="1051"/>
      <c r="J1573" s="750"/>
      <c r="K1573" s="749" t="s">
        <v>805</v>
      </c>
      <c r="L1573" s="749"/>
      <c r="R1573" s="1777" t="str">
        <f>CHOOSE(2, "6722000004474", "RF (2) PP Fixed Cost SG&amp;A")</f>
        <v>RF (2) PP Fixed Cost SG&amp;A</v>
      </c>
      <c r="S1573" s="1226">
        <f t="shared" ref="S1573:AD1573" si="2175">S188+S189</f>
        <v>115378.12068101473</v>
      </c>
      <c r="T1573" s="1226">
        <f t="shared" si="2175"/>
        <v>101939.50935783441</v>
      </c>
      <c r="U1573" s="1226">
        <f t="shared" si="2175"/>
        <v>48000.032621490529</v>
      </c>
      <c r="V1573" s="1226">
        <f t="shared" si="2175"/>
        <v>69542.527438274556</v>
      </c>
      <c r="W1573" s="1226">
        <f t="shared" si="2175"/>
        <v>70878.556041211705</v>
      </c>
      <c r="X1573" s="1226">
        <f t="shared" si="2175"/>
        <v>75393.03807353256</v>
      </c>
      <c r="Y1573" s="1226">
        <f t="shared" si="2175"/>
        <v>70329.690077570762</v>
      </c>
      <c r="Z1573" s="1226">
        <f t="shared" si="2175"/>
        <v>89653.677666680436</v>
      </c>
      <c r="AA1573" s="1226">
        <f t="shared" si="2175"/>
        <v>129821.67103788498</v>
      </c>
      <c r="AB1573" s="1226">
        <f t="shared" si="2175"/>
        <v>103438.48738997596</v>
      </c>
      <c r="AC1573" s="1226">
        <f t="shared" si="2175"/>
        <v>107681.99875835917</v>
      </c>
      <c r="AD1573" s="1226">
        <f t="shared" si="2175"/>
        <v>45857.934792702494</v>
      </c>
      <c r="AE1573" s="1226">
        <f>SUM(S1573:U1573)</f>
        <v>265317.66266033967</v>
      </c>
      <c r="AF1573" s="1226">
        <f>SUM(V1573:X1573)</f>
        <v>215814.12155301881</v>
      </c>
      <c r="AG1573" s="1226">
        <f>SUM(Y1573:AA1573)</f>
        <v>289805.03878213617</v>
      </c>
      <c r="AH1573" s="1226">
        <f>SUM(AB1573:AD1573)</f>
        <v>256978.42094103762</v>
      </c>
      <c r="AI1573" s="1226">
        <f>AE1573+AF1573</f>
        <v>481131.78421335848</v>
      </c>
      <c r="AJ1573" s="1226">
        <f>AH1573+AG1573</f>
        <v>546783.45972317376</v>
      </c>
      <c r="AK1573" s="1226">
        <f>AI1573+AJ1573</f>
        <v>1027915.2439365322</v>
      </c>
    </row>
    <row r="1574" spans="1:37" ht="14.5">
      <c r="A1574" s="1693">
        <f t="shared" si="2136"/>
        <v>1557</v>
      </c>
      <c r="B1574" s="616">
        <v>1</v>
      </c>
      <c r="C1574" s="1693">
        <f t="shared" si="2167"/>
        <v>1574</v>
      </c>
      <c r="D1574" s="616">
        <v>1</v>
      </c>
      <c r="F1574" s="69"/>
      <c r="G1574"/>
      <c r="H1574" s="1050"/>
      <c r="I1574" s="1051"/>
      <c r="J1574" s="1058" t="s">
        <v>493</v>
      </c>
      <c r="K1574" s="1059"/>
      <c r="L1574" s="1059"/>
      <c r="M1574" s="1060"/>
      <c r="N1574" s="1061"/>
      <c r="O1574" s="1061"/>
      <c r="P1574" s="1061"/>
      <c r="Q1574" s="1061"/>
      <c r="R1574" s="1854" t="str">
        <f>CHOOSE(2, "6722000004475", "RF (2) PP BCP")</f>
        <v>RF (2) PP BCP</v>
      </c>
      <c r="S1574" s="1451">
        <f>S1553-S1571</f>
        <v>136846.46874709142</v>
      </c>
      <c r="T1574" s="1451">
        <f t="shared" ref="T1574:AD1574" si="2176">T1553-T1571</f>
        <v>76938.465297472751</v>
      </c>
      <c r="U1574" s="1451">
        <f t="shared" si="2176"/>
        <v>58762.003356949208</v>
      </c>
      <c r="V1574" s="1451">
        <f t="shared" si="2176"/>
        <v>61943.107938894143</v>
      </c>
      <c r="W1574" s="1451">
        <f t="shared" si="2176"/>
        <v>52473.490391674262</v>
      </c>
      <c r="X1574" s="1451">
        <f t="shared" si="2176"/>
        <v>69277.362477201066</v>
      </c>
      <c r="Y1574" s="1451">
        <f t="shared" si="2176"/>
        <v>86425.307553892024</v>
      </c>
      <c r="Z1574" s="1451">
        <f t="shared" si="2176"/>
        <v>50749.200559001198</v>
      </c>
      <c r="AA1574" s="1451">
        <f t="shared" si="2176"/>
        <v>58755.43828296123</v>
      </c>
      <c r="AB1574" s="1451">
        <f t="shared" si="2176"/>
        <v>67334.638683695259</v>
      </c>
      <c r="AC1574" s="1451">
        <f t="shared" si="2176"/>
        <v>63268.830779564363</v>
      </c>
      <c r="AD1574" s="1451">
        <f t="shared" si="2176"/>
        <v>61727.688440612561</v>
      </c>
      <c r="AE1574" s="1062">
        <f>SUM(S1574:U1574)</f>
        <v>272546.93740151339</v>
      </c>
      <c r="AF1574" s="1062">
        <f>SUM(V1574:X1574)</f>
        <v>183693.96080776947</v>
      </c>
      <c r="AG1574" s="1062">
        <f>SUM(Y1574:AA1574)</f>
        <v>195929.94639585444</v>
      </c>
      <c r="AH1574" s="1062">
        <f>SUM(AB1574:AD1574)</f>
        <v>192331.1579038722</v>
      </c>
      <c r="AI1574" s="1062">
        <f>AE1574+AF1574</f>
        <v>456240.8982092829</v>
      </c>
      <c r="AJ1574" s="1062">
        <f>AH1574+AG1574</f>
        <v>388261.10429972666</v>
      </c>
      <c r="AK1574" s="1062">
        <f>AI1574+AJ1574</f>
        <v>844502.00250900956</v>
      </c>
    </row>
    <row r="1575" spans="1:37" ht="14.5">
      <c r="A1575" s="1693">
        <f t="shared" si="2136"/>
        <v>1558</v>
      </c>
      <c r="B1575" s="616">
        <v>1</v>
      </c>
      <c r="C1575" s="1693">
        <f t="shared" si="2167"/>
        <v>1575</v>
      </c>
      <c r="D1575" s="616">
        <v>1</v>
      </c>
      <c r="F1575" s="69"/>
      <c r="G1575"/>
      <c r="H1575" s="1050"/>
      <c r="I1575" s="1051"/>
      <c r="J1575" s="1058" t="s">
        <v>506</v>
      </c>
      <c r="K1575" s="1059"/>
      <c r="L1575" s="1059"/>
      <c r="M1575" s="1060"/>
      <c r="N1575" s="1061"/>
      <c r="O1575" s="1061"/>
      <c r="P1575" s="1061"/>
      <c r="Q1575" s="1061"/>
      <c r="R1575" s="1854" t="str">
        <f>CHOOSE(2, "6722000004476", "RF (2) PP Break-even Point Net Sales")</f>
        <v>RF (2) PP Break-even Point Net Sales</v>
      </c>
      <c r="S1575" s="1451">
        <f>IFERROR(S1571/S1562,0)</f>
        <v>362665.58260689001</v>
      </c>
      <c r="T1575" s="1451">
        <f t="shared" ref="T1575:AD1575" si="2177">IFERROR(T1571/T1562,0)</f>
        <v>407386.15499701083</v>
      </c>
      <c r="U1575" s="1451">
        <f t="shared" si="2177"/>
        <v>290647.2873763254</v>
      </c>
      <c r="V1575" s="1451">
        <f t="shared" si="2177"/>
        <v>335056.41711533378</v>
      </c>
      <c r="W1575" s="1451">
        <f t="shared" si="2177"/>
        <v>412030.7424723396</v>
      </c>
      <c r="X1575" s="1451">
        <f t="shared" si="2177"/>
        <v>383083.4013458371</v>
      </c>
      <c r="Y1575" s="1451">
        <f t="shared" si="2177"/>
        <v>330304.87462918204</v>
      </c>
      <c r="Z1575" s="1451">
        <f t="shared" si="2177"/>
        <v>390076.33642561716</v>
      </c>
      <c r="AA1575" s="1451">
        <f t="shared" si="2177"/>
        <v>436100.79482016229</v>
      </c>
      <c r="AB1575" s="1451">
        <f t="shared" si="2177"/>
        <v>432214.93900573725</v>
      </c>
      <c r="AC1575" s="1451">
        <f t="shared" si="2177"/>
        <v>471781.94141335023</v>
      </c>
      <c r="AD1575" s="1451">
        <f t="shared" si="2177"/>
        <v>319455.56609221012</v>
      </c>
      <c r="AE1575" s="1062">
        <f t="shared" ref="AE1575:AK1575" si="2178">IFERROR(AE1571/AE1562,0)</f>
        <v>1053234.4797110339</v>
      </c>
      <c r="AF1575" s="1062">
        <f t="shared" si="2178"/>
        <v>1127408.6203398113</v>
      </c>
      <c r="AG1575" s="1062">
        <f t="shared" si="2178"/>
        <v>1170413.947885646</v>
      </c>
      <c r="AH1575" s="1062">
        <f t="shared" si="2178"/>
        <v>1237475.4775517618</v>
      </c>
      <c r="AI1575" s="1062">
        <f t="shared" si="2178"/>
        <v>2168459.8639637162</v>
      </c>
      <c r="AJ1575" s="1062">
        <f t="shared" si="2178"/>
        <v>2409366.1765908166</v>
      </c>
      <c r="AK1575" s="1062">
        <f t="shared" si="2178"/>
        <v>4583460.1213181699</v>
      </c>
    </row>
    <row r="1576" spans="1:37" ht="14.5">
      <c r="A1576" s="1693">
        <f t="shared" si="2136"/>
        <v>1559</v>
      </c>
      <c r="B1576" s="616">
        <v>1</v>
      </c>
      <c r="C1576" s="1693">
        <f t="shared" si="2167"/>
        <v>1576</v>
      </c>
      <c r="D1576" s="616">
        <v>1</v>
      </c>
      <c r="F1576" s="69"/>
      <c r="G1576"/>
      <c r="H1576" s="1050"/>
      <c r="I1576" s="1051"/>
      <c r="J1576" s="751"/>
      <c r="K1576" s="752" t="s">
        <v>55</v>
      </c>
      <c r="L1576" s="753"/>
      <c r="M1576" s="16"/>
      <c r="N1576" s="11"/>
      <c r="O1576" s="11"/>
      <c r="P1576" s="11"/>
      <c r="Q1576" s="11"/>
      <c r="R1576" s="1772" t="str">
        <f>CHOOSE(2, "6722000004477", "RF (2) PP Break-even Point Net Sales (%)")</f>
        <v>RF (2) PP Break-even Point Net Sales (%)</v>
      </c>
      <c r="S1576" s="1689">
        <f>IFERROR(S1575/S1535,0)</f>
        <v>0.48914932623555307</v>
      </c>
      <c r="T1576" s="1689">
        <f t="shared" ref="T1576:AD1576" si="2179">IFERROR(T1575/T1535,0)</f>
        <v>0.60764014416398249</v>
      </c>
      <c r="U1576" s="1689">
        <f t="shared" si="2179"/>
        <v>0.52964880942379633</v>
      </c>
      <c r="V1576" s="1689">
        <f t="shared" si="2179"/>
        <v>0.59194618744464667</v>
      </c>
      <c r="W1576" s="1689">
        <f t="shared" si="2179"/>
        <v>0.63850999047993418</v>
      </c>
      <c r="X1576" s="1689">
        <f t="shared" si="2179"/>
        <v>0.58019154716583365</v>
      </c>
      <c r="Y1576" s="1689">
        <f t="shared" si="2179"/>
        <v>0.5126520835387206</v>
      </c>
      <c r="Z1576" s="1689">
        <f t="shared" si="2179"/>
        <v>0.68926865639943413</v>
      </c>
      <c r="AA1576" s="1689">
        <f t="shared" si="2179"/>
        <v>0.72231845940325434</v>
      </c>
      <c r="AB1576" s="1689">
        <f t="shared" si="2179"/>
        <v>0.65862124723690696</v>
      </c>
      <c r="AC1576" s="1689">
        <f t="shared" si="2179"/>
        <v>0.6750601087826541</v>
      </c>
      <c r="AD1576" s="1689">
        <f t="shared" si="2179"/>
        <v>0.53237916697641197</v>
      </c>
      <c r="AE1576" s="1689">
        <f t="shared" ref="AE1576:AK1576" si="2180">IFERROR(AE1575/AE1535,0)</f>
        <v>0.53719581912134884</v>
      </c>
      <c r="AF1576" s="1689">
        <f t="shared" si="2180"/>
        <v>0.60237816934203048</v>
      </c>
      <c r="AG1576" s="1689">
        <f t="shared" si="2180"/>
        <v>0.64521685132131079</v>
      </c>
      <c r="AH1576" s="1689">
        <f t="shared" si="2180"/>
        <v>0.63292516308425217</v>
      </c>
      <c r="AI1576" s="1689">
        <f t="shared" si="2180"/>
        <v>0.56585075926822614</v>
      </c>
      <c r="AJ1576" s="1689">
        <f t="shared" si="2180"/>
        <v>0.63923259797059961</v>
      </c>
      <c r="AK1576" s="1689">
        <f t="shared" si="2180"/>
        <v>0.60297850042529366</v>
      </c>
    </row>
    <row r="1577" spans="1:37" ht="14.5">
      <c r="A1577" s="1693">
        <f t="shared" si="2136"/>
        <v>1560</v>
      </c>
      <c r="B1577" s="616">
        <v>1</v>
      </c>
      <c r="C1577" s="1693">
        <f t="shared" si="2167"/>
        <v>1577</v>
      </c>
      <c r="D1577" s="616">
        <v>1</v>
      </c>
      <c r="F1577" s="69"/>
      <c r="G1577"/>
      <c r="R1577" s="1772" t="str">
        <f>CHOOSE(2, "6722000004478", "▷ Blank 65")</f>
        <v>▷ Blank 65</v>
      </c>
      <c r="S1577" s="1366"/>
      <c r="T1577" s="1366"/>
      <c r="U1577" s="1366"/>
      <c r="V1577" s="1366"/>
      <c r="W1577" s="1366"/>
      <c r="X1577" s="1366"/>
      <c r="Y1577" s="1366"/>
      <c r="Z1577" s="1366"/>
      <c r="AA1577" s="1366"/>
      <c r="AB1577" s="1366"/>
      <c r="AC1577" s="69"/>
      <c r="AD1577" s="69"/>
      <c r="AE1577" s="69"/>
      <c r="AF1577" s="69"/>
      <c r="AG1577" s="69"/>
      <c r="AH1577" s="69"/>
      <c r="AI1577" s="69"/>
      <c r="AJ1577" s="69"/>
      <c r="AK1577" s="69"/>
    </row>
    <row r="1578" spans="1:37" ht="14.5">
      <c r="A1578" s="1693">
        <f t="shared" si="2136"/>
        <v>1561</v>
      </c>
      <c r="B1578" s="616">
        <v>1</v>
      </c>
      <c r="C1578" s="1693">
        <f t="shared" si="2167"/>
        <v>1578</v>
      </c>
      <c r="D1578" s="616">
        <v>1</v>
      </c>
      <c r="F1578" s="69"/>
      <c r="G1578"/>
      <c r="I1578" s="4" t="s">
        <v>284</v>
      </c>
      <c r="R1578" s="1772" t="str">
        <f>CHOOSE(2, "6722000004479", "RF (3) IP")</f>
        <v>RF (3) IP</v>
      </c>
      <c r="S1578" s="1366"/>
      <c r="T1578" s="1366"/>
      <c r="U1578" s="1366"/>
      <c r="V1578" s="1366"/>
      <c r="W1578" s="1366"/>
      <c r="X1578" s="1366"/>
      <c r="Y1578" s="1366"/>
      <c r="Z1578" s="1366"/>
      <c r="AA1578" s="1366"/>
      <c r="AB1578" s="1366"/>
      <c r="AC1578" s="69"/>
      <c r="AD1578" s="69"/>
      <c r="AE1578" s="69"/>
      <c r="AF1578" s="69"/>
      <c r="AG1578" s="69"/>
      <c r="AH1578" s="69"/>
      <c r="AI1578" s="69"/>
      <c r="AJ1578" s="69"/>
      <c r="AK1578" s="69"/>
    </row>
    <row r="1579" spans="1:37" ht="14.5">
      <c r="A1579" s="1693">
        <f t="shared" si="2136"/>
        <v>1562</v>
      </c>
      <c r="B1579" s="616">
        <v>1</v>
      </c>
      <c r="C1579" s="1693">
        <f t="shared" si="2167"/>
        <v>1579</v>
      </c>
      <c r="D1579" s="616">
        <v>1</v>
      </c>
      <c r="F1579" s="69"/>
      <c r="G1579"/>
      <c r="H1579" s="1050"/>
      <c r="I1579" s="1051"/>
      <c r="J1579" s="1064" t="s">
        <v>0</v>
      </c>
      <c r="K1579" s="1065"/>
      <c r="L1579" s="1065"/>
      <c r="M1579" s="1066"/>
      <c r="N1579" s="1067"/>
      <c r="O1579" s="1067"/>
      <c r="P1579" s="1067"/>
      <c r="Q1579" s="1067"/>
      <c r="R1579" s="1817" t="str">
        <f>CHOOSE(2, "6722000004480", "RF (3) PP Net Sales")</f>
        <v>RF (3) PP Net Sales</v>
      </c>
      <c r="S1579" s="1377">
        <f>SUM(S1580,S1583)</f>
        <v>86686</v>
      </c>
      <c r="T1579" s="1377">
        <f t="shared" ref="T1579:AD1579" si="2181">SUM(T1580,T1583)</f>
        <v>17939.617999999999</v>
      </c>
      <c r="U1579" s="1377">
        <f t="shared" si="2181"/>
        <v>37506.743000000002</v>
      </c>
      <c r="V1579" s="1377">
        <f t="shared" si="2181"/>
        <v>7925.893</v>
      </c>
      <c r="W1579" s="1377">
        <f t="shared" si="2181"/>
        <v>36041.862000000001</v>
      </c>
      <c r="X1579" s="1377">
        <f t="shared" si="2181"/>
        <v>69002.597000000009</v>
      </c>
      <c r="Y1579" s="1377">
        <f t="shared" si="2181"/>
        <v>11993.526000000002</v>
      </c>
      <c r="Z1579" s="1377">
        <f t="shared" si="2181"/>
        <v>49334.861000000004</v>
      </c>
      <c r="AA1579" s="1377">
        <f t="shared" si="2181"/>
        <v>30765.53</v>
      </c>
      <c r="AB1579" s="1377">
        <f t="shared" si="2181"/>
        <v>18618.551100000001</v>
      </c>
      <c r="AC1579" s="1377">
        <f t="shared" si="2181"/>
        <v>19432.557000000001</v>
      </c>
      <c r="AD1579" s="1377">
        <f t="shared" si="2181"/>
        <v>68984.304000000004</v>
      </c>
      <c r="AE1579" s="776">
        <f t="shared" ref="AE1579:AE1600" si="2182">SUM(S1579:U1579)</f>
        <v>142132.361</v>
      </c>
      <c r="AF1579" s="776">
        <f t="shared" ref="AF1579:AF1600" si="2183">SUM(V1579:X1579)</f>
        <v>112970.35200000001</v>
      </c>
      <c r="AG1579" s="776">
        <f t="shared" ref="AG1579:AG1600" si="2184">SUM(Y1579:AA1579)</f>
        <v>92093.917000000001</v>
      </c>
      <c r="AH1579" s="776">
        <f t="shared" ref="AH1579:AH1600" si="2185">SUM(AB1579:AD1579)</f>
        <v>107035.4121</v>
      </c>
      <c r="AI1579" s="776">
        <f t="shared" ref="AI1579:AI1600" si="2186">AE1579+AF1579</f>
        <v>255102.71300000002</v>
      </c>
      <c r="AJ1579" s="776">
        <f t="shared" ref="AJ1579:AJ1600" si="2187">AH1579+AG1579</f>
        <v>199129.3291</v>
      </c>
      <c r="AK1579" s="776">
        <f t="shared" ref="AK1579:AK1600" si="2188">AI1579+AJ1579</f>
        <v>454232.04210000002</v>
      </c>
    </row>
    <row r="1580" spans="1:37" ht="14.5">
      <c r="A1580" s="1693">
        <f t="shared" si="2136"/>
        <v>1563</v>
      </c>
      <c r="B1580" s="616">
        <v>1</v>
      </c>
      <c r="C1580" s="1693">
        <f t="shared" si="2167"/>
        <v>1580</v>
      </c>
      <c r="D1580" s="616">
        <v>1</v>
      </c>
      <c r="F1580" s="69"/>
      <c r="G1580"/>
      <c r="H1580" s="1050"/>
      <c r="I1580" s="1051"/>
      <c r="J1580" s="750"/>
      <c r="K1580" s="1055" t="s">
        <v>799</v>
      </c>
      <c r="L1580" s="1055"/>
      <c r="M1580" s="1056"/>
      <c r="N1580" s="213"/>
      <c r="O1580" s="213"/>
      <c r="P1580" s="213"/>
      <c r="Q1580" s="213"/>
      <c r="R1580" s="1848" t="str">
        <f>CHOOSE(2, "6722000004481", "RF (3) PP Net Sales HW")</f>
        <v>RF (3) PP Net Sales HW</v>
      </c>
      <c r="S1580" s="1447">
        <f>SUM(S1581:S1582)</f>
        <v>78751</v>
      </c>
      <c r="T1580" s="1447">
        <f t="shared" ref="T1580:AD1580" si="2189">SUM(T1581:T1582)</f>
        <v>9852</v>
      </c>
      <c r="U1580" s="1447">
        <f t="shared" si="2189"/>
        <v>29570</v>
      </c>
      <c r="V1580" s="1447">
        <f t="shared" si="2189"/>
        <v>0</v>
      </c>
      <c r="W1580" s="1447">
        <f t="shared" si="2189"/>
        <v>26500</v>
      </c>
      <c r="X1580" s="1447">
        <f t="shared" si="2189"/>
        <v>57338</v>
      </c>
      <c r="Y1580" s="1447">
        <f t="shared" si="2189"/>
        <v>0</v>
      </c>
      <c r="Z1580" s="1447">
        <f t="shared" si="2189"/>
        <v>40400</v>
      </c>
      <c r="AA1580" s="1447">
        <f t="shared" si="2189"/>
        <v>21068.915999999997</v>
      </c>
      <c r="AB1580" s="1447">
        <f t="shared" si="2189"/>
        <v>9000</v>
      </c>
      <c r="AC1580" s="1447">
        <f t="shared" si="2189"/>
        <v>9000</v>
      </c>
      <c r="AD1580" s="1447">
        <f t="shared" si="2189"/>
        <v>60500</v>
      </c>
      <c r="AE1580" s="1447">
        <f t="shared" si="2182"/>
        <v>118173</v>
      </c>
      <c r="AF1580" s="1447">
        <f t="shared" si="2183"/>
        <v>83838</v>
      </c>
      <c r="AG1580" s="1447">
        <f t="shared" si="2184"/>
        <v>61468.915999999997</v>
      </c>
      <c r="AH1580" s="1447">
        <f t="shared" si="2185"/>
        <v>78500</v>
      </c>
      <c r="AI1580" s="1447">
        <f t="shared" si="2186"/>
        <v>202011</v>
      </c>
      <c r="AJ1580" s="1447">
        <f t="shared" si="2187"/>
        <v>139968.916</v>
      </c>
      <c r="AK1580" s="1447">
        <f t="shared" si="2188"/>
        <v>341979.91599999997</v>
      </c>
    </row>
    <row r="1581" spans="1:37" ht="14.5">
      <c r="A1581" s="1693">
        <f t="shared" si="2136"/>
        <v>1564</v>
      </c>
      <c r="B1581" s="616">
        <v>1</v>
      </c>
      <c r="C1581" s="1693">
        <f t="shared" si="2167"/>
        <v>1581</v>
      </c>
      <c r="D1581" s="616">
        <v>1</v>
      </c>
      <c r="F1581" s="69"/>
      <c r="G1581"/>
      <c r="H1581" s="1050"/>
      <c r="I1581" s="1051"/>
      <c r="J1581" s="750"/>
      <c r="K1581" s="749"/>
      <c r="L1581" s="749" t="s">
        <v>120</v>
      </c>
      <c r="R1581" s="1777" t="str">
        <f>CHOOSE(2, "6722000004482", "RF (3) PP Net Sales HW Direct")</f>
        <v>RF (3) PP Net Sales HW Direct</v>
      </c>
      <c r="S1581" s="1226">
        <f t="shared" ref="S1581:AD1581" si="2190">S642</f>
        <v>78751</v>
      </c>
      <c r="T1581" s="1226">
        <f t="shared" si="2190"/>
        <v>9852</v>
      </c>
      <c r="U1581" s="1226">
        <f t="shared" si="2190"/>
        <v>29570</v>
      </c>
      <c r="V1581" s="1226">
        <f t="shared" si="2190"/>
        <v>0</v>
      </c>
      <c r="W1581" s="1226">
        <f t="shared" si="2190"/>
        <v>26500</v>
      </c>
      <c r="X1581" s="1226">
        <f t="shared" si="2190"/>
        <v>57338</v>
      </c>
      <c r="Y1581" s="1226">
        <f t="shared" si="2190"/>
        <v>0</v>
      </c>
      <c r="Z1581" s="1226">
        <f t="shared" si="2190"/>
        <v>40400</v>
      </c>
      <c r="AA1581" s="1226">
        <f t="shared" si="2190"/>
        <v>21068.915999999997</v>
      </c>
      <c r="AB1581" s="1226">
        <f t="shared" si="2190"/>
        <v>9000</v>
      </c>
      <c r="AC1581" s="1226">
        <f t="shared" si="2190"/>
        <v>9000</v>
      </c>
      <c r="AD1581" s="1226">
        <f t="shared" si="2190"/>
        <v>60500</v>
      </c>
      <c r="AE1581" s="1226">
        <f t="shared" si="2182"/>
        <v>118173</v>
      </c>
      <c r="AF1581" s="1226">
        <f t="shared" si="2183"/>
        <v>83838</v>
      </c>
      <c r="AG1581" s="1226">
        <f t="shared" si="2184"/>
        <v>61468.915999999997</v>
      </c>
      <c r="AH1581" s="1226">
        <f t="shared" si="2185"/>
        <v>78500</v>
      </c>
      <c r="AI1581" s="1226">
        <f t="shared" si="2186"/>
        <v>202011</v>
      </c>
      <c r="AJ1581" s="1226">
        <f t="shared" si="2187"/>
        <v>139968.916</v>
      </c>
      <c r="AK1581" s="1226">
        <f t="shared" si="2188"/>
        <v>341979.91599999997</v>
      </c>
    </row>
    <row r="1582" spans="1:37" ht="14.5">
      <c r="A1582" s="1693">
        <f t="shared" si="2136"/>
        <v>1565</v>
      </c>
      <c r="B1582" s="616">
        <v>1</v>
      </c>
      <c r="C1582" s="1693">
        <f t="shared" si="2167"/>
        <v>1582</v>
      </c>
      <c r="D1582" s="616">
        <v>1</v>
      </c>
      <c r="F1582" s="69"/>
      <c r="G1582"/>
      <c r="H1582" s="1050"/>
      <c r="I1582" s="1051"/>
      <c r="J1582" s="750"/>
      <c r="K1582" s="749"/>
      <c r="L1582" s="749" t="s">
        <v>129</v>
      </c>
      <c r="R1582" s="1777" t="str">
        <f>CHOOSE(2, "6722000004483", "RF (3) PP Net Sales HW Indirect")</f>
        <v>RF (3) PP Net Sales HW Indirect</v>
      </c>
      <c r="S1582" s="1226">
        <f t="shared" ref="S1582:AD1582" si="2191">S657</f>
        <v>0</v>
      </c>
      <c r="T1582" s="1226">
        <f t="shared" si="2191"/>
        <v>0</v>
      </c>
      <c r="U1582" s="1226">
        <f t="shared" si="2191"/>
        <v>0</v>
      </c>
      <c r="V1582" s="1226">
        <f t="shared" si="2191"/>
        <v>0</v>
      </c>
      <c r="W1582" s="1226">
        <f t="shared" si="2191"/>
        <v>0</v>
      </c>
      <c r="X1582" s="1226">
        <f t="shared" si="2191"/>
        <v>0</v>
      </c>
      <c r="Y1582" s="1226">
        <f t="shared" si="2191"/>
        <v>0</v>
      </c>
      <c r="Z1582" s="1226">
        <f t="shared" si="2191"/>
        <v>0</v>
      </c>
      <c r="AA1582" s="1226">
        <f t="shared" si="2191"/>
        <v>0</v>
      </c>
      <c r="AB1582" s="1226">
        <f t="shared" si="2191"/>
        <v>0</v>
      </c>
      <c r="AC1582" s="1226">
        <f t="shared" si="2191"/>
        <v>0</v>
      </c>
      <c r="AD1582" s="1226">
        <f t="shared" si="2191"/>
        <v>0</v>
      </c>
      <c r="AE1582" s="1226">
        <f t="shared" si="2182"/>
        <v>0</v>
      </c>
      <c r="AF1582" s="1226">
        <f t="shared" si="2183"/>
        <v>0</v>
      </c>
      <c r="AG1582" s="1226">
        <f t="shared" si="2184"/>
        <v>0</v>
      </c>
      <c r="AH1582" s="1226">
        <f t="shared" si="2185"/>
        <v>0</v>
      </c>
      <c r="AI1582" s="1226">
        <f t="shared" si="2186"/>
        <v>0</v>
      </c>
      <c r="AJ1582" s="1226">
        <f t="shared" si="2187"/>
        <v>0</v>
      </c>
      <c r="AK1582" s="1226">
        <f t="shared" si="2188"/>
        <v>0</v>
      </c>
    </row>
    <row r="1583" spans="1:37" ht="14.5">
      <c r="A1583" s="1693">
        <f t="shared" si="2136"/>
        <v>1566</v>
      </c>
      <c r="B1583" s="616">
        <v>1</v>
      </c>
      <c r="C1583" s="1693">
        <f t="shared" si="2167"/>
        <v>1583</v>
      </c>
      <c r="D1583" s="616">
        <v>1</v>
      </c>
      <c r="F1583" s="69"/>
      <c r="G1583"/>
      <c r="H1583" s="1050"/>
      <c r="I1583" s="1051"/>
      <c r="J1583" s="750"/>
      <c r="K1583" s="1055" t="s">
        <v>800</v>
      </c>
      <c r="L1583" s="1055"/>
      <c r="M1583" s="1056"/>
      <c r="N1583" s="213"/>
      <c r="O1583" s="213"/>
      <c r="P1583" s="213"/>
      <c r="Q1583" s="213"/>
      <c r="R1583" s="1848" t="str">
        <f>CHOOSE(2, "6722000004484", "RF (3) PP Net Sales NH")</f>
        <v>RF (3) PP Net Sales NH</v>
      </c>
      <c r="S1583" s="1447">
        <f>SUM(S1584:S1585)</f>
        <v>7935</v>
      </c>
      <c r="T1583" s="1447">
        <f t="shared" ref="T1583:AD1583" si="2192">SUM(T1584:T1585)</f>
        <v>8087.6179999999995</v>
      </c>
      <c r="U1583" s="1447">
        <f t="shared" si="2192"/>
        <v>7936.7429999999995</v>
      </c>
      <c r="V1583" s="1447">
        <f t="shared" si="2192"/>
        <v>7925.893</v>
      </c>
      <c r="W1583" s="1447">
        <f t="shared" si="2192"/>
        <v>9541.862000000001</v>
      </c>
      <c r="X1583" s="1447">
        <f t="shared" si="2192"/>
        <v>11664.597000000002</v>
      </c>
      <c r="Y1583" s="1447">
        <f t="shared" si="2192"/>
        <v>11993.526000000002</v>
      </c>
      <c r="Z1583" s="1447">
        <f t="shared" si="2192"/>
        <v>8934.8610000000008</v>
      </c>
      <c r="AA1583" s="1447">
        <f t="shared" si="2192"/>
        <v>9696.6139999999996</v>
      </c>
      <c r="AB1583" s="1447">
        <f t="shared" si="2192"/>
        <v>9618.5511000000006</v>
      </c>
      <c r="AC1583" s="1447">
        <f t="shared" si="2192"/>
        <v>10432.557000000001</v>
      </c>
      <c r="AD1583" s="1447">
        <f t="shared" si="2192"/>
        <v>8484.3040000000001</v>
      </c>
      <c r="AE1583" s="1447">
        <f t="shared" si="2182"/>
        <v>23959.360999999997</v>
      </c>
      <c r="AF1583" s="1447">
        <f t="shared" si="2183"/>
        <v>29132.352000000003</v>
      </c>
      <c r="AG1583" s="1447">
        <f t="shared" si="2184"/>
        <v>30625.001000000004</v>
      </c>
      <c r="AH1583" s="1447">
        <f t="shared" si="2185"/>
        <v>28535.412100000001</v>
      </c>
      <c r="AI1583" s="1447">
        <f t="shared" si="2186"/>
        <v>53091.713000000003</v>
      </c>
      <c r="AJ1583" s="1447">
        <f t="shared" si="2187"/>
        <v>59160.413100000005</v>
      </c>
      <c r="AK1583" s="1447">
        <f t="shared" si="2188"/>
        <v>112252.12610000001</v>
      </c>
    </row>
    <row r="1584" spans="1:37" ht="14.5">
      <c r="A1584" s="1693">
        <f t="shared" si="2136"/>
        <v>1567</v>
      </c>
      <c r="B1584" s="616">
        <v>1</v>
      </c>
      <c r="C1584" s="1693">
        <f t="shared" si="2167"/>
        <v>1584</v>
      </c>
      <c r="D1584" s="616">
        <v>1</v>
      </c>
      <c r="F1584" s="69"/>
      <c r="G1584"/>
      <c r="H1584" s="1050"/>
      <c r="I1584" s="1051"/>
      <c r="J1584" s="750"/>
      <c r="K1584" s="749"/>
      <c r="L1584" s="749" t="s">
        <v>120</v>
      </c>
      <c r="R1584" s="1777" t="str">
        <f>CHOOSE(2, "6722000004485", "RF (3) PP Net Sales NH Direct")</f>
        <v>RF (3) PP Net Sales NH Direct</v>
      </c>
      <c r="S1584" s="1226">
        <f t="shared" ref="S1584:AD1584" si="2193">S649</f>
        <v>7935</v>
      </c>
      <c r="T1584" s="1226">
        <f t="shared" si="2193"/>
        <v>8087.6179999999995</v>
      </c>
      <c r="U1584" s="1226">
        <f t="shared" si="2193"/>
        <v>7936.7429999999995</v>
      </c>
      <c r="V1584" s="1226">
        <f t="shared" si="2193"/>
        <v>7925.893</v>
      </c>
      <c r="W1584" s="1226">
        <f t="shared" si="2193"/>
        <v>9541.862000000001</v>
      </c>
      <c r="X1584" s="1226">
        <f t="shared" si="2193"/>
        <v>11664.597000000002</v>
      </c>
      <c r="Y1584" s="1226">
        <f t="shared" si="2193"/>
        <v>11993.526000000002</v>
      </c>
      <c r="Z1584" s="1226">
        <f t="shared" si="2193"/>
        <v>8934.8610000000008</v>
      </c>
      <c r="AA1584" s="1226">
        <f t="shared" si="2193"/>
        <v>9696.6139999999996</v>
      </c>
      <c r="AB1584" s="1226">
        <f t="shared" si="2193"/>
        <v>9618.5511000000006</v>
      </c>
      <c r="AC1584" s="1226">
        <f t="shared" si="2193"/>
        <v>10432.557000000001</v>
      </c>
      <c r="AD1584" s="1226">
        <f t="shared" si="2193"/>
        <v>8484.3040000000001</v>
      </c>
      <c r="AE1584" s="1226">
        <f t="shared" si="2182"/>
        <v>23959.360999999997</v>
      </c>
      <c r="AF1584" s="1226">
        <f t="shared" si="2183"/>
        <v>29132.352000000003</v>
      </c>
      <c r="AG1584" s="1226">
        <f t="shared" si="2184"/>
        <v>30625.001000000004</v>
      </c>
      <c r="AH1584" s="1226">
        <f t="shared" si="2185"/>
        <v>28535.412100000001</v>
      </c>
      <c r="AI1584" s="1226">
        <f t="shared" si="2186"/>
        <v>53091.713000000003</v>
      </c>
      <c r="AJ1584" s="1226">
        <f t="shared" si="2187"/>
        <v>59160.413100000005</v>
      </c>
      <c r="AK1584" s="1226">
        <f t="shared" si="2188"/>
        <v>112252.12610000001</v>
      </c>
    </row>
    <row r="1585" spans="1:37" ht="14.5">
      <c r="A1585" s="1693">
        <f t="shared" si="2136"/>
        <v>1568</v>
      </c>
      <c r="B1585" s="616">
        <v>1</v>
      </c>
      <c r="C1585" s="1693">
        <f t="shared" si="2167"/>
        <v>1585</v>
      </c>
      <c r="D1585" s="616">
        <v>1</v>
      </c>
      <c r="F1585" s="69"/>
      <c r="G1585"/>
      <c r="H1585" s="1050"/>
      <c r="I1585" s="1051"/>
      <c r="J1585" s="750"/>
      <c r="K1585" s="749"/>
      <c r="L1585" s="749" t="s">
        <v>129</v>
      </c>
      <c r="R1585" s="1777" t="str">
        <f>CHOOSE(2, "6722000004486", "RF (3) PP Net Sales NH Indirect")</f>
        <v>RF (3) PP Net Sales NH Indirect</v>
      </c>
      <c r="S1585" s="1226">
        <f t="shared" ref="S1585:AD1585" si="2194">S664</f>
        <v>0</v>
      </c>
      <c r="T1585" s="1226">
        <f t="shared" si="2194"/>
        <v>0</v>
      </c>
      <c r="U1585" s="1226">
        <f t="shared" si="2194"/>
        <v>0</v>
      </c>
      <c r="V1585" s="1226">
        <f t="shared" si="2194"/>
        <v>0</v>
      </c>
      <c r="W1585" s="1226">
        <f t="shared" si="2194"/>
        <v>0</v>
      </c>
      <c r="X1585" s="1226">
        <f t="shared" si="2194"/>
        <v>0</v>
      </c>
      <c r="Y1585" s="1226">
        <f t="shared" si="2194"/>
        <v>0</v>
      </c>
      <c r="Z1585" s="1226">
        <f t="shared" si="2194"/>
        <v>0</v>
      </c>
      <c r="AA1585" s="1226">
        <f t="shared" si="2194"/>
        <v>0</v>
      </c>
      <c r="AB1585" s="1226">
        <f t="shared" si="2194"/>
        <v>0</v>
      </c>
      <c r="AC1585" s="1226">
        <f t="shared" si="2194"/>
        <v>0</v>
      </c>
      <c r="AD1585" s="1226">
        <f t="shared" si="2194"/>
        <v>0</v>
      </c>
      <c r="AE1585" s="1226">
        <f t="shared" si="2182"/>
        <v>0</v>
      </c>
      <c r="AF1585" s="1226">
        <f t="shared" si="2183"/>
        <v>0</v>
      </c>
      <c r="AG1585" s="1226">
        <f t="shared" si="2184"/>
        <v>0</v>
      </c>
      <c r="AH1585" s="1226">
        <f t="shared" si="2185"/>
        <v>0</v>
      </c>
      <c r="AI1585" s="1226">
        <f t="shared" si="2186"/>
        <v>0</v>
      </c>
      <c r="AJ1585" s="1226">
        <f t="shared" si="2187"/>
        <v>0</v>
      </c>
      <c r="AK1585" s="1226">
        <f t="shared" si="2188"/>
        <v>0</v>
      </c>
    </row>
    <row r="1586" spans="1:37" ht="14.5">
      <c r="A1586" s="1693">
        <f t="shared" si="2136"/>
        <v>1569</v>
      </c>
      <c r="B1586" s="616">
        <v>1</v>
      </c>
      <c r="C1586" s="1693">
        <f t="shared" si="2167"/>
        <v>1586</v>
      </c>
      <c r="D1586" s="616">
        <v>1</v>
      </c>
      <c r="F1586" s="69"/>
      <c r="G1586"/>
      <c r="H1586" s="1050"/>
      <c r="I1586" s="1051"/>
      <c r="J1586" s="1064" t="s">
        <v>801</v>
      </c>
      <c r="K1586" s="1065"/>
      <c r="L1586" s="1065"/>
      <c r="M1586" s="1066"/>
      <c r="N1586" s="1067"/>
      <c r="O1586" s="1067"/>
      <c r="P1586" s="1067"/>
      <c r="Q1586" s="1067"/>
      <c r="R1586" s="1817" t="str">
        <f>CHOOSE(2, "6722000004487", "RF (3) PP Variable cost")</f>
        <v>RF (3) PP Variable cost</v>
      </c>
      <c r="S1586" s="1377">
        <f>SUM(S1587,S1590,S1593)</f>
        <v>84804.255328207058</v>
      </c>
      <c r="T1586" s="1377">
        <f t="shared" ref="T1586:AD1586" si="2195">SUM(T1587,T1590,T1593)</f>
        <v>17291.477877782138</v>
      </c>
      <c r="U1586" s="1377">
        <f t="shared" si="2195"/>
        <v>32173.284917955651</v>
      </c>
      <c r="V1586" s="1377">
        <f t="shared" si="2195"/>
        <v>6053.744086541562</v>
      </c>
      <c r="W1586" s="1377">
        <f t="shared" si="2195"/>
        <v>22469.217121761903</v>
      </c>
      <c r="X1586" s="1377">
        <f t="shared" si="2195"/>
        <v>47921.62497320446</v>
      </c>
      <c r="Y1586" s="1377">
        <f t="shared" si="2195"/>
        <v>12134.538547616834</v>
      </c>
      <c r="Z1586" s="1377">
        <f t="shared" si="2195"/>
        <v>35572.340724535054</v>
      </c>
      <c r="AA1586" s="1377">
        <f t="shared" si="2195"/>
        <v>27187.335264583329</v>
      </c>
      <c r="AB1586" s="1377">
        <f t="shared" si="2195"/>
        <v>16586.036500334172</v>
      </c>
      <c r="AC1586" s="1377">
        <f t="shared" si="2195"/>
        <v>10318.408832806639</v>
      </c>
      <c r="AD1586" s="1377">
        <f t="shared" si="2195"/>
        <v>47679.576581676367</v>
      </c>
      <c r="AE1586" s="776">
        <f t="shared" si="2182"/>
        <v>134269.01812394484</v>
      </c>
      <c r="AF1586" s="776">
        <f t="shared" si="2183"/>
        <v>76444.586181507926</v>
      </c>
      <c r="AG1586" s="776">
        <f t="shared" si="2184"/>
        <v>74894.214536735206</v>
      </c>
      <c r="AH1586" s="776">
        <f t="shared" si="2185"/>
        <v>74584.021914817175</v>
      </c>
      <c r="AI1586" s="776">
        <f t="shared" si="2186"/>
        <v>210713.60430545278</v>
      </c>
      <c r="AJ1586" s="776">
        <f t="shared" si="2187"/>
        <v>149478.23645155237</v>
      </c>
      <c r="AK1586" s="776">
        <f t="shared" si="2188"/>
        <v>360191.84075700515</v>
      </c>
    </row>
    <row r="1587" spans="1:37" ht="14.5">
      <c r="A1587" s="1693">
        <f t="shared" si="2136"/>
        <v>1570</v>
      </c>
      <c r="B1587" s="616">
        <v>1</v>
      </c>
      <c r="C1587" s="1693">
        <f t="shared" si="2167"/>
        <v>1587</v>
      </c>
      <c r="D1587" s="616">
        <v>1</v>
      </c>
      <c r="F1587" s="69"/>
      <c r="G1587"/>
      <c r="H1587" s="1050"/>
      <c r="I1587" s="1051"/>
      <c r="J1587" s="750"/>
      <c r="K1587" s="1055" t="s">
        <v>799</v>
      </c>
      <c r="L1587" s="1055"/>
      <c r="M1587" s="1056"/>
      <c r="N1587" s="213"/>
      <c r="O1587" s="213"/>
      <c r="P1587" s="213"/>
      <c r="Q1587" s="213"/>
      <c r="R1587" s="1848" t="str">
        <f>CHOOSE(2, "6722000004488", "RF (3) PP Variable cost HW")</f>
        <v>RF (3) PP Variable cost HW</v>
      </c>
      <c r="S1587" s="1447">
        <f>SUM(S1588:S1589)</f>
        <v>75649</v>
      </c>
      <c r="T1587" s="1447">
        <f t="shared" ref="T1587:AD1587" si="2196">SUM(T1588:T1589)</f>
        <v>9715.77</v>
      </c>
      <c r="U1587" s="1447">
        <f t="shared" si="2196"/>
        <v>23448</v>
      </c>
      <c r="V1587" s="1447">
        <f t="shared" si="2196"/>
        <v>634.02670625000007</v>
      </c>
      <c r="W1587" s="1447">
        <f t="shared" si="2196"/>
        <v>15118</v>
      </c>
      <c r="X1587" s="1447">
        <f t="shared" si="2196"/>
        <v>37169.65970625</v>
      </c>
      <c r="Y1587" s="1447">
        <f t="shared" si="2196"/>
        <v>1196.7551762500011</v>
      </c>
      <c r="Z1587" s="1447">
        <f t="shared" si="2196"/>
        <v>29348.976606249998</v>
      </c>
      <c r="AA1587" s="1447">
        <f t="shared" si="2196"/>
        <v>21849.469626249997</v>
      </c>
      <c r="AB1587" s="1447">
        <f t="shared" si="2196"/>
        <v>9706.5154962500001</v>
      </c>
      <c r="AC1587" s="1447">
        <f t="shared" si="2196"/>
        <v>4755.64827625</v>
      </c>
      <c r="AD1587" s="1447">
        <f t="shared" si="2196"/>
        <v>41124.090579999996</v>
      </c>
      <c r="AE1587" s="1447">
        <f t="shared" si="2182"/>
        <v>108812.77</v>
      </c>
      <c r="AF1587" s="1447">
        <f t="shared" si="2183"/>
        <v>52921.686412499999</v>
      </c>
      <c r="AG1587" s="1447">
        <f t="shared" si="2184"/>
        <v>52395.201408749999</v>
      </c>
      <c r="AH1587" s="1447">
        <f t="shared" si="2185"/>
        <v>55586.254352499993</v>
      </c>
      <c r="AI1587" s="1447">
        <f t="shared" si="2186"/>
        <v>161734.4564125</v>
      </c>
      <c r="AJ1587" s="1447">
        <f t="shared" si="2187"/>
        <v>107981.45576124999</v>
      </c>
      <c r="AK1587" s="1447">
        <f t="shared" si="2188"/>
        <v>269715.91217375</v>
      </c>
    </row>
    <row r="1588" spans="1:37" ht="14.5">
      <c r="A1588" s="1693">
        <f t="shared" ref="A1588:A1613" si="2197">A1587+1</f>
        <v>1571</v>
      </c>
      <c r="B1588" s="616">
        <v>1</v>
      </c>
      <c r="C1588" s="1693">
        <f t="shared" si="2167"/>
        <v>1588</v>
      </c>
      <c r="D1588" s="616">
        <v>1</v>
      </c>
      <c r="F1588" s="69"/>
      <c r="G1588"/>
      <c r="H1588" s="1050"/>
      <c r="I1588" s="1051"/>
      <c r="J1588" s="750"/>
      <c r="K1588" s="749"/>
      <c r="L1588" s="749" t="s">
        <v>120</v>
      </c>
      <c r="R1588" s="1777" t="str">
        <f>CHOOSE(2, "6722000004489", "RF (3) PP Variable cost HW Direct")</f>
        <v>RF (3) PP Variable cost HW Direct</v>
      </c>
      <c r="S1588" s="1226">
        <f t="shared" ref="S1588:AD1588" si="2198">S642-S673</f>
        <v>75649</v>
      </c>
      <c r="T1588" s="1226">
        <f t="shared" si="2198"/>
        <v>9715.77</v>
      </c>
      <c r="U1588" s="1226">
        <f t="shared" si="2198"/>
        <v>23448</v>
      </c>
      <c r="V1588" s="1226">
        <f t="shared" si="2198"/>
        <v>634.02670625000007</v>
      </c>
      <c r="W1588" s="1226">
        <f t="shared" si="2198"/>
        <v>15118</v>
      </c>
      <c r="X1588" s="1226">
        <f t="shared" si="2198"/>
        <v>37169.65970625</v>
      </c>
      <c r="Y1588" s="1226">
        <f t="shared" si="2198"/>
        <v>1196.7551762500011</v>
      </c>
      <c r="Z1588" s="1226">
        <f t="shared" si="2198"/>
        <v>29348.976606249998</v>
      </c>
      <c r="AA1588" s="1226">
        <f t="shared" si="2198"/>
        <v>21849.469626249997</v>
      </c>
      <c r="AB1588" s="1226">
        <f t="shared" si="2198"/>
        <v>9706.5154962500001</v>
      </c>
      <c r="AC1588" s="1226">
        <f t="shared" si="2198"/>
        <v>4755.64827625</v>
      </c>
      <c r="AD1588" s="1226">
        <f t="shared" si="2198"/>
        <v>41124.090579999996</v>
      </c>
      <c r="AE1588" s="1226">
        <f t="shared" si="2182"/>
        <v>108812.77</v>
      </c>
      <c r="AF1588" s="1226">
        <f t="shared" si="2183"/>
        <v>52921.686412499999</v>
      </c>
      <c r="AG1588" s="1226">
        <f t="shared" si="2184"/>
        <v>52395.201408749999</v>
      </c>
      <c r="AH1588" s="1226">
        <f t="shared" si="2185"/>
        <v>55586.254352499993</v>
      </c>
      <c r="AI1588" s="1226">
        <f t="shared" si="2186"/>
        <v>161734.4564125</v>
      </c>
      <c r="AJ1588" s="1226">
        <f t="shared" si="2187"/>
        <v>107981.45576124999</v>
      </c>
      <c r="AK1588" s="1226">
        <f t="shared" si="2188"/>
        <v>269715.91217375</v>
      </c>
    </row>
    <row r="1589" spans="1:37" ht="14.5">
      <c r="A1589" s="1693">
        <f t="shared" si="2197"/>
        <v>1572</v>
      </c>
      <c r="B1589" s="616">
        <v>1</v>
      </c>
      <c r="C1589" s="1693">
        <f t="shared" si="2167"/>
        <v>1589</v>
      </c>
      <c r="D1589" s="616">
        <v>1</v>
      </c>
      <c r="F1589" s="69"/>
      <c r="G1589"/>
      <c r="H1589" s="1050"/>
      <c r="I1589" s="1051"/>
      <c r="J1589" s="750"/>
      <c r="K1589" s="749"/>
      <c r="L1589" s="749" t="s">
        <v>129</v>
      </c>
      <c r="R1589" s="1777" t="str">
        <f>CHOOSE(2, "6722000004490", "RF (3) PP Variable cost HW Indirect")</f>
        <v>RF (3) PP Variable cost HW Indirect</v>
      </c>
      <c r="S1589" s="1226">
        <f t="shared" ref="S1589:AD1589" si="2199">S657-S717</f>
        <v>0</v>
      </c>
      <c r="T1589" s="1226">
        <f t="shared" si="2199"/>
        <v>0</v>
      </c>
      <c r="U1589" s="1226">
        <f t="shared" si="2199"/>
        <v>0</v>
      </c>
      <c r="V1589" s="1226">
        <f t="shared" si="2199"/>
        <v>0</v>
      </c>
      <c r="W1589" s="1226">
        <f t="shared" si="2199"/>
        <v>0</v>
      </c>
      <c r="X1589" s="1226">
        <f t="shared" si="2199"/>
        <v>0</v>
      </c>
      <c r="Y1589" s="1226">
        <f t="shared" si="2199"/>
        <v>0</v>
      </c>
      <c r="Z1589" s="1226">
        <f t="shared" si="2199"/>
        <v>0</v>
      </c>
      <c r="AA1589" s="1226">
        <f t="shared" si="2199"/>
        <v>0</v>
      </c>
      <c r="AB1589" s="1226">
        <f t="shared" si="2199"/>
        <v>0</v>
      </c>
      <c r="AC1589" s="1226">
        <f t="shared" si="2199"/>
        <v>0</v>
      </c>
      <c r="AD1589" s="1226">
        <f t="shared" si="2199"/>
        <v>0</v>
      </c>
      <c r="AE1589" s="1226">
        <f t="shared" si="2182"/>
        <v>0</v>
      </c>
      <c r="AF1589" s="1226">
        <f t="shared" si="2183"/>
        <v>0</v>
      </c>
      <c r="AG1589" s="1226">
        <f t="shared" si="2184"/>
        <v>0</v>
      </c>
      <c r="AH1589" s="1226">
        <f t="shared" si="2185"/>
        <v>0</v>
      </c>
      <c r="AI1589" s="1226">
        <f t="shared" si="2186"/>
        <v>0</v>
      </c>
      <c r="AJ1589" s="1226">
        <f t="shared" si="2187"/>
        <v>0</v>
      </c>
      <c r="AK1589" s="1226">
        <f t="shared" si="2188"/>
        <v>0</v>
      </c>
    </row>
    <row r="1590" spans="1:37" ht="14.5">
      <c r="A1590" s="1693">
        <f t="shared" si="2197"/>
        <v>1573</v>
      </c>
      <c r="B1590" s="616">
        <v>1</v>
      </c>
      <c r="C1590" s="1693">
        <f t="shared" si="2167"/>
        <v>1590</v>
      </c>
      <c r="D1590" s="616">
        <v>1</v>
      </c>
      <c r="F1590" s="69"/>
      <c r="G1590"/>
      <c r="H1590" s="1050"/>
      <c r="I1590" s="1051"/>
      <c r="J1590" s="750"/>
      <c r="K1590" s="1055" t="s">
        <v>800</v>
      </c>
      <c r="L1590" s="1055"/>
      <c r="M1590" s="1056"/>
      <c r="N1590" s="213"/>
      <c r="O1590" s="213"/>
      <c r="P1590" s="213"/>
      <c r="Q1590" s="213"/>
      <c r="R1590" s="1848" t="str">
        <f>CHOOSE(2, "6722000004491", "RF (3) PP Variable cost NH")</f>
        <v>RF (3) PP Variable cost NH</v>
      </c>
      <c r="S1590" s="1447">
        <f>SUM(S1591:S1592)</f>
        <v>8690</v>
      </c>
      <c r="T1590" s="1447">
        <f t="shared" ref="T1590:AD1590" si="2200">SUM(T1591:T1592)</f>
        <v>7140.2379758333327</v>
      </c>
      <c r="U1590" s="1447">
        <f t="shared" si="2200"/>
        <v>6229.1841858333319</v>
      </c>
      <c r="V1590" s="1447">
        <f t="shared" si="2200"/>
        <v>5442.2375158333325</v>
      </c>
      <c r="W1590" s="1447">
        <f t="shared" si="2200"/>
        <v>7158.862000000001</v>
      </c>
      <c r="X1590" s="1447">
        <f t="shared" si="2200"/>
        <v>8624.7849758333341</v>
      </c>
      <c r="Y1590" s="1447">
        <f t="shared" si="2200"/>
        <v>10609.914165833334</v>
      </c>
      <c r="Z1590" s="1447">
        <f t="shared" si="2200"/>
        <v>5598.4496258333347</v>
      </c>
      <c r="AA1590" s="1447">
        <f t="shared" si="2200"/>
        <v>5037.8656383333328</v>
      </c>
      <c r="AB1590" s="1447">
        <f t="shared" si="2200"/>
        <v>6288.7796758333334</v>
      </c>
      <c r="AC1590" s="1447">
        <f t="shared" si="2200"/>
        <v>5398.2530458333331</v>
      </c>
      <c r="AD1590" s="1447">
        <f t="shared" si="2200"/>
        <v>6595.4307526535131</v>
      </c>
      <c r="AE1590" s="1447">
        <f t="shared" si="2182"/>
        <v>22059.422161666665</v>
      </c>
      <c r="AF1590" s="1447">
        <f t="shared" si="2183"/>
        <v>21225.884491666668</v>
      </c>
      <c r="AG1590" s="1447">
        <f t="shared" si="2184"/>
        <v>21246.229429999999</v>
      </c>
      <c r="AH1590" s="1447">
        <f t="shared" si="2185"/>
        <v>18282.463474320179</v>
      </c>
      <c r="AI1590" s="1447">
        <f t="shared" si="2186"/>
        <v>43285.306653333333</v>
      </c>
      <c r="AJ1590" s="1447">
        <f t="shared" si="2187"/>
        <v>39528.692904320182</v>
      </c>
      <c r="AK1590" s="1447">
        <f t="shared" si="2188"/>
        <v>82813.999557653515</v>
      </c>
    </row>
    <row r="1591" spans="1:37" ht="14.5">
      <c r="A1591" s="1693">
        <f t="shared" si="2197"/>
        <v>1574</v>
      </c>
      <c r="B1591" s="616">
        <v>1</v>
      </c>
      <c r="C1591" s="1693">
        <f t="shared" si="2167"/>
        <v>1591</v>
      </c>
      <c r="D1591" s="616">
        <v>1</v>
      </c>
      <c r="F1591" s="69"/>
      <c r="G1591"/>
      <c r="H1591" s="1050"/>
      <c r="I1591" s="1051"/>
      <c r="J1591" s="750"/>
      <c r="K1591" s="749"/>
      <c r="L1591" s="749" t="s">
        <v>120</v>
      </c>
      <c r="R1591" s="1777" t="str">
        <f>CHOOSE(2, "6722000004492", "RF (3) PP Variable cost NH Direct")</f>
        <v>RF (3) PP Variable cost NH Direct</v>
      </c>
      <c r="S1591" s="1226">
        <f t="shared" ref="S1591:AD1591" si="2201">S649-S680+(S683+S689+S695+S701+S707+S711+S714)</f>
        <v>8690</v>
      </c>
      <c r="T1591" s="1226">
        <f t="shared" si="2201"/>
        <v>7140.2379758333327</v>
      </c>
      <c r="U1591" s="1226">
        <f t="shared" si="2201"/>
        <v>6229.1841858333319</v>
      </c>
      <c r="V1591" s="1226">
        <f t="shared" si="2201"/>
        <v>5442.2375158333325</v>
      </c>
      <c r="W1591" s="1226">
        <f t="shared" si="2201"/>
        <v>7158.862000000001</v>
      </c>
      <c r="X1591" s="1226">
        <f t="shared" si="2201"/>
        <v>8624.7849758333341</v>
      </c>
      <c r="Y1591" s="1226">
        <f t="shared" si="2201"/>
        <v>10609.914165833334</v>
      </c>
      <c r="Z1591" s="1226">
        <f t="shared" si="2201"/>
        <v>5598.4496258333347</v>
      </c>
      <c r="AA1591" s="1226">
        <f t="shared" si="2201"/>
        <v>5037.8656383333328</v>
      </c>
      <c r="AB1591" s="1226">
        <f t="shared" si="2201"/>
        <v>6288.7796758333334</v>
      </c>
      <c r="AC1591" s="1226">
        <f t="shared" si="2201"/>
        <v>5398.2530458333331</v>
      </c>
      <c r="AD1591" s="1226">
        <f t="shared" si="2201"/>
        <v>6595.4307526535131</v>
      </c>
      <c r="AE1591" s="1226">
        <f t="shared" si="2182"/>
        <v>22059.422161666665</v>
      </c>
      <c r="AF1591" s="1226">
        <f t="shared" si="2183"/>
        <v>21225.884491666668</v>
      </c>
      <c r="AG1591" s="1226">
        <f t="shared" si="2184"/>
        <v>21246.229429999999</v>
      </c>
      <c r="AH1591" s="1226">
        <f t="shared" si="2185"/>
        <v>18282.463474320179</v>
      </c>
      <c r="AI1591" s="1226">
        <f t="shared" si="2186"/>
        <v>43285.306653333333</v>
      </c>
      <c r="AJ1591" s="1226">
        <f t="shared" si="2187"/>
        <v>39528.692904320182</v>
      </c>
      <c r="AK1591" s="1226">
        <f t="shared" si="2188"/>
        <v>82813.999557653515</v>
      </c>
    </row>
    <row r="1592" spans="1:37" ht="14.5">
      <c r="A1592" s="1693">
        <f t="shared" si="2197"/>
        <v>1575</v>
      </c>
      <c r="B1592" s="616">
        <v>1</v>
      </c>
      <c r="C1592" s="1693">
        <f t="shared" si="2167"/>
        <v>1592</v>
      </c>
      <c r="D1592" s="616">
        <v>1</v>
      </c>
      <c r="F1592" s="69"/>
      <c r="G1592"/>
      <c r="H1592" s="1050"/>
      <c r="I1592" s="1051"/>
      <c r="J1592" s="750"/>
      <c r="K1592" s="749"/>
      <c r="L1592" s="749" t="s">
        <v>129</v>
      </c>
      <c r="R1592" s="1777" t="str">
        <f>CHOOSE(2, "6722000004493", "RF (3) PP Variable cost NH Indirect")</f>
        <v>RF (3) PP Variable cost NH Indirect</v>
      </c>
      <c r="S1592" s="1226">
        <f t="shared" ref="S1592:AD1592" si="2202">S664-S724+(S727+S733+S739+S745+S751+S755+S758)</f>
        <v>0</v>
      </c>
      <c r="T1592" s="1226">
        <f t="shared" si="2202"/>
        <v>0</v>
      </c>
      <c r="U1592" s="1226">
        <f t="shared" si="2202"/>
        <v>0</v>
      </c>
      <c r="V1592" s="1226">
        <f t="shared" si="2202"/>
        <v>0</v>
      </c>
      <c r="W1592" s="1226">
        <f t="shared" si="2202"/>
        <v>0</v>
      </c>
      <c r="X1592" s="1226">
        <f t="shared" si="2202"/>
        <v>0</v>
      </c>
      <c r="Y1592" s="1226">
        <f t="shared" si="2202"/>
        <v>0</v>
      </c>
      <c r="Z1592" s="1226">
        <f t="shared" si="2202"/>
        <v>0</v>
      </c>
      <c r="AA1592" s="1226">
        <f t="shared" si="2202"/>
        <v>0</v>
      </c>
      <c r="AB1592" s="1226">
        <f t="shared" si="2202"/>
        <v>0</v>
      </c>
      <c r="AC1592" s="1226">
        <f t="shared" si="2202"/>
        <v>0</v>
      </c>
      <c r="AD1592" s="1226">
        <f t="shared" si="2202"/>
        <v>0</v>
      </c>
      <c r="AE1592" s="1226">
        <f t="shared" si="2182"/>
        <v>0</v>
      </c>
      <c r="AF1592" s="1226">
        <f t="shared" si="2183"/>
        <v>0</v>
      </c>
      <c r="AG1592" s="1226">
        <f t="shared" si="2184"/>
        <v>0</v>
      </c>
      <c r="AH1592" s="1226">
        <f t="shared" si="2185"/>
        <v>0</v>
      </c>
      <c r="AI1592" s="1226">
        <f t="shared" si="2186"/>
        <v>0</v>
      </c>
      <c r="AJ1592" s="1226">
        <f t="shared" si="2187"/>
        <v>0</v>
      </c>
      <c r="AK1592" s="1226">
        <f t="shared" si="2188"/>
        <v>0</v>
      </c>
    </row>
    <row r="1593" spans="1:37" ht="14.5">
      <c r="A1593" s="1693">
        <f t="shared" si="2197"/>
        <v>1576</v>
      </c>
      <c r="B1593" s="616">
        <v>1</v>
      </c>
      <c r="C1593" s="1693">
        <f t="shared" si="2167"/>
        <v>1593</v>
      </c>
      <c r="D1593" s="616">
        <v>1</v>
      </c>
      <c r="F1593" s="69"/>
      <c r="G1593"/>
      <c r="H1593" s="1050"/>
      <c r="I1593" s="1051"/>
      <c r="J1593" s="750"/>
      <c r="K1593" s="1055" t="s">
        <v>806</v>
      </c>
      <c r="L1593" s="1055"/>
      <c r="M1593" s="1056"/>
      <c r="N1593" s="213"/>
      <c r="O1593" s="213"/>
      <c r="P1593" s="213"/>
      <c r="Q1593" s="213"/>
      <c r="R1593" s="1848" t="str">
        <f>CHOOSE(2, "6722000004494", "RF (3) PP Variable cost SG&amp;A variable")</f>
        <v>RF (3) PP Variable cost SG&amp;A variable</v>
      </c>
      <c r="S1593" s="1447">
        <f t="shared" ref="S1593:AD1593" si="2203">S269</f>
        <v>465.25532820705712</v>
      </c>
      <c r="T1593" s="1447">
        <f t="shared" si="2203"/>
        <v>435.46990194880368</v>
      </c>
      <c r="U1593" s="1447">
        <f t="shared" si="2203"/>
        <v>2496.1007321223187</v>
      </c>
      <c r="V1593" s="1447">
        <f t="shared" si="2203"/>
        <v>-22.520135541770642</v>
      </c>
      <c r="W1593" s="1447">
        <f t="shared" si="2203"/>
        <v>192.35512176190082</v>
      </c>
      <c r="X1593" s="1447">
        <f t="shared" si="2203"/>
        <v>2127.180291121128</v>
      </c>
      <c r="Y1593" s="1447">
        <f t="shared" si="2203"/>
        <v>327.86920553349864</v>
      </c>
      <c r="Z1593" s="1447">
        <f t="shared" si="2203"/>
        <v>624.9144924517168</v>
      </c>
      <c r="AA1593" s="1447">
        <f t="shared" si="2203"/>
        <v>300</v>
      </c>
      <c r="AB1593" s="1447">
        <f t="shared" si="2203"/>
        <v>590.74132825084052</v>
      </c>
      <c r="AC1593" s="1447">
        <f t="shared" si="2203"/>
        <v>164.50751072330581</v>
      </c>
      <c r="AD1593" s="1447">
        <f t="shared" si="2203"/>
        <v>-39.94475097714394</v>
      </c>
      <c r="AE1593" s="1447">
        <f t="shared" si="2182"/>
        <v>3396.8259622781798</v>
      </c>
      <c r="AF1593" s="1447">
        <f>SUM(V1593:X1593)</f>
        <v>2297.0152773412583</v>
      </c>
      <c r="AG1593" s="1447">
        <f>SUM(Y1593:AA1593)</f>
        <v>1252.7836979852154</v>
      </c>
      <c r="AH1593" s="1447">
        <f>SUM(AB1593:AD1593)</f>
        <v>715.3040879970024</v>
      </c>
      <c r="AI1593" s="1447">
        <f t="shared" si="2186"/>
        <v>5693.8412396194381</v>
      </c>
      <c r="AJ1593" s="1447">
        <f t="shared" si="2187"/>
        <v>1968.0877859822178</v>
      </c>
      <c r="AK1593" s="1447">
        <f t="shared" si="2188"/>
        <v>7661.9290256016557</v>
      </c>
    </row>
    <row r="1594" spans="1:37" ht="14.5">
      <c r="A1594" s="1693">
        <f t="shared" si="2197"/>
        <v>1577</v>
      </c>
      <c r="B1594" s="616">
        <v>1</v>
      </c>
      <c r="C1594" s="1693">
        <f t="shared" si="2167"/>
        <v>1594</v>
      </c>
      <c r="D1594" s="616">
        <v>1</v>
      </c>
      <c r="F1594" s="69"/>
      <c r="G1594"/>
      <c r="H1594" s="1050"/>
      <c r="I1594" s="1051"/>
      <c r="J1594" s="1064" t="s">
        <v>491</v>
      </c>
      <c r="K1594" s="1065"/>
      <c r="L1594" s="1065"/>
      <c r="M1594" s="1066"/>
      <c r="N1594" s="1067"/>
      <c r="O1594" s="1067"/>
      <c r="P1594" s="1067"/>
      <c r="Q1594" s="1067"/>
      <c r="R1594" s="1817" t="str">
        <f>CHOOSE(2, "6722000004495", "RF (3) PP Marginal Profit")</f>
        <v>RF (3) PP Marginal Profit</v>
      </c>
      <c r="S1594" s="1377">
        <f t="shared" ref="S1594:AD1600" si="2204">S1579-S1586</f>
        <v>1881.7446717929415</v>
      </c>
      <c r="T1594" s="1377">
        <f t="shared" si="2204"/>
        <v>648.14012221786106</v>
      </c>
      <c r="U1594" s="1377">
        <f t="shared" si="2204"/>
        <v>5333.4580820443516</v>
      </c>
      <c r="V1594" s="1377">
        <f t="shared" si="2204"/>
        <v>1872.1489134584381</v>
      </c>
      <c r="W1594" s="1377">
        <f t="shared" si="2204"/>
        <v>13572.644878238098</v>
      </c>
      <c r="X1594" s="1377">
        <f t="shared" si="2204"/>
        <v>21080.972026795549</v>
      </c>
      <c r="Y1594" s="1377">
        <f t="shared" si="2204"/>
        <v>-141.01254761683231</v>
      </c>
      <c r="Z1594" s="1377">
        <f t="shared" si="2204"/>
        <v>13762.520275464951</v>
      </c>
      <c r="AA1594" s="1377">
        <f t="shared" si="2204"/>
        <v>3578.1947354166696</v>
      </c>
      <c r="AB1594" s="1377">
        <f t="shared" si="2204"/>
        <v>2032.5145996658284</v>
      </c>
      <c r="AC1594" s="1377">
        <f t="shared" si="2204"/>
        <v>9114.1481671933616</v>
      </c>
      <c r="AD1594" s="1377">
        <f t="shared" si="2204"/>
        <v>21304.727418323637</v>
      </c>
      <c r="AE1594" s="776">
        <f t="shared" si="2182"/>
        <v>7863.3428760551542</v>
      </c>
      <c r="AF1594" s="776">
        <f t="shared" si="2183"/>
        <v>36525.765818492087</v>
      </c>
      <c r="AG1594" s="776">
        <f t="shared" si="2184"/>
        <v>17199.702463264788</v>
      </c>
      <c r="AH1594" s="776">
        <f t="shared" si="2185"/>
        <v>32451.390185182827</v>
      </c>
      <c r="AI1594" s="776">
        <f t="shared" si="2186"/>
        <v>44389.108694547242</v>
      </c>
      <c r="AJ1594" s="776">
        <f t="shared" si="2187"/>
        <v>49651.092648447615</v>
      </c>
      <c r="AK1594" s="776">
        <f t="shared" si="2188"/>
        <v>94040.201342994857</v>
      </c>
    </row>
    <row r="1595" spans="1:37" ht="14.5">
      <c r="A1595" s="1693">
        <f t="shared" si="2197"/>
        <v>1578</v>
      </c>
      <c r="B1595" s="616">
        <v>1</v>
      </c>
      <c r="C1595" s="1693">
        <f t="shared" si="2167"/>
        <v>1595</v>
      </c>
      <c r="D1595" s="616">
        <v>1</v>
      </c>
      <c r="F1595" s="69"/>
      <c r="G1595"/>
      <c r="H1595" s="1050"/>
      <c r="I1595" s="1051"/>
      <c r="J1595" s="750"/>
      <c r="K1595" s="1055" t="s">
        <v>799</v>
      </c>
      <c r="L1595" s="1055"/>
      <c r="M1595" s="1056"/>
      <c r="N1595" s="213"/>
      <c r="O1595" s="213"/>
      <c r="P1595" s="213"/>
      <c r="Q1595" s="213"/>
      <c r="R1595" s="1848" t="str">
        <f>CHOOSE(2, "6722000004496", "RF (3) PP Marginal Profit HW")</f>
        <v>RF (3) PP Marginal Profit HW</v>
      </c>
      <c r="S1595" s="1447">
        <f t="shared" si="2204"/>
        <v>3102</v>
      </c>
      <c r="T1595" s="1447">
        <f t="shared" si="2204"/>
        <v>136.22999999999956</v>
      </c>
      <c r="U1595" s="1447">
        <f t="shared" si="2204"/>
        <v>6122</v>
      </c>
      <c r="V1595" s="1447">
        <f t="shared" si="2204"/>
        <v>-634.02670625000007</v>
      </c>
      <c r="W1595" s="1447">
        <f t="shared" si="2204"/>
        <v>11382</v>
      </c>
      <c r="X1595" s="1447">
        <f t="shared" si="2204"/>
        <v>20168.34029375</v>
      </c>
      <c r="Y1595" s="1447">
        <f t="shared" si="2204"/>
        <v>-1196.7551762500011</v>
      </c>
      <c r="Z1595" s="1447">
        <f t="shared" si="2204"/>
        <v>11051.023393750002</v>
      </c>
      <c r="AA1595" s="1447">
        <f t="shared" si="2204"/>
        <v>-780.55362624999907</v>
      </c>
      <c r="AB1595" s="1447">
        <f t="shared" si="2204"/>
        <v>-706.51549625000007</v>
      </c>
      <c r="AC1595" s="1447">
        <f t="shared" si="2204"/>
        <v>4244.35172375</v>
      </c>
      <c r="AD1595" s="1447">
        <f t="shared" si="2204"/>
        <v>19375.909420000004</v>
      </c>
      <c r="AE1595" s="1447">
        <f t="shared" si="2182"/>
        <v>9360.23</v>
      </c>
      <c r="AF1595" s="1447">
        <f t="shared" si="2183"/>
        <v>30916.313587500001</v>
      </c>
      <c r="AG1595" s="1447">
        <f t="shared" si="2184"/>
        <v>9073.7145912500018</v>
      </c>
      <c r="AH1595" s="1447">
        <f t="shared" si="2185"/>
        <v>22913.745647500004</v>
      </c>
      <c r="AI1595" s="1447">
        <f t="shared" si="2186"/>
        <v>40276.543587499997</v>
      </c>
      <c r="AJ1595" s="1447">
        <f t="shared" si="2187"/>
        <v>31987.460238750005</v>
      </c>
      <c r="AK1595" s="1447">
        <f t="shared" si="2188"/>
        <v>72264.003826250002</v>
      </c>
    </row>
    <row r="1596" spans="1:37" ht="14.5">
      <c r="A1596" s="1693">
        <f t="shared" si="2197"/>
        <v>1579</v>
      </c>
      <c r="B1596" s="616">
        <v>1</v>
      </c>
      <c r="C1596" s="1693">
        <f t="shared" si="2167"/>
        <v>1596</v>
      </c>
      <c r="D1596" s="616">
        <v>1</v>
      </c>
      <c r="F1596" s="69"/>
      <c r="G1596"/>
      <c r="H1596" s="1050"/>
      <c r="I1596" s="1051"/>
      <c r="J1596" s="750"/>
      <c r="K1596" s="749"/>
      <c r="L1596" s="749" t="s">
        <v>120</v>
      </c>
      <c r="R1596" s="1777" t="str">
        <f>CHOOSE(2, "6722000004497", "RF (3) PP Marginal Profit HW Direct")</f>
        <v>RF (3) PP Marginal Profit HW Direct</v>
      </c>
      <c r="S1596" s="1226">
        <f t="shared" si="2204"/>
        <v>3102</v>
      </c>
      <c r="T1596" s="1226">
        <f t="shared" si="2204"/>
        <v>136.22999999999956</v>
      </c>
      <c r="U1596" s="1226">
        <f t="shared" si="2204"/>
        <v>6122</v>
      </c>
      <c r="V1596" s="1226">
        <f t="shared" si="2204"/>
        <v>-634.02670625000007</v>
      </c>
      <c r="W1596" s="1226">
        <f t="shared" si="2204"/>
        <v>11382</v>
      </c>
      <c r="X1596" s="1226">
        <f t="shared" si="2204"/>
        <v>20168.34029375</v>
      </c>
      <c r="Y1596" s="1226">
        <f t="shared" si="2204"/>
        <v>-1196.7551762500011</v>
      </c>
      <c r="Z1596" s="1226">
        <f t="shared" si="2204"/>
        <v>11051.023393750002</v>
      </c>
      <c r="AA1596" s="1226">
        <f t="shared" si="2204"/>
        <v>-780.55362624999907</v>
      </c>
      <c r="AB1596" s="1226">
        <f t="shared" si="2204"/>
        <v>-706.51549625000007</v>
      </c>
      <c r="AC1596" s="1226">
        <f t="shared" si="2204"/>
        <v>4244.35172375</v>
      </c>
      <c r="AD1596" s="1226">
        <f t="shared" si="2204"/>
        <v>19375.909420000004</v>
      </c>
      <c r="AE1596" s="1226">
        <f t="shared" si="2182"/>
        <v>9360.23</v>
      </c>
      <c r="AF1596" s="1226">
        <f t="shared" si="2183"/>
        <v>30916.313587500001</v>
      </c>
      <c r="AG1596" s="1226">
        <f t="shared" si="2184"/>
        <v>9073.7145912500018</v>
      </c>
      <c r="AH1596" s="1226">
        <f t="shared" si="2185"/>
        <v>22913.745647500004</v>
      </c>
      <c r="AI1596" s="1226">
        <f t="shared" si="2186"/>
        <v>40276.543587499997</v>
      </c>
      <c r="AJ1596" s="1226">
        <f t="shared" si="2187"/>
        <v>31987.460238750005</v>
      </c>
      <c r="AK1596" s="1226">
        <f t="shared" si="2188"/>
        <v>72264.003826250002</v>
      </c>
    </row>
    <row r="1597" spans="1:37" ht="14.5">
      <c r="A1597" s="1693">
        <f t="shared" si="2197"/>
        <v>1580</v>
      </c>
      <c r="B1597" s="616">
        <v>1</v>
      </c>
      <c r="C1597" s="1693">
        <f t="shared" si="2167"/>
        <v>1597</v>
      </c>
      <c r="D1597" s="616">
        <v>1</v>
      </c>
      <c r="F1597" s="69"/>
      <c r="G1597"/>
      <c r="H1597" s="1050"/>
      <c r="I1597" s="1051"/>
      <c r="J1597" s="750"/>
      <c r="K1597" s="749"/>
      <c r="L1597" s="749" t="s">
        <v>129</v>
      </c>
      <c r="R1597" s="1777" t="str">
        <f>CHOOSE(2, "6722000004498", "RF (3) PP Marginal Profit HW Indirect")</f>
        <v>RF (3) PP Marginal Profit HW Indirect</v>
      </c>
      <c r="S1597" s="1226">
        <f t="shared" si="2204"/>
        <v>0</v>
      </c>
      <c r="T1597" s="1226">
        <f t="shared" si="2204"/>
        <v>0</v>
      </c>
      <c r="U1597" s="1226">
        <f t="shared" si="2204"/>
        <v>0</v>
      </c>
      <c r="V1597" s="1226">
        <f t="shared" si="2204"/>
        <v>0</v>
      </c>
      <c r="W1597" s="1226">
        <f t="shared" si="2204"/>
        <v>0</v>
      </c>
      <c r="X1597" s="1226">
        <f t="shared" si="2204"/>
        <v>0</v>
      </c>
      <c r="Y1597" s="1226">
        <f t="shared" si="2204"/>
        <v>0</v>
      </c>
      <c r="Z1597" s="1226">
        <f t="shared" si="2204"/>
        <v>0</v>
      </c>
      <c r="AA1597" s="1226">
        <f t="shared" si="2204"/>
        <v>0</v>
      </c>
      <c r="AB1597" s="1226">
        <f t="shared" si="2204"/>
        <v>0</v>
      </c>
      <c r="AC1597" s="1226">
        <f t="shared" si="2204"/>
        <v>0</v>
      </c>
      <c r="AD1597" s="1226">
        <f t="shared" si="2204"/>
        <v>0</v>
      </c>
      <c r="AE1597" s="1226">
        <f t="shared" si="2182"/>
        <v>0</v>
      </c>
      <c r="AF1597" s="1226">
        <f t="shared" si="2183"/>
        <v>0</v>
      </c>
      <c r="AG1597" s="1226">
        <f t="shared" si="2184"/>
        <v>0</v>
      </c>
      <c r="AH1597" s="1226">
        <f t="shared" si="2185"/>
        <v>0</v>
      </c>
      <c r="AI1597" s="1226">
        <f t="shared" si="2186"/>
        <v>0</v>
      </c>
      <c r="AJ1597" s="1226">
        <f t="shared" si="2187"/>
        <v>0</v>
      </c>
      <c r="AK1597" s="1226">
        <f t="shared" si="2188"/>
        <v>0</v>
      </c>
    </row>
    <row r="1598" spans="1:37" ht="14.5">
      <c r="A1598" s="1693">
        <f t="shared" si="2197"/>
        <v>1581</v>
      </c>
      <c r="B1598" s="616">
        <v>1</v>
      </c>
      <c r="C1598" s="1693">
        <f t="shared" si="2167"/>
        <v>1598</v>
      </c>
      <c r="D1598" s="616">
        <v>1</v>
      </c>
      <c r="F1598" s="69"/>
      <c r="G1598"/>
      <c r="H1598" s="1050"/>
      <c r="I1598" s="1051"/>
      <c r="J1598" s="750"/>
      <c r="K1598" s="1055" t="s">
        <v>800</v>
      </c>
      <c r="L1598" s="1055"/>
      <c r="M1598" s="1056"/>
      <c r="N1598" s="213"/>
      <c r="O1598" s="213"/>
      <c r="P1598" s="213"/>
      <c r="Q1598" s="213"/>
      <c r="R1598" s="1848" t="str">
        <f>CHOOSE(2, "6722000004499", "RF (3) PP Marginal Profit NH")</f>
        <v>RF (3) PP Marginal Profit NH</v>
      </c>
      <c r="S1598" s="1447">
        <f t="shared" si="2204"/>
        <v>-755</v>
      </c>
      <c r="T1598" s="1447">
        <f t="shared" si="2204"/>
        <v>947.38002416666677</v>
      </c>
      <c r="U1598" s="1447">
        <f t="shared" si="2204"/>
        <v>1707.5588141666676</v>
      </c>
      <c r="V1598" s="1447">
        <f t="shared" si="2204"/>
        <v>2483.6554841666675</v>
      </c>
      <c r="W1598" s="1447">
        <f t="shared" si="2204"/>
        <v>2383</v>
      </c>
      <c r="X1598" s="1447">
        <f t="shared" si="2204"/>
        <v>3039.8120241666675</v>
      </c>
      <c r="Y1598" s="1447">
        <f t="shared" si="2204"/>
        <v>1383.6118341666679</v>
      </c>
      <c r="Z1598" s="1447">
        <f t="shared" si="2204"/>
        <v>3336.4113741666661</v>
      </c>
      <c r="AA1598" s="1447">
        <f t="shared" si="2204"/>
        <v>4658.7483616666668</v>
      </c>
      <c r="AB1598" s="1447">
        <f t="shared" si="2204"/>
        <v>3329.7714241666672</v>
      </c>
      <c r="AC1598" s="1447">
        <f t="shared" si="2204"/>
        <v>5034.3039541666676</v>
      </c>
      <c r="AD1598" s="1447">
        <f t="shared" si="2204"/>
        <v>1888.873247346487</v>
      </c>
      <c r="AE1598" s="1447">
        <f t="shared" si="2182"/>
        <v>1899.9388383333344</v>
      </c>
      <c r="AF1598" s="1447">
        <f t="shared" si="2183"/>
        <v>7906.467508333335</v>
      </c>
      <c r="AG1598" s="1447">
        <f t="shared" si="2184"/>
        <v>9378.7715700000008</v>
      </c>
      <c r="AH1598" s="1447">
        <f t="shared" si="2185"/>
        <v>10252.948625679823</v>
      </c>
      <c r="AI1598" s="1447">
        <f t="shared" si="2186"/>
        <v>9806.4063466666703</v>
      </c>
      <c r="AJ1598" s="1447">
        <f t="shared" si="2187"/>
        <v>19631.720195679824</v>
      </c>
      <c r="AK1598" s="1447">
        <f t="shared" si="2188"/>
        <v>29438.126542346494</v>
      </c>
    </row>
    <row r="1599" spans="1:37" ht="14.5">
      <c r="A1599" s="1693">
        <f t="shared" si="2197"/>
        <v>1582</v>
      </c>
      <c r="B1599" s="616">
        <v>1</v>
      </c>
      <c r="C1599" s="1693">
        <f t="shared" si="2167"/>
        <v>1599</v>
      </c>
      <c r="D1599" s="616">
        <v>1</v>
      </c>
      <c r="F1599" s="69"/>
      <c r="G1599"/>
      <c r="H1599" s="1050"/>
      <c r="I1599" s="1051"/>
      <c r="J1599" s="750"/>
      <c r="K1599" s="749"/>
      <c r="L1599" s="749" t="s">
        <v>120</v>
      </c>
      <c r="R1599" s="1777" t="str">
        <f>CHOOSE(2, "6722000004500", "RF (3) PP Marginal Profit NH Direct")</f>
        <v>RF (3) PP Marginal Profit NH Direct</v>
      </c>
      <c r="S1599" s="1226">
        <f t="shared" si="2204"/>
        <v>-755</v>
      </c>
      <c r="T1599" s="1226">
        <f t="shared" si="2204"/>
        <v>947.38002416666677</v>
      </c>
      <c r="U1599" s="1226">
        <f t="shared" si="2204"/>
        <v>1707.5588141666676</v>
      </c>
      <c r="V1599" s="1226">
        <f t="shared" si="2204"/>
        <v>2483.6554841666675</v>
      </c>
      <c r="W1599" s="1226">
        <f t="shared" si="2204"/>
        <v>2383</v>
      </c>
      <c r="X1599" s="1226">
        <f t="shared" si="2204"/>
        <v>3039.8120241666675</v>
      </c>
      <c r="Y1599" s="1226">
        <f t="shared" si="2204"/>
        <v>1383.6118341666679</v>
      </c>
      <c r="Z1599" s="1226">
        <f t="shared" si="2204"/>
        <v>3336.4113741666661</v>
      </c>
      <c r="AA1599" s="1226">
        <f t="shared" si="2204"/>
        <v>4658.7483616666668</v>
      </c>
      <c r="AB1599" s="1226">
        <f t="shared" si="2204"/>
        <v>3329.7714241666672</v>
      </c>
      <c r="AC1599" s="1226">
        <f t="shared" si="2204"/>
        <v>5034.3039541666676</v>
      </c>
      <c r="AD1599" s="1226">
        <f t="shared" si="2204"/>
        <v>1888.873247346487</v>
      </c>
      <c r="AE1599" s="1226">
        <f t="shared" si="2182"/>
        <v>1899.9388383333344</v>
      </c>
      <c r="AF1599" s="1226">
        <f t="shared" si="2183"/>
        <v>7906.467508333335</v>
      </c>
      <c r="AG1599" s="1226">
        <f t="shared" si="2184"/>
        <v>9378.7715700000008</v>
      </c>
      <c r="AH1599" s="1226">
        <f t="shared" si="2185"/>
        <v>10252.948625679823</v>
      </c>
      <c r="AI1599" s="1226">
        <f t="shared" si="2186"/>
        <v>9806.4063466666703</v>
      </c>
      <c r="AJ1599" s="1226">
        <f t="shared" si="2187"/>
        <v>19631.720195679824</v>
      </c>
      <c r="AK1599" s="1226">
        <f t="shared" si="2188"/>
        <v>29438.126542346494</v>
      </c>
    </row>
    <row r="1600" spans="1:37" ht="14.5">
      <c r="A1600" s="1693">
        <f t="shared" si="2197"/>
        <v>1583</v>
      </c>
      <c r="B1600" s="616">
        <v>1</v>
      </c>
      <c r="C1600" s="1693">
        <f t="shared" si="2167"/>
        <v>1600</v>
      </c>
      <c r="D1600" s="616">
        <v>1</v>
      </c>
      <c r="F1600" s="69"/>
      <c r="G1600"/>
      <c r="H1600" s="1050"/>
      <c r="I1600" s="1051"/>
      <c r="J1600" s="750"/>
      <c r="K1600" s="749"/>
      <c r="L1600" s="749" t="s">
        <v>129</v>
      </c>
      <c r="R1600" s="1777" t="str">
        <f>CHOOSE(2, "6722000004501", "RF (3) PP Marginal Profit NH Indirect")</f>
        <v>RF (3) PP Marginal Profit NH Indirect</v>
      </c>
      <c r="S1600" s="1226">
        <f t="shared" si="2204"/>
        <v>0</v>
      </c>
      <c r="T1600" s="1226">
        <f t="shared" si="2204"/>
        <v>0</v>
      </c>
      <c r="U1600" s="1226">
        <f t="shared" si="2204"/>
        <v>0</v>
      </c>
      <c r="V1600" s="1226">
        <f t="shared" si="2204"/>
        <v>0</v>
      </c>
      <c r="W1600" s="1226">
        <f t="shared" si="2204"/>
        <v>0</v>
      </c>
      <c r="X1600" s="1226">
        <f t="shared" si="2204"/>
        <v>0</v>
      </c>
      <c r="Y1600" s="1226">
        <f t="shared" si="2204"/>
        <v>0</v>
      </c>
      <c r="Z1600" s="1226">
        <f t="shared" si="2204"/>
        <v>0</v>
      </c>
      <c r="AA1600" s="1226">
        <f t="shared" si="2204"/>
        <v>0</v>
      </c>
      <c r="AB1600" s="1226">
        <f t="shared" si="2204"/>
        <v>0</v>
      </c>
      <c r="AC1600" s="1226">
        <f t="shared" si="2204"/>
        <v>0</v>
      </c>
      <c r="AD1600" s="1226">
        <f t="shared" si="2204"/>
        <v>0</v>
      </c>
      <c r="AE1600" s="1226">
        <f t="shared" si="2182"/>
        <v>0</v>
      </c>
      <c r="AF1600" s="1226">
        <f t="shared" si="2183"/>
        <v>0</v>
      </c>
      <c r="AG1600" s="1226">
        <f t="shared" si="2184"/>
        <v>0</v>
      </c>
      <c r="AH1600" s="1226">
        <f t="shared" si="2185"/>
        <v>0</v>
      </c>
      <c r="AI1600" s="1226">
        <f t="shared" si="2186"/>
        <v>0</v>
      </c>
      <c r="AJ1600" s="1226">
        <f t="shared" si="2187"/>
        <v>0</v>
      </c>
      <c r="AK1600" s="1226">
        <f t="shared" si="2188"/>
        <v>0</v>
      </c>
    </row>
    <row r="1601" spans="1:37" ht="14.5">
      <c r="A1601" s="1693">
        <f t="shared" si="2197"/>
        <v>1584</v>
      </c>
      <c r="B1601" s="616">
        <v>1</v>
      </c>
      <c r="C1601" s="1693">
        <f t="shared" si="2167"/>
        <v>1601</v>
      </c>
      <c r="D1601" s="616">
        <v>1</v>
      </c>
      <c r="F1601" s="69"/>
      <c r="G1601"/>
      <c r="H1601" s="1050"/>
      <c r="I1601" s="1051"/>
      <c r="J1601" s="1064" t="s">
        <v>803</v>
      </c>
      <c r="K1601" s="1065"/>
      <c r="L1601" s="1065"/>
      <c r="M1601" s="1066"/>
      <c r="N1601" s="1067"/>
      <c r="O1601" s="1067"/>
      <c r="P1601" s="1067"/>
      <c r="Q1601" s="1067"/>
      <c r="R1601" s="1817" t="str">
        <f>CHOOSE(2, "6722000004502", "RF (3) PP Marginal Profit %")</f>
        <v>RF (3) PP Marginal Profit %</v>
      </c>
      <c r="S1601" s="1453">
        <f t="shared" ref="S1601:AD1607" si="2205">IFERROR(S1594/S1579,"")</f>
        <v>2.1707596056952005E-2</v>
      </c>
      <c r="T1601" s="1453">
        <f t="shared" si="2205"/>
        <v>3.6128981242402214E-2</v>
      </c>
      <c r="U1601" s="1453">
        <f t="shared" si="2205"/>
        <v>0.14219997940221979</v>
      </c>
      <c r="V1601" s="1453">
        <f t="shared" si="2205"/>
        <v>0.23620668528561237</v>
      </c>
      <c r="W1601" s="1453">
        <f t="shared" si="2205"/>
        <v>0.37658001349203596</v>
      </c>
      <c r="X1601" s="1453">
        <f t="shared" si="2205"/>
        <v>0.3055098350399123</v>
      </c>
      <c r="Y1601" s="1453">
        <f t="shared" si="2205"/>
        <v>-1.1757388745964471E-2</v>
      </c>
      <c r="Z1601" s="1453">
        <f t="shared" si="2205"/>
        <v>0.27896136720573611</v>
      </c>
      <c r="AA1601" s="1453">
        <f t="shared" si="2205"/>
        <v>0.11630531752310685</v>
      </c>
      <c r="AB1601" s="1453">
        <f t="shared" si="2205"/>
        <v>0.10916609937847571</v>
      </c>
      <c r="AC1601" s="1453">
        <f t="shared" si="2205"/>
        <v>0.46901435396244362</v>
      </c>
      <c r="AD1601" s="1453">
        <f t="shared" si="2205"/>
        <v>0.30883441859939087</v>
      </c>
      <c r="AE1601" s="1068">
        <f t="shared" ref="AE1601:AK1607" si="2206">IFERROR(AE1594/AE1579,"")</f>
        <v>5.5324085385840834E-2</v>
      </c>
      <c r="AF1601" s="1068">
        <f t="shared" si="2206"/>
        <v>0.32332169610741834</v>
      </c>
      <c r="AG1601" s="1068">
        <f t="shared" si="2206"/>
        <v>0.18676263344586361</v>
      </c>
      <c r="AH1601" s="1068">
        <f t="shared" si="2206"/>
        <v>0.30318368050813371</v>
      </c>
      <c r="AI1601" s="1068">
        <f t="shared" si="2206"/>
        <v>0.17400484758681198</v>
      </c>
      <c r="AJ1601" s="1068">
        <f t="shared" si="2206"/>
        <v>0.24934093271370147</v>
      </c>
      <c r="AK1601" s="1068">
        <f t="shared" si="2206"/>
        <v>0.20703119248970053</v>
      </c>
    </row>
    <row r="1602" spans="1:37" ht="14.5">
      <c r="A1602" s="1693">
        <f t="shared" si="2197"/>
        <v>1585</v>
      </c>
      <c r="B1602" s="616">
        <v>1</v>
      </c>
      <c r="C1602" s="1693">
        <f t="shared" si="2167"/>
        <v>1602</v>
      </c>
      <c r="D1602" s="616">
        <v>1</v>
      </c>
      <c r="F1602" s="69"/>
      <c r="G1602"/>
      <c r="H1602" s="1050"/>
      <c r="I1602" s="1051"/>
      <c r="J1602" s="750"/>
      <c r="K1602" s="1055" t="s">
        <v>799</v>
      </c>
      <c r="L1602" s="1055"/>
      <c r="M1602" s="1056"/>
      <c r="N1602" s="213"/>
      <c r="O1602" s="213"/>
      <c r="P1602" s="213"/>
      <c r="Q1602" s="213"/>
      <c r="R1602" s="1848" t="str">
        <f>CHOOSE(2, "6722000004503", "RF (3) PP Marginal Profit % HW")</f>
        <v>RF (3) PP Marginal Profit % HW</v>
      </c>
      <c r="S1602" s="1449">
        <f t="shared" si="2205"/>
        <v>3.9389976000304756E-2</v>
      </c>
      <c r="T1602" s="1449">
        <f t="shared" si="2205"/>
        <v>1.3827649208282538E-2</v>
      </c>
      <c r="U1602" s="1449">
        <f t="shared" si="2205"/>
        <v>0.20703415623943186</v>
      </c>
      <c r="V1602" s="1449" t="str">
        <f t="shared" si="2205"/>
        <v/>
      </c>
      <c r="W1602" s="1449">
        <f t="shared" si="2205"/>
        <v>0.42950943396226415</v>
      </c>
      <c r="X1602" s="1449">
        <f t="shared" si="2205"/>
        <v>0.35174474683019985</v>
      </c>
      <c r="Y1602" s="1449" t="str">
        <f t="shared" si="2205"/>
        <v/>
      </c>
      <c r="Z1602" s="1449">
        <f t="shared" si="2205"/>
        <v>0.27354018301361388</v>
      </c>
      <c r="AA1602" s="1449">
        <f t="shared" si="2205"/>
        <v>-3.7047640526451348E-2</v>
      </c>
      <c r="AB1602" s="1449">
        <f t="shared" si="2205"/>
        <v>-7.8501721805555563E-2</v>
      </c>
      <c r="AC1602" s="1449">
        <f t="shared" si="2205"/>
        <v>0.47159463597222223</v>
      </c>
      <c r="AD1602" s="1449">
        <f t="shared" si="2205"/>
        <v>0.32026296561983475</v>
      </c>
      <c r="AE1602" s="1449">
        <f t="shared" si="2206"/>
        <v>7.9207856278506933E-2</v>
      </c>
      <c r="AF1602" s="1449">
        <f t="shared" si="2206"/>
        <v>0.36876253712516999</v>
      </c>
      <c r="AG1602" s="1449">
        <f t="shared" si="2206"/>
        <v>0.1476146836760551</v>
      </c>
      <c r="AH1602" s="1449">
        <f t="shared" si="2206"/>
        <v>0.29189484901273888</v>
      </c>
      <c r="AI1602" s="1449">
        <f t="shared" si="2206"/>
        <v>0.19937797242476893</v>
      </c>
      <c r="AJ1602" s="1449">
        <f t="shared" si="2206"/>
        <v>0.22853259961483166</v>
      </c>
      <c r="AK1602" s="1449">
        <f t="shared" si="2206"/>
        <v>0.21131066605165785</v>
      </c>
    </row>
    <row r="1603" spans="1:37" ht="14.5">
      <c r="A1603" s="1693">
        <f t="shared" si="2197"/>
        <v>1586</v>
      </c>
      <c r="B1603" s="616">
        <v>1</v>
      </c>
      <c r="C1603" s="1693">
        <f t="shared" si="2167"/>
        <v>1603</v>
      </c>
      <c r="D1603" s="616">
        <v>1</v>
      </c>
      <c r="F1603" s="69"/>
      <c r="G1603"/>
      <c r="H1603" s="1050"/>
      <c r="I1603" s="1051"/>
      <c r="J1603" s="750"/>
      <c r="K1603" s="749"/>
      <c r="L1603" s="749" t="s">
        <v>120</v>
      </c>
      <c r="R1603" s="1777" t="str">
        <f>CHOOSE(2, "6722000004504", "RF (3) PP Marginal Profit % HW Direct")</f>
        <v>RF (3) PP Marginal Profit % HW Direct</v>
      </c>
      <c r="S1603" s="1688">
        <f t="shared" si="2205"/>
        <v>3.9389976000304756E-2</v>
      </c>
      <c r="T1603" s="1688">
        <f t="shared" si="2205"/>
        <v>1.3827649208282538E-2</v>
      </c>
      <c r="U1603" s="1688">
        <f t="shared" si="2205"/>
        <v>0.20703415623943186</v>
      </c>
      <c r="V1603" s="1688" t="str">
        <f t="shared" si="2205"/>
        <v/>
      </c>
      <c r="W1603" s="1688">
        <f t="shared" si="2205"/>
        <v>0.42950943396226415</v>
      </c>
      <c r="X1603" s="1688">
        <f t="shared" si="2205"/>
        <v>0.35174474683019985</v>
      </c>
      <c r="Y1603" s="1688" t="str">
        <f t="shared" si="2205"/>
        <v/>
      </c>
      <c r="Z1603" s="1688">
        <f t="shared" si="2205"/>
        <v>0.27354018301361388</v>
      </c>
      <c r="AA1603" s="1688">
        <f t="shared" si="2205"/>
        <v>-3.7047640526451348E-2</v>
      </c>
      <c r="AB1603" s="1688">
        <f t="shared" si="2205"/>
        <v>-7.8501721805555563E-2</v>
      </c>
      <c r="AC1603" s="1688">
        <f t="shared" si="2205"/>
        <v>0.47159463597222223</v>
      </c>
      <c r="AD1603" s="1688">
        <f t="shared" si="2205"/>
        <v>0.32026296561983475</v>
      </c>
      <c r="AE1603" s="1688">
        <f t="shared" si="2206"/>
        <v>7.9207856278506933E-2</v>
      </c>
      <c r="AF1603" s="1688">
        <f t="shared" si="2206"/>
        <v>0.36876253712516999</v>
      </c>
      <c r="AG1603" s="1688">
        <f t="shared" si="2206"/>
        <v>0.1476146836760551</v>
      </c>
      <c r="AH1603" s="1688">
        <f t="shared" si="2206"/>
        <v>0.29189484901273888</v>
      </c>
      <c r="AI1603" s="1688">
        <f t="shared" si="2206"/>
        <v>0.19937797242476893</v>
      </c>
      <c r="AJ1603" s="1688">
        <f t="shared" si="2206"/>
        <v>0.22853259961483166</v>
      </c>
      <c r="AK1603" s="1688">
        <f t="shared" si="2206"/>
        <v>0.21131066605165785</v>
      </c>
    </row>
    <row r="1604" spans="1:37" ht="14.5">
      <c r="A1604" s="1693">
        <f t="shared" si="2197"/>
        <v>1587</v>
      </c>
      <c r="B1604" s="616">
        <v>1</v>
      </c>
      <c r="C1604" s="1693">
        <f t="shared" si="2167"/>
        <v>1604</v>
      </c>
      <c r="D1604" s="616">
        <v>1</v>
      </c>
      <c r="F1604" s="69"/>
      <c r="G1604"/>
      <c r="H1604" s="1050"/>
      <c r="I1604" s="1051"/>
      <c r="J1604" s="750"/>
      <c r="K1604" s="749"/>
      <c r="L1604" s="749" t="s">
        <v>129</v>
      </c>
      <c r="R1604" s="1777" t="str">
        <f>CHOOSE(2, "6722000004505", "RF (3) PP Marginal Profit % HW Indirect")</f>
        <v>RF (3) PP Marginal Profit % HW Indirect</v>
      </c>
      <c r="S1604" s="1688" t="str">
        <f t="shared" si="2205"/>
        <v/>
      </c>
      <c r="T1604" s="1688" t="str">
        <f t="shared" si="2205"/>
        <v/>
      </c>
      <c r="U1604" s="1688" t="str">
        <f t="shared" si="2205"/>
        <v/>
      </c>
      <c r="V1604" s="1688" t="str">
        <f t="shared" si="2205"/>
        <v/>
      </c>
      <c r="W1604" s="1688" t="str">
        <f t="shared" si="2205"/>
        <v/>
      </c>
      <c r="X1604" s="1688" t="str">
        <f t="shared" si="2205"/>
        <v/>
      </c>
      <c r="Y1604" s="1688" t="str">
        <f t="shared" si="2205"/>
        <v/>
      </c>
      <c r="Z1604" s="1688" t="str">
        <f t="shared" si="2205"/>
        <v/>
      </c>
      <c r="AA1604" s="1688" t="str">
        <f t="shared" si="2205"/>
        <v/>
      </c>
      <c r="AB1604" s="1688" t="str">
        <f t="shared" si="2205"/>
        <v/>
      </c>
      <c r="AC1604" s="1688" t="str">
        <f t="shared" si="2205"/>
        <v/>
      </c>
      <c r="AD1604" s="1688" t="str">
        <f t="shared" si="2205"/>
        <v/>
      </c>
      <c r="AE1604" s="1688" t="str">
        <f t="shared" si="2206"/>
        <v/>
      </c>
      <c r="AF1604" s="1688" t="str">
        <f t="shared" si="2206"/>
        <v/>
      </c>
      <c r="AG1604" s="1688" t="str">
        <f t="shared" si="2206"/>
        <v/>
      </c>
      <c r="AH1604" s="1688" t="str">
        <f t="shared" si="2206"/>
        <v/>
      </c>
      <c r="AI1604" s="1688" t="str">
        <f t="shared" si="2206"/>
        <v/>
      </c>
      <c r="AJ1604" s="1688" t="str">
        <f t="shared" si="2206"/>
        <v/>
      </c>
      <c r="AK1604" s="1688" t="str">
        <f t="shared" si="2206"/>
        <v/>
      </c>
    </row>
    <row r="1605" spans="1:37" ht="14.5">
      <c r="A1605" s="1693">
        <f t="shared" si="2197"/>
        <v>1588</v>
      </c>
      <c r="B1605" s="616">
        <v>1</v>
      </c>
      <c r="C1605" s="1693">
        <f t="shared" si="2167"/>
        <v>1605</v>
      </c>
      <c r="D1605" s="616">
        <v>1</v>
      </c>
      <c r="F1605" s="69"/>
      <c r="G1605"/>
      <c r="H1605" s="1050"/>
      <c r="I1605" s="1051"/>
      <c r="J1605" s="750"/>
      <c r="K1605" s="1055" t="s">
        <v>800</v>
      </c>
      <c r="L1605" s="1055"/>
      <c r="M1605" s="1056"/>
      <c r="N1605" s="213"/>
      <c r="O1605" s="213"/>
      <c r="P1605" s="213"/>
      <c r="Q1605" s="213"/>
      <c r="R1605" s="1848" t="str">
        <f>CHOOSE(2, "6722000004506", "RF (3) PP Marginal Profit % NH")</f>
        <v>RF (3) PP Marginal Profit % NH</v>
      </c>
      <c r="S1605" s="1449">
        <f t="shared" si="2205"/>
        <v>-9.5148078134845618E-2</v>
      </c>
      <c r="T1605" s="1449">
        <f t="shared" si="2205"/>
        <v>0.11713956126101244</v>
      </c>
      <c r="U1605" s="1449">
        <f t="shared" si="2205"/>
        <v>0.21514603838963511</v>
      </c>
      <c r="V1605" s="1449">
        <f t="shared" si="2205"/>
        <v>0.31335970396858343</v>
      </c>
      <c r="W1605" s="1449">
        <f t="shared" si="2205"/>
        <v>0.24974161227651373</v>
      </c>
      <c r="X1605" s="1449">
        <f t="shared" si="2205"/>
        <v>0.26060154707159339</v>
      </c>
      <c r="Y1605" s="1449">
        <f t="shared" si="2205"/>
        <v>0.11536322464024906</v>
      </c>
      <c r="Z1605" s="1449">
        <f t="shared" si="2205"/>
        <v>0.3734150284113727</v>
      </c>
      <c r="AA1605" s="1449">
        <f t="shared" si="2205"/>
        <v>0.48045104834189201</v>
      </c>
      <c r="AB1605" s="1449">
        <f t="shared" si="2205"/>
        <v>0.34618222532151094</v>
      </c>
      <c r="AC1605" s="1449">
        <f t="shared" si="2205"/>
        <v>0.48255705232827073</v>
      </c>
      <c r="AD1605" s="1449">
        <f t="shared" si="2205"/>
        <v>0.22263149073235552</v>
      </c>
      <c r="AE1605" s="1449">
        <f t="shared" si="2206"/>
        <v>7.9298393572905995E-2</v>
      </c>
      <c r="AF1605" s="1449">
        <f t="shared" si="2206"/>
        <v>0.27139818674212551</v>
      </c>
      <c r="AG1605" s="1449">
        <f t="shared" si="2206"/>
        <v>0.30624559228585818</v>
      </c>
      <c r="AH1605" s="1449">
        <f t="shared" si="2206"/>
        <v>0.35930613476858891</v>
      </c>
      <c r="AI1605" s="1449">
        <f t="shared" si="2206"/>
        <v>0.18470691172964546</v>
      </c>
      <c r="AJ1605" s="1449">
        <f t="shared" si="2206"/>
        <v>0.33183879501476676</v>
      </c>
      <c r="AK1605" s="1449">
        <f t="shared" si="2206"/>
        <v>0.26225005766146009</v>
      </c>
    </row>
    <row r="1606" spans="1:37" ht="14.5">
      <c r="A1606" s="1693">
        <f t="shared" si="2197"/>
        <v>1589</v>
      </c>
      <c r="B1606" s="616">
        <v>1</v>
      </c>
      <c r="C1606" s="1693">
        <f t="shared" si="2167"/>
        <v>1606</v>
      </c>
      <c r="D1606" s="616">
        <v>1</v>
      </c>
      <c r="F1606" s="69"/>
      <c r="G1606"/>
      <c r="H1606" s="1050"/>
      <c r="I1606" s="1051"/>
      <c r="J1606" s="750"/>
      <c r="K1606" s="749"/>
      <c r="L1606" s="749" t="s">
        <v>120</v>
      </c>
      <c r="R1606" s="1777" t="str">
        <f>CHOOSE(2, "6722000004507", "RF (3) PP Marginal Profit % NH Direct")</f>
        <v>RF (3) PP Marginal Profit % NH Direct</v>
      </c>
      <c r="S1606" s="1688">
        <f t="shared" si="2205"/>
        <v>-9.5148078134845618E-2</v>
      </c>
      <c r="T1606" s="1688">
        <f t="shared" si="2205"/>
        <v>0.11713956126101244</v>
      </c>
      <c r="U1606" s="1688">
        <f t="shared" si="2205"/>
        <v>0.21514603838963511</v>
      </c>
      <c r="V1606" s="1688">
        <f t="shared" si="2205"/>
        <v>0.31335970396858343</v>
      </c>
      <c r="W1606" s="1688">
        <f t="shared" si="2205"/>
        <v>0.24974161227651373</v>
      </c>
      <c r="X1606" s="1688">
        <f t="shared" si="2205"/>
        <v>0.26060154707159339</v>
      </c>
      <c r="Y1606" s="1688">
        <f t="shared" si="2205"/>
        <v>0.11536322464024906</v>
      </c>
      <c r="Z1606" s="1688">
        <f t="shared" si="2205"/>
        <v>0.3734150284113727</v>
      </c>
      <c r="AA1606" s="1688">
        <f t="shared" si="2205"/>
        <v>0.48045104834189201</v>
      </c>
      <c r="AB1606" s="1688">
        <f t="shared" si="2205"/>
        <v>0.34618222532151094</v>
      </c>
      <c r="AC1606" s="1688">
        <f t="shared" si="2205"/>
        <v>0.48255705232827073</v>
      </c>
      <c r="AD1606" s="1688">
        <f t="shared" si="2205"/>
        <v>0.22263149073235552</v>
      </c>
      <c r="AE1606" s="1688">
        <f t="shared" si="2206"/>
        <v>7.9298393572905995E-2</v>
      </c>
      <c r="AF1606" s="1688">
        <f t="shared" si="2206"/>
        <v>0.27139818674212551</v>
      </c>
      <c r="AG1606" s="1688">
        <f t="shared" si="2206"/>
        <v>0.30624559228585818</v>
      </c>
      <c r="AH1606" s="1688">
        <f t="shared" si="2206"/>
        <v>0.35930613476858891</v>
      </c>
      <c r="AI1606" s="1688">
        <f t="shared" si="2206"/>
        <v>0.18470691172964546</v>
      </c>
      <c r="AJ1606" s="1688">
        <f t="shared" si="2206"/>
        <v>0.33183879501476676</v>
      </c>
      <c r="AK1606" s="1688">
        <f t="shared" si="2206"/>
        <v>0.26225005766146009</v>
      </c>
    </row>
    <row r="1607" spans="1:37" ht="14.5">
      <c r="A1607" s="1693">
        <f t="shared" si="2197"/>
        <v>1590</v>
      </c>
      <c r="B1607" s="616">
        <v>1</v>
      </c>
      <c r="C1607" s="1693">
        <f t="shared" si="2167"/>
        <v>1607</v>
      </c>
      <c r="D1607" s="616">
        <v>1</v>
      </c>
      <c r="F1607" s="69"/>
      <c r="G1607"/>
      <c r="H1607" s="1050"/>
      <c r="I1607" s="1051"/>
      <c r="J1607" s="750"/>
      <c r="K1607" s="749"/>
      <c r="L1607" s="749" t="s">
        <v>129</v>
      </c>
      <c r="R1607" s="1777" t="str">
        <f>CHOOSE(2, "6722000004508", "RF (3) PP Marginal Profit % NH Indirect")</f>
        <v>RF (3) PP Marginal Profit % NH Indirect</v>
      </c>
      <c r="S1607" s="1688" t="str">
        <f t="shared" si="2205"/>
        <v/>
      </c>
      <c r="T1607" s="1688" t="str">
        <f t="shared" si="2205"/>
        <v/>
      </c>
      <c r="U1607" s="1688" t="str">
        <f t="shared" si="2205"/>
        <v/>
      </c>
      <c r="V1607" s="1688" t="str">
        <f t="shared" si="2205"/>
        <v/>
      </c>
      <c r="W1607" s="1688" t="str">
        <f t="shared" si="2205"/>
        <v/>
      </c>
      <c r="X1607" s="1688" t="str">
        <f t="shared" si="2205"/>
        <v/>
      </c>
      <c r="Y1607" s="1688" t="str">
        <f t="shared" si="2205"/>
        <v/>
      </c>
      <c r="Z1607" s="1688" t="str">
        <f t="shared" si="2205"/>
        <v/>
      </c>
      <c r="AA1607" s="1688" t="str">
        <f t="shared" si="2205"/>
        <v/>
      </c>
      <c r="AB1607" s="1688" t="str">
        <f t="shared" si="2205"/>
        <v/>
      </c>
      <c r="AC1607" s="1688" t="str">
        <f t="shared" si="2205"/>
        <v/>
      </c>
      <c r="AD1607" s="1688" t="str">
        <f t="shared" si="2205"/>
        <v/>
      </c>
      <c r="AE1607" s="1688" t="str">
        <f t="shared" si="2206"/>
        <v/>
      </c>
      <c r="AF1607" s="1688" t="str">
        <f t="shared" si="2206"/>
        <v/>
      </c>
      <c r="AG1607" s="1688" t="str">
        <f t="shared" si="2206"/>
        <v/>
      </c>
      <c r="AH1607" s="1688" t="str">
        <f t="shared" si="2206"/>
        <v/>
      </c>
      <c r="AI1607" s="1688" t="str">
        <f t="shared" si="2206"/>
        <v/>
      </c>
      <c r="AJ1607" s="1688" t="str">
        <f t="shared" si="2206"/>
        <v/>
      </c>
      <c r="AK1607" s="1688" t="str">
        <f t="shared" si="2206"/>
        <v/>
      </c>
    </row>
    <row r="1608" spans="1:37" ht="14.5">
      <c r="A1608" s="1693">
        <f t="shared" si="2197"/>
        <v>1591</v>
      </c>
      <c r="B1608" s="616">
        <v>1</v>
      </c>
      <c r="C1608" s="1693">
        <f t="shared" si="2167"/>
        <v>1608</v>
      </c>
      <c r="D1608" s="616">
        <v>1</v>
      </c>
      <c r="F1608" s="69"/>
      <c r="G1608"/>
      <c r="H1608" s="1050"/>
      <c r="I1608" s="1051"/>
      <c r="J1608" s="1064" t="s">
        <v>492</v>
      </c>
      <c r="K1608" s="1065"/>
      <c r="L1608" s="1065"/>
      <c r="M1608" s="1066"/>
      <c r="N1608" s="1067"/>
      <c r="O1608" s="1067"/>
      <c r="P1608" s="1067"/>
      <c r="Q1608" s="1067"/>
      <c r="R1608" s="1817" t="str">
        <f>CHOOSE(2, "6722000004509", "RF (3) PP Fixed Cost")</f>
        <v>RF (3) PP Fixed Cost</v>
      </c>
      <c r="S1608" s="1377">
        <f>SUM(S1609:S1610)</f>
        <v>2995.9794255707352</v>
      </c>
      <c r="T1608" s="1377">
        <f t="shared" ref="T1608:AD1608" si="2207">SUM(T1609:T1610)</f>
        <v>3308.1709608679057</v>
      </c>
      <c r="U1608" s="1377">
        <f t="shared" si="2207"/>
        <v>3156.2059098654495</v>
      </c>
      <c r="V1608" s="1377">
        <f t="shared" si="2207"/>
        <v>3060.8086559028261</v>
      </c>
      <c r="W1608" s="1377">
        <f t="shared" si="2207"/>
        <v>3309.019357496391</v>
      </c>
      <c r="X1608" s="1377">
        <f t="shared" si="2207"/>
        <v>2702.0667584965818</v>
      </c>
      <c r="Y1608" s="1377">
        <f t="shared" si="2207"/>
        <v>2901.7103566812034</v>
      </c>
      <c r="Z1608" s="1377">
        <f t="shared" si="2207"/>
        <v>3031.4942258161554</v>
      </c>
      <c r="AA1608" s="1377">
        <f t="shared" si="2207"/>
        <v>4312.9694514331604</v>
      </c>
      <c r="AB1608" s="1377">
        <f t="shared" si="2207"/>
        <v>3620.4732276378372</v>
      </c>
      <c r="AC1608" s="1377">
        <f t="shared" si="2207"/>
        <v>3571.2431126582455</v>
      </c>
      <c r="AD1608" s="1377">
        <f t="shared" si="2207"/>
        <v>2950.0472307247933</v>
      </c>
      <c r="AE1608" s="776">
        <f>SUM(S1608:U1608)</f>
        <v>9460.3562963040913</v>
      </c>
      <c r="AF1608" s="776">
        <f>SUM(V1608:X1608)</f>
        <v>9071.8947718957988</v>
      </c>
      <c r="AG1608" s="776">
        <f>SUM(Y1608:AA1608)</f>
        <v>10246.17403393052</v>
      </c>
      <c r="AH1608" s="776">
        <f>SUM(AB1608:AD1608)</f>
        <v>10141.763571020876</v>
      </c>
      <c r="AI1608" s="776">
        <f>AE1608+AF1608</f>
        <v>18532.25106819989</v>
      </c>
      <c r="AJ1608" s="776">
        <f>AH1608+AG1608</f>
        <v>20387.937604951396</v>
      </c>
      <c r="AK1608" s="776">
        <f>AI1608+AJ1608</f>
        <v>38920.188673151286</v>
      </c>
    </row>
    <row r="1609" spans="1:37" ht="14.5">
      <c r="A1609" s="1693">
        <f t="shared" si="2197"/>
        <v>1592</v>
      </c>
      <c r="B1609" s="616">
        <v>1</v>
      </c>
      <c r="C1609" s="1693">
        <f t="shared" si="2167"/>
        <v>1609</v>
      </c>
      <c r="D1609" s="616">
        <v>1</v>
      </c>
      <c r="F1609" s="69"/>
      <c r="G1609"/>
      <c r="H1609" s="1050"/>
      <c r="I1609" s="1051"/>
      <c r="J1609" s="750"/>
      <c r="K1609" s="749" t="s">
        <v>804</v>
      </c>
      <c r="L1609" s="749"/>
      <c r="R1609" s="1777" t="str">
        <f>CHOOSE(2, "6722000004510", "RF (3) PP Fixed Cost COGs")</f>
        <v>RF (3) PP Fixed Cost COGs</v>
      </c>
      <c r="S1609" s="1226">
        <f t="shared" ref="S1609:AD1609" si="2208">S867</f>
        <v>1031</v>
      </c>
      <c r="T1609" s="1226">
        <f t="shared" si="2208"/>
        <v>1118.2190000000001</v>
      </c>
      <c r="U1609" s="1226">
        <f t="shared" si="2208"/>
        <v>1240.3149999999998</v>
      </c>
      <c r="V1609" s="1226">
        <f t="shared" si="2208"/>
        <v>988.10400000000004</v>
      </c>
      <c r="W1609" s="1226">
        <f t="shared" si="2208"/>
        <v>963.24248652258939</v>
      </c>
      <c r="X1609" s="1226">
        <f t="shared" si="2208"/>
        <v>949.97300000000007</v>
      </c>
      <c r="Y1609" s="1226">
        <f t="shared" si="2208"/>
        <v>916.01100000000008</v>
      </c>
      <c r="Z1609" s="1226">
        <f t="shared" si="2208"/>
        <v>1101.2739999999999</v>
      </c>
      <c r="AA1609" s="1226">
        <f t="shared" si="2208"/>
        <v>1669.3041462478182</v>
      </c>
      <c r="AB1609" s="1226">
        <f t="shared" si="2208"/>
        <v>1178.5389779209022</v>
      </c>
      <c r="AC1609" s="1226">
        <f t="shared" si="2208"/>
        <v>1117.2658288180605</v>
      </c>
      <c r="AD1609" s="1226">
        <f t="shared" si="2208"/>
        <v>1185.2773884502183</v>
      </c>
      <c r="AE1609" s="1226">
        <f>SUM(S1609:U1609)</f>
        <v>3389.5339999999997</v>
      </c>
      <c r="AF1609" s="1226">
        <f>SUM(V1609:X1609)</f>
        <v>2901.3194865225896</v>
      </c>
      <c r="AG1609" s="1226">
        <f>SUM(Y1609:AA1609)</f>
        <v>3686.589146247818</v>
      </c>
      <c r="AH1609" s="1226">
        <f>SUM(AB1609:AD1609)</f>
        <v>3481.0821951891812</v>
      </c>
      <c r="AI1609" s="1226">
        <f>AE1609+AF1609</f>
        <v>6290.8534865225893</v>
      </c>
      <c r="AJ1609" s="1226">
        <f>AH1609+AG1609</f>
        <v>7167.6713414369988</v>
      </c>
      <c r="AK1609" s="1226">
        <f>AI1609+AJ1609</f>
        <v>13458.524827959587</v>
      </c>
    </row>
    <row r="1610" spans="1:37" ht="14.5">
      <c r="A1610" s="1693">
        <f t="shared" si="2197"/>
        <v>1593</v>
      </c>
      <c r="B1610" s="616">
        <v>1</v>
      </c>
      <c r="C1610" s="1693">
        <f t="shared" si="2167"/>
        <v>1610</v>
      </c>
      <c r="D1610" s="616">
        <v>1</v>
      </c>
      <c r="F1610" s="69"/>
      <c r="G1610"/>
      <c r="H1610" s="1050"/>
      <c r="I1610" s="1051"/>
      <c r="J1610" s="750"/>
      <c r="K1610" s="749" t="s">
        <v>805</v>
      </c>
      <c r="L1610" s="749"/>
      <c r="R1610" s="1777" t="str">
        <f>CHOOSE(2, "6722000004511", "RF (3) PP Fixed Cost SG&amp;A")</f>
        <v>RF (3) PP Fixed Cost SG&amp;A</v>
      </c>
      <c r="S1610" s="1226">
        <f t="shared" ref="S1610:AD1610" si="2209">S270+S271</f>
        <v>1964.9794255707352</v>
      </c>
      <c r="T1610" s="1226">
        <f t="shared" si="2209"/>
        <v>2189.9519608679057</v>
      </c>
      <c r="U1610" s="1226">
        <f t="shared" si="2209"/>
        <v>1915.8909098654497</v>
      </c>
      <c r="V1610" s="1226">
        <f t="shared" si="2209"/>
        <v>2072.7046559028263</v>
      </c>
      <c r="W1610" s="1226">
        <f t="shared" si="2209"/>
        <v>2345.7768709738016</v>
      </c>
      <c r="X1610" s="1226">
        <f t="shared" si="2209"/>
        <v>1752.0937584965818</v>
      </c>
      <c r="Y1610" s="1226">
        <f t="shared" si="2209"/>
        <v>1985.6993566812032</v>
      </c>
      <c r="Z1610" s="1226">
        <f t="shared" si="2209"/>
        <v>1930.2202258161556</v>
      </c>
      <c r="AA1610" s="1226">
        <f t="shared" si="2209"/>
        <v>2643.6653051853427</v>
      </c>
      <c r="AB1610" s="1226">
        <f t="shared" si="2209"/>
        <v>2441.934249716935</v>
      </c>
      <c r="AC1610" s="1226">
        <f t="shared" si="2209"/>
        <v>2453.977283840185</v>
      </c>
      <c r="AD1610" s="1226">
        <f t="shared" si="2209"/>
        <v>1764.769842274575</v>
      </c>
      <c r="AE1610" s="1226">
        <f>SUM(S1610:U1610)</f>
        <v>6070.8222963040898</v>
      </c>
      <c r="AF1610" s="1226">
        <f>SUM(V1610:X1610)</f>
        <v>6170.5752853732101</v>
      </c>
      <c r="AG1610" s="1226">
        <f>SUM(Y1610:AA1610)</f>
        <v>6559.5848876827013</v>
      </c>
      <c r="AH1610" s="1226">
        <f>SUM(AB1610:AD1610)</f>
        <v>6660.6813758316957</v>
      </c>
      <c r="AI1610" s="1226">
        <f>AE1610+AF1610</f>
        <v>12241.3975816773</v>
      </c>
      <c r="AJ1610" s="1226">
        <f>AH1610+AG1610</f>
        <v>13220.266263514397</v>
      </c>
      <c r="AK1610" s="1226">
        <f>AI1610+AJ1610</f>
        <v>25461.663845191695</v>
      </c>
    </row>
    <row r="1611" spans="1:37" ht="14.5">
      <c r="A1611" s="1693">
        <f t="shared" si="2197"/>
        <v>1594</v>
      </c>
      <c r="B1611" s="616">
        <v>1</v>
      </c>
      <c r="C1611" s="1693">
        <f t="shared" si="2167"/>
        <v>1611</v>
      </c>
      <c r="D1611" s="616">
        <v>1</v>
      </c>
      <c r="F1611" s="69"/>
      <c r="G1611"/>
      <c r="H1611" s="1050"/>
      <c r="I1611" s="1051"/>
      <c r="J1611" s="1064" t="s">
        <v>493</v>
      </c>
      <c r="K1611" s="1065"/>
      <c r="L1611" s="1065"/>
      <c r="M1611" s="1066"/>
      <c r="N1611" s="1067"/>
      <c r="O1611" s="1067"/>
      <c r="P1611" s="1067"/>
      <c r="Q1611" s="1067"/>
      <c r="R1611" s="1817" t="str">
        <f>CHOOSE(2, "6722000004512", "RF (3) PP BCP")</f>
        <v>RF (3) PP BCP</v>
      </c>
      <c r="S1611" s="1377">
        <f>S1594-S1608</f>
        <v>-1114.2347537777937</v>
      </c>
      <c r="T1611" s="1377">
        <f t="shared" ref="T1611:AD1611" si="2210">T1594-T1608</f>
        <v>-2660.0308386500446</v>
      </c>
      <c r="U1611" s="1377">
        <f t="shared" si="2210"/>
        <v>2177.2521721789021</v>
      </c>
      <c r="V1611" s="1377">
        <f t="shared" si="2210"/>
        <v>-1188.659742444388</v>
      </c>
      <c r="W1611" s="1377">
        <f t="shared" si="2210"/>
        <v>10263.625520741707</v>
      </c>
      <c r="X1611" s="1377">
        <f t="shared" si="2210"/>
        <v>18378.905268298968</v>
      </c>
      <c r="Y1611" s="1377">
        <f t="shared" si="2210"/>
        <v>-3042.7229042980357</v>
      </c>
      <c r="Z1611" s="1377">
        <f t="shared" si="2210"/>
        <v>10731.026049648795</v>
      </c>
      <c r="AA1611" s="1377">
        <f t="shared" si="2210"/>
        <v>-734.77471601649086</v>
      </c>
      <c r="AB1611" s="1377">
        <f t="shared" si="2210"/>
        <v>-1587.9586279720088</v>
      </c>
      <c r="AC1611" s="1377">
        <f t="shared" si="2210"/>
        <v>5542.9050545351165</v>
      </c>
      <c r="AD1611" s="1377">
        <f t="shared" si="2210"/>
        <v>18354.680187598842</v>
      </c>
      <c r="AE1611" s="776">
        <f>SUM(S1611:U1611)</f>
        <v>-1597.0134202489362</v>
      </c>
      <c r="AF1611" s="776">
        <f>SUM(V1611:X1611)</f>
        <v>27453.871046596287</v>
      </c>
      <c r="AG1611" s="776">
        <f>SUM(Y1611:AA1611)</f>
        <v>6953.5284293342684</v>
      </c>
      <c r="AH1611" s="776">
        <f>SUM(AB1611:AD1611)</f>
        <v>22309.626614161949</v>
      </c>
      <c r="AI1611" s="776">
        <f>AE1611+AF1611</f>
        <v>25856.857626347351</v>
      </c>
      <c r="AJ1611" s="776">
        <f>AH1611+AG1611</f>
        <v>29263.155043496219</v>
      </c>
      <c r="AK1611" s="776">
        <f>AI1611+AJ1611</f>
        <v>55120.012669843571</v>
      </c>
    </row>
    <row r="1612" spans="1:37" ht="14.5">
      <c r="A1612" s="1693">
        <f t="shared" si="2197"/>
        <v>1595</v>
      </c>
      <c r="B1612" s="616">
        <v>1</v>
      </c>
      <c r="C1612" s="1693">
        <f t="shared" si="2167"/>
        <v>1612</v>
      </c>
      <c r="D1612" s="616">
        <v>1</v>
      </c>
      <c r="F1612" s="69"/>
      <c r="G1612"/>
      <c r="H1612" s="1050"/>
      <c r="I1612" s="1051"/>
      <c r="J1612" s="1064" t="s">
        <v>506</v>
      </c>
      <c r="K1612" s="1065"/>
      <c r="L1612" s="1065"/>
      <c r="M1612" s="1066"/>
      <c r="N1612" s="1067"/>
      <c r="O1612" s="1067"/>
      <c r="P1612" s="1067"/>
      <c r="Q1612" s="1067"/>
      <c r="R1612" s="1817" t="str">
        <f>CHOOSE(2, "6722000004513", "RF (3) PP Break-even Point Net Sales")</f>
        <v>RF (3) PP Break-even Point Net Sales</v>
      </c>
      <c r="S1612" s="1377">
        <f>IFERROR(S1608/S1601,0)</f>
        <v>138015.25593670021</v>
      </c>
      <c r="T1612" s="1377">
        <f t="shared" ref="T1612:AD1612" si="2211">IFERROR(T1608/T1601,0)</f>
        <v>91565.575532623174</v>
      </c>
      <c r="U1612" s="1377">
        <f t="shared" si="2211"/>
        <v>22195.54407204211</v>
      </c>
      <c r="V1612" s="1377">
        <f t="shared" si="2211"/>
        <v>12958.17962223131</v>
      </c>
      <c r="W1612" s="1377">
        <f t="shared" si="2211"/>
        <v>8787.0286232446888</v>
      </c>
      <c r="X1612" s="1377">
        <f t="shared" si="2211"/>
        <v>8844.4509753461116</v>
      </c>
      <c r="Y1612" s="1377">
        <f t="shared" si="2211"/>
        <v>-246798.87850753998</v>
      </c>
      <c r="Z1612" s="1377">
        <f t="shared" si="2211"/>
        <v>10867.075452711004</v>
      </c>
      <c r="AA1612" s="1377">
        <f t="shared" si="2211"/>
        <v>37083.166473246463</v>
      </c>
      <c r="AB1612" s="1377">
        <f t="shared" si="2211"/>
        <v>33164.812595215677</v>
      </c>
      <c r="AC1612" s="1377">
        <f t="shared" si="2211"/>
        <v>7614.3578175950952</v>
      </c>
      <c r="AD1612" s="1377">
        <f t="shared" si="2211"/>
        <v>9552.197077332532</v>
      </c>
      <c r="AE1612" s="776">
        <f t="shared" ref="AE1612:AK1612" si="2212">IFERROR(AE1608/AE1601,0)</f>
        <v>170998.87382368353</v>
      </c>
      <c r="AF1612" s="776">
        <f t="shared" si="2212"/>
        <v>28058.416373276137</v>
      </c>
      <c r="AG1612" s="776">
        <f t="shared" si="2212"/>
        <v>54862.013053058341</v>
      </c>
      <c r="AH1612" s="776">
        <f t="shared" si="2212"/>
        <v>33450.888761635688</v>
      </c>
      <c r="AI1612" s="776">
        <f t="shared" si="2212"/>
        <v>106504.22287203262</v>
      </c>
      <c r="AJ1612" s="776">
        <f t="shared" si="2212"/>
        <v>81767.311059036001</v>
      </c>
      <c r="AK1612" s="776">
        <f t="shared" si="2212"/>
        <v>187991.90694459001</v>
      </c>
    </row>
    <row r="1613" spans="1:37" ht="14.5">
      <c r="A1613" s="1693">
        <f t="shared" si="2197"/>
        <v>1596</v>
      </c>
      <c r="B1613" s="616">
        <v>1</v>
      </c>
      <c r="C1613" s="1693">
        <f t="shared" si="2167"/>
        <v>1613</v>
      </c>
      <c r="D1613" s="616">
        <v>1</v>
      </c>
      <c r="F1613" s="69"/>
      <c r="G1613"/>
      <c r="H1613" s="1050"/>
      <c r="I1613" s="1051"/>
      <c r="J1613" s="751"/>
      <c r="K1613" s="752" t="s">
        <v>55</v>
      </c>
      <c r="L1613" s="753"/>
      <c r="M1613" s="16"/>
      <c r="N1613" s="11"/>
      <c r="O1613" s="11"/>
      <c r="P1613" s="11"/>
      <c r="Q1613" s="11"/>
      <c r="R1613" s="1772" t="str">
        <f>CHOOSE(2, "6722000004514", "RF (3) PP Break-even Point Net Sales (%)")</f>
        <v>RF (3) PP Break-even Point Net Sales (%)</v>
      </c>
      <c r="S1613" s="1689">
        <f>IFERROR(S1579/S1612,0)</f>
        <v>0.62808998477500166</v>
      </c>
      <c r="T1613" s="1689">
        <f t="shared" ref="T1613:AD1613" si="2213">IFERROR(T1579/T1612,0)</f>
        <v>0.19592098772544092</v>
      </c>
      <c r="U1613" s="1689">
        <f t="shared" si="2213"/>
        <v>1.6898321067625526</v>
      </c>
      <c r="V1613" s="1689">
        <f t="shared" si="2213"/>
        <v>0.6116517312664953</v>
      </c>
      <c r="W1613" s="1689">
        <f t="shared" si="2213"/>
        <v>4.1017121424479006</v>
      </c>
      <c r="X1613" s="1689">
        <f t="shared" si="2213"/>
        <v>7.8017954073514115</v>
      </c>
      <c r="Y1613" s="1689">
        <f t="shared" si="2213"/>
        <v>-4.8596355350267878E-2</v>
      </c>
      <c r="Z1613" s="1689">
        <f t="shared" si="2213"/>
        <v>4.5398471018890794</v>
      </c>
      <c r="AA1613" s="1689">
        <f t="shared" si="2213"/>
        <v>0.82963600269129378</v>
      </c>
      <c r="AB1613" s="1689">
        <f t="shared" si="2213"/>
        <v>0.56139473264160389</v>
      </c>
      <c r="AC1613" s="1689">
        <f t="shared" si="2213"/>
        <v>2.5520940131150209</v>
      </c>
      <c r="AD1613" s="1689">
        <f t="shared" si="2213"/>
        <v>7.221825873306206</v>
      </c>
      <c r="AE1613" s="1689">
        <f t="shared" ref="AE1613:AK1613" si="2214">IFERROR(AE1579/AE1612,0)</f>
        <v>0.83118887172644362</v>
      </c>
      <c r="AF1613" s="1689">
        <f t="shared" si="2214"/>
        <v>4.0262554556570453</v>
      </c>
      <c r="AG1613" s="1689">
        <f t="shared" si="2214"/>
        <v>1.67864633240734</v>
      </c>
      <c r="AH1613" s="1689">
        <f t="shared" si="2214"/>
        <v>3.1997778254178191</v>
      </c>
      <c r="AI1613" s="1689">
        <f t="shared" si="2214"/>
        <v>2.3952356640967376</v>
      </c>
      <c r="AJ1613" s="1689">
        <f t="shared" si="2214"/>
        <v>2.4353170786823188</v>
      </c>
      <c r="AK1613" s="1689">
        <f t="shared" si="2214"/>
        <v>2.4162318978650683</v>
      </c>
    </row>
    <row r="1614" spans="1:37">
      <c r="S1614" s="1366"/>
      <c r="T1614" s="1366"/>
      <c r="U1614" s="1366"/>
      <c r="V1614" s="1366"/>
      <c r="W1614" s="1366"/>
      <c r="X1614" s="1366"/>
      <c r="Y1614" s="1366"/>
      <c r="Z1614" s="1366"/>
      <c r="AA1614" s="1366"/>
      <c r="AB1614" s="1366"/>
      <c r="AC1614" s="69"/>
      <c r="AD1614" s="69"/>
      <c r="AE1614" s="69"/>
      <c r="AF1614" s="69"/>
      <c r="AG1614" s="69"/>
      <c r="AH1614" s="69"/>
      <c r="AI1614" s="69"/>
      <c r="AJ1614" s="69"/>
      <c r="AK1614" s="69"/>
    </row>
  </sheetData>
  <phoneticPr fontId="7"/>
  <conditionalFormatting sqref="F1292:F1307">
    <cfRule type="cellIs" dxfId="2" priority="1" operator="equal">
      <formula>"Changed"</formula>
    </cfRule>
    <cfRule type="cellIs" dxfId="1" priority="2" operator="equal">
      <formula>"Hide"</formula>
    </cfRule>
    <cfRule type="cellIs" dxfId="0" priority="3" operator="equal">
      <formula>"New"</formula>
    </cfRule>
  </conditionalFormatting>
  <pageMargins left="0.35433070866141736" right="0.35433070866141736" top="0.74803149606299213" bottom="0.74803149606299213" header="0.31496062992125984" footer="0.31496062992125984"/>
  <pageSetup paperSize="8" scale="53" fitToHeight="0" orientation="portrait" r:id="rId1"/>
  <rowBreaks count="6" manualBreakCount="6">
    <brk id="456" min="5" max="26" man="1"/>
    <brk id="839" min="5" max="26" man="1"/>
    <brk id="637" max="16383" man="1"/>
    <brk id="759" min="5" max="26" man="1"/>
    <brk id="915" min="5" max="26" man="1"/>
    <brk id="1006" min="5" max="26" man="1"/>
  </rowBreaks>
  <customProperties>
    <customPr name="Anaplan" r:id="rId2"/>
    <customPr name="LastRetrievedData" r:id="rId3"/>
    <customPr name="SheetMetaData" r:id="rId4"/>
  </customPropertie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7E70476-0312-4D57-B0EE-7C4BBBAADCC2}">
          <x14:formula1>
            <xm:f>Work1!$C$6:$C$32</xm:f>
          </x14:formula1>
          <xm:sqref>Q4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46EE6-6F69-41BA-95FB-FF172F1920DB}">
  <sheetPr>
    <pageSetUpPr fitToPage="1"/>
  </sheetPr>
  <dimension ref="A1:I256"/>
  <sheetViews>
    <sheetView showGridLines="0" topLeftCell="A53" zoomScale="80" zoomScaleNormal="80" zoomScaleSheetLayoutView="70" workbookViewId="0">
      <selection activeCell="A78" sqref="A78"/>
    </sheetView>
  </sheetViews>
  <sheetFormatPr defaultColWidth="8.90625" defaultRowHeight="14"/>
  <cols>
    <col min="1" max="1" width="4.90625" style="23" customWidth="1"/>
    <col min="2" max="2" width="1.90625" style="23" customWidth="1"/>
    <col min="3" max="3" width="3.08984375" style="23" customWidth="1"/>
    <col min="4" max="4" width="11.1796875" style="23" customWidth="1"/>
    <col min="5" max="5" width="9.36328125" style="23" customWidth="1"/>
    <col min="6" max="6" width="35.81640625" style="23" customWidth="1"/>
    <col min="7" max="7" width="119.453125" style="23" customWidth="1"/>
    <col min="8" max="8" width="12.1796875" style="500" customWidth="1"/>
    <col min="9" max="16384" width="8.90625" style="23"/>
  </cols>
  <sheetData>
    <row r="1" spans="1:9" s="434" customFormat="1" ht="18">
      <c r="A1" s="433" t="s">
        <v>868</v>
      </c>
      <c r="B1" s="433"/>
      <c r="D1" s="435"/>
      <c r="E1" s="435"/>
      <c r="F1" s="435"/>
      <c r="G1" s="435"/>
      <c r="H1" s="533"/>
      <c r="I1" s="435"/>
    </row>
    <row r="3" spans="1:9" ht="15.5">
      <c r="A3" s="576" t="s">
        <v>401</v>
      </c>
      <c r="B3" s="568" t="s">
        <v>855</v>
      </c>
      <c r="F3" s="567"/>
    </row>
    <row r="4" spans="1:9" ht="15.5">
      <c r="A4" s="576"/>
      <c r="B4" s="568"/>
      <c r="C4" s="469"/>
      <c r="F4" s="567"/>
    </row>
    <row r="5" spans="1:9" ht="15.5">
      <c r="A5" s="576"/>
      <c r="B5" s="568"/>
      <c r="C5" s="469"/>
      <c r="F5" s="567"/>
    </row>
    <row r="6" spans="1:9" ht="15.5">
      <c r="A6" s="576"/>
      <c r="B6" s="568"/>
      <c r="C6" s="469"/>
      <c r="F6" s="567"/>
    </row>
    <row r="7" spans="1:9" ht="15.5">
      <c r="A7" s="576"/>
      <c r="B7" s="568"/>
      <c r="C7" s="469"/>
      <c r="F7" s="567"/>
    </row>
    <row r="8" spans="1:9" ht="15.5">
      <c r="A8" s="576"/>
      <c r="B8" s="568"/>
      <c r="C8" s="469"/>
      <c r="F8" s="567"/>
    </row>
    <row r="9" spans="1:9" ht="15.5">
      <c r="A9" s="576"/>
      <c r="B9" s="568"/>
      <c r="C9" s="469"/>
      <c r="F9" s="567"/>
    </row>
    <row r="10" spans="1:9" ht="15.5">
      <c r="A10" s="576"/>
      <c r="B10" s="568"/>
      <c r="C10" s="469"/>
      <c r="F10" s="567"/>
    </row>
    <row r="11" spans="1:9" ht="15.5">
      <c r="A11" s="576"/>
      <c r="B11" s="568"/>
      <c r="C11" s="469"/>
      <c r="F11" s="567"/>
    </row>
    <row r="13" spans="1:9" s="469" customFormat="1" ht="15.5">
      <c r="A13" s="576" t="s">
        <v>401</v>
      </c>
      <c r="B13" s="568" t="s">
        <v>854</v>
      </c>
    </row>
    <row r="28" spans="1:2" s="469" customFormat="1" ht="15.5">
      <c r="A28" s="576" t="s">
        <v>401</v>
      </c>
      <c r="B28" s="568" t="s">
        <v>856</v>
      </c>
    </row>
    <row r="29" spans="1:2" s="469" customFormat="1"/>
    <row r="30" spans="1:2" s="469" customFormat="1"/>
    <row r="31" spans="1:2" s="469" customFormat="1"/>
    <row r="32" spans="1:2" s="469" customFormat="1"/>
    <row r="33" spans="1:3" s="469" customFormat="1"/>
    <row r="34" spans="1:3" s="469" customFormat="1"/>
    <row r="35" spans="1:3" s="469" customFormat="1"/>
    <row r="36" spans="1:3" s="469" customFormat="1"/>
    <row r="37" spans="1:3" s="469" customFormat="1"/>
    <row r="38" spans="1:3" s="469" customFormat="1"/>
    <row r="39" spans="1:3" s="469" customFormat="1"/>
    <row r="40" spans="1:3" s="469" customFormat="1"/>
    <row r="41" spans="1:3" s="469" customFormat="1"/>
    <row r="42" spans="1:3" s="469" customFormat="1" ht="15.5">
      <c r="A42" s="576" t="s">
        <v>401</v>
      </c>
      <c r="B42" s="568" t="s">
        <v>866</v>
      </c>
    </row>
    <row r="43" spans="1:3" s="469" customFormat="1">
      <c r="C43" s="469" t="s">
        <v>867</v>
      </c>
    </row>
    <row r="44" spans="1:3" s="469" customFormat="1"/>
    <row r="45" spans="1:3" s="469" customFormat="1" ht="15.5">
      <c r="A45" s="576" t="s">
        <v>401</v>
      </c>
      <c r="B45" s="568" t="s">
        <v>875</v>
      </c>
    </row>
    <row r="46" spans="1:3" s="469" customFormat="1"/>
    <row r="47" spans="1:3" s="469" customFormat="1"/>
    <row r="48" spans="1:3" s="469" customFormat="1"/>
    <row r="49" spans="1:2" s="469" customFormat="1"/>
    <row r="50" spans="1:2" s="469" customFormat="1"/>
    <row r="51" spans="1:2" s="469" customFormat="1"/>
    <row r="52" spans="1:2" s="469" customFormat="1"/>
    <row r="53" spans="1:2" s="469" customFormat="1"/>
    <row r="54" spans="1:2" s="469" customFormat="1"/>
    <row r="55" spans="1:2" s="469" customFormat="1"/>
    <row r="56" spans="1:2" s="469" customFormat="1"/>
    <row r="57" spans="1:2" s="469" customFormat="1" ht="15.5">
      <c r="A57" s="576" t="s">
        <v>401</v>
      </c>
      <c r="B57" s="568" t="s">
        <v>876</v>
      </c>
    </row>
    <row r="58" spans="1:2" s="469" customFormat="1"/>
    <row r="59" spans="1:2" s="469" customFormat="1"/>
    <row r="60" spans="1:2" s="469" customFormat="1"/>
    <row r="61" spans="1:2" s="469" customFormat="1"/>
    <row r="62" spans="1:2" s="469" customFormat="1"/>
    <row r="63" spans="1:2" s="469" customFormat="1"/>
    <row r="64" spans="1:2" s="469" customFormat="1"/>
    <row r="65" spans="1:2" s="469" customFormat="1"/>
    <row r="66" spans="1:2" s="469" customFormat="1" ht="15.5">
      <c r="A66" s="576" t="s">
        <v>401</v>
      </c>
      <c r="B66" s="568" t="s">
        <v>880</v>
      </c>
    </row>
    <row r="67" spans="1:2" s="469" customFormat="1"/>
    <row r="68" spans="1:2" s="469" customFormat="1"/>
    <row r="69" spans="1:2" s="469" customFormat="1"/>
    <row r="70" spans="1:2" s="469" customFormat="1"/>
    <row r="71" spans="1:2" s="469" customFormat="1"/>
    <row r="72" spans="1:2" s="469" customFormat="1"/>
    <row r="73" spans="1:2" s="469" customFormat="1"/>
    <row r="74" spans="1:2" s="469" customFormat="1"/>
    <row r="75" spans="1:2" s="469" customFormat="1"/>
    <row r="76" spans="1:2" s="469" customFormat="1"/>
    <row r="77" spans="1:2" s="469" customFormat="1"/>
    <row r="78" spans="1:2" s="469" customFormat="1"/>
    <row r="79" spans="1:2" s="469" customFormat="1"/>
    <row r="80" spans="1:2" s="469" customFormat="1"/>
    <row r="81" spans="1:9" s="469" customFormat="1"/>
    <row r="82" spans="1:9" s="469" customFormat="1"/>
    <row r="83" spans="1:9" s="469" customFormat="1"/>
    <row r="84" spans="1:9" s="469" customFormat="1"/>
    <row r="85" spans="1:9" s="469" customFormat="1"/>
    <row r="86" spans="1:9" s="434" customFormat="1" ht="25.25" customHeight="1">
      <c r="A86" s="433" t="s">
        <v>346</v>
      </c>
      <c r="B86" s="433"/>
      <c r="D86" s="435"/>
      <c r="E86" s="435"/>
      <c r="F86" s="435"/>
      <c r="G86" s="435"/>
      <c r="H86" s="533"/>
      <c r="I86" s="435"/>
    </row>
    <row r="87" spans="1:9" ht="20.149999999999999" customHeight="1">
      <c r="C87" s="121" t="s">
        <v>808</v>
      </c>
      <c r="D87" s="1469"/>
      <c r="E87" s="1469"/>
      <c r="F87" s="1469"/>
      <c r="G87" s="1470"/>
      <c r="H87" s="534"/>
      <c r="I87" s="431"/>
    </row>
    <row r="88" spans="1:9" ht="20.149999999999999" customHeight="1">
      <c r="C88" s="1471"/>
      <c r="D88" s="486" t="s">
        <v>121</v>
      </c>
      <c r="E88" s="487"/>
      <c r="F88" s="487" t="s">
        <v>123</v>
      </c>
      <c r="G88" s="3462" t="s">
        <v>347</v>
      </c>
      <c r="H88" s="534"/>
      <c r="I88" s="431"/>
    </row>
    <row r="89" spans="1:9" ht="20.149999999999999" customHeight="1">
      <c r="C89" s="1471"/>
      <c r="D89" s="189"/>
      <c r="E89" s="11"/>
      <c r="F89" s="11" t="s">
        <v>124</v>
      </c>
      <c r="G89" s="3463"/>
      <c r="H89" s="534"/>
      <c r="I89" s="431"/>
    </row>
    <row r="90" spans="1:9" ht="38.25" customHeight="1">
      <c r="C90" s="1471"/>
      <c r="D90" s="1235" t="s">
        <v>126</v>
      </c>
      <c r="E90" s="8"/>
      <c r="F90" s="1219" t="s">
        <v>127</v>
      </c>
      <c r="G90" s="1472" t="s">
        <v>83</v>
      </c>
      <c r="H90" s="534"/>
      <c r="I90" s="431"/>
    </row>
    <row r="91" spans="1:9" ht="35.4" customHeight="1">
      <c r="C91" s="1471"/>
      <c r="D91" s="1235"/>
      <c r="E91" s="8"/>
      <c r="F91" s="1219" t="s">
        <v>128</v>
      </c>
      <c r="G91" s="370" t="s">
        <v>82</v>
      </c>
      <c r="H91" s="534"/>
      <c r="I91" s="431"/>
    </row>
    <row r="92" spans="1:9" ht="20.149999999999999" customHeight="1">
      <c r="C92" s="1471"/>
      <c r="D92" s="487" t="s">
        <v>122</v>
      </c>
      <c r="E92" s="487"/>
      <c r="F92" s="1473"/>
      <c r="G92" s="1474" t="s">
        <v>348</v>
      </c>
      <c r="H92" s="534"/>
      <c r="I92" s="431"/>
    </row>
    <row r="93" spans="1:9" ht="20.149999999999999" customHeight="1">
      <c r="C93" s="1471"/>
      <c r="D93" s="1475" t="s">
        <v>125</v>
      </c>
      <c r="E93" s="1475"/>
      <c r="F93" s="1476"/>
      <c r="G93" s="370" t="s">
        <v>349</v>
      </c>
      <c r="H93" s="534"/>
      <c r="I93" s="431"/>
    </row>
    <row r="94" spans="1:9" ht="20.149999999999999" customHeight="1">
      <c r="C94" s="1471"/>
      <c r="D94" s="1477" t="s">
        <v>51</v>
      </c>
      <c r="E94" s="1475"/>
      <c r="F94" s="1476"/>
      <c r="G94" s="1474" t="s">
        <v>181</v>
      </c>
      <c r="H94" s="534"/>
      <c r="I94" s="431"/>
    </row>
    <row r="95" spans="1:9" ht="20.149999999999999" customHeight="1">
      <c r="C95" s="121" t="s">
        <v>807</v>
      </c>
      <c r="D95" s="1469"/>
      <c r="E95" s="1469"/>
      <c r="F95" s="1469"/>
      <c r="G95" s="1470"/>
      <c r="H95" s="534"/>
      <c r="I95" s="431"/>
    </row>
    <row r="96" spans="1:9" ht="174" customHeight="1">
      <c r="C96" s="1070"/>
      <c r="D96" s="3464" t="s">
        <v>175</v>
      </c>
      <c r="E96" s="3465"/>
      <c r="F96" s="3466"/>
      <c r="G96" s="1752" t="s">
        <v>870</v>
      </c>
      <c r="H96" s="534"/>
      <c r="I96" s="431"/>
    </row>
    <row r="97" spans="1:9" ht="20.149999999999999" customHeight="1">
      <c r="C97" s="77" t="s">
        <v>350</v>
      </c>
      <c r="D97" s="497"/>
      <c r="E97" s="497"/>
      <c r="F97" s="497"/>
      <c r="G97" s="1478"/>
      <c r="H97" s="534"/>
      <c r="I97" s="431"/>
    </row>
    <row r="98" spans="1:9" ht="20.149999999999999" customHeight="1">
      <c r="C98" s="187"/>
      <c r="D98" s="486" t="s">
        <v>121</v>
      </c>
      <c r="E98" s="487"/>
      <c r="F98" s="487" t="s">
        <v>123</v>
      </c>
      <c r="G98" s="3467" t="s">
        <v>351</v>
      </c>
      <c r="H98" s="534"/>
      <c r="I98" s="431"/>
    </row>
    <row r="99" spans="1:9" ht="20.149999999999999" customHeight="1">
      <c r="C99" s="187"/>
      <c r="D99" s="1235"/>
      <c r="E99" s="8"/>
      <c r="F99" s="11" t="s">
        <v>124</v>
      </c>
      <c r="G99" s="3468"/>
      <c r="H99" s="534"/>
      <c r="I99" s="431"/>
    </row>
    <row r="100" spans="1:9" ht="20.149999999999999" customHeight="1">
      <c r="C100" s="187"/>
      <c r="D100" s="189" t="s">
        <v>57</v>
      </c>
      <c r="E100" s="11"/>
      <c r="F100" s="1475" t="s">
        <v>352</v>
      </c>
      <c r="G100" s="1479" t="s">
        <v>353</v>
      </c>
      <c r="H100" s="534"/>
      <c r="I100" s="431"/>
    </row>
    <row r="101" spans="1:9" ht="38.25" customHeight="1">
      <c r="C101" s="187"/>
      <c r="D101" s="1235" t="s">
        <v>126</v>
      </c>
      <c r="E101" s="8"/>
      <c r="F101" s="1219" t="s">
        <v>127</v>
      </c>
      <c r="G101" s="1472" t="s">
        <v>83</v>
      </c>
      <c r="H101" s="534"/>
      <c r="I101" s="431"/>
    </row>
    <row r="102" spans="1:9" ht="38.25" customHeight="1">
      <c r="C102" s="188"/>
      <c r="D102" s="8"/>
      <c r="E102" s="8"/>
      <c r="F102" s="1219" t="s">
        <v>128</v>
      </c>
      <c r="G102" s="370" t="s">
        <v>82</v>
      </c>
      <c r="H102" s="534"/>
      <c r="I102" s="431"/>
    </row>
    <row r="103" spans="1:9" ht="20.149999999999999" customHeight="1">
      <c r="C103" s="188"/>
      <c r="D103" s="487" t="s">
        <v>122</v>
      </c>
      <c r="E103" s="487"/>
      <c r="F103" s="1473"/>
      <c r="G103" s="1472" t="s">
        <v>348</v>
      </c>
      <c r="H103" s="534"/>
      <c r="I103" s="431"/>
    </row>
    <row r="104" spans="1:9" ht="20.149999999999999" customHeight="1">
      <c r="C104" s="188"/>
      <c r="D104" s="1475" t="s">
        <v>125</v>
      </c>
      <c r="E104" s="1475"/>
      <c r="F104" s="1476"/>
      <c r="G104" s="1474" t="s">
        <v>349</v>
      </c>
      <c r="H104" s="534"/>
      <c r="I104" s="431"/>
    </row>
    <row r="105" spans="1:9" ht="20.149999999999999" customHeight="1">
      <c r="C105" s="187"/>
      <c r="D105" s="1477" t="s">
        <v>51</v>
      </c>
      <c r="E105" s="1475"/>
      <c r="F105" s="1476"/>
      <c r="G105" s="1474" t="s">
        <v>354</v>
      </c>
      <c r="H105" s="534"/>
      <c r="I105" s="431"/>
    </row>
    <row r="106" spans="1:9" ht="20.149999999999999" customHeight="1">
      <c r="C106" s="187"/>
      <c r="D106" s="486" t="s">
        <v>116</v>
      </c>
      <c r="E106" s="8"/>
      <c r="F106" s="1219"/>
      <c r="G106" s="1480" t="s">
        <v>81</v>
      </c>
      <c r="H106" s="534"/>
      <c r="I106" s="431"/>
    </row>
    <row r="107" spans="1:9" ht="20.149999999999999" customHeight="1">
      <c r="C107" s="187"/>
      <c r="D107" s="1235"/>
      <c r="E107" s="8"/>
      <c r="F107" s="1219"/>
      <c r="G107" s="1480" t="s">
        <v>80</v>
      </c>
      <c r="H107" s="534"/>
      <c r="I107" s="431"/>
    </row>
    <row r="108" spans="1:9" ht="20.149999999999999" customHeight="1">
      <c r="C108" s="209"/>
      <c r="D108" s="189"/>
      <c r="E108" s="11"/>
      <c r="F108" s="78"/>
      <c r="G108" s="793" t="s">
        <v>79</v>
      </c>
      <c r="H108" s="534"/>
      <c r="I108" s="431"/>
    </row>
    <row r="109" spans="1:9" ht="20.149999999999999" customHeight="1">
      <c r="C109" s="352" t="s">
        <v>355</v>
      </c>
      <c r="D109" s="353"/>
      <c r="E109" s="353"/>
      <c r="F109" s="353"/>
      <c r="G109" s="1481"/>
      <c r="H109" s="534"/>
      <c r="I109" s="431"/>
    </row>
    <row r="110" spans="1:9" s="469" customFormat="1" ht="20.149999999999999" customHeight="1">
      <c r="B110" s="238"/>
      <c r="C110" s="1482"/>
      <c r="D110" s="486" t="s">
        <v>858</v>
      </c>
      <c r="E110" s="487"/>
      <c r="F110" s="487"/>
      <c r="G110" s="1519" t="s">
        <v>859</v>
      </c>
      <c r="H110" s="194"/>
      <c r="I110" s="194"/>
    </row>
    <row r="111" spans="1:9" s="469" customFormat="1" ht="20.149999999999999" customHeight="1">
      <c r="C111" s="1482"/>
      <c r="D111" s="486" t="s">
        <v>117</v>
      </c>
      <c r="E111" s="487"/>
      <c r="F111" s="487"/>
      <c r="G111" s="1524" t="s">
        <v>76</v>
      </c>
      <c r="H111" s="194"/>
      <c r="I111" s="194"/>
    </row>
    <row r="112" spans="1:9" s="469" customFormat="1" ht="20.149999999999999" customHeight="1">
      <c r="A112" s="781" t="s">
        <v>546</v>
      </c>
      <c r="C112" s="1482"/>
      <c r="D112" s="486" t="s">
        <v>52</v>
      </c>
      <c r="E112" s="487"/>
      <c r="F112" s="487"/>
      <c r="G112" s="1524" t="s">
        <v>877</v>
      </c>
      <c r="H112" s="194"/>
      <c r="I112" s="194"/>
    </row>
    <row r="113" spans="3:9" s="469" customFormat="1" ht="20.149999999999999" customHeight="1">
      <c r="C113" s="1482"/>
      <c r="D113" s="486" t="s">
        <v>118</v>
      </c>
      <c r="E113" s="487"/>
      <c r="F113" s="487"/>
      <c r="G113" s="1524" t="s">
        <v>75</v>
      </c>
      <c r="H113" s="194"/>
      <c r="I113" s="194"/>
    </row>
    <row r="114" spans="3:9" s="469" customFormat="1" ht="20.149999999999999" customHeight="1">
      <c r="C114" s="1482"/>
      <c r="D114" s="486" t="s">
        <v>216</v>
      </c>
      <c r="E114" s="487"/>
      <c r="F114" s="487"/>
      <c r="G114" s="1524" t="s">
        <v>356</v>
      </c>
      <c r="H114" s="194"/>
      <c r="I114" s="194"/>
    </row>
    <row r="115" spans="3:9" s="469" customFormat="1" ht="20.149999999999999" customHeight="1">
      <c r="C115" s="1483"/>
      <c r="D115" s="1477" t="s">
        <v>51</v>
      </c>
      <c r="E115" s="1475"/>
      <c r="F115" s="1475"/>
      <c r="G115" s="1524" t="s">
        <v>860</v>
      </c>
      <c r="H115" s="194"/>
      <c r="I115" s="194"/>
    </row>
    <row r="116" spans="3:9" ht="20.149999999999999" customHeight="1">
      <c r="C116" s="112" t="s">
        <v>357</v>
      </c>
      <c r="D116" s="1484"/>
      <c r="E116" s="1484"/>
      <c r="F116" s="1484"/>
      <c r="G116" s="1485"/>
      <c r="H116" s="534"/>
      <c r="I116" s="431"/>
    </row>
    <row r="117" spans="3:9" ht="20.149999999999999" customHeight="1">
      <c r="C117" s="5"/>
      <c r="D117" s="1486" t="s">
        <v>409</v>
      </c>
      <c r="E117" s="487" t="s">
        <v>11</v>
      </c>
      <c r="F117" s="487"/>
      <c r="G117" s="1472" t="s">
        <v>358</v>
      </c>
      <c r="H117" s="534"/>
      <c r="I117" s="431"/>
    </row>
    <row r="118" spans="3:9" ht="28">
      <c r="C118" s="5"/>
      <c r="D118" s="1126"/>
      <c r="E118" s="1475" t="s">
        <v>12</v>
      </c>
      <c r="F118" s="1475"/>
      <c r="G118" s="1474" t="s">
        <v>78</v>
      </c>
      <c r="H118" s="534"/>
      <c r="I118" s="431"/>
    </row>
    <row r="119" spans="3:9" ht="20.149999999999999" customHeight="1">
      <c r="C119" s="5"/>
      <c r="D119" s="1487"/>
      <c r="E119" s="1475" t="s">
        <v>24</v>
      </c>
      <c r="F119" s="1475"/>
      <c r="G119" s="1474" t="s">
        <v>77</v>
      </c>
      <c r="H119" s="534"/>
      <c r="I119" s="431"/>
    </row>
    <row r="120" spans="3:9" ht="28">
      <c r="C120" s="1488"/>
      <c r="D120" s="1126" t="s">
        <v>410</v>
      </c>
      <c r="E120" s="211" t="s">
        <v>13</v>
      </c>
      <c r="F120" s="211"/>
      <c r="G120" s="370" t="s">
        <v>411</v>
      </c>
      <c r="H120" s="534"/>
      <c r="I120" s="431"/>
    </row>
    <row r="121" spans="3:9" ht="28">
      <c r="C121" s="1488"/>
      <c r="D121" s="1126"/>
      <c r="E121" s="211" t="s">
        <v>374</v>
      </c>
      <c r="F121" s="211"/>
      <c r="G121" s="370" t="s">
        <v>412</v>
      </c>
      <c r="H121" s="534"/>
      <c r="I121" s="431"/>
    </row>
    <row r="122" spans="3:9" ht="28">
      <c r="C122" s="1488"/>
      <c r="D122" s="1126"/>
      <c r="E122" s="211" t="s">
        <v>375</v>
      </c>
      <c r="F122" s="211"/>
      <c r="G122" s="370" t="s">
        <v>416</v>
      </c>
      <c r="H122" s="534"/>
      <c r="I122" s="431"/>
    </row>
    <row r="123" spans="3:9" ht="28">
      <c r="C123" s="1489"/>
      <c r="D123" s="1487"/>
      <c r="E123" s="211" t="s">
        <v>376</v>
      </c>
      <c r="F123" s="211"/>
      <c r="G123" s="370" t="s">
        <v>413</v>
      </c>
      <c r="H123" s="534"/>
      <c r="I123" s="431"/>
    </row>
    <row r="124" spans="3:9">
      <c r="C124" s="14" t="s">
        <v>544</v>
      </c>
      <c r="D124" s="1490"/>
      <c r="E124" s="1490"/>
      <c r="F124" s="1490"/>
      <c r="G124" s="1491"/>
      <c r="H124" s="534"/>
      <c r="I124" s="431"/>
    </row>
    <row r="125" spans="3:9" ht="57" customHeight="1">
      <c r="C125" s="13"/>
      <c r="D125" s="3464" t="s">
        <v>368</v>
      </c>
      <c r="E125" s="3465"/>
      <c r="F125" s="3466"/>
      <c r="G125" s="1492" t="s">
        <v>874</v>
      </c>
      <c r="H125" s="534"/>
      <c r="I125" s="431"/>
    </row>
    <row r="126" spans="3:9" ht="64">
      <c r="C126" s="13"/>
      <c r="D126" s="3469" t="s">
        <v>4</v>
      </c>
      <c r="E126" s="3470"/>
      <c r="F126" s="3471"/>
      <c r="G126" s="1479" t="s">
        <v>861</v>
      </c>
      <c r="H126" s="534"/>
      <c r="I126" s="431"/>
    </row>
    <row r="127" spans="3:9" ht="32">
      <c r="C127" s="13"/>
      <c r="D127" s="3469" t="s">
        <v>616</v>
      </c>
      <c r="E127" s="3470"/>
      <c r="F127" s="3471"/>
      <c r="G127" s="1479" t="s">
        <v>652</v>
      </c>
      <c r="H127" s="534"/>
    </row>
    <row r="128" spans="3:9" ht="46">
      <c r="C128" s="13"/>
      <c r="D128" s="3472" t="s">
        <v>615</v>
      </c>
      <c r="E128" s="3473"/>
      <c r="F128" s="3474"/>
      <c r="G128" s="1493" t="s">
        <v>818</v>
      </c>
      <c r="H128" s="534"/>
      <c r="I128" s="431"/>
    </row>
    <row r="129" spans="1:9" ht="87" customHeight="1">
      <c r="C129" s="13"/>
      <c r="D129" s="3475" t="s">
        <v>617</v>
      </c>
      <c r="E129" s="3476"/>
      <c r="F129" s="3477"/>
      <c r="G129" s="1493" t="s">
        <v>819</v>
      </c>
      <c r="H129" s="534"/>
    </row>
    <row r="130" spans="1:9" ht="76.75" customHeight="1">
      <c r="C130" s="555"/>
      <c r="D130" s="3478" t="s">
        <v>618</v>
      </c>
      <c r="E130" s="3479"/>
      <c r="F130" s="3480"/>
      <c r="G130" s="1493" t="s">
        <v>820</v>
      </c>
      <c r="H130" s="534"/>
    </row>
    <row r="131" spans="1:9" s="488" customFormat="1" ht="12.65" customHeight="1">
      <c r="A131" s="23"/>
      <c r="C131" s="23"/>
      <c r="D131" s="537"/>
      <c r="E131" s="537"/>
      <c r="F131" s="537"/>
      <c r="G131" s="537"/>
      <c r="H131" s="534"/>
      <c r="I131" s="470"/>
    </row>
    <row r="132" spans="1:9" s="488" customFormat="1" ht="56">
      <c r="A132" s="23"/>
      <c r="C132" s="1494"/>
      <c r="D132" s="1495" t="s">
        <v>542</v>
      </c>
      <c r="E132" s="734"/>
      <c r="F132" s="1496" t="s">
        <v>523</v>
      </c>
      <c r="G132" s="1497" t="s">
        <v>857</v>
      </c>
      <c r="H132" s="534"/>
      <c r="I132" s="470"/>
    </row>
    <row r="133" spans="1:9" s="488" customFormat="1" ht="154">
      <c r="A133" s="23"/>
      <c r="C133" s="774"/>
      <c r="D133" s="778" t="s">
        <v>545</v>
      </c>
      <c r="E133" s="735"/>
      <c r="F133" s="735" t="s">
        <v>524</v>
      </c>
      <c r="G133" s="1497" t="s">
        <v>878</v>
      </c>
      <c r="H133" s="534"/>
      <c r="I133" s="470"/>
    </row>
    <row r="134" spans="1:9" s="488" customFormat="1" ht="28">
      <c r="A134" s="23"/>
      <c r="C134" s="774"/>
      <c r="D134" s="778"/>
      <c r="E134" s="735"/>
      <c r="F134" s="1496" t="s">
        <v>525</v>
      </c>
      <c r="G134" s="1497" t="s">
        <v>614</v>
      </c>
      <c r="H134" s="534"/>
      <c r="I134" s="470"/>
    </row>
    <row r="135" spans="1:9" ht="140">
      <c r="C135" s="775"/>
      <c r="D135" s="780"/>
      <c r="E135" s="736"/>
      <c r="F135" s="1496" t="s">
        <v>526</v>
      </c>
      <c r="G135" s="1497" t="s">
        <v>879</v>
      </c>
      <c r="H135" s="534"/>
      <c r="I135" s="431"/>
    </row>
    <row r="136" spans="1:9" ht="15" customHeight="1">
      <c r="G136" s="432"/>
      <c r="H136" s="534"/>
      <c r="I136" s="431"/>
    </row>
    <row r="137" spans="1:9" ht="15.5">
      <c r="C137" s="791" t="s">
        <v>642</v>
      </c>
    </row>
    <row r="138" spans="1:9" ht="14.4" customHeight="1">
      <c r="C138" s="1498"/>
      <c r="D138" s="1499" t="s">
        <v>622</v>
      </c>
      <c r="E138" s="1500"/>
      <c r="F138" s="1501" t="s">
        <v>623</v>
      </c>
      <c r="G138" s="1500"/>
    </row>
    <row r="139" spans="1:9" ht="14.4" customHeight="1">
      <c r="C139" s="789"/>
      <c r="D139" s="445" t="s">
        <v>624</v>
      </c>
      <c r="E139" s="1468"/>
      <c r="F139" s="1753" t="s">
        <v>862</v>
      </c>
      <c r="G139" s="1468"/>
    </row>
    <row r="140" spans="1:9" ht="14.4" customHeight="1">
      <c r="C140" s="789"/>
      <c r="D140" s="184" t="s">
        <v>823</v>
      </c>
      <c r="E140" s="185"/>
      <c r="F140" s="567" t="s">
        <v>863</v>
      </c>
      <c r="G140" s="185"/>
    </row>
    <row r="141" spans="1:9" ht="14.4" customHeight="1">
      <c r="C141" s="789"/>
      <c r="D141" s="1754" t="s">
        <v>823</v>
      </c>
      <c r="E141" s="185"/>
      <c r="F141" s="23" t="s">
        <v>621</v>
      </c>
      <c r="G141" s="185"/>
    </row>
    <row r="142" spans="1:9" ht="14.4" customHeight="1">
      <c r="C142" s="789"/>
      <c r="D142" s="184" t="s">
        <v>657</v>
      </c>
      <c r="E142" s="185"/>
      <c r="F142" s="23" t="s">
        <v>625</v>
      </c>
      <c r="G142" s="185"/>
    </row>
    <row r="143" spans="1:9" ht="14.4" customHeight="1">
      <c r="C143" s="789"/>
      <c r="D143" s="184" t="s">
        <v>657</v>
      </c>
      <c r="E143" s="185"/>
      <c r="F143" s="23" t="s">
        <v>626</v>
      </c>
      <c r="G143" s="185"/>
    </row>
    <row r="144" spans="1:9" ht="14.4" customHeight="1">
      <c r="C144" s="789"/>
      <c r="D144" s="184" t="s">
        <v>657</v>
      </c>
      <c r="E144" s="185"/>
      <c r="F144" s="23" t="s">
        <v>627</v>
      </c>
      <c r="G144" s="185"/>
    </row>
    <row r="145" spans="3:7" ht="14.4" customHeight="1">
      <c r="C145" s="789"/>
      <c r="D145" s="184" t="s">
        <v>657</v>
      </c>
      <c r="E145" s="185"/>
      <c r="F145" s="23" t="s">
        <v>871</v>
      </c>
      <c r="G145" s="185"/>
    </row>
    <row r="146" spans="3:7" ht="14.4" customHeight="1">
      <c r="C146" s="789"/>
      <c r="D146" s="184" t="s">
        <v>657</v>
      </c>
      <c r="E146" s="185"/>
      <c r="F146" s="23" t="s">
        <v>632</v>
      </c>
      <c r="G146" s="185"/>
    </row>
    <row r="147" spans="3:7" ht="14.4" customHeight="1">
      <c r="C147" s="789"/>
      <c r="D147" s="184" t="s">
        <v>657</v>
      </c>
      <c r="E147" s="185"/>
      <c r="F147" s="23" t="s">
        <v>635</v>
      </c>
      <c r="G147" s="185"/>
    </row>
    <row r="148" spans="3:7" ht="14.4" customHeight="1">
      <c r="C148" s="789"/>
      <c r="D148" s="184" t="s">
        <v>620</v>
      </c>
      <c r="E148" s="185"/>
      <c r="F148" s="23" t="s">
        <v>636</v>
      </c>
      <c r="G148" s="185"/>
    </row>
    <row r="149" spans="3:7" ht="14.4" customHeight="1">
      <c r="C149" s="789"/>
      <c r="D149" s="184" t="s">
        <v>620</v>
      </c>
      <c r="E149" s="185"/>
      <c r="F149" s="23" t="s">
        <v>637</v>
      </c>
      <c r="G149" s="185"/>
    </row>
    <row r="150" spans="3:7" ht="14.4" customHeight="1">
      <c r="C150" s="789"/>
      <c r="D150" s="184" t="s">
        <v>620</v>
      </c>
      <c r="E150" s="185"/>
      <c r="F150" s="23" t="s">
        <v>638</v>
      </c>
      <c r="G150" s="185"/>
    </row>
    <row r="151" spans="3:7" ht="14.4" customHeight="1">
      <c r="C151" s="789"/>
      <c r="D151" s="184" t="s">
        <v>620</v>
      </c>
      <c r="E151" s="185"/>
      <c r="F151" s="23" t="s">
        <v>641</v>
      </c>
      <c r="G151" s="185"/>
    </row>
    <row r="152" spans="3:7" ht="14.4" customHeight="1">
      <c r="C152" s="789"/>
      <c r="D152" s="184" t="s">
        <v>620</v>
      </c>
      <c r="E152" s="185"/>
      <c r="F152" s="567" t="s">
        <v>864</v>
      </c>
      <c r="G152" s="185"/>
    </row>
    <row r="153" spans="3:7" ht="14.4" customHeight="1">
      <c r="C153" s="789"/>
      <c r="D153" s="184" t="s">
        <v>619</v>
      </c>
      <c r="E153" s="185"/>
      <c r="F153" s="23" t="s">
        <v>628</v>
      </c>
      <c r="G153" s="185"/>
    </row>
    <row r="154" spans="3:7" ht="14.4" customHeight="1">
      <c r="C154" s="789"/>
      <c r="D154" s="184" t="s">
        <v>619</v>
      </c>
      <c r="E154" s="185"/>
      <c r="F154" s="23" t="s">
        <v>629</v>
      </c>
      <c r="G154" s="185"/>
    </row>
    <row r="155" spans="3:7" ht="14.4" customHeight="1">
      <c r="C155" s="789"/>
      <c r="D155" s="184" t="s">
        <v>619</v>
      </c>
      <c r="E155" s="185"/>
      <c r="F155" s="23" t="s">
        <v>630</v>
      </c>
      <c r="G155" s="185"/>
    </row>
    <row r="156" spans="3:7" ht="14.4" customHeight="1">
      <c r="C156" s="789"/>
      <c r="D156" s="184" t="s">
        <v>619</v>
      </c>
      <c r="E156" s="185"/>
      <c r="F156" s="23" t="s">
        <v>824</v>
      </c>
      <c r="G156" s="185"/>
    </row>
    <row r="157" spans="3:7" ht="14.4" customHeight="1">
      <c r="C157" s="789"/>
      <c r="D157" s="184" t="s">
        <v>619</v>
      </c>
      <c r="E157" s="185"/>
      <c r="F157" s="23" t="s">
        <v>631</v>
      </c>
      <c r="G157" s="185"/>
    </row>
    <row r="158" spans="3:7" ht="14.4" customHeight="1">
      <c r="C158" s="789"/>
      <c r="D158" s="184" t="s">
        <v>619</v>
      </c>
      <c r="E158" s="185"/>
      <c r="F158" s="23" t="s">
        <v>633</v>
      </c>
      <c r="G158" s="185"/>
    </row>
    <row r="159" spans="3:7" ht="14.4" customHeight="1">
      <c r="C159" s="790"/>
      <c r="D159" s="183" t="s">
        <v>619</v>
      </c>
      <c r="E159" s="182"/>
      <c r="F159" s="82" t="s">
        <v>634</v>
      </c>
      <c r="G159" s="182"/>
    </row>
    <row r="160" spans="3:7" ht="14.4" customHeight="1">
      <c r="C160" s="23" t="s">
        <v>825</v>
      </c>
    </row>
    <row r="161" spans="1:9" ht="14.4" customHeight="1">
      <c r="C161" s="1502"/>
      <c r="D161" s="1499" t="s">
        <v>622</v>
      </c>
      <c r="E161" s="1500"/>
      <c r="F161" s="1501" t="s">
        <v>623</v>
      </c>
      <c r="G161" s="1500"/>
    </row>
    <row r="162" spans="1:9" ht="14.4" customHeight="1">
      <c r="C162" s="1503"/>
      <c r="D162" s="184" t="s">
        <v>826</v>
      </c>
      <c r="E162" s="185"/>
      <c r="F162" s="23" t="s">
        <v>827</v>
      </c>
      <c r="G162" s="185"/>
    </row>
    <row r="163" spans="1:9" ht="14.4" customHeight="1">
      <c r="C163" s="1503"/>
      <c r="D163" s="184" t="s">
        <v>826</v>
      </c>
      <c r="E163" s="185"/>
      <c r="F163" s="23" t="s">
        <v>828</v>
      </c>
      <c r="G163" s="185"/>
    </row>
    <row r="164" spans="1:9" ht="14.4" customHeight="1">
      <c r="C164" s="1503"/>
      <c r="D164" s="184" t="s">
        <v>826</v>
      </c>
      <c r="E164" s="185"/>
      <c r="F164" s="23" t="s">
        <v>639</v>
      </c>
      <c r="G164" s="185"/>
    </row>
    <row r="165" spans="1:9">
      <c r="C165" s="1503"/>
      <c r="D165" s="184" t="s">
        <v>826</v>
      </c>
      <c r="E165" s="185"/>
      <c r="F165" s="23" t="s">
        <v>640</v>
      </c>
      <c r="G165" s="185"/>
    </row>
    <row r="166" spans="1:9" s="469" customFormat="1">
      <c r="A166" s="23"/>
      <c r="C166" s="1504"/>
      <c r="D166" s="183" t="s">
        <v>826</v>
      </c>
      <c r="E166" s="182"/>
      <c r="F166" s="82" t="s">
        <v>829</v>
      </c>
      <c r="G166" s="182"/>
      <c r="H166" s="194"/>
      <c r="I166" s="194"/>
    </row>
    <row r="167" spans="1:9" s="469" customFormat="1">
      <c r="A167" s="23"/>
      <c r="C167" s="23"/>
      <c r="D167" s="23"/>
      <c r="E167" s="23"/>
      <c r="F167" s="23"/>
      <c r="G167" s="23"/>
      <c r="H167" s="194"/>
      <c r="I167" s="194"/>
    </row>
    <row r="168" spans="1:9" s="469" customFormat="1">
      <c r="A168" s="23"/>
      <c r="C168" s="1505" t="s">
        <v>572</v>
      </c>
      <c r="D168" s="1506"/>
      <c r="E168" s="1506"/>
      <c r="F168" s="1506"/>
      <c r="G168" s="1507"/>
      <c r="H168" s="194"/>
      <c r="I168" s="194"/>
    </row>
    <row r="169" spans="1:9" s="469" customFormat="1">
      <c r="A169" s="23"/>
      <c r="C169" s="777"/>
      <c r="D169" s="1495" t="s">
        <v>573</v>
      </c>
      <c r="E169" s="734"/>
      <c r="F169" s="1496" t="s">
        <v>183</v>
      </c>
      <c r="G169" s="1497" t="s">
        <v>582</v>
      </c>
      <c r="H169" s="194"/>
      <c r="I169" s="194"/>
    </row>
    <row r="170" spans="1:9" s="469" customFormat="1">
      <c r="A170" s="23"/>
      <c r="C170" s="777"/>
      <c r="D170" s="778"/>
      <c r="E170" s="735"/>
      <c r="F170" s="735" t="s">
        <v>189</v>
      </c>
      <c r="G170" s="1497" t="s">
        <v>583</v>
      </c>
      <c r="H170" s="194"/>
      <c r="I170" s="194"/>
    </row>
    <row r="171" spans="1:9" ht="15" customHeight="1">
      <c r="C171" s="777"/>
      <c r="D171" s="778" t="s">
        <v>576</v>
      </c>
      <c r="E171" s="735"/>
      <c r="F171" s="1496" t="s">
        <v>577</v>
      </c>
      <c r="G171" s="1497" t="s">
        <v>872</v>
      </c>
      <c r="H171" s="534"/>
      <c r="I171" s="431"/>
    </row>
    <row r="172" spans="1:9" ht="15" customHeight="1">
      <c r="C172" s="779"/>
      <c r="D172" s="780"/>
      <c r="E172" s="736"/>
      <c r="F172" s="1496" t="s">
        <v>578</v>
      </c>
      <c r="G172" s="1497" t="s">
        <v>584</v>
      </c>
      <c r="H172" s="534"/>
      <c r="I172" s="431"/>
    </row>
    <row r="173" spans="1:9" ht="15" customHeight="1">
      <c r="G173" s="432"/>
      <c r="H173" s="534"/>
      <c r="I173" s="431"/>
    </row>
    <row r="174" spans="1:9" s="488" customFormat="1" ht="15" customHeight="1">
      <c r="A174" s="23"/>
      <c r="C174" s="1508" t="s">
        <v>313</v>
      </c>
      <c r="D174" s="1509"/>
      <c r="E174" s="1509"/>
      <c r="F174" s="1509"/>
      <c r="G174" s="1510"/>
      <c r="H174" s="534"/>
      <c r="I174" s="470"/>
    </row>
    <row r="175" spans="1:9" s="488" customFormat="1" ht="15" customHeight="1">
      <c r="A175" s="23"/>
      <c r="C175" s="27"/>
      <c r="D175" s="448" t="s">
        <v>295</v>
      </c>
      <c r="E175" s="487"/>
      <c r="F175" s="1473"/>
      <c r="G175" s="1511" t="s">
        <v>290</v>
      </c>
      <c r="H175" s="534"/>
      <c r="I175" s="470"/>
    </row>
    <row r="176" spans="1:9" s="488" customFormat="1" ht="15" customHeight="1">
      <c r="A176" s="23"/>
      <c r="C176" s="27"/>
      <c r="D176" s="498"/>
      <c r="E176" s="8"/>
      <c r="F176" s="1219"/>
      <c r="G176" s="1512" t="s">
        <v>291</v>
      </c>
      <c r="H176" s="534"/>
      <c r="I176" s="470"/>
    </row>
    <row r="177" spans="1:9" s="488" customFormat="1" ht="15" customHeight="1">
      <c r="A177" s="23"/>
      <c r="C177" s="27"/>
      <c r="D177" s="498"/>
      <c r="E177" s="8"/>
      <c r="F177" s="1219"/>
      <c r="G177" s="1512" t="s">
        <v>292</v>
      </c>
      <c r="H177" s="534"/>
      <c r="I177" s="470"/>
    </row>
    <row r="178" spans="1:9" s="488" customFormat="1" ht="15" customHeight="1">
      <c r="A178" s="23"/>
      <c r="C178" s="27"/>
      <c r="D178" s="498"/>
      <c r="E178" s="8"/>
      <c r="F178" s="1219"/>
      <c r="G178" s="1512" t="s">
        <v>293</v>
      </c>
      <c r="H178" s="534"/>
      <c r="I178" s="470"/>
    </row>
    <row r="179" spans="1:9" s="488" customFormat="1" ht="15" customHeight="1">
      <c r="A179" s="23"/>
      <c r="C179" s="27"/>
      <c r="D179" s="788"/>
      <c r="E179" s="11"/>
      <c r="F179" s="78"/>
      <c r="G179" s="1513" t="s">
        <v>294</v>
      </c>
      <c r="H179" s="534"/>
      <c r="I179" s="470"/>
    </row>
    <row r="180" spans="1:9" s="488" customFormat="1" ht="15" customHeight="1">
      <c r="A180" s="23"/>
      <c r="C180" s="27"/>
      <c r="D180" s="448" t="s">
        <v>208</v>
      </c>
      <c r="E180" s="487"/>
      <c r="F180" s="1473"/>
      <c r="G180" s="1511" t="s">
        <v>314</v>
      </c>
      <c r="H180" s="534"/>
      <c r="I180" s="470"/>
    </row>
    <row r="181" spans="1:9" s="488" customFormat="1" ht="15" customHeight="1">
      <c r="A181" s="23"/>
      <c r="C181" s="27"/>
      <c r="D181" s="788"/>
      <c r="E181" s="499" t="s">
        <v>315</v>
      </c>
      <c r="F181" s="78"/>
      <c r="G181" s="1513"/>
      <c r="H181" s="534"/>
      <c r="I181" s="470"/>
    </row>
    <row r="182" spans="1:9" s="488" customFormat="1" ht="15" customHeight="1">
      <c r="A182" s="23"/>
      <c r="C182" s="27"/>
      <c r="D182" s="448" t="s">
        <v>209</v>
      </c>
      <c r="E182" s="487"/>
      <c r="F182" s="1473"/>
      <c r="G182" s="1511" t="s">
        <v>316</v>
      </c>
      <c r="H182" s="534"/>
      <c r="I182" s="470"/>
    </row>
    <row r="183" spans="1:9" s="488" customFormat="1" ht="15" customHeight="1">
      <c r="A183" s="23"/>
      <c r="C183" s="1514"/>
      <c r="D183" s="788"/>
      <c r="E183" s="499" t="s">
        <v>315</v>
      </c>
      <c r="F183" s="78"/>
      <c r="G183" s="1513"/>
      <c r="H183" s="534"/>
      <c r="I183" s="470"/>
    </row>
    <row r="184" spans="1:9" ht="15" customHeight="1">
      <c r="G184" s="432"/>
      <c r="H184" s="534"/>
      <c r="I184" s="431"/>
    </row>
    <row r="185" spans="1:9" ht="19.5" customHeight="1">
      <c r="C185" s="186" t="s">
        <v>317</v>
      </c>
      <c r="G185" s="432" t="s">
        <v>527</v>
      </c>
      <c r="H185" s="534"/>
      <c r="I185" s="431"/>
    </row>
    <row r="186" spans="1:9" ht="8.4" customHeight="1">
      <c r="G186" s="432"/>
      <c r="H186" s="534"/>
      <c r="I186" s="431"/>
    </row>
    <row r="187" spans="1:9" ht="20.149999999999999" customHeight="1">
      <c r="C187" s="1515"/>
      <c r="D187" s="1516" t="s">
        <v>318</v>
      </c>
      <c r="E187" s="1516"/>
      <c r="F187" s="1517"/>
      <c r="G187" s="1518" t="s">
        <v>74</v>
      </c>
      <c r="H187" s="534"/>
      <c r="I187" s="431"/>
    </row>
    <row r="188" spans="1:9" ht="90" customHeight="1">
      <c r="C188" s="445"/>
      <c r="D188" s="3460" t="s">
        <v>359</v>
      </c>
      <c r="E188" s="3460"/>
      <c r="F188" s="3461"/>
      <c r="G188" s="1519" t="s">
        <v>653</v>
      </c>
      <c r="H188" s="534"/>
      <c r="I188" s="431"/>
    </row>
    <row r="189" spans="1:9" ht="84" customHeight="1">
      <c r="C189" s="183"/>
      <c r="D189" s="792"/>
      <c r="E189" s="792"/>
      <c r="F189" s="793"/>
      <c r="G189" s="794" t="s">
        <v>654</v>
      </c>
      <c r="H189" s="534"/>
      <c r="I189" s="431"/>
    </row>
    <row r="190" spans="1:9" ht="20.149999999999999" customHeight="1">
      <c r="C190" s="183"/>
      <c r="D190" s="82" t="s">
        <v>182</v>
      </c>
      <c r="E190" s="82"/>
      <c r="F190" s="182"/>
      <c r="G190" s="450" t="s">
        <v>655</v>
      </c>
    </row>
    <row r="191" spans="1:9" s="567" customFormat="1" ht="84" customHeight="1">
      <c r="A191" s="23"/>
      <c r="C191" s="1755"/>
      <c r="D191" s="3458" t="s">
        <v>865</v>
      </c>
      <c r="E191" s="3458"/>
      <c r="F191" s="3459"/>
      <c r="G191" s="1756" t="s">
        <v>873</v>
      </c>
    </row>
    <row r="192" spans="1:9" ht="20">
      <c r="B192" s="476"/>
      <c r="C192" s="186" t="s">
        <v>322</v>
      </c>
      <c r="G192" s="432"/>
    </row>
    <row r="193" spans="2:9" ht="8.4" customHeight="1">
      <c r="B193" s="476"/>
      <c r="G193" s="432"/>
    </row>
    <row r="194" spans="2:9" ht="17.399999999999999" customHeight="1">
      <c r="B194" s="476"/>
      <c r="C194" s="1515"/>
      <c r="D194" s="1516" t="s">
        <v>318</v>
      </c>
      <c r="E194" s="1520"/>
      <c r="F194" s="1520"/>
      <c r="G194" s="1521" t="s">
        <v>323</v>
      </c>
    </row>
    <row r="195" spans="2:9" ht="17.399999999999999" customHeight="1">
      <c r="B195" s="476"/>
      <c r="C195" s="448" t="s">
        <v>324</v>
      </c>
      <c r="D195" s="449"/>
      <c r="E195" s="449"/>
      <c r="F195" s="449"/>
      <c r="G195" s="1519" t="s">
        <v>325</v>
      </c>
    </row>
    <row r="196" spans="2:9" ht="17.399999999999999" customHeight="1">
      <c r="B196" s="476"/>
      <c r="C196" s="1522"/>
      <c r="D196" s="1523" t="s">
        <v>15</v>
      </c>
      <c r="E196" s="1466"/>
      <c r="F196" s="1466"/>
      <c r="G196" s="1524" t="s">
        <v>326</v>
      </c>
    </row>
    <row r="197" spans="2:9" ht="17.399999999999999" customHeight="1">
      <c r="B197" s="476"/>
      <c r="C197" s="1522"/>
      <c r="D197" s="1523" t="s">
        <v>367</v>
      </c>
      <c r="E197" s="1466"/>
      <c r="F197" s="1466"/>
      <c r="G197" s="1524" t="s">
        <v>287</v>
      </c>
    </row>
    <row r="198" spans="2:9" ht="17.399999999999999" customHeight="1">
      <c r="B198" s="476"/>
      <c r="C198" s="1522"/>
      <c r="D198" s="1523" t="s">
        <v>42</v>
      </c>
      <c r="E198" s="1466"/>
      <c r="F198" s="1466"/>
      <c r="G198" s="1524" t="s">
        <v>288</v>
      </c>
    </row>
    <row r="199" spans="2:9" ht="17.399999999999999" customHeight="1">
      <c r="B199" s="476"/>
      <c r="C199" s="1522"/>
      <c r="D199" s="1523" t="s">
        <v>41</v>
      </c>
      <c r="E199" s="1466"/>
      <c r="F199" s="1466"/>
      <c r="G199" s="1524" t="s">
        <v>41</v>
      </c>
    </row>
    <row r="200" spans="2:9" ht="17.399999999999999" customHeight="1">
      <c r="B200" s="476"/>
      <c r="C200" s="377"/>
      <c r="D200" s="1" t="s">
        <v>40</v>
      </c>
      <c r="E200" s="376"/>
      <c r="F200" s="376"/>
      <c r="G200" s="450" t="s">
        <v>289</v>
      </c>
    </row>
    <row r="202" spans="2:9" ht="19.5" customHeight="1">
      <c r="C202" s="186" t="s">
        <v>360</v>
      </c>
      <c r="G202" s="484"/>
      <c r="H202" s="534"/>
      <c r="I202" s="431"/>
    </row>
    <row r="203" spans="2:9" ht="8.4" customHeight="1">
      <c r="G203" s="484"/>
      <c r="H203" s="534"/>
      <c r="I203" s="431"/>
    </row>
    <row r="204" spans="2:9" ht="20.149999999999999" customHeight="1">
      <c r="C204" s="1515"/>
      <c r="D204" s="1516" t="s">
        <v>318</v>
      </c>
      <c r="E204" s="1516"/>
      <c r="F204" s="1517"/>
      <c r="G204" s="1518" t="s">
        <v>74</v>
      </c>
      <c r="H204" s="534"/>
      <c r="I204" s="431"/>
    </row>
    <row r="205" spans="2:9" ht="20.149999999999999" customHeight="1">
      <c r="C205" s="184"/>
      <c r="D205" s="23" t="s">
        <v>319</v>
      </c>
      <c r="F205" s="185"/>
      <c r="G205" s="485" t="s">
        <v>361</v>
      </c>
      <c r="H205" s="534"/>
      <c r="I205" s="431"/>
    </row>
    <row r="206" spans="2:9" ht="20.149999999999999" customHeight="1">
      <c r="C206" s="1525"/>
      <c r="D206" s="1526" t="s">
        <v>320</v>
      </c>
      <c r="E206" s="1526"/>
      <c r="F206" s="1467"/>
      <c r="G206" s="1524" t="s">
        <v>869</v>
      </c>
      <c r="H206" s="534"/>
      <c r="I206" s="431"/>
    </row>
    <row r="207" spans="2:9" ht="20.149999999999999" customHeight="1">
      <c r="C207" s="183"/>
      <c r="D207" s="82" t="s">
        <v>362</v>
      </c>
      <c r="E207" s="82"/>
      <c r="F207" s="182"/>
      <c r="G207" s="370" t="s">
        <v>363</v>
      </c>
    </row>
    <row r="208" spans="2:9" ht="15" customHeight="1">
      <c r="G208" s="432"/>
    </row>
    <row r="209" spans="2:7" ht="20">
      <c r="C209" s="186" t="s">
        <v>528</v>
      </c>
      <c r="G209" s="484" t="s">
        <v>527</v>
      </c>
    </row>
    <row r="210" spans="2:7" ht="8.4" customHeight="1">
      <c r="B210" s="476"/>
      <c r="G210" s="432"/>
    </row>
    <row r="211" spans="2:7" ht="20.149999999999999" customHeight="1">
      <c r="C211" s="1515"/>
      <c r="D211" s="1516" t="s">
        <v>318</v>
      </c>
      <c r="E211" s="1520"/>
      <c r="F211" s="1520"/>
      <c r="G211" s="1521" t="s">
        <v>323</v>
      </c>
    </row>
    <row r="212" spans="2:7" ht="18" customHeight="1">
      <c r="C212" s="1465" t="s">
        <v>63</v>
      </c>
      <c r="D212" s="1466"/>
      <c r="E212" s="1466"/>
      <c r="F212" s="1466"/>
      <c r="G212" s="1524" t="s">
        <v>529</v>
      </c>
    </row>
    <row r="213" spans="2:7" ht="35.4" customHeight="1">
      <c r="C213" s="1465" t="s">
        <v>28</v>
      </c>
      <c r="D213" s="1466"/>
      <c r="E213" s="1466"/>
      <c r="F213" s="1466"/>
      <c r="G213" s="1524" t="s">
        <v>530</v>
      </c>
    </row>
    <row r="214" spans="2:7" ht="18" customHeight="1">
      <c r="C214" s="1465" t="s">
        <v>62</v>
      </c>
      <c r="D214" s="1466"/>
      <c r="E214" s="1466"/>
      <c r="F214" s="1466"/>
      <c r="G214" s="1524" t="s">
        <v>531</v>
      </c>
    </row>
    <row r="215" spans="2:7">
      <c r="G215" s="432"/>
    </row>
    <row r="216" spans="2:7" ht="21.75" customHeight="1">
      <c r="C216" s="186" t="s">
        <v>611</v>
      </c>
      <c r="G216" s="432"/>
    </row>
    <row r="217" spans="2:7" ht="8.4" customHeight="1">
      <c r="G217" s="432"/>
    </row>
    <row r="218" spans="2:7" ht="20.149999999999999" customHeight="1">
      <c r="C218" s="1515"/>
      <c r="D218" s="1516" t="s">
        <v>318</v>
      </c>
      <c r="E218" s="1516"/>
      <c r="F218" s="1517"/>
      <c r="G218" s="1527" t="s">
        <v>74</v>
      </c>
    </row>
    <row r="219" spans="2:7" ht="16.25" customHeight="1">
      <c r="C219" s="445"/>
      <c r="D219" s="446" t="s">
        <v>28</v>
      </c>
      <c r="E219" s="446"/>
      <c r="F219" s="1528" t="s">
        <v>319</v>
      </c>
      <c r="G219" s="1472" t="s">
        <v>612</v>
      </c>
    </row>
    <row r="220" spans="2:7" ht="16.75" customHeight="1">
      <c r="C220" s="184"/>
      <c r="F220" s="1529" t="s">
        <v>364</v>
      </c>
      <c r="G220" s="1524" t="s">
        <v>613</v>
      </c>
    </row>
    <row r="221" spans="2:7" ht="16.75" customHeight="1">
      <c r="C221" s="183"/>
      <c r="D221" s="82"/>
      <c r="E221" s="82"/>
      <c r="F221" s="1530" t="s">
        <v>365</v>
      </c>
      <c r="G221" s="1524" t="s">
        <v>613</v>
      </c>
    </row>
    <row r="222" spans="2:7" ht="16.75" customHeight="1">
      <c r="C222" s="445"/>
      <c r="D222" s="447" t="s">
        <v>73</v>
      </c>
      <c r="E222" s="446"/>
      <c r="F222" s="1531" t="s">
        <v>321</v>
      </c>
      <c r="G222" s="1472" t="s">
        <v>612</v>
      </c>
    </row>
    <row r="223" spans="2:7" ht="16.75" customHeight="1">
      <c r="C223" s="183"/>
      <c r="D223" s="82"/>
      <c r="E223" s="82"/>
      <c r="F223" s="1529" t="s">
        <v>366</v>
      </c>
      <c r="G223" s="1524" t="s">
        <v>613</v>
      </c>
    </row>
    <row r="224" spans="2:7" ht="8.4" customHeight="1">
      <c r="G224" s="432"/>
    </row>
    <row r="225" spans="2:7" ht="20.149999999999999" customHeight="1">
      <c r="C225" s="1532"/>
      <c r="D225" s="1757" t="s">
        <v>777</v>
      </c>
      <c r="E225" s="1757"/>
      <c r="F225" s="1758"/>
      <c r="G225" s="1759" t="s">
        <v>323</v>
      </c>
    </row>
    <row r="226" spans="2:7" ht="28">
      <c r="C226" s="1763" t="s">
        <v>778</v>
      </c>
      <c r="D226" s="1760"/>
      <c r="E226" s="1760"/>
      <c r="F226" s="1761"/>
      <c r="G226" s="1762" t="s">
        <v>790</v>
      </c>
    </row>
    <row r="227" spans="2:7">
      <c r="G227" s="432"/>
    </row>
    <row r="228" spans="2:7" ht="20">
      <c r="C228" s="186" t="s">
        <v>643</v>
      </c>
      <c r="G228" s="484"/>
    </row>
    <row r="229" spans="2:7" ht="8.4" customHeight="1">
      <c r="B229" s="476"/>
      <c r="G229" s="432"/>
    </row>
    <row r="230" spans="2:7" ht="20.149999999999999" customHeight="1">
      <c r="C230" s="1515"/>
      <c r="D230" s="1516" t="s">
        <v>318</v>
      </c>
      <c r="E230" s="1520"/>
      <c r="F230" s="1520"/>
      <c r="G230" s="1521" t="s">
        <v>323</v>
      </c>
    </row>
    <row r="231" spans="2:7" ht="18" customHeight="1">
      <c r="C231" s="1465" t="s">
        <v>58</v>
      </c>
      <c r="D231" s="1466"/>
      <c r="E231" s="1466"/>
      <c r="F231" s="1466"/>
      <c r="G231" s="1519" t="s">
        <v>325</v>
      </c>
    </row>
    <row r="232" spans="2:7" ht="30.65" customHeight="1">
      <c r="C232" s="1465"/>
      <c r="D232" s="1533" t="s">
        <v>5</v>
      </c>
      <c r="E232" s="1466"/>
      <c r="F232" s="1466"/>
      <c r="G232" s="1524" t="s">
        <v>644</v>
      </c>
    </row>
    <row r="233" spans="2:7" ht="46.75" customHeight="1">
      <c r="C233" s="1465"/>
      <c r="D233" s="1533" t="s">
        <v>6</v>
      </c>
      <c r="E233" s="1466"/>
      <c r="F233" s="1466"/>
      <c r="G233" s="1524" t="s">
        <v>645</v>
      </c>
    </row>
    <row r="234" spans="2:7" ht="31.25" customHeight="1">
      <c r="C234" s="1465"/>
      <c r="D234" s="1533" t="s">
        <v>7</v>
      </c>
      <c r="E234" s="1466"/>
      <c r="F234" s="1466"/>
      <c r="G234" s="1524" t="s">
        <v>646</v>
      </c>
    </row>
    <row r="235" spans="2:7" ht="30.65" customHeight="1">
      <c r="C235" s="1465"/>
      <c r="D235" s="1533" t="s">
        <v>590</v>
      </c>
      <c r="E235" s="1466"/>
      <c r="F235" s="1466"/>
      <c r="G235" s="1524" t="s">
        <v>649</v>
      </c>
    </row>
    <row r="236" spans="2:7" ht="18" customHeight="1">
      <c r="C236" s="1465" t="s">
        <v>108</v>
      </c>
      <c r="D236" s="1533"/>
      <c r="E236" s="1466"/>
      <c r="F236" s="1466"/>
      <c r="G236" s="1519" t="s">
        <v>325</v>
      </c>
    </row>
    <row r="237" spans="2:7" ht="30.65" customHeight="1">
      <c r="C237" s="1465"/>
      <c r="D237" s="1533" t="s">
        <v>591</v>
      </c>
      <c r="E237" s="1466"/>
      <c r="F237" s="1466"/>
      <c r="G237" s="1524" t="s">
        <v>647</v>
      </c>
    </row>
    <row r="238" spans="2:7" ht="65.400000000000006" customHeight="1">
      <c r="C238" s="1465"/>
      <c r="D238" s="1533" t="s">
        <v>8</v>
      </c>
      <c r="E238" s="1466"/>
      <c r="F238" s="1466"/>
      <c r="G238" s="1524" t="s">
        <v>648</v>
      </c>
    </row>
    <row r="239" spans="2:7" ht="31.25" customHeight="1">
      <c r="C239" s="1465"/>
      <c r="D239" s="1533" t="s">
        <v>592</v>
      </c>
      <c r="E239" s="1466"/>
      <c r="F239" s="1466"/>
      <c r="G239" s="1524" t="s">
        <v>650</v>
      </c>
    </row>
    <row r="240" spans="2:7" ht="30.65" customHeight="1">
      <c r="C240" s="1465"/>
      <c r="D240" s="1533" t="s">
        <v>593</v>
      </c>
      <c r="E240" s="1466"/>
      <c r="F240" s="1466"/>
      <c r="G240" s="1524" t="s">
        <v>651</v>
      </c>
    </row>
    <row r="241" spans="3:7">
      <c r="G241" s="432"/>
    </row>
    <row r="242" spans="3:7" ht="20">
      <c r="C242" s="186" t="s">
        <v>386</v>
      </c>
      <c r="G242" s="432"/>
    </row>
    <row r="243" spans="3:7" ht="8.4" customHeight="1">
      <c r="G243" s="432"/>
    </row>
    <row r="244" spans="3:7" ht="20.149999999999999" customHeight="1">
      <c r="C244" s="1515"/>
      <c r="D244" s="1516" t="s">
        <v>318</v>
      </c>
      <c r="E244" s="1520"/>
      <c r="F244" s="1520"/>
      <c r="G244" s="1521" t="s">
        <v>323</v>
      </c>
    </row>
    <row r="245" spans="3:7" ht="35.4" customHeight="1">
      <c r="C245" s="1465" t="s">
        <v>386</v>
      </c>
      <c r="D245" s="1466"/>
      <c r="E245" s="1466"/>
      <c r="F245" s="1466"/>
      <c r="G245" s="1524" t="s">
        <v>383</v>
      </c>
    </row>
    <row r="246" spans="3:7" ht="20">
      <c r="C246" s="186" t="s">
        <v>393</v>
      </c>
      <c r="G246" s="432"/>
    </row>
    <row r="247" spans="3:7" ht="8.4" customHeight="1">
      <c r="G247" s="432"/>
    </row>
    <row r="248" spans="3:7">
      <c r="C248" s="1515"/>
      <c r="D248" s="1516" t="s">
        <v>318</v>
      </c>
      <c r="E248" s="1520"/>
      <c r="F248" s="1520"/>
      <c r="G248" s="1521" t="s">
        <v>323</v>
      </c>
    </row>
    <row r="249" spans="3:7" ht="32.4" customHeight="1">
      <c r="C249" s="448" t="s">
        <v>393</v>
      </c>
      <c r="D249" s="449"/>
      <c r="E249" s="449"/>
      <c r="F249" s="573"/>
      <c r="G249" s="577" t="s">
        <v>407</v>
      </c>
    </row>
    <row r="250" spans="3:7" ht="18.649999999999999" customHeight="1">
      <c r="C250" s="184"/>
      <c r="F250" s="726" t="s">
        <v>395</v>
      </c>
      <c r="G250" s="574" t="s">
        <v>399</v>
      </c>
    </row>
    <row r="251" spans="3:7" ht="18.649999999999999" customHeight="1">
      <c r="C251" s="184"/>
      <c r="F251" s="726" t="s">
        <v>396</v>
      </c>
      <c r="G251" s="574" t="s">
        <v>404</v>
      </c>
    </row>
    <row r="252" spans="3:7" ht="18.649999999999999" customHeight="1">
      <c r="C252" s="184"/>
      <c r="F252" s="726" t="s">
        <v>397</v>
      </c>
      <c r="G252" s="574" t="s">
        <v>405</v>
      </c>
    </row>
    <row r="253" spans="3:7" ht="18.649999999999999" customHeight="1">
      <c r="C253" s="184"/>
      <c r="F253" s="726" t="s">
        <v>398</v>
      </c>
      <c r="G253" s="574" t="s">
        <v>415</v>
      </c>
    </row>
    <row r="254" spans="3:7" ht="18.649999999999999" customHeight="1">
      <c r="C254" s="184"/>
      <c r="F254" s="726" t="s">
        <v>400</v>
      </c>
      <c r="G254" s="574" t="s">
        <v>406</v>
      </c>
    </row>
    <row r="255" spans="3:7" ht="18.649999999999999" customHeight="1">
      <c r="C255" s="184"/>
      <c r="F255" s="726" t="s">
        <v>402</v>
      </c>
      <c r="G255" s="574" t="s">
        <v>403</v>
      </c>
    </row>
    <row r="256" spans="3:7" ht="18.649999999999999" customHeight="1">
      <c r="C256" s="183"/>
      <c r="D256" s="82"/>
      <c r="E256" s="82"/>
      <c r="F256" s="727" t="s">
        <v>233</v>
      </c>
      <c r="G256" s="575" t="s">
        <v>414</v>
      </c>
    </row>
  </sheetData>
  <mergeCells count="11">
    <mergeCell ref="D191:F191"/>
    <mergeCell ref="D188:F188"/>
    <mergeCell ref="G88:G89"/>
    <mergeCell ref="D96:F96"/>
    <mergeCell ref="G98:G99"/>
    <mergeCell ref="D125:F125"/>
    <mergeCell ref="D126:F126"/>
    <mergeCell ref="D127:F127"/>
    <mergeCell ref="D128:F128"/>
    <mergeCell ref="D129:F129"/>
    <mergeCell ref="D130:F130"/>
  </mergeCells>
  <phoneticPr fontId="7"/>
  <pageMargins left="0" right="0" top="0" bottom="0" header="0.31496062992125984" footer="0.31496062992125984"/>
  <pageSetup paperSize="9" scale="1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CF31F-76C5-4868-953F-BC3176144E5B}">
  <sheetPr>
    <tabColor theme="5" tint="-0.499984740745262"/>
  </sheetPr>
  <dimension ref="A1:AQ1614"/>
  <sheetViews>
    <sheetView showGridLines="0" zoomScale="70" zoomScaleNormal="70" workbookViewId="0">
      <pane xSplit="22" ySplit="13" topLeftCell="AD20" activePane="bottomRight" state="frozen"/>
      <selection activeCell="U19" sqref="U19"/>
      <selection pane="topRight" activeCell="U19" sqref="U19"/>
      <selection pane="bottomLeft" activeCell="U19" sqref="U19"/>
      <selection pane="bottomRight" activeCell="AP24" sqref="AP24"/>
    </sheetView>
  </sheetViews>
  <sheetFormatPr defaultColWidth="9" defaultRowHeight="14" outlineLevelRow="1" outlineLevelCol="1"/>
  <cols>
    <col min="1" max="1" width="4.54296875" style="1693" hidden="1" customWidth="1" outlineLevel="1"/>
    <col min="2" max="2" width="5.54296875" style="616" hidden="1" customWidth="1" outlineLevel="1"/>
    <col min="3" max="3" width="5.54296875" style="1693" hidden="1" customWidth="1" outlineLevel="1"/>
    <col min="4" max="4" width="4.54296875" style="616" hidden="1" customWidth="1" outlineLevel="1"/>
    <col min="5" max="5" width="5.54296875" style="1693" hidden="1" customWidth="1" outlineLevel="1"/>
    <col min="6" max="6" width="4.54296875" style="616" hidden="1" customWidth="1" outlineLevel="1"/>
    <col min="7" max="7" width="5.54296875" style="1693" hidden="1" customWidth="1" outlineLevel="1"/>
    <col min="8" max="8" width="4.54296875" style="616" hidden="1" customWidth="1" outlineLevel="1"/>
    <col min="9" max="9" width="2.1796875" style="616" hidden="1" customWidth="1" outlineLevel="1"/>
    <col min="10" max="10" width="3.453125" style="8" hidden="1" customWidth="1" outlineLevel="1" collapsed="1"/>
    <col min="11" max="11" width="4.1796875" style="8" customWidth="1" collapsed="1"/>
    <col min="12" max="12" width="4.453125" style="9" customWidth="1"/>
    <col min="13" max="13" width="1.81640625" style="9" customWidth="1"/>
    <col min="14" max="14" width="1.54296875" style="22" customWidth="1"/>
    <col min="15" max="15" width="4.54296875" style="9" customWidth="1"/>
    <col min="16" max="16" width="4" style="8" customWidth="1"/>
    <col min="17" max="17" width="3.1796875" style="9" customWidth="1"/>
    <col min="18" max="18" width="6.54296875" style="9" customWidth="1"/>
    <col min="19" max="19" width="5.81640625" style="8" customWidth="1"/>
    <col min="20" max="20" width="7.1796875" style="8" customWidth="1"/>
    <col min="21" max="21" width="11.453125" style="8" customWidth="1"/>
    <col min="22" max="22" width="25.81640625" style="8" customWidth="1"/>
    <col min="23" max="23" width="32.1796875" style="1210" hidden="1" customWidth="1" outlineLevel="1"/>
    <col min="24" max="24" width="11" style="1210" customWidth="1" collapsed="1"/>
    <col min="25" max="26" width="11" style="1210" customWidth="1"/>
    <col min="27" max="27" width="11.1796875" style="1210" bestFit="1" customWidth="1"/>
    <col min="28" max="33" width="11" style="1210" customWidth="1"/>
    <col min="34" max="39" width="11" style="8" customWidth="1"/>
    <col min="40" max="40" width="10.54296875" style="8" customWidth="1"/>
    <col min="41" max="42" width="12.1796875" style="8" customWidth="1"/>
    <col min="43" max="16384" width="9" style="8"/>
  </cols>
  <sheetData>
    <row r="1" spans="1:42" s="617" customFormat="1" hidden="1" outlineLevel="1">
      <c r="A1" s="1693"/>
      <c r="B1" s="616"/>
      <c r="C1" s="1693"/>
      <c r="D1" s="616"/>
      <c r="E1" s="1693"/>
      <c r="F1" s="616"/>
      <c r="G1" s="1693"/>
      <c r="H1" s="616"/>
      <c r="I1" s="616"/>
      <c r="L1" s="618"/>
      <c r="M1" s="618"/>
      <c r="N1" s="618"/>
      <c r="O1" s="618"/>
      <c r="Q1" s="618"/>
      <c r="R1" s="618"/>
      <c r="W1" s="619"/>
      <c r="X1" s="619"/>
      <c r="Y1" s="619"/>
      <c r="Z1" s="619"/>
      <c r="AA1" s="619"/>
      <c r="AB1" s="619"/>
      <c r="AC1" s="619"/>
      <c r="AD1" s="619"/>
      <c r="AE1" s="619"/>
      <c r="AF1" s="619"/>
      <c r="AG1" s="619"/>
    </row>
    <row r="2" spans="1:42" s="617" customFormat="1" hidden="1" outlineLevel="1">
      <c r="A2" s="1693"/>
      <c r="B2" s="616"/>
      <c r="C2" s="1693"/>
      <c r="D2" s="616"/>
      <c r="E2" s="1693"/>
      <c r="F2" s="616"/>
      <c r="G2" s="1693"/>
      <c r="H2" s="616"/>
      <c r="I2" s="616"/>
      <c r="L2" s="618"/>
      <c r="M2" s="618"/>
      <c r="N2" s="618"/>
      <c r="O2" s="618"/>
      <c r="Q2" s="618"/>
      <c r="R2" s="618"/>
      <c r="W2" s="619"/>
      <c r="X2" s="619"/>
      <c r="Y2" s="619"/>
      <c r="Z2" s="619"/>
      <c r="AA2" s="619"/>
      <c r="AB2" s="619"/>
      <c r="AC2" s="619"/>
      <c r="AD2" s="619"/>
      <c r="AE2" s="619"/>
      <c r="AF2" s="619"/>
      <c r="AG2" s="619"/>
    </row>
    <row r="3" spans="1:42" s="617" customFormat="1" hidden="1" outlineLevel="1">
      <c r="A3" s="1693"/>
      <c r="B3" s="616"/>
      <c r="C3" s="1693"/>
      <c r="D3" s="616"/>
      <c r="E3" s="1693"/>
      <c r="F3" s="616"/>
      <c r="G3" s="1693"/>
      <c r="H3" s="616"/>
      <c r="I3" s="616"/>
      <c r="L3" s="618"/>
      <c r="M3" s="618"/>
      <c r="N3" s="618"/>
      <c r="O3" s="618"/>
      <c r="Q3" s="618"/>
      <c r="R3" s="618"/>
      <c r="W3" s="619"/>
      <c r="X3" s="619"/>
      <c r="Y3" s="619"/>
      <c r="Z3" s="619"/>
      <c r="AA3" s="619"/>
      <c r="AB3" s="619"/>
      <c r="AC3" s="619"/>
      <c r="AD3" s="619"/>
      <c r="AE3" s="619"/>
      <c r="AF3" s="619"/>
      <c r="AG3" s="619"/>
    </row>
    <row r="4" spans="1:42" s="168" customFormat="1" ht="20" collapsed="1">
      <c r="A4" s="1696" t="s">
        <v>841</v>
      </c>
      <c r="B4" s="1860"/>
      <c r="C4" s="1696" t="s">
        <v>842</v>
      </c>
      <c r="D4" s="1860"/>
      <c r="E4" s="1696" t="s">
        <v>843</v>
      </c>
      <c r="F4" s="1697"/>
      <c r="G4" s="1696" t="s">
        <v>844</v>
      </c>
      <c r="H4" s="1697"/>
      <c r="I4" s="620"/>
      <c r="K4" s="1710" t="s">
        <v>1214</v>
      </c>
      <c r="M4" s="239"/>
      <c r="N4" s="451"/>
      <c r="O4" s="196"/>
      <c r="Q4" s="170"/>
      <c r="R4" s="170"/>
      <c r="V4" s="1861" t="s">
        <v>157</v>
      </c>
      <c r="W4" s="1123"/>
      <c r="X4" s="190" t="s">
        <v>988</v>
      </c>
      <c r="Y4" s="1210"/>
      <c r="Z4" s="1210"/>
      <c r="AA4" s="1862" t="s">
        <v>1215</v>
      </c>
      <c r="AB4" s="1210"/>
      <c r="AC4" s="1863"/>
      <c r="AD4" s="1769"/>
      <c r="AE4" s="1863"/>
      <c r="AF4" s="1863"/>
      <c r="AG4" s="1863"/>
      <c r="AH4" s="1566"/>
      <c r="AI4" s="1566"/>
      <c r="AJ4" s="1566"/>
      <c r="AK4" s="1566"/>
      <c r="AL4" s="1566"/>
    </row>
    <row r="5" spans="1:42" s="168" customFormat="1" ht="8.5" customHeight="1">
      <c r="A5" s="1694"/>
      <c r="B5" s="620"/>
      <c r="C5" s="1694"/>
      <c r="D5" s="620"/>
      <c r="E5" s="1694"/>
      <c r="F5" s="620"/>
      <c r="G5" s="1694"/>
      <c r="H5" s="620"/>
      <c r="I5" s="620"/>
      <c r="N5" s="452"/>
      <c r="O5" s="1864"/>
      <c r="P5" s="1864"/>
      <c r="Q5" s="170"/>
      <c r="R5" s="170"/>
      <c r="W5" s="1123"/>
      <c r="X5" s="1210"/>
      <c r="Y5" s="1210"/>
      <c r="Z5" s="1028"/>
      <c r="AA5" s="1028"/>
      <c r="AB5" s="1210"/>
      <c r="AC5" s="1210"/>
      <c r="AD5" s="1210"/>
      <c r="AE5" s="1210"/>
      <c r="AF5" s="1210"/>
      <c r="AG5" s="1210"/>
    </row>
    <row r="6" spans="1:42" s="168" customFormat="1" ht="18">
      <c r="A6" s="1694"/>
      <c r="B6" s="620"/>
      <c r="C6" s="1694"/>
      <c r="D6" s="620"/>
      <c r="E6" s="1694"/>
      <c r="F6" s="620"/>
      <c r="G6" s="1694"/>
      <c r="H6" s="620"/>
      <c r="I6" s="620"/>
      <c r="J6" s="709" t="s">
        <v>512</v>
      </c>
      <c r="K6" s="1764" t="s">
        <v>1216</v>
      </c>
      <c r="L6" s="240"/>
      <c r="M6" s="240"/>
      <c r="N6" s="452"/>
      <c r="O6" s="1865" t="e">
        <v>#N/A</v>
      </c>
      <c r="P6" s="1866"/>
      <c r="Q6" s="1867"/>
      <c r="R6" s="190" t="s">
        <v>988</v>
      </c>
      <c r="S6" s="194"/>
      <c r="T6" s="194"/>
      <c r="V6" s="1868" t="s">
        <v>65</v>
      </c>
      <c r="W6" s="1123"/>
      <c r="X6" s="8">
        <v>0</v>
      </c>
      <c r="Y6" s="725"/>
      <c r="Z6" s="1210"/>
      <c r="AA6" s="1210"/>
      <c r="AB6" s="1210"/>
      <c r="AC6" s="1210"/>
      <c r="AD6" s="1210"/>
      <c r="AE6" s="1210"/>
      <c r="AF6" s="1210"/>
      <c r="AG6" s="1210"/>
      <c r="AO6" s="970"/>
    </row>
    <row r="7" spans="1:42" s="168" customFormat="1" ht="18">
      <c r="A7" s="1694"/>
      <c r="B7" s="620"/>
      <c r="C7" s="1694"/>
      <c r="D7" s="620"/>
      <c r="E7" s="1694"/>
      <c r="F7" s="620"/>
      <c r="G7" s="1694"/>
      <c r="H7" s="620"/>
      <c r="I7" s="620"/>
      <c r="J7" s="709"/>
      <c r="K7" s="1764" t="s">
        <v>1216</v>
      </c>
      <c r="L7" s="240"/>
      <c r="M7" s="240"/>
      <c r="N7" s="452"/>
      <c r="R7" s="194"/>
      <c r="S7" s="194"/>
      <c r="T7" s="194"/>
      <c r="V7" s="1869" t="s">
        <v>991</v>
      </c>
      <c r="W7" s="1123"/>
      <c r="X7" s="8" t="s">
        <v>891</v>
      </c>
      <c r="Y7" s="725"/>
      <c r="Z7" s="1210"/>
      <c r="AA7" s="1210"/>
      <c r="AB7" s="1210"/>
      <c r="AC7" s="1210"/>
      <c r="AD7" s="1210"/>
      <c r="AE7" s="1210"/>
      <c r="AF7" s="1210"/>
      <c r="AG7" s="1210"/>
      <c r="AO7" s="970"/>
    </row>
    <row r="8" spans="1:42" s="168" customFormat="1" ht="24.65" customHeight="1">
      <c r="A8" s="1694"/>
      <c r="B8" s="620"/>
      <c r="C8" s="1694"/>
      <c r="D8" s="620"/>
      <c r="E8" s="1694"/>
      <c r="F8" s="620"/>
      <c r="G8" s="1694"/>
      <c r="H8" s="620"/>
      <c r="I8" s="620"/>
      <c r="J8" s="709"/>
      <c r="K8" s="1764" t="s">
        <v>1216</v>
      </c>
      <c r="L8" s="240"/>
      <c r="M8" s="55" t="s">
        <v>589</v>
      </c>
      <c r="N8" s="55"/>
      <c r="O8" s="453"/>
      <c r="P8" s="4"/>
      <c r="R8" s="194"/>
      <c r="S8" s="194"/>
      <c r="T8" s="194"/>
      <c r="W8" s="1123"/>
      <c r="X8" s="1703" t="s">
        <v>1217</v>
      </c>
      <c r="Y8" s="1701"/>
      <c r="Z8" s="1702"/>
      <c r="AA8" s="1702"/>
      <c r="AB8" s="1702"/>
      <c r="AC8" s="1702"/>
      <c r="AD8" s="1702"/>
      <c r="AE8" s="1702"/>
      <c r="AF8" s="1702"/>
      <c r="AG8" s="1702"/>
      <c r="AH8" s="1870"/>
      <c r="AI8" s="1870"/>
      <c r="AJ8" s="1870"/>
      <c r="AK8" s="1870"/>
      <c r="AL8" s="1870"/>
      <c r="AM8" s="1870"/>
      <c r="AN8" s="1870"/>
      <c r="AO8" s="1871"/>
      <c r="AP8" s="1870"/>
    </row>
    <row r="9" spans="1:42" s="168" customFormat="1" ht="18">
      <c r="A9" s="1694"/>
      <c r="B9" s="620"/>
      <c r="C9" s="1694"/>
      <c r="D9" s="620"/>
      <c r="E9" s="1694"/>
      <c r="F9" s="620"/>
      <c r="G9" s="1694"/>
      <c r="H9" s="620"/>
      <c r="I9" s="620"/>
      <c r="J9" s="709"/>
      <c r="K9" s="1764" t="s">
        <v>1216</v>
      </c>
      <c r="L9" s="240"/>
      <c r="M9" s="8"/>
      <c r="N9" s="367" t="s">
        <v>26</v>
      </c>
      <c r="O9" s="22"/>
      <c r="P9" s="35"/>
      <c r="R9" s="194"/>
      <c r="S9" s="194"/>
      <c r="T9" s="194"/>
      <c r="W9" s="1123"/>
      <c r="X9" s="1698"/>
      <c r="Y9" s="725"/>
      <c r="Z9" s="1366"/>
      <c r="AA9" s="1366"/>
      <c r="AB9" s="1366"/>
      <c r="AC9" s="3444"/>
      <c r="AD9" s="1366"/>
      <c r="AE9" s="1366"/>
      <c r="AF9" s="1366"/>
      <c r="AG9" s="1366"/>
      <c r="AH9" s="1699"/>
      <c r="AI9" s="1699"/>
      <c r="AJ9" s="1699"/>
      <c r="AK9" s="1699"/>
      <c r="AL9" s="1699"/>
      <c r="AM9" s="1699"/>
      <c r="AN9" s="1699"/>
      <c r="AO9" s="1700"/>
      <c r="AP9" s="1699"/>
    </row>
    <row r="10" spans="1:42" ht="17.5" hidden="1" customHeight="1" outlineLevel="1">
      <c r="K10" s="1588"/>
      <c r="Q10" s="195"/>
      <c r="R10" s="195"/>
      <c r="T10" s="167"/>
      <c r="U10" s="166"/>
      <c r="W10" s="165"/>
      <c r="X10" s="1872" t="s">
        <v>892</v>
      </c>
      <c r="Y10" s="1873" t="s">
        <v>893</v>
      </c>
      <c r="Z10" s="1874" t="s">
        <v>894</v>
      </c>
      <c r="AA10" s="1874" t="s">
        <v>895</v>
      </c>
      <c r="AB10" s="1874" t="s">
        <v>896</v>
      </c>
      <c r="AC10" s="1874" t="s">
        <v>897</v>
      </c>
      <c r="AD10" s="1874" t="s">
        <v>898</v>
      </c>
      <c r="AE10" s="1874" t="s">
        <v>899</v>
      </c>
      <c r="AF10" s="1874" t="s">
        <v>900</v>
      </c>
      <c r="AG10" s="1874" t="s">
        <v>901</v>
      </c>
      <c r="AH10" s="1874" t="s">
        <v>902</v>
      </c>
      <c r="AI10" s="1874" t="s">
        <v>903</v>
      </c>
    </row>
    <row r="11" spans="1:42" ht="22.75" hidden="1" customHeight="1" outlineLevel="1">
      <c r="J11" s="709" t="s">
        <v>512</v>
      </c>
      <c r="K11" s="1587" t="s">
        <v>1218</v>
      </c>
      <c r="P11" s="3"/>
      <c r="Q11" s="35"/>
      <c r="R11" s="35"/>
      <c r="S11" s="36"/>
      <c r="T11" s="36"/>
      <c r="U11" s="36"/>
      <c r="V11" s="36"/>
      <c r="W11" s="1772"/>
      <c r="X11" s="1875">
        <v>45077.785299537034</v>
      </c>
      <c r="Y11" s="1124"/>
      <c r="Z11" s="1124"/>
      <c r="AA11" s="1124"/>
      <c r="AB11" s="1124"/>
      <c r="AC11" s="1124"/>
      <c r="AD11" s="1124"/>
      <c r="AE11" s="1124"/>
      <c r="AF11" s="1124"/>
      <c r="AG11" s="1124"/>
      <c r="AH11" s="1124"/>
      <c r="AI11" s="1124"/>
      <c r="AJ11" s="164"/>
    </row>
    <row r="12" spans="1:42" ht="14.5" hidden="1" outlineLevel="1" collapsed="1">
      <c r="J12" s="709" t="s">
        <v>512</v>
      </c>
      <c r="K12" s="1587" t="s">
        <v>1218</v>
      </c>
      <c r="P12" s="36"/>
      <c r="Q12" s="35"/>
      <c r="R12" s="35"/>
      <c r="S12" s="36"/>
      <c r="T12" s="61"/>
      <c r="U12" s="36"/>
      <c r="V12" s="36"/>
      <c r="W12" s="1773"/>
      <c r="X12" s="1876"/>
      <c r="Y12" s="1877"/>
      <c r="Z12" s="1877"/>
      <c r="AA12" s="1877"/>
      <c r="AB12" s="1877"/>
      <c r="AC12" s="1877"/>
      <c r="AD12" s="1124"/>
      <c r="AE12" s="1124"/>
      <c r="AF12" s="1124"/>
      <c r="AG12" s="1124"/>
      <c r="AH12" s="1124"/>
      <c r="AI12" s="1124"/>
      <c r="AN12" s="163"/>
      <c r="AO12" s="163"/>
      <c r="AP12" s="163"/>
    </row>
    <row r="13" spans="1:42" ht="14.5" collapsed="1">
      <c r="J13" s="709" t="s">
        <v>512</v>
      </c>
      <c r="K13" s="1764" t="s">
        <v>1216</v>
      </c>
      <c r="L13" s="81"/>
      <c r="M13" s="81"/>
      <c r="N13" s="12"/>
      <c r="O13" s="198"/>
      <c r="P13" s="447"/>
      <c r="Q13" s="514"/>
      <c r="R13" s="514"/>
      <c r="S13" s="447"/>
      <c r="T13" s="447"/>
      <c r="U13" s="447"/>
      <c r="V13" s="447"/>
      <c r="W13" s="1773"/>
      <c r="X13" s="1878">
        <v>45017</v>
      </c>
      <c r="Y13" s="1878">
        <v>45047</v>
      </c>
      <c r="Z13" s="1878">
        <v>45078</v>
      </c>
      <c r="AA13" s="1878">
        <v>45108</v>
      </c>
      <c r="AB13" s="1878">
        <v>45139</v>
      </c>
      <c r="AC13" s="1878">
        <v>45170</v>
      </c>
      <c r="AD13" s="1878">
        <v>45200</v>
      </c>
      <c r="AE13" s="1878">
        <v>45231</v>
      </c>
      <c r="AF13" s="1878">
        <v>45261</v>
      </c>
      <c r="AG13" s="1878">
        <v>45292</v>
      </c>
      <c r="AH13" s="1878">
        <v>45323</v>
      </c>
      <c r="AI13" s="1878">
        <v>45352</v>
      </c>
      <c r="AJ13" s="1879" t="s">
        <v>904</v>
      </c>
      <c r="AK13" s="1880" t="s">
        <v>36</v>
      </c>
      <c r="AL13" s="1880" t="s">
        <v>35</v>
      </c>
      <c r="AM13" s="1880" t="s">
        <v>34</v>
      </c>
      <c r="AN13" s="1880" t="s">
        <v>33</v>
      </c>
      <c r="AO13" s="1880" t="s">
        <v>32</v>
      </c>
      <c r="AP13" s="1880" t="s">
        <v>905</v>
      </c>
    </row>
    <row r="14" spans="1:42" ht="14.5">
      <c r="A14" s="1693">
        <v>8</v>
      </c>
      <c r="B14" s="616">
        <v>1</v>
      </c>
      <c r="C14" s="1693">
        <v>11</v>
      </c>
      <c r="D14" s="616">
        <v>1</v>
      </c>
      <c r="E14" s="1693">
        <v>11</v>
      </c>
      <c r="F14" s="616">
        <v>1</v>
      </c>
      <c r="G14" s="1693">
        <v>14</v>
      </c>
      <c r="H14" s="616">
        <v>1</v>
      </c>
      <c r="J14" s="709" t="s">
        <v>512</v>
      </c>
      <c r="K14" s="1764" t="s">
        <v>1216</v>
      </c>
      <c r="L14" s="81"/>
      <c r="M14" s="81"/>
      <c r="N14" s="12"/>
      <c r="O14" s="1881" t="s">
        <v>0</v>
      </c>
      <c r="P14" s="1882"/>
      <c r="Q14" s="1882"/>
      <c r="R14" s="1882"/>
      <c r="S14" s="1882"/>
      <c r="T14" s="1882"/>
      <c r="U14" s="1882"/>
      <c r="V14" s="1882"/>
      <c r="W14" s="1883"/>
      <c r="X14" s="1884">
        <v>941049.21058490593</v>
      </c>
      <c r="Y14" s="1884">
        <v>675591.67248327355</v>
      </c>
      <c r="Z14" s="1884">
        <v>733635.06397991278</v>
      </c>
      <c r="AA14" s="1884">
        <v>685650.62405384192</v>
      </c>
      <c r="AB14" s="1884">
        <v>755265.94014036213</v>
      </c>
      <c r="AC14" s="1884">
        <v>773672.56438615767</v>
      </c>
      <c r="AD14" s="1884">
        <v>709386.80954572745</v>
      </c>
      <c r="AE14" s="1884">
        <v>691799.95033590356</v>
      </c>
      <c r="AF14" s="1884">
        <v>768286.49047424528</v>
      </c>
      <c r="AG14" s="1884">
        <v>722474.70795102231</v>
      </c>
      <c r="AH14" s="1884">
        <v>748910.34105824702</v>
      </c>
      <c r="AI14" s="1884">
        <v>804749.4430559841</v>
      </c>
      <c r="AJ14" s="1885">
        <v>2350275.9470480923</v>
      </c>
      <c r="AK14" s="1884">
        <v>2214589.1285803616</v>
      </c>
      <c r="AL14" s="1884">
        <v>2169473.2503558761</v>
      </c>
      <c r="AM14" s="1884">
        <v>2276134.4920652537</v>
      </c>
      <c r="AN14" s="1884">
        <v>4564865.0756284539</v>
      </c>
      <c r="AO14" s="1884">
        <v>4445607.7424211297</v>
      </c>
      <c r="AP14" s="1884">
        <v>9010472.8180495836</v>
      </c>
    </row>
    <row r="15" spans="1:42" ht="14.5">
      <c r="A15" s="1693">
        <v>31</v>
      </c>
      <c r="B15" s="616">
        <v>1</v>
      </c>
      <c r="C15" s="1693">
        <v>12</v>
      </c>
      <c r="D15" s="616">
        <v>1</v>
      </c>
      <c r="E15" s="1693">
        <v>12</v>
      </c>
      <c r="F15" s="616">
        <v>1</v>
      </c>
      <c r="G15" s="1693">
        <v>15</v>
      </c>
      <c r="H15" s="616">
        <v>1</v>
      </c>
      <c r="J15" s="709" t="s">
        <v>512</v>
      </c>
      <c r="K15" s="1764" t="s">
        <v>1216</v>
      </c>
      <c r="L15" s="81"/>
      <c r="M15" s="81"/>
      <c r="O15" s="1884" t="s">
        <v>48</v>
      </c>
      <c r="P15" s="1886"/>
      <c r="Q15" s="1886"/>
      <c r="R15" s="1887"/>
      <c r="S15" s="1882"/>
      <c r="T15" s="1882"/>
      <c r="U15" s="1882"/>
      <c r="V15" s="1882"/>
      <c r="W15" s="1883"/>
      <c r="X15" s="1884">
        <v>941049.21058490593</v>
      </c>
      <c r="Y15" s="1885">
        <v>675591.67248327355</v>
      </c>
      <c r="Z15" s="1885">
        <v>733635.06397991278</v>
      </c>
      <c r="AA15" s="1885">
        <v>685650.62405384192</v>
      </c>
      <c r="AB15" s="1885">
        <v>755265.94014036213</v>
      </c>
      <c r="AC15" s="1885">
        <v>773672.56438615767</v>
      </c>
      <c r="AD15" s="1885">
        <v>709386.80954572745</v>
      </c>
      <c r="AE15" s="1885">
        <v>691799.95033590356</v>
      </c>
      <c r="AF15" s="1885">
        <v>768286.49047424528</v>
      </c>
      <c r="AG15" s="1885">
        <v>722474.70795102231</v>
      </c>
      <c r="AH15" s="1885">
        <v>748910.34105824702</v>
      </c>
      <c r="AI15" s="1885">
        <v>804749.44305598421</v>
      </c>
      <c r="AJ15" s="1885">
        <v>2350275.9470480923</v>
      </c>
      <c r="AK15" s="1885">
        <v>2214589.1285803616</v>
      </c>
      <c r="AL15" s="1885">
        <v>2169473.2503558761</v>
      </c>
      <c r="AM15" s="1885">
        <v>2276134.4920652537</v>
      </c>
      <c r="AN15" s="1885">
        <v>4564865.0756284539</v>
      </c>
      <c r="AO15" s="1885">
        <v>4445607.7424211297</v>
      </c>
      <c r="AP15" s="1885">
        <v>9010472.8180495836</v>
      </c>
    </row>
    <row r="16" spans="1:42" ht="14.5">
      <c r="A16" s="1693">
        <v>9</v>
      </c>
      <c r="B16" s="616">
        <v>1</v>
      </c>
      <c r="C16" s="1693">
        <v>13</v>
      </c>
      <c r="D16" s="616">
        <v>1</v>
      </c>
      <c r="E16" s="1693">
        <v>13</v>
      </c>
      <c r="F16" s="616">
        <v>1</v>
      </c>
      <c r="G16" s="1693">
        <v>16</v>
      </c>
      <c r="H16" s="616">
        <v>1</v>
      </c>
      <c r="J16" s="709" t="s">
        <v>512</v>
      </c>
      <c r="K16" s="1764" t="s">
        <v>1216</v>
      </c>
      <c r="L16" s="81"/>
      <c r="M16" s="81"/>
      <c r="N16" s="12"/>
      <c r="O16" s="198" t="s">
        <v>37</v>
      </c>
      <c r="P16" s="447"/>
      <c r="Q16" s="514"/>
      <c r="R16" s="514"/>
      <c r="S16" s="447"/>
      <c r="T16" s="447"/>
      <c r="U16" s="447"/>
      <c r="V16" s="447"/>
      <c r="W16" s="1888"/>
      <c r="X16" s="1889">
        <v>602625.6842851832</v>
      </c>
      <c r="Y16" s="1889">
        <v>471337.55504391377</v>
      </c>
      <c r="Z16" s="1889">
        <v>511171.03398562782</v>
      </c>
      <c r="AA16" s="1889">
        <v>483589.79217142949</v>
      </c>
      <c r="AB16" s="1889">
        <v>535054.22565355501</v>
      </c>
      <c r="AC16" s="1889">
        <v>540146.16964397021</v>
      </c>
      <c r="AD16" s="1889">
        <v>507345.05120995152</v>
      </c>
      <c r="AE16" s="1889">
        <v>493297.26052634441</v>
      </c>
      <c r="AF16" s="1889">
        <v>546478.68433591456</v>
      </c>
      <c r="AG16" s="1889">
        <v>512580.27720056649</v>
      </c>
      <c r="AH16" s="1889">
        <v>530798.80878565914</v>
      </c>
      <c r="AI16" s="1889">
        <v>573992.45020184293</v>
      </c>
      <c r="AJ16" s="1890">
        <v>1585134.2733147247</v>
      </c>
      <c r="AK16" s="1889">
        <v>1558790.1874689548</v>
      </c>
      <c r="AL16" s="1889">
        <v>1547120.9960722104</v>
      </c>
      <c r="AM16" s="1889">
        <v>1617371.5361880686</v>
      </c>
      <c r="AN16" s="1889">
        <v>3143924.4607836795</v>
      </c>
      <c r="AO16" s="1889">
        <v>3164492.5322602792</v>
      </c>
      <c r="AP16" s="1889">
        <v>6308416.9930439591</v>
      </c>
    </row>
    <row r="17" spans="1:42" ht="14.5">
      <c r="A17" s="1693">
        <v>10</v>
      </c>
      <c r="B17" s="616">
        <v>1</v>
      </c>
      <c r="C17" s="1693">
        <v>14</v>
      </c>
      <c r="D17" s="616">
        <v>1</v>
      </c>
      <c r="E17" s="1693">
        <v>14</v>
      </c>
      <c r="F17" s="616">
        <v>1</v>
      </c>
      <c r="G17" s="1693">
        <v>17</v>
      </c>
      <c r="H17" s="616">
        <v>1</v>
      </c>
      <c r="J17" s="709" t="s">
        <v>512</v>
      </c>
      <c r="K17" s="1764" t="s">
        <v>1216</v>
      </c>
      <c r="L17" s="81"/>
      <c r="M17" s="81"/>
      <c r="N17" s="12"/>
      <c r="O17" s="1891" t="s">
        <v>54</v>
      </c>
      <c r="P17" s="1892"/>
      <c r="Q17" s="1892"/>
      <c r="R17" s="1892"/>
      <c r="S17" s="1892"/>
      <c r="T17" s="1892"/>
      <c r="U17" s="1892"/>
      <c r="V17" s="1892"/>
      <c r="W17" s="1883"/>
      <c r="X17" s="1893">
        <v>338423.52629972278</v>
      </c>
      <c r="Y17" s="1893">
        <v>204254.11743935978</v>
      </c>
      <c r="Z17" s="1893">
        <v>222464.02999428497</v>
      </c>
      <c r="AA17" s="1893">
        <v>202060.83188241246</v>
      </c>
      <c r="AB17" s="1893">
        <v>220211.71448680715</v>
      </c>
      <c r="AC17" s="1893">
        <v>233526.3947421874</v>
      </c>
      <c r="AD17" s="1893">
        <v>202041.75833577596</v>
      </c>
      <c r="AE17" s="1893">
        <v>198502.68980955915</v>
      </c>
      <c r="AF17" s="1893">
        <v>221807.80613833075</v>
      </c>
      <c r="AG17" s="1893">
        <v>209894.43075045585</v>
      </c>
      <c r="AH17" s="1893">
        <v>218111.53227258788</v>
      </c>
      <c r="AI17" s="1893">
        <v>230756.99285414122</v>
      </c>
      <c r="AJ17" s="1894">
        <v>765141.67373336758</v>
      </c>
      <c r="AK17" s="1893">
        <v>655798.94111140701</v>
      </c>
      <c r="AL17" s="1893">
        <v>622352.2542836658</v>
      </c>
      <c r="AM17" s="1893">
        <v>658762.95587718487</v>
      </c>
      <c r="AN17" s="1893">
        <v>1420940.6148447746</v>
      </c>
      <c r="AO17" s="1893">
        <v>1281115.2101608505</v>
      </c>
      <c r="AP17" s="1893">
        <v>2702055.8250056254</v>
      </c>
    </row>
    <row r="18" spans="1:42" ht="14.5">
      <c r="A18" s="1693">
        <v>11</v>
      </c>
      <c r="B18" s="616">
        <v>1</v>
      </c>
      <c r="C18" s="1693">
        <v>15</v>
      </c>
      <c r="D18" s="616">
        <v>1</v>
      </c>
      <c r="E18" s="1693">
        <v>15</v>
      </c>
      <c r="F18" s="616">
        <v>1</v>
      </c>
      <c r="G18" s="1693">
        <v>18</v>
      </c>
      <c r="H18" s="616">
        <v>1</v>
      </c>
      <c r="J18" s="709" t="s">
        <v>512</v>
      </c>
      <c r="K18" s="1764" t="s">
        <v>1216</v>
      </c>
      <c r="L18" s="81"/>
      <c r="M18" s="81"/>
      <c r="N18" s="12"/>
      <c r="O18" s="106"/>
      <c r="P18" s="104"/>
      <c r="Q18" s="105"/>
      <c r="R18" s="105"/>
      <c r="S18" s="104"/>
      <c r="T18" s="104"/>
      <c r="U18" s="104"/>
      <c r="V18" s="105" t="s">
        <v>55</v>
      </c>
      <c r="W18" s="1776"/>
      <c r="X18" s="1313">
        <v>0.35962362275334869</v>
      </c>
      <c r="Y18" s="1313">
        <v>0.30233368136197203</v>
      </c>
      <c r="Z18" s="1313">
        <v>0.30323527448025045</v>
      </c>
      <c r="AA18" s="1313">
        <v>0.29469940636493214</v>
      </c>
      <c r="AB18" s="1313">
        <v>0.29156844335636528</v>
      </c>
      <c r="AC18" s="1313">
        <v>0.30184138030986069</v>
      </c>
      <c r="AD18" s="1313">
        <v>0.2848118341320135</v>
      </c>
      <c r="AE18" s="1313">
        <v>0.28693654822203463</v>
      </c>
      <c r="AF18" s="1313">
        <v>0.28870455082636426</v>
      </c>
      <c r="AG18" s="1313">
        <v>0.29052149291942403</v>
      </c>
      <c r="AH18" s="1313">
        <v>0.29123851055973615</v>
      </c>
      <c r="AI18" s="1313">
        <v>0.28674389879396056</v>
      </c>
      <c r="AJ18" s="1288">
        <v>0.32555397364908273</v>
      </c>
      <c r="AK18" s="1313">
        <v>0.29612668672847675</v>
      </c>
      <c r="AL18" s="1313">
        <v>0.28686790868777773</v>
      </c>
      <c r="AM18" s="1313">
        <v>0.28942180621297797</v>
      </c>
      <c r="AN18" s="1313">
        <v>0.31127768100553355</v>
      </c>
      <c r="AO18" s="1313">
        <v>0.28817549464297548</v>
      </c>
      <c r="AP18" s="1313">
        <v>0.29987947131841136</v>
      </c>
    </row>
    <row r="19" spans="1:42" ht="14.5">
      <c r="A19" s="1693">
        <v>12</v>
      </c>
      <c r="B19" s="616">
        <v>1</v>
      </c>
      <c r="C19" s="1693">
        <v>16</v>
      </c>
      <c r="D19" s="616">
        <v>1</v>
      </c>
      <c r="E19" s="1693">
        <v>16</v>
      </c>
      <c r="F19" s="616">
        <v>1</v>
      </c>
      <c r="G19" s="1693">
        <v>19</v>
      </c>
      <c r="H19" s="616">
        <v>1</v>
      </c>
      <c r="J19" s="709" t="s">
        <v>512</v>
      </c>
      <c r="K19" s="1764" t="s">
        <v>1216</v>
      </c>
      <c r="L19" s="81"/>
      <c r="M19" s="81"/>
      <c r="N19" s="12"/>
      <c r="O19" s="1891" t="s">
        <v>29</v>
      </c>
      <c r="P19" s="1892"/>
      <c r="Q19" s="1892"/>
      <c r="R19" s="1892"/>
      <c r="S19" s="1892"/>
      <c r="T19" s="1892"/>
      <c r="U19" s="1892"/>
      <c r="V19" s="1892"/>
      <c r="W19" s="1883"/>
      <c r="X19" s="1893">
        <v>195944.53522784228</v>
      </c>
      <c r="Y19" s="1893">
        <v>163451.67757492847</v>
      </c>
      <c r="Z19" s="1893">
        <v>168243.55306478357</v>
      </c>
      <c r="AA19" s="1893">
        <v>165134.55658408499</v>
      </c>
      <c r="AB19" s="1893">
        <v>170626.67016879702</v>
      </c>
      <c r="AC19" s="1893">
        <v>178319.85742453631</v>
      </c>
      <c r="AD19" s="1893">
        <v>162895.25481668569</v>
      </c>
      <c r="AE19" s="1893">
        <v>161681.59083694208</v>
      </c>
      <c r="AF19" s="1893">
        <v>167572.72492022382</v>
      </c>
      <c r="AG19" s="1893">
        <v>162254.97495953212</v>
      </c>
      <c r="AH19" s="1893">
        <v>162339.65432555039</v>
      </c>
      <c r="AI19" s="1893">
        <v>163570.308326812</v>
      </c>
      <c r="AJ19" s="1894">
        <v>527639.76586755435</v>
      </c>
      <c r="AK19" s="1893">
        <v>514081.08417741832</v>
      </c>
      <c r="AL19" s="1893">
        <v>492149.57057385158</v>
      </c>
      <c r="AM19" s="1893">
        <v>488164.93761189451</v>
      </c>
      <c r="AN19" s="1893">
        <v>1041720.8500449727</v>
      </c>
      <c r="AO19" s="1893">
        <v>980314.50818574615</v>
      </c>
      <c r="AP19" s="1893">
        <v>2022035.3582307189</v>
      </c>
    </row>
    <row r="20" spans="1:42" ht="14.5">
      <c r="A20" s="1693">
        <v>13</v>
      </c>
      <c r="B20" s="616">
        <v>1</v>
      </c>
      <c r="C20" s="1693">
        <v>17</v>
      </c>
      <c r="D20" s="616">
        <v>1</v>
      </c>
      <c r="E20" s="1693">
        <v>17</v>
      </c>
      <c r="F20" s="616">
        <v>1</v>
      </c>
      <c r="G20" s="1693">
        <v>20</v>
      </c>
      <c r="H20" s="616">
        <v>1</v>
      </c>
      <c r="J20" s="709" t="s">
        <v>512</v>
      </c>
      <c r="K20" s="1764" t="s">
        <v>1216</v>
      </c>
      <c r="L20" s="81"/>
      <c r="M20" s="81"/>
      <c r="N20" s="12"/>
      <c r="O20" s="153"/>
      <c r="P20" s="36"/>
      <c r="Q20" s="35"/>
      <c r="R20" s="35"/>
      <c r="S20" s="36"/>
      <c r="T20" s="36"/>
      <c r="U20" s="36"/>
      <c r="V20" s="35" t="s">
        <v>55</v>
      </c>
      <c r="W20" s="1776"/>
      <c r="X20" s="1312">
        <v>0.20821922278225347</v>
      </c>
      <c r="Y20" s="1312">
        <v>0.2419385617559921</v>
      </c>
      <c r="Z20" s="1312">
        <v>0.22932866942328992</v>
      </c>
      <c r="AA20" s="1312">
        <v>0.24084358825161298</v>
      </c>
      <c r="AB20" s="1312">
        <v>0.22591601328809685</v>
      </c>
      <c r="AC20" s="1312">
        <v>0.2304849178231074</v>
      </c>
      <c r="AD20" s="1312">
        <v>0.22962825446528884</v>
      </c>
      <c r="AE20" s="1312">
        <v>0.23371148083840937</v>
      </c>
      <c r="AF20" s="1312">
        <v>0.21811228883744277</v>
      </c>
      <c r="AG20" s="1312">
        <v>0.22458222159734295</v>
      </c>
      <c r="AH20" s="1312">
        <v>0.216767809743629</v>
      </c>
      <c r="AI20" s="1312">
        <v>0.2032561932639112</v>
      </c>
      <c r="AJ20" s="1287">
        <v>0.22450119805304614</v>
      </c>
      <c r="AK20" s="1312">
        <v>0.23213384259091185</v>
      </c>
      <c r="AL20" s="1312">
        <v>0.22685210361230329</v>
      </c>
      <c r="AM20" s="1312">
        <v>0.21447104260036823</v>
      </c>
      <c r="AN20" s="1312">
        <v>0.22820408331599087</v>
      </c>
      <c r="AO20" s="1312">
        <v>0.2205130468060269</v>
      </c>
      <c r="AP20" s="1312">
        <v>0.22440946208507745</v>
      </c>
    </row>
    <row r="21" spans="1:42" ht="14.5">
      <c r="A21" s="1693">
        <v>14</v>
      </c>
      <c r="B21" s="616">
        <v>1</v>
      </c>
      <c r="C21" s="1693">
        <v>18</v>
      </c>
      <c r="D21" s="616">
        <v>1</v>
      </c>
      <c r="E21" s="1693">
        <v>18</v>
      </c>
      <c r="F21" s="616">
        <v>1</v>
      </c>
      <c r="G21" s="1693">
        <v>21</v>
      </c>
      <c r="H21" s="616">
        <v>1</v>
      </c>
      <c r="J21" s="709" t="s">
        <v>512</v>
      </c>
      <c r="K21" s="1764" t="s">
        <v>1216</v>
      </c>
      <c r="L21" s="81"/>
      <c r="M21" s="81"/>
      <c r="N21" s="12"/>
      <c r="O21" s="153"/>
      <c r="P21" s="108" t="s">
        <v>63</v>
      </c>
      <c r="Q21" s="108"/>
      <c r="R21" s="156"/>
      <c r="S21" s="108"/>
      <c r="T21" s="108"/>
      <c r="U21" s="108"/>
      <c r="V21" s="156"/>
      <c r="W21" s="1888"/>
      <c r="X21" s="1895">
        <v>78754.736297724594</v>
      </c>
      <c r="Y21" s="1895">
        <v>47844.716706734602</v>
      </c>
      <c r="Z21" s="1895">
        <v>51783.45365629132</v>
      </c>
      <c r="AA21" s="1895">
        <v>48527.286594961486</v>
      </c>
      <c r="AB21" s="1895">
        <v>53255.878649526909</v>
      </c>
      <c r="AC21" s="1895">
        <v>60501.508584336385</v>
      </c>
      <c r="AD21" s="1895">
        <v>45146.60821241184</v>
      </c>
      <c r="AE21" s="1895">
        <v>43950.043290026239</v>
      </c>
      <c r="AF21" s="1895">
        <v>49148.571654046187</v>
      </c>
      <c r="AG21" s="1895">
        <v>44035.851516210088</v>
      </c>
      <c r="AH21" s="1895">
        <v>43844.513795801198</v>
      </c>
      <c r="AI21" s="1895">
        <v>44696.71447656925</v>
      </c>
      <c r="AJ21" s="1896">
        <v>178382.90666075051</v>
      </c>
      <c r="AK21" s="1897">
        <v>162284.67382882477</v>
      </c>
      <c r="AL21" s="1897">
        <v>138245.22315648425</v>
      </c>
      <c r="AM21" s="1897">
        <v>132577.07978858054</v>
      </c>
      <c r="AN21" s="1897">
        <v>340667.58048957528</v>
      </c>
      <c r="AO21" s="1897">
        <v>270822.30294506479</v>
      </c>
      <c r="AP21" s="1897">
        <v>611489.88343464001</v>
      </c>
    </row>
    <row r="22" spans="1:42" ht="14.5">
      <c r="A22" s="1693">
        <v>15</v>
      </c>
      <c r="B22" s="616">
        <v>1</v>
      </c>
      <c r="C22" s="1693">
        <v>19</v>
      </c>
      <c r="D22" s="616">
        <v>1</v>
      </c>
      <c r="E22" s="1693">
        <v>19</v>
      </c>
      <c r="F22" s="616">
        <v>1</v>
      </c>
      <c r="G22" s="1693">
        <v>22</v>
      </c>
      <c r="H22" s="616">
        <v>1</v>
      </c>
      <c r="J22" s="709" t="s">
        <v>512</v>
      </c>
      <c r="K22" s="1764" t="s">
        <v>1216</v>
      </c>
      <c r="L22" s="81"/>
      <c r="M22" s="81"/>
      <c r="N22" s="12"/>
      <c r="O22" s="153"/>
      <c r="P22" s="36" t="s">
        <v>28</v>
      </c>
      <c r="Q22" s="36"/>
      <c r="R22" s="35"/>
      <c r="S22" s="36"/>
      <c r="T22" s="36"/>
      <c r="U22" s="36"/>
      <c r="V22" s="35"/>
      <c r="W22" s="1888"/>
      <c r="X22" s="1895">
        <v>65931.966916666672</v>
      </c>
      <c r="Y22" s="1895">
        <v>66115.300250000015</v>
      </c>
      <c r="Z22" s="1895">
        <v>66581.966916666672</v>
      </c>
      <c r="AA22" s="1895">
        <v>67048.633583333329</v>
      </c>
      <c r="AB22" s="1895">
        <v>67348.633583333329</v>
      </c>
      <c r="AC22" s="1895">
        <v>67673.633583333329</v>
      </c>
      <c r="AD22" s="1895">
        <v>68031.966916666672</v>
      </c>
      <c r="AE22" s="1895">
        <v>68131.966916666672</v>
      </c>
      <c r="AF22" s="1895">
        <v>68315.30025</v>
      </c>
      <c r="AG22" s="1895">
        <v>68415.30025</v>
      </c>
      <c r="AH22" s="1895">
        <v>68515.30025</v>
      </c>
      <c r="AI22" s="1895">
        <v>68515.30025</v>
      </c>
      <c r="AJ22" s="1898">
        <v>198629.23408333334</v>
      </c>
      <c r="AK22" s="1895">
        <v>202070.90074999997</v>
      </c>
      <c r="AL22" s="1895">
        <v>204479.23408333334</v>
      </c>
      <c r="AM22" s="1895">
        <v>205445.90075</v>
      </c>
      <c r="AN22" s="1895">
        <v>400700.13483333332</v>
      </c>
      <c r="AO22" s="1895">
        <v>409925.13483333332</v>
      </c>
      <c r="AP22" s="1895">
        <v>810625.26966666663</v>
      </c>
    </row>
    <row r="23" spans="1:42" ht="14.5">
      <c r="A23" s="1693">
        <v>16</v>
      </c>
      <c r="B23" s="616">
        <v>1</v>
      </c>
      <c r="C23" s="1693">
        <v>20</v>
      </c>
      <c r="D23" s="616">
        <v>1</v>
      </c>
      <c r="E23" s="1693">
        <v>20</v>
      </c>
      <c r="F23" s="616">
        <v>1</v>
      </c>
      <c r="G23" s="1693">
        <v>23</v>
      </c>
      <c r="H23" s="616">
        <v>1</v>
      </c>
      <c r="J23" s="709" t="s">
        <v>512</v>
      </c>
      <c r="K23" s="1764" t="s">
        <v>1216</v>
      </c>
      <c r="L23" s="81"/>
      <c r="M23" s="81"/>
      <c r="N23" s="12"/>
      <c r="O23" s="153"/>
      <c r="P23" s="36" t="s">
        <v>62</v>
      </c>
      <c r="Q23" s="36"/>
      <c r="R23" s="35"/>
      <c r="S23" s="36"/>
      <c r="T23" s="36"/>
      <c r="U23" s="36"/>
      <c r="V23" s="35"/>
      <c r="W23" s="1888"/>
      <c r="X23" s="1895">
        <v>51257.832013451043</v>
      </c>
      <c r="Y23" s="1895">
        <v>49491.660618193848</v>
      </c>
      <c r="Z23" s="1895">
        <v>49878.132491825578</v>
      </c>
      <c r="AA23" s="1895">
        <v>49558.636405790159</v>
      </c>
      <c r="AB23" s="1895">
        <v>50022.157935936797</v>
      </c>
      <c r="AC23" s="1895">
        <v>50144.715256866599</v>
      </c>
      <c r="AD23" s="1895">
        <v>49716.679687607182</v>
      </c>
      <c r="AE23" s="1895">
        <v>49599.580630249176</v>
      </c>
      <c r="AF23" s="1895">
        <v>50108.853016177643</v>
      </c>
      <c r="AG23" s="1895">
        <v>49803.823193322016</v>
      </c>
      <c r="AH23" s="1895">
        <v>49979.840279749194</v>
      </c>
      <c r="AI23" s="1895">
        <v>50358.293600242752</v>
      </c>
      <c r="AJ23" s="1898">
        <v>150627.62512347047</v>
      </c>
      <c r="AK23" s="1895">
        <v>149725.50959859355</v>
      </c>
      <c r="AL23" s="1895">
        <v>149425.11333403399</v>
      </c>
      <c r="AM23" s="1895">
        <v>150141.95707331397</v>
      </c>
      <c r="AN23" s="1895">
        <v>300353.13472206402</v>
      </c>
      <c r="AO23" s="1895">
        <v>299567.07040734799</v>
      </c>
      <c r="AP23" s="1895">
        <v>599920.205129412</v>
      </c>
    </row>
    <row r="24" spans="1:42" ht="14.5">
      <c r="A24" s="1693">
        <v>17</v>
      </c>
      <c r="B24" s="616">
        <v>1</v>
      </c>
      <c r="C24" s="1693">
        <v>21</v>
      </c>
      <c r="D24" s="616">
        <v>1</v>
      </c>
      <c r="E24" s="1693">
        <v>21</v>
      </c>
      <c r="F24" s="616">
        <v>1</v>
      </c>
      <c r="G24" s="1693">
        <v>24</v>
      </c>
      <c r="H24" s="616">
        <v>1</v>
      </c>
      <c r="J24" s="709" t="s">
        <v>512</v>
      </c>
      <c r="K24" s="1764" t="s">
        <v>1216</v>
      </c>
      <c r="L24" s="81"/>
      <c r="M24" s="81"/>
      <c r="N24" s="12"/>
      <c r="O24" s="1891" t="s">
        <v>56</v>
      </c>
      <c r="P24" s="1892"/>
      <c r="Q24" s="1892"/>
      <c r="R24" s="1892"/>
      <c r="S24" s="1892"/>
      <c r="T24" s="1892"/>
      <c r="U24" s="1892"/>
      <c r="V24" s="1892"/>
      <c r="W24" s="1883"/>
      <c r="X24" s="1893">
        <v>142478.9910718805</v>
      </c>
      <c r="Y24" s="1893">
        <v>40802.439864431304</v>
      </c>
      <c r="Z24" s="1893">
        <v>54220.476929501398</v>
      </c>
      <c r="AA24" s="1893">
        <v>36926.275298327469</v>
      </c>
      <c r="AB24" s="1893">
        <v>49585.044318010128</v>
      </c>
      <c r="AC24" s="1893">
        <v>55206.537317651091</v>
      </c>
      <c r="AD24" s="1893">
        <v>39146.503519090271</v>
      </c>
      <c r="AE24" s="1893">
        <v>36821.098972617066</v>
      </c>
      <c r="AF24" s="1893">
        <v>54235.081218106934</v>
      </c>
      <c r="AG24" s="1893">
        <v>47639.455790923734</v>
      </c>
      <c r="AH24" s="1893">
        <v>55771.877947037487</v>
      </c>
      <c r="AI24" s="1893">
        <v>67186.684527329227</v>
      </c>
      <c r="AJ24" s="1894">
        <v>237501.90786581321</v>
      </c>
      <c r="AK24" s="1893">
        <v>141717.85693398869</v>
      </c>
      <c r="AL24" s="1893">
        <v>130202.68370981427</v>
      </c>
      <c r="AM24" s="1893">
        <v>170598.01826529045</v>
      </c>
      <c r="AN24" s="1893">
        <v>379219.76479980187</v>
      </c>
      <c r="AO24" s="1893">
        <v>300800.70197510475</v>
      </c>
      <c r="AP24" s="1893">
        <v>680020.46677490661</v>
      </c>
    </row>
    <row r="25" spans="1:42" ht="14.5">
      <c r="A25" s="1693">
        <v>18</v>
      </c>
      <c r="B25" s="616">
        <v>1</v>
      </c>
      <c r="C25" s="1693">
        <v>22</v>
      </c>
      <c r="D25" s="616">
        <v>1</v>
      </c>
      <c r="E25" s="1693">
        <v>22</v>
      </c>
      <c r="F25" s="616">
        <v>1</v>
      </c>
      <c r="G25" s="1693">
        <v>25</v>
      </c>
      <c r="H25" s="616">
        <v>1</v>
      </c>
      <c r="J25" s="709" t="s">
        <v>512</v>
      </c>
      <c r="K25" s="1764" t="s">
        <v>1216</v>
      </c>
      <c r="L25" s="81"/>
      <c r="M25" s="81"/>
      <c r="N25" s="12"/>
      <c r="O25" s="153"/>
      <c r="P25" s="36"/>
      <c r="Q25" s="35"/>
      <c r="R25" s="35"/>
      <c r="S25" s="36"/>
      <c r="T25" s="36"/>
      <c r="U25" s="36"/>
      <c r="V25" s="35" t="s">
        <v>55</v>
      </c>
      <c r="W25" s="1776"/>
      <c r="X25" s="1311">
        <v>0.1514043999710952</v>
      </c>
      <c r="Y25" s="1311">
        <v>6.0395119605979895E-2</v>
      </c>
      <c r="Z25" s="1311">
        <v>7.3906605056960548E-2</v>
      </c>
      <c r="AA25" s="1311">
        <v>5.3855818113319139E-2</v>
      </c>
      <c r="AB25" s="1311">
        <v>6.5652430068268416E-2</v>
      </c>
      <c r="AC25" s="1311">
        <v>7.13564624867533E-2</v>
      </c>
      <c r="AD25" s="1311">
        <v>5.5183579666724644E-2</v>
      </c>
      <c r="AE25" s="1311">
        <v>5.3225067383625251E-2</v>
      </c>
      <c r="AF25" s="1311">
        <v>7.0592261988921462E-2</v>
      </c>
      <c r="AG25" s="1311">
        <v>6.5939271322081064E-2</v>
      </c>
      <c r="AH25" s="1311">
        <v>7.4470700816107155E-2</v>
      </c>
      <c r="AI25" s="1311">
        <v>8.3487705530049361E-2</v>
      </c>
      <c r="AJ25" s="1285">
        <v>0.10105277559603658</v>
      </c>
      <c r="AK25" s="1311">
        <v>6.3992844137564869E-2</v>
      </c>
      <c r="AL25" s="1311">
        <v>6.0015805075474465E-2</v>
      </c>
      <c r="AM25" s="1311">
        <v>7.4950763612609772E-2</v>
      </c>
      <c r="AN25" s="1311">
        <v>8.3073597689542658E-2</v>
      </c>
      <c r="AO25" s="1311">
        <v>6.766244783694865E-2</v>
      </c>
      <c r="AP25" s="1311">
        <v>7.547000923333394E-2</v>
      </c>
    </row>
    <row r="26" spans="1:42" ht="14.5">
      <c r="A26" s="1693">
        <v>19</v>
      </c>
      <c r="B26" s="616">
        <v>1</v>
      </c>
      <c r="C26" s="1693">
        <v>23</v>
      </c>
      <c r="D26" s="616">
        <v>1</v>
      </c>
      <c r="E26" s="1693">
        <v>23</v>
      </c>
      <c r="F26" s="616">
        <v>1</v>
      </c>
      <c r="G26" s="1693">
        <v>26</v>
      </c>
      <c r="H26" s="616">
        <v>1</v>
      </c>
      <c r="J26" s="709" t="s">
        <v>512</v>
      </c>
      <c r="K26" s="1764" t="s">
        <v>1216</v>
      </c>
      <c r="L26" s="35"/>
      <c r="M26" s="35"/>
      <c r="N26" s="4"/>
      <c r="O26" s="153" t="s">
        <v>994</v>
      </c>
      <c r="P26" s="36"/>
      <c r="Q26" s="35"/>
      <c r="R26" s="35"/>
      <c r="S26" s="36"/>
      <c r="T26" s="36"/>
      <c r="U26" s="36"/>
      <c r="V26" s="36"/>
      <c r="W26" s="1899"/>
      <c r="X26" s="1900">
        <v>0</v>
      </c>
      <c r="Y26" s="1900">
        <v>0</v>
      </c>
      <c r="Z26" s="1900">
        <v>0</v>
      </c>
      <c r="AA26" s="1900">
        <v>0</v>
      </c>
      <c r="AB26" s="1900">
        <v>0</v>
      </c>
      <c r="AC26" s="1900">
        <v>0</v>
      </c>
      <c r="AD26" s="1900">
        <v>0</v>
      </c>
      <c r="AE26" s="1900">
        <v>0</v>
      </c>
      <c r="AF26" s="1900">
        <v>0</v>
      </c>
      <c r="AG26" s="1900">
        <v>0</v>
      </c>
      <c r="AH26" s="1900">
        <v>0</v>
      </c>
      <c r="AI26" s="1900">
        <v>0</v>
      </c>
      <c r="AJ26" s="1901">
        <v>0</v>
      </c>
      <c r="AK26" s="1900">
        <v>0</v>
      </c>
      <c r="AL26" s="1900">
        <v>0</v>
      </c>
      <c r="AM26" s="1900">
        <v>0</v>
      </c>
      <c r="AN26" s="1900">
        <v>0</v>
      </c>
      <c r="AO26" s="1900">
        <v>0</v>
      </c>
      <c r="AP26" s="1900">
        <v>0</v>
      </c>
    </row>
    <row r="27" spans="1:42" ht="14.5">
      <c r="A27" s="1693">
        <v>20</v>
      </c>
      <c r="B27" s="616">
        <v>1</v>
      </c>
      <c r="C27" s="1693">
        <v>24</v>
      </c>
      <c r="D27" s="616">
        <v>1</v>
      </c>
      <c r="E27" s="1693">
        <v>24</v>
      </c>
      <c r="F27" s="616">
        <v>1</v>
      </c>
      <c r="G27" s="1693">
        <v>27</v>
      </c>
      <c r="H27" s="616">
        <v>1</v>
      </c>
      <c r="J27" s="709" t="s">
        <v>512</v>
      </c>
      <c r="K27" s="1764" t="s">
        <v>1216</v>
      </c>
      <c r="L27" s="35"/>
      <c r="M27" s="35"/>
      <c r="N27" s="4"/>
      <c r="O27" s="106" t="s">
        <v>995</v>
      </c>
      <c r="P27" s="104"/>
      <c r="Q27" s="105"/>
      <c r="R27" s="105"/>
      <c r="S27" s="104"/>
      <c r="T27" s="104"/>
      <c r="U27" s="104"/>
      <c r="V27" s="104"/>
      <c r="W27" s="1899"/>
      <c r="X27" s="1902">
        <v>0</v>
      </c>
      <c r="Y27" s="1902">
        <v>0</v>
      </c>
      <c r="Z27" s="1902">
        <v>0</v>
      </c>
      <c r="AA27" s="1902">
        <v>0</v>
      </c>
      <c r="AB27" s="1902">
        <v>0</v>
      </c>
      <c r="AC27" s="1902">
        <v>0</v>
      </c>
      <c r="AD27" s="1902">
        <v>0</v>
      </c>
      <c r="AE27" s="1902">
        <v>0</v>
      </c>
      <c r="AF27" s="1902">
        <v>0</v>
      </c>
      <c r="AG27" s="1902">
        <v>0</v>
      </c>
      <c r="AH27" s="1902">
        <v>0</v>
      </c>
      <c r="AI27" s="1902">
        <v>0</v>
      </c>
      <c r="AJ27" s="1903">
        <v>0</v>
      </c>
      <c r="AK27" s="1902">
        <v>0</v>
      </c>
      <c r="AL27" s="1902">
        <v>0</v>
      </c>
      <c r="AM27" s="1902">
        <v>0</v>
      </c>
      <c r="AN27" s="1902">
        <v>0</v>
      </c>
      <c r="AO27" s="1902">
        <v>0</v>
      </c>
      <c r="AP27" s="1902">
        <v>0</v>
      </c>
    </row>
    <row r="28" spans="1:42" ht="14.5">
      <c r="A28" s="1693">
        <v>21</v>
      </c>
      <c r="B28" s="616">
        <v>1</v>
      </c>
      <c r="C28" s="1693">
        <v>25</v>
      </c>
      <c r="D28" s="616">
        <v>1</v>
      </c>
      <c r="E28" s="1693">
        <v>25</v>
      </c>
      <c r="F28" s="616">
        <v>1</v>
      </c>
      <c r="G28" s="1693">
        <v>28</v>
      </c>
      <c r="H28" s="616">
        <v>1</v>
      </c>
      <c r="J28" s="709" t="s">
        <v>512</v>
      </c>
      <c r="K28" s="1764" t="s">
        <v>1216</v>
      </c>
      <c r="L28" s="35"/>
      <c r="M28" s="35"/>
      <c r="N28" s="4"/>
      <c r="O28" s="1891" t="s">
        <v>1</v>
      </c>
      <c r="P28" s="1892"/>
      <c r="Q28" s="1892"/>
      <c r="R28" s="1892"/>
      <c r="S28" s="1892"/>
      <c r="T28" s="1892"/>
      <c r="U28" s="1892"/>
      <c r="V28" s="1892"/>
      <c r="W28" s="1883"/>
      <c r="X28" s="1893">
        <v>142478.9910718805</v>
      </c>
      <c r="Y28" s="1893">
        <v>40802.439864431304</v>
      </c>
      <c r="Z28" s="1893">
        <v>54220.476929501398</v>
      </c>
      <c r="AA28" s="1893">
        <v>36926.275298327469</v>
      </c>
      <c r="AB28" s="1893">
        <v>49585.044318010128</v>
      </c>
      <c r="AC28" s="1893">
        <v>55206.537317651091</v>
      </c>
      <c r="AD28" s="1893">
        <v>39146.503519090271</v>
      </c>
      <c r="AE28" s="1893">
        <v>36821.098972617066</v>
      </c>
      <c r="AF28" s="1893">
        <v>54235.081218106934</v>
      </c>
      <c r="AG28" s="1893">
        <v>47639.455790923734</v>
      </c>
      <c r="AH28" s="1893">
        <v>55771.877947037487</v>
      </c>
      <c r="AI28" s="1893">
        <v>67186.684527329227</v>
      </c>
      <c r="AJ28" s="1894">
        <v>237501.90786581321</v>
      </c>
      <c r="AK28" s="1893">
        <v>141717.85693398869</v>
      </c>
      <c r="AL28" s="1893">
        <v>130202.68370981427</v>
      </c>
      <c r="AM28" s="1893">
        <v>170598.01826529045</v>
      </c>
      <c r="AN28" s="1893">
        <v>379219.76479980187</v>
      </c>
      <c r="AO28" s="1893">
        <v>300800.70197510475</v>
      </c>
      <c r="AP28" s="1893">
        <v>680020.46677490661</v>
      </c>
    </row>
    <row r="29" spans="1:42" ht="14.5">
      <c r="A29" s="1693">
        <v>22</v>
      </c>
      <c r="B29" s="616">
        <v>1</v>
      </c>
      <c r="C29" s="1693">
        <v>26</v>
      </c>
      <c r="D29" s="616">
        <v>1</v>
      </c>
      <c r="E29" s="1693">
        <v>26</v>
      </c>
      <c r="F29" s="616">
        <v>1</v>
      </c>
      <c r="G29" s="1693">
        <v>29</v>
      </c>
      <c r="H29" s="616">
        <v>1</v>
      </c>
      <c r="J29" s="709" t="s">
        <v>512</v>
      </c>
      <c r="K29" s="1764" t="s">
        <v>1216</v>
      </c>
      <c r="L29" s="35"/>
      <c r="M29" s="35"/>
      <c r="N29" s="4"/>
      <c r="O29" s="106"/>
      <c r="P29" s="104"/>
      <c r="Q29" s="105"/>
      <c r="R29" s="105"/>
      <c r="S29" s="104"/>
      <c r="T29" s="104"/>
      <c r="U29" s="104"/>
      <c r="V29" s="105" t="s">
        <v>55</v>
      </c>
      <c r="W29" s="1776"/>
      <c r="X29" s="1313">
        <v>0.1514043999710952</v>
      </c>
      <c r="Y29" s="1313">
        <v>6.0395119605979895E-2</v>
      </c>
      <c r="Z29" s="1313">
        <v>7.3906605056960548E-2</v>
      </c>
      <c r="AA29" s="1313">
        <v>5.3855818113319139E-2</v>
      </c>
      <c r="AB29" s="1313">
        <v>6.5652430068268416E-2</v>
      </c>
      <c r="AC29" s="1313">
        <v>7.13564624867533E-2</v>
      </c>
      <c r="AD29" s="1313">
        <v>5.5183579666724644E-2</v>
      </c>
      <c r="AE29" s="1313">
        <v>5.3225067383625251E-2</v>
      </c>
      <c r="AF29" s="1313">
        <v>7.0592261988921462E-2</v>
      </c>
      <c r="AG29" s="1313">
        <v>6.5939271322081064E-2</v>
      </c>
      <c r="AH29" s="1313">
        <v>7.4470700816107155E-2</v>
      </c>
      <c r="AI29" s="1313">
        <v>8.3487705530049361E-2</v>
      </c>
      <c r="AJ29" s="1288">
        <v>0.10105277559603658</v>
      </c>
      <c r="AK29" s="1313">
        <v>6.3992844137564869E-2</v>
      </c>
      <c r="AL29" s="1313">
        <v>6.0015805075474465E-2</v>
      </c>
      <c r="AM29" s="1313">
        <v>7.4950763612609772E-2</v>
      </c>
      <c r="AN29" s="1313">
        <v>8.3073597689542658E-2</v>
      </c>
      <c r="AO29" s="1313">
        <v>6.766244783694865E-2</v>
      </c>
      <c r="AP29" s="1313">
        <v>7.547000923333394E-2</v>
      </c>
    </row>
    <row r="30" spans="1:42" ht="14.5">
      <c r="A30" s="1693">
        <v>23</v>
      </c>
      <c r="B30" s="616">
        <v>1</v>
      </c>
      <c r="C30" s="1693">
        <v>27</v>
      </c>
      <c r="D30" s="616">
        <v>1</v>
      </c>
      <c r="E30" s="1693">
        <v>27</v>
      </c>
      <c r="F30" s="616">
        <v>1</v>
      </c>
      <c r="G30" s="1693">
        <v>30</v>
      </c>
      <c r="H30" s="616">
        <v>1</v>
      </c>
      <c r="J30" s="709" t="s">
        <v>512</v>
      </c>
      <c r="K30" s="69"/>
      <c r="L30" s="35"/>
      <c r="M30" s="35"/>
      <c r="N30" s="4"/>
      <c r="O30" s="153" t="s">
        <v>996</v>
      </c>
      <c r="P30" s="36"/>
      <c r="Q30" s="35"/>
      <c r="R30" s="35"/>
      <c r="S30" s="36"/>
      <c r="T30" s="36"/>
      <c r="U30" s="36"/>
      <c r="V30" s="35"/>
      <c r="W30" s="1899"/>
      <c r="X30" s="1900">
        <v>0</v>
      </c>
      <c r="Y30" s="1900">
        <v>0</v>
      </c>
      <c r="Z30" s="1900">
        <v>0</v>
      </c>
      <c r="AA30" s="1900">
        <v>0</v>
      </c>
      <c r="AB30" s="1900">
        <v>0</v>
      </c>
      <c r="AC30" s="1900">
        <v>0</v>
      </c>
      <c r="AD30" s="1900">
        <v>0</v>
      </c>
      <c r="AE30" s="1900">
        <v>0</v>
      </c>
      <c r="AF30" s="1900">
        <v>0</v>
      </c>
      <c r="AG30" s="1900">
        <v>0</v>
      </c>
      <c r="AH30" s="1900">
        <v>0</v>
      </c>
      <c r="AI30" s="1900">
        <v>0</v>
      </c>
      <c r="AJ30" s="1901">
        <v>0</v>
      </c>
      <c r="AK30" s="1900">
        <v>0</v>
      </c>
      <c r="AL30" s="1900">
        <v>0</v>
      </c>
      <c r="AM30" s="1900">
        <v>0</v>
      </c>
      <c r="AN30" s="1900">
        <v>0</v>
      </c>
      <c r="AO30" s="1900">
        <v>0</v>
      </c>
      <c r="AP30" s="1900">
        <v>0</v>
      </c>
    </row>
    <row r="31" spans="1:42" ht="14.5">
      <c r="A31" s="1693">
        <v>24</v>
      </c>
      <c r="B31" s="616">
        <v>1</v>
      </c>
      <c r="C31" s="1693">
        <v>28</v>
      </c>
      <c r="D31" s="616">
        <v>1</v>
      </c>
      <c r="E31" s="1693">
        <v>28</v>
      </c>
      <c r="F31" s="616">
        <v>1</v>
      </c>
      <c r="G31" s="1693">
        <v>31</v>
      </c>
      <c r="H31" s="616">
        <v>1</v>
      </c>
      <c r="J31" s="709" t="s">
        <v>512</v>
      </c>
      <c r="K31" s="69"/>
      <c r="L31" s="81"/>
      <c r="M31" s="81"/>
      <c r="N31" s="12"/>
      <c r="O31" s="153"/>
      <c r="P31" s="108" t="s">
        <v>177</v>
      </c>
      <c r="Q31" s="108"/>
      <c r="R31" s="156"/>
      <c r="S31" s="108"/>
      <c r="T31" s="108"/>
      <c r="U31" s="108"/>
      <c r="V31" s="108"/>
      <c r="W31" s="1904"/>
      <c r="X31" s="1905">
        <v>0</v>
      </c>
      <c r="Y31" s="1905">
        <v>0</v>
      </c>
      <c r="Z31" s="1905">
        <v>0</v>
      </c>
      <c r="AA31" s="1905">
        <v>0</v>
      </c>
      <c r="AB31" s="1905">
        <v>0</v>
      </c>
      <c r="AC31" s="1905">
        <v>0</v>
      </c>
      <c r="AD31" s="1905">
        <v>0</v>
      </c>
      <c r="AE31" s="1905">
        <v>0</v>
      </c>
      <c r="AF31" s="1905">
        <v>0</v>
      </c>
      <c r="AG31" s="1905">
        <v>0</v>
      </c>
      <c r="AH31" s="1905">
        <v>0</v>
      </c>
      <c r="AI31" s="1905">
        <v>0</v>
      </c>
      <c r="AJ31" s="1906">
        <v>0</v>
      </c>
      <c r="AK31" s="1907">
        <v>0</v>
      </c>
      <c r="AL31" s="1907">
        <v>0</v>
      </c>
      <c r="AM31" s="1907">
        <v>0</v>
      </c>
      <c r="AN31" s="1907">
        <v>0</v>
      </c>
      <c r="AO31" s="1907">
        <v>0</v>
      </c>
      <c r="AP31" s="1907">
        <v>0</v>
      </c>
    </row>
    <row r="32" spans="1:42" ht="14.5">
      <c r="A32" s="1693">
        <v>25</v>
      </c>
      <c r="B32" s="616">
        <v>1</v>
      </c>
      <c r="C32" s="1693">
        <v>29</v>
      </c>
      <c r="D32" s="616">
        <v>1</v>
      </c>
      <c r="E32" s="1693">
        <v>29</v>
      </c>
      <c r="F32" s="616">
        <v>1</v>
      </c>
      <c r="G32" s="1693">
        <v>32</v>
      </c>
      <c r="H32" s="616">
        <v>1</v>
      </c>
      <c r="J32" s="709" t="s">
        <v>512</v>
      </c>
      <c r="K32" s="69"/>
      <c r="L32" s="81"/>
      <c r="M32" s="81"/>
      <c r="N32" s="12"/>
      <c r="O32" s="153"/>
      <c r="P32" s="36" t="s">
        <v>178</v>
      </c>
      <c r="Q32" s="36"/>
      <c r="R32" s="35"/>
      <c r="S32" s="36"/>
      <c r="T32" s="36"/>
      <c r="U32" s="36"/>
      <c r="V32" s="36"/>
      <c r="W32" s="1904"/>
      <c r="X32" s="1908">
        <v>0</v>
      </c>
      <c r="Y32" s="1908">
        <v>0</v>
      </c>
      <c r="Z32" s="1908">
        <v>0</v>
      </c>
      <c r="AA32" s="1908">
        <v>0</v>
      </c>
      <c r="AB32" s="1908">
        <v>0</v>
      </c>
      <c r="AC32" s="1908">
        <v>0</v>
      </c>
      <c r="AD32" s="1908">
        <v>0</v>
      </c>
      <c r="AE32" s="1908">
        <v>0</v>
      </c>
      <c r="AF32" s="1908">
        <v>0</v>
      </c>
      <c r="AG32" s="1908">
        <v>0</v>
      </c>
      <c r="AH32" s="1908">
        <v>0</v>
      </c>
      <c r="AI32" s="1908">
        <v>0</v>
      </c>
      <c r="AJ32" s="1909">
        <v>0</v>
      </c>
      <c r="AK32" s="1910">
        <v>0</v>
      </c>
      <c r="AL32" s="1910">
        <v>0</v>
      </c>
      <c r="AM32" s="1910">
        <v>0</v>
      </c>
      <c r="AN32" s="1910">
        <v>0</v>
      </c>
      <c r="AO32" s="1910">
        <v>0</v>
      </c>
      <c r="AP32" s="1910">
        <v>0</v>
      </c>
    </row>
    <row r="33" spans="1:42" ht="14.5">
      <c r="A33" s="1693">
        <v>26</v>
      </c>
      <c r="B33" s="616">
        <v>1</v>
      </c>
      <c r="C33" s="1693">
        <v>30</v>
      </c>
      <c r="D33" s="616">
        <v>1</v>
      </c>
      <c r="E33" s="1693">
        <v>30</v>
      </c>
      <c r="F33" s="616">
        <v>1</v>
      </c>
      <c r="G33" s="1693">
        <v>33</v>
      </c>
      <c r="H33" s="616">
        <v>1</v>
      </c>
      <c r="J33" s="709" t="s">
        <v>512</v>
      </c>
      <c r="K33" s="69"/>
      <c r="L33" s="35"/>
      <c r="M33" s="35"/>
      <c r="N33" s="4"/>
      <c r="O33" s="1881" t="s">
        <v>64</v>
      </c>
      <c r="P33" s="1882"/>
      <c r="Q33" s="1882"/>
      <c r="R33" s="1882"/>
      <c r="S33" s="1882"/>
      <c r="T33" s="1882"/>
      <c r="U33" s="1882"/>
      <c r="V33" s="1882"/>
      <c r="W33" s="1883"/>
      <c r="X33" s="1884">
        <v>142478.9910718805</v>
      </c>
      <c r="Y33" s="1884">
        <v>40802.439864431304</v>
      </c>
      <c r="Z33" s="1884">
        <v>54220.476929501398</v>
      </c>
      <c r="AA33" s="1884">
        <v>36926.275298327469</v>
      </c>
      <c r="AB33" s="1884">
        <v>49585.044318010128</v>
      </c>
      <c r="AC33" s="1884">
        <v>55206.537317651091</v>
      </c>
      <c r="AD33" s="1884">
        <v>39146.503519090271</v>
      </c>
      <c r="AE33" s="1884">
        <v>36821.098972617066</v>
      </c>
      <c r="AF33" s="1884">
        <v>54235.081218106934</v>
      </c>
      <c r="AG33" s="1884">
        <v>47639.455790923734</v>
      </c>
      <c r="AH33" s="1884">
        <v>55771.877947037487</v>
      </c>
      <c r="AI33" s="1884">
        <v>67186.684527329227</v>
      </c>
      <c r="AJ33" s="1885">
        <v>237501.90786581321</v>
      </c>
      <c r="AK33" s="1884">
        <v>141717.85693398869</v>
      </c>
      <c r="AL33" s="1884">
        <v>130202.68370981427</v>
      </c>
      <c r="AM33" s="1884">
        <v>170598.01826529045</v>
      </c>
      <c r="AN33" s="1884">
        <v>379219.76479980187</v>
      </c>
      <c r="AO33" s="1884">
        <v>300800.70197510475</v>
      </c>
      <c r="AP33" s="1884">
        <v>680020.46677490661</v>
      </c>
    </row>
    <row r="34" spans="1:42" ht="14.5">
      <c r="A34" s="1693">
        <v>27</v>
      </c>
      <c r="B34" s="616">
        <v>1</v>
      </c>
      <c r="C34" s="1693">
        <v>31</v>
      </c>
      <c r="D34" s="616">
        <v>1</v>
      </c>
      <c r="E34" s="1693">
        <v>31</v>
      </c>
      <c r="F34" s="616">
        <v>1</v>
      </c>
      <c r="G34" s="1693">
        <v>34</v>
      </c>
      <c r="H34" s="616">
        <v>1</v>
      </c>
      <c r="J34" s="709" t="s">
        <v>512</v>
      </c>
      <c r="K34" s="69"/>
      <c r="L34" s="35"/>
      <c r="M34" s="35"/>
      <c r="N34" s="4"/>
      <c r="O34" s="198" t="s">
        <v>997</v>
      </c>
      <c r="P34" s="447"/>
      <c r="Q34" s="514"/>
      <c r="R34" s="514"/>
      <c r="S34" s="447"/>
      <c r="T34" s="447"/>
      <c r="U34" s="447"/>
      <c r="V34" s="447"/>
      <c r="W34" s="1911"/>
      <c r="X34" s="1912">
        <v>35619.747767970126</v>
      </c>
      <c r="Y34" s="1912">
        <v>10200.609966107826</v>
      </c>
      <c r="Z34" s="1912">
        <v>13555.119232375349</v>
      </c>
      <c r="AA34" s="1912">
        <v>9231.5688245818674</v>
      </c>
      <c r="AB34" s="1912">
        <v>12396.261079502532</v>
      </c>
      <c r="AC34" s="1912">
        <v>13801.634329412773</v>
      </c>
      <c r="AD34" s="1912">
        <v>9786.6258797725677</v>
      </c>
      <c r="AE34" s="1912">
        <v>9205.2747431542666</v>
      </c>
      <c r="AF34" s="1912">
        <v>13558.770304526734</v>
      </c>
      <c r="AG34" s="1912">
        <v>11909.863947730933</v>
      </c>
      <c r="AH34" s="1912">
        <v>13942.969486759372</v>
      </c>
      <c r="AI34" s="1912">
        <v>16796.671131832307</v>
      </c>
      <c r="AJ34" s="1913">
        <v>59375.476966453301</v>
      </c>
      <c r="AK34" s="1914">
        <v>35429.464233497172</v>
      </c>
      <c r="AL34" s="1914">
        <v>32550.670927453568</v>
      </c>
      <c r="AM34" s="1914">
        <v>42649.504566322612</v>
      </c>
      <c r="AN34" s="1914">
        <v>94804.941199950466</v>
      </c>
      <c r="AO34" s="1914">
        <v>75200.175493776187</v>
      </c>
      <c r="AP34" s="1914">
        <v>170005.11669372665</v>
      </c>
    </row>
    <row r="35" spans="1:42" ht="14.5">
      <c r="A35" s="1693">
        <v>28</v>
      </c>
      <c r="B35" s="616">
        <v>1</v>
      </c>
      <c r="C35" s="1693">
        <v>32</v>
      </c>
      <c r="D35" s="616">
        <v>1</v>
      </c>
      <c r="E35" s="1693">
        <v>32</v>
      </c>
      <c r="F35" s="616">
        <v>1</v>
      </c>
      <c r="G35" s="1693">
        <v>35</v>
      </c>
      <c r="H35" s="616">
        <v>1</v>
      </c>
      <c r="J35" s="709" t="s">
        <v>512</v>
      </c>
      <c r="K35" s="1764" t="s">
        <v>1216</v>
      </c>
      <c r="L35" s="35"/>
      <c r="M35" s="35"/>
      <c r="N35" s="4"/>
      <c r="O35" s="1881" t="s">
        <v>179</v>
      </c>
      <c r="P35" s="1882"/>
      <c r="Q35" s="1882"/>
      <c r="R35" s="1882"/>
      <c r="S35" s="1882"/>
      <c r="T35" s="1882"/>
      <c r="U35" s="1882"/>
      <c r="V35" s="1882"/>
      <c r="W35" s="1883"/>
      <c r="X35" s="1884">
        <v>106859.24330391038</v>
      </c>
      <c r="Y35" s="1884">
        <v>30601.829898323478</v>
      </c>
      <c r="Z35" s="1884">
        <v>40665.357697126048</v>
      </c>
      <c r="AA35" s="1884">
        <v>27694.706473745602</v>
      </c>
      <c r="AB35" s="1884">
        <v>37188.783238507596</v>
      </c>
      <c r="AC35" s="1884">
        <v>41404.902988238318</v>
      </c>
      <c r="AD35" s="1884">
        <v>29359.877639317703</v>
      </c>
      <c r="AE35" s="1884">
        <v>27615.8242294628</v>
      </c>
      <c r="AF35" s="1884">
        <v>40676.310913580201</v>
      </c>
      <c r="AG35" s="1884">
        <v>35729.5918431928</v>
      </c>
      <c r="AH35" s="1884">
        <v>41828.908460278115</v>
      </c>
      <c r="AI35" s="1884">
        <v>50390.013395496921</v>
      </c>
      <c r="AJ35" s="1885">
        <v>178126.4308993599</v>
      </c>
      <c r="AK35" s="1884">
        <v>106288.39270049152</v>
      </c>
      <c r="AL35" s="1884">
        <v>97652.012782360704</v>
      </c>
      <c r="AM35" s="1884">
        <v>127948.51369896783</v>
      </c>
      <c r="AN35" s="1884">
        <v>284414.8235998514</v>
      </c>
      <c r="AO35" s="1884">
        <v>225600.52648132853</v>
      </c>
      <c r="AP35" s="1884">
        <v>510015.35008117993</v>
      </c>
    </row>
    <row r="36" spans="1:42" ht="14.5">
      <c r="A36" s="1693">
        <v>29</v>
      </c>
      <c r="B36" s="616">
        <v>1</v>
      </c>
      <c r="C36" s="1693">
        <v>33</v>
      </c>
      <c r="D36" s="616">
        <v>1</v>
      </c>
      <c r="E36" s="1693">
        <v>33</v>
      </c>
      <c r="F36" s="616">
        <v>1</v>
      </c>
      <c r="G36" s="1693">
        <v>36</v>
      </c>
      <c r="H36" s="616">
        <v>1</v>
      </c>
      <c r="J36" s="709" t="s">
        <v>512</v>
      </c>
      <c r="K36" s="1764" t="s">
        <v>1216</v>
      </c>
      <c r="L36" s="35"/>
      <c r="M36" s="35"/>
      <c r="N36" s="4"/>
      <c r="O36" s="106"/>
      <c r="P36" s="104"/>
      <c r="Q36" s="105"/>
      <c r="R36" s="105"/>
      <c r="S36" s="104"/>
      <c r="T36" s="104"/>
      <c r="U36" s="104"/>
      <c r="V36" s="105" t="s">
        <v>55</v>
      </c>
      <c r="W36" s="1776"/>
      <c r="X36" s="1313">
        <v>0.11355329997832141</v>
      </c>
      <c r="Y36" s="1313">
        <v>4.5296339704484927E-2</v>
      </c>
      <c r="Z36" s="1313">
        <v>5.5429953792720414E-2</v>
      </c>
      <c r="AA36" s="1313">
        <v>4.0391863584989356E-2</v>
      </c>
      <c r="AB36" s="1313">
        <v>4.9239322551201316E-2</v>
      </c>
      <c r="AC36" s="1313">
        <v>5.3517346865064978E-2</v>
      </c>
      <c r="AD36" s="1313">
        <v>4.138768475004348E-2</v>
      </c>
      <c r="AE36" s="1313">
        <v>3.9918800537718936E-2</v>
      </c>
      <c r="AF36" s="1313">
        <v>5.2944196491691096E-2</v>
      </c>
      <c r="AG36" s="1313">
        <v>4.9454453491560794E-2</v>
      </c>
      <c r="AH36" s="1313">
        <v>5.5853025612080366E-2</v>
      </c>
      <c r="AI36" s="1313">
        <v>6.2615779147537021E-2</v>
      </c>
      <c r="AJ36" s="1288">
        <v>7.5789581697027431E-2</v>
      </c>
      <c r="AK36" s="1313">
        <v>4.7994633103173652E-2</v>
      </c>
      <c r="AL36" s="1313">
        <v>4.5011853806605849E-2</v>
      </c>
      <c r="AM36" s="1313">
        <v>5.6213072709457329E-2</v>
      </c>
      <c r="AN36" s="1313">
        <v>6.230519826715699E-2</v>
      </c>
      <c r="AO36" s="1313">
        <v>5.0746835877711484E-2</v>
      </c>
      <c r="AP36" s="1313">
        <v>5.6602506925000455E-2</v>
      </c>
    </row>
    <row r="37" spans="1:42" ht="14.5">
      <c r="A37" s="1693">
        <v>30</v>
      </c>
      <c r="B37" s="616">
        <v>1</v>
      </c>
      <c r="C37" s="1693">
        <v>34</v>
      </c>
      <c r="D37" s="616">
        <v>1</v>
      </c>
      <c r="E37" s="1693">
        <v>34</v>
      </c>
      <c r="F37" s="616">
        <v>1</v>
      </c>
      <c r="G37" s="1693">
        <v>37</v>
      </c>
      <c r="H37" s="616">
        <v>1</v>
      </c>
      <c r="J37" s="709" t="s">
        <v>512</v>
      </c>
      <c r="K37" s="1764" t="s">
        <v>1216</v>
      </c>
      <c r="W37" s="1772"/>
      <c r="X37" s="1125"/>
      <c r="Y37" s="1366"/>
      <c r="Z37" s="1366"/>
      <c r="AA37" s="1366"/>
      <c r="AB37" s="1366"/>
      <c r="AC37" s="1366"/>
      <c r="AD37" s="1366"/>
      <c r="AE37" s="1366"/>
      <c r="AF37" s="1366"/>
      <c r="AG37" s="1242"/>
      <c r="AH37" s="1242"/>
      <c r="AI37" s="1242"/>
      <c r="AJ37" s="1242"/>
      <c r="AK37" s="1242"/>
      <c r="AL37" s="1242"/>
      <c r="AM37" s="1242"/>
      <c r="AN37" s="1242"/>
      <c r="AO37" s="1242"/>
      <c r="AP37" s="608"/>
    </row>
    <row r="38" spans="1:42" ht="14.5">
      <c r="A38" s="1693">
        <v>31</v>
      </c>
      <c r="B38" s="616">
        <v>1</v>
      </c>
      <c r="C38" s="1693">
        <v>35</v>
      </c>
      <c r="D38" s="616">
        <v>1</v>
      </c>
      <c r="E38" s="1693">
        <v>35</v>
      </c>
      <c r="F38" s="616">
        <v>1</v>
      </c>
      <c r="G38" s="1693">
        <v>38</v>
      </c>
      <c r="H38" s="616">
        <v>1</v>
      </c>
      <c r="K38" s="69"/>
      <c r="W38" s="1772"/>
      <c r="X38" s="1125"/>
      <c r="Y38" s="1366"/>
      <c r="Z38" s="1366"/>
      <c r="AA38" s="1366"/>
      <c r="AB38" s="1366"/>
      <c r="AC38" s="1366"/>
      <c r="AD38" s="1366"/>
      <c r="AE38" s="1366"/>
      <c r="AF38" s="1366"/>
      <c r="AG38" s="1242"/>
      <c r="AH38" s="1242"/>
      <c r="AI38" s="1242"/>
      <c r="AJ38" s="1242"/>
      <c r="AK38" s="1242"/>
      <c r="AL38" s="1242"/>
      <c r="AM38" s="1242"/>
      <c r="AN38" s="1242"/>
      <c r="AO38" s="1242"/>
      <c r="AP38" s="608"/>
    </row>
    <row r="39" spans="1:42" s="69" customFormat="1" ht="15.5">
      <c r="A39" s="1693">
        <v>33</v>
      </c>
      <c r="B39" s="616">
        <v>1</v>
      </c>
      <c r="C39" s="1693">
        <v>36</v>
      </c>
      <c r="D39" s="616">
        <v>1</v>
      </c>
      <c r="E39" s="1693">
        <v>36</v>
      </c>
      <c r="F39" s="616">
        <v>1</v>
      </c>
      <c r="G39" s="1693">
        <v>39</v>
      </c>
      <c r="H39" s="616">
        <v>1</v>
      </c>
      <c r="I39" s="616"/>
      <c r="M39" s="243" t="s">
        <v>25</v>
      </c>
      <c r="O39" s="27"/>
      <c r="Q39" s="22"/>
      <c r="R39" s="22"/>
      <c r="W39" s="1780"/>
      <c r="X39" s="1125"/>
      <c r="Y39" s="1366"/>
      <c r="Z39" s="1366"/>
      <c r="AA39" s="1366"/>
      <c r="AB39" s="1366"/>
      <c r="AC39" s="1366"/>
      <c r="AD39" s="1366"/>
      <c r="AE39" s="1366"/>
      <c r="AF39" s="1366"/>
      <c r="AG39" s="1242"/>
      <c r="AH39" s="1242"/>
      <c r="AI39" s="1242"/>
      <c r="AJ39" s="1242"/>
      <c r="AK39" s="1242"/>
      <c r="AL39" s="1242"/>
      <c r="AM39" s="1242"/>
      <c r="AN39" s="1242"/>
      <c r="AO39" s="1242"/>
      <c r="AP39" s="608"/>
    </row>
    <row r="40" spans="1:42" ht="14.5">
      <c r="A40" s="1693">
        <v>34</v>
      </c>
      <c r="B40" s="616">
        <v>1</v>
      </c>
      <c r="C40" s="1693">
        <v>37</v>
      </c>
      <c r="D40" s="616">
        <v>1</v>
      </c>
      <c r="E40" s="1693">
        <v>37</v>
      </c>
      <c r="F40" s="616">
        <v>1</v>
      </c>
      <c r="G40" s="1693">
        <v>40</v>
      </c>
      <c r="H40" s="616">
        <v>1</v>
      </c>
      <c r="K40" s="69"/>
      <c r="O40" s="1915" t="s">
        <v>63</v>
      </c>
      <c r="P40" s="1475"/>
      <c r="Q40" s="1916"/>
      <c r="R40" s="1916"/>
      <c r="S40" s="1475"/>
      <c r="T40" s="1475"/>
      <c r="U40" s="1475"/>
      <c r="V40" s="1475"/>
      <c r="W40" s="1899"/>
      <c r="X40" s="1917">
        <v>78754.736297724594</v>
      </c>
      <c r="Y40" s="1917">
        <v>47844.716706734602</v>
      </c>
      <c r="Z40" s="1917">
        <v>51783.45365629132</v>
      </c>
      <c r="AA40" s="1917">
        <v>48527.286594961486</v>
      </c>
      <c r="AB40" s="1917">
        <v>53255.878649526909</v>
      </c>
      <c r="AC40" s="1917">
        <v>60501.508584336385</v>
      </c>
      <c r="AD40" s="1917">
        <v>45146.60821241184</v>
      </c>
      <c r="AE40" s="1917">
        <v>43950.043290026239</v>
      </c>
      <c r="AF40" s="1917">
        <v>49148.571654046187</v>
      </c>
      <c r="AG40" s="1917">
        <v>44035.851516210088</v>
      </c>
      <c r="AH40" s="1917">
        <v>43844.513795801198</v>
      </c>
      <c r="AI40" s="1918">
        <v>44696.71447656925</v>
      </c>
      <c r="AJ40" s="1919">
        <v>178382.90666075051</v>
      </c>
      <c r="AK40" s="1918">
        <v>162284.67382882477</v>
      </c>
      <c r="AL40" s="1918">
        <v>138245.22315648425</v>
      </c>
      <c r="AM40" s="1918">
        <v>132577.07978858054</v>
      </c>
      <c r="AN40" s="1918">
        <v>340667.58048957528</v>
      </c>
      <c r="AO40" s="1918">
        <v>270822.30294506485</v>
      </c>
      <c r="AP40" s="1918">
        <v>611489.88343464013</v>
      </c>
    </row>
    <row r="41" spans="1:42" ht="14.5">
      <c r="A41" s="1693">
        <v>35</v>
      </c>
      <c r="B41" s="616">
        <v>1</v>
      </c>
      <c r="C41" s="1693">
        <v>38</v>
      </c>
      <c r="D41" s="616">
        <v>1</v>
      </c>
      <c r="E41" s="1693">
        <v>38</v>
      </c>
      <c r="F41" s="616">
        <v>1</v>
      </c>
      <c r="G41" s="1693">
        <v>41</v>
      </c>
      <c r="H41" s="616">
        <v>1</v>
      </c>
      <c r="K41" s="69"/>
      <c r="O41" s="172"/>
      <c r="P41" s="8" t="s">
        <v>998</v>
      </c>
      <c r="W41" s="1920"/>
      <c r="X41" s="1921">
        <v>30564.920390154301</v>
      </c>
      <c r="Y41" s="1921">
        <v>14825.394221861381</v>
      </c>
      <c r="Z41" s="1921">
        <v>15958.54540173223</v>
      </c>
      <c r="AA41" s="1921">
        <v>15021.757357213113</v>
      </c>
      <c r="AB41" s="1921">
        <v>16384.585716888112</v>
      </c>
      <c r="AC41" s="1921">
        <v>21649.424758011148</v>
      </c>
      <c r="AD41" s="1921">
        <v>11401.956221230461</v>
      </c>
      <c r="AE41" s="1921">
        <v>11056.042484051088</v>
      </c>
      <c r="AF41" s="1921">
        <v>12556.012692054206</v>
      </c>
      <c r="AG41" s="1921">
        <v>10022.282536743158</v>
      </c>
      <c r="AH41" s="1921">
        <v>8914.3658375168216</v>
      </c>
      <c r="AI41" s="1922">
        <v>7565.9222360522326</v>
      </c>
      <c r="AJ41" s="1923">
        <v>61348.860013747908</v>
      </c>
      <c r="AK41" s="1924">
        <v>53055.767832112375</v>
      </c>
      <c r="AL41" s="1924">
        <v>35014.011397335751</v>
      </c>
      <c r="AM41" s="1924">
        <v>26502.570610312214</v>
      </c>
      <c r="AN41" s="1924">
        <v>114404.62784586029</v>
      </c>
      <c r="AO41" s="1924">
        <v>61516.582007647965</v>
      </c>
      <c r="AP41" s="1924">
        <v>175921.20985350825</v>
      </c>
    </row>
    <row r="42" spans="1:42" ht="14.5">
      <c r="A42" s="1693">
        <v>36</v>
      </c>
      <c r="B42" s="616">
        <v>1</v>
      </c>
      <c r="C42" s="1693">
        <v>39</v>
      </c>
      <c r="D42" s="616">
        <v>1</v>
      </c>
      <c r="E42" s="1693">
        <v>39</v>
      </c>
      <c r="F42" s="616">
        <v>1</v>
      </c>
      <c r="G42" s="1693">
        <v>42</v>
      </c>
      <c r="H42" s="616">
        <v>1</v>
      </c>
      <c r="K42" s="69"/>
      <c r="O42" s="172"/>
      <c r="P42" s="8" t="s">
        <v>999</v>
      </c>
      <c r="W42" s="1920"/>
      <c r="X42" s="1921">
        <v>6798.2979083393293</v>
      </c>
      <c r="Y42" s="1921">
        <v>3297.4876179050116</v>
      </c>
      <c r="Z42" s="1921">
        <v>3549.5248945481289</v>
      </c>
      <c r="AA42" s="1921">
        <v>3341.1630168688043</v>
      </c>
      <c r="AB42" s="1921">
        <v>3644.2854549036347</v>
      </c>
      <c r="AC42" s="1921">
        <v>4815.2992767665346</v>
      </c>
      <c r="AD42" s="1921">
        <v>2536.0411262427715</v>
      </c>
      <c r="AE42" s="1921">
        <v>2459.1024460200078</v>
      </c>
      <c r="AF42" s="1921">
        <v>2792.7281907454417</v>
      </c>
      <c r="AG42" s="1921">
        <v>2229.1719244351298</v>
      </c>
      <c r="AH42" s="1921">
        <v>1982.7473408660899</v>
      </c>
      <c r="AI42" s="1922">
        <v>1682.8243834909663</v>
      </c>
      <c r="AJ42" s="1925">
        <v>13645.31042079247</v>
      </c>
      <c r="AK42" s="1926">
        <v>11800.747748538974</v>
      </c>
      <c r="AL42" s="1926">
        <v>7787.871763008221</v>
      </c>
      <c r="AM42" s="1926">
        <v>5894.7436487921859</v>
      </c>
      <c r="AN42" s="1926">
        <v>25446.058169331445</v>
      </c>
      <c r="AO42" s="1926">
        <v>13682.615411800407</v>
      </c>
      <c r="AP42" s="1926">
        <v>39128.67358113185</v>
      </c>
    </row>
    <row r="43" spans="1:42" ht="14.5">
      <c r="A43" s="1693">
        <v>37</v>
      </c>
      <c r="B43" s="616">
        <v>1</v>
      </c>
      <c r="C43" s="1693">
        <v>40</v>
      </c>
      <c r="D43" s="616">
        <v>1</v>
      </c>
      <c r="E43" s="1693">
        <v>40</v>
      </c>
      <c r="F43" s="616">
        <v>1</v>
      </c>
      <c r="G43" s="1693">
        <v>43</v>
      </c>
      <c r="H43" s="616">
        <v>1</v>
      </c>
      <c r="K43" s="69"/>
      <c r="O43" s="172"/>
      <c r="P43" s="8" t="s">
        <v>1000</v>
      </c>
      <c r="W43" s="1920"/>
      <c r="X43" s="1921">
        <v>41391.517999230964</v>
      </c>
      <c r="Y43" s="1921">
        <v>29721.834866968209</v>
      </c>
      <c r="Z43" s="1921">
        <v>32275.383360010961</v>
      </c>
      <c r="AA43" s="1921">
        <v>30164.366220879569</v>
      </c>
      <c r="AB43" s="1921">
        <v>33227.007477735162</v>
      </c>
      <c r="AC43" s="1921">
        <v>34036.784549558703</v>
      </c>
      <c r="AD43" s="1921">
        <v>31208.610864938608</v>
      </c>
      <c r="AE43" s="1921">
        <v>30434.898359955143</v>
      </c>
      <c r="AF43" s="1921">
        <v>33799.830771246539</v>
      </c>
      <c r="AG43" s="1921">
        <v>31784.397055031801</v>
      </c>
      <c r="AH43" s="1921">
        <v>32947.400617418287</v>
      </c>
      <c r="AI43" s="1922">
        <v>35447.967857026051</v>
      </c>
      <c r="AJ43" s="1927">
        <v>103388.73622621014</v>
      </c>
      <c r="AK43" s="1928">
        <v>97428.158248173422</v>
      </c>
      <c r="AL43" s="1928">
        <v>95443.33999614029</v>
      </c>
      <c r="AM43" s="1928">
        <v>100179.76552947614</v>
      </c>
      <c r="AN43" s="1928">
        <v>200816.89447438356</v>
      </c>
      <c r="AO43" s="1928">
        <v>195623.10552561644</v>
      </c>
      <c r="AP43" s="1928">
        <v>396440</v>
      </c>
    </row>
    <row r="44" spans="1:42" ht="14.5">
      <c r="A44" s="1693">
        <v>38</v>
      </c>
      <c r="B44" s="616">
        <v>1</v>
      </c>
      <c r="C44" s="1693">
        <v>41</v>
      </c>
      <c r="D44" s="616">
        <v>1</v>
      </c>
      <c r="E44" s="1693">
        <v>41</v>
      </c>
      <c r="F44" s="616">
        <v>1</v>
      </c>
      <c r="G44" s="1693">
        <v>44</v>
      </c>
      <c r="H44" s="616">
        <v>1</v>
      </c>
      <c r="K44" s="69"/>
      <c r="O44" s="1929" t="s">
        <v>28</v>
      </c>
      <c r="P44" s="1475"/>
      <c r="Q44" s="1916"/>
      <c r="R44" s="1916"/>
      <c r="S44" s="1475"/>
      <c r="T44" s="1475"/>
      <c r="U44" s="1475"/>
      <c r="V44" s="1475"/>
      <c r="W44" s="1899"/>
      <c r="X44" s="1917">
        <v>67552.120833333334</v>
      </c>
      <c r="Y44" s="1917">
        <v>67552.120833333334</v>
      </c>
      <c r="Z44" s="1917">
        <v>67552.120833333334</v>
      </c>
      <c r="AA44" s="1917">
        <v>67552.120833333334</v>
      </c>
      <c r="AB44" s="1917">
        <v>67552.120833333334</v>
      </c>
      <c r="AC44" s="1917">
        <v>67552.120833333334</v>
      </c>
      <c r="AD44" s="1917">
        <v>67552.120833333334</v>
      </c>
      <c r="AE44" s="1917">
        <v>67552.120833333334</v>
      </c>
      <c r="AF44" s="1917">
        <v>67552.120833333334</v>
      </c>
      <c r="AG44" s="1917">
        <v>67552.120833333334</v>
      </c>
      <c r="AH44" s="1917">
        <v>67552.120833333334</v>
      </c>
      <c r="AI44" s="1918">
        <v>67552.120833333334</v>
      </c>
      <c r="AJ44" s="1919">
        <v>202656.36250000002</v>
      </c>
      <c r="AK44" s="1918">
        <v>202656.36250000002</v>
      </c>
      <c r="AL44" s="1918">
        <v>202656.36250000002</v>
      </c>
      <c r="AM44" s="1918">
        <v>202656.36250000002</v>
      </c>
      <c r="AN44" s="1918">
        <v>405312.72500000003</v>
      </c>
      <c r="AO44" s="1918">
        <v>405312.72500000003</v>
      </c>
      <c r="AP44" s="1918">
        <v>810625.45000000007</v>
      </c>
    </row>
    <row r="45" spans="1:42" ht="14.5">
      <c r="A45" s="1693">
        <v>39</v>
      </c>
      <c r="B45" s="616">
        <v>1</v>
      </c>
      <c r="C45" s="1693">
        <v>42</v>
      </c>
      <c r="D45" s="616">
        <v>1</v>
      </c>
      <c r="E45" s="1693">
        <v>42</v>
      </c>
      <c r="F45" s="616">
        <v>1</v>
      </c>
      <c r="G45" s="1693">
        <v>45</v>
      </c>
      <c r="H45" s="616">
        <v>1</v>
      </c>
      <c r="K45" s="69"/>
      <c r="O45" s="56"/>
      <c r="P45" s="8" t="s">
        <v>1001</v>
      </c>
      <c r="W45" s="1920"/>
      <c r="X45" s="1921">
        <v>10768.916666666666</v>
      </c>
      <c r="Y45" s="1921">
        <v>10768.916666666666</v>
      </c>
      <c r="Z45" s="1921">
        <v>10768.916666666666</v>
      </c>
      <c r="AA45" s="1921">
        <v>10768.916666666666</v>
      </c>
      <c r="AB45" s="1921">
        <v>10768.916666666666</v>
      </c>
      <c r="AC45" s="1921">
        <v>10768.916666666666</v>
      </c>
      <c r="AD45" s="1921">
        <v>10768.916666666666</v>
      </c>
      <c r="AE45" s="1921">
        <v>10768.916666666666</v>
      </c>
      <c r="AF45" s="1921">
        <v>10768.916666666666</v>
      </c>
      <c r="AG45" s="1921">
        <v>10768.916666666666</v>
      </c>
      <c r="AH45" s="1921">
        <v>10768.916666666666</v>
      </c>
      <c r="AI45" s="1922">
        <v>10768.916666666666</v>
      </c>
      <c r="AJ45" s="1923">
        <v>32306.75</v>
      </c>
      <c r="AK45" s="1924">
        <v>32306.75</v>
      </c>
      <c r="AL45" s="1924">
        <v>32306.75</v>
      </c>
      <c r="AM45" s="1924">
        <v>32306.75</v>
      </c>
      <c r="AN45" s="1924">
        <v>64613.5</v>
      </c>
      <c r="AO45" s="1924">
        <v>64613.5</v>
      </c>
      <c r="AP45" s="1924">
        <v>129227</v>
      </c>
    </row>
    <row r="46" spans="1:42" ht="14.5">
      <c r="A46" s="1693">
        <v>40</v>
      </c>
      <c r="B46" s="616">
        <v>1</v>
      </c>
      <c r="C46" s="1693">
        <v>43</v>
      </c>
      <c r="D46" s="616">
        <v>1</v>
      </c>
      <c r="E46" s="1693">
        <v>43</v>
      </c>
      <c r="F46" s="616">
        <v>1</v>
      </c>
      <c r="G46" s="1693">
        <v>46</v>
      </c>
      <c r="H46" s="616">
        <v>1</v>
      </c>
      <c r="K46" s="69"/>
      <c r="O46" s="172"/>
      <c r="P46" s="8" t="s">
        <v>1002</v>
      </c>
      <c r="W46" s="1920"/>
      <c r="X46" s="1921">
        <v>53502.39166666667</v>
      </c>
      <c r="Y46" s="1921">
        <v>53502.39166666667</v>
      </c>
      <c r="Z46" s="1921">
        <v>53502.39166666667</v>
      </c>
      <c r="AA46" s="1921">
        <v>53502.39166666667</v>
      </c>
      <c r="AB46" s="1921">
        <v>53502.39166666667</v>
      </c>
      <c r="AC46" s="1921">
        <v>53502.39166666667</v>
      </c>
      <c r="AD46" s="1921">
        <v>53502.39166666667</v>
      </c>
      <c r="AE46" s="1921">
        <v>53502.39166666667</v>
      </c>
      <c r="AF46" s="1921">
        <v>53502.39166666667</v>
      </c>
      <c r="AG46" s="1921">
        <v>53502.39166666667</v>
      </c>
      <c r="AH46" s="1921">
        <v>53502.39166666667</v>
      </c>
      <c r="AI46" s="1922">
        <v>53502.39166666667</v>
      </c>
      <c r="AJ46" s="1925">
        <v>160507.17500000002</v>
      </c>
      <c r="AK46" s="1926">
        <v>160507.17500000002</v>
      </c>
      <c r="AL46" s="1926">
        <v>160507.17500000002</v>
      </c>
      <c r="AM46" s="1926">
        <v>160507.17500000002</v>
      </c>
      <c r="AN46" s="1926">
        <v>321014.35000000003</v>
      </c>
      <c r="AO46" s="1926">
        <v>321014.35000000003</v>
      </c>
      <c r="AP46" s="1926">
        <v>642028.70000000007</v>
      </c>
    </row>
    <row r="47" spans="1:42" ht="14.5">
      <c r="A47" s="1693">
        <v>41</v>
      </c>
      <c r="B47" s="616">
        <v>1</v>
      </c>
      <c r="C47" s="1693">
        <v>44</v>
      </c>
      <c r="D47" s="616">
        <v>1</v>
      </c>
      <c r="E47" s="1693">
        <v>44</v>
      </c>
      <c r="F47" s="616">
        <v>1</v>
      </c>
      <c r="G47" s="1693">
        <v>47</v>
      </c>
      <c r="H47" s="616">
        <v>1</v>
      </c>
      <c r="K47" s="69"/>
      <c r="O47" s="171"/>
      <c r="P47" s="11" t="s">
        <v>1003</v>
      </c>
      <c r="Q47" s="16"/>
      <c r="R47" s="16"/>
      <c r="S47" s="11"/>
      <c r="T47" s="11"/>
      <c r="U47" s="11"/>
      <c r="V47" s="11"/>
      <c r="W47" s="1920"/>
      <c r="X47" s="1921">
        <v>3280.8124999999995</v>
      </c>
      <c r="Y47" s="1921">
        <v>3280.8124999999995</v>
      </c>
      <c r="Z47" s="1921">
        <v>3280.8124999999995</v>
      </c>
      <c r="AA47" s="1921">
        <v>3280.8124999999995</v>
      </c>
      <c r="AB47" s="1921">
        <v>3280.8124999999995</v>
      </c>
      <c r="AC47" s="1921">
        <v>3280.8124999999995</v>
      </c>
      <c r="AD47" s="1921">
        <v>3280.8124999999995</v>
      </c>
      <c r="AE47" s="1921">
        <v>3280.8124999999995</v>
      </c>
      <c r="AF47" s="1921">
        <v>3280.8124999999995</v>
      </c>
      <c r="AG47" s="1921">
        <v>3280.8124999999995</v>
      </c>
      <c r="AH47" s="1921">
        <v>3280.8124999999995</v>
      </c>
      <c r="AI47" s="1922">
        <v>3280.8124999999995</v>
      </c>
      <c r="AJ47" s="1927">
        <v>9842.4374999999982</v>
      </c>
      <c r="AK47" s="1928">
        <v>9842.4374999999982</v>
      </c>
      <c r="AL47" s="1928">
        <v>9842.4374999999982</v>
      </c>
      <c r="AM47" s="1928">
        <v>9842.4374999999982</v>
      </c>
      <c r="AN47" s="1928">
        <v>19684.874999999996</v>
      </c>
      <c r="AO47" s="1928">
        <v>19684.874999999996</v>
      </c>
      <c r="AP47" s="1928">
        <v>39369.749999999993</v>
      </c>
    </row>
    <row r="48" spans="1:42" ht="14.5">
      <c r="A48" s="1693">
        <v>42</v>
      </c>
      <c r="B48" s="616">
        <v>1</v>
      </c>
      <c r="C48" s="1693">
        <v>45</v>
      </c>
      <c r="D48" s="616">
        <v>1</v>
      </c>
      <c r="E48" s="1693">
        <v>45</v>
      </c>
      <c r="F48" s="616">
        <v>1</v>
      </c>
      <c r="G48" s="1693">
        <v>48</v>
      </c>
      <c r="H48" s="616">
        <v>1</v>
      </c>
      <c r="K48" s="69"/>
      <c r="O48" s="1930" t="s">
        <v>62</v>
      </c>
      <c r="P48" s="1475"/>
      <c r="Q48" s="1916"/>
      <c r="R48" s="1916"/>
      <c r="S48" s="1475"/>
      <c r="T48" s="1475"/>
      <c r="U48" s="1475"/>
      <c r="V48" s="1475"/>
      <c r="W48" s="1899"/>
      <c r="X48" s="1917">
        <v>51257.835752666724</v>
      </c>
      <c r="Y48" s="1917">
        <v>49491.664357409521</v>
      </c>
      <c r="Z48" s="1917">
        <v>49878.136231041251</v>
      </c>
      <c r="AA48" s="1917">
        <v>49558.640145005833</v>
      </c>
      <c r="AB48" s="1917">
        <v>50022.161675152471</v>
      </c>
      <c r="AC48" s="1917">
        <v>50144.71899608228</v>
      </c>
      <c r="AD48" s="1917">
        <v>49716.683426822856</v>
      </c>
      <c r="AE48" s="1917">
        <v>49599.58436946485</v>
      </c>
      <c r="AF48" s="1917">
        <v>50108.856755393324</v>
      </c>
      <c r="AG48" s="1917">
        <v>49803.826932537697</v>
      </c>
      <c r="AH48" s="1917">
        <v>49979.844018964868</v>
      </c>
      <c r="AI48" s="1918">
        <v>50358.297339458426</v>
      </c>
      <c r="AJ48" s="1919">
        <v>150627.6363411175</v>
      </c>
      <c r="AK48" s="1918">
        <v>149725.52081624058</v>
      </c>
      <c r="AL48" s="1918">
        <v>149425.12455168102</v>
      </c>
      <c r="AM48" s="1918">
        <v>150141.968290961</v>
      </c>
      <c r="AN48" s="1918">
        <v>300353.15715735807</v>
      </c>
      <c r="AO48" s="1918">
        <v>299567.09284264204</v>
      </c>
      <c r="AP48" s="1918">
        <v>599920.25000000012</v>
      </c>
    </row>
    <row r="49" spans="1:42" ht="14.5">
      <c r="A49" s="1693">
        <v>43</v>
      </c>
      <c r="B49" s="616">
        <v>1</v>
      </c>
      <c r="C49" s="1693">
        <v>46</v>
      </c>
      <c r="D49" s="616">
        <v>1</v>
      </c>
      <c r="E49" s="1693">
        <v>46</v>
      </c>
      <c r="F49" s="616">
        <v>1</v>
      </c>
      <c r="G49" s="1693">
        <v>49</v>
      </c>
      <c r="H49" s="616">
        <v>1</v>
      </c>
      <c r="K49" s="69"/>
      <c r="O49" s="172"/>
      <c r="P49" s="8" t="s">
        <v>1004</v>
      </c>
      <c r="W49" s="1920"/>
      <c r="X49" s="1921">
        <v>6264.4815860000454</v>
      </c>
      <c r="Y49" s="1921">
        <v>4498.3101907428427</v>
      </c>
      <c r="Z49" s="1921">
        <v>4884.7820643745781</v>
      </c>
      <c r="AA49" s="1921">
        <v>4565.2859783391541</v>
      </c>
      <c r="AB49" s="1921">
        <v>5028.8075084857983</v>
      </c>
      <c r="AC49" s="1921">
        <v>5151.3648294156046</v>
      </c>
      <c r="AD49" s="1921">
        <v>4723.3292601561807</v>
      </c>
      <c r="AE49" s="1921">
        <v>4606.230202798175</v>
      </c>
      <c r="AF49" s="1921">
        <v>5115.5025887266474</v>
      </c>
      <c r="AG49" s="1921">
        <v>4810.4727658710217</v>
      </c>
      <c r="AH49" s="1921">
        <v>4986.4898522981975</v>
      </c>
      <c r="AI49" s="1922">
        <v>5364.9431727917545</v>
      </c>
      <c r="AJ49" s="1923">
        <v>15647.573841117466</v>
      </c>
      <c r="AK49" s="1924">
        <v>14745.458316240558</v>
      </c>
      <c r="AL49" s="1924">
        <v>14445.062051681003</v>
      </c>
      <c r="AM49" s="1924">
        <v>15161.905790960973</v>
      </c>
      <c r="AN49" s="1924">
        <v>30393.032157358022</v>
      </c>
      <c r="AO49" s="1924">
        <v>29606.967842641978</v>
      </c>
      <c r="AP49" s="1924">
        <v>60000</v>
      </c>
    </row>
    <row r="50" spans="1:42" ht="14.5">
      <c r="A50" s="1693">
        <v>44</v>
      </c>
      <c r="B50" s="616">
        <v>1</v>
      </c>
      <c r="C50" s="1693">
        <v>47</v>
      </c>
      <c r="D50" s="616">
        <v>1</v>
      </c>
      <c r="E50" s="1693">
        <v>47</v>
      </c>
      <c r="F50" s="616">
        <v>1</v>
      </c>
      <c r="G50" s="1693">
        <v>50</v>
      </c>
      <c r="H50" s="616">
        <v>1</v>
      </c>
      <c r="K50" s="69"/>
      <c r="O50" s="172"/>
      <c r="P50" s="8" t="s">
        <v>1005</v>
      </c>
      <c r="W50" s="1920"/>
      <c r="X50" s="1921">
        <v>6666.458333333333</v>
      </c>
      <c r="Y50" s="1921">
        <v>6666.458333333333</v>
      </c>
      <c r="Z50" s="1921">
        <v>6666.458333333333</v>
      </c>
      <c r="AA50" s="1921">
        <v>6666.458333333333</v>
      </c>
      <c r="AB50" s="1921">
        <v>6666.458333333333</v>
      </c>
      <c r="AC50" s="1921">
        <v>6666.458333333333</v>
      </c>
      <c r="AD50" s="1921">
        <v>6666.458333333333</v>
      </c>
      <c r="AE50" s="1921">
        <v>6666.458333333333</v>
      </c>
      <c r="AF50" s="1921">
        <v>6666.458333333333</v>
      </c>
      <c r="AG50" s="1921">
        <v>6666.458333333333</v>
      </c>
      <c r="AH50" s="1921">
        <v>6666.458333333333</v>
      </c>
      <c r="AI50" s="1922">
        <v>6666.458333333333</v>
      </c>
      <c r="AJ50" s="1925">
        <v>19999.375</v>
      </c>
      <c r="AK50" s="1926">
        <v>19999.375</v>
      </c>
      <c r="AL50" s="1926">
        <v>19999.375</v>
      </c>
      <c r="AM50" s="1926">
        <v>19999.375</v>
      </c>
      <c r="AN50" s="1926">
        <v>39998.75</v>
      </c>
      <c r="AO50" s="1926">
        <v>39998.75</v>
      </c>
      <c r="AP50" s="1926">
        <v>79997.5</v>
      </c>
    </row>
    <row r="51" spans="1:42" ht="14.5">
      <c r="A51" s="1693">
        <v>45</v>
      </c>
      <c r="B51" s="616">
        <v>1</v>
      </c>
      <c r="C51" s="1693">
        <v>48</v>
      </c>
      <c r="D51" s="616">
        <v>1</v>
      </c>
      <c r="E51" s="1693">
        <v>48</v>
      </c>
      <c r="F51" s="616">
        <v>1</v>
      </c>
      <c r="G51" s="1693">
        <v>51</v>
      </c>
      <c r="H51" s="616">
        <v>1</v>
      </c>
      <c r="K51" s="69"/>
      <c r="O51" s="172"/>
      <c r="P51" s="8" t="s">
        <v>1006</v>
      </c>
      <c r="W51" s="1920"/>
      <c r="X51" s="1921">
        <v>1089.2</v>
      </c>
      <c r="Y51" s="1921">
        <v>1089.2</v>
      </c>
      <c r="Z51" s="1921">
        <v>1089.2</v>
      </c>
      <c r="AA51" s="1921">
        <v>1089.2</v>
      </c>
      <c r="AB51" s="1921">
        <v>1089.2</v>
      </c>
      <c r="AC51" s="1921">
        <v>1089.2</v>
      </c>
      <c r="AD51" s="1921">
        <v>1089.2</v>
      </c>
      <c r="AE51" s="1921">
        <v>1089.2</v>
      </c>
      <c r="AF51" s="1921">
        <v>1089.2</v>
      </c>
      <c r="AG51" s="1921">
        <v>1089.2</v>
      </c>
      <c r="AH51" s="1921">
        <v>1089.2</v>
      </c>
      <c r="AI51" s="1922">
        <v>1089.2</v>
      </c>
      <c r="AJ51" s="1925">
        <v>3267.6000000000004</v>
      </c>
      <c r="AK51" s="1926">
        <v>3267.6000000000004</v>
      </c>
      <c r="AL51" s="1926">
        <v>3267.6000000000004</v>
      </c>
      <c r="AM51" s="1926">
        <v>3267.6000000000004</v>
      </c>
      <c r="AN51" s="1926">
        <v>6535.2000000000007</v>
      </c>
      <c r="AO51" s="1926">
        <v>6535.2000000000007</v>
      </c>
      <c r="AP51" s="1926">
        <v>13070.400000000001</v>
      </c>
    </row>
    <row r="52" spans="1:42" ht="14.5">
      <c r="A52" s="1693">
        <v>46</v>
      </c>
      <c r="B52" s="616">
        <v>1</v>
      </c>
      <c r="C52" s="1693">
        <v>49</v>
      </c>
      <c r="D52" s="616">
        <v>1</v>
      </c>
      <c r="E52" s="1693">
        <v>49</v>
      </c>
      <c r="F52" s="616">
        <v>1</v>
      </c>
      <c r="G52" s="1693">
        <v>52</v>
      </c>
      <c r="H52" s="616">
        <v>1</v>
      </c>
      <c r="K52" s="69"/>
      <c r="O52" s="172"/>
      <c r="P52" s="8" t="s">
        <v>1007</v>
      </c>
      <c r="W52" s="1920"/>
      <c r="X52" s="1921">
        <v>6830.416666666667</v>
      </c>
      <c r="Y52" s="1921">
        <v>6830.416666666667</v>
      </c>
      <c r="Z52" s="1921">
        <v>6830.416666666667</v>
      </c>
      <c r="AA52" s="1921">
        <v>6830.416666666667</v>
      </c>
      <c r="AB52" s="1921">
        <v>6830.416666666667</v>
      </c>
      <c r="AC52" s="1921">
        <v>6830.416666666667</v>
      </c>
      <c r="AD52" s="1921">
        <v>6830.416666666667</v>
      </c>
      <c r="AE52" s="1921">
        <v>6830.416666666667</v>
      </c>
      <c r="AF52" s="1921">
        <v>6830.416666666667</v>
      </c>
      <c r="AG52" s="1921">
        <v>6830.416666666667</v>
      </c>
      <c r="AH52" s="1921">
        <v>6830.416666666667</v>
      </c>
      <c r="AI52" s="1922">
        <v>6830.416666666667</v>
      </c>
      <c r="AJ52" s="1925">
        <v>20491.25</v>
      </c>
      <c r="AK52" s="1926">
        <v>20491.25</v>
      </c>
      <c r="AL52" s="1926">
        <v>20491.25</v>
      </c>
      <c r="AM52" s="1926">
        <v>20491.25</v>
      </c>
      <c r="AN52" s="1926">
        <v>40982.5</v>
      </c>
      <c r="AO52" s="1926">
        <v>40982.5</v>
      </c>
      <c r="AP52" s="1926">
        <v>81965</v>
      </c>
    </row>
    <row r="53" spans="1:42" ht="14.5">
      <c r="A53" s="1693">
        <v>47</v>
      </c>
      <c r="B53" s="616">
        <v>1</v>
      </c>
      <c r="C53" s="1693">
        <v>50</v>
      </c>
      <c r="D53" s="616">
        <v>1</v>
      </c>
      <c r="E53" s="1693">
        <v>50</v>
      </c>
      <c r="F53" s="616">
        <v>1</v>
      </c>
      <c r="G53" s="1693">
        <v>53</v>
      </c>
      <c r="H53" s="616">
        <v>1</v>
      </c>
      <c r="K53" s="69"/>
      <c r="O53" s="172"/>
      <c r="P53" s="8" t="s">
        <v>1008</v>
      </c>
      <c r="W53" s="1920"/>
      <c r="X53" s="1921">
        <v>83.333333333333329</v>
      </c>
      <c r="Y53" s="1921">
        <v>83.333333333333329</v>
      </c>
      <c r="Z53" s="1921">
        <v>83.333333333333329</v>
      </c>
      <c r="AA53" s="1921">
        <v>83.333333333333329</v>
      </c>
      <c r="AB53" s="1921">
        <v>83.333333333333329</v>
      </c>
      <c r="AC53" s="1921">
        <v>83.333333333333329</v>
      </c>
      <c r="AD53" s="1921">
        <v>83.333333333333329</v>
      </c>
      <c r="AE53" s="1921">
        <v>83.333333333333329</v>
      </c>
      <c r="AF53" s="1921">
        <v>83.333333333333329</v>
      </c>
      <c r="AG53" s="1921">
        <v>83.333333333333329</v>
      </c>
      <c r="AH53" s="1921">
        <v>83.333333333333329</v>
      </c>
      <c r="AI53" s="1922">
        <v>83.333333333333329</v>
      </c>
      <c r="AJ53" s="1925">
        <v>250</v>
      </c>
      <c r="AK53" s="1926">
        <v>250</v>
      </c>
      <c r="AL53" s="1926">
        <v>250</v>
      </c>
      <c r="AM53" s="1926">
        <v>250</v>
      </c>
      <c r="AN53" s="1926">
        <v>500</v>
      </c>
      <c r="AO53" s="1926">
        <v>500</v>
      </c>
      <c r="AP53" s="1926">
        <v>1000</v>
      </c>
    </row>
    <row r="54" spans="1:42" ht="14.5">
      <c r="A54" s="1693">
        <v>48</v>
      </c>
      <c r="B54" s="616">
        <v>1</v>
      </c>
      <c r="C54" s="1693">
        <v>51</v>
      </c>
      <c r="D54" s="616">
        <v>1</v>
      </c>
      <c r="E54" s="1693">
        <v>51</v>
      </c>
      <c r="F54" s="616">
        <v>1</v>
      </c>
      <c r="G54" s="1693">
        <v>54</v>
      </c>
      <c r="H54" s="616">
        <v>1</v>
      </c>
      <c r="K54" s="69"/>
      <c r="O54" s="171"/>
      <c r="P54" s="11" t="s">
        <v>995</v>
      </c>
      <c r="Q54" s="16"/>
      <c r="R54" s="16"/>
      <c r="S54" s="11"/>
      <c r="T54" s="11"/>
      <c r="U54" s="11"/>
      <c r="V54" s="11"/>
      <c r="W54" s="1920"/>
      <c r="X54" s="1931">
        <v>30323.945833333342</v>
      </c>
      <c r="Y54" s="1931">
        <v>30323.945833333342</v>
      </c>
      <c r="Z54" s="1931">
        <v>30323.945833333342</v>
      </c>
      <c r="AA54" s="1931">
        <v>30323.945833333342</v>
      </c>
      <c r="AB54" s="1931">
        <v>30323.945833333342</v>
      </c>
      <c r="AC54" s="1931">
        <v>30323.945833333342</v>
      </c>
      <c r="AD54" s="1931">
        <v>30323.945833333342</v>
      </c>
      <c r="AE54" s="1931">
        <v>30323.945833333342</v>
      </c>
      <c r="AF54" s="1931">
        <v>30323.945833333342</v>
      </c>
      <c r="AG54" s="1931">
        <v>30323.945833333342</v>
      </c>
      <c r="AH54" s="1931">
        <v>30323.945833333342</v>
      </c>
      <c r="AI54" s="1932">
        <v>30323.945833333342</v>
      </c>
      <c r="AJ54" s="1927">
        <v>90971.837500000023</v>
      </c>
      <c r="AK54" s="1928">
        <v>90971.837500000023</v>
      </c>
      <c r="AL54" s="1928">
        <v>90971.837500000023</v>
      </c>
      <c r="AM54" s="1928">
        <v>90971.837500000023</v>
      </c>
      <c r="AN54" s="1928">
        <v>181943.67500000005</v>
      </c>
      <c r="AO54" s="1928">
        <v>181943.67500000005</v>
      </c>
      <c r="AP54" s="1928">
        <v>363887.35000000009</v>
      </c>
    </row>
    <row r="55" spans="1:42" ht="14.5">
      <c r="A55" s="1693">
        <v>49</v>
      </c>
      <c r="B55" s="616">
        <v>1</v>
      </c>
      <c r="C55" s="1693">
        <v>52</v>
      </c>
      <c r="D55" s="616">
        <v>1</v>
      </c>
      <c r="E55" s="1693">
        <v>52</v>
      </c>
      <c r="F55" s="616">
        <v>1</v>
      </c>
      <c r="G55" s="1693">
        <v>55</v>
      </c>
      <c r="H55" s="616">
        <v>1</v>
      </c>
      <c r="K55" s="69"/>
      <c r="O55" s="220"/>
      <c r="W55" s="1899"/>
      <c r="X55" s="1933"/>
      <c r="Y55" s="1934"/>
      <c r="Z55" s="1934"/>
      <c r="AA55" s="1934"/>
      <c r="AB55" s="1934"/>
      <c r="AC55" s="1934"/>
      <c r="AD55" s="1934"/>
      <c r="AE55" s="1934"/>
      <c r="AF55" s="1934"/>
      <c r="AG55" s="1934"/>
      <c r="AH55" s="1934"/>
      <c r="AI55" s="1934"/>
      <c r="AJ55" s="1934"/>
      <c r="AK55" s="1242"/>
      <c r="AL55" s="1242"/>
      <c r="AM55" s="1242"/>
      <c r="AN55" s="1242"/>
      <c r="AO55" s="1242"/>
      <c r="AP55" s="608"/>
    </row>
    <row r="56" spans="1:42" ht="15.5">
      <c r="A56" s="1693">
        <v>50</v>
      </c>
      <c r="B56" s="616">
        <v>1</v>
      </c>
      <c r="C56" s="1693">
        <v>53</v>
      </c>
      <c r="D56" s="616">
        <v>1</v>
      </c>
      <c r="E56" s="1693">
        <v>53</v>
      </c>
      <c r="F56" s="616">
        <v>1</v>
      </c>
      <c r="G56" s="1693">
        <v>56</v>
      </c>
      <c r="H56" s="616">
        <v>1</v>
      </c>
      <c r="J56" s="709" t="s">
        <v>512</v>
      </c>
      <c r="K56" s="1764" t="s">
        <v>1216</v>
      </c>
      <c r="M56" s="369" t="s">
        <v>922</v>
      </c>
      <c r="O56" s="131"/>
      <c r="P56" s="131"/>
      <c r="W56" s="1772"/>
      <c r="X56" s="1125"/>
      <c r="Y56" s="1366"/>
      <c r="Z56" s="1366"/>
      <c r="AA56" s="1366"/>
      <c r="AB56" s="1366"/>
      <c r="AC56" s="1366"/>
      <c r="AD56" s="1366"/>
      <c r="AE56" s="1366"/>
      <c r="AF56" s="1366"/>
      <c r="AG56" s="1242"/>
      <c r="AH56" s="1242"/>
      <c r="AI56" s="1242"/>
      <c r="AJ56" s="1242"/>
      <c r="AK56" s="1242"/>
      <c r="AL56" s="1242"/>
      <c r="AM56" s="1242"/>
      <c r="AN56" s="1242"/>
      <c r="AO56" s="1242"/>
      <c r="AP56" s="608"/>
    </row>
    <row r="57" spans="1:42" ht="14.5">
      <c r="A57" s="1693">
        <v>51</v>
      </c>
      <c r="B57" s="616">
        <v>1</v>
      </c>
      <c r="C57" s="1693">
        <v>54</v>
      </c>
      <c r="D57" s="616">
        <v>1</v>
      </c>
      <c r="E57" s="1693">
        <v>54</v>
      </c>
      <c r="F57" s="616">
        <v>1</v>
      </c>
      <c r="G57" s="1693">
        <v>57</v>
      </c>
      <c r="H57" s="616">
        <v>1</v>
      </c>
      <c r="J57" s="709" t="s">
        <v>512</v>
      </c>
      <c r="K57" s="1764" t="s">
        <v>1216</v>
      </c>
      <c r="O57" s="1935" t="s">
        <v>61</v>
      </c>
      <c r="P57" s="1936"/>
      <c r="Q57" s="1916"/>
      <c r="R57" s="1916"/>
      <c r="S57" s="1475"/>
      <c r="T57" s="1475"/>
      <c r="U57" s="1475"/>
      <c r="V57" s="1475"/>
      <c r="W57" s="1899"/>
      <c r="X57" s="1918">
        <v>86570.587499999994</v>
      </c>
      <c r="Y57" s="1918">
        <v>86570.587499999994</v>
      </c>
      <c r="Z57" s="1918">
        <v>86570.587499999994</v>
      </c>
      <c r="AA57" s="1918">
        <v>87402.787500000006</v>
      </c>
      <c r="AB57" s="1918">
        <v>87402.787500000006</v>
      </c>
      <c r="AC57" s="1918">
        <v>87402.787500000006</v>
      </c>
      <c r="AD57" s="1918">
        <v>86669.454166666663</v>
      </c>
      <c r="AE57" s="1918">
        <v>86669.454166666663</v>
      </c>
      <c r="AF57" s="1918">
        <v>86669.454166666663</v>
      </c>
      <c r="AG57" s="1937">
        <v>86777.254166666666</v>
      </c>
      <c r="AH57" s="1937">
        <v>86777.254166666666</v>
      </c>
      <c r="AI57" s="1937">
        <v>86777.254166666666</v>
      </c>
      <c r="AJ57" s="1938">
        <v>259711.76249999998</v>
      </c>
      <c r="AK57" s="1937">
        <v>262208.36250000005</v>
      </c>
      <c r="AL57" s="1937">
        <v>260008.36249999999</v>
      </c>
      <c r="AM57" s="1937">
        <v>260331.76250000001</v>
      </c>
      <c r="AN57" s="1937">
        <v>521920.125</v>
      </c>
      <c r="AO57" s="1937">
        <v>520340.125</v>
      </c>
      <c r="AP57" s="1937">
        <v>1042260.25</v>
      </c>
    </row>
    <row r="58" spans="1:42" ht="14.5">
      <c r="A58" s="1693">
        <v>52</v>
      </c>
      <c r="B58" s="616">
        <v>1</v>
      </c>
      <c r="C58" s="1693">
        <v>55</v>
      </c>
      <c r="D58" s="616">
        <v>1</v>
      </c>
      <c r="E58" s="1693">
        <v>55</v>
      </c>
      <c r="F58" s="616">
        <v>1</v>
      </c>
      <c r="G58" s="1693">
        <v>58</v>
      </c>
      <c r="H58" s="616">
        <v>1</v>
      </c>
      <c r="J58" s="709" t="s">
        <v>512</v>
      </c>
      <c r="K58" s="1764" t="s">
        <v>1216</v>
      </c>
      <c r="O58" s="139"/>
      <c r="P58" s="1939" t="s">
        <v>1009</v>
      </c>
      <c r="Q58" s="1940"/>
      <c r="R58" s="1940"/>
      <c r="S58" s="487"/>
      <c r="T58" s="487"/>
      <c r="U58" s="487"/>
      <c r="V58" s="487"/>
      <c r="W58" s="1851"/>
      <c r="X58" s="1683">
        <v>19018.466666666667</v>
      </c>
      <c r="Y58" s="1683">
        <v>19018.466666666667</v>
      </c>
      <c r="Z58" s="1683">
        <v>19018.466666666667</v>
      </c>
      <c r="AA58" s="1683">
        <v>19850.666666666672</v>
      </c>
      <c r="AB58" s="1683">
        <v>19850.666666666672</v>
      </c>
      <c r="AC58" s="1683">
        <v>19850.666666666672</v>
      </c>
      <c r="AD58" s="1683">
        <v>19117.333333333336</v>
      </c>
      <c r="AE58" s="1683">
        <v>19117.333333333336</v>
      </c>
      <c r="AF58" s="1683">
        <v>19117.333333333336</v>
      </c>
      <c r="AG58" s="1941">
        <v>19225.133333333335</v>
      </c>
      <c r="AH58" s="1941">
        <v>19225.133333333335</v>
      </c>
      <c r="AI58" s="1941">
        <v>19225.133333333335</v>
      </c>
      <c r="AJ58" s="1942">
        <v>57055.4</v>
      </c>
      <c r="AK58" s="1941">
        <v>59552.000000000015</v>
      </c>
      <c r="AL58" s="1941">
        <v>57352.000000000007</v>
      </c>
      <c r="AM58" s="1941">
        <v>57675.400000000009</v>
      </c>
      <c r="AN58" s="1941">
        <v>116607.40000000002</v>
      </c>
      <c r="AO58" s="1941">
        <v>115027.40000000002</v>
      </c>
      <c r="AP58" s="1941">
        <v>231634.80000000005</v>
      </c>
    </row>
    <row r="59" spans="1:42" ht="14.5">
      <c r="A59" s="1693">
        <v>53</v>
      </c>
      <c r="B59" s="616">
        <v>1</v>
      </c>
      <c r="C59" s="1693">
        <v>56</v>
      </c>
      <c r="D59" s="616">
        <v>1</v>
      </c>
      <c r="E59" s="1693">
        <v>56</v>
      </c>
      <c r="F59" s="616">
        <v>1</v>
      </c>
      <c r="G59" s="1693">
        <v>59</v>
      </c>
      <c r="H59" s="616">
        <v>1</v>
      </c>
      <c r="J59" s="709" t="s">
        <v>512</v>
      </c>
      <c r="K59" s="1764" t="s">
        <v>1216</v>
      </c>
      <c r="O59" s="135"/>
      <c r="P59" s="134" t="s">
        <v>1010</v>
      </c>
      <c r="Q59" s="16"/>
      <c r="R59" s="16"/>
      <c r="S59" s="11"/>
      <c r="T59" s="11"/>
      <c r="U59" s="11"/>
      <c r="V59" s="11"/>
      <c r="W59" s="1899"/>
      <c r="X59" s="584">
        <v>67552.120833333334</v>
      </c>
      <c r="Y59" s="584">
        <v>67552.120833333334</v>
      </c>
      <c r="Z59" s="584">
        <v>67552.120833333334</v>
      </c>
      <c r="AA59" s="584">
        <v>67552.120833333334</v>
      </c>
      <c r="AB59" s="584">
        <v>67552.120833333334</v>
      </c>
      <c r="AC59" s="584">
        <v>67552.120833333334</v>
      </c>
      <c r="AD59" s="584">
        <v>67552.120833333334</v>
      </c>
      <c r="AE59" s="584">
        <v>67552.120833333334</v>
      </c>
      <c r="AF59" s="584">
        <v>67552.120833333334</v>
      </c>
      <c r="AG59" s="1943">
        <v>67552.120833333334</v>
      </c>
      <c r="AH59" s="1943">
        <v>67552.120833333334</v>
      </c>
      <c r="AI59" s="1943">
        <v>67552.120833333334</v>
      </c>
      <c r="AJ59" s="1944">
        <v>202656.36249999999</v>
      </c>
      <c r="AK59" s="1943">
        <v>202656.36249999999</v>
      </c>
      <c r="AL59" s="1943">
        <v>202656.36249999999</v>
      </c>
      <c r="AM59" s="1943">
        <v>202656.36249999999</v>
      </c>
      <c r="AN59" s="1943">
        <v>405312.72499999998</v>
      </c>
      <c r="AO59" s="1943">
        <v>405312.72499999998</v>
      </c>
      <c r="AP59" s="1943">
        <v>810625.45</v>
      </c>
    </row>
    <row r="60" spans="1:42" ht="14.5">
      <c r="A60" s="1693">
        <v>54</v>
      </c>
      <c r="B60" s="616">
        <v>1</v>
      </c>
      <c r="C60" s="1693">
        <v>57</v>
      </c>
      <c r="D60" s="616">
        <v>1</v>
      </c>
      <c r="E60" s="1693">
        <v>57</v>
      </c>
      <c r="F60" s="616">
        <v>1</v>
      </c>
      <c r="G60" s="1693">
        <v>60</v>
      </c>
      <c r="H60" s="616">
        <v>1</v>
      </c>
      <c r="J60" s="709" t="s">
        <v>512</v>
      </c>
      <c r="K60" s="1764" t="s">
        <v>1216</v>
      </c>
      <c r="O60" s="220"/>
      <c r="W60" s="1772"/>
      <c r="X60" s="1125"/>
      <c r="Y60" s="1366"/>
      <c r="Z60" s="1366"/>
      <c r="AA60" s="1366"/>
      <c r="AB60" s="1366"/>
      <c r="AC60" s="1366"/>
      <c r="AD60" s="1366"/>
      <c r="AE60" s="1366"/>
      <c r="AF60" s="1366"/>
      <c r="AG60" s="1242"/>
      <c r="AH60" s="1242"/>
      <c r="AI60" s="1242"/>
      <c r="AJ60" s="1242"/>
      <c r="AK60" s="1242"/>
      <c r="AL60" s="1242"/>
      <c r="AM60" s="1242"/>
      <c r="AN60" s="1242"/>
      <c r="AO60" s="1242"/>
      <c r="AP60" s="608"/>
    </row>
    <row r="61" spans="1:42" ht="16.5" customHeight="1">
      <c r="A61" s="1693">
        <v>55</v>
      </c>
      <c r="B61" s="616">
        <v>1</v>
      </c>
      <c r="C61" s="1693">
        <v>58</v>
      </c>
      <c r="D61" s="616">
        <v>1</v>
      </c>
      <c r="E61" s="1693">
        <v>58</v>
      </c>
      <c r="F61" s="616">
        <v>1</v>
      </c>
      <c r="G61" s="1693">
        <v>61</v>
      </c>
      <c r="H61" s="616">
        <v>1</v>
      </c>
      <c r="J61" s="709" t="s">
        <v>512</v>
      </c>
      <c r="K61" s="69"/>
      <c r="M61" s="369" t="s">
        <v>923</v>
      </c>
      <c r="O61" s="131"/>
      <c r="P61" s="131"/>
      <c r="Q61" s="131"/>
      <c r="R61" s="131"/>
      <c r="S61" s="131"/>
      <c r="T61" s="131"/>
      <c r="U61" s="131"/>
      <c r="V61" s="131"/>
      <c r="W61" s="1899"/>
      <c r="X61" s="1945"/>
      <c r="Y61" s="1366"/>
      <c r="Z61" s="1366"/>
      <c r="AA61" s="1366"/>
      <c r="AB61" s="1366"/>
      <c r="AC61" s="1366"/>
      <c r="AD61" s="1366"/>
      <c r="AE61" s="1366"/>
      <c r="AF61" s="1366"/>
      <c r="AG61" s="1242"/>
      <c r="AH61" s="1242"/>
      <c r="AI61" s="1242"/>
      <c r="AJ61" s="1242"/>
      <c r="AK61" s="1242"/>
      <c r="AL61" s="1242"/>
      <c r="AM61" s="1242"/>
      <c r="AN61" s="1242"/>
      <c r="AO61" s="1242"/>
      <c r="AP61" s="608"/>
    </row>
    <row r="62" spans="1:42" ht="14.5">
      <c r="A62" s="1693">
        <v>56</v>
      </c>
      <c r="B62" s="616">
        <v>1</v>
      </c>
      <c r="C62" s="1693">
        <v>59</v>
      </c>
      <c r="D62" s="616">
        <v>1</v>
      </c>
      <c r="E62" s="1693">
        <v>59</v>
      </c>
      <c r="F62" s="616">
        <v>1</v>
      </c>
      <c r="G62" s="1693">
        <v>62</v>
      </c>
      <c r="H62" s="616">
        <v>1</v>
      </c>
      <c r="J62" s="709" t="s">
        <v>512</v>
      </c>
      <c r="K62" s="69"/>
      <c r="O62" s="1477" t="s">
        <v>1011</v>
      </c>
      <c r="P62" s="1946"/>
      <c r="Q62" s="1946"/>
      <c r="R62" s="1946"/>
      <c r="S62" s="1946"/>
      <c r="T62" s="1946"/>
      <c r="U62" s="1946"/>
      <c r="V62" s="1946"/>
      <c r="W62" s="1899"/>
      <c r="X62" s="1918">
        <v>0</v>
      </c>
      <c r="Y62" s="1918">
        <v>0</v>
      </c>
      <c r="Z62" s="1918">
        <v>0</v>
      </c>
      <c r="AA62" s="1918">
        <v>0</v>
      </c>
      <c r="AB62" s="1918">
        <v>0</v>
      </c>
      <c r="AC62" s="1918">
        <v>0</v>
      </c>
      <c r="AD62" s="1918">
        <v>0</v>
      </c>
      <c r="AE62" s="1918">
        <v>0</v>
      </c>
      <c r="AF62" s="1918">
        <v>0</v>
      </c>
      <c r="AG62" s="1918">
        <v>0</v>
      </c>
      <c r="AH62" s="1918">
        <v>0</v>
      </c>
      <c r="AI62" s="1918">
        <v>0</v>
      </c>
      <c r="AJ62" s="1938">
        <v>0</v>
      </c>
      <c r="AK62" s="1937">
        <v>0</v>
      </c>
      <c r="AL62" s="1937">
        <v>0</v>
      </c>
      <c r="AM62" s="1937">
        <v>0</v>
      </c>
      <c r="AN62" s="1937">
        <v>0</v>
      </c>
      <c r="AO62" s="1937">
        <v>0</v>
      </c>
      <c r="AP62" s="1938">
        <v>0</v>
      </c>
    </row>
    <row r="63" spans="1:42" ht="14.5">
      <c r="A63" s="1693">
        <v>57</v>
      </c>
      <c r="B63" s="616">
        <v>1</v>
      </c>
      <c r="C63" s="1693">
        <v>60</v>
      </c>
      <c r="D63" s="616">
        <v>1</v>
      </c>
      <c r="E63" s="1693">
        <v>60</v>
      </c>
      <c r="F63" s="616">
        <v>1</v>
      </c>
      <c r="G63" s="1693">
        <v>63</v>
      </c>
      <c r="H63" s="616">
        <v>1</v>
      </c>
      <c r="J63" s="709" t="s">
        <v>512</v>
      </c>
      <c r="K63" s="69"/>
      <c r="O63" s="132"/>
      <c r="P63" s="8" t="s">
        <v>5</v>
      </c>
      <c r="Q63" s="131"/>
      <c r="R63" s="131"/>
      <c r="S63" s="131"/>
      <c r="T63" s="131"/>
      <c r="U63" s="131"/>
      <c r="V63" s="131"/>
      <c r="W63" s="1920"/>
      <c r="X63" s="1922"/>
      <c r="Y63" s="1922"/>
      <c r="Z63" s="1922"/>
      <c r="AA63" s="1922"/>
      <c r="AB63" s="1922"/>
      <c r="AC63" s="1922"/>
      <c r="AD63" s="1922"/>
      <c r="AE63" s="1922"/>
      <c r="AF63" s="1922"/>
      <c r="AG63" s="1922"/>
      <c r="AH63" s="1922"/>
      <c r="AI63" s="1922"/>
      <c r="AJ63" s="1947">
        <v>0</v>
      </c>
      <c r="AK63" s="1948">
        <v>0</v>
      </c>
      <c r="AL63" s="1948">
        <v>0</v>
      </c>
      <c r="AM63" s="1948">
        <v>0</v>
      </c>
      <c r="AN63" s="1948">
        <v>0</v>
      </c>
      <c r="AO63" s="1948">
        <v>0</v>
      </c>
      <c r="AP63" s="1947">
        <v>0</v>
      </c>
    </row>
    <row r="64" spans="1:42" ht="14.5">
      <c r="A64" s="1693">
        <v>58</v>
      </c>
      <c r="B64" s="616">
        <v>1</v>
      </c>
      <c r="C64" s="1693">
        <v>61</v>
      </c>
      <c r="D64" s="616">
        <v>1</v>
      </c>
      <c r="E64" s="1693">
        <v>61</v>
      </c>
      <c r="F64" s="616">
        <v>1</v>
      </c>
      <c r="G64" s="1693">
        <v>64</v>
      </c>
      <c r="H64" s="616">
        <v>1</v>
      </c>
      <c r="J64" s="709" t="s">
        <v>512</v>
      </c>
      <c r="K64" s="69"/>
      <c r="O64" s="132"/>
      <c r="P64" s="8" t="s">
        <v>6</v>
      </c>
      <c r="Q64" s="131"/>
      <c r="R64" s="131"/>
      <c r="S64" s="131"/>
      <c r="T64" s="131"/>
      <c r="U64" s="131"/>
      <c r="V64" s="131"/>
      <c r="W64" s="1920"/>
      <c r="X64" s="1922"/>
      <c r="Y64" s="1922"/>
      <c r="Z64" s="1922"/>
      <c r="AA64" s="1922"/>
      <c r="AB64" s="1922"/>
      <c r="AC64" s="1922"/>
      <c r="AD64" s="1922"/>
      <c r="AE64" s="1922"/>
      <c r="AF64" s="1922"/>
      <c r="AG64" s="1922"/>
      <c r="AH64" s="1922"/>
      <c r="AI64" s="1922"/>
      <c r="AJ64" s="1947">
        <v>0</v>
      </c>
      <c r="AK64" s="1948">
        <v>0</v>
      </c>
      <c r="AL64" s="1948">
        <v>0</v>
      </c>
      <c r="AM64" s="1948">
        <v>0</v>
      </c>
      <c r="AN64" s="1948">
        <v>0</v>
      </c>
      <c r="AO64" s="1948">
        <v>0</v>
      </c>
      <c r="AP64" s="1947">
        <v>0</v>
      </c>
    </row>
    <row r="65" spans="1:42" ht="14.5">
      <c r="A65" s="1693">
        <v>59</v>
      </c>
      <c r="B65" s="616">
        <v>1</v>
      </c>
      <c r="C65" s="1693">
        <v>62</v>
      </c>
      <c r="D65" s="616">
        <v>1</v>
      </c>
      <c r="E65" s="1693">
        <v>62</v>
      </c>
      <c r="F65" s="616">
        <v>1</v>
      </c>
      <c r="G65" s="1693">
        <v>65</v>
      </c>
      <c r="H65" s="616">
        <v>1</v>
      </c>
      <c r="J65" s="709" t="s">
        <v>512</v>
      </c>
      <c r="K65" s="69"/>
      <c r="O65" s="132"/>
      <c r="P65" s="8" t="s">
        <v>7</v>
      </c>
      <c r="Q65" s="131"/>
      <c r="R65" s="131"/>
      <c r="S65" s="131"/>
      <c r="T65" s="131"/>
      <c r="U65" s="131"/>
      <c r="V65" s="131"/>
      <c r="W65" s="1920"/>
      <c r="X65" s="1922"/>
      <c r="Y65" s="1922"/>
      <c r="Z65" s="1922"/>
      <c r="AA65" s="1922"/>
      <c r="AB65" s="1922"/>
      <c r="AC65" s="1922"/>
      <c r="AD65" s="1922"/>
      <c r="AE65" s="1922"/>
      <c r="AF65" s="1922"/>
      <c r="AG65" s="1922"/>
      <c r="AH65" s="1922"/>
      <c r="AI65" s="1922"/>
      <c r="AJ65" s="1947">
        <v>0</v>
      </c>
      <c r="AK65" s="1948">
        <v>0</v>
      </c>
      <c r="AL65" s="1948">
        <v>0</v>
      </c>
      <c r="AM65" s="1948">
        <v>0</v>
      </c>
      <c r="AN65" s="1948">
        <v>0</v>
      </c>
      <c r="AO65" s="1948">
        <v>0</v>
      </c>
      <c r="AP65" s="1947">
        <v>0</v>
      </c>
    </row>
    <row r="66" spans="1:42" ht="14.5">
      <c r="A66" s="1693">
        <v>1</v>
      </c>
      <c r="B66" s="616">
        <v>1</v>
      </c>
      <c r="C66" s="1693">
        <v>1</v>
      </c>
      <c r="D66" s="616">
        <v>1</v>
      </c>
      <c r="E66" s="1693">
        <v>63</v>
      </c>
      <c r="F66" s="616">
        <v>1</v>
      </c>
      <c r="G66" s="1693">
        <v>66</v>
      </c>
      <c r="H66" s="616">
        <v>1</v>
      </c>
      <c r="J66" s="709" t="s">
        <v>512</v>
      </c>
      <c r="K66" s="69"/>
      <c r="L66" s="8"/>
      <c r="O66" s="132"/>
      <c r="P66" s="8" t="s">
        <v>590</v>
      </c>
      <c r="Q66" s="131"/>
      <c r="R66" s="131"/>
      <c r="S66" s="131"/>
      <c r="T66" s="131"/>
      <c r="U66" s="131"/>
      <c r="V66" s="131"/>
      <c r="W66" s="1920"/>
      <c r="X66" s="1922"/>
      <c r="Y66" s="1922"/>
      <c r="Z66" s="1922"/>
      <c r="AA66" s="1922"/>
      <c r="AB66" s="1922"/>
      <c r="AC66" s="1922"/>
      <c r="AD66" s="1922"/>
      <c r="AE66" s="1922"/>
      <c r="AF66" s="1922"/>
      <c r="AG66" s="1922"/>
      <c r="AH66" s="1922"/>
      <c r="AI66" s="1922"/>
      <c r="AJ66" s="1947">
        <v>0</v>
      </c>
      <c r="AK66" s="1948">
        <v>0</v>
      </c>
      <c r="AL66" s="1948">
        <v>0</v>
      </c>
      <c r="AM66" s="1948">
        <v>0</v>
      </c>
      <c r="AN66" s="1948">
        <v>0</v>
      </c>
      <c r="AO66" s="1948">
        <v>0</v>
      </c>
      <c r="AP66" s="1947">
        <v>0</v>
      </c>
    </row>
    <row r="67" spans="1:42" ht="14.5">
      <c r="A67" s="1693">
        <v>60</v>
      </c>
      <c r="B67" s="616">
        <v>1</v>
      </c>
      <c r="C67" s="1693">
        <v>63</v>
      </c>
      <c r="D67" s="616">
        <v>1</v>
      </c>
      <c r="E67" s="1693">
        <v>64</v>
      </c>
      <c r="F67" s="616">
        <v>1</v>
      </c>
      <c r="G67" s="1693">
        <v>67</v>
      </c>
      <c r="H67" s="616">
        <v>1</v>
      </c>
      <c r="J67" s="709" t="s">
        <v>512</v>
      </c>
      <c r="K67" s="69"/>
      <c r="O67" s="130"/>
      <c r="P67" s="11" t="s">
        <v>1011</v>
      </c>
      <c r="Q67" s="129"/>
      <c r="R67" s="129"/>
      <c r="S67" s="129"/>
      <c r="T67" s="129"/>
      <c r="U67" s="129"/>
      <c r="V67" s="129"/>
      <c r="W67" s="1851"/>
      <c r="X67" s="579">
        <v>0</v>
      </c>
      <c r="Y67" s="579">
        <v>0</v>
      </c>
      <c r="Z67" s="579">
        <v>0</v>
      </c>
      <c r="AA67" s="579">
        <v>0</v>
      </c>
      <c r="AB67" s="579">
        <v>0</v>
      </c>
      <c r="AC67" s="579">
        <v>0</v>
      </c>
      <c r="AD67" s="579">
        <v>0</v>
      </c>
      <c r="AE67" s="579">
        <v>0</v>
      </c>
      <c r="AF67" s="579">
        <v>0</v>
      </c>
      <c r="AG67" s="579">
        <v>0</v>
      </c>
      <c r="AH67" s="579">
        <v>0</v>
      </c>
      <c r="AI67" s="579">
        <v>0</v>
      </c>
      <c r="AJ67" s="1947">
        <v>0</v>
      </c>
      <c r="AK67" s="1948">
        <v>0</v>
      </c>
      <c r="AL67" s="1948">
        <v>0</v>
      </c>
      <c r="AM67" s="1948">
        <v>0</v>
      </c>
      <c r="AN67" s="1948">
        <v>0</v>
      </c>
      <c r="AO67" s="1948">
        <v>0</v>
      </c>
      <c r="AP67" s="1947">
        <v>0</v>
      </c>
    </row>
    <row r="68" spans="1:42" ht="14.5">
      <c r="A68" s="1693">
        <v>61</v>
      </c>
      <c r="B68" s="616">
        <v>1</v>
      </c>
      <c r="C68" s="1693">
        <v>64</v>
      </c>
      <c r="D68" s="616">
        <v>1</v>
      </c>
      <c r="E68" s="1693">
        <v>65</v>
      </c>
      <c r="F68" s="616">
        <v>1</v>
      </c>
      <c r="G68" s="1693">
        <v>68</v>
      </c>
      <c r="H68" s="616">
        <v>1</v>
      </c>
      <c r="J68" s="709" t="s">
        <v>512</v>
      </c>
      <c r="K68" s="69"/>
      <c r="O68" s="1477" t="s">
        <v>1012</v>
      </c>
      <c r="P68" s="1475"/>
      <c r="Q68" s="1916"/>
      <c r="R68" s="1916"/>
      <c r="S68" s="1475"/>
      <c r="T68" s="1475"/>
      <c r="U68" s="1475"/>
      <c r="V68" s="1475"/>
      <c r="W68" s="1899"/>
      <c r="X68" s="1918">
        <v>0</v>
      </c>
      <c r="Y68" s="1918">
        <v>0</v>
      </c>
      <c r="Z68" s="1918">
        <v>0</v>
      </c>
      <c r="AA68" s="1918">
        <v>0</v>
      </c>
      <c r="AB68" s="1918">
        <v>0</v>
      </c>
      <c r="AC68" s="1918">
        <v>0</v>
      </c>
      <c r="AD68" s="1918">
        <v>0</v>
      </c>
      <c r="AE68" s="1918">
        <v>0</v>
      </c>
      <c r="AF68" s="1918">
        <v>0</v>
      </c>
      <c r="AG68" s="1918">
        <v>0</v>
      </c>
      <c r="AH68" s="1918">
        <v>0</v>
      </c>
      <c r="AI68" s="1918">
        <v>0</v>
      </c>
      <c r="AJ68" s="1938">
        <v>0</v>
      </c>
      <c r="AK68" s="1937">
        <v>0</v>
      </c>
      <c r="AL68" s="1937">
        <v>0</v>
      </c>
      <c r="AM68" s="1937">
        <v>0</v>
      </c>
      <c r="AN68" s="1937">
        <v>0</v>
      </c>
      <c r="AO68" s="1937">
        <v>0</v>
      </c>
      <c r="AP68" s="1938">
        <v>0</v>
      </c>
    </row>
    <row r="69" spans="1:42" ht="14.5">
      <c r="A69" s="1693">
        <v>62</v>
      </c>
      <c r="B69" s="616">
        <v>1</v>
      </c>
      <c r="C69" s="1693">
        <v>65</v>
      </c>
      <c r="D69" s="616">
        <v>1</v>
      </c>
      <c r="E69" s="1693">
        <v>66</v>
      </c>
      <c r="F69" s="616">
        <v>1</v>
      </c>
      <c r="G69" s="1693">
        <v>69</v>
      </c>
      <c r="H69" s="616">
        <v>1</v>
      </c>
      <c r="J69" s="709" t="s">
        <v>512</v>
      </c>
      <c r="K69" s="69"/>
      <c r="O69" s="127"/>
      <c r="P69" s="8" t="s">
        <v>591</v>
      </c>
      <c r="W69" s="1920"/>
      <c r="X69" s="1922"/>
      <c r="Y69" s="1922"/>
      <c r="Z69" s="1922"/>
      <c r="AA69" s="1922"/>
      <c r="AB69" s="1922"/>
      <c r="AC69" s="1922"/>
      <c r="AD69" s="1922"/>
      <c r="AE69" s="1922"/>
      <c r="AF69" s="1922"/>
      <c r="AG69" s="1922"/>
      <c r="AH69" s="1922"/>
      <c r="AI69" s="1922"/>
      <c r="AJ69" s="1947">
        <v>0</v>
      </c>
      <c r="AK69" s="1948">
        <v>0</v>
      </c>
      <c r="AL69" s="1948">
        <v>0</v>
      </c>
      <c r="AM69" s="1948">
        <v>0</v>
      </c>
      <c r="AN69" s="1948">
        <v>0</v>
      </c>
      <c r="AO69" s="1948">
        <v>0</v>
      </c>
      <c r="AP69" s="1947">
        <v>0</v>
      </c>
    </row>
    <row r="70" spans="1:42" ht="14.5">
      <c r="A70" s="1693">
        <v>63</v>
      </c>
      <c r="B70" s="616">
        <v>1</v>
      </c>
      <c r="C70" s="1693">
        <v>66</v>
      </c>
      <c r="D70" s="616">
        <v>1</v>
      </c>
      <c r="E70" s="1693">
        <v>67</v>
      </c>
      <c r="F70" s="616">
        <v>1</v>
      </c>
      <c r="G70" s="1693">
        <v>70</v>
      </c>
      <c r="H70" s="616">
        <v>1</v>
      </c>
      <c r="J70" s="709" t="s">
        <v>512</v>
      </c>
      <c r="K70" s="69"/>
      <c r="O70" s="127"/>
      <c r="P70" s="8" t="s">
        <v>8</v>
      </c>
      <c r="W70" s="1920"/>
      <c r="X70" s="1922"/>
      <c r="Y70" s="1922"/>
      <c r="Z70" s="1922"/>
      <c r="AA70" s="1922"/>
      <c r="AB70" s="1922"/>
      <c r="AC70" s="1922"/>
      <c r="AD70" s="1922"/>
      <c r="AE70" s="1922"/>
      <c r="AF70" s="1922"/>
      <c r="AG70" s="1922"/>
      <c r="AH70" s="1922"/>
      <c r="AI70" s="1922"/>
      <c r="AJ70" s="1947">
        <v>0</v>
      </c>
      <c r="AK70" s="1948">
        <v>0</v>
      </c>
      <c r="AL70" s="1948">
        <v>0</v>
      </c>
      <c r="AM70" s="1948">
        <v>0</v>
      </c>
      <c r="AN70" s="1948">
        <v>0</v>
      </c>
      <c r="AO70" s="1948">
        <v>0</v>
      </c>
      <c r="AP70" s="1947">
        <v>0</v>
      </c>
    </row>
    <row r="71" spans="1:42" ht="14.5">
      <c r="A71" s="1693">
        <v>64</v>
      </c>
      <c r="B71" s="616">
        <v>1</v>
      </c>
      <c r="C71" s="1693">
        <v>67</v>
      </c>
      <c r="D71" s="616">
        <v>1</v>
      </c>
      <c r="E71" s="1693">
        <v>68</v>
      </c>
      <c r="F71" s="616">
        <v>1</v>
      </c>
      <c r="G71" s="1693">
        <v>71</v>
      </c>
      <c r="H71" s="616">
        <v>1</v>
      </c>
      <c r="J71" s="709" t="s">
        <v>512</v>
      </c>
      <c r="K71" s="69"/>
      <c r="O71" s="127"/>
      <c r="P71" s="8" t="s">
        <v>592</v>
      </c>
      <c r="W71" s="1920"/>
      <c r="X71" s="1922"/>
      <c r="Y71" s="1922"/>
      <c r="Z71" s="1922"/>
      <c r="AA71" s="1922"/>
      <c r="AB71" s="1922"/>
      <c r="AC71" s="1922"/>
      <c r="AD71" s="1922"/>
      <c r="AE71" s="1922"/>
      <c r="AF71" s="1922"/>
      <c r="AG71" s="1922"/>
      <c r="AH71" s="1922"/>
      <c r="AI71" s="1922"/>
      <c r="AJ71" s="1947">
        <v>0</v>
      </c>
      <c r="AK71" s="1948">
        <v>0</v>
      </c>
      <c r="AL71" s="1948">
        <v>0</v>
      </c>
      <c r="AM71" s="1948">
        <v>0</v>
      </c>
      <c r="AN71" s="1948">
        <v>0</v>
      </c>
      <c r="AO71" s="1948">
        <v>0</v>
      </c>
      <c r="AP71" s="1947">
        <v>0</v>
      </c>
    </row>
    <row r="72" spans="1:42" ht="14.5">
      <c r="A72" s="1693">
        <v>1</v>
      </c>
      <c r="B72" s="616">
        <v>1</v>
      </c>
      <c r="C72" s="1693">
        <v>1</v>
      </c>
      <c r="D72" s="616">
        <v>1</v>
      </c>
      <c r="E72" s="1693">
        <v>69</v>
      </c>
      <c r="F72" s="616">
        <v>1</v>
      </c>
      <c r="G72" s="1693">
        <v>72</v>
      </c>
      <c r="H72" s="616">
        <v>1</v>
      </c>
      <c r="J72" s="709" t="s">
        <v>512</v>
      </c>
      <c r="K72" s="69"/>
      <c r="L72" s="8"/>
      <c r="O72" s="127"/>
      <c r="P72" s="8" t="s">
        <v>593</v>
      </c>
      <c r="W72" s="1920"/>
      <c r="X72" s="1922"/>
      <c r="Y72" s="1922"/>
      <c r="Z72" s="1922"/>
      <c r="AA72" s="1922"/>
      <c r="AB72" s="1922"/>
      <c r="AC72" s="1922"/>
      <c r="AD72" s="1922"/>
      <c r="AE72" s="1922"/>
      <c r="AF72" s="1922"/>
      <c r="AG72" s="1922"/>
      <c r="AH72" s="1922"/>
      <c r="AI72" s="1922"/>
      <c r="AJ72" s="1947">
        <v>0</v>
      </c>
      <c r="AK72" s="1948">
        <v>0</v>
      </c>
      <c r="AL72" s="1948">
        <v>0</v>
      </c>
      <c r="AM72" s="1948">
        <v>0</v>
      </c>
      <c r="AN72" s="1948">
        <v>0</v>
      </c>
      <c r="AO72" s="1948">
        <v>0</v>
      </c>
      <c r="AP72" s="1947">
        <v>0</v>
      </c>
    </row>
    <row r="73" spans="1:42" ht="14.5">
      <c r="A73" s="1693">
        <v>65</v>
      </c>
      <c r="B73" s="616">
        <v>1</v>
      </c>
      <c r="C73" s="1693">
        <v>68</v>
      </c>
      <c r="D73" s="616">
        <v>1</v>
      </c>
      <c r="E73" s="1693">
        <v>70</v>
      </c>
      <c r="F73" s="616">
        <v>1</v>
      </c>
      <c r="G73" s="1693">
        <v>73</v>
      </c>
      <c r="H73" s="616">
        <v>1</v>
      </c>
      <c r="J73" s="709" t="s">
        <v>512</v>
      </c>
      <c r="K73" s="69"/>
      <c r="O73" s="124"/>
      <c r="P73" s="11" t="s">
        <v>1012</v>
      </c>
      <c r="Q73" s="16"/>
      <c r="R73" s="16"/>
      <c r="S73" s="11"/>
      <c r="T73" s="11"/>
      <c r="U73" s="11"/>
      <c r="V73" s="11"/>
      <c r="W73" s="1851"/>
      <c r="X73" s="584">
        <v>0</v>
      </c>
      <c r="Y73" s="584">
        <v>0</v>
      </c>
      <c r="Z73" s="584">
        <v>0</v>
      </c>
      <c r="AA73" s="584">
        <v>0</v>
      </c>
      <c r="AB73" s="584">
        <v>0</v>
      </c>
      <c r="AC73" s="584">
        <v>0</v>
      </c>
      <c r="AD73" s="584">
        <v>0</v>
      </c>
      <c r="AE73" s="584">
        <v>0</v>
      </c>
      <c r="AF73" s="584">
        <v>0</v>
      </c>
      <c r="AG73" s="584">
        <v>0</v>
      </c>
      <c r="AH73" s="584">
        <v>0</v>
      </c>
      <c r="AI73" s="584">
        <v>0</v>
      </c>
      <c r="AJ73" s="1949">
        <v>0</v>
      </c>
      <c r="AK73" s="1950">
        <v>0</v>
      </c>
      <c r="AL73" s="1950">
        <v>0</v>
      </c>
      <c r="AM73" s="1950">
        <v>0</v>
      </c>
      <c r="AN73" s="1950">
        <v>0</v>
      </c>
      <c r="AO73" s="1950">
        <v>0</v>
      </c>
      <c r="AP73" s="1949">
        <v>0</v>
      </c>
    </row>
    <row r="74" spans="1:42" ht="14.5">
      <c r="A74" s="1693">
        <v>66</v>
      </c>
      <c r="B74" s="616">
        <v>1</v>
      </c>
      <c r="C74" s="1693">
        <v>69</v>
      </c>
      <c r="D74" s="616">
        <v>1</v>
      </c>
      <c r="E74" s="1693">
        <v>71</v>
      </c>
      <c r="F74" s="616">
        <v>1</v>
      </c>
      <c r="G74" s="1693">
        <v>74</v>
      </c>
      <c r="H74" s="616">
        <v>1</v>
      </c>
      <c r="J74" s="709" t="s">
        <v>512</v>
      </c>
      <c r="K74" s="1764" t="s">
        <v>1216</v>
      </c>
      <c r="P74" s="795"/>
      <c r="W74" s="1772"/>
      <c r="X74" s="1125"/>
      <c r="Y74" s="1366"/>
      <c r="Z74" s="1366"/>
      <c r="AA74" s="1366"/>
      <c r="AB74" s="1366"/>
      <c r="AC74" s="1366"/>
      <c r="AD74" s="1366"/>
      <c r="AE74" s="1366"/>
      <c r="AF74" s="1366"/>
      <c r="AG74" s="1242"/>
      <c r="AH74" s="1242"/>
      <c r="AI74" s="1242"/>
      <c r="AJ74" s="1242"/>
      <c r="AK74" s="1242"/>
      <c r="AL74" s="1242"/>
      <c r="AM74" s="1242"/>
      <c r="AN74" s="1242"/>
      <c r="AO74" s="1242"/>
      <c r="AP74" s="608"/>
    </row>
    <row r="75" spans="1:42" ht="18">
      <c r="A75" s="1693">
        <v>67</v>
      </c>
      <c r="B75" s="616">
        <v>1</v>
      </c>
      <c r="C75" s="1693">
        <v>70</v>
      </c>
      <c r="D75" s="616">
        <v>1</v>
      </c>
      <c r="E75" s="1693">
        <v>72</v>
      </c>
      <c r="F75" s="616">
        <v>1</v>
      </c>
      <c r="G75" s="1693">
        <v>75</v>
      </c>
      <c r="H75" s="616">
        <v>1</v>
      </c>
      <c r="J75" s="709" t="s">
        <v>512</v>
      </c>
      <c r="K75" s="1764" t="s">
        <v>1216</v>
      </c>
      <c r="L75" s="241" t="s">
        <v>924</v>
      </c>
      <c r="M75" s="241"/>
      <c r="N75" s="12"/>
      <c r="W75" s="1772"/>
      <c r="X75" s="1125"/>
      <c r="Y75" s="1366"/>
      <c r="Z75" s="1366"/>
      <c r="AA75" s="1366"/>
      <c r="AB75" s="1366"/>
      <c r="AC75" s="1366"/>
      <c r="AD75" s="1366"/>
      <c r="AE75" s="1366"/>
      <c r="AF75" s="1366"/>
      <c r="AG75" s="1366"/>
      <c r="AH75" s="1366"/>
      <c r="AI75" s="1366"/>
      <c r="AJ75" s="1366"/>
      <c r="AK75" s="1366"/>
      <c r="AL75" s="1366"/>
      <c r="AM75" s="1366"/>
      <c r="AN75" s="1366"/>
      <c r="AO75" s="1366"/>
      <c r="AP75" s="1366"/>
    </row>
    <row r="76" spans="1:42" ht="15.5">
      <c r="A76" s="1693">
        <v>68</v>
      </c>
      <c r="B76" s="616">
        <v>1</v>
      </c>
      <c r="C76" s="1693">
        <v>71</v>
      </c>
      <c r="D76" s="616">
        <v>1</v>
      </c>
      <c r="E76" s="1693">
        <v>73</v>
      </c>
      <c r="F76" s="616">
        <v>1</v>
      </c>
      <c r="G76" s="1693">
        <v>76</v>
      </c>
      <c r="H76" s="616">
        <v>1</v>
      </c>
      <c r="J76" s="709" t="s">
        <v>512</v>
      </c>
      <c r="K76" s="1764" t="s">
        <v>1216</v>
      </c>
      <c r="L76" s="8"/>
      <c r="M76" s="367" t="s">
        <v>925</v>
      </c>
      <c r="O76" s="35"/>
      <c r="P76" s="36"/>
      <c r="Q76" s="35"/>
      <c r="R76" s="35"/>
      <c r="S76" s="36"/>
      <c r="T76" s="61"/>
      <c r="U76" s="36"/>
      <c r="V76" s="36"/>
      <c r="W76" s="1773"/>
      <c r="X76" s="1608"/>
      <c r="Y76" s="1609"/>
      <c r="Z76" s="1609"/>
      <c r="AA76" s="1609"/>
      <c r="AB76" s="1609"/>
      <c r="AC76" s="1609"/>
      <c r="AD76" s="1366"/>
      <c r="AE76" s="1366"/>
      <c r="AF76" s="1366"/>
      <c r="AG76" s="1366"/>
      <c r="AH76" s="69"/>
      <c r="AI76" s="69"/>
      <c r="AJ76" s="69"/>
      <c r="AK76" s="69"/>
      <c r="AL76" s="69"/>
      <c r="AM76" s="69"/>
      <c r="AN76" s="1610"/>
      <c r="AO76" s="1610"/>
      <c r="AP76" s="1610"/>
    </row>
    <row r="77" spans="1:42" ht="14.5">
      <c r="A77" s="1693">
        <v>69</v>
      </c>
      <c r="B77" s="616">
        <v>1</v>
      </c>
      <c r="C77" s="1693">
        <v>72</v>
      </c>
      <c r="D77" s="616">
        <v>1</v>
      </c>
      <c r="E77" s="1693">
        <v>74</v>
      </c>
      <c r="F77" s="616">
        <v>1</v>
      </c>
      <c r="G77" s="1693">
        <v>77</v>
      </c>
      <c r="H77" s="616">
        <v>1</v>
      </c>
      <c r="J77" s="709" t="s">
        <v>512</v>
      </c>
      <c r="K77" s="1764" t="s">
        <v>1216</v>
      </c>
      <c r="L77" s="4"/>
      <c r="M77" s="4"/>
      <c r="N77" s="4" t="s">
        <v>30</v>
      </c>
      <c r="O77" s="4"/>
      <c r="P77" s="3"/>
      <c r="Q77" s="4"/>
      <c r="R77" s="3"/>
      <c r="S77" s="3"/>
      <c r="T77" s="3"/>
      <c r="U77" s="3"/>
      <c r="V77" s="3"/>
      <c r="W77" s="1773"/>
      <c r="X77" s="1608"/>
      <c r="Y77" s="1609"/>
      <c r="Z77" s="1609"/>
      <c r="AA77" s="1609"/>
      <c r="AB77" s="1609"/>
      <c r="AC77" s="1609"/>
      <c r="AD77" s="1366"/>
      <c r="AE77" s="1366"/>
      <c r="AF77" s="1366"/>
      <c r="AG77" s="1366"/>
      <c r="AH77" s="1366"/>
      <c r="AI77" s="1366"/>
      <c r="AJ77" s="1366"/>
      <c r="AK77" s="1366"/>
      <c r="AL77" s="1366"/>
      <c r="AM77" s="1366"/>
      <c r="AN77" s="1366"/>
      <c r="AO77" s="1366"/>
      <c r="AP77" s="1366"/>
    </row>
    <row r="78" spans="1:42" ht="14.5">
      <c r="A78" s="1693">
        <v>1</v>
      </c>
      <c r="B78" s="616">
        <v>1</v>
      </c>
      <c r="C78" s="1693">
        <v>1</v>
      </c>
      <c r="D78" s="616">
        <v>1</v>
      </c>
      <c r="E78" s="1693">
        <v>75</v>
      </c>
      <c r="F78" s="616">
        <v>1</v>
      </c>
      <c r="G78" s="1693">
        <v>78</v>
      </c>
      <c r="H78" s="616">
        <v>1</v>
      </c>
      <c r="J78" s="709" t="s">
        <v>512</v>
      </c>
      <c r="K78" s="1764" t="s">
        <v>1216</v>
      </c>
      <c r="L78" s="12"/>
      <c r="M78" s="81"/>
      <c r="N78" s="12"/>
      <c r="O78" s="1951"/>
      <c r="P78" s="1952"/>
      <c r="Q78" s="1953"/>
      <c r="R78" s="1953"/>
      <c r="S78" s="1952"/>
      <c r="T78" s="1952"/>
      <c r="U78" s="1952"/>
      <c r="V78" s="1954"/>
      <c r="W78" s="1773"/>
      <c r="X78" s="1955">
        <v>45017</v>
      </c>
      <c r="Y78" s="1955">
        <v>45047</v>
      </c>
      <c r="Z78" s="1955">
        <v>45078</v>
      </c>
      <c r="AA78" s="1955">
        <v>45108</v>
      </c>
      <c r="AB78" s="1955">
        <v>45139</v>
      </c>
      <c r="AC78" s="1955">
        <v>45170</v>
      </c>
      <c r="AD78" s="1955">
        <v>45200</v>
      </c>
      <c r="AE78" s="1955">
        <v>45231</v>
      </c>
      <c r="AF78" s="1955">
        <v>45261</v>
      </c>
      <c r="AG78" s="1955">
        <v>45292</v>
      </c>
      <c r="AH78" s="1955">
        <v>45323</v>
      </c>
      <c r="AI78" s="1955">
        <v>45352</v>
      </c>
      <c r="AJ78" s="1956" t="s">
        <v>904</v>
      </c>
      <c r="AK78" s="1957" t="s">
        <v>36</v>
      </c>
      <c r="AL78" s="1957" t="s">
        <v>35</v>
      </c>
      <c r="AM78" s="1957" t="s">
        <v>34</v>
      </c>
      <c r="AN78" s="1957" t="s">
        <v>33</v>
      </c>
      <c r="AO78" s="1957" t="s">
        <v>32</v>
      </c>
      <c r="AP78" s="1957" t="s">
        <v>905</v>
      </c>
    </row>
    <row r="79" spans="1:42" ht="14.5">
      <c r="A79" s="1693">
        <v>1</v>
      </c>
      <c r="B79" s="616">
        <v>1</v>
      </c>
      <c r="C79" s="1693">
        <v>1</v>
      </c>
      <c r="D79" s="616">
        <v>1</v>
      </c>
      <c r="E79" s="1693">
        <v>1</v>
      </c>
      <c r="F79" s="616">
        <v>1</v>
      </c>
      <c r="G79" s="1693">
        <v>79</v>
      </c>
      <c r="H79" s="616">
        <v>1</v>
      </c>
      <c r="J79" s="709" t="s">
        <v>512</v>
      </c>
      <c r="K79" s="1764" t="s">
        <v>1216</v>
      </c>
      <c r="L79" s="4"/>
      <c r="M79" s="4"/>
      <c r="N79" s="4"/>
      <c r="O79" s="987" t="s">
        <v>0</v>
      </c>
      <c r="P79" s="988"/>
      <c r="Q79" s="988"/>
      <c r="R79" s="988"/>
      <c r="S79" s="989"/>
      <c r="T79" s="989"/>
      <c r="U79" s="989"/>
      <c r="V79" s="1958"/>
      <c r="W79" s="1959"/>
      <c r="X79" s="1960">
        <v>250909.45789114243</v>
      </c>
      <c r="Y79" s="1960">
        <v>208780.92717306258</v>
      </c>
      <c r="Z79" s="1960">
        <v>234780.57166040916</v>
      </c>
      <c r="AA79" s="1960">
        <v>216919.24277147866</v>
      </c>
      <c r="AB79" s="1960">
        <v>238704.56693899591</v>
      </c>
      <c r="AC79" s="1960">
        <v>262658.74058821797</v>
      </c>
      <c r="AD79" s="1961">
        <v>214812.77941711602</v>
      </c>
      <c r="AE79" s="1961">
        <v>219545.41642464936</v>
      </c>
      <c r="AF79" s="1961">
        <v>253998.45610123008</v>
      </c>
      <c r="AG79" s="1962">
        <v>214273.43541542144</v>
      </c>
      <c r="AH79" s="1962">
        <v>237238.95788258669</v>
      </c>
      <c r="AI79" s="1962">
        <v>259791.72011073522</v>
      </c>
      <c r="AJ79" s="1962">
        <v>694470.95672461414</v>
      </c>
      <c r="AK79" s="1962">
        <v>718282.55029869254</v>
      </c>
      <c r="AL79" s="1962">
        <v>688356.65194299549</v>
      </c>
      <c r="AM79" s="1962">
        <v>711304.1134087434</v>
      </c>
      <c r="AN79" s="1962">
        <v>1412753.5070233066</v>
      </c>
      <c r="AO79" s="1962">
        <v>1399660.7653517388</v>
      </c>
      <c r="AP79" s="1962">
        <v>2812414.2723750453</v>
      </c>
    </row>
    <row r="80" spans="1:42" ht="14.5">
      <c r="A80" s="1693">
        <v>1</v>
      </c>
      <c r="B80" s="616">
        <v>1</v>
      </c>
      <c r="C80" s="1693">
        <v>1</v>
      </c>
      <c r="D80" s="616">
        <v>1</v>
      </c>
      <c r="E80" s="1693">
        <v>1</v>
      </c>
      <c r="F80" s="616">
        <v>1</v>
      </c>
      <c r="G80" s="1693">
        <v>80</v>
      </c>
      <c r="H80" s="616">
        <v>1</v>
      </c>
      <c r="J80" s="709" t="s">
        <v>512</v>
      </c>
      <c r="K80" s="1764" t="s">
        <v>1216</v>
      </c>
      <c r="L80" s="4"/>
      <c r="M80" s="4"/>
      <c r="N80" s="4"/>
      <c r="O80" s="990" t="s">
        <v>48</v>
      </c>
      <c r="P80" s="991"/>
      <c r="Q80" s="991"/>
      <c r="R80" s="991"/>
      <c r="S80" s="992"/>
      <c r="T80" s="992"/>
      <c r="U80" s="992"/>
      <c r="V80" s="1004"/>
      <c r="W80" s="1959"/>
      <c r="X80" s="1963">
        <v>250909.45789114243</v>
      </c>
      <c r="Y80" s="1963">
        <v>208780.92717306258</v>
      </c>
      <c r="Z80" s="1963">
        <v>234780.57166040916</v>
      </c>
      <c r="AA80" s="1963">
        <v>216919.24277147866</v>
      </c>
      <c r="AB80" s="1963">
        <v>238704.56693899591</v>
      </c>
      <c r="AC80" s="1963">
        <v>262658.74058821797</v>
      </c>
      <c r="AD80" s="1964">
        <v>214812.77941711602</v>
      </c>
      <c r="AE80" s="1964">
        <v>219545.41642464936</v>
      </c>
      <c r="AF80" s="1964">
        <v>253998.45610123008</v>
      </c>
      <c r="AG80" s="1965">
        <v>214273.43541542144</v>
      </c>
      <c r="AH80" s="1965">
        <v>237238.95788258669</v>
      </c>
      <c r="AI80" s="1965">
        <v>259791.72011073522</v>
      </c>
      <c r="AJ80" s="1965">
        <v>694470.95672461414</v>
      </c>
      <c r="AK80" s="1965">
        <v>718282.55029869254</v>
      </c>
      <c r="AL80" s="1965">
        <v>688356.65194299549</v>
      </c>
      <c r="AM80" s="1965">
        <v>711304.1134087434</v>
      </c>
      <c r="AN80" s="1965">
        <v>1412753.5070233066</v>
      </c>
      <c r="AO80" s="1965">
        <v>1399660.7653517388</v>
      </c>
      <c r="AP80" s="1965">
        <v>2812414.2723750453</v>
      </c>
    </row>
    <row r="81" spans="1:42" ht="14.5">
      <c r="A81" s="1693">
        <v>1</v>
      </c>
      <c r="B81" s="616">
        <v>1</v>
      </c>
      <c r="C81" s="1693">
        <v>1</v>
      </c>
      <c r="D81" s="616">
        <v>1</v>
      </c>
      <c r="E81" s="1693">
        <v>1</v>
      </c>
      <c r="F81" s="616">
        <v>1</v>
      </c>
      <c r="G81" s="1693">
        <v>81</v>
      </c>
      <c r="H81" s="616">
        <v>1</v>
      </c>
      <c r="J81" s="709" t="s">
        <v>512</v>
      </c>
      <c r="K81" s="1764" t="s">
        <v>1216</v>
      </c>
      <c r="L81" s="4"/>
      <c r="M81" s="4"/>
      <c r="N81" s="4"/>
      <c r="O81" s="990" t="s">
        <v>54</v>
      </c>
      <c r="P81" s="991"/>
      <c r="Q81" s="991"/>
      <c r="R81" s="991"/>
      <c r="S81" s="992"/>
      <c r="T81" s="992"/>
      <c r="U81" s="992"/>
      <c r="V81" s="1004"/>
      <c r="W81" s="1959"/>
      <c r="X81" s="1963">
        <v>74637.497872078937</v>
      </c>
      <c r="Y81" s="1963">
        <v>59723.45296760161</v>
      </c>
      <c r="Z81" s="1963">
        <v>67801.231974266848</v>
      </c>
      <c r="AA81" s="1963">
        <v>61284.705489540727</v>
      </c>
      <c r="AB81" s="1963">
        <v>67936.18102130531</v>
      </c>
      <c r="AC81" s="1963">
        <v>75463.265570714255</v>
      </c>
      <c r="AD81" s="1964">
        <v>60810.091793139123</v>
      </c>
      <c r="AE81" s="1964">
        <v>63931.988238247344</v>
      </c>
      <c r="AF81" s="1964">
        <v>73883.591746864258</v>
      </c>
      <c r="AG81" s="1965">
        <v>61655.265726707097</v>
      </c>
      <c r="AH81" s="1965">
        <v>68731.010244083736</v>
      </c>
      <c r="AI81" s="1965">
        <v>75132.991008070967</v>
      </c>
      <c r="AJ81" s="1965">
        <v>202162.18281394741</v>
      </c>
      <c r="AK81" s="1965">
        <v>204684.15208156029</v>
      </c>
      <c r="AL81" s="1965">
        <v>198625.67177825072</v>
      </c>
      <c r="AM81" s="1965">
        <v>205519.26697886179</v>
      </c>
      <c r="AN81" s="1965">
        <v>406846.33489550767</v>
      </c>
      <c r="AO81" s="1965">
        <v>404144.93875711248</v>
      </c>
      <c r="AP81" s="1965">
        <v>810991.27365262015</v>
      </c>
    </row>
    <row r="82" spans="1:42" ht="14.5">
      <c r="A82" s="1693">
        <v>1</v>
      </c>
      <c r="B82" s="616">
        <v>1</v>
      </c>
      <c r="C82" s="1693">
        <v>1</v>
      </c>
      <c r="D82" s="616">
        <v>1</v>
      </c>
      <c r="E82" s="1693">
        <v>1</v>
      </c>
      <c r="F82" s="616">
        <v>1</v>
      </c>
      <c r="G82" s="1693">
        <v>82</v>
      </c>
      <c r="H82" s="616">
        <v>1</v>
      </c>
      <c r="J82" s="709" t="s">
        <v>512</v>
      </c>
      <c r="K82" s="1764" t="s">
        <v>1216</v>
      </c>
      <c r="L82" s="4"/>
      <c r="M82" s="4"/>
      <c r="N82" s="4"/>
      <c r="O82" s="990" t="s">
        <v>29</v>
      </c>
      <c r="P82" s="993"/>
      <c r="Q82" s="993"/>
      <c r="R82" s="993"/>
      <c r="S82" s="994"/>
      <c r="T82" s="994"/>
      <c r="U82" s="994"/>
      <c r="V82" s="1005"/>
      <c r="W82" s="1959"/>
      <c r="X82" s="1966">
        <v>68189.963693167359</v>
      </c>
      <c r="Y82" s="1966">
        <v>58034.312848557049</v>
      </c>
      <c r="Z82" s="1966">
        <v>59654.736414894054</v>
      </c>
      <c r="AA82" s="1966">
        <v>58974.696346454453</v>
      </c>
      <c r="AB82" s="1966">
        <v>60738.32630537355</v>
      </c>
      <c r="AC82" s="1966">
        <v>64278.198064338387</v>
      </c>
      <c r="AD82" s="1967">
        <v>57841.931137799555</v>
      </c>
      <c r="AE82" s="1967">
        <v>57521.649689556289</v>
      </c>
      <c r="AF82" s="1967">
        <v>59532.817855530113</v>
      </c>
      <c r="AG82" s="1968">
        <v>58538.032136502385</v>
      </c>
      <c r="AH82" s="1968">
        <v>56269.776897461532</v>
      </c>
      <c r="AI82" s="1968">
        <v>56628.087657754193</v>
      </c>
      <c r="AJ82" s="1968">
        <v>185879.01295661848</v>
      </c>
      <c r="AK82" s="1968">
        <v>183991.2207161664</v>
      </c>
      <c r="AL82" s="1968">
        <v>174896.39868288592</v>
      </c>
      <c r="AM82" s="1968">
        <v>171435.89669171811</v>
      </c>
      <c r="AN82" s="1968">
        <v>369870.23367278487</v>
      </c>
      <c r="AO82" s="1968">
        <v>346332.29537460406</v>
      </c>
      <c r="AP82" s="1968">
        <v>716202.52904738882</v>
      </c>
    </row>
    <row r="83" spans="1:42" ht="14.5">
      <c r="A83" s="1693">
        <v>1</v>
      </c>
      <c r="B83" s="616">
        <v>1</v>
      </c>
      <c r="C83" s="1693">
        <v>1</v>
      </c>
      <c r="D83" s="616">
        <v>1</v>
      </c>
      <c r="E83" s="1693">
        <v>1</v>
      </c>
      <c r="F83" s="616">
        <v>1</v>
      </c>
      <c r="G83" s="1693">
        <v>83</v>
      </c>
      <c r="H83" s="616">
        <v>1</v>
      </c>
      <c r="J83" s="709" t="s">
        <v>512</v>
      </c>
      <c r="K83" s="1764" t="s">
        <v>1216</v>
      </c>
      <c r="L83" s="4"/>
      <c r="M83" s="4"/>
      <c r="N83" s="4"/>
      <c r="O83" s="498"/>
      <c r="P83" s="3" t="s">
        <v>63</v>
      </c>
      <c r="Q83" s="3"/>
      <c r="R83" s="3"/>
      <c r="S83" s="3"/>
      <c r="T83" s="3"/>
      <c r="U83" s="3"/>
      <c r="V83" s="26"/>
      <c r="W83" s="1850"/>
      <c r="X83" s="1378">
        <v>25792.506177936801</v>
      </c>
      <c r="Y83" s="1378">
        <v>15930.3882767126</v>
      </c>
      <c r="Z83" s="1378">
        <v>17213.131103835702</v>
      </c>
      <c r="AA83" s="1378">
        <v>16152.688311959</v>
      </c>
      <c r="AB83" s="1378">
        <v>17691.167457738498</v>
      </c>
      <c r="AC83" s="1378">
        <v>21097.948740052299</v>
      </c>
      <c r="AD83" s="579">
        <v>14677.2514172135</v>
      </c>
      <c r="AE83" s="579">
        <v>14288.5867144569</v>
      </c>
      <c r="AF83" s="579">
        <v>15978.9180028967</v>
      </c>
      <c r="AG83" s="1969">
        <v>14966.49033604</v>
      </c>
      <c r="AH83" s="1969">
        <v>12550.710483663799</v>
      </c>
      <c r="AI83" s="1969">
        <v>12806.838847423202</v>
      </c>
      <c r="AJ83" s="1948">
        <v>58936.025558485104</v>
      </c>
      <c r="AK83" s="1948">
        <v>54941.804509749796</v>
      </c>
      <c r="AL83" s="1948">
        <v>44944.756134567098</v>
      </c>
      <c r="AM83" s="1948">
        <v>40324.039667126999</v>
      </c>
      <c r="AN83" s="1948">
        <v>113877.83006823491</v>
      </c>
      <c r="AO83" s="1948">
        <v>85268.795801694097</v>
      </c>
      <c r="AP83" s="1948">
        <v>199146.625869929</v>
      </c>
    </row>
    <row r="84" spans="1:42" ht="14.5">
      <c r="A84" s="1693">
        <v>1</v>
      </c>
      <c r="B84" s="616">
        <v>1</v>
      </c>
      <c r="C84" s="1693">
        <v>1</v>
      </c>
      <c r="D84" s="616">
        <v>1</v>
      </c>
      <c r="E84" s="1693">
        <v>1</v>
      </c>
      <c r="F84" s="616">
        <v>1</v>
      </c>
      <c r="G84" s="1693">
        <v>84</v>
      </c>
      <c r="H84" s="616">
        <v>1</v>
      </c>
      <c r="J84" s="709" t="s">
        <v>512</v>
      </c>
      <c r="K84" s="1764" t="s">
        <v>1216</v>
      </c>
      <c r="L84" s="4"/>
      <c r="M84" s="4"/>
      <c r="N84" s="4"/>
      <c r="O84" s="498"/>
      <c r="P84" s="3" t="s">
        <v>28</v>
      </c>
      <c r="Q84" s="3"/>
      <c r="R84" s="3"/>
      <c r="S84" s="3"/>
      <c r="T84" s="3"/>
      <c r="U84" s="3"/>
      <c r="V84" s="26"/>
      <c r="W84" s="1850"/>
      <c r="X84" s="1378">
        <v>28677.001862010544</v>
      </c>
      <c r="Y84" s="1378">
        <v>28860.33519534388</v>
      </c>
      <c r="Z84" s="1378">
        <v>29093.668528677212</v>
      </c>
      <c r="AA84" s="1378">
        <v>29560.33519534388</v>
      </c>
      <c r="AB84" s="1378">
        <v>29660.33519534388</v>
      </c>
      <c r="AC84" s="1378">
        <v>29760.33519534388</v>
      </c>
      <c r="AD84" s="579">
        <v>29860.33519534388</v>
      </c>
      <c r="AE84" s="579">
        <v>29960.33519534388</v>
      </c>
      <c r="AF84" s="579">
        <v>30143.668528677212</v>
      </c>
      <c r="AG84" s="1969">
        <v>30243.668528677212</v>
      </c>
      <c r="AH84" s="1969">
        <v>30343.668528677212</v>
      </c>
      <c r="AI84" s="1969">
        <v>30343.668528677212</v>
      </c>
      <c r="AJ84" s="1948">
        <v>86631.005586031635</v>
      </c>
      <c r="AK84" s="1948">
        <v>88981.005586031635</v>
      </c>
      <c r="AL84" s="1948">
        <v>89964.338919364964</v>
      </c>
      <c r="AM84" s="1948">
        <v>90931.005586031635</v>
      </c>
      <c r="AN84" s="1948">
        <v>175612.01117206327</v>
      </c>
      <c r="AO84" s="1948">
        <v>180895.34450539661</v>
      </c>
      <c r="AP84" s="1948">
        <v>356507.35567745985</v>
      </c>
    </row>
    <row r="85" spans="1:42" ht="14.5">
      <c r="A85" s="1693">
        <v>1</v>
      </c>
      <c r="B85" s="616">
        <v>1</v>
      </c>
      <c r="C85" s="1693">
        <v>1</v>
      </c>
      <c r="D85" s="616">
        <v>1</v>
      </c>
      <c r="E85" s="1693">
        <v>1</v>
      </c>
      <c r="F85" s="616">
        <v>1</v>
      </c>
      <c r="G85" s="1693">
        <v>85</v>
      </c>
      <c r="H85" s="616">
        <v>1</v>
      </c>
      <c r="J85" s="709" t="s">
        <v>512</v>
      </c>
      <c r="K85" s="1764" t="s">
        <v>1216</v>
      </c>
      <c r="L85" s="4"/>
      <c r="M85" s="4"/>
      <c r="N85" s="4"/>
      <c r="O85" s="976"/>
      <c r="P85" s="47" t="s">
        <v>62</v>
      </c>
      <c r="Q85" s="47"/>
      <c r="R85" s="47"/>
      <c r="S85" s="47"/>
      <c r="T85" s="47"/>
      <c r="U85" s="47"/>
      <c r="V85" s="46"/>
      <c r="W85" s="1850"/>
      <c r="X85" s="1970">
        <v>13720.455653220015</v>
      </c>
      <c r="Y85" s="1970">
        <v>13243.589376500571</v>
      </c>
      <c r="Z85" s="1970">
        <v>13347.936782381141</v>
      </c>
      <c r="AA85" s="1970">
        <v>13261.672839151575</v>
      </c>
      <c r="AB85" s="1970">
        <v>13386.823652291168</v>
      </c>
      <c r="AC85" s="1970">
        <v>13419.914128942215</v>
      </c>
      <c r="AD85" s="1971">
        <v>13304.344525242173</v>
      </c>
      <c r="AE85" s="1971">
        <v>13272.727779755511</v>
      </c>
      <c r="AF85" s="1971">
        <v>13410.231323956199</v>
      </c>
      <c r="AG85" s="1972">
        <v>13327.873271785178</v>
      </c>
      <c r="AH85" s="1972">
        <v>13375.397885120517</v>
      </c>
      <c r="AI85" s="1972">
        <v>13477.580281653776</v>
      </c>
      <c r="AJ85" s="1973">
        <v>40311.981812101731</v>
      </c>
      <c r="AK85" s="1973">
        <v>40068.410620384959</v>
      </c>
      <c r="AL85" s="1973">
        <v>39987.303628953887</v>
      </c>
      <c r="AM85" s="1973">
        <v>40180.851438559475</v>
      </c>
      <c r="AN85" s="1973">
        <v>80380.392432486697</v>
      </c>
      <c r="AO85" s="1973">
        <v>80168.155067513362</v>
      </c>
      <c r="AP85" s="1973">
        <v>160548.54750000004</v>
      </c>
    </row>
    <row r="86" spans="1:42" ht="14.5">
      <c r="A86" s="1693">
        <v>1</v>
      </c>
      <c r="B86" s="616">
        <v>1</v>
      </c>
      <c r="C86" s="1693">
        <v>1</v>
      </c>
      <c r="D86" s="616">
        <v>1</v>
      </c>
      <c r="E86" s="1693">
        <v>1</v>
      </c>
      <c r="F86" s="616">
        <v>1</v>
      </c>
      <c r="G86" s="1693">
        <v>86</v>
      </c>
      <c r="H86" s="616">
        <v>1</v>
      </c>
      <c r="J86" s="709" t="s">
        <v>512</v>
      </c>
      <c r="K86" s="1764" t="s">
        <v>1216</v>
      </c>
      <c r="L86" s="4"/>
      <c r="M86" s="4"/>
      <c r="N86" s="4"/>
      <c r="O86" s="995" t="s">
        <v>56</v>
      </c>
      <c r="P86" s="996"/>
      <c r="Q86" s="996"/>
      <c r="R86" s="996"/>
      <c r="S86" s="997"/>
      <c r="T86" s="997"/>
      <c r="U86" s="997"/>
      <c r="V86" s="1006"/>
      <c r="W86" s="1959"/>
      <c r="X86" s="1974">
        <v>6447.5341789115773</v>
      </c>
      <c r="Y86" s="1974">
        <v>1689.1401190445613</v>
      </c>
      <c r="Z86" s="1974">
        <v>8146.4955593727937</v>
      </c>
      <c r="AA86" s="1974">
        <v>2310.009143086274</v>
      </c>
      <c r="AB86" s="1974">
        <v>7197.8547159317604</v>
      </c>
      <c r="AC86" s="1974">
        <v>11185.067506375868</v>
      </c>
      <c r="AD86" s="1975">
        <v>2968.1606553395686</v>
      </c>
      <c r="AE86" s="1975">
        <v>6410.3385486910556</v>
      </c>
      <c r="AF86" s="1975">
        <v>14350.773891334145</v>
      </c>
      <c r="AG86" s="1976">
        <v>3117.2335902047125</v>
      </c>
      <c r="AH86" s="1976">
        <v>12461.233346622204</v>
      </c>
      <c r="AI86" s="1976">
        <v>18504.903350316774</v>
      </c>
      <c r="AJ86" s="1976">
        <v>16283.169857328932</v>
      </c>
      <c r="AK86" s="1976">
        <v>20692.931365393888</v>
      </c>
      <c r="AL86" s="1976">
        <v>23729.273095364799</v>
      </c>
      <c r="AM86" s="1976">
        <v>34083.370287143684</v>
      </c>
      <c r="AN86" s="1976">
        <v>36976.101222722791</v>
      </c>
      <c r="AO86" s="1976">
        <v>57812.643382508424</v>
      </c>
      <c r="AP86" s="1976">
        <v>94788.744605231332</v>
      </c>
    </row>
    <row r="87" spans="1:42" ht="14.5">
      <c r="A87" s="1693">
        <v>1</v>
      </c>
      <c r="B87" s="616">
        <v>1</v>
      </c>
      <c r="C87" s="1693">
        <v>1</v>
      </c>
      <c r="D87" s="616">
        <v>1</v>
      </c>
      <c r="E87" s="1693">
        <v>1</v>
      </c>
      <c r="F87" s="616">
        <v>1</v>
      </c>
      <c r="G87" s="1693">
        <v>87</v>
      </c>
      <c r="H87" s="616">
        <v>1</v>
      </c>
      <c r="J87" s="709" t="s">
        <v>512</v>
      </c>
      <c r="K87" s="1764" t="s">
        <v>1216</v>
      </c>
      <c r="L87" s="4"/>
      <c r="M87" s="4"/>
      <c r="N87" s="4"/>
      <c r="O87" s="198" t="s">
        <v>994</v>
      </c>
      <c r="P87" s="447"/>
      <c r="Q87" s="514"/>
      <c r="R87" s="514"/>
      <c r="S87" s="447"/>
      <c r="T87" s="447"/>
      <c r="U87" s="447"/>
      <c r="V87" s="447"/>
      <c r="W87" s="1850"/>
      <c r="X87" s="1400">
        <v>0</v>
      </c>
      <c r="Y87" s="1977">
        <v>0</v>
      </c>
      <c r="Z87" s="1977">
        <v>0</v>
      </c>
      <c r="AA87" s="1977">
        <v>0</v>
      </c>
      <c r="AB87" s="1977">
        <v>0</v>
      </c>
      <c r="AC87" s="1977">
        <v>0</v>
      </c>
      <c r="AD87" s="1977">
        <v>0</v>
      </c>
      <c r="AE87" s="1977">
        <v>0</v>
      </c>
      <c r="AF87" s="1977">
        <v>0</v>
      </c>
      <c r="AG87" s="1977">
        <v>0</v>
      </c>
      <c r="AH87" s="1977">
        <v>0</v>
      </c>
      <c r="AI87" s="1977">
        <v>0</v>
      </c>
      <c r="AJ87" s="1978">
        <v>0</v>
      </c>
      <c r="AK87" s="1978">
        <v>0</v>
      </c>
      <c r="AL87" s="1978">
        <v>0</v>
      </c>
      <c r="AM87" s="1978">
        <v>0</v>
      </c>
      <c r="AN87" s="1978">
        <v>0</v>
      </c>
      <c r="AO87" s="1978">
        <v>0</v>
      </c>
      <c r="AP87" s="1978">
        <v>0</v>
      </c>
    </row>
    <row r="88" spans="1:42" ht="14.5">
      <c r="A88" s="1693">
        <v>1</v>
      </c>
      <c r="B88" s="616">
        <v>1</v>
      </c>
      <c r="C88" s="1693">
        <v>1</v>
      </c>
      <c r="D88" s="616">
        <v>1</v>
      </c>
      <c r="E88" s="1693">
        <v>1</v>
      </c>
      <c r="F88" s="616">
        <v>1</v>
      </c>
      <c r="G88" s="1693">
        <v>88</v>
      </c>
      <c r="H88" s="616">
        <v>1</v>
      </c>
      <c r="J88" s="709" t="s">
        <v>512</v>
      </c>
      <c r="K88" s="1764" t="s">
        <v>1216</v>
      </c>
      <c r="L88" s="4"/>
      <c r="M88" s="4"/>
      <c r="N88" s="4"/>
      <c r="O88" s="106" t="s">
        <v>995</v>
      </c>
      <c r="P88" s="104"/>
      <c r="Q88" s="105"/>
      <c r="R88" s="105"/>
      <c r="S88" s="104"/>
      <c r="T88" s="104"/>
      <c r="U88" s="104"/>
      <c r="V88" s="104"/>
      <c r="W88" s="1850"/>
      <c r="X88" s="1379">
        <v>0</v>
      </c>
      <c r="Y88" s="1979">
        <v>0</v>
      </c>
      <c r="Z88" s="1979">
        <v>0</v>
      </c>
      <c r="AA88" s="1979">
        <v>0</v>
      </c>
      <c r="AB88" s="1979">
        <v>0</v>
      </c>
      <c r="AC88" s="1979">
        <v>0</v>
      </c>
      <c r="AD88" s="1979">
        <v>0</v>
      </c>
      <c r="AE88" s="1979">
        <v>0</v>
      </c>
      <c r="AF88" s="1979">
        <v>0</v>
      </c>
      <c r="AG88" s="1979">
        <v>0</v>
      </c>
      <c r="AH88" s="1979">
        <v>0</v>
      </c>
      <c r="AI88" s="1979">
        <v>0</v>
      </c>
      <c r="AJ88" s="1980">
        <v>0</v>
      </c>
      <c r="AK88" s="1980">
        <v>0</v>
      </c>
      <c r="AL88" s="1980">
        <v>0</v>
      </c>
      <c r="AM88" s="1980">
        <v>0</v>
      </c>
      <c r="AN88" s="1980">
        <v>0</v>
      </c>
      <c r="AO88" s="1980">
        <v>0</v>
      </c>
      <c r="AP88" s="1980">
        <v>0</v>
      </c>
    </row>
    <row r="89" spans="1:42" ht="14.5">
      <c r="A89" s="1693">
        <v>1</v>
      </c>
      <c r="B89" s="616">
        <v>1</v>
      </c>
      <c r="C89" s="1693">
        <v>1</v>
      </c>
      <c r="D89" s="616">
        <v>1</v>
      </c>
      <c r="E89" s="1693">
        <v>1</v>
      </c>
      <c r="F89" s="616">
        <v>1</v>
      </c>
      <c r="G89" s="1693">
        <v>89</v>
      </c>
      <c r="H89" s="616">
        <v>1</v>
      </c>
      <c r="J89" s="709" t="s">
        <v>512</v>
      </c>
      <c r="K89" s="1764" t="s">
        <v>1216</v>
      </c>
      <c r="L89" s="4"/>
      <c r="M89" s="4"/>
      <c r="N89" s="4"/>
      <c r="O89" s="1981" t="s">
        <v>1</v>
      </c>
      <c r="P89" s="1982"/>
      <c r="Q89" s="1983"/>
      <c r="R89" s="1983"/>
      <c r="S89" s="1983"/>
      <c r="T89" s="1983"/>
      <c r="U89" s="1983"/>
      <c r="V89" s="1983"/>
      <c r="W89" s="1959"/>
      <c r="X89" s="1984">
        <v>6447.5341789115773</v>
      </c>
      <c r="Y89" s="1985">
        <v>1689.1401190445613</v>
      </c>
      <c r="Z89" s="1985">
        <v>8146.4955593727937</v>
      </c>
      <c r="AA89" s="1985">
        <v>2310.009143086274</v>
      </c>
      <c r="AB89" s="1985">
        <v>7197.8547159317604</v>
      </c>
      <c r="AC89" s="1985">
        <v>11185.067506375868</v>
      </c>
      <c r="AD89" s="1985">
        <v>2968.1606553395686</v>
      </c>
      <c r="AE89" s="1985">
        <v>6410.3385486910556</v>
      </c>
      <c r="AF89" s="1985">
        <v>14350.773891334145</v>
      </c>
      <c r="AG89" s="1985">
        <v>3117.2335902047125</v>
      </c>
      <c r="AH89" s="1985">
        <v>12461.233346622204</v>
      </c>
      <c r="AI89" s="1985">
        <v>18504.903350316774</v>
      </c>
      <c r="AJ89" s="1985">
        <v>16283.169857328932</v>
      </c>
      <c r="AK89" s="1985">
        <v>20692.931365393888</v>
      </c>
      <c r="AL89" s="1985">
        <v>23729.273095364799</v>
      </c>
      <c r="AM89" s="1985">
        <v>34083.370287143684</v>
      </c>
      <c r="AN89" s="1985">
        <v>36976.101222722791</v>
      </c>
      <c r="AO89" s="1985">
        <v>57812.643382508424</v>
      </c>
      <c r="AP89" s="1985">
        <v>94788.744605231332</v>
      </c>
    </row>
    <row r="90" spans="1:42" ht="14.5">
      <c r="A90" s="1693">
        <v>1</v>
      </c>
      <c r="B90" s="616">
        <v>1</v>
      </c>
      <c r="C90" s="1693">
        <v>1</v>
      </c>
      <c r="D90" s="616">
        <v>1</v>
      </c>
      <c r="E90" s="1693">
        <v>115</v>
      </c>
      <c r="F90" s="616">
        <v>1</v>
      </c>
      <c r="G90" s="1693">
        <v>90</v>
      </c>
      <c r="H90" s="616">
        <v>1</v>
      </c>
      <c r="J90" s="709" t="s">
        <v>512</v>
      </c>
      <c r="K90" s="1572"/>
      <c r="L90" s="519"/>
      <c r="M90" s="737"/>
      <c r="N90" s="4"/>
      <c r="O90" s="4"/>
      <c r="P90" s="3"/>
      <c r="Q90" s="502" t="s">
        <v>1014</v>
      </c>
      <c r="R90" s="4"/>
      <c r="S90" s="3"/>
      <c r="T90" s="3"/>
      <c r="U90" s="3"/>
      <c r="V90" s="3"/>
      <c r="W90" s="1785"/>
      <c r="X90" s="1404">
        <v>0.28649140784963079</v>
      </c>
      <c r="Y90" s="1404">
        <v>0.27351202572401317</v>
      </c>
      <c r="Z90" s="1404">
        <v>0.27953774629769235</v>
      </c>
      <c r="AA90" s="1404">
        <v>0.28074049385019512</v>
      </c>
      <c r="AB90" s="1404">
        <v>0.28498941474609651</v>
      </c>
      <c r="AC90" s="1404">
        <v>0.30357669378904023</v>
      </c>
      <c r="AD90" s="1404">
        <v>0.27264430696259001</v>
      </c>
      <c r="AE90" s="1404">
        <v>0.27422798428712786</v>
      </c>
      <c r="AF90" s="1404">
        <v>0.28096777925951322</v>
      </c>
      <c r="AG90" s="1404">
        <v>0.28760471058250409</v>
      </c>
      <c r="AH90" s="1404">
        <v>0.25071248563815218</v>
      </c>
      <c r="AI90" s="1404">
        <v>0.25288508458216852</v>
      </c>
      <c r="AJ90" s="609">
        <v>0.28080903350150332</v>
      </c>
      <c r="AK90" s="1404">
        <v>0.29048187080789756</v>
      </c>
      <c r="AL90" s="1404">
        <v>0.27607249730958777</v>
      </c>
      <c r="AM90" s="1404">
        <v>0.26369094350308014</v>
      </c>
      <c r="AN90" s="1404">
        <v>0.28548989685077059</v>
      </c>
      <c r="AO90" s="1404">
        <v>0.26995329014647679</v>
      </c>
      <c r="AP90" s="1404">
        <v>0.27832162062099042</v>
      </c>
    </row>
    <row r="91" spans="1:42" ht="14.5">
      <c r="A91" s="1693">
        <v>1</v>
      </c>
      <c r="B91" s="616">
        <v>1</v>
      </c>
      <c r="C91" s="1693">
        <v>1</v>
      </c>
      <c r="D91" s="616">
        <v>1</v>
      </c>
      <c r="E91" s="1693">
        <v>116</v>
      </c>
      <c r="F91" s="616">
        <v>1</v>
      </c>
      <c r="G91" s="1693">
        <v>91</v>
      </c>
      <c r="H91" s="616">
        <v>1</v>
      </c>
      <c r="J91" s="709" t="s">
        <v>512</v>
      </c>
      <c r="K91" s="1572"/>
      <c r="L91" s="519"/>
      <c r="M91" s="737"/>
      <c r="N91" s="4"/>
      <c r="O91" s="4"/>
      <c r="P91" s="3"/>
      <c r="Q91" s="27"/>
      <c r="R91" s="572" t="s">
        <v>509</v>
      </c>
      <c r="S91" s="251"/>
      <c r="T91" s="251"/>
      <c r="U91" s="251"/>
      <c r="V91" s="251"/>
      <c r="W91" s="1849"/>
      <c r="X91" s="1986">
        <v>41000</v>
      </c>
      <c r="Y91" s="1986">
        <v>41000</v>
      </c>
      <c r="Z91" s="1986">
        <v>41000</v>
      </c>
      <c r="AA91" s="1986">
        <v>41000</v>
      </c>
      <c r="AB91" s="1986">
        <v>41000</v>
      </c>
      <c r="AC91" s="1986">
        <v>41000</v>
      </c>
      <c r="AD91" s="1987">
        <v>41000</v>
      </c>
      <c r="AE91" s="1987">
        <v>41000</v>
      </c>
      <c r="AF91" s="1987">
        <v>41000</v>
      </c>
      <c r="AG91" s="1988">
        <v>41000</v>
      </c>
      <c r="AH91" s="1988">
        <v>41000</v>
      </c>
      <c r="AI91" s="1988">
        <v>41000</v>
      </c>
      <c r="AJ91" s="1989">
        <v>123000</v>
      </c>
      <c r="AK91" s="1988">
        <v>123000</v>
      </c>
      <c r="AL91" s="1988">
        <v>123000</v>
      </c>
      <c r="AM91" s="1988">
        <v>123000</v>
      </c>
      <c r="AN91" s="1988">
        <v>246000</v>
      </c>
      <c r="AO91" s="1988">
        <v>246000</v>
      </c>
      <c r="AP91" s="1988">
        <v>492000</v>
      </c>
    </row>
    <row r="92" spans="1:42" ht="14.5">
      <c r="A92" s="1693">
        <v>1</v>
      </c>
      <c r="B92" s="616">
        <v>1</v>
      </c>
      <c r="C92" s="1693">
        <v>1</v>
      </c>
      <c r="D92" s="616">
        <v>1</v>
      </c>
      <c r="E92" s="1693">
        <v>117</v>
      </c>
      <c r="F92" s="616">
        <v>1</v>
      </c>
      <c r="G92" s="1693">
        <v>92</v>
      </c>
      <c r="H92" s="616">
        <v>1</v>
      </c>
      <c r="J92" s="709" t="s">
        <v>512</v>
      </c>
      <c r="K92" s="1572"/>
      <c r="L92" s="519"/>
      <c r="M92" s="737"/>
      <c r="N92" s="4"/>
      <c r="O92" s="4"/>
      <c r="P92" s="3"/>
      <c r="Q92" s="27"/>
      <c r="R92" s="27"/>
      <c r="S92" s="36" t="s">
        <v>63</v>
      </c>
      <c r="T92" s="3"/>
      <c r="U92" s="3"/>
      <c r="V92" s="3"/>
      <c r="W92" s="1990"/>
      <c r="X92" s="1991">
        <v>9500</v>
      </c>
      <c r="Y92" s="1991">
        <v>9500</v>
      </c>
      <c r="Z92" s="1991">
        <v>9500</v>
      </c>
      <c r="AA92" s="1991">
        <v>9500</v>
      </c>
      <c r="AB92" s="1991">
        <v>9500</v>
      </c>
      <c r="AC92" s="1991">
        <v>9500</v>
      </c>
      <c r="AD92" s="1922">
        <v>9500</v>
      </c>
      <c r="AE92" s="1922">
        <v>9500</v>
      </c>
      <c r="AF92" s="1922">
        <v>9500</v>
      </c>
      <c r="AG92" s="1992">
        <v>9500</v>
      </c>
      <c r="AH92" s="1992">
        <v>9500</v>
      </c>
      <c r="AI92" s="1992">
        <v>9500</v>
      </c>
      <c r="AJ92" s="1947">
        <v>28500</v>
      </c>
      <c r="AK92" s="1948">
        <v>28500</v>
      </c>
      <c r="AL92" s="1948">
        <v>28500</v>
      </c>
      <c r="AM92" s="1948">
        <v>28500</v>
      </c>
      <c r="AN92" s="1948">
        <v>57000</v>
      </c>
      <c r="AO92" s="1948">
        <v>57000</v>
      </c>
      <c r="AP92" s="1948">
        <v>114000</v>
      </c>
    </row>
    <row r="93" spans="1:42" ht="14.5">
      <c r="A93" s="1693">
        <v>1</v>
      </c>
      <c r="B93" s="616">
        <v>1</v>
      </c>
      <c r="C93" s="1693">
        <v>1</v>
      </c>
      <c r="D93" s="616">
        <v>1</v>
      </c>
      <c r="E93" s="1693">
        <v>118</v>
      </c>
      <c r="F93" s="616">
        <v>1</v>
      </c>
      <c r="G93" s="1693">
        <v>93</v>
      </c>
      <c r="H93" s="616">
        <v>1</v>
      </c>
      <c r="J93" s="709" t="s">
        <v>512</v>
      </c>
      <c r="K93" s="1572"/>
      <c r="L93" s="519"/>
      <c r="M93" s="737"/>
      <c r="N93" s="4"/>
      <c r="O93" s="4"/>
      <c r="P93" s="3"/>
      <c r="Q93" s="27"/>
      <c r="R93" s="27"/>
      <c r="S93" s="36" t="s">
        <v>28</v>
      </c>
      <c r="T93" s="3"/>
      <c r="U93" s="3"/>
      <c r="V93" s="3"/>
      <c r="W93" s="1990"/>
      <c r="X93" s="1991">
        <v>21000</v>
      </c>
      <c r="Y93" s="1991">
        <v>21000</v>
      </c>
      <c r="Z93" s="1991">
        <v>21000</v>
      </c>
      <c r="AA93" s="1991">
        <v>21000</v>
      </c>
      <c r="AB93" s="1991">
        <v>21000</v>
      </c>
      <c r="AC93" s="1991">
        <v>21000</v>
      </c>
      <c r="AD93" s="1922">
        <v>21000</v>
      </c>
      <c r="AE93" s="1922">
        <v>21000</v>
      </c>
      <c r="AF93" s="1922">
        <v>21000</v>
      </c>
      <c r="AG93" s="1992">
        <v>21000</v>
      </c>
      <c r="AH93" s="1992">
        <v>21000</v>
      </c>
      <c r="AI93" s="1992">
        <v>21000</v>
      </c>
      <c r="AJ93" s="1947">
        <v>63000</v>
      </c>
      <c r="AK93" s="1948">
        <v>63000</v>
      </c>
      <c r="AL93" s="1948">
        <v>63000</v>
      </c>
      <c r="AM93" s="1948">
        <v>63000</v>
      </c>
      <c r="AN93" s="1948">
        <v>126000</v>
      </c>
      <c r="AO93" s="1948">
        <v>126000</v>
      </c>
      <c r="AP93" s="1948">
        <v>252000</v>
      </c>
    </row>
    <row r="94" spans="1:42" ht="14.5">
      <c r="A94" s="1693">
        <v>1</v>
      </c>
      <c r="B94" s="616">
        <v>1</v>
      </c>
      <c r="C94" s="1693">
        <v>1</v>
      </c>
      <c r="D94" s="616">
        <v>1</v>
      </c>
      <c r="E94" s="1693">
        <v>119</v>
      </c>
      <c r="F94" s="616">
        <v>1</v>
      </c>
      <c r="G94" s="1693">
        <v>94</v>
      </c>
      <c r="H94" s="616">
        <v>1</v>
      </c>
      <c r="J94" s="709" t="s">
        <v>512</v>
      </c>
      <c r="K94" s="1572"/>
      <c r="L94" s="519"/>
      <c r="M94" s="737"/>
      <c r="N94" s="4"/>
      <c r="O94" s="4"/>
      <c r="P94" s="3"/>
      <c r="Q94" s="27"/>
      <c r="R94" s="25"/>
      <c r="S94" s="104" t="s">
        <v>62</v>
      </c>
      <c r="T94" s="1"/>
      <c r="U94" s="1"/>
      <c r="V94" s="1"/>
      <c r="W94" s="1990"/>
      <c r="X94" s="1993">
        <v>10500</v>
      </c>
      <c r="Y94" s="1993">
        <v>10500</v>
      </c>
      <c r="Z94" s="1993">
        <v>10500</v>
      </c>
      <c r="AA94" s="1993">
        <v>10500</v>
      </c>
      <c r="AB94" s="1993">
        <v>10500</v>
      </c>
      <c r="AC94" s="1993">
        <v>10500</v>
      </c>
      <c r="AD94" s="1932">
        <v>10500</v>
      </c>
      <c r="AE94" s="1932">
        <v>10500</v>
      </c>
      <c r="AF94" s="1932">
        <v>10500</v>
      </c>
      <c r="AG94" s="1994">
        <v>10500</v>
      </c>
      <c r="AH94" s="1994">
        <v>10500</v>
      </c>
      <c r="AI94" s="1994">
        <v>10500</v>
      </c>
      <c r="AJ94" s="1949">
        <v>31500</v>
      </c>
      <c r="AK94" s="1950">
        <v>31500</v>
      </c>
      <c r="AL94" s="1950">
        <v>31500</v>
      </c>
      <c r="AM94" s="1950">
        <v>31500</v>
      </c>
      <c r="AN94" s="1950">
        <v>63000</v>
      </c>
      <c r="AO94" s="1950">
        <v>63000</v>
      </c>
      <c r="AP94" s="1950">
        <v>126000</v>
      </c>
    </row>
    <row r="95" spans="1:42" ht="14.5">
      <c r="A95" s="1693">
        <v>1</v>
      </c>
      <c r="B95" s="616">
        <v>1</v>
      </c>
      <c r="C95" s="1693">
        <v>1</v>
      </c>
      <c r="D95" s="616">
        <v>1</v>
      </c>
      <c r="E95" s="1693">
        <v>120</v>
      </c>
      <c r="F95" s="616">
        <v>1</v>
      </c>
      <c r="G95" s="1693">
        <v>95</v>
      </c>
      <c r="H95" s="616">
        <v>1</v>
      </c>
      <c r="J95" s="709" t="s">
        <v>512</v>
      </c>
      <c r="K95" s="1572"/>
      <c r="L95" s="519"/>
      <c r="M95" s="737"/>
      <c r="N95" s="4"/>
      <c r="O95" s="4"/>
      <c r="P95" s="3"/>
      <c r="Q95" s="27"/>
      <c r="R95" s="572" t="s">
        <v>1015</v>
      </c>
      <c r="S95" s="586"/>
      <c r="T95" s="586"/>
      <c r="U95" s="586"/>
      <c r="V95" s="586"/>
      <c r="W95" s="1849"/>
      <c r="X95" s="1400">
        <v>27189.963693167359</v>
      </c>
      <c r="Y95" s="1400">
        <v>17034.312848557049</v>
      </c>
      <c r="Z95" s="1400">
        <v>18654.736414894054</v>
      </c>
      <c r="AA95" s="1400">
        <v>17974.696346454453</v>
      </c>
      <c r="AB95" s="1400">
        <v>19738.326305373546</v>
      </c>
      <c r="AC95" s="1400">
        <v>23278.198064338394</v>
      </c>
      <c r="AD95" s="1683">
        <v>16841.931137799555</v>
      </c>
      <c r="AE95" s="1683">
        <v>16521.649689556289</v>
      </c>
      <c r="AF95" s="1683">
        <v>18532.817855530113</v>
      </c>
      <c r="AG95" s="1941">
        <v>17538.032136502392</v>
      </c>
      <c r="AH95" s="1941">
        <v>15269.776897461528</v>
      </c>
      <c r="AI95" s="1941">
        <v>15628.087657754189</v>
      </c>
      <c r="AJ95" s="1942">
        <v>62879.012956618462</v>
      </c>
      <c r="AK95" s="1941">
        <v>60991.22071616639</v>
      </c>
      <c r="AL95" s="1941">
        <v>51896.398682885956</v>
      </c>
      <c r="AM95" s="1941">
        <v>48435.89669171811</v>
      </c>
      <c r="AN95" s="1941">
        <v>123870.23367278486</v>
      </c>
      <c r="AO95" s="1941">
        <v>100332.29537460406</v>
      </c>
      <c r="AP95" s="1941">
        <v>224202.52904738893</v>
      </c>
    </row>
    <row r="96" spans="1:42" ht="14.5">
      <c r="A96" s="1693">
        <v>1</v>
      </c>
      <c r="B96" s="616">
        <v>1</v>
      </c>
      <c r="C96" s="1693">
        <v>1</v>
      </c>
      <c r="D96" s="616">
        <v>1</v>
      </c>
      <c r="E96" s="1693">
        <v>121</v>
      </c>
      <c r="F96" s="616">
        <v>1</v>
      </c>
      <c r="G96" s="1693">
        <v>96</v>
      </c>
      <c r="H96" s="616">
        <v>1</v>
      </c>
      <c r="J96" s="709" t="s">
        <v>512</v>
      </c>
      <c r="K96" s="1572"/>
      <c r="L96" s="519"/>
      <c r="M96" s="737"/>
      <c r="N96" s="4"/>
      <c r="O96" s="4"/>
      <c r="P96" s="3"/>
      <c r="Q96" s="27"/>
      <c r="R96" s="498"/>
      <c r="S96" s="553" t="s">
        <v>1016</v>
      </c>
      <c r="T96" s="47"/>
      <c r="U96" s="47"/>
      <c r="V96" s="47"/>
      <c r="W96" s="1776"/>
      <c r="X96" s="1334">
        <v>0.39873849787504428</v>
      </c>
      <c r="Y96" s="1334">
        <v>0.29352140160612905</v>
      </c>
      <c r="Z96" s="1334">
        <v>0.3127117398550186</v>
      </c>
      <c r="AA96" s="1334">
        <v>0.30478658577332529</v>
      </c>
      <c r="AB96" s="1334">
        <v>0.32497316778429713</v>
      </c>
      <c r="AC96" s="1334">
        <v>0.3621476451632698</v>
      </c>
      <c r="AD96" s="1334">
        <v>0.29117166053249899</v>
      </c>
      <c r="AE96" s="1334">
        <v>0.28722489321365868</v>
      </c>
      <c r="AF96" s="1334">
        <v>0.311304227199596</v>
      </c>
      <c r="AG96" s="1334">
        <v>0.29960064416935284</v>
      </c>
      <c r="AH96" s="1334">
        <v>0.27136729056678355</v>
      </c>
      <c r="AI96" s="1334">
        <v>0.27597766945983393</v>
      </c>
      <c r="AJ96" s="1332">
        <v>0.33827924926249492</v>
      </c>
      <c r="AK96" s="1334">
        <v>0.33148984217162375</v>
      </c>
      <c r="AL96" s="1334">
        <v>0.29672651394601962</v>
      </c>
      <c r="AM96" s="1334">
        <v>0.28253065796842536</v>
      </c>
      <c r="AN96" s="1334">
        <v>0.33490187205053601</v>
      </c>
      <c r="AO96" s="1334">
        <v>0.28969950742272371</v>
      </c>
      <c r="AP96" s="1334">
        <v>0.31304347576878522</v>
      </c>
    </row>
    <row r="97" spans="1:42" ht="14.5">
      <c r="A97" s="1693">
        <v>1</v>
      </c>
      <c r="B97" s="616">
        <v>1</v>
      </c>
      <c r="C97" s="1693">
        <v>1</v>
      </c>
      <c r="D97" s="616">
        <v>1</v>
      </c>
      <c r="E97" s="1693">
        <v>122</v>
      </c>
      <c r="F97" s="616">
        <v>1</v>
      </c>
      <c r="G97" s="1693">
        <v>97</v>
      </c>
      <c r="H97" s="616">
        <v>1</v>
      </c>
      <c r="J97" s="709" t="s">
        <v>512</v>
      </c>
      <c r="K97" s="1572"/>
      <c r="L97" s="519"/>
      <c r="M97" s="737"/>
      <c r="N97" s="4"/>
      <c r="O97" s="4"/>
      <c r="P97" s="3"/>
      <c r="Q97" s="27"/>
      <c r="R97" s="27"/>
      <c r="S97" s="36" t="s">
        <v>63</v>
      </c>
      <c r="T97" s="3"/>
      <c r="U97" s="3"/>
      <c r="V97" s="3"/>
      <c r="W97" s="1849"/>
      <c r="X97" s="1378">
        <v>16292.506177936801</v>
      </c>
      <c r="Y97" s="1378">
        <v>6430.3882767125997</v>
      </c>
      <c r="Z97" s="1378">
        <v>7713.1311038357017</v>
      </c>
      <c r="AA97" s="1378">
        <v>6652.6883119590002</v>
      </c>
      <c r="AB97" s="1378">
        <v>8191.1674577384983</v>
      </c>
      <c r="AC97" s="1378">
        <v>11597.948740052299</v>
      </c>
      <c r="AD97" s="579">
        <v>5177.2514172134997</v>
      </c>
      <c r="AE97" s="579">
        <v>4788.5867144569002</v>
      </c>
      <c r="AF97" s="579">
        <v>6478.9180028967003</v>
      </c>
      <c r="AG97" s="1969">
        <v>5466.4903360400003</v>
      </c>
      <c r="AH97" s="1969">
        <v>3050.7104836637991</v>
      </c>
      <c r="AI97" s="1969">
        <v>3306.8388474232015</v>
      </c>
      <c r="AJ97" s="1995">
        <v>30436.025558485104</v>
      </c>
      <c r="AK97" s="1969">
        <v>26441.804509749796</v>
      </c>
      <c r="AL97" s="1969">
        <v>16444.756134567098</v>
      </c>
      <c r="AM97" s="1969">
        <v>11824.039667127001</v>
      </c>
      <c r="AN97" s="1969">
        <v>56877.8300682349</v>
      </c>
      <c r="AO97" s="1969">
        <v>28268.795801694097</v>
      </c>
      <c r="AP97" s="1969">
        <v>85146.625869929005</v>
      </c>
    </row>
    <row r="98" spans="1:42" ht="14.5">
      <c r="A98" s="1693">
        <v>1</v>
      </c>
      <c r="B98" s="616">
        <v>1</v>
      </c>
      <c r="C98" s="1693">
        <v>1</v>
      </c>
      <c r="D98" s="616">
        <v>1</v>
      </c>
      <c r="E98" s="1693">
        <v>123</v>
      </c>
      <c r="F98" s="616">
        <v>1</v>
      </c>
      <c r="G98" s="1693">
        <v>98</v>
      </c>
      <c r="H98" s="616">
        <v>1</v>
      </c>
      <c r="J98" s="709" t="s">
        <v>512</v>
      </c>
      <c r="K98" s="1572"/>
      <c r="L98" s="519"/>
      <c r="M98" s="737"/>
      <c r="N98" s="4"/>
      <c r="O98" s="4"/>
      <c r="P98" s="3"/>
      <c r="Q98" s="27"/>
      <c r="R98" s="27"/>
      <c r="S98" s="36" t="s">
        <v>28</v>
      </c>
      <c r="T98" s="3"/>
      <c r="U98" s="3"/>
      <c r="V98" s="3"/>
      <c r="W98" s="1849"/>
      <c r="X98" s="1378">
        <v>7677.0018620105438</v>
      </c>
      <c r="Y98" s="1378">
        <v>7860.3351953438796</v>
      </c>
      <c r="Z98" s="1378">
        <v>8093.6685286772117</v>
      </c>
      <c r="AA98" s="1378">
        <v>8560.3351953438796</v>
      </c>
      <c r="AB98" s="1378">
        <v>8660.3351953438796</v>
      </c>
      <c r="AC98" s="1378">
        <v>8760.3351953438796</v>
      </c>
      <c r="AD98" s="579">
        <v>8860.3351953438796</v>
      </c>
      <c r="AE98" s="579">
        <v>8960.3351953438796</v>
      </c>
      <c r="AF98" s="579">
        <v>9143.6685286772117</v>
      </c>
      <c r="AG98" s="1969">
        <v>9243.6685286772117</v>
      </c>
      <c r="AH98" s="1969">
        <v>9343.6685286772117</v>
      </c>
      <c r="AI98" s="1969">
        <v>9343.6685286772117</v>
      </c>
      <c r="AJ98" s="1995">
        <v>23631.005586031635</v>
      </c>
      <c r="AK98" s="1969">
        <v>25981.005586031639</v>
      </c>
      <c r="AL98" s="1969">
        <v>26964.338919364971</v>
      </c>
      <c r="AM98" s="1969">
        <v>27931.005586031635</v>
      </c>
      <c r="AN98" s="1969">
        <v>49612.01117206327</v>
      </c>
      <c r="AO98" s="1969">
        <v>54895.344505396606</v>
      </c>
      <c r="AP98" s="1969">
        <v>104507.35567745988</v>
      </c>
    </row>
    <row r="99" spans="1:42" ht="14.5">
      <c r="A99" s="1693">
        <v>1</v>
      </c>
      <c r="B99" s="616">
        <v>1</v>
      </c>
      <c r="C99" s="1693">
        <v>1</v>
      </c>
      <c r="D99" s="616">
        <v>1</v>
      </c>
      <c r="E99" s="1693">
        <v>124</v>
      </c>
      <c r="F99" s="616">
        <v>1</v>
      </c>
      <c r="G99" s="1693">
        <v>99</v>
      </c>
      <c r="H99" s="616">
        <v>1</v>
      </c>
      <c r="J99" s="709" t="s">
        <v>512</v>
      </c>
      <c r="K99" s="1572"/>
      <c r="L99" s="519"/>
      <c r="M99" s="737"/>
      <c r="N99" s="4"/>
      <c r="O99" s="4"/>
      <c r="P99" s="3"/>
      <c r="Q99" s="25"/>
      <c r="R99" s="25"/>
      <c r="S99" s="104" t="s">
        <v>62</v>
      </c>
      <c r="T99" s="1"/>
      <c r="U99" s="1"/>
      <c r="V99" s="1"/>
      <c r="W99" s="1849"/>
      <c r="X99" s="1379">
        <v>3220.4556532200149</v>
      </c>
      <c r="Y99" s="1379">
        <v>2743.5893765005712</v>
      </c>
      <c r="Z99" s="1379">
        <v>2847.9367823811408</v>
      </c>
      <c r="AA99" s="1379">
        <v>2761.6728391515753</v>
      </c>
      <c r="AB99" s="1379">
        <v>2886.8236522911684</v>
      </c>
      <c r="AC99" s="1379">
        <v>2919.914128942215</v>
      </c>
      <c r="AD99" s="584">
        <v>2804.3445252421734</v>
      </c>
      <c r="AE99" s="584">
        <v>2772.7277797555107</v>
      </c>
      <c r="AF99" s="584">
        <v>2910.231323956199</v>
      </c>
      <c r="AG99" s="1943">
        <v>2827.8732717851781</v>
      </c>
      <c r="AH99" s="1943">
        <v>2875.3978851205175</v>
      </c>
      <c r="AI99" s="1943">
        <v>2977.5802816537762</v>
      </c>
      <c r="AJ99" s="1944">
        <v>8811.981812101727</v>
      </c>
      <c r="AK99" s="1943">
        <v>8568.4106203849587</v>
      </c>
      <c r="AL99" s="1943">
        <v>8487.3036289538832</v>
      </c>
      <c r="AM99" s="1943">
        <v>8680.8514385594717</v>
      </c>
      <c r="AN99" s="1943">
        <v>17380.392432486686</v>
      </c>
      <c r="AO99" s="1943">
        <v>17168.155067513355</v>
      </c>
      <c r="AP99" s="1943">
        <v>34548.547500000044</v>
      </c>
    </row>
    <row r="100" spans="1:42" ht="14.5">
      <c r="A100" s="1693">
        <v>1</v>
      </c>
      <c r="B100" s="616">
        <v>1</v>
      </c>
      <c r="C100" s="1693">
        <v>1</v>
      </c>
      <c r="D100" s="616">
        <v>1</v>
      </c>
      <c r="E100" s="1693">
        <v>1</v>
      </c>
      <c r="F100" s="616">
        <v>1</v>
      </c>
      <c r="G100" s="1693">
        <v>100</v>
      </c>
      <c r="H100" s="616">
        <v>1</v>
      </c>
      <c r="J100" s="709" t="s">
        <v>512</v>
      </c>
      <c r="K100" s="1764" t="s">
        <v>1216</v>
      </c>
      <c r="L100" s="4"/>
      <c r="M100" s="4"/>
      <c r="N100" s="4"/>
      <c r="O100" s="4"/>
      <c r="P100" s="3"/>
      <c r="Q100" s="4"/>
      <c r="R100" s="4"/>
      <c r="S100" s="3"/>
      <c r="T100" s="3"/>
      <c r="U100" s="3"/>
      <c r="V100" s="3"/>
      <c r="W100" s="1773"/>
      <c r="X100" s="1608"/>
      <c r="Y100" s="1609"/>
      <c r="Z100" s="1609"/>
      <c r="AA100" s="1609"/>
      <c r="AB100" s="1609"/>
      <c r="AC100" s="1609"/>
      <c r="AD100" s="1366"/>
      <c r="AE100" s="1366"/>
      <c r="AF100" s="1366"/>
      <c r="AG100" s="1242"/>
      <c r="AH100" s="1242"/>
      <c r="AI100" s="1242"/>
      <c r="AJ100" s="1242"/>
      <c r="AK100" s="1242"/>
      <c r="AL100" s="1242"/>
      <c r="AM100" s="1242"/>
      <c r="AN100" s="1242"/>
      <c r="AO100" s="1242"/>
      <c r="AP100" s="608"/>
    </row>
    <row r="101" spans="1:42" ht="14.5">
      <c r="A101" s="1693">
        <v>1</v>
      </c>
      <c r="B101" s="616">
        <v>1</v>
      </c>
      <c r="C101" s="1693">
        <v>1</v>
      </c>
      <c r="D101" s="616">
        <v>1</v>
      </c>
      <c r="E101" s="1693">
        <v>1</v>
      </c>
      <c r="F101" s="616">
        <v>1</v>
      </c>
      <c r="G101" s="1693">
        <v>101</v>
      </c>
      <c r="H101" s="616">
        <v>1</v>
      </c>
      <c r="J101" s="709" t="s">
        <v>512</v>
      </c>
      <c r="K101" s="1764" t="s">
        <v>1216</v>
      </c>
      <c r="L101" s="4"/>
      <c r="M101" s="4"/>
      <c r="N101" s="4" t="s">
        <v>931</v>
      </c>
      <c r="O101" s="4"/>
      <c r="P101" s="3"/>
      <c r="Q101" s="4"/>
      <c r="R101" s="4"/>
      <c r="S101" s="3"/>
      <c r="T101" s="3"/>
      <c r="U101" s="3"/>
      <c r="V101" s="3"/>
      <c r="W101" s="1773"/>
      <c r="X101" s="1608"/>
      <c r="Y101" s="1609"/>
      <c r="Z101" s="1609"/>
      <c r="AA101" s="1609"/>
      <c r="AB101" s="1609"/>
      <c r="AC101" s="1609"/>
      <c r="AD101" s="1366"/>
      <c r="AE101" s="1366"/>
      <c r="AF101" s="1366"/>
      <c r="AG101" s="1242"/>
      <c r="AH101" s="1242"/>
      <c r="AI101" s="1242"/>
      <c r="AJ101" s="1242"/>
      <c r="AK101" s="1242"/>
      <c r="AL101" s="1242"/>
      <c r="AM101" s="1242"/>
      <c r="AN101" s="1242"/>
      <c r="AO101" s="1242"/>
      <c r="AP101" s="608"/>
    </row>
    <row r="102" spans="1:42" ht="14.5">
      <c r="A102" s="1693">
        <v>71</v>
      </c>
      <c r="B102" s="616">
        <v>1</v>
      </c>
      <c r="C102" s="1693">
        <v>74</v>
      </c>
      <c r="D102" s="616">
        <v>1</v>
      </c>
      <c r="E102" s="1693">
        <v>76</v>
      </c>
      <c r="F102" s="616">
        <v>1</v>
      </c>
      <c r="G102" s="1693">
        <v>102</v>
      </c>
      <c r="H102" s="616">
        <v>1</v>
      </c>
      <c r="J102" s="709" t="s">
        <v>512</v>
      </c>
      <c r="K102" s="1764" t="s">
        <v>1216</v>
      </c>
      <c r="L102" s="4"/>
      <c r="M102" s="4"/>
      <c r="N102" s="4"/>
      <c r="O102" s="1996" t="s">
        <v>0</v>
      </c>
      <c r="P102" s="580"/>
      <c r="Q102" s="863"/>
      <c r="R102" s="863"/>
      <c r="S102" s="863"/>
      <c r="T102" s="863"/>
      <c r="U102" s="1997" t="s">
        <v>302</v>
      </c>
      <c r="V102" s="863"/>
      <c r="W102" s="1998"/>
      <c r="X102" s="1999">
        <v>249409.45789114243</v>
      </c>
      <c r="Y102" s="2000">
        <v>206980.92717306258</v>
      </c>
      <c r="Z102" s="2000">
        <v>232680.57166040916</v>
      </c>
      <c r="AA102" s="2000">
        <v>215219.24277147866</v>
      </c>
      <c r="AB102" s="2000">
        <v>236704.56693899591</v>
      </c>
      <c r="AC102" s="2000">
        <v>260258.740588218</v>
      </c>
      <c r="AD102" s="2000">
        <v>213112.77941711602</v>
      </c>
      <c r="AE102" s="2000">
        <v>217545.41642464936</v>
      </c>
      <c r="AF102" s="2000">
        <v>251698.45610123008</v>
      </c>
      <c r="AG102" s="2000">
        <v>212373.43541542144</v>
      </c>
      <c r="AH102" s="2000">
        <v>235088.95788258669</v>
      </c>
      <c r="AI102" s="2000">
        <v>257341.72011073522</v>
      </c>
      <c r="AJ102" s="2000">
        <v>689070.95672461414</v>
      </c>
      <c r="AK102" s="2000">
        <v>712182.55029869254</v>
      </c>
      <c r="AL102" s="2000">
        <v>682356.65194299549</v>
      </c>
      <c r="AM102" s="2000">
        <v>704804.1134087434</v>
      </c>
      <c r="AN102" s="2000">
        <v>1401253.5070233068</v>
      </c>
      <c r="AO102" s="2000">
        <v>1387160.7653517388</v>
      </c>
      <c r="AP102" s="2000">
        <v>2788414.2723750453</v>
      </c>
    </row>
    <row r="103" spans="1:42" ht="14.5">
      <c r="A103" s="1693">
        <v>72</v>
      </c>
      <c r="B103" s="616">
        <v>1</v>
      </c>
      <c r="C103" s="1693">
        <v>75</v>
      </c>
      <c r="D103" s="616">
        <v>1</v>
      </c>
      <c r="E103" s="1693">
        <v>77</v>
      </c>
      <c r="F103" s="616">
        <v>1</v>
      </c>
      <c r="G103" s="1693">
        <v>103</v>
      </c>
      <c r="H103" s="616">
        <v>1</v>
      </c>
      <c r="J103" s="709" t="s">
        <v>512</v>
      </c>
      <c r="K103" s="1764" t="s">
        <v>1216</v>
      </c>
      <c r="L103" s="4"/>
      <c r="M103" s="4"/>
      <c r="N103" s="4"/>
      <c r="O103" s="27"/>
      <c r="P103" s="3"/>
      <c r="Q103" s="4"/>
      <c r="R103" s="4"/>
      <c r="S103" s="3" t="s">
        <v>57</v>
      </c>
      <c r="T103" s="3"/>
      <c r="U103" s="3"/>
      <c r="V103" s="3"/>
      <c r="W103" s="2001"/>
      <c r="X103" s="596">
        <v>147770.71403176745</v>
      </c>
      <c r="Y103" s="2002">
        <v>130949.23432931256</v>
      </c>
      <c r="Z103" s="2002">
        <v>142163.23800415915</v>
      </c>
      <c r="AA103" s="2002">
        <v>138564.54992772866</v>
      </c>
      <c r="AB103" s="2002">
        <v>149185.64348587091</v>
      </c>
      <c r="AC103" s="2002">
        <v>165496.99672884302</v>
      </c>
      <c r="AD103" s="2002">
        <v>137621.88269524102</v>
      </c>
      <c r="AE103" s="2002">
        <v>130517.44297152438</v>
      </c>
      <c r="AF103" s="2002">
        <v>155254.8161199801</v>
      </c>
      <c r="AG103" s="2002">
        <v>135585.77461229643</v>
      </c>
      <c r="AH103" s="2002">
        <v>147437.06647008669</v>
      </c>
      <c r="AI103" s="2002">
        <v>163895.57237323525</v>
      </c>
      <c r="AJ103" s="2002">
        <v>420883.18636523921</v>
      </c>
      <c r="AK103" s="2002">
        <v>453247.19014244259</v>
      </c>
      <c r="AL103" s="2002">
        <v>423394.14178674552</v>
      </c>
      <c r="AM103" s="2002">
        <v>446918.41345561837</v>
      </c>
      <c r="AN103" s="2002">
        <v>874130.37650768179</v>
      </c>
      <c r="AO103" s="2002">
        <v>870312.55524236383</v>
      </c>
      <c r="AP103" s="2002">
        <v>1744442.9317500456</v>
      </c>
    </row>
    <row r="104" spans="1:42" ht="14.5">
      <c r="A104" s="1693">
        <v>73</v>
      </c>
      <c r="B104" s="616">
        <v>1</v>
      </c>
      <c r="C104" s="1693">
        <v>76</v>
      </c>
      <c r="D104" s="616">
        <v>1</v>
      </c>
      <c r="E104" s="1693">
        <v>78</v>
      </c>
      <c r="F104" s="616">
        <v>1</v>
      </c>
      <c r="G104" s="1693">
        <v>104</v>
      </c>
      <c r="H104" s="616">
        <v>1</v>
      </c>
      <c r="J104" s="709" t="s">
        <v>512</v>
      </c>
      <c r="K104" s="1764" t="s">
        <v>1216</v>
      </c>
      <c r="L104" s="4"/>
      <c r="M104" s="4"/>
      <c r="N104" s="4"/>
      <c r="O104" s="27"/>
      <c r="P104" s="3"/>
      <c r="Q104" s="4"/>
      <c r="R104" s="4"/>
      <c r="S104" s="3" t="s">
        <v>27</v>
      </c>
      <c r="T104" s="3"/>
      <c r="U104" s="3"/>
      <c r="V104" s="3"/>
      <c r="W104" s="2001"/>
      <c r="X104" s="596">
        <v>101638.74385937498</v>
      </c>
      <c r="Y104" s="2002">
        <v>76031.692843750003</v>
      </c>
      <c r="Z104" s="2002">
        <v>90517.33365624999</v>
      </c>
      <c r="AA104" s="2002">
        <v>76654.692843750003</v>
      </c>
      <c r="AB104" s="2002">
        <v>87518.923453124997</v>
      </c>
      <c r="AC104" s="2002">
        <v>94761.743859374983</v>
      </c>
      <c r="AD104" s="2002">
        <v>75490.896721874989</v>
      </c>
      <c r="AE104" s="2002">
        <v>87027.973453124985</v>
      </c>
      <c r="AF104" s="2002">
        <v>96443.639981249988</v>
      </c>
      <c r="AG104" s="2002">
        <v>76787.660803124993</v>
      </c>
      <c r="AH104" s="2002">
        <v>87651.891412499986</v>
      </c>
      <c r="AI104" s="2002">
        <v>93446.147737499981</v>
      </c>
      <c r="AJ104" s="2002">
        <v>268187.77035937499</v>
      </c>
      <c r="AK104" s="2002">
        <v>258935.36015624998</v>
      </c>
      <c r="AL104" s="2002">
        <v>258962.51015624998</v>
      </c>
      <c r="AM104" s="2002">
        <v>257885.69995312497</v>
      </c>
      <c r="AN104" s="2002">
        <v>527123.130515625</v>
      </c>
      <c r="AO104" s="2002">
        <v>516848.21010937495</v>
      </c>
      <c r="AP104" s="2002">
        <v>1043971.340625</v>
      </c>
    </row>
    <row r="105" spans="1:42" ht="14.5">
      <c r="A105" s="1693">
        <v>74</v>
      </c>
      <c r="B105" s="616">
        <v>1</v>
      </c>
      <c r="C105" s="1693">
        <v>77</v>
      </c>
      <c r="D105" s="616">
        <v>1</v>
      </c>
      <c r="E105" s="1693">
        <v>79</v>
      </c>
      <c r="F105" s="616">
        <v>1</v>
      </c>
      <c r="G105" s="1693">
        <v>105</v>
      </c>
      <c r="H105" s="616">
        <v>1</v>
      </c>
      <c r="J105" s="709" t="s">
        <v>512</v>
      </c>
      <c r="K105" s="1764" t="s">
        <v>1216</v>
      </c>
      <c r="L105" s="4"/>
      <c r="M105" s="4"/>
      <c r="N105" s="4"/>
      <c r="O105" s="27"/>
      <c r="P105" s="3"/>
      <c r="Q105" s="4"/>
      <c r="R105" s="4"/>
      <c r="S105" s="3" t="s">
        <v>2</v>
      </c>
      <c r="T105" s="3"/>
      <c r="U105" s="3"/>
      <c r="V105" s="3"/>
      <c r="W105" s="2001"/>
      <c r="X105" s="596">
        <v>0</v>
      </c>
      <c r="Y105" s="2002">
        <v>0</v>
      </c>
      <c r="Z105" s="2002">
        <v>0</v>
      </c>
      <c r="AA105" s="2002">
        <v>0</v>
      </c>
      <c r="AB105" s="2002">
        <v>0</v>
      </c>
      <c r="AC105" s="2002">
        <v>0</v>
      </c>
      <c r="AD105" s="2002">
        <v>0</v>
      </c>
      <c r="AE105" s="2002">
        <v>0</v>
      </c>
      <c r="AF105" s="2002">
        <v>0</v>
      </c>
      <c r="AG105" s="2002">
        <v>0</v>
      </c>
      <c r="AH105" s="2002">
        <v>0</v>
      </c>
      <c r="AI105" s="2002">
        <v>0</v>
      </c>
      <c r="AJ105" s="2002">
        <v>0</v>
      </c>
      <c r="AK105" s="2002">
        <v>0</v>
      </c>
      <c r="AL105" s="2002">
        <v>0</v>
      </c>
      <c r="AM105" s="2002">
        <v>0</v>
      </c>
      <c r="AN105" s="2002">
        <v>0</v>
      </c>
      <c r="AO105" s="2002">
        <v>0</v>
      </c>
      <c r="AP105" s="2002">
        <v>0</v>
      </c>
    </row>
    <row r="106" spans="1:42" ht="14.5">
      <c r="A106" s="1693">
        <v>75</v>
      </c>
      <c r="B106" s="616">
        <v>1</v>
      </c>
      <c r="C106" s="1693">
        <v>78</v>
      </c>
      <c r="D106" s="616">
        <v>1</v>
      </c>
      <c r="E106" s="1693">
        <v>80</v>
      </c>
      <c r="F106" s="616">
        <v>1</v>
      </c>
      <c r="G106" s="1693">
        <v>106</v>
      </c>
      <c r="H106" s="616">
        <v>1</v>
      </c>
      <c r="J106" s="709" t="s">
        <v>512</v>
      </c>
      <c r="K106" s="1764" t="s">
        <v>1216</v>
      </c>
      <c r="L106" s="4"/>
      <c r="M106" s="4"/>
      <c r="N106" s="4"/>
      <c r="O106" s="1996" t="s">
        <v>48</v>
      </c>
      <c r="P106" s="580"/>
      <c r="Q106" s="863"/>
      <c r="R106" s="863"/>
      <c r="S106" s="863"/>
      <c r="T106" s="863"/>
      <c r="U106" s="1997" t="s">
        <v>304</v>
      </c>
      <c r="V106" s="863"/>
      <c r="W106" s="1998"/>
      <c r="X106" s="1999">
        <v>249409.45789114243</v>
      </c>
      <c r="Y106" s="2000">
        <v>206980.92717306258</v>
      </c>
      <c r="Z106" s="2000">
        <v>232680.57166040916</v>
      </c>
      <c r="AA106" s="2000">
        <v>215219.24277147866</v>
      </c>
      <c r="AB106" s="2000">
        <v>236704.56693899591</v>
      </c>
      <c r="AC106" s="2000">
        <v>260258.740588218</v>
      </c>
      <c r="AD106" s="2000">
        <v>213112.77941711602</v>
      </c>
      <c r="AE106" s="2000">
        <v>217545.41642464936</v>
      </c>
      <c r="AF106" s="2000">
        <v>251698.45610123008</v>
      </c>
      <c r="AG106" s="2000">
        <v>212373.43541542144</v>
      </c>
      <c r="AH106" s="2000">
        <v>235088.95788258669</v>
      </c>
      <c r="AI106" s="2000">
        <v>257341.72011073522</v>
      </c>
      <c r="AJ106" s="2000">
        <v>689070.95672461414</v>
      </c>
      <c r="AK106" s="2000">
        <v>712182.55029869254</v>
      </c>
      <c r="AL106" s="2000">
        <v>682356.65194299549</v>
      </c>
      <c r="AM106" s="2000">
        <v>704804.1134087434</v>
      </c>
      <c r="AN106" s="2000">
        <v>1401253.5070233068</v>
      </c>
      <c r="AO106" s="2000">
        <v>1387160.7653517388</v>
      </c>
      <c r="AP106" s="2000">
        <v>2788414.2723750453</v>
      </c>
    </row>
    <row r="107" spans="1:42" ht="14.5">
      <c r="A107" s="1693">
        <v>76</v>
      </c>
      <c r="B107" s="616">
        <v>1</v>
      </c>
      <c r="C107" s="1693">
        <v>79</v>
      </c>
      <c r="D107" s="616">
        <v>1</v>
      </c>
      <c r="E107" s="1693">
        <v>81</v>
      </c>
      <c r="F107" s="616">
        <v>1</v>
      </c>
      <c r="G107" s="1693">
        <v>107</v>
      </c>
      <c r="H107" s="616">
        <v>1</v>
      </c>
      <c r="J107" s="709" t="s">
        <v>512</v>
      </c>
      <c r="K107" s="1764" t="s">
        <v>1216</v>
      </c>
      <c r="L107" s="4"/>
      <c r="M107" s="4"/>
      <c r="N107" s="4"/>
      <c r="O107" s="27"/>
      <c r="P107" s="3"/>
      <c r="Q107" s="4"/>
      <c r="R107" s="4"/>
      <c r="S107" s="3" t="s">
        <v>57</v>
      </c>
      <c r="T107" s="3"/>
      <c r="U107" s="3"/>
      <c r="V107" s="3"/>
      <c r="W107" s="1853"/>
      <c r="X107" s="2003">
        <v>147770.71403176745</v>
      </c>
      <c r="Y107" s="2004">
        <v>130949.23432931256</v>
      </c>
      <c r="Z107" s="2004">
        <v>142163.23800415915</v>
      </c>
      <c r="AA107" s="2004">
        <v>138564.54992772866</v>
      </c>
      <c r="AB107" s="2004">
        <v>149185.64348587091</v>
      </c>
      <c r="AC107" s="2004">
        <v>165496.99672884302</v>
      </c>
      <c r="AD107" s="2004">
        <v>137621.88269524102</v>
      </c>
      <c r="AE107" s="2004">
        <v>130517.44297152438</v>
      </c>
      <c r="AF107" s="2004">
        <v>155254.8161199801</v>
      </c>
      <c r="AG107" s="2004">
        <v>135585.77461229643</v>
      </c>
      <c r="AH107" s="2004">
        <v>147437.06647008669</v>
      </c>
      <c r="AI107" s="2004">
        <v>163895.57237323525</v>
      </c>
      <c r="AJ107" s="2002">
        <v>420883.18636523921</v>
      </c>
      <c r="AK107" s="2002">
        <v>453247.19014244259</v>
      </c>
      <c r="AL107" s="2002">
        <v>423394.14178674552</v>
      </c>
      <c r="AM107" s="2002">
        <v>446918.41345561837</v>
      </c>
      <c r="AN107" s="2002">
        <v>874130.37650768179</v>
      </c>
      <c r="AO107" s="2002">
        <v>870312.55524236383</v>
      </c>
      <c r="AP107" s="2002">
        <v>1744442.9317500456</v>
      </c>
    </row>
    <row r="108" spans="1:42" ht="14.5">
      <c r="A108" s="1693">
        <v>77</v>
      </c>
      <c r="B108" s="616">
        <v>1</v>
      </c>
      <c r="C108" s="1693">
        <v>80</v>
      </c>
      <c r="D108" s="616">
        <v>1</v>
      </c>
      <c r="E108" s="1693">
        <v>82</v>
      </c>
      <c r="F108" s="616">
        <v>1</v>
      </c>
      <c r="G108" s="1693">
        <v>108</v>
      </c>
      <c r="H108" s="616">
        <v>1</v>
      </c>
      <c r="J108" s="709" t="s">
        <v>512</v>
      </c>
      <c r="K108" s="1764" t="s">
        <v>1216</v>
      </c>
      <c r="L108" s="4"/>
      <c r="M108" s="4"/>
      <c r="N108" s="4"/>
      <c r="O108" s="27"/>
      <c r="P108" s="3"/>
      <c r="Q108" s="4"/>
      <c r="R108" s="4"/>
      <c r="S108" s="3" t="s">
        <v>27</v>
      </c>
      <c r="T108" s="3"/>
      <c r="U108" s="3"/>
      <c r="V108" s="3"/>
      <c r="W108" s="1853"/>
      <c r="X108" s="2003">
        <v>101638.74385937498</v>
      </c>
      <c r="Y108" s="2004">
        <v>76031.692843750003</v>
      </c>
      <c r="Z108" s="2004">
        <v>90517.33365624999</v>
      </c>
      <c r="AA108" s="2004">
        <v>76654.692843750003</v>
      </c>
      <c r="AB108" s="2004">
        <v>87518.923453124997</v>
      </c>
      <c r="AC108" s="2004">
        <v>94761.743859374983</v>
      </c>
      <c r="AD108" s="2004">
        <v>75490.896721874989</v>
      </c>
      <c r="AE108" s="2004">
        <v>87027.973453124985</v>
      </c>
      <c r="AF108" s="2004">
        <v>96443.639981249988</v>
      </c>
      <c r="AG108" s="2004">
        <v>76787.660803124993</v>
      </c>
      <c r="AH108" s="2004">
        <v>87651.891412499986</v>
      </c>
      <c r="AI108" s="2004">
        <v>93446.147737499981</v>
      </c>
      <c r="AJ108" s="2002">
        <v>268187.77035937499</v>
      </c>
      <c r="AK108" s="2002">
        <v>258935.36015624998</v>
      </c>
      <c r="AL108" s="2002">
        <v>258962.51015624998</v>
      </c>
      <c r="AM108" s="2002">
        <v>257885.69995312497</v>
      </c>
      <c r="AN108" s="2002">
        <v>527123.130515625</v>
      </c>
      <c r="AO108" s="2002">
        <v>516848.21010937495</v>
      </c>
      <c r="AP108" s="2002">
        <v>1043971.340625</v>
      </c>
    </row>
    <row r="109" spans="1:42" ht="14.5">
      <c r="A109" s="1693">
        <v>78</v>
      </c>
      <c r="B109" s="616">
        <v>1</v>
      </c>
      <c r="C109" s="1693">
        <v>81</v>
      </c>
      <c r="D109" s="616">
        <v>1</v>
      </c>
      <c r="E109" s="1693">
        <v>83</v>
      </c>
      <c r="F109" s="616">
        <v>1</v>
      </c>
      <c r="G109" s="1693">
        <v>109</v>
      </c>
      <c r="H109" s="616">
        <v>1</v>
      </c>
      <c r="J109" s="709" t="s">
        <v>512</v>
      </c>
      <c r="K109" s="1764" t="s">
        <v>1216</v>
      </c>
      <c r="L109" s="4"/>
      <c r="M109" s="4"/>
      <c r="N109" s="4"/>
      <c r="O109" s="27"/>
      <c r="P109" s="3"/>
      <c r="Q109" s="4"/>
      <c r="R109" s="4"/>
      <c r="S109" s="3" t="s">
        <v>2</v>
      </c>
      <c r="T109" s="3"/>
      <c r="U109" s="3"/>
      <c r="V109" s="3"/>
      <c r="W109" s="1853"/>
      <c r="X109" s="2003">
        <v>0</v>
      </c>
      <c r="Y109" s="2004">
        <v>0</v>
      </c>
      <c r="Z109" s="2004">
        <v>0</v>
      </c>
      <c r="AA109" s="2004">
        <v>0</v>
      </c>
      <c r="AB109" s="2004">
        <v>0</v>
      </c>
      <c r="AC109" s="2004">
        <v>0</v>
      </c>
      <c r="AD109" s="2004">
        <v>0</v>
      </c>
      <c r="AE109" s="2004">
        <v>0</v>
      </c>
      <c r="AF109" s="2004">
        <v>0</v>
      </c>
      <c r="AG109" s="2004">
        <v>0</v>
      </c>
      <c r="AH109" s="2004">
        <v>0</v>
      </c>
      <c r="AI109" s="2004">
        <v>0</v>
      </c>
      <c r="AJ109" s="2002">
        <v>0</v>
      </c>
      <c r="AK109" s="2002">
        <v>0</v>
      </c>
      <c r="AL109" s="2002">
        <v>0</v>
      </c>
      <c r="AM109" s="2002">
        <v>0</v>
      </c>
      <c r="AN109" s="2002">
        <v>0</v>
      </c>
      <c r="AO109" s="2002">
        <v>0</v>
      </c>
      <c r="AP109" s="2002">
        <v>0</v>
      </c>
    </row>
    <row r="110" spans="1:42" ht="14.5">
      <c r="A110" s="1693">
        <v>79</v>
      </c>
      <c r="B110" s="616">
        <v>1</v>
      </c>
      <c r="C110" s="1693">
        <v>82</v>
      </c>
      <c r="D110" s="616">
        <v>1</v>
      </c>
      <c r="E110" s="1693">
        <v>84</v>
      </c>
      <c r="F110" s="616">
        <v>1</v>
      </c>
      <c r="G110" s="1693">
        <v>110</v>
      </c>
      <c r="H110" s="616">
        <v>1</v>
      </c>
      <c r="K110" s="69"/>
      <c r="L110" s="4"/>
      <c r="M110" s="4"/>
      <c r="N110" s="4"/>
      <c r="O110" s="1996" t="s">
        <v>37</v>
      </c>
      <c r="P110" s="580"/>
      <c r="Q110" s="863"/>
      <c r="R110" s="863"/>
      <c r="S110" s="863"/>
      <c r="T110" s="863"/>
      <c r="U110" s="863"/>
      <c r="V110" s="863"/>
      <c r="W110" s="1998"/>
      <c r="X110" s="1999">
        <v>175491.9600190635</v>
      </c>
      <c r="Y110" s="2000">
        <v>148117.47420546095</v>
      </c>
      <c r="Z110" s="2000">
        <v>165879.33968614228</v>
      </c>
      <c r="AA110" s="2000">
        <v>154754.53728193793</v>
      </c>
      <c r="AB110" s="2000">
        <v>169728.38591769058</v>
      </c>
      <c r="AC110" s="2000">
        <v>185935.47501750378</v>
      </c>
      <c r="AD110" s="2000">
        <v>153132.6876239769</v>
      </c>
      <c r="AE110" s="2000">
        <v>154573.42818640202</v>
      </c>
      <c r="AF110" s="2000">
        <v>178914.8643543658</v>
      </c>
      <c r="AG110" s="2000">
        <v>151638.16968871432</v>
      </c>
      <c r="AH110" s="2000">
        <v>167387.94763850293</v>
      </c>
      <c r="AI110" s="2000">
        <v>183368.72910266428</v>
      </c>
      <c r="AJ110" s="2000">
        <v>489488.77391066676</v>
      </c>
      <c r="AK110" s="2000">
        <v>510418.39821713232</v>
      </c>
      <c r="AL110" s="2000">
        <v>486620.98016474472</v>
      </c>
      <c r="AM110" s="2000">
        <v>502394.84642988152</v>
      </c>
      <c r="AN110" s="2000">
        <v>999907.17212779913</v>
      </c>
      <c r="AO110" s="2000">
        <v>989015.82659462618</v>
      </c>
      <c r="AP110" s="2000">
        <v>1988922.9987224254</v>
      </c>
    </row>
    <row r="111" spans="1:42" ht="14.5">
      <c r="A111" s="1693">
        <v>80</v>
      </c>
      <c r="B111" s="616">
        <v>1</v>
      </c>
      <c r="C111" s="1693">
        <v>83</v>
      </c>
      <c r="D111" s="616">
        <v>1</v>
      </c>
      <c r="E111" s="1693">
        <v>85</v>
      </c>
      <c r="F111" s="616">
        <v>1</v>
      </c>
      <c r="G111" s="1693">
        <v>111</v>
      </c>
      <c r="H111" s="616">
        <v>1</v>
      </c>
      <c r="K111" s="69"/>
      <c r="L111" s="4"/>
      <c r="M111" s="4"/>
      <c r="N111" s="4"/>
      <c r="O111" s="27"/>
      <c r="P111" s="3"/>
      <c r="Q111" s="4"/>
      <c r="R111" s="4"/>
      <c r="S111" s="212" t="s">
        <v>57</v>
      </c>
      <c r="T111" s="212"/>
      <c r="U111" s="213"/>
      <c r="V111" s="212"/>
      <c r="W111" s="2005"/>
      <c r="X111" s="2006">
        <v>109641.53632337366</v>
      </c>
      <c r="Y111" s="2007">
        <v>98822.856703708763</v>
      </c>
      <c r="Z111" s="2007">
        <v>106832.25537966142</v>
      </c>
      <c r="AA111" s="2007">
        <v>105320.58519774498</v>
      </c>
      <c r="AB111" s="2007">
        <v>113080.97800713827</v>
      </c>
      <c r="AC111" s="2007">
        <v>124479.0965560452</v>
      </c>
      <c r="AD111" s="2007">
        <v>104870.30488876216</v>
      </c>
      <c r="AE111" s="2007">
        <v>98588.48328119381</v>
      </c>
      <c r="AF111" s="2007">
        <v>116678.25773297947</v>
      </c>
      <c r="AG111" s="2007">
        <v>102608.86366274896</v>
      </c>
      <c r="AH111" s="2007">
        <v>111145.1857861782</v>
      </c>
      <c r="AI111" s="2007">
        <v>123278.79080961454</v>
      </c>
      <c r="AJ111" s="2007">
        <v>315296.64840674389</v>
      </c>
      <c r="AK111" s="2007">
        <v>342880.65976092848</v>
      </c>
      <c r="AL111" s="2007">
        <v>320137.04590293544</v>
      </c>
      <c r="AM111" s="2007">
        <v>337032.84025854169</v>
      </c>
      <c r="AN111" s="2007">
        <v>658177.30816767237</v>
      </c>
      <c r="AO111" s="2007">
        <v>657169.88616147707</v>
      </c>
      <c r="AP111" s="2007">
        <v>1315347.1943291496</v>
      </c>
    </row>
    <row r="112" spans="1:42" ht="14.5">
      <c r="A112" s="1693">
        <v>81</v>
      </c>
      <c r="B112" s="616">
        <v>1</v>
      </c>
      <c r="C112" s="1693">
        <v>84</v>
      </c>
      <c r="D112" s="616">
        <v>1</v>
      </c>
      <c r="E112" s="1693">
        <v>86</v>
      </c>
      <c r="F112" s="616">
        <v>1</v>
      </c>
      <c r="G112" s="1693">
        <v>112</v>
      </c>
      <c r="H112" s="616">
        <v>1</v>
      </c>
      <c r="K112" s="69"/>
      <c r="L112" s="4"/>
      <c r="M112" s="4"/>
      <c r="N112" s="4"/>
      <c r="O112" s="27"/>
      <c r="P112" s="3"/>
      <c r="Q112" s="4"/>
      <c r="R112" s="4"/>
      <c r="S112" s="3"/>
      <c r="T112" s="3"/>
      <c r="U112" s="3" t="s">
        <v>1017</v>
      </c>
      <c r="V112" s="3"/>
      <c r="W112" s="2001"/>
      <c r="X112" s="596">
        <v>109641.53632337366</v>
      </c>
      <c r="Y112" s="2002">
        <v>98822.856703708763</v>
      </c>
      <c r="Z112" s="2002">
        <v>106832.25537966142</v>
      </c>
      <c r="AA112" s="2002">
        <v>105320.58519774498</v>
      </c>
      <c r="AB112" s="2002">
        <v>113080.97800713827</v>
      </c>
      <c r="AC112" s="2002">
        <v>124479.0965560452</v>
      </c>
      <c r="AD112" s="2002">
        <v>104870.30488876216</v>
      </c>
      <c r="AE112" s="2002">
        <v>98588.48328119381</v>
      </c>
      <c r="AF112" s="2002">
        <v>116678.25773297947</v>
      </c>
      <c r="AG112" s="2002">
        <v>102608.86366274896</v>
      </c>
      <c r="AH112" s="2002">
        <v>111145.1857861782</v>
      </c>
      <c r="AI112" s="2002">
        <v>123278.79080961454</v>
      </c>
      <c r="AJ112" s="2002">
        <v>315296.64840674389</v>
      </c>
      <c r="AK112" s="2002">
        <v>342880.65976092848</v>
      </c>
      <c r="AL112" s="2002">
        <v>320137.04590293544</v>
      </c>
      <c r="AM112" s="2002">
        <v>337032.84025854169</v>
      </c>
      <c r="AN112" s="2002">
        <v>658177.30816767237</v>
      </c>
      <c r="AO112" s="2002">
        <v>657169.88616147707</v>
      </c>
      <c r="AP112" s="2002">
        <v>1315347.1943291496</v>
      </c>
    </row>
    <row r="113" spans="1:42" ht="14.5">
      <c r="A113" s="1693">
        <v>82</v>
      </c>
      <c r="B113" s="616">
        <v>1</v>
      </c>
      <c r="C113" s="1693">
        <v>85</v>
      </c>
      <c r="D113" s="616">
        <v>1</v>
      </c>
      <c r="E113" s="1693">
        <v>87</v>
      </c>
      <c r="F113" s="616">
        <v>1</v>
      </c>
      <c r="G113" s="1693">
        <v>113</v>
      </c>
      <c r="H113" s="616">
        <v>1</v>
      </c>
      <c r="K113" s="69"/>
      <c r="L113" s="4"/>
      <c r="M113" s="4"/>
      <c r="N113" s="4"/>
      <c r="O113" s="27"/>
      <c r="P113" s="3"/>
      <c r="Q113" s="4"/>
      <c r="R113" s="4"/>
      <c r="S113" s="3"/>
      <c r="T113" s="3"/>
      <c r="U113" s="3" t="s">
        <v>66</v>
      </c>
      <c r="V113" s="3"/>
      <c r="W113" s="2001"/>
      <c r="X113" s="596">
        <v>0</v>
      </c>
      <c r="Y113" s="2002">
        <v>0</v>
      </c>
      <c r="Z113" s="2002">
        <v>0</v>
      </c>
      <c r="AA113" s="2002">
        <v>0</v>
      </c>
      <c r="AB113" s="2002">
        <v>0</v>
      </c>
      <c r="AC113" s="2002">
        <v>0</v>
      </c>
      <c r="AD113" s="2002">
        <v>0</v>
      </c>
      <c r="AE113" s="2002">
        <v>0</v>
      </c>
      <c r="AF113" s="2002">
        <v>0</v>
      </c>
      <c r="AG113" s="2002">
        <v>0</v>
      </c>
      <c r="AH113" s="2002">
        <v>0</v>
      </c>
      <c r="AI113" s="2002">
        <v>0</v>
      </c>
      <c r="AJ113" s="2002">
        <v>0</v>
      </c>
      <c r="AK113" s="2002">
        <v>0</v>
      </c>
      <c r="AL113" s="2002">
        <v>0</v>
      </c>
      <c r="AM113" s="2002">
        <v>0</v>
      </c>
      <c r="AN113" s="2002">
        <v>0</v>
      </c>
      <c r="AO113" s="2002">
        <v>0</v>
      </c>
      <c r="AP113" s="2002">
        <v>0</v>
      </c>
    </row>
    <row r="114" spans="1:42" ht="14.5">
      <c r="A114" s="1693">
        <v>83</v>
      </c>
      <c r="B114" s="616">
        <v>1</v>
      </c>
      <c r="C114" s="1693">
        <v>86</v>
      </c>
      <c r="D114" s="616">
        <v>1</v>
      </c>
      <c r="E114" s="1693">
        <v>88</v>
      </c>
      <c r="F114" s="616">
        <v>1</v>
      </c>
      <c r="G114" s="1693">
        <v>114</v>
      </c>
      <c r="H114" s="616">
        <v>1</v>
      </c>
      <c r="K114" s="69"/>
      <c r="L114" s="4"/>
      <c r="M114" s="4"/>
      <c r="N114" s="4"/>
      <c r="O114" s="27"/>
      <c r="P114" s="3"/>
      <c r="Q114" s="4"/>
      <c r="R114" s="4"/>
      <c r="S114" s="212" t="s">
        <v>27</v>
      </c>
      <c r="T114" s="212"/>
      <c r="U114" s="213"/>
      <c r="V114" s="212"/>
      <c r="W114" s="2005"/>
      <c r="X114" s="2006">
        <v>65850.423695689824</v>
      </c>
      <c r="Y114" s="2007">
        <v>49294.617501752196</v>
      </c>
      <c r="Z114" s="2007">
        <v>59047.084306480858</v>
      </c>
      <c r="AA114" s="2007">
        <v>49433.952084192955</v>
      </c>
      <c r="AB114" s="2007">
        <v>56647.407910552327</v>
      </c>
      <c r="AC114" s="2007">
        <v>61456.37846145856</v>
      </c>
      <c r="AD114" s="2007">
        <v>48262.382735214735</v>
      </c>
      <c r="AE114" s="2007">
        <v>55984.944905208205</v>
      </c>
      <c r="AF114" s="2007">
        <v>62236.606621386338</v>
      </c>
      <c r="AG114" s="2007">
        <v>49029.306025965358</v>
      </c>
      <c r="AH114" s="2007">
        <v>56242.761852324729</v>
      </c>
      <c r="AI114" s="2007">
        <v>60089.938293049723</v>
      </c>
      <c r="AJ114" s="2007">
        <v>174192.12550392287</v>
      </c>
      <c r="AK114" s="2007">
        <v>167537.73845620384</v>
      </c>
      <c r="AL114" s="2007">
        <v>166483.93426180928</v>
      </c>
      <c r="AM114" s="2007">
        <v>165362.0061713398</v>
      </c>
      <c r="AN114" s="2007">
        <v>341729.86396012671</v>
      </c>
      <c r="AO114" s="2007">
        <v>331845.94043314911</v>
      </c>
      <c r="AP114" s="2007">
        <v>673575.80439327587</v>
      </c>
    </row>
    <row r="115" spans="1:42" ht="14.5">
      <c r="A115" s="1693">
        <v>84</v>
      </c>
      <c r="B115" s="616">
        <v>1</v>
      </c>
      <c r="C115" s="1693">
        <v>87</v>
      </c>
      <c r="D115" s="616">
        <v>1</v>
      </c>
      <c r="E115" s="1693">
        <v>89</v>
      </c>
      <c r="F115" s="616">
        <v>1</v>
      </c>
      <c r="G115" s="1693">
        <v>115</v>
      </c>
      <c r="H115" s="616">
        <v>1</v>
      </c>
      <c r="K115" s="69"/>
      <c r="L115" s="4"/>
      <c r="M115" s="4"/>
      <c r="N115" s="4"/>
      <c r="O115" s="27"/>
      <c r="P115" s="3"/>
      <c r="Q115" s="4"/>
      <c r="R115" s="4"/>
      <c r="S115" s="3"/>
      <c r="T115" s="3"/>
      <c r="U115" s="294" t="s">
        <v>269</v>
      </c>
      <c r="V115" s="723"/>
      <c r="W115" s="1853"/>
      <c r="X115" s="2008">
        <v>57129.493690122828</v>
      </c>
      <c r="Y115" s="2009">
        <v>40439.143204668355</v>
      </c>
      <c r="Z115" s="2009">
        <v>50057.084306480851</v>
      </c>
      <c r="AA115" s="2009">
        <v>40604.985417526281</v>
      </c>
      <c r="AB115" s="2009">
        <v>47818.441243885653</v>
      </c>
      <c r="AC115" s="2009">
        <v>52627.4117947919</v>
      </c>
      <c r="AD115" s="2009">
        <v>39430.902735214739</v>
      </c>
      <c r="AE115" s="2009">
        <v>47153.46490520821</v>
      </c>
      <c r="AF115" s="2009">
        <v>53405.126621386342</v>
      </c>
      <c r="AG115" s="2009">
        <v>39818.002025965354</v>
      </c>
      <c r="AH115" s="2009">
        <v>47031.457852324718</v>
      </c>
      <c r="AI115" s="2009">
        <v>50878.634293049719</v>
      </c>
      <c r="AJ115" s="2010">
        <v>147625.72120127204</v>
      </c>
      <c r="AK115" s="2010">
        <v>141050.83845620384</v>
      </c>
      <c r="AL115" s="2010">
        <v>139989.49426180928</v>
      </c>
      <c r="AM115" s="2010">
        <v>137728.09417133979</v>
      </c>
      <c r="AN115" s="2010">
        <v>288676.55965747591</v>
      </c>
      <c r="AO115" s="2010">
        <v>277717.58843314904</v>
      </c>
      <c r="AP115" s="2010">
        <v>566394.14809062495</v>
      </c>
    </row>
    <row r="116" spans="1:42" ht="14.5">
      <c r="A116" s="1693">
        <v>85</v>
      </c>
      <c r="B116" s="616">
        <v>1</v>
      </c>
      <c r="C116" s="1693">
        <v>88</v>
      </c>
      <c r="D116" s="616">
        <v>1</v>
      </c>
      <c r="E116" s="1693">
        <v>90</v>
      </c>
      <c r="F116" s="616">
        <v>1</v>
      </c>
      <c r="G116" s="1693">
        <v>116</v>
      </c>
      <c r="H116" s="616">
        <v>1</v>
      </c>
      <c r="K116" s="69"/>
      <c r="L116" s="4"/>
      <c r="M116" s="4"/>
      <c r="N116" s="4"/>
      <c r="O116" s="27"/>
      <c r="P116" s="3"/>
      <c r="Q116" s="4"/>
      <c r="R116" s="4"/>
      <c r="S116" s="3"/>
      <c r="T116" s="3"/>
      <c r="U116" s="3"/>
      <c r="V116" s="3" t="s">
        <v>1018</v>
      </c>
      <c r="W116" s="1853"/>
      <c r="X116" s="2003">
        <v>11444.273456513458</v>
      </c>
      <c r="Y116" s="2004">
        <v>6776.3493483246075</v>
      </c>
      <c r="Z116" s="2004">
        <v>6776.3493483246075</v>
      </c>
      <c r="AA116" s="2004">
        <v>6942.1915611825298</v>
      </c>
      <c r="AB116" s="2004">
        <v>6942.1915611825298</v>
      </c>
      <c r="AC116" s="2004">
        <v>6942.1915611825298</v>
      </c>
      <c r="AD116" s="2004">
        <v>7210.800044142863</v>
      </c>
      <c r="AE116" s="2004">
        <v>6277.2152225050922</v>
      </c>
      <c r="AF116" s="2004">
        <v>6277.2152225050922</v>
      </c>
      <c r="AG116" s="2004">
        <v>6636.1052247122316</v>
      </c>
      <c r="AH116" s="2004">
        <v>6636.1052247122316</v>
      </c>
      <c r="AI116" s="2004">
        <v>6636.1052247122316</v>
      </c>
      <c r="AJ116" s="2002">
        <v>24996.972153162671</v>
      </c>
      <c r="AK116" s="2002">
        <v>20826.574683547587</v>
      </c>
      <c r="AL116" s="2002">
        <v>19765.230489153048</v>
      </c>
      <c r="AM116" s="2002">
        <v>19908.315674136695</v>
      </c>
      <c r="AN116" s="2002">
        <v>45823.546836710259</v>
      </c>
      <c r="AO116" s="2002">
        <v>39673.546163289742</v>
      </c>
      <c r="AP116" s="2002">
        <v>85497.092999999993</v>
      </c>
    </row>
    <row r="117" spans="1:42" ht="14.5">
      <c r="A117" s="1693">
        <v>86</v>
      </c>
      <c r="B117" s="616">
        <v>1</v>
      </c>
      <c r="C117" s="1693">
        <v>89</v>
      </c>
      <c r="D117" s="616">
        <v>1</v>
      </c>
      <c r="E117" s="1693">
        <v>91</v>
      </c>
      <c r="F117" s="616">
        <v>1</v>
      </c>
      <c r="G117" s="1693">
        <v>117</v>
      </c>
      <c r="H117" s="616">
        <v>1</v>
      </c>
      <c r="K117" s="69"/>
      <c r="L117" s="4"/>
      <c r="M117" s="4"/>
      <c r="N117" s="4"/>
      <c r="O117" s="27"/>
      <c r="P117" s="3"/>
      <c r="Q117" s="4"/>
      <c r="R117" s="4"/>
      <c r="S117" s="3"/>
      <c r="T117" s="3"/>
      <c r="U117" s="3"/>
      <c r="V117" s="47" t="s">
        <v>1019</v>
      </c>
      <c r="W117" s="2001"/>
      <c r="X117" s="2011">
        <v>45685.220233609369</v>
      </c>
      <c r="Y117" s="2012">
        <v>33662.793856343749</v>
      </c>
      <c r="Z117" s="2012">
        <v>43280.734958156245</v>
      </c>
      <c r="AA117" s="2012">
        <v>33662.793856343749</v>
      </c>
      <c r="AB117" s="2012">
        <v>40876.249682703121</v>
      </c>
      <c r="AC117" s="2012">
        <v>45685.220233609369</v>
      </c>
      <c r="AD117" s="2012">
        <v>32220.102691071876</v>
      </c>
      <c r="AE117" s="2012">
        <v>40876.249682703114</v>
      </c>
      <c r="AF117" s="2012">
        <v>47127.911398881246</v>
      </c>
      <c r="AG117" s="2012">
        <v>33181.896801253126</v>
      </c>
      <c r="AH117" s="2012">
        <v>40395.35262761249</v>
      </c>
      <c r="AI117" s="2012">
        <v>44242.529068337491</v>
      </c>
      <c r="AJ117" s="2012">
        <v>122628.74904810937</v>
      </c>
      <c r="AK117" s="2012">
        <v>120224.26377265625</v>
      </c>
      <c r="AL117" s="2012">
        <v>120224.26377265622</v>
      </c>
      <c r="AM117" s="2012">
        <v>117819.77849720309</v>
      </c>
      <c r="AN117" s="2012">
        <v>242853.01282076567</v>
      </c>
      <c r="AO117" s="2012">
        <v>238044.04226985929</v>
      </c>
      <c r="AP117" s="2012">
        <v>480897.05509062496</v>
      </c>
    </row>
    <row r="118" spans="1:42" ht="14.5">
      <c r="A118" s="1693">
        <v>87</v>
      </c>
      <c r="B118" s="616">
        <v>1</v>
      </c>
      <c r="C118" s="1693">
        <v>90</v>
      </c>
      <c r="D118" s="616">
        <v>1</v>
      </c>
      <c r="E118" s="1693">
        <v>92</v>
      </c>
      <c r="F118" s="616">
        <v>1</v>
      </c>
      <c r="G118" s="1693">
        <v>118</v>
      </c>
      <c r="H118" s="616">
        <v>1</v>
      </c>
      <c r="K118" s="69"/>
      <c r="L118" s="4"/>
      <c r="M118" s="4"/>
      <c r="N118" s="4"/>
      <c r="O118" s="27"/>
      <c r="P118" s="3"/>
      <c r="Q118" s="4"/>
      <c r="R118" s="4"/>
      <c r="S118" s="3"/>
      <c r="T118" s="3"/>
      <c r="U118" s="3" t="s">
        <v>1020</v>
      </c>
      <c r="V118" s="3"/>
      <c r="W118" s="2001"/>
      <c r="X118" s="596">
        <v>8990.0000000000018</v>
      </c>
      <c r="Y118" s="2002">
        <v>8990.0000000000018</v>
      </c>
      <c r="Z118" s="2002">
        <v>8990.0000000000018</v>
      </c>
      <c r="AA118" s="2002">
        <v>8828.9666666666672</v>
      </c>
      <c r="AB118" s="2002">
        <v>8828.9666666666672</v>
      </c>
      <c r="AC118" s="2002">
        <v>8828.9666666666672</v>
      </c>
      <c r="AD118" s="2002">
        <v>8831.48</v>
      </c>
      <c r="AE118" s="2002">
        <v>8831.48</v>
      </c>
      <c r="AF118" s="2002">
        <v>8831.48</v>
      </c>
      <c r="AG118" s="2002">
        <v>9211.3040000000019</v>
      </c>
      <c r="AH118" s="2002">
        <v>9211.3040000000019</v>
      </c>
      <c r="AI118" s="2002">
        <v>9211.3040000000019</v>
      </c>
      <c r="AJ118" s="2002">
        <v>26970.000000000007</v>
      </c>
      <c r="AK118" s="2002">
        <v>26486.9</v>
      </c>
      <c r="AL118" s="2002">
        <v>26494.44</v>
      </c>
      <c r="AM118" s="2002">
        <v>27633.912000000004</v>
      </c>
      <c r="AN118" s="2002">
        <v>53456.900000000009</v>
      </c>
      <c r="AO118" s="2002">
        <v>54128.351999999999</v>
      </c>
      <c r="AP118" s="2002">
        <v>107585.25200000001</v>
      </c>
    </row>
    <row r="119" spans="1:42" ht="14.5">
      <c r="A119" s="1693">
        <v>88</v>
      </c>
      <c r="B119" s="616">
        <v>1</v>
      </c>
      <c r="C119" s="1693">
        <v>91</v>
      </c>
      <c r="D119" s="616">
        <v>1</v>
      </c>
      <c r="E119" s="1693">
        <v>93</v>
      </c>
      <c r="F119" s="616">
        <v>1</v>
      </c>
      <c r="G119" s="1693">
        <v>119</v>
      </c>
      <c r="H119" s="616">
        <v>1</v>
      </c>
      <c r="K119" s="69"/>
      <c r="L119" s="4"/>
      <c r="M119" s="4"/>
      <c r="N119" s="4"/>
      <c r="O119" s="27"/>
      <c r="P119" s="3"/>
      <c r="Q119" s="4"/>
      <c r="R119" s="4"/>
      <c r="S119" s="3"/>
      <c r="T119" s="3"/>
      <c r="U119" s="3" t="s">
        <v>1021</v>
      </c>
      <c r="V119" s="3"/>
      <c r="W119" s="2001"/>
      <c r="X119" s="596">
        <v>33</v>
      </c>
      <c r="Y119" s="2002">
        <v>33</v>
      </c>
      <c r="Z119" s="2002">
        <v>33</v>
      </c>
      <c r="AA119" s="2002">
        <v>33</v>
      </c>
      <c r="AB119" s="2002">
        <v>33</v>
      </c>
      <c r="AC119" s="2002">
        <v>33</v>
      </c>
      <c r="AD119" s="2002">
        <v>33</v>
      </c>
      <c r="AE119" s="2002">
        <v>33</v>
      </c>
      <c r="AF119" s="2002">
        <v>33</v>
      </c>
      <c r="AG119" s="2002">
        <v>33</v>
      </c>
      <c r="AH119" s="2002">
        <v>33</v>
      </c>
      <c r="AI119" s="2002">
        <v>33</v>
      </c>
      <c r="AJ119" s="2002">
        <v>99</v>
      </c>
      <c r="AK119" s="2002">
        <v>99</v>
      </c>
      <c r="AL119" s="2002">
        <v>99</v>
      </c>
      <c r="AM119" s="2002">
        <v>99</v>
      </c>
      <c r="AN119" s="2002">
        <v>198</v>
      </c>
      <c r="AO119" s="2002">
        <v>198</v>
      </c>
      <c r="AP119" s="2002">
        <v>396</v>
      </c>
    </row>
    <row r="120" spans="1:42" ht="14.5">
      <c r="A120" s="1693">
        <v>89</v>
      </c>
      <c r="B120" s="616">
        <v>1</v>
      </c>
      <c r="C120" s="1693">
        <v>92</v>
      </c>
      <c r="D120" s="616">
        <v>1</v>
      </c>
      <c r="E120" s="1693">
        <v>94</v>
      </c>
      <c r="F120" s="616">
        <v>1</v>
      </c>
      <c r="G120" s="1693">
        <v>120</v>
      </c>
      <c r="H120" s="616">
        <v>1</v>
      </c>
      <c r="K120" s="69"/>
      <c r="L120" s="4"/>
      <c r="M120" s="4"/>
      <c r="N120" s="4"/>
      <c r="O120" s="27"/>
      <c r="P120" s="3"/>
      <c r="Q120" s="4"/>
      <c r="R120" s="4"/>
      <c r="S120" s="3"/>
      <c r="T120" s="3"/>
      <c r="U120" s="3" t="s">
        <v>9</v>
      </c>
      <c r="V120" s="3"/>
      <c r="W120" s="2001"/>
      <c r="X120" s="596">
        <v>0</v>
      </c>
      <c r="Y120" s="2002">
        <v>0</v>
      </c>
      <c r="Z120" s="2002">
        <v>0</v>
      </c>
      <c r="AA120" s="2002">
        <v>0</v>
      </c>
      <c r="AB120" s="2002">
        <v>0</v>
      </c>
      <c r="AC120" s="2002">
        <v>0</v>
      </c>
      <c r="AD120" s="2002">
        <v>0</v>
      </c>
      <c r="AE120" s="2002">
        <v>0</v>
      </c>
      <c r="AF120" s="2002">
        <v>0</v>
      </c>
      <c r="AG120" s="2002">
        <v>0</v>
      </c>
      <c r="AH120" s="2002">
        <v>0</v>
      </c>
      <c r="AI120" s="2002">
        <v>0</v>
      </c>
      <c r="AJ120" s="2002">
        <v>0</v>
      </c>
      <c r="AK120" s="2002">
        <v>0</v>
      </c>
      <c r="AL120" s="2002">
        <v>0</v>
      </c>
      <c r="AM120" s="2002">
        <v>0</v>
      </c>
      <c r="AN120" s="2002">
        <v>0</v>
      </c>
      <c r="AO120" s="2002">
        <v>0</v>
      </c>
      <c r="AP120" s="2002">
        <v>0</v>
      </c>
    </row>
    <row r="121" spans="1:42" ht="14.5">
      <c r="A121" s="1693">
        <v>90</v>
      </c>
      <c r="B121" s="616">
        <v>1</v>
      </c>
      <c r="C121" s="1693">
        <v>93</v>
      </c>
      <c r="D121" s="616">
        <v>1</v>
      </c>
      <c r="E121" s="1693">
        <v>95</v>
      </c>
      <c r="F121" s="616">
        <v>1</v>
      </c>
      <c r="G121" s="1693">
        <v>121</v>
      </c>
      <c r="H121" s="616">
        <v>1</v>
      </c>
      <c r="K121" s="69"/>
      <c r="L121" s="4"/>
      <c r="M121" s="4"/>
      <c r="N121" s="4"/>
      <c r="O121" s="27"/>
      <c r="P121" s="3"/>
      <c r="Q121" s="4"/>
      <c r="R121" s="4"/>
      <c r="S121" s="3"/>
      <c r="T121" s="3"/>
      <c r="U121" s="3" t="s">
        <v>2</v>
      </c>
      <c r="V121" s="3"/>
      <c r="W121" s="2001"/>
      <c r="X121" s="596">
        <v>-302.06999443300629</v>
      </c>
      <c r="Y121" s="2002">
        <v>-167.5257029161603</v>
      </c>
      <c r="Z121" s="2002">
        <v>-32.999999999994543</v>
      </c>
      <c r="AA121" s="2002">
        <v>-32.999999999992724</v>
      </c>
      <c r="AB121" s="2002">
        <v>-32.999999999992724</v>
      </c>
      <c r="AC121" s="2002">
        <v>-33.000000000007276</v>
      </c>
      <c r="AD121" s="2002">
        <v>-33.000000000003638</v>
      </c>
      <c r="AE121" s="2002">
        <v>-33.000000000003638</v>
      </c>
      <c r="AF121" s="2002">
        <v>-33.000000000003638</v>
      </c>
      <c r="AG121" s="2002">
        <v>-32.999999999998181</v>
      </c>
      <c r="AH121" s="2002">
        <v>-32.999999999990905</v>
      </c>
      <c r="AI121" s="2002">
        <v>-32.999999999998181</v>
      </c>
      <c r="AJ121" s="2002">
        <v>-502.59569734916113</v>
      </c>
      <c r="AK121" s="2002">
        <v>-98.999999999992724</v>
      </c>
      <c r="AL121" s="2002">
        <v>-99.000000000010914</v>
      </c>
      <c r="AM121" s="2002">
        <v>-98.999999999987267</v>
      </c>
      <c r="AN121" s="2002">
        <v>-601.59569734915385</v>
      </c>
      <c r="AO121" s="2002">
        <v>-197.99999999999818</v>
      </c>
      <c r="AP121" s="2002">
        <v>-799.59569734915203</v>
      </c>
    </row>
    <row r="122" spans="1:42" ht="14.5">
      <c r="A122" s="1693">
        <v>91</v>
      </c>
      <c r="B122" s="616">
        <v>1</v>
      </c>
      <c r="C122" s="1693">
        <v>94</v>
      </c>
      <c r="D122" s="616">
        <v>1</v>
      </c>
      <c r="E122" s="1693">
        <v>96</v>
      </c>
      <c r="F122" s="616">
        <v>1</v>
      </c>
      <c r="G122" s="1693">
        <v>122</v>
      </c>
      <c r="H122" s="616">
        <v>1</v>
      </c>
      <c r="K122" s="69"/>
      <c r="L122" s="4"/>
      <c r="M122" s="4"/>
      <c r="N122" s="4"/>
      <c r="O122" s="27"/>
      <c r="P122" s="3"/>
      <c r="Q122" s="4"/>
      <c r="R122" s="4"/>
      <c r="S122" s="212" t="s">
        <v>2</v>
      </c>
      <c r="T122" s="212"/>
      <c r="U122" s="212" t="s">
        <v>1022</v>
      </c>
      <c r="V122" s="212"/>
      <c r="W122" s="2005"/>
      <c r="X122" s="2006">
        <v>0</v>
      </c>
      <c r="Y122" s="2007">
        <v>0</v>
      </c>
      <c r="Z122" s="2007">
        <v>0</v>
      </c>
      <c r="AA122" s="2007">
        <v>0</v>
      </c>
      <c r="AB122" s="2007">
        <v>0</v>
      </c>
      <c r="AC122" s="2007">
        <v>0</v>
      </c>
      <c r="AD122" s="2007">
        <v>0</v>
      </c>
      <c r="AE122" s="2007">
        <v>0</v>
      </c>
      <c r="AF122" s="2007">
        <v>0</v>
      </c>
      <c r="AG122" s="2007">
        <v>0</v>
      </c>
      <c r="AH122" s="2007">
        <v>0</v>
      </c>
      <c r="AI122" s="2007">
        <v>0</v>
      </c>
      <c r="AJ122" s="2007">
        <v>0</v>
      </c>
      <c r="AK122" s="2007">
        <v>0</v>
      </c>
      <c r="AL122" s="2007">
        <v>0</v>
      </c>
      <c r="AM122" s="2007">
        <v>0</v>
      </c>
      <c r="AN122" s="2007">
        <v>0</v>
      </c>
      <c r="AO122" s="2007">
        <v>0</v>
      </c>
      <c r="AP122" s="2007">
        <v>0</v>
      </c>
    </row>
    <row r="123" spans="1:42" ht="14.5">
      <c r="A123" s="1693">
        <v>92</v>
      </c>
      <c r="B123" s="616">
        <v>1</v>
      </c>
      <c r="C123" s="1693">
        <v>95</v>
      </c>
      <c r="D123" s="616">
        <v>1</v>
      </c>
      <c r="E123" s="1693">
        <v>97</v>
      </c>
      <c r="F123" s="616">
        <v>1</v>
      </c>
      <c r="G123" s="1693">
        <v>123</v>
      </c>
      <c r="H123" s="616">
        <v>1</v>
      </c>
      <c r="J123" s="709" t="s">
        <v>512</v>
      </c>
      <c r="K123" s="1764" t="s">
        <v>1216</v>
      </c>
      <c r="L123" s="4"/>
      <c r="M123" s="4"/>
      <c r="N123" s="4"/>
      <c r="O123" s="1996" t="s">
        <v>54</v>
      </c>
      <c r="P123" s="580"/>
      <c r="Q123" s="863"/>
      <c r="R123" s="863"/>
      <c r="S123" s="863"/>
      <c r="T123" s="863"/>
      <c r="U123" s="863"/>
      <c r="V123" s="863"/>
      <c r="W123" s="1998"/>
      <c r="X123" s="1999">
        <v>73917.497872078937</v>
      </c>
      <c r="Y123" s="2000">
        <v>58863.45296760161</v>
      </c>
      <c r="Z123" s="2000">
        <v>66801.231974266848</v>
      </c>
      <c r="AA123" s="2000">
        <v>60464.705489540727</v>
      </c>
      <c r="AB123" s="2000">
        <v>66976.18102130531</v>
      </c>
      <c r="AC123" s="2000">
        <v>74323.265570714255</v>
      </c>
      <c r="AD123" s="2000">
        <v>59980.091793139123</v>
      </c>
      <c r="AE123" s="2000">
        <v>62971.988238247344</v>
      </c>
      <c r="AF123" s="2000">
        <v>72783.591746864258</v>
      </c>
      <c r="AG123" s="2000">
        <v>60735.265726707097</v>
      </c>
      <c r="AH123" s="2000">
        <v>67701.010244083736</v>
      </c>
      <c r="AI123" s="2000">
        <v>73972.991008070967</v>
      </c>
      <c r="AJ123" s="2000">
        <v>199582.18281394741</v>
      </c>
      <c r="AK123" s="2000">
        <v>201764.15208156029</v>
      </c>
      <c r="AL123" s="2000">
        <v>195735.67177825072</v>
      </c>
      <c r="AM123" s="2000">
        <v>202409.26697886179</v>
      </c>
      <c r="AN123" s="2000">
        <v>401346.33489550767</v>
      </c>
      <c r="AO123" s="2000">
        <v>398144.93875711254</v>
      </c>
      <c r="AP123" s="2000">
        <v>799491.27365262015</v>
      </c>
    </row>
    <row r="124" spans="1:42" s="504" customFormat="1" ht="14.5">
      <c r="A124" s="1693">
        <v>93</v>
      </c>
      <c r="B124" s="616">
        <v>1</v>
      </c>
      <c r="C124" s="1693">
        <v>96</v>
      </c>
      <c r="D124" s="616">
        <v>1</v>
      </c>
      <c r="E124" s="1693">
        <v>98</v>
      </c>
      <c r="F124" s="616">
        <v>1</v>
      </c>
      <c r="G124" s="1693">
        <v>124</v>
      </c>
      <c r="H124" s="616">
        <v>1</v>
      </c>
      <c r="I124" s="616"/>
      <c r="J124" s="709" t="s">
        <v>512</v>
      </c>
      <c r="K124" s="1764" t="s">
        <v>1216</v>
      </c>
      <c r="L124" s="4"/>
      <c r="M124" s="4"/>
      <c r="N124" s="501"/>
      <c r="O124" s="502"/>
      <c r="P124" s="503" t="s">
        <v>55</v>
      </c>
      <c r="Q124" s="501"/>
      <c r="R124" s="501"/>
      <c r="S124" s="501"/>
      <c r="T124" s="501"/>
      <c r="U124" s="478" t="s">
        <v>1023</v>
      </c>
      <c r="V124" s="501"/>
      <c r="W124" s="1776"/>
      <c r="X124" s="1306">
        <v>0.29637006750698708</v>
      </c>
      <c r="Y124" s="1306">
        <v>0.28439071063965338</v>
      </c>
      <c r="Z124" s="1306">
        <v>0.28709415443486785</v>
      </c>
      <c r="AA124" s="1306">
        <v>0.28094469951157008</v>
      </c>
      <c r="AB124" s="1306">
        <v>0.28295263537761223</v>
      </c>
      <c r="AC124" s="1306">
        <v>0.28557452250300674</v>
      </c>
      <c r="AD124" s="1306">
        <v>0.28144765394731586</v>
      </c>
      <c r="AE124" s="1306">
        <v>0.28946593898961226</v>
      </c>
      <c r="AF124" s="1306">
        <v>0.28916979815558175</v>
      </c>
      <c r="AG124" s="1306">
        <v>0.28598334630648831</v>
      </c>
      <c r="AH124" s="1306">
        <v>0.28798039199227921</v>
      </c>
      <c r="AI124" s="1306">
        <v>0.28745044128965985</v>
      </c>
      <c r="AJ124" s="1284">
        <v>0.28963952241236318</v>
      </c>
      <c r="AK124" s="1306">
        <v>0.28330398153807546</v>
      </c>
      <c r="AL124" s="1306">
        <v>0.28685244178524194</v>
      </c>
      <c r="AM124" s="1306">
        <v>0.28718513857690381</v>
      </c>
      <c r="AN124" s="1306">
        <v>0.28641950431088709</v>
      </c>
      <c r="AO124" s="1306">
        <v>0.28702148208189548</v>
      </c>
      <c r="AP124" s="1306">
        <v>0.28671897198820806</v>
      </c>
    </row>
    <row r="125" spans="1:42" s="504" customFormat="1" ht="14.5" outlineLevel="1">
      <c r="A125" s="1693">
        <v>94</v>
      </c>
      <c r="B125" s="616">
        <v>1</v>
      </c>
      <c r="C125" s="1693">
        <v>97</v>
      </c>
      <c r="D125" s="616">
        <v>1</v>
      </c>
      <c r="E125" s="1693">
        <v>99</v>
      </c>
      <c r="F125" s="616">
        <v>1</v>
      </c>
      <c r="G125" s="1693">
        <v>125</v>
      </c>
      <c r="H125" s="616">
        <v>1</v>
      </c>
      <c r="I125" s="616"/>
      <c r="J125" s="709" t="s">
        <v>512</v>
      </c>
      <c r="K125" s="1764" t="s">
        <v>1216</v>
      </c>
      <c r="L125" s="4"/>
      <c r="M125" s="4"/>
      <c r="N125" s="501"/>
      <c r="O125" s="502"/>
      <c r="P125" s="505"/>
      <c r="Q125" s="501"/>
      <c r="R125" s="501"/>
      <c r="S125" s="503" t="s">
        <v>1024</v>
      </c>
      <c r="T125" s="505"/>
      <c r="U125" s="505"/>
      <c r="V125" s="505"/>
      <c r="W125" s="1792"/>
      <c r="X125" s="1304">
        <v>0.25802932575799048</v>
      </c>
      <c r="Y125" s="1283">
        <v>0.24533459695390075</v>
      </c>
      <c r="Z125" s="1283">
        <v>0.2485240426464124</v>
      </c>
      <c r="AA125" s="1283">
        <v>0.23991680951096647</v>
      </c>
      <c r="AB125" s="1283">
        <v>0.2420116616794433</v>
      </c>
      <c r="AC125" s="1283">
        <v>0.24784679470651189</v>
      </c>
      <c r="AD125" s="1283">
        <v>0.23798234092616016</v>
      </c>
      <c r="AE125" s="1283">
        <v>0.24463365940517745</v>
      </c>
      <c r="AF125" s="1283">
        <v>0.24847253921700474</v>
      </c>
      <c r="AG125" s="1283">
        <v>0.24321807390077593</v>
      </c>
      <c r="AH125" s="1283">
        <v>0.24615167374665378</v>
      </c>
      <c r="AI125" s="1283">
        <v>0.24782110325180193</v>
      </c>
      <c r="AJ125" s="1283">
        <v>0.25086898545495256</v>
      </c>
      <c r="AK125" s="1283">
        <v>0.24350185237073196</v>
      </c>
      <c r="AL125" s="1283">
        <v>0.24387936840141358</v>
      </c>
      <c r="AM125" s="1283">
        <v>0.24587389977385424</v>
      </c>
      <c r="AN125" s="1283">
        <v>0.24704903769936845</v>
      </c>
      <c r="AO125" s="1283">
        <v>0.24490358986207078</v>
      </c>
      <c r="AP125" s="1283">
        <v>0.24597866150337303</v>
      </c>
    </row>
    <row r="126" spans="1:42" s="504" customFormat="1" ht="14.5" outlineLevel="1">
      <c r="A126" s="1693">
        <v>95</v>
      </c>
      <c r="B126" s="616">
        <v>1</v>
      </c>
      <c r="C126" s="1693">
        <v>98</v>
      </c>
      <c r="D126" s="616">
        <v>1</v>
      </c>
      <c r="E126" s="1693">
        <v>100</v>
      </c>
      <c r="F126" s="616">
        <v>1</v>
      </c>
      <c r="G126" s="1693">
        <v>126</v>
      </c>
      <c r="H126" s="616">
        <v>1</v>
      </c>
      <c r="I126" s="616"/>
      <c r="J126" s="709" t="s">
        <v>512</v>
      </c>
      <c r="K126" s="1764" t="s">
        <v>1216</v>
      </c>
      <c r="L126" s="4"/>
      <c r="M126" s="4"/>
      <c r="N126" s="501"/>
      <c r="O126" s="502"/>
      <c r="P126" s="505"/>
      <c r="Q126" s="501"/>
      <c r="R126" s="501"/>
      <c r="S126" s="503" t="s">
        <v>1025</v>
      </c>
      <c r="T126" s="505"/>
      <c r="U126" s="505"/>
      <c r="V126" s="505"/>
      <c r="W126" s="1792"/>
      <c r="X126" s="1304">
        <v>0.35211297193126517</v>
      </c>
      <c r="Y126" s="1283">
        <v>0.35165697805708745</v>
      </c>
      <c r="Z126" s="1283">
        <v>0.34767097171996947</v>
      </c>
      <c r="AA126" s="1283">
        <v>0.35510860130954758</v>
      </c>
      <c r="AB126" s="1283">
        <v>0.35274103387603267</v>
      </c>
      <c r="AC126" s="1283">
        <v>0.35146425172737522</v>
      </c>
      <c r="AD126" s="1283">
        <v>0.36068605843928531</v>
      </c>
      <c r="AE126" s="1283">
        <v>0.35670172837745301</v>
      </c>
      <c r="AF126" s="1283">
        <v>0.35468417996784424</v>
      </c>
      <c r="AG126" s="1283">
        <v>0.36149499134149904</v>
      </c>
      <c r="AH126" s="1283">
        <v>0.35833943859077999</v>
      </c>
      <c r="AI126" s="1283">
        <v>0.35695649582207867</v>
      </c>
      <c r="AJ126" s="1283">
        <v>0.35048445620580215</v>
      </c>
      <c r="AK126" s="1283">
        <v>0.35297466381143872</v>
      </c>
      <c r="AL126" s="1283">
        <v>0.35711182996582003</v>
      </c>
      <c r="AM126" s="1283">
        <v>0.35877791517173252</v>
      </c>
      <c r="AN126" s="1283">
        <v>0.35170770513171934</v>
      </c>
      <c r="AO126" s="1283">
        <v>0.35794313699388808</v>
      </c>
      <c r="AP126" s="1283">
        <v>0.35479473604129536</v>
      </c>
    </row>
    <row r="127" spans="1:42" s="504" customFormat="1" ht="14.5" outlineLevel="1">
      <c r="A127" s="1693">
        <v>96</v>
      </c>
      <c r="B127" s="616">
        <v>1</v>
      </c>
      <c r="C127" s="1693">
        <v>99</v>
      </c>
      <c r="D127" s="616">
        <v>1</v>
      </c>
      <c r="E127" s="1693">
        <v>101</v>
      </c>
      <c r="F127" s="616">
        <v>1</v>
      </c>
      <c r="G127" s="1693">
        <v>127</v>
      </c>
      <c r="H127" s="616">
        <v>1</v>
      </c>
      <c r="I127" s="616"/>
      <c r="J127" s="709" t="s">
        <v>512</v>
      </c>
      <c r="K127" s="1764" t="s">
        <v>1216</v>
      </c>
      <c r="L127" s="4"/>
      <c r="M127" s="4"/>
      <c r="N127" s="501"/>
      <c r="O127" s="502"/>
      <c r="P127" s="505"/>
      <c r="Q127" s="501"/>
      <c r="R127" s="501"/>
      <c r="S127" s="503" t="s">
        <v>1026</v>
      </c>
      <c r="T127" s="505"/>
      <c r="U127" s="505"/>
      <c r="V127" s="505"/>
      <c r="W127" s="1792"/>
      <c r="X127" s="1304">
        <v>0</v>
      </c>
      <c r="Y127" s="1283">
        <v>0</v>
      </c>
      <c r="Z127" s="1283">
        <v>0</v>
      </c>
      <c r="AA127" s="1283">
        <v>0</v>
      </c>
      <c r="AB127" s="1283">
        <v>0</v>
      </c>
      <c r="AC127" s="1283">
        <v>0</v>
      </c>
      <c r="AD127" s="1283">
        <v>0</v>
      </c>
      <c r="AE127" s="1283">
        <v>0</v>
      </c>
      <c r="AF127" s="1283">
        <v>0</v>
      </c>
      <c r="AG127" s="1283">
        <v>0</v>
      </c>
      <c r="AH127" s="1283">
        <v>0</v>
      </c>
      <c r="AI127" s="1283">
        <v>0</v>
      </c>
      <c r="AJ127" s="1283">
        <v>0</v>
      </c>
      <c r="AK127" s="1283">
        <v>0</v>
      </c>
      <c r="AL127" s="1283">
        <v>0</v>
      </c>
      <c r="AM127" s="1283">
        <v>0</v>
      </c>
      <c r="AN127" s="1283">
        <v>0</v>
      </c>
      <c r="AO127" s="1283">
        <v>0</v>
      </c>
      <c r="AP127" s="1283">
        <v>0</v>
      </c>
    </row>
    <row r="128" spans="1:42" ht="14.5">
      <c r="A128" s="1693">
        <v>97</v>
      </c>
      <c r="B128" s="616">
        <v>1</v>
      </c>
      <c r="C128" s="1693">
        <v>100</v>
      </c>
      <c r="D128" s="616">
        <v>1</v>
      </c>
      <c r="E128" s="1693">
        <v>102</v>
      </c>
      <c r="F128" s="616">
        <v>1</v>
      </c>
      <c r="G128" s="1693">
        <v>128</v>
      </c>
      <c r="H128" s="616">
        <v>1</v>
      </c>
      <c r="J128" s="709" t="s">
        <v>512</v>
      </c>
      <c r="K128" s="1764" t="s">
        <v>1216</v>
      </c>
      <c r="L128" s="4"/>
      <c r="M128" s="4"/>
      <c r="N128" s="4"/>
      <c r="O128" s="27"/>
      <c r="P128" s="3"/>
      <c r="Q128" s="4"/>
      <c r="R128" s="4"/>
      <c r="S128" s="3" t="s">
        <v>57</v>
      </c>
      <c r="T128" s="3"/>
      <c r="U128" s="3"/>
      <c r="V128" s="3"/>
      <c r="W128" s="2001"/>
      <c r="X128" s="596">
        <v>38129.177708393778</v>
      </c>
      <c r="Y128" s="2002">
        <v>32126.3776256038</v>
      </c>
      <c r="Z128" s="2002">
        <v>35330.982624497723</v>
      </c>
      <c r="AA128" s="2002">
        <v>33243.96472998368</v>
      </c>
      <c r="AB128" s="2002">
        <v>36104.665478732633</v>
      </c>
      <c r="AC128" s="2002">
        <v>41017.900172797825</v>
      </c>
      <c r="AD128" s="2002">
        <v>32751.577806478868</v>
      </c>
      <c r="AE128" s="2002">
        <v>31928.959690330565</v>
      </c>
      <c r="AF128" s="2002">
        <v>38576.558387000616</v>
      </c>
      <c r="AG128" s="2002">
        <v>32976.910949547462</v>
      </c>
      <c r="AH128" s="2002">
        <v>36291.880683908486</v>
      </c>
      <c r="AI128" s="2002">
        <v>40616.781563620709</v>
      </c>
      <c r="AJ128" s="2002">
        <v>105586.53795849529</v>
      </c>
      <c r="AK128" s="2002">
        <v>110366.53038151414</v>
      </c>
      <c r="AL128" s="2002">
        <v>103257.09588381005</v>
      </c>
      <c r="AM128" s="2002">
        <v>109885.57319707666</v>
      </c>
      <c r="AN128" s="2002">
        <v>215953.06834000943</v>
      </c>
      <c r="AO128" s="2002">
        <v>213142.6690808867</v>
      </c>
      <c r="AP128" s="2002">
        <v>429095.73742089613</v>
      </c>
    </row>
    <row r="129" spans="1:42" ht="14.5">
      <c r="A129" s="1693">
        <v>98</v>
      </c>
      <c r="B129" s="616">
        <v>1</v>
      </c>
      <c r="C129" s="1693">
        <v>101</v>
      </c>
      <c r="D129" s="616">
        <v>1</v>
      </c>
      <c r="E129" s="1693">
        <v>103</v>
      </c>
      <c r="F129" s="616">
        <v>1</v>
      </c>
      <c r="G129" s="1693">
        <v>129</v>
      </c>
      <c r="H129" s="616">
        <v>1</v>
      </c>
      <c r="J129" s="709" t="s">
        <v>512</v>
      </c>
      <c r="K129" s="1764" t="s">
        <v>1216</v>
      </c>
      <c r="L129" s="4"/>
      <c r="M129" s="4"/>
      <c r="N129" s="4"/>
      <c r="O129" s="27"/>
      <c r="P129" s="3"/>
      <c r="Q129" s="4"/>
      <c r="R129" s="4"/>
      <c r="S129" s="3" t="s">
        <v>27</v>
      </c>
      <c r="T129" s="3"/>
      <c r="U129" s="3"/>
      <c r="V129" s="3"/>
      <c r="W129" s="2001"/>
      <c r="X129" s="596">
        <v>35788.320163685152</v>
      </c>
      <c r="Y129" s="2002">
        <v>26737.075341997806</v>
      </c>
      <c r="Z129" s="2002">
        <v>31470.249349769132</v>
      </c>
      <c r="AA129" s="2002">
        <v>27220.740759557048</v>
      </c>
      <c r="AB129" s="2002">
        <v>30871.515542572673</v>
      </c>
      <c r="AC129" s="2002">
        <v>33305.365397916423</v>
      </c>
      <c r="AD129" s="2002">
        <v>27228.513986660255</v>
      </c>
      <c r="AE129" s="2002">
        <v>31043.02854791678</v>
      </c>
      <c r="AF129" s="2002">
        <v>34207.03335986365</v>
      </c>
      <c r="AG129" s="2002">
        <v>27758.354777159635</v>
      </c>
      <c r="AH129" s="2002">
        <v>31409.129560175257</v>
      </c>
      <c r="AI129" s="2002">
        <v>33356.209444450258</v>
      </c>
      <c r="AJ129" s="2002">
        <v>93995.64485545209</v>
      </c>
      <c r="AK129" s="2002">
        <v>91397.621700046147</v>
      </c>
      <c r="AL129" s="2002">
        <v>92478.575894440684</v>
      </c>
      <c r="AM129" s="2002">
        <v>92523.693781785143</v>
      </c>
      <c r="AN129" s="2002">
        <v>185393.26655549824</v>
      </c>
      <c r="AO129" s="2002">
        <v>185002.26967622584</v>
      </c>
      <c r="AP129" s="2002">
        <v>370395.53623172408</v>
      </c>
    </row>
    <row r="130" spans="1:42" ht="14.5">
      <c r="A130" s="1693">
        <v>99</v>
      </c>
      <c r="B130" s="616">
        <v>1</v>
      </c>
      <c r="C130" s="1693">
        <v>102</v>
      </c>
      <c r="D130" s="616">
        <v>1</v>
      </c>
      <c r="E130" s="1693">
        <v>104</v>
      </c>
      <c r="F130" s="616">
        <v>1</v>
      </c>
      <c r="G130" s="1693">
        <v>130</v>
      </c>
      <c r="H130" s="616">
        <v>1</v>
      </c>
      <c r="J130" s="709" t="s">
        <v>512</v>
      </c>
      <c r="K130" s="1764" t="s">
        <v>1216</v>
      </c>
      <c r="L130" s="4"/>
      <c r="M130" s="4"/>
      <c r="N130" s="4"/>
      <c r="O130" s="27"/>
      <c r="P130" s="3"/>
      <c r="Q130" s="4"/>
      <c r="R130" s="4"/>
      <c r="S130" s="3" t="s">
        <v>2</v>
      </c>
      <c r="T130" s="3"/>
      <c r="U130" s="3"/>
      <c r="V130" s="3"/>
      <c r="W130" s="2001"/>
      <c r="X130" s="596">
        <v>0</v>
      </c>
      <c r="Y130" s="2002">
        <v>0</v>
      </c>
      <c r="Z130" s="2002">
        <v>0</v>
      </c>
      <c r="AA130" s="2002">
        <v>0</v>
      </c>
      <c r="AB130" s="2002">
        <v>0</v>
      </c>
      <c r="AC130" s="2002">
        <v>0</v>
      </c>
      <c r="AD130" s="2002">
        <v>0</v>
      </c>
      <c r="AE130" s="2002">
        <v>0</v>
      </c>
      <c r="AF130" s="2002">
        <v>0</v>
      </c>
      <c r="AG130" s="2002">
        <v>0</v>
      </c>
      <c r="AH130" s="2002">
        <v>0</v>
      </c>
      <c r="AI130" s="2002">
        <v>0</v>
      </c>
      <c r="AJ130" s="2002">
        <v>0</v>
      </c>
      <c r="AK130" s="2002">
        <v>0</v>
      </c>
      <c r="AL130" s="2002">
        <v>0</v>
      </c>
      <c r="AM130" s="2002">
        <v>0</v>
      </c>
      <c r="AN130" s="2002">
        <v>0</v>
      </c>
      <c r="AO130" s="2002">
        <v>0</v>
      </c>
      <c r="AP130" s="2002">
        <v>0</v>
      </c>
    </row>
    <row r="131" spans="1:42" ht="14.5">
      <c r="A131" s="1693">
        <v>100</v>
      </c>
      <c r="B131" s="616">
        <v>1</v>
      </c>
      <c r="C131" s="1693">
        <v>103</v>
      </c>
      <c r="D131" s="616">
        <v>1</v>
      </c>
      <c r="E131" s="1693">
        <v>105</v>
      </c>
      <c r="F131" s="616">
        <v>1</v>
      </c>
      <c r="G131" s="1693">
        <v>131</v>
      </c>
      <c r="H131" s="616">
        <v>1</v>
      </c>
      <c r="J131" s="709" t="s">
        <v>512</v>
      </c>
      <c r="K131" s="1764" t="s">
        <v>1216</v>
      </c>
      <c r="L131" s="4"/>
      <c r="M131" s="4"/>
      <c r="N131" s="4"/>
      <c r="O131" s="1996" t="s">
        <v>29</v>
      </c>
      <c r="P131" s="580"/>
      <c r="Q131" s="863"/>
      <c r="R131" s="863"/>
      <c r="S131" s="863"/>
      <c r="T131" s="863"/>
      <c r="U131" s="863"/>
      <c r="V131" s="863"/>
      <c r="W131" s="1998"/>
      <c r="X131" s="1999">
        <v>66466.386693167355</v>
      </c>
      <c r="Y131" s="2000">
        <v>56220.735848557044</v>
      </c>
      <c r="Z131" s="2000">
        <v>57751.159414894057</v>
      </c>
      <c r="AA131" s="2000">
        <v>57191.119346454449</v>
      </c>
      <c r="AB131" s="2000">
        <v>58864.749305373545</v>
      </c>
      <c r="AC131" s="2000">
        <v>62284.621064338397</v>
      </c>
      <c r="AD131" s="2000">
        <v>56058.35413779955</v>
      </c>
      <c r="AE131" s="2000">
        <v>55648.072689556284</v>
      </c>
      <c r="AF131" s="2000">
        <v>57569.240855530108</v>
      </c>
      <c r="AG131" s="2000">
        <v>56694.455136502394</v>
      </c>
      <c r="AH131" s="2000">
        <v>54351.199897461527</v>
      </c>
      <c r="AI131" s="2000">
        <v>54619.510657754188</v>
      </c>
      <c r="AJ131" s="2000">
        <v>180438.28195661845</v>
      </c>
      <c r="AK131" s="2000">
        <v>178340.4897161664</v>
      </c>
      <c r="AL131" s="2000">
        <v>169275.66768288595</v>
      </c>
      <c r="AM131" s="2000">
        <v>165665.16569171811</v>
      </c>
      <c r="AN131" s="2000">
        <v>358778.77167278487</v>
      </c>
      <c r="AO131" s="2000">
        <v>334940.83337460406</v>
      </c>
      <c r="AP131" s="2000">
        <v>693719.60504738893</v>
      </c>
    </row>
    <row r="132" spans="1:42" ht="14.5">
      <c r="A132" s="1693">
        <v>101</v>
      </c>
      <c r="B132" s="616">
        <v>1</v>
      </c>
      <c r="C132" s="1693">
        <v>104</v>
      </c>
      <c r="D132" s="616">
        <v>1</v>
      </c>
      <c r="E132" s="1693">
        <v>106</v>
      </c>
      <c r="F132" s="616">
        <v>1</v>
      </c>
      <c r="G132" s="1693">
        <v>132</v>
      </c>
      <c r="H132" s="616">
        <v>1</v>
      </c>
      <c r="J132" s="709" t="s">
        <v>512</v>
      </c>
      <c r="K132" s="1764" t="s">
        <v>1216</v>
      </c>
      <c r="L132" s="4"/>
      <c r="M132" s="4"/>
      <c r="N132" s="4"/>
      <c r="O132" s="27"/>
      <c r="P132" s="36" t="s">
        <v>63</v>
      </c>
      <c r="Q132" s="4"/>
      <c r="R132" s="4"/>
      <c r="S132" s="3"/>
      <c r="T132" s="3"/>
      <c r="U132" s="3"/>
      <c r="V132" s="3"/>
      <c r="W132" s="1853"/>
      <c r="X132" s="2003">
        <v>25492.506177936801</v>
      </c>
      <c r="Y132" s="2004">
        <v>15570.3882767126</v>
      </c>
      <c r="Z132" s="2004">
        <v>16793.131103835702</v>
      </c>
      <c r="AA132" s="2004">
        <v>15812.688311959</v>
      </c>
      <c r="AB132" s="2004">
        <v>17291.167457738498</v>
      </c>
      <c r="AC132" s="2004">
        <v>20617.948740052299</v>
      </c>
      <c r="AD132" s="2004">
        <v>14337.2514172135</v>
      </c>
      <c r="AE132" s="2004">
        <v>13888.5867144569</v>
      </c>
      <c r="AF132" s="2004">
        <v>15518.9180028967</v>
      </c>
      <c r="AG132" s="2004">
        <v>14586.49033604</v>
      </c>
      <c r="AH132" s="2004">
        <v>12120.710483663799</v>
      </c>
      <c r="AI132" s="2004">
        <v>12316.838847423202</v>
      </c>
      <c r="AJ132" s="2002">
        <v>57856.025558485104</v>
      </c>
      <c r="AK132" s="2002">
        <v>53721.804509749796</v>
      </c>
      <c r="AL132" s="2002">
        <v>43744.756134567098</v>
      </c>
      <c r="AM132" s="2002">
        <v>39024.039667126999</v>
      </c>
      <c r="AN132" s="2002">
        <v>111577.83006823491</v>
      </c>
      <c r="AO132" s="2002">
        <v>82768.795801694097</v>
      </c>
      <c r="AP132" s="2002">
        <v>194346.625869929</v>
      </c>
    </row>
    <row r="133" spans="1:42" ht="14.5">
      <c r="A133" s="1693">
        <v>102</v>
      </c>
      <c r="B133" s="616">
        <v>1</v>
      </c>
      <c r="C133" s="1693">
        <v>105</v>
      </c>
      <c r="D133" s="616">
        <v>1</v>
      </c>
      <c r="E133" s="1693">
        <v>107</v>
      </c>
      <c r="F133" s="616">
        <v>1</v>
      </c>
      <c r="G133" s="1693">
        <v>133</v>
      </c>
      <c r="H133" s="616">
        <v>1</v>
      </c>
      <c r="J133" s="709" t="s">
        <v>512</v>
      </c>
      <c r="K133" s="1764" t="s">
        <v>1216</v>
      </c>
      <c r="L133" s="4"/>
      <c r="M133" s="4"/>
      <c r="N133" s="4"/>
      <c r="O133" s="27"/>
      <c r="P133" s="36" t="s">
        <v>28</v>
      </c>
      <c r="Q133" s="4"/>
      <c r="R133" s="4"/>
      <c r="S133" s="3"/>
      <c r="T133" s="3"/>
      <c r="U133" s="3"/>
      <c r="V133" s="3"/>
      <c r="W133" s="1853"/>
      <c r="X133" s="2003">
        <v>27403.424862010543</v>
      </c>
      <c r="Y133" s="2004">
        <v>27586.758195343878</v>
      </c>
      <c r="Z133" s="2004">
        <v>27820.091528677211</v>
      </c>
      <c r="AA133" s="2004">
        <v>28286.758195343878</v>
      </c>
      <c r="AB133" s="2004">
        <v>28386.758195343878</v>
      </c>
      <c r="AC133" s="2004">
        <v>28486.758195343878</v>
      </c>
      <c r="AD133" s="2004">
        <v>28586.758195343878</v>
      </c>
      <c r="AE133" s="2004">
        <v>28686.758195343878</v>
      </c>
      <c r="AF133" s="2004">
        <v>28870.091528677211</v>
      </c>
      <c r="AG133" s="2004">
        <v>28970.091528677211</v>
      </c>
      <c r="AH133" s="2004">
        <v>29070.091528677211</v>
      </c>
      <c r="AI133" s="2004">
        <v>29070.091528677211</v>
      </c>
      <c r="AJ133" s="2002">
        <v>82810.274586031635</v>
      </c>
      <c r="AK133" s="2002">
        <v>85160.274586031635</v>
      </c>
      <c r="AL133" s="2002">
        <v>86143.607919364964</v>
      </c>
      <c r="AM133" s="2002">
        <v>87110.274586031635</v>
      </c>
      <c r="AN133" s="2002">
        <v>167970.54917206327</v>
      </c>
      <c r="AO133" s="2002">
        <v>173253.88250539661</v>
      </c>
      <c r="AP133" s="2002">
        <v>341224.43167745986</v>
      </c>
    </row>
    <row r="134" spans="1:42" ht="14.5">
      <c r="A134" s="1693">
        <v>103</v>
      </c>
      <c r="B134" s="616">
        <v>1</v>
      </c>
      <c r="C134" s="1693">
        <v>106</v>
      </c>
      <c r="D134" s="616">
        <v>1</v>
      </c>
      <c r="E134" s="1693">
        <v>108</v>
      </c>
      <c r="F134" s="616">
        <v>1</v>
      </c>
      <c r="G134" s="1693">
        <v>134</v>
      </c>
      <c r="H134" s="616">
        <v>1</v>
      </c>
      <c r="J134" s="709" t="s">
        <v>512</v>
      </c>
      <c r="K134" s="1764" t="s">
        <v>1216</v>
      </c>
      <c r="L134" s="4"/>
      <c r="M134" s="4"/>
      <c r="N134" s="4"/>
      <c r="O134" s="27"/>
      <c r="P134" s="36" t="s">
        <v>62</v>
      </c>
      <c r="Q134" s="48"/>
      <c r="R134" s="48"/>
      <c r="S134" s="47"/>
      <c r="T134" s="47"/>
      <c r="U134" s="47"/>
      <c r="V134" s="47"/>
      <c r="W134" s="1853"/>
      <c r="X134" s="2013">
        <v>13570.455653220015</v>
      </c>
      <c r="Y134" s="2014">
        <v>13063.589376500571</v>
      </c>
      <c r="Z134" s="2014">
        <v>13137.936782381141</v>
      </c>
      <c r="AA134" s="2014">
        <v>13091.672839151575</v>
      </c>
      <c r="AB134" s="2014">
        <v>13186.823652291168</v>
      </c>
      <c r="AC134" s="2014">
        <v>13179.914128942215</v>
      </c>
      <c r="AD134" s="2014">
        <v>13134.344525242173</v>
      </c>
      <c r="AE134" s="2014">
        <v>13072.727779755511</v>
      </c>
      <c r="AF134" s="2014">
        <v>13180.231323956199</v>
      </c>
      <c r="AG134" s="2014">
        <v>13137.873271785178</v>
      </c>
      <c r="AH134" s="2014">
        <v>13160.397885120517</v>
      </c>
      <c r="AI134" s="2014">
        <v>13232.580281653776</v>
      </c>
      <c r="AJ134" s="2012">
        <v>39771.981812101731</v>
      </c>
      <c r="AK134" s="2012">
        <v>39458.410620384959</v>
      </c>
      <c r="AL134" s="2012">
        <v>39387.303628953887</v>
      </c>
      <c r="AM134" s="2012">
        <v>39530.851438559475</v>
      </c>
      <c r="AN134" s="2012">
        <v>79230.392432486697</v>
      </c>
      <c r="AO134" s="2012">
        <v>78918.155067513362</v>
      </c>
      <c r="AP134" s="2012">
        <v>158148.54750000004</v>
      </c>
    </row>
    <row r="135" spans="1:42" ht="14.5">
      <c r="A135" s="1693">
        <v>104</v>
      </c>
      <c r="B135" s="616">
        <v>1</v>
      </c>
      <c r="C135" s="1693">
        <v>107</v>
      </c>
      <c r="D135" s="616">
        <v>1</v>
      </c>
      <c r="E135" s="1693">
        <v>109</v>
      </c>
      <c r="F135" s="616">
        <v>1</v>
      </c>
      <c r="G135" s="1693">
        <v>135</v>
      </c>
      <c r="H135" s="616">
        <v>1</v>
      </c>
      <c r="J135" s="709" t="s">
        <v>512</v>
      </c>
      <c r="K135" s="1764" t="s">
        <v>1216</v>
      </c>
      <c r="L135" s="4"/>
      <c r="M135" s="4"/>
      <c r="N135" s="4"/>
      <c r="O135" s="1996" t="s">
        <v>56</v>
      </c>
      <c r="P135" s="580"/>
      <c r="Q135" s="863"/>
      <c r="R135" s="863"/>
      <c r="S135" s="580"/>
      <c r="T135" s="580"/>
      <c r="U135" s="580"/>
      <c r="V135" s="580"/>
      <c r="W135" s="1998"/>
      <c r="X135" s="1999">
        <v>7451.1111789115821</v>
      </c>
      <c r="Y135" s="2000">
        <v>2642.7171190445661</v>
      </c>
      <c r="Z135" s="2000">
        <v>9050.0725593727911</v>
      </c>
      <c r="AA135" s="2000">
        <v>3273.5861430862788</v>
      </c>
      <c r="AB135" s="2000">
        <v>8111.4317159317652</v>
      </c>
      <c r="AC135" s="2000">
        <v>12038.644506375858</v>
      </c>
      <c r="AD135" s="2000">
        <v>3921.7376553395734</v>
      </c>
      <c r="AE135" s="2000">
        <v>7323.9155486910604</v>
      </c>
      <c r="AF135" s="2000">
        <v>15214.35089133415</v>
      </c>
      <c r="AG135" s="2000">
        <v>4040.8105902047027</v>
      </c>
      <c r="AH135" s="2000">
        <v>13349.810346622209</v>
      </c>
      <c r="AI135" s="2000">
        <v>19353.480350316779</v>
      </c>
      <c r="AJ135" s="2000">
        <v>19143.900857328961</v>
      </c>
      <c r="AK135" s="2000">
        <v>23423.662365393888</v>
      </c>
      <c r="AL135" s="2000">
        <v>26460.004095364769</v>
      </c>
      <c r="AM135" s="2000">
        <v>36744.101287143683</v>
      </c>
      <c r="AN135" s="2000">
        <v>42567.563222722791</v>
      </c>
      <c r="AO135" s="2000">
        <v>63204.105382508482</v>
      </c>
      <c r="AP135" s="2000">
        <v>105771.66860523121</v>
      </c>
    </row>
    <row r="136" spans="1:42" ht="14.5">
      <c r="A136" s="1693">
        <v>105</v>
      </c>
      <c r="B136" s="616">
        <v>1</v>
      </c>
      <c r="C136" s="1693">
        <v>108</v>
      </c>
      <c r="D136" s="616">
        <v>1</v>
      </c>
      <c r="E136" s="1693">
        <v>110</v>
      </c>
      <c r="F136" s="616">
        <v>1</v>
      </c>
      <c r="G136" s="1693">
        <v>136</v>
      </c>
      <c r="H136" s="616">
        <v>1</v>
      </c>
      <c r="J136" s="709" t="s">
        <v>512</v>
      </c>
      <c r="K136" s="1764" t="s">
        <v>1216</v>
      </c>
      <c r="L136" s="4"/>
      <c r="M136" s="4"/>
      <c r="N136" s="4"/>
      <c r="O136" s="25"/>
      <c r="P136" s="511" t="s">
        <v>55</v>
      </c>
      <c r="Q136" s="2"/>
      <c r="R136" s="2"/>
      <c r="S136" s="1"/>
      <c r="T136" s="1"/>
      <c r="U136" s="1"/>
      <c r="V136" s="1"/>
      <c r="W136" s="1776"/>
      <c r="X136" s="1313">
        <v>2.9875014531981797E-2</v>
      </c>
      <c r="Y136" s="1313">
        <v>1.2767925794606746E-2</v>
      </c>
      <c r="Z136" s="1313">
        <v>3.8894835502558081E-2</v>
      </c>
      <c r="AA136" s="1313">
        <v>1.5210471428719764E-2</v>
      </c>
      <c r="AB136" s="1313">
        <v>3.4268167365027073E-2</v>
      </c>
      <c r="AC136" s="1313">
        <v>4.6256446485397507E-2</v>
      </c>
      <c r="AD136" s="1313">
        <v>1.8402170278412695E-2</v>
      </c>
      <c r="AE136" s="1313">
        <v>3.3666145070116088E-2</v>
      </c>
      <c r="AF136" s="1313">
        <v>6.044673903448626E-2</v>
      </c>
      <c r="AG136" s="1313">
        <v>1.9026911639398382E-2</v>
      </c>
      <c r="AH136" s="1313">
        <v>5.6786207514219644E-2</v>
      </c>
      <c r="AI136" s="1313">
        <v>7.5205374169368636E-2</v>
      </c>
      <c r="AJ136" s="1288">
        <v>2.7782190891234709E-2</v>
      </c>
      <c r="AK136" s="1313">
        <v>3.2889969510724322E-2</v>
      </c>
      <c r="AL136" s="1313">
        <v>3.8777381329866856E-2</v>
      </c>
      <c r="AM136" s="1313">
        <v>5.213377814926904E-2</v>
      </c>
      <c r="AN136" s="1313">
        <v>3.0378202808676199E-2</v>
      </c>
      <c r="AO136" s="1313">
        <v>4.5563648396933991E-2</v>
      </c>
      <c r="AP136" s="1313">
        <v>3.7932551720566143E-2</v>
      </c>
    </row>
    <row r="137" spans="1:42" ht="14.5">
      <c r="A137" s="1693">
        <v>106</v>
      </c>
      <c r="B137" s="616">
        <v>1</v>
      </c>
      <c r="C137" s="1693">
        <v>109</v>
      </c>
      <c r="D137" s="616">
        <v>1</v>
      </c>
      <c r="E137" s="1693">
        <v>111</v>
      </c>
      <c r="F137" s="616">
        <v>1</v>
      </c>
      <c r="G137" s="1693">
        <v>137</v>
      </c>
      <c r="H137" s="616">
        <v>1</v>
      </c>
      <c r="J137" s="709" t="s">
        <v>512</v>
      </c>
      <c r="K137" s="1764" t="s">
        <v>1216</v>
      </c>
      <c r="L137" s="4"/>
      <c r="M137" s="4"/>
      <c r="N137" s="4"/>
      <c r="O137" s="198" t="s">
        <v>994</v>
      </c>
      <c r="P137" s="447"/>
      <c r="Q137" s="514"/>
      <c r="R137" s="514"/>
      <c r="S137" s="447"/>
      <c r="T137" s="447"/>
      <c r="U137" s="447"/>
      <c r="V137" s="447"/>
      <c r="W137" s="1853"/>
      <c r="X137" s="2015">
        <v>0</v>
      </c>
      <c r="Y137" s="2016">
        <v>0</v>
      </c>
      <c r="Z137" s="2016">
        <v>0</v>
      </c>
      <c r="AA137" s="2016">
        <v>0</v>
      </c>
      <c r="AB137" s="2016">
        <v>0</v>
      </c>
      <c r="AC137" s="2016">
        <v>0</v>
      </c>
      <c r="AD137" s="2016">
        <v>0</v>
      </c>
      <c r="AE137" s="2016">
        <v>0</v>
      </c>
      <c r="AF137" s="2016">
        <v>0</v>
      </c>
      <c r="AG137" s="2016">
        <v>0</v>
      </c>
      <c r="AH137" s="2016">
        <v>0</v>
      </c>
      <c r="AI137" s="2016">
        <v>0</v>
      </c>
      <c r="AJ137" s="1978">
        <v>0</v>
      </c>
      <c r="AK137" s="1978">
        <v>0</v>
      </c>
      <c r="AL137" s="1978">
        <v>0</v>
      </c>
      <c r="AM137" s="1978">
        <v>0</v>
      </c>
      <c r="AN137" s="1978">
        <v>0</v>
      </c>
      <c r="AO137" s="1978">
        <v>0</v>
      </c>
      <c r="AP137" s="1978">
        <v>0</v>
      </c>
    </row>
    <row r="138" spans="1:42" ht="14.5">
      <c r="A138" s="1693">
        <v>107</v>
      </c>
      <c r="B138" s="616">
        <v>1</v>
      </c>
      <c r="C138" s="1693">
        <v>110</v>
      </c>
      <c r="D138" s="616">
        <v>1</v>
      </c>
      <c r="E138" s="1693">
        <v>112</v>
      </c>
      <c r="F138" s="616">
        <v>1</v>
      </c>
      <c r="G138" s="1693">
        <v>138</v>
      </c>
      <c r="H138" s="616">
        <v>1</v>
      </c>
      <c r="J138" s="709" t="s">
        <v>512</v>
      </c>
      <c r="K138" s="1764" t="s">
        <v>1216</v>
      </c>
      <c r="L138" s="4"/>
      <c r="M138" s="4"/>
      <c r="N138" s="4"/>
      <c r="O138" s="106" t="s">
        <v>995</v>
      </c>
      <c r="P138" s="104"/>
      <c r="Q138" s="105"/>
      <c r="R138" s="105"/>
      <c r="S138" s="104"/>
      <c r="T138" s="104"/>
      <c r="U138" s="104"/>
      <c r="V138" s="104"/>
      <c r="W138" s="1853"/>
      <c r="X138" s="2017">
        <v>0</v>
      </c>
      <c r="Y138" s="2018">
        <v>0</v>
      </c>
      <c r="Z138" s="2018">
        <v>0</v>
      </c>
      <c r="AA138" s="2018">
        <v>0</v>
      </c>
      <c r="AB138" s="2018">
        <v>0</v>
      </c>
      <c r="AC138" s="2018">
        <v>0</v>
      </c>
      <c r="AD138" s="2018">
        <v>0</v>
      </c>
      <c r="AE138" s="2018">
        <v>0</v>
      </c>
      <c r="AF138" s="2018">
        <v>0</v>
      </c>
      <c r="AG138" s="2018">
        <v>0</v>
      </c>
      <c r="AH138" s="2018">
        <v>0</v>
      </c>
      <c r="AI138" s="2018">
        <v>0</v>
      </c>
      <c r="AJ138" s="1980">
        <v>0</v>
      </c>
      <c r="AK138" s="1980">
        <v>0</v>
      </c>
      <c r="AL138" s="1980">
        <v>0</v>
      </c>
      <c r="AM138" s="1980">
        <v>0</v>
      </c>
      <c r="AN138" s="1980">
        <v>0</v>
      </c>
      <c r="AO138" s="1980">
        <v>0</v>
      </c>
      <c r="AP138" s="1980">
        <v>0</v>
      </c>
    </row>
    <row r="139" spans="1:42" ht="14.5">
      <c r="A139" s="1693">
        <v>108</v>
      </c>
      <c r="B139" s="616">
        <v>1</v>
      </c>
      <c r="C139" s="1693">
        <v>111</v>
      </c>
      <c r="D139" s="616">
        <v>1</v>
      </c>
      <c r="E139" s="1693">
        <v>113</v>
      </c>
      <c r="F139" s="616">
        <v>1</v>
      </c>
      <c r="G139" s="1693">
        <v>139</v>
      </c>
      <c r="H139" s="616">
        <v>1</v>
      </c>
      <c r="J139" s="709" t="s">
        <v>512</v>
      </c>
      <c r="K139" s="1764" t="s">
        <v>1216</v>
      </c>
      <c r="L139" s="4"/>
      <c r="M139" s="4"/>
      <c r="N139" s="4"/>
      <c r="O139" s="1996" t="s">
        <v>1</v>
      </c>
      <c r="P139" s="580"/>
      <c r="Q139" s="863"/>
      <c r="R139" s="863"/>
      <c r="S139" s="863"/>
      <c r="T139" s="863"/>
      <c r="U139" s="863"/>
      <c r="V139" s="863"/>
      <c r="W139" s="1998"/>
      <c r="X139" s="1999">
        <v>7451.1111789115821</v>
      </c>
      <c r="Y139" s="2000">
        <v>2642.7171190445661</v>
      </c>
      <c r="Z139" s="2000">
        <v>9050.0725593727911</v>
      </c>
      <c r="AA139" s="2000">
        <v>3273.5861430862788</v>
      </c>
      <c r="AB139" s="2000">
        <v>8111.4317159317652</v>
      </c>
      <c r="AC139" s="2000">
        <v>12038.644506375858</v>
      </c>
      <c r="AD139" s="2000">
        <v>3921.7376553395734</v>
      </c>
      <c r="AE139" s="2000">
        <v>7323.9155486910604</v>
      </c>
      <c r="AF139" s="2000">
        <v>15214.35089133415</v>
      </c>
      <c r="AG139" s="2000">
        <v>4040.8105902047027</v>
      </c>
      <c r="AH139" s="2000">
        <v>13349.810346622209</v>
      </c>
      <c r="AI139" s="2000">
        <v>19353.480350316779</v>
      </c>
      <c r="AJ139" s="2000">
        <v>19143.900857328961</v>
      </c>
      <c r="AK139" s="2000">
        <v>23423.662365393888</v>
      </c>
      <c r="AL139" s="2000">
        <v>26460.004095364769</v>
      </c>
      <c r="AM139" s="2000">
        <v>36744.101287143683</v>
      </c>
      <c r="AN139" s="2000">
        <v>42567.563222722791</v>
      </c>
      <c r="AO139" s="2000">
        <v>63204.105382508482</v>
      </c>
      <c r="AP139" s="2000">
        <v>105771.66860523121</v>
      </c>
    </row>
    <row r="140" spans="1:42" ht="14.5">
      <c r="A140" s="1693">
        <v>109</v>
      </c>
      <c r="B140" s="616">
        <v>1</v>
      </c>
      <c r="C140" s="1693">
        <v>112</v>
      </c>
      <c r="D140" s="616">
        <v>1</v>
      </c>
      <c r="E140" s="1693">
        <v>114</v>
      </c>
      <c r="F140" s="616">
        <v>1</v>
      </c>
      <c r="G140" s="1693">
        <v>140</v>
      </c>
      <c r="H140" s="616">
        <v>1</v>
      </c>
      <c r="J140" s="709" t="s">
        <v>512</v>
      </c>
      <c r="K140" s="1764" t="s">
        <v>1216</v>
      </c>
      <c r="L140" s="4"/>
      <c r="M140" s="4"/>
      <c r="N140" s="4"/>
      <c r="O140" s="25"/>
      <c r="P140" s="511" t="s">
        <v>55</v>
      </c>
      <c r="Q140" s="2"/>
      <c r="R140" s="2"/>
      <c r="S140" s="1"/>
      <c r="T140" s="1"/>
      <c r="U140" s="1"/>
      <c r="V140" s="1"/>
      <c r="W140" s="1776"/>
      <c r="X140" s="1313">
        <v>2.9875014531981797E-2</v>
      </c>
      <c r="Y140" s="1313">
        <v>1.2767925794606746E-2</v>
      </c>
      <c r="Z140" s="1313">
        <v>3.8894835502558081E-2</v>
      </c>
      <c r="AA140" s="1313">
        <v>1.5210471428719764E-2</v>
      </c>
      <c r="AB140" s="1313">
        <v>3.4268167365027073E-2</v>
      </c>
      <c r="AC140" s="1313">
        <v>4.6256446485397507E-2</v>
      </c>
      <c r="AD140" s="1313">
        <v>1.8402170278412695E-2</v>
      </c>
      <c r="AE140" s="1313">
        <v>3.3666145070116088E-2</v>
      </c>
      <c r="AF140" s="1313">
        <v>6.044673903448626E-2</v>
      </c>
      <c r="AG140" s="1313">
        <v>1.9026911639398382E-2</v>
      </c>
      <c r="AH140" s="1313">
        <v>5.6786207514219644E-2</v>
      </c>
      <c r="AI140" s="1313">
        <v>7.5205374169368636E-2</v>
      </c>
      <c r="AJ140" s="1288">
        <v>2.7782190891234709E-2</v>
      </c>
      <c r="AK140" s="1313">
        <v>3.2889969510724322E-2</v>
      </c>
      <c r="AL140" s="1313">
        <v>3.8777381329866856E-2</v>
      </c>
      <c r="AM140" s="1313">
        <v>5.213377814926904E-2</v>
      </c>
      <c r="AN140" s="1313">
        <v>3.0378202808676199E-2</v>
      </c>
      <c r="AO140" s="1313">
        <v>4.5563648396933991E-2</v>
      </c>
      <c r="AP140" s="1313">
        <v>3.7932551720566143E-2</v>
      </c>
    </row>
    <row r="141" spans="1:42" ht="14.5">
      <c r="A141" s="1693">
        <v>1</v>
      </c>
      <c r="B141" s="616">
        <v>1</v>
      </c>
      <c r="C141" s="1693">
        <v>1</v>
      </c>
      <c r="D141" s="616">
        <v>1</v>
      </c>
      <c r="E141" s="1693">
        <v>1</v>
      </c>
      <c r="F141" s="616">
        <v>1</v>
      </c>
      <c r="G141" s="1693">
        <v>141</v>
      </c>
      <c r="H141" s="616">
        <v>1</v>
      </c>
      <c r="J141" s="709" t="s">
        <v>512</v>
      </c>
      <c r="K141" s="1764" t="s">
        <v>1216</v>
      </c>
      <c r="L141" s="4"/>
      <c r="M141" s="4"/>
      <c r="N141" s="4"/>
      <c r="O141" s="4"/>
      <c r="P141" s="3"/>
      <c r="Q141" s="4"/>
      <c r="R141" s="4"/>
      <c r="S141" s="3"/>
      <c r="T141" s="3"/>
      <c r="U141" s="3"/>
      <c r="V141" s="3"/>
      <c r="W141" s="1773"/>
      <c r="X141" s="1608"/>
      <c r="Y141" s="1609"/>
      <c r="Z141" s="1609"/>
      <c r="AA141" s="1609"/>
      <c r="AB141" s="1609"/>
      <c r="AC141" s="1609"/>
      <c r="AD141" s="1366"/>
      <c r="AE141" s="1366"/>
      <c r="AF141" s="1366"/>
      <c r="AG141" s="1242"/>
      <c r="AH141" s="1242"/>
      <c r="AI141" s="1242"/>
      <c r="AJ141" s="1242"/>
      <c r="AK141" s="1242"/>
      <c r="AL141" s="1242"/>
      <c r="AM141" s="1242"/>
      <c r="AN141" s="1242"/>
      <c r="AO141" s="1242"/>
      <c r="AP141" s="608"/>
    </row>
    <row r="142" spans="1:42" ht="14.5">
      <c r="A142" s="1693">
        <v>1</v>
      </c>
      <c r="B142" s="616">
        <v>1</v>
      </c>
      <c r="C142" s="1693">
        <v>1</v>
      </c>
      <c r="D142" s="616">
        <v>1</v>
      </c>
      <c r="E142" s="1693">
        <v>1</v>
      </c>
      <c r="F142" s="616">
        <v>1</v>
      </c>
      <c r="G142" s="1693">
        <v>142</v>
      </c>
      <c r="H142" s="616">
        <v>1</v>
      </c>
      <c r="J142" s="709" t="s">
        <v>512</v>
      </c>
      <c r="K142" s="1764" t="s">
        <v>1216</v>
      </c>
      <c r="L142" s="4"/>
      <c r="M142" s="4"/>
      <c r="N142" s="4" t="s">
        <v>1027</v>
      </c>
      <c r="O142" s="4"/>
      <c r="P142" s="3"/>
      <c r="Q142" s="4"/>
      <c r="R142" s="4"/>
      <c r="S142" s="3"/>
      <c r="T142" s="3"/>
      <c r="U142" s="3"/>
      <c r="V142" s="3"/>
      <c r="W142" s="1773"/>
      <c r="X142" s="1608"/>
      <c r="Y142" s="1609"/>
      <c r="Z142" s="1609"/>
      <c r="AA142" s="1609"/>
      <c r="AB142" s="1609"/>
      <c r="AC142" s="1609"/>
      <c r="AD142" s="1366"/>
      <c r="AE142" s="1366"/>
      <c r="AF142" s="1366"/>
      <c r="AG142" s="1242"/>
      <c r="AH142" s="1242"/>
      <c r="AI142" s="1242"/>
      <c r="AJ142" s="1242"/>
      <c r="AK142" s="1242"/>
      <c r="AL142" s="1242"/>
      <c r="AM142" s="1242"/>
      <c r="AN142" s="1242"/>
      <c r="AO142" s="1242"/>
      <c r="AP142" s="608"/>
    </row>
    <row r="143" spans="1:42" ht="14.5">
      <c r="A143" s="1693">
        <v>265</v>
      </c>
      <c r="B143" s="616">
        <v>1</v>
      </c>
      <c r="C143" s="1693">
        <v>317</v>
      </c>
      <c r="D143" s="616">
        <v>1</v>
      </c>
      <c r="E143" s="1693">
        <v>331</v>
      </c>
      <c r="F143" s="616">
        <v>1</v>
      </c>
      <c r="G143" s="1693">
        <v>143</v>
      </c>
      <c r="H143" s="616">
        <v>1</v>
      </c>
      <c r="J143" s="709" t="s">
        <v>512</v>
      </c>
      <c r="K143" s="1764" t="s">
        <v>1216</v>
      </c>
      <c r="L143" s="4"/>
      <c r="M143" s="4"/>
      <c r="N143" s="4"/>
      <c r="O143" s="977" t="s">
        <v>0</v>
      </c>
      <c r="P143" s="874"/>
      <c r="Q143" s="874"/>
      <c r="R143" s="874"/>
      <c r="S143" s="874"/>
      <c r="T143" s="874"/>
      <c r="U143" s="874"/>
      <c r="V143" s="2019"/>
      <c r="W143" s="1850"/>
      <c r="X143" s="1400">
        <v>1500</v>
      </c>
      <c r="Y143" s="1400">
        <v>1800</v>
      </c>
      <c r="Z143" s="1400">
        <v>2100</v>
      </c>
      <c r="AA143" s="1400">
        <v>1700</v>
      </c>
      <c r="AB143" s="1400">
        <v>2000</v>
      </c>
      <c r="AC143" s="1400">
        <v>2400</v>
      </c>
      <c r="AD143" s="1683">
        <v>1700</v>
      </c>
      <c r="AE143" s="1683">
        <v>2000</v>
      </c>
      <c r="AF143" s="1683">
        <v>2300</v>
      </c>
      <c r="AG143" s="1941">
        <v>1900</v>
      </c>
      <c r="AH143" s="1941">
        <v>2150</v>
      </c>
      <c r="AI143" s="1941">
        <v>2450</v>
      </c>
      <c r="AJ143" s="2020">
        <v>5400</v>
      </c>
      <c r="AK143" s="2020">
        <v>6100</v>
      </c>
      <c r="AL143" s="2020">
        <v>6000</v>
      </c>
      <c r="AM143" s="2020">
        <v>6500</v>
      </c>
      <c r="AN143" s="2020">
        <v>11500</v>
      </c>
      <c r="AO143" s="2020">
        <v>12500</v>
      </c>
      <c r="AP143" s="2020">
        <v>24000</v>
      </c>
    </row>
    <row r="144" spans="1:42" ht="14.5">
      <c r="A144" s="1693">
        <v>271</v>
      </c>
      <c r="B144" s="616">
        <v>1</v>
      </c>
      <c r="C144" s="1693">
        <v>322</v>
      </c>
      <c r="D144" s="616">
        <v>1</v>
      </c>
      <c r="E144" s="1693">
        <v>337</v>
      </c>
      <c r="F144" s="616">
        <v>1</v>
      </c>
      <c r="G144" s="1693">
        <v>144</v>
      </c>
      <c r="H144" s="616">
        <v>1</v>
      </c>
      <c r="J144" s="709" t="s">
        <v>512</v>
      </c>
      <c r="K144" s="1764" t="s">
        <v>1216</v>
      </c>
      <c r="L144" s="4"/>
      <c r="M144" s="4"/>
      <c r="N144" s="4"/>
      <c r="O144" s="979" t="s">
        <v>48</v>
      </c>
      <c r="P144" s="980"/>
      <c r="Q144" s="980"/>
      <c r="R144" s="980"/>
      <c r="S144" s="980"/>
      <c r="T144" s="980"/>
      <c r="U144" s="980"/>
      <c r="V144" s="981"/>
      <c r="W144" s="1853"/>
      <c r="X144" s="2003">
        <v>1500</v>
      </c>
      <c r="Y144" s="2003">
        <v>1800</v>
      </c>
      <c r="Z144" s="2003">
        <v>2100</v>
      </c>
      <c r="AA144" s="2003">
        <v>1700</v>
      </c>
      <c r="AB144" s="2003">
        <v>2000</v>
      </c>
      <c r="AC144" s="2003">
        <v>2400</v>
      </c>
      <c r="AD144" s="2021">
        <v>1700</v>
      </c>
      <c r="AE144" s="2021">
        <v>2000</v>
      </c>
      <c r="AF144" s="2021">
        <v>2300</v>
      </c>
      <c r="AG144" s="2022">
        <v>1900</v>
      </c>
      <c r="AH144" s="2022">
        <v>2150</v>
      </c>
      <c r="AI144" s="2022">
        <v>2450</v>
      </c>
      <c r="AJ144" s="1948">
        <v>5400</v>
      </c>
      <c r="AK144" s="1948">
        <v>6100</v>
      </c>
      <c r="AL144" s="1948">
        <v>6000</v>
      </c>
      <c r="AM144" s="1948">
        <v>6500</v>
      </c>
      <c r="AN144" s="1948">
        <v>11500</v>
      </c>
      <c r="AO144" s="1948">
        <v>12500</v>
      </c>
      <c r="AP144" s="1948">
        <v>24000</v>
      </c>
    </row>
    <row r="145" spans="1:42" ht="14.5">
      <c r="A145" s="1693">
        <v>283</v>
      </c>
      <c r="B145" s="616">
        <v>1</v>
      </c>
      <c r="C145" s="1693">
        <v>332</v>
      </c>
      <c r="D145" s="616">
        <v>1</v>
      </c>
      <c r="E145" s="1693">
        <v>349</v>
      </c>
      <c r="F145" s="616">
        <v>1</v>
      </c>
      <c r="G145" s="1693">
        <v>145</v>
      </c>
      <c r="H145" s="616">
        <v>1</v>
      </c>
      <c r="J145" s="709" t="s">
        <v>512</v>
      </c>
      <c r="K145" s="1764" t="s">
        <v>1216</v>
      </c>
      <c r="L145" s="4"/>
      <c r="M145" s="4"/>
      <c r="N145" s="4"/>
      <c r="O145" s="979" t="s">
        <v>54</v>
      </c>
      <c r="P145" s="980"/>
      <c r="Q145" s="980"/>
      <c r="R145" s="980"/>
      <c r="S145" s="980"/>
      <c r="T145" s="980"/>
      <c r="U145" s="980"/>
      <c r="V145" s="981"/>
      <c r="W145" s="1850"/>
      <c r="X145" s="1378">
        <v>720</v>
      </c>
      <c r="Y145" s="1378">
        <v>860</v>
      </c>
      <c r="Z145" s="1378">
        <v>1000</v>
      </c>
      <c r="AA145" s="1378">
        <v>820</v>
      </c>
      <c r="AB145" s="1378">
        <v>960</v>
      </c>
      <c r="AC145" s="1378">
        <v>1140</v>
      </c>
      <c r="AD145" s="579">
        <v>830</v>
      </c>
      <c r="AE145" s="579">
        <v>960</v>
      </c>
      <c r="AF145" s="579">
        <v>1100</v>
      </c>
      <c r="AG145" s="1969">
        <v>920</v>
      </c>
      <c r="AH145" s="1969">
        <v>1030</v>
      </c>
      <c r="AI145" s="1969">
        <v>1160</v>
      </c>
      <c r="AJ145" s="1948">
        <v>2580</v>
      </c>
      <c r="AK145" s="1948">
        <v>2920</v>
      </c>
      <c r="AL145" s="1948">
        <v>2890</v>
      </c>
      <c r="AM145" s="1948">
        <v>3110</v>
      </c>
      <c r="AN145" s="1948">
        <v>5500</v>
      </c>
      <c r="AO145" s="1948">
        <v>6000</v>
      </c>
      <c r="AP145" s="1948">
        <v>11500</v>
      </c>
    </row>
    <row r="146" spans="1:42" ht="14.5">
      <c r="A146" s="1693">
        <v>293</v>
      </c>
      <c r="B146" s="616">
        <v>1</v>
      </c>
      <c r="C146" s="1693">
        <v>341</v>
      </c>
      <c r="D146" s="616">
        <v>1</v>
      </c>
      <c r="E146" s="1693">
        <v>1</v>
      </c>
      <c r="F146" s="616">
        <v>1</v>
      </c>
      <c r="G146" s="1693">
        <v>146</v>
      </c>
      <c r="H146" s="616">
        <v>1</v>
      </c>
      <c r="J146" s="709" t="s">
        <v>512</v>
      </c>
      <c r="K146" s="1764" t="s">
        <v>1216</v>
      </c>
      <c r="L146" s="4"/>
      <c r="M146" s="4"/>
      <c r="N146" s="4"/>
      <c r="O146" s="979" t="s">
        <v>29</v>
      </c>
      <c r="P146" s="982"/>
      <c r="Q146" s="982"/>
      <c r="R146" s="982"/>
      <c r="S146" s="982"/>
      <c r="T146" s="1024" t="s">
        <v>1028</v>
      </c>
      <c r="U146" s="982"/>
      <c r="V146" s="983"/>
      <c r="W146" s="1849"/>
      <c r="X146" s="1970">
        <v>1723.577</v>
      </c>
      <c r="Y146" s="1970">
        <v>1813.577</v>
      </c>
      <c r="Z146" s="1970">
        <v>1903.577</v>
      </c>
      <c r="AA146" s="1970">
        <v>1783.577</v>
      </c>
      <c r="AB146" s="1970">
        <v>1873.577</v>
      </c>
      <c r="AC146" s="1970">
        <v>1993.577</v>
      </c>
      <c r="AD146" s="1971">
        <v>1783.577</v>
      </c>
      <c r="AE146" s="1971">
        <v>1873.577</v>
      </c>
      <c r="AF146" s="1971">
        <v>1963.577</v>
      </c>
      <c r="AG146" s="1972">
        <v>1843.577</v>
      </c>
      <c r="AH146" s="1972">
        <v>1918.577</v>
      </c>
      <c r="AI146" s="1972">
        <v>2008.577</v>
      </c>
      <c r="AJ146" s="1972">
        <v>5440.7309999999998</v>
      </c>
      <c r="AK146" s="1972">
        <v>5650.7309999999998</v>
      </c>
      <c r="AL146" s="1972">
        <v>5620.7309999999998</v>
      </c>
      <c r="AM146" s="1972">
        <v>5770.7309999999998</v>
      </c>
      <c r="AN146" s="1972">
        <v>11091.462</v>
      </c>
      <c r="AO146" s="1972">
        <v>11391.462</v>
      </c>
      <c r="AP146" s="1972">
        <v>22482.923999999999</v>
      </c>
    </row>
    <row r="147" spans="1:42" ht="14.5">
      <c r="A147" s="1693">
        <v>1</v>
      </c>
      <c r="B147" s="616">
        <v>1</v>
      </c>
      <c r="C147" s="1693">
        <v>1</v>
      </c>
      <c r="D147" s="616">
        <v>1</v>
      </c>
      <c r="E147" s="1693">
        <v>1</v>
      </c>
      <c r="F147" s="616">
        <v>1</v>
      </c>
      <c r="G147" s="1693">
        <v>147</v>
      </c>
      <c r="H147" s="616">
        <v>1</v>
      </c>
      <c r="J147" s="709" t="s">
        <v>512</v>
      </c>
      <c r="K147" s="1764" t="s">
        <v>1216</v>
      </c>
      <c r="L147" s="4"/>
      <c r="M147" s="4"/>
      <c r="N147" s="4"/>
      <c r="O147" s="498"/>
      <c r="P147" s="3" t="s">
        <v>63</v>
      </c>
      <c r="Q147" s="3"/>
      <c r="R147" s="3"/>
      <c r="S147" s="3"/>
      <c r="T147" s="3"/>
      <c r="U147" s="3"/>
      <c r="V147" s="26"/>
      <c r="W147" s="1853"/>
      <c r="X147" s="2003">
        <v>300</v>
      </c>
      <c r="Y147" s="2003">
        <v>360</v>
      </c>
      <c r="Z147" s="2003">
        <v>420</v>
      </c>
      <c r="AA147" s="2003">
        <v>340</v>
      </c>
      <c r="AB147" s="2003">
        <v>400</v>
      </c>
      <c r="AC147" s="2003">
        <v>480</v>
      </c>
      <c r="AD147" s="2021">
        <v>340</v>
      </c>
      <c r="AE147" s="2021">
        <v>400</v>
      </c>
      <c r="AF147" s="2021">
        <v>460</v>
      </c>
      <c r="AG147" s="2022">
        <v>380</v>
      </c>
      <c r="AH147" s="2022">
        <v>430</v>
      </c>
      <c r="AI147" s="2022">
        <v>490</v>
      </c>
      <c r="AJ147" s="1948">
        <v>1080</v>
      </c>
      <c r="AK147" s="1948">
        <v>1220</v>
      </c>
      <c r="AL147" s="1948">
        <v>1200</v>
      </c>
      <c r="AM147" s="1948">
        <v>1300</v>
      </c>
      <c r="AN147" s="1948">
        <v>2300</v>
      </c>
      <c r="AO147" s="1948">
        <v>2500</v>
      </c>
      <c r="AP147" s="1948">
        <v>4800</v>
      </c>
    </row>
    <row r="148" spans="1:42" ht="14.5">
      <c r="A148" s="1693">
        <v>1</v>
      </c>
      <c r="B148" s="616">
        <v>1</v>
      </c>
      <c r="C148" s="1693">
        <v>1</v>
      </c>
      <c r="D148" s="616">
        <v>1</v>
      </c>
      <c r="E148" s="1693">
        <v>1</v>
      </c>
      <c r="F148" s="616">
        <v>1</v>
      </c>
      <c r="G148" s="1693">
        <v>148</v>
      </c>
      <c r="H148" s="616">
        <v>1</v>
      </c>
      <c r="J148" s="709" t="s">
        <v>512</v>
      </c>
      <c r="K148" s="1764" t="s">
        <v>1216</v>
      </c>
      <c r="L148" s="4"/>
      <c r="M148" s="4"/>
      <c r="N148" s="4"/>
      <c r="O148" s="498"/>
      <c r="P148" s="3" t="s">
        <v>28</v>
      </c>
      <c r="Q148" s="3"/>
      <c r="R148" s="3"/>
      <c r="S148" s="3"/>
      <c r="T148" s="3"/>
      <c r="U148" s="3"/>
      <c r="V148" s="26"/>
      <c r="W148" s="1853"/>
      <c r="X148" s="2003">
        <v>1273.577</v>
      </c>
      <c r="Y148" s="2003">
        <v>1273.577</v>
      </c>
      <c r="Z148" s="2003">
        <v>1273.577</v>
      </c>
      <c r="AA148" s="2003">
        <v>1273.577</v>
      </c>
      <c r="AB148" s="2003">
        <v>1273.577</v>
      </c>
      <c r="AC148" s="2003">
        <v>1273.577</v>
      </c>
      <c r="AD148" s="2021">
        <v>1273.577</v>
      </c>
      <c r="AE148" s="2021">
        <v>1273.577</v>
      </c>
      <c r="AF148" s="2021">
        <v>1273.577</v>
      </c>
      <c r="AG148" s="2022">
        <v>1273.577</v>
      </c>
      <c r="AH148" s="2022">
        <v>1273.577</v>
      </c>
      <c r="AI148" s="2022">
        <v>1273.577</v>
      </c>
      <c r="AJ148" s="1948">
        <v>3820.7309999999998</v>
      </c>
      <c r="AK148" s="1948">
        <v>3820.7309999999998</v>
      </c>
      <c r="AL148" s="1948">
        <v>3820.7309999999998</v>
      </c>
      <c r="AM148" s="1948">
        <v>3820.7309999999998</v>
      </c>
      <c r="AN148" s="1948">
        <v>7641.4619999999995</v>
      </c>
      <c r="AO148" s="1948">
        <v>7641.4619999999995</v>
      </c>
      <c r="AP148" s="1948">
        <v>15282.923999999999</v>
      </c>
    </row>
    <row r="149" spans="1:42" ht="14.5">
      <c r="A149" s="1693">
        <v>1</v>
      </c>
      <c r="B149" s="616">
        <v>1</v>
      </c>
      <c r="C149" s="1693">
        <v>1</v>
      </c>
      <c r="D149" s="616">
        <v>1</v>
      </c>
      <c r="E149" s="1693">
        <v>1</v>
      </c>
      <c r="F149" s="616">
        <v>1</v>
      </c>
      <c r="G149" s="1693">
        <v>149</v>
      </c>
      <c r="H149" s="616">
        <v>1</v>
      </c>
      <c r="J149" s="709" t="s">
        <v>512</v>
      </c>
      <c r="K149" s="1764" t="s">
        <v>1216</v>
      </c>
      <c r="L149" s="4"/>
      <c r="M149" s="4"/>
      <c r="N149" s="4"/>
      <c r="O149" s="976"/>
      <c r="P149" s="47" t="s">
        <v>62</v>
      </c>
      <c r="Q149" s="47"/>
      <c r="R149" s="47"/>
      <c r="S149" s="47"/>
      <c r="T149" s="47"/>
      <c r="U149" s="47"/>
      <c r="V149" s="46"/>
      <c r="W149" s="1853"/>
      <c r="X149" s="2013">
        <v>150</v>
      </c>
      <c r="Y149" s="2013">
        <v>180</v>
      </c>
      <c r="Z149" s="2013">
        <v>210</v>
      </c>
      <c r="AA149" s="2013">
        <v>170</v>
      </c>
      <c r="AB149" s="2013">
        <v>200</v>
      </c>
      <c r="AC149" s="2013">
        <v>240</v>
      </c>
      <c r="AD149" s="2023">
        <v>170</v>
      </c>
      <c r="AE149" s="2023">
        <v>200</v>
      </c>
      <c r="AF149" s="2023">
        <v>230</v>
      </c>
      <c r="AG149" s="2024">
        <v>190</v>
      </c>
      <c r="AH149" s="2024">
        <v>215</v>
      </c>
      <c r="AI149" s="2024">
        <v>245</v>
      </c>
      <c r="AJ149" s="1973">
        <v>540</v>
      </c>
      <c r="AK149" s="1973">
        <v>610</v>
      </c>
      <c r="AL149" s="1973">
        <v>600</v>
      </c>
      <c r="AM149" s="1973">
        <v>650</v>
      </c>
      <c r="AN149" s="1973">
        <v>1150</v>
      </c>
      <c r="AO149" s="1973">
        <v>1250</v>
      </c>
      <c r="AP149" s="1973">
        <v>2400</v>
      </c>
    </row>
    <row r="150" spans="1:42" ht="14.5">
      <c r="A150" s="1693">
        <v>295</v>
      </c>
      <c r="B150" s="616">
        <v>1</v>
      </c>
      <c r="C150" s="1693">
        <v>347</v>
      </c>
      <c r="D150" s="616">
        <v>1</v>
      </c>
      <c r="E150" s="1693">
        <v>1</v>
      </c>
      <c r="F150" s="616">
        <v>1</v>
      </c>
      <c r="G150" s="1693">
        <v>150</v>
      </c>
      <c r="H150" s="616">
        <v>1</v>
      </c>
      <c r="J150" s="709" t="s">
        <v>512</v>
      </c>
      <c r="K150" s="1764" t="s">
        <v>1216</v>
      </c>
      <c r="L150" s="4"/>
      <c r="M150" s="4"/>
      <c r="N150" s="4"/>
      <c r="O150" s="979" t="s">
        <v>56</v>
      </c>
      <c r="P150" s="980"/>
      <c r="Q150" s="980"/>
      <c r="R150" s="980"/>
      <c r="S150" s="980"/>
      <c r="T150" s="980"/>
      <c r="U150" s="980"/>
      <c r="V150" s="981"/>
      <c r="W150" s="1849"/>
      <c r="X150" s="1378">
        <v>-1003.577</v>
      </c>
      <c r="Y150" s="1378">
        <v>-953.577</v>
      </c>
      <c r="Z150" s="1378">
        <v>-903.577</v>
      </c>
      <c r="AA150" s="1378">
        <v>-963.577</v>
      </c>
      <c r="AB150" s="1378">
        <v>-913.577</v>
      </c>
      <c r="AC150" s="1378">
        <v>-853.577</v>
      </c>
      <c r="AD150" s="579">
        <v>-953.577</v>
      </c>
      <c r="AE150" s="579">
        <v>-913.577</v>
      </c>
      <c r="AF150" s="579">
        <v>-863.577</v>
      </c>
      <c r="AG150" s="1969">
        <v>-923.577</v>
      </c>
      <c r="AH150" s="1969">
        <v>-888.577</v>
      </c>
      <c r="AI150" s="1969">
        <v>-848.577</v>
      </c>
      <c r="AJ150" s="1969">
        <v>-2860.7309999999998</v>
      </c>
      <c r="AK150" s="1969">
        <v>-2730.7309999999998</v>
      </c>
      <c r="AL150" s="1969">
        <v>-2730.7309999999998</v>
      </c>
      <c r="AM150" s="1969">
        <v>-2660.7309999999998</v>
      </c>
      <c r="AN150" s="1969">
        <v>-5591.4619999999995</v>
      </c>
      <c r="AO150" s="1969">
        <v>-5391.4619999999995</v>
      </c>
      <c r="AP150" s="1969">
        <v>-10982.923999999999</v>
      </c>
    </row>
    <row r="151" spans="1:42" ht="14.5">
      <c r="A151" s="1693">
        <v>295</v>
      </c>
      <c r="B151" s="616">
        <v>1</v>
      </c>
      <c r="C151" s="1693">
        <v>347</v>
      </c>
      <c r="D151" s="616">
        <v>1</v>
      </c>
      <c r="E151" s="1693">
        <v>1</v>
      </c>
      <c r="F151" s="616">
        <v>1</v>
      </c>
      <c r="G151" s="1693">
        <v>151</v>
      </c>
      <c r="H151" s="616">
        <v>1</v>
      </c>
      <c r="J151" s="709" t="s">
        <v>512</v>
      </c>
      <c r="K151" s="1764" t="s">
        <v>1216</v>
      </c>
      <c r="L151" s="4"/>
      <c r="M151" s="4"/>
      <c r="N151" s="4"/>
      <c r="O151" s="984" t="s">
        <v>1029</v>
      </c>
      <c r="P151" s="985"/>
      <c r="Q151" s="985"/>
      <c r="R151" s="985"/>
      <c r="S151" s="985"/>
      <c r="T151" s="985"/>
      <c r="U151" s="985"/>
      <c r="V151" s="986"/>
      <c r="W151" s="1849"/>
      <c r="X151" s="1379">
        <v>-1003.577</v>
      </c>
      <c r="Y151" s="1379">
        <v>-953.577</v>
      </c>
      <c r="Z151" s="1379">
        <v>-903.577</v>
      </c>
      <c r="AA151" s="1379">
        <v>-963.577</v>
      </c>
      <c r="AB151" s="1379">
        <v>-913.577</v>
      </c>
      <c r="AC151" s="1379">
        <v>-853.577</v>
      </c>
      <c r="AD151" s="584">
        <v>-953.577</v>
      </c>
      <c r="AE151" s="584">
        <v>-913.577</v>
      </c>
      <c r="AF151" s="584">
        <v>-863.577</v>
      </c>
      <c r="AG151" s="1943">
        <v>-923.577</v>
      </c>
      <c r="AH151" s="1943">
        <v>-888.577</v>
      </c>
      <c r="AI151" s="1943">
        <v>-848.577</v>
      </c>
      <c r="AJ151" s="1943">
        <v>-2860.7309999999998</v>
      </c>
      <c r="AK151" s="1943">
        <v>-2730.7309999999998</v>
      </c>
      <c r="AL151" s="1943">
        <v>-2730.7309999999998</v>
      </c>
      <c r="AM151" s="1943">
        <v>-2660.7309999999998</v>
      </c>
      <c r="AN151" s="1943">
        <v>-5591.4619999999995</v>
      </c>
      <c r="AO151" s="1943">
        <v>-5391.4619999999995</v>
      </c>
      <c r="AP151" s="1943">
        <v>-10982.923999999999</v>
      </c>
    </row>
    <row r="152" spans="1:42" ht="14.5">
      <c r="A152" s="1693">
        <v>1</v>
      </c>
      <c r="B152" s="616">
        <v>1</v>
      </c>
      <c r="C152" s="1693">
        <v>1</v>
      </c>
      <c r="D152" s="616">
        <v>1</v>
      </c>
      <c r="E152" s="1693">
        <v>1</v>
      </c>
      <c r="F152" s="616">
        <v>1</v>
      </c>
      <c r="G152" s="1693">
        <v>152</v>
      </c>
      <c r="H152" s="616">
        <v>1</v>
      </c>
      <c r="J152" s="709" t="s">
        <v>512</v>
      </c>
      <c r="K152" s="1764" t="s">
        <v>1216</v>
      </c>
      <c r="L152" s="4"/>
      <c r="M152" s="4"/>
      <c r="N152" s="4"/>
      <c r="O152" s="4"/>
      <c r="P152" s="3"/>
      <c r="Q152" s="4"/>
      <c r="R152" s="4"/>
      <c r="S152" s="3"/>
      <c r="T152" s="3"/>
      <c r="U152" s="3"/>
      <c r="V152" s="3"/>
      <c r="W152" s="1773"/>
      <c r="X152" s="1608"/>
      <c r="Y152" s="1609"/>
      <c r="Z152" s="1609"/>
      <c r="AA152" s="1609"/>
      <c r="AB152" s="1609"/>
      <c r="AC152" s="1609"/>
      <c r="AD152" s="1366"/>
      <c r="AE152" s="1366"/>
      <c r="AF152" s="1366"/>
      <c r="AG152" s="1242"/>
      <c r="AH152" s="1242"/>
      <c r="AI152" s="1242"/>
      <c r="AJ152" s="1242"/>
      <c r="AK152" s="1242"/>
      <c r="AL152" s="1242"/>
      <c r="AM152" s="1242"/>
      <c r="AN152" s="1242"/>
      <c r="AO152" s="1242"/>
      <c r="AP152" s="608"/>
    </row>
    <row r="153" spans="1:42" ht="14.5">
      <c r="A153" s="1693">
        <v>111</v>
      </c>
      <c r="B153" s="616">
        <v>1</v>
      </c>
      <c r="C153" s="1693">
        <v>114</v>
      </c>
      <c r="D153" s="616">
        <v>1</v>
      </c>
      <c r="E153" s="1693">
        <v>126</v>
      </c>
      <c r="F153" s="616">
        <v>1</v>
      </c>
      <c r="G153" s="1693">
        <v>153</v>
      </c>
      <c r="H153" s="616">
        <v>1</v>
      </c>
      <c r="J153" s="709" t="s">
        <v>512</v>
      </c>
      <c r="K153" s="1764" t="s">
        <v>1216</v>
      </c>
      <c r="L153" s="4"/>
      <c r="M153" s="4"/>
      <c r="N153" s="4" t="s">
        <v>1030</v>
      </c>
      <c r="O153" s="4"/>
      <c r="P153" s="3"/>
      <c r="Q153" s="4"/>
      <c r="R153" s="4"/>
      <c r="S153" s="3"/>
      <c r="T153" s="3"/>
      <c r="U153" s="3"/>
      <c r="V153" s="3"/>
      <c r="W153" s="1773"/>
      <c r="X153" s="1608"/>
      <c r="Y153" s="1609"/>
      <c r="Z153" s="1609"/>
      <c r="AA153" s="1609"/>
      <c r="AB153" s="1609"/>
      <c r="AC153" s="1609"/>
      <c r="AD153" s="1366"/>
      <c r="AE153" s="1366"/>
      <c r="AF153" s="1366"/>
      <c r="AG153" s="1366"/>
      <c r="AH153" s="1366"/>
      <c r="AI153" s="1366"/>
      <c r="AJ153" s="1366"/>
      <c r="AK153" s="1366"/>
      <c r="AL153" s="1366"/>
      <c r="AM153" s="1366"/>
      <c r="AN153" s="1366"/>
      <c r="AO153" s="1366"/>
      <c r="AP153" s="1366"/>
    </row>
    <row r="154" spans="1:42" ht="14.5">
      <c r="A154" s="1693">
        <v>112</v>
      </c>
      <c r="B154" s="616">
        <v>1</v>
      </c>
      <c r="C154" s="1693">
        <v>115</v>
      </c>
      <c r="D154" s="616">
        <v>1</v>
      </c>
      <c r="E154" s="1693">
        <v>127</v>
      </c>
      <c r="F154" s="616">
        <v>1</v>
      </c>
      <c r="G154" s="1693">
        <v>154</v>
      </c>
      <c r="H154" s="616">
        <v>1</v>
      </c>
      <c r="J154" s="709" t="s">
        <v>512</v>
      </c>
      <c r="K154" s="1764" t="s">
        <v>1216</v>
      </c>
      <c r="L154" s="4"/>
      <c r="M154" s="4"/>
      <c r="N154" s="4"/>
      <c r="O154" s="2025" t="s">
        <v>0</v>
      </c>
      <c r="P154" s="2026"/>
      <c r="Q154" s="864"/>
      <c r="R154" s="864"/>
      <c r="S154" s="864"/>
      <c r="T154" s="864"/>
      <c r="U154" s="2027" t="s">
        <v>302</v>
      </c>
      <c r="V154" s="864"/>
      <c r="W154" s="1793"/>
      <c r="X154" s="2028">
        <v>597539.75269376347</v>
      </c>
      <c r="Y154" s="2029">
        <v>459660.74531021097</v>
      </c>
      <c r="Z154" s="2029">
        <v>471454.49231950368</v>
      </c>
      <c r="AA154" s="2029">
        <v>451631.3812823632</v>
      </c>
      <c r="AB154" s="2029">
        <v>467561.37320136616</v>
      </c>
      <c r="AC154" s="2029">
        <v>482813.82379793969</v>
      </c>
      <c r="AD154" s="2029">
        <v>461874.03012861137</v>
      </c>
      <c r="AE154" s="2029">
        <v>454754.53391125426</v>
      </c>
      <c r="AF154" s="2029">
        <v>495688.03437301517</v>
      </c>
      <c r="AG154" s="2029">
        <v>465201.27253560082</v>
      </c>
      <c r="AH154" s="2029">
        <v>484471.38317566039</v>
      </c>
      <c r="AI154" s="2029">
        <v>501057.72294524882</v>
      </c>
      <c r="AJ154" s="2030">
        <v>1528654.9903234784</v>
      </c>
      <c r="AK154" s="2030">
        <v>1402006.5782816689</v>
      </c>
      <c r="AL154" s="2030">
        <v>1412316.5984128807</v>
      </c>
      <c r="AM154" s="2030">
        <v>1450730.37865651</v>
      </c>
      <c r="AN154" s="2030">
        <v>2930661.5686051473</v>
      </c>
      <c r="AO154" s="2030">
        <v>2863046.9770693909</v>
      </c>
      <c r="AP154" s="2030">
        <v>5793708.5456745382</v>
      </c>
    </row>
    <row r="155" spans="1:42" ht="14.5">
      <c r="A155" s="1693">
        <v>113</v>
      </c>
      <c r="B155" s="616">
        <v>1</v>
      </c>
      <c r="C155" s="1693">
        <v>116</v>
      </c>
      <c r="D155" s="616">
        <v>1</v>
      </c>
      <c r="E155" s="1693">
        <v>128</v>
      </c>
      <c r="F155" s="616">
        <v>1</v>
      </c>
      <c r="G155" s="1693">
        <v>155</v>
      </c>
      <c r="H155" s="616">
        <v>1</v>
      </c>
      <c r="J155" s="709" t="s">
        <v>512</v>
      </c>
      <c r="K155" s="1764" t="s">
        <v>1216</v>
      </c>
      <c r="L155" s="4"/>
      <c r="M155" s="4"/>
      <c r="N155" s="4"/>
      <c r="O155" s="27"/>
      <c r="P155" s="3"/>
      <c r="Q155" s="4"/>
      <c r="R155" s="4"/>
      <c r="S155" s="3" t="s">
        <v>57</v>
      </c>
      <c r="T155" s="3"/>
      <c r="U155" s="3"/>
      <c r="V155" s="3"/>
      <c r="W155" s="1794"/>
      <c r="X155" s="2031">
        <v>155526.45909376343</v>
      </c>
      <c r="Y155" s="2032">
        <v>109347.451710211</v>
      </c>
      <c r="Z155" s="2032">
        <v>121141.19871950368</v>
      </c>
      <c r="AA155" s="2032">
        <v>104584.18793236327</v>
      </c>
      <c r="AB155" s="2032">
        <v>119764.17985136624</v>
      </c>
      <c r="AC155" s="2032">
        <v>135016.63044793974</v>
      </c>
      <c r="AD155" s="2032">
        <v>93927.913878611347</v>
      </c>
      <c r="AE155" s="2032">
        <v>86808.417661254265</v>
      </c>
      <c r="AF155" s="2032">
        <v>127741.91812301514</v>
      </c>
      <c r="AG155" s="2032">
        <v>96465.60453560084</v>
      </c>
      <c r="AH155" s="2032">
        <v>115735.71517566041</v>
      </c>
      <c r="AI155" s="2032">
        <v>131572.05494524882</v>
      </c>
      <c r="AJ155" s="2002">
        <v>386015.10952347808</v>
      </c>
      <c r="AK155" s="2002">
        <v>359364.99823166925</v>
      </c>
      <c r="AL155" s="2002">
        <v>308478.24966288079</v>
      </c>
      <c r="AM155" s="2002">
        <v>343773.37465651007</v>
      </c>
      <c r="AN155" s="2002">
        <v>745380.10775514739</v>
      </c>
      <c r="AO155" s="2002">
        <v>652251.62431939086</v>
      </c>
      <c r="AP155" s="2002">
        <v>1397631.7320745382</v>
      </c>
    </row>
    <row r="156" spans="1:42" ht="14.5">
      <c r="A156" s="1693">
        <v>114</v>
      </c>
      <c r="B156" s="616">
        <v>1</v>
      </c>
      <c r="C156" s="1693">
        <v>117</v>
      </c>
      <c r="D156" s="616">
        <v>1</v>
      </c>
      <c r="E156" s="1693">
        <v>129</v>
      </c>
      <c r="F156" s="616">
        <v>1</v>
      </c>
      <c r="G156" s="1693">
        <v>156</v>
      </c>
      <c r="H156" s="616">
        <v>1</v>
      </c>
      <c r="J156" s="709" t="s">
        <v>512</v>
      </c>
      <c r="K156" s="1764" t="s">
        <v>1216</v>
      </c>
      <c r="L156" s="4"/>
      <c r="M156" s="4"/>
      <c r="N156" s="4"/>
      <c r="O156" s="27"/>
      <c r="P156" s="3"/>
      <c r="Q156" s="4"/>
      <c r="R156" s="4"/>
      <c r="S156" s="3" t="s">
        <v>27</v>
      </c>
      <c r="T156" s="3"/>
      <c r="U156" s="3"/>
      <c r="V156" s="3"/>
      <c r="W156" s="1794"/>
      <c r="X156" s="2031">
        <v>441263.29359999998</v>
      </c>
      <c r="Y156" s="2032">
        <v>349563.29359999998</v>
      </c>
      <c r="Z156" s="2032">
        <v>349563.29359999998</v>
      </c>
      <c r="AA156" s="2032">
        <v>347047.19334999996</v>
      </c>
      <c r="AB156" s="2032">
        <v>347047.19334999996</v>
      </c>
      <c r="AC156" s="2032">
        <v>347047.19334999996</v>
      </c>
      <c r="AD156" s="2032">
        <v>367196.11625000002</v>
      </c>
      <c r="AE156" s="2032">
        <v>367196.11625000002</v>
      </c>
      <c r="AF156" s="2032">
        <v>367196.11625000002</v>
      </c>
      <c r="AG156" s="2032">
        <v>367985.66800000001</v>
      </c>
      <c r="AH156" s="2032">
        <v>367985.66800000001</v>
      </c>
      <c r="AI156" s="2032">
        <v>367985.66800000001</v>
      </c>
      <c r="AJ156" s="2002">
        <v>1140389.8807999999</v>
      </c>
      <c r="AK156" s="2002">
        <v>1041141.5800499999</v>
      </c>
      <c r="AL156" s="2002">
        <v>1101588.3487500001</v>
      </c>
      <c r="AM156" s="2002">
        <v>1103957.004</v>
      </c>
      <c r="AN156" s="2002">
        <v>2181531.4608499999</v>
      </c>
      <c r="AO156" s="2002">
        <v>2205545.3527500001</v>
      </c>
      <c r="AP156" s="2002">
        <v>4387076.8136</v>
      </c>
    </row>
    <row r="157" spans="1:42" ht="14.5">
      <c r="A157" s="1693">
        <v>115</v>
      </c>
      <c r="B157" s="616">
        <v>1</v>
      </c>
      <c r="C157" s="1693">
        <v>118</v>
      </c>
      <c r="D157" s="616">
        <v>1</v>
      </c>
      <c r="E157" s="1693">
        <v>130</v>
      </c>
      <c r="F157" s="616">
        <v>1</v>
      </c>
      <c r="G157" s="1693">
        <v>157</v>
      </c>
      <c r="H157" s="616">
        <v>1</v>
      </c>
      <c r="J157" s="709" t="s">
        <v>512</v>
      </c>
      <c r="K157" s="1764" t="s">
        <v>1216</v>
      </c>
      <c r="L157" s="4"/>
      <c r="M157" s="4"/>
      <c r="N157" s="4"/>
      <c r="O157" s="27"/>
      <c r="P157" s="3"/>
      <c r="Q157" s="4"/>
      <c r="R157" s="4"/>
      <c r="S157" s="3" t="s">
        <v>24</v>
      </c>
      <c r="T157" s="3"/>
      <c r="U157" s="3"/>
      <c r="V157" s="3"/>
      <c r="W157" s="1794"/>
      <c r="X157" s="2031">
        <v>750</v>
      </c>
      <c r="Y157" s="2032">
        <v>750</v>
      </c>
      <c r="Z157" s="2032">
        <v>750</v>
      </c>
      <c r="AA157" s="2032">
        <v>0</v>
      </c>
      <c r="AB157" s="2032">
        <v>750</v>
      </c>
      <c r="AC157" s="2032">
        <v>750</v>
      </c>
      <c r="AD157" s="2032">
        <v>750</v>
      </c>
      <c r="AE157" s="2032">
        <v>750</v>
      </c>
      <c r="AF157" s="2032">
        <v>750</v>
      </c>
      <c r="AG157" s="2032">
        <v>750</v>
      </c>
      <c r="AH157" s="2032">
        <v>750</v>
      </c>
      <c r="AI157" s="2032">
        <v>1500</v>
      </c>
      <c r="AJ157" s="2002">
        <v>2250</v>
      </c>
      <c r="AK157" s="2002">
        <v>1500</v>
      </c>
      <c r="AL157" s="2002">
        <v>2250</v>
      </c>
      <c r="AM157" s="2002">
        <v>3000</v>
      </c>
      <c r="AN157" s="2002">
        <v>3750</v>
      </c>
      <c r="AO157" s="2002">
        <v>5250</v>
      </c>
      <c r="AP157" s="2002">
        <v>9000</v>
      </c>
    </row>
    <row r="158" spans="1:42" ht="14.5">
      <c r="A158" s="1693">
        <v>116</v>
      </c>
      <c r="B158" s="616">
        <v>1</v>
      </c>
      <c r="C158" s="1693">
        <v>119</v>
      </c>
      <c r="D158" s="616">
        <v>1</v>
      </c>
      <c r="E158" s="1693">
        <v>131</v>
      </c>
      <c r="F158" s="616">
        <v>1</v>
      </c>
      <c r="G158" s="1693">
        <v>158</v>
      </c>
      <c r="H158" s="616">
        <v>1</v>
      </c>
      <c r="J158" s="709" t="s">
        <v>512</v>
      </c>
      <c r="K158" s="1764" t="s">
        <v>1216</v>
      </c>
      <c r="L158" s="4"/>
      <c r="M158" s="4"/>
      <c r="N158" s="4"/>
      <c r="O158" s="27"/>
      <c r="P158" s="3"/>
      <c r="Q158" s="4"/>
      <c r="R158" s="4"/>
      <c r="S158" s="3" t="s">
        <v>2</v>
      </c>
      <c r="T158" s="3"/>
      <c r="U158" s="3"/>
      <c r="V158" s="3"/>
      <c r="W158" s="1794"/>
      <c r="X158" s="2031">
        <v>0</v>
      </c>
      <c r="Y158" s="2032">
        <v>0</v>
      </c>
      <c r="Z158" s="2032">
        <v>0</v>
      </c>
      <c r="AA158" s="2032">
        <v>0</v>
      </c>
      <c r="AB158" s="2032">
        <v>0</v>
      </c>
      <c r="AC158" s="2032">
        <v>0</v>
      </c>
      <c r="AD158" s="2032">
        <v>0</v>
      </c>
      <c r="AE158" s="2032">
        <v>0</v>
      </c>
      <c r="AF158" s="2032">
        <v>0</v>
      </c>
      <c r="AG158" s="2032">
        <v>0</v>
      </c>
      <c r="AH158" s="2032">
        <v>0</v>
      </c>
      <c r="AI158" s="2032">
        <v>0</v>
      </c>
      <c r="AJ158" s="2002">
        <v>0</v>
      </c>
      <c r="AK158" s="2002">
        <v>0</v>
      </c>
      <c r="AL158" s="2002">
        <v>0</v>
      </c>
      <c r="AM158" s="2002">
        <v>0</v>
      </c>
      <c r="AN158" s="2002">
        <v>0</v>
      </c>
      <c r="AO158" s="2002">
        <v>0</v>
      </c>
      <c r="AP158" s="2002">
        <v>0</v>
      </c>
    </row>
    <row r="159" spans="1:42" ht="14.5">
      <c r="A159" s="1693">
        <v>117</v>
      </c>
      <c r="B159" s="616">
        <v>1</v>
      </c>
      <c r="C159" s="1693">
        <v>120</v>
      </c>
      <c r="D159" s="616">
        <v>1</v>
      </c>
      <c r="E159" s="1693">
        <v>132</v>
      </c>
      <c r="F159" s="616">
        <v>1</v>
      </c>
      <c r="G159" s="1693">
        <v>159</v>
      </c>
      <c r="H159" s="616">
        <v>1</v>
      </c>
      <c r="J159" s="709" t="s">
        <v>512</v>
      </c>
      <c r="K159" s="1764" t="s">
        <v>1216</v>
      </c>
      <c r="L159" s="4"/>
      <c r="M159" s="4"/>
      <c r="N159" s="4"/>
      <c r="O159" s="2025" t="s">
        <v>48</v>
      </c>
      <c r="P159" s="2026"/>
      <c r="Q159" s="864"/>
      <c r="R159" s="864"/>
      <c r="S159" s="864"/>
      <c r="T159" s="864"/>
      <c r="U159" s="2027" t="s">
        <v>304</v>
      </c>
      <c r="V159" s="864"/>
      <c r="W159" s="1793"/>
      <c r="X159" s="2028">
        <v>597539.75269376347</v>
      </c>
      <c r="Y159" s="2029">
        <v>459660.74531021097</v>
      </c>
      <c r="Z159" s="2029">
        <v>471454.49231950368</v>
      </c>
      <c r="AA159" s="2029">
        <v>451631.3812823632</v>
      </c>
      <c r="AB159" s="2029">
        <v>467561.37320136616</v>
      </c>
      <c r="AC159" s="2029">
        <v>482813.82379793969</v>
      </c>
      <c r="AD159" s="2029">
        <v>461874.03012861137</v>
      </c>
      <c r="AE159" s="2029">
        <v>454754.53391125426</v>
      </c>
      <c r="AF159" s="2029">
        <v>495688.03437301517</v>
      </c>
      <c r="AG159" s="2029">
        <v>465201.27253560082</v>
      </c>
      <c r="AH159" s="2029">
        <v>484471.38317566039</v>
      </c>
      <c r="AI159" s="2029">
        <v>501057.722945249</v>
      </c>
      <c r="AJ159" s="2030">
        <v>1528654.9903234784</v>
      </c>
      <c r="AK159" s="2030">
        <v>1402006.5782816689</v>
      </c>
      <c r="AL159" s="2030">
        <v>1412316.5984128807</v>
      </c>
      <c r="AM159" s="2030">
        <v>1450730.3786565103</v>
      </c>
      <c r="AN159" s="2030">
        <v>2930661.5686051473</v>
      </c>
      <c r="AO159" s="2030">
        <v>2863046.9770693909</v>
      </c>
      <c r="AP159" s="2030">
        <v>5793708.5456745382</v>
      </c>
    </row>
    <row r="160" spans="1:42" ht="14.5">
      <c r="A160" s="1693">
        <v>118</v>
      </c>
      <c r="B160" s="616">
        <v>1</v>
      </c>
      <c r="C160" s="1693">
        <v>121</v>
      </c>
      <c r="D160" s="616">
        <v>1</v>
      </c>
      <c r="E160" s="1693">
        <v>133</v>
      </c>
      <c r="F160" s="616">
        <v>1</v>
      </c>
      <c r="G160" s="1693">
        <v>160</v>
      </c>
      <c r="H160" s="616">
        <v>1</v>
      </c>
      <c r="J160" s="709" t="s">
        <v>512</v>
      </c>
      <c r="K160" s="1764" t="s">
        <v>1216</v>
      </c>
      <c r="L160" s="4"/>
      <c r="M160" s="4"/>
      <c r="N160" s="4"/>
      <c r="O160" s="27"/>
      <c r="P160" s="3"/>
      <c r="Q160" s="4"/>
      <c r="R160" s="4"/>
      <c r="S160" s="3" t="s">
        <v>57</v>
      </c>
      <c r="T160" s="3"/>
      <c r="U160" s="3"/>
      <c r="V160" s="3"/>
      <c r="W160" s="1853"/>
      <c r="X160" s="2003">
        <v>155526.45909376343</v>
      </c>
      <c r="Y160" s="2004">
        <v>109347.451710211</v>
      </c>
      <c r="Z160" s="2004">
        <v>121141.19871950368</v>
      </c>
      <c r="AA160" s="2004">
        <v>104584.18793236327</v>
      </c>
      <c r="AB160" s="2004">
        <v>119764.17985136624</v>
      </c>
      <c r="AC160" s="2004">
        <v>135016.63044793974</v>
      </c>
      <c r="AD160" s="2004">
        <v>93927.913878611347</v>
      </c>
      <c r="AE160" s="2004">
        <v>86808.417661254265</v>
      </c>
      <c r="AF160" s="2004">
        <v>127741.91812301514</v>
      </c>
      <c r="AG160" s="2004">
        <v>96465.60453560084</v>
      </c>
      <c r="AH160" s="2004">
        <v>115735.71517566041</v>
      </c>
      <c r="AI160" s="2004">
        <v>131572.05494524899</v>
      </c>
      <c r="AJ160" s="2002">
        <v>386015.10952347808</v>
      </c>
      <c r="AK160" s="2002">
        <v>359364.99823166925</v>
      </c>
      <c r="AL160" s="2002">
        <v>308478.24966288079</v>
      </c>
      <c r="AM160" s="2002">
        <v>343773.37465651025</v>
      </c>
      <c r="AN160" s="2002">
        <v>745380.10775514739</v>
      </c>
      <c r="AO160" s="2002">
        <v>652251.62431939109</v>
      </c>
      <c r="AP160" s="2002">
        <v>1397631.7320745385</v>
      </c>
    </row>
    <row r="161" spans="1:42" ht="14.5">
      <c r="A161" s="1693">
        <v>119</v>
      </c>
      <c r="B161" s="616">
        <v>1</v>
      </c>
      <c r="C161" s="1693">
        <v>122</v>
      </c>
      <c r="D161" s="616">
        <v>1</v>
      </c>
      <c r="E161" s="1693">
        <v>134</v>
      </c>
      <c r="F161" s="616">
        <v>1</v>
      </c>
      <c r="G161" s="1693">
        <v>161</v>
      </c>
      <c r="H161" s="616">
        <v>1</v>
      </c>
      <c r="J161" s="709" t="s">
        <v>512</v>
      </c>
      <c r="K161" s="1764" t="s">
        <v>1216</v>
      </c>
      <c r="L161" s="4"/>
      <c r="M161" s="4"/>
      <c r="N161" s="4"/>
      <c r="O161" s="27"/>
      <c r="P161" s="3"/>
      <c r="Q161" s="4"/>
      <c r="R161" s="4"/>
      <c r="S161" s="3" t="s">
        <v>27</v>
      </c>
      <c r="T161" s="3"/>
      <c r="U161" s="3"/>
      <c r="V161" s="3"/>
      <c r="W161" s="1853"/>
      <c r="X161" s="2003">
        <v>441263.29359999998</v>
      </c>
      <c r="Y161" s="2004">
        <v>349563.29359999998</v>
      </c>
      <c r="Z161" s="2004">
        <v>349563.29359999998</v>
      </c>
      <c r="AA161" s="2004">
        <v>347047.19334999996</v>
      </c>
      <c r="AB161" s="2004">
        <v>347047.19334999996</v>
      </c>
      <c r="AC161" s="2004">
        <v>347047.19334999996</v>
      </c>
      <c r="AD161" s="2004">
        <v>367196.11625000002</v>
      </c>
      <c r="AE161" s="2004">
        <v>367196.11625000002</v>
      </c>
      <c r="AF161" s="2004">
        <v>367196.11625000002</v>
      </c>
      <c r="AG161" s="2004">
        <v>367985.66800000001</v>
      </c>
      <c r="AH161" s="2004">
        <v>367985.66800000001</v>
      </c>
      <c r="AI161" s="2004">
        <v>367985.66800000001</v>
      </c>
      <c r="AJ161" s="2002">
        <v>1140389.8807999999</v>
      </c>
      <c r="AK161" s="2002">
        <v>1041141.5800499999</v>
      </c>
      <c r="AL161" s="2002">
        <v>1101588.3487500001</v>
      </c>
      <c r="AM161" s="2002">
        <v>1103957.004</v>
      </c>
      <c r="AN161" s="2002">
        <v>2181531.4608499999</v>
      </c>
      <c r="AO161" s="2002">
        <v>2205545.3527500001</v>
      </c>
      <c r="AP161" s="2002">
        <v>4387076.8136</v>
      </c>
    </row>
    <row r="162" spans="1:42" ht="14.5">
      <c r="A162" s="1693">
        <v>120</v>
      </c>
      <c r="B162" s="616">
        <v>1</v>
      </c>
      <c r="C162" s="1693">
        <v>123</v>
      </c>
      <c r="D162" s="616">
        <v>1</v>
      </c>
      <c r="E162" s="1693">
        <v>135</v>
      </c>
      <c r="F162" s="616">
        <v>1</v>
      </c>
      <c r="G162" s="1693">
        <v>162</v>
      </c>
      <c r="H162" s="616">
        <v>1</v>
      </c>
      <c r="J162" s="709" t="s">
        <v>512</v>
      </c>
      <c r="K162" s="1764" t="s">
        <v>1216</v>
      </c>
      <c r="L162" s="4"/>
      <c r="M162" s="4"/>
      <c r="N162" s="4"/>
      <c r="O162" s="27"/>
      <c r="P162" s="3"/>
      <c r="Q162" s="4"/>
      <c r="R162" s="4"/>
      <c r="S162" s="3" t="s">
        <v>24</v>
      </c>
      <c r="T162" s="3"/>
      <c r="U162" s="3"/>
      <c r="V162" s="3"/>
      <c r="W162" s="1853"/>
      <c r="X162" s="2003">
        <v>750</v>
      </c>
      <c r="Y162" s="2004">
        <v>750</v>
      </c>
      <c r="Z162" s="2004">
        <v>750</v>
      </c>
      <c r="AA162" s="2004">
        <v>0</v>
      </c>
      <c r="AB162" s="2004">
        <v>750</v>
      </c>
      <c r="AC162" s="2004">
        <v>750</v>
      </c>
      <c r="AD162" s="2004">
        <v>750</v>
      </c>
      <c r="AE162" s="2004">
        <v>750</v>
      </c>
      <c r="AF162" s="2004">
        <v>750</v>
      </c>
      <c r="AG162" s="2004">
        <v>750</v>
      </c>
      <c r="AH162" s="2004">
        <v>750</v>
      </c>
      <c r="AI162" s="2004">
        <v>1500</v>
      </c>
      <c r="AJ162" s="2002">
        <v>2250</v>
      </c>
      <c r="AK162" s="2002">
        <v>1500</v>
      </c>
      <c r="AL162" s="2002">
        <v>2250</v>
      </c>
      <c r="AM162" s="2002">
        <v>3000</v>
      </c>
      <c r="AN162" s="2002">
        <v>3750</v>
      </c>
      <c r="AO162" s="2002">
        <v>5250</v>
      </c>
      <c r="AP162" s="2002">
        <v>9000</v>
      </c>
    </row>
    <row r="163" spans="1:42" ht="14.5">
      <c r="A163" s="1693">
        <v>121</v>
      </c>
      <c r="B163" s="616">
        <v>1</v>
      </c>
      <c r="C163" s="1693">
        <v>124</v>
      </c>
      <c r="D163" s="616">
        <v>1</v>
      </c>
      <c r="E163" s="1693">
        <v>136</v>
      </c>
      <c r="F163" s="616">
        <v>1</v>
      </c>
      <c r="G163" s="1693">
        <v>163</v>
      </c>
      <c r="H163" s="616">
        <v>1</v>
      </c>
      <c r="J163" s="709" t="s">
        <v>512</v>
      </c>
      <c r="K163" s="1764" t="s">
        <v>1216</v>
      </c>
      <c r="L163" s="4"/>
      <c r="M163" s="4"/>
      <c r="N163" s="4"/>
      <c r="O163" s="27"/>
      <c r="P163" s="3"/>
      <c r="Q163" s="4"/>
      <c r="R163" s="4"/>
      <c r="S163" s="3" t="s">
        <v>2</v>
      </c>
      <c r="T163" s="3"/>
      <c r="U163" s="3"/>
      <c r="V163" s="3"/>
      <c r="W163" s="1853"/>
      <c r="X163" s="2003">
        <v>0</v>
      </c>
      <c r="Y163" s="2004">
        <v>0</v>
      </c>
      <c r="Z163" s="2004">
        <v>0</v>
      </c>
      <c r="AA163" s="2004">
        <v>0</v>
      </c>
      <c r="AB163" s="2004">
        <v>0</v>
      </c>
      <c r="AC163" s="2004">
        <v>0</v>
      </c>
      <c r="AD163" s="2004">
        <v>0</v>
      </c>
      <c r="AE163" s="2004">
        <v>0</v>
      </c>
      <c r="AF163" s="2004">
        <v>0</v>
      </c>
      <c r="AG163" s="2004">
        <v>0</v>
      </c>
      <c r="AH163" s="2004">
        <v>0</v>
      </c>
      <c r="AI163" s="2004">
        <v>0</v>
      </c>
      <c r="AJ163" s="2002">
        <v>0</v>
      </c>
      <c r="AK163" s="2002">
        <v>0</v>
      </c>
      <c r="AL163" s="2002">
        <v>0</v>
      </c>
      <c r="AM163" s="2002">
        <v>0</v>
      </c>
      <c r="AN163" s="2002">
        <v>0</v>
      </c>
      <c r="AO163" s="2002">
        <v>0</v>
      </c>
      <c r="AP163" s="2002">
        <v>0</v>
      </c>
    </row>
    <row r="164" spans="1:42" ht="14.5">
      <c r="A164" s="1693">
        <v>122</v>
      </c>
      <c r="B164" s="616">
        <v>1</v>
      </c>
      <c r="C164" s="1693">
        <v>125</v>
      </c>
      <c r="D164" s="616">
        <v>1</v>
      </c>
      <c r="E164" s="1693">
        <v>137</v>
      </c>
      <c r="F164" s="616">
        <v>1</v>
      </c>
      <c r="G164" s="1693">
        <v>164</v>
      </c>
      <c r="H164" s="616">
        <v>1</v>
      </c>
      <c r="K164" s="69"/>
      <c r="L164" s="4"/>
      <c r="M164" s="4"/>
      <c r="N164" s="4"/>
      <c r="O164" s="2025" t="s">
        <v>37</v>
      </c>
      <c r="P164" s="2026"/>
      <c r="Q164" s="864"/>
      <c r="R164" s="864"/>
      <c r="S164" s="864"/>
      <c r="T164" s="864"/>
      <c r="U164" s="864"/>
      <c r="V164" s="864"/>
      <c r="W164" s="1793"/>
      <c r="X164" s="2028">
        <v>347054.45826611959</v>
      </c>
      <c r="Y164" s="2029">
        <v>317235.58083845279</v>
      </c>
      <c r="Z164" s="2029">
        <v>325510.04529948556</v>
      </c>
      <c r="AA164" s="2029">
        <v>313810.18888949155</v>
      </c>
      <c r="AB164" s="2029">
        <v>324386.43973586441</v>
      </c>
      <c r="AC164" s="2029">
        <v>333748.84562646656</v>
      </c>
      <c r="AD164" s="2029">
        <v>328205.96358597453</v>
      </c>
      <c r="AE164" s="2029">
        <v>323175.76633994246</v>
      </c>
      <c r="AF164" s="2029">
        <v>351261.95398154866</v>
      </c>
      <c r="AG164" s="2029">
        <v>330578.48004185205</v>
      </c>
      <c r="AH164" s="2029">
        <v>343702.21214715624</v>
      </c>
      <c r="AI164" s="2029">
        <v>354437.25509917852</v>
      </c>
      <c r="AJ164" s="2030">
        <v>989800.08440405794</v>
      </c>
      <c r="AK164" s="2030">
        <v>971945.47425182257</v>
      </c>
      <c r="AL164" s="2030">
        <v>1002643.6839074655</v>
      </c>
      <c r="AM164" s="2030">
        <v>1028717.9472881869</v>
      </c>
      <c r="AN164" s="2030">
        <v>1961745.5586558804</v>
      </c>
      <c r="AO164" s="2030">
        <v>2031361.6311956523</v>
      </c>
      <c r="AP164" s="2030">
        <v>3993107.1898515327</v>
      </c>
    </row>
    <row r="165" spans="1:42" ht="14.5">
      <c r="A165" s="1693">
        <v>123</v>
      </c>
      <c r="B165" s="616">
        <v>1</v>
      </c>
      <c r="C165" s="1693">
        <v>126</v>
      </c>
      <c r="D165" s="616">
        <v>1</v>
      </c>
      <c r="E165" s="1693">
        <v>138</v>
      </c>
      <c r="F165" s="616">
        <v>1</v>
      </c>
      <c r="G165" s="1693">
        <v>165</v>
      </c>
      <c r="H165" s="616">
        <v>1</v>
      </c>
      <c r="K165" s="69"/>
      <c r="L165" s="4"/>
      <c r="M165" s="4"/>
      <c r="N165" s="4"/>
      <c r="O165" s="27"/>
      <c r="P165" s="3"/>
      <c r="Q165" s="4"/>
      <c r="R165" s="4"/>
      <c r="S165" s="3" t="s">
        <v>57</v>
      </c>
      <c r="T165" s="3"/>
      <c r="U165" s="3"/>
      <c r="V165" s="3"/>
      <c r="W165" s="1794"/>
      <c r="X165" s="2031">
        <v>99213.664634261979</v>
      </c>
      <c r="Y165" s="2032">
        <v>73441.899706848897</v>
      </c>
      <c r="Z165" s="2032">
        <v>80817.197421436547</v>
      </c>
      <c r="AA165" s="2032">
        <v>70272.22749838687</v>
      </c>
      <c r="AB165" s="2032">
        <v>80348.228344759715</v>
      </c>
      <c r="AC165" s="2032">
        <v>89710.634235361882</v>
      </c>
      <c r="AD165" s="2032">
        <v>62997.644859304746</v>
      </c>
      <c r="AE165" s="2032">
        <v>57967.4476132727</v>
      </c>
      <c r="AF165" s="2032">
        <v>86053.635254878871</v>
      </c>
      <c r="AG165" s="2032">
        <v>64796.653629507302</v>
      </c>
      <c r="AH165" s="2032">
        <v>77920.385734811513</v>
      </c>
      <c r="AI165" s="2032">
        <v>88155.178686833795</v>
      </c>
      <c r="AJ165" s="2002">
        <v>253472.76176254742</v>
      </c>
      <c r="AK165" s="2002">
        <v>240331.09007850848</v>
      </c>
      <c r="AL165" s="2002">
        <v>207018.72772745631</v>
      </c>
      <c r="AM165" s="2002">
        <v>230872.21805115262</v>
      </c>
      <c r="AN165" s="2002">
        <v>493803.8518410559</v>
      </c>
      <c r="AO165" s="2002">
        <v>437890.9457786089</v>
      </c>
      <c r="AP165" s="2002">
        <v>931694.79761966481</v>
      </c>
    </row>
    <row r="166" spans="1:42" ht="14.5">
      <c r="A166" s="1693">
        <v>124</v>
      </c>
      <c r="B166" s="616">
        <v>1</v>
      </c>
      <c r="C166" s="1693">
        <v>127</v>
      </c>
      <c r="D166" s="616">
        <v>1</v>
      </c>
      <c r="E166" s="1693">
        <v>139</v>
      </c>
      <c r="F166" s="616">
        <v>1</v>
      </c>
      <c r="G166" s="1693">
        <v>166</v>
      </c>
      <c r="H166" s="616">
        <v>1</v>
      </c>
      <c r="K166" s="69"/>
      <c r="L166" s="4"/>
      <c r="M166" s="4"/>
      <c r="N166" s="4"/>
      <c r="O166" s="27"/>
      <c r="P166" s="3"/>
      <c r="Q166" s="4"/>
      <c r="R166" s="4"/>
      <c r="S166" s="3" t="s">
        <v>27</v>
      </c>
      <c r="T166" s="3"/>
      <c r="U166" s="3"/>
      <c r="V166" s="3"/>
      <c r="W166" s="2001"/>
      <c r="X166" s="596">
        <v>247340.54363185758</v>
      </c>
      <c r="Y166" s="2002">
        <v>243293.43113160392</v>
      </c>
      <c r="Z166" s="2002">
        <v>244192.59787804901</v>
      </c>
      <c r="AA166" s="2002">
        <v>243537.96139110468</v>
      </c>
      <c r="AB166" s="2002">
        <v>243537.96139110468</v>
      </c>
      <c r="AC166" s="2002">
        <v>243537.96139110468</v>
      </c>
      <c r="AD166" s="2002">
        <v>264708.06872666976</v>
      </c>
      <c r="AE166" s="2002">
        <v>264708.06872666976</v>
      </c>
      <c r="AF166" s="2002">
        <v>264708.06872666976</v>
      </c>
      <c r="AG166" s="2002">
        <v>265281.57641234476</v>
      </c>
      <c r="AH166" s="2002">
        <v>265281.57641234476</v>
      </c>
      <c r="AI166" s="2002">
        <v>265281.57641234476</v>
      </c>
      <c r="AJ166" s="2002">
        <v>734826.57264151052</v>
      </c>
      <c r="AK166" s="2002">
        <v>730613.88417331409</v>
      </c>
      <c r="AL166" s="2002">
        <v>794124.20618000929</v>
      </c>
      <c r="AM166" s="2002">
        <v>795844.72923703422</v>
      </c>
      <c r="AN166" s="2002">
        <v>1465440.4568148246</v>
      </c>
      <c r="AO166" s="2002">
        <v>1589968.9354170435</v>
      </c>
      <c r="AP166" s="2002">
        <v>3055409.3922318681</v>
      </c>
    </row>
    <row r="167" spans="1:42" ht="14.5">
      <c r="A167" s="1693">
        <v>125</v>
      </c>
      <c r="B167" s="616">
        <v>1</v>
      </c>
      <c r="C167" s="1693">
        <v>128</v>
      </c>
      <c r="D167" s="616">
        <v>1</v>
      </c>
      <c r="E167" s="1693">
        <v>140</v>
      </c>
      <c r="F167" s="616">
        <v>1</v>
      </c>
      <c r="G167" s="1693">
        <v>167</v>
      </c>
      <c r="H167" s="616">
        <v>1</v>
      </c>
      <c r="K167" s="69"/>
      <c r="L167" s="4"/>
      <c r="M167" s="4"/>
      <c r="N167" s="4"/>
      <c r="O167" s="27"/>
      <c r="P167" s="3"/>
      <c r="Q167" s="4"/>
      <c r="R167" s="4"/>
      <c r="S167" s="3"/>
      <c r="T167" s="3"/>
      <c r="U167" s="294" t="s">
        <v>269</v>
      </c>
      <c r="V167" s="723"/>
      <c r="W167" s="1853"/>
      <c r="X167" s="2008">
        <v>204958.06244812091</v>
      </c>
      <c r="Y167" s="2009">
        <v>225519.66422160392</v>
      </c>
      <c r="Z167" s="2009">
        <v>226289.2645447157</v>
      </c>
      <c r="AA167" s="2009">
        <v>224754.62805777133</v>
      </c>
      <c r="AB167" s="2009">
        <v>224754.62805777133</v>
      </c>
      <c r="AC167" s="2009">
        <v>224754.62805777133</v>
      </c>
      <c r="AD167" s="2009">
        <v>250784.84049453415</v>
      </c>
      <c r="AE167" s="2009">
        <v>250784.84049453415</v>
      </c>
      <c r="AF167" s="2009">
        <v>250784.84049453415</v>
      </c>
      <c r="AG167" s="2009">
        <v>251358.34818020914</v>
      </c>
      <c r="AH167" s="2009">
        <v>251358.34818020914</v>
      </c>
      <c r="AI167" s="2009">
        <v>251358.34818020914</v>
      </c>
      <c r="AJ167" s="2010">
        <v>656766.99121444044</v>
      </c>
      <c r="AK167" s="2010">
        <v>674263.88417331397</v>
      </c>
      <c r="AL167" s="2010">
        <v>752354.52148360247</v>
      </c>
      <c r="AM167" s="2010">
        <v>754075.04454062739</v>
      </c>
      <c r="AN167" s="2010">
        <v>1331030.8753877543</v>
      </c>
      <c r="AO167" s="2010">
        <v>1506429.5660242299</v>
      </c>
      <c r="AP167" s="2010">
        <v>2837460.4414119842</v>
      </c>
    </row>
    <row r="168" spans="1:42" ht="14.5">
      <c r="A168" s="1693">
        <v>126</v>
      </c>
      <c r="B168" s="616">
        <v>1</v>
      </c>
      <c r="C168" s="1693">
        <v>129</v>
      </c>
      <c r="D168" s="616">
        <v>1</v>
      </c>
      <c r="E168" s="1693">
        <v>141</v>
      </c>
      <c r="F168" s="616">
        <v>1</v>
      </c>
      <c r="G168" s="1693">
        <v>168</v>
      </c>
      <c r="H168" s="616">
        <v>1</v>
      </c>
      <c r="K168" s="69"/>
      <c r="L168" s="4"/>
      <c r="M168" s="4"/>
      <c r="N168" s="4"/>
      <c r="O168" s="27"/>
      <c r="P168" s="3"/>
      <c r="Q168" s="4"/>
      <c r="R168" s="4"/>
      <c r="S168" s="3"/>
      <c r="T168" s="3"/>
      <c r="U168" s="3"/>
      <c r="V168" s="3" t="s">
        <v>1018</v>
      </c>
      <c r="W168" s="1853"/>
      <c r="X168" s="2003">
        <v>172647.46362723011</v>
      </c>
      <c r="Y168" s="2004">
        <v>198073.37643026488</v>
      </c>
      <c r="Z168" s="2004">
        <v>198760.89563231569</v>
      </c>
      <c r="AA168" s="2004">
        <v>196652.75145969633</v>
      </c>
      <c r="AB168" s="2004">
        <v>196652.75145969633</v>
      </c>
      <c r="AC168" s="2004">
        <v>196652.75145969633</v>
      </c>
      <c r="AD168" s="2004">
        <v>222368.79637090582</v>
      </c>
      <c r="AE168" s="2004">
        <v>222368.79637090582</v>
      </c>
      <c r="AF168" s="2004">
        <v>222368.79637090582</v>
      </c>
      <c r="AG168" s="2004">
        <v>222368.79637090582</v>
      </c>
      <c r="AH168" s="2004">
        <v>222368.79637090582</v>
      </c>
      <c r="AI168" s="2004">
        <v>222368.79637090582</v>
      </c>
      <c r="AJ168" s="2002">
        <v>569481.73568981071</v>
      </c>
      <c r="AK168" s="2002">
        <v>589958.25437908899</v>
      </c>
      <c r="AL168" s="2002">
        <v>667106.38911271747</v>
      </c>
      <c r="AM168" s="2002">
        <v>667106.38911271747</v>
      </c>
      <c r="AN168" s="2002">
        <v>1159439.9900688997</v>
      </c>
      <c r="AO168" s="2002">
        <v>1334212.7782254349</v>
      </c>
      <c r="AP168" s="2002">
        <v>2493652.7682943344</v>
      </c>
    </row>
    <row r="169" spans="1:42" ht="14.5">
      <c r="A169" s="1693">
        <v>127</v>
      </c>
      <c r="B169" s="616">
        <v>1</v>
      </c>
      <c r="C169" s="1693">
        <v>130</v>
      </c>
      <c r="D169" s="616">
        <v>1</v>
      </c>
      <c r="E169" s="1693">
        <v>142</v>
      </c>
      <c r="F169" s="616">
        <v>1</v>
      </c>
      <c r="G169" s="1693">
        <v>169</v>
      </c>
      <c r="H169" s="616">
        <v>1</v>
      </c>
      <c r="K169" s="69"/>
      <c r="L169" s="4"/>
      <c r="M169" s="4"/>
      <c r="N169" s="4"/>
      <c r="O169" s="27"/>
      <c r="P169" s="3"/>
      <c r="Q169" s="4"/>
      <c r="R169" s="4"/>
      <c r="S169" s="3"/>
      <c r="T169" s="3"/>
      <c r="U169" s="3"/>
      <c r="V169" s="47" t="s">
        <v>1019</v>
      </c>
      <c r="W169" s="2001"/>
      <c r="X169" s="2011">
        <v>32310.598820890795</v>
      </c>
      <c r="Y169" s="2012">
        <v>27446.28779133904</v>
      </c>
      <c r="Z169" s="2012">
        <v>27528.368912400008</v>
      </c>
      <c r="AA169" s="2012">
        <v>28101.876598075003</v>
      </c>
      <c r="AB169" s="2012">
        <v>28101.876598075003</v>
      </c>
      <c r="AC169" s="2012">
        <v>28101.876598075003</v>
      </c>
      <c r="AD169" s="2012">
        <v>28416.044123628322</v>
      </c>
      <c r="AE169" s="2012">
        <v>28416.044123628322</v>
      </c>
      <c r="AF169" s="2012">
        <v>28416.044123628322</v>
      </c>
      <c r="AG169" s="2012">
        <v>28989.551809303317</v>
      </c>
      <c r="AH169" s="2012">
        <v>28989.551809303317</v>
      </c>
      <c r="AI169" s="2012">
        <v>28989.551809303317</v>
      </c>
      <c r="AJ169" s="2012">
        <v>87285.255524629727</v>
      </c>
      <c r="AK169" s="2012">
        <v>84305.62979422498</v>
      </c>
      <c r="AL169" s="2012">
        <v>85248.132370884996</v>
      </c>
      <c r="AM169" s="2012">
        <v>86968.655427909922</v>
      </c>
      <c r="AN169" s="2012">
        <v>171590.88531885459</v>
      </c>
      <c r="AO169" s="2012">
        <v>172216.78779879492</v>
      </c>
      <c r="AP169" s="2012">
        <v>343807.67311764974</v>
      </c>
    </row>
    <row r="170" spans="1:42" ht="14.5">
      <c r="A170" s="1693">
        <v>128</v>
      </c>
      <c r="B170" s="616">
        <v>1</v>
      </c>
      <c r="C170" s="1693">
        <v>131</v>
      </c>
      <c r="D170" s="616">
        <v>1</v>
      </c>
      <c r="E170" s="1693">
        <v>143</v>
      </c>
      <c r="F170" s="616">
        <v>1</v>
      </c>
      <c r="G170" s="1693">
        <v>170</v>
      </c>
      <c r="H170" s="616">
        <v>1</v>
      </c>
      <c r="K170" s="69"/>
      <c r="L170" s="4"/>
      <c r="M170" s="4"/>
      <c r="N170" s="4"/>
      <c r="O170" s="27"/>
      <c r="P170" s="3"/>
      <c r="Q170" s="4"/>
      <c r="R170" s="4"/>
      <c r="S170" s="3"/>
      <c r="T170" s="3"/>
      <c r="U170" s="3" t="s">
        <v>1020</v>
      </c>
      <c r="V170" s="3"/>
      <c r="W170" s="2001"/>
      <c r="X170" s="596">
        <v>17903.333333333332</v>
      </c>
      <c r="Y170" s="2002">
        <v>17903.333333333332</v>
      </c>
      <c r="Z170" s="2002">
        <v>17903.333333333332</v>
      </c>
      <c r="AA170" s="2002">
        <v>18783.333333333336</v>
      </c>
      <c r="AB170" s="2002">
        <v>18783.333333333336</v>
      </c>
      <c r="AC170" s="2002">
        <v>18783.333333333336</v>
      </c>
      <c r="AD170" s="2002">
        <v>18050</v>
      </c>
      <c r="AE170" s="2002">
        <v>18050</v>
      </c>
      <c r="AF170" s="2002">
        <v>18050</v>
      </c>
      <c r="AG170" s="2002">
        <v>18050</v>
      </c>
      <c r="AH170" s="2002">
        <v>18050</v>
      </c>
      <c r="AI170" s="2002">
        <v>18050</v>
      </c>
      <c r="AJ170" s="2002">
        <v>53710</v>
      </c>
      <c r="AK170" s="2002">
        <v>56350.000000000007</v>
      </c>
      <c r="AL170" s="2002">
        <v>54150</v>
      </c>
      <c r="AM170" s="2002">
        <v>54150</v>
      </c>
      <c r="AN170" s="2002">
        <v>110060</v>
      </c>
      <c r="AO170" s="2002">
        <v>108300</v>
      </c>
      <c r="AP170" s="2002">
        <v>218360</v>
      </c>
    </row>
    <row r="171" spans="1:42" ht="14.5">
      <c r="A171" s="1693">
        <v>129</v>
      </c>
      <c r="B171" s="616">
        <v>1</v>
      </c>
      <c r="C171" s="1693">
        <v>132</v>
      </c>
      <c r="D171" s="616">
        <v>1</v>
      </c>
      <c r="E171" s="1693">
        <v>144</v>
      </c>
      <c r="F171" s="616">
        <v>1</v>
      </c>
      <c r="G171" s="1693">
        <v>171</v>
      </c>
      <c r="H171" s="616">
        <v>1</v>
      </c>
      <c r="K171" s="69"/>
      <c r="L171" s="4"/>
      <c r="M171" s="4"/>
      <c r="N171" s="4"/>
      <c r="O171" s="27"/>
      <c r="P171" s="3"/>
      <c r="Q171" s="4"/>
      <c r="R171" s="4"/>
      <c r="S171" s="3"/>
      <c r="T171" s="3"/>
      <c r="U171" s="3" t="s">
        <v>1021</v>
      </c>
      <c r="V171" s="3"/>
      <c r="W171" s="2001"/>
      <c r="X171" s="596">
        <v>0</v>
      </c>
      <c r="Y171" s="2002">
        <v>0</v>
      </c>
      <c r="Z171" s="2002">
        <v>0</v>
      </c>
      <c r="AA171" s="2002">
        <v>0</v>
      </c>
      <c r="AB171" s="2002">
        <v>0</v>
      </c>
      <c r="AC171" s="2002">
        <v>0</v>
      </c>
      <c r="AD171" s="2002">
        <v>0</v>
      </c>
      <c r="AE171" s="2002">
        <v>0</v>
      </c>
      <c r="AF171" s="2002">
        <v>0</v>
      </c>
      <c r="AG171" s="2002">
        <v>0</v>
      </c>
      <c r="AH171" s="2002">
        <v>0</v>
      </c>
      <c r="AI171" s="2002">
        <v>0</v>
      </c>
      <c r="AJ171" s="2002">
        <v>0</v>
      </c>
      <c r="AK171" s="2002">
        <v>0</v>
      </c>
      <c r="AL171" s="2002">
        <v>0</v>
      </c>
      <c r="AM171" s="2002">
        <v>0</v>
      </c>
      <c r="AN171" s="2002">
        <v>0</v>
      </c>
      <c r="AO171" s="2002">
        <v>0</v>
      </c>
      <c r="AP171" s="2002">
        <v>0</v>
      </c>
    </row>
    <row r="172" spans="1:42" ht="14.5">
      <c r="A172" s="1693">
        <v>130</v>
      </c>
      <c r="B172" s="616">
        <v>1</v>
      </c>
      <c r="C172" s="1693">
        <v>133</v>
      </c>
      <c r="D172" s="616">
        <v>1</v>
      </c>
      <c r="E172" s="1693">
        <v>145</v>
      </c>
      <c r="F172" s="616">
        <v>1</v>
      </c>
      <c r="G172" s="1693">
        <v>172</v>
      </c>
      <c r="H172" s="616">
        <v>1</v>
      </c>
      <c r="K172" s="69"/>
      <c r="L172" s="4"/>
      <c r="M172" s="4"/>
      <c r="N172" s="4"/>
      <c r="O172" s="27"/>
      <c r="P172" s="3"/>
      <c r="Q172" s="4"/>
      <c r="R172" s="4"/>
      <c r="S172" s="3"/>
      <c r="T172" s="3"/>
      <c r="U172" s="3" t="s">
        <v>9</v>
      </c>
      <c r="V172" s="3"/>
      <c r="W172" s="2001"/>
      <c r="X172" s="596">
        <v>0</v>
      </c>
      <c r="Y172" s="2002">
        <v>0</v>
      </c>
      <c r="Z172" s="2002">
        <v>0</v>
      </c>
      <c r="AA172" s="2002">
        <v>0</v>
      </c>
      <c r="AB172" s="2002">
        <v>0</v>
      </c>
      <c r="AC172" s="2002">
        <v>0</v>
      </c>
      <c r="AD172" s="2002">
        <v>0</v>
      </c>
      <c r="AE172" s="2002">
        <v>0</v>
      </c>
      <c r="AF172" s="2002">
        <v>0</v>
      </c>
      <c r="AG172" s="2002">
        <v>0</v>
      </c>
      <c r="AH172" s="2002">
        <v>0</v>
      </c>
      <c r="AI172" s="2002">
        <v>0</v>
      </c>
      <c r="AJ172" s="2002">
        <v>0</v>
      </c>
      <c r="AK172" s="2002">
        <v>0</v>
      </c>
      <c r="AL172" s="2002">
        <v>0</v>
      </c>
      <c r="AM172" s="2002">
        <v>0</v>
      </c>
      <c r="AN172" s="2002">
        <v>0</v>
      </c>
      <c r="AO172" s="2002">
        <v>0</v>
      </c>
      <c r="AP172" s="2002">
        <v>0</v>
      </c>
    </row>
    <row r="173" spans="1:42" ht="14.5">
      <c r="A173" s="1693">
        <v>131</v>
      </c>
      <c r="B173" s="616">
        <v>1</v>
      </c>
      <c r="C173" s="1693">
        <v>134</v>
      </c>
      <c r="D173" s="616">
        <v>1</v>
      </c>
      <c r="E173" s="1693">
        <v>146</v>
      </c>
      <c r="F173" s="616">
        <v>1</v>
      </c>
      <c r="G173" s="1693">
        <v>173</v>
      </c>
      <c r="H173" s="616">
        <v>1</v>
      </c>
      <c r="K173" s="69"/>
      <c r="L173" s="4"/>
      <c r="M173" s="4"/>
      <c r="N173" s="4"/>
      <c r="O173" s="27"/>
      <c r="P173" s="3"/>
      <c r="Q173" s="4"/>
      <c r="R173" s="4"/>
      <c r="S173" s="3"/>
      <c r="T173" s="3"/>
      <c r="U173" s="3" t="s">
        <v>2</v>
      </c>
      <c r="V173" s="3"/>
      <c r="W173" s="2001"/>
      <c r="X173" s="596">
        <v>24479.14785040334</v>
      </c>
      <c r="Y173" s="2002">
        <v>-129.56642333332638</v>
      </c>
      <c r="Z173" s="2002">
        <v>-1.8189894035458565E-11</v>
      </c>
      <c r="AA173" s="2002">
        <v>7.2759576141834259E-12</v>
      </c>
      <c r="AB173" s="2002">
        <v>7.2759576141834259E-12</v>
      </c>
      <c r="AC173" s="2002">
        <v>7.2759576141834259E-12</v>
      </c>
      <c r="AD173" s="2002">
        <v>-4126.7717678643821</v>
      </c>
      <c r="AE173" s="2002">
        <v>-4126.7717678643821</v>
      </c>
      <c r="AF173" s="2002">
        <v>-4126.7717678643821</v>
      </c>
      <c r="AG173" s="2002">
        <v>-4126.7717678643821</v>
      </c>
      <c r="AH173" s="2002">
        <v>-4126.7717678643821</v>
      </c>
      <c r="AI173" s="2002">
        <v>-4126.7717678643821</v>
      </c>
      <c r="AJ173" s="2002">
        <v>24349.581427069996</v>
      </c>
      <c r="AK173" s="2002">
        <v>2.1827872842550278E-11</v>
      </c>
      <c r="AL173" s="2002">
        <v>-12380.315303593146</v>
      </c>
      <c r="AM173" s="2002">
        <v>-12380.315303593146</v>
      </c>
      <c r="AN173" s="2002">
        <v>24349.581427070018</v>
      </c>
      <c r="AO173" s="2002">
        <v>-24760.630607186293</v>
      </c>
      <c r="AP173" s="2002">
        <v>-411.04918011627524</v>
      </c>
    </row>
    <row r="174" spans="1:42" ht="14.5">
      <c r="A174" s="1693">
        <v>132</v>
      </c>
      <c r="B174" s="616">
        <v>1</v>
      </c>
      <c r="C174" s="1693">
        <v>135</v>
      </c>
      <c r="D174" s="616">
        <v>1</v>
      </c>
      <c r="E174" s="1693">
        <v>147</v>
      </c>
      <c r="F174" s="616">
        <v>1</v>
      </c>
      <c r="G174" s="1693">
        <v>174</v>
      </c>
      <c r="H174" s="616">
        <v>1</v>
      </c>
      <c r="K174" s="69"/>
      <c r="L174" s="4"/>
      <c r="M174" s="4"/>
      <c r="N174" s="4"/>
      <c r="O174" s="27"/>
      <c r="P174" s="3"/>
      <c r="Q174" s="4"/>
      <c r="R174" s="4"/>
      <c r="S174" s="3" t="s">
        <v>24</v>
      </c>
      <c r="T174" s="3"/>
      <c r="U174" s="3"/>
      <c r="V174" s="3"/>
      <c r="W174" s="1794"/>
      <c r="X174" s="2031">
        <v>500.25</v>
      </c>
      <c r="Y174" s="2032">
        <v>500.25</v>
      </c>
      <c r="Z174" s="2032">
        <v>500.25</v>
      </c>
      <c r="AA174" s="2032">
        <v>0</v>
      </c>
      <c r="AB174" s="2032">
        <v>500.25</v>
      </c>
      <c r="AC174" s="2032">
        <v>500.25</v>
      </c>
      <c r="AD174" s="2032">
        <v>500.25</v>
      </c>
      <c r="AE174" s="2032">
        <v>500.25</v>
      </c>
      <c r="AF174" s="2032">
        <v>500.25</v>
      </c>
      <c r="AG174" s="2032">
        <v>500.25</v>
      </c>
      <c r="AH174" s="2032">
        <v>500.25</v>
      </c>
      <c r="AI174" s="2032">
        <v>1000.5</v>
      </c>
      <c r="AJ174" s="2002">
        <v>1500.75</v>
      </c>
      <c r="AK174" s="2002">
        <v>1000.5</v>
      </c>
      <c r="AL174" s="2002">
        <v>1500.75</v>
      </c>
      <c r="AM174" s="2002">
        <v>2001</v>
      </c>
      <c r="AN174" s="2002">
        <v>2501.25</v>
      </c>
      <c r="AO174" s="2002">
        <v>3501.75</v>
      </c>
      <c r="AP174" s="2002">
        <v>6003</v>
      </c>
    </row>
    <row r="175" spans="1:42" ht="14.5">
      <c r="A175" s="1693">
        <v>133</v>
      </c>
      <c r="B175" s="616">
        <v>1</v>
      </c>
      <c r="C175" s="1693">
        <v>136</v>
      </c>
      <c r="D175" s="616">
        <v>1</v>
      </c>
      <c r="E175" s="1693">
        <v>148</v>
      </c>
      <c r="F175" s="616">
        <v>1</v>
      </c>
      <c r="G175" s="1693">
        <v>175</v>
      </c>
      <c r="H175" s="616">
        <v>1</v>
      </c>
      <c r="K175" s="69"/>
      <c r="L175" s="4"/>
      <c r="M175" s="4"/>
      <c r="N175" s="4"/>
      <c r="O175" s="27"/>
      <c r="P175" s="3"/>
      <c r="Q175" s="4"/>
      <c r="R175" s="4"/>
      <c r="S175" s="3" t="s">
        <v>2</v>
      </c>
      <c r="T175" s="3"/>
      <c r="U175" s="3"/>
      <c r="V175" s="3"/>
      <c r="W175" s="1794"/>
      <c r="X175" s="2031">
        <v>0</v>
      </c>
      <c r="Y175" s="2032">
        <v>0</v>
      </c>
      <c r="Z175" s="2032">
        <v>0</v>
      </c>
      <c r="AA175" s="2032">
        <v>0</v>
      </c>
      <c r="AB175" s="2032">
        <v>0</v>
      </c>
      <c r="AC175" s="2032">
        <v>0</v>
      </c>
      <c r="AD175" s="2032">
        <v>0</v>
      </c>
      <c r="AE175" s="2032">
        <v>0</v>
      </c>
      <c r="AF175" s="2032">
        <v>0</v>
      </c>
      <c r="AG175" s="2032">
        <v>0</v>
      </c>
      <c r="AH175" s="2032">
        <v>0</v>
      </c>
      <c r="AI175" s="2032">
        <v>0</v>
      </c>
      <c r="AJ175" s="2002">
        <v>0</v>
      </c>
      <c r="AK175" s="2002">
        <v>0</v>
      </c>
      <c r="AL175" s="2002">
        <v>0</v>
      </c>
      <c r="AM175" s="2002">
        <v>0</v>
      </c>
      <c r="AN175" s="2002">
        <v>0</v>
      </c>
      <c r="AO175" s="2002">
        <v>0</v>
      </c>
      <c r="AP175" s="2002">
        <v>0</v>
      </c>
    </row>
    <row r="176" spans="1:42" ht="14.5">
      <c r="A176" s="1693">
        <v>134</v>
      </c>
      <c r="B176" s="616">
        <v>1</v>
      </c>
      <c r="C176" s="1693">
        <v>137</v>
      </c>
      <c r="D176" s="616">
        <v>1</v>
      </c>
      <c r="E176" s="1693">
        <v>149</v>
      </c>
      <c r="F176" s="616">
        <v>1</v>
      </c>
      <c r="G176" s="1693">
        <v>176</v>
      </c>
      <c r="H176" s="616">
        <v>1</v>
      </c>
      <c r="J176" s="709" t="s">
        <v>512</v>
      </c>
      <c r="K176" s="1764" t="s">
        <v>1216</v>
      </c>
      <c r="L176" s="4"/>
      <c r="M176" s="4"/>
      <c r="N176" s="4"/>
      <c r="O176" s="2025" t="s">
        <v>54</v>
      </c>
      <c r="P176" s="2026"/>
      <c r="Q176" s="864"/>
      <c r="R176" s="864"/>
      <c r="S176" s="864"/>
      <c r="T176" s="864"/>
      <c r="U176" s="864"/>
      <c r="V176" s="864"/>
      <c r="W176" s="1793"/>
      <c r="X176" s="2028">
        <v>250485.29442764385</v>
      </c>
      <c r="Y176" s="2029">
        <v>142425.16447175815</v>
      </c>
      <c r="Z176" s="2029">
        <v>145944.44702001812</v>
      </c>
      <c r="AA176" s="2029">
        <v>137821.19239287172</v>
      </c>
      <c r="AB176" s="2029">
        <v>143174.93346550182</v>
      </c>
      <c r="AC176" s="2029">
        <v>149064.97817147314</v>
      </c>
      <c r="AD176" s="2029">
        <v>133668.06654263684</v>
      </c>
      <c r="AE176" s="2029">
        <v>131578.76757131179</v>
      </c>
      <c r="AF176" s="2029">
        <v>144426.0803914665</v>
      </c>
      <c r="AG176" s="2029">
        <v>134622.79249374877</v>
      </c>
      <c r="AH176" s="2029">
        <v>140769.17102850415</v>
      </c>
      <c r="AI176" s="2029">
        <v>146620.46784607027</v>
      </c>
      <c r="AJ176" s="2030">
        <v>538854.90591942007</v>
      </c>
      <c r="AK176" s="2030">
        <v>430061.10402984667</v>
      </c>
      <c r="AL176" s="2030">
        <v>409672.91450541513</v>
      </c>
      <c r="AM176" s="2030">
        <v>422012.43136832316</v>
      </c>
      <c r="AN176" s="2030">
        <v>968916.00994926679</v>
      </c>
      <c r="AO176" s="2030">
        <v>831685.34587373829</v>
      </c>
      <c r="AP176" s="2030">
        <v>1800601.3558230051</v>
      </c>
    </row>
    <row r="177" spans="1:42" ht="14.5">
      <c r="A177" s="1693">
        <v>135</v>
      </c>
      <c r="B177" s="616">
        <v>1</v>
      </c>
      <c r="C177" s="1693">
        <v>138</v>
      </c>
      <c r="D177" s="616">
        <v>1</v>
      </c>
      <c r="E177" s="1693">
        <v>150</v>
      </c>
      <c r="F177" s="616">
        <v>1</v>
      </c>
      <c r="G177" s="1693">
        <v>177</v>
      </c>
      <c r="H177" s="616">
        <v>1</v>
      </c>
      <c r="J177" s="709" t="s">
        <v>512</v>
      </c>
      <c r="K177" s="1764" t="s">
        <v>1216</v>
      </c>
      <c r="L177" s="4"/>
      <c r="M177" s="4"/>
      <c r="N177" s="4"/>
      <c r="O177" s="502"/>
      <c r="P177" s="503" t="s">
        <v>55</v>
      </c>
      <c r="Q177" s="501"/>
      <c r="R177" s="501"/>
      <c r="S177" s="501"/>
      <c r="T177" s="501"/>
      <c r="U177" s="478" t="s">
        <v>1023</v>
      </c>
      <c r="V177" s="4"/>
      <c r="W177" s="1785"/>
      <c r="X177" s="1306">
        <v>0.41919436037256669</v>
      </c>
      <c r="Y177" s="1284">
        <v>0.30984843914752774</v>
      </c>
      <c r="Z177" s="1284">
        <v>0.30956210916983246</v>
      </c>
      <c r="AA177" s="1284">
        <v>0.30516301148414865</v>
      </c>
      <c r="AB177" s="1284">
        <v>0.30621634222089644</v>
      </c>
      <c r="AC177" s="1284">
        <v>0.30874215033631197</v>
      </c>
      <c r="AD177" s="1284">
        <v>0.28940372877300813</v>
      </c>
      <c r="AE177" s="1284">
        <v>0.28934019951297396</v>
      </c>
      <c r="AF177" s="1284">
        <v>0.29136487140374057</v>
      </c>
      <c r="AG177" s="1284">
        <v>0.28938612261308116</v>
      </c>
      <c r="AH177" s="1284">
        <v>0.2905624066085733</v>
      </c>
      <c r="AI177" s="1284">
        <v>0.29262190987542502</v>
      </c>
      <c r="AJ177" s="1284">
        <v>0.35250263096017048</v>
      </c>
      <c r="AK177" s="1284">
        <v>0.30674685175652977</v>
      </c>
      <c r="AL177" s="1284">
        <v>0.29007158519965942</v>
      </c>
      <c r="AM177" s="1284">
        <v>0.29089652879478523</v>
      </c>
      <c r="AN177" s="1284">
        <v>0.33061340836104247</v>
      </c>
      <c r="AO177" s="1284">
        <v>0.29048959117151818</v>
      </c>
      <c r="AP177" s="1284">
        <v>0.31078562920934233</v>
      </c>
    </row>
    <row r="178" spans="1:42" s="504" customFormat="1" ht="14.5" outlineLevel="1">
      <c r="A178" s="1693">
        <v>136</v>
      </c>
      <c r="B178" s="616">
        <v>1</v>
      </c>
      <c r="C178" s="1693">
        <v>139</v>
      </c>
      <c r="D178" s="616">
        <v>1</v>
      </c>
      <c r="E178" s="1693">
        <v>151</v>
      </c>
      <c r="F178" s="616">
        <v>1</v>
      </c>
      <c r="G178" s="1693">
        <v>178</v>
      </c>
      <c r="H178" s="616">
        <v>1</v>
      </c>
      <c r="I178" s="616"/>
      <c r="J178" s="709" t="s">
        <v>512</v>
      </c>
      <c r="K178" s="1764" t="s">
        <v>1216</v>
      </c>
      <c r="L178" s="4"/>
      <c r="M178" s="4"/>
      <c r="N178" s="501"/>
      <c r="O178" s="502"/>
      <c r="P178" s="505"/>
      <c r="Q178" s="501"/>
      <c r="R178" s="501"/>
      <c r="S178" s="503" t="s">
        <v>1024</v>
      </c>
      <c r="T178" s="505"/>
      <c r="U178" s="505"/>
      <c r="V178" s="505"/>
      <c r="W178" s="1792"/>
      <c r="X178" s="1304">
        <v>0.36207854784086435</v>
      </c>
      <c r="Y178" s="1283">
        <v>0.32836203717410634</v>
      </c>
      <c r="Z178" s="1283">
        <v>0.33286777516074706</v>
      </c>
      <c r="AA178" s="1283">
        <v>0.32807980931272945</v>
      </c>
      <c r="AB178" s="1283">
        <v>0.32911302490881522</v>
      </c>
      <c r="AC178" s="1283">
        <v>0.335558634979023</v>
      </c>
      <c r="AD178" s="1283">
        <v>0.32929794501003862</v>
      </c>
      <c r="AE178" s="1283">
        <v>0.33223702061389299</v>
      </c>
      <c r="AF178" s="1283">
        <v>0.32634771326973938</v>
      </c>
      <c r="AG178" s="1283">
        <v>0.32829267031033893</v>
      </c>
      <c r="AH178" s="1283">
        <v>0.32673863364868716</v>
      </c>
      <c r="AI178" s="1283">
        <v>0.32998554500408261</v>
      </c>
      <c r="AJ178" s="1283">
        <v>0.34336051747961238</v>
      </c>
      <c r="AK178" s="1283">
        <v>0.3312340064805756</v>
      </c>
      <c r="AL178" s="1283">
        <v>0.32890332477671952</v>
      </c>
      <c r="AM178" s="1283">
        <v>0.32841739625171829</v>
      </c>
      <c r="AN178" s="1283">
        <v>0.33751404591646639</v>
      </c>
      <c r="AO178" s="1283">
        <v>0.32864721305134692</v>
      </c>
      <c r="AP178" s="1283">
        <v>0.33337604160093881</v>
      </c>
    </row>
    <row r="179" spans="1:42" s="504" customFormat="1" ht="14.5" outlineLevel="1">
      <c r="A179" s="1693">
        <v>137</v>
      </c>
      <c r="B179" s="616">
        <v>1</v>
      </c>
      <c r="C179" s="1693">
        <v>140</v>
      </c>
      <c r="D179" s="616">
        <v>1</v>
      </c>
      <c r="E179" s="1693">
        <v>152</v>
      </c>
      <c r="F179" s="616">
        <v>1</v>
      </c>
      <c r="G179" s="1693">
        <v>179</v>
      </c>
      <c r="H179" s="616">
        <v>1</v>
      </c>
      <c r="I179" s="616"/>
      <c r="J179" s="709" t="s">
        <v>512</v>
      </c>
      <c r="K179" s="1764" t="s">
        <v>1216</v>
      </c>
      <c r="L179" s="4"/>
      <c r="M179" s="4"/>
      <c r="N179" s="501"/>
      <c r="O179" s="502"/>
      <c r="P179" s="505"/>
      <c r="Q179" s="501"/>
      <c r="R179" s="501"/>
      <c r="S179" s="503" t="s">
        <v>1025</v>
      </c>
      <c r="T179" s="505"/>
      <c r="U179" s="505"/>
      <c r="V179" s="505"/>
      <c r="W179" s="1792"/>
      <c r="X179" s="1304">
        <v>0.43947174573720854</v>
      </c>
      <c r="Y179" s="1283">
        <v>0.30400749853901726</v>
      </c>
      <c r="Z179" s="1283">
        <v>0.30143524120277082</v>
      </c>
      <c r="AA179" s="1283">
        <v>0.29825693433718503</v>
      </c>
      <c r="AB179" s="1283">
        <v>0.29825693433718503</v>
      </c>
      <c r="AC179" s="1283">
        <v>0.29825693433718503</v>
      </c>
      <c r="AD179" s="1283">
        <v>0.27910983528364108</v>
      </c>
      <c r="AE179" s="1283">
        <v>0.27910983528364108</v>
      </c>
      <c r="AF179" s="1283">
        <v>0.27910983528364108</v>
      </c>
      <c r="AG179" s="1283">
        <v>0.27909807505779066</v>
      </c>
      <c r="AH179" s="1283">
        <v>0.27909807505779066</v>
      </c>
      <c r="AI179" s="1283">
        <v>0.27909807505779066</v>
      </c>
      <c r="AJ179" s="1283">
        <v>0.35563566021296233</v>
      </c>
      <c r="AK179" s="1283">
        <v>0.29825693433718503</v>
      </c>
      <c r="AL179" s="1283">
        <v>0.27910983528364108</v>
      </c>
      <c r="AM179" s="1283">
        <v>0.27909807505779066</v>
      </c>
      <c r="AN179" s="1283">
        <v>0.3282515136206936</v>
      </c>
      <c r="AO179" s="1283">
        <v>0.27910394885574241</v>
      </c>
      <c r="AP179" s="1283">
        <v>0.30354321976764664</v>
      </c>
    </row>
    <row r="180" spans="1:42" s="504" customFormat="1" ht="14.5" outlineLevel="1">
      <c r="A180" s="1693">
        <v>138</v>
      </c>
      <c r="B180" s="616">
        <v>1</v>
      </c>
      <c r="C180" s="1693">
        <v>141</v>
      </c>
      <c r="D180" s="616">
        <v>1</v>
      </c>
      <c r="E180" s="1693">
        <v>153</v>
      </c>
      <c r="F180" s="616">
        <v>1</v>
      </c>
      <c r="G180" s="1693">
        <v>180</v>
      </c>
      <c r="H180" s="616">
        <v>1</v>
      </c>
      <c r="I180" s="616"/>
      <c r="J180" s="709" t="s">
        <v>512</v>
      </c>
      <c r="K180" s="1764" t="s">
        <v>1216</v>
      </c>
      <c r="L180" s="4"/>
      <c r="M180" s="4"/>
      <c r="N180" s="501"/>
      <c r="O180" s="502"/>
      <c r="P180" s="505"/>
      <c r="Q180" s="501"/>
      <c r="R180" s="501"/>
      <c r="S180" s="503" t="s">
        <v>1031</v>
      </c>
      <c r="T180" s="505"/>
      <c r="U180" s="505"/>
      <c r="V180" s="505"/>
      <c r="W180" s="1792"/>
      <c r="X180" s="1304">
        <v>0.33300000000000002</v>
      </c>
      <c r="Y180" s="1283">
        <v>0.33300000000000002</v>
      </c>
      <c r="Z180" s="1283">
        <v>0.33300000000000002</v>
      </c>
      <c r="AA180" s="1283">
        <v>0</v>
      </c>
      <c r="AB180" s="1283">
        <v>0.33300000000000002</v>
      </c>
      <c r="AC180" s="1283">
        <v>0.33300000000000002</v>
      </c>
      <c r="AD180" s="1283">
        <v>0.33300000000000002</v>
      </c>
      <c r="AE180" s="1283">
        <v>0.33300000000000002</v>
      </c>
      <c r="AF180" s="1283">
        <v>0.33300000000000002</v>
      </c>
      <c r="AG180" s="1283">
        <v>0.33300000000000002</v>
      </c>
      <c r="AH180" s="1283">
        <v>0.33300000000000002</v>
      </c>
      <c r="AI180" s="1283">
        <v>0.33300000000000002</v>
      </c>
      <c r="AJ180" s="1283">
        <v>0.33300000000000002</v>
      </c>
      <c r="AK180" s="1283">
        <v>0.33300000000000002</v>
      </c>
      <c r="AL180" s="1283">
        <v>0.33300000000000002</v>
      </c>
      <c r="AM180" s="1283">
        <v>0.33300000000000002</v>
      </c>
      <c r="AN180" s="1283">
        <v>0.33300000000000002</v>
      </c>
      <c r="AO180" s="1283">
        <v>0.33300000000000002</v>
      </c>
      <c r="AP180" s="1283">
        <v>0.33300000000000002</v>
      </c>
    </row>
    <row r="181" spans="1:42" s="504" customFormat="1" ht="14.5" outlineLevel="1">
      <c r="A181" s="1693">
        <v>139</v>
      </c>
      <c r="B181" s="616">
        <v>1</v>
      </c>
      <c r="C181" s="1693">
        <v>142</v>
      </c>
      <c r="D181" s="616">
        <v>1</v>
      </c>
      <c r="E181" s="1693">
        <v>154</v>
      </c>
      <c r="F181" s="616">
        <v>1</v>
      </c>
      <c r="G181" s="1693">
        <v>181</v>
      </c>
      <c r="H181" s="616">
        <v>1</v>
      </c>
      <c r="I181" s="616"/>
      <c r="J181" s="709" t="s">
        <v>512</v>
      </c>
      <c r="K181" s="1764" t="s">
        <v>1216</v>
      </c>
      <c r="L181" s="4"/>
      <c r="M181" s="4"/>
      <c r="N181" s="501"/>
      <c r="O181" s="502"/>
      <c r="P181" s="505"/>
      <c r="Q181" s="501"/>
      <c r="R181" s="501"/>
      <c r="S181" s="503" t="s">
        <v>1026</v>
      </c>
      <c r="T181" s="505"/>
      <c r="U181" s="505"/>
      <c r="V181" s="505"/>
      <c r="W181" s="1792"/>
      <c r="X181" s="1304">
        <v>0</v>
      </c>
      <c r="Y181" s="1283">
        <v>0</v>
      </c>
      <c r="Z181" s="1283">
        <v>0</v>
      </c>
      <c r="AA181" s="1283">
        <v>0</v>
      </c>
      <c r="AB181" s="1283">
        <v>0</v>
      </c>
      <c r="AC181" s="1283">
        <v>0</v>
      </c>
      <c r="AD181" s="1283">
        <v>0</v>
      </c>
      <c r="AE181" s="1283">
        <v>0</v>
      </c>
      <c r="AF181" s="1283">
        <v>0</v>
      </c>
      <c r="AG181" s="1283">
        <v>0</v>
      </c>
      <c r="AH181" s="1283">
        <v>0</v>
      </c>
      <c r="AI181" s="1283">
        <v>0</v>
      </c>
      <c r="AJ181" s="1283">
        <v>0</v>
      </c>
      <c r="AK181" s="1283">
        <v>0</v>
      </c>
      <c r="AL181" s="1283">
        <v>0</v>
      </c>
      <c r="AM181" s="1283">
        <v>0</v>
      </c>
      <c r="AN181" s="1283">
        <v>0</v>
      </c>
      <c r="AO181" s="1283">
        <v>0</v>
      </c>
      <c r="AP181" s="1283">
        <v>0</v>
      </c>
    </row>
    <row r="182" spans="1:42" ht="14.5">
      <c r="A182" s="1693">
        <v>140</v>
      </c>
      <c r="B182" s="616">
        <v>1</v>
      </c>
      <c r="C182" s="1693">
        <v>143</v>
      </c>
      <c r="D182" s="616">
        <v>1</v>
      </c>
      <c r="E182" s="1693">
        <v>155</v>
      </c>
      <c r="F182" s="616">
        <v>1</v>
      </c>
      <c r="G182" s="1693">
        <v>182</v>
      </c>
      <c r="H182" s="616">
        <v>1</v>
      </c>
      <c r="J182" s="709" t="s">
        <v>512</v>
      </c>
      <c r="K182" s="1764" t="s">
        <v>1216</v>
      </c>
      <c r="L182" s="4"/>
      <c r="M182" s="4"/>
      <c r="N182" s="4"/>
      <c r="O182" s="27"/>
      <c r="P182" s="3"/>
      <c r="Q182" s="4"/>
      <c r="R182" s="4"/>
      <c r="S182" s="3" t="s">
        <v>57</v>
      </c>
      <c r="T182" s="3"/>
      <c r="U182" s="3"/>
      <c r="V182" s="3"/>
      <c r="W182" s="1794"/>
      <c r="X182" s="2031">
        <v>56312.794459501456</v>
      </c>
      <c r="Y182" s="2032">
        <v>35905.5520033621</v>
      </c>
      <c r="Z182" s="2032">
        <v>40324.001298067131</v>
      </c>
      <c r="AA182" s="2032">
        <v>34311.960433976405</v>
      </c>
      <c r="AB182" s="2032">
        <v>39415.951506606521</v>
      </c>
      <c r="AC182" s="2032">
        <v>45305.996212577855</v>
      </c>
      <c r="AD182" s="2032">
        <v>30930.269019306601</v>
      </c>
      <c r="AE182" s="2032">
        <v>28840.970047981566</v>
      </c>
      <c r="AF182" s="2032">
        <v>41688.282868136273</v>
      </c>
      <c r="AG182" s="2032">
        <v>31668.950906093542</v>
      </c>
      <c r="AH182" s="2032">
        <v>37815.329440848909</v>
      </c>
      <c r="AI182" s="2032">
        <v>43416.876258415032</v>
      </c>
      <c r="AJ182" s="2002">
        <v>132542.34776093069</v>
      </c>
      <c r="AK182" s="2002">
        <v>119033.90815316078</v>
      </c>
      <c r="AL182" s="2002">
        <v>101459.52193542445</v>
      </c>
      <c r="AM182" s="2002">
        <v>112901.15660535748</v>
      </c>
      <c r="AN182" s="2002">
        <v>251576.25591409148</v>
      </c>
      <c r="AO182" s="2002">
        <v>214360.67854078193</v>
      </c>
      <c r="AP182" s="2002">
        <v>465936.93445487344</v>
      </c>
    </row>
    <row r="183" spans="1:42" ht="14.5">
      <c r="A183" s="1693">
        <v>141</v>
      </c>
      <c r="B183" s="616">
        <v>1</v>
      </c>
      <c r="C183" s="1693">
        <v>144</v>
      </c>
      <c r="D183" s="616">
        <v>1</v>
      </c>
      <c r="E183" s="1693">
        <v>156</v>
      </c>
      <c r="F183" s="616">
        <v>1</v>
      </c>
      <c r="G183" s="1693">
        <v>183</v>
      </c>
      <c r="H183" s="616">
        <v>1</v>
      </c>
      <c r="J183" s="709" t="s">
        <v>512</v>
      </c>
      <c r="K183" s="1764" t="s">
        <v>1216</v>
      </c>
      <c r="L183" s="4"/>
      <c r="M183" s="4"/>
      <c r="N183" s="4"/>
      <c r="O183" s="27"/>
      <c r="P183" s="3"/>
      <c r="Q183" s="4"/>
      <c r="R183" s="4"/>
      <c r="S183" s="3" t="s">
        <v>27</v>
      </c>
      <c r="T183" s="3"/>
      <c r="U183" s="3"/>
      <c r="V183" s="3"/>
      <c r="W183" s="1794"/>
      <c r="X183" s="2031">
        <v>193922.74996814239</v>
      </c>
      <c r="Y183" s="2032">
        <v>106269.86246839605</v>
      </c>
      <c r="Z183" s="2032">
        <v>105370.69572195098</v>
      </c>
      <c r="AA183" s="2032">
        <v>103509.2319588953</v>
      </c>
      <c r="AB183" s="2032">
        <v>103509.2319588953</v>
      </c>
      <c r="AC183" s="2032">
        <v>103509.2319588953</v>
      </c>
      <c r="AD183" s="2032">
        <v>102488.04752333023</v>
      </c>
      <c r="AE183" s="2032">
        <v>102488.04752333023</v>
      </c>
      <c r="AF183" s="2032">
        <v>102488.04752333023</v>
      </c>
      <c r="AG183" s="2032">
        <v>102704.09158765523</v>
      </c>
      <c r="AH183" s="2032">
        <v>102704.09158765523</v>
      </c>
      <c r="AI183" s="2032">
        <v>102704.09158765523</v>
      </c>
      <c r="AJ183" s="2002">
        <v>405563.30815848941</v>
      </c>
      <c r="AK183" s="2002">
        <v>310527.6958766859</v>
      </c>
      <c r="AL183" s="2002">
        <v>307464.14256999071</v>
      </c>
      <c r="AM183" s="2002">
        <v>308112.27476296568</v>
      </c>
      <c r="AN183" s="2002">
        <v>716091.00403517531</v>
      </c>
      <c r="AO183" s="2002">
        <v>615576.41733295633</v>
      </c>
      <c r="AP183" s="2002">
        <v>1331667.4213681316</v>
      </c>
    </row>
    <row r="184" spans="1:42" ht="14.5">
      <c r="A184" s="1693">
        <v>142</v>
      </c>
      <c r="B184" s="616">
        <v>1</v>
      </c>
      <c r="C184" s="1693">
        <v>145</v>
      </c>
      <c r="D184" s="616">
        <v>1</v>
      </c>
      <c r="E184" s="1693">
        <v>157</v>
      </c>
      <c r="F184" s="616">
        <v>1</v>
      </c>
      <c r="G184" s="1693">
        <v>184</v>
      </c>
      <c r="H184" s="616">
        <v>1</v>
      </c>
      <c r="J184" s="709" t="s">
        <v>512</v>
      </c>
      <c r="K184" s="1764" t="s">
        <v>1216</v>
      </c>
      <c r="L184" s="4"/>
      <c r="M184" s="4"/>
      <c r="N184" s="4"/>
      <c r="O184" s="27"/>
      <c r="P184" s="3"/>
      <c r="Q184" s="4"/>
      <c r="R184" s="4"/>
      <c r="S184" s="3" t="s">
        <v>24</v>
      </c>
      <c r="T184" s="3"/>
      <c r="U184" s="3"/>
      <c r="V184" s="3"/>
      <c r="W184" s="1794"/>
      <c r="X184" s="2031">
        <v>249.75</v>
      </c>
      <c r="Y184" s="2032">
        <v>249.75</v>
      </c>
      <c r="Z184" s="2032">
        <v>249.75</v>
      </c>
      <c r="AA184" s="2032">
        <v>0</v>
      </c>
      <c r="AB184" s="2032">
        <v>249.75</v>
      </c>
      <c r="AC184" s="2032">
        <v>249.75</v>
      </c>
      <c r="AD184" s="2032">
        <v>249.75</v>
      </c>
      <c r="AE184" s="2032">
        <v>249.75</v>
      </c>
      <c r="AF184" s="2032">
        <v>249.75</v>
      </c>
      <c r="AG184" s="2032">
        <v>249.75</v>
      </c>
      <c r="AH184" s="2032">
        <v>249.75</v>
      </c>
      <c r="AI184" s="2032">
        <v>499.5</v>
      </c>
      <c r="AJ184" s="2002">
        <v>749.25</v>
      </c>
      <c r="AK184" s="2002">
        <v>499.5</v>
      </c>
      <c r="AL184" s="2002">
        <v>749.25</v>
      </c>
      <c r="AM184" s="2002">
        <v>999</v>
      </c>
      <c r="AN184" s="2002">
        <v>1248.75</v>
      </c>
      <c r="AO184" s="2002">
        <v>1748.25</v>
      </c>
      <c r="AP184" s="2002">
        <v>2997</v>
      </c>
    </row>
    <row r="185" spans="1:42" ht="14.5">
      <c r="A185" s="1693">
        <v>143</v>
      </c>
      <c r="B185" s="616">
        <v>1</v>
      </c>
      <c r="C185" s="1693">
        <v>146</v>
      </c>
      <c r="D185" s="616">
        <v>1</v>
      </c>
      <c r="E185" s="1693">
        <v>158</v>
      </c>
      <c r="F185" s="616">
        <v>1</v>
      </c>
      <c r="G185" s="1693">
        <v>185</v>
      </c>
      <c r="H185" s="616">
        <v>1</v>
      </c>
      <c r="J185" s="709" t="s">
        <v>512</v>
      </c>
      <c r="K185" s="1764" t="s">
        <v>1216</v>
      </c>
      <c r="L185" s="4"/>
      <c r="M185" s="4"/>
      <c r="N185" s="4"/>
      <c r="O185" s="27"/>
      <c r="P185" s="3"/>
      <c r="Q185" s="4"/>
      <c r="R185" s="4"/>
      <c r="S185" s="3" t="s">
        <v>2</v>
      </c>
      <c r="T185" s="3"/>
      <c r="U185" s="3"/>
      <c r="V185" s="3"/>
      <c r="W185" s="1794"/>
      <c r="X185" s="2031">
        <v>0</v>
      </c>
      <c r="Y185" s="2032">
        <v>0</v>
      </c>
      <c r="Z185" s="2032">
        <v>0</v>
      </c>
      <c r="AA185" s="2032">
        <v>0</v>
      </c>
      <c r="AB185" s="2032">
        <v>0</v>
      </c>
      <c r="AC185" s="2032">
        <v>0</v>
      </c>
      <c r="AD185" s="2032">
        <v>0</v>
      </c>
      <c r="AE185" s="2032">
        <v>0</v>
      </c>
      <c r="AF185" s="2032">
        <v>0</v>
      </c>
      <c r="AG185" s="2032">
        <v>0</v>
      </c>
      <c r="AH185" s="2032">
        <v>0</v>
      </c>
      <c r="AI185" s="2032">
        <v>0</v>
      </c>
      <c r="AJ185" s="2002">
        <v>0</v>
      </c>
      <c r="AK185" s="2002">
        <v>0</v>
      </c>
      <c r="AL185" s="2002">
        <v>0</v>
      </c>
      <c r="AM185" s="2002">
        <v>0</v>
      </c>
      <c r="AN185" s="2002">
        <v>0</v>
      </c>
      <c r="AO185" s="2002">
        <v>0</v>
      </c>
      <c r="AP185" s="2002">
        <v>0</v>
      </c>
    </row>
    <row r="186" spans="1:42" ht="14.5">
      <c r="A186" s="1693">
        <v>144</v>
      </c>
      <c r="B186" s="616">
        <v>1</v>
      </c>
      <c r="C186" s="1693">
        <v>147</v>
      </c>
      <c r="D186" s="616">
        <v>1</v>
      </c>
      <c r="E186" s="1693">
        <v>159</v>
      </c>
      <c r="F186" s="616">
        <v>1</v>
      </c>
      <c r="G186" s="1693">
        <v>186</v>
      </c>
      <c r="H186" s="616">
        <v>1</v>
      </c>
      <c r="J186" s="709" t="s">
        <v>512</v>
      </c>
      <c r="K186" s="1764" t="s">
        <v>1216</v>
      </c>
      <c r="L186" s="4"/>
      <c r="M186" s="4"/>
      <c r="N186" s="4"/>
      <c r="O186" s="2025" t="s">
        <v>29</v>
      </c>
      <c r="P186" s="2026"/>
      <c r="Q186" s="864"/>
      <c r="R186" s="864"/>
      <c r="S186" s="864"/>
      <c r="T186" s="864"/>
      <c r="U186" s="864"/>
      <c r="V186" s="864"/>
      <c r="W186" s="1793"/>
      <c r="X186" s="2028">
        <v>123052.51485796104</v>
      </c>
      <c r="Y186" s="2029">
        <v>101209.46203948699</v>
      </c>
      <c r="Z186" s="2029">
        <v>104253.09945725728</v>
      </c>
      <c r="AA186" s="2029">
        <v>101929.82261149502</v>
      </c>
      <c r="AB186" s="2029">
        <v>105500.40799757888</v>
      </c>
      <c r="AC186" s="2029">
        <v>109616.60697759804</v>
      </c>
      <c r="AD186" s="2029">
        <v>100762.3978708564</v>
      </c>
      <c r="AE186" s="2029">
        <v>99910.889697481543</v>
      </c>
      <c r="AF186" s="2029">
        <v>103614.16117443654</v>
      </c>
      <c r="AG186" s="2029">
        <v>99396.07852590963</v>
      </c>
      <c r="AH186" s="2029">
        <v>101676.02040697997</v>
      </c>
      <c r="AI186" s="2029">
        <v>102428.01604991566</v>
      </c>
      <c r="AJ186" s="2030">
        <v>328515.07635470526</v>
      </c>
      <c r="AK186" s="2030">
        <v>317046.83758667193</v>
      </c>
      <c r="AL186" s="2030">
        <v>304287.44874277443</v>
      </c>
      <c r="AM186" s="2030">
        <v>303500.11498280521</v>
      </c>
      <c r="AN186" s="2030">
        <v>645561.91394137731</v>
      </c>
      <c r="AO186" s="2030">
        <v>607787.56372557976</v>
      </c>
      <c r="AP186" s="2030">
        <v>1253349.4776669568</v>
      </c>
    </row>
    <row r="187" spans="1:42" ht="14.5">
      <c r="A187" s="1693">
        <v>145</v>
      </c>
      <c r="B187" s="616">
        <v>1</v>
      </c>
      <c r="C187" s="1693">
        <v>148</v>
      </c>
      <c r="D187" s="616">
        <v>1</v>
      </c>
      <c r="E187" s="1693">
        <v>160</v>
      </c>
      <c r="F187" s="616">
        <v>1</v>
      </c>
      <c r="G187" s="1693">
        <v>187</v>
      </c>
      <c r="H187" s="616">
        <v>1</v>
      </c>
      <c r="J187" s="709" t="s">
        <v>512</v>
      </c>
      <c r="K187" s="1764" t="s">
        <v>1216</v>
      </c>
      <c r="L187" s="4"/>
      <c r="M187" s="4"/>
      <c r="N187" s="4"/>
      <c r="O187" s="27"/>
      <c r="P187" s="108" t="s">
        <v>63</v>
      </c>
      <c r="Q187" s="4"/>
      <c r="R187" s="4"/>
      <c r="S187" s="3"/>
      <c r="T187" s="3"/>
      <c r="U187" s="3"/>
      <c r="V187" s="3"/>
      <c r="W187" s="1853"/>
      <c r="X187" s="2003">
        <v>50980.303446144899</v>
      </c>
      <c r="Y187" s="2004">
        <v>30426.5557462086</v>
      </c>
      <c r="Z187" s="2004">
        <v>32954.735362894397</v>
      </c>
      <c r="AA187" s="2004">
        <v>30864.690659938002</v>
      </c>
      <c r="AB187" s="2004">
        <v>33896.9053290148</v>
      </c>
      <c r="AC187" s="2004">
        <v>37698.6374647552</v>
      </c>
      <c r="AD187" s="2004">
        <v>28898.560990239599</v>
      </c>
      <c r="AE187" s="2004">
        <v>28132.535128736101</v>
      </c>
      <c r="AF187" s="2004">
        <v>31464.037763963301</v>
      </c>
      <c r="AG187" s="2004">
        <v>27468.626886121001</v>
      </c>
      <c r="AH187" s="2004">
        <v>29620.076294099501</v>
      </c>
      <c r="AI187" s="2004">
        <v>30095.801013074903</v>
      </c>
      <c r="AJ187" s="2002">
        <v>114361.5945552479</v>
      </c>
      <c r="AK187" s="2002">
        <v>102460.233453708</v>
      </c>
      <c r="AL187" s="2002">
        <v>88495.133882939001</v>
      </c>
      <c r="AM187" s="2002">
        <v>87184.504193295405</v>
      </c>
      <c r="AN187" s="2002">
        <v>216821.8280089559</v>
      </c>
      <c r="AO187" s="2002">
        <v>175679.63807623441</v>
      </c>
      <c r="AP187" s="2002">
        <v>392501.4660851903</v>
      </c>
    </row>
    <row r="188" spans="1:42" ht="14.5">
      <c r="A188" s="1693">
        <v>146</v>
      </c>
      <c r="B188" s="616">
        <v>1</v>
      </c>
      <c r="C188" s="1693">
        <v>149</v>
      </c>
      <c r="D188" s="616">
        <v>1</v>
      </c>
      <c r="E188" s="1693">
        <v>161</v>
      </c>
      <c r="F188" s="616">
        <v>1</v>
      </c>
      <c r="G188" s="1693">
        <v>188</v>
      </c>
      <c r="H188" s="616">
        <v>1</v>
      </c>
      <c r="J188" s="709" t="s">
        <v>512</v>
      </c>
      <c r="K188" s="1764" t="s">
        <v>1216</v>
      </c>
      <c r="L188" s="4"/>
      <c r="M188" s="4"/>
      <c r="N188" s="4"/>
      <c r="O188" s="27"/>
      <c r="P188" s="36" t="s">
        <v>28</v>
      </c>
      <c r="Q188" s="4"/>
      <c r="R188" s="4"/>
      <c r="S188" s="3"/>
      <c r="T188" s="3"/>
      <c r="U188" s="3"/>
      <c r="V188" s="3"/>
      <c r="W188" s="1853"/>
      <c r="X188" s="2003">
        <v>34826.591312369434</v>
      </c>
      <c r="Y188" s="2004">
        <v>34826.591312369434</v>
      </c>
      <c r="Z188" s="2004">
        <v>35059.924645702769</v>
      </c>
      <c r="AA188" s="2004">
        <v>35059.924645702769</v>
      </c>
      <c r="AB188" s="2004">
        <v>35259.924645702769</v>
      </c>
      <c r="AC188" s="2004">
        <v>35484.924645702769</v>
      </c>
      <c r="AD188" s="2004">
        <v>35743.257979036105</v>
      </c>
      <c r="AE188" s="2004">
        <v>35743.257979036105</v>
      </c>
      <c r="AF188" s="2004">
        <v>35743.257979036105</v>
      </c>
      <c r="AG188" s="2004">
        <v>35743.257979036105</v>
      </c>
      <c r="AH188" s="2004">
        <v>35743.257979036105</v>
      </c>
      <c r="AI188" s="2004">
        <v>35743.257979036105</v>
      </c>
      <c r="AJ188" s="2002">
        <v>104713.10727044163</v>
      </c>
      <c r="AK188" s="2002">
        <v>105804.77393710832</v>
      </c>
      <c r="AL188" s="2002">
        <v>107229.77393710832</v>
      </c>
      <c r="AM188" s="2002">
        <v>107229.77393710832</v>
      </c>
      <c r="AN188" s="2002">
        <v>210517.88120754994</v>
      </c>
      <c r="AO188" s="2002">
        <v>214459.54787421663</v>
      </c>
      <c r="AP188" s="2002">
        <v>424977.42908176658</v>
      </c>
    </row>
    <row r="189" spans="1:42" ht="14.5">
      <c r="A189" s="1693">
        <v>147</v>
      </c>
      <c r="B189" s="616">
        <v>1</v>
      </c>
      <c r="C189" s="1693">
        <v>150</v>
      </c>
      <c r="D189" s="616">
        <v>1</v>
      </c>
      <c r="E189" s="1693">
        <v>162</v>
      </c>
      <c r="F189" s="616">
        <v>1</v>
      </c>
      <c r="G189" s="1693">
        <v>189</v>
      </c>
      <c r="H189" s="616">
        <v>1</v>
      </c>
      <c r="J189" s="709" t="s">
        <v>512</v>
      </c>
      <c r="K189" s="1764" t="s">
        <v>1216</v>
      </c>
      <c r="L189" s="4"/>
      <c r="M189" s="4"/>
      <c r="N189" s="4"/>
      <c r="O189" s="27"/>
      <c r="P189" s="36" t="s">
        <v>62</v>
      </c>
      <c r="Q189" s="4"/>
      <c r="R189" s="4"/>
      <c r="S189" s="3"/>
      <c r="T189" s="3"/>
      <c r="U189" s="3"/>
      <c r="V189" s="3"/>
      <c r="W189" s="1853"/>
      <c r="X189" s="2003">
        <v>37245.620099446707</v>
      </c>
      <c r="Y189" s="2004">
        <v>35956.314980908952</v>
      </c>
      <c r="Z189" s="2004">
        <v>36238.439448660116</v>
      </c>
      <c r="AA189" s="2004">
        <v>36005.207305854259</v>
      </c>
      <c r="AB189" s="2004">
        <v>36343.578022861308</v>
      </c>
      <c r="AC189" s="2004">
        <v>36433.044867140066</v>
      </c>
      <c r="AD189" s="2004">
        <v>36120.578901580688</v>
      </c>
      <c r="AE189" s="2004">
        <v>36035.096589709341</v>
      </c>
      <c r="AF189" s="2004">
        <v>36406.865431437123</v>
      </c>
      <c r="AG189" s="2004">
        <v>36184.19366075252</v>
      </c>
      <c r="AH189" s="2004">
        <v>36312.686133844356</v>
      </c>
      <c r="AI189" s="2004">
        <v>36588.957057804655</v>
      </c>
      <c r="AJ189" s="2002">
        <v>109440.37452901577</v>
      </c>
      <c r="AK189" s="2002">
        <v>108781.83019585564</v>
      </c>
      <c r="AL189" s="2002">
        <v>108562.54092272714</v>
      </c>
      <c r="AM189" s="2002">
        <v>109085.83685240152</v>
      </c>
      <c r="AN189" s="2002">
        <v>218222.20472487141</v>
      </c>
      <c r="AO189" s="2002">
        <v>217648.37777512867</v>
      </c>
      <c r="AP189" s="2002">
        <v>435870.58250000008</v>
      </c>
    </row>
    <row r="190" spans="1:42" ht="14.5">
      <c r="A190" s="1693">
        <v>148</v>
      </c>
      <c r="B190" s="616">
        <v>1</v>
      </c>
      <c r="C190" s="1693">
        <v>151</v>
      </c>
      <c r="D190" s="616">
        <v>1</v>
      </c>
      <c r="E190" s="1693">
        <v>163</v>
      </c>
      <c r="F190" s="616">
        <v>1</v>
      </c>
      <c r="G190" s="1693">
        <v>190</v>
      </c>
      <c r="H190" s="616">
        <v>1</v>
      </c>
      <c r="J190" s="709" t="s">
        <v>512</v>
      </c>
      <c r="K190" s="1764" t="s">
        <v>1216</v>
      </c>
      <c r="L190" s="4"/>
      <c r="M190" s="4"/>
      <c r="N190" s="4"/>
      <c r="O190" s="2025" t="s">
        <v>56</v>
      </c>
      <c r="P190" s="2026"/>
      <c r="Q190" s="864"/>
      <c r="R190" s="864"/>
      <c r="S190" s="864"/>
      <c r="T190" s="864"/>
      <c r="U190" s="864"/>
      <c r="V190" s="864"/>
      <c r="W190" s="1793"/>
      <c r="X190" s="2028">
        <v>127432.77956968281</v>
      </c>
      <c r="Y190" s="2029">
        <v>41215.702432271166</v>
      </c>
      <c r="Z190" s="2029">
        <v>41691.347562760842</v>
      </c>
      <c r="AA190" s="2029">
        <v>35891.369781376692</v>
      </c>
      <c r="AB190" s="2029">
        <v>37674.52546792294</v>
      </c>
      <c r="AC190" s="2029">
        <v>39448.371193875093</v>
      </c>
      <c r="AD190" s="2029">
        <v>32905.66867178044</v>
      </c>
      <c r="AE190" s="2029">
        <v>31667.87787383025</v>
      </c>
      <c r="AF190" s="2029">
        <v>40811.919217029965</v>
      </c>
      <c r="AG190" s="2029">
        <v>35226.71396783914</v>
      </c>
      <c r="AH190" s="2029">
        <v>39093.150621524182</v>
      </c>
      <c r="AI190" s="2029">
        <v>44192.451796154608</v>
      </c>
      <c r="AJ190" s="2030">
        <v>210339.8295647148</v>
      </c>
      <c r="AK190" s="2030">
        <v>113014.26644317474</v>
      </c>
      <c r="AL190" s="2030">
        <v>105385.4657626407</v>
      </c>
      <c r="AM190" s="2030">
        <v>118512.31638551794</v>
      </c>
      <c r="AN190" s="2030">
        <v>323354.09600788949</v>
      </c>
      <c r="AO190" s="2030">
        <v>223897.78214815853</v>
      </c>
      <c r="AP190" s="2030">
        <v>547251.87815604825</v>
      </c>
    </row>
    <row r="191" spans="1:42" ht="14.5">
      <c r="A191" s="1693">
        <v>149</v>
      </c>
      <c r="B191" s="616">
        <v>1</v>
      </c>
      <c r="C191" s="1693">
        <v>152</v>
      </c>
      <c r="D191" s="616">
        <v>1</v>
      </c>
      <c r="E191" s="1693">
        <v>164</v>
      </c>
      <c r="F191" s="616">
        <v>1</v>
      </c>
      <c r="G191" s="1693">
        <v>191</v>
      </c>
      <c r="H191" s="616">
        <v>1</v>
      </c>
      <c r="J191" s="709" t="s">
        <v>512</v>
      </c>
      <c r="K191" s="1764" t="s">
        <v>1216</v>
      </c>
      <c r="L191" s="4"/>
      <c r="M191" s="4"/>
      <c r="N191" s="4"/>
      <c r="O191" s="25"/>
      <c r="P191" s="511" t="s">
        <v>55</v>
      </c>
      <c r="Q191" s="2"/>
      <c r="R191" s="2"/>
      <c r="S191" s="1"/>
      <c r="T191" s="1"/>
      <c r="U191" s="1"/>
      <c r="V191" s="1"/>
      <c r="W191" s="1792"/>
      <c r="X191" s="2033">
        <v>0.21326242981358859</v>
      </c>
      <c r="Y191" s="2034">
        <v>8.966548232100166E-2</v>
      </c>
      <c r="Z191" s="2034">
        <v>8.8431329517392118E-2</v>
      </c>
      <c r="AA191" s="2034">
        <v>7.9470495782349423E-2</v>
      </c>
      <c r="AB191" s="2034">
        <v>8.057664218489137E-2</v>
      </c>
      <c r="AC191" s="2034">
        <v>8.1705140262066017E-2</v>
      </c>
      <c r="AD191" s="2034">
        <v>7.124381655019156E-2</v>
      </c>
      <c r="AE191" s="2034">
        <v>6.9637299932913399E-2</v>
      </c>
      <c r="AF191" s="2034">
        <v>8.2333880156401307E-2</v>
      </c>
      <c r="AG191" s="2034">
        <v>7.5723597607191231E-2</v>
      </c>
      <c r="AH191" s="2034">
        <v>8.0692383449508562E-2</v>
      </c>
      <c r="AI191" s="2034">
        <v>8.8198324808544198E-2</v>
      </c>
      <c r="AJ191" s="2034">
        <v>0.13759797396808604</v>
      </c>
      <c r="AK191" s="2034">
        <v>8.0608941636841375E-2</v>
      </c>
      <c r="AL191" s="2034">
        <v>7.4618867951470477E-2</v>
      </c>
      <c r="AM191" s="2034">
        <v>8.1691483220520708E-2</v>
      </c>
      <c r="AN191" s="2034">
        <v>0.11033484707747758</v>
      </c>
      <c r="AO191" s="2034">
        <v>7.820262257007736E-2</v>
      </c>
      <c r="AP191" s="2034">
        <v>9.4456231935349091E-2</v>
      </c>
    </row>
    <row r="192" spans="1:42" ht="14.5">
      <c r="A192" s="1693">
        <v>150</v>
      </c>
      <c r="B192" s="616">
        <v>1</v>
      </c>
      <c r="C192" s="1693">
        <v>153</v>
      </c>
      <c r="D192" s="616">
        <v>1</v>
      </c>
      <c r="E192" s="1693">
        <v>165</v>
      </c>
      <c r="F192" s="616">
        <v>1</v>
      </c>
      <c r="G192" s="1693">
        <v>192</v>
      </c>
      <c r="H192" s="616">
        <v>1</v>
      </c>
      <c r="J192" s="709" t="s">
        <v>512</v>
      </c>
      <c r="K192" s="1764" t="s">
        <v>1216</v>
      </c>
      <c r="L192" s="4"/>
      <c r="M192" s="4"/>
      <c r="N192" s="4"/>
      <c r="O192" s="198" t="s">
        <v>994</v>
      </c>
      <c r="P192" s="447"/>
      <c r="Q192" s="514"/>
      <c r="R192" s="514"/>
      <c r="S192" s="447"/>
      <c r="T192" s="447"/>
      <c r="U192" s="447"/>
      <c r="V192" s="447"/>
      <c r="W192" s="1853"/>
      <c r="X192" s="2015">
        <v>0</v>
      </c>
      <c r="Y192" s="2016">
        <v>0</v>
      </c>
      <c r="Z192" s="2016">
        <v>0</v>
      </c>
      <c r="AA192" s="2016">
        <v>0</v>
      </c>
      <c r="AB192" s="2016">
        <v>0</v>
      </c>
      <c r="AC192" s="2016">
        <v>0</v>
      </c>
      <c r="AD192" s="2016">
        <v>0</v>
      </c>
      <c r="AE192" s="2016">
        <v>0</v>
      </c>
      <c r="AF192" s="2016">
        <v>0</v>
      </c>
      <c r="AG192" s="2016">
        <v>0</v>
      </c>
      <c r="AH192" s="2016">
        <v>0</v>
      </c>
      <c r="AI192" s="2016">
        <v>0</v>
      </c>
      <c r="AJ192" s="1978">
        <v>0</v>
      </c>
      <c r="AK192" s="1978">
        <v>0</v>
      </c>
      <c r="AL192" s="1978">
        <v>0</v>
      </c>
      <c r="AM192" s="1978">
        <v>0</v>
      </c>
      <c r="AN192" s="1978">
        <v>0</v>
      </c>
      <c r="AO192" s="1978">
        <v>0</v>
      </c>
      <c r="AP192" s="1978">
        <v>0</v>
      </c>
    </row>
    <row r="193" spans="1:42" ht="14.5">
      <c r="A193" s="1693">
        <v>151</v>
      </c>
      <c r="B193" s="616">
        <v>1</v>
      </c>
      <c r="C193" s="1693">
        <v>154</v>
      </c>
      <c r="D193" s="616">
        <v>1</v>
      </c>
      <c r="E193" s="1693">
        <v>166</v>
      </c>
      <c r="F193" s="616">
        <v>1</v>
      </c>
      <c r="G193" s="1693">
        <v>193</v>
      </c>
      <c r="H193" s="616">
        <v>1</v>
      </c>
      <c r="J193" s="709" t="s">
        <v>512</v>
      </c>
      <c r="K193" s="1764" t="s">
        <v>1216</v>
      </c>
      <c r="L193" s="4"/>
      <c r="M193" s="4"/>
      <c r="N193" s="4"/>
      <c r="O193" s="106" t="s">
        <v>995</v>
      </c>
      <c r="P193" s="104"/>
      <c r="Q193" s="105"/>
      <c r="R193" s="105"/>
      <c r="S193" s="104"/>
      <c r="T193" s="104"/>
      <c r="U193" s="104"/>
      <c r="V193" s="104"/>
      <c r="W193" s="1853"/>
      <c r="X193" s="2017">
        <v>0</v>
      </c>
      <c r="Y193" s="2018">
        <v>0</v>
      </c>
      <c r="Z193" s="2018">
        <v>0</v>
      </c>
      <c r="AA193" s="2018">
        <v>0</v>
      </c>
      <c r="AB193" s="2018">
        <v>0</v>
      </c>
      <c r="AC193" s="2018">
        <v>0</v>
      </c>
      <c r="AD193" s="2018">
        <v>0</v>
      </c>
      <c r="AE193" s="2018">
        <v>0</v>
      </c>
      <c r="AF193" s="2018">
        <v>0</v>
      </c>
      <c r="AG193" s="2018">
        <v>0</v>
      </c>
      <c r="AH193" s="2018">
        <v>0</v>
      </c>
      <c r="AI193" s="2018">
        <v>0</v>
      </c>
      <c r="AJ193" s="1980">
        <v>0</v>
      </c>
      <c r="AK193" s="1980">
        <v>0</v>
      </c>
      <c r="AL193" s="1980">
        <v>0</v>
      </c>
      <c r="AM193" s="1980">
        <v>0</v>
      </c>
      <c r="AN193" s="1980">
        <v>0</v>
      </c>
      <c r="AO193" s="1980">
        <v>0</v>
      </c>
      <c r="AP193" s="1980">
        <v>0</v>
      </c>
    </row>
    <row r="194" spans="1:42" ht="14.5">
      <c r="A194" s="1693">
        <v>152</v>
      </c>
      <c r="B194" s="616">
        <v>1</v>
      </c>
      <c r="C194" s="1693">
        <v>155</v>
      </c>
      <c r="D194" s="616">
        <v>1</v>
      </c>
      <c r="E194" s="1693">
        <v>167</v>
      </c>
      <c r="F194" s="616">
        <v>1</v>
      </c>
      <c r="G194" s="1693">
        <v>194</v>
      </c>
      <c r="H194" s="616">
        <v>1</v>
      </c>
      <c r="J194" s="709" t="s">
        <v>512</v>
      </c>
      <c r="K194" s="1764" t="s">
        <v>1216</v>
      </c>
      <c r="L194" s="4"/>
      <c r="M194" s="4"/>
      <c r="N194" s="4"/>
      <c r="O194" s="2025" t="s">
        <v>1</v>
      </c>
      <c r="P194" s="2026"/>
      <c r="Q194" s="864"/>
      <c r="R194" s="864"/>
      <c r="S194" s="864"/>
      <c r="T194" s="864"/>
      <c r="U194" s="864"/>
      <c r="V194" s="864"/>
      <c r="W194" s="1793"/>
      <c r="X194" s="2028">
        <v>127432.77956968281</v>
      </c>
      <c r="Y194" s="2029">
        <v>41215.702432271166</v>
      </c>
      <c r="Z194" s="2029">
        <v>41691.347562760842</v>
      </c>
      <c r="AA194" s="2029">
        <v>35891.369781376692</v>
      </c>
      <c r="AB194" s="2029">
        <v>37674.52546792294</v>
      </c>
      <c r="AC194" s="2029">
        <v>39448.371193875093</v>
      </c>
      <c r="AD194" s="2029">
        <v>32905.66867178044</v>
      </c>
      <c r="AE194" s="2029">
        <v>31667.87787383025</v>
      </c>
      <c r="AF194" s="2029">
        <v>40811.919217029965</v>
      </c>
      <c r="AG194" s="2029">
        <v>35226.71396783914</v>
      </c>
      <c r="AH194" s="2029">
        <v>39093.150621524182</v>
      </c>
      <c r="AI194" s="2029">
        <v>44192.451796154608</v>
      </c>
      <c r="AJ194" s="2030">
        <v>210339.8295647148</v>
      </c>
      <c r="AK194" s="2030">
        <v>113014.26644317474</v>
      </c>
      <c r="AL194" s="2030">
        <v>105385.4657626407</v>
      </c>
      <c r="AM194" s="2030">
        <v>118512.31638551794</v>
      </c>
      <c r="AN194" s="2030">
        <v>323354.09600788949</v>
      </c>
      <c r="AO194" s="2030">
        <v>223897.78214815853</v>
      </c>
      <c r="AP194" s="2030">
        <v>547251.87815604825</v>
      </c>
    </row>
    <row r="195" spans="1:42" ht="14.5">
      <c r="A195" s="1693">
        <v>153</v>
      </c>
      <c r="B195" s="616">
        <v>1</v>
      </c>
      <c r="C195" s="1693">
        <v>156</v>
      </c>
      <c r="D195" s="616">
        <v>1</v>
      </c>
      <c r="E195" s="1693">
        <v>168</v>
      </c>
      <c r="F195" s="616">
        <v>1</v>
      </c>
      <c r="G195" s="1693">
        <v>195</v>
      </c>
      <c r="H195" s="616">
        <v>1</v>
      </c>
      <c r="J195" s="709" t="s">
        <v>512</v>
      </c>
      <c r="K195" s="1764" t="s">
        <v>1216</v>
      </c>
      <c r="L195" s="4"/>
      <c r="M195" s="4"/>
      <c r="N195" s="4"/>
      <c r="O195" s="25"/>
      <c r="P195" s="511" t="s">
        <v>55</v>
      </c>
      <c r="Q195" s="2"/>
      <c r="R195" s="2"/>
      <c r="S195" s="1"/>
      <c r="T195" s="1"/>
      <c r="U195" s="1"/>
      <c r="V195" s="1"/>
      <c r="W195" s="1792"/>
      <c r="X195" s="1323">
        <v>0.21326242981358859</v>
      </c>
      <c r="Y195" s="1322">
        <v>8.966548232100166E-2</v>
      </c>
      <c r="Z195" s="1322">
        <v>8.8431329517392118E-2</v>
      </c>
      <c r="AA195" s="1322">
        <v>7.9470495782349423E-2</v>
      </c>
      <c r="AB195" s="1322">
        <v>8.057664218489137E-2</v>
      </c>
      <c r="AC195" s="1322">
        <v>8.1705140262066017E-2</v>
      </c>
      <c r="AD195" s="1322">
        <v>7.124381655019156E-2</v>
      </c>
      <c r="AE195" s="1322">
        <v>6.9637299932913399E-2</v>
      </c>
      <c r="AF195" s="1322">
        <v>8.2333880156401307E-2</v>
      </c>
      <c r="AG195" s="1322">
        <v>7.5723597607191231E-2</v>
      </c>
      <c r="AH195" s="1322">
        <v>8.0692383449508562E-2</v>
      </c>
      <c r="AI195" s="1322">
        <v>8.8198324808544198E-2</v>
      </c>
      <c r="AJ195" s="1322">
        <v>0.13759797396808604</v>
      </c>
      <c r="AK195" s="1322">
        <v>8.0608941636841375E-2</v>
      </c>
      <c r="AL195" s="1322">
        <v>7.4618867951470477E-2</v>
      </c>
      <c r="AM195" s="1322">
        <v>8.1691483220520708E-2</v>
      </c>
      <c r="AN195" s="1322">
        <v>0.11033484707747758</v>
      </c>
      <c r="AO195" s="1322">
        <v>7.820262257007736E-2</v>
      </c>
      <c r="AP195" s="1322">
        <v>9.4456231935349091E-2</v>
      </c>
    </row>
    <row r="196" spans="1:42" ht="14.5">
      <c r="A196" s="1693">
        <v>1</v>
      </c>
      <c r="B196" s="616">
        <v>1</v>
      </c>
      <c r="C196" s="1693">
        <v>1</v>
      </c>
      <c r="D196" s="616">
        <v>1</v>
      </c>
      <c r="E196" s="1693">
        <v>169</v>
      </c>
      <c r="F196" s="616">
        <v>1</v>
      </c>
      <c r="G196" s="1693">
        <v>196</v>
      </c>
      <c r="H196" s="616">
        <v>1</v>
      </c>
      <c r="J196" s="709" t="s">
        <v>512</v>
      </c>
      <c r="K196" s="69"/>
      <c r="L196" s="8"/>
      <c r="M196" s="737"/>
      <c r="N196" s="4"/>
      <c r="O196" s="4"/>
      <c r="P196" s="3"/>
      <c r="Q196" s="742" t="s">
        <v>1032</v>
      </c>
      <c r="R196" s="707"/>
      <c r="S196" s="586"/>
      <c r="T196" s="586"/>
      <c r="U196" s="586"/>
      <c r="V196" s="586"/>
      <c r="W196" s="1785"/>
      <c r="X196" s="1368">
        <v>0.70650956353953753</v>
      </c>
      <c r="Y196" s="1368">
        <v>0.72590727047498194</v>
      </c>
      <c r="Z196" s="1368">
        <v>0.72306369675589477</v>
      </c>
      <c r="AA196" s="1368">
        <v>0.71736183098004946</v>
      </c>
      <c r="AB196" s="1368">
        <v>0.71470559796564392</v>
      </c>
      <c r="AC196" s="1368">
        <v>0.69922732994445846</v>
      </c>
      <c r="AD196" s="1368">
        <v>0.72463263539253919</v>
      </c>
      <c r="AE196" s="1368">
        <v>0.72883731323794732</v>
      </c>
      <c r="AF196" s="1368">
        <v>0.72185704466382672</v>
      </c>
      <c r="AG196" s="1368">
        <v>0.71164863353642638</v>
      </c>
      <c r="AH196" s="1368">
        <v>0.74994865263530042</v>
      </c>
      <c r="AI196" s="1368">
        <v>0.75127251797437233</v>
      </c>
      <c r="AJ196" s="2035">
        <v>0.7168382793267184</v>
      </c>
      <c r="AK196" s="1368">
        <v>0.70986289029465865</v>
      </c>
      <c r="AL196" s="1368">
        <v>0.72500630643524744</v>
      </c>
      <c r="AM196" s="1368">
        <v>0.73767919260388437</v>
      </c>
      <c r="AN196" s="1368">
        <v>0.71346276066215197</v>
      </c>
      <c r="AO196" s="1368">
        <v>0.73126949577580147</v>
      </c>
      <c r="AP196" s="1368">
        <v>0.72167842824482242</v>
      </c>
    </row>
    <row r="197" spans="1:42" ht="14.5">
      <c r="A197" s="1693">
        <v>1</v>
      </c>
      <c r="B197" s="616">
        <v>1</v>
      </c>
      <c r="C197" s="1693">
        <v>1</v>
      </c>
      <c r="D197" s="616">
        <v>1</v>
      </c>
      <c r="E197" s="1693">
        <v>170</v>
      </c>
      <c r="F197" s="616">
        <v>1</v>
      </c>
      <c r="G197" s="1693">
        <v>197</v>
      </c>
      <c r="H197" s="616">
        <v>1</v>
      </c>
      <c r="J197" s="709" t="s">
        <v>512</v>
      </c>
      <c r="K197" s="69"/>
      <c r="L197" s="8"/>
      <c r="M197" s="737"/>
      <c r="N197" s="4"/>
      <c r="O197" s="4"/>
      <c r="P197" s="3"/>
      <c r="Q197" s="27"/>
      <c r="R197" s="572" t="s">
        <v>509</v>
      </c>
      <c r="S197" s="251"/>
      <c r="T197" s="251"/>
      <c r="U197" s="251"/>
      <c r="V197" s="251"/>
      <c r="W197" s="1849"/>
      <c r="X197" s="1986">
        <v>56000</v>
      </c>
      <c r="Y197" s="1986">
        <v>56000</v>
      </c>
      <c r="Z197" s="1986">
        <v>56000</v>
      </c>
      <c r="AA197" s="1986">
        <v>56000</v>
      </c>
      <c r="AB197" s="1986">
        <v>56000</v>
      </c>
      <c r="AC197" s="1986">
        <v>56000</v>
      </c>
      <c r="AD197" s="1987">
        <v>56000</v>
      </c>
      <c r="AE197" s="1987">
        <v>56000</v>
      </c>
      <c r="AF197" s="1987">
        <v>56000</v>
      </c>
      <c r="AG197" s="1988">
        <v>56000</v>
      </c>
      <c r="AH197" s="1988">
        <v>56000</v>
      </c>
      <c r="AI197" s="1988">
        <v>56000</v>
      </c>
      <c r="AJ197" s="1989">
        <v>168000</v>
      </c>
      <c r="AK197" s="1988">
        <v>168000</v>
      </c>
      <c r="AL197" s="1988">
        <v>168000</v>
      </c>
      <c r="AM197" s="1988">
        <v>168000</v>
      </c>
      <c r="AN197" s="1988">
        <v>336000</v>
      </c>
      <c r="AO197" s="1988">
        <v>336000</v>
      </c>
      <c r="AP197" s="1988">
        <v>672000</v>
      </c>
    </row>
    <row r="198" spans="1:42" ht="14.5">
      <c r="A198" s="1693">
        <v>1</v>
      </c>
      <c r="B198" s="616">
        <v>1</v>
      </c>
      <c r="C198" s="1693">
        <v>1</v>
      </c>
      <c r="D198" s="616">
        <v>1</v>
      </c>
      <c r="E198" s="1693">
        <v>171</v>
      </c>
      <c r="F198" s="616">
        <v>1</v>
      </c>
      <c r="G198" s="1693">
        <v>198</v>
      </c>
      <c r="H198" s="616">
        <v>1</v>
      </c>
      <c r="J198" s="709" t="s">
        <v>512</v>
      </c>
      <c r="K198" s="69"/>
      <c r="L198" s="8"/>
      <c r="M198" s="737"/>
      <c r="N198" s="4"/>
      <c r="O198" s="4"/>
      <c r="P198" s="3"/>
      <c r="Q198" s="27"/>
      <c r="R198" s="27"/>
      <c r="S198" s="36" t="s">
        <v>63</v>
      </c>
      <c r="T198" s="3"/>
      <c r="U198" s="3"/>
      <c r="V198" s="3"/>
      <c r="W198" s="1990"/>
      <c r="X198" s="1991">
        <v>15000</v>
      </c>
      <c r="Y198" s="1991">
        <v>15000</v>
      </c>
      <c r="Z198" s="1991">
        <v>15000</v>
      </c>
      <c r="AA198" s="1991">
        <v>15000</v>
      </c>
      <c r="AB198" s="1991">
        <v>15000</v>
      </c>
      <c r="AC198" s="1991">
        <v>15000</v>
      </c>
      <c r="AD198" s="1922">
        <v>15000</v>
      </c>
      <c r="AE198" s="1922">
        <v>15000</v>
      </c>
      <c r="AF198" s="1922">
        <v>15000</v>
      </c>
      <c r="AG198" s="1992">
        <v>15000</v>
      </c>
      <c r="AH198" s="1992">
        <v>15000</v>
      </c>
      <c r="AI198" s="1992">
        <v>15000</v>
      </c>
      <c r="AJ198" s="1947">
        <v>45000</v>
      </c>
      <c r="AK198" s="1948">
        <v>45000</v>
      </c>
      <c r="AL198" s="1948">
        <v>45000</v>
      </c>
      <c r="AM198" s="1948">
        <v>45000</v>
      </c>
      <c r="AN198" s="1948">
        <v>90000</v>
      </c>
      <c r="AO198" s="1948">
        <v>90000</v>
      </c>
      <c r="AP198" s="1948">
        <v>180000</v>
      </c>
    </row>
    <row r="199" spans="1:42" ht="14.5">
      <c r="A199" s="1693">
        <v>1</v>
      </c>
      <c r="B199" s="616">
        <v>1</v>
      </c>
      <c r="C199" s="1693">
        <v>1</v>
      </c>
      <c r="D199" s="616">
        <v>1</v>
      </c>
      <c r="E199" s="1693">
        <v>172</v>
      </c>
      <c r="F199" s="616">
        <v>1</v>
      </c>
      <c r="G199" s="1693">
        <v>199</v>
      </c>
      <c r="H199" s="616">
        <v>1</v>
      </c>
      <c r="J199" s="709" t="s">
        <v>512</v>
      </c>
      <c r="K199" s="69"/>
      <c r="L199" s="8"/>
      <c r="M199" s="737"/>
      <c r="N199" s="4"/>
      <c r="O199" s="4"/>
      <c r="P199" s="3"/>
      <c r="Q199" s="27"/>
      <c r="R199" s="27"/>
      <c r="S199" s="36" t="s">
        <v>28</v>
      </c>
      <c r="T199" s="3"/>
      <c r="U199" s="3"/>
      <c r="V199" s="3"/>
      <c r="W199" s="1990"/>
      <c r="X199" s="1991">
        <v>22000</v>
      </c>
      <c r="Y199" s="1991">
        <v>22000</v>
      </c>
      <c r="Z199" s="1991">
        <v>22000</v>
      </c>
      <c r="AA199" s="1991">
        <v>22000</v>
      </c>
      <c r="AB199" s="1991">
        <v>22000</v>
      </c>
      <c r="AC199" s="1991">
        <v>22000</v>
      </c>
      <c r="AD199" s="1922">
        <v>22000</v>
      </c>
      <c r="AE199" s="1922">
        <v>22000</v>
      </c>
      <c r="AF199" s="1922">
        <v>22000</v>
      </c>
      <c r="AG199" s="1992">
        <v>22000</v>
      </c>
      <c r="AH199" s="1992">
        <v>22000</v>
      </c>
      <c r="AI199" s="1992">
        <v>22000</v>
      </c>
      <c r="AJ199" s="1947">
        <v>66000</v>
      </c>
      <c r="AK199" s="1948">
        <v>66000</v>
      </c>
      <c r="AL199" s="1948">
        <v>66000</v>
      </c>
      <c r="AM199" s="1948">
        <v>66000</v>
      </c>
      <c r="AN199" s="1948">
        <v>132000</v>
      </c>
      <c r="AO199" s="1948">
        <v>132000</v>
      </c>
      <c r="AP199" s="1948">
        <v>264000</v>
      </c>
    </row>
    <row r="200" spans="1:42" ht="14.5">
      <c r="A200" s="1693">
        <v>1</v>
      </c>
      <c r="B200" s="616">
        <v>1</v>
      </c>
      <c r="C200" s="1693">
        <v>1</v>
      </c>
      <c r="D200" s="616">
        <v>1</v>
      </c>
      <c r="E200" s="1693">
        <v>173</v>
      </c>
      <c r="F200" s="616">
        <v>1</v>
      </c>
      <c r="G200" s="1693">
        <v>200</v>
      </c>
      <c r="H200" s="616">
        <v>1</v>
      </c>
      <c r="J200" s="709" t="s">
        <v>512</v>
      </c>
      <c r="K200" s="69"/>
      <c r="L200" s="8"/>
      <c r="M200" s="737"/>
      <c r="N200" s="4"/>
      <c r="O200" s="4"/>
      <c r="P200" s="3"/>
      <c r="Q200" s="27"/>
      <c r="R200" s="25"/>
      <c r="S200" s="104" t="s">
        <v>62</v>
      </c>
      <c r="T200" s="1"/>
      <c r="U200" s="1"/>
      <c r="V200" s="1"/>
      <c r="W200" s="1990"/>
      <c r="X200" s="1993">
        <v>19000</v>
      </c>
      <c r="Y200" s="1993">
        <v>19000</v>
      </c>
      <c r="Z200" s="1993">
        <v>19000</v>
      </c>
      <c r="AA200" s="1993">
        <v>19000</v>
      </c>
      <c r="AB200" s="1993">
        <v>19000</v>
      </c>
      <c r="AC200" s="1993">
        <v>19000</v>
      </c>
      <c r="AD200" s="1932">
        <v>19000</v>
      </c>
      <c r="AE200" s="1932">
        <v>19000</v>
      </c>
      <c r="AF200" s="1932">
        <v>19000</v>
      </c>
      <c r="AG200" s="1994">
        <v>19000</v>
      </c>
      <c r="AH200" s="1994">
        <v>19000</v>
      </c>
      <c r="AI200" s="1994">
        <v>19000</v>
      </c>
      <c r="AJ200" s="1949">
        <v>57000</v>
      </c>
      <c r="AK200" s="1950">
        <v>57000</v>
      </c>
      <c r="AL200" s="1950">
        <v>57000</v>
      </c>
      <c r="AM200" s="1950">
        <v>57000</v>
      </c>
      <c r="AN200" s="1950">
        <v>114000</v>
      </c>
      <c r="AO200" s="1950">
        <v>114000</v>
      </c>
      <c r="AP200" s="1950">
        <v>228000</v>
      </c>
    </row>
    <row r="201" spans="1:42" ht="14.5">
      <c r="A201" s="1693">
        <v>1</v>
      </c>
      <c r="B201" s="616">
        <v>1</v>
      </c>
      <c r="C201" s="1693">
        <v>1</v>
      </c>
      <c r="D201" s="616">
        <v>1</v>
      </c>
      <c r="E201" s="1693">
        <v>174</v>
      </c>
      <c r="F201" s="616">
        <v>1</v>
      </c>
      <c r="G201" s="1693">
        <v>201</v>
      </c>
      <c r="H201" s="616">
        <v>1</v>
      </c>
      <c r="J201" s="709" t="s">
        <v>512</v>
      </c>
      <c r="K201" s="69"/>
      <c r="L201" s="8"/>
      <c r="M201" s="737"/>
      <c r="N201" s="4"/>
      <c r="O201" s="4"/>
      <c r="P201" s="3"/>
      <c r="Q201" s="27"/>
      <c r="R201" s="572" t="s">
        <v>1015</v>
      </c>
      <c r="S201" s="586"/>
      <c r="T201" s="586"/>
      <c r="U201" s="586"/>
      <c r="V201" s="586"/>
      <c r="W201" s="1849"/>
      <c r="X201" s="1400">
        <v>67052.51485796104</v>
      </c>
      <c r="Y201" s="1400">
        <v>45209.462039486985</v>
      </c>
      <c r="Z201" s="1400">
        <v>48253.099457257282</v>
      </c>
      <c r="AA201" s="1400">
        <v>45929.82261149503</v>
      </c>
      <c r="AB201" s="1400">
        <v>49500.407997578877</v>
      </c>
      <c r="AC201" s="1400">
        <v>53616.606977598036</v>
      </c>
      <c r="AD201" s="1683">
        <v>44762.397870856395</v>
      </c>
      <c r="AE201" s="1683">
        <v>43910.889697481543</v>
      </c>
      <c r="AF201" s="1683">
        <v>47614.161174436529</v>
      </c>
      <c r="AG201" s="1941">
        <v>43396.07852590963</v>
      </c>
      <c r="AH201" s="1941">
        <v>45676.020406979966</v>
      </c>
      <c r="AI201" s="1941">
        <v>46428.016049915663</v>
      </c>
      <c r="AJ201" s="1942">
        <v>160515.07635470529</v>
      </c>
      <c r="AK201" s="1941">
        <v>149046.83758667196</v>
      </c>
      <c r="AL201" s="1941">
        <v>136287.44874277446</v>
      </c>
      <c r="AM201" s="1941">
        <v>135500.11498280524</v>
      </c>
      <c r="AN201" s="1941">
        <v>309561.91394137725</v>
      </c>
      <c r="AO201" s="1941">
        <v>271787.5637255797</v>
      </c>
      <c r="AP201" s="1941">
        <v>581349.47766695695</v>
      </c>
    </row>
    <row r="202" spans="1:42" ht="14.5">
      <c r="A202" s="1693">
        <v>1</v>
      </c>
      <c r="B202" s="616">
        <v>1</v>
      </c>
      <c r="C202" s="1693">
        <v>1</v>
      </c>
      <c r="D202" s="616">
        <v>1</v>
      </c>
      <c r="E202" s="1693">
        <v>175</v>
      </c>
      <c r="F202" s="616">
        <v>1</v>
      </c>
      <c r="G202" s="1693">
        <v>202</v>
      </c>
      <c r="H202" s="616">
        <v>1</v>
      </c>
      <c r="J202" s="709" t="s">
        <v>512</v>
      </c>
      <c r="K202" s="69"/>
      <c r="L202" s="8"/>
      <c r="M202" s="737"/>
      <c r="N202" s="4"/>
      <c r="O202" s="4"/>
      <c r="P202" s="3"/>
      <c r="Q202" s="27"/>
      <c r="R202" s="498"/>
      <c r="S202" s="553" t="s">
        <v>1016</v>
      </c>
      <c r="T202" s="47"/>
      <c r="U202" s="47"/>
      <c r="V202" s="47"/>
      <c r="W202" s="1776"/>
      <c r="X202" s="1334">
        <v>0.54490974796703229</v>
      </c>
      <c r="Y202" s="1334">
        <v>0.44669204962129394</v>
      </c>
      <c r="Z202" s="1334">
        <v>0.46284570634794953</v>
      </c>
      <c r="AA202" s="1334">
        <v>0.45060239912862698</v>
      </c>
      <c r="AB202" s="1334">
        <v>0.46919636556016786</v>
      </c>
      <c r="AC202" s="1334">
        <v>0.48912850393695795</v>
      </c>
      <c r="AD202" s="1334">
        <v>0.4442371243311099</v>
      </c>
      <c r="AE202" s="1334">
        <v>0.43950053723311411</v>
      </c>
      <c r="AF202" s="1334">
        <v>0.4595333363195126</v>
      </c>
      <c r="AG202" s="1334">
        <v>0.43659749126418052</v>
      </c>
      <c r="AH202" s="1334">
        <v>0.44923100082155015</v>
      </c>
      <c r="AI202" s="1334">
        <v>0.45327458092413075</v>
      </c>
      <c r="AJ202" s="1332">
        <v>0.48860794498634663</v>
      </c>
      <c r="AK202" s="1334">
        <v>0.47010983841126197</v>
      </c>
      <c r="AL202" s="1334">
        <v>0.44789047101966845</v>
      </c>
      <c r="AM202" s="1334">
        <v>0.44645819982797041</v>
      </c>
      <c r="AN202" s="1334">
        <v>0.47952319871442756</v>
      </c>
      <c r="AO202" s="1334">
        <v>0.44717526311264516</v>
      </c>
      <c r="AP202" s="1334">
        <v>0.4638366936164588</v>
      </c>
    </row>
    <row r="203" spans="1:42" ht="14.5">
      <c r="A203" s="1693">
        <v>1</v>
      </c>
      <c r="B203" s="616">
        <v>1</v>
      </c>
      <c r="C203" s="1693">
        <v>1</v>
      </c>
      <c r="D203" s="616">
        <v>1</v>
      </c>
      <c r="E203" s="1693">
        <v>176</v>
      </c>
      <c r="F203" s="616">
        <v>1</v>
      </c>
      <c r="G203" s="1693">
        <v>203</v>
      </c>
      <c r="H203" s="616">
        <v>1</v>
      </c>
      <c r="J203" s="709" t="s">
        <v>512</v>
      </c>
      <c r="K203" s="69"/>
      <c r="L203" s="8"/>
      <c r="M203" s="737"/>
      <c r="N203" s="4"/>
      <c r="O203" s="4"/>
      <c r="P203" s="3"/>
      <c r="Q203" s="27"/>
      <c r="R203" s="27"/>
      <c r="S203" s="36" t="s">
        <v>63</v>
      </c>
      <c r="T203" s="3"/>
      <c r="U203" s="3"/>
      <c r="V203" s="3"/>
      <c r="W203" s="1849"/>
      <c r="X203" s="1378">
        <v>35980.303446144899</v>
      </c>
      <c r="Y203" s="1378">
        <v>15426.5557462086</v>
      </c>
      <c r="Z203" s="1378">
        <v>17954.735362894397</v>
      </c>
      <c r="AA203" s="1378">
        <v>15864.690659938002</v>
      </c>
      <c r="AB203" s="1378">
        <v>18896.9053290148</v>
      </c>
      <c r="AC203" s="1378">
        <v>22698.6374647552</v>
      </c>
      <c r="AD203" s="579">
        <v>13898.560990239599</v>
      </c>
      <c r="AE203" s="579">
        <v>13132.535128736101</v>
      </c>
      <c r="AF203" s="579">
        <v>16464.037763963301</v>
      </c>
      <c r="AG203" s="1969">
        <v>12468.626886121001</v>
      </c>
      <c r="AH203" s="1969">
        <v>14620.076294099501</v>
      </c>
      <c r="AI203" s="1969">
        <v>15095.801013074903</v>
      </c>
      <c r="AJ203" s="1995">
        <v>69361.594555247895</v>
      </c>
      <c r="AK203" s="1969">
        <v>57460.233453708002</v>
      </c>
      <c r="AL203" s="1969">
        <v>43495.133882939001</v>
      </c>
      <c r="AM203" s="1969">
        <v>42184.504193295405</v>
      </c>
      <c r="AN203" s="1969">
        <v>126821.8280089559</v>
      </c>
      <c r="AO203" s="1969">
        <v>85679.638076234405</v>
      </c>
      <c r="AP203" s="1969">
        <v>212501.4660851903</v>
      </c>
    </row>
    <row r="204" spans="1:42" ht="14.5">
      <c r="A204" s="1693">
        <v>1</v>
      </c>
      <c r="B204" s="616">
        <v>1</v>
      </c>
      <c r="C204" s="1693">
        <v>1</v>
      </c>
      <c r="D204" s="616">
        <v>1</v>
      </c>
      <c r="E204" s="1693">
        <v>177</v>
      </c>
      <c r="F204" s="616">
        <v>1</v>
      </c>
      <c r="G204" s="1693">
        <v>204</v>
      </c>
      <c r="H204" s="616">
        <v>1</v>
      </c>
      <c r="J204" s="709" t="s">
        <v>512</v>
      </c>
      <c r="K204" s="69"/>
      <c r="L204" s="8"/>
      <c r="M204" s="737"/>
      <c r="N204" s="4"/>
      <c r="O204" s="4"/>
      <c r="P204" s="3"/>
      <c r="Q204" s="27"/>
      <c r="R204" s="27"/>
      <c r="S204" s="36" t="s">
        <v>28</v>
      </c>
      <c r="T204" s="3"/>
      <c r="U204" s="3"/>
      <c r="V204" s="3"/>
      <c r="W204" s="1849"/>
      <c r="X204" s="1378">
        <v>12826.591312369434</v>
      </c>
      <c r="Y204" s="1378">
        <v>12826.591312369434</v>
      </c>
      <c r="Z204" s="1378">
        <v>13059.924645702769</v>
      </c>
      <c r="AA204" s="1378">
        <v>13059.924645702769</v>
      </c>
      <c r="AB204" s="1378">
        <v>13259.924645702769</v>
      </c>
      <c r="AC204" s="1378">
        <v>13484.924645702769</v>
      </c>
      <c r="AD204" s="579">
        <v>13743.257979036105</v>
      </c>
      <c r="AE204" s="579">
        <v>13743.257979036105</v>
      </c>
      <c r="AF204" s="579">
        <v>13743.257979036105</v>
      </c>
      <c r="AG204" s="1969">
        <v>13743.257979036105</v>
      </c>
      <c r="AH204" s="1969">
        <v>13743.257979036105</v>
      </c>
      <c r="AI204" s="1969">
        <v>13743.257979036105</v>
      </c>
      <c r="AJ204" s="1995">
        <v>38713.107270441637</v>
      </c>
      <c r="AK204" s="1969">
        <v>39804.773937108308</v>
      </c>
      <c r="AL204" s="1969">
        <v>41229.773937108315</v>
      </c>
      <c r="AM204" s="1969">
        <v>41229.773937108315</v>
      </c>
      <c r="AN204" s="1969">
        <v>78517.881207549945</v>
      </c>
      <c r="AO204" s="1969">
        <v>82459.547874216631</v>
      </c>
      <c r="AP204" s="1969">
        <v>160977.42908176658</v>
      </c>
    </row>
    <row r="205" spans="1:42" ht="14.5">
      <c r="A205" s="1693">
        <v>1</v>
      </c>
      <c r="B205" s="616">
        <v>1</v>
      </c>
      <c r="C205" s="1693">
        <v>1</v>
      </c>
      <c r="D205" s="616">
        <v>1</v>
      </c>
      <c r="E205" s="1693">
        <v>178</v>
      </c>
      <c r="F205" s="616">
        <v>1</v>
      </c>
      <c r="G205" s="1693">
        <v>205</v>
      </c>
      <c r="H205" s="616">
        <v>1</v>
      </c>
      <c r="J205" s="709" t="s">
        <v>512</v>
      </c>
      <c r="K205" s="69"/>
      <c r="L205" s="8"/>
      <c r="M205" s="737"/>
      <c r="N205" s="4"/>
      <c r="O205" s="4"/>
      <c r="P205" s="3"/>
      <c r="Q205" s="25"/>
      <c r="R205" s="25"/>
      <c r="S205" s="104" t="s">
        <v>62</v>
      </c>
      <c r="T205" s="1"/>
      <c r="U205" s="1"/>
      <c r="V205" s="1"/>
      <c r="W205" s="1849"/>
      <c r="X205" s="1379">
        <v>18245.620099446707</v>
      </c>
      <c r="Y205" s="1379">
        <v>16956.314980908952</v>
      </c>
      <c r="Z205" s="1379">
        <v>17238.439448660116</v>
      </c>
      <c r="AA205" s="1379">
        <v>17005.207305854259</v>
      </c>
      <c r="AB205" s="1379">
        <v>17343.578022861308</v>
      </c>
      <c r="AC205" s="1379">
        <v>17433.044867140066</v>
      </c>
      <c r="AD205" s="584">
        <v>17120.578901580688</v>
      </c>
      <c r="AE205" s="584">
        <v>17035.096589709341</v>
      </c>
      <c r="AF205" s="584">
        <v>17406.865431437123</v>
      </c>
      <c r="AG205" s="1943">
        <v>17184.19366075252</v>
      </c>
      <c r="AH205" s="1943">
        <v>17312.686133844356</v>
      </c>
      <c r="AI205" s="1943">
        <v>17588.957057804655</v>
      </c>
      <c r="AJ205" s="1944">
        <v>52440.374529015775</v>
      </c>
      <c r="AK205" s="1943">
        <v>51781.830195855633</v>
      </c>
      <c r="AL205" s="1943">
        <v>51562.540922727152</v>
      </c>
      <c r="AM205" s="1943">
        <v>52085.836852401531</v>
      </c>
      <c r="AN205" s="1943">
        <v>104222.20472487141</v>
      </c>
      <c r="AO205" s="1943">
        <v>103648.37777512868</v>
      </c>
      <c r="AP205" s="1943">
        <v>207870.58250000008</v>
      </c>
    </row>
    <row r="206" spans="1:42" ht="14.5">
      <c r="A206" s="1693">
        <v>1</v>
      </c>
      <c r="B206" s="616">
        <v>1</v>
      </c>
      <c r="C206" s="1693">
        <v>1</v>
      </c>
      <c r="D206" s="616">
        <v>1</v>
      </c>
      <c r="E206" s="1693">
        <v>179</v>
      </c>
      <c r="F206" s="616">
        <v>1</v>
      </c>
      <c r="G206" s="1693">
        <v>206</v>
      </c>
      <c r="H206" s="616">
        <v>1</v>
      </c>
      <c r="J206" s="709" t="s">
        <v>512</v>
      </c>
      <c r="K206" s="1764" t="s">
        <v>1216</v>
      </c>
      <c r="L206" s="4"/>
      <c r="M206" s="4"/>
      <c r="N206" s="4"/>
      <c r="O206" s="4"/>
      <c r="P206" s="3"/>
      <c r="Q206" s="4"/>
      <c r="R206" s="4"/>
      <c r="S206" s="3"/>
      <c r="T206" s="3"/>
      <c r="U206" s="3"/>
      <c r="V206" s="3"/>
      <c r="W206" s="1773"/>
      <c r="X206" s="1608"/>
      <c r="Y206" s="1609"/>
      <c r="Z206" s="1609"/>
      <c r="AA206" s="1609"/>
      <c r="AB206" s="1609"/>
      <c r="AC206" s="1609"/>
      <c r="AD206" s="1366"/>
      <c r="AE206" s="1366"/>
      <c r="AF206" s="1366"/>
      <c r="AG206" s="1242"/>
      <c r="AH206" s="1242"/>
      <c r="AI206" s="1242"/>
      <c r="AJ206" s="1242"/>
      <c r="AK206" s="1242"/>
      <c r="AL206" s="1242"/>
      <c r="AM206" s="1242"/>
      <c r="AN206" s="1242"/>
      <c r="AO206" s="1242"/>
      <c r="AP206" s="608"/>
    </row>
    <row r="207" spans="1:42" ht="14.5">
      <c r="A207" s="1693">
        <v>155</v>
      </c>
      <c r="B207" s="616">
        <v>1</v>
      </c>
      <c r="C207" s="1693">
        <v>158</v>
      </c>
      <c r="D207" s="616">
        <v>1</v>
      </c>
      <c r="E207" s="1693">
        <v>180</v>
      </c>
      <c r="F207" s="616">
        <v>1</v>
      </c>
      <c r="G207" s="1693">
        <v>207</v>
      </c>
      <c r="H207" s="616">
        <v>1</v>
      </c>
      <c r="J207" s="709" t="s">
        <v>512</v>
      </c>
      <c r="K207" s="1764" t="s">
        <v>1216</v>
      </c>
      <c r="L207" s="4"/>
      <c r="M207" s="4"/>
      <c r="N207" s="4" t="s">
        <v>936</v>
      </c>
      <c r="O207" s="4"/>
      <c r="P207" s="3"/>
      <c r="Q207" s="4"/>
      <c r="R207" s="4"/>
      <c r="S207" s="3"/>
      <c r="T207" s="3"/>
      <c r="U207" s="3"/>
      <c r="V207" s="3"/>
      <c r="W207" s="1773"/>
      <c r="X207" s="1608"/>
      <c r="Y207" s="1609"/>
      <c r="Z207" s="1609"/>
      <c r="AA207" s="1609"/>
      <c r="AB207" s="1609"/>
      <c r="AC207" s="1609"/>
      <c r="AD207" s="1366"/>
      <c r="AE207" s="1366"/>
      <c r="AF207" s="1366"/>
      <c r="AG207" s="1366"/>
      <c r="AH207" s="1366"/>
      <c r="AI207" s="1366"/>
      <c r="AJ207" s="1366"/>
      <c r="AK207" s="1366"/>
      <c r="AL207" s="1366"/>
      <c r="AM207" s="1366"/>
      <c r="AN207" s="1366"/>
      <c r="AO207" s="1366"/>
      <c r="AP207" s="1366"/>
    </row>
    <row r="208" spans="1:42" ht="14.5">
      <c r="A208" s="1693">
        <v>156</v>
      </c>
      <c r="B208" s="616">
        <v>1</v>
      </c>
      <c r="C208" s="1693">
        <v>159</v>
      </c>
      <c r="D208" s="616">
        <v>1</v>
      </c>
      <c r="E208" s="1693">
        <v>181</v>
      </c>
      <c r="F208" s="616">
        <v>1</v>
      </c>
      <c r="G208" s="1693">
        <v>208</v>
      </c>
      <c r="H208" s="616">
        <v>1</v>
      </c>
      <c r="J208" s="709" t="s">
        <v>512</v>
      </c>
      <c r="K208" s="1764" t="s">
        <v>1216</v>
      </c>
      <c r="L208" s="4"/>
      <c r="M208" s="4"/>
      <c r="N208" s="4"/>
      <c r="O208" s="365" t="s">
        <v>0</v>
      </c>
      <c r="P208" s="489"/>
      <c r="Q208" s="581"/>
      <c r="R208" s="581"/>
      <c r="S208" s="489"/>
      <c r="T208" s="489"/>
      <c r="U208" s="2036" t="s">
        <v>302</v>
      </c>
      <c r="V208" s="489"/>
      <c r="W208" s="2037"/>
      <c r="X208" s="2038">
        <v>91600</v>
      </c>
      <c r="Y208" s="2039">
        <v>6000</v>
      </c>
      <c r="Z208" s="2039">
        <v>26100</v>
      </c>
      <c r="AA208" s="2039">
        <v>16000</v>
      </c>
      <c r="AB208" s="2039">
        <v>47800</v>
      </c>
      <c r="AC208" s="2039">
        <v>26800</v>
      </c>
      <c r="AD208" s="2039">
        <v>31600</v>
      </c>
      <c r="AE208" s="2039">
        <v>16300</v>
      </c>
      <c r="AF208" s="2039">
        <v>17300</v>
      </c>
      <c r="AG208" s="2039">
        <v>41900</v>
      </c>
      <c r="AH208" s="2039">
        <v>26000</v>
      </c>
      <c r="AI208" s="2039">
        <v>42500</v>
      </c>
      <c r="AJ208" s="2039">
        <v>123700</v>
      </c>
      <c r="AK208" s="2039">
        <v>90600</v>
      </c>
      <c r="AL208" s="2039">
        <v>65200</v>
      </c>
      <c r="AM208" s="2039">
        <v>110400</v>
      </c>
      <c r="AN208" s="2039">
        <v>214300</v>
      </c>
      <c r="AO208" s="2039">
        <v>175600</v>
      </c>
      <c r="AP208" s="2039">
        <v>389900</v>
      </c>
    </row>
    <row r="209" spans="1:42" s="69" customFormat="1" ht="14.5">
      <c r="A209" s="1693">
        <v>157</v>
      </c>
      <c r="B209" s="616">
        <v>1</v>
      </c>
      <c r="C209" s="1693">
        <v>160</v>
      </c>
      <c r="D209" s="616">
        <v>1</v>
      </c>
      <c r="E209" s="1693">
        <v>182</v>
      </c>
      <c r="F209" s="616">
        <v>1</v>
      </c>
      <c r="G209" s="1693">
        <v>209</v>
      </c>
      <c r="H209" s="616">
        <v>1</v>
      </c>
      <c r="I209" s="616"/>
      <c r="J209" s="709" t="s">
        <v>512</v>
      </c>
      <c r="K209" s="1764" t="s">
        <v>1216</v>
      </c>
      <c r="L209" s="4"/>
      <c r="M209" s="4"/>
      <c r="N209" s="4"/>
      <c r="O209" s="27"/>
      <c r="P209" s="3"/>
      <c r="Q209" s="4"/>
      <c r="R209" s="4"/>
      <c r="S209" s="301" t="s">
        <v>1033</v>
      </c>
      <c r="T209" s="301"/>
      <c r="U209" s="301"/>
      <c r="V209" s="301"/>
      <c r="W209" s="2040"/>
      <c r="X209" s="2041">
        <v>84900</v>
      </c>
      <c r="Y209" s="2042">
        <v>0</v>
      </c>
      <c r="Z209" s="2042">
        <v>19200</v>
      </c>
      <c r="AA209" s="2042">
        <v>9700</v>
      </c>
      <c r="AB209" s="2042">
        <v>41500</v>
      </c>
      <c r="AC209" s="2042">
        <v>19200</v>
      </c>
      <c r="AD209" s="2042">
        <v>25000</v>
      </c>
      <c r="AE209" s="2042">
        <v>9700</v>
      </c>
      <c r="AF209" s="2042">
        <v>9700</v>
      </c>
      <c r="AG209" s="2042">
        <v>35000</v>
      </c>
      <c r="AH209" s="2042">
        <v>19200</v>
      </c>
      <c r="AI209" s="2042">
        <v>34700</v>
      </c>
      <c r="AJ209" s="2042">
        <v>104100</v>
      </c>
      <c r="AK209" s="2042">
        <v>70400</v>
      </c>
      <c r="AL209" s="2042">
        <v>44400</v>
      </c>
      <c r="AM209" s="2042">
        <v>88900</v>
      </c>
      <c r="AN209" s="2042">
        <v>174500</v>
      </c>
      <c r="AO209" s="2042">
        <v>133300</v>
      </c>
      <c r="AP209" s="2042">
        <v>307800</v>
      </c>
    </row>
    <row r="210" spans="1:42" s="69" customFormat="1" ht="14.5">
      <c r="A210" s="1693">
        <v>158</v>
      </c>
      <c r="B210" s="616">
        <v>1</v>
      </c>
      <c r="C210" s="1693">
        <v>161</v>
      </c>
      <c r="D210" s="616">
        <v>1</v>
      </c>
      <c r="E210" s="1693">
        <v>183</v>
      </c>
      <c r="F210" s="616">
        <v>1</v>
      </c>
      <c r="G210" s="1693">
        <v>210</v>
      </c>
      <c r="H210" s="616">
        <v>1</v>
      </c>
      <c r="I210" s="616"/>
      <c r="J210" s="709" t="s">
        <v>512</v>
      </c>
      <c r="K210" s="1764" t="s">
        <v>1216</v>
      </c>
      <c r="L210" s="4"/>
      <c r="M210" s="4"/>
      <c r="N210" s="4"/>
      <c r="O210" s="27"/>
      <c r="P210" s="3"/>
      <c r="Q210" s="4"/>
      <c r="R210" s="4"/>
      <c r="S210" s="4"/>
      <c r="T210" s="3" t="s">
        <v>587</v>
      </c>
      <c r="U210" s="3"/>
      <c r="V210" s="3"/>
      <c r="W210" s="1850"/>
      <c r="X210" s="1378">
        <v>75200</v>
      </c>
      <c r="Y210" s="2043">
        <v>0</v>
      </c>
      <c r="Z210" s="2043">
        <v>0</v>
      </c>
      <c r="AA210" s="2043">
        <v>0</v>
      </c>
      <c r="AB210" s="2043">
        <v>0</v>
      </c>
      <c r="AC210" s="2043">
        <v>0</v>
      </c>
      <c r="AD210" s="2043">
        <v>0</v>
      </c>
      <c r="AE210" s="2043">
        <v>0</v>
      </c>
      <c r="AF210" s="2043">
        <v>0</v>
      </c>
      <c r="AG210" s="2043">
        <v>0</v>
      </c>
      <c r="AH210" s="2043">
        <v>0</v>
      </c>
      <c r="AI210" s="2043">
        <v>0</v>
      </c>
      <c r="AJ210" s="2043">
        <v>75200</v>
      </c>
      <c r="AK210" s="2043">
        <v>0</v>
      </c>
      <c r="AL210" s="2043">
        <v>0</v>
      </c>
      <c r="AM210" s="2043">
        <v>0</v>
      </c>
      <c r="AN210" s="2043">
        <v>75200</v>
      </c>
      <c r="AO210" s="2043">
        <v>0</v>
      </c>
      <c r="AP210" s="2043">
        <v>75200</v>
      </c>
    </row>
    <row r="211" spans="1:42" s="69" customFormat="1" ht="14.5">
      <c r="A211" s="1693">
        <v>159</v>
      </c>
      <c r="B211" s="616">
        <v>1</v>
      </c>
      <c r="C211" s="1693">
        <v>162</v>
      </c>
      <c r="D211" s="616">
        <v>1</v>
      </c>
      <c r="E211" s="1693">
        <v>184</v>
      </c>
      <c r="F211" s="616">
        <v>1</v>
      </c>
      <c r="G211" s="1693">
        <v>211</v>
      </c>
      <c r="H211" s="616">
        <v>1</v>
      </c>
      <c r="I211" s="616"/>
      <c r="J211" s="709" t="s">
        <v>512</v>
      </c>
      <c r="K211" s="1764" t="s">
        <v>1216</v>
      </c>
      <c r="L211" s="4"/>
      <c r="M211" s="4"/>
      <c r="N211" s="4"/>
      <c r="O211" s="27"/>
      <c r="P211" s="3"/>
      <c r="Q211" s="4"/>
      <c r="R211" s="4"/>
      <c r="S211" s="4"/>
      <c r="T211" s="3" t="s">
        <v>1034</v>
      </c>
      <c r="U211" s="3"/>
      <c r="V211" s="3"/>
      <c r="W211" s="1850"/>
      <c r="X211" s="1378">
        <v>0</v>
      </c>
      <c r="Y211" s="2043">
        <v>0</v>
      </c>
      <c r="Z211" s="2043">
        <v>9500</v>
      </c>
      <c r="AA211" s="2043">
        <v>0</v>
      </c>
      <c r="AB211" s="2043">
        <v>25000</v>
      </c>
      <c r="AC211" s="2043">
        <v>9500</v>
      </c>
      <c r="AD211" s="2043">
        <v>25000</v>
      </c>
      <c r="AE211" s="2043">
        <v>0</v>
      </c>
      <c r="AF211" s="2043">
        <v>0</v>
      </c>
      <c r="AG211" s="2043">
        <v>0</v>
      </c>
      <c r="AH211" s="2043">
        <v>9500</v>
      </c>
      <c r="AI211" s="2043">
        <v>25000</v>
      </c>
      <c r="AJ211" s="2043">
        <v>9500</v>
      </c>
      <c r="AK211" s="2043">
        <v>34500</v>
      </c>
      <c r="AL211" s="2043">
        <v>25000</v>
      </c>
      <c r="AM211" s="2043">
        <v>34500</v>
      </c>
      <c r="AN211" s="2043">
        <v>44000</v>
      </c>
      <c r="AO211" s="2043">
        <v>59500</v>
      </c>
      <c r="AP211" s="2043">
        <v>103500</v>
      </c>
    </row>
    <row r="212" spans="1:42" s="69" customFormat="1" ht="14.5">
      <c r="A212" s="1693">
        <v>160</v>
      </c>
      <c r="B212" s="616">
        <v>1</v>
      </c>
      <c r="C212" s="1693">
        <v>163</v>
      </c>
      <c r="D212" s="616">
        <v>1</v>
      </c>
      <c r="E212" s="1693">
        <v>185</v>
      </c>
      <c r="F212" s="616">
        <v>1</v>
      </c>
      <c r="G212" s="1693">
        <v>212</v>
      </c>
      <c r="H212" s="616">
        <v>1</v>
      </c>
      <c r="I212" s="616"/>
      <c r="J212" s="709" t="s">
        <v>512</v>
      </c>
      <c r="K212" s="1764" t="s">
        <v>1216</v>
      </c>
      <c r="L212" s="4"/>
      <c r="M212" s="4"/>
      <c r="N212" s="4"/>
      <c r="O212" s="27"/>
      <c r="P212" s="3"/>
      <c r="Q212" s="4"/>
      <c r="R212" s="4"/>
      <c r="S212" s="4"/>
      <c r="T212" s="3" t="s">
        <v>1035</v>
      </c>
      <c r="U212" s="3"/>
      <c r="V212" s="3"/>
      <c r="W212" s="1850"/>
      <c r="X212" s="1378">
        <v>9700</v>
      </c>
      <c r="Y212" s="2043">
        <v>0</v>
      </c>
      <c r="Z212" s="2043">
        <v>9700</v>
      </c>
      <c r="AA212" s="2043">
        <v>9700</v>
      </c>
      <c r="AB212" s="2043">
        <v>16500</v>
      </c>
      <c r="AC212" s="2043">
        <v>9700</v>
      </c>
      <c r="AD212" s="2043">
        <v>0</v>
      </c>
      <c r="AE212" s="2043">
        <v>9700</v>
      </c>
      <c r="AF212" s="2043">
        <v>9700</v>
      </c>
      <c r="AG212" s="2043">
        <v>35000</v>
      </c>
      <c r="AH212" s="2043">
        <v>9700</v>
      </c>
      <c r="AI212" s="2043">
        <v>9700</v>
      </c>
      <c r="AJ212" s="2043">
        <v>19400</v>
      </c>
      <c r="AK212" s="2043">
        <v>35900</v>
      </c>
      <c r="AL212" s="2043">
        <v>19400</v>
      </c>
      <c r="AM212" s="2043">
        <v>54400</v>
      </c>
      <c r="AN212" s="2043">
        <v>55300</v>
      </c>
      <c r="AO212" s="2043">
        <v>73800</v>
      </c>
      <c r="AP212" s="2043">
        <v>129100</v>
      </c>
    </row>
    <row r="213" spans="1:42" s="69" customFormat="1" ht="14.5">
      <c r="A213" s="1693">
        <v>161</v>
      </c>
      <c r="B213" s="616">
        <v>1</v>
      </c>
      <c r="C213" s="1693">
        <v>164</v>
      </c>
      <c r="D213" s="616">
        <v>1</v>
      </c>
      <c r="E213" s="1693">
        <v>186</v>
      </c>
      <c r="F213" s="616">
        <v>1</v>
      </c>
      <c r="G213" s="1693">
        <v>213</v>
      </c>
      <c r="H213" s="616">
        <v>1</v>
      </c>
      <c r="I213" s="616"/>
      <c r="J213" s="709" t="s">
        <v>512</v>
      </c>
      <c r="K213" s="1764" t="s">
        <v>1216</v>
      </c>
      <c r="L213" s="4"/>
      <c r="M213" s="4"/>
      <c r="N213" s="4"/>
      <c r="O213" s="27"/>
      <c r="P213" s="3"/>
      <c r="Q213" s="4"/>
      <c r="R213" s="4"/>
      <c r="S213" s="4"/>
      <c r="T213" s="3" t="s">
        <v>1036</v>
      </c>
      <c r="U213" s="3"/>
      <c r="V213" s="3"/>
      <c r="W213" s="1850"/>
      <c r="X213" s="1378">
        <v>0</v>
      </c>
      <c r="Y213" s="2043">
        <v>0</v>
      </c>
      <c r="Z213" s="2043">
        <v>0</v>
      </c>
      <c r="AA213" s="2043">
        <v>0</v>
      </c>
      <c r="AB213" s="2043">
        <v>0</v>
      </c>
      <c r="AC213" s="2043">
        <v>0</v>
      </c>
      <c r="AD213" s="2043">
        <v>0</v>
      </c>
      <c r="AE213" s="2043">
        <v>0</v>
      </c>
      <c r="AF213" s="2043">
        <v>0</v>
      </c>
      <c r="AG213" s="2043">
        <v>0</v>
      </c>
      <c r="AH213" s="2043">
        <v>0</v>
      </c>
      <c r="AI213" s="2043">
        <v>0</v>
      </c>
      <c r="AJ213" s="2043">
        <v>0</v>
      </c>
      <c r="AK213" s="2043">
        <v>0</v>
      </c>
      <c r="AL213" s="2043">
        <v>0</v>
      </c>
      <c r="AM213" s="2043">
        <v>0</v>
      </c>
      <c r="AN213" s="2043">
        <v>0</v>
      </c>
      <c r="AO213" s="2043">
        <v>0</v>
      </c>
      <c r="AP213" s="2043">
        <v>0</v>
      </c>
    </row>
    <row r="214" spans="1:42" s="69" customFormat="1" ht="14.5">
      <c r="A214" s="1693">
        <v>162</v>
      </c>
      <c r="B214" s="616">
        <v>1</v>
      </c>
      <c r="C214" s="1693">
        <v>165</v>
      </c>
      <c r="D214" s="616">
        <v>1</v>
      </c>
      <c r="E214" s="1693">
        <v>187</v>
      </c>
      <c r="F214" s="616">
        <v>1</v>
      </c>
      <c r="G214" s="1693">
        <v>214</v>
      </c>
      <c r="H214" s="616">
        <v>1</v>
      </c>
      <c r="I214" s="616"/>
      <c r="J214" s="709" t="s">
        <v>512</v>
      </c>
      <c r="K214" s="1764" t="s">
        <v>1216</v>
      </c>
      <c r="L214" s="4"/>
      <c r="M214" s="4"/>
      <c r="N214" s="4"/>
      <c r="O214" s="27"/>
      <c r="P214" s="3"/>
      <c r="Q214" s="4"/>
      <c r="R214" s="4"/>
      <c r="S214" s="4"/>
      <c r="T214" s="3" t="s">
        <v>479</v>
      </c>
      <c r="U214" s="3"/>
      <c r="V214" s="3"/>
      <c r="W214" s="1850"/>
      <c r="X214" s="1378">
        <v>0</v>
      </c>
      <c r="Y214" s="2043">
        <v>0</v>
      </c>
      <c r="Z214" s="2043">
        <v>0</v>
      </c>
      <c r="AA214" s="2043">
        <v>0</v>
      </c>
      <c r="AB214" s="2043">
        <v>0</v>
      </c>
      <c r="AC214" s="2043">
        <v>0</v>
      </c>
      <c r="AD214" s="2043">
        <v>0</v>
      </c>
      <c r="AE214" s="2043">
        <v>0</v>
      </c>
      <c r="AF214" s="2043">
        <v>0</v>
      </c>
      <c r="AG214" s="2043">
        <v>0</v>
      </c>
      <c r="AH214" s="2043">
        <v>0</v>
      </c>
      <c r="AI214" s="2043">
        <v>0</v>
      </c>
      <c r="AJ214" s="2043">
        <v>0</v>
      </c>
      <c r="AK214" s="2043">
        <v>0</v>
      </c>
      <c r="AL214" s="2043">
        <v>0</v>
      </c>
      <c r="AM214" s="2043">
        <v>0</v>
      </c>
      <c r="AN214" s="2043">
        <v>0</v>
      </c>
      <c r="AO214" s="2043">
        <v>0</v>
      </c>
      <c r="AP214" s="2043">
        <v>0</v>
      </c>
    </row>
    <row r="215" spans="1:42" s="69" customFormat="1" ht="14.5">
      <c r="A215" s="1693">
        <v>163</v>
      </c>
      <c r="B215" s="616">
        <v>1</v>
      </c>
      <c r="C215" s="1693">
        <v>166</v>
      </c>
      <c r="D215" s="616">
        <v>1</v>
      </c>
      <c r="E215" s="1693">
        <v>188</v>
      </c>
      <c r="F215" s="616">
        <v>1</v>
      </c>
      <c r="G215" s="1693">
        <v>215</v>
      </c>
      <c r="H215" s="616">
        <v>1</v>
      </c>
      <c r="I215" s="616"/>
      <c r="J215" s="709" t="s">
        <v>512</v>
      </c>
      <c r="K215" s="1764" t="s">
        <v>1216</v>
      </c>
      <c r="L215" s="4"/>
      <c r="M215" s="4"/>
      <c r="N215" s="4"/>
      <c r="O215" s="27"/>
      <c r="P215" s="3"/>
      <c r="Q215" s="4"/>
      <c r="R215" s="4"/>
      <c r="S215" s="47"/>
      <c r="T215" s="47" t="s">
        <v>2</v>
      </c>
      <c r="U215" s="47"/>
      <c r="V215" s="47"/>
      <c r="W215" s="1850"/>
      <c r="X215" s="1970">
        <v>0</v>
      </c>
      <c r="Y215" s="2044">
        <v>0</v>
      </c>
      <c r="Z215" s="2044">
        <v>0</v>
      </c>
      <c r="AA215" s="2044">
        <v>0</v>
      </c>
      <c r="AB215" s="2044">
        <v>0</v>
      </c>
      <c r="AC215" s="2044">
        <v>0</v>
      </c>
      <c r="AD215" s="2044">
        <v>0</v>
      </c>
      <c r="AE215" s="2044">
        <v>0</v>
      </c>
      <c r="AF215" s="2044">
        <v>0</v>
      </c>
      <c r="AG215" s="2044">
        <v>0</v>
      </c>
      <c r="AH215" s="2044">
        <v>0</v>
      </c>
      <c r="AI215" s="2044">
        <v>0</v>
      </c>
      <c r="AJ215" s="2044">
        <v>0</v>
      </c>
      <c r="AK215" s="2044">
        <v>0</v>
      </c>
      <c r="AL215" s="2044">
        <v>0</v>
      </c>
      <c r="AM215" s="2044">
        <v>0</v>
      </c>
      <c r="AN215" s="2044">
        <v>0</v>
      </c>
      <c r="AO215" s="2044">
        <v>0</v>
      </c>
      <c r="AP215" s="2044">
        <v>0</v>
      </c>
    </row>
    <row r="216" spans="1:42" s="69" customFormat="1" ht="14.5">
      <c r="A216" s="1693">
        <v>164</v>
      </c>
      <c r="B216" s="616">
        <v>1</v>
      </c>
      <c r="C216" s="1693">
        <v>167</v>
      </c>
      <c r="D216" s="616">
        <v>1</v>
      </c>
      <c r="E216" s="1693">
        <v>189</v>
      </c>
      <c r="F216" s="616">
        <v>1</v>
      </c>
      <c r="G216" s="1693">
        <v>216</v>
      </c>
      <c r="H216" s="616">
        <v>1</v>
      </c>
      <c r="I216" s="616"/>
      <c r="J216" s="709" t="s">
        <v>512</v>
      </c>
      <c r="K216" s="1764" t="s">
        <v>1216</v>
      </c>
      <c r="L216" s="4"/>
      <c r="M216" s="4"/>
      <c r="N216" s="4"/>
      <c r="O216" s="27"/>
      <c r="P216" s="3"/>
      <c r="Q216" s="4"/>
      <c r="R216" s="4"/>
      <c r="S216" s="300" t="s">
        <v>27</v>
      </c>
      <c r="T216" s="300"/>
      <c r="U216" s="300"/>
      <c r="V216" s="300"/>
      <c r="W216" s="2040"/>
      <c r="X216" s="2045">
        <v>6700</v>
      </c>
      <c r="Y216" s="2046">
        <v>6000</v>
      </c>
      <c r="Z216" s="2046">
        <v>6900</v>
      </c>
      <c r="AA216" s="2046">
        <v>6300</v>
      </c>
      <c r="AB216" s="2046">
        <v>6300</v>
      </c>
      <c r="AC216" s="2046">
        <v>7600</v>
      </c>
      <c r="AD216" s="2046">
        <v>6600</v>
      </c>
      <c r="AE216" s="2046">
        <v>6600</v>
      </c>
      <c r="AF216" s="2046">
        <v>7600</v>
      </c>
      <c r="AG216" s="2046">
        <v>6900</v>
      </c>
      <c r="AH216" s="2046">
        <v>6800</v>
      </c>
      <c r="AI216" s="2046">
        <v>7800</v>
      </c>
      <c r="AJ216" s="2046">
        <v>19600</v>
      </c>
      <c r="AK216" s="2046">
        <v>20200</v>
      </c>
      <c r="AL216" s="2046">
        <v>20800</v>
      </c>
      <c r="AM216" s="2046">
        <v>21500</v>
      </c>
      <c r="AN216" s="2046">
        <v>39800</v>
      </c>
      <c r="AO216" s="2046">
        <v>42300</v>
      </c>
      <c r="AP216" s="2046">
        <v>82100</v>
      </c>
    </row>
    <row r="217" spans="1:42" s="69" customFormat="1" ht="14.5">
      <c r="A217" s="1693">
        <v>165</v>
      </c>
      <c r="B217" s="616">
        <v>1</v>
      </c>
      <c r="C217" s="1693">
        <v>168</v>
      </c>
      <c r="D217" s="616">
        <v>1</v>
      </c>
      <c r="E217" s="1693">
        <v>190</v>
      </c>
      <c r="F217" s="616">
        <v>1</v>
      </c>
      <c r="G217" s="1693">
        <v>217</v>
      </c>
      <c r="H217" s="616">
        <v>1</v>
      </c>
      <c r="I217" s="616"/>
      <c r="J217" s="709" t="s">
        <v>512</v>
      </c>
      <c r="K217" s="1764" t="s">
        <v>1216</v>
      </c>
      <c r="L217" s="4"/>
      <c r="M217" s="4"/>
      <c r="N217" s="4"/>
      <c r="O217" s="27"/>
      <c r="P217" s="3"/>
      <c r="Q217" s="4"/>
      <c r="R217" s="4"/>
      <c r="S217" s="4"/>
      <c r="T217" s="3" t="s">
        <v>587</v>
      </c>
      <c r="U217" s="3"/>
      <c r="V217" s="3"/>
      <c r="W217" s="1850"/>
      <c r="X217" s="1378">
        <v>700</v>
      </c>
      <c r="Y217" s="2043">
        <v>700</v>
      </c>
      <c r="Z217" s="2043">
        <v>700</v>
      </c>
      <c r="AA217" s="2043">
        <v>700</v>
      </c>
      <c r="AB217" s="2043">
        <v>700</v>
      </c>
      <c r="AC217" s="2043">
        <v>1000</v>
      </c>
      <c r="AD217" s="2043">
        <v>1000</v>
      </c>
      <c r="AE217" s="2043">
        <v>1000</v>
      </c>
      <c r="AF217" s="2043">
        <v>1000</v>
      </c>
      <c r="AG217" s="2043">
        <v>1000</v>
      </c>
      <c r="AH217" s="2043">
        <v>1000</v>
      </c>
      <c r="AI217" s="2043">
        <v>1000</v>
      </c>
      <c r="AJ217" s="2043">
        <v>2100</v>
      </c>
      <c r="AK217" s="2043">
        <v>2400</v>
      </c>
      <c r="AL217" s="2043">
        <v>3000</v>
      </c>
      <c r="AM217" s="2043">
        <v>3000</v>
      </c>
      <c r="AN217" s="2043">
        <v>4500</v>
      </c>
      <c r="AO217" s="2043">
        <v>6000</v>
      </c>
      <c r="AP217" s="2043">
        <v>10500</v>
      </c>
    </row>
    <row r="218" spans="1:42" s="69" customFormat="1" ht="14.5">
      <c r="A218" s="1693">
        <v>166</v>
      </c>
      <c r="B218" s="616">
        <v>1</v>
      </c>
      <c r="C218" s="1693">
        <v>169</v>
      </c>
      <c r="D218" s="616">
        <v>1</v>
      </c>
      <c r="E218" s="1693">
        <v>191</v>
      </c>
      <c r="F218" s="616">
        <v>1</v>
      </c>
      <c r="G218" s="1693">
        <v>218</v>
      </c>
      <c r="H218" s="616">
        <v>1</v>
      </c>
      <c r="I218" s="616"/>
      <c r="J218" s="709" t="s">
        <v>512</v>
      </c>
      <c r="K218" s="1764" t="s">
        <v>1216</v>
      </c>
      <c r="L218" s="4"/>
      <c r="M218" s="4"/>
      <c r="N218" s="4"/>
      <c r="O218" s="27"/>
      <c r="P218" s="3"/>
      <c r="Q218" s="4"/>
      <c r="R218" s="4"/>
      <c r="S218" s="4"/>
      <c r="T218" s="3" t="s">
        <v>1034</v>
      </c>
      <c r="U218" s="3"/>
      <c r="V218" s="3"/>
      <c r="W218" s="1850"/>
      <c r="X218" s="1378">
        <v>3200</v>
      </c>
      <c r="Y218" s="2043">
        <v>2500</v>
      </c>
      <c r="Z218" s="2043">
        <v>3000</v>
      </c>
      <c r="AA218" s="2043">
        <v>2800</v>
      </c>
      <c r="AB218" s="2043">
        <v>2800</v>
      </c>
      <c r="AC218" s="2043">
        <v>3400</v>
      </c>
      <c r="AD218" s="2043">
        <v>2800</v>
      </c>
      <c r="AE218" s="2043">
        <v>2800</v>
      </c>
      <c r="AF218" s="2043">
        <v>3400</v>
      </c>
      <c r="AG218" s="2043">
        <v>3100</v>
      </c>
      <c r="AH218" s="2043">
        <v>3000</v>
      </c>
      <c r="AI218" s="2043">
        <v>3600</v>
      </c>
      <c r="AJ218" s="2043">
        <v>8700</v>
      </c>
      <c r="AK218" s="2043">
        <v>9000</v>
      </c>
      <c r="AL218" s="2043">
        <v>9000</v>
      </c>
      <c r="AM218" s="2043">
        <v>9700</v>
      </c>
      <c r="AN218" s="2043">
        <v>17700</v>
      </c>
      <c r="AO218" s="2043">
        <v>18700</v>
      </c>
      <c r="AP218" s="2043">
        <v>36400</v>
      </c>
    </row>
    <row r="219" spans="1:42" s="69" customFormat="1" ht="14.5">
      <c r="A219" s="1693">
        <v>167</v>
      </c>
      <c r="B219" s="616">
        <v>1</v>
      </c>
      <c r="C219" s="1693">
        <v>170</v>
      </c>
      <c r="D219" s="616">
        <v>1</v>
      </c>
      <c r="E219" s="1693">
        <v>192</v>
      </c>
      <c r="F219" s="616">
        <v>1</v>
      </c>
      <c r="G219" s="1693">
        <v>219</v>
      </c>
      <c r="H219" s="616">
        <v>1</v>
      </c>
      <c r="I219" s="616"/>
      <c r="J219" s="709" t="s">
        <v>512</v>
      </c>
      <c r="K219" s="1764" t="s">
        <v>1216</v>
      </c>
      <c r="L219" s="4"/>
      <c r="M219" s="4"/>
      <c r="N219" s="4"/>
      <c r="O219" s="27"/>
      <c r="P219" s="3"/>
      <c r="Q219" s="4"/>
      <c r="R219" s="4"/>
      <c r="S219" s="4"/>
      <c r="T219" s="3" t="s">
        <v>1035</v>
      </c>
      <c r="U219" s="3"/>
      <c r="V219" s="865"/>
      <c r="W219" s="1850"/>
      <c r="X219" s="1378">
        <v>2800</v>
      </c>
      <c r="Y219" s="2043">
        <v>2800</v>
      </c>
      <c r="Z219" s="2043">
        <v>3200</v>
      </c>
      <c r="AA219" s="2043">
        <v>2800</v>
      </c>
      <c r="AB219" s="2043">
        <v>2800</v>
      </c>
      <c r="AC219" s="2043">
        <v>3200</v>
      </c>
      <c r="AD219" s="2043">
        <v>2800</v>
      </c>
      <c r="AE219" s="2043">
        <v>2800</v>
      </c>
      <c r="AF219" s="2043">
        <v>3200</v>
      </c>
      <c r="AG219" s="2043">
        <v>2800</v>
      </c>
      <c r="AH219" s="2043">
        <v>2800</v>
      </c>
      <c r="AI219" s="2043">
        <v>3200</v>
      </c>
      <c r="AJ219" s="2043">
        <v>8800</v>
      </c>
      <c r="AK219" s="2043">
        <v>8800</v>
      </c>
      <c r="AL219" s="2043">
        <v>8800</v>
      </c>
      <c r="AM219" s="2043">
        <v>8800</v>
      </c>
      <c r="AN219" s="2043">
        <v>17600</v>
      </c>
      <c r="AO219" s="2043">
        <v>17600</v>
      </c>
      <c r="AP219" s="2043">
        <v>35200</v>
      </c>
    </row>
    <row r="220" spans="1:42" s="69" customFormat="1" ht="14.5">
      <c r="A220" s="1693">
        <v>168</v>
      </c>
      <c r="B220" s="616">
        <v>1</v>
      </c>
      <c r="C220" s="1693">
        <v>171</v>
      </c>
      <c r="D220" s="616">
        <v>1</v>
      </c>
      <c r="E220" s="1693">
        <v>193</v>
      </c>
      <c r="F220" s="616">
        <v>1</v>
      </c>
      <c r="G220" s="1693">
        <v>220</v>
      </c>
      <c r="H220" s="616">
        <v>1</v>
      </c>
      <c r="I220" s="616"/>
      <c r="J220" s="709" t="s">
        <v>512</v>
      </c>
      <c r="K220" s="1764" t="s">
        <v>1216</v>
      </c>
      <c r="L220" s="4"/>
      <c r="M220" s="4"/>
      <c r="N220" s="4"/>
      <c r="O220" s="27"/>
      <c r="P220" s="3"/>
      <c r="Q220" s="4"/>
      <c r="R220" s="4"/>
      <c r="S220" s="4"/>
      <c r="T220" s="3" t="s">
        <v>1036</v>
      </c>
      <c r="U220" s="3"/>
      <c r="V220" s="3"/>
      <c r="W220" s="1850"/>
      <c r="X220" s="1378">
        <v>0</v>
      </c>
      <c r="Y220" s="2043">
        <v>0</v>
      </c>
      <c r="Z220" s="2043">
        <v>0</v>
      </c>
      <c r="AA220" s="2043">
        <v>0</v>
      </c>
      <c r="AB220" s="2043">
        <v>0</v>
      </c>
      <c r="AC220" s="2043">
        <v>0</v>
      </c>
      <c r="AD220" s="2043">
        <v>0</v>
      </c>
      <c r="AE220" s="2043">
        <v>0</v>
      </c>
      <c r="AF220" s="2043">
        <v>0</v>
      </c>
      <c r="AG220" s="2043">
        <v>0</v>
      </c>
      <c r="AH220" s="2043">
        <v>0</v>
      </c>
      <c r="AI220" s="2043">
        <v>0</v>
      </c>
      <c r="AJ220" s="2043">
        <v>0</v>
      </c>
      <c r="AK220" s="2043">
        <v>0</v>
      </c>
      <c r="AL220" s="2043">
        <v>0</v>
      </c>
      <c r="AM220" s="2043">
        <v>0</v>
      </c>
      <c r="AN220" s="2043">
        <v>0</v>
      </c>
      <c r="AO220" s="2043">
        <v>0</v>
      </c>
      <c r="AP220" s="2043">
        <v>0</v>
      </c>
    </row>
    <row r="221" spans="1:42" s="69" customFormat="1" ht="14.5">
      <c r="A221" s="1693">
        <v>169</v>
      </c>
      <c r="B221" s="616">
        <v>1</v>
      </c>
      <c r="C221" s="1693">
        <v>172</v>
      </c>
      <c r="D221" s="616">
        <v>1</v>
      </c>
      <c r="E221" s="1693">
        <v>194</v>
      </c>
      <c r="F221" s="616">
        <v>1</v>
      </c>
      <c r="G221" s="1693">
        <v>221</v>
      </c>
      <c r="H221" s="616">
        <v>1</v>
      </c>
      <c r="I221" s="616"/>
      <c r="J221" s="709" t="s">
        <v>512</v>
      </c>
      <c r="K221" s="1764" t="s">
        <v>1216</v>
      </c>
      <c r="L221" s="4"/>
      <c r="M221" s="4"/>
      <c r="N221" s="4"/>
      <c r="O221" s="27"/>
      <c r="P221" s="3"/>
      <c r="Q221" s="4"/>
      <c r="R221" s="4"/>
      <c r="S221" s="4"/>
      <c r="T221" s="3" t="s">
        <v>479</v>
      </c>
      <c r="U221" s="3"/>
      <c r="V221" s="3"/>
      <c r="W221" s="1850"/>
      <c r="X221" s="1378">
        <v>0</v>
      </c>
      <c r="Y221" s="2043">
        <v>0</v>
      </c>
      <c r="Z221" s="2043">
        <v>0</v>
      </c>
      <c r="AA221" s="2043">
        <v>0</v>
      </c>
      <c r="AB221" s="2043">
        <v>0</v>
      </c>
      <c r="AC221" s="2043">
        <v>0</v>
      </c>
      <c r="AD221" s="2043">
        <v>0</v>
      </c>
      <c r="AE221" s="2043">
        <v>0</v>
      </c>
      <c r="AF221" s="2043">
        <v>0</v>
      </c>
      <c r="AG221" s="2043">
        <v>0</v>
      </c>
      <c r="AH221" s="2043">
        <v>0</v>
      </c>
      <c r="AI221" s="2043">
        <v>0</v>
      </c>
      <c r="AJ221" s="2043">
        <v>0</v>
      </c>
      <c r="AK221" s="2043">
        <v>0</v>
      </c>
      <c r="AL221" s="2043">
        <v>0</v>
      </c>
      <c r="AM221" s="2043">
        <v>0</v>
      </c>
      <c r="AN221" s="2043">
        <v>0</v>
      </c>
      <c r="AO221" s="2043">
        <v>0</v>
      </c>
      <c r="AP221" s="2043">
        <v>0</v>
      </c>
    </row>
    <row r="222" spans="1:42" s="69" customFormat="1" ht="14.5">
      <c r="A222" s="1693">
        <v>170</v>
      </c>
      <c r="B222" s="616">
        <v>1</v>
      </c>
      <c r="C222" s="1693">
        <v>173</v>
      </c>
      <c r="D222" s="616">
        <v>1</v>
      </c>
      <c r="E222" s="1693">
        <v>195</v>
      </c>
      <c r="F222" s="616">
        <v>1</v>
      </c>
      <c r="G222" s="1693">
        <v>222</v>
      </c>
      <c r="H222" s="616">
        <v>1</v>
      </c>
      <c r="I222" s="616"/>
      <c r="J222" s="709" t="s">
        <v>512</v>
      </c>
      <c r="K222" s="1764" t="s">
        <v>1216</v>
      </c>
      <c r="L222" s="4"/>
      <c r="M222" s="4"/>
      <c r="N222" s="4"/>
      <c r="O222" s="25"/>
      <c r="P222" s="1"/>
      <c r="Q222" s="2"/>
      <c r="R222" s="2"/>
      <c r="S222" s="2"/>
      <c r="T222" s="1" t="s">
        <v>2</v>
      </c>
      <c r="U222" s="1"/>
      <c r="V222" s="1"/>
      <c r="W222" s="1850"/>
      <c r="X222" s="1379">
        <v>0</v>
      </c>
      <c r="Y222" s="1979">
        <v>0</v>
      </c>
      <c r="Z222" s="1979">
        <v>0</v>
      </c>
      <c r="AA222" s="1979">
        <v>0</v>
      </c>
      <c r="AB222" s="1979">
        <v>0</v>
      </c>
      <c r="AC222" s="1979">
        <v>0</v>
      </c>
      <c r="AD222" s="1979">
        <v>0</v>
      </c>
      <c r="AE222" s="1979">
        <v>0</v>
      </c>
      <c r="AF222" s="1979">
        <v>0</v>
      </c>
      <c r="AG222" s="1979">
        <v>0</v>
      </c>
      <c r="AH222" s="1979">
        <v>0</v>
      </c>
      <c r="AI222" s="1979">
        <v>0</v>
      </c>
      <c r="AJ222" s="1979">
        <v>0</v>
      </c>
      <c r="AK222" s="1979">
        <v>0</v>
      </c>
      <c r="AL222" s="1979">
        <v>0</v>
      </c>
      <c r="AM222" s="1979">
        <v>0</v>
      </c>
      <c r="AN222" s="1979">
        <v>0</v>
      </c>
      <c r="AO222" s="1979">
        <v>0</v>
      </c>
      <c r="AP222" s="1979">
        <v>0</v>
      </c>
    </row>
    <row r="223" spans="1:42" ht="14.5">
      <c r="A223" s="1693">
        <v>171</v>
      </c>
      <c r="B223" s="616">
        <v>1</v>
      </c>
      <c r="C223" s="1693">
        <v>174</v>
      </c>
      <c r="D223" s="616">
        <v>1</v>
      </c>
      <c r="E223" s="1693">
        <v>196</v>
      </c>
      <c r="F223" s="616">
        <v>1</v>
      </c>
      <c r="G223" s="1693">
        <v>223</v>
      </c>
      <c r="H223" s="616">
        <v>1</v>
      </c>
      <c r="J223" s="709" t="s">
        <v>512</v>
      </c>
      <c r="K223" s="1764" t="s">
        <v>1216</v>
      </c>
      <c r="L223" s="4"/>
      <c r="M223" s="4"/>
      <c r="N223" s="4"/>
      <c r="O223" s="365" t="s">
        <v>48</v>
      </c>
      <c r="P223" s="489"/>
      <c r="Q223" s="581"/>
      <c r="R223" s="581"/>
      <c r="S223" s="489"/>
      <c r="T223" s="489"/>
      <c r="U223" s="2036" t="s">
        <v>304</v>
      </c>
      <c r="V223" s="489"/>
      <c r="W223" s="2037"/>
      <c r="X223" s="2038">
        <v>91600</v>
      </c>
      <c r="Y223" s="2039">
        <v>6000</v>
      </c>
      <c r="Z223" s="2039">
        <v>26100</v>
      </c>
      <c r="AA223" s="2039">
        <v>16000</v>
      </c>
      <c r="AB223" s="2039">
        <v>47800</v>
      </c>
      <c r="AC223" s="2039">
        <v>26800</v>
      </c>
      <c r="AD223" s="2039">
        <v>31600</v>
      </c>
      <c r="AE223" s="2039">
        <v>16300</v>
      </c>
      <c r="AF223" s="2039">
        <v>17300</v>
      </c>
      <c r="AG223" s="2039">
        <v>41900</v>
      </c>
      <c r="AH223" s="2039">
        <v>26000</v>
      </c>
      <c r="AI223" s="2039">
        <v>42500</v>
      </c>
      <c r="AJ223" s="2039">
        <v>123700</v>
      </c>
      <c r="AK223" s="2039">
        <v>90600</v>
      </c>
      <c r="AL223" s="2039">
        <v>65200</v>
      </c>
      <c r="AM223" s="2039">
        <v>110400</v>
      </c>
      <c r="AN223" s="2039">
        <v>214300</v>
      </c>
      <c r="AO223" s="2039">
        <v>175600</v>
      </c>
      <c r="AP223" s="2039">
        <v>389900</v>
      </c>
    </row>
    <row r="224" spans="1:42" s="69" customFormat="1" ht="14.5">
      <c r="A224" s="1693">
        <v>172</v>
      </c>
      <c r="B224" s="616">
        <v>1</v>
      </c>
      <c r="C224" s="1693">
        <v>175</v>
      </c>
      <c r="D224" s="616">
        <v>1</v>
      </c>
      <c r="E224" s="1693">
        <v>197</v>
      </c>
      <c r="F224" s="616">
        <v>1</v>
      </c>
      <c r="G224" s="1693">
        <v>224</v>
      </c>
      <c r="H224" s="616">
        <v>1</v>
      </c>
      <c r="I224" s="616"/>
      <c r="J224" s="709" t="s">
        <v>512</v>
      </c>
      <c r="K224" s="1764" t="s">
        <v>1216</v>
      </c>
      <c r="L224" s="4"/>
      <c r="M224" s="4"/>
      <c r="N224" s="4"/>
      <c r="O224" s="27"/>
      <c r="P224" s="3"/>
      <c r="Q224" s="4"/>
      <c r="R224" s="4"/>
      <c r="S224" s="301" t="s">
        <v>1033</v>
      </c>
      <c r="T224" s="301"/>
      <c r="U224" s="301"/>
      <c r="V224" s="301"/>
      <c r="W224" s="2040"/>
      <c r="X224" s="2041">
        <v>84900</v>
      </c>
      <c r="Y224" s="2042">
        <v>0</v>
      </c>
      <c r="Z224" s="2042">
        <v>19200</v>
      </c>
      <c r="AA224" s="2042">
        <v>9700</v>
      </c>
      <c r="AB224" s="2042">
        <v>41500</v>
      </c>
      <c r="AC224" s="2042">
        <v>19200</v>
      </c>
      <c r="AD224" s="2042">
        <v>25000</v>
      </c>
      <c r="AE224" s="2042">
        <v>9700</v>
      </c>
      <c r="AF224" s="2042">
        <v>9700</v>
      </c>
      <c r="AG224" s="2042">
        <v>35000</v>
      </c>
      <c r="AH224" s="2042">
        <v>19200</v>
      </c>
      <c r="AI224" s="2042">
        <v>34700</v>
      </c>
      <c r="AJ224" s="2042">
        <v>104100</v>
      </c>
      <c r="AK224" s="2042">
        <v>70400</v>
      </c>
      <c r="AL224" s="2042">
        <v>44400</v>
      </c>
      <c r="AM224" s="2042">
        <v>88900</v>
      </c>
      <c r="AN224" s="2042">
        <v>174500</v>
      </c>
      <c r="AO224" s="2042">
        <v>133300</v>
      </c>
      <c r="AP224" s="2042">
        <v>307800</v>
      </c>
    </row>
    <row r="225" spans="1:42" s="69" customFormat="1" ht="14.5">
      <c r="A225" s="1693">
        <v>173</v>
      </c>
      <c r="B225" s="616">
        <v>1</v>
      </c>
      <c r="C225" s="1693">
        <v>176</v>
      </c>
      <c r="D225" s="616">
        <v>1</v>
      </c>
      <c r="E225" s="1693">
        <v>198</v>
      </c>
      <c r="F225" s="616">
        <v>1</v>
      </c>
      <c r="G225" s="1693">
        <v>225</v>
      </c>
      <c r="H225" s="616">
        <v>1</v>
      </c>
      <c r="I225" s="616"/>
      <c r="J225" s="709" t="s">
        <v>512</v>
      </c>
      <c r="K225" s="1764" t="s">
        <v>1216</v>
      </c>
      <c r="L225" s="4"/>
      <c r="M225" s="4"/>
      <c r="N225" s="4"/>
      <c r="O225" s="27"/>
      <c r="P225" s="3"/>
      <c r="Q225" s="4"/>
      <c r="R225" s="4"/>
      <c r="S225" s="4"/>
      <c r="T225" s="3" t="s">
        <v>587</v>
      </c>
      <c r="U225" s="3"/>
      <c r="V225" s="3"/>
      <c r="W225" s="1853"/>
      <c r="X225" s="2003">
        <v>75200</v>
      </c>
      <c r="Y225" s="2004">
        <v>0</v>
      </c>
      <c r="Z225" s="2004">
        <v>0</v>
      </c>
      <c r="AA225" s="2004">
        <v>0</v>
      </c>
      <c r="AB225" s="2004">
        <v>0</v>
      </c>
      <c r="AC225" s="2004">
        <v>0</v>
      </c>
      <c r="AD225" s="2004">
        <v>0</v>
      </c>
      <c r="AE225" s="2004">
        <v>0</v>
      </c>
      <c r="AF225" s="2004">
        <v>0</v>
      </c>
      <c r="AG225" s="2004">
        <v>0</v>
      </c>
      <c r="AH225" s="2004">
        <v>0</v>
      </c>
      <c r="AI225" s="2004">
        <v>0</v>
      </c>
      <c r="AJ225" s="2043">
        <v>75200</v>
      </c>
      <c r="AK225" s="2043">
        <v>0</v>
      </c>
      <c r="AL225" s="2043">
        <v>0</v>
      </c>
      <c r="AM225" s="2043">
        <v>0</v>
      </c>
      <c r="AN225" s="2043">
        <v>75200</v>
      </c>
      <c r="AO225" s="2043">
        <v>0</v>
      </c>
      <c r="AP225" s="2043">
        <v>75200</v>
      </c>
    </row>
    <row r="226" spans="1:42" s="69" customFormat="1" ht="14.5">
      <c r="A226" s="1693">
        <v>174</v>
      </c>
      <c r="B226" s="616">
        <v>1</v>
      </c>
      <c r="C226" s="1693">
        <v>177</v>
      </c>
      <c r="D226" s="616">
        <v>1</v>
      </c>
      <c r="E226" s="1693">
        <v>199</v>
      </c>
      <c r="F226" s="616">
        <v>1</v>
      </c>
      <c r="G226" s="1693">
        <v>226</v>
      </c>
      <c r="H226" s="616">
        <v>1</v>
      </c>
      <c r="I226" s="616"/>
      <c r="J226" s="709" t="s">
        <v>512</v>
      </c>
      <c r="K226" s="1764" t="s">
        <v>1216</v>
      </c>
      <c r="L226" s="4"/>
      <c r="M226" s="4"/>
      <c r="N226" s="4"/>
      <c r="O226" s="27"/>
      <c r="P226" s="3"/>
      <c r="Q226" s="4"/>
      <c r="R226" s="4"/>
      <c r="S226" s="4"/>
      <c r="T226" s="3" t="s">
        <v>1034</v>
      </c>
      <c r="U226" s="3"/>
      <c r="V226" s="3"/>
      <c r="W226" s="1853"/>
      <c r="X226" s="2003">
        <v>0</v>
      </c>
      <c r="Y226" s="2004">
        <v>0</v>
      </c>
      <c r="Z226" s="2004">
        <v>9500</v>
      </c>
      <c r="AA226" s="2004">
        <v>0</v>
      </c>
      <c r="AB226" s="2004">
        <v>25000</v>
      </c>
      <c r="AC226" s="2004">
        <v>9500</v>
      </c>
      <c r="AD226" s="2004">
        <v>25000</v>
      </c>
      <c r="AE226" s="2004">
        <v>0</v>
      </c>
      <c r="AF226" s="2004">
        <v>0</v>
      </c>
      <c r="AG226" s="2004">
        <v>0</v>
      </c>
      <c r="AH226" s="2004">
        <v>9500</v>
      </c>
      <c r="AI226" s="2004">
        <v>25000</v>
      </c>
      <c r="AJ226" s="2043">
        <v>9500</v>
      </c>
      <c r="AK226" s="2043">
        <v>34500</v>
      </c>
      <c r="AL226" s="2043">
        <v>25000</v>
      </c>
      <c r="AM226" s="2043">
        <v>34500</v>
      </c>
      <c r="AN226" s="2043">
        <v>44000</v>
      </c>
      <c r="AO226" s="2043">
        <v>59500</v>
      </c>
      <c r="AP226" s="2043">
        <v>103500</v>
      </c>
    </row>
    <row r="227" spans="1:42" s="69" customFormat="1" ht="14.5">
      <c r="A227" s="1693">
        <v>175</v>
      </c>
      <c r="B227" s="616">
        <v>1</v>
      </c>
      <c r="C227" s="1693">
        <v>178</v>
      </c>
      <c r="D227" s="616">
        <v>1</v>
      </c>
      <c r="E227" s="1693">
        <v>200</v>
      </c>
      <c r="F227" s="616">
        <v>1</v>
      </c>
      <c r="G227" s="1693">
        <v>227</v>
      </c>
      <c r="H227" s="616">
        <v>1</v>
      </c>
      <c r="I227" s="616"/>
      <c r="J227" s="709" t="s">
        <v>512</v>
      </c>
      <c r="K227" s="1764" t="s">
        <v>1216</v>
      </c>
      <c r="L227" s="4"/>
      <c r="M227" s="4"/>
      <c r="N227" s="4"/>
      <c r="O227" s="27"/>
      <c r="P227" s="3"/>
      <c r="Q227" s="4"/>
      <c r="R227" s="4"/>
      <c r="S227" s="4"/>
      <c r="T227" s="3" t="s">
        <v>1035</v>
      </c>
      <c r="U227" s="3"/>
      <c r="V227" s="3"/>
      <c r="W227" s="1853"/>
      <c r="X227" s="2003">
        <v>9700</v>
      </c>
      <c r="Y227" s="2004">
        <v>0</v>
      </c>
      <c r="Z227" s="2004">
        <v>9700</v>
      </c>
      <c r="AA227" s="2004">
        <v>9700</v>
      </c>
      <c r="AB227" s="2004">
        <v>16500</v>
      </c>
      <c r="AC227" s="2004">
        <v>9700</v>
      </c>
      <c r="AD227" s="2004">
        <v>0</v>
      </c>
      <c r="AE227" s="2004">
        <v>9700</v>
      </c>
      <c r="AF227" s="2004">
        <v>9700</v>
      </c>
      <c r="AG227" s="2004">
        <v>35000</v>
      </c>
      <c r="AH227" s="2004">
        <v>9700</v>
      </c>
      <c r="AI227" s="2004">
        <v>9700</v>
      </c>
      <c r="AJ227" s="2043">
        <v>19400</v>
      </c>
      <c r="AK227" s="2043">
        <v>35900</v>
      </c>
      <c r="AL227" s="2043">
        <v>19400</v>
      </c>
      <c r="AM227" s="2043">
        <v>54400</v>
      </c>
      <c r="AN227" s="2043">
        <v>55300</v>
      </c>
      <c r="AO227" s="2043">
        <v>73800</v>
      </c>
      <c r="AP227" s="2043">
        <v>129100</v>
      </c>
    </row>
    <row r="228" spans="1:42" s="69" customFormat="1" ht="14.5">
      <c r="A228" s="1693">
        <v>176</v>
      </c>
      <c r="B228" s="616">
        <v>1</v>
      </c>
      <c r="C228" s="1693">
        <v>179</v>
      </c>
      <c r="D228" s="616">
        <v>1</v>
      </c>
      <c r="E228" s="1693">
        <v>201</v>
      </c>
      <c r="F228" s="616">
        <v>1</v>
      </c>
      <c r="G228" s="1693">
        <v>228</v>
      </c>
      <c r="H228" s="616">
        <v>1</v>
      </c>
      <c r="I228" s="616"/>
      <c r="J228" s="709" t="s">
        <v>512</v>
      </c>
      <c r="K228" s="1764" t="s">
        <v>1216</v>
      </c>
      <c r="L228" s="4"/>
      <c r="M228" s="4"/>
      <c r="N228" s="4"/>
      <c r="O228" s="27"/>
      <c r="P228" s="3"/>
      <c r="Q228" s="4"/>
      <c r="R228" s="4"/>
      <c r="S228" s="4"/>
      <c r="T228" s="3" t="s">
        <v>1036</v>
      </c>
      <c r="U228" s="3"/>
      <c r="V228" s="3"/>
      <c r="W228" s="1853"/>
      <c r="X228" s="2003">
        <v>0</v>
      </c>
      <c r="Y228" s="2004">
        <v>0</v>
      </c>
      <c r="Z228" s="2004">
        <v>0</v>
      </c>
      <c r="AA228" s="2004">
        <v>0</v>
      </c>
      <c r="AB228" s="2004">
        <v>0</v>
      </c>
      <c r="AC228" s="2004">
        <v>0</v>
      </c>
      <c r="AD228" s="2004">
        <v>0</v>
      </c>
      <c r="AE228" s="2004">
        <v>0</v>
      </c>
      <c r="AF228" s="2004">
        <v>0</v>
      </c>
      <c r="AG228" s="2004">
        <v>0</v>
      </c>
      <c r="AH228" s="2004">
        <v>0</v>
      </c>
      <c r="AI228" s="2004">
        <v>0</v>
      </c>
      <c r="AJ228" s="2043">
        <v>0</v>
      </c>
      <c r="AK228" s="2043">
        <v>0</v>
      </c>
      <c r="AL228" s="2043">
        <v>0</v>
      </c>
      <c r="AM228" s="2043">
        <v>0</v>
      </c>
      <c r="AN228" s="2043">
        <v>0</v>
      </c>
      <c r="AO228" s="2043">
        <v>0</v>
      </c>
      <c r="AP228" s="2043">
        <v>0</v>
      </c>
    </row>
    <row r="229" spans="1:42" s="69" customFormat="1" ht="14.5">
      <c r="A229" s="1693">
        <v>177</v>
      </c>
      <c r="B229" s="616">
        <v>1</v>
      </c>
      <c r="C229" s="1693">
        <v>180</v>
      </c>
      <c r="D229" s="616">
        <v>1</v>
      </c>
      <c r="E229" s="1693">
        <v>202</v>
      </c>
      <c r="F229" s="616">
        <v>1</v>
      </c>
      <c r="G229" s="1693">
        <v>229</v>
      </c>
      <c r="H229" s="616">
        <v>1</v>
      </c>
      <c r="I229" s="616"/>
      <c r="J229" s="709" t="s">
        <v>512</v>
      </c>
      <c r="K229" s="1764" t="s">
        <v>1216</v>
      </c>
      <c r="L229" s="4"/>
      <c r="M229" s="4"/>
      <c r="N229" s="4"/>
      <c r="O229" s="27"/>
      <c r="P229" s="3"/>
      <c r="Q229" s="4"/>
      <c r="R229" s="4"/>
      <c r="S229" s="4"/>
      <c r="T229" s="3" t="s">
        <v>479</v>
      </c>
      <c r="U229" s="3"/>
      <c r="V229" s="3"/>
      <c r="W229" s="1853"/>
      <c r="X229" s="2003">
        <v>0</v>
      </c>
      <c r="Y229" s="2004">
        <v>0</v>
      </c>
      <c r="Z229" s="2004">
        <v>0</v>
      </c>
      <c r="AA229" s="2004">
        <v>0</v>
      </c>
      <c r="AB229" s="2004">
        <v>0</v>
      </c>
      <c r="AC229" s="2004">
        <v>0</v>
      </c>
      <c r="AD229" s="2004">
        <v>0</v>
      </c>
      <c r="AE229" s="2004">
        <v>0</v>
      </c>
      <c r="AF229" s="2004">
        <v>0</v>
      </c>
      <c r="AG229" s="2004">
        <v>0</v>
      </c>
      <c r="AH229" s="2004">
        <v>0</v>
      </c>
      <c r="AI229" s="2004">
        <v>0</v>
      </c>
      <c r="AJ229" s="2043">
        <v>0</v>
      </c>
      <c r="AK229" s="2043">
        <v>0</v>
      </c>
      <c r="AL229" s="2043">
        <v>0</v>
      </c>
      <c r="AM229" s="2043">
        <v>0</v>
      </c>
      <c r="AN229" s="2043">
        <v>0</v>
      </c>
      <c r="AO229" s="2043">
        <v>0</v>
      </c>
      <c r="AP229" s="2043">
        <v>0</v>
      </c>
    </row>
    <row r="230" spans="1:42" s="69" customFormat="1" ht="14.5">
      <c r="A230" s="1693">
        <v>178</v>
      </c>
      <c r="B230" s="616">
        <v>1</v>
      </c>
      <c r="C230" s="1693">
        <v>181</v>
      </c>
      <c r="D230" s="616">
        <v>1</v>
      </c>
      <c r="E230" s="1693">
        <v>203</v>
      </c>
      <c r="F230" s="616">
        <v>1</v>
      </c>
      <c r="G230" s="1693">
        <v>230</v>
      </c>
      <c r="H230" s="616">
        <v>1</v>
      </c>
      <c r="I230" s="616"/>
      <c r="J230" s="709" t="s">
        <v>512</v>
      </c>
      <c r="K230" s="1764" t="s">
        <v>1216</v>
      </c>
      <c r="L230" s="4"/>
      <c r="M230" s="4"/>
      <c r="N230" s="4"/>
      <c r="O230" s="27"/>
      <c r="P230" s="3"/>
      <c r="Q230" s="4"/>
      <c r="R230" s="4"/>
      <c r="S230" s="47"/>
      <c r="T230" s="47" t="s">
        <v>2</v>
      </c>
      <c r="U230" s="47"/>
      <c r="V230" s="47"/>
      <c r="W230" s="1853"/>
      <c r="X230" s="2013">
        <v>0</v>
      </c>
      <c r="Y230" s="2014">
        <v>0</v>
      </c>
      <c r="Z230" s="2014">
        <v>0</v>
      </c>
      <c r="AA230" s="2014">
        <v>0</v>
      </c>
      <c r="AB230" s="2014">
        <v>0</v>
      </c>
      <c r="AC230" s="2014">
        <v>0</v>
      </c>
      <c r="AD230" s="2014">
        <v>0</v>
      </c>
      <c r="AE230" s="2014">
        <v>0</v>
      </c>
      <c r="AF230" s="2014">
        <v>0</v>
      </c>
      <c r="AG230" s="2014">
        <v>0</v>
      </c>
      <c r="AH230" s="2014">
        <v>0</v>
      </c>
      <c r="AI230" s="2014">
        <v>0</v>
      </c>
      <c r="AJ230" s="2044">
        <v>0</v>
      </c>
      <c r="AK230" s="2044">
        <v>0</v>
      </c>
      <c r="AL230" s="2044">
        <v>0</v>
      </c>
      <c r="AM230" s="2044">
        <v>0</v>
      </c>
      <c r="AN230" s="2044">
        <v>0</v>
      </c>
      <c r="AO230" s="2044">
        <v>0</v>
      </c>
      <c r="AP230" s="2044">
        <v>0</v>
      </c>
    </row>
    <row r="231" spans="1:42" s="69" customFormat="1" ht="14.5">
      <c r="A231" s="1693">
        <v>179</v>
      </c>
      <c r="B231" s="616">
        <v>1</v>
      </c>
      <c r="C231" s="1693">
        <v>182</v>
      </c>
      <c r="D231" s="616">
        <v>1</v>
      </c>
      <c r="E231" s="1693">
        <v>204</v>
      </c>
      <c r="F231" s="616">
        <v>1</v>
      </c>
      <c r="G231" s="1693">
        <v>231</v>
      </c>
      <c r="H231" s="616">
        <v>1</v>
      </c>
      <c r="I231" s="616"/>
      <c r="J231" s="709" t="s">
        <v>512</v>
      </c>
      <c r="K231" s="1764" t="s">
        <v>1216</v>
      </c>
      <c r="L231" s="4"/>
      <c r="M231" s="4"/>
      <c r="N231" s="4"/>
      <c r="O231" s="27"/>
      <c r="P231" s="3"/>
      <c r="Q231" s="4"/>
      <c r="R231" s="4"/>
      <c r="S231" s="300" t="s">
        <v>27</v>
      </c>
      <c r="T231" s="300"/>
      <c r="U231" s="300"/>
      <c r="V231" s="300"/>
      <c r="W231" s="2040"/>
      <c r="X231" s="2045">
        <v>6700</v>
      </c>
      <c r="Y231" s="2046">
        <v>6000</v>
      </c>
      <c r="Z231" s="2046">
        <v>6900</v>
      </c>
      <c r="AA231" s="2046">
        <v>6300</v>
      </c>
      <c r="AB231" s="2046">
        <v>6300</v>
      </c>
      <c r="AC231" s="2046">
        <v>7600</v>
      </c>
      <c r="AD231" s="2046">
        <v>6600</v>
      </c>
      <c r="AE231" s="2046">
        <v>6600</v>
      </c>
      <c r="AF231" s="2046">
        <v>7600</v>
      </c>
      <c r="AG231" s="2046">
        <v>6900</v>
      </c>
      <c r="AH231" s="2046">
        <v>6800</v>
      </c>
      <c r="AI231" s="2046">
        <v>7800</v>
      </c>
      <c r="AJ231" s="2046">
        <v>19600</v>
      </c>
      <c r="AK231" s="2046">
        <v>20200</v>
      </c>
      <c r="AL231" s="2046">
        <v>20800</v>
      </c>
      <c r="AM231" s="2046">
        <v>21500</v>
      </c>
      <c r="AN231" s="2046">
        <v>39800</v>
      </c>
      <c r="AO231" s="2046">
        <v>42300</v>
      </c>
      <c r="AP231" s="2046">
        <v>82100</v>
      </c>
    </row>
    <row r="232" spans="1:42" s="69" customFormat="1" ht="14.5">
      <c r="A232" s="1693">
        <v>180</v>
      </c>
      <c r="B232" s="616">
        <v>1</v>
      </c>
      <c r="C232" s="1693">
        <v>183</v>
      </c>
      <c r="D232" s="616">
        <v>1</v>
      </c>
      <c r="E232" s="1693">
        <v>205</v>
      </c>
      <c r="F232" s="616">
        <v>1</v>
      </c>
      <c r="G232" s="1693">
        <v>232</v>
      </c>
      <c r="H232" s="616">
        <v>1</v>
      </c>
      <c r="I232" s="616"/>
      <c r="J232" s="709" t="s">
        <v>512</v>
      </c>
      <c r="K232" s="1764" t="s">
        <v>1216</v>
      </c>
      <c r="L232" s="4"/>
      <c r="M232" s="4"/>
      <c r="N232" s="4"/>
      <c r="O232" s="27"/>
      <c r="P232" s="3"/>
      <c r="Q232" s="4"/>
      <c r="R232" s="4"/>
      <c r="S232" s="4"/>
      <c r="T232" s="3" t="s">
        <v>587</v>
      </c>
      <c r="U232" s="3"/>
      <c r="V232" s="3"/>
      <c r="W232" s="1853"/>
      <c r="X232" s="2003">
        <v>700</v>
      </c>
      <c r="Y232" s="2004">
        <v>700</v>
      </c>
      <c r="Z232" s="2004">
        <v>700</v>
      </c>
      <c r="AA232" s="2004">
        <v>700</v>
      </c>
      <c r="AB232" s="2004">
        <v>700</v>
      </c>
      <c r="AC232" s="2004">
        <v>1000</v>
      </c>
      <c r="AD232" s="2004">
        <v>1000</v>
      </c>
      <c r="AE232" s="2004">
        <v>1000</v>
      </c>
      <c r="AF232" s="2004">
        <v>1000</v>
      </c>
      <c r="AG232" s="2004">
        <v>1000</v>
      </c>
      <c r="AH232" s="2004">
        <v>1000</v>
      </c>
      <c r="AI232" s="2004">
        <v>1000</v>
      </c>
      <c r="AJ232" s="2043">
        <v>2100</v>
      </c>
      <c r="AK232" s="2043">
        <v>2400</v>
      </c>
      <c r="AL232" s="2043">
        <v>3000</v>
      </c>
      <c r="AM232" s="2043">
        <v>3000</v>
      </c>
      <c r="AN232" s="2043">
        <v>4500</v>
      </c>
      <c r="AO232" s="2043">
        <v>6000</v>
      </c>
      <c r="AP232" s="2043">
        <v>10500</v>
      </c>
    </row>
    <row r="233" spans="1:42" s="69" customFormat="1" ht="14.5">
      <c r="A233" s="1693">
        <v>181</v>
      </c>
      <c r="B233" s="616">
        <v>1</v>
      </c>
      <c r="C233" s="1693">
        <v>184</v>
      </c>
      <c r="D233" s="616">
        <v>1</v>
      </c>
      <c r="E233" s="1693">
        <v>206</v>
      </c>
      <c r="F233" s="616">
        <v>1</v>
      </c>
      <c r="G233" s="1693">
        <v>233</v>
      </c>
      <c r="H233" s="616">
        <v>1</v>
      </c>
      <c r="I233" s="616"/>
      <c r="J233" s="709" t="s">
        <v>512</v>
      </c>
      <c r="K233" s="1764" t="s">
        <v>1216</v>
      </c>
      <c r="L233" s="4"/>
      <c r="M233" s="4"/>
      <c r="N233" s="4"/>
      <c r="O233" s="27"/>
      <c r="P233" s="3"/>
      <c r="Q233" s="4"/>
      <c r="R233" s="4"/>
      <c r="S233" s="4"/>
      <c r="T233" s="3" t="s">
        <v>1034</v>
      </c>
      <c r="U233" s="3"/>
      <c r="V233" s="3"/>
      <c r="W233" s="1853"/>
      <c r="X233" s="2003">
        <v>3200</v>
      </c>
      <c r="Y233" s="2004">
        <v>2500</v>
      </c>
      <c r="Z233" s="2004">
        <v>3000</v>
      </c>
      <c r="AA233" s="2004">
        <v>2800</v>
      </c>
      <c r="AB233" s="2004">
        <v>2800</v>
      </c>
      <c r="AC233" s="2004">
        <v>3400</v>
      </c>
      <c r="AD233" s="2004">
        <v>2800</v>
      </c>
      <c r="AE233" s="2004">
        <v>2800</v>
      </c>
      <c r="AF233" s="2004">
        <v>3400</v>
      </c>
      <c r="AG233" s="2004">
        <v>3100</v>
      </c>
      <c r="AH233" s="2004">
        <v>3000</v>
      </c>
      <c r="AI233" s="2004">
        <v>3600</v>
      </c>
      <c r="AJ233" s="2043">
        <v>8700</v>
      </c>
      <c r="AK233" s="2043">
        <v>9000</v>
      </c>
      <c r="AL233" s="2043">
        <v>9000</v>
      </c>
      <c r="AM233" s="2043">
        <v>9700</v>
      </c>
      <c r="AN233" s="2043">
        <v>17700</v>
      </c>
      <c r="AO233" s="2043">
        <v>18700</v>
      </c>
      <c r="AP233" s="2043">
        <v>36400</v>
      </c>
    </row>
    <row r="234" spans="1:42" s="69" customFormat="1" ht="14.5">
      <c r="A234" s="1693">
        <v>182</v>
      </c>
      <c r="B234" s="616">
        <v>1</v>
      </c>
      <c r="C234" s="1693">
        <v>185</v>
      </c>
      <c r="D234" s="616">
        <v>1</v>
      </c>
      <c r="E234" s="1693">
        <v>207</v>
      </c>
      <c r="F234" s="616">
        <v>1</v>
      </c>
      <c r="G234" s="1693">
        <v>234</v>
      </c>
      <c r="H234" s="616">
        <v>1</v>
      </c>
      <c r="I234" s="616"/>
      <c r="J234" s="709" t="s">
        <v>512</v>
      </c>
      <c r="K234" s="1764" t="s">
        <v>1216</v>
      </c>
      <c r="L234" s="4"/>
      <c r="M234" s="4"/>
      <c r="N234" s="4"/>
      <c r="O234" s="27"/>
      <c r="P234" s="3"/>
      <c r="Q234" s="4"/>
      <c r="R234" s="4"/>
      <c r="S234" s="4"/>
      <c r="T234" s="3" t="s">
        <v>1035</v>
      </c>
      <c r="U234" s="3"/>
      <c r="V234" s="865"/>
      <c r="W234" s="1853"/>
      <c r="X234" s="2003">
        <v>2800</v>
      </c>
      <c r="Y234" s="2004">
        <v>2800</v>
      </c>
      <c r="Z234" s="2004">
        <v>3200</v>
      </c>
      <c r="AA234" s="2004">
        <v>2800</v>
      </c>
      <c r="AB234" s="2004">
        <v>2800</v>
      </c>
      <c r="AC234" s="2004">
        <v>3200</v>
      </c>
      <c r="AD234" s="2004">
        <v>2800</v>
      </c>
      <c r="AE234" s="2004">
        <v>2800</v>
      </c>
      <c r="AF234" s="2004">
        <v>3200</v>
      </c>
      <c r="AG234" s="2004">
        <v>2800</v>
      </c>
      <c r="AH234" s="2004">
        <v>2800</v>
      </c>
      <c r="AI234" s="2004">
        <v>3200</v>
      </c>
      <c r="AJ234" s="2043">
        <v>8800</v>
      </c>
      <c r="AK234" s="2043">
        <v>8800</v>
      </c>
      <c r="AL234" s="2043">
        <v>8800</v>
      </c>
      <c r="AM234" s="2043">
        <v>8800</v>
      </c>
      <c r="AN234" s="2043">
        <v>17600</v>
      </c>
      <c r="AO234" s="2043">
        <v>17600</v>
      </c>
      <c r="AP234" s="2043">
        <v>35200</v>
      </c>
    </row>
    <row r="235" spans="1:42" s="69" customFormat="1" ht="14.5">
      <c r="A235" s="1693">
        <v>183</v>
      </c>
      <c r="B235" s="616">
        <v>1</v>
      </c>
      <c r="C235" s="1693">
        <v>186</v>
      </c>
      <c r="D235" s="616">
        <v>1</v>
      </c>
      <c r="E235" s="1693">
        <v>208</v>
      </c>
      <c r="F235" s="616">
        <v>1</v>
      </c>
      <c r="G235" s="1693">
        <v>235</v>
      </c>
      <c r="H235" s="616">
        <v>1</v>
      </c>
      <c r="I235" s="616"/>
      <c r="J235" s="709" t="s">
        <v>512</v>
      </c>
      <c r="K235" s="1764" t="s">
        <v>1216</v>
      </c>
      <c r="L235" s="4"/>
      <c r="M235" s="4"/>
      <c r="N235" s="4"/>
      <c r="O235" s="27"/>
      <c r="P235" s="3"/>
      <c r="Q235" s="4"/>
      <c r="R235" s="4"/>
      <c r="S235" s="4"/>
      <c r="T235" s="3" t="s">
        <v>1036</v>
      </c>
      <c r="U235" s="3"/>
      <c r="V235" s="3"/>
      <c r="W235" s="1853"/>
      <c r="X235" s="2003">
        <v>0</v>
      </c>
      <c r="Y235" s="2004">
        <v>0</v>
      </c>
      <c r="Z235" s="2004">
        <v>0</v>
      </c>
      <c r="AA235" s="2004">
        <v>0</v>
      </c>
      <c r="AB235" s="2004">
        <v>0</v>
      </c>
      <c r="AC235" s="2004">
        <v>0</v>
      </c>
      <c r="AD235" s="2004">
        <v>0</v>
      </c>
      <c r="AE235" s="2004">
        <v>0</v>
      </c>
      <c r="AF235" s="2004">
        <v>0</v>
      </c>
      <c r="AG235" s="2004">
        <v>0</v>
      </c>
      <c r="AH235" s="2004">
        <v>0</v>
      </c>
      <c r="AI235" s="2004">
        <v>0</v>
      </c>
      <c r="AJ235" s="2043">
        <v>0</v>
      </c>
      <c r="AK235" s="2043">
        <v>0</v>
      </c>
      <c r="AL235" s="2043">
        <v>0</v>
      </c>
      <c r="AM235" s="2043">
        <v>0</v>
      </c>
      <c r="AN235" s="2043">
        <v>0</v>
      </c>
      <c r="AO235" s="2043">
        <v>0</v>
      </c>
      <c r="AP235" s="2043">
        <v>0</v>
      </c>
    </row>
    <row r="236" spans="1:42" s="69" customFormat="1" ht="14.5">
      <c r="A236" s="1693">
        <v>184</v>
      </c>
      <c r="B236" s="616">
        <v>1</v>
      </c>
      <c r="C236" s="1693">
        <v>187</v>
      </c>
      <c r="D236" s="616">
        <v>1</v>
      </c>
      <c r="E236" s="1693">
        <v>209</v>
      </c>
      <c r="F236" s="616">
        <v>1</v>
      </c>
      <c r="G236" s="1693">
        <v>236</v>
      </c>
      <c r="H236" s="616">
        <v>1</v>
      </c>
      <c r="I236" s="616"/>
      <c r="J236" s="709" t="s">
        <v>512</v>
      </c>
      <c r="K236" s="1764" t="s">
        <v>1216</v>
      </c>
      <c r="L236" s="4"/>
      <c r="M236" s="4"/>
      <c r="N236" s="4"/>
      <c r="O236" s="27"/>
      <c r="P236" s="3"/>
      <c r="Q236" s="4"/>
      <c r="R236" s="4"/>
      <c r="S236" s="4"/>
      <c r="T236" s="3" t="s">
        <v>479</v>
      </c>
      <c r="U236" s="3"/>
      <c r="V236" s="3"/>
      <c r="W236" s="1853"/>
      <c r="X236" s="2003">
        <v>0</v>
      </c>
      <c r="Y236" s="2004">
        <v>0</v>
      </c>
      <c r="Z236" s="2004">
        <v>0</v>
      </c>
      <c r="AA236" s="2004">
        <v>0</v>
      </c>
      <c r="AB236" s="2004">
        <v>0</v>
      </c>
      <c r="AC236" s="2004">
        <v>0</v>
      </c>
      <c r="AD236" s="2004">
        <v>0</v>
      </c>
      <c r="AE236" s="2004">
        <v>0</v>
      </c>
      <c r="AF236" s="2004">
        <v>0</v>
      </c>
      <c r="AG236" s="2004">
        <v>0</v>
      </c>
      <c r="AH236" s="2004">
        <v>0</v>
      </c>
      <c r="AI236" s="2004">
        <v>0</v>
      </c>
      <c r="AJ236" s="2043">
        <v>0</v>
      </c>
      <c r="AK236" s="2043">
        <v>0</v>
      </c>
      <c r="AL236" s="2043">
        <v>0</v>
      </c>
      <c r="AM236" s="2043">
        <v>0</v>
      </c>
      <c r="AN236" s="2043">
        <v>0</v>
      </c>
      <c r="AO236" s="2043">
        <v>0</v>
      </c>
      <c r="AP236" s="2043">
        <v>0</v>
      </c>
    </row>
    <row r="237" spans="1:42" s="69" customFormat="1" ht="14.5">
      <c r="A237" s="1693">
        <v>185</v>
      </c>
      <c r="B237" s="616">
        <v>1</v>
      </c>
      <c r="C237" s="1693">
        <v>188</v>
      </c>
      <c r="D237" s="616">
        <v>1</v>
      </c>
      <c r="E237" s="1693">
        <v>210</v>
      </c>
      <c r="F237" s="616">
        <v>1</v>
      </c>
      <c r="G237" s="1693">
        <v>237</v>
      </c>
      <c r="H237" s="616">
        <v>1</v>
      </c>
      <c r="I237" s="616"/>
      <c r="J237" s="709" t="s">
        <v>512</v>
      </c>
      <c r="K237" s="1764" t="s">
        <v>1216</v>
      </c>
      <c r="L237" s="4"/>
      <c r="M237" s="4"/>
      <c r="N237" s="4"/>
      <c r="O237" s="25"/>
      <c r="P237" s="1"/>
      <c r="Q237" s="2"/>
      <c r="R237" s="2"/>
      <c r="S237" s="2"/>
      <c r="T237" s="1" t="s">
        <v>2</v>
      </c>
      <c r="U237" s="1"/>
      <c r="V237" s="1"/>
      <c r="W237" s="1853"/>
      <c r="X237" s="2013">
        <v>0</v>
      </c>
      <c r="Y237" s="2014">
        <v>0</v>
      </c>
      <c r="Z237" s="2014">
        <v>0</v>
      </c>
      <c r="AA237" s="2014">
        <v>0</v>
      </c>
      <c r="AB237" s="2014">
        <v>0</v>
      </c>
      <c r="AC237" s="2014">
        <v>0</v>
      </c>
      <c r="AD237" s="2014">
        <v>0</v>
      </c>
      <c r="AE237" s="2014">
        <v>0</v>
      </c>
      <c r="AF237" s="2014">
        <v>0</v>
      </c>
      <c r="AG237" s="2014">
        <v>0</v>
      </c>
      <c r="AH237" s="2014">
        <v>0</v>
      </c>
      <c r="AI237" s="2014">
        <v>0</v>
      </c>
      <c r="AJ237" s="1979">
        <v>0</v>
      </c>
      <c r="AK237" s="1979">
        <v>0</v>
      </c>
      <c r="AL237" s="1979">
        <v>0</v>
      </c>
      <c r="AM237" s="1979">
        <v>0</v>
      </c>
      <c r="AN237" s="1979">
        <v>0</v>
      </c>
      <c r="AO237" s="1979">
        <v>0</v>
      </c>
      <c r="AP237" s="1979">
        <v>0</v>
      </c>
    </row>
    <row r="238" spans="1:42" ht="14.5">
      <c r="A238" s="1693">
        <v>186</v>
      </c>
      <c r="B238" s="616">
        <v>1</v>
      </c>
      <c r="C238" s="1693">
        <v>189</v>
      </c>
      <c r="D238" s="616">
        <v>1</v>
      </c>
      <c r="E238" s="1693">
        <v>211</v>
      </c>
      <c r="F238" s="616">
        <v>1</v>
      </c>
      <c r="G238" s="1693">
        <v>238</v>
      </c>
      <c r="H238" s="616">
        <v>1</v>
      </c>
      <c r="J238" s="709" t="s">
        <v>512</v>
      </c>
      <c r="K238" s="1764" t="s">
        <v>1216</v>
      </c>
      <c r="L238" s="4"/>
      <c r="M238" s="4"/>
      <c r="N238" s="4"/>
      <c r="O238" s="365" t="s">
        <v>54</v>
      </c>
      <c r="P238" s="489"/>
      <c r="Q238" s="581"/>
      <c r="R238" s="581"/>
      <c r="S238" s="489"/>
      <c r="T238" s="489"/>
      <c r="U238" s="489"/>
      <c r="V238" s="489"/>
      <c r="W238" s="2037"/>
      <c r="X238" s="2038">
        <v>12930.734</v>
      </c>
      <c r="Y238" s="2039">
        <v>1680</v>
      </c>
      <c r="Z238" s="2039">
        <v>8237.3509999999987</v>
      </c>
      <c r="AA238" s="2039">
        <v>2547.9339999999997</v>
      </c>
      <c r="AB238" s="2039">
        <v>8656.6</v>
      </c>
      <c r="AC238" s="2039">
        <v>8480.1509999999998</v>
      </c>
      <c r="AD238" s="2039">
        <v>7156.6</v>
      </c>
      <c r="AE238" s="2039">
        <v>2547.9339999999997</v>
      </c>
      <c r="AF238" s="2039">
        <v>3017.134</v>
      </c>
      <c r="AG238" s="2039">
        <v>13209.372530000002</v>
      </c>
      <c r="AH238" s="2039">
        <v>8167.3509999999997</v>
      </c>
      <c r="AI238" s="2039">
        <v>8485.5339999999997</v>
      </c>
      <c r="AJ238" s="2039">
        <v>22848.084999999999</v>
      </c>
      <c r="AK238" s="2039">
        <v>19684.684999999998</v>
      </c>
      <c r="AL238" s="2039">
        <v>12721.668</v>
      </c>
      <c r="AM238" s="2039">
        <v>29862.257530000003</v>
      </c>
      <c r="AN238" s="2039">
        <v>42532.770000000004</v>
      </c>
      <c r="AO238" s="2039">
        <v>42583.92553</v>
      </c>
      <c r="AP238" s="2039">
        <v>85116.695529999997</v>
      </c>
    </row>
    <row r="239" spans="1:42" s="504" customFormat="1" ht="14.5">
      <c r="A239" s="1693">
        <v>187</v>
      </c>
      <c r="B239" s="616">
        <v>1</v>
      </c>
      <c r="C239" s="1693">
        <v>190</v>
      </c>
      <c r="D239" s="616">
        <v>1</v>
      </c>
      <c r="E239" s="1693">
        <v>212</v>
      </c>
      <c r="F239" s="616">
        <v>1</v>
      </c>
      <c r="G239" s="1693">
        <v>239</v>
      </c>
      <c r="H239" s="616">
        <v>1</v>
      </c>
      <c r="I239" s="616"/>
      <c r="J239" s="709" t="s">
        <v>512</v>
      </c>
      <c r="K239" s="1764" t="s">
        <v>1216</v>
      </c>
      <c r="L239" s="4"/>
      <c r="M239" s="4"/>
      <c r="N239" s="501"/>
      <c r="O239" s="502"/>
      <c r="P239" s="503" t="s">
        <v>55</v>
      </c>
      <c r="Q239" s="501"/>
      <c r="R239" s="501"/>
      <c r="S239" s="501"/>
      <c r="T239" s="501"/>
      <c r="U239" s="478" t="s">
        <v>1023</v>
      </c>
      <c r="V239" s="501"/>
      <c r="W239" s="1785"/>
      <c r="X239" s="1306">
        <v>0.14116521834061135</v>
      </c>
      <c r="Y239" s="1284">
        <v>0.28000000000000003</v>
      </c>
      <c r="Z239" s="1284">
        <v>0.31560731800766278</v>
      </c>
      <c r="AA239" s="1284">
        <v>0.15924587499999998</v>
      </c>
      <c r="AB239" s="1284">
        <v>0.18110041841004185</v>
      </c>
      <c r="AC239" s="1284">
        <v>0.31642354477611939</v>
      </c>
      <c r="AD239" s="1284">
        <v>0.22647468354430381</v>
      </c>
      <c r="AE239" s="1284">
        <v>0.15631496932515335</v>
      </c>
      <c r="AF239" s="1284">
        <v>0.17440080924855492</v>
      </c>
      <c r="AG239" s="1284">
        <v>0.31525948758949884</v>
      </c>
      <c r="AH239" s="1284">
        <v>0.31412888461538463</v>
      </c>
      <c r="AI239" s="1284">
        <v>0.19965962352941174</v>
      </c>
      <c r="AJ239" s="1284">
        <v>0.18470561843168956</v>
      </c>
      <c r="AK239" s="1284">
        <v>0.21727025386313464</v>
      </c>
      <c r="AL239" s="1284">
        <v>0.19511760736196318</v>
      </c>
      <c r="AM239" s="1284">
        <v>0.27049146313405797</v>
      </c>
      <c r="AN239" s="1284">
        <v>0.19847302846476902</v>
      </c>
      <c r="AO239" s="1284">
        <v>0.24250527067198177</v>
      </c>
      <c r="AP239" s="1284">
        <v>0.21830391261862014</v>
      </c>
    </row>
    <row r="240" spans="1:42" s="509" customFormat="1" ht="14.5" outlineLevel="1">
      <c r="A240" s="1693">
        <v>188</v>
      </c>
      <c r="B240" s="616">
        <v>1</v>
      </c>
      <c r="C240" s="1693">
        <v>191</v>
      </c>
      <c r="D240" s="616">
        <v>1</v>
      </c>
      <c r="E240" s="1693">
        <v>213</v>
      </c>
      <c r="F240" s="616">
        <v>1</v>
      </c>
      <c r="G240" s="1693">
        <v>240</v>
      </c>
      <c r="H240" s="616">
        <v>1</v>
      </c>
      <c r="I240" s="616"/>
      <c r="J240" s="709" t="s">
        <v>512</v>
      </c>
      <c r="K240" s="1764" t="s">
        <v>1216</v>
      </c>
      <c r="L240" s="4"/>
      <c r="M240" s="4"/>
      <c r="N240" s="506"/>
      <c r="O240" s="507"/>
      <c r="P240" s="503"/>
      <c r="Q240" s="506"/>
      <c r="R240" s="506"/>
      <c r="S240" s="508" t="s">
        <v>1037</v>
      </c>
      <c r="T240" s="508"/>
      <c r="U240" s="508"/>
      <c r="V240" s="508"/>
      <c r="W240" s="1797"/>
      <c r="X240" s="1310">
        <v>0.12606989399293286</v>
      </c>
      <c r="Y240" s="1286">
        <v>0</v>
      </c>
      <c r="Z240" s="1286">
        <v>0.32116411458333333</v>
      </c>
      <c r="AA240" s="1286">
        <v>7.2508659793814434E-2</v>
      </c>
      <c r="AB240" s="1286">
        <v>0.16414457831325302</v>
      </c>
      <c r="AC240" s="1286">
        <v>0.32116411458333333</v>
      </c>
      <c r="AD240" s="1286">
        <v>0.21248</v>
      </c>
      <c r="AE240" s="1286">
        <v>7.2508659793814434E-2</v>
      </c>
      <c r="AF240" s="1286">
        <v>7.2508659793814434E-2</v>
      </c>
      <c r="AG240" s="1286">
        <v>0.31800492942857145</v>
      </c>
      <c r="AH240" s="1286">
        <v>0.32116411458333333</v>
      </c>
      <c r="AI240" s="1286">
        <v>0.17335256484149855</v>
      </c>
      <c r="AJ240" s="1286">
        <v>0.16205268972142173</v>
      </c>
      <c r="AK240" s="1286">
        <v>0.19434211647727273</v>
      </c>
      <c r="AL240" s="1286">
        <v>0.15132135135135136</v>
      </c>
      <c r="AM240" s="1286">
        <v>0.26222561901012376</v>
      </c>
      <c r="AN240" s="1286">
        <v>0.1750794842406877</v>
      </c>
      <c r="AO240" s="1286">
        <v>0.22528526279069766</v>
      </c>
      <c r="AP240" s="1286">
        <v>0.19682227267706304</v>
      </c>
    </row>
    <row r="241" spans="1:42" s="509" customFormat="1" ht="14.5" outlineLevel="1">
      <c r="A241" s="1693">
        <v>189</v>
      </c>
      <c r="B241" s="616">
        <v>1</v>
      </c>
      <c r="C241" s="1693">
        <v>192</v>
      </c>
      <c r="D241" s="616">
        <v>1</v>
      </c>
      <c r="E241" s="1693">
        <v>214</v>
      </c>
      <c r="F241" s="616">
        <v>1</v>
      </c>
      <c r="G241" s="1693">
        <v>241</v>
      </c>
      <c r="H241" s="616">
        <v>1</v>
      </c>
      <c r="I241" s="616"/>
      <c r="J241" s="709" t="s">
        <v>512</v>
      </c>
      <c r="K241" s="1764" t="s">
        <v>1216</v>
      </c>
      <c r="L241" s="4"/>
      <c r="M241" s="4"/>
      <c r="N241" s="506"/>
      <c r="O241" s="507"/>
      <c r="P241" s="503"/>
      <c r="Q241" s="506"/>
      <c r="R241" s="506"/>
      <c r="S241" s="506"/>
      <c r="T241" s="503" t="s">
        <v>588</v>
      </c>
      <c r="U241" s="503"/>
      <c r="V241" s="503"/>
      <c r="W241" s="1785"/>
      <c r="X241" s="1311">
        <v>0.13297872340425532</v>
      </c>
      <c r="Y241" s="1285">
        <v>0</v>
      </c>
      <c r="Z241" s="1285">
        <v>0</v>
      </c>
      <c r="AA241" s="1285">
        <v>0</v>
      </c>
      <c r="AB241" s="1285">
        <v>0</v>
      </c>
      <c r="AC241" s="1285">
        <v>0</v>
      </c>
      <c r="AD241" s="1285">
        <v>0</v>
      </c>
      <c r="AE241" s="1285">
        <v>0</v>
      </c>
      <c r="AF241" s="1285">
        <v>0</v>
      </c>
      <c r="AG241" s="1285">
        <v>0</v>
      </c>
      <c r="AH241" s="1285">
        <v>0</v>
      </c>
      <c r="AI241" s="1285">
        <v>0</v>
      </c>
      <c r="AJ241" s="1285">
        <v>0.13297872340425532</v>
      </c>
      <c r="AK241" s="1285">
        <v>0</v>
      </c>
      <c r="AL241" s="1285">
        <v>0</v>
      </c>
      <c r="AM241" s="1285">
        <v>0</v>
      </c>
      <c r="AN241" s="1285">
        <v>0.13297872340425532</v>
      </c>
      <c r="AO241" s="1285">
        <v>0</v>
      </c>
      <c r="AP241" s="1285">
        <v>0.13297872340425532</v>
      </c>
    </row>
    <row r="242" spans="1:42" s="509" customFormat="1" ht="14.5" outlineLevel="1">
      <c r="A242" s="1693">
        <v>190</v>
      </c>
      <c r="B242" s="616">
        <v>1</v>
      </c>
      <c r="C242" s="1693">
        <v>193</v>
      </c>
      <c r="D242" s="616">
        <v>1</v>
      </c>
      <c r="E242" s="1693">
        <v>215</v>
      </c>
      <c r="F242" s="616">
        <v>1</v>
      </c>
      <c r="G242" s="1693">
        <v>242</v>
      </c>
      <c r="H242" s="616">
        <v>1</v>
      </c>
      <c r="I242" s="616"/>
      <c r="J242" s="709" t="s">
        <v>512</v>
      </c>
      <c r="K242" s="1764" t="s">
        <v>1216</v>
      </c>
      <c r="L242" s="4"/>
      <c r="M242" s="4"/>
      <c r="N242" s="506"/>
      <c r="O242" s="507"/>
      <c r="P242" s="503"/>
      <c r="Q242" s="506"/>
      <c r="R242" s="506"/>
      <c r="S242" s="506"/>
      <c r="T242" s="503" t="s">
        <v>1038</v>
      </c>
      <c r="U242" s="503"/>
      <c r="V242" s="503"/>
      <c r="W242" s="1785"/>
      <c r="X242" s="1311">
        <v>0</v>
      </c>
      <c r="Y242" s="1285">
        <v>0</v>
      </c>
      <c r="Z242" s="1285">
        <v>0.5750544210526316</v>
      </c>
      <c r="AA242" s="1285">
        <v>0</v>
      </c>
      <c r="AB242" s="1285">
        <v>0.21248</v>
      </c>
      <c r="AC242" s="1285">
        <v>0.5750544210526316</v>
      </c>
      <c r="AD242" s="1285">
        <v>0.21248</v>
      </c>
      <c r="AE242" s="1285">
        <v>0</v>
      </c>
      <c r="AF242" s="1285">
        <v>0</v>
      </c>
      <c r="AG242" s="1285">
        <v>0</v>
      </c>
      <c r="AH242" s="1285">
        <v>0.5750544210526316</v>
      </c>
      <c r="AI242" s="1285">
        <v>0.21248</v>
      </c>
      <c r="AJ242" s="1285">
        <v>0.5750544210526316</v>
      </c>
      <c r="AK242" s="1285">
        <v>0.31231933333333334</v>
      </c>
      <c r="AL242" s="1285">
        <v>0.21248</v>
      </c>
      <c r="AM242" s="1285">
        <v>0.31231933333333334</v>
      </c>
      <c r="AN242" s="1285">
        <v>0.36904622727272729</v>
      </c>
      <c r="AO242" s="1285">
        <v>0.27037003361344536</v>
      </c>
      <c r="AP242" s="1285">
        <v>0.31231933333333334</v>
      </c>
    </row>
    <row r="243" spans="1:42" s="509" customFormat="1" ht="14.5" outlineLevel="1">
      <c r="A243" s="1693">
        <v>191</v>
      </c>
      <c r="B243" s="616">
        <v>1</v>
      </c>
      <c r="C243" s="1693">
        <v>194</v>
      </c>
      <c r="D243" s="616">
        <v>1</v>
      </c>
      <c r="E243" s="1693">
        <v>216</v>
      </c>
      <c r="F243" s="616">
        <v>1</v>
      </c>
      <c r="G243" s="1693">
        <v>243</v>
      </c>
      <c r="H243" s="616">
        <v>1</v>
      </c>
      <c r="I243" s="616"/>
      <c r="J243" s="709" t="s">
        <v>512</v>
      </c>
      <c r="K243" s="1764" t="s">
        <v>1216</v>
      </c>
      <c r="L243" s="4"/>
      <c r="M243" s="4"/>
      <c r="N243" s="506"/>
      <c r="O243" s="507"/>
      <c r="P243" s="503"/>
      <c r="Q243" s="506"/>
      <c r="R243" s="506"/>
      <c r="S243" s="506"/>
      <c r="T243" s="503" t="s">
        <v>1039</v>
      </c>
      <c r="U243" s="503"/>
      <c r="V243" s="503"/>
      <c r="W243" s="1785"/>
      <c r="X243" s="1311">
        <v>7.2508659793814434E-2</v>
      </c>
      <c r="Y243" s="1285">
        <v>0</v>
      </c>
      <c r="Z243" s="1285">
        <v>7.2508659793814434E-2</v>
      </c>
      <c r="AA243" s="1285">
        <v>7.2508659793814434E-2</v>
      </c>
      <c r="AB243" s="1285">
        <v>9.0909090909090912E-2</v>
      </c>
      <c r="AC243" s="1285">
        <v>7.2508659793814434E-2</v>
      </c>
      <c r="AD243" s="1285">
        <v>0</v>
      </c>
      <c r="AE243" s="1285">
        <v>7.2508659793814434E-2</v>
      </c>
      <c r="AF243" s="1285">
        <v>7.2508659793814434E-2</v>
      </c>
      <c r="AG243" s="1285">
        <v>0.31800492942857145</v>
      </c>
      <c r="AH243" s="1285">
        <v>7.2508659793814434E-2</v>
      </c>
      <c r="AI243" s="1285">
        <v>7.2508659793814434E-2</v>
      </c>
      <c r="AJ243" s="1285">
        <v>7.2508659793814434E-2</v>
      </c>
      <c r="AK243" s="1285">
        <v>8.0965682451253476E-2</v>
      </c>
      <c r="AL243" s="1285">
        <v>7.2508659793814434E-2</v>
      </c>
      <c r="AM243" s="1285">
        <v>0.23045662738970593</v>
      </c>
      <c r="AN243" s="1285">
        <v>7.799884267631102E-2</v>
      </c>
      <c r="AO243" s="1285">
        <v>0.18893642994579948</v>
      </c>
      <c r="AP243" s="1285">
        <v>0.14141630154918669</v>
      </c>
    </row>
    <row r="244" spans="1:42" s="509" customFormat="1" ht="14.5" outlineLevel="1">
      <c r="A244" s="1693">
        <v>192</v>
      </c>
      <c r="B244" s="616">
        <v>1</v>
      </c>
      <c r="C244" s="1693">
        <v>195</v>
      </c>
      <c r="D244" s="616">
        <v>1</v>
      </c>
      <c r="E244" s="1693">
        <v>217</v>
      </c>
      <c r="F244" s="616">
        <v>1</v>
      </c>
      <c r="G244" s="1693">
        <v>244</v>
      </c>
      <c r="H244" s="616">
        <v>1</v>
      </c>
      <c r="I244" s="616"/>
      <c r="J244" s="709" t="s">
        <v>512</v>
      </c>
      <c r="K244" s="1764" t="s">
        <v>1216</v>
      </c>
      <c r="L244" s="4"/>
      <c r="M244" s="4"/>
      <c r="N244" s="506"/>
      <c r="O244" s="507"/>
      <c r="P244" s="503"/>
      <c r="Q244" s="506"/>
      <c r="R244" s="506"/>
      <c r="S244" s="506"/>
      <c r="T244" s="503" t="s">
        <v>1040</v>
      </c>
      <c r="U244" s="503"/>
      <c r="V244" s="503"/>
      <c r="W244" s="1785"/>
      <c r="X244" s="1311">
        <v>0</v>
      </c>
      <c r="Y244" s="1285">
        <v>0</v>
      </c>
      <c r="Z244" s="1285">
        <v>0</v>
      </c>
      <c r="AA244" s="1285">
        <v>0</v>
      </c>
      <c r="AB244" s="1285">
        <v>0</v>
      </c>
      <c r="AC244" s="1285">
        <v>0</v>
      </c>
      <c r="AD244" s="1285">
        <v>0</v>
      </c>
      <c r="AE244" s="1285">
        <v>0</v>
      </c>
      <c r="AF244" s="1285">
        <v>0</v>
      </c>
      <c r="AG244" s="1285">
        <v>0</v>
      </c>
      <c r="AH244" s="1285">
        <v>0</v>
      </c>
      <c r="AI244" s="1285">
        <v>0</v>
      </c>
      <c r="AJ244" s="1285">
        <v>0</v>
      </c>
      <c r="AK244" s="1285">
        <v>0</v>
      </c>
      <c r="AL244" s="1285">
        <v>0</v>
      </c>
      <c r="AM244" s="1285">
        <v>0</v>
      </c>
      <c r="AN244" s="1285">
        <v>0</v>
      </c>
      <c r="AO244" s="1285">
        <v>0</v>
      </c>
      <c r="AP244" s="1285">
        <v>0</v>
      </c>
    </row>
    <row r="245" spans="1:42" s="509" customFormat="1" ht="14.5" outlineLevel="1">
      <c r="A245" s="1693">
        <v>193</v>
      </c>
      <c r="B245" s="616">
        <v>1</v>
      </c>
      <c r="C245" s="1693">
        <v>196</v>
      </c>
      <c r="D245" s="616">
        <v>1</v>
      </c>
      <c r="E245" s="1693">
        <v>218</v>
      </c>
      <c r="F245" s="616">
        <v>1</v>
      </c>
      <c r="G245" s="1693">
        <v>245</v>
      </c>
      <c r="H245" s="616">
        <v>1</v>
      </c>
      <c r="I245" s="616"/>
      <c r="J245" s="709" t="s">
        <v>512</v>
      </c>
      <c r="K245" s="1764" t="s">
        <v>1216</v>
      </c>
      <c r="L245" s="4"/>
      <c r="M245" s="4"/>
      <c r="N245" s="506"/>
      <c r="O245" s="507"/>
      <c r="P245" s="503"/>
      <c r="Q245" s="506"/>
      <c r="R245" s="506"/>
      <c r="S245" s="506"/>
      <c r="T245" s="503" t="s">
        <v>1041</v>
      </c>
      <c r="U245" s="503"/>
      <c r="V245" s="503"/>
      <c r="W245" s="1785"/>
      <c r="X245" s="1311">
        <v>0</v>
      </c>
      <c r="Y245" s="1285">
        <v>0</v>
      </c>
      <c r="Z245" s="1285">
        <v>0</v>
      </c>
      <c r="AA245" s="1285">
        <v>0</v>
      </c>
      <c r="AB245" s="1285">
        <v>0</v>
      </c>
      <c r="AC245" s="1285">
        <v>0</v>
      </c>
      <c r="AD245" s="1285">
        <v>0</v>
      </c>
      <c r="AE245" s="1285">
        <v>0</v>
      </c>
      <c r="AF245" s="1285">
        <v>0</v>
      </c>
      <c r="AG245" s="1285">
        <v>0</v>
      </c>
      <c r="AH245" s="1285">
        <v>0</v>
      </c>
      <c r="AI245" s="1285">
        <v>0</v>
      </c>
      <c r="AJ245" s="1285">
        <v>0</v>
      </c>
      <c r="AK245" s="1285">
        <v>0</v>
      </c>
      <c r="AL245" s="1285">
        <v>0</v>
      </c>
      <c r="AM245" s="1285">
        <v>0</v>
      </c>
      <c r="AN245" s="1285">
        <v>0</v>
      </c>
      <c r="AO245" s="1285">
        <v>0</v>
      </c>
      <c r="AP245" s="1285">
        <v>0</v>
      </c>
    </row>
    <row r="246" spans="1:42" s="509" customFormat="1" ht="14.5" outlineLevel="1">
      <c r="A246" s="1693">
        <v>194</v>
      </c>
      <c r="B246" s="616">
        <v>1</v>
      </c>
      <c r="C246" s="1693">
        <v>197</v>
      </c>
      <c r="D246" s="616">
        <v>1</v>
      </c>
      <c r="E246" s="1693">
        <v>219</v>
      </c>
      <c r="F246" s="616">
        <v>1</v>
      </c>
      <c r="G246" s="1693">
        <v>246</v>
      </c>
      <c r="H246" s="616">
        <v>1</v>
      </c>
      <c r="I246" s="616"/>
      <c r="J246" s="709" t="s">
        <v>512</v>
      </c>
      <c r="K246" s="1764" t="s">
        <v>1216</v>
      </c>
      <c r="L246" s="4"/>
      <c r="M246" s="4"/>
      <c r="N246" s="506"/>
      <c r="O246" s="507"/>
      <c r="P246" s="503"/>
      <c r="Q246" s="506"/>
      <c r="R246" s="506"/>
      <c r="S246" s="510"/>
      <c r="T246" s="510" t="s">
        <v>1026</v>
      </c>
      <c r="U246" s="510"/>
      <c r="V246" s="510"/>
      <c r="W246" s="1785"/>
      <c r="X246" s="1312">
        <v>0</v>
      </c>
      <c r="Y246" s="1287">
        <v>0</v>
      </c>
      <c r="Z246" s="1287">
        <v>0</v>
      </c>
      <c r="AA246" s="1287">
        <v>0</v>
      </c>
      <c r="AB246" s="1287">
        <v>0</v>
      </c>
      <c r="AC246" s="1287">
        <v>0</v>
      </c>
      <c r="AD246" s="1287">
        <v>0</v>
      </c>
      <c r="AE246" s="1287">
        <v>0</v>
      </c>
      <c r="AF246" s="1287">
        <v>0</v>
      </c>
      <c r="AG246" s="1287">
        <v>0</v>
      </c>
      <c r="AH246" s="1287">
        <v>0</v>
      </c>
      <c r="AI246" s="1287">
        <v>0</v>
      </c>
      <c r="AJ246" s="1287">
        <v>0</v>
      </c>
      <c r="AK246" s="1287">
        <v>0</v>
      </c>
      <c r="AL246" s="1287">
        <v>0</v>
      </c>
      <c r="AM246" s="1287">
        <v>0</v>
      </c>
      <c r="AN246" s="1287">
        <v>0</v>
      </c>
      <c r="AO246" s="1287">
        <v>0</v>
      </c>
      <c r="AP246" s="1287">
        <v>0</v>
      </c>
    </row>
    <row r="247" spans="1:42" s="509" customFormat="1" ht="14.5" outlineLevel="1">
      <c r="A247" s="1693">
        <v>195</v>
      </c>
      <c r="B247" s="616">
        <v>1</v>
      </c>
      <c r="C247" s="1693">
        <v>198</v>
      </c>
      <c r="D247" s="616">
        <v>1</v>
      </c>
      <c r="E247" s="1693">
        <v>220</v>
      </c>
      <c r="F247" s="616">
        <v>1</v>
      </c>
      <c r="G247" s="1693">
        <v>247</v>
      </c>
      <c r="H247" s="616">
        <v>1</v>
      </c>
      <c r="I247" s="616"/>
      <c r="J247" s="709" t="s">
        <v>512</v>
      </c>
      <c r="K247" s="1764" t="s">
        <v>1216</v>
      </c>
      <c r="L247" s="4"/>
      <c r="M247" s="4"/>
      <c r="N247" s="506"/>
      <c r="O247" s="507"/>
      <c r="P247" s="503"/>
      <c r="Q247" s="506"/>
      <c r="R247" s="506"/>
      <c r="S247" s="508" t="s">
        <v>1025</v>
      </c>
      <c r="T247" s="508"/>
      <c r="U247" s="508"/>
      <c r="V247" s="508"/>
      <c r="W247" s="1797"/>
      <c r="X247" s="1310">
        <v>0.33244776119402986</v>
      </c>
      <c r="Y247" s="1286">
        <v>0.28000000000000003</v>
      </c>
      <c r="Z247" s="1286">
        <v>0.3001449275362319</v>
      </c>
      <c r="AA247" s="1286">
        <v>0.29279365079365077</v>
      </c>
      <c r="AB247" s="1286">
        <v>0.29279365079365077</v>
      </c>
      <c r="AC247" s="1286">
        <v>0.30444736842105263</v>
      </c>
      <c r="AD247" s="1286">
        <v>0.27948484848484845</v>
      </c>
      <c r="AE247" s="1286">
        <v>0.27948484848484845</v>
      </c>
      <c r="AF247" s="1286">
        <v>0.30444736842105263</v>
      </c>
      <c r="AG247" s="1286">
        <v>0.3013333333333334</v>
      </c>
      <c r="AH247" s="1286">
        <v>0.29426470588235293</v>
      </c>
      <c r="AI247" s="1286">
        <v>0.31669230769230772</v>
      </c>
      <c r="AJ247" s="1286">
        <v>0.30502040816326531</v>
      </c>
      <c r="AK247" s="1286">
        <v>0.29717821782178216</v>
      </c>
      <c r="AL247" s="1286">
        <v>0.28860576923076925</v>
      </c>
      <c r="AM247" s="1286">
        <v>0.30466976744186047</v>
      </c>
      <c r="AN247" s="1286">
        <v>0.3010402010050251</v>
      </c>
      <c r="AO247" s="1286">
        <v>0.29677068557919623</v>
      </c>
      <c r="AP247" s="1286">
        <v>0.29884043848964681</v>
      </c>
    </row>
    <row r="248" spans="1:42" s="509" customFormat="1" ht="14.5" outlineLevel="1">
      <c r="A248" s="1693">
        <v>196</v>
      </c>
      <c r="B248" s="616">
        <v>1</v>
      </c>
      <c r="C248" s="1693">
        <v>199</v>
      </c>
      <c r="D248" s="616">
        <v>1</v>
      </c>
      <c r="E248" s="1693">
        <v>221</v>
      </c>
      <c r="F248" s="616">
        <v>1</v>
      </c>
      <c r="G248" s="1693">
        <v>248</v>
      </c>
      <c r="H248" s="616">
        <v>1</v>
      </c>
      <c r="I248" s="616"/>
      <c r="J248" s="709" t="s">
        <v>512</v>
      </c>
      <c r="K248" s="1764" t="s">
        <v>1216</v>
      </c>
      <c r="L248" s="4"/>
      <c r="M248" s="4"/>
      <c r="N248" s="506"/>
      <c r="O248" s="507"/>
      <c r="P248" s="503"/>
      <c r="Q248" s="506"/>
      <c r="R248" s="506"/>
      <c r="S248" s="506"/>
      <c r="T248" s="503" t="s">
        <v>588</v>
      </c>
      <c r="U248" s="503"/>
      <c r="V248" s="503"/>
      <c r="W248" s="1785"/>
      <c r="X248" s="1311">
        <v>-0.2857142857142857</v>
      </c>
      <c r="Y248" s="1285">
        <v>-0.2857142857142857</v>
      </c>
      <c r="Z248" s="1285">
        <v>-0.2857142857142857</v>
      </c>
      <c r="AA248" s="1285">
        <v>-0.2857142857142857</v>
      </c>
      <c r="AB248" s="1285">
        <v>-0.2857142857142857</v>
      </c>
      <c r="AC248" s="1285">
        <v>-0.2</v>
      </c>
      <c r="AD248" s="1285">
        <v>-0.2</v>
      </c>
      <c r="AE248" s="1285">
        <v>-0.2</v>
      </c>
      <c r="AF248" s="1285">
        <v>-0.2</v>
      </c>
      <c r="AG248" s="1285">
        <v>-0.2</v>
      </c>
      <c r="AH248" s="1285">
        <v>-0.2</v>
      </c>
      <c r="AI248" s="1285">
        <v>-0.2</v>
      </c>
      <c r="AJ248" s="1285">
        <v>-0.2857142857142857</v>
      </c>
      <c r="AK248" s="1285">
        <v>-0.25</v>
      </c>
      <c r="AL248" s="1285">
        <v>-0.2</v>
      </c>
      <c r="AM248" s="1285">
        <v>-0.2</v>
      </c>
      <c r="AN248" s="1285">
        <v>-0.26666666666666666</v>
      </c>
      <c r="AO248" s="1285">
        <v>-0.2</v>
      </c>
      <c r="AP248" s="1285">
        <v>-0.22857142857142856</v>
      </c>
    </row>
    <row r="249" spans="1:42" s="509" customFormat="1" ht="14.5" outlineLevel="1">
      <c r="A249" s="1693">
        <v>197</v>
      </c>
      <c r="B249" s="616">
        <v>1</v>
      </c>
      <c r="C249" s="1693">
        <v>200</v>
      </c>
      <c r="D249" s="616">
        <v>1</v>
      </c>
      <c r="E249" s="1693">
        <v>222</v>
      </c>
      <c r="F249" s="616">
        <v>1</v>
      </c>
      <c r="G249" s="1693">
        <v>249</v>
      </c>
      <c r="H249" s="616">
        <v>1</v>
      </c>
      <c r="I249" s="616"/>
      <c r="J249" s="709" t="s">
        <v>512</v>
      </c>
      <c r="K249" s="1764" t="s">
        <v>1216</v>
      </c>
      <c r="L249" s="4"/>
      <c r="M249" s="4"/>
      <c r="N249" s="506"/>
      <c r="O249" s="507"/>
      <c r="P249" s="503"/>
      <c r="Q249" s="506"/>
      <c r="R249" s="506"/>
      <c r="S249" s="506"/>
      <c r="T249" s="503" t="s">
        <v>1038</v>
      </c>
      <c r="U249" s="503"/>
      <c r="V249" s="503"/>
      <c r="W249" s="1785"/>
      <c r="X249" s="1311">
        <v>0.75856250000000003</v>
      </c>
      <c r="Y249" s="1285">
        <v>0.752</v>
      </c>
      <c r="Z249" s="1285">
        <v>0.75700000000000001</v>
      </c>
      <c r="AA249" s="1285">
        <v>0.7302142857142857</v>
      </c>
      <c r="AB249" s="1285">
        <v>0.7302142857142857</v>
      </c>
      <c r="AC249" s="1285">
        <v>0.73935294117647066</v>
      </c>
      <c r="AD249" s="1285">
        <v>0.7302142857142857</v>
      </c>
      <c r="AE249" s="1285">
        <v>0.7302142857142857</v>
      </c>
      <c r="AF249" s="1285">
        <v>0.73935294117647066</v>
      </c>
      <c r="AG249" s="1285">
        <v>0.73522580645161295</v>
      </c>
      <c r="AH249" s="1285">
        <v>0.73366666666666669</v>
      </c>
      <c r="AI249" s="1285">
        <v>0.74172222222222228</v>
      </c>
      <c r="AJ249" s="1285">
        <v>0.75613793103448268</v>
      </c>
      <c r="AK249" s="1285">
        <v>0.73366666666666669</v>
      </c>
      <c r="AL249" s="1285">
        <v>0.73366666666666669</v>
      </c>
      <c r="AM249" s="1285">
        <v>0.73715463917525792</v>
      </c>
      <c r="AN249" s="1285">
        <v>0.74471186440677961</v>
      </c>
      <c r="AO249" s="1285">
        <v>0.73547593582887705</v>
      </c>
      <c r="AP249" s="1285">
        <v>0.73996703296703303</v>
      </c>
    </row>
    <row r="250" spans="1:42" s="509" customFormat="1" ht="14.5" outlineLevel="1">
      <c r="A250" s="1693">
        <v>198</v>
      </c>
      <c r="B250" s="616">
        <v>1</v>
      </c>
      <c r="C250" s="1693">
        <v>201</v>
      </c>
      <c r="D250" s="616">
        <v>1</v>
      </c>
      <c r="E250" s="1693">
        <v>223</v>
      </c>
      <c r="F250" s="616">
        <v>1</v>
      </c>
      <c r="G250" s="1693">
        <v>250</v>
      </c>
      <c r="H250" s="616">
        <v>1</v>
      </c>
      <c r="I250" s="616"/>
      <c r="J250" s="709" t="s">
        <v>512</v>
      </c>
      <c r="K250" s="1764" t="s">
        <v>1216</v>
      </c>
      <c r="L250" s="4"/>
      <c r="M250" s="4"/>
      <c r="N250" s="506"/>
      <c r="O250" s="507"/>
      <c r="P250" s="503"/>
      <c r="Q250" s="506"/>
      <c r="R250" s="506"/>
      <c r="S250" s="506"/>
      <c r="T250" s="503" t="s">
        <v>1039</v>
      </c>
      <c r="U250" s="503"/>
      <c r="V250" s="866"/>
      <c r="W250" s="1785"/>
      <c r="X250" s="1311">
        <v>0</v>
      </c>
      <c r="Y250" s="1285">
        <v>0</v>
      </c>
      <c r="Z250" s="1285">
        <v>0</v>
      </c>
      <c r="AA250" s="1285">
        <v>0</v>
      </c>
      <c r="AB250" s="1285">
        <v>0</v>
      </c>
      <c r="AC250" s="1285">
        <v>0</v>
      </c>
      <c r="AD250" s="1285">
        <v>0</v>
      </c>
      <c r="AE250" s="1285">
        <v>0</v>
      </c>
      <c r="AF250" s="1285">
        <v>0</v>
      </c>
      <c r="AG250" s="1285">
        <v>0</v>
      </c>
      <c r="AH250" s="1285">
        <v>0</v>
      </c>
      <c r="AI250" s="1285">
        <v>0</v>
      </c>
      <c r="AJ250" s="1285">
        <v>0</v>
      </c>
      <c r="AK250" s="1285">
        <v>0</v>
      </c>
      <c r="AL250" s="1285">
        <v>0</v>
      </c>
      <c r="AM250" s="1285">
        <v>0</v>
      </c>
      <c r="AN250" s="1285">
        <v>0</v>
      </c>
      <c r="AO250" s="1285">
        <v>0</v>
      </c>
      <c r="AP250" s="1285">
        <v>0</v>
      </c>
    </row>
    <row r="251" spans="1:42" s="509" customFormat="1" ht="14.5" outlineLevel="1">
      <c r="A251" s="1693">
        <v>199</v>
      </c>
      <c r="B251" s="616">
        <v>1</v>
      </c>
      <c r="C251" s="1693">
        <v>202</v>
      </c>
      <c r="D251" s="616">
        <v>1</v>
      </c>
      <c r="E251" s="1693">
        <v>224</v>
      </c>
      <c r="F251" s="616">
        <v>1</v>
      </c>
      <c r="G251" s="1693">
        <v>251</v>
      </c>
      <c r="H251" s="616">
        <v>1</v>
      </c>
      <c r="I251" s="616"/>
      <c r="J251" s="709" t="s">
        <v>512</v>
      </c>
      <c r="K251" s="1764" t="s">
        <v>1216</v>
      </c>
      <c r="L251" s="4"/>
      <c r="M251" s="4"/>
      <c r="N251" s="506"/>
      <c r="O251" s="507"/>
      <c r="P251" s="503"/>
      <c r="Q251" s="506"/>
      <c r="R251" s="506"/>
      <c r="S251" s="506"/>
      <c r="T251" s="503" t="s">
        <v>1040</v>
      </c>
      <c r="U251" s="503"/>
      <c r="V251" s="503"/>
      <c r="W251" s="1785"/>
      <c r="X251" s="1311">
        <v>0</v>
      </c>
      <c r="Y251" s="1285">
        <v>0</v>
      </c>
      <c r="Z251" s="1285">
        <v>0</v>
      </c>
      <c r="AA251" s="1285">
        <v>0</v>
      </c>
      <c r="AB251" s="1285">
        <v>0</v>
      </c>
      <c r="AC251" s="1285">
        <v>0</v>
      </c>
      <c r="AD251" s="1285">
        <v>0</v>
      </c>
      <c r="AE251" s="1285">
        <v>0</v>
      </c>
      <c r="AF251" s="1285">
        <v>0</v>
      </c>
      <c r="AG251" s="1285">
        <v>0</v>
      </c>
      <c r="AH251" s="1285">
        <v>0</v>
      </c>
      <c r="AI251" s="1285">
        <v>0</v>
      </c>
      <c r="AJ251" s="1285">
        <v>0</v>
      </c>
      <c r="AK251" s="1285">
        <v>0</v>
      </c>
      <c r="AL251" s="1285">
        <v>0</v>
      </c>
      <c r="AM251" s="1285">
        <v>0</v>
      </c>
      <c r="AN251" s="1285">
        <v>0</v>
      </c>
      <c r="AO251" s="1285">
        <v>0</v>
      </c>
      <c r="AP251" s="1285">
        <v>0</v>
      </c>
    </row>
    <row r="252" spans="1:42" s="509" customFormat="1" ht="14.5" outlineLevel="1">
      <c r="A252" s="1693">
        <v>200</v>
      </c>
      <c r="B252" s="616">
        <v>1</v>
      </c>
      <c r="C252" s="1693">
        <v>203</v>
      </c>
      <c r="D252" s="616">
        <v>1</v>
      </c>
      <c r="E252" s="1693">
        <v>225</v>
      </c>
      <c r="F252" s="616">
        <v>1</v>
      </c>
      <c r="G252" s="1693">
        <v>252</v>
      </c>
      <c r="H252" s="616">
        <v>1</v>
      </c>
      <c r="I252" s="616"/>
      <c r="J252" s="709" t="s">
        <v>512</v>
      </c>
      <c r="K252" s="1764" t="s">
        <v>1216</v>
      </c>
      <c r="L252" s="4"/>
      <c r="M252" s="4"/>
      <c r="N252" s="506"/>
      <c r="O252" s="507"/>
      <c r="P252" s="503"/>
      <c r="Q252" s="506"/>
      <c r="R252" s="506"/>
      <c r="S252" s="506"/>
      <c r="T252" s="503" t="s">
        <v>1041</v>
      </c>
      <c r="U252" s="503"/>
      <c r="V252" s="503"/>
      <c r="W252" s="1785"/>
      <c r="X252" s="1311">
        <v>0</v>
      </c>
      <c r="Y252" s="1285">
        <v>0</v>
      </c>
      <c r="Z252" s="1285">
        <v>0</v>
      </c>
      <c r="AA252" s="1285">
        <v>0</v>
      </c>
      <c r="AB252" s="1285">
        <v>0</v>
      </c>
      <c r="AC252" s="1285">
        <v>0</v>
      </c>
      <c r="AD252" s="1285">
        <v>0</v>
      </c>
      <c r="AE252" s="1285">
        <v>0</v>
      </c>
      <c r="AF252" s="1285">
        <v>0</v>
      </c>
      <c r="AG252" s="1285">
        <v>0</v>
      </c>
      <c r="AH252" s="1285">
        <v>0</v>
      </c>
      <c r="AI252" s="1285">
        <v>0</v>
      </c>
      <c r="AJ252" s="1285">
        <v>0</v>
      </c>
      <c r="AK252" s="1285">
        <v>0</v>
      </c>
      <c r="AL252" s="1285">
        <v>0</v>
      </c>
      <c r="AM252" s="1285">
        <v>0</v>
      </c>
      <c r="AN252" s="1285">
        <v>0</v>
      </c>
      <c r="AO252" s="1285">
        <v>0</v>
      </c>
      <c r="AP252" s="1285">
        <v>0</v>
      </c>
    </row>
    <row r="253" spans="1:42" s="509" customFormat="1" ht="14.5" outlineLevel="1">
      <c r="A253" s="1693">
        <v>201</v>
      </c>
      <c r="B253" s="616">
        <v>1</v>
      </c>
      <c r="C253" s="1693">
        <v>204</v>
      </c>
      <c r="D253" s="616">
        <v>1</v>
      </c>
      <c r="E253" s="1693">
        <v>226</v>
      </c>
      <c r="F253" s="616">
        <v>1</v>
      </c>
      <c r="G253" s="1693">
        <v>253</v>
      </c>
      <c r="H253" s="616">
        <v>1</v>
      </c>
      <c r="I253" s="616"/>
      <c r="J253" s="709" t="s">
        <v>512</v>
      </c>
      <c r="K253" s="1764" t="s">
        <v>1216</v>
      </c>
      <c r="L253" s="4"/>
      <c r="M253" s="4"/>
      <c r="N253" s="506"/>
      <c r="O253" s="507"/>
      <c r="P253" s="503"/>
      <c r="Q253" s="506"/>
      <c r="R253" s="506"/>
      <c r="S253" s="512"/>
      <c r="T253" s="511" t="s">
        <v>1026</v>
      </c>
      <c r="U253" s="511"/>
      <c r="V253" s="511"/>
      <c r="W253" s="1785"/>
      <c r="X253" s="1313">
        <v>0</v>
      </c>
      <c r="Y253" s="1288">
        <v>0</v>
      </c>
      <c r="Z253" s="1288">
        <v>0</v>
      </c>
      <c r="AA253" s="1288">
        <v>0</v>
      </c>
      <c r="AB253" s="1288">
        <v>0</v>
      </c>
      <c r="AC253" s="1288">
        <v>0</v>
      </c>
      <c r="AD253" s="1288">
        <v>0</v>
      </c>
      <c r="AE253" s="1288">
        <v>0</v>
      </c>
      <c r="AF253" s="1288">
        <v>0</v>
      </c>
      <c r="AG253" s="1288">
        <v>0</v>
      </c>
      <c r="AH253" s="1288">
        <v>0</v>
      </c>
      <c r="AI253" s="1288">
        <v>0</v>
      </c>
      <c r="AJ253" s="1288">
        <v>0</v>
      </c>
      <c r="AK253" s="1288">
        <v>0</v>
      </c>
      <c r="AL253" s="1288">
        <v>0</v>
      </c>
      <c r="AM253" s="1288">
        <v>0</v>
      </c>
      <c r="AN253" s="1288">
        <v>0</v>
      </c>
      <c r="AO253" s="1288">
        <v>0</v>
      </c>
      <c r="AP253" s="1288">
        <v>0</v>
      </c>
    </row>
    <row r="254" spans="1:42" s="69" customFormat="1" ht="14.5">
      <c r="A254" s="1693">
        <v>202</v>
      </c>
      <c r="B254" s="616">
        <v>1</v>
      </c>
      <c r="C254" s="1693">
        <v>205</v>
      </c>
      <c r="D254" s="616">
        <v>1</v>
      </c>
      <c r="E254" s="1693">
        <v>227</v>
      </c>
      <c r="F254" s="616">
        <v>1</v>
      </c>
      <c r="G254" s="1693">
        <v>254</v>
      </c>
      <c r="H254" s="616">
        <v>1</v>
      </c>
      <c r="I254" s="616"/>
      <c r="J254" s="709" t="s">
        <v>512</v>
      </c>
      <c r="K254" s="1764" t="s">
        <v>1216</v>
      </c>
      <c r="L254" s="4"/>
      <c r="M254" s="4"/>
      <c r="N254" s="4"/>
      <c r="O254" s="507"/>
      <c r="P254" s="503"/>
      <c r="Q254" s="506"/>
      <c r="R254" s="506"/>
      <c r="S254" s="300" t="s">
        <v>1033</v>
      </c>
      <c r="T254" s="301"/>
      <c r="U254" s="300"/>
      <c r="V254" s="300"/>
      <c r="W254" s="2040"/>
      <c r="X254" s="2045">
        <v>10703.334000000001</v>
      </c>
      <c r="Y254" s="2046">
        <v>0</v>
      </c>
      <c r="Z254" s="2046">
        <v>6166.3509999999997</v>
      </c>
      <c r="AA254" s="2046">
        <v>703.33399999999995</v>
      </c>
      <c r="AB254" s="2046">
        <v>6812</v>
      </c>
      <c r="AC254" s="2046">
        <v>6166.3509999999997</v>
      </c>
      <c r="AD254" s="2046">
        <v>5312</v>
      </c>
      <c r="AE254" s="2046">
        <v>703.33399999999995</v>
      </c>
      <c r="AF254" s="2046">
        <v>703.33399999999995</v>
      </c>
      <c r="AG254" s="2046">
        <v>11130.172530000002</v>
      </c>
      <c r="AH254" s="2046">
        <v>6166.3509999999997</v>
      </c>
      <c r="AI254" s="2046">
        <v>6015.3339999999998</v>
      </c>
      <c r="AJ254" s="2046">
        <v>16869.685000000001</v>
      </c>
      <c r="AK254" s="2046">
        <v>13681.684999999999</v>
      </c>
      <c r="AL254" s="2046">
        <v>6718.6679999999997</v>
      </c>
      <c r="AM254" s="2046">
        <v>23311.857530000001</v>
      </c>
      <c r="AN254" s="2046">
        <v>30551.370000000003</v>
      </c>
      <c r="AO254" s="2046">
        <v>30030.525529999999</v>
      </c>
      <c r="AP254" s="2046">
        <v>60581.895530000002</v>
      </c>
    </row>
    <row r="255" spans="1:42" s="69" customFormat="1" ht="14.5">
      <c r="A255" s="1693">
        <v>203</v>
      </c>
      <c r="B255" s="616">
        <v>1</v>
      </c>
      <c r="C255" s="1693">
        <v>206</v>
      </c>
      <c r="D255" s="616">
        <v>1</v>
      </c>
      <c r="E255" s="1693">
        <v>228</v>
      </c>
      <c r="F255" s="616">
        <v>1</v>
      </c>
      <c r="G255" s="1693">
        <v>255</v>
      </c>
      <c r="H255" s="616">
        <v>1</v>
      </c>
      <c r="I255" s="616"/>
      <c r="J255" s="709" t="s">
        <v>512</v>
      </c>
      <c r="K255" s="1764" t="s">
        <v>1216</v>
      </c>
      <c r="L255" s="4"/>
      <c r="M255" s="4"/>
      <c r="N255" s="4"/>
      <c r="O255" s="507"/>
      <c r="P255" s="503"/>
      <c r="Q255" s="506"/>
      <c r="R255" s="506"/>
      <c r="S255" s="4"/>
      <c r="T255" s="3" t="s">
        <v>587</v>
      </c>
      <c r="U255" s="3"/>
      <c r="V255" s="3"/>
      <c r="W255" s="1850"/>
      <c r="X255" s="1378">
        <v>10000</v>
      </c>
      <c r="Y255" s="2043">
        <v>0</v>
      </c>
      <c r="Z255" s="2043">
        <v>0</v>
      </c>
      <c r="AA255" s="2043">
        <v>0</v>
      </c>
      <c r="AB255" s="2043">
        <v>0</v>
      </c>
      <c r="AC255" s="2043">
        <v>0</v>
      </c>
      <c r="AD255" s="2043">
        <v>0</v>
      </c>
      <c r="AE255" s="2043">
        <v>0</v>
      </c>
      <c r="AF255" s="2043">
        <v>0</v>
      </c>
      <c r="AG255" s="2043">
        <v>0</v>
      </c>
      <c r="AH255" s="2043">
        <v>0</v>
      </c>
      <c r="AI255" s="2043">
        <v>0</v>
      </c>
      <c r="AJ255" s="2043">
        <v>10000</v>
      </c>
      <c r="AK255" s="2043">
        <v>0</v>
      </c>
      <c r="AL255" s="2043">
        <v>0</v>
      </c>
      <c r="AM255" s="2043">
        <v>0</v>
      </c>
      <c r="AN255" s="2043">
        <v>10000</v>
      </c>
      <c r="AO255" s="2043">
        <v>0</v>
      </c>
      <c r="AP255" s="2043">
        <v>10000</v>
      </c>
    </row>
    <row r="256" spans="1:42" s="69" customFormat="1" ht="14.5">
      <c r="A256" s="1693">
        <v>204</v>
      </c>
      <c r="B256" s="616">
        <v>1</v>
      </c>
      <c r="C256" s="1693">
        <v>207</v>
      </c>
      <c r="D256" s="616">
        <v>1</v>
      </c>
      <c r="E256" s="1693">
        <v>229</v>
      </c>
      <c r="F256" s="616">
        <v>1</v>
      </c>
      <c r="G256" s="1693">
        <v>256</v>
      </c>
      <c r="H256" s="616">
        <v>1</v>
      </c>
      <c r="I256" s="616"/>
      <c r="J256" s="709" t="s">
        <v>512</v>
      </c>
      <c r="K256" s="1764" t="s">
        <v>1216</v>
      </c>
      <c r="L256" s="4"/>
      <c r="M256" s="4"/>
      <c r="N256" s="4"/>
      <c r="O256" s="507"/>
      <c r="P256" s="503"/>
      <c r="Q256" s="506"/>
      <c r="R256" s="506"/>
      <c r="S256" s="4"/>
      <c r="T256" s="3" t="s">
        <v>1034</v>
      </c>
      <c r="U256" s="3"/>
      <c r="V256" s="3"/>
      <c r="W256" s="1850"/>
      <c r="X256" s="1378">
        <v>0</v>
      </c>
      <c r="Y256" s="2043">
        <v>0</v>
      </c>
      <c r="Z256" s="2043">
        <v>5463.0169999999998</v>
      </c>
      <c r="AA256" s="2043">
        <v>0</v>
      </c>
      <c r="AB256" s="2043">
        <v>5312</v>
      </c>
      <c r="AC256" s="2043">
        <v>5463.0169999999998</v>
      </c>
      <c r="AD256" s="2043">
        <v>5312</v>
      </c>
      <c r="AE256" s="2043">
        <v>0</v>
      </c>
      <c r="AF256" s="2043">
        <v>0</v>
      </c>
      <c r="AG256" s="2043">
        <v>0</v>
      </c>
      <c r="AH256" s="2043">
        <v>5463.0169999999998</v>
      </c>
      <c r="AI256" s="2043">
        <v>5312</v>
      </c>
      <c r="AJ256" s="2043">
        <v>5463.0169999999998</v>
      </c>
      <c r="AK256" s="2043">
        <v>10775.017</v>
      </c>
      <c r="AL256" s="2043">
        <v>5312</v>
      </c>
      <c r="AM256" s="2043">
        <v>10775.017</v>
      </c>
      <c r="AN256" s="2043">
        <v>16238.034</v>
      </c>
      <c r="AO256" s="2043">
        <v>16087.017</v>
      </c>
      <c r="AP256" s="2043">
        <v>32325.050999999999</v>
      </c>
    </row>
    <row r="257" spans="1:42" s="69" customFormat="1" ht="14.5">
      <c r="A257" s="1693">
        <v>205</v>
      </c>
      <c r="B257" s="616">
        <v>1</v>
      </c>
      <c r="C257" s="1693">
        <v>208</v>
      </c>
      <c r="D257" s="616">
        <v>1</v>
      </c>
      <c r="E257" s="1693">
        <v>230</v>
      </c>
      <c r="F257" s="616">
        <v>1</v>
      </c>
      <c r="G257" s="1693">
        <v>257</v>
      </c>
      <c r="H257" s="616">
        <v>1</v>
      </c>
      <c r="I257" s="616"/>
      <c r="J257" s="709" t="s">
        <v>512</v>
      </c>
      <c r="K257" s="1764" t="s">
        <v>1216</v>
      </c>
      <c r="L257" s="4"/>
      <c r="M257" s="4"/>
      <c r="N257" s="4"/>
      <c r="O257" s="507"/>
      <c r="P257" s="503"/>
      <c r="Q257" s="506"/>
      <c r="R257" s="506"/>
      <c r="S257" s="4"/>
      <c r="T257" s="3" t="s">
        <v>1035</v>
      </c>
      <c r="U257" s="3"/>
      <c r="V257" s="3"/>
      <c r="W257" s="1850"/>
      <c r="X257" s="1378">
        <v>703.33399999999995</v>
      </c>
      <c r="Y257" s="2043">
        <v>0</v>
      </c>
      <c r="Z257" s="2043">
        <v>703.33399999999995</v>
      </c>
      <c r="AA257" s="2043">
        <v>703.33399999999995</v>
      </c>
      <c r="AB257" s="2043">
        <v>1500</v>
      </c>
      <c r="AC257" s="2043">
        <v>703.33399999999995</v>
      </c>
      <c r="AD257" s="2043">
        <v>0</v>
      </c>
      <c r="AE257" s="2043">
        <v>703.33399999999995</v>
      </c>
      <c r="AF257" s="2043">
        <v>703.33399999999995</v>
      </c>
      <c r="AG257" s="2043">
        <v>11130.172530000002</v>
      </c>
      <c r="AH257" s="2043">
        <v>703.33399999999995</v>
      </c>
      <c r="AI257" s="2043">
        <v>703.33399999999995</v>
      </c>
      <c r="AJ257" s="2043">
        <v>1406.6679999999999</v>
      </c>
      <c r="AK257" s="2043">
        <v>2906.6679999999997</v>
      </c>
      <c r="AL257" s="2043">
        <v>1406.6679999999999</v>
      </c>
      <c r="AM257" s="2043">
        <v>12536.840530000003</v>
      </c>
      <c r="AN257" s="2043">
        <v>4313.3359999999993</v>
      </c>
      <c r="AO257" s="2043">
        <v>13943.508530000003</v>
      </c>
      <c r="AP257" s="2043">
        <v>18256.844530000002</v>
      </c>
    </row>
    <row r="258" spans="1:42" s="69" customFormat="1" ht="14.5">
      <c r="A258" s="1693">
        <v>206</v>
      </c>
      <c r="B258" s="616">
        <v>1</v>
      </c>
      <c r="C258" s="1693">
        <v>209</v>
      </c>
      <c r="D258" s="616">
        <v>1</v>
      </c>
      <c r="E258" s="1693">
        <v>231</v>
      </c>
      <c r="F258" s="616">
        <v>1</v>
      </c>
      <c r="G258" s="1693">
        <v>258</v>
      </c>
      <c r="H258" s="616">
        <v>1</v>
      </c>
      <c r="I258" s="616"/>
      <c r="J258" s="709" t="s">
        <v>512</v>
      </c>
      <c r="K258" s="1764" t="s">
        <v>1216</v>
      </c>
      <c r="L258" s="4"/>
      <c r="M258" s="4"/>
      <c r="N258" s="4"/>
      <c r="O258" s="27"/>
      <c r="P258" s="3"/>
      <c r="Q258" s="4"/>
      <c r="R258" s="4"/>
      <c r="S258" s="4"/>
      <c r="T258" s="3" t="s">
        <v>1036</v>
      </c>
      <c r="U258" s="3"/>
      <c r="V258" s="3"/>
      <c r="W258" s="1850"/>
      <c r="X258" s="1378">
        <v>0</v>
      </c>
      <c r="Y258" s="2043">
        <v>0</v>
      </c>
      <c r="Z258" s="2043">
        <v>0</v>
      </c>
      <c r="AA258" s="2043">
        <v>0</v>
      </c>
      <c r="AB258" s="2043">
        <v>0</v>
      </c>
      <c r="AC258" s="2043">
        <v>0</v>
      </c>
      <c r="AD258" s="2043">
        <v>0</v>
      </c>
      <c r="AE258" s="2043">
        <v>0</v>
      </c>
      <c r="AF258" s="2043">
        <v>0</v>
      </c>
      <c r="AG258" s="2043">
        <v>0</v>
      </c>
      <c r="AH258" s="2043">
        <v>0</v>
      </c>
      <c r="AI258" s="2043">
        <v>0</v>
      </c>
      <c r="AJ258" s="2043">
        <v>0</v>
      </c>
      <c r="AK258" s="2043">
        <v>0</v>
      </c>
      <c r="AL258" s="2043">
        <v>0</v>
      </c>
      <c r="AM258" s="2043">
        <v>0</v>
      </c>
      <c r="AN258" s="2043">
        <v>0</v>
      </c>
      <c r="AO258" s="2043">
        <v>0</v>
      </c>
      <c r="AP258" s="2043">
        <v>0</v>
      </c>
    </row>
    <row r="259" spans="1:42" s="69" customFormat="1" ht="14.5">
      <c r="A259" s="1693">
        <v>207</v>
      </c>
      <c r="B259" s="616">
        <v>1</v>
      </c>
      <c r="C259" s="1693">
        <v>210</v>
      </c>
      <c r="D259" s="616">
        <v>1</v>
      </c>
      <c r="E259" s="1693">
        <v>232</v>
      </c>
      <c r="F259" s="616">
        <v>1</v>
      </c>
      <c r="G259" s="1693">
        <v>259</v>
      </c>
      <c r="H259" s="616">
        <v>1</v>
      </c>
      <c r="I259" s="616"/>
      <c r="J259" s="709" t="s">
        <v>512</v>
      </c>
      <c r="K259" s="1764" t="s">
        <v>1216</v>
      </c>
      <c r="L259" s="4"/>
      <c r="M259" s="4"/>
      <c r="N259" s="4"/>
      <c r="O259" s="27"/>
      <c r="P259" s="3"/>
      <c r="Q259" s="4"/>
      <c r="R259" s="4"/>
      <c r="S259" s="4"/>
      <c r="T259" s="3" t="s">
        <v>479</v>
      </c>
      <c r="U259" s="3"/>
      <c r="V259" s="3"/>
      <c r="W259" s="1850"/>
      <c r="X259" s="1378">
        <v>0</v>
      </c>
      <c r="Y259" s="2043">
        <v>0</v>
      </c>
      <c r="Z259" s="2043">
        <v>0</v>
      </c>
      <c r="AA259" s="2043">
        <v>0</v>
      </c>
      <c r="AB259" s="2043">
        <v>0</v>
      </c>
      <c r="AC259" s="2043">
        <v>0</v>
      </c>
      <c r="AD259" s="2043">
        <v>0</v>
      </c>
      <c r="AE259" s="2043">
        <v>0</v>
      </c>
      <c r="AF259" s="2043">
        <v>0</v>
      </c>
      <c r="AG259" s="2043">
        <v>0</v>
      </c>
      <c r="AH259" s="2043">
        <v>0</v>
      </c>
      <c r="AI259" s="2043">
        <v>0</v>
      </c>
      <c r="AJ259" s="2043">
        <v>0</v>
      </c>
      <c r="AK259" s="2043">
        <v>0</v>
      </c>
      <c r="AL259" s="2043">
        <v>0</v>
      </c>
      <c r="AM259" s="2043">
        <v>0</v>
      </c>
      <c r="AN259" s="2043">
        <v>0</v>
      </c>
      <c r="AO259" s="2043">
        <v>0</v>
      </c>
      <c r="AP259" s="2043">
        <v>0</v>
      </c>
    </row>
    <row r="260" spans="1:42" s="69" customFormat="1" ht="14.5">
      <c r="A260" s="1693">
        <v>208</v>
      </c>
      <c r="B260" s="616">
        <v>1</v>
      </c>
      <c r="C260" s="1693">
        <v>211</v>
      </c>
      <c r="D260" s="616">
        <v>1</v>
      </c>
      <c r="E260" s="1693">
        <v>233</v>
      </c>
      <c r="F260" s="616">
        <v>1</v>
      </c>
      <c r="G260" s="1693">
        <v>260</v>
      </c>
      <c r="H260" s="616">
        <v>1</v>
      </c>
      <c r="I260" s="616"/>
      <c r="J260" s="709" t="s">
        <v>512</v>
      </c>
      <c r="K260" s="1764" t="s">
        <v>1216</v>
      </c>
      <c r="L260" s="4"/>
      <c r="M260" s="4"/>
      <c r="N260" s="4"/>
      <c r="O260" s="27"/>
      <c r="P260" s="3"/>
      <c r="Q260" s="4"/>
      <c r="R260" s="4"/>
      <c r="S260" s="47"/>
      <c r="T260" s="47" t="s">
        <v>2</v>
      </c>
      <c r="U260" s="47"/>
      <c r="V260" s="47"/>
      <c r="W260" s="1850"/>
      <c r="X260" s="1970">
        <v>0</v>
      </c>
      <c r="Y260" s="2044">
        <v>0</v>
      </c>
      <c r="Z260" s="2044">
        <v>0</v>
      </c>
      <c r="AA260" s="2044">
        <v>0</v>
      </c>
      <c r="AB260" s="2044">
        <v>0</v>
      </c>
      <c r="AC260" s="2044">
        <v>0</v>
      </c>
      <c r="AD260" s="2044">
        <v>0</v>
      </c>
      <c r="AE260" s="2044">
        <v>0</v>
      </c>
      <c r="AF260" s="2044">
        <v>0</v>
      </c>
      <c r="AG260" s="2044">
        <v>0</v>
      </c>
      <c r="AH260" s="2044">
        <v>0</v>
      </c>
      <c r="AI260" s="2044">
        <v>0</v>
      </c>
      <c r="AJ260" s="2044">
        <v>0</v>
      </c>
      <c r="AK260" s="2044">
        <v>0</v>
      </c>
      <c r="AL260" s="2044">
        <v>0</v>
      </c>
      <c r="AM260" s="2044">
        <v>0</v>
      </c>
      <c r="AN260" s="2044">
        <v>0</v>
      </c>
      <c r="AO260" s="2044">
        <v>0</v>
      </c>
      <c r="AP260" s="2044">
        <v>0</v>
      </c>
    </row>
    <row r="261" spans="1:42" s="69" customFormat="1" ht="14.5">
      <c r="A261" s="1693">
        <v>209</v>
      </c>
      <c r="B261" s="616">
        <v>1</v>
      </c>
      <c r="C261" s="1693">
        <v>212</v>
      </c>
      <c r="D261" s="616">
        <v>1</v>
      </c>
      <c r="E261" s="1693">
        <v>234</v>
      </c>
      <c r="F261" s="616">
        <v>1</v>
      </c>
      <c r="G261" s="1693">
        <v>261</v>
      </c>
      <c r="H261" s="616">
        <v>1</v>
      </c>
      <c r="I261" s="616"/>
      <c r="J261" s="709" t="s">
        <v>512</v>
      </c>
      <c r="K261" s="1764" t="s">
        <v>1216</v>
      </c>
      <c r="L261" s="4"/>
      <c r="M261" s="4"/>
      <c r="N261" s="4"/>
      <c r="O261" s="27"/>
      <c r="P261" s="3"/>
      <c r="Q261" s="4"/>
      <c r="R261" s="4"/>
      <c r="S261" s="300" t="s">
        <v>27</v>
      </c>
      <c r="T261" s="300"/>
      <c r="U261" s="300"/>
      <c r="V261" s="300"/>
      <c r="W261" s="2040"/>
      <c r="X261" s="2045">
        <v>2227.4</v>
      </c>
      <c r="Y261" s="2046">
        <v>1680</v>
      </c>
      <c r="Z261" s="2046">
        <v>2071</v>
      </c>
      <c r="AA261" s="2046">
        <v>1844.6</v>
      </c>
      <c r="AB261" s="2046">
        <v>1844.6</v>
      </c>
      <c r="AC261" s="2046">
        <v>2313.8000000000002</v>
      </c>
      <c r="AD261" s="2046">
        <v>1844.6</v>
      </c>
      <c r="AE261" s="2046">
        <v>1844.6</v>
      </c>
      <c r="AF261" s="2046">
        <v>2313.8000000000002</v>
      </c>
      <c r="AG261" s="2046">
        <v>2079.2000000000003</v>
      </c>
      <c r="AH261" s="2046">
        <v>2001</v>
      </c>
      <c r="AI261" s="2046">
        <v>2470.2000000000003</v>
      </c>
      <c r="AJ261" s="2046">
        <v>5978.4</v>
      </c>
      <c r="AK261" s="2046">
        <v>6003</v>
      </c>
      <c r="AL261" s="2046">
        <v>6003</v>
      </c>
      <c r="AM261" s="2046">
        <v>6550.4000000000005</v>
      </c>
      <c r="AN261" s="2046">
        <v>11981.4</v>
      </c>
      <c r="AO261" s="2046">
        <v>12553.400000000001</v>
      </c>
      <c r="AP261" s="2046">
        <v>24534.800000000003</v>
      </c>
    </row>
    <row r="262" spans="1:42" s="69" customFormat="1" ht="14.5">
      <c r="A262" s="1693">
        <v>210</v>
      </c>
      <c r="B262" s="616">
        <v>1</v>
      </c>
      <c r="C262" s="1693">
        <v>213</v>
      </c>
      <c r="D262" s="616">
        <v>1</v>
      </c>
      <c r="E262" s="1693">
        <v>235</v>
      </c>
      <c r="F262" s="616">
        <v>1</v>
      </c>
      <c r="G262" s="1693">
        <v>262</v>
      </c>
      <c r="H262" s="616">
        <v>1</v>
      </c>
      <c r="I262" s="616"/>
      <c r="J262" s="709" t="s">
        <v>512</v>
      </c>
      <c r="K262" s="1764" t="s">
        <v>1216</v>
      </c>
      <c r="L262" s="4"/>
      <c r="M262" s="4"/>
      <c r="N262" s="4"/>
      <c r="O262" s="27"/>
      <c r="P262" s="3"/>
      <c r="Q262" s="4"/>
      <c r="R262" s="4"/>
      <c r="S262" s="4"/>
      <c r="T262" s="3" t="s">
        <v>587</v>
      </c>
      <c r="U262" s="3"/>
      <c r="V262" s="3"/>
      <c r="W262" s="1850"/>
      <c r="X262" s="1378">
        <v>-200</v>
      </c>
      <c r="Y262" s="2043">
        <v>-200</v>
      </c>
      <c r="Z262" s="2043">
        <v>-200</v>
      </c>
      <c r="AA262" s="2043">
        <v>-200</v>
      </c>
      <c r="AB262" s="2043">
        <v>-200</v>
      </c>
      <c r="AC262" s="2043">
        <v>-200</v>
      </c>
      <c r="AD262" s="2043">
        <v>-200</v>
      </c>
      <c r="AE262" s="2043">
        <v>-200</v>
      </c>
      <c r="AF262" s="2043">
        <v>-200</v>
      </c>
      <c r="AG262" s="2043">
        <v>-200</v>
      </c>
      <c r="AH262" s="2043">
        <v>-200</v>
      </c>
      <c r="AI262" s="2043">
        <v>-200</v>
      </c>
      <c r="AJ262" s="2043">
        <v>-600</v>
      </c>
      <c r="AK262" s="2043">
        <v>-600</v>
      </c>
      <c r="AL262" s="2043">
        <v>-600</v>
      </c>
      <c r="AM262" s="2043">
        <v>-600</v>
      </c>
      <c r="AN262" s="2043">
        <v>-1200</v>
      </c>
      <c r="AO262" s="2043">
        <v>-1200</v>
      </c>
      <c r="AP262" s="2043">
        <v>-2400</v>
      </c>
    </row>
    <row r="263" spans="1:42" s="69" customFormat="1" ht="14.5">
      <c r="A263" s="1693">
        <v>211</v>
      </c>
      <c r="B263" s="616">
        <v>1</v>
      </c>
      <c r="C263" s="1693">
        <v>214</v>
      </c>
      <c r="D263" s="616">
        <v>1</v>
      </c>
      <c r="E263" s="1693">
        <v>236</v>
      </c>
      <c r="F263" s="616">
        <v>1</v>
      </c>
      <c r="G263" s="1693">
        <v>263</v>
      </c>
      <c r="H263" s="616">
        <v>1</v>
      </c>
      <c r="I263" s="616"/>
      <c r="J263" s="709" t="s">
        <v>512</v>
      </c>
      <c r="K263" s="1764" t="s">
        <v>1216</v>
      </c>
      <c r="L263" s="4"/>
      <c r="M263" s="4"/>
      <c r="N263" s="4"/>
      <c r="O263" s="27"/>
      <c r="P263" s="3"/>
      <c r="Q263" s="4"/>
      <c r="R263" s="4"/>
      <c r="S263" s="4"/>
      <c r="T263" s="3" t="s">
        <v>1034</v>
      </c>
      <c r="U263" s="3"/>
      <c r="V263" s="3"/>
      <c r="W263" s="1850"/>
      <c r="X263" s="1378">
        <v>2427.4</v>
      </c>
      <c r="Y263" s="2043">
        <v>1880</v>
      </c>
      <c r="Z263" s="2043">
        <v>2271</v>
      </c>
      <c r="AA263" s="2043">
        <v>2044.6</v>
      </c>
      <c r="AB263" s="2043">
        <v>2044.6</v>
      </c>
      <c r="AC263" s="2043">
        <v>2513.8000000000002</v>
      </c>
      <c r="AD263" s="2043">
        <v>2044.6</v>
      </c>
      <c r="AE263" s="2043">
        <v>2044.6</v>
      </c>
      <c r="AF263" s="2043">
        <v>2513.8000000000002</v>
      </c>
      <c r="AG263" s="2043">
        <v>2279.2000000000003</v>
      </c>
      <c r="AH263" s="2043">
        <v>2201</v>
      </c>
      <c r="AI263" s="2043">
        <v>2670.2000000000003</v>
      </c>
      <c r="AJ263" s="2043">
        <v>6578.4</v>
      </c>
      <c r="AK263" s="2043">
        <v>6603</v>
      </c>
      <c r="AL263" s="2043">
        <v>6603</v>
      </c>
      <c r="AM263" s="2043">
        <v>7150.4000000000015</v>
      </c>
      <c r="AN263" s="2043">
        <v>13181.4</v>
      </c>
      <c r="AO263" s="2043">
        <v>13753.400000000001</v>
      </c>
      <c r="AP263" s="2043">
        <v>26934.800000000003</v>
      </c>
    </row>
    <row r="264" spans="1:42" s="69" customFormat="1" ht="14.5">
      <c r="A264" s="1693">
        <v>212</v>
      </c>
      <c r="B264" s="616">
        <v>1</v>
      </c>
      <c r="C264" s="1693">
        <v>215</v>
      </c>
      <c r="D264" s="616">
        <v>1</v>
      </c>
      <c r="E264" s="1693">
        <v>237</v>
      </c>
      <c r="F264" s="616">
        <v>1</v>
      </c>
      <c r="G264" s="1693">
        <v>264</v>
      </c>
      <c r="H264" s="616">
        <v>1</v>
      </c>
      <c r="I264" s="616"/>
      <c r="J264" s="709" t="s">
        <v>512</v>
      </c>
      <c r="K264" s="1764" t="s">
        <v>1216</v>
      </c>
      <c r="L264" s="4"/>
      <c r="M264" s="4"/>
      <c r="N264" s="4"/>
      <c r="O264" s="27"/>
      <c r="P264" s="3"/>
      <c r="Q264" s="4"/>
      <c r="R264" s="4"/>
      <c r="S264" s="4"/>
      <c r="T264" s="3" t="s">
        <v>1035</v>
      </c>
      <c r="U264" s="3"/>
      <c r="V264" s="865"/>
      <c r="W264" s="1850"/>
      <c r="X264" s="1378">
        <v>0</v>
      </c>
      <c r="Y264" s="2043">
        <v>0</v>
      </c>
      <c r="Z264" s="2043">
        <v>0</v>
      </c>
      <c r="AA264" s="2043">
        <v>0</v>
      </c>
      <c r="AB264" s="2043">
        <v>0</v>
      </c>
      <c r="AC264" s="2043">
        <v>0</v>
      </c>
      <c r="AD264" s="2043">
        <v>0</v>
      </c>
      <c r="AE264" s="2043">
        <v>0</v>
      </c>
      <c r="AF264" s="2043">
        <v>0</v>
      </c>
      <c r="AG264" s="2043">
        <v>0</v>
      </c>
      <c r="AH264" s="2043">
        <v>0</v>
      </c>
      <c r="AI264" s="2043">
        <v>0</v>
      </c>
      <c r="AJ264" s="2043">
        <v>0</v>
      </c>
      <c r="AK264" s="2043">
        <v>0</v>
      </c>
      <c r="AL264" s="2043">
        <v>0</v>
      </c>
      <c r="AM264" s="2043">
        <v>0</v>
      </c>
      <c r="AN264" s="2043">
        <v>0</v>
      </c>
      <c r="AO264" s="2043">
        <v>0</v>
      </c>
      <c r="AP264" s="2043">
        <v>0</v>
      </c>
    </row>
    <row r="265" spans="1:42" s="69" customFormat="1" ht="14.5">
      <c r="A265" s="1693">
        <v>213</v>
      </c>
      <c r="B265" s="616">
        <v>1</v>
      </c>
      <c r="C265" s="1693">
        <v>216</v>
      </c>
      <c r="D265" s="616">
        <v>1</v>
      </c>
      <c r="E265" s="1693">
        <v>238</v>
      </c>
      <c r="F265" s="616">
        <v>1</v>
      </c>
      <c r="G265" s="1693">
        <v>265</v>
      </c>
      <c r="H265" s="616">
        <v>1</v>
      </c>
      <c r="I265" s="616"/>
      <c r="J265" s="709" t="s">
        <v>512</v>
      </c>
      <c r="K265" s="1764" t="s">
        <v>1216</v>
      </c>
      <c r="L265" s="4"/>
      <c r="M265" s="4"/>
      <c r="N265" s="4"/>
      <c r="O265" s="27"/>
      <c r="P265" s="3"/>
      <c r="Q265" s="4"/>
      <c r="R265" s="4"/>
      <c r="S265" s="4"/>
      <c r="T265" s="3" t="s">
        <v>1036</v>
      </c>
      <c r="U265" s="3"/>
      <c r="V265" s="3"/>
      <c r="W265" s="1850"/>
      <c r="X265" s="1378">
        <v>0</v>
      </c>
      <c r="Y265" s="2043">
        <v>0</v>
      </c>
      <c r="Z265" s="2043">
        <v>0</v>
      </c>
      <c r="AA265" s="2043">
        <v>0</v>
      </c>
      <c r="AB265" s="2043">
        <v>0</v>
      </c>
      <c r="AC265" s="2043">
        <v>0</v>
      </c>
      <c r="AD265" s="2043">
        <v>0</v>
      </c>
      <c r="AE265" s="2043">
        <v>0</v>
      </c>
      <c r="AF265" s="2043">
        <v>0</v>
      </c>
      <c r="AG265" s="2043">
        <v>0</v>
      </c>
      <c r="AH265" s="2043">
        <v>0</v>
      </c>
      <c r="AI265" s="2043">
        <v>0</v>
      </c>
      <c r="AJ265" s="2043">
        <v>0</v>
      </c>
      <c r="AK265" s="2043">
        <v>0</v>
      </c>
      <c r="AL265" s="2043">
        <v>0</v>
      </c>
      <c r="AM265" s="2043">
        <v>0</v>
      </c>
      <c r="AN265" s="2043">
        <v>0</v>
      </c>
      <c r="AO265" s="2043">
        <v>0</v>
      </c>
      <c r="AP265" s="2043">
        <v>0</v>
      </c>
    </row>
    <row r="266" spans="1:42" s="69" customFormat="1" ht="14.5">
      <c r="A266" s="1693">
        <v>214</v>
      </c>
      <c r="B266" s="616">
        <v>1</v>
      </c>
      <c r="C266" s="1693">
        <v>217</v>
      </c>
      <c r="D266" s="616">
        <v>1</v>
      </c>
      <c r="E266" s="1693">
        <v>239</v>
      </c>
      <c r="F266" s="616">
        <v>1</v>
      </c>
      <c r="G266" s="1693">
        <v>266</v>
      </c>
      <c r="H266" s="616">
        <v>1</v>
      </c>
      <c r="I266" s="616"/>
      <c r="J266" s="709" t="s">
        <v>512</v>
      </c>
      <c r="K266" s="1764" t="s">
        <v>1216</v>
      </c>
      <c r="L266" s="4"/>
      <c r="M266" s="4"/>
      <c r="N266" s="4"/>
      <c r="O266" s="27"/>
      <c r="P266" s="3"/>
      <c r="Q266" s="4"/>
      <c r="R266" s="4"/>
      <c r="S266" s="4"/>
      <c r="T266" s="3" t="s">
        <v>479</v>
      </c>
      <c r="U266" s="3"/>
      <c r="V266" s="3"/>
      <c r="W266" s="1850"/>
      <c r="X266" s="1378">
        <v>0</v>
      </c>
      <c r="Y266" s="2043">
        <v>0</v>
      </c>
      <c r="Z266" s="2043">
        <v>0</v>
      </c>
      <c r="AA266" s="2043">
        <v>0</v>
      </c>
      <c r="AB266" s="2043">
        <v>0</v>
      </c>
      <c r="AC266" s="2043">
        <v>0</v>
      </c>
      <c r="AD266" s="2043">
        <v>0</v>
      </c>
      <c r="AE266" s="2043">
        <v>0</v>
      </c>
      <c r="AF266" s="2043">
        <v>0</v>
      </c>
      <c r="AG266" s="2043">
        <v>0</v>
      </c>
      <c r="AH266" s="2043">
        <v>0</v>
      </c>
      <c r="AI266" s="2043">
        <v>0</v>
      </c>
      <c r="AJ266" s="2043">
        <v>0</v>
      </c>
      <c r="AK266" s="2043">
        <v>0</v>
      </c>
      <c r="AL266" s="2043">
        <v>0</v>
      </c>
      <c r="AM266" s="2043">
        <v>0</v>
      </c>
      <c r="AN266" s="2043">
        <v>0</v>
      </c>
      <c r="AO266" s="2043">
        <v>0</v>
      </c>
      <c r="AP266" s="2043">
        <v>0</v>
      </c>
    </row>
    <row r="267" spans="1:42" s="69" customFormat="1" ht="14.5">
      <c r="A267" s="1693">
        <v>215</v>
      </c>
      <c r="B267" s="616">
        <v>1</v>
      </c>
      <c r="C267" s="1693">
        <v>218</v>
      </c>
      <c r="D267" s="616">
        <v>1</v>
      </c>
      <c r="E267" s="1693">
        <v>240</v>
      </c>
      <c r="F267" s="616">
        <v>1</v>
      </c>
      <c r="G267" s="1693">
        <v>267</v>
      </c>
      <c r="H267" s="616">
        <v>1</v>
      </c>
      <c r="I267" s="616"/>
      <c r="J267" s="709" t="s">
        <v>512</v>
      </c>
      <c r="K267" s="1764" t="s">
        <v>1216</v>
      </c>
      <c r="L267" s="4"/>
      <c r="M267" s="4"/>
      <c r="N267" s="4"/>
      <c r="O267" s="25"/>
      <c r="P267" s="1"/>
      <c r="Q267" s="2"/>
      <c r="R267" s="2"/>
      <c r="S267" s="2"/>
      <c r="T267" s="1" t="s">
        <v>2</v>
      </c>
      <c r="U267" s="1"/>
      <c r="V267" s="1"/>
      <c r="W267" s="1850"/>
      <c r="X267" s="1379">
        <v>0</v>
      </c>
      <c r="Y267" s="1979">
        <v>0</v>
      </c>
      <c r="Z267" s="1979">
        <v>0</v>
      </c>
      <c r="AA267" s="1979">
        <v>0</v>
      </c>
      <c r="AB267" s="1979">
        <v>0</v>
      </c>
      <c r="AC267" s="1979">
        <v>0</v>
      </c>
      <c r="AD267" s="1979">
        <v>0</v>
      </c>
      <c r="AE267" s="1979">
        <v>0</v>
      </c>
      <c r="AF267" s="1979">
        <v>0</v>
      </c>
      <c r="AG267" s="1979">
        <v>0</v>
      </c>
      <c r="AH267" s="1979">
        <v>0</v>
      </c>
      <c r="AI267" s="1979">
        <v>0</v>
      </c>
      <c r="AJ267" s="1979">
        <v>0</v>
      </c>
      <c r="AK267" s="1979">
        <v>0</v>
      </c>
      <c r="AL267" s="1979">
        <v>0</v>
      </c>
      <c r="AM267" s="1979">
        <v>0</v>
      </c>
      <c r="AN267" s="1979">
        <v>0</v>
      </c>
      <c r="AO267" s="1979">
        <v>0</v>
      </c>
      <c r="AP267" s="1979">
        <v>0</v>
      </c>
    </row>
    <row r="268" spans="1:42" ht="14.5">
      <c r="A268" s="1693">
        <v>216</v>
      </c>
      <c r="B268" s="616">
        <v>1</v>
      </c>
      <c r="C268" s="1693">
        <v>219</v>
      </c>
      <c r="D268" s="616">
        <v>1</v>
      </c>
      <c r="E268" s="1693">
        <v>241</v>
      </c>
      <c r="F268" s="616">
        <v>1</v>
      </c>
      <c r="G268" s="1693">
        <v>268</v>
      </c>
      <c r="H268" s="616">
        <v>1</v>
      </c>
      <c r="J268" s="709" t="s">
        <v>512</v>
      </c>
      <c r="K268" s="1764" t="s">
        <v>1216</v>
      </c>
      <c r="L268" s="4"/>
      <c r="M268" s="4"/>
      <c r="N268" s="4"/>
      <c r="O268" s="365" t="s">
        <v>29</v>
      </c>
      <c r="P268" s="489"/>
      <c r="Q268" s="581"/>
      <c r="R268" s="581"/>
      <c r="S268" s="489"/>
      <c r="T268" s="489"/>
      <c r="U268" s="489"/>
      <c r="V268" s="489"/>
      <c r="W268" s="2037"/>
      <c r="X268" s="2038">
        <v>3631.9919619008415</v>
      </c>
      <c r="Y268" s="2039">
        <v>3248.7410057713323</v>
      </c>
      <c r="Z268" s="2039">
        <v>3347.8700880883052</v>
      </c>
      <c r="AA268" s="2039">
        <v>3265.908198198068</v>
      </c>
      <c r="AB268" s="2039">
        <v>3388.3693187903955</v>
      </c>
      <c r="AC268" s="2039">
        <v>3417.155771652112</v>
      </c>
      <c r="AD268" s="2039">
        <v>3313.1312388053348</v>
      </c>
      <c r="AE268" s="2039">
        <v>3280.6547474297504</v>
      </c>
      <c r="AF268" s="2039">
        <v>3417.693635310432</v>
      </c>
      <c r="AG268" s="2039">
        <v>3336.3506295319085</v>
      </c>
      <c r="AH268" s="2039">
        <v>3392.9615885345138</v>
      </c>
      <c r="AI268" s="2039">
        <v>3486.2995620476813</v>
      </c>
      <c r="AJ268" s="2039">
        <v>10228.603055760479</v>
      </c>
      <c r="AK268" s="2039">
        <v>10071.433288640575</v>
      </c>
      <c r="AL268" s="2039">
        <v>10011.479621545517</v>
      </c>
      <c r="AM268" s="2039">
        <v>10215.611780114103</v>
      </c>
      <c r="AN268" s="2039">
        <v>20300.036344401055</v>
      </c>
      <c r="AO268" s="2039">
        <v>20227.091401659622</v>
      </c>
      <c r="AP268" s="2039">
        <v>40527.127746060673</v>
      </c>
    </row>
    <row r="269" spans="1:42" ht="14.5">
      <c r="A269" s="1693">
        <v>217</v>
      </c>
      <c r="B269" s="616">
        <v>1</v>
      </c>
      <c r="C269" s="1693">
        <v>220</v>
      </c>
      <c r="D269" s="616">
        <v>1</v>
      </c>
      <c r="E269" s="1693">
        <v>242</v>
      </c>
      <c r="F269" s="616">
        <v>1</v>
      </c>
      <c r="G269" s="1693">
        <v>269</v>
      </c>
      <c r="H269" s="616">
        <v>1</v>
      </c>
      <c r="J269" s="709" t="s">
        <v>512</v>
      </c>
      <c r="K269" s="1764" t="s">
        <v>1216</v>
      </c>
      <c r="L269" s="4"/>
      <c r="M269" s="4"/>
      <c r="N269" s="4"/>
      <c r="O269" s="27"/>
      <c r="P269" s="108" t="s">
        <v>63</v>
      </c>
      <c r="Q269" s="4"/>
      <c r="R269" s="4"/>
      <c r="S269" s="3"/>
      <c r="T269" s="3"/>
      <c r="U269" s="3"/>
      <c r="V269" s="3"/>
      <c r="W269" s="1853"/>
      <c r="X269" s="2003">
        <v>1537.1226546492157</v>
      </c>
      <c r="Y269" s="2004">
        <v>1153.8716985197061</v>
      </c>
      <c r="Z269" s="2004">
        <v>1253.000780836679</v>
      </c>
      <c r="AA269" s="2004">
        <v>1171.0388909464423</v>
      </c>
      <c r="AB269" s="2004">
        <v>1293.5000115387693</v>
      </c>
      <c r="AC269" s="2004">
        <v>1322.2864644004865</v>
      </c>
      <c r="AD269" s="2004">
        <v>1218.2619315537088</v>
      </c>
      <c r="AE269" s="2004">
        <v>1185.7854401781244</v>
      </c>
      <c r="AF269" s="2004">
        <v>1322.8243280588065</v>
      </c>
      <c r="AG269" s="2004">
        <v>1241.4813222802829</v>
      </c>
      <c r="AH269" s="2004">
        <v>1298.0922812828881</v>
      </c>
      <c r="AI269" s="2004">
        <v>1391.4302547960551</v>
      </c>
      <c r="AJ269" s="2002">
        <v>3943.9951340056009</v>
      </c>
      <c r="AK269" s="2002">
        <v>3786.8253668856978</v>
      </c>
      <c r="AL269" s="2002">
        <v>3726.8716997906395</v>
      </c>
      <c r="AM269" s="2002">
        <v>3931.0038583592259</v>
      </c>
      <c r="AN269" s="2002">
        <v>7730.8205008912992</v>
      </c>
      <c r="AO269" s="2002">
        <v>7657.8755581498654</v>
      </c>
      <c r="AP269" s="2002">
        <v>15388.696059041165</v>
      </c>
    </row>
    <row r="270" spans="1:42" ht="14.5">
      <c r="A270" s="1693">
        <v>218</v>
      </c>
      <c r="B270" s="616">
        <v>1</v>
      </c>
      <c r="C270" s="1693">
        <v>221</v>
      </c>
      <c r="D270" s="616">
        <v>1</v>
      </c>
      <c r="E270" s="1693">
        <v>243</v>
      </c>
      <c r="F270" s="616">
        <v>1</v>
      </c>
      <c r="G270" s="1693">
        <v>270</v>
      </c>
      <c r="H270" s="616">
        <v>1</v>
      </c>
      <c r="J270" s="709" t="s">
        <v>512</v>
      </c>
      <c r="K270" s="1764" t="s">
        <v>1216</v>
      </c>
      <c r="L270" s="4"/>
      <c r="M270" s="4"/>
      <c r="N270" s="4"/>
      <c r="O270" s="27"/>
      <c r="P270" s="36" t="s">
        <v>28</v>
      </c>
      <c r="Q270" s="4"/>
      <c r="R270" s="4"/>
      <c r="S270" s="3"/>
      <c r="T270" s="3"/>
      <c r="U270" s="3"/>
      <c r="V270" s="3"/>
      <c r="W270" s="1853"/>
      <c r="X270" s="2003">
        <v>1833.112108967302</v>
      </c>
      <c r="Y270" s="2004">
        <v>1833.112108967302</v>
      </c>
      <c r="Z270" s="2004">
        <v>1833.112108967302</v>
      </c>
      <c r="AA270" s="2004">
        <v>1833.112108967302</v>
      </c>
      <c r="AB270" s="2004">
        <v>1833.112108967302</v>
      </c>
      <c r="AC270" s="2004">
        <v>1833.112108967302</v>
      </c>
      <c r="AD270" s="2004">
        <v>1833.112108967302</v>
      </c>
      <c r="AE270" s="2004">
        <v>1833.112108967302</v>
      </c>
      <c r="AF270" s="2004">
        <v>1833.112108967302</v>
      </c>
      <c r="AG270" s="2004">
        <v>1833.112108967302</v>
      </c>
      <c r="AH270" s="2004">
        <v>1833.112108967302</v>
      </c>
      <c r="AI270" s="2004">
        <v>1833.112108967302</v>
      </c>
      <c r="AJ270" s="2002">
        <v>5499.3363269019064</v>
      </c>
      <c r="AK270" s="2002">
        <v>5499.3363269019064</v>
      </c>
      <c r="AL270" s="2002">
        <v>5499.3363269019064</v>
      </c>
      <c r="AM270" s="2002">
        <v>5499.3363269019064</v>
      </c>
      <c r="AN270" s="2002">
        <v>10998.672653803813</v>
      </c>
      <c r="AO270" s="2002">
        <v>10998.672653803813</v>
      </c>
      <c r="AP270" s="2002">
        <v>21997.345307607626</v>
      </c>
    </row>
    <row r="271" spans="1:42" ht="14.5">
      <c r="A271" s="1693">
        <v>219</v>
      </c>
      <c r="B271" s="616">
        <v>1</v>
      </c>
      <c r="C271" s="1693">
        <v>222</v>
      </c>
      <c r="D271" s="616">
        <v>1</v>
      </c>
      <c r="E271" s="1693">
        <v>244</v>
      </c>
      <c r="F271" s="616">
        <v>1</v>
      </c>
      <c r="G271" s="1693">
        <v>271</v>
      </c>
      <c r="H271" s="616">
        <v>1</v>
      </c>
      <c r="J271" s="709" t="s">
        <v>512</v>
      </c>
      <c r="K271" s="1764" t="s">
        <v>1216</v>
      </c>
      <c r="L271" s="4"/>
      <c r="M271" s="4"/>
      <c r="N271" s="4"/>
      <c r="O271" s="27"/>
      <c r="P271" s="36" t="s">
        <v>62</v>
      </c>
      <c r="Q271" s="4"/>
      <c r="R271" s="4"/>
      <c r="S271" s="3"/>
      <c r="T271" s="3"/>
      <c r="U271" s="3"/>
      <c r="V271" s="3"/>
      <c r="W271" s="1853"/>
      <c r="X271" s="2003">
        <v>261.75719828432398</v>
      </c>
      <c r="Y271" s="2004">
        <v>261.75719828432398</v>
      </c>
      <c r="Z271" s="2004">
        <v>261.75719828432398</v>
      </c>
      <c r="AA271" s="2004">
        <v>261.75719828432398</v>
      </c>
      <c r="AB271" s="2004">
        <v>261.75719828432398</v>
      </c>
      <c r="AC271" s="2004">
        <v>261.75719828432398</v>
      </c>
      <c r="AD271" s="2004">
        <v>261.75719828432398</v>
      </c>
      <c r="AE271" s="2004">
        <v>261.75719828432398</v>
      </c>
      <c r="AF271" s="2004">
        <v>261.75719828432398</v>
      </c>
      <c r="AG271" s="2004">
        <v>261.75719828432398</v>
      </c>
      <c r="AH271" s="2004">
        <v>261.75719828432398</v>
      </c>
      <c r="AI271" s="2004">
        <v>261.75719828432398</v>
      </c>
      <c r="AJ271" s="2002">
        <v>785.27159485297193</v>
      </c>
      <c r="AK271" s="2002">
        <v>785.27159485297193</v>
      </c>
      <c r="AL271" s="2002">
        <v>785.27159485297193</v>
      </c>
      <c r="AM271" s="2002">
        <v>785.27159485297193</v>
      </c>
      <c r="AN271" s="2002">
        <v>1570.5431897059439</v>
      </c>
      <c r="AO271" s="2002">
        <v>1570.5431897059439</v>
      </c>
      <c r="AP271" s="2002">
        <v>3141.0863794118877</v>
      </c>
    </row>
    <row r="272" spans="1:42" ht="14.5">
      <c r="A272" s="1693">
        <v>220</v>
      </c>
      <c r="B272" s="616">
        <v>1</v>
      </c>
      <c r="C272" s="1693">
        <v>223</v>
      </c>
      <c r="D272" s="616">
        <v>1</v>
      </c>
      <c r="E272" s="1693">
        <v>245</v>
      </c>
      <c r="F272" s="616">
        <v>1</v>
      </c>
      <c r="G272" s="1693">
        <v>272</v>
      </c>
      <c r="H272" s="616">
        <v>1</v>
      </c>
      <c r="J272" s="709" t="s">
        <v>512</v>
      </c>
      <c r="K272" s="1764" t="s">
        <v>1216</v>
      </c>
      <c r="L272" s="4"/>
      <c r="M272" s="4"/>
      <c r="N272" s="4"/>
      <c r="O272" s="365" t="s">
        <v>56</v>
      </c>
      <c r="P272" s="489"/>
      <c r="Q272" s="581"/>
      <c r="R272" s="581"/>
      <c r="S272" s="581"/>
      <c r="T272" s="581"/>
      <c r="U272" s="581"/>
      <c r="V272" s="581"/>
      <c r="W272" s="2037"/>
      <c r="X272" s="2038">
        <v>9298.7420380991589</v>
      </c>
      <c r="Y272" s="2039">
        <v>-1568.7410057713323</v>
      </c>
      <c r="Z272" s="2039">
        <v>4889.4809119116935</v>
      </c>
      <c r="AA272" s="2039">
        <v>-717.97419819806828</v>
      </c>
      <c r="AB272" s="2039">
        <v>5268.2306812096049</v>
      </c>
      <c r="AC272" s="2039">
        <v>5062.9952283478879</v>
      </c>
      <c r="AD272" s="2039">
        <v>3843.4687611946656</v>
      </c>
      <c r="AE272" s="2039">
        <v>-732.72074742975065</v>
      </c>
      <c r="AF272" s="2039">
        <v>-400.55963531043199</v>
      </c>
      <c r="AG272" s="2039">
        <v>9873.0219004680948</v>
      </c>
      <c r="AH272" s="2039">
        <v>4774.3894114654859</v>
      </c>
      <c r="AI272" s="2039">
        <v>4999.2344379523183</v>
      </c>
      <c r="AJ272" s="2039">
        <v>12619.48194423952</v>
      </c>
      <c r="AK272" s="2039">
        <v>9613.2517113594222</v>
      </c>
      <c r="AL272" s="2039">
        <v>2710.1883784544825</v>
      </c>
      <c r="AM272" s="2039">
        <v>19646.645749885902</v>
      </c>
      <c r="AN272" s="2039">
        <v>22232.73365559895</v>
      </c>
      <c r="AO272" s="2039">
        <v>22356.834128340379</v>
      </c>
      <c r="AP272" s="2039">
        <v>44589.567783939325</v>
      </c>
    </row>
    <row r="273" spans="1:42" ht="14.5">
      <c r="A273" s="1693">
        <v>221</v>
      </c>
      <c r="B273" s="616">
        <v>1</v>
      </c>
      <c r="C273" s="1693">
        <v>224</v>
      </c>
      <c r="D273" s="616">
        <v>1</v>
      </c>
      <c r="E273" s="1693">
        <v>246</v>
      </c>
      <c r="F273" s="616">
        <v>1</v>
      </c>
      <c r="G273" s="1693">
        <v>273</v>
      </c>
      <c r="H273" s="616">
        <v>1</v>
      </c>
      <c r="J273" s="709" t="s">
        <v>512</v>
      </c>
      <c r="K273" s="1764" t="s">
        <v>1216</v>
      </c>
      <c r="L273" s="4"/>
      <c r="M273" s="4"/>
      <c r="N273" s="4"/>
      <c r="O273" s="25"/>
      <c r="P273" s="511" t="s">
        <v>55</v>
      </c>
      <c r="Q273" s="2"/>
      <c r="R273" s="2"/>
      <c r="S273" s="1"/>
      <c r="T273" s="1"/>
      <c r="U273" s="1"/>
      <c r="V273" s="1"/>
      <c r="W273" s="1792"/>
      <c r="X273" s="1323">
        <v>0.10151465107095152</v>
      </c>
      <c r="Y273" s="1322">
        <v>-0.26145683429522204</v>
      </c>
      <c r="Z273" s="1322">
        <v>0.1873364334065783</v>
      </c>
      <c r="AA273" s="1322">
        <v>-4.4873387387379268E-2</v>
      </c>
      <c r="AB273" s="1322">
        <v>0.11021403098764863</v>
      </c>
      <c r="AC273" s="1322">
        <v>0.18891773240104059</v>
      </c>
      <c r="AD273" s="1322">
        <v>0.12162875826565397</v>
      </c>
      <c r="AE273" s="1322">
        <v>-4.4952193093849735E-2</v>
      </c>
      <c r="AF273" s="1322">
        <v>-2.3153736145111674E-2</v>
      </c>
      <c r="AG273" s="1322">
        <v>0.23563298091809295</v>
      </c>
      <c r="AH273" s="1322">
        <v>0.18363036197944177</v>
      </c>
      <c r="AI273" s="1322">
        <v>0.11762904559887807</v>
      </c>
      <c r="AJ273" s="1322">
        <v>0.10201683059207373</v>
      </c>
      <c r="AK273" s="1322">
        <v>0.1061065310304572</v>
      </c>
      <c r="AL273" s="1322">
        <v>4.1567306418013539E-2</v>
      </c>
      <c r="AM273" s="1322">
        <v>0.17795874773447376</v>
      </c>
      <c r="AN273" s="1322">
        <v>0.10374584067008376</v>
      </c>
      <c r="AO273" s="1322">
        <v>0.12731682305433017</v>
      </c>
      <c r="AP273" s="1322">
        <v>0.11436154856101391</v>
      </c>
    </row>
    <row r="274" spans="1:42" ht="14.5">
      <c r="A274" s="1693">
        <v>222</v>
      </c>
      <c r="B274" s="616">
        <v>1</v>
      </c>
      <c r="C274" s="1693">
        <v>225</v>
      </c>
      <c r="D274" s="616">
        <v>1</v>
      </c>
      <c r="E274" s="1693">
        <v>247</v>
      </c>
      <c r="F274" s="616">
        <v>1</v>
      </c>
      <c r="G274" s="1693">
        <v>274</v>
      </c>
      <c r="H274" s="616">
        <v>1</v>
      </c>
      <c r="J274" s="709" t="s">
        <v>512</v>
      </c>
      <c r="K274" s="1764" t="s">
        <v>1216</v>
      </c>
      <c r="L274" s="4"/>
      <c r="M274" s="4"/>
      <c r="N274" s="4"/>
      <c r="O274" s="198" t="s">
        <v>994</v>
      </c>
      <c r="P274" s="447"/>
      <c r="Q274" s="514"/>
      <c r="R274" s="514"/>
      <c r="S274" s="447"/>
      <c r="T274" s="447"/>
      <c r="U274" s="447"/>
      <c r="V274" s="447"/>
      <c r="W274" s="1853"/>
      <c r="X274" s="2015">
        <v>0</v>
      </c>
      <c r="Y274" s="2016">
        <v>0</v>
      </c>
      <c r="Z274" s="2016">
        <v>0</v>
      </c>
      <c r="AA274" s="2016">
        <v>0</v>
      </c>
      <c r="AB274" s="2016">
        <v>0</v>
      </c>
      <c r="AC274" s="2016">
        <v>0</v>
      </c>
      <c r="AD274" s="2016">
        <v>0</v>
      </c>
      <c r="AE274" s="2016">
        <v>0</v>
      </c>
      <c r="AF274" s="2016">
        <v>0</v>
      </c>
      <c r="AG274" s="2016">
        <v>0</v>
      </c>
      <c r="AH274" s="2016">
        <v>0</v>
      </c>
      <c r="AI274" s="2016">
        <v>0</v>
      </c>
      <c r="AJ274" s="1978">
        <v>0</v>
      </c>
      <c r="AK274" s="1978">
        <v>0</v>
      </c>
      <c r="AL274" s="1978">
        <v>0</v>
      </c>
      <c r="AM274" s="1978">
        <v>0</v>
      </c>
      <c r="AN274" s="1978">
        <v>0</v>
      </c>
      <c r="AO274" s="1978">
        <v>0</v>
      </c>
      <c r="AP274" s="1978">
        <v>0</v>
      </c>
    </row>
    <row r="275" spans="1:42" ht="14.5">
      <c r="A275" s="1693">
        <v>223</v>
      </c>
      <c r="B275" s="616">
        <v>1</v>
      </c>
      <c r="C275" s="1693">
        <v>226</v>
      </c>
      <c r="D275" s="616">
        <v>1</v>
      </c>
      <c r="E275" s="1693">
        <v>248</v>
      </c>
      <c r="F275" s="616">
        <v>1</v>
      </c>
      <c r="G275" s="1693">
        <v>275</v>
      </c>
      <c r="H275" s="616">
        <v>1</v>
      </c>
      <c r="J275" s="709" t="s">
        <v>512</v>
      </c>
      <c r="K275" s="1764" t="s">
        <v>1216</v>
      </c>
      <c r="L275" s="4"/>
      <c r="M275" s="4"/>
      <c r="N275" s="4"/>
      <c r="O275" s="106" t="s">
        <v>995</v>
      </c>
      <c r="P275" s="104"/>
      <c r="Q275" s="105"/>
      <c r="R275" s="105"/>
      <c r="S275" s="104"/>
      <c r="T275" s="104"/>
      <c r="U275" s="104"/>
      <c r="V275" s="104"/>
      <c r="W275" s="1853"/>
      <c r="X275" s="2017">
        <v>0</v>
      </c>
      <c r="Y275" s="2018">
        <v>0</v>
      </c>
      <c r="Z275" s="2018">
        <v>0</v>
      </c>
      <c r="AA275" s="2018">
        <v>0</v>
      </c>
      <c r="AB275" s="2018">
        <v>0</v>
      </c>
      <c r="AC275" s="2018">
        <v>0</v>
      </c>
      <c r="AD275" s="2018">
        <v>0</v>
      </c>
      <c r="AE275" s="2018">
        <v>0</v>
      </c>
      <c r="AF275" s="2018">
        <v>0</v>
      </c>
      <c r="AG275" s="2018">
        <v>0</v>
      </c>
      <c r="AH275" s="2018">
        <v>0</v>
      </c>
      <c r="AI275" s="2018">
        <v>0</v>
      </c>
      <c r="AJ275" s="1980">
        <v>0</v>
      </c>
      <c r="AK275" s="1980">
        <v>0</v>
      </c>
      <c r="AL275" s="1980">
        <v>0</v>
      </c>
      <c r="AM275" s="1980">
        <v>0</v>
      </c>
      <c r="AN275" s="1980">
        <v>0</v>
      </c>
      <c r="AO275" s="1980">
        <v>0</v>
      </c>
      <c r="AP275" s="1980">
        <v>0</v>
      </c>
    </row>
    <row r="276" spans="1:42" ht="14.5">
      <c r="A276" s="1693">
        <v>224</v>
      </c>
      <c r="B276" s="616">
        <v>1</v>
      </c>
      <c r="C276" s="1693">
        <v>227</v>
      </c>
      <c r="D276" s="616">
        <v>1</v>
      </c>
      <c r="E276" s="1693">
        <v>249</v>
      </c>
      <c r="F276" s="616">
        <v>1</v>
      </c>
      <c r="G276" s="1693">
        <v>276</v>
      </c>
      <c r="H276" s="616">
        <v>1</v>
      </c>
      <c r="J276" s="709" t="s">
        <v>512</v>
      </c>
      <c r="K276" s="1764" t="s">
        <v>1216</v>
      </c>
      <c r="L276" s="4"/>
      <c r="M276" s="4"/>
      <c r="N276" s="4"/>
      <c r="O276" s="365" t="s">
        <v>1</v>
      </c>
      <c r="P276" s="489"/>
      <c r="Q276" s="581"/>
      <c r="R276" s="581"/>
      <c r="S276" s="581"/>
      <c r="T276" s="581"/>
      <c r="U276" s="581"/>
      <c r="V276" s="581"/>
      <c r="W276" s="2037"/>
      <c r="X276" s="2038">
        <v>9298.7420380991589</v>
      </c>
      <c r="Y276" s="2039">
        <v>-1568.7410057713323</v>
      </c>
      <c r="Z276" s="2039">
        <v>4889.4809119116935</v>
      </c>
      <c r="AA276" s="2039">
        <v>-717.97419819806828</v>
      </c>
      <c r="AB276" s="2039">
        <v>5268.2306812096049</v>
      </c>
      <c r="AC276" s="2039">
        <v>5062.9952283478879</v>
      </c>
      <c r="AD276" s="2039">
        <v>3843.4687611946656</v>
      </c>
      <c r="AE276" s="2039">
        <v>-732.72074742975065</v>
      </c>
      <c r="AF276" s="2039">
        <v>-400.55963531043199</v>
      </c>
      <c r="AG276" s="2039">
        <v>9873.0219004680948</v>
      </c>
      <c r="AH276" s="2039">
        <v>4774.3894114654859</v>
      </c>
      <c r="AI276" s="2039">
        <v>4999.2344379523183</v>
      </c>
      <c r="AJ276" s="2039">
        <v>12619.48194423952</v>
      </c>
      <c r="AK276" s="2039">
        <v>9613.2517113594222</v>
      </c>
      <c r="AL276" s="2039">
        <v>2710.1883784544825</v>
      </c>
      <c r="AM276" s="2039">
        <v>19646.645749885902</v>
      </c>
      <c r="AN276" s="2039">
        <v>22232.73365559895</v>
      </c>
      <c r="AO276" s="2039">
        <v>22356.834128340379</v>
      </c>
      <c r="AP276" s="2039">
        <v>44589.567783939325</v>
      </c>
    </row>
    <row r="277" spans="1:42" ht="14.5">
      <c r="A277" s="1693">
        <v>225</v>
      </c>
      <c r="B277" s="616">
        <v>1</v>
      </c>
      <c r="C277" s="1693">
        <v>228</v>
      </c>
      <c r="D277" s="616">
        <v>1</v>
      </c>
      <c r="E277" s="1693">
        <v>250</v>
      </c>
      <c r="F277" s="616">
        <v>1</v>
      </c>
      <c r="G277" s="1693">
        <v>277</v>
      </c>
      <c r="H277" s="616">
        <v>1</v>
      </c>
      <c r="J277" s="709" t="s">
        <v>512</v>
      </c>
      <c r="K277" s="1764" t="s">
        <v>1216</v>
      </c>
      <c r="L277" s="4"/>
      <c r="M277" s="4"/>
      <c r="N277" s="4"/>
      <c r="O277" s="25"/>
      <c r="P277" s="511" t="s">
        <v>55</v>
      </c>
      <c r="Q277" s="2"/>
      <c r="R277" s="2"/>
      <c r="S277" s="1"/>
      <c r="T277" s="1"/>
      <c r="U277" s="1"/>
      <c r="V277" s="1"/>
      <c r="W277" s="1792"/>
      <c r="X277" s="1323">
        <v>0.10151465107095152</v>
      </c>
      <c r="Y277" s="1322">
        <v>-0.26145683429522204</v>
      </c>
      <c r="Z277" s="1322">
        <v>0.1873364334065783</v>
      </c>
      <c r="AA277" s="1322">
        <v>-4.4873387387379268E-2</v>
      </c>
      <c r="AB277" s="1322">
        <v>0.11021403098764863</v>
      </c>
      <c r="AC277" s="1322">
        <v>0.18891773240104059</v>
      </c>
      <c r="AD277" s="1322">
        <v>0.12162875826565397</v>
      </c>
      <c r="AE277" s="1322">
        <v>-4.4952193093849735E-2</v>
      </c>
      <c r="AF277" s="1322">
        <v>-2.3153736145111674E-2</v>
      </c>
      <c r="AG277" s="1322">
        <v>0.23563298091809295</v>
      </c>
      <c r="AH277" s="1322">
        <v>0.18363036197944177</v>
      </c>
      <c r="AI277" s="1322">
        <v>0.11762904559887807</v>
      </c>
      <c r="AJ277" s="1322">
        <v>0.10201683059207373</v>
      </c>
      <c r="AK277" s="1322">
        <v>0.1061065310304572</v>
      </c>
      <c r="AL277" s="1322">
        <v>4.1567306418013539E-2</v>
      </c>
      <c r="AM277" s="1322">
        <v>0.17795874773447376</v>
      </c>
      <c r="AN277" s="1322">
        <v>0.10374584067008376</v>
      </c>
      <c r="AO277" s="1322">
        <v>0.12731682305433017</v>
      </c>
      <c r="AP277" s="1322">
        <v>0.11436154856101391</v>
      </c>
    </row>
    <row r="278" spans="1:42" ht="14.5">
      <c r="A278" s="1693">
        <v>1</v>
      </c>
      <c r="B278" s="616">
        <v>1</v>
      </c>
      <c r="C278" s="1693">
        <v>1</v>
      </c>
      <c r="D278" s="616">
        <v>1</v>
      </c>
      <c r="E278" s="1693">
        <v>251</v>
      </c>
      <c r="F278" s="616">
        <v>1</v>
      </c>
      <c r="G278" s="1693">
        <v>278</v>
      </c>
      <c r="H278" s="616">
        <v>1</v>
      </c>
      <c r="J278" s="709" t="s">
        <v>512</v>
      </c>
      <c r="K278" s="69"/>
      <c r="L278" s="8"/>
      <c r="M278" s="737"/>
      <c r="N278" s="4"/>
      <c r="O278" s="4"/>
      <c r="P278" s="3"/>
      <c r="Q278" s="742" t="s">
        <v>1042</v>
      </c>
      <c r="R278" s="707"/>
      <c r="S278" s="586"/>
      <c r="T278" s="586"/>
      <c r="U278" s="586"/>
      <c r="V278" s="586"/>
      <c r="W278" s="1785"/>
      <c r="X278" s="1368">
        <v>5.4282281010899656E-3</v>
      </c>
      <c r="Y278" s="1368">
        <v>4.5036456287111243E-4</v>
      </c>
      <c r="Z278" s="1368">
        <v>-2.0176119379304303E-3</v>
      </c>
      <c r="AA278" s="1368">
        <v>1.4717682264224594E-3</v>
      </c>
      <c r="AB278" s="1368">
        <v>2.3652832837263042E-4</v>
      </c>
      <c r="AC278" s="1368">
        <v>-2.1747259829453815E-3</v>
      </c>
      <c r="AD278" s="1368">
        <v>2.1119096033789435E-3</v>
      </c>
      <c r="AE278" s="1368">
        <v>-2.3773646876249573E-3</v>
      </c>
      <c r="AF278" s="1368">
        <v>-2.1908595441621497E-3</v>
      </c>
      <c r="AG278" s="1368">
        <v>5.7907174748884818E-4</v>
      </c>
      <c r="AH278" s="1368">
        <v>-5.1277102646054E-4</v>
      </c>
      <c r="AI278" s="1368">
        <v>-3.2245232752982707E-3</v>
      </c>
      <c r="AJ278" s="2035">
        <v>1.8246634704837793E-3</v>
      </c>
      <c r="AK278" s="1368">
        <v>-2.6739684972939984E-4</v>
      </c>
      <c r="AL278" s="1368">
        <v>-8.3669945214181888E-4</v>
      </c>
      <c r="AM278" s="1368">
        <v>-1.0626483353760878E-3</v>
      </c>
      <c r="AN278" s="1368">
        <v>8.1227711814962249E-4</v>
      </c>
      <c r="AO278" s="1368">
        <v>-9.4836782966462789E-4</v>
      </c>
      <c r="AP278" s="1368">
        <v>-4.8865812598093692E-8</v>
      </c>
    </row>
    <row r="279" spans="1:42" ht="14.5">
      <c r="A279" s="1693">
        <v>1</v>
      </c>
      <c r="B279" s="616">
        <v>1</v>
      </c>
      <c r="C279" s="1693">
        <v>1</v>
      </c>
      <c r="D279" s="616">
        <v>1</v>
      </c>
      <c r="E279" s="1693">
        <v>252</v>
      </c>
      <c r="F279" s="616">
        <v>1</v>
      </c>
      <c r="G279" s="1693">
        <v>279</v>
      </c>
      <c r="H279" s="616">
        <v>1</v>
      </c>
      <c r="J279" s="709" t="s">
        <v>512</v>
      </c>
      <c r="K279" s="69"/>
      <c r="L279" s="8"/>
      <c r="M279" s="737"/>
      <c r="N279" s="4"/>
      <c r="O279" s="4"/>
      <c r="P279" s="3"/>
      <c r="Q279" s="27"/>
      <c r="R279" s="572" t="s">
        <v>509</v>
      </c>
      <c r="S279" s="251"/>
      <c r="T279" s="251"/>
      <c r="U279" s="251"/>
      <c r="V279" s="251"/>
      <c r="W279" s="1849"/>
      <c r="X279" s="1986">
        <v>3116.8165641648875</v>
      </c>
      <c r="Y279" s="1986">
        <v>3220.692327328245</v>
      </c>
      <c r="Z279" s="1986">
        <v>3482.5138683581554</v>
      </c>
      <c r="AA279" s="1986">
        <v>3171.6767369667577</v>
      </c>
      <c r="AB279" s="1986">
        <v>3371.9874004302237</v>
      </c>
      <c r="AC279" s="1986">
        <v>3583.9133100349654</v>
      </c>
      <c r="AD279" s="1987">
        <v>3182.6732200569504</v>
      </c>
      <c r="AE279" s="1987">
        <v>3423.8858864959052</v>
      </c>
      <c r="AF279" s="1987">
        <v>3562.2041588516549</v>
      </c>
      <c r="AG279" s="1988">
        <v>3301.0390419844348</v>
      </c>
      <c r="AH279" s="1988">
        <v>3424.1921798375552</v>
      </c>
      <c r="AI279" s="1988">
        <v>3685.5724155024132</v>
      </c>
      <c r="AJ279" s="1989">
        <v>9820.0227598512884</v>
      </c>
      <c r="AK279" s="1988">
        <v>10127.57744743195</v>
      </c>
      <c r="AL279" s="1988">
        <v>10168.763265404512</v>
      </c>
      <c r="AM279" s="1988">
        <v>10410.803637324405</v>
      </c>
      <c r="AN279" s="1988">
        <v>19947.600207283238</v>
      </c>
      <c r="AO279" s="1988">
        <v>20579.566902728915</v>
      </c>
      <c r="AP279" s="1988">
        <v>40527.167110012153</v>
      </c>
    </row>
    <row r="280" spans="1:42" ht="14.5">
      <c r="A280" s="1693">
        <v>1</v>
      </c>
      <c r="B280" s="616">
        <v>1</v>
      </c>
      <c r="C280" s="1693">
        <v>1</v>
      </c>
      <c r="D280" s="616">
        <v>1</v>
      </c>
      <c r="E280" s="1693">
        <v>253</v>
      </c>
      <c r="F280" s="616">
        <v>1</v>
      </c>
      <c r="G280" s="1693">
        <v>280</v>
      </c>
      <c r="H280" s="616">
        <v>1</v>
      </c>
      <c r="J280" s="709" t="s">
        <v>512</v>
      </c>
      <c r="K280" s="69"/>
      <c r="L280" s="8"/>
      <c r="M280" s="737"/>
      <c r="N280" s="4"/>
      <c r="O280" s="4"/>
      <c r="P280" s="3"/>
      <c r="Q280" s="27"/>
      <c r="R280" s="27"/>
      <c r="S280" s="36" t="s">
        <v>63</v>
      </c>
      <c r="T280" s="3"/>
      <c r="U280" s="3"/>
      <c r="V280" s="3"/>
      <c r="W280" s="1990"/>
      <c r="X280" s="1991">
        <v>1021.943976583972</v>
      </c>
      <c r="Y280" s="1991">
        <v>1125.8197397473295</v>
      </c>
      <c r="Z280" s="1991">
        <v>1387.6412807772401</v>
      </c>
      <c r="AA280" s="1991">
        <v>1076.8041493858425</v>
      </c>
      <c r="AB280" s="1991">
        <v>1277.1148128493085</v>
      </c>
      <c r="AC280" s="1991">
        <v>1489.0407224540502</v>
      </c>
      <c r="AD280" s="1922">
        <v>1087.8006324760352</v>
      </c>
      <c r="AE280" s="1922">
        <v>1329.0132989149897</v>
      </c>
      <c r="AF280" s="1922">
        <v>1467.3315712707392</v>
      </c>
      <c r="AG280" s="1992">
        <v>1206.1664544035193</v>
      </c>
      <c r="AH280" s="1992">
        <v>1329.3195922566399</v>
      </c>
      <c r="AI280" s="1992">
        <v>1590.6998279214977</v>
      </c>
      <c r="AJ280" s="1947">
        <v>3535.4049971085415</v>
      </c>
      <c r="AK280" s="1948">
        <v>3842.9596846892009</v>
      </c>
      <c r="AL280" s="1948">
        <v>3884.1455026617641</v>
      </c>
      <c r="AM280" s="1948">
        <v>4126.1858745816571</v>
      </c>
      <c r="AN280" s="1948">
        <v>7378.3646817977424</v>
      </c>
      <c r="AO280" s="1948">
        <v>8010.3313772434212</v>
      </c>
      <c r="AP280" s="1948">
        <v>15388.696059041164</v>
      </c>
    </row>
    <row r="281" spans="1:42" ht="14.5">
      <c r="A281" s="1693">
        <v>1</v>
      </c>
      <c r="B281" s="616">
        <v>1</v>
      </c>
      <c r="C281" s="1693">
        <v>1</v>
      </c>
      <c r="D281" s="616">
        <v>1</v>
      </c>
      <c r="E281" s="1693">
        <v>254</v>
      </c>
      <c r="F281" s="616">
        <v>1</v>
      </c>
      <c r="G281" s="1693">
        <v>281</v>
      </c>
      <c r="H281" s="616">
        <v>1</v>
      </c>
      <c r="J281" s="709" t="s">
        <v>512</v>
      </c>
      <c r="K281" s="69"/>
      <c r="L281" s="8"/>
      <c r="M281" s="737"/>
      <c r="N281" s="4"/>
      <c r="O281" s="4"/>
      <c r="P281" s="3"/>
      <c r="Q281" s="27"/>
      <c r="R281" s="27"/>
      <c r="S281" s="36" t="s">
        <v>28</v>
      </c>
      <c r="T281" s="3"/>
      <c r="U281" s="3"/>
      <c r="V281" s="3"/>
      <c r="W281" s="1990"/>
      <c r="X281" s="1991">
        <v>1833.112108967302</v>
      </c>
      <c r="Y281" s="1991">
        <v>1833.112108967302</v>
      </c>
      <c r="Z281" s="1991">
        <v>1833.112108967302</v>
      </c>
      <c r="AA281" s="1991">
        <v>1833.112108967302</v>
      </c>
      <c r="AB281" s="1991">
        <v>1833.112108967302</v>
      </c>
      <c r="AC281" s="1991">
        <v>1833.112108967302</v>
      </c>
      <c r="AD281" s="1922">
        <v>1833.112108967302</v>
      </c>
      <c r="AE281" s="1922">
        <v>1833.112108967302</v>
      </c>
      <c r="AF281" s="1922">
        <v>1833.112108967302</v>
      </c>
      <c r="AG281" s="1992">
        <v>1833.112108967302</v>
      </c>
      <c r="AH281" s="1992">
        <v>1833.112108967302</v>
      </c>
      <c r="AI281" s="1992">
        <v>1833.112108967302</v>
      </c>
      <c r="AJ281" s="1947">
        <v>5499.3363269019064</v>
      </c>
      <c r="AK281" s="1948">
        <v>5499.3363269019064</v>
      </c>
      <c r="AL281" s="1948">
        <v>5499.3363269019064</v>
      </c>
      <c r="AM281" s="1948">
        <v>5499.3363269019064</v>
      </c>
      <c r="AN281" s="1948">
        <v>10998.672653803813</v>
      </c>
      <c r="AO281" s="1948">
        <v>10998.672653803813</v>
      </c>
      <c r="AP281" s="1948">
        <v>21997.345307607626</v>
      </c>
    </row>
    <row r="282" spans="1:42" ht="14.5">
      <c r="A282" s="1693">
        <v>1</v>
      </c>
      <c r="B282" s="616">
        <v>1</v>
      </c>
      <c r="C282" s="1693">
        <v>1</v>
      </c>
      <c r="D282" s="616">
        <v>1</v>
      </c>
      <c r="E282" s="1693">
        <v>255</v>
      </c>
      <c r="F282" s="616">
        <v>1</v>
      </c>
      <c r="G282" s="1693">
        <v>282</v>
      </c>
      <c r="H282" s="616">
        <v>1</v>
      </c>
      <c r="J282" s="709" t="s">
        <v>512</v>
      </c>
      <c r="K282" s="69"/>
      <c r="L282" s="8"/>
      <c r="M282" s="737"/>
      <c r="N282" s="4"/>
      <c r="O282" s="4"/>
      <c r="P282" s="3"/>
      <c r="Q282" s="27"/>
      <c r="R282" s="25"/>
      <c r="S282" s="104" t="s">
        <v>62</v>
      </c>
      <c r="T282" s="1"/>
      <c r="U282" s="1"/>
      <c r="V282" s="1"/>
      <c r="W282" s="1990"/>
      <c r="X282" s="1993">
        <v>261.7604786136136</v>
      </c>
      <c r="Y282" s="1993">
        <v>261.7604786136136</v>
      </c>
      <c r="Z282" s="1993">
        <v>261.7604786136136</v>
      </c>
      <c r="AA282" s="1993">
        <v>261.7604786136136</v>
      </c>
      <c r="AB282" s="1993">
        <v>261.7604786136136</v>
      </c>
      <c r="AC282" s="1993">
        <v>261.7604786136136</v>
      </c>
      <c r="AD282" s="1932">
        <v>261.7604786136136</v>
      </c>
      <c r="AE282" s="1932">
        <v>261.7604786136136</v>
      </c>
      <c r="AF282" s="1932">
        <v>261.7604786136136</v>
      </c>
      <c r="AG282" s="1994">
        <v>261.7604786136136</v>
      </c>
      <c r="AH282" s="1994">
        <v>261.7604786136136</v>
      </c>
      <c r="AI282" s="1994">
        <v>261.7604786136136</v>
      </c>
      <c r="AJ282" s="1949">
        <v>785.2814358408408</v>
      </c>
      <c r="AK282" s="1950">
        <v>785.2814358408408</v>
      </c>
      <c r="AL282" s="1950">
        <v>785.2814358408408</v>
      </c>
      <c r="AM282" s="1950">
        <v>785.2814358408408</v>
      </c>
      <c r="AN282" s="1950">
        <v>1570.5628716816816</v>
      </c>
      <c r="AO282" s="1950">
        <v>1570.5628716816816</v>
      </c>
      <c r="AP282" s="1950">
        <v>3141.1257433633632</v>
      </c>
    </row>
    <row r="283" spans="1:42" ht="14.5">
      <c r="A283" s="1693">
        <v>1</v>
      </c>
      <c r="B283" s="616">
        <v>1</v>
      </c>
      <c r="C283" s="1693">
        <v>1</v>
      </c>
      <c r="D283" s="616">
        <v>1</v>
      </c>
      <c r="E283" s="1693">
        <v>256</v>
      </c>
      <c r="F283" s="616">
        <v>1</v>
      </c>
      <c r="G283" s="1693">
        <v>283</v>
      </c>
      <c r="H283" s="616">
        <v>1</v>
      </c>
      <c r="J283" s="709" t="s">
        <v>512</v>
      </c>
      <c r="K283" s="69"/>
      <c r="L283" s="8"/>
      <c r="M283" s="737"/>
      <c r="N283" s="4"/>
      <c r="O283" s="4"/>
      <c r="P283" s="3"/>
      <c r="Q283" s="27"/>
      <c r="R283" s="572" t="s">
        <v>1015</v>
      </c>
      <c r="S283" s="586"/>
      <c r="T283" s="586"/>
      <c r="U283" s="586"/>
      <c r="V283" s="586"/>
      <c r="W283" s="1849"/>
      <c r="X283" s="1400">
        <v>515.17539773595411</v>
      </c>
      <c r="Y283" s="1400">
        <v>28.048678443086942</v>
      </c>
      <c r="Z283" s="1400">
        <v>-134.64378026985071</v>
      </c>
      <c r="AA283" s="1400">
        <v>94.231461231310163</v>
      </c>
      <c r="AB283" s="1400">
        <v>16.381918360171198</v>
      </c>
      <c r="AC283" s="1400">
        <v>-166.75753838285334</v>
      </c>
      <c r="AD283" s="1683">
        <v>130.45801874838401</v>
      </c>
      <c r="AE283" s="1683">
        <v>-143.23113906615492</v>
      </c>
      <c r="AF283" s="1683">
        <v>-144.51052354122237</v>
      </c>
      <c r="AG283" s="1941">
        <v>35.311587547474005</v>
      </c>
      <c r="AH283" s="1941">
        <v>-31.230591303041479</v>
      </c>
      <c r="AI283" s="1941">
        <v>-199.27285345473217</v>
      </c>
      <c r="AJ283" s="1942">
        <v>408.58029590919034</v>
      </c>
      <c r="AK283" s="1941">
        <v>-56.144158791371979</v>
      </c>
      <c r="AL283" s="1941">
        <v>-157.28364385899329</v>
      </c>
      <c r="AM283" s="1941">
        <v>-195.19185721029964</v>
      </c>
      <c r="AN283" s="1941">
        <v>352.43613711781836</v>
      </c>
      <c r="AO283" s="1941">
        <v>-352.47550106929293</v>
      </c>
      <c r="AP283" s="1941">
        <v>-3.9363951474570058E-2</v>
      </c>
    </row>
    <row r="284" spans="1:42" ht="14.5">
      <c r="A284" s="1693">
        <v>1</v>
      </c>
      <c r="B284" s="616">
        <v>1</v>
      </c>
      <c r="C284" s="1693">
        <v>1</v>
      </c>
      <c r="D284" s="616">
        <v>1</v>
      </c>
      <c r="E284" s="1693">
        <v>257</v>
      </c>
      <c r="F284" s="616">
        <v>1</v>
      </c>
      <c r="G284" s="1693">
        <v>284</v>
      </c>
      <c r="H284" s="616">
        <v>1</v>
      </c>
      <c r="J284" s="709" t="s">
        <v>512</v>
      </c>
      <c r="K284" s="69"/>
      <c r="L284" s="8"/>
      <c r="M284" s="737"/>
      <c r="N284" s="4"/>
      <c r="O284" s="4"/>
      <c r="P284" s="3"/>
      <c r="Q284" s="27"/>
      <c r="R284" s="498"/>
      <c r="S284" s="553" t="s">
        <v>1016</v>
      </c>
      <c r="T284" s="47"/>
      <c r="U284" s="47"/>
      <c r="V284" s="47"/>
      <c r="W284" s="1776"/>
      <c r="X284" s="1334">
        <v>0.14184376043231428</v>
      </c>
      <c r="Y284" s="1334">
        <v>8.6337071478640344E-3</v>
      </c>
      <c r="Z284" s="1334">
        <v>-4.0217743439003861E-2</v>
      </c>
      <c r="AA284" s="1334">
        <v>2.8853064909571378E-2</v>
      </c>
      <c r="AB284" s="1334">
        <v>4.8347499398381207E-3</v>
      </c>
      <c r="AC284" s="1334">
        <v>-4.8800098539912365E-2</v>
      </c>
      <c r="AD284" s="1334">
        <v>3.9376049225090526E-2</v>
      </c>
      <c r="AE284" s="1334">
        <v>-4.3659315012763919E-2</v>
      </c>
      <c r="AF284" s="1334">
        <v>-4.2283053708556402E-2</v>
      </c>
      <c r="AG284" s="1334">
        <v>1.0583895839637286E-2</v>
      </c>
      <c r="AH284" s="1334">
        <v>-9.2045225058178682E-3</v>
      </c>
      <c r="AI284" s="1334">
        <v>-5.7158844186553225E-2</v>
      </c>
      <c r="AJ284" s="1332">
        <v>3.994487748540488E-2</v>
      </c>
      <c r="AK284" s="1334">
        <v>-5.5745947157984123E-3</v>
      </c>
      <c r="AL284" s="1334">
        <v>-1.5710329522172339E-2</v>
      </c>
      <c r="AM284" s="1334">
        <v>-1.9107211727668008E-2</v>
      </c>
      <c r="AN284" s="1334">
        <v>1.736135498176207E-2</v>
      </c>
      <c r="AO284" s="1334">
        <v>-1.7425911322098069E-2</v>
      </c>
      <c r="AP284" s="1334">
        <v>-9.712988228828115E-7</v>
      </c>
    </row>
    <row r="285" spans="1:42" ht="14.5">
      <c r="A285" s="1693">
        <v>1</v>
      </c>
      <c r="B285" s="616">
        <v>1</v>
      </c>
      <c r="C285" s="1693">
        <v>1</v>
      </c>
      <c r="D285" s="616">
        <v>1</v>
      </c>
      <c r="E285" s="1693">
        <v>258</v>
      </c>
      <c r="F285" s="616">
        <v>1</v>
      </c>
      <c r="G285" s="1693">
        <v>285</v>
      </c>
      <c r="H285" s="616">
        <v>1</v>
      </c>
      <c r="J285" s="709" t="s">
        <v>512</v>
      </c>
      <c r="K285" s="69"/>
      <c r="L285" s="8"/>
      <c r="M285" s="737"/>
      <c r="N285" s="4"/>
      <c r="O285" s="4"/>
      <c r="P285" s="3"/>
      <c r="Q285" s="27"/>
      <c r="R285" s="27"/>
      <c r="S285" s="36" t="s">
        <v>63</v>
      </c>
      <c r="T285" s="3"/>
      <c r="U285" s="3"/>
      <c r="V285" s="3"/>
      <c r="W285" s="1849"/>
      <c r="X285" s="1378">
        <v>515.17867806524373</v>
      </c>
      <c r="Y285" s="1378">
        <v>28.051958772376565</v>
      </c>
      <c r="Z285" s="1378">
        <v>-134.64049994056109</v>
      </c>
      <c r="AA285" s="1378">
        <v>94.234741560599787</v>
      </c>
      <c r="AB285" s="1378">
        <v>16.385198689460822</v>
      </c>
      <c r="AC285" s="1378">
        <v>-166.75425805356372</v>
      </c>
      <c r="AD285" s="579">
        <v>130.46129907767363</v>
      </c>
      <c r="AE285" s="579">
        <v>-143.2278587368653</v>
      </c>
      <c r="AF285" s="579">
        <v>-144.50724321193275</v>
      </c>
      <c r="AG285" s="1969">
        <v>35.314867876763628</v>
      </c>
      <c r="AH285" s="1969">
        <v>-31.227310973751855</v>
      </c>
      <c r="AI285" s="1969">
        <v>-199.26957312544255</v>
      </c>
      <c r="AJ285" s="1995">
        <v>408.59013689705921</v>
      </c>
      <c r="AK285" s="1969">
        <v>-56.134317803503109</v>
      </c>
      <c r="AL285" s="1969">
        <v>-157.27380287112442</v>
      </c>
      <c r="AM285" s="1969">
        <v>-195.18201622243078</v>
      </c>
      <c r="AN285" s="1969">
        <v>352.4558190935561</v>
      </c>
      <c r="AO285" s="1969">
        <v>-352.45581909355519</v>
      </c>
      <c r="AP285" s="1969">
        <v>9.0949470177292824E-13</v>
      </c>
    </row>
    <row r="286" spans="1:42" ht="14.5">
      <c r="A286" s="1693">
        <v>1</v>
      </c>
      <c r="B286" s="616">
        <v>1</v>
      </c>
      <c r="C286" s="1693">
        <v>1</v>
      </c>
      <c r="D286" s="616">
        <v>1</v>
      </c>
      <c r="E286" s="1693">
        <v>259</v>
      </c>
      <c r="F286" s="616">
        <v>1</v>
      </c>
      <c r="G286" s="1693">
        <v>286</v>
      </c>
      <c r="H286" s="616">
        <v>1</v>
      </c>
      <c r="J286" s="709" t="s">
        <v>512</v>
      </c>
      <c r="K286" s="69"/>
      <c r="L286" s="8"/>
      <c r="M286" s="737"/>
      <c r="N286" s="4"/>
      <c r="O286" s="4"/>
      <c r="P286" s="3"/>
      <c r="Q286" s="27"/>
      <c r="R286" s="27"/>
      <c r="S286" s="36" t="s">
        <v>28</v>
      </c>
      <c r="T286" s="3"/>
      <c r="U286" s="3"/>
      <c r="V286" s="3"/>
      <c r="W286" s="1849"/>
      <c r="X286" s="1378">
        <v>0</v>
      </c>
      <c r="Y286" s="1378">
        <v>0</v>
      </c>
      <c r="Z286" s="1378">
        <v>0</v>
      </c>
      <c r="AA286" s="1378">
        <v>0</v>
      </c>
      <c r="AB286" s="1378">
        <v>0</v>
      </c>
      <c r="AC286" s="1378">
        <v>0</v>
      </c>
      <c r="AD286" s="579">
        <v>0</v>
      </c>
      <c r="AE286" s="579">
        <v>0</v>
      </c>
      <c r="AF286" s="579">
        <v>0</v>
      </c>
      <c r="AG286" s="1969">
        <v>0</v>
      </c>
      <c r="AH286" s="1969">
        <v>0</v>
      </c>
      <c r="AI286" s="1969">
        <v>0</v>
      </c>
      <c r="AJ286" s="1995">
        <v>0</v>
      </c>
      <c r="AK286" s="1969">
        <v>0</v>
      </c>
      <c r="AL286" s="1969">
        <v>0</v>
      </c>
      <c r="AM286" s="1969">
        <v>0</v>
      </c>
      <c r="AN286" s="1969">
        <v>0</v>
      </c>
      <c r="AO286" s="1969">
        <v>0</v>
      </c>
      <c r="AP286" s="1969">
        <v>0</v>
      </c>
    </row>
    <row r="287" spans="1:42" ht="14.5">
      <c r="A287" s="1693">
        <v>1</v>
      </c>
      <c r="B287" s="616">
        <v>1</v>
      </c>
      <c r="C287" s="1693">
        <v>1</v>
      </c>
      <c r="D287" s="616">
        <v>1</v>
      </c>
      <c r="E287" s="1693">
        <v>260</v>
      </c>
      <c r="F287" s="616">
        <v>1</v>
      </c>
      <c r="G287" s="1693">
        <v>287</v>
      </c>
      <c r="H287" s="616">
        <v>1</v>
      </c>
      <c r="J287" s="709" t="s">
        <v>512</v>
      </c>
      <c r="K287" s="69"/>
      <c r="L287" s="8"/>
      <c r="M287" s="737"/>
      <c r="N287" s="4"/>
      <c r="O287" s="4"/>
      <c r="P287" s="3"/>
      <c r="Q287" s="25"/>
      <c r="R287" s="25"/>
      <c r="S287" s="104" t="s">
        <v>62</v>
      </c>
      <c r="T287" s="1"/>
      <c r="U287" s="1"/>
      <c r="V287" s="1"/>
      <c r="W287" s="1849"/>
      <c r="X287" s="1379">
        <v>-3.2803292896232961E-3</v>
      </c>
      <c r="Y287" s="1379">
        <v>-3.2803292896232961E-3</v>
      </c>
      <c r="Z287" s="1379">
        <v>-3.2803292896232961E-3</v>
      </c>
      <c r="AA287" s="1379">
        <v>-3.2803292896232961E-3</v>
      </c>
      <c r="AB287" s="1379">
        <v>-3.2803292896232961E-3</v>
      </c>
      <c r="AC287" s="1379">
        <v>-3.2803292896232961E-3</v>
      </c>
      <c r="AD287" s="584">
        <v>-3.2803292896232961E-3</v>
      </c>
      <c r="AE287" s="584">
        <v>-3.2803292896232961E-3</v>
      </c>
      <c r="AF287" s="584">
        <v>-3.2803292896232961E-3</v>
      </c>
      <c r="AG287" s="1943">
        <v>-3.2803292896232961E-3</v>
      </c>
      <c r="AH287" s="1943">
        <v>-3.2803292896232961E-3</v>
      </c>
      <c r="AI287" s="1943">
        <v>-3.2803292896232961E-3</v>
      </c>
      <c r="AJ287" s="1944">
        <v>-9.8409878688698882E-3</v>
      </c>
      <c r="AK287" s="1943">
        <v>-9.8409878688698882E-3</v>
      </c>
      <c r="AL287" s="1943">
        <v>-9.8409878688698882E-3</v>
      </c>
      <c r="AM287" s="1943">
        <v>-9.8409878688698882E-3</v>
      </c>
      <c r="AN287" s="1943">
        <v>-1.9681975737739776E-2</v>
      </c>
      <c r="AO287" s="1943">
        <v>-1.9681975737739776E-2</v>
      </c>
      <c r="AP287" s="1943">
        <v>-3.9363951475479553E-2</v>
      </c>
    </row>
    <row r="288" spans="1:42" ht="14.5">
      <c r="A288" s="1693">
        <v>1</v>
      </c>
      <c r="B288" s="616">
        <v>1</v>
      </c>
      <c r="C288" s="1693">
        <v>1</v>
      </c>
      <c r="D288" s="616">
        <v>1</v>
      </c>
      <c r="E288" s="1693">
        <v>261</v>
      </c>
      <c r="F288" s="616">
        <v>1</v>
      </c>
      <c r="G288" s="1693">
        <v>288</v>
      </c>
      <c r="H288" s="616">
        <v>1</v>
      </c>
      <c r="J288" s="709" t="s">
        <v>512</v>
      </c>
      <c r="K288" s="1764" t="s">
        <v>1216</v>
      </c>
      <c r="L288" s="4"/>
      <c r="M288" s="4"/>
      <c r="N288" s="4"/>
      <c r="O288" s="4"/>
      <c r="P288" s="3"/>
      <c r="Q288" s="4"/>
      <c r="R288" s="4"/>
      <c r="S288" s="3"/>
      <c r="T288" s="3"/>
      <c r="U288" s="3"/>
      <c r="V288" s="3"/>
      <c r="W288" s="1773"/>
      <c r="X288" s="1608"/>
      <c r="Y288" s="1609"/>
      <c r="Z288" s="1609"/>
      <c r="AA288" s="1609"/>
      <c r="AB288" s="1609"/>
      <c r="AC288" s="1609"/>
      <c r="AD288" s="1366"/>
      <c r="AE288" s="1366"/>
      <c r="AF288" s="1366"/>
      <c r="AG288" s="1242"/>
      <c r="AH288" s="1242"/>
      <c r="AI288" s="1242"/>
      <c r="AJ288" s="1242"/>
      <c r="AK288" s="1242"/>
      <c r="AL288" s="1242"/>
      <c r="AM288" s="1242"/>
      <c r="AN288" s="1242"/>
      <c r="AO288" s="1242"/>
      <c r="AP288" s="608"/>
    </row>
    <row r="289" spans="1:42" ht="14.5">
      <c r="A289" s="1693">
        <v>227</v>
      </c>
      <c r="B289" s="616">
        <v>1</v>
      </c>
      <c r="C289" s="1693">
        <v>230</v>
      </c>
      <c r="D289" s="616">
        <v>1</v>
      </c>
      <c r="E289" s="1693">
        <v>262</v>
      </c>
      <c r="F289" s="616">
        <v>1</v>
      </c>
      <c r="G289" s="1693">
        <v>289</v>
      </c>
      <c r="H289" s="616">
        <v>1</v>
      </c>
      <c r="J289" s="709" t="s">
        <v>512</v>
      </c>
      <c r="K289" s="1764" t="s">
        <v>1216</v>
      </c>
      <c r="L289" s="4"/>
      <c r="M289" s="4"/>
      <c r="N289" s="4" t="s">
        <v>1043</v>
      </c>
      <c r="O289" s="4"/>
      <c r="P289" s="3"/>
      <c r="Q289" s="4"/>
      <c r="R289" s="4"/>
      <c r="S289" s="3"/>
      <c r="T289" s="3"/>
      <c r="U289" s="3"/>
      <c r="V289" s="3"/>
      <c r="W289" s="1773"/>
      <c r="X289" s="1608"/>
      <c r="Y289" s="1609"/>
      <c r="Z289" s="1609"/>
      <c r="AA289" s="1609"/>
      <c r="AB289" s="1609"/>
      <c r="AC289" s="1609"/>
      <c r="AD289" s="1366"/>
      <c r="AE289" s="1366"/>
      <c r="AF289" s="1366"/>
      <c r="AG289" s="1366"/>
      <c r="AH289" s="1366"/>
      <c r="AI289" s="1366"/>
      <c r="AJ289" s="1366"/>
      <c r="AK289" s="1366"/>
      <c r="AL289" s="1366"/>
      <c r="AM289" s="1366"/>
      <c r="AN289" s="1366"/>
      <c r="AO289" s="1366"/>
      <c r="AP289" s="1366"/>
    </row>
    <row r="290" spans="1:42" ht="14.5">
      <c r="A290" s="1693">
        <v>228</v>
      </c>
      <c r="B290" s="616">
        <v>1</v>
      </c>
      <c r="C290" s="1693">
        <v>231</v>
      </c>
      <c r="D290" s="616">
        <v>1</v>
      </c>
      <c r="E290" s="1693">
        <v>263</v>
      </c>
      <c r="F290" s="616">
        <v>1</v>
      </c>
      <c r="G290" s="1693">
        <v>290</v>
      </c>
      <c r="H290" s="616">
        <v>1</v>
      </c>
      <c r="J290" s="709" t="s">
        <v>512</v>
      </c>
      <c r="K290" s="1764" t="s">
        <v>1216</v>
      </c>
      <c r="L290" s="4"/>
      <c r="M290" s="4"/>
      <c r="N290" s="4"/>
      <c r="O290" s="253" t="s">
        <v>0</v>
      </c>
      <c r="P290" s="595"/>
      <c r="Q290" s="867"/>
      <c r="R290" s="867"/>
      <c r="S290" s="595"/>
      <c r="T290" s="595"/>
      <c r="U290" s="2047" t="s">
        <v>302</v>
      </c>
      <c r="V290" s="595"/>
      <c r="W290" s="1798"/>
      <c r="X290" s="2048">
        <v>0</v>
      </c>
      <c r="Y290" s="2049">
        <v>0</v>
      </c>
      <c r="Z290" s="2049">
        <v>0</v>
      </c>
      <c r="AA290" s="2049">
        <v>0</v>
      </c>
      <c r="AB290" s="2049">
        <v>0</v>
      </c>
      <c r="AC290" s="2049">
        <v>0</v>
      </c>
      <c r="AD290" s="2049">
        <v>0</v>
      </c>
      <c r="AE290" s="2049">
        <v>0</v>
      </c>
      <c r="AF290" s="2049">
        <v>0</v>
      </c>
      <c r="AG290" s="2049">
        <v>0</v>
      </c>
      <c r="AH290" s="2049">
        <v>0</v>
      </c>
      <c r="AI290" s="2049">
        <v>0</v>
      </c>
      <c r="AJ290" s="2050">
        <v>0</v>
      </c>
      <c r="AK290" s="2050">
        <v>0</v>
      </c>
      <c r="AL290" s="2050">
        <v>0</v>
      </c>
      <c r="AM290" s="2050">
        <v>0</v>
      </c>
      <c r="AN290" s="2050">
        <v>0</v>
      </c>
      <c r="AO290" s="2050">
        <v>0</v>
      </c>
      <c r="AP290" s="2050">
        <v>0</v>
      </c>
    </row>
    <row r="291" spans="1:42" ht="14.5">
      <c r="A291" s="1693">
        <v>1</v>
      </c>
      <c r="B291" s="616">
        <v>1</v>
      </c>
      <c r="C291" s="1693">
        <v>232</v>
      </c>
      <c r="D291" s="616">
        <v>1</v>
      </c>
      <c r="E291" s="1693">
        <v>264</v>
      </c>
      <c r="F291" s="616">
        <v>1</v>
      </c>
      <c r="G291" s="1693">
        <v>291</v>
      </c>
      <c r="H291" s="616">
        <v>1</v>
      </c>
      <c r="J291" s="709" t="s">
        <v>512</v>
      </c>
      <c r="K291" s="1764" t="s">
        <v>1216</v>
      </c>
      <c r="L291" s="4"/>
      <c r="M291" s="4"/>
      <c r="N291" s="4"/>
      <c r="O291" s="27"/>
      <c r="P291" s="3"/>
      <c r="Q291" s="4"/>
      <c r="R291" s="301" t="s">
        <v>1044</v>
      </c>
      <c r="S291" s="301"/>
      <c r="T291" s="301"/>
      <c r="U291" s="301"/>
      <c r="V291" s="301"/>
      <c r="W291" s="1799"/>
      <c r="X291" s="2051">
        <v>0</v>
      </c>
      <c r="Y291" s="2052">
        <v>0</v>
      </c>
      <c r="Z291" s="2052">
        <v>0</v>
      </c>
      <c r="AA291" s="2052">
        <v>0</v>
      </c>
      <c r="AB291" s="2052">
        <v>0</v>
      </c>
      <c r="AC291" s="2052">
        <v>0</v>
      </c>
      <c r="AD291" s="2052">
        <v>0</v>
      </c>
      <c r="AE291" s="2052">
        <v>0</v>
      </c>
      <c r="AF291" s="2052">
        <v>0</v>
      </c>
      <c r="AG291" s="2052">
        <v>0</v>
      </c>
      <c r="AH291" s="2052">
        <v>0</v>
      </c>
      <c r="AI291" s="2052">
        <v>0</v>
      </c>
      <c r="AJ291" s="2042">
        <v>0</v>
      </c>
      <c r="AK291" s="2042">
        <v>0</v>
      </c>
      <c r="AL291" s="2042">
        <v>0</v>
      </c>
      <c r="AM291" s="2042">
        <v>0</v>
      </c>
      <c r="AN291" s="2042">
        <v>0</v>
      </c>
      <c r="AO291" s="2042">
        <v>0</v>
      </c>
      <c r="AP291" s="2042">
        <v>0</v>
      </c>
    </row>
    <row r="292" spans="1:42" ht="15" customHeight="1">
      <c r="A292" s="1693">
        <v>229</v>
      </c>
      <c r="B292" s="616">
        <v>1</v>
      </c>
      <c r="C292" s="1693">
        <v>233</v>
      </c>
      <c r="D292" s="616">
        <v>1</v>
      </c>
      <c r="E292" s="1693">
        <v>265</v>
      </c>
      <c r="F292" s="616">
        <v>1</v>
      </c>
      <c r="G292" s="1693">
        <v>292</v>
      </c>
      <c r="H292" s="616">
        <v>1</v>
      </c>
      <c r="J292" s="709" t="s">
        <v>512</v>
      </c>
      <c r="K292" s="1764" t="s">
        <v>1216</v>
      </c>
      <c r="L292" s="4"/>
      <c r="M292" s="4"/>
      <c r="N292" s="4"/>
      <c r="O292" s="27"/>
      <c r="P292" s="3"/>
      <c r="Q292" s="4"/>
      <c r="R292" s="4"/>
      <c r="S292" s="3" t="s">
        <v>11</v>
      </c>
      <c r="T292" s="3"/>
      <c r="U292" s="3"/>
      <c r="V292" s="3"/>
      <c r="W292" s="1800"/>
      <c r="X292" s="2053"/>
      <c r="Y292" s="2004"/>
      <c r="Z292" s="2004"/>
      <c r="AA292" s="2004"/>
      <c r="AB292" s="2004"/>
      <c r="AC292" s="2004"/>
      <c r="AD292" s="2004"/>
      <c r="AE292" s="2004"/>
      <c r="AF292" s="2004"/>
      <c r="AG292" s="2004"/>
      <c r="AH292" s="2004"/>
      <c r="AI292" s="2004"/>
      <c r="AJ292" s="2002">
        <v>0</v>
      </c>
      <c r="AK292" s="2002">
        <v>0</v>
      </c>
      <c r="AL292" s="2002">
        <v>0</v>
      </c>
      <c r="AM292" s="2002">
        <v>0</v>
      </c>
      <c r="AN292" s="2002">
        <v>0</v>
      </c>
      <c r="AO292" s="2002">
        <v>0</v>
      </c>
      <c r="AP292" s="2002">
        <v>0</v>
      </c>
    </row>
    <row r="293" spans="1:42" ht="15" customHeight="1">
      <c r="A293" s="1693">
        <v>230</v>
      </c>
      <c r="B293" s="616">
        <v>1</v>
      </c>
      <c r="C293" s="1693">
        <v>234</v>
      </c>
      <c r="D293" s="616">
        <v>1</v>
      </c>
      <c r="E293" s="1693">
        <v>266</v>
      </c>
      <c r="F293" s="616">
        <v>1</v>
      </c>
      <c r="G293" s="1693">
        <v>293</v>
      </c>
      <c r="H293" s="616">
        <v>1</v>
      </c>
      <c r="J293" s="709" t="s">
        <v>512</v>
      </c>
      <c r="K293" s="1764" t="s">
        <v>1216</v>
      </c>
      <c r="L293" s="4"/>
      <c r="M293" s="4"/>
      <c r="N293" s="4"/>
      <c r="O293" s="27"/>
      <c r="P293" s="3"/>
      <c r="Q293" s="4"/>
      <c r="R293" s="4"/>
      <c r="S293" s="3" t="s">
        <v>12</v>
      </c>
      <c r="T293" s="3"/>
      <c r="U293" s="3"/>
      <c r="V293" s="3"/>
      <c r="W293" s="1800"/>
      <c r="X293" s="2053"/>
      <c r="Y293" s="2004"/>
      <c r="Z293" s="2004"/>
      <c r="AA293" s="2004"/>
      <c r="AB293" s="2004"/>
      <c r="AC293" s="2004"/>
      <c r="AD293" s="2004"/>
      <c r="AE293" s="2004"/>
      <c r="AF293" s="2004"/>
      <c r="AG293" s="2004"/>
      <c r="AH293" s="2004"/>
      <c r="AI293" s="2004"/>
      <c r="AJ293" s="2002">
        <v>0</v>
      </c>
      <c r="AK293" s="2002">
        <v>0</v>
      </c>
      <c r="AL293" s="2002">
        <v>0</v>
      </c>
      <c r="AM293" s="2002">
        <v>0</v>
      </c>
      <c r="AN293" s="2002">
        <v>0</v>
      </c>
      <c r="AO293" s="2002">
        <v>0</v>
      </c>
      <c r="AP293" s="2002">
        <v>0</v>
      </c>
    </row>
    <row r="294" spans="1:42" ht="15" customHeight="1">
      <c r="A294" s="1693">
        <v>231</v>
      </c>
      <c r="B294" s="616">
        <v>1</v>
      </c>
      <c r="C294" s="1693">
        <v>235</v>
      </c>
      <c r="D294" s="616">
        <v>1</v>
      </c>
      <c r="E294" s="1693">
        <v>267</v>
      </c>
      <c r="F294" s="616">
        <v>1</v>
      </c>
      <c r="G294" s="1693">
        <v>294</v>
      </c>
      <c r="H294" s="616">
        <v>1</v>
      </c>
      <c r="J294" s="709" t="s">
        <v>512</v>
      </c>
      <c r="K294" s="1764" t="s">
        <v>1216</v>
      </c>
      <c r="L294" s="4"/>
      <c r="M294" s="4"/>
      <c r="N294" s="4"/>
      <c r="O294" s="27"/>
      <c r="P294" s="3"/>
      <c r="Q294" s="4"/>
      <c r="R294" s="48"/>
      <c r="S294" s="47" t="s">
        <v>24</v>
      </c>
      <c r="T294" s="47"/>
      <c r="U294" s="47"/>
      <c r="V294" s="47"/>
      <c r="W294" s="1800"/>
      <c r="X294" s="2054"/>
      <c r="Y294" s="2014"/>
      <c r="Z294" s="2014"/>
      <c r="AA294" s="2014"/>
      <c r="AB294" s="2014"/>
      <c r="AC294" s="2014"/>
      <c r="AD294" s="2014"/>
      <c r="AE294" s="2014"/>
      <c r="AF294" s="2014"/>
      <c r="AG294" s="2014"/>
      <c r="AH294" s="2014"/>
      <c r="AI294" s="2014"/>
      <c r="AJ294" s="2012">
        <v>0</v>
      </c>
      <c r="AK294" s="2012">
        <v>0</v>
      </c>
      <c r="AL294" s="2012">
        <v>0</v>
      </c>
      <c r="AM294" s="2012">
        <v>0</v>
      </c>
      <c r="AN294" s="2012">
        <v>0</v>
      </c>
      <c r="AO294" s="2012">
        <v>0</v>
      </c>
      <c r="AP294" s="2012">
        <v>0</v>
      </c>
    </row>
    <row r="295" spans="1:42" ht="15" customHeight="1">
      <c r="A295" s="1693">
        <v>1</v>
      </c>
      <c r="B295" s="616">
        <v>1</v>
      </c>
      <c r="C295" s="1693">
        <v>236</v>
      </c>
      <c r="D295" s="616">
        <v>1</v>
      </c>
      <c r="E295" s="1693">
        <v>268</v>
      </c>
      <c r="F295" s="616">
        <v>1</v>
      </c>
      <c r="G295" s="1693">
        <v>295</v>
      </c>
      <c r="H295" s="616">
        <v>1</v>
      </c>
      <c r="J295" s="709" t="s">
        <v>512</v>
      </c>
      <c r="K295" s="1764" t="s">
        <v>1216</v>
      </c>
      <c r="L295" s="4"/>
      <c r="M295" s="4"/>
      <c r="N295" s="4"/>
      <c r="O295" s="27"/>
      <c r="P295" s="3"/>
      <c r="Q295" s="4"/>
      <c r="R295" s="301" t="s">
        <v>1045</v>
      </c>
      <c r="S295" s="301"/>
      <c r="T295" s="301"/>
      <c r="U295" s="301"/>
      <c r="V295" s="301"/>
      <c r="W295" s="1799"/>
      <c r="X295" s="2051">
        <v>0</v>
      </c>
      <c r="Y295" s="2052">
        <v>0</v>
      </c>
      <c r="Z295" s="2052">
        <v>0</v>
      </c>
      <c r="AA295" s="2052">
        <v>0</v>
      </c>
      <c r="AB295" s="2052">
        <v>0</v>
      </c>
      <c r="AC295" s="2052">
        <v>0</v>
      </c>
      <c r="AD295" s="2052">
        <v>0</v>
      </c>
      <c r="AE295" s="2052">
        <v>0</v>
      </c>
      <c r="AF295" s="2052">
        <v>0</v>
      </c>
      <c r="AG295" s="2052">
        <v>0</v>
      </c>
      <c r="AH295" s="2052">
        <v>0</v>
      </c>
      <c r="AI295" s="2052">
        <v>0</v>
      </c>
      <c r="AJ295" s="2042">
        <v>0</v>
      </c>
      <c r="AK295" s="2042">
        <v>0</v>
      </c>
      <c r="AL295" s="2042">
        <v>0</v>
      </c>
      <c r="AM295" s="2042">
        <v>0</v>
      </c>
      <c r="AN295" s="2042">
        <v>0</v>
      </c>
      <c r="AO295" s="2042">
        <v>0</v>
      </c>
      <c r="AP295" s="2042">
        <v>0</v>
      </c>
    </row>
    <row r="296" spans="1:42" ht="15" customHeight="1">
      <c r="A296" s="1693">
        <v>232</v>
      </c>
      <c r="B296" s="616">
        <v>1</v>
      </c>
      <c r="C296" s="1693">
        <v>237</v>
      </c>
      <c r="D296" s="616">
        <v>1</v>
      </c>
      <c r="E296" s="1693">
        <v>269</v>
      </c>
      <c r="F296" s="616">
        <v>1</v>
      </c>
      <c r="G296" s="1693">
        <v>296</v>
      </c>
      <c r="H296" s="616">
        <v>1</v>
      </c>
      <c r="J296" s="709" t="s">
        <v>512</v>
      </c>
      <c r="K296" s="1764" t="s">
        <v>1216</v>
      </c>
      <c r="L296" s="4"/>
      <c r="M296" s="4"/>
      <c r="N296" s="4"/>
      <c r="O296" s="27"/>
      <c r="P296" s="3"/>
      <c r="Q296" s="4"/>
      <c r="R296" s="4"/>
      <c r="S296" s="3" t="s">
        <v>13</v>
      </c>
      <c r="T296" s="3"/>
      <c r="U296" s="3"/>
      <c r="V296" s="3"/>
      <c r="W296" s="1800"/>
      <c r="X296" s="2053"/>
      <c r="Y296" s="2004"/>
      <c r="Z296" s="2004"/>
      <c r="AA296" s="2004"/>
      <c r="AB296" s="2004"/>
      <c r="AC296" s="2004"/>
      <c r="AD296" s="2004"/>
      <c r="AE296" s="2004"/>
      <c r="AF296" s="2004"/>
      <c r="AG296" s="2004"/>
      <c r="AH296" s="2004"/>
      <c r="AI296" s="2004"/>
      <c r="AJ296" s="2002">
        <v>0</v>
      </c>
      <c r="AK296" s="2002">
        <v>0</v>
      </c>
      <c r="AL296" s="2002">
        <v>0</v>
      </c>
      <c r="AM296" s="2002">
        <v>0</v>
      </c>
      <c r="AN296" s="2002">
        <v>0</v>
      </c>
      <c r="AO296" s="2002">
        <v>0</v>
      </c>
      <c r="AP296" s="2002">
        <v>0</v>
      </c>
    </row>
    <row r="297" spans="1:42" ht="15" customHeight="1">
      <c r="A297" s="1693">
        <v>1</v>
      </c>
      <c r="B297" s="616">
        <v>1</v>
      </c>
      <c r="C297" s="1693">
        <v>238</v>
      </c>
      <c r="D297" s="616">
        <v>1</v>
      </c>
      <c r="E297" s="1693">
        <v>270</v>
      </c>
      <c r="F297" s="616">
        <v>1</v>
      </c>
      <c r="G297" s="1693">
        <v>297</v>
      </c>
      <c r="H297" s="616">
        <v>1</v>
      </c>
      <c r="J297" s="709" t="s">
        <v>512</v>
      </c>
      <c r="K297" s="1764" t="s">
        <v>1216</v>
      </c>
      <c r="L297" s="330"/>
      <c r="M297" s="244"/>
      <c r="N297" s="4"/>
      <c r="O297" s="27"/>
      <c r="P297" s="3"/>
      <c r="Q297" s="4"/>
      <c r="R297" s="4"/>
      <c r="S297" s="3" t="s">
        <v>374</v>
      </c>
      <c r="T297" s="3"/>
      <c r="U297" s="3"/>
      <c r="V297" s="3"/>
      <c r="W297" s="1800"/>
      <c r="X297" s="2053"/>
      <c r="Y297" s="2004"/>
      <c r="Z297" s="2004"/>
      <c r="AA297" s="2004"/>
      <c r="AB297" s="2004"/>
      <c r="AC297" s="2004"/>
      <c r="AD297" s="2004"/>
      <c r="AE297" s="2004"/>
      <c r="AF297" s="2004"/>
      <c r="AG297" s="2004"/>
      <c r="AH297" s="2004"/>
      <c r="AI297" s="2004"/>
      <c r="AJ297" s="2002">
        <v>0</v>
      </c>
      <c r="AK297" s="2002">
        <v>0</v>
      </c>
      <c r="AL297" s="2002">
        <v>0</v>
      </c>
      <c r="AM297" s="2002">
        <v>0</v>
      </c>
      <c r="AN297" s="2002">
        <v>0</v>
      </c>
      <c r="AO297" s="2002">
        <v>0</v>
      </c>
      <c r="AP297" s="2002">
        <v>0</v>
      </c>
    </row>
    <row r="298" spans="1:42" ht="15" customHeight="1">
      <c r="A298" s="1693">
        <v>1</v>
      </c>
      <c r="B298" s="616">
        <v>1</v>
      </c>
      <c r="C298" s="1693">
        <v>239</v>
      </c>
      <c r="D298" s="616">
        <v>1</v>
      </c>
      <c r="E298" s="1693">
        <v>271</v>
      </c>
      <c r="F298" s="616">
        <v>1</v>
      </c>
      <c r="G298" s="1693">
        <v>298</v>
      </c>
      <c r="H298" s="616">
        <v>1</v>
      </c>
      <c r="J298" s="709" t="s">
        <v>512</v>
      </c>
      <c r="K298" s="1764" t="s">
        <v>1216</v>
      </c>
      <c r="L298" s="330"/>
      <c r="M298" s="244"/>
      <c r="N298" s="4"/>
      <c r="O298" s="27"/>
      <c r="P298" s="3"/>
      <c r="Q298" s="4"/>
      <c r="R298" s="4"/>
      <c r="S298" s="3" t="s">
        <v>375</v>
      </c>
      <c r="T298" s="3"/>
      <c r="U298" s="3"/>
      <c r="V298" s="3"/>
      <c r="W298" s="1800"/>
      <c r="X298" s="2053"/>
      <c r="Y298" s="2004"/>
      <c r="Z298" s="2004"/>
      <c r="AA298" s="2004"/>
      <c r="AB298" s="2004"/>
      <c r="AC298" s="2004"/>
      <c r="AD298" s="2004"/>
      <c r="AE298" s="2004"/>
      <c r="AF298" s="2004"/>
      <c r="AG298" s="2004"/>
      <c r="AH298" s="2004"/>
      <c r="AI298" s="2004"/>
      <c r="AJ298" s="2002">
        <v>0</v>
      </c>
      <c r="AK298" s="2002">
        <v>0</v>
      </c>
      <c r="AL298" s="2002">
        <v>0</v>
      </c>
      <c r="AM298" s="2002">
        <v>0</v>
      </c>
      <c r="AN298" s="2002">
        <v>0</v>
      </c>
      <c r="AO298" s="2002">
        <v>0</v>
      </c>
      <c r="AP298" s="2002">
        <v>0</v>
      </c>
    </row>
    <row r="299" spans="1:42" ht="15" customHeight="1">
      <c r="A299" s="1693">
        <v>1</v>
      </c>
      <c r="B299" s="616">
        <v>1</v>
      </c>
      <c r="C299" s="1693">
        <v>240</v>
      </c>
      <c r="D299" s="616">
        <v>1</v>
      </c>
      <c r="E299" s="1693">
        <v>272</v>
      </c>
      <c r="F299" s="616">
        <v>1</v>
      </c>
      <c r="G299" s="1693">
        <v>299</v>
      </c>
      <c r="H299" s="616">
        <v>1</v>
      </c>
      <c r="J299" s="709" t="s">
        <v>512</v>
      </c>
      <c r="K299" s="1764" t="s">
        <v>1216</v>
      </c>
      <c r="L299" s="330"/>
      <c r="M299" s="244"/>
      <c r="N299" s="4"/>
      <c r="O299" s="27"/>
      <c r="P299" s="3"/>
      <c r="Q299" s="4"/>
      <c r="R299" s="4"/>
      <c r="S299" s="3" t="s">
        <v>376</v>
      </c>
      <c r="T299" s="3"/>
      <c r="U299" s="3"/>
      <c r="V299" s="3"/>
      <c r="W299" s="1800"/>
      <c r="X299" s="2053"/>
      <c r="Y299" s="2004"/>
      <c r="Z299" s="2004"/>
      <c r="AA299" s="2004"/>
      <c r="AB299" s="2004"/>
      <c r="AC299" s="2004"/>
      <c r="AD299" s="2004"/>
      <c r="AE299" s="2004"/>
      <c r="AF299" s="2004"/>
      <c r="AG299" s="2004"/>
      <c r="AH299" s="2004"/>
      <c r="AI299" s="2004"/>
      <c r="AJ299" s="2002">
        <v>0</v>
      </c>
      <c r="AK299" s="2002">
        <v>0</v>
      </c>
      <c r="AL299" s="2002">
        <v>0</v>
      </c>
      <c r="AM299" s="2002">
        <v>0</v>
      </c>
      <c r="AN299" s="2002">
        <v>0</v>
      </c>
      <c r="AO299" s="2002">
        <v>0</v>
      </c>
      <c r="AP299" s="2002">
        <v>0</v>
      </c>
    </row>
    <row r="300" spans="1:42" ht="14.5">
      <c r="A300" s="1693">
        <v>233</v>
      </c>
      <c r="B300" s="616">
        <v>1</v>
      </c>
      <c r="C300" s="1693">
        <v>241</v>
      </c>
      <c r="D300" s="616">
        <v>1</v>
      </c>
      <c r="E300" s="1693">
        <v>273</v>
      </c>
      <c r="F300" s="616">
        <v>1</v>
      </c>
      <c r="G300" s="1693">
        <v>300</v>
      </c>
      <c r="H300" s="616">
        <v>1</v>
      </c>
      <c r="J300" s="709" t="s">
        <v>512</v>
      </c>
      <c r="K300" s="1764" t="s">
        <v>1216</v>
      </c>
      <c r="L300" s="4"/>
      <c r="M300" s="4"/>
      <c r="N300" s="4"/>
      <c r="O300" s="253" t="s">
        <v>48</v>
      </c>
      <c r="P300" s="595"/>
      <c r="Q300" s="867"/>
      <c r="R300" s="867"/>
      <c r="S300" s="595"/>
      <c r="T300" s="595"/>
      <c r="U300" s="2047" t="s">
        <v>304</v>
      </c>
      <c r="V300" s="595"/>
      <c r="W300" s="1798"/>
      <c r="X300" s="2048">
        <v>0</v>
      </c>
      <c r="Y300" s="2049">
        <v>0</v>
      </c>
      <c r="Z300" s="2049">
        <v>0</v>
      </c>
      <c r="AA300" s="2049">
        <v>0</v>
      </c>
      <c r="AB300" s="2049">
        <v>0</v>
      </c>
      <c r="AC300" s="2049">
        <v>0</v>
      </c>
      <c r="AD300" s="2049">
        <v>0</v>
      </c>
      <c r="AE300" s="2049">
        <v>0</v>
      </c>
      <c r="AF300" s="2049">
        <v>0</v>
      </c>
      <c r="AG300" s="2049">
        <v>0</v>
      </c>
      <c r="AH300" s="2049">
        <v>0</v>
      </c>
      <c r="AI300" s="2049">
        <v>0</v>
      </c>
      <c r="AJ300" s="2050">
        <v>0</v>
      </c>
      <c r="AK300" s="2050">
        <v>0</v>
      </c>
      <c r="AL300" s="2050">
        <v>0</v>
      </c>
      <c r="AM300" s="2050">
        <v>0</v>
      </c>
      <c r="AN300" s="2050">
        <v>0</v>
      </c>
      <c r="AO300" s="2050">
        <v>0</v>
      </c>
      <c r="AP300" s="2050">
        <v>0</v>
      </c>
    </row>
    <row r="301" spans="1:42" ht="14.5">
      <c r="A301" s="1693">
        <v>1</v>
      </c>
      <c r="B301" s="616">
        <v>1</v>
      </c>
      <c r="C301" s="1693">
        <v>242</v>
      </c>
      <c r="D301" s="616">
        <v>1</v>
      </c>
      <c r="E301" s="1693">
        <v>274</v>
      </c>
      <c r="F301" s="616">
        <v>1</v>
      </c>
      <c r="G301" s="1693">
        <v>301</v>
      </c>
      <c r="H301" s="616">
        <v>1</v>
      </c>
      <c r="J301" s="709" t="s">
        <v>512</v>
      </c>
      <c r="K301" s="1764" t="s">
        <v>1216</v>
      </c>
      <c r="L301" s="4"/>
      <c r="M301" s="4"/>
      <c r="N301" s="4"/>
      <c r="O301" s="27"/>
      <c r="P301" s="3"/>
      <c r="Q301" s="4"/>
      <c r="R301" s="301" t="s">
        <v>1044</v>
      </c>
      <c r="S301" s="301"/>
      <c r="T301" s="301"/>
      <c r="U301" s="301"/>
      <c r="V301" s="301"/>
      <c r="W301" s="1799"/>
      <c r="X301" s="2051">
        <v>0</v>
      </c>
      <c r="Y301" s="2052">
        <v>0</v>
      </c>
      <c r="Z301" s="2052">
        <v>0</v>
      </c>
      <c r="AA301" s="2052">
        <v>0</v>
      </c>
      <c r="AB301" s="2052">
        <v>0</v>
      </c>
      <c r="AC301" s="2052">
        <v>0</v>
      </c>
      <c r="AD301" s="2052">
        <v>0</v>
      </c>
      <c r="AE301" s="2052">
        <v>0</v>
      </c>
      <c r="AF301" s="2052">
        <v>0</v>
      </c>
      <c r="AG301" s="2052">
        <v>0</v>
      </c>
      <c r="AH301" s="2052">
        <v>0</v>
      </c>
      <c r="AI301" s="2052">
        <v>0</v>
      </c>
      <c r="AJ301" s="2042">
        <v>0</v>
      </c>
      <c r="AK301" s="2042">
        <v>0</v>
      </c>
      <c r="AL301" s="2042">
        <v>0</v>
      </c>
      <c r="AM301" s="2042">
        <v>0</v>
      </c>
      <c r="AN301" s="2042">
        <v>0</v>
      </c>
      <c r="AO301" s="2042">
        <v>0</v>
      </c>
      <c r="AP301" s="2042">
        <v>0</v>
      </c>
    </row>
    <row r="302" spans="1:42" ht="15" customHeight="1">
      <c r="A302" s="1693">
        <v>234</v>
      </c>
      <c r="B302" s="616">
        <v>1</v>
      </c>
      <c r="C302" s="1693">
        <v>243</v>
      </c>
      <c r="D302" s="616">
        <v>1</v>
      </c>
      <c r="E302" s="1693">
        <v>275</v>
      </c>
      <c r="F302" s="616">
        <v>1</v>
      </c>
      <c r="G302" s="1693">
        <v>302</v>
      </c>
      <c r="H302" s="616">
        <v>1</v>
      </c>
      <c r="J302" s="709" t="s">
        <v>512</v>
      </c>
      <c r="K302" s="1764" t="s">
        <v>1216</v>
      </c>
      <c r="L302" s="4"/>
      <c r="M302" s="4"/>
      <c r="N302" s="4"/>
      <c r="O302" s="27"/>
      <c r="P302" s="3"/>
      <c r="Q302" s="4"/>
      <c r="R302" s="4"/>
      <c r="S302" s="3" t="s">
        <v>11</v>
      </c>
      <c r="T302" s="3"/>
      <c r="U302" s="3"/>
      <c r="V302" s="3"/>
      <c r="W302" s="1800"/>
      <c r="X302" s="2053"/>
      <c r="Y302" s="2004"/>
      <c r="Z302" s="2004"/>
      <c r="AA302" s="2004"/>
      <c r="AB302" s="2004"/>
      <c r="AC302" s="2004"/>
      <c r="AD302" s="2004"/>
      <c r="AE302" s="2004"/>
      <c r="AF302" s="2004"/>
      <c r="AG302" s="2004"/>
      <c r="AH302" s="2004"/>
      <c r="AI302" s="2004"/>
      <c r="AJ302" s="2002">
        <v>0</v>
      </c>
      <c r="AK302" s="2002">
        <v>0</v>
      </c>
      <c r="AL302" s="2002">
        <v>0</v>
      </c>
      <c r="AM302" s="2002">
        <v>0</v>
      </c>
      <c r="AN302" s="2002">
        <v>0</v>
      </c>
      <c r="AO302" s="2002">
        <v>0</v>
      </c>
      <c r="AP302" s="2002">
        <v>0</v>
      </c>
    </row>
    <row r="303" spans="1:42" ht="15" customHeight="1">
      <c r="A303" s="1693">
        <v>235</v>
      </c>
      <c r="B303" s="616">
        <v>1</v>
      </c>
      <c r="C303" s="1693">
        <v>244</v>
      </c>
      <c r="D303" s="616">
        <v>1</v>
      </c>
      <c r="E303" s="1693">
        <v>276</v>
      </c>
      <c r="F303" s="616">
        <v>1</v>
      </c>
      <c r="G303" s="1693">
        <v>303</v>
      </c>
      <c r="H303" s="616">
        <v>1</v>
      </c>
      <c r="J303" s="709" t="s">
        <v>512</v>
      </c>
      <c r="K303" s="1764" t="s">
        <v>1216</v>
      </c>
      <c r="L303" s="4"/>
      <c r="M303" s="4"/>
      <c r="N303" s="4"/>
      <c r="O303" s="27"/>
      <c r="P303" s="3"/>
      <c r="Q303" s="4"/>
      <c r="R303" s="4"/>
      <c r="S303" s="3" t="s">
        <v>12</v>
      </c>
      <c r="T303" s="3"/>
      <c r="U303" s="3"/>
      <c r="V303" s="3"/>
      <c r="W303" s="1800"/>
      <c r="X303" s="2053"/>
      <c r="Y303" s="2004"/>
      <c r="Z303" s="2004"/>
      <c r="AA303" s="2004"/>
      <c r="AB303" s="2004"/>
      <c r="AC303" s="2004"/>
      <c r="AD303" s="2004"/>
      <c r="AE303" s="2004"/>
      <c r="AF303" s="2004"/>
      <c r="AG303" s="2004"/>
      <c r="AH303" s="2004"/>
      <c r="AI303" s="2004"/>
      <c r="AJ303" s="2002">
        <v>0</v>
      </c>
      <c r="AK303" s="2002">
        <v>0</v>
      </c>
      <c r="AL303" s="2002">
        <v>0</v>
      </c>
      <c r="AM303" s="2002">
        <v>0</v>
      </c>
      <c r="AN303" s="2002">
        <v>0</v>
      </c>
      <c r="AO303" s="2002">
        <v>0</v>
      </c>
      <c r="AP303" s="2002">
        <v>0</v>
      </c>
    </row>
    <row r="304" spans="1:42" ht="15" customHeight="1">
      <c r="A304" s="1693">
        <v>236</v>
      </c>
      <c r="B304" s="616">
        <v>1</v>
      </c>
      <c r="C304" s="1693">
        <v>245</v>
      </c>
      <c r="D304" s="616">
        <v>1</v>
      </c>
      <c r="E304" s="1693">
        <v>277</v>
      </c>
      <c r="F304" s="616">
        <v>1</v>
      </c>
      <c r="G304" s="1693">
        <v>304</v>
      </c>
      <c r="H304" s="616">
        <v>1</v>
      </c>
      <c r="J304" s="709" t="s">
        <v>512</v>
      </c>
      <c r="K304" s="1764" t="s">
        <v>1216</v>
      </c>
      <c r="L304" s="4"/>
      <c r="M304" s="4"/>
      <c r="N304" s="4"/>
      <c r="O304" s="27"/>
      <c r="P304" s="3"/>
      <c r="Q304" s="4"/>
      <c r="R304" s="48"/>
      <c r="S304" s="47" t="s">
        <v>24</v>
      </c>
      <c r="T304" s="47"/>
      <c r="U304" s="47"/>
      <c r="V304" s="47"/>
      <c r="W304" s="1800"/>
      <c r="X304" s="2054"/>
      <c r="Y304" s="2014"/>
      <c r="Z304" s="2014"/>
      <c r="AA304" s="2014"/>
      <c r="AB304" s="2014"/>
      <c r="AC304" s="2014"/>
      <c r="AD304" s="2014"/>
      <c r="AE304" s="2014"/>
      <c r="AF304" s="2014"/>
      <c r="AG304" s="2014"/>
      <c r="AH304" s="2014"/>
      <c r="AI304" s="2014"/>
      <c r="AJ304" s="2012">
        <v>0</v>
      </c>
      <c r="AK304" s="2012">
        <v>0</v>
      </c>
      <c r="AL304" s="2012">
        <v>0</v>
      </c>
      <c r="AM304" s="2012">
        <v>0</v>
      </c>
      <c r="AN304" s="2012">
        <v>0</v>
      </c>
      <c r="AO304" s="2012">
        <v>0</v>
      </c>
      <c r="AP304" s="2012">
        <v>0</v>
      </c>
    </row>
    <row r="305" spans="1:42" ht="15" customHeight="1">
      <c r="A305" s="1693">
        <v>1</v>
      </c>
      <c r="B305" s="616">
        <v>1</v>
      </c>
      <c r="C305" s="1693">
        <v>246</v>
      </c>
      <c r="D305" s="616">
        <v>1</v>
      </c>
      <c r="E305" s="1693">
        <v>278</v>
      </c>
      <c r="F305" s="616">
        <v>1</v>
      </c>
      <c r="G305" s="1693">
        <v>305</v>
      </c>
      <c r="H305" s="616">
        <v>1</v>
      </c>
      <c r="J305" s="709" t="s">
        <v>512</v>
      </c>
      <c r="K305" s="1764" t="s">
        <v>1216</v>
      </c>
      <c r="L305" s="4"/>
      <c r="M305" s="4"/>
      <c r="N305" s="4"/>
      <c r="O305" s="27"/>
      <c r="P305" s="3"/>
      <c r="Q305" s="4"/>
      <c r="R305" s="301" t="s">
        <v>1045</v>
      </c>
      <c r="S305" s="301"/>
      <c r="T305" s="301"/>
      <c r="U305" s="301"/>
      <c r="V305" s="301"/>
      <c r="W305" s="1799"/>
      <c r="X305" s="2051">
        <v>0</v>
      </c>
      <c r="Y305" s="2052">
        <v>0</v>
      </c>
      <c r="Z305" s="2052">
        <v>0</v>
      </c>
      <c r="AA305" s="2052">
        <v>0</v>
      </c>
      <c r="AB305" s="2052">
        <v>0</v>
      </c>
      <c r="AC305" s="2052">
        <v>0</v>
      </c>
      <c r="AD305" s="2052">
        <v>0</v>
      </c>
      <c r="AE305" s="2052">
        <v>0</v>
      </c>
      <c r="AF305" s="2052">
        <v>0</v>
      </c>
      <c r="AG305" s="2052">
        <v>0</v>
      </c>
      <c r="AH305" s="2052">
        <v>0</v>
      </c>
      <c r="AI305" s="2052">
        <v>0</v>
      </c>
      <c r="AJ305" s="2042">
        <v>0</v>
      </c>
      <c r="AK305" s="2042">
        <v>0</v>
      </c>
      <c r="AL305" s="2042">
        <v>0</v>
      </c>
      <c r="AM305" s="2042">
        <v>0</v>
      </c>
      <c r="AN305" s="2042">
        <v>0</v>
      </c>
      <c r="AO305" s="2042">
        <v>0</v>
      </c>
      <c r="AP305" s="2042">
        <v>0</v>
      </c>
    </row>
    <row r="306" spans="1:42" ht="15" customHeight="1">
      <c r="A306" s="1693">
        <v>237</v>
      </c>
      <c r="B306" s="616">
        <v>1</v>
      </c>
      <c r="C306" s="1693">
        <v>247</v>
      </c>
      <c r="D306" s="616">
        <v>1</v>
      </c>
      <c r="E306" s="1693">
        <v>279</v>
      </c>
      <c r="F306" s="616">
        <v>1</v>
      </c>
      <c r="G306" s="1693">
        <v>306</v>
      </c>
      <c r="H306" s="616">
        <v>1</v>
      </c>
      <c r="J306" s="709" t="s">
        <v>512</v>
      </c>
      <c r="K306" s="1764" t="s">
        <v>1216</v>
      </c>
      <c r="L306" s="4"/>
      <c r="M306" s="4"/>
      <c r="N306" s="4"/>
      <c r="O306" s="27"/>
      <c r="P306" s="3"/>
      <c r="Q306" s="4"/>
      <c r="R306" s="4"/>
      <c r="S306" s="3" t="s">
        <v>13</v>
      </c>
      <c r="T306" s="3"/>
      <c r="U306" s="3"/>
      <c r="V306" s="3"/>
      <c r="W306" s="1800"/>
      <c r="X306" s="2053"/>
      <c r="Y306" s="2004"/>
      <c r="Z306" s="2004"/>
      <c r="AA306" s="2004"/>
      <c r="AB306" s="2004"/>
      <c r="AC306" s="2004"/>
      <c r="AD306" s="2004"/>
      <c r="AE306" s="2004"/>
      <c r="AF306" s="2004"/>
      <c r="AG306" s="2004"/>
      <c r="AH306" s="2004"/>
      <c r="AI306" s="2004"/>
      <c r="AJ306" s="2002">
        <v>0</v>
      </c>
      <c r="AK306" s="2002">
        <v>0</v>
      </c>
      <c r="AL306" s="2002">
        <v>0</v>
      </c>
      <c r="AM306" s="2002">
        <v>0</v>
      </c>
      <c r="AN306" s="2002">
        <v>0</v>
      </c>
      <c r="AO306" s="2002">
        <v>0</v>
      </c>
      <c r="AP306" s="2002">
        <v>0</v>
      </c>
    </row>
    <row r="307" spans="1:42" ht="15" customHeight="1">
      <c r="A307" s="1693">
        <v>1</v>
      </c>
      <c r="B307" s="616">
        <v>1</v>
      </c>
      <c r="C307" s="1693">
        <v>248</v>
      </c>
      <c r="D307" s="616">
        <v>1</v>
      </c>
      <c r="E307" s="1693">
        <v>280</v>
      </c>
      <c r="F307" s="616">
        <v>1</v>
      </c>
      <c r="G307" s="1693">
        <v>307</v>
      </c>
      <c r="H307" s="616">
        <v>1</v>
      </c>
      <c r="J307" s="709" t="s">
        <v>512</v>
      </c>
      <c r="K307" s="1764" t="s">
        <v>1216</v>
      </c>
      <c r="L307" s="330"/>
      <c r="M307" s="244"/>
      <c r="N307" s="4"/>
      <c r="O307" s="27"/>
      <c r="P307" s="3"/>
      <c r="Q307" s="4"/>
      <c r="R307" s="4"/>
      <c r="S307" s="3" t="s">
        <v>374</v>
      </c>
      <c r="T307" s="3"/>
      <c r="U307" s="3"/>
      <c r="V307" s="3"/>
      <c r="W307" s="1800"/>
      <c r="X307" s="2053"/>
      <c r="Y307" s="2004"/>
      <c r="Z307" s="2004"/>
      <c r="AA307" s="2004"/>
      <c r="AB307" s="2004"/>
      <c r="AC307" s="2004"/>
      <c r="AD307" s="2004"/>
      <c r="AE307" s="2004"/>
      <c r="AF307" s="2004"/>
      <c r="AG307" s="2004"/>
      <c r="AH307" s="2004"/>
      <c r="AI307" s="2004"/>
      <c r="AJ307" s="2002">
        <v>0</v>
      </c>
      <c r="AK307" s="2002">
        <v>0</v>
      </c>
      <c r="AL307" s="2002">
        <v>0</v>
      </c>
      <c r="AM307" s="2002">
        <v>0</v>
      </c>
      <c r="AN307" s="2002">
        <v>0</v>
      </c>
      <c r="AO307" s="2002">
        <v>0</v>
      </c>
      <c r="AP307" s="2002">
        <v>0</v>
      </c>
    </row>
    <row r="308" spans="1:42" ht="15" customHeight="1">
      <c r="A308" s="1693">
        <v>1</v>
      </c>
      <c r="B308" s="616">
        <v>1</v>
      </c>
      <c r="C308" s="1693">
        <v>249</v>
      </c>
      <c r="D308" s="616">
        <v>1</v>
      </c>
      <c r="E308" s="1693">
        <v>281</v>
      </c>
      <c r="F308" s="616">
        <v>1</v>
      </c>
      <c r="G308" s="1693">
        <v>308</v>
      </c>
      <c r="H308" s="616">
        <v>1</v>
      </c>
      <c r="J308" s="709" t="s">
        <v>512</v>
      </c>
      <c r="K308" s="1764" t="s">
        <v>1216</v>
      </c>
      <c r="L308" s="330"/>
      <c r="M308" s="244"/>
      <c r="N308" s="4"/>
      <c r="O308" s="27"/>
      <c r="P308" s="3"/>
      <c r="Q308" s="4"/>
      <c r="R308" s="4"/>
      <c r="S308" s="3" t="s">
        <v>375</v>
      </c>
      <c r="T308" s="3"/>
      <c r="U308" s="3"/>
      <c r="V308" s="3"/>
      <c r="W308" s="1800"/>
      <c r="X308" s="2053"/>
      <c r="Y308" s="2004"/>
      <c r="Z308" s="2004"/>
      <c r="AA308" s="2004"/>
      <c r="AB308" s="2004"/>
      <c r="AC308" s="2004"/>
      <c r="AD308" s="2004"/>
      <c r="AE308" s="2004"/>
      <c r="AF308" s="2004"/>
      <c r="AG308" s="2004"/>
      <c r="AH308" s="2004"/>
      <c r="AI308" s="2004"/>
      <c r="AJ308" s="2002">
        <v>0</v>
      </c>
      <c r="AK308" s="2002">
        <v>0</v>
      </c>
      <c r="AL308" s="2002">
        <v>0</v>
      </c>
      <c r="AM308" s="2002">
        <v>0</v>
      </c>
      <c r="AN308" s="2002">
        <v>0</v>
      </c>
      <c r="AO308" s="2002">
        <v>0</v>
      </c>
      <c r="AP308" s="2002">
        <v>0</v>
      </c>
    </row>
    <row r="309" spans="1:42" ht="15" customHeight="1">
      <c r="A309" s="1693">
        <v>1</v>
      </c>
      <c r="B309" s="616">
        <v>1</v>
      </c>
      <c r="C309" s="1693">
        <v>250</v>
      </c>
      <c r="D309" s="616">
        <v>1</v>
      </c>
      <c r="E309" s="1693">
        <v>282</v>
      </c>
      <c r="F309" s="616">
        <v>1</v>
      </c>
      <c r="G309" s="1693">
        <v>309</v>
      </c>
      <c r="H309" s="616">
        <v>1</v>
      </c>
      <c r="J309" s="709" t="s">
        <v>512</v>
      </c>
      <c r="K309" s="1764" t="s">
        <v>1216</v>
      </c>
      <c r="L309" s="330"/>
      <c r="M309" s="244"/>
      <c r="N309" s="4"/>
      <c r="O309" s="27"/>
      <c r="P309" s="3"/>
      <c r="Q309" s="4"/>
      <c r="R309" s="4"/>
      <c r="S309" s="3" t="s">
        <v>376</v>
      </c>
      <c r="T309" s="3"/>
      <c r="U309" s="3"/>
      <c r="V309" s="3"/>
      <c r="W309" s="1800"/>
      <c r="X309" s="2053"/>
      <c r="Y309" s="2004"/>
      <c r="Z309" s="2004"/>
      <c r="AA309" s="2004"/>
      <c r="AB309" s="2004"/>
      <c r="AC309" s="2004"/>
      <c r="AD309" s="2004"/>
      <c r="AE309" s="2004"/>
      <c r="AF309" s="2004"/>
      <c r="AG309" s="2004"/>
      <c r="AH309" s="2004"/>
      <c r="AI309" s="2004"/>
      <c r="AJ309" s="2002">
        <v>0</v>
      </c>
      <c r="AK309" s="2002">
        <v>0</v>
      </c>
      <c r="AL309" s="2002">
        <v>0</v>
      </c>
      <c r="AM309" s="2002">
        <v>0</v>
      </c>
      <c r="AN309" s="2002">
        <v>0</v>
      </c>
      <c r="AO309" s="2002">
        <v>0</v>
      </c>
      <c r="AP309" s="2002">
        <v>0</v>
      </c>
    </row>
    <row r="310" spans="1:42" ht="14.5">
      <c r="A310" s="1693">
        <v>238</v>
      </c>
      <c r="B310" s="616">
        <v>1</v>
      </c>
      <c r="C310" s="1693">
        <v>251</v>
      </c>
      <c r="D310" s="616">
        <v>1</v>
      </c>
      <c r="E310" s="1693">
        <v>283</v>
      </c>
      <c r="F310" s="616">
        <v>1</v>
      </c>
      <c r="G310" s="1693">
        <v>310</v>
      </c>
      <c r="H310" s="616">
        <v>1</v>
      </c>
      <c r="J310" s="709" t="s">
        <v>512</v>
      </c>
      <c r="K310" s="1764" t="s">
        <v>1216</v>
      </c>
      <c r="L310" s="4"/>
      <c r="M310" s="4"/>
      <c r="N310" s="4"/>
      <c r="O310" s="253" t="s">
        <v>54</v>
      </c>
      <c r="P310" s="595"/>
      <c r="Q310" s="867"/>
      <c r="R310" s="867"/>
      <c r="S310" s="595"/>
      <c r="T310" s="595"/>
      <c r="U310" s="595"/>
      <c r="V310" s="595"/>
      <c r="W310" s="1798"/>
      <c r="X310" s="2048">
        <v>0</v>
      </c>
      <c r="Y310" s="2049">
        <v>0</v>
      </c>
      <c r="Z310" s="2049">
        <v>0</v>
      </c>
      <c r="AA310" s="2049">
        <v>0</v>
      </c>
      <c r="AB310" s="2049">
        <v>0</v>
      </c>
      <c r="AC310" s="2049">
        <v>0</v>
      </c>
      <c r="AD310" s="2049">
        <v>0</v>
      </c>
      <c r="AE310" s="2049">
        <v>0</v>
      </c>
      <c r="AF310" s="2049">
        <v>0</v>
      </c>
      <c r="AG310" s="2049">
        <v>0</v>
      </c>
      <c r="AH310" s="2049">
        <v>0</v>
      </c>
      <c r="AI310" s="2049">
        <v>0</v>
      </c>
      <c r="AJ310" s="2050">
        <v>0</v>
      </c>
      <c r="AK310" s="2050">
        <v>0</v>
      </c>
      <c r="AL310" s="2050">
        <v>0</v>
      </c>
      <c r="AM310" s="2050">
        <v>0</v>
      </c>
      <c r="AN310" s="2050">
        <v>0</v>
      </c>
      <c r="AO310" s="2050">
        <v>0</v>
      </c>
      <c r="AP310" s="2050">
        <v>0</v>
      </c>
    </row>
    <row r="311" spans="1:42" ht="14.5">
      <c r="A311" s="1693">
        <v>239</v>
      </c>
      <c r="B311" s="616">
        <v>1</v>
      </c>
      <c r="C311" s="1693">
        <v>252</v>
      </c>
      <c r="D311" s="616">
        <v>1</v>
      </c>
      <c r="E311" s="1693">
        <v>284</v>
      </c>
      <c r="F311" s="616">
        <v>1</v>
      </c>
      <c r="G311" s="1693">
        <v>311</v>
      </c>
      <c r="H311" s="616">
        <v>1</v>
      </c>
      <c r="J311" s="709" t="s">
        <v>512</v>
      </c>
      <c r="K311" s="1764" t="s">
        <v>1216</v>
      </c>
      <c r="L311" s="4"/>
      <c r="M311" s="4"/>
      <c r="N311" s="4"/>
      <c r="O311" s="507"/>
      <c r="P311" s="503" t="s">
        <v>55</v>
      </c>
      <c r="Q311" s="4"/>
      <c r="R311" s="48"/>
      <c r="S311" s="48"/>
      <c r="T311" s="48"/>
      <c r="U311" s="551" t="s">
        <v>1023</v>
      </c>
      <c r="V311" s="48"/>
      <c r="W311" s="1785"/>
      <c r="X311" s="1325">
        <v>0</v>
      </c>
      <c r="Y311" s="1324">
        <v>0</v>
      </c>
      <c r="Z311" s="1324">
        <v>0</v>
      </c>
      <c r="AA311" s="1324">
        <v>0</v>
      </c>
      <c r="AB311" s="1324">
        <v>0</v>
      </c>
      <c r="AC311" s="1324">
        <v>0</v>
      </c>
      <c r="AD311" s="1324">
        <v>0</v>
      </c>
      <c r="AE311" s="1324">
        <v>0</v>
      </c>
      <c r="AF311" s="1324">
        <v>0</v>
      </c>
      <c r="AG311" s="1324">
        <v>0</v>
      </c>
      <c r="AH311" s="1324">
        <v>0</v>
      </c>
      <c r="AI311" s="1324">
        <v>0</v>
      </c>
      <c r="AJ311" s="1324">
        <v>0</v>
      </c>
      <c r="AK311" s="1324">
        <v>0</v>
      </c>
      <c r="AL311" s="1324">
        <v>0</v>
      </c>
      <c r="AM311" s="1324">
        <v>0</v>
      </c>
      <c r="AN311" s="1324">
        <v>0</v>
      </c>
      <c r="AO311" s="1324">
        <v>0</v>
      </c>
      <c r="AP311" s="1324">
        <v>0</v>
      </c>
    </row>
    <row r="312" spans="1:42" s="504" customFormat="1" ht="14.5" outlineLevel="1">
      <c r="A312" s="1693">
        <v>1</v>
      </c>
      <c r="B312" s="616">
        <v>1</v>
      </c>
      <c r="C312" s="1693">
        <v>253</v>
      </c>
      <c r="D312" s="616">
        <v>1</v>
      </c>
      <c r="E312" s="1693">
        <v>285</v>
      </c>
      <c r="F312" s="616">
        <v>1</v>
      </c>
      <c r="G312" s="1693">
        <v>312</v>
      </c>
      <c r="H312" s="616">
        <v>1</v>
      </c>
      <c r="I312" s="616"/>
      <c r="J312" s="709" t="s">
        <v>512</v>
      </c>
      <c r="K312" s="1764" t="s">
        <v>1216</v>
      </c>
      <c r="L312" s="4"/>
      <c r="M312" s="4"/>
      <c r="N312" s="501"/>
      <c r="O312" s="502"/>
      <c r="P312" s="505"/>
      <c r="Q312" s="501"/>
      <c r="R312" s="503" t="s">
        <v>1046</v>
      </c>
      <c r="S312" s="503"/>
      <c r="T312" s="505"/>
      <c r="U312" s="505"/>
      <c r="V312" s="505"/>
      <c r="W312" s="1792"/>
      <c r="X312" s="1304">
        <v>0</v>
      </c>
      <c r="Y312" s="1283">
        <v>0</v>
      </c>
      <c r="Z312" s="1283">
        <v>0</v>
      </c>
      <c r="AA312" s="1283">
        <v>0</v>
      </c>
      <c r="AB312" s="1283">
        <v>0</v>
      </c>
      <c r="AC312" s="1283">
        <v>0</v>
      </c>
      <c r="AD312" s="1283">
        <v>0</v>
      </c>
      <c r="AE312" s="1283">
        <v>0</v>
      </c>
      <c r="AF312" s="1283">
        <v>0</v>
      </c>
      <c r="AG312" s="1283">
        <v>0</v>
      </c>
      <c r="AH312" s="1283">
        <v>0</v>
      </c>
      <c r="AI312" s="1283">
        <v>0</v>
      </c>
      <c r="AJ312" s="1283">
        <v>0</v>
      </c>
      <c r="AK312" s="1283">
        <v>0</v>
      </c>
      <c r="AL312" s="1283">
        <v>0</v>
      </c>
      <c r="AM312" s="1283">
        <v>0</v>
      </c>
      <c r="AN312" s="1283">
        <v>0</v>
      </c>
      <c r="AO312" s="1283">
        <v>0</v>
      </c>
      <c r="AP312" s="1283">
        <v>0</v>
      </c>
    </row>
    <row r="313" spans="1:42" s="504" customFormat="1" ht="14.5" outlineLevel="1">
      <c r="A313" s="1693">
        <v>240</v>
      </c>
      <c r="B313" s="616">
        <v>1</v>
      </c>
      <c r="C313" s="1693">
        <v>254</v>
      </c>
      <c r="D313" s="616">
        <v>1</v>
      </c>
      <c r="E313" s="1693">
        <v>286</v>
      </c>
      <c r="F313" s="616">
        <v>1</v>
      </c>
      <c r="G313" s="1693">
        <v>313</v>
      </c>
      <c r="H313" s="616">
        <v>1</v>
      </c>
      <c r="I313" s="616"/>
      <c r="J313" s="709" t="s">
        <v>512</v>
      </c>
      <c r="K313" s="1764" t="s">
        <v>1216</v>
      </c>
      <c r="L313" s="4"/>
      <c r="M313" s="4"/>
      <c r="N313" s="501"/>
      <c r="O313" s="502"/>
      <c r="P313" s="505"/>
      <c r="Q313" s="501"/>
      <c r="R313" s="501"/>
      <c r="S313" s="503" t="s">
        <v>1047</v>
      </c>
      <c r="T313" s="505"/>
      <c r="U313" s="505"/>
      <c r="V313" s="505"/>
      <c r="W313" s="1792"/>
      <c r="X313" s="1304">
        <v>0</v>
      </c>
      <c r="Y313" s="1283">
        <v>0</v>
      </c>
      <c r="Z313" s="1283">
        <v>0</v>
      </c>
      <c r="AA313" s="1283">
        <v>0</v>
      </c>
      <c r="AB313" s="1283">
        <v>0</v>
      </c>
      <c r="AC313" s="1283">
        <v>0</v>
      </c>
      <c r="AD313" s="1283">
        <v>0</v>
      </c>
      <c r="AE313" s="1283">
        <v>0</v>
      </c>
      <c r="AF313" s="1283">
        <v>0</v>
      </c>
      <c r="AG313" s="1283">
        <v>0</v>
      </c>
      <c r="AH313" s="1283">
        <v>0</v>
      </c>
      <c r="AI313" s="1283">
        <v>0</v>
      </c>
      <c r="AJ313" s="1283">
        <v>0</v>
      </c>
      <c r="AK313" s="1283">
        <v>0</v>
      </c>
      <c r="AL313" s="1283">
        <v>0</v>
      </c>
      <c r="AM313" s="1283">
        <v>0</v>
      </c>
      <c r="AN313" s="1283">
        <v>0</v>
      </c>
      <c r="AO313" s="1283">
        <v>0</v>
      </c>
      <c r="AP313" s="1283">
        <v>0</v>
      </c>
    </row>
    <row r="314" spans="1:42" s="504" customFormat="1" ht="14.5" outlineLevel="1">
      <c r="A314" s="1693">
        <v>241</v>
      </c>
      <c r="B314" s="616">
        <v>1</v>
      </c>
      <c r="C314" s="1693">
        <v>255</v>
      </c>
      <c r="D314" s="616">
        <v>1</v>
      </c>
      <c r="E314" s="1693">
        <v>287</v>
      </c>
      <c r="F314" s="616">
        <v>1</v>
      </c>
      <c r="G314" s="1693">
        <v>314</v>
      </c>
      <c r="H314" s="616">
        <v>1</v>
      </c>
      <c r="I314" s="616"/>
      <c r="J314" s="709" t="s">
        <v>512</v>
      </c>
      <c r="K314" s="1764" t="s">
        <v>1216</v>
      </c>
      <c r="L314" s="4"/>
      <c r="M314" s="4"/>
      <c r="N314" s="501"/>
      <c r="O314" s="502"/>
      <c r="P314" s="505"/>
      <c r="Q314" s="501"/>
      <c r="R314" s="501"/>
      <c r="S314" s="503" t="s">
        <v>1048</v>
      </c>
      <c r="T314" s="505"/>
      <c r="U314" s="505"/>
      <c r="V314" s="505"/>
      <c r="W314" s="1792"/>
      <c r="X314" s="1304">
        <v>0</v>
      </c>
      <c r="Y314" s="1283">
        <v>0</v>
      </c>
      <c r="Z314" s="1283">
        <v>0</v>
      </c>
      <c r="AA314" s="1283">
        <v>0</v>
      </c>
      <c r="AB314" s="1283">
        <v>0</v>
      </c>
      <c r="AC314" s="1283">
        <v>0</v>
      </c>
      <c r="AD314" s="1283">
        <v>0</v>
      </c>
      <c r="AE314" s="1283">
        <v>0</v>
      </c>
      <c r="AF314" s="1283">
        <v>0</v>
      </c>
      <c r="AG314" s="1283">
        <v>0</v>
      </c>
      <c r="AH314" s="1283">
        <v>0</v>
      </c>
      <c r="AI314" s="1283">
        <v>0</v>
      </c>
      <c r="AJ314" s="1283">
        <v>0</v>
      </c>
      <c r="AK314" s="1283">
        <v>0</v>
      </c>
      <c r="AL314" s="1283">
        <v>0</v>
      </c>
      <c r="AM314" s="1283">
        <v>0</v>
      </c>
      <c r="AN314" s="1283">
        <v>0</v>
      </c>
      <c r="AO314" s="1283">
        <v>0</v>
      </c>
      <c r="AP314" s="1283">
        <v>0</v>
      </c>
    </row>
    <row r="315" spans="1:42" s="504" customFormat="1" ht="14.5" outlineLevel="1">
      <c r="A315" s="1693">
        <v>242</v>
      </c>
      <c r="B315" s="616">
        <v>1</v>
      </c>
      <c r="C315" s="1693">
        <v>256</v>
      </c>
      <c r="D315" s="616">
        <v>1</v>
      </c>
      <c r="E315" s="1693">
        <v>288</v>
      </c>
      <c r="F315" s="616">
        <v>1</v>
      </c>
      <c r="G315" s="1693">
        <v>315</v>
      </c>
      <c r="H315" s="616">
        <v>1</v>
      </c>
      <c r="I315" s="616"/>
      <c r="J315" s="709" t="s">
        <v>512</v>
      </c>
      <c r="K315" s="1764" t="s">
        <v>1216</v>
      </c>
      <c r="L315" s="4"/>
      <c r="M315" s="4"/>
      <c r="N315" s="501"/>
      <c r="O315" s="502"/>
      <c r="P315" s="505"/>
      <c r="Q315" s="501"/>
      <c r="R315" s="552"/>
      <c r="S315" s="510" t="s">
        <v>1031</v>
      </c>
      <c r="T315" s="553"/>
      <c r="U315" s="553"/>
      <c r="V315" s="553"/>
      <c r="W315" s="1792"/>
      <c r="X315" s="1315">
        <v>0</v>
      </c>
      <c r="Y315" s="1295">
        <v>0</v>
      </c>
      <c r="Z315" s="1295">
        <v>0</v>
      </c>
      <c r="AA315" s="1295">
        <v>0</v>
      </c>
      <c r="AB315" s="1295">
        <v>0</v>
      </c>
      <c r="AC315" s="1295">
        <v>0</v>
      </c>
      <c r="AD315" s="1295">
        <v>0</v>
      </c>
      <c r="AE315" s="1295">
        <v>0</v>
      </c>
      <c r="AF315" s="1295">
        <v>0</v>
      </c>
      <c r="AG315" s="1295">
        <v>0</v>
      </c>
      <c r="AH315" s="1295">
        <v>0</v>
      </c>
      <c r="AI315" s="1295">
        <v>0</v>
      </c>
      <c r="AJ315" s="1295">
        <v>0</v>
      </c>
      <c r="AK315" s="1295">
        <v>0</v>
      </c>
      <c r="AL315" s="1295">
        <v>0</v>
      </c>
      <c r="AM315" s="1295">
        <v>0</v>
      </c>
      <c r="AN315" s="1295">
        <v>0</v>
      </c>
      <c r="AO315" s="1295">
        <v>0</v>
      </c>
      <c r="AP315" s="1295">
        <v>0</v>
      </c>
    </row>
    <row r="316" spans="1:42" s="504" customFormat="1" ht="14.5" outlineLevel="1">
      <c r="A316" s="1693">
        <v>1</v>
      </c>
      <c r="B316" s="616">
        <v>1</v>
      </c>
      <c r="C316" s="1693">
        <v>257</v>
      </c>
      <c r="D316" s="616">
        <v>1</v>
      </c>
      <c r="E316" s="1693">
        <v>289</v>
      </c>
      <c r="F316" s="616">
        <v>1</v>
      </c>
      <c r="G316" s="1693">
        <v>316</v>
      </c>
      <c r="H316" s="616">
        <v>1</v>
      </c>
      <c r="I316" s="616"/>
      <c r="J316" s="709" t="s">
        <v>512</v>
      </c>
      <c r="K316" s="1764" t="s">
        <v>1216</v>
      </c>
      <c r="L316" s="4"/>
      <c r="M316" s="4"/>
      <c r="N316" s="501"/>
      <c r="O316" s="502"/>
      <c r="P316" s="505"/>
      <c r="Q316" s="501"/>
      <c r="R316" s="503" t="s">
        <v>1049</v>
      </c>
      <c r="S316" s="503"/>
      <c r="T316" s="505"/>
      <c r="U316" s="505"/>
      <c r="V316" s="505"/>
      <c r="W316" s="1792"/>
      <c r="X316" s="1304">
        <v>0</v>
      </c>
      <c r="Y316" s="1283">
        <v>0</v>
      </c>
      <c r="Z316" s="1283">
        <v>0</v>
      </c>
      <c r="AA316" s="1283">
        <v>0</v>
      </c>
      <c r="AB316" s="1283">
        <v>0</v>
      </c>
      <c r="AC316" s="1283">
        <v>0</v>
      </c>
      <c r="AD316" s="1283">
        <v>0</v>
      </c>
      <c r="AE316" s="1283">
        <v>0</v>
      </c>
      <c r="AF316" s="1283">
        <v>0</v>
      </c>
      <c r="AG316" s="1283">
        <v>0</v>
      </c>
      <c r="AH316" s="1283">
        <v>0</v>
      </c>
      <c r="AI316" s="1283">
        <v>0</v>
      </c>
      <c r="AJ316" s="1283">
        <v>0</v>
      </c>
      <c r="AK316" s="1283">
        <v>0</v>
      </c>
      <c r="AL316" s="1283">
        <v>0</v>
      </c>
      <c r="AM316" s="1283">
        <v>0</v>
      </c>
      <c r="AN316" s="1283">
        <v>0</v>
      </c>
      <c r="AO316" s="1283">
        <v>0</v>
      </c>
      <c r="AP316" s="1283">
        <v>0</v>
      </c>
    </row>
    <row r="317" spans="1:42" s="504" customFormat="1" ht="14.5" outlineLevel="1">
      <c r="A317" s="1693">
        <v>243</v>
      </c>
      <c r="B317" s="616">
        <v>1</v>
      </c>
      <c r="C317" s="1693">
        <v>258</v>
      </c>
      <c r="D317" s="616">
        <v>1</v>
      </c>
      <c r="E317" s="1693">
        <v>290</v>
      </c>
      <c r="F317" s="616">
        <v>1</v>
      </c>
      <c r="G317" s="1693">
        <v>317</v>
      </c>
      <c r="H317" s="616">
        <v>1</v>
      </c>
      <c r="I317" s="616"/>
      <c r="J317" s="709" t="s">
        <v>512</v>
      </c>
      <c r="K317" s="1764" t="s">
        <v>1216</v>
      </c>
      <c r="L317" s="4"/>
      <c r="M317" s="4"/>
      <c r="N317" s="501"/>
      <c r="O317" s="502"/>
      <c r="P317" s="505"/>
      <c r="Q317" s="501"/>
      <c r="R317" s="501"/>
      <c r="S317" s="503" t="s">
        <v>1050</v>
      </c>
      <c r="T317" s="505"/>
      <c r="U317" s="505"/>
      <c r="V317" s="505"/>
      <c r="W317" s="1792"/>
      <c r="X317" s="1304">
        <v>0</v>
      </c>
      <c r="Y317" s="1283">
        <v>0</v>
      </c>
      <c r="Z317" s="1283">
        <v>0</v>
      </c>
      <c r="AA317" s="1283">
        <v>0</v>
      </c>
      <c r="AB317" s="1283">
        <v>0</v>
      </c>
      <c r="AC317" s="1283">
        <v>0</v>
      </c>
      <c r="AD317" s="1283">
        <v>0</v>
      </c>
      <c r="AE317" s="1283">
        <v>0</v>
      </c>
      <c r="AF317" s="1283">
        <v>0</v>
      </c>
      <c r="AG317" s="1283">
        <v>0</v>
      </c>
      <c r="AH317" s="1283">
        <v>0</v>
      </c>
      <c r="AI317" s="1283">
        <v>0</v>
      </c>
      <c r="AJ317" s="1283">
        <v>0</v>
      </c>
      <c r="AK317" s="1283">
        <v>0</v>
      </c>
      <c r="AL317" s="1283">
        <v>0</v>
      </c>
      <c r="AM317" s="1283">
        <v>0</v>
      </c>
      <c r="AN317" s="1283">
        <v>0</v>
      </c>
      <c r="AO317" s="1283">
        <v>0</v>
      </c>
      <c r="AP317" s="1283">
        <v>0</v>
      </c>
    </row>
    <row r="318" spans="1:42" s="504" customFormat="1" ht="14.5" outlineLevel="1">
      <c r="A318" s="1693">
        <v>1</v>
      </c>
      <c r="B318" s="616">
        <v>1</v>
      </c>
      <c r="C318" s="1693">
        <v>259</v>
      </c>
      <c r="D318" s="616">
        <v>1</v>
      </c>
      <c r="E318" s="1693">
        <v>291</v>
      </c>
      <c r="F318" s="616">
        <v>1</v>
      </c>
      <c r="G318" s="1693">
        <v>318</v>
      </c>
      <c r="H318" s="616">
        <v>1</v>
      </c>
      <c r="I318" s="616"/>
      <c r="J318" s="709" t="s">
        <v>512</v>
      </c>
      <c r="K318" s="1764" t="s">
        <v>1216</v>
      </c>
      <c r="L318" s="4"/>
      <c r="M318" s="4"/>
      <c r="N318" s="501"/>
      <c r="O318" s="502"/>
      <c r="P318" s="505"/>
      <c r="Q318" s="501"/>
      <c r="R318" s="501"/>
      <c r="S318" s="503" t="s">
        <v>1051</v>
      </c>
      <c r="T318" s="505"/>
      <c r="U318" s="505"/>
      <c r="V318" s="505"/>
      <c r="W318" s="1792"/>
      <c r="X318" s="1304">
        <v>0</v>
      </c>
      <c r="Y318" s="1283">
        <v>0</v>
      </c>
      <c r="Z318" s="1283">
        <v>0</v>
      </c>
      <c r="AA318" s="1283">
        <v>0</v>
      </c>
      <c r="AB318" s="1283">
        <v>0</v>
      </c>
      <c r="AC318" s="1283">
        <v>0</v>
      </c>
      <c r="AD318" s="1283">
        <v>0</v>
      </c>
      <c r="AE318" s="1283">
        <v>0</v>
      </c>
      <c r="AF318" s="1283">
        <v>0</v>
      </c>
      <c r="AG318" s="1283">
        <v>0</v>
      </c>
      <c r="AH318" s="1283">
        <v>0</v>
      </c>
      <c r="AI318" s="1283">
        <v>0</v>
      </c>
      <c r="AJ318" s="1283">
        <v>0</v>
      </c>
      <c r="AK318" s="1283">
        <v>0</v>
      </c>
      <c r="AL318" s="1283">
        <v>0</v>
      </c>
      <c r="AM318" s="1283">
        <v>0</v>
      </c>
      <c r="AN318" s="1283">
        <v>0</v>
      </c>
      <c r="AO318" s="1283">
        <v>0</v>
      </c>
      <c r="AP318" s="1283">
        <v>0</v>
      </c>
    </row>
    <row r="319" spans="1:42" s="504" customFormat="1" ht="14.5" outlineLevel="1">
      <c r="A319" s="1693">
        <v>1</v>
      </c>
      <c r="B319" s="616">
        <v>1</v>
      </c>
      <c r="C319" s="1693">
        <v>260</v>
      </c>
      <c r="D319" s="616">
        <v>1</v>
      </c>
      <c r="E319" s="1693">
        <v>292</v>
      </c>
      <c r="F319" s="616">
        <v>1</v>
      </c>
      <c r="G319" s="1693">
        <v>319</v>
      </c>
      <c r="H319" s="616">
        <v>1</v>
      </c>
      <c r="I319" s="616"/>
      <c r="J319" s="709" t="s">
        <v>512</v>
      </c>
      <c r="K319" s="1764" t="s">
        <v>1216</v>
      </c>
      <c r="L319" s="4"/>
      <c r="M319" s="4"/>
      <c r="N319" s="501"/>
      <c r="O319" s="502"/>
      <c r="P319" s="505"/>
      <c r="Q319" s="501"/>
      <c r="R319" s="501"/>
      <c r="S319" s="503" t="s">
        <v>1052</v>
      </c>
      <c r="T319" s="505"/>
      <c r="U319" s="505"/>
      <c r="V319" s="505"/>
      <c r="W319" s="1792"/>
      <c r="X319" s="1304">
        <v>0</v>
      </c>
      <c r="Y319" s="1283">
        <v>0</v>
      </c>
      <c r="Z319" s="1283">
        <v>0</v>
      </c>
      <c r="AA319" s="1283">
        <v>0</v>
      </c>
      <c r="AB319" s="1283">
        <v>0</v>
      </c>
      <c r="AC319" s="1283">
        <v>0</v>
      </c>
      <c r="AD319" s="1283">
        <v>0</v>
      </c>
      <c r="AE319" s="1283">
        <v>0</v>
      </c>
      <c r="AF319" s="1283">
        <v>0</v>
      </c>
      <c r="AG319" s="1283">
        <v>0</v>
      </c>
      <c r="AH319" s="1283">
        <v>0</v>
      </c>
      <c r="AI319" s="1283">
        <v>0</v>
      </c>
      <c r="AJ319" s="1283">
        <v>0</v>
      </c>
      <c r="AK319" s="1283">
        <v>0</v>
      </c>
      <c r="AL319" s="1283">
        <v>0</v>
      </c>
      <c r="AM319" s="1283">
        <v>0</v>
      </c>
      <c r="AN319" s="1283">
        <v>0</v>
      </c>
      <c r="AO319" s="1283">
        <v>0</v>
      </c>
      <c r="AP319" s="1283">
        <v>0</v>
      </c>
    </row>
    <row r="320" spans="1:42" s="504" customFormat="1" ht="14.5" outlineLevel="1">
      <c r="A320" s="1693">
        <v>1</v>
      </c>
      <c r="B320" s="616">
        <v>1</v>
      </c>
      <c r="C320" s="1693">
        <v>261</v>
      </c>
      <c r="D320" s="616">
        <v>1</v>
      </c>
      <c r="E320" s="1693">
        <v>293</v>
      </c>
      <c r="F320" s="616">
        <v>1</v>
      </c>
      <c r="G320" s="1693">
        <v>320</v>
      </c>
      <c r="H320" s="616">
        <v>1</v>
      </c>
      <c r="I320" s="616"/>
      <c r="J320" s="709" t="s">
        <v>512</v>
      </c>
      <c r="K320" s="1764" t="s">
        <v>1216</v>
      </c>
      <c r="L320" s="4"/>
      <c r="M320" s="4"/>
      <c r="N320" s="501"/>
      <c r="O320" s="502"/>
      <c r="P320" s="505"/>
      <c r="Q320" s="501"/>
      <c r="R320" s="501"/>
      <c r="S320" s="503" t="s">
        <v>1053</v>
      </c>
      <c r="T320" s="505"/>
      <c r="U320" s="505"/>
      <c r="V320" s="505"/>
      <c r="W320" s="1792"/>
      <c r="X320" s="1304">
        <v>0</v>
      </c>
      <c r="Y320" s="1283">
        <v>0</v>
      </c>
      <c r="Z320" s="1283">
        <v>0</v>
      </c>
      <c r="AA320" s="1283">
        <v>0</v>
      </c>
      <c r="AB320" s="1283">
        <v>0</v>
      </c>
      <c r="AC320" s="1283">
        <v>0</v>
      </c>
      <c r="AD320" s="1283">
        <v>0</v>
      </c>
      <c r="AE320" s="1283">
        <v>0</v>
      </c>
      <c r="AF320" s="1283">
        <v>0</v>
      </c>
      <c r="AG320" s="1283">
        <v>0</v>
      </c>
      <c r="AH320" s="1283">
        <v>0</v>
      </c>
      <c r="AI320" s="1283">
        <v>0</v>
      </c>
      <c r="AJ320" s="1283">
        <v>0</v>
      </c>
      <c r="AK320" s="1283">
        <v>0</v>
      </c>
      <c r="AL320" s="1283">
        <v>0</v>
      </c>
      <c r="AM320" s="1283">
        <v>0</v>
      </c>
      <c r="AN320" s="1283">
        <v>0</v>
      </c>
      <c r="AO320" s="1283">
        <v>0</v>
      </c>
      <c r="AP320" s="1283">
        <v>0</v>
      </c>
    </row>
    <row r="321" spans="1:42" ht="14.5">
      <c r="A321" s="1693">
        <v>1</v>
      </c>
      <c r="B321" s="616">
        <v>1</v>
      </c>
      <c r="C321" s="1693">
        <v>262</v>
      </c>
      <c r="D321" s="616">
        <v>1</v>
      </c>
      <c r="E321" s="1693">
        <v>294</v>
      </c>
      <c r="F321" s="616">
        <v>1</v>
      </c>
      <c r="G321" s="1693">
        <v>321</v>
      </c>
      <c r="H321" s="616">
        <v>1</v>
      </c>
      <c r="J321" s="709" t="s">
        <v>512</v>
      </c>
      <c r="K321" s="1764" t="s">
        <v>1216</v>
      </c>
      <c r="L321" s="4"/>
      <c r="M321" s="4"/>
      <c r="N321" s="4"/>
      <c r="O321" s="27"/>
      <c r="P321" s="3"/>
      <c r="Q321" s="4"/>
      <c r="R321" s="301" t="s">
        <v>1044</v>
      </c>
      <c r="S321" s="301"/>
      <c r="T321" s="301"/>
      <c r="U321" s="301"/>
      <c r="V321" s="301"/>
      <c r="W321" s="1799"/>
      <c r="X321" s="2051">
        <v>0</v>
      </c>
      <c r="Y321" s="2052">
        <v>0</v>
      </c>
      <c r="Z321" s="2052">
        <v>0</v>
      </c>
      <c r="AA321" s="2052">
        <v>0</v>
      </c>
      <c r="AB321" s="2052">
        <v>0</v>
      </c>
      <c r="AC321" s="2052">
        <v>0</v>
      </c>
      <c r="AD321" s="2052">
        <v>0</v>
      </c>
      <c r="AE321" s="2052">
        <v>0</v>
      </c>
      <c r="AF321" s="2052">
        <v>0</v>
      </c>
      <c r="AG321" s="2052">
        <v>0</v>
      </c>
      <c r="AH321" s="2052">
        <v>0</v>
      </c>
      <c r="AI321" s="2052">
        <v>0</v>
      </c>
      <c r="AJ321" s="2042">
        <v>0</v>
      </c>
      <c r="AK321" s="2042">
        <v>0</v>
      </c>
      <c r="AL321" s="2042">
        <v>0</v>
      </c>
      <c r="AM321" s="2042">
        <v>0</v>
      </c>
      <c r="AN321" s="2042">
        <v>0</v>
      </c>
      <c r="AO321" s="2042">
        <v>0</v>
      </c>
      <c r="AP321" s="2042">
        <v>0</v>
      </c>
    </row>
    <row r="322" spans="1:42" ht="15" customHeight="1">
      <c r="A322" s="1693">
        <v>244</v>
      </c>
      <c r="B322" s="616">
        <v>1</v>
      </c>
      <c r="C322" s="1693">
        <v>263</v>
      </c>
      <c r="D322" s="616">
        <v>1</v>
      </c>
      <c r="E322" s="1693">
        <v>295</v>
      </c>
      <c r="F322" s="616">
        <v>1</v>
      </c>
      <c r="G322" s="1693">
        <v>322</v>
      </c>
      <c r="H322" s="616">
        <v>1</v>
      </c>
      <c r="J322" s="709" t="s">
        <v>512</v>
      </c>
      <c r="K322" s="1764" t="s">
        <v>1216</v>
      </c>
      <c r="L322" s="4"/>
      <c r="M322" s="4"/>
      <c r="N322" s="4"/>
      <c r="O322" s="27"/>
      <c r="P322" s="3"/>
      <c r="Q322" s="4"/>
      <c r="R322" s="4"/>
      <c r="S322" s="3" t="s">
        <v>11</v>
      </c>
      <c r="T322" s="3"/>
      <c r="U322" s="3"/>
      <c r="V322" s="3"/>
      <c r="W322" s="1800"/>
      <c r="X322" s="2053"/>
      <c r="Y322" s="2004"/>
      <c r="Z322" s="2004"/>
      <c r="AA322" s="2004"/>
      <c r="AB322" s="2004"/>
      <c r="AC322" s="2004"/>
      <c r="AD322" s="2004"/>
      <c r="AE322" s="2004"/>
      <c r="AF322" s="2004"/>
      <c r="AG322" s="2004"/>
      <c r="AH322" s="2004"/>
      <c r="AI322" s="2004"/>
      <c r="AJ322" s="2002">
        <v>0</v>
      </c>
      <c r="AK322" s="2002">
        <v>0</v>
      </c>
      <c r="AL322" s="2002">
        <v>0</v>
      </c>
      <c r="AM322" s="2002">
        <v>0</v>
      </c>
      <c r="AN322" s="2002">
        <v>0</v>
      </c>
      <c r="AO322" s="2002">
        <v>0</v>
      </c>
      <c r="AP322" s="2002">
        <v>0</v>
      </c>
    </row>
    <row r="323" spans="1:42" ht="15" customHeight="1">
      <c r="A323" s="1693">
        <v>245</v>
      </c>
      <c r="B323" s="616">
        <v>1</v>
      </c>
      <c r="C323" s="1693">
        <v>264</v>
      </c>
      <c r="D323" s="616">
        <v>1</v>
      </c>
      <c r="E323" s="1693">
        <v>296</v>
      </c>
      <c r="F323" s="616">
        <v>1</v>
      </c>
      <c r="G323" s="1693">
        <v>323</v>
      </c>
      <c r="H323" s="616">
        <v>1</v>
      </c>
      <c r="J323" s="709" t="s">
        <v>512</v>
      </c>
      <c r="K323" s="1764" t="s">
        <v>1216</v>
      </c>
      <c r="L323" s="4"/>
      <c r="M323" s="4"/>
      <c r="N323" s="4"/>
      <c r="O323" s="27"/>
      <c r="P323" s="3"/>
      <c r="Q323" s="4"/>
      <c r="R323" s="4"/>
      <c r="S323" s="3" t="s">
        <v>12</v>
      </c>
      <c r="T323" s="3"/>
      <c r="U323" s="3"/>
      <c r="V323" s="3"/>
      <c r="W323" s="1800"/>
      <c r="X323" s="2053"/>
      <c r="Y323" s="2004"/>
      <c r="Z323" s="2004"/>
      <c r="AA323" s="2004"/>
      <c r="AB323" s="2004"/>
      <c r="AC323" s="2004"/>
      <c r="AD323" s="2004"/>
      <c r="AE323" s="2004"/>
      <c r="AF323" s="2004"/>
      <c r="AG323" s="2004"/>
      <c r="AH323" s="2004"/>
      <c r="AI323" s="2004"/>
      <c r="AJ323" s="2002">
        <v>0</v>
      </c>
      <c r="AK323" s="2002">
        <v>0</v>
      </c>
      <c r="AL323" s="2002">
        <v>0</v>
      </c>
      <c r="AM323" s="2002">
        <v>0</v>
      </c>
      <c r="AN323" s="2002">
        <v>0</v>
      </c>
      <c r="AO323" s="2002">
        <v>0</v>
      </c>
      <c r="AP323" s="2002">
        <v>0</v>
      </c>
    </row>
    <row r="324" spans="1:42" ht="15" customHeight="1">
      <c r="A324" s="1693">
        <v>246</v>
      </c>
      <c r="B324" s="616">
        <v>1</v>
      </c>
      <c r="C324" s="1693">
        <v>265</v>
      </c>
      <c r="D324" s="616">
        <v>1</v>
      </c>
      <c r="E324" s="1693">
        <v>297</v>
      </c>
      <c r="F324" s="616">
        <v>1</v>
      </c>
      <c r="G324" s="1693">
        <v>324</v>
      </c>
      <c r="H324" s="616">
        <v>1</v>
      </c>
      <c r="J324" s="709" t="s">
        <v>512</v>
      </c>
      <c r="K324" s="1764" t="s">
        <v>1216</v>
      </c>
      <c r="L324" s="4"/>
      <c r="M324" s="4"/>
      <c r="N324" s="4"/>
      <c r="O324" s="27"/>
      <c r="P324" s="3"/>
      <c r="Q324" s="4"/>
      <c r="R324" s="48"/>
      <c r="S324" s="47" t="s">
        <v>24</v>
      </c>
      <c r="T324" s="47"/>
      <c r="U324" s="47"/>
      <c r="V324" s="47"/>
      <c r="W324" s="1800"/>
      <c r="X324" s="2054"/>
      <c r="Y324" s="2014"/>
      <c r="Z324" s="2014"/>
      <c r="AA324" s="2014"/>
      <c r="AB324" s="2014"/>
      <c r="AC324" s="2014"/>
      <c r="AD324" s="2014"/>
      <c r="AE324" s="2014"/>
      <c r="AF324" s="2014"/>
      <c r="AG324" s="2014"/>
      <c r="AH324" s="2014"/>
      <c r="AI324" s="2014"/>
      <c r="AJ324" s="2012">
        <v>0</v>
      </c>
      <c r="AK324" s="2012">
        <v>0</v>
      </c>
      <c r="AL324" s="2012">
        <v>0</v>
      </c>
      <c r="AM324" s="2012">
        <v>0</v>
      </c>
      <c r="AN324" s="2012">
        <v>0</v>
      </c>
      <c r="AO324" s="2012">
        <v>0</v>
      </c>
      <c r="AP324" s="2012">
        <v>0</v>
      </c>
    </row>
    <row r="325" spans="1:42" ht="15" customHeight="1">
      <c r="A325" s="1693">
        <v>1</v>
      </c>
      <c r="B325" s="616">
        <v>1</v>
      </c>
      <c r="C325" s="1693">
        <v>266</v>
      </c>
      <c r="D325" s="616">
        <v>1</v>
      </c>
      <c r="E325" s="1693">
        <v>298</v>
      </c>
      <c r="F325" s="616">
        <v>1</v>
      </c>
      <c r="G325" s="1693">
        <v>325</v>
      </c>
      <c r="H325" s="616">
        <v>1</v>
      </c>
      <c r="J325" s="709" t="s">
        <v>512</v>
      </c>
      <c r="K325" s="1764" t="s">
        <v>1216</v>
      </c>
      <c r="L325" s="4"/>
      <c r="M325" s="4"/>
      <c r="N325" s="4"/>
      <c r="O325" s="27"/>
      <c r="P325" s="3"/>
      <c r="Q325" s="4"/>
      <c r="R325" s="301" t="s">
        <v>1045</v>
      </c>
      <c r="S325" s="301"/>
      <c r="T325" s="301"/>
      <c r="U325" s="301"/>
      <c r="V325" s="301"/>
      <c r="W325" s="1799"/>
      <c r="X325" s="2051">
        <v>0</v>
      </c>
      <c r="Y325" s="2052">
        <v>0</v>
      </c>
      <c r="Z325" s="2052">
        <v>0</v>
      </c>
      <c r="AA325" s="2052">
        <v>0</v>
      </c>
      <c r="AB325" s="2052">
        <v>0</v>
      </c>
      <c r="AC325" s="2052">
        <v>0</v>
      </c>
      <c r="AD325" s="2052">
        <v>0</v>
      </c>
      <c r="AE325" s="2052">
        <v>0</v>
      </c>
      <c r="AF325" s="2052">
        <v>0</v>
      </c>
      <c r="AG325" s="2052">
        <v>0</v>
      </c>
      <c r="AH325" s="2052">
        <v>0</v>
      </c>
      <c r="AI325" s="2052">
        <v>0</v>
      </c>
      <c r="AJ325" s="2042">
        <v>0</v>
      </c>
      <c r="AK325" s="2042">
        <v>0</v>
      </c>
      <c r="AL325" s="2042">
        <v>0</v>
      </c>
      <c r="AM325" s="2042">
        <v>0</v>
      </c>
      <c r="AN325" s="2042">
        <v>0</v>
      </c>
      <c r="AO325" s="2042">
        <v>0</v>
      </c>
      <c r="AP325" s="2042">
        <v>0</v>
      </c>
    </row>
    <row r="326" spans="1:42" ht="15" customHeight="1">
      <c r="A326" s="1693">
        <v>247</v>
      </c>
      <c r="B326" s="616">
        <v>1</v>
      </c>
      <c r="C326" s="1693">
        <v>267</v>
      </c>
      <c r="D326" s="616">
        <v>1</v>
      </c>
      <c r="E326" s="1693">
        <v>299</v>
      </c>
      <c r="F326" s="616">
        <v>1</v>
      </c>
      <c r="G326" s="1693">
        <v>326</v>
      </c>
      <c r="H326" s="616">
        <v>1</v>
      </c>
      <c r="J326" s="709" t="s">
        <v>512</v>
      </c>
      <c r="K326" s="1764" t="s">
        <v>1216</v>
      </c>
      <c r="L326" s="4"/>
      <c r="M326" s="4"/>
      <c r="N326" s="4"/>
      <c r="O326" s="27"/>
      <c r="P326" s="3"/>
      <c r="Q326" s="4"/>
      <c r="R326" s="4"/>
      <c r="S326" s="3" t="s">
        <v>13</v>
      </c>
      <c r="T326" s="3"/>
      <c r="U326" s="3"/>
      <c r="V326" s="3"/>
      <c r="W326" s="1800"/>
      <c r="X326" s="2053"/>
      <c r="Y326" s="2004"/>
      <c r="Z326" s="2004"/>
      <c r="AA326" s="2004"/>
      <c r="AB326" s="2004"/>
      <c r="AC326" s="2004"/>
      <c r="AD326" s="2004"/>
      <c r="AE326" s="2004"/>
      <c r="AF326" s="2004"/>
      <c r="AG326" s="2004"/>
      <c r="AH326" s="2004"/>
      <c r="AI326" s="2004"/>
      <c r="AJ326" s="2002">
        <v>0</v>
      </c>
      <c r="AK326" s="2002">
        <v>0</v>
      </c>
      <c r="AL326" s="2002">
        <v>0</v>
      </c>
      <c r="AM326" s="2002">
        <v>0</v>
      </c>
      <c r="AN326" s="2002">
        <v>0</v>
      </c>
      <c r="AO326" s="2002">
        <v>0</v>
      </c>
      <c r="AP326" s="2002">
        <v>0</v>
      </c>
    </row>
    <row r="327" spans="1:42" ht="15" customHeight="1">
      <c r="A327" s="1693">
        <v>1</v>
      </c>
      <c r="B327" s="616">
        <v>1</v>
      </c>
      <c r="C327" s="1693">
        <v>268</v>
      </c>
      <c r="D327" s="616">
        <v>1</v>
      </c>
      <c r="E327" s="1693">
        <v>300</v>
      </c>
      <c r="F327" s="616">
        <v>1</v>
      </c>
      <c r="G327" s="1693">
        <v>327</v>
      </c>
      <c r="H327" s="616">
        <v>1</v>
      </c>
      <c r="J327" s="709" t="s">
        <v>512</v>
      </c>
      <c r="K327" s="1764" t="s">
        <v>1216</v>
      </c>
      <c r="L327" s="330"/>
      <c r="M327" s="244"/>
      <c r="N327" s="4"/>
      <c r="O327" s="27"/>
      <c r="P327" s="3"/>
      <c r="Q327" s="4"/>
      <c r="R327" s="4"/>
      <c r="S327" s="3" t="s">
        <v>374</v>
      </c>
      <c r="T327" s="3"/>
      <c r="U327" s="3"/>
      <c r="V327" s="3"/>
      <c r="W327" s="1800"/>
      <c r="X327" s="2053"/>
      <c r="Y327" s="2004"/>
      <c r="Z327" s="2004"/>
      <c r="AA327" s="2004"/>
      <c r="AB327" s="2004"/>
      <c r="AC327" s="2004"/>
      <c r="AD327" s="2004"/>
      <c r="AE327" s="2004"/>
      <c r="AF327" s="2004"/>
      <c r="AG327" s="2004"/>
      <c r="AH327" s="2004"/>
      <c r="AI327" s="2004"/>
      <c r="AJ327" s="2002">
        <v>0</v>
      </c>
      <c r="AK327" s="2002">
        <v>0</v>
      </c>
      <c r="AL327" s="2002">
        <v>0</v>
      </c>
      <c r="AM327" s="2002">
        <v>0</v>
      </c>
      <c r="AN327" s="2002">
        <v>0</v>
      </c>
      <c r="AO327" s="2002">
        <v>0</v>
      </c>
      <c r="AP327" s="2002">
        <v>0</v>
      </c>
    </row>
    <row r="328" spans="1:42" ht="15" customHeight="1">
      <c r="A328" s="1693">
        <v>1</v>
      </c>
      <c r="B328" s="616">
        <v>1</v>
      </c>
      <c r="C328" s="1693">
        <v>269</v>
      </c>
      <c r="D328" s="616">
        <v>1</v>
      </c>
      <c r="E328" s="1693">
        <v>301</v>
      </c>
      <c r="F328" s="616">
        <v>1</v>
      </c>
      <c r="G328" s="1693">
        <v>328</v>
      </c>
      <c r="H328" s="616">
        <v>1</v>
      </c>
      <c r="J328" s="709" t="s">
        <v>512</v>
      </c>
      <c r="K328" s="1764" t="s">
        <v>1216</v>
      </c>
      <c r="L328" s="330"/>
      <c r="M328" s="244"/>
      <c r="N328" s="4"/>
      <c r="O328" s="27"/>
      <c r="P328" s="3"/>
      <c r="Q328" s="4"/>
      <c r="R328" s="4"/>
      <c r="S328" s="3" t="s">
        <v>375</v>
      </c>
      <c r="T328" s="3"/>
      <c r="U328" s="3"/>
      <c r="V328" s="3"/>
      <c r="W328" s="1800"/>
      <c r="X328" s="2053"/>
      <c r="Y328" s="2004"/>
      <c r="Z328" s="2004"/>
      <c r="AA328" s="2004"/>
      <c r="AB328" s="2004"/>
      <c r="AC328" s="2004"/>
      <c r="AD328" s="2004"/>
      <c r="AE328" s="2004"/>
      <c r="AF328" s="2004"/>
      <c r="AG328" s="2004"/>
      <c r="AH328" s="2004"/>
      <c r="AI328" s="2004"/>
      <c r="AJ328" s="2002">
        <v>0</v>
      </c>
      <c r="AK328" s="2002">
        <v>0</v>
      </c>
      <c r="AL328" s="2002">
        <v>0</v>
      </c>
      <c r="AM328" s="2002">
        <v>0</v>
      </c>
      <c r="AN328" s="2002">
        <v>0</v>
      </c>
      <c r="AO328" s="2002">
        <v>0</v>
      </c>
      <c r="AP328" s="2002">
        <v>0</v>
      </c>
    </row>
    <row r="329" spans="1:42" ht="15" customHeight="1">
      <c r="A329" s="1693">
        <v>1</v>
      </c>
      <c r="B329" s="616">
        <v>1</v>
      </c>
      <c r="C329" s="1693">
        <v>270</v>
      </c>
      <c r="D329" s="616">
        <v>1</v>
      </c>
      <c r="E329" s="1693">
        <v>302</v>
      </c>
      <c r="F329" s="616">
        <v>1</v>
      </c>
      <c r="G329" s="1693">
        <v>329</v>
      </c>
      <c r="H329" s="616">
        <v>1</v>
      </c>
      <c r="J329" s="709" t="s">
        <v>512</v>
      </c>
      <c r="K329" s="1764" t="s">
        <v>1216</v>
      </c>
      <c r="L329" s="330"/>
      <c r="M329" s="244"/>
      <c r="N329" s="4"/>
      <c r="O329" s="27"/>
      <c r="P329" s="3"/>
      <c r="Q329" s="4"/>
      <c r="R329" s="4"/>
      <c r="S329" s="3" t="s">
        <v>376</v>
      </c>
      <c r="T329" s="3"/>
      <c r="U329" s="3"/>
      <c r="V329" s="3"/>
      <c r="W329" s="1800"/>
      <c r="X329" s="2053"/>
      <c r="Y329" s="2004"/>
      <c r="Z329" s="2004"/>
      <c r="AA329" s="2004"/>
      <c r="AB329" s="2004"/>
      <c r="AC329" s="2004"/>
      <c r="AD329" s="2004"/>
      <c r="AE329" s="2004"/>
      <c r="AF329" s="2004"/>
      <c r="AG329" s="2004"/>
      <c r="AH329" s="2004"/>
      <c r="AI329" s="2004"/>
      <c r="AJ329" s="2002">
        <v>0</v>
      </c>
      <c r="AK329" s="2002">
        <v>0</v>
      </c>
      <c r="AL329" s="2002">
        <v>0</v>
      </c>
      <c r="AM329" s="2002">
        <v>0</v>
      </c>
      <c r="AN329" s="2002">
        <v>0</v>
      </c>
      <c r="AO329" s="2002">
        <v>0</v>
      </c>
      <c r="AP329" s="2002">
        <v>0</v>
      </c>
    </row>
    <row r="330" spans="1:42" ht="15" customHeight="1">
      <c r="A330" s="1693">
        <v>248</v>
      </c>
      <c r="B330" s="616">
        <v>1</v>
      </c>
      <c r="C330" s="1693">
        <v>271</v>
      </c>
      <c r="D330" s="616">
        <v>1</v>
      </c>
      <c r="E330" s="1693">
        <v>303</v>
      </c>
      <c r="F330" s="616">
        <v>1</v>
      </c>
      <c r="G330" s="1693">
        <v>330</v>
      </c>
      <c r="H330" s="616">
        <v>1</v>
      </c>
      <c r="J330" s="709" t="s">
        <v>512</v>
      </c>
      <c r="K330" s="1764" t="s">
        <v>1216</v>
      </c>
      <c r="L330" s="8"/>
      <c r="M330" s="8"/>
      <c r="N330" s="4"/>
      <c r="O330" s="27"/>
      <c r="P330" s="3"/>
      <c r="Q330" s="4"/>
      <c r="R330" s="4"/>
      <c r="S330" s="3" t="s">
        <v>1054</v>
      </c>
      <c r="T330" s="3"/>
      <c r="U330" s="3"/>
      <c r="V330" s="3"/>
      <c r="W330" s="1794"/>
      <c r="X330" s="2031">
        <v>0</v>
      </c>
      <c r="Y330" s="2032">
        <v>0</v>
      </c>
      <c r="Z330" s="2032">
        <v>0</v>
      </c>
      <c r="AA330" s="2032">
        <v>0</v>
      </c>
      <c r="AB330" s="2032">
        <v>0</v>
      </c>
      <c r="AC330" s="2032">
        <v>0</v>
      </c>
      <c r="AD330" s="2032">
        <v>0</v>
      </c>
      <c r="AE330" s="2032">
        <v>0</v>
      </c>
      <c r="AF330" s="2032">
        <v>0</v>
      </c>
      <c r="AG330" s="2032">
        <v>0</v>
      </c>
      <c r="AH330" s="2032">
        <v>0</v>
      </c>
      <c r="AI330" s="2032">
        <v>0</v>
      </c>
      <c r="AJ330" s="2002">
        <v>0</v>
      </c>
      <c r="AK330" s="2002">
        <v>0</v>
      </c>
      <c r="AL330" s="2002">
        <v>0</v>
      </c>
      <c r="AM330" s="2002">
        <v>0</v>
      </c>
      <c r="AN330" s="2002">
        <v>0</v>
      </c>
      <c r="AO330" s="2002">
        <v>0</v>
      </c>
      <c r="AP330" s="2002">
        <v>0</v>
      </c>
    </row>
    <row r="331" spans="1:42" ht="14.5">
      <c r="A331" s="1693">
        <v>249</v>
      </c>
      <c r="B331" s="616">
        <v>1</v>
      </c>
      <c r="C331" s="1693">
        <v>272</v>
      </c>
      <c r="D331" s="616">
        <v>1</v>
      </c>
      <c r="E331" s="1693">
        <v>304</v>
      </c>
      <c r="F331" s="616">
        <v>1</v>
      </c>
      <c r="G331" s="1693">
        <v>331</v>
      </c>
      <c r="H331" s="616">
        <v>1</v>
      </c>
      <c r="J331" s="709" t="s">
        <v>512</v>
      </c>
      <c r="K331" s="1764" t="s">
        <v>1216</v>
      </c>
      <c r="L331" s="4"/>
      <c r="M331" s="4"/>
      <c r="N331" s="4"/>
      <c r="O331" s="253" t="s">
        <v>29</v>
      </c>
      <c r="P331" s="595"/>
      <c r="Q331" s="867"/>
      <c r="R331" s="867"/>
      <c r="S331" s="595"/>
      <c r="T331" s="595"/>
      <c r="U331" s="595"/>
      <c r="V331" s="595"/>
      <c r="W331" s="1798"/>
      <c r="X331" s="2048">
        <v>0</v>
      </c>
      <c r="Y331" s="2049">
        <v>0</v>
      </c>
      <c r="Z331" s="2049">
        <v>0</v>
      </c>
      <c r="AA331" s="2049">
        <v>0</v>
      </c>
      <c r="AB331" s="2049">
        <v>0</v>
      </c>
      <c r="AC331" s="2049">
        <v>0</v>
      </c>
      <c r="AD331" s="2049">
        <v>0</v>
      </c>
      <c r="AE331" s="2049">
        <v>0</v>
      </c>
      <c r="AF331" s="2049">
        <v>0</v>
      </c>
      <c r="AG331" s="2049">
        <v>0</v>
      </c>
      <c r="AH331" s="2049">
        <v>0</v>
      </c>
      <c r="AI331" s="2049">
        <v>0</v>
      </c>
      <c r="AJ331" s="2050">
        <v>0</v>
      </c>
      <c r="AK331" s="2050">
        <v>0</v>
      </c>
      <c r="AL331" s="2050">
        <v>0</v>
      </c>
      <c r="AM331" s="2050">
        <v>0</v>
      </c>
      <c r="AN331" s="2050">
        <v>0</v>
      </c>
      <c r="AO331" s="2050">
        <v>0</v>
      </c>
      <c r="AP331" s="2050">
        <v>0</v>
      </c>
    </row>
    <row r="332" spans="1:42" ht="14.5">
      <c r="A332" s="1693">
        <v>250</v>
      </c>
      <c r="B332" s="616">
        <v>1</v>
      </c>
      <c r="C332" s="1693">
        <v>273</v>
      </c>
      <c r="D332" s="616">
        <v>1</v>
      </c>
      <c r="E332" s="1693">
        <v>305</v>
      </c>
      <c r="F332" s="616">
        <v>1</v>
      </c>
      <c r="G332" s="1693">
        <v>332</v>
      </c>
      <c r="H332" s="616">
        <v>1</v>
      </c>
      <c r="J332" s="709" t="s">
        <v>512</v>
      </c>
      <c r="K332" s="1764" t="s">
        <v>1216</v>
      </c>
      <c r="L332" s="4"/>
      <c r="M332" s="4"/>
      <c r="N332" s="4"/>
      <c r="O332" s="27"/>
      <c r="P332" s="36" t="s">
        <v>63</v>
      </c>
      <c r="Q332" s="4"/>
      <c r="R332" s="4"/>
      <c r="S332" s="3"/>
      <c r="T332" s="3"/>
      <c r="U332" s="3"/>
      <c r="V332" s="3"/>
      <c r="W332" s="1800"/>
      <c r="X332" s="2053"/>
      <c r="Y332" s="2004"/>
      <c r="Z332" s="2004"/>
      <c r="AA332" s="2004"/>
      <c r="AB332" s="2004"/>
      <c r="AC332" s="2004"/>
      <c r="AD332" s="2004"/>
      <c r="AE332" s="2004"/>
      <c r="AF332" s="2004"/>
      <c r="AG332" s="2004"/>
      <c r="AH332" s="2004"/>
      <c r="AI332" s="2004"/>
      <c r="AJ332" s="2002">
        <v>0</v>
      </c>
      <c r="AK332" s="2002">
        <v>0</v>
      </c>
      <c r="AL332" s="2002">
        <v>0</v>
      </c>
      <c r="AM332" s="2002">
        <v>0</v>
      </c>
      <c r="AN332" s="2002">
        <v>0</v>
      </c>
      <c r="AO332" s="2002">
        <v>0</v>
      </c>
      <c r="AP332" s="2002">
        <v>0</v>
      </c>
    </row>
    <row r="333" spans="1:42" ht="14.5">
      <c r="A333" s="1693">
        <v>251</v>
      </c>
      <c r="B333" s="616">
        <v>1</v>
      </c>
      <c r="C333" s="1693">
        <v>274</v>
      </c>
      <c r="D333" s="616">
        <v>1</v>
      </c>
      <c r="E333" s="1693">
        <v>306</v>
      </c>
      <c r="F333" s="616">
        <v>1</v>
      </c>
      <c r="G333" s="1693">
        <v>333</v>
      </c>
      <c r="H333" s="616">
        <v>1</v>
      </c>
      <c r="J333" s="709" t="s">
        <v>512</v>
      </c>
      <c r="K333" s="1764" t="s">
        <v>1216</v>
      </c>
      <c r="L333" s="4"/>
      <c r="M333" s="4"/>
      <c r="N333" s="4"/>
      <c r="O333" s="27"/>
      <c r="P333" s="36" t="s">
        <v>28</v>
      </c>
      <c r="Q333" s="4"/>
      <c r="R333" s="4"/>
      <c r="S333" s="3"/>
      <c r="T333" s="3"/>
      <c r="U333" s="3"/>
      <c r="V333" s="3"/>
      <c r="W333" s="1800"/>
      <c r="X333" s="2053"/>
      <c r="Y333" s="2004"/>
      <c r="Z333" s="2004"/>
      <c r="AA333" s="2004"/>
      <c r="AB333" s="2004"/>
      <c r="AC333" s="2004"/>
      <c r="AD333" s="2004"/>
      <c r="AE333" s="2004"/>
      <c r="AF333" s="2004"/>
      <c r="AG333" s="2004"/>
      <c r="AH333" s="2004"/>
      <c r="AI333" s="2004"/>
      <c r="AJ333" s="2002">
        <v>0</v>
      </c>
      <c r="AK333" s="2002">
        <v>0</v>
      </c>
      <c r="AL333" s="2002">
        <v>0</v>
      </c>
      <c r="AM333" s="2002">
        <v>0</v>
      </c>
      <c r="AN333" s="2002">
        <v>0</v>
      </c>
      <c r="AO333" s="2002">
        <v>0</v>
      </c>
      <c r="AP333" s="2002">
        <v>0</v>
      </c>
    </row>
    <row r="334" spans="1:42" ht="14.5">
      <c r="A334" s="1693">
        <v>252</v>
      </c>
      <c r="B334" s="616">
        <v>1</v>
      </c>
      <c r="C334" s="1693">
        <v>275</v>
      </c>
      <c r="D334" s="616">
        <v>1</v>
      </c>
      <c r="E334" s="1693">
        <v>307</v>
      </c>
      <c r="F334" s="616">
        <v>1</v>
      </c>
      <c r="G334" s="1693">
        <v>334</v>
      </c>
      <c r="H334" s="616">
        <v>1</v>
      </c>
      <c r="J334" s="709" t="s">
        <v>512</v>
      </c>
      <c r="K334" s="1764" t="s">
        <v>1216</v>
      </c>
      <c r="L334" s="4"/>
      <c r="M334" s="4"/>
      <c r="N334" s="4"/>
      <c r="O334" s="27"/>
      <c r="P334" s="36" t="s">
        <v>62</v>
      </c>
      <c r="Q334" s="4"/>
      <c r="R334" s="4"/>
      <c r="S334" s="3"/>
      <c r="T334" s="3"/>
      <c r="U334" s="3"/>
      <c r="V334" s="3"/>
      <c r="W334" s="1800"/>
      <c r="X334" s="2053"/>
      <c r="Y334" s="2004"/>
      <c r="Z334" s="2004"/>
      <c r="AA334" s="2004"/>
      <c r="AB334" s="2004"/>
      <c r="AC334" s="2004"/>
      <c r="AD334" s="2004"/>
      <c r="AE334" s="2004"/>
      <c r="AF334" s="2004"/>
      <c r="AG334" s="2004"/>
      <c r="AH334" s="2004"/>
      <c r="AI334" s="2004"/>
      <c r="AJ334" s="2002">
        <v>0</v>
      </c>
      <c r="AK334" s="2002">
        <v>0</v>
      </c>
      <c r="AL334" s="2002">
        <v>0</v>
      </c>
      <c r="AM334" s="2002">
        <v>0</v>
      </c>
      <c r="AN334" s="2002">
        <v>0</v>
      </c>
      <c r="AO334" s="2002">
        <v>0</v>
      </c>
      <c r="AP334" s="2002">
        <v>0</v>
      </c>
    </row>
    <row r="335" spans="1:42" ht="14.5">
      <c r="A335" s="1693">
        <v>253</v>
      </c>
      <c r="B335" s="616">
        <v>1</v>
      </c>
      <c r="C335" s="1693">
        <v>276</v>
      </c>
      <c r="D335" s="616">
        <v>1</v>
      </c>
      <c r="E335" s="1693">
        <v>308</v>
      </c>
      <c r="F335" s="616">
        <v>1</v>
      </c>
      <c r="G335" s="1693">
        <v>335</v>
      </c>
      <c r="H335" s="616">
        <v>1</v>
      </c>
      <c r="J335" s="709" t="s">
        <v>512</v>
      </c>
      <c r="K335" s="1764" t="s">
        <v>1216</v>
      </c>
      <c r="L335" s="4"/>
      <c r="M335" s="4"/>
      <c r="N335" s="4"/>
      <c r="O335" s="253" t="s">
        <v>56</v>
      </c>
      <c r="P335" s="595"/>
      <c r="Q335" s="867"/>
      <c r="R335" s="867"/>
      <c r="S335" s="867"/>
      <c r="T335" s="867"/>
      <c r="U335" s="867"/>
      <c r="V335" s="867"/>
      <c r="W335" s="1798"/>
      <c r="X335" s="2048">
        <v>0</v>
      </c>
      <c r="Y335" s="2049">
        <v>0</v>
      </c>
      <c r="Z335" s="2049">
        <v>0</v>
      </c>
      <c r="AA335" s="2049">
        <v>0</v>
      </c>
      <c r="AB335" s="2049">
        <v>0</v>
      </c>
      <c r="AC335" s="2049">
        <v>0</v>
      </c>
      <c r="AD335" s="2049">
        <v>0</v>
      </c>
      <c r="AE335" s="2049">
        <v>0</v>
      </c>
      <c r="AF335" s="2049">
        <v>0</v>
      </c>
      <c r="AG335" s="2049">
        <v>0</v>
      </c>
      <c r="AH335" s="2049">
        <v>0</v>
      </c>
      <c r="AI335" s="2049">
        <v>0</v>
      </c>
      <c r="AJ335" s="2050">
        <v>0</v>
      </c>
      <c r="AK335" s="2050">
        <v>0</v>
      </c>
      <c r="AL335" s="2050">
        <v>0</v>
      </c>
      <c r="AM335" s="2050">
        <v>0</v>
      </c>
      <c r="AN335" s="2050">
        <v>0</v>
      </c>
      <c r="AO335" s="2050">
        <v>0</v>
      </c>
      <c r="AP335" s="2050">
        <v>0</v>
      </c>
    </row>
    <row r="336" spans="1:42" ht="14.5">
      <c r="A336" s="1693">
        <v>254</v>
      </c>
      <c r="B336" s="616">
        <v>1</v>
      </c>
      <c r="C336" s="1693">
        <v>277</v>
      </c>
      <c r="D336" s="616">
        <v>1</v>
      </c>
      <c r="E336" s="1693">
        <v>309</v>
      </c>
      <c r="F336" s="616">
        <v>1</v>
      </c>
      <c r="G336" s="1693">
        <v>336</v>
      </c>
      <c r="H336" s="616">
        <v>1</v>
      </c>
      <c r="J336" s="709" t="s">
        <v>512</v>
      </c>
      <c r="K336" s="1764" t="s">
        <v>1216</v>
      </c>
      <c r="L336" s="4"/>
      <c r="M336" s="4"/>
      <c r="N336" s="4"/>
      <c r="O336" s="25"/>
      <c r="P336" s="511" t="s">
        <v>55</v>
      </c>
      <c r="Q336" s="2"/>
      <c r="R336" s="2"/>
      <c r="S336" s="1"/>
      <c r="T336" s="1"/>
      <c r="U336" s="1"/>
      <c r="V336" s="1"/>
      <c r="W336" s="1792"/>
      <c r="X336" s="1323">
        <v>0</v>
      </c>
      <c r="Y336" s="1322">
        <v>0</v>
      </c>
      <c r="Z336" s="1322">
        <v>0</v>
      </c>
      <c r="AA336" s="1322">
        <v>0</v>
      </c>
      <c r="AB336" s="1322">
        <v>0</v>
      </c>
      <c r="AC336" s="1322">
        <v>0</v>
      </c>
      <c r="AD336" s="1322">
        <v>0</v>
      </c>
      <c r="AE336" s="1322">
        <v>0</v>
      </c>
      <c r="AF336" s="1322">
        <v>0</v>
      </c>
      <c r="AG336" s="1322">
        <v>0</v>
      </c>
      <c r="AH336" s="1322">
        <v>0</v>
      </c>
      <c r="AI336" s="1322">
        <v>0</v>
      </c>
      <c r="AJ336" s="1322">
        <v>0</v>
      </c>
      <c r="AK336" s="1322">
        <v>0</v>
      </c>
      <c r="AL336" s="1322">
        <v>0</v>
      </c>
      <c r="AM336" s="1322">
        <v>0</v>
      </c>
      <c r="AN336" s="1322">
        <v>0</v>
      </c>
      <c r="AO336" s="1322">
        <v>0</v>
      </c>
      <c r="AP336" s="1322">
        <v>0</v>
      </c>
    </row>
    <row r="337" spans="1:42" ht="14.5">
      <c r="A337" s="1693">
        <v>255</v>
      </c>
      <c r="B337" s="616">
        <v>1</v>
      </c>
      <c r="C337" s="1693">
        <v>278</v>
      </c>
      <c r="D337" s="616">
        <v>1</v>
      </c>
      <c r="E337" s="1693">
        <v>310</v>
      </c>
      <c r="F337" s="616">
        <v>1</v>
      </c>
      <c r="G337" s="1693">
        <v>337</v>
      </c>
      <c r="H337" s="616">
        <v>1</v>
      </c>
      <c r="J337" s="709" t="s">
        <v>512</v>
      </c>
      <c r="K337" s="1764" t="s">
        <v>1216</v>
      </c>
      <c r="L337" s="4"/>
      <c r="M337" s="4"/>
      <c r="N337" s="4"/>
      <c r="O337" s="198" t="s">
        <v>994</v>
      </c>
      <c r="P337" s="447"/>
      <c r="Q337" s="514"/>
      <c r="R337" s="514"/>
      <c r="S337" s="447"/>
      <c r="T337" s="447"/>
      <c r="U337" s="447"/>
      <c r="V337" s="447"/>
      <c r="W337" s="1800"/>
      <c r="X337" s="1912"/>
      <c r="Y337" s="2016"/>
      <c r="Z337" s="2016"/>
      <c r="AA337" s="2016"/>
      <c r="AB337" s="2016"/>
      <c r="AC337" s="2016"/>
      <c r="AD337" s="2016"/>
      <c r="AE337" s="2016"/>
      <c r="AF337" s="2016"/>
      <c r="AG337" s="2016"/>
      <c r="AH337" s="2016"/>
      <c r="AI337" s="2016"/>
      <c r="AJ337" s="1978">
        <v>0</v>
      </c>
      <c r="AK337" s="1978">
        <v>0</v>
      </c>
      <c r="AL337" s="1978">
        <v>0</v>
      </c>
      <c r="AM337" s="1978">
        <v>0</v>
      </c>
      <c r="AN337" s="1978">
        <v>0</v>
      </c>
      <c r="AO337" s="1978">
        <v>0</v>
      </c>
      <c r="AP337" s="1978">
        <v>0</v>
      </c>
    </row>
    <row r="338" spans="1:42" ht="14.5">
      <c r="A338" s="1693">
        <v>256</v>
      </c>
      <c r="B338" s="616">
        <v>1</v>
      </c>
      <c r="C338" s="1693">
        <v>279</v>
      </c>
      <c r="D338" s="616">
        <v>1</v>
      </c>
      <c r="E338" s="1693">
        <v>311</v>
      </c>
      <c r="F338" s="616">
        <v>1</v>
      </c>
      <c r="G338" s="1693">
        <v>338</v>
      </c>
      <c r="H338" s="616">
        <v>1</v>
      </c>
      <c r="J338" s="709" t="s">
        <v>512</v>
      </c>
      <c r="K338" s="1764" t="s">
        <v>1216</v>
      </c>
      <c r="L338" s="4"/>
      <c r="M338" s="4"/>
      <c r="N338" s="4"/>
      <c r="O338" s="106" t="s">
        <v>995</v>
      </c>
      <c r="P338" s="104"/>
      <c r="Q338" s="105"/>
      <c r="R338" s="105"/>
      <c r="S338" s="104"/>
      <c r="T338" s="104"/>
      <c r="U338" s="104"/>
      <c r="V338" s="104"/>
      <c r="W338" s="1800"/>
      <c r="X338" s="2055"/>
      <c r="Y338" s="2018"/>
      <c r="Z338" s="2018"/>
      <c r="AA338" s="2018"/>
      <c r="AB338" s="2018"/>
      <c r="AC338" s="2018"/>
      <c r="AD338" s="2018"/>
      <c r="AE338" s="2018"/>
      <c r="AF338" s="2018"/>
      <c r="AG338" s="2018"/>
      <c r="AH338" s="2018"/>
      <c r="AI338" s="2018"/>
      <c r="AJ338" s="1980">
        <v>0</v>
      </c>
      <c r="AK338" s="1980">
        <v>0</v>
      </c>
      <c r="AL338" s="1980">
        <v>0</v>
      </c>
      <c r="AM338" s="1980">
        <v>0</v>
      </c>
      <c r="AN338" s="1980">
        <v>0</v>
      </c>
      <c r="AO338" s="1980">
        <v>0</v>
      </c>
      <c r="AP338" s="1980">
        <v>0</v>
      </c>
    </row>
    <row r="339" spans="1:42" ht="14.5">
      <c r="A339" s="1693">
        <v>257</v>
      </c>
      <c r="B339" s="616">
        <v>1</v>
      </c>
      <c r="C339" s="1693">
        <v>280</v>
      </c>
      <c r="D339" s="616">
        <v>1</v>
      </c>
      <c r="E339" s="1693">
        <v>312</v>
      </c>
      <c r="F339" s="616">
        <v>1</v>
      </c>
      <c r="G339" s="1693">
        <v>339</v>
      </c>
      <c r="H339" s="616">
        <v>1</v>
      </c>
      <c r="J339" s="709" t="s">
        <v>512</v>
      </c>
      <c r="K339" s="1764" t="s">
        <v>1216</v>
      </c>
      <c r="L339" s="4"/>
      <c r="M339" s="4"/>
      <c r="N339" s="4"/>
      <c r="O339" s="253" t="s">
        <v>1</v>
      </c>
      <c r="P339" s="595"/>
      <c r="Q339" s="867"/>
      <c r="R339" s="867"/>
      <c r="S339" s="867"/>
      <c r="T339" s="867"/>
      <c r="U339" s="867"/>
      <c r="V339" s="867"/>
      <c r="W339" s="1798"/>
      <c r="X339" s="2048">
        <v>0</v>
      </c>
      <c r="Y339" s="2049">
        <v>0</v>
      </c>
      <c r="Z339" s="2049">
        <v>0</v>
      </c>
      <c r="AA339" s="2049">
        <v>0</v>
      </c>
      <c r="AB339" s="2049">
        <v>0</v>
      </c>
      <c r="AC339" s="2049">
        <v>0</v>
      </c>
      <c r="AD339" s="2049">
        <v>0</v>
      </c>
      <c r="AE339" s="2049">
        <v>0</v>
      </c>
      <c r="AF339" s="2049">
        <v>0</v>
      </c>
      <c r="AG339" s="2049">
        <v>0</v>
      </c>
      <c r="AH339" s="2049">
        <v>0</v>
      </c>
      <c r="AI339" s="2049">
        <v>0</v>
      </c>
      <c r="AJ339" s="2050">
        <v>0</v>
      </c>
      <c r="AK339" s="2050">
        <v>0</v>
      </c>
      <c r="AL339" s="2050">
        <v>0</v>
      </c>
      <c r="AM339" s="2050">
        <v>0</v>
      </c>
      <c r="AN339" s="2050">
        <v>0</v>
      </c>
      <c r="AO339" s="2050">
        <v>0</v>
      </c>
      <c r="AP339" s="2050">
        <v>0</v>
      </c>
    </row>
    <row r="340" spans="1:42" ht="14.5">
      <c r="A340" s="1693">
        <v>258</v>
      </c>
      <c r="B340" s="616">
        <v>1</v>
      </c>
      <c r="C340" s="1693">
        <v>281</v>
      </c>
      <c r="D340" s="616">
        <v>1</v>
      </c>
      <c r="E340" s="1693">
        <v>313</v>
      </c>
      <c r="F340" s="616">
        <v>1</v>
      </c>
      <c r="G340" s="1693">
        <v>340</v>
      </c>
      <c r="H340" s="616">
        <v>1</v>
      </c>
      <c r="J340" s="709" t="s">
        <v>512</v>
      </c>
      <c r="K340" s="1764" t="s">
        <v>1216</v>
      </c>
      <c r="L340" s="4"/>
      <c r="M340" s="4"/>
      <c r="N340" s="4"/>
      <c r="O340" s="25"/>
      <c r="P340" s="511" t="s">
        <v>55</v>
      </c>
      <c r="Q340" s="2"/>
      <c r="R340" s="2"/>
      <c r="S340" s="1"/>
      <c r="T340" s="1"/>
      <c r="U340" s="1"/>
      <c r="V340" s="1"/>
      <c r="W340" s="1792"/>
      <c r="X340" s="1323">
        <v>0</v>
      </c>
      <c r="Y340" s="1322">
        <v>0</v>
      </c>
      <c r="Z340" s="1322">
        <v>0</v>
      </c>
      <c r="AA340" s="1322">
        <v>0</v>
      </c>
      <c r="AB340" s="1322">
        <v>0</v>
      </c>
      <c r="AC340" s="1322">
        <v>0</v>
      </c>
      <c r="AD340" s="1322">
        <v>0</v>
      </c>
      <c r="AE340" s="1322">
        <v>0</v>
      </c>
      <c r="AF340" s="1322">
        <v>0</v>
      </c>
      <c r="AG340" s="1322">
        <v>0</v>
      </c>
      <c r="AH340" s="1322">
        <v>0</v>
      </c>
      <c r="AI340" s="1322">
        <v>0</v>
      </c>
      <c r="AJ340" s="1322">
        <v>0</v>
      </c>
      <c r="AK340" s="1322">
        <v>0</v>
      </c>
      <c r="AL340" s="1322">
        <v>0</v>
      </c>
      <c r="AM340" s="1322">
        <v>0</v>
      </c>
      <c r="AN340" s="1322">
        <v>0</v>
      </c>
      <c r="AO340" s="1322">
        <v>0</v>
      </c>
      <c r="AP340" s="1322">
        <v>0</v>
      </c>
    </row>
    <row r="341" spans="1:42" ht="14.5">
      <c r="A341" s="1693">
        <v>1</v>
      </c>
      <c r="B341" s="616">
        <v>1</v>
      </c>
      <c r="C341" s="1693">
        <v>1</v>
      </c>
      <c r="D341" s="616">
        <v>1</v>
      </c>
      <c r="E341" s="1693">
        <v>314</v>
      </c>
      <c r="F341" s="616">
        <v>1</v>
      </c>
      <c r="G341" s="1693">
        <v>341</v>
      </c>
      <c r="H341" s="616">
        <v>1</v>
      </c>
      <c r="J341" s="709" t="s">
        <v>512</v>
      </c>
      <c r="K341" s="69"/>
      <c r="L341" s="8"/>
      <c r="M341" s="737"/>
      <c r="N341" s="4"/>
      <c r="O341" s="4"/>
      <c r="P341" s="3"/>
      <c r="Q341" s="742" t="s">
        <v>1055</v>
      </c>
      <c r="R341" s="707"/>
      <c r="S341" s="586"/>
      <c r="T341" s="586"/>
      <c r="U341" s="586"/>
      <c r="V341" s="586"/>
      <c r="W341" s="1785"/>
      <c r="X341" s="1368">
        <v>0</v>
      </c>
      <c r="Y341" s="1368">
        <v>0</v>
      </c>
      <c r="Z341" s="1368">
        <v>0</v>
      </c>
      <c r="AA341" s="1368">
        <v>0</v>
      </c>
      <c r="AB341" s="1368">
        <v>0</v>
      </c>
      <c r="AC341" s="1368">
        <v>0</v>
      </c>
      <c r="AD341" s="1368">
        <v>0</v>
      </c>
      <c r="AE341" s="1368">
        <v>0</v>
      </c>
      <c r="AF341" s="1368">
        <v>0</v>
      </c>
      <c r="AG341" s="1368">
        <v>0</v>
      </c>
      <c r="AH341" s="1368">
        <v>0</v>
      </c>
      <c r="AI341" s="1368">
        <v>0</v>
      </c>
      <c r="AJ341" s="2035">
        <v>0</v>
      </c>
      <c r="AK341" s="1368">
        <v>0</v>
      </c>
      <c r="AL341" s="1368">
        <v>0</v>
      </c>
      <c r="AM341" s="1368">
        <v>0</v>
      </c>
      <c r="AN341" s="1368">
        <v>0</v>
      </c>
      <c r="AO341" s="1368">
        <v>0</v>
      </c>
      <c r="AP341" s="1368">
        <v>0</v>
      </c>
    </row>
    <row r="342" spans="1:42" ht="14.5">
      <c r="A342" s="1693">
        <v>1</v>
      </c>
      <c r="B342" s="616">
        <v>1</v>
      </c>
      <c r="C342" s="1693">
        <v>1</v>
      </c>
      <c r="D342" s="616">
        <v>1</v>
      </c>
      <c r="E342" s="1693">
        <v>315</v>
      </c>
      <c r="F342" s="616">
        <v>1</v>
      </c>
      <c r="G342" s="1693">
        <v>342</v>
      </c>
      <c r="H342" s="616">
        <v>1</v>
      </c>
      <c r="J342" s="709" t="s">
        <v>512</v>
      </c>
      <c r="K342" s="69"/>
      <c r="L342" s="8"/>
      <c r="M342" s="737"/>
      <c r="N342" s="4"/>
      <c r="O342" s="4"/>
      <c r="P342" s="3"/>
      <c r="Q342" s="27"/>
      <c r="R342" s="572" t="s">
        <v>509</v>
      </c>
      <c r="S342" s="251"/>
      <c r="T342" s="251"/>
      <c r="U342" s="251"/>
      <c r="V342" s="251"/>
      <c r="W342" s="1849"/>
      <c r="X342" s="1986">
        <v>0</v>
      </c>
      <c r="Y342" s="1986">
        <v>0</v>
      </c>
      <c r="Z342" s="1986">
        <v>0</v>
      </c>
      <c r="AA342" s="1986">
        <v>0</v>
      </c>
      <c r="AB342" s="1986">
        <v>0</v>
      </c>
      <c r="AC342" s="1986">
        <v>0</v>
      </c>
      <c r="AD342" s="1987">
        <v>0</v>
      </c>
      <c r="AE342" s="1987">
        <v>0</v>
      </c>
      <c r="AF342" s="1987">
        <v>0</v>
      </c>
      <c r="AG342" s="1988">
        <v>0</v>
      </c>
      <c r="AH342" s="1988">
        <v>0</v>
      </c>
      <c r="AI342" s="1988">
        <v>0</v>
      </c>
      <c r="AJ342" s="1989">
        <v>0</v>
      </c>
      <c r="AK342" s="1988">
        <v>0</v>
      </c>
      <c r="AL342" s="1988">
        <v>0</v>
      </c>
      <c r="AM342" s="1988">
        <v>0</v>
      </c>
      <c r="AN342" s="1988">
        <v>0</v>
      </c>
      <c r="AO342" s="1988">
        <v>0</v>
      </c>
      <c r="AP342" s="1988">
        <v>0</v>
      </c>
    </row>
    <row r="343" spans="1:42" ht="14.5">
      <c r="A343" s="1693">
        <v>1</v>
      </c>
      <c r="B343" s="616">
        <v>1</v>
      </c>
      <c r="C343" s="1693">
        <v>1</v>
      </c>
      <c r="D343" s="616">
        <v>1</v>
      </c>
      <c r="E343" s="1693">
        <v>316</v>
      </c>
      <c r="F343" s="616">
        <v>1</v>
      </c>
      <c r="G343" s="1693">
        <v>343</v>
      </c>
      <c r="H343" s="616">
        <v>1</v>
      </c>
      <c r="J343" s="709" t="s">
        <v>512</v>
      </c>
      <c r="K343" s="69"/>
      <c r="L343" s="8"/>
      <c r="M343" s="737"/>
      <c r="N343" s="4"/>
      <c r="O343" s="4"/>
      <c r="P343" s="3"/>
      <c r="Q343" s="27"/>
      <c r="R343" s="27"/>
      <c r="S343" s="36" t="s">
        <v>63</v>
      </c>
      <c r="T343" s="3"/>
      <c r="U343" s="3"/>
      <c r="V343" s="3"/>
      <c r="W343" s="1990"/>
      <c r="X343" s="1991"/>
      <c r="Y343" s="1991"/>
      <c r="Z343" s="1991"/>
      <c r="AA343" s="1991"/>
      <c r="AB343" s="1991"/>
      <c r="AC343" s="1991"/>
      <c r="AD343" s="1922"/>
      <c r="AE343" s="1922"/>
      <c r="AF343" s="1922"/>
      <c r="AG343" s="1992"/>
      <c r="AH343" s="1992"/>
      <c r="AI343" s="1992"/>
      <c r="AJ343" s="1947">
        <v>0</v>
      </c>
      <c r="AK343" s="1948">
        <v>0</v>
      </c>
      <c r="AL343" s="1948">
        <v>0</v>
      </c>
      <c r="AM343" s="1948">
        <v>0</v>
      </c>
      <c r="AN343" s="1948">
        <v>0</v>
      </c>
      <c r="AO343" s="1948">
        <v>0</v>
      </c>
      <c r="AP343" s="1948">
        <v>0</v>
      </c>
    </row>
    <row r="344" spans="1:42" ht="14.5">
      <c r="A344" s="1693">
        <v>1</v>
      </c>
      <c r="B344" s="616">
        <v>1</v>
      </c>
      <c r="C344" s="1693">
        <v>1</v>
      </c>
      <c r="D344" s="616">
        <v>1</v>
      </c>
      <c r="E344" s="1693">
        <v>317</v>
      </c>
      <c r="F344" s="616">
        <v>1</v>
      </c>
      <c r="G344" s="1693">
        <v>344</v>
      </c>
      <c r="H344" s="616">
        <v>1</v>
      </c>
      <c r="J344" s="709" t="s">
        <v>512</v>
      </c>
      <c r="K344" s="69"/>
      <c r="L344" s="8"/>
      <c r="M344" s="737"/>
      <c r="N344" s="4"/>
      <c r="O344" s="4"/>
      <c r="P344" s="3"/>
      <c r="Q344" s="27"/>
      <c r="R344" s="27"/>
      <c r="S344" s="36" t="s">
        <v>28</v>
      </c>
      <c r="T344" s="3"/>
      <c r="U344" s="3"/>
      <c r="V344" s="3"/>
      <c r="W344" s="1990"/>
      <c r="X344" s="1991"/>
      <c r="Y344" s="1991"/>
      <c r="Z344" s="1991"/>
      <c r="AA344" s="1991"/>
      <c r="AB344" s="1991"/>
      <c r="AC344" s="1991"/>
      <c r="AD344" s="1922"/>
      <c r="AE344" s="1922"/>
      <c r="AF344" s="1922"/>
      <c r="AG344" s="1992"/>
      <c r="AH344" s="1992"/>
      <c r="AI344" s="1992"/>
      <c r="AJ344" s="1947">
        <v>0</v>
      </c>
      <c r="AK344" s="1948">
        <v>0</v>
      </c>
      <c r="AL344" s="1948">
        <v>0</v>
      </c>
      <c r="AM344" s="1948">
        <v>0</v>
      </c>
      <c r="AN344" s="1948">
        <v>0</v>
      </c>
      <c r="AO344" s="1948">
        <v>0</v>
      </c>
      <c r="AP344" s="1948">
        <v>0</v>
      </c>
    </row>
    <row r="345" spans="1:42" ht="14.5">
      <c r="A345" s="1693">
        <v>1</v>
      </c>
      <c r="B345" s="616">
        <v>1</v>
      </c>
      <c r="C345" s="1693">
        <v>1</v>
      </c>
      <c r="D345" s="616">
        <v>1</v>
      </c>
      <c r="E345" s="1693">
        <v>318</v>
      </c>
      <c r="F345" s="616">
        <v>1</v>
      </c>
      <c r="G345" s="1693">
        <v>345</v>
      </c>
      <c r="H345" s="616">
        <v>1</v>
      </c>
      <c r="J345" s="709" t="s">
        <v>512</v>
      </c>
      <c r="K345" s="69"/>
      <c r="L345" s="8"/>
      <c r="M345" s="737"/>
      <c r="N345" s="4"/>
      <c r="O345" s="4"/>
      <c r="P345" s="3"/>
      <c r="Q345" s="27"/>
      <c r="R345" s="25"/>
      <c r="S345" s="104" t="s">
        <v>62</v>
      </c>
      <c r="T345" s="1"/>
      <c r="U345" s="1"/>
      <c r="V345" s="1"/>
      <c r="W345" s="1990"/>
      <c r="X345" s="1993"/>
      <c r="Y345" s="1993"/>
      <c r="Z345" s="1993"/>
      <c r="AA345" s="1993"/>
      <c r="AB345" s="1993"/>
      <c r="AC345" s="1993"/>
      <c r="AD345" s="1932"/>
      <c r="AE345" s="1932"/>
      <c r="AF345" s="1932"/>
      <c r="AG345" s="1994"/>
      <c r="AH345" s="1994"/>
      <c r="AI345" s="1994"/>
      <c r="AJ345" s="1949">
        <v>0</v>
      </c>
      <c r="AK345" s="1950">
        <v>0</v>
      </c>
      <c r="AL345" s="1950">
        <v>0</v>
      </c>
      <c r="AM345" s="1950">
        <v>0</v>
      </c>
      <c r="AN345" s="1950">
        <v>0</v>
      </c>
      <c r="AO345" s="1950">
        <v>0</v>
      </c>
      <c r="AP345" s="1950">
        <v>0</v>
      </c>
    </row>
    <row r="346" spans="1:42" ht="14.5">
      <c r="A346" s="1693">
        <v>1</v>
      </c>
      <c r="B346" s="616">
        <v>1</v>
      </c>
      <c r="C346" s="1693">
        <v>1</v>
      </c>
      <c r="D346" s="616">
        <v>1</v>
      </c>
      <c r="E346" s="1693">
        <v>319</v>
      </c>
      <c r="F346" s="616">
        <v>1</v>
      </c>
      <c r="G346" s="1693">
        <v>346</v>
      </c>
      <c r="H346" s="616">
        <v>1</v>
      </c>
      <c r="J346" s="709" t="s">
        <v>512</v>
      </c>
      <c r="K346" s="69"/>
      <c r="L346" s="8"/>
      <c r="M346" s="737"/>
      <c r="N346" s="4"/>
      <c r="O346" s="4"/>
      <c r="P346" s="3"/>
      <c r="Q346" s="27"/>
      <c r="R346" s="572" t="s">
        <v>1015</v>
      </c>
      <c r="S346" s="586"/>
      <c r="T346" s="586"/>
      <c r="U346" s="586"/>
      <c r="V346" s="586"/>
      <c r="W346" s="1849"/>
      <c r="X346" s="1400">
        <v>0</v>
      </c>
      <c r="Y346" s="1400">
        <v>0</v>
      </c>
      <c r="Z346" s="1400">
        <v>0</v>
      </c>
      <c r="AA346" s="1400">
        <v>0</v>
      </c>
      <c r="AB346" s="1400">
        <v>0</v>
      </c>
      <c r="AC346" s="1400">
        <v>0</v>
      </c>
      <c r="AD346" s="1683">
        <v>0</v>
      </c>
      <c r="AE346" s="1683">
        <v>0</v>
      </c>
      <c r="AF346" s="1683">
        <v>0</v>
      </c>
      <c r="AG346" s="1941">
        <v>0</v>
      </c>
      <c r="AH346" s="1941">
        <v>0</v>
      </c>
      <c r="AI346" s="1941">
        <v>0</v>
      </c>
      <c r="AJ346" s="1942">
        <v>0</v>
      </c>
      <c r="AK346" s="1941">
        <v>0</v>
      </c>
      <c r="AL346" s="1941">
        <v>0</v>
      </c>
      <c r="AM346" s="1941">
        <v>0</v>
      </c>
      <c r="AN346" s="1941">
        <v>0</v>
      </c>
      <c r="AO346" s="1941">
        <v>0</v>
      </c>
      <c r="AP346" s="1941">
        <v>0</v>
      </c>
    </row>
    <row r="347" spans="1:42" ht="14.5">
      <c r="A347" s="1693">
        <v>1</v>
      </c>
      <c r="B347" s="616">
        <v>1</v>
      </c>
      <c r="C347" s="1693">
        <v>1</v>
      </c>
      <c r="D347" s="616">
        <v>1</v>
      </c>
      <c r="E347" s="1693">
        <v>320</v>
      </c>
      <c r="F347" s="616">
        <v>1</v>
      </c>
      <c r="G347" s="1693">
        <v>347</v>
      </c>
      <c r="H347" s="616">
        <v>1</v>
      </c>
      <c r="J347" s="709" t="s">
        <v>512</v>
      </c>
      <c r="K347" s="69"/>
      <c r="L347" s="8"/>
      <c r="M347" s="737"/>
      <c r="N347" s="4"/>
      <c r="O347" s="4"/>
      <c r="P347" s="3"/>
      <c r="Q347" s="27"/>
      <c r="R347" s="498"/>
      <c r="S347" s="553" t="s">
        <v>1016</v>
      </c>
      <c r="T347" s="47"/>
      <c r="U347" s="47"/>
      <c r="V347" s="47"/>
      <c r="W347" s="1776"/>
      <c r="X347" s="1334">
        <v>0</v>
      </c>
      <c r="Y347" s="1334">
        <v>0</v>
      </c>
      <c r="Z347" s="1334">
        <v>0</v>
      </c>
      <c r="AA347" s="1334">
        <v>0</v>
      </c>
      <c r="AB347" s="1334">
        <v>0</v>
      </c>
      <c r="AC347" s="1334">
        <v>0</v>
      </c>
      <c r="AD347" s="1334">
        <v>0</v>
      </c>
      <c r="AE347" s="1334">
        <v>0</v>
      </c>
      <c r="AF347" s="1334">
        <v>0</v>
      </c>
      <c r="AG347" s="1334">
        <v>0</v>
      </c>
      <c r="AH347" s="1334">
        <v>0</v>
      </c>
      <c r="AI347" s="1334">
        <v>0</v>
      </c>
      <c r="AJ347" s="1332">
        <v>0</v>
      </c>
      <c r="AK347" s="1334">
        <v>0</v>
      </c>
      <c r="AL347" s="1334">
        <v>0</v>
      </c>
      <c r="AM347" s="1334">
        <v>0</v>
      </c>
      <c r="AN347" s="1334">
        <v>0</v>
      </c>
      <c r="AO347" s="1334">
        <v>0</v>
      </c>
      <c r="AP347" s="1334">
        <v>0</v>
      </c>
    </row>
    <row r="348" spans="1:42" ht="14.5">
      <c r="A348" s="1693">
        <v>1</v>
      </c>
      <c r="B348" s="616">
        <v>1</v>
      </c>
      <c r="C348" s="1693">
        <v>1</v>
      </c>
      <c r="D348" s="616">
        <v>1</v>
      </c>
      <c r="E348" s="1693">
        <v>321</v>
      </c>
      <c r="F348" s="616">
        <v>1</v>
      </c>
      <c r="G348" s="1693">
        <v>348</v>
      </c>
      <c r="H348" s="616">
        <v>1</v>
      </c>
      <c r="J348" s="709" t="s">
        <v>512</v>
      </c>
      <c r="K348" s="69"/>
      <c r="L348" s="8"/>
      <c r="M348" s="737"/>
      <c r="N348" s="4"/>
      <c r="O348" s="4"/>
      <c r="P348" s="3"/>
      <c r="Q348" s="27"/>
      <c r="R348" s="27"/>
      <c r="S348" s="36" t="s">
        <v>63</v>
      </c>
      <c r="T348" s="3"/>
      <c r="U348" s="3"/>
      <c r="V348" s="3"/>
      <c r="W348" s="1849"/>
      <c r="X348" s="1378">
        <v>0</v>
      </c>
      <c r="Y348" s="1378">
        <v>0</v>
      </c>
      <c r="Z348" s="1378">
        <v>0</v>
      </c>
      <c r="AA348" s="1378">
        <v>0</v>
      </c>
      <c r="AB348" s="1378">
        <v>0</v>
      </c>
      <c r="AC348" s="1378">
        <v>0</v>
      </c>
      <c r="AD348" s="579">
        <v>0</v>
      </c>
      <c r="AE348" s="579">
        <v>0</v>
      </c>
      <c r="AF348" s="579">
        <v>0</v>
      </c>
      <c r="AG348" s="1969">
        <v>0</v>
      </c>
      <c r="AH348" s="1969">
        <v>0</v>
      </c>
      <c r="AI348" s="1969">
        <v>0</v>
      </c>
      <c r="AJ348" s="1995">
        <v>0</v>
      </c>
      <c r="AK348" s="1969">
        <v>0</v>
      </c>
      <c r="AL348" s="1969">
        <v>0</v>
      </c>
      <c r="AM348" s="1969">
        <v>0</v>
      </c>
      <c r="AN348" s="1969">
        <v>0</v>
      </c>
      <c r="AO348" s="1969">
        <v>0</v>
      </c>
      <c r="AP348" s="1969">
        <v>0</v>
      </c>
    </row>
    <row r="349" spans="1:42" ht="14.5">
      <c r="A349" s="1693">
        <v>1</v>
      </c>
      <c r="B349" s="616">
        <v>1</v>
      </c>
      <c r="C349" s="1693">
        <v>1</v>
      </c>
      <c r="D349" s="616">
        <v>1</v>
      </c>
      <c r="E349" s="1693">
        <v>322</v>
      </c>
      <c r="F349" s="616">
        <v>1</v>
      </c>
      <c r="G349" s="1693">
        <v>349</v>
      </c>
      <c r="H349" s="616">
        <v>1</v>
      </c>
      <c r="J349" s="709" t="s">
        <v>512</v>
      </c>
      <c r="K349" s="69"/>
      <c r="L349" s="8"/>
      <c r="M349" s="737"/>
      <c r="N349" s="4"/>
      <c r="O349" s="4"/>
      <c r="P349" s="3"/>
      <c r="Q349" s="27"/>
      <c r="R349" s="27"/>
      <c r="S349" s="36" t="s">
        <v>28</v>
      </c>
      <c r="T349" s="3"/>
      <c r="U349" s="3"/>
      <c r="V349" s="3"/>
      <c r="W349" s="1849"/>
      <c r="X349" s="1378">
        <v>0</v>
      </c>
      <c r="Y349" s="1378">
        <v>0</v>
      </c>
      <c r="Z349" s="1378">
        <v>0</v>
      </c>
      <c r="AA349" s="1378">
        <v>0</v>
      </c>
      <c r="AB349" s="1378">
        <v>0</v>
      </c>
      <c r="AC349" s="1378">
        <v>0</v>
      </c>
      <c r="AD349" s="579">
        <v>0</v>
      </c>
      <c r="AE349" s="579">
        <v>0</v>
      </c>
      <c r="AF349" s="579">
        <v>0</v>
      </c>
      <c r="AG349" s="1969">
        <v>0</v>
      </c>
      <c r="AH349" s="1969">
        <v>0</v>
      </c>
      <c r="AI349" s="1969">
        <v>0</v>
      </c>
      <c r="AJ349" s="1995">
        <v>0</v>
      </c>
      <c r="AK349" s="1969">
        <v>0</v>
      </c>
      <c r="AL349" s="1969">
        <v>0</v>
      </c>
      <c r="AM349" s="1969">
        <v>0</v>
      </c>
      <c r="AN349" s="1969">
        <v>0</v>
      </c>
      <c r="AO349" s="1969">
        <v>0</v>
      </c>
      <c r="AP349" s="1969">
        <v>0</v>
      </c>
    </row>
    <row r="350" spans="1:42" ht="14.5">
      <c r="A350" s="1693">
        <v>1</v>
      </c>
      <c r="B350" s="616">
        <v>1</v>
      </c>
      <c r="C350" s="1693">
        <v>1</v>
      </c>
      <c r="D350" s="616">
        <v>1</v>
      </c>
      <c r="E350" s="1693">
        <v>323</v>
      </c>
      <c r="F350" s="616">
        <v>1</v>
      </c>
      <c r="G350" s="1693">
        <v>350</v>
      </c>
      <c r="H350" s="616">
        <v>1</v>
      </c>
      <c r="J350" s="709" t="s">
        <v>512</v>
      </c>
      <c r="K350" s="69"/>
      <c r="L350" s="8"/>
      <c r="M350" s="737"/>
      <c r="N350" s="4"/>
      <c r="O350" s="4"/>
      <c r="P350" s="3"/>
      <c r="Q350" s="25"/>
      <c r="R350" s="25"/>
      <c r="S350" s="104" t="s">
        <v>62</v>
      </c>
      <c r="T350" s="1"/>
      <c r="U350" s="1"/>
      <c r="V350" s="1"/>
      <c r="W350" s="1849"/>
      <c r="X350" s="1379">
        <v>0</v>
      </c>
      <c r="Y350" s="1379">
        <v>0</v>
      </c>
      <c r="Z350" s="1379">
        <v>0</v>
      </c>
      <c r="AA350" s="1379">
        <v>0</v>
      </c>
      <c r="AB350" s="1379">
        <v>0</v>
      </c>
      <c r="AC350" s="1379">
        <v>0</v>
      </c>
      <c r="AD350" s="584">
        <v>0</v>
      </c>
      <c r="AE350" s="584">
        <v>0</v>
      </c>
      <c r="AF350" s="584">
        <v>0</v>
      </c>
      <c r="AG350" s="1943">
        <v>0</v>
      </c>
      <c r="AH350" s="1943">
        <v>0</v>
      </c>
      <c r="AI350" s="1943">
        <v>0</v>
      </c>
      <c r="AJ350" s="1944">
        <v>0</v>
      </c>
      <c r="AK350" s="1943">
        <v>0</v>
      </c>
      <c r="AL350" s="1943">
        <v>0</v>
      </c>
      <c r="AM350" s="1943">
        <v>0</v>
      </c>
      <c r="AN350" s="1943">
        <v>0</v>
      </c>
      <c r="AO350" s="1943">
        <v>0</v>
      </c>
      <c r="AP350" s="1943">
        <v>0</v>
      </c>
    </row>
    <row r="351" spans="1:42" ht="14.5">
      <c r="A351" s="1693">
        <v>1</v>
      </c>
      <c r="B351" s="616">
        <v>1</v>
      </c>
      <c r="C351" s="1693">
        <v>1</v>
      </c>
      <c r="D351" s="616">
        <v>1</v>
      </c>
      <c r="E351" s="1693">
        <v>324</v>
      </c>
      <c r="F351" s="616">
        <v>1</v>
      </c>
      <c r="G351" s="1693">
        <v>351</v>
      </c>
      <c r="H351" s="616">
        <v>1</v>
      </c>
      <c r="J351" s="709" t="s">
        <v>512</v>
      </c>
      <c r="K351" s="1764" t="s">
        <v>1216</v>
      </c>
      <c r="L351" s="4"/>
      <c r="M351" s="4"/>
      <c r="N351" s="4"/>
      <c r="O351" s="4"/>
      <c r="P351" s="3"/>
      <c r="Q351" s="4"/>
      <c r="R351" s="4"/>
      <c r="S351" s="3"/>
      <c r="T351" s="3"/>
      <c r="U351" s="3"/>
      <c r="V351" s="3"/>
      <c r="W351" s="1773"/>
      <c r="X351" s="1608"/>
      <c r="Y351" s="1609"/>
      <c r="Z351" s="1609"/>
      <c r="AA351" s="1609"/>
      <c r="AB351" s="1609"/>
      <c r="AC351" s="1609"/>
      <c r="AD351" s="1366"/>
      <c r="AE351" s="1366"/>
      <c r="AF351" s="1366"/>
      <c r="AG351" s="1242"/>
      <c r="AH351" s="1242"/>
      <c r="AI351" s="1242"/>
      <c r="AJ351" s="1242"/>
      <c r="AK351" s="1242"/>
      <c r="AL351" s="1242"/>
      <c r="AM351" s="1242"/>
      <c r="AN351" s="1242"/>
      <c r="AO351" s="1242"/>
      <c r="AP351" s="608"/>
    </row>
    <row r="352" spans="1:42" ht="14.5">
      <c r="A352" s="1693">
        <v>260</v>
      </c>
      <c r="B352" s="616">
        <v>1</v>
      </c>
      <c r="C352" s="1693">
        <v>312</v>
      </c>
      <c r="D352" s="616">
        <v>1</v>
      </c>
      <c r="E352" s="1693">
        <v>325</v>
      </c>
      <c r="F352" s="616">
        <v>1</v>
      </c>
      <c r="G352" s="1693">
        <v>352</v>
      </c>
      <c r="H352" s="616">
        <v>1</v>
      </c>
      <c r="J352" s="709" t="s">
        <v>512</v>
      </c>
      <c r="K352" s="1764" t="s">
        <v>1216</v>
      </c>
      <c r="L352" s="8"/>
      <c r="M352" s="4"/>
      <c r="N352" s="4" t="s">
        <v>1056</v>
      </c>
      <c r="O352" s="4"/>
      <c r="P352" s="3"/>
      <c r="Q352" s="4"/>
      <c r="R352" s="4"/>
      <c r="S352" s="3"/>
      <c r="T352" s="3"/>
      <c r="U352" s="3"/>
      <c r="V352" s="3"/>
      <c r="W352" s="1773"/>
      <c r="X352" s="1608"/>
      <c r="Y352" s="1609"/>
      <c r="Z352" s="1609"/>
      <c r="AA352" s="1609"/>
      <c r="AB352" s="1609"/>
      <c r="AC352" s="1609"/>
      <c r="AD352" s="1366"/>
      <c r="AE352" s="1366"/>
      <c r="AF352" s="1366"/>
      <c r="AG352" s="1366"/>
      <c r="AH352" s="1366"/>
      <c r="AI352" s="1366"/>
      <c r="AJ352" s="1366"/>
      <c r="AK352" s="1366"/>
      <c r="AL352" s="1366"/>
      <c r="AM352" s="1366"/>
      <c r="AN352" s="1366"/>
      <c r="AO352" s="1366"/>
      <c r="AP352" s="1366"/>
    </row>
    <row r="353" spans="1:42" ht="14.5">
      <c r="A353" s="1693">
        <v>261</v>
      </c>
      <c r="B353" s="616">
        <v>1</v>
      </c>
      <c r="C353" s="1693">
        <v>313</v>
      </c>
      <c r="D353" s="616">
        <v>1</v>
      </c>
      <c r="E353" s="1693">
        <v>326</v>
      </c>
      <c r="F353" s="616">
        <v>1</v>
      </c>
      <c r="G353" s="1693">
        <v>353</v>
      </c>
      <c r="H353" s="616">
        <v>1</v>
      </c>
      <c r="J353" s="709" t="s">
        <v>512</v>
      </c>
      <c r="K353" s="1764" t="s">
        <v>1216</v>
      </c>
      <c r="L353" s="4"/>
      <c r="M353" s="4"/>
      <c r="N353" s="4"/>
      <c r="O353" s="316" t="s">
        <v>0</v>
      </c>
      <c r="P353" s="2056"/>
      <c r="Q353" s="471"/>
      <c r="R353" s="471"/>
      <c r="S353" s="471"/>
      <c r="T353" s="471"/>
      <c r="U353" s="2057" t="s">
        <v>302</v>
      </c>
      <c r="V353" s="471"/>
      <c r="W353" s="2058"/>
      <c r="X353" s="2059">
        <v>1000</v>
      </c>
      <c r="Y353" s="2060">
        <v>1150</v>
      </c>
      <c r="Z353" s="2060">
        <v>1300</v>
      </c>
      <c r="AA353" s="2060">
        <v>1100</v>
      </c>
      <c r="AB353" s="2060">
        <v>1200</v>
      </c>
      <c r="AC353" s="2060">
        <v>1400</v>
      </c>
      <c r="AD353" s="2060">
        <v>1100</v>
      </c>
      <c r="AE353" s="2060">
        <v>1200</v>
      </c>
      <c r="AF353" s="2060">
        <v>1300</v>
      </c>
      <c r="AG353" s="2060">
        <v>1100</v>
      </c>
      <c r="AH353" s="2060">
        <v>1200</v>
      </c>
      <c r="AI353" s="2060">
        <v>1400</v>
      </c>
      <c r="AJ353" s="2060">
        <v>3450</v>
      </c>
      <c r="AK353" s="2060">
        <v>3700</v>
      </c>
      <c r="AL353" s="2060">
        <v>3600</v>
      </c>
      <c r="AM353" s="2060">
        <v>3700</v>
      </c>
      <c r="AN353" s="2060">
        <v>7150</v>
      </c>
      <c r="AO353" s="2060">
        <v>7300</v>
      </c>
      <c r="AP353" s="2060">
        <v>14450</v>
      </c>
    </row>
    <row r="354" spans="1:42" s="69" customFormat="1" ht="14.5">
      <c r="A354" s="1693">
        <v>1</v>
      </c>
      <c r="B354" s="616">
        <v>1</v>
      </c>
      <c r="C354" s="1693">
        <v>1</v>
      </c>
      <c r="D354" s="616">
        <v>1</v>
      </c>
      <c r="E354" s="1693"/>
      <c r="F354" s="616">
        <v>1</v>
      </c>
      <c r="G354" s="1693">
        <v>354</v>
      </c>
      <c r="H354" s="616">
        <v>1</v>
      </c>
      <c r="I354" s="616"/>
      <c r="J354" s="709" t="s">
        <v>512</v>
      </c>
      <c r="K354" s="1764" t="s">
        <v>1216</v>
      </c>
      <c r="L354" s="1567"/>
      <c r="M354" s="4"/>
      <c r="N354" s="4"/>
      <c r="O354" s="762"/>
      <c r="P354" s="1071" t="s">
        <v>1057</v>
      </c>
      <c r="Q354" s="1071"/>
      <c r="R354" s="1072"/>
      <c r="S354" s="1072"/>
      <c r="T354" s="1072"/>
      <c r="U354" s="1073"/>
      <c r="V354" s="1072"/>
      <c r="W354" s="2061"/>
      <c r="X354" s="2062">
        <v>1000</v>
      </c>
      <c r="Y354" s="2063">
        <v>1150</v>
      </c>
      <c r="Z354" s="2063">
        <v>1300</v>
      </c>
      <c r="AA354" s="2063">
        <v>1100</v>
      </c>
      <c r="AB354" s="2063">
        <v>1200</v>
      </c>
      <c r="AC354" s="2063">
        <v>1400</v>
      </c>
      <c r="AD354" s="2063">
        <v>1100</v>
      </c>
      <c r="AE354" s="2063">
        <v>1200</v>
      </c>
      <c r="AF354" s="2063">
        <v>1300</v>
      </c>
      <c r="AG354" s="2063">
        <v>1100</v>
      </c>
      <c r="AH354" s="2063">
        <v>1200</v>
      </c>
      <c r="AI354" s="2063">
        <v>1400</v>
      </c>
      <c r="AJ354" s="2063">
        <v>3450</v>
      </c>
      <c r="AK354" s="2063">
        <v>3700</v>
      </c>
      <c r="AL354" s="2063">
        <v>3600</v>
      </c>
      <c r="AM354" s="2063">
        <v>3700</v>
      </c>
      <c r="AN354" s="2063">
        <v>7150</v>
      </c>
      <c r="AO354" s="2063">
        <v>7300</v>
      </c>
      <c r="AP354" s="2063">
        <v>14450</v>
      </c>
    </row>
    <row r="355" spans="1:42" ht="14.5">
      <c r="A355" s="1695">
        <v>262</v>
      </c>
      <c r="B355" s="616">
        <v>1</v>
      </c>
      <c r="C355" s="1695">
        <v>314</v>
      </c>
      <c r="D355" s="616">
        <v>1</v>
      </c>
      <c r="E355" s="1695">
        <v>327</v>
      </c>
      <c r="F355" s="616">
        <v>1</v>
      </c>
      <c r="G355" s="1693">
        <v>355</v>
      </c>
      <c r="H355" s="616">
        <v>1</v>
      </c>
      <c r="J355" s="709" t="s">
        <v>512</v>
      </c>
      <c r="K355" s="1764" t="s">
        <v>1216</v>
      </c>
      <c r="L355" s="519"/>
      <c r="M355" s="4"/>
      <c r="N355" s="4"/>
      <c r="O355" s="498"/>
      <c r="P355" s="3"/>
      <c r="Q355" s="3" t="s">
        <v>3</v>
      </c>
      <c r="R355" s="69"/>
      <c r="S355" s="69"/>
      <c r="T355" s="3"/>
      <c r="U355" s="3"/>
      <c r="V355" s="3"/>
      <c r="W355" s="2064"/>
      <c r="X355" s="596">
        <v>500</v>
      </c>
      <c r="Y355" s="2002">
        <v>0</v>
      </c>
      <c r="Z355" s="2002">
        <v>0</v>
      </c>
      <c r="AA355" s="2002">
        <v>500</v>
      </c>
      <c r="AB355" s="2002">
        <v>0</v>
      </c>
      <c r="AC355" s="2002">
        <v>0</v>
      </c>
      <c r="AD355" s="2002">
        <v>500</v>
      </c>
      <c r="AE355" s="2002">
        <v>0</v>
      </c>
      <c r="AF355" s="2002">
        <v>0</v>
      </c>
      <c r="AG355" s="2002">
        <v>500</v>
      </c>
      <c r="AH355" s="2002">
        <v>0</v>
      </c>
      <c r="AI355" s="2002">
        <v>0</v>
      </c>
      <c r="AJ355" s="2002">
        <v>500</v>
      </c>
      <c r="AK355" s="2002">
        <v>500</v>
      </c>
      <c r="AL355" s="2002">
        <v>500</v>
      </c>
      <c r="AM355" s="2002">
        <v>500</v>
      </c>
      <c r="AN355" s="2002">
        <v>1000</v>
      </c>
      <c r="AO355" s="2002">
        <v>1000</v>
      </c>
      <c r="AP355" s="2002">
        <v>2000</v>
      </c>
    </row>
    <row r="356" spans="1:42" ht="14.5">
      <c r="A356" s="1695">
        <v>262</v>
      </c>
      <c r="B356" s="616">
        <v>1</v>
      </c>
      <c r="C356" s="1695">
        <v>314</v>
      </c>
      <c r="D356" s="616">
        <v>1</v>
      </c>
      <c r="E356" s="1695">
        <v>327</v>
      </c>
      <c r="F356" s="616">
        <v>1</v>
      </c>
      <c r="G356" s="1693">
        <v>356</v>
      </c>
      <c r="H356" s="616">
        <v>1</v>
      </c>
      <c r="J356" s="709" t="s">
        <v>512</v>
      </c>
      <c r="K356" s="1764" t="s">
        <v>1216</v>
      </c>
      <c r="L356" s="519"/>
      <c r="M356" s="4"/>
      <c r="N356" s="4"/>
      <c r="O356" s="498"/>
      <c r="P356" s="3"/>
      <c r="Q356" s="1736" t="s">
        <v>1219</v>
      </c>
      <c r="R356" s="1740"/>
      <c r="S356" s="1740"/>
      <c r="T356" s="1736"/>
      <c r="U356" s="1736"/>
      <c r="V356" s="1736"/>
      <c r="W356" s="2065"/>
      <c r="X356" s="2066">
        <v>500</v>
      </c>
      <c r="Y356" s="2067">
        <v>1150</v>
      </c>
      <c r="Z356" s="2067">
        <v>1300</v>
      </c>
      <c r="AA356" s="2067">
        <v>600</v>
      </c>
      <c r="AB356" s="2067">
        <v>1200</v>
      </c>
      <c r="AC356" s="2067">
        <v>1400</v>
      </c>
      <c r="AD356" s="2067">
        <v>600</v>
      </c>
      <c r="AE356" s="2067">
        <v>1200</v>
      </c>
      <c r="AF356" s="2067">
        <v>1300</v>
      </c>
      <c r="AG356" s="2067">
        <v>600</v>
      </c>
      <c r="AH356" s="2067">
        <v>1200</v>
      </c>
      <c r="AI356" s="2067">
        <v>1400</v>
      </c>
      <c r="AJ356" s="2067">
        <v>2950</v>
      </c>
      <c r="AK356" s="2067">
        <v>3200</v>
      </c>
      <c r="AL356" s="2067">
        <v>3100</v>
      </c>
      <c r="AM356" s="2067">
        <v>3200</v>
      </c>
      <c r="AN356" s="2067">
        <v>6150</v>
      </c>
      <c r="AO356" s="2067">
        <v>6300</v>
      </c>
      <c r="AP356" s="2067">
        <v>12450</v>
      </c>
    </row>
    <row r="357" spans="1:42" ht="14.5">
      <c r="A357" s="1693">
        <v>263</v>
      </c>
      <c r="B357" s="616">
        <v>1</v>
      </c>
      <c r="C357" s="1693">
        <v>315</v>
      </c>
      <c r="D357" s="616">
        <v>1</v>
      </c>
      <c r="E357" s="1693">
        <v>329</v>
      </c>
      <c r="F357" s="616">
        <v>1</v>
      </c>
      <c r="G357" s="1693">
        <v>356</v>
      </c>
      <c r="H357" s="616">
        <v>1</v>
      </c>
      <c r="J357" s="709" t="s">
        <v>512</v>
      </c>
      <c r="K357" s="1764" t="s">
        <v>1216</v>
      </c>
      <c r="L357" s="519"/>
      <c r="M357" s="4"/>
      <c r="N357" s="4"/>
      <c r="O357" s="498"/>
      <c r="P357" s="3"/>
      <c r="Q357" s="3"/>
      <c r="R357" s="3"/>
      <c r="S357" s="3" t="s">
        <v>4</v>
      </c>
      <c r="T357" s="3"/>
      <c r="U357" s="3"/>
      <c r="V357" s="3"/>
      <c r="W357" s="2068"/>
      <c r="X357" s="596">
        <v>500</v>
      </c>
      <c r="Y357" s="2002">
        <v>1150</v>
      </c>
      <c r="Z357" s="2002">
        <v>1300</v>
      </c>
      <c r="AA357" s="2002">
        <v>600</v>
      </c>
      <c r="AB357" s="2002">
        <v>1200</v>
      </c>
      <c r="AC357" s="2002">
        <v>1400</v>
      </c>
      <c r="AD357" s="2002">
        <v>600</v>
      </c>
      <c r="AE357" s="2002">
        <v>1200</v>
      </c>
      <c r="AF357" s="2002">
        <v>1300</v>
      </c>
      <c r="AG357" s="2002">
        <v>600</v>
      </c>
      <c r="AH357" s="2002">
        <v>1200</v>
      </c>
      <c r="AI357" s="2002">
        <v>1400</v>
      </c>
      <c r="AJ357" s="2002">
        <v>2950</v>
      </c>
      <c r="AK357" s="2002">
        <v>3200</v>
      </c>
      <c r="AL357" s="2002">
        <v>3100</v>
      </c>
      <c r="AM357" s="2002">
        <v>3200</v>
      </c>
      <c r="AN357" s="2002">
        <v>6150</v>
      </c>
      <c r="AO357" s="2002">
        <v>6300</v>
      </c>
      <c r="AP357" s="2002">
        <v>12450</v>
      </c>
    </row>
    <row r="358" spans="1:42" ht="14.5">
      <c r="A358" s="1693">
        <v>264</v>
      </c>
      <c r="B358" s="616">
        <v>1</v>
      </c>
      <c r="C358" s="1693">
        <v>316</v>
      </c>
      <c r="D358" s="616">
        <v>1</v>
      </c>
      <c r="E358" s="1693">
        <v>330</v>
      </c>
      <c r="F358" s="616">
        <v>1</v>
      </c>
      <c r="G358" s="1693">
        <v>357</v>
      </c>
      <c r="H358" s="616">
        <v>1</v>
      </c>
      <c r="J358" s="709" t="s">
        <v>512</v>
      </c>
      <c r="K358" s="1764" t="s">
        <v>1216</v>
      </c>
      <c r="L358" s="519"/>
      <c r="M358" s="4"/>
      <c r="N358" s="4"/>
      <c r="O358" s="498"/>
      <c r="P358" s="47"/>
      <c r="Q358" s="47"/>
      <c r="R358" s="47"/>
      <c r="S358" s="47" t="s">
        <v>602</v>
      </c>
      <c r="T358" s="47"/>
      <c r="U358" s="47"/>
      <c r="V358" s="47"/>
      <c r="W358" s="2001"/>
      <c r="X358" s="2011">
        <v>0</v>
      </c>
      <c r="Y358" s="2012">
        <v>0</v>
      </c>
      <c r="Z358" s="2012">
        <v>0</v>
      </c>
      <c r="AA358" s="2012">
        <v>0</v>
      </c>
      <c r="AB358" s="2012">
        <v>0</v>
      </c>
      <c r="AC358" s="2012">
        <v>0</v>
      </c>
      <c r="AD358" s="2012">
        <v>0</v>
      </c>
      <c r="AE358" s="2012">
        <v>0</v>
      </c>
      <c r="AF358" s="2012">
        <v>0</v>
      </c>
      <c r="AG358" s="2012">
        <v>0</v>
      </c>
      <c r="AH358" s="2012">
        <v>0</v>
      </c>
      <c r="AI358" s="2012">
        <v>0</v>
      </c>
      <c r="AJ358" s="2012">
        <v>0</v>
      </c>
      <c r="AK358" s="2012">
        <v>0</v>
      </c>
      <c r="AL358" s="2012">
        <v>0</v>
      </c>
      <c r="AM358" s="2012">
        <v>0</v>
      </c>
      <c r="AN358" s="2012">
        <v>0</v>
      </c>
      <c r="AO358" s="2012">
        <v>0</v>
      </c>
      <c r="AP358" s="2012">
        <v>0</v>
      </c>
    </row>
    <row r="359" spans="1:42" ht="14.5">
      <c r="A359" s="1693">
        <v>1</v>
      </c>
      <c r="B359" s="616">
        <v>1</v>
      </c>
      <c r="C359" s="1693">
        <v>1</v>
      </c>
      <c r="D359" s="616">
        <v>1</v>
      </c>
      <c r="G359" s="1693">
        <v>358</v>
      </c>
      <c r="J359" s="709" t="s">
        <v>512</v>
      </c>
      <c r="K359" s="1764" t="s">
        <v>1216</v>
      </c>
      <c r="L359" s="1567"/>
      <c r="M359" s="4"/>
      <c r="N359" s="4"/>
      <c r="O359" s="498"/>
      <c r="P359" s="301" t="s">
        <v>1058</v>
      </c>
      <c r="Q359" s="301"/>
      <c r="R359" s="66"/>
      <c r="S359" s="66"/>
      <c r="T359" s="301"/>
      <c r="U359" s="301"/>
      <c r="V359" s="1072"/>
      <c r="W359" s="2061"/>
      <c r="X359" s="2062">
        <v>0</v>
      </c>
      <c r="Y359" s="2063">
        <v>0</v>
      </c>
      <c r="Z359" s="2063">
        <v>0</v>
      </c>
      <c r="AA359" s="2063">
        <v>0</v>
      </c>
      <c r="AB359" s="2063">
        <v>0</v>
      </c>
      <c r="AC359" s="2063">
        <v>0</v>
      </c>
      <c r="AD359" s="2063">
        <v>0</v>
      </c>
      <c r="AE359" s="2063">
        <v>0</v>
      </c>
      <c r="AF359" s="2063">
        <v>0</v>
      </c>
      <c r="AG359" s="2063">
        <v>0</v>
      </c>
      <c r="AH359" s="2063">
        <v>0</v>
      </c>
      <c r="AI359" s="2063">
        <v>0</v>
      </c>
      <c r="AJ359" s="2063">
        <v>0</v>
      </c>
      <c r="AK359" s="2063">
        <v>0</v>
      </c>
      <c r="AL359" s="2063">
        <v>0</v>
      </c>
      <c r="AM359" s="2063">
        <v>0</v>
      </c>
      <c r="AN359" s="2063">
        <v>0</v>
      </c>
      <c r="AO359" s="2063">
        <v>0</v>
      </c>
      <c r="AP359" s="2063">
        <v>0</v>
      </c>
    </row>
    <row r="360" spans="1:42" ht="14.5">
      <c r="A360" s="1693">
        <v>266</v>
      </c>
      <c r="B360" s="616">
        <v>309</v>
      </c>
      <c r="C360" s="1693">
        <v>1</v>
      </c>
      <c r="D360" s="616">
        <v>285</v>
      </c>
      <c r="E360" s="1693">
        <v>328</v>
      </c>
      <c r="F360" s="616">
        <v>1</v>
      </c>
      <c r="G360" s="1693">
        <v>359</v>
      </c>
      <c r="H360" s="616">
        <v>1</v>
      </c>
      <c r="J360" s="709" t="s">
        <v>512</v>
      </c>
      <c r="K360" s="1764" t="s">
        <v>1216</v>
      </c>
      <c r="L360" s="519"/>
      <c r="M360" s="737"/>
      <c r="N360" s="4"/>
      <c r="O360" s="27"/>
      <c r="P360" s="3"/>
      <c r="Q360" s="3" t="s">
        <v>1059</v>
      </c>
      <c r="R360" s="8"/>
      <c r="T360" s="3"/>
      <c r="U360" s="3"/>
      <c r="V360" s="725"/>
      <c r="W360" s="2001"/>
      <c r="X360" s="596">
        <v>0</v>
      </c>
      <c r="Y360" s="2002">
        <v>0</v>
      </c>
      <c r="Z360" s="2002">
        <v>0</v>
      </c>
      <c r="AA360" s="2002">
        <v>0</v>
      </c>
      <c r="AB360" s="2002">
        <v>0</v>
      </c>
      <c r="AC360" s="2002">
        <v>0</v>
      </c>
      <c r="AD360" s="2002">
        <v>0</v>
      </c>
      <c r="AE360" s="2002">
        <v>0</v>
      </c>
      <c r="AF360" s="2002">
        <v>0</v>
      </c>
      <c r="AG360" s="2002">
        <v>0</v>
      </c>
      <c r="AH360" s="2002">
        <v>0</v>
      </c>
      <c r="AI360" s="2002">
        <v>0</v>
      </c>
      <c r="AJ360" s="2002">
        <v>0</v>
      </c>
      <c r="AK360" s="2002">
        <v>0</v>
      </c>
      <c r="AL360" s="2002">
        <v>0</v>
      </c>
      <c r="AM360" s="2002">
        <v>0</v>
      </c>
      <c r="AN360" s="2002">
        <v>0</v>
      </c>
      <c r="AO360" s="2002">
        <v>0</v>
      </c>
      <c r="AP360" s="2002">
        <v>0</v>
      </c>
    </row>
    <row r="361" spans="1:42" ht="14.5">
      <c r="A361" s="1693">
        <v>1</v>
      </c>
      <c r="B361" s="616">
        <v>310</v>
      </c>
      <c r="C361" s="1693">
        <v>1</v>
      </c>
      <c r="D361" s="616">
        <v>286</v>
      </c>
      <c r="E361" s="1693">
        <v>1</v>
      </c>
      <c r="F361" s="616">
        <v>1</v>
      </c>
      <c r="G361" s="1693">
        <v>360</v>
      </c>
      <c r="H361" s="616">
        <v>1</v>
      </c>
      <c r="J361" s="709" t="s">
        <v>512</v>
      </c>
      <c r="K361" s="1764" t="s">
        <v>1216</v>
      </c>
      <c r="L361" s="519"/>
      <c r="M361" s="4"/>
      <c r="N361" s="4"/>
      <c r="O361" s="27"/>
      <c r="P361" s="3"/>
      <c r="Q361" s="3" t="s">
        <v>1060</v>
      </c>
      <c r="R361" s="8"/>
      <c r="T361" s="3"/>
      <c r="U361" s="3"/>
      <c r="V361" s="3"/>
      <c r="W361" s="2001"/>
      <c r="X361" s="596">
        <v>0</v>
      </c>
      <c r="Y361" s="2002">
        <v>0</v>
      </c>
      <c r="Z361" s="2002">
        <v>0</v>
      </c>
      <c r="AA361" s="2002">
        <v>0</v>
      </c>
      <c r="AB361" s="2002">
        <v>0</v>
      </c>
      <c r="AC361" s="2002">
        <v>0</v>
      </c>
      <c r="AD361" s="2002">
        <v>0</v>
      </c>
      <c r="AE361" s="2002">
        <v>0</v>
      </c>
      <c r="AF361" s="2002">
        <v>0</v>
      </c>
      <c r="AG361" s="2002">
        <v>0</v>
      </c>
      <c r="AH361" s="2002">
        <v>0</v>
      </c>
      <c r="AI361" s="2002">
        <v>0</v>
      </c>
      <c r="AJ361" s="2002">
        <v>0</v>
      </c>
      <c r="AK361" s="2002">
        <v>0</v>
      </c>
      <c r="AL361" s="2002">
        <v>0</v>
      </c>
      <c r="AM361" s="2002">
        <v>0</v>
      </c>
      <c r="AN361" s="2002">
        <v>0</v>
      </c>
      <c r="AO361" s="2002">
        <v>0</v>
      </c>
      <c r="AP361" s="2002">
        <v>0</v>
      </c>
    </row>
    <row r="362" spans="1:42" ht="14.5">
      <c r="A362" s="1693">
        <v>1</v>
      </c>
      <c r="B362" s="616">
        <v>1</v>
      </c>
      <c r="C362" s="1693">
        <v>1</v>
      </c>
      <c r="D362" s="616">
        <v>1</v>
      </c>
      <c r="E362" s="1693">
        <v>1</v>
      </c>
      <c r="F362" s="616">
        <v>1</v>
      </c>
      <c r="G362" s="1693">
        <v>361</v>
      </c>
      <c r="H362" s="616">
        <v>1</v>
      </c>
      <c r="J362" s="709" t="s">
        <v>512</v>
      </c>
      <c r="K362" s="1764" t="s">
        <v>1216</v>
      </c>
      <c r="L362" s="519"/>
      <c r="M362" s="4"/>
      <c r="N362" s="4"/>
      <c r="O362" s="27"/>
      <c r="P362" s="3"/>
      <c r="Q362" s="3" t="s">
        <v>1061</v>
      </c>
      <c r="R362" s="8"/>
      <c r="T362" s="3"/>
      <c r="U362" s="3"/>
      <c r="V362" s="3"/>
      <c r="W362" s="2001"/>
      <c r="X362" s="596">
        <v>0</v>
      </c>
      <c r="Y362" s="2002">
        <v>0</v>
      </c>
      <c r="Z362" s="2002">
        <v>0</v>
      </c>
      <c r="AA362" s="2002">
        <v>0</v>
      </c>
      <c r="AB362" s="2002">
        <v>0</v>
      </c>
      <c r="AC362" s="2002">
        <v>0</v>
      </c>
      <c r="AD362" s="2002">
        <v>0</v>
      </c>
      <c r="AE362" s="2002">
        <v>0</v>
      </c>
      <c r="AF362" s="2002">
        <v>0</v>
      </c>
      <c r="AG362" s="2002">
        <v>0</v>
      </c>
      <c r="AH362" s="2002">
        <v>0</v>
      </c>
      <c r="AI362" s="2002">
        <v>0</v>
      </c>
      <c r="AJ362" s="2002">
        <v>0</v>
      </c>
      <c r="AK362" s="2002">
        <v>0</v>
      </c>
      <c r="AL362" s="2002">
        <v>0</v>
      </c>
      <c r="AM362" s="2002">
        <v>0</v>
      </c>
      <c r="AN362" s="2002">
        <v>0</v>
      </c>
      <c r="AO362" s="2002">
        <v>0</v>
      </c>
      <c r="AP362" s="2002">
        <v>0</v>
      </c>
    </row>
    <row r="363" spans="1:42" ht="14.5">
      <c r="A363" s="1693">
        <v>332</v>
      </c>
      <c r="B363" s="616">
        <v>1</v>
      </c>
      <c r="C363" s="1693">
        <v>318</v>
      </c>
      <c r="D363" s="616">
        <v>1</v>
      </c>
      <c r="E363" s="1693">
        <v>332</v>
      </c>
      <c r="F363" s="616">
        <v>1</v>
      </c>
      <c r="G363" s="1693">
        <v>362</v>
      </c>
      <c r="H363" s="616">
        <v>1</v>
      </c>
      <c r="J363" s="709" t="s">
        <v>512</v>
      </c>
      <c r="K363" s="1764" t="s">
        <v>1216</v>
      </c>
      <c r="L363" s="4"/>
      <c r="M363" s="4"/>
      <c r="N363" s="4"/>
      <c r="O363" s="316" t="s">
        <v>48</v>
      </c>
      <c r="P363" s="2056"/>
      <c r="Q363" s="2056"/>
      <c r="R363" s="471"/>
      <c r="S363" s="471"/>
      <c r="T363" s="471"/>
      <c r="U363" s="2057" t="s">
        <v>304</v>
      </c>
      <c r="V363" s="471"/>
      <c r="W363" s="2058"/>
      <c r="X363" s="2059">
        <v>1000</v>
      </c>
      <c r="Y363" s="2060">
        <v>1150</v>
      </c>
      <c r="Z363" s="2060">
        <v>1300</v>
      </c>
      <c r="AA363" s="2060">
        <v>1100</v>
      </c>
      <c r="AB363" s="2060">
        <v>1200</v>
      </c>
      <c r="AC363" s="2060">
        <v>1400</v>
      </c>
      <c r="AD363" s="2060">
        <v>1100</v>
      </c>
      <c r="AE363" s="2060">
        <v>1200</v>
      </c>
      <c r="AF363" s="2060">
        <v>1300</v>
      </c>
      <c r="AG363" s="2060">
        <v>1100</v>
      </c>
      <c r="AH363" s="2060">
        <v>1200</v>
      </c>
      <c r="AI363" s="2060">
        <v>1400</v>
      </c>
      <c r="AJ363" s="2060">
        <v>3450</v>
      </c>
      <c r="AK363" s="2060">
        <v>3700</v>
      </c>
      <c r="AL363" s="2060">
        <v>3600</v>
      </c>
      <c r="AM363" s="2060">
        <v>3700</v>
      </c>
      <c r="AN363" s="2060">
        <v>7150</v>
      </c>
      <c r="AO363" s="2060">
        <v>7300</v>
      </c>
      <c r="AP363" s="2060">
        <v>14450</v>
      </c>
    </row>
    <row r="364" spans="1:42" s="69" customFormat="1" ht="14.5">
      <c r="A364" s="1693">
        <v>1</v>
      </c>
      <c r="B364" s="616">
        <v>1</v>
      </c>
      <c r="C364" s="1693">
        <v>1</v>
      </c>
      <c r="D364" s="616">
        <v>1</v>
      </c>
      <c r="E364" s="1693">
        <v>1</v>
      </c>
      <c r="F364" s="616">
        <v>1</v>
      </c>
      <c r="G364" s="1693">
        <v>363</v>
      </c>
      <c r="H364" s="616">
        <v>1</v>
      </c>
      <c r="I364" s="616"/>
      <c r="J364" s="709" t="s">
        <v>512</v>
      </c>
      <c r="K364" s="1764" t="s">
        <v>1216</v>
      </c>
      <c r="L364" s="1567"/>
      <c r="M364" s="4"/>
      <c r="N364" s="4"/>
      <c r="O364" s="762"/>
      <c r="P364" s="1071" t="s">
        <v>1057</v>
      </c>
      <c r="Q364" s="1071"/>
      <c r="R364" s="1072"/>
      <c r="S364" s="1072"/>
      <c r="T364" s="1072"/>
      <c r="U364" s="1073"/>
      <c r="V364" s="1072"/>
      <c r="W364" s="2061"/>
      <c r="X364" s="2062">
        <v>1000</v>
      </c>
      <c r="Y364" s="2063">
        <v>1150</v>
      </c>
      <c r="Z364" s="2063">
        <v>1300</v>
      </c>
      <c r="AA364" s="2063">
        <v>1100</v>
      </c>
      <c r="AB364" s="2063">
        <v>1200</v>
      </c>
      <c r="AC364" s="2063">
        <v>1400</v>
      </c>
      <c r="AD364" s="2063">
        <v>1100</v>
      </c>
      <c r="AE364" s="2063">
        <v>1200</v>
      </c>
      <c r="AF364" s="2063">
        <v>1300</v>
      </c>
      <c r="AG364" s="2063">
        <v>1100</v>
      </c>
      <c r="AH364" s="2063">
        <v>1200</v>
      </c>
      <c r="AI364" s="2063">
        <v>1400</v>
      </c>
      <c r="AJ364" s="2063">
        <v>3450</v>
      </c>
      <c r="AK364" s="2063">
        <v>3700</v>
      </c>
      <c r="AL364" s="2063">
        <v>3600</v>
      </c>
      <c r="AM364" s="2063">
        <v>3700</v>
      </c>
      <c r="AN364" s="2063">
        <v>7150</v>
      </c>
      <c r="AO364" s="2063">
        <v>7300</v>
      </c>
      <c r="AP364" s="2063">
        <v>14450</v>
      </c>
    </row>
    <row r="365" spans="1:42" ht="14.5">
      <c r="A365" s="1695">
        <v>268</v>
      </c>
      <c r="B365" s="616">
        <v>1</v>
      </c>
      <c r="C365" s="1695">
        <v>319</v>
      </c>
      <c r="D365" s="616">
        <v>1</v>
      </c>
      <c r="E365" s="1695">
        <v>333</v>
      </c>
      <c r="F365" s="616">
        <v>1</v>
      </c>
      <c r="G365" s="1693">
        <v>364</v>
      </c>
      <c r="H365" s="616">
        <v>1</v>
      </c>
      <c r="J365" s="709" t="s">
        <v>512</v>
      </c>
      <c r="K365" s="1764" t="s">
        <v>1216</v>
      </c>
      <c r="L365" s="519"/>
      <c r="M365" s="737"/>
      <c r="N365" s="4"/>
      <c r="O365" s="27"/>
      <c r="P365" s="3"/>
      <c r="Q365" s="3" t="s">
        <v>3</v>
      </c>
      <c r="R365" s="8"/>
      <c r="T365" s="3"/>
      <c r="U365" s="3"/>
      <c r="V365" s="3"/>
      <c r="W365" s="2069"/>
      <c r="X365" s="2003">
        <v>500</v>
      </c>
      <c r="Y365" s="2004">
        <v>0</v>
      </c>
      <c r="Z365" s="2004">
        <v>0</v>
      </c>
      <c r="AA365" s="2004">
        <v>500</v>
      </c>
      <c r="AB365" s="2004">
        <v>0</v>
      </c>
      <c r="AC365" s="2004">
        <v>0</v>
      </c>
      <c r="AD365" s="2004">
        <v>500</v>
      </c>
      <c r="AE365" s="2004">
        <v>0</v>
      </c>
      <c r="AF365" s="2004">
        <v>0</v>
      </c>
      <c r="AG365" s="2004">
        <v>500</v>
      </c>
      <c r="AH365" s="2004">
        <v>0</v>
      </c>
      <c r="AI365" s="2004">
        <v>0</v>
      </c>
      <c r="AJ365" s="2002">
        <v>500</v>
      </c>
      <c r="AK365" s="2002">
        <v>500</v>
      </c>
      <c r="AL365" s="2002">
        <v>500</v>
      </c>
      <c r="AM365" s="2002">
        <v>500</v>
      </c>
      <c r="AN365" s="2002">
        <v>1000</v>
      </c>
      <c r="AO365" s="2002">
        <v>1000</v>
      </c>
      <c r="AP365" s="2002">
        <v>2000</v>
      </c>
    </row>
    <row r="366" spans="1:42" ht="14.5">
      <c r="A366" s="1695">
        <v>262</v>
      </c>
      <c r="B366" s="616">
        <v>1</v>
      </c>
      <c r="C366" s="1695">
        <v>314</v>
      </c>
      <c r="D366" s="616">
        <v>1</v>
      </c>
      <c r="E366" s="1695">
        <v>327</v>
      </c>
      <c r="F366" s="616">
        <v>1</v>
      </c>
      <c r="G366" s="1693">
        <v>365</v>
      </c>
      <c r="H366" s="616">
        <v>1</v>
      </c>
      <c r="J366" s="709" t="s">
        <v>512</v>
      </c>
      <c r="K366" s="1764" t="s">
        <v>1216</v>
      </c>
      <c r="L366" s="519"/>
      <c r="M366" s="4"/>
      <c r="N366" s="4"/>
      <c r="O366" s="498"/>
      <c r="P366" s="3"/>
      <c r="Q366" s="1736" t="s">
        <v>1219</v>
      </c>
      <c r="R366" s="1740"/>
      <c r="S366" s="1740"/>
      <c r="T366" s="1736"/>
      <c r="U366" s="1736"/>
      <c r="V366" s="1736"/>
      <c r="W366" s="2065"/>
      <c r="X366" s="2066">
        <v>500</v>
      </c>
      <c r="Y366" s="2067">
        <v>1150</v>
      </c>
      <c r="Z366" s="2067">
        <v>1300</v>
      </c>
      <c r="AA366" s="2067">
        <v>600</v>
      </c>
      <c r="AB366" s="2067">
        <v>1200</v>
      </c>
      <c r="AC366" s="2067">
        <v>1400</v>
      </c>
      <c r="AD366" s="2067">
        <v>600</v>
      </c>
      <c r="AE366" s="2067">
        <v>1200</v>
      </c>
      <c r="AF366" s="2067">
        <v>1300</v>
      </c>
      <c r="AG366" s="2067">
        <v>600</v>
      </c>
      <c r="AH366" s="2067">
        <v>1200</v>
      </c>
      <c r="AI366" s="2067">
        <v>1400</v>
      </c>
      <c r="AJ366" s="2067">
        <v>2950</v>
      </c>
      <c r="AK366" s="2067">
        <v>3200</v>
      </c>
      <c r="AL366" s="2067">
        <v>3100</v>
      </c>
      <c r="AM366" s="2067">
        <v>3200</v>
      </c>
      <c r="AN366" s="2067">
        <v>6150</v>
      </c>
      <c r="AO366" s="2067">
        <v>6300</v>
      </c>
      <c r="AP366" s="2067">
        <v>12450</v>
      </c>
    </row>
    <row r="367" spans="1:42" ht="14.5">
      <c r="A367" s="1693">
        <v>269</v>
      </c>
      <c r="B367" s="616">
        <v>1</v>
      </c>
      <c r="C367" s="1693">
        <v>320</v>
      </c>
      <c r="D367" s="616">
        <v>1</v>
      </c>
      <c r="E367" s="1693">
        <v>335</v>
      </c>
      <c r="F367" s="616">
        <v>1</v>
      </c>
      <c r="G367" s="1693">
        <v>365</v>
      </c>
      <c r="H367" s="616">
        <v>1</v>
      </c>
      <c r="J367" s="709" t="s">
        <v>512</v>
      </c>
      <c r="K367" s="1764" t="s">
        <v>1216</v>
      </c>
      <c r="L367" s="519"/>
      <c r="M367" s="4"/>
      <c r="N367" s="4"/>
      <c r="O367" s="27"/>
      <c r="P367" s="3"/>
      <c r="Q367" s="3"/>
      <c r="R367" s="3"/>
      <c r="S367" s="3" t="s">
        <v>4</v>
      </c>
      <c r="T367" s="3"/>
      <c r="U367" s="3"/>
      <c r="V367" s="3"/>
      <c r="W367" s="2070"/>
      <c r="X367" s="2003">
        <v>500</v>
      </c>
      <c r="Y367" s="2004">
        <v>1150</v>
      </c>
      <c r="Z367" s="2004">
        <v>1300</v>
      </c>
      <c r="AA367" s="2004">
        <v>600</v>
      </c>
      <c r="AB367" s="2004">
        <v>1200</v>
      </c>
      <c r="AC367" s="2004">
        <v>1400</v>
      </c>
      <c r="AD367" s="2004">
        <v>600</v>
      </c>
      <c r="AE367" s="2004">
        <v>1200</v>
      </c>
      <c r="AF367" s="2004">
        <v>1300</v>
      </c>
      <c r="AG367" s="2004">
        <v>600</v>
      </c>
      <c r="AH367" s="2004">
        <v>1200</v>
      </c>
      <c r="AI367" s="2004">
        <v>1400</v>
      </c>
      <c r="AJ367" s="2002">
        <v>2950</v>
      </c>
      <c r="AK367" s="2002">
        <v>3200</v>
      </c>
      <c r="AL367" s="2002">
        <v>3100</v>
      </c>
      <c r="AM367" s="2002">
        <v>3200</v>
      </c>
      <c r="AN367" s="2002">
        <v>6150</v>
      </c>
      <c r="AO367" s="2002">
        <v>6300</v>
      </c>
      <c r="AP367" s="2002">
        <v>12450</v>
      </c>
    </row>
    <row r="368" spans="1:42" ht="14.5">
      <c r="A368" s="1693">
        <v>270</v>
      </c>
      <c r="B368" s="616">
        <v>1</v>
      </c>
      <c r="C368" s="1693">
        <v>321</v>
      </c>
      <c r="D368" s="616">
        <v>1</v>
      </c>
      <c r="E368" s="1693">
        <v>336</v>
      </c>
      <c r="F368" s="616">
        <v>1</v>
      </c>
      <c r="G368" s="1693">
        <v>366</v>
      </c>
      <c r="H368" s="616">
        <v>1</v>
      </c>
      <c r="J368" s="709" t="s">
        <v>512</v>
      </c>
      <c r="K368" s="1764" t="s">
        <v>1216</v>
      </c>
      <c r="L368" s="519"/>
      <c r="M368" s="4"/>
      <c r="N368" s="4"/>
      <c r="O368" s="498"/>
      <c r="P368" s="3"/>
      <c r="Q368" s="3"/>
      <c r="R368" s="3"/>
      <c r="S368" s="3" t="s">
        <v>602</v>
      </c>
      <c r="T368" s="3"/>
      <c r="U368" s="3"/>
      <c r="V368" s="3"/>
      <c r="W368" s="2069"/>
      <c r="X368" s="2003">
        <v>0</v>
      </c>
      <c r="Y368" s="2004">
        <v>0</v>
      </c>
      <c r="Z368" s="2004">
        <v>0</v>
      </c>
      <c r="AA368" s="2004">
        <v>0</v>
      </c>
      <c r="AB368" s="2004">
        <v>0</v>
      </c>
      <c r="AC368" s="2004">
        <v>0</v>
      </c>
      <c r="AD368" s="2004">
        <v>0</v>
      </c>
      <c r="AE368" s="2004">
        <v>0</v>
      </c>
      <c r="AF368" s="2004">
        <v>0</v>
      </c>
      <c r="AG368" s="2004">
        <v>0</v>
      </c>
      <c r="AH368" s="2004">
        <v>0</v>
      </c>
      <c r="AI368" s="2004">
        <v>0</v>
      </c>
      <c r="AJ368" s="2002">
        <v>0</v>
      </c>
      <c r="AK368" s="2002">
        <v>0</v>
      </c>
      <c r="AL368" s="2002">
        <v>0</v>
      </c>
      <c r="AM368" s="2002">
        <v>0</v>
      </c>
      <c r="AN368" s="2002">
        <v>0</v>
      </c>
      <c r="AO368" s="2002">
        <v>0</v>
      </c>
      <c r="AP368" s="2002">
        <v>0</v>
      </c>
    </row>
    <row r="369" spans="1:42" ht="14.5">
      <c r="A369" s="1693">
        <v>1</v>
      </c>
      <c r="B369" s="616">
        <v>1</v>
      </c>
      <c r="C369" s="1693">
        <v>1</v>
      </c>
      <c r="D369" s="616">
        <v>1</v>
      </c>
      <c r="E369" s="1693">
        <v>1</v>
      </c>
      <c r="F369" s="616">
        <v>1</v>
      </c>
      <c r="G369" s="1693">
        <v>367</v>
      </c>
      <c r="H369" s="616">
        <v>1</v>
      </c>
      <c r="J369" s="709" t="s">
        <v>512</v>
      </c>
      <c r="K369" s="1764" t="s">
        <v>1216</v>
      </c>
      <c r="L369" s="1567"/>
      <c r="M369" s="4"/>
      <c r="N369" s="4"/>
      <c r="O369" s="498"/>
      <c r="P369" s="301" t="s">
        <v>1058</v>
      </c>
      <c r="Q369" s="301"/>
      <c r="R369" s="66"/>
      <c r="S369" s="66"/>
      <c r="T369" s="301"/>
      <c r="U369" s="301"/>
      <c r="V369" s="1072"/>
      <c r="W369" s="2071"/>
      <c r="X369" s="2062">
        <v>0</v>
      </c>
      <c r="Y369" s="2063">
        <v>0</v>
      </c>
      <c r="Z369" s="2063">
        <v>0</v>
      </c>
      <c r="AA369" s="2063">
        <v>0</v>
      </c>
      <c r="AB369" s="2063">
        <v>0</v>
      </c>
      <c r="AC369" s="2063">
        <v>0</v>
      </c>
      <c r="AD369" s="2063">
        <v>0</v>
      </c>
      <c r="AE369" s="2063">
        <v>0</v>
      </c>
      <c r="AF369" s="2063">
        <v>0</v>
      </c>
      <c r="AG369" s="2063">
        <v>0</v>
      </c>
      <c r="AH369" s="2063">
        <v>0</v>
      </c>
      <c r="AI369" s="2063">
        <v>0</v>
      </c>
      <c r="AJ369" s="2063">
        <v>0</v>
      </c>
      <c r="AK369" s="2063">
        <v>0</v>
      </c>
      <c r="AL369" s="2063">
        <v>0</v>
      </c>
      <c r="AM369" s="2063">
        <v>0</v>
      </c>
      <c r="AN369" s="2063">
        <v>0</v>
      </c>
      <c r="AO369" s="2063">
        <v>0</v>
      </c>
      <c r="AP369" s="2063">
        <v>0</v>
      </c>
    </row>
    <row r="370" spans="1:42" ht="14.5">
      <c r="A370" s="1693">
        <v>272</v>
      </c>
      <c r="B370" s="616">
        <v>312</v>
      </c>
      <c r="C370" s="1693">
        <v>1</v>
      </c>
      <c r="D370" s="616">
        <v>288</v>
      </c>
      <c r="E370" s="1693">
        <v>334</v>
      </c>
      <c r="F370" s="616">
        <v>1</v>
      </c>
      <c r="G370" s="1693">
        <v>368</v>
      </c>
      <c r="H370" s="616">
        <v>1</v>
      </c>
      <c r="J370" s="709" t="s">
        <v>512</v>
      </c>
      <c r="K370" s="1764" t="s">
        <v>1216</v>
      </c>
      <c r="L370" s="519"/>
      <c r="M370" s="4"/>
      <c r="N370" s="4"/>
      <c r="O370" s="27"/>
      <c r="P370" s="3"/>
      <c r="Q370" s="3" t="s">
        <v>1059</v>
      </c>
      <c r="R370" s="8"/>
      <c r="T370" s="3"/>
      <c r="U370" s="3"/>
      <c r="V370" s="3"/>
      <c r="W370" s="2070"/>
      <c r="X370" s="2003">
        <v>0</v>
      </c>
      <c r="Y370" s="2004">
        <v>0</v>
      </c>
      <c r="Z370" s="2004">
        <v>0</v>
      </c>
      <c r="AA370" s="2004">
        <v>0</v>
      </c>
      <c r="AB370" s="2004">
        <v>0</v>
      </c>
      <c r="AC370" s="2004">
        <v>0</v>
      </c>
      <c r="AD370" s="2004">
        <v>0</v>
      </c>
      <c r="AE370" s="2004">
        <v>0</v>
      </c>
      <c r="AF370" s="2004">
        <v>0</v>
      </c>
      <c r="AG370" s="2004">
        <v>0</v>
      </c>
      <c r="AH370" s="2004">
        <v>0</v>
      </c>
      <c r="AI370" s="2004">
        <v>0</v>
      </c>
      <c r="AJ370" s="2002">
        <v>0</v>
      </c>
      <c r="AK370" s="2002">
        <v>0</v>
      </c>
      <c r="AL370" s="2002">
        <v>0</v>
      </c>
      <c r="AM370" s="2002">
        <v>0</v>
      </c>
      <c r="AN370" s="2002">
        <v>0</v>
      </c>
      <c r="AO370" s="2002">
        <v>0</v>
      </c>
      <c r="AP370" s="2002">
        <v>0</v>
      </c>
    </row>
    <row r="371" spans="1:42" ht="14.5">
      <c r="A371" s="1693">
        <v>1</v>
      </c>
      <c r="B371" s="616">
        <v>313</v>
      </c>
      <c r="C371" s="1693">
        <v>1</v>
      </c>
      <c r="D371" s="616">
        <v>289</v>
      </c>
      <c r="E371" s="1693">
        <v>1</v>
      </c>
      <c r="F371" s="616">
        <v>1</v>
      </c>
      <c r="G371" s="1693">
        <v>369</v>
      </c>
      <c r="H371" s="616">
        <v>1</v>
      </c>
      <c r="J371" s="709" t="s">
        <v>512</v>
      </c>
      <c r="K371" s="1764" t="s">
        <v>1216</v>
      </c>
      <c r="L371" s="519"/>
      <c r="M371" s="4"/>
      <c r="N371" s="4"/>
      <c r="O371" s="27"/>
      <c r="P371" s="3"/>
      <c r="Q371" s="3" t="s">
        <v>1060</v>
      </c>
      <c r="R371" s="8"/>
      <c r="T371" s="3"/>
      <c r="U371" s="3"/>
      <c r="V371" s="3"/>
      <c r="W371" s="1853"/>
      <c r="X371" s="2003">
        <v>0</v>
      </c>
      <c r="Y371" s="2004">
        <v>0</v>
      </c>
      <c r="Z371" s="2004">
        <v>0</v>
      </c>
      <c r="AA371" s="2004">
        <v>0</v>
      </c>
      <c r="AB371" s="2004">
        <v>0</v>
      </c>
      <c r="AC371" s="2004">
        <v>0</v>
      </c>
      <c r="AD371" s="2004">
        <v>0</v>
      </c>
      <c r="AE371" s="2004">
        <v>0</v>
      </c>
      <c r="AF371" s="2004">
        <v>0</v>
      </c>
      <c r="AG371" s="2004">
        <v>0</v>
      </c>
      <c r="AH371" s="2004">
        <v>0</v>
      </c>
      <c r="AI371" s="2004">
        <v>0</v>
      </c>
      <c r="AJ371" s="2002">
        <v>0</v>
      </c>
      <c r="AK371" s="2002">
        <v>0</v>
      </c>
      <c r="AL371" s="2002">
        <v>0</v>
      </c>
      <c r="AM371" s="2002">
        <v>0</v>
      </c>
      <c r="AN371" s="2002">
        <v>0</v>
      </c>
      <c r="AO371" s="2002">
        <v>0</v>
      </c>
      <c r="AP371" s="2002">
        <v>0</v>
      </c>
    </row>
    <row r="372" spans="1:42" ht="14.5">
      <c r="A372" s="1693">
        <v>1</v>
      </c>
      <c r="B372" s="616">
        <v>1</v>
      </c>
      <c r="C372" s="1693">
        <v>1</v>
      </c>
      <c r="D372" s="616">
        <v>1</v>
      </c>
      <c r="E372" s="1693">
        <v>1</v>
      </c>
      <c r="F372" s="616">
        <v>1</v>
      </c>
      <c r="G372" s="1693">
        <v>370</v>
      </c>
      <c r="H372" s="616">
        <v>1</v>
      </c>
      <c r="J372" s="709" t="s">
        <v>512</v>
      </c>
      <c r="K372" s="1764" t="s">
        <v>1216</v>
      </c>
      <c r="L372" s="519"/>
      <c r="M372" s="4"/>
      <c r="N372" s="4"/>
      <c r="O372" s="27"/>
      <c r="P372" s="3"/>
      <c r="Q372" s="3" t="s">
        <v>1061</v>
      </c>
      <c r="R372" s="8"/>
      <c r="T372" s="3"/>
      <c r="U372" s="3"/>
      <c r="V372" s="3"/>
      <c r="W372" s="1853"/>
      <c r="X372" s="2003">
        <v>0</v>
      </c>
      <c r="Y372" s="2004">
        <v>0</v>
      </c>
      <c r="Z372" s="2004">
        <v>0</v>
      </c>
      <c r="AA372" s="2004">
        <v>0</v>
      </c>
      <c r="AB372" s="2004">
        <v>0</v>
      </c>
      <c r="AC372" s="2004">
        <v>0</v>
      </c>
      <c r="AD372" s="2004">
        <v>0</v>
      </c>
      <c r="AE372" s="2004">
        <v>0</v>
      </c>
      <c r="AF372" s="2004">
        <v>0</v>
      </c>
      <c r="AG372" s="2004">
        <v>0</v>
      </c>
      <c r="AH372" s="2004">
        <v>0</v>
      </c>
      <c r="AI372" s="2004">
        <v>0</v>
      </c>
      <c r="AJ372" s="2002">
        <v>0</v>
      </c>
      <c r="AK372" s="2002">
        <v>0</v>
      </c>
      <c r="AL372" s="2002">
        <v>0</v>
      </c>
      <c r="AM372" s="2002">
        <v>0</v>
      </c>
      <c r="AN372" s="2002">
        <v>0</v>
      </c>
      <c r="AO372" s="2002">
        <v>0</v>
      </c>
      <c r="AP372" s="2002">
        <v>0</v>
      </c>
    </row>
    <row r="373" spans="1:42" ht="14.5">
      <c r="A373" s="1693">
        <v>273</v>
      </c>
      <c r="B373" s="616">
        <v>1</v>
      </c>
      <c r="C373" s="1693">
        <v>323</v>
      </c>
      <c r="D373" s="616">
        <v>1</v>
      </c>
      <c r="E373" s="1693">
        <v>370</v>
      </c>
      <c r="F373" s="616">
        <v>1</v>
      </c>
      <c r="G373" s="1693">
        <v>371</v>
      </c>
      <c r="H373" s="616">
        <v>1</v>
      </c>
      <c r="J373" s="709" t="s">
        <v>512</v>
      </c>
      <c r="K373" s="1764" t="s">
        <v>1216</v>
      </c>
      <c r="L373" s="4"/>
      <c r="M373" s="4"/>
      <c r="N373" s="4"/>
      <c r="O373" s="316" t="s">
        <v>54</v>
      </c>
      <c r="P373" s="2056"/>
      <c r="Q373" s="471"/>
      <c r="R373" s="471"/>
      <c r="S373" s="471"/>
      <c r="T373" s="471"/>
      <c r="U373" s="471"/>
      <c r="V373" s="471"/>
      <c r="W373" s="2058"/>
      <c r="X373" s="2059">
        <v>370</v>
      </c>
      <c r="Y373" s="2060">
        <v>425.5</v>
      </c>
      <c r="Z373" s="2060">
        <v>481</v>
      </c>
      <c r="AA373" s="2060">
        <v>407</v>
      </c>
      <c r="AB373" s="2060">
        <v>444</v>
      </c>
      <c r="AC373" s="2060">
        <v>518</v>
      </c>
      <c r="AD373" s="2060">
        <v>407</v>
      </c>
      <c r="AE373" s="2060">
        <v>444</v>
      </c>
      <c r="AF373" s="2060">
        <v>481</v>
      </c>
      <c r="AG373" s="2060">
        <v>407</v>
      </c>
      <c r="AH373" s="2060">
        <v>444</v>
      </c>
      <c r="AI373" s="2060">
        <v>518</v>
      </c>
      <c r="AJ373" s="2060">
        <v>1276.5</v>
      </c>
      <c r="AK373" s="2060">
        <v>1369</v>
      </c>
      <c r="AL373" s="2060">
        <v>1332</v>
      </c>
      <c r="AM373" s="2060">
        <v>1369</v>
      </c>
      <c r="AN373" s="2060">
        <v>2645.5</v>
      </c>
      <c r="AO373" s="2060">
        <v>2701</v>
      </c>
      <c r="AP373" s="2060">
        <v>5346.5</v>
      </c>
    </row>
    <row r="374" spans="1:42" ht="14.5">
      <c r="A374" s="1693">
        <v>274</v>
      </c>
      <c r="B374" s="616">
        <v>1</v>
      </c>
      <c r="C374" s="1693">
        <v>324</v>
      </c>
      <c r="D374" s="616">
        <v>1</v>
      </c>
      <c r="E374" s="1693">
        <v>371</v>
      </c>
      <c r="F374" s="616">
        <v>1</v>
      </c>
      <c r="G374" s="1693">
        <v>372</v>
      </c>
      <c r="H374" s="616">
        <v>1</v>
      </c>
      <c r="J374" s="709" t="s">
        <v>512</v>
      </c>
      <c r="K374" s="1764" t="s">
        <v>1216</v>
      </c>
      <c r="L374" s="4"/>
      <c r="M374" s="4"/>
      <c r="N374" s="4"/>
      <c r="O374" s="27"/>
      <c r="P374" s="503"/>
      <c r="Q374" s="503" t="s">
        <v>55</v>
      </c>
      <c r="R374" s="4"/>
      <c r="S374" s="4"/>
      <c r="T374" s="4"/>
      <c r="U374" s="478" t="s">
        <v>1023</v>
      </c>
      <c r="V374" s="4"/>
      <c r="W374" s="1785"/>
      <c r="X374" s="1306">
        <v>0.37</v>
      </c>
      <c r="Y374" s="1284">
        <v>0.37</v>
      </c>
      <c r="Z374" s="1284">
        <v>0.37</v>
      </c>
      <c r="AA374" s="1284">
        <v>0.37</v>
      </c>
      <c r="AB374" s="1284">
        <v>0.37</v>
      </c>
      <c r="AC374" s="1284">
        <v>0.37</v>
      </c>
      <c r="AD374" s="1284">
        <v>0.37</v>
      </c>
      <c r="AE374" s="1284">
        <v>0.37</v>
      </c>
      <c r="AF374" s="1284">
        <v>0.37</v>
      </c>
      <c r="AG374" s="1284">
        <v>0.37</v>
      </c>
      <c r="AH374" s="1284">
        <v>0.37</v>
      </c>
      <c r="AI374" s="1284">
        <v>0.37</v>
      </c>
      <c r="AJ374" s="1284">
        <v>0.37</v>
      </c>
      <c r="AK374" s="1284">
        <v>0.37</v>
      </c>
      <c r="AL374" s="1284">
        <v>0.37</v>
      </c>
      <c r="AM374" s="1284">
        <v>0.37</v>
      </c>
      <c r="AN374" s="1284">
        <v>0.37</v>
      </c>
      <c r="AO374" s="1284">
        <v>0.37</v>
      </c>
      <c r="AP374" s="1284">
        <v>0.37</v>
      </c>
    </row>
    <row r="375" spans="1:42" s="504" customFormat="1" ht="14.5" outlineLevel="1">
      <c r="A375" s="1693">
        <v>1</v>
      </c>
      <c r="B375" s="616">
        <v>1</v>
      </c>
      <c r="C375" s="1693">
        <v>1</v>
      </c>
      <c r="D375" s="616">
        <v>1</v>
      </c>
      <c r="E375" s="1695">
        <v>340</v>
      </c>
      <c r="F375" s="616">
        <v>1</v>
      </c>
      <c r="G375" s="1693">
        <v>373</v>
      </c>
      <c r="H375" s="616">
        <v>1</v>
      </c>
      <c r="I375" s="616"/>
      <c r="J375" s="709" t="s">
        <v>512</v>
      </c>
      <c r="K375" s="1764" t="s">
        <v>1216</v>
      </c>
      <c r="L375" s="1567"/>
      <c r="M375" s="737"/>
      <c r="N375" s="501"/>
      <c r="O375" s="502"/>
      <c r="P375" s="1074" t="s">
        <v>1062</v>
      </c>
      <c r="Q375" s="1075"/>
      <c r="R375" s="1076"/>
      <c r="S375" s="1077"/>
      <c r="T375" s="1078"/>
      <c r="U375" s="1078"/>
      <c r="V375" s="1078"/>
      <c r="W375" s="1797"/>
      <c r="X375" s="1456">
        <v>0.37</v>
      </c>
      <c r="Y375" s="1457">
        <v>0.37</v>
      </c>
      <c r="Z375" s="1457">
        <v>0.37</v>
      </c>
      <c r="AA375" s="1457">
        <v>0.37</v>
      </c>
      <c r="AB375" s="1457">
        <v>0.37</v>
      </c>
      <c r="AC375" s="1457">
        <v>0.37</v>
      </c>
      <c r="AD375" s="1457">
        <v>0.37</v>
      </c>
      <c r="AE375" s="1457">
        <v>0.37</v>
      </c>
      <c r="AF375" s="1457">
        <v>0.37</v>
      </c>
      <c r="AG375" s="1457">
        <v>0.37</v>
      </c>
      <c r="AH375" s="1457">
        <v>0.37</v>
      </c>
      <c r="AI375" s="1457">
        <v>0.37</v>
      </c>
      <c r="AJ375" s="1457">
        <v>0.37</v>
      </c>
      <c r="AK375" s="1457">
        <v>0.37</v>
      </c>
      <c r="AL375" s="1457">
        <v>0.37</v>
      </c>
      <c r="AM375" s="1457">
        <v>0.37</v>
      </c>
      <c r="AN375" s="1457">
        <v>0.37</v>
      </c>
      <c r="AO375" s="1457">
        <v>0.37</v>
      </c>
      <c r="AP375" s="1457">
        <v>0.37</v>
      </c>
    </row>
    <row r="376" spans="1:42" s="504" customFormat="1" ht="14.5" outlineLevel="1">
      <c r="A376" s="1695">
        <v>275</v>
      </c>
      <c r="B376" s="616">
        <v>1</v>
      </c>
      <c r="C376" s="1695">
        <v>325</v>
      </c>
      <c r="D376" s="616">
        <v>1</v>
      </c>
      <c r="E376" s="1695">
        <v>340</v>
      </c>
      <c r="F376" s="616">
        <v>1</v>
      </c>
      <c r="G376" s="1693">
        <v>374</v>
      </c>
      <c r="H376" s="616">
        <v>1</v>
      </c>
      <c r="I376" s="616"/>
      <c r="J376" s="709" t="s">
        <v>512</v>
      </c>
      <c r="K376" s="1764" t="s">
        <v>1216</v>
      </c>
      <c r="L376" s="519"/>
      <c r="M376" s="737"/>
      <c r="N376" s="501"/>
      <c r="O376" s="502"/>
      <c r="P376" s="503"/>
      <c r="Q376" s="503" t="s">
        <v>1063</v>
      </c>
      <c r="R376" s="501"/>
      <c r="S376" s="733"/>
      <c r="T376" s="505"/>
      <c r="U376" s="505"/>
      <c r="V376" s="505"/>
      <c r="W376" s="2072"/>
      <c r="X376" s="1304">
        <v>0.3</v>
      </c>
      <c r="Y376" s="1283">
        <v>0</v>
      </c>
      <c r="Z376" s="1283">
        <v>0</v>
      </c>
      <c r="AA376" s="1283">
        <v>0.3</v>
      </c>
      <c r="AB376" s="1283">
        <v>0</v>
      </c>
      <c r="AC376" s="1283">
        <v>0</v>
      </c>
      <c r="AD376" s="1283">
        <v>0.3</v>
      </c>
      <c r="AE376" s="1283">
        <v>0</v>
      </c>
      <c r="AF376" s="1283">
        <v>0</v>
      </c>
      <c r="AG376" s="1283">
        <v>0.3</v>
      </c>
      <c r="AH376" s="1283">
        <v>0</v>
      </c>
      <c r="AI376" s="1283">
        <v>0</v>
      </c>
      <c r="AJ376" s="1283">
        <v>0.3</v>
      </c>
      <c r="AK376" s="1283">
        <v>0.3</v>
      </c>
      <c r="AL376" s="1283">
        <v>0.3</v>
      </c>
      <c r="AM376" s="1283">
        <v>0.3</v>
      </c>
      <c r="AN376" s="1283">
        <v>0.3</v>
      </c>
      <c r="AO376" s="1283">
        <v>0.3</v>
      </c>
      <c r="AP376" s="1283">
        <v>0.3</v>
      </c>
    </row>
    <row r="377" spans="1:42" s="504" customFormat="1" ht="14.5" outlineLevel="1">
      <c r="A377" s="1693">
        <v>2</v>
      </c>
      <c r="B377" s="616">
        <v>1</v>
      </c>
      <c r="C377" s="1693">
        <v>2</v>
      </c>
      <c r="D377" s="616">
        <v>1</v>
      </c>
      <c r="E377" s="1693">
        <v>342</v>
      </c>
      <c r="F377" s="616">
        <v>1</v>
      </c>
      <c r="G377" s="1693">
        <v>374</v>
      </c>
      <c r="H377" s="616">
        <v>1</v>
      </c>
      <c r="I377" s="616"/>
      <c r="J377" s="709" t="s">
        <v>512</v>
      </c>
      <c r="K377" s="1764" t="s">
        <v>1216</v>
      </c>
      <c r="L377" s="2073" t="s">
        <v>1013</v>
      </c>
      <c r="M377" s="4"/>
      <c r="N377" s="501"/>
      <c r="O377" s="502"/>
      <c r="P377" s="503"/>
      <c r="Q377" s="1743" t="s">
        <v>1220</v>
      </c>
      <c r="R377" s="1740"/>
      <c r="S377" s="1740"/>
      <c r="T377" s="1736"/>
      <c r="U377" s="1736"/>
      <c r="V377" s="1736"/>
      <c r="W377" s="2074"/>
      <c r="X377" s="1727">
        <v>0.44</v>
      </c>
      <c r="Y377" s="1728">
        <v>0.37</v>
      </c>
      <c r="Z377" s="1728">
        <v>0.37</v>
      </c>
      <c r="AA377" s="1728">
        <v>0.42833333333333334</v>
      </c>
      <c r="AB377" s="1728">
        <v>0.37</v>
      </c>
      <c r="AC377" s="1728">
        <v>0.37</v>
      </c>
      <c r="AD377" s="1728">
        <v>0.42833333333333334</v>
      </c>
      <c r="AE377" s="1728">
        <v>0.37</v>
      </c>
      <c r="AF377" s="1728">
        <v>0.37</v>
      </c>
      <c r="AG377" s="1728">
        <v>0.42833333333333334</v>
      </c>
      <c r="AH377" s="1728">
        <v>0.37</v>
      </c>
      <c r="AI377" s="1728">
        <v>0.37</v>
      </c>
      <c r="AJ377" s="1728">
        <v>0.38186440677966099</v>
      </c>
      <c r="AK377" s="1728">
        <v>0.38093749999999998</v>
      </c>
      <c r="AL377" s="1728">
        <v>0.38129032258064516</v>
      </c>
      <c r="AM377" s="1728">
        <v>0.38093749999999998</v>
      </c>
      <c r="AN377" s="1728">
        <v>0.38138211382113824</v>
      </c>
      <c r="AO377" s="1728">
        <v>0.38111111111111112</v>
      </c>
      <c r="AP377" s="1728">
        <v>0.38124497991967871</v>
      </c>
    </row>
    <row r="378" spans="1:42" s="504" customFormat="1" ht="14.5" outlineLevel="1">
      <c r="A378" s="1693">
        <v>276</v>
      </c>
      <c r="B378" s="616">
        <v>1</v>
      </c>
      <c r="C378" s="1693">
        <v>326</v>
      </c>
      <c r="D378" s="616">
        <v>1</v>
      </c>
      <c r="E378" s="1693">
        <v>342</v>
      </c>
      <c r="F378" s="616">
        <v>1</v>
      </c>
      <c r="G378" s="1693">
        <v>375</v>
      </c>
      <c r="H378" s="616">
        <v>1</v>
      </c>
      <c r="I378" s="616"/>
      <c r="J378" s="709" t="s">
        <v>512</v>
      </c>
      <c r="K378" s="1764" t="s">
        <v>1216</v>
      </c>
      <c r="L378" s="519"/>
      <c r="M378" s="4"/>
      <c r="N378" s="501"/>
      <c r="O378" s="502"/>
      <c r="P378" s="503"/>
      <c r="Q378" s="503" t="s">
        <v>1064</v>
      </c>
      <c r="R378" s="501"/>
      <c r="S378" s="733"/>
      <c r="T378" s="505"/>
      <c r="U378" s="505"/>
      <c r="V378" s="505"/>
      <c r="W378" s="2075"/>
      <c r="X378" s="1304">
        <v>0.44</v>
      </c>
      <c r="Y378" s="1283">
        <v>0.37</v>
      </c>
      <c r="Z378" s="1283">
        <v>0.37</v>
      </c>
      <c r="AA378" s="1283">
        <v>0.42833333333333334</v>
      </c>
      <c r="AB378" s="1283">
        <v>0.37</v>
      </c>
      <c r="AC378" s="1283">
        <v>0.37</v>
      </c>
      <c r="AD378" s="1283">
        <v>0.42833333333333334</v>
      </c>
      <c r="AE378" s="1283">
        <v>0.37</v>
      </c>
      <c r="AF378" s="1283">
        <v>0.37</v>
      </c>
      <c r="AG378" s="1283">
        <v>0.42833333333333334</v>
      </c>
      <c r="AH378" s="1283">
        <v>0.37</v>
      </c>
      <c r="AI378" s="1283">
        <v>0.37</v>
      </c>
      <c r="AJ378" s="1283">
        <v>0.38186440677966099</v>
      </c>
      <c r="AK378" s="1283">
        <v>0.38093749999999998</v>
      </c>
      <c r="AL378" s="1283">
        <v>0.38129032258064516</v>
      </c>
      <c r="AM378" s="1283">
        <v>0.38093749999999998</v>
      </c>
      <c r="AN378" s="1283">
        <v>0.38138211382113824</v>
      </c>
      <c r="AO378" s="1283">
        <v>0.38111111111111112</v>
      </c>
      <c r="AP378" s="1283">
        <v>0.38124497991967871</v>
      </c>
    </row>
    <row r="379" spans="1:42" s="504" customFormat="1" ht="14.5" outlineLevel="1">
      <c r="A379" s="1693">
        <v>277</v>
      </c>
      <c r="B379" s="616">
        <v>1</v>
      </c>
      <c r="C379" s="1693">
        <v>327</v>
      </c>
      <c r="D379" s="616">
        <v>1</v>
      </c>
      <c r="E379" s="1693">
        <v>343</v>
      </c>
      <c r="F379" s="616">
        <v>1</v>
      </c>
      <c r="G379" s="1693">
        <v>376</v>
      </c>
      <c r="H379" s="616">
        <v>1</v>
      </c>
      <c r="I379" s="616"/>
      <c r="J379" s="709" t="s">
        <v>512</v>
      </c>
      <c r="K379" s="1764" t="s">
        <v>1216</v>
      </c>
      <c r="L379" s="519"/>
      <c r="M379" s="4"/>
      <c r="N379" s="501"/>
      <c r="O379" s="502"/>
      <c r="P379" s="503"/>
      <c r="Q379" s="503" t="s">
        <v>1065</v>
      </c>
      <c r="R379" s="501"/>
      <c r="S379" s="503"/>
      <c r="T379" s="505"/>
      <c r="U379" s="505"/>
      <c r="V379" s="505"/>
      <c r="W379" s="1792"/>
      <c r="X379" s="1304">
        <v>0</v>
      </c>
      <c r="Y379" s="1283">
        <v>0</v>
      </c>
      <c r="Z379" s="1283">
        <v>0</v>
      </c>
      <c r="AA379" s="1283">
        <v>0</v>
      </c>
      <c r="AB379" s="1283">
        <v>0</v>
      </c>
      <c r="AC379" s="1283">
        <v>0</v>
      </c>
      <c r="AD379" s="1283">
        <v>0</v>
      </c>
      <c r="AE379" s="1283">
        <v>0</v>
      </c>
      <c r="AF379" s="1283">
        <v>0</v>
      </c>
      <c r="AG379" s="1283">
        <v>0</v>
      </c>
      <c r="AH379" s="1283">
        <v>0</v>
      </c>
      <c r="AI379" s="1283">
        <v>0</v>
      </c>
      <c r="AJ379" s="1283">
        <v>0</v>
      </c>
      <c r="AK379" s="1283">
        <v>0</v>
      </c>
      <c r="AL379" s="1283">
        <v>0</v>
      </c>
      <c r="AM379" s="1283">
        <v>0</v>
      </c>
      <c r="AN379" s="1283">
        <v>0</v>
      </c>
      <c r="AO379" s="1283">
        <v>0</v>
      </c>
      <c r="AP379" s="1283">
        <v>0</v>
      </c>
    </row>
    <row r="380" spans="1:42" s="504" customFormat="1" ht="14.5" outlineLevel="1">
      <c r="A380" s="1693">
        <v>1</v>
      </c>
      <c r="B380" s="616">
        <v>1</v>
      </c>
      <c r="C380" s="1693">
        <v>1</v>
      </c>
      <c r="D380" s="616">
        <v>1</v>
      </c>
      <c r="E380" s="1693">
        <v>341</v>
      </c>
      <c r="F380" s="616">
        <v>1</v>
      </c>
      <c r="G380" s="1693">
        <v>377</v>
      </c>
      <c r="H380" s="616">
        <v>1</v>
      </c>
      <c r="I380" s="616"/>
      <c r="J380" s="709" t="s">
        <v>512</v>
      </c>
      <c r="K380" s="1764" t="s">
        <v>1216</v>
      </c>
      <c r="L380" s="1567"/>
      <c r="M380" s="4"/>
      <c r="N380" s="501"/>
      <c r="O380" s="502"/>
      <c r="P380" s="1074" t="s">
        <v>1066</v>
      </c>
      <c r="Q380" s="1075"/>
      <c r="R380" s="1076"/>
      <c r="S380" s="1079"/>
      <c r="T380" s="1078"/>
      <c r="U380" s="1078"/>
      <c r="V380" s="1078"/>
      <c r="W380" s="1797"/>
      <c r="X380" s="1456">
        <v>0</v>
      </c>
      <c r="Y380" s="1457">
        <v>0</v>
      </c>
      <c r="Z380" s="1457">
        <v>0</v>
      </c>
      <c r="AA380" s="1457">
        <v>0</v>
      </c>
      <c r="AB380" s="1457">
        <v>0</v>
      </c>
      <c r="AC380" s="1457">
        <v>0</v>
      </c>
      <c r="AD380" s="1457">
        <v>0</v>
      </c>
      <c r="AE380" s="1457">
        <v>0</v>
      </c>
      <c r="AF380" s="1457">
        <v>0</v>
      </c>
      <c r="AG380" s="1457">
        <v>0</v>
      </c>
      <c r="AH380" s="1457">
        <v>0</v>
      </c>
      <c r="AI380" s="1457">
        <v>0</v>
      </c>
      <c r="AJ380" s="1457">
        <v>0</v>
      </c>
      <c r="AK380" s="1457">
        <v>0</v>
      </c>
      <c r="AL380" s="1457">
        <v>0</v>
      </c>
      <c r="AM380" s="1457">
        <v>0</v>
      </c>
      <c r="AN380" s="1457">
        <v>0</v>
      </c>
      <c r="AO380" s="1457">
        <v>0</v>
      </c>
      <c r="AP380" s="1457">
        <v>0</v>
      </c>
    </row>
    <row r="381" spans="1:42" s="504" customFormat="1" ht="14.5" outlineLevel="1">
      <c r="A381" s="1693">
        <v>279</v>
      </c>
      <c r="B381" s="616">
        <v>1</v>
      </c>
      <c r="C381" s="1693">
        <v>1</v>
      </c>
      <c r="D381" s="616">
        <v>1</v>
      </c>
      <c r="E381" s="1693">
        <v>341</v>
      </c>
      <c r="F381" s="616">
        <v>1</v>
      </c>
      <c r="G381" s="1693">
        <v>378</v>
      </c>
      <c r="H381" s="616">
        <v>1</v>
      </c>
      <c r="I381" s="616"/>
      <c r="J381" s="709" t="s">
        <v>512</v>
      </c>
      <c r="K381" s="1764" t="s">
        <v>1216</v>
      </c>
      <c r="L381" s="519"/>
      <c r="M381" s="4"/>
      <c r="N381" s="501"/>
      <c r="O381" s="502"/>
      <c r="P381" s="503"/>
      <c r="Q381" s="503" t="s">
        <v>1067</v>
      </c>
      <c r="R381" s="501"/>
      <c r="S381" s="1081"/>
      <c r="T381" s="505"/>
      <c r="U381" s="505"/>
      <c r="V381" s="505"/>
      <c r="W381" s="1792"/>
      <c r="X381" s="1304">
        <v>0</v>
      </c>
      <c r="Y381" s="1283">
        <v>0</v>
      </c>
      <c r="Z381" s="1283">
        <v>0</v>
      </c>
      <c r="AA381" s="1283">
        <v>0</v>
      </c>
      <c r="AB381" s="1283">
        <v>0</v>
      </c>
      <c r="AC381" s="1283">
        <v>0</v>
      </c>
      <c r="AD381" s="1283">
        <v>0</v>
      </c>
      <c r="AE381" s="1283">
        <v>0</v>
      </c>
      <c r="AF381" s="1283">
        <v>0</v>
      </c>
      <c r="AG381" s="1283">
        <v>0</v>
      </c>
      <c r="AH381" s="1283">
        <v>0</v>
      </c>
      <c r="AI381" s="1283">
        <v>0</v>
      </c>
      <c r="AJ381" s="1283">
        <v>0</v>
      </c>
      <c r="AK381" s="1283">
        <v>0</v>
      </c>
      <c r="AL381" s="1283">
        <v>0</v>
      </c>
      <c r="AM381" s="1283">
        <v>0</v>
      </c>
      <c r="AN381" s="1283">
        <v>0</v>
      </c>
      <c r="AO381" s="1283">
        <v>0</v>
      </c>
      <c r="AP381" s="1283">
        <v>0</v>
      </c>
    </row>
    <row r="382" spans="1:42" s="504" customFormat="1" ht="14.5" outlineLevel="1">
      <c r="A382" s="1693">
        <v>1</v>
      </c>
      <c r="B382" s="616">
        <v>1</v>
      </c>
      <c r="C382" s="1693">
        <v>1</v>
      </c>
      <c r="D382" s="616">
        <v>1</v>
      </c>
      <c r="E382" s="1693">
        <v>1</v>
      </c>
      <c r="F382" s="616">
        <v>1</v>
      </c>
      <c r="G382" s="1693">
        <v>379</v>
      </c>
      <c r="H382" s="616">
        <v>1</v>
      </c>
      <c r="I382" s="616"/>
      <c r="J382" s="709" t="s">
        <v>512</v>
      </c>
      <c r="K382" s="1764" t="s">
        <v>1216</v>
      </c>
      <c r="L382" s="519"/>
      <c r="M382" s="4"/>
      <c r="N382" s="501"/>
      <c r="O382" s="502"/>
      <c r="P382" s="503"/>
      <c r="Q382" s="503" t="s">
        <v>1068</v>
      </c>
      <c r="R382" s="501"/>
      <c r="S382" s="1081"/>
      <c r="T382" s="505"/>
      <c r="U382" s="505"/>
      <c r="V382" s="505"/>
      <c r="W382" s="1792"/>
      <c r="X382" s="1304">
        <v>0</v>
      </c>
      <c r="Y382" s="1283">
        <v>0</v>
      </c>
      <c r="Z382" s="1283">
        <v>0</v>
      </c>
      <c r="AA382" s="1283">
        <v>0</v>
      </c>
      <c r="AB382" s="1283">
        <v>0</v>
      </c>
      <c r="AC382" s="1283">
        <v>0</v>
      </c>
      <c r="AD382" s="1283">
        <v>0</v>
      </c>
      <c r="AE382" s="1283">
        <v>0</v>
      </c>
      <c r="AF382" s="1283">
        <v>0</v>
      </c>
      <c r="AG382" s="1283">
        <v>0</v>
      </c>
      <c r="AH382" s="1283">
        <v>0</v>
      </c>
      <c r="AI382" s="1283">
        <v>0</v>
      </c>
      <c r="AJ382" s="1283">
        <v>0</v>
      </c>
      <c r="AK382" s="1283">
        <v>0</v>
      </c>
      <c r="AL382" s="1283">
        <v>0</v>
      </c>
      <c r="AM382" s="1283">
        <v>0</v>
      </c>
      <c r="AN382" s="1283">
        <v>0</v>
      </c>
      <c r="AO382" s="1283">
        <v>0</v>
      </c>
      <c r="AP382" s="1283">
        <v>0</v>
      </c>
    </row>
    <row r="383" spans="1:42" s="504" customFormat="1" ht="14.5" outlineLevel="1">
      <c r="A383" s="1693">
        <v>1</v>
      </c>
      <c r="B383" s="616">
        <v>1</v>
      </c>
      <c r="C383" s="1693">
        <v>1</v>
      </c>
      <c r="D383" s="616">
        <v>1</v>
      </c>
      <c r="E383" s="1693">
        <v>1</v>
      </c>
      <c r="F383" s="616">
        <v>1</v>
      </c>
      <c r="G383" s="1693">
        <v>380</v>
      </c>
      <c r="H383" s="616">
        <v>1</v>
      </c>
      <c r="I383" s="616"/>
      <c r="J383" s="709" t="s">
        <v>512</v>
      </c>
      <c r="K383" s="1764" t="s">
        <v>1216</v>
      </c>
      <c r="L383" s="519"/>
      <c r="M383" s="4"/>
      <c r="N383" s="501"/>
      <c r="O383" s="502"/>
      <c r="P383" s="503"/>
      <c r="Q383" s="503" t="s">
        <v>1069</v>
      </c>
      <c r="R383" s="501"/>
      <c r="S383" s="1081"/>
      <c r="T383" s="505"/>
      <c r="U383" s="505"/>
      <c r="V383" s="505"/>
      <c r="W383" s="1792"/>
      <c r="X383" s="1304">
        <v>0</v>
      </c>
      <c r="Y383" s="1283">
        <v>0</v>
      </c>
      <c r="Z383" s="1283">
        <v>0</v>
      </c>
      <c r="AA383" s="1283">
        <v>0</v>
      </c>
      <c r="AB383" s="1283">
        <v>0</v>
      </c>
      <c r="AC383" s="1283">
        <v>0</v>
      </c>
      <c r="AD383" s="1283">
        <v>0</v>
      </c>
      <c r="AE383" s="1283">
        <v>0</v>
      </c>
      <c r="AF383" s="1283">
        <v>0</v>
      </c>
      <c r="AG383" s="1283">
        <v>0</v>
      </c>
      <c r="AH383" s="1283">
        <v>0</v>
      </c>
      <c r="AI383" s="1283">
        <v>0</v>
      </c>
      <c r="AJ383" s="1283">
        <v>0</v>
      </c>
      <c r="AK383" s="1283">
        <v>0</v>
      </c>
      <c r="AL383" s="1283">
        <v>0</v>
      </c>
      <c r="AM383" s="1283">
        <v>0</v>
      </c>
      <c r="AN383" s="1283">
        <v>0</v>
      </c>
      <c r="AO383" s="1283">
        <v>0</v>
      </c>
      <c r="AP383" s="1283">
        <v>0</v>
      </c>
    </row>
    <row r="384" spans="1:42" s="69" customFormat="1" ht="14.5">
      <c r="A384" s="1693">
        <v>1</v>
      </c>
      <c r="B384" s="616">
        <v>1</v>
      </c>
      <c r="C384" s="1693">
        <v>1</v>
      </c>
      <c r="D384" s="616">
        <v>1</v>
      </c>
      <c r="E384" s="1693">
        <v>1</v>
      </c>
      <c r="F384" s="616">
        <v>1</v>
      </c>
      <c r="G384" s="1693">
        <v>381</v>
      </c>
      <c r="H384" s="616">
        <v>1</v>
      </c>
      <c r="I384" s="616"/>
      <c r="J384" s="709" t="s">
        <v>512</v>
      </c>
      <c r="K384" s="1764" t="s">
        <v>1216</v>
      </c>
      <c r="L384" s="1567"/>
      <c r="M384" s="4"/>
      <c r="N384" s="4"/>
      <c r="O384" s="762"/>
      <c r="P384" s="1071" t="s">
        <v>1057</v>
      </c>
      <c r="Q384" s="1071"/>
      <c r="R384" s="1072"/>
      <c r="S384" s="1072"/>
      <c r="T384" s="1072"/>
      <c r="U384" s="1073"/>
      <c r="V384" s="1072"/>
      <c r="W384" s="2061"/>
      <c r="X384" s="2062">
        <v>370</v>
      </c>
      <c r="Y384" s="2063">
        <v>425.5</v>
      </c>
      <c r="Z384" s="2063">
        <v>481</v>
      </c>
      <c r="AA384" s="2063">
        <v>407</v>
      </c>
      <c r="AB384" s="2063">
        <v>444</v>
      </c>
      <c r="AC384" s="2063">
        <v>518</v>
      </c>
      <c r="AD384" s="2063">
        <v>407</v>
      </c>
      <c r="AE384" s="2063">
        <v>444</v>
      </c>
      <c r="AF384" s="2063">
        <v>481</v>
      </c>
      <c r="AG384" s="2063">
        <v>407</v>
      </c>
      <c r="AH384" s="2063">
        <v>444</v>
      </c>
      <c r="AI384" s="2063">
        <v>518</v>
      </c>
      <c r="AJ384" s="2063">
        <v>1276.5</v>
      </c>
      <c r="AK384" s="2063">
        <v>1369</v>
      </c>
      <c r="AL384" s="2063">
        <v>1332</v>
      </c>
      <c r="AM384" s="2063">
        <v>1369</v>
      </c>
      <c r="AN384" s="2063">
        <v>2645.5</v>
      </c>
      <c r="AO384" s="2063">
        <v>2701</v>
      </c>
      <c r="AP384" s="2063">
        <v>5346.5</v>
      </c>
    </row>
    <row r="385" spans="1:42" ht="14.5">
      <c r="A385" s="1695">
        <v>280</v>
      </c>
      <c r="B385" s="616">
        <v>1</v>
      </c>
      <c r="C385" s="1695">
        <v>329</v>
      </c>
      <c r="D385" s="616">
        <v>1</v>
      </c>
      <c r="E385" s="1695">
        <v>345</v>
      </c>
      <c r="F385" s="616">
        <v>1</v>
      </c>
      <c r="G385" s="1693">
        <v>382</v>
      </c>
      <c r="H385" s="616">
        <v>1</v>
      </c>
      <c r="J385" s="709" t="s">
        <v>512</v>
      </c>
      <c r="K385" s="1764" t="s">
        <v>1216</v>
      </c>
      <c r="L385" s="519"/>
      <c r="M385" s="737"/>
      <c r="N385" s="4"/>
      <c r="O385" s="27"/>
      <c r="P385" s="3"/>
      <c r="Q385" s="3" t="s">
        <v>3</v>
      </c>
      <c r="R385" s="4"/>
      <c r="S385" s="725"/>
      <c r="T385" s="3"/>
      <c r="U385" s="3"/>
      <c r="V385" s="3"/>
      <c r="W385" s="2064"/>
      <c r="X385" s="596">
        <v>150</v>
      </c>
      <c r="Y385" s="2002">
        <v>0</v>
      </c>
      <c r="Z385" s="2002">
        <v>0</v>
      </c>
      <c r="AA385" s="2002">
        <v>150</v>
      </c>
      <c r="AB385" s="2002">
        <v>0</v>
      </c>
      <c r="AC385" s="2002">
        <v>0</v>
      </c>
      <c r="AD385" s="2002">
        <v>150</v>
      </c>
      <c r="AE385" s="2002">
        <v>0</v>
      </c>
      <c r="AF385" s="2002">
        <v>0</v>
      </c>
      <c r="AG385" s="2002">
        <v>150</v>
      </c>
      <c r="AH385" s="2002">
        <v>0</v>
      </c>
      <c r="AI385" s="2002">
        <v>0</v>
      </c>
      <c r="AJ385" s="2002">
        <v>150</v>
      </c>
      <c r="AK385" s="2002">
        <v>150</v>
      </c>
      <c r="AL385" s="2002">
        <v>150</v>
      </c>
      <c r="AM385" s="2002">
        <v>150</v>
      </c>
      <c r="AN385" s="2002">
        <v>300</v>
      </c>
      <c r="AO385" s="2002">
        <v>300</v>
      </c>
      <c r="AP385" s="2002">
        <v>600</v>
      </c>
    </row>
    <row r="386" spans="1:42" ht="14.5">
      <c r="A386" s="1695">
        <v>262</v>
      </c>
      <c r="B386" s="616">
        <v>1</v>
      </c>
      <c r="C386" s="1695">
        <v>314</v>
      </c>
      <c r="D386" s="616">
        <v>1</v>
      </c>
      <c r="E386" s="1695">
        <v>327</v>
      </c>
      <c r="F386" s="616">
        <v>1</v>
      </c>
      <c r="G386" s="1693">
        <v>383</v>
      </c>
      <c r="H386" s="616">
        <v>1</v>
      </c>
      <c r="J386" s="709" t="s">
        <v>512</v>
      </c>
      <c r="K386" s="1764" t="s">
        <v>1216</v>
      </c>
      <c r="L386" s="519"/>
      <c r="M386" s="4"/>
      <c r="N386" s="4"/>
      <c r="O386" s="498"/>
      <c r="P386" s="3"/>
      <c r="Q386" s="1736" t="s">
        <v>1219</v>
      </c>
      <c r="R386" s="1740"/>
      <c r="S386" s="1740"/>
      <c r="T386" s="1736"/>
      <c r="U386" s="1736"/>
      <c r="V386" s="1736"/>
      <c r="W386" s="2065"/>
      <c r="X386" s="2066">
        <v>220</v>
      </c>
      <c r="Y386" s="2067">
        <v>425.5</v>
      </c>
      <c r="Z386" s="2067">
        <v>481</v>
      </c>
      <c r="AA386" s="2067">
        <v>257</v>
      </c>
      <c r="AB386" s="2067">
        <v>444</v>
      </c>
      <c r="AC386" s="2067">
        <v>518</v>
      </c>
      <c r="AD386" s="2067">
        <v>257</v>
      </c>
      <c r="AE386" s="2067">
        <v>444</v>
      </c>
      <c r="AF386" s="2067">
        <v>481</v>
      </c>
      <c r="AG386" s="2067">
        <v>257</v>
      </c>
      <c r="AH386" s="2067">
        <v>444</v>
      </c>
      <c r="AI386" s="2067">
        <v>518</v>
      </c>
      <c r="AJ386" s="2067">
        <v>1126.5</v>
      </c>
      <c r="AK386" s="2067">
        <v>1219</v>
      </c>
      <c r="AL386" s="2067">
        <v>1182</v>
      </c>
      <c r="AM386" s="2067">
        <v>1219</v>
      </c>
      <c r="AN386" s="2067">
        <v>2345.5</v>
      </c>
      <c r="AO386" s="2067">
        <v>2401</v>
      </c>
      <c r="AP386" s="2067">
        <v>4746.5</v>
      </c>
    </row>
    <row r="387" spans="1:42" ht="14.5">
      <c r="A387" s="1693">
        <v>281</v>
      </c>
      <c r="B387" s="616">
        <v>1</v>
      </c>
      <c r="C387" s="1693">
        <v>330</v>
      </c>
      <c r="D387" s="616">
        <v>1</v>
      </c>
      <c r="E387" s="1693">
        <v>347</v>
      </c>
      <c r="F387" s="616">
        <v>1</v>
      </c>
      <c r="G387" s="1693">
        <v>383</v>
      </c>
      <c r="H387" s="616">
        <v>1</v>
      </c>
      <c r="J387" s="709" t="s">
        <v>512</v>
      </c>
      <c r="K387" s="1764" t="s">
        <v>1216</v>
      </c>
      <c r="L387" s="519"/>
      <c r="M387" s="4"/>
      <c r="N387" s="4"/>
      <c r="O387" s="27"/>
      <c r="P387" s="3"/>
      <c r="Q387" s="3"/>
      <c r="R387" s="3"/>
      <c r="S387" s="3" t="s">
        <v>4</v>
      </c>
      <c r="T387" s="3"/>
      <c r="U387" s="3"/>
      <c r="V387" s="3"/>
      <c r="W387" s="2068"/>
      <c r="X387" s="596">
        <v>220</v>
      </c>
      <c r="Y387" s="2002">
        <v>425.5</v>
      </c>
      <c r="Z387" s="2002">
        <v>481</v>
      </c>
      <c r="AA387" s="2002">
        <v>257</v>
      </c>
      <c r="AB387" s="2002">
        <v>444</v>
      </c>
      <c r="AC387" s="2002">
        <v>518</v>
      </c>
      <c r="AD387" s="2002">
        <v>257</v>
      </c>
      <c r="AE387" s="2002">
        <v>444</v>
      </c>
      <c r="AF387" s="2002">
        <v>481</v>
      </c>
      <c r="AG387" s="2002">
        <v>257</v>
      </c>
      <c r="AH387" s="2002">
        <v>444</v>
      </c>
      <c r="AI387" s="2002">
        <v>518</v>
      </c>
      <c r="AJ387" s="2002">
        <v>1126.5</v>
      </c>
      <c r="AK387" s="2002">
        <v>1219</v>
      </c>
      <c r="AL387" s="2002">
        <v>1182</v>
      </c>
      <c r="AM387" s="2002">
        <v>1219</v>
      </c>
      <c r="AN387" s="2002">
        <v>2345.5</v>
      </c>
      <c r="AO387" s="2002">
        <v>2401</v>
      </c>
      <c r="AP387" s="2002">
        <v>4746.5</v>
      </c>
    </row>
    <row r="388" spans="1:42" ht="14.5">
      <c r="A388" s="1693">
        <v>282</v>
      </c>
      <c r="B388" s="616">
        <v>1</v>
      </c>
      <c r="C388" s="1693">
        <v>331</v>
      </c>
      <c r="D388" s="616">
        <v>1</v>
      </c>
      <c r="E388" s="1693">
        <v>348</v>
      </c>
      <c r="F388" s="616">
        <v>1</v>
      </c>
      <c r="G388" s="1693">
        <v>384</v>
      </c>
      <c r="H388" s="616">
        <v>1</v>
      </c>
      <c r="J388" s="709" t="s">
        <v>512</v>
      </c>
      <c r="K388" s="1764" t="s">
        <v>1216</v>
      </c>
      <c r="L388" s="519"/>
      <c r="M388" s="4"/>
      <c r="N388" s="4"/>
      <c r="O388" s="27"/>
      <c r="P388" s="3"/>
      <c r="Q388" s="3"/>
      <c r="R388" s="3"/>
      <c r="S388" s="3" t="s">
        <v>602</v>
      </c>
      <c r="T388" s="3"/>
      <c r="U388" s="3"/>
      <c r="V388" s="26"/>
      <c r="W388" s="2001"/>
      <c r="X388" s="596">
        <v>0</v>
      </c>
      <c r="Y388" s="2002">
        <v>0</v>
      </c>
      <c r="Z388" s="2002">
        <v>0</v>
      </c>
      <c r="AA388" s="2002">
        <v>0</v>
      </c>
      <c r="AB388" s="2002">
        <v>0</v>
      </c>
      <c r="AC388" s="2002">
        <v>0</v>
      </c>
      <c r="AD388" s="2002">
        <v>0</v>
      </c>
      <c r="AE388" s="2002">
        <v>0</v>
      </c>
      <c r="AF388" s="2002">
        <v>0</v>
      </c>
      <c r="AG388" s="2002">
        <v>0</v>
      </c>
      <c r="AH388" s="2002">
        <v>0</v>
      </c>
      <c r="AI388" s="2002">
        <v>0</v>
      </c>
      <c r="AJ388" s="2002">
        <v>0</v>
      </c>
      <c r="AK388" s="2002">
        <v>0</v>
      </c>
      <c r="AL388" s="2002">
        <v>0</v>
      </c>
      <c r="AM388" s="2002">
        <v>0</v>
      </c>
      <c r="AN388" s="2002">
        <v>0</v>
      </c>
      <c r="AO388" s="2002">
        <v>0</v>
      </c>
      <c r="AP388" s="2002">
        <v>0</v>
      </c>
    </row>
    <row r="389" spans="1:42" ht="14.5">
      <c r="A389" s="1693">
        <v>1</v>
      </c>
      <c r="B389" s="616">
        <v>1</v>
      </c>
      <c r="C389" s="1693">
        <v>1</v>
      </c>
      <c r="D389" s="616">
        <v>1</v>
      </c>
      <c r="E389" s="1693">
        <v>1</v>
      </c>
      <c r="F389" s="616">
        <v>1</v>
      </c>
      <c r="G389" s="1693">
        <v>385</v>
      </c>
      <c r="H389" s="616">
        <v>1</v>
      </c>
      <c r="J389" s="709" t="s">
        <v>512</v>
      </c>
      <c r="K389" s="1764" t="s">
        <v>1216</v>
      </c>
      <c r="L389" s="1567"/>
      <c r="M389" s="4"/>
      <c r="N389" s="4"/>
      <c r="O389" s="498"/>
      <c r="P389" s="301" t="s">
        <v>1058</v>
      </c>
      <c r="Q389" s="301"/>
      <c r="R389" s="66"/>
      <c r="S389" s="66"/>
      <c r="T389" s="301"/>
      <c r="U389" s="301"/>
      <c r="V389" s="1739"/>
      <c r="W389" s="2061"/>
      <c r="X389" s="2062">
        <v>0</v>
      </c>
      <c r="Y389" s="2063">
        <v>0</v>
      </c>
      <c r="Z389" s="2063">
        <v>0</v>
      </c>
      <c r="AA389" s="2063">
        <v>0</v>
      </c>
      <c r="AB389" s="2063">
        <v>0</v>
      </c>
      <c r="AC389" s="2063">
        <v>0</v>
      </c>
      <c r="AD389" s="2063">
        <v>0</v>
      </c>
      <c r="AE389" s="2063">
        <v>0</v>
      </c>
      <c r="AF389" s="2063">
        <v>0</v>
      </c>
      <c r="AG389" s="2063">
        <v>0</v>
      </c>
      <c r="AH389" s="2063">
        <v>0</v>
      </c>
      <c r="AI389" s="2063">
        <v>0</v>
      </c>
      <c r="AJ389" s="2063">
        <v>0</v>
      </c>
      <c r="AK389" s="2063">
        <v>0</v>
      </c>
      <c r="AL389" s="2063">
        <v>0</v>
      </c>
      <c r="AM389" s="2063">
        <v>0</v>
      </c>
      <c r="AN389" s="2063">
        <v>0</v>
      </c>
      <c r="AO389" s="2063">
        <v>0</v>
      </c>
      <c r="AP389" s="2063">
        <v>0</v>
      </c>
    </row>
    <row r="390" spans="1:42" ht="14.5">
      <c r="A390" s="1693">
        <v>284</v>
      </c>
      <c r="B390" s="616">
        <v>318</v>
      </c>
      <c r="C390" s="1693">
        <v>1</v>
      </c>
      <c r="D390" s="616">
        <v>294</v>
      </c>
      <c r="E390" s="1693">
        <v>346</v>
      </c>
      <c r="F390" s="616">
        <v>1</v>
      </c>
      <c r="G390" s="1693">
        <v>386</v>
      </c>
      <c r="H390" s="616">
        <v>1</v>
      </c>
      <c r="J390" s="709" t="s">
        <v>512</v>
      </c>
      <c r="K390" s="1764" t="s">
        <v>1216</v>
      </c>
      <c r="L390" s="519"/>
      <c r="M390" s="4"/>
      <c r="N390" s="4"/>
      <c r="O390" s="27"/>
      <c r="P390" s="3"/>
      <c r="Q390" s="3" t="s">
        <v>1059</v>
      </c>
      <c r="R390" s="4"/>
      <c r="S390" s="3"/>
      <c r="T390" s="3"/>
      <c r="U390" s="3"/>
      <c r="V390" s="3"/>
      <c r="W390" s="2001"/>
      <c r="X390" s="596">
        <v>0</v>
      </c>
      <c r="Y390" s="2002">
        <v>0</v>
      </c>
      <c r="Z390" s="2002">
        <v>0</v>
      </c>
      <c r="AA390" s="2002">
        <v>0</v>
      </c>
      <c r="AB390" s="2002">
        <v>0</v>
      </c>
      <c r="AC390" s="2002">
        <v>0</v>
      </c>
      <c r="AD390" s="2002">
        <v>0</v>
      </c>
      <c r="AE390" s="2002">
        <v>0</v>
      </c>
      <c r="AF390" s="2002">
        <v>0</v>
      </c>
      <c r="AG390" s="2002">
        <v>0</v>
      </c>
      <c r="AH390" s="2002">
        <v>0</v>
      </c>
      <c r="AI390" s="2002">
        <v>0</v>
      </c>
      <c r="AJ390" s="2002">
        <v>0</v>
      </c>
      <c r="AK390" s="2002">
        <v>0</v>
      </c>
      <c r="AL390" s="2002">
        <v>0</v>
      </c>
      <c r="AM390" s="2002">
        <v>0</v>
      </c>
      <c r="AN390" s="2002">
        <v>0</v>
      </c>
      <c r="AO390" s="2002">
        <v>0</v>
      </c>
      <c r="AP390" s="2002">
        <v>0</v>
      </c>
    </row>
    <row r="391" spans="1:42" ht="14.5">
      <c r="A391" s="1693">
        <v>1</v>
      </c>
      <c r="B391" s="616">
        <v>319</v>
      </c>
      <c r="C391" s="1693">
        <v>1</v>
      </c>
      <c r="D391" s="616">
        <v>295</v>
      </c>
      <c r="E391" s="1693">
        <v>1</v>
      </c>
      <c r="F391" s="616">
        <v>1</v>
      </c>
      <c r="G391" s="1693">
        <v>387</v>
      </c>
      <c r="H391" s="616">
        <v>1</v>
      </c>
      <c r="J391" s="709" t="s">
        <v>512</v>
      </c>
      <c r="K391" s="1764" t="s">
        <v>1216</v>
      </c>
      <c r="L391" s="519"/>
      <c r="M391" s="4"/>
      <c r="N391" s="4"/>
      <c r="O391" s="27"/>
      <c r="P391" s="3"/>
      <c r="Q391" s="3" t="s">
        <v>1060</v>
      </c>
      <c r="R391" s="4"/>
      <c r="S391" s="725"/>
      <c r="T391" s="3"/>
      <c r="U391" s="3"/>
      <c r="V391" s="3"/>
      <c r="W391" s="2001"/>
      <c r="X391" s="596">
        <v>0</v>
      </c>
      <c r="Y391" s="2002">
        <v>0</v>
      </c>
      <c r="Z391" s="2002">
        <v>0</v>
      </c>
      <c r="AA391" s="2002">
        <v>0</v>
      </c>
      <c r="AB391" s="2002">
        <v>0</v>
      </c>
      <c r="AC391" s="2002">
        <v>0</v>
      </c>
      <c r="AD391" s="2002">
        <v>0</v>
      </c>
      <c r="AE391" s="2002">
        <v>0</v>
      </c>
      <c r="AF391" s="2002">
        <v>0</v>
      </c>
      <c r="AG391" s="2002">
        <v>0</v>
      </c>
      <c r="AH391" s="2002">
        <v>0</v>
      </c>
      <c r="AI391" s="2002">
        <v>0</v>
      </c>
      <c r="AJ391" s="2002">
        <v>0</v>
      </c>
      <c r="AK391" s="2002">
        <v>0</v>
      </c>
      <c r="AL391" s="2002">
        <v>0</v>
      </c>
      <c r="AM391" s="2002">
        <v>0</v>
      </c>
      <c r="AN391" s="2002">
        <v>0</v>
      </c>
      <c r="AO391" s="2002">
        <v>0</v>
      </c>
      <c r="AP391" s="2002">
        <v>0</v>
      </c>
    </row>
    <row r="392" spans="1:42" ht="14.5">
      <c r="A392" s="1693">
        <v>1</v>
      </c>
      <c r="B392" s="616">
        <v>1</v>
      </c>
      <c r="C392" s="1693">
        <v>1</v>
      </c>
      <c r="D392" s="616">
        <v>1</v>
      </c>
      <c r="E392" s="1693">
        <v>1</v>
      </c>
      <c r="F392" s="616">
        <v>1</v>
      </c>
      <c r="G392" s="1693">
        <v>388</v>
      </c>
      <c r="H392" s="616">
        <v>1</v>
      </c>
      <c r="J392" s="709" t="s">
        <v>512</v>
      </c>
      <c r="K392" s="1764" t="s">
        <v>1216</v>
      </c>
      <c r="L392" s="519"/>
      <c r="M392" s="4"/>
      <c r="N392" s="4"/>
      <c r="O392" s="27"/>
      <c r="P392" s="3"/>
      <c r="Q392" s="3" t="s">
        <v>1061</v>
      </c>
      <c r="R392" s="4"/>
      <c r="S392" s="3"/>
      <c r="T392" s="3"/>
      <c r="U392" s="3"/>
      <c r="V392" s="3"/>
      <c r="W392" s="2001"/>
      <c r="X392" s="596">
        <v>0</v>
      </c>
      <c r="Y392" s="2002">
        <v>0</v>
      </c>
      <c r="Z392" s="2002">
        <v>0</v>
      </c>
      <c r="AA392" s="2002">
        <v>0</v>
      </c>
      <c r="AB392" s="2002">
        <v>0</v>
      </c>
      <c r="AC392" s="2002">
        <v>0</v>
      </c>
      <c r="AD392" s="2002">
        <v>0</v>
      </c>
      <c r="AE392" s="2002">
        <v>0</v>
      </c>
      <c r="AF392" s="2002">
        <v>0</v>
      </c>
      <c r="AG392" s="2002">
        <v>0</v>
      </c>
      <c r="AH392" s="2002">
        <v>0</v>
      </c>
      <c r="AI392" s="2002">
        <v>0</v>
      </c>
      <c r="AJ392" s="2002">
        <v>0</v>
      </c>
      <c r="AK392" s="2002">
        <v>0</v>
      </c>
      <c r="AL392" s="2002">
        <v>0</v>
      </c>
      <c r="AM392" s="2002">
        <v>0</v>
      </c>
      <c r="AN392" s="2002">
        <v>0</v>
      </c>
      <c r="AO392" s="2002">
        <v>0</v>
      </c>
      <c r="AP392" s="2002">
        <v>0</v>
      </c>
    </row>
    <row r="393" spans="1:42" ht="14.5">
      <c r="A393" s="1695">
        <v>285</v>
      </c>
      <c r="B393" s="616">
        <v>1</v>
      </c>
      <c r="C393" s="1695">
        <v>333</v>
      </c>
      <c r="D393" s="616">
        <v>1</v>
      </c>
      <c r="E393" s="1695">
        <v>350</v>
      </c>
      <c r="F393" s="616">
        <v>1</v>
      </c>
      <c r="G393" s="1693">
        <v>389</v>
      </c>
      <c r="H393" s="616">
        <v>1</v>
      </c>
      <c r="J393" s="709" t="s">
        <v>512</v>
      </c>
      <c r="K393" s="1764" t="s">
        <v>1216</v>
      </c>
      <c r="L393" s="4"/>
      <c r="M393" s="4"/>
      <c r="N393" s="4"/>
      <c r="O393" s="316" t="s">
        <v>29</v>
      </c>
      <c r="P393" s="471"/>
      <c r="Q393" s="471"/>
      <c r="R393" s="471"/>
      <c r="S393" s="471"/>
      <c r="T393" s="471"/>
      <c r="U393" s="471"/>
      <c r="V393" s="471"/>
      <c r="W393" s="2058"/>
      <c r="X393" s="2059">
        <v>1070.064714813082</v>
      </c>
      <c r="Y393" s="2060">
        <v>959.16168111309116</v>
      </c>
      <c r="Z393" s="2060">
        <v>987.84710454392894</v>
      </c>
      <c r="AA393" s="2060">
        <v>964.12942793742832</v>
      </c>
      <c r="AB393" s="2060">
        <v>999.56654705422989</v>
      </c>
      <c r="AC393" s="2060">
        <v>1007.8966109477884</v>
      </c>
      <c r="AD393" s="2060">
        <v>977.79456922441818</v>
      </c>
      <c r="AE393" s="2060">
        <v>968.39670247449999</v>
      </c>
      <c r="AF393" s="2060">
        <v>1008.0522549467678</v>
      </c>
      <c r="AG393" s="2060">
        <v>984.51366758818676</v>
      </c>
      <c r="AH393" s="2060">
        <v>1000.8954325743989</v>
      </c>
      <c r="AI393" s="2060">
        <v>1027.9050570944787</v>
      </c>
      <c r="AJ393" s="2060">
        <v>3017.0735004701019</v>
      </c>
      <c r="AK393" s="2060">
        <v>2971.5925859394465</v>
      </c>
      <c r="AL393" s="2060">
        <v>2954.243526645686</v>
      </c>
      <c r="AM393" s="2060">
        <v>3013.3141572570644</v>
      </c>
      <c r="AN393" s="2060">
        <v>5988.6660864095484</v>
      </c>
      <c r="AO393" s="2060">
        <v>5967.5576839027508</v>
      </c>
      <c r="AP393" s="2060">
        <v>11956.223770312299</v>
      </c>
    </row>
    <row r="394" spans="1:42" ht="14.5">
      <c r="A394" s="1693">
        <v>286</v>
      </c>
      <c r="B394" s="616">
        <v>321</v>
      </c>
      <c r="C394" s="1693">
        <v>334</v>
      </c>
      <c r="D394" s="616">
        <v>297</v>
      </c>
      <c r="E394" s="1693">
        <v>351</v>
      </c>
      <c r="F394" s="616">
        <v>1</v>
      </c>
      <c r="G394" s="1693">
        <v>390</v>
      </c>
      <c r="H394" s="616">
        <v>1</v>
      </c>
      <c r="J394" s="709" t="s">
        <v>512</v>
      </c>
      <c r="K394" s="1764" t="s">
        <v>1216</v>
      </c>
      <c r="L394" s="4"/>
      <c r="M394" s="4"/>
      <c r="N394" s="4"/>
      <c r="O394" s="27"/>
      <c r="P394" s="36"/>
      <c r="Q394" s="721" t="s">
        <v>63</v>
      </c>
      <c r="R394" s="722"/>
      <c r="S394" s="294"/>
      <c r="T394" s="294"/>
      <c r="U394" s="294"/>
      <c r="V394" s="1732"/>
      <c r="W394" s="1853"/>
      <c r="X394" s="2076">
        <v>444.80401899369298</v>
      </c>
      <c r="Y394" s="2077">
        <v>333.90098529370209</v>
      </c>
      <c r="Z394" s="2077">
        <v>362.58640872453992</v>
      </c>
      <c r="AA394" s="2077">
        <v>338.8687321180393</v>
      </c>
      <c r="AB394" s="2077">
        <v>374.30585123484076</v>
      </c>
      <c r="AC394" s="2077">
        <v>382.63591512839935</v>
      </c>
      <c r="AD394" s="2077">
        <v>352.53387340502911</v>
      </c>
      <c r="AE394" s="2077">
        <v>343.13600665511092</v>
      </c>
      <c r="AF394" s="2077">
        <v>382.79155912737872</v>
      </c>
      <c r="AG394" s="2077">
        <v>359.25297176879769</v>
      </c>
      <c r="AH394" s="2077">
        <v>375.63473675500978</v>
      </c>
      <c r="AI394" s="2077">
        <v>402.64436127508964</v>
      </c>
      <c r="AJ394" s="2078">
        <v>1141.291413011935</v>
      </c>
      <c r="AK394" s="2078">
        <v>1095.8104984812794</v>
      </c>
      <c r="AL394" s="2078">
        <v>1078.4614391875189</v>
      </c>
      <c r="AM394" s="2078">
        <v>1137.5320697988973</v>
      </c>
      <c r="AN394" s="2078">
        <v>2237.1019114932142</v>
      </c>
      <c r="AO394" s="2078">
        <v>2215.9935089864161</v>
      </c>
      <c r="AP394" s="2078">
        <v>4453.0954204796308</v>
      </c>
    </row>
    <row r="395" spans="1:42" ht="14.5">
      <c r="A395" s="1693">
        <v>287</v>
      </c>
      <c r="B395" s="616">
        <v>322</v>
      </c>
      <c r="C395" s="1693">
        <v>335</v>
      </c>
      <c r="D395" s="616">
        <v>298</v>
      </c>
      <c r="E395" s="1693">
        <v>352</v>
      </c>
      <c r="F395" s="616">
        <v>1</v>
      </c>
      <c r="G395" s="1693">
        <v>391</v>
      </c>
      <c r="H395" s="616">
        <v>1</v>
      </c>
      <c r="J395" s="709" t="s">
        <v>512</v>
      </c>
      <c r="K395" s="1764" t="s">
        <v>1216</v>
      </c>
      <c r="L395" s="4"/>
      <c r="M395" s="4"/>
      <c r="N395" s="4"/>
      <c r="O395" s="27"/>
      <c r="P395" s="36"/>
      <c r="Q395" s="724" t="s">
        <v>28</v>
      </c>
      <c r="R395" s="4"/>
      <c r="S395" s="3"/>
      <c r="T395" s="3"/>
      <c r="U395" s="3"/>
      <c r="V395" s="26"/>
      <c r="W395" s="1850"/>
      <c r="X395" s="2003">
        <v>595.26163331938903</v>
      </c>
      <c r="Y395" s="2004">
        <v>595.26163331938903</v>
      </c>
      <c r="Z395" s="2004">
        <v>595.26163331938903</v>
      </c>
      <c r="AA395" s="2004">
        <v>595.26163331938903</v>
      </c>
      <c r="AB395" s="2004">
        <v>595.26163331938903</v>
      </c>
      <c r="AC395" s="2004">
        <v>595.26163331938903</v>
      </c>
      <c r="AD395" s="2004">
        <v>595.26163331938903</v>
      </c>
      <c r="AE395" s="2004">
        <v>595.26163331938903</v>
      </c>
      <c r="AF395" s="2004">
        <v>595.26163331938903</v>
      </c>
      <c r="AG395" s="2004">
        <v>595.26163331938903</v>
      </c>
      <c r="AH395" s="2004">
        <v>595.26163331938903</v>
      </c>
      <c r="AI395" s="2004">
        <v>595.26163331938903</v>
      </c>
      <c r="AJ395" s="2002">
        <v>1785.784899958167</v>
      </c>
      <c r="AK395" s="2002">
        <v>1785.784899958167</v>
      </c>
      <c r="AL395" s="2002">
        <v>1785.784899958167</v>
      </c>
      <c r="AM395" s="2002">
        <v>1785.784899958167</v>
      </c>
      <c r="AN395" s="2002">
        <v>3571.569799916334</v>
      </c>
      <c r="AO395" s="2002">
        <v>3571.569799916334</v>
      </c>
      <c r="AP395" s="2002">
        <v>7143.139599832668</v>
      </c>
    </row>
    <row r="396" spans="1:42" ht="14.5">
      <c r="A396" s="1693">
        <v>288</v>
      </c>
      <c r="B396" s="616">
        <v>323</v>
      </c>
      <c r="C396" s="1693">
        <v>336</v>
      </c>
      <c r="D396" s="616">
        <v>299</v>
      </c>
      <c r="E396" s="1693">
        <v>357</v>
      </c>
      <c r="F396" s="616">
        <v>1</v>
      </c>
      <c r="G396" s="1693">
        <v>396</v>
      </c>
      <c r="H396" s="616">
        <v>1</v>
      </c>
      <c r="J396" s="709" t="s">
        <v>512</v>
      </c>
      <c r="K396" s="1764" t="s">
        <v>1216</v>
      </c>
      <c r="L396" s="4"/>
      <c r="M396" s="4"/>
      <c r="N396" s="4"/>
      <c r="O396" s="27"/>
      <c r="P396" s="36"/>
      <c r="Q396" s="1733" t="s">
        <v>62</v>
      </c>
      <c r="R396" s="2"/>
      <c r="S396" s="1"/>
      <c r="T396" s="1"/>
      <c r="U396" s="1"/>
      <c r="V396" s="24"/>
      <c r="W396" s="1853"/>
      <c r="X396" s="2017">
        <v>29.999062499999997</v>
      </c>
      <c r="Y396" s="2018">
        <v>29.999062499999997</v>
      </c>
      <c r="Z396" s="2018">
        <v>29.999062499999997</v>
      </c>
      <c r="AA396" s="2018">
        <v>29.999062499999997</v>
      </c>
      <c r="AB396" s="2018">
        <v>29.999062499999997</v>
      </c>
      <c r="AC396" s="2018">
        <v>29.999062499999997</v>
      </c>
      <c r="AD396" s="2018">
        <v>29.999062499999997</v>
      </c>
      <c r="AE396" s="2018">
        <v>29.999062499999997</v>
      </c>
      <c r="AF396" s="2018">
        <v>29.999062499999997</v>
      </c>
      <c r="AG396" s="2018">
        <v>29.999062499999997</v>
      </c>
      <c r="AH396" s="2018">
        <v>29.999062499999997</v>
      </c>
      <c r="AI396" s="2018">
        <v>29.999062499999997</v>
      </c>
      <c r="AJ396" s="2079">
        <v>89.997187499999995</v>
      </c>
      <c r="AK396" s="2079">
        <v>89.997187499999995</v>
      </c>
      <c r="AL396" s="2079">
        <v>89.997187499999995</v>
      </c>
      <c r="AM396" s="2079">
        <v>89.997187499999995</v>
      </c>
      <c r="AN396" s="2079">
        <v>179.99437499999999</v>
      </c>
      <c r="AO396" s="2079">
        <v>179.99437499999999</v>
      </c>
      <c r="AP396" s="2079">
        <v>359.98874999999998</v>
      </c>
    </row>
    <row r="397" spans="1:42" ht="14.5">
      <c r="A397" s="1693">
        <v>1</v>
      </c>
      <c r="B397" s="616">
        <v>1</v>
      </c>
      <c r="C397" s="1693">
        <v>1</v>
      </c>
      <c r="D397" s="616">
        <v>1</v>
      </c>
      <c r="E397" s="1693">
        <v>1</v>
      </c>
      <c r="F397" s="616">
        <v>1</v>
      </c>
      <c r="G397" s="1693">
        <v>397</v>
      </c>
      <c r="H397" s="616">
        <v>1</v>
      </c>
      <c r="J397" s="709" t="s">
        <v>512</v>
      </c>
      <c r="K397" s="1764" t="s">
        <v>1216</v>
      </c>
      <c r="L397" s="4"/>
      <c r="M397" s="4"/>
      <c r="N397" s="4"/>
      <c r="O397" s="27"/>
      <c r="P397" s="36"/>
      <c r="Q397" s="1016" t="s">
        <v>1070</v>
      </c>
      <c r="R397" s="673"/>
      <c r="S397" s="674"/>
      <c r="T397" s="674"/>
      <c r="U397" s="674"/>
      <c r="V397" s="674"/>
      <c r="W397" s="1850"/>
      <c r="X397" s="2080">
        <v>0</v>
      </c>
      <c r="Y397" s="2080">
        <v>0</v>
      </c>
      <c r="Z397" s="2080">
        <v>0</v>
      </c>
      <c r="AA397" s="2080">
        <v>0</v>
      </c>
      <c r="AB397" s="2080">
        <v>0</v>
      </c>
      <c r="AC397" s="2080">
        <v>0</v>
      </c>
      <c r="AD397" s="2080">
        <v>0</v>
      </c>
      <c r="AE397" s="2080">
        <v>0</v>
      </c>
      <c r="AF397" s="2080">
        <v>0</v>
      </c>
      <c r="AG397" s="2080">
        <v>0</v>
      </c>
      <c r="AH397" s="2080">
        <v>0</v>
      </c>
      <c r="AI397" s="2080">
        <v>0</v>
      </c>
      <c r="AJ397" s="2081">
        <v>0</v>
      </c>
      <c r="AK397" s="2081">
        <v>0</v>
      </c>
      <c r="AL397" s="2081">
        <v>0</v>
      </c>
      <c r="AM397" s="2081">
        <v>0</v>
      </c>
      <c r="AN397" s="2081">
        <v>0</v>
      </c>
      <c r="AO397" s="2081">
        <v>0</v>
      </c>
      <c r="AP397" s="2081">
        <v>0</v>
      </c>
    </row>
    <row r="398" spans="1:42" ht="14.5">
      <c r="A398" s="1693">
        <v>1</v>
      </c>
      <c r="B398" s="616">
        <v>1</v>
      </c>
      <c r="C398" s="1693">
        <v>1</v>
      </c>
      <c r="D398" s="616">
        <v>1</v>
      </c>
      <c r="E398" s="1693">
        <v>1</v>
      </c>
      <c r="F398" s="616">
        <v>1</v>
      </c>
      <c r="G398" s="1693">
        <v>398</v>
      </c>
      <c r="H398" s="616">
        <v>1</v>
      </c>
      <c r="J398" s="709" t="s">
        <v>512</v>
      </c>
      <c r="K398" s="1764" t="s">
        <v>1216</v>
      </c>
      <c r="L398" s="519"/>
      <c r="M398" s="4"/>
      <c r="N398" s="4"/>
      <c r="O398" s="27"/>
      <c r="P398" s="36"/>
      <c r="Q398" s="635"/>
      <c r="R398" s="635"/>
      <c r="S398" s="36" t="s">
        <v>656</v>
      </c>
      <c r="T398" s="674"/>
      <c r="U398" s="674"/>
      <c r="V398" s="674"/>
      <c r="W398" s="1990"/>
      <c r="X398" s="2082"/>
      <c r="Y398" s="2083"/>
      <c r="Z398" s="2083"/>
      <c r="AA398" s="2083"/>
      <c r="AB398" s="2083"/>
      <c r="AC398" s="2083"/>
      <c r="AD398" s="2083"/>
      <c r="AE398" s="2083"/>
      <c r="AF398" s="2083"/>
      <c r="AG398" s="2083"/>
      <c r="AH398" s="2083"/>
      <c r="AI398" s="2083"/>
      <c r="AJ398" s="2081">
        <v>0</v>
      </c>
      <c r="AK398" s="2081">
        <v>0</v>
      </c>
      <c r="AL398" s="2081">
        <v>0</v>
      </c>
      <c r="AM398" s="2081">
        <v>0</v>
      </c>
      <c r="AN398" s="2081">
        <v>0</v>
      </c>
      <c r="AO398" s="2081">
        <v>0</v>
      </c>
      <c r="AP398" s="2081">
        <v>0</v>
      </c>
    </row>
    <row r="399" spans="1:42" ht="14.5">
      <c r="A399" s="1693">
        <v>1</v>
      </c>
      <c r="B399" s="616">
        <v>1</v>
      </c>
      <c r="C399" s="1693">
        <v>1</v>
      </c>
      <c r="D399" s="616">
        <v>1</v>
      </c>
      <c r="E399" s="1693">
        <v>1</v>
      </c>
      <c r="F399" s="616">
        <v>1</v>
      </c>
      <c r="G399" s="1693">
        <v>399</v>
      </c>
      <c r="H399" s="616">
        <v>1</v>
      </c>
      <c r="J399" s="709" t="s">
        <v>512</v>
      </c>
      <c r="K399" s="1764" t="s">
        <v>1216</v>
      </c>
      <c r="L399" s="519"/>
      <c r="M399" s="4"/>
      <c r="N399" s="4"/>
      <c r="O399" s="27"/>
      <c r="P399" s="36"/>
      <c r="Q399" s="635"/>
      <c r="R399" s="635"/>
      <c r="S399" s="36" t="s">
        <v>620</v>
      </c>
      <c r="T399" s="674"/>
      <c r="U399" s="674"/>
      <c r="V399" s="674"/>
      <c r="W399" s="1990"/>
      <c r="X399" s="2082"/>
      <c r="Y399" s="2083"/>
      <c r="Z399" s="2083"/>
      <c r="AA399" s="2083"/>
      <c r="AB399" s="2083"/>
      <c r="AC399" s="2083"/>
      <c r="AD399" s="2083"/>
      <c r="AE399" s="2083"/>
      <c r="AF399" s="2083"/>
      <c r="AG399" s="2083"/>
      <c r="AH399" s="2083"/>
      <c r="AI399" s="2083"/>
      <c r="AJ399" s="2081">
        <v>0</v>
      </c>
      <c r="AK399" s="2081">
        <v>0</v>
      </c>
      <c r="AL399" s="2081">
        <v>0</v>
      </c>
      <c r="AM399" s="2081">
        <v>0</v>
      </c>
      <c r="AN399" s="2081">
        <v>0</v>
      </c>
      <c r="AO399" s="2081">
        <v>0</v>
      </c>
      <c r="AP399" s="2081">
        <v>0</v>
      </c>
    </row>
    <row r="400" spans="1:42" ht="14.5">
      <c r="A400" s="1693">
        <v>1</v>
      </c>
      <c r="B400" s="616">
        <v>1</v>
      </c>
      <c r="C400" s="1693">
        <v>1</v>
      </c>
      <c r="D400" s="616">
        <v>1</v>
      </c>
      <c r="E400" s="1693">
        <v>1</v>
      </c>
      <c r="F400" s="616">
        <v>1</v>
      </c>
      <c r="G400" s="1693">
        <v>400</v>
      </c>
      <c r="H400" s="616">
        <v>1</v>
      </c>
      <c r="J400" s="709" t="s">
        <v>512</v>
      </c>
      <c r="K400" s="1764" t="s">
        <v>1216</v>
      </c>
      <c r="L400" s="519"/>
      <c r="M400" s="4"/>
      <c r="N400" s="4"/>
      <c r="O400" s="27"/>
      <c r="P400" s="36"/>
      <c r="Q400" s="1018"/>
      <c r="R400" s="1018"/>
      <c r="S400" s="1744" t="s">
        <v>619</v>
      </c>
      <c r="T400" s="1019"/>
      <c r="U400" s="1019"/>
      <c r="V400" s="1019"/>
      <c r="W400" s="1990"/>
      <c r="X400" s="2084"/>
      <c r="Y400" s="2085"/>
      <c r="Z400" s="2085"/>
      <c r="AA400" s="2085"/>
      <c r="AB400" s="2085"/>
      <c r="AC400" s="2085"/>
      <c r="AD400" s="2085"/>
      <c r="AE400" s="2085"/>
      <c r="AF400" s="2085"/>
      <c r="AG400" s="2085"/>
      <c r="AH400" s="2085"/>
      <c r="AI400" s="2085"/>
      <c r="AJ400" s="2086">
        <v>0</v>
      </c>
      <c r="AK400" s="2086">
        <v>0</v>
      </c>
      <c r="AL400" s="2086">
        <v>0</v>
      </c>
      <c r="AM400" s="2086">
        <v>0</v>
      </c>
      <c r="AN400" s="2086">
        <v>0</v>
      </c>
      <c r="AO400" s="2086">
        <v>0</v>
      </c>
      <c r="AP400" s="2086">
        <v>0</v>
      </c>
    </row>
    <row r="401" spans="1:42" ht="14.5">
      <c r="A401" s="1693">
        <v>1</v>
      </c>
      <c r="B401" s="616">
        <v>1</v>
      </c>
      <c r="C401" s="1693">
        <v>1</v>
      </c>
      <c r="D401" s="616">
        <v>1</v>
      </c>
      <c r="E401" s="1693">
        <v>1</v>
      </c>
      <c r="F401" s="616">
        <v>1</v>
      </c>
      <c r="G401" s="1693">
        <v>401</v>
      </c>
      <c r="H401" s="616">
        <v>1</v>
      </c>
      <c r="J401" s="709" t="s">
        <v>512</v>
      </c>
      <c r="K401" s="1764" t="s">
        <v>1216</v>
      </c>
      <c r="L401" s="4"/>
      <c r="M401" s="4"/>
      <c r="N401" s="4"/>
      <c r="O401" s="27"/>
      <c r="P401" s="36"/>
      <c r="Q401" s="1016" t="s">
        <v>1071</v>
      </c>
      <c r="R401" s="673"/>
      <c r="S401" s="674"/>
      <c r="T401" s="674"/>
      <c r="U401" s="674"/>
      <c r="V401" s="674"/>
      <c r="W401" s="1850"/>
      <c r="X401" s="2087">
        <v>1070.064714813082</v>
      </c>
      <c r="Y401" s="2087">
        <v>959.16168111309116</v>
      </c>
      <c r="Z401" s="2087">
        <v>987.84710454392894</v>
      </c>
      <c r="AA401" s="2087">
        <v>964.12942793742832</v>
      </c>
      <c r="AB401" s="2087">
        <v>999.56654705422989</v>
      </c>
      <c r="AC401" s="2087">
        <v>1007.8966109477884</v>
      </c>
      <c r="AD401" s="2087">
        <v>977.79456922441818</v>
      </c>
      <c r="AE401" s="2087">
        <v>968.39670247449999</v>
      </c>
      <c r="AF401" s="2087">
        <v>1008.0522549467678</v>
      </c>
      <c r="AG401" s="2087">
        <v>984.51366758818676</v>
      </c>
      <c r="AH401" s="2087">
        <v>1000.8954325743989</v>
      </c>
      <c r="AI401" s="2087">
        <v>1027.9050570944787</v>
      </c>
      <c r="AJ401" s="2081">
        <v>3017.0735004701019</v>
      </c>
      <c r="AK401" s="2081">
        <v>2971.5925859394465</v>
      </c>
      <c r="AL401" s="2081">
        <v>2954.243526645686</v>
      </c>
      <c r="AM401" s="2081">
        <v>3013.3141572570644</v>
      </c>
      <c r="AN401" s="2081">
        <v>5988.6660864095484</v>
      </c>
      <c r="AO401" s="2081">
        <v>5967.5576839027508</v>
      </c>
      <c r="AP401" s="2081">
        <v>11956.223770312299</v>
      </c>
    </row>
    <row r="402" spans="1:42" ht="14.5">
      <c r="A402" s="1693">
        <v>1</v>
      </c>
      <c r="B402" s="616">
        <v>1</v>
      </c>
      <c r="C402" s="1693">
        <v>1</v>
      </c>
      <c r="D402" s="616">
        <v>1</v>
      </c>
      <c r="E402" s="1693">
        <v>1</v>
      </c>
      <c r="F402" s="616">
        <v>1</v>
      </c>
      <c r="G402" s="1693">
        <v>402</v>
      </c>
      <c r="H402" s="616">
        <v>1</v>
      </c>
      <c r="J402" s="709" t="s">
        <v>512</v>
      </c>
      <c r="K402" s="1764" t="s">
        <v>1216</v>
      </c>
      <c r="L402" s="519"/>
      <c r="M402" s="4"/>
      <c r="N402" s="4"/>
      <c r="O402" s="27"/>
      <c r="P402" s="36"/>
      <c r="Q402" s="635"/>
      <c r="R402" s="635"/>
      <c r="S402" s="635" t="s">
        <v>3</v>
      </c>
      <c r="T402" s="674"/>
      <c r="U402" s="674"/>
      <c r="V402" s="674"/>
      <c r="W402" s="2088"/>
      <c r="X402" s="2082"/>
      <c r="Y402" s="2083"/>
      <c r="Z402" s="2083"/>
      <c r="AA402" s="2083"/>
      <c r="AB402" s="2083"/>
      <c r="AC402" s="2083"/>
      <c r="AD402" s="2083"/>
      <c r="AE402" s="2083"/>
      <c r="AF402" s="2083"/>
      <c r="AG402" s="2083"/>
      <c r="AH402" s="2083"/>
      <c r="AI402" s="2083"/>
      <c r="AJ402" s="2081">
        <v>0</v>
      </c>
      <c r="AK402" s="2081">
        <v>0</v>
      </c>
      <c r="AL402" s="2081">
        <v>0</v>
      </c>
      <c r="AM402" s="2081">
        <v>0</v>
      </c>
      <c r="AN402" s="2081">
        <v>0</v>
      </c>
      <c r="AO402" s="2081">
        <v>0</v>
      </c>
      <c r="AP402" s="2081">
        <v>0</v>
      </c>
    </row>
    <row r="403" spans="1:42" ht="14.5">
      <c r="A403" s="1695">
        <v>262</v>
      </c>
      <c r="B403" s="616">
        <v>1</v>
      </c>
      <c r="C403" s="1695">
        <v>314</v>
      </c>
      <c r="D403" s="616">
        <v>1</v>
      </c>
      <c r="E403" s="1695">
        <v>327</v>
      </c>
      <c r="F403" s="616">
        <v>1</v>
      </c>
      <c r="G403" s="1693">
        <v>403</v>
      </c>
      <c r="H403" s="616">
        <v>1</v>
      </c>
      <c r="J403" s="709" t="s">
        <v>512</v>
      </c>
      <c r="K403" s="1764" t="s">
        <v>1216</v>
      </c>
      <c r="L403" s="519"/>
      <c r="M403" s="4"/>
      <c r="N403" s="4"/>
      <c r="O403" s="498"/>
      <c r="P403" s="3"/>
      <c r="Q403" s="3"/>
      <c r="R403" s="3"/>
      <c r="S403" s="1736" t="s">
        <v>1219</v>
      </c>
      <c r="T403" s="1736"/>
      <c r="U403" s="1736"/>
      <c r="V403" s="1736"/>
      <c r="W403" s="2065"/>
      <c r="X403" s="2066">
        <v>1070.064714813082</v>
      </c>
      <c r="Y403" s="2067">
        <v>959.16168111309116</v>
      </c>
      <c r="Z403" s="2067">
        <v>987.84710454392894</v>
      </c>
      <c r="AA403" s="2067">
        <v>964.12942793742832</v>
      </c>
      <c r="AB403" s="2067">
        <v>999.56654705422989</v>
      </c>
      <c r="AC403" s="2067">
        <v>1007.8966109477884</v>
      </c>
      <c r="AD403" s="2067">
        <v>977.79456922441818</v>
      </c>
      <c r="AE403" s="2067">
        <v>968.39670247449999</v>
      </c>
      <c r="AF403" s="2067">
        <v>1008.0522549467678</v>
      </c>
      <c r="AG403" s="2067">
        <v>984.51366758818676</v>
      </c>
      <c r="AH403" s="2067">
        <v>1000.8954325743989</v>
      </c>
      <c r="AI403" s="2067">
        <v>1027.9050570944787</v>
      </c>
      <c r="AJ403" s="2067">
        <v>3017.0735004701019</v>
      </c>
      <c r="AK403" s="2067">
        <v>2971.5925859394465</v>
      </c>
      <c r="AL403" s="2067">
        <v>2954.243526645686</v>
      </c>
      <c r="AM403" s="2067">
        <v>3013.3141572570644</v>
      </c>
      <c r="AN403" s="2067">
        <v>5988.6660864095484</v>
      </c>
      <c r="AO403" s="2067">
        <v>5967.5576839027508</v>
      </c>
      <c r="AP403" s="2067">
        <v>11956.223770312299</v>
      </c>
    </row>
    <row r="404" spans="1:42" ht="14.5">
      <c r="A404" s="1693">
        <v>1</v>
      </c>
      <c r="B404" s="616">
        <v>1</v>
      </c>
      <c r="C404" s="1693">
        <v>1</v>
      </c>
      <c r="D404" s="616">
        <v>1</v>
      </c>
      <c r="E404" s="1693">
        <v>1</v>
      </c>
      <c r="F404" s="616">
        <v>1</v>
      </c>
      <c r="G404" s="1693">
        <v>403</v>
      </c>
      <c r="H404" s="616">
        <v>1</v>
      </c>
      <c r="J404" s="709" t="s">
        <v>512</v>
      </c>
      <c r="K404" s="1764" t="s">
        <v>1216</v>
      </c>
      <c r="L404" s="519"/>
      <c r="M404" s="4"/>
      <c r="N404" s="4"/>
      <c r="O404" s="27"/>
      <c r="P404" s="36"/>
      <c r="Q404" s="635"/>
      <c r="R404" s="635"/>
      <c r="S404" s="635"/>
      <c r="T404" s="3" t="s">
        <v>4</v>
      </c>
      <c r="U404" s="674"/>
      <c r="V404" s="674"/>
      <c r="W404" s="2089"/>
      <c r="X404" s="2082"/>
      <c r="Y404" s="2083"/>
      <c r="Z404" s="2083"/>
      <c r="AA404" s="2083"/>
      <c r="AB404" s="2083"/>
      <c r="AC404" s="2083"/>
      <c r="AD404" s="2083"/>
      <c r="AE404" s="2083"/>
      <c r="AF404" s="2083"/>
      <c r="AG404" s="2083"/>
      <c r="AH404" s="2083"/>
      <c r="AI404" s="2083"/>
      <c r="AJ404" s="2081">
        <v>0</v>
      </c>
      <c r="AK404" s="2081">
        <v>0</v>
      </c>
      <c r="AL404" s="2081">
        <v>0</v>
      </c>
      <c r="AM404" s="2081">
        <v>0</v>
      </c>
      <c r="AN404" s="2081">
        <v>0</v>
      </c>
      <c r="AO404" s="2081">
        <v>0</v>
      </c>
      <c r="AP404" s="2081">
        <v>0</v>
      </c>
    </row>
    <row r="405" spans="1:42" ht="14.5">
      <c r="A405" s="1693">
        <v>1</v>
      </c>
      <c r="B405" s="616">
        <v>1</v>
      </c>
      <c r="C405" s="1693">
        <v>1</v>
      </c>
      <c r="D405" s="616">
        <v>1</v>
      </c>
      <c r="E405" s="1693">
        <v>1</v>
      </c>
      <c r="F405" s="616">
        <v>1</v>
      </c>
      <c r="G405" s="1693">
        <v>404</v>
      </c>
      <c r="H405" s="616">
        <v>1</v>
      </c>
      <c r="J405" s="709" t="s">
        <v>512</v>
      </c>
      <c r="K405" s="1764" t="s">
        <v>1216</v>
      </c>
      <c r="L405" s="519"/>
      <c r="M405" s="4"/>
      <c r="N405" s="4"/>
      <c r="O405" s="27"/>
      <c r="P405" s="36"/>
      <c r="Q405" s="635"/>
      <c r="R405" s="635"/>
      <c r="S405" s="635"/>
      <c r="T405" s="47" t="s">
        <v>602</v>
      </c>
      <c r="U405" s="674"/>
      <c r="V405" s="674"/>
      <c r="W405" s="1850"/>
      <c r="X405" s="2090">
        <v>1070.064714813082</v>
      </c>
      <c r="Y405" s="2091">
        <v>959.16168111309116</v>
      </c>
      <c r="Z405" s="2091">
        <v>987.84710454392894</v>
      </c>
      <c r="AA405" s="2091">
        <v>964.12942793742832</v>
      </c>
      <c r="AB405" s="2091">
        <v>999.56654705422989</v>
      </c>
      <c r="AC405" s="2091">
        <v>1007.8966109477884</v>
      </c>
      <c r="AD405" s="2091">
        <v>977.79456922441818</v>
      </c>
      <c r="AE405" s="2091">
        <v>968.39670247449999</v>
      </c>
      <c r="AF405" s="2091">
        <v>1008.0522549467678</v>
      </c>
      <c r="AG405" s="2091">
        <v>984.51366758818676</v>
      </c>
      <c r="AH405" s="2091">
        <v>1000.8954325743989</v>
      </c>
      <c r="AI405" s="2091">
        <v>1027.9050570944787</v>
      </c>
      <c r="AJ405" s="2081">
        <v>3017.0735004701019</v>
      </c>
      <c r="AK405" s="2081">
        <v>2971.5925859394465</v>
      </c>
      <c r="AL405" s="2081">
        <v>2954.243526645686</v>
      </c>
      <c r="AM405" s="2081">
        <v>3013.3141572570644</v>
      </c>
      <c r="AN405" s="2081">
        <v>5988.6660864095484</v>
      </c>
      <c r="AO405" s="2081">
        <v>5967.5576839027508</v>
      </c>
      <c r="AP405" s="2081">
        <v>11956.223770312299</v>
      </c>
    </row>
    <row r="406" spans="1:42" ht="14.5">
      <c r="A406" s="1693">
        <v>295</v>
      </c>
      <c r="B406" s="616">
        <v>1</v>
      </c>
      <c r="C406" s="1693">
        <v>342</v>
      </c>
      <c r="D406" s="616">
        <v>1</v>
      </c>
      <c r="E406" s="1693">
        <v>358</v>
      </c>
      <c r="F406" s="616">
        <v>1</v>
      </c>
      <c r="G406" s="1693">
        <v>405</v>
      </c>
      <c r="H406" s="616">
        <v>1</v>
      </c>
      <c r="J406" s="709" t="s">
        <v>512</v>
      </c>
      <c r="K406" s="1764" t="s">
        <v>1216</v>
      </c>
      <c r="L406" s="4"/>
      <c r="M406" s="4"/>
      <c r="N406" s="4"/>
      <c r="O406" s="327" t="s">
        <v>56</v>
      </c>
      <c r="P406" s="2092"/>
      <c r="Q406" s="868"/>
      <c r="R406" s="868"/>
      <c r="S406" s="868"/>
      <c r="T406" s="868"/>
      <c r="U406" s="868"/>
      <c r="V406" s="868"/>
      <c r="W406" s="2093"/>
      <c r="X406" s="2094">
        <v>-700.06471481308199</v>
      </c>
      <c r="Y406" s="2095">
        <v>-533.66168111309116</v>
      </c>
      <c r="Z406" s="2095">
        <v>-506.84710454392894</v>
      </c>
      <c r="AA406" s="2095">
        <v>-557.12942793742832</v>
      </c>
      <c r="AB406" s="2095">
        <v>-555.56654705422989</v>
      </c>
      <c r="AC406" s="2095">
        <v>-489.89661094778842</v>
      </c>
      <c r="AD406" s="2095">
        <v>-570.79456922441818</v>
      </c>
      <c r="AE406" s="2095">
        <v>-524.39670247449999</v>
      </c>
      <c r="AF406" s="2095">
        <v>-527.05225494676779</v>
      </c>
      <c r="AG406" s="2095">
        <v>-577.51366758818676</v>
      </c>
      <c r="AH406" s="2095">
        <v>-556.89543257439891</v>
      </c>
      <c r="AI406" s="2095">
        <v>-509.90505709447871</v>
      </c>
      <c r="AJ406" s="2095">
        <v>-1740.5735004701019</v>
      </c>
      <c r="AK406" s="2095">
        <v>-1602.5925859394465</v>
      </c>
      <c r="AL406" s="2095">
        <v>-1622.243526645686</v>
      </c>
      <c r="AM406" s="2095">
        <v>-1644.3141572570644</v>
      </c>
      <c r="AN406" s="2095">
        <v>-3343.1660864095484</v>
      </c>
      <c r="AO406" s="2095">
        <v>-3266.5576839027508</v>
      </c>
      <c r="AP406" s="2095">
        <v>-6609.7237703122992</v>
      </c>
    </row>
    <row r="407" spans="1:42" ht="14.5">
      <c r="A407" s="1693">
        <v>296</v>
      </c>
      <c r="B407" s="616">
        <v>1</v>
      </c>
      <c r="C407" s="1693">
        <v>343</v>
      </c>
      <c r="D407" s="616">
        <v>1</v>
      </c>
      <c r="E407" s="1693">
        <v>359</v>
      </c>
      <c r="F407" s="616">
        <v>1</v>
      </c>
      <c r="G407" s="1693">
        <v>406</v>
      </c>
      <c r="H407" s="616">
        <v>1</v>
      </c>
      <c r="J407" s="709" t="s">
        <v>512</v>
      </c>
      <c r="K407" s="1764" t="s">
        <v>1216</v>
      </c>
      <c r="L407" s="4"/>
      <c r="M407" s="4"/>
      <c r="N407" s="4"/>
      <c r="O407" s="27"/>
      <c r="P407" s="503" t="s">
        <v>55</v>
      </c>
      <c r="Q407" s="4"/>
      <c r="R407" s="4"/>
      <c r="S407" s="3"/>
      <c r="T407" s="3"/>
      <c r="U407" s="3"/>
      <c r="V407" s="3"/>
      <c r="W407" s="1792"/>
      <c r="X407" s="1304">
        <v>-0.70006471481308197</v>
      </c>
      <c r="Y407" s="1283">
        <v>-0.46405363575051406</v>
      </c>
      <c r="Z407" s="1283">
        <v>-0.38988238811071457</v>
      </c>
      <c r="AA407" s="1283">
        <v>-0.50648129812493481</v>
      </c>
      <c r="AB407" s="1283">
        <v>-0.46297212254519154</v>
      </c>
      <c r="AC407" s="1283">
        <v>-0.34992615067699173</v>
      </c>
      <c r="AD407" s="1283">
        <v>-0.51890415384038013</v>
      </c>
      <c r="AE407" s="1283">
        <v>-0.43699725206208334</v>
      </c>
      <c r="AF407" s="1283">
        <v>-0.40542481149751369</v>
      </c>
      <c r="AG407" s="1283">
        <v>-0.52501242508016976</v>
      </c>
      <c r="AH407" s="1283">
        <v>-0.4640795271453324</v>
      </c>
      <c r="AI407" s="1283">
        <v>-0.36421789792462766</v>
      </c>
      <c r="AJ407" s="1283">
        <v>-0.5045140581072759</v>
      </c>
      <c r="AK407" s="1283">
        <v>-0.43313313133498554</v>
      </c>
      <c r="AL407" s="1283">
        <v>-0.45062320184602389</v>
      </c>
      <c r="AM407" s="1283">
        <v>-0.44440923169109847</v>
      </c>
      <c r="AN407" s="1283">
        <v>-0.46757567642091585</v>
      </c>
      <c r="AO407" s="1283">
        <v>-0.44747365532914396</v>
      </c>
      <c r="AP407" s="1283">
        <v>-0.45742033012541861</v>
      </c>
    </row>
    <row r="408" spans="1:42" ht="14.5">
      <c r="A408" s="1693">
        <v>1</v>
      </c>
      <c r="B408" s="616">
        <v>1</v>
      </c>
      <c r="C408" s="1693">
        <v>1</v>
      </c>
      <c r="D408" s="616">
        <v>1</v>
      </c>
      <c r="E408" s="1693">
        <v>1</v>
      </c>
      <c r="F408" s="616">
        <v>1</v>
      </c>
      <c r="G408" s="1693">
        <v>407</v>
      </c>
      <c r="H408" s="616">
        <v>1</v>
      </c>
      <c r="J408" s="709" t="s">
        <v>512</v>
      </c>
      <c r="K408" s="1764" t="s">
        <v>1216</v>
      </c>
      <c r="L408" s="4"/>
      <c r="M408" s="4"/>
      <c r="N408" s="4"/>
      <c r="O408" s="27"/>
      <c r="P408" s="301" t="s">
        <v>1072</v>
      </c>
      <c r="Q408" s="1080"/>
      <c r="R408" s="1080"/>
      <c r="S408" s="301"/>
      <c r="T408" s="301"/>
      <c r="U408" s="301"/>
      <c r="V408" s="301"/>
      <c r="W408" s="2040"/>
      <c r="X408" s="2096">
        <v>-700.06471481308199</v>
      </c>
      <c r="Y408" s="2097">
        <v>-533.66168111309116</v>
      </c>
      <c r="Z408" s="2097">
        <v>-506.84710454392894</v>
      </c>
      <c r="AA408" s="2097">
        <v>-557.12942793742832</v>
      </c>
      <c r="AB408" s="2097">
        <v>-555.56654705422989</v>
      </c>
      <c r="AC408" s="2097">
        <v>-489.89661094778842</v>
      </c>
      <c r="AD408" s="2097">
        <v>-570.79456922441818</v>
      </c>
      <c r="AE408" s="2097">
        <v>-524.39670247449999</v>
      </c>
      <c r="AF408" s="2097">
        <v>-527.05225494676779</v>
      </c>
      <c r="AG408" s="2097">
        <v>-577.51366758818676</v>
      </c>
      <c r="AH408" s="2097">
        <v>-556.89543257439891</v>
      </c>
      <c r="AI408" s="2097">
        <v>-509.90505709447871</v>
      </c>
      <c r="AJ408" s="2097">
        <v>-1740.5735004701019</v>
      </c>
      <c r="AK408" s="2097">
        <v>-1602.5925859394465</v>
      </c>
      <c r="AL408" s="2097">
        <v>-1622.243526645686</v>
      </c>
      <c r="AM408" s="2097">
        <v>-1644.3141572570644</v>
      </c>
      <c r="AN408" s="2097">
        <v>-3343.1660864095484</v>
      </c>
      <c r="AO408" s="2097">
        <v>-3266.5576839027508</v>
      </c>
      <c r="AP408" s="2097">
        <v>-6609.7237703122992</v>
      </c>
    </row>
    <row r="409" spans="1:42" ht="14.5">
      <c r="J409" s="709"/>
      <c r="K409" s="1764" t="s">
        <v>1216</v>
      </c>
      <c r="L409" s="519"/>
      <c r="M409" s="4"/>
      <c r="N409" s="4"/>
      <c r="O409" s="27"/>
      <c r="P409" s="3"/>
      <c r="Q409" s="3" t="s">
        <v>1221</v>
      </c>
      <c r="R409" s="4"/>
      <c r="S409" s="725"/>
      <c r="T409" s="3"/>
      <c r="U409" s="3"/>
      <c r="V409" s="3"/>
      <c r="W409" s="2088"/>
      <c r="X409" s="2098">
        <v>150</v>
      </c>
      <c r="Y409" s="2099">
        <v>0</v>
      </c>
      <c r="Z409" s="2099">
        <v>0</v>
      </c>
      <c r="AA409" s="2099">
        <v>150</v>
      </c>
      <c r="AB409" s="2099">
        <v>0</v>
      </c>
      <c r="AC409" s="2099">
        <v>0</v>
      </c>
      <c r="AD409" s="2099">
        <v>150</v>
      </c>
      <c r="AE409" s="2099">
        <v>0</v>
      </c>
      <c r="AF409" s="2099">
        <v>0</v>
      </c>
      <c r="AG409" s="2099">
        <v>150</v>
      </c>
      <c r="AH409" s="2099">
        <v>0</v>
      </c>
      <c r="AI409" s="2099">
        <v>0</v>
      </c>
      <c r="AJ409" s="2099">
        <v>150</v>
      </c>
      <c r="AK409" s="2099">
        <v>150</v>
      </c>
      <c r="AL409" s="2099">
        <v>150</v>
      </c>
      <c r="AM409" s="2099">
        <v>150</v>
      </c>
      <c r="AN409" s="2099">
        <v>300</v>
      </c>
      <c r="AO409" s="2099">
        <v>300</v>
      </c>
      <c r="AP409" s="2099">
        <v>600</v>
      </c>
    </row>
    <row r="410" spans="1:42" ht="14.5">
      <c r="J410" s="709"/>
      <c r="K410" s="1764" t="s">
        <v>1216</v>
      </c>
      <c r="L410" s="519"/>
      <c r="M410" s="4"/>
      <c r="N410" s="4"/>
      <c r="O410" s="27"/>
      <c r="P410" s="3"/>
      <c r="Q410" s="1736" t="s">
        <v>1222</v>
      </c>
      <c r="R410" s="1740"/>
      <c r="S410" s="1740"/>
      <c r="T410" s="1736"/>
      <c r="U410" s="1736"/>
      <c r="V410" s="1736"/>
      <c r="W410" s="2065"/>
      <c r="X410" s="2100">
        <v>-850.06471481308199</v>
      </c>
      <c r="Y410" s="2101">
        <v>-533.66168111309116</v>
      </c>
      <c r="Z410" s="2101">
        <v>-506.84710454392894</v>
      </c>
      <c r="AA410" s="2101">
        <v>-707.12942793742832</v>
      </c>
      <c r="AB410" s="2101">
        <v>-555.56654705422989</v>
      </c>
      <c r="AC410" s="2101">
        <v>-489.89661094778842</v>
      </c>
      <c r="AD410" s="2101">
        <v>-720.79456922441818</v>
      </c>
      <c r="AE410" s="2101">
        <v>-524.39670247449999</v>
      </c>
      <c r="AF410" s="2101">
        <v>-527.05225494676779</v>
      </c>
      <c r="AG410" s="2101">
        <v>-727.51366758818676</v>
      </c>
      <c r="AH410" s="2101">
        <v>-556.89543257439891</v>
      </c>
      <c r="AI410" s="2101">
        <v>-509.90505709447871</v>
      </c>
      <c r="AJ410" s="2101">
        <v>-1890.5735004701019</v>
      </c>
      <c r="AK410" s="2101">
        <v>-1752.5925859394465</v>
      </c>
      <c r="AL410" s="2101">
        <v>-1772.243526645686</v>
      </c>
      <c r="AM410" s="2101">
        <v>-1794.3141572570644</v>
      </c>
      <c r="AN410" s="2101">
        <v>-3643.1660864095484</v>
      </c>
      <c r="AO410" s="2101">
        <v>-3566.5576839027508</v>
      </c>
      <c r="AP410" s="2101">
        <v>-7209.7237703122992</v>
      </c>
    </row>
    <row r="411" spans="1:42" ht="14.5">
      <c r="J411" s="709"/>
      <c r="K411" s="1764" t="s">
        <v>1216</v>
      </c>
      <c r="L411" s="519"/>
      <c r="M411" s="4"/>
      <c r="N411" s="4"/>
      <c r="O411" s="27"/>
      <c r="P411" s="3"/>
      <c r="Q411" s="3"/>
      <c r="R411" s="3"/>
      <c r="S411" s="3" t="s">
        <v>1223</v>
      </c>
      <c r="T411" s="3"/>
      <c r="U411" s="3"/>
      <c r="V411" s="3"/>
      <c r="W411" s="2089"/>
      <c r="X411" s="2098">
        <v>220</v>
      </c>
      <c r="Y411" s="2099">
        <v>425.5</v>
      </c>
      <c r="Z411" s="2099">
        <v>481</v>
      </c>
      <c r="AA411" s="2099">
        <v>257</v>
      </c>
      <c r="AB411" s="2099">
        <v>444</v>
      </c>
      <c r="AC411" s="2099">
        <v>518</v>
      </c>
      <c r="AD411" s="2099">
        <v>257</v>
      </c>
      <c r="AE411" s="2099">
        <v>444</v>
      </c>
      <c r="AF411" s="2099">
        <v>481</v>
      </c>
      <c r="AG411" s="2099">
        <v>257</v>
      </c>
      <c r="AH411" s="2099">
        <v>444</v>
      </c>
      <c r="AI411" s="2099">
        <v>518</v>
      </c>
      <c r="AJ411" s="2099">
        <v>1126.5</v>
      </c>
      <c r="AK411" s="2099">
        <v>1219</v>
      </c>
      <c r="AL411" s="2099">
        <v>1182</v>
      </c>
      <c r="AM411" s="2099">
        <v>1219</v>
      </c>
      <c r="AN411" s="2099">
        <v>2345.5</v>
      </c>
      <c r="AO411" s="2099">
        <v>2401</v>
      </c>
      <c r="AP411" s="2099">
        <v>4746.5</v>
      </c>
    </row>
    <row r="412" spans="1:42" ht="14.5">
      <c r="J412" s="709"/>
      <c r="K412" s="1764" t="s">
        <v>1216</v>
      </c>
      <c r="L412" s="519"/>
      <c r="M412" s="4"/>
      <c r="N412" s="4"/>
      <c r="O412" s="27"/>
      <c r="P412" s="3"/>
      <c r="Q412" s="3"/>
      <c r="R412" s="3"/>
      <c r="S412" s="3" t="s">
        <v>1224</v>
      </c>
      <c r="T412" s="3"/>
      <c r="U412" s="3"/>
      <c r="V412" s="3"/>
      <c r="W412" s="2088"/>
      <c r="X412" s="2098">
        <v>-1070.064714813082</v>
      </c>
      <c r="Y412" s="2099">
        <v>-959.16168111309116</v>
      </c>
      <c r="Z412" s="2099">
        <v>-987.84710454392894</v>
      </c>
      <c r="AA412" s="2099">
        <v>-964.12942793742832</v>
      </c>
      <c r="AB412" s="2099">
        <v>-999.56654705422989</v>
      </c>
      <c r="AC412" s="2099">
        <v>-1007.8966109477884</v>
      </c>
      <c r="AD412" s="2099">
        <v>-977.79456922441818</v>
      </c>
      <c r="AE412" s="2099">
        <v>-968.39670247449999</v>
      </c>
      <c r="AF412" s="2099">
        <v>-1008.0522549467678</v>
      </c>
      <c r="AG412" s="2099">
        <v>-984.51366758818676</v>
      </c>
      <c r="AH412" s="2099">
        <v>-1000.8954325743989</v>
      </c>
      <c r="AI412" s="2099">
        <v>-1027.9050570944787</v>
      </c>
      <c r="AJ412" s="2099">
        <v>-3017.0735004701019</v>
      </c>
      <c r="AK412" s="2099">
        <v>-2971.5925859394465</v>
      </c>
      <c r="AL412" s="2099">
        <v>-2954.243526645686</v>
      </c>
      <c r="AM412" s="2099">
        <v>-3013.3141572570644</v>
      </c>
      <c r="AN412" s="2099">
        <v>-5988.6660864095484</v>
      </c>
      <c r="AO412" s="2099">
        <v>-5967.5576839027508</v>
      </c>
      <c r="AP412" s="2099">
        <v>-11956.223770312299</v>
      </c>
    </row>
    <row r="413" spans="1:42" ht="14.5">
      <c r="A413" s="1693">
        <v>1</v>
      </c>
      <c r="B413" s="616">
        <v>1</v>
      </c>
      <c r="C413" s="1693">
        <v>1</v>
      </c>
      <c r="D413" s="616">
        <v>1</v>
      </c>
      <c r="E413" s="1693">
        <v>1</v>
      </c>
      <c r="F413" s="616">
        <v>1</v>
      </c>
      <c r="G413" s="1693">
        <v>408</v>
      </c>
      <c r="H413" s="616">
        <v>1</v>
      </c>
      <c r="J413" s="709" t="s">
        <v>512</v>
      </c>
      <c r="K413" s="1764" t="s">
        <v>1216</v>
      </c>
      <c r="L413" s="519"/>
      <c r="M413" s="4"/>
      <c r="N413" s="4"/>
      <c r="O413" s="27"/>
      <c r="P413" s="301" t="s">
        <v>1073</v>
      </c>
      <c r="Q413" s="1080"/>
      <c r="R413" s="1080"/>
      <c r="S413" s="301"/>
      <c r="T413" s="301"/>
      <c r="U413" s="301"/>
      <c r="V413" s="301"/>
      <c r="W413" s="2102"/>
      <c r="X413" s="2096">
        <v>0</v>
      </c>
      <c r="Y413" s="2097">
        <v>0</v>
      </c>
      <c r="Z413" s="2097">
        <v>0</v>
      </c>
      <c r="AA413" s="2097">
        <v>0</v>
      </c>
      <c r="AB413" s="2097">
        <v>0</v>
      </c>
      <c r="AC413" s="2097">
        <v>0</v>
      </c>
      <c r="AD413" s="2097">
        <v>0</v>
      </c>
      <c r="AE413" s="2097">
        <v>0</v>
      </c>
      <c r="AF413" s="2097">
        <v>0</v>
      </c>
      <c r="AG413" s="2097">
        <v>0</v>
      </c>
      <c r="AH413" s="2097">
        <v>0</v>
      </c>
      <c r="AI413" s="2097">
        <v>0</v>
      </c>
      <c r="AJ413" s="2097">
        <v>0</v>
      </c>
      <c r="AK413" s="2097">
        <v>0</v>
      </c>
      <c r="AL413" s="2097">
        <v>0</v>
      </c>
      <c r="AM413" s="2097">
        <v>0</v>
      </c>
      <c r="AN413" s="2097">
        <v>0</v>
      </c>
      <c r="AO413" s="2097">
        <v>0</v>
      </c>
      <c r="AP413" s="2097">
        <v>0</v>
      </c>
    </row>
    <row r="414" spans="1:42" ht="14.5">
      <c r="J414" s="709"/>
      <c r="K414" s="1764" t="s">
        <v>1216</v>
      </c>
      <c r="L414" s="519"/>
      <c r="M414" s="4"/>
      <c r="N414" s="4"/>
      <c r="O414" s="27"/>
      <c r="P414" s="3"/>
      <c r="Q414" s="3" t="s">
        <v>656</v>
      </c>
      <c r="R414" s="4"/>
      <c r="S414" s="3"/>
      <c r="T414" s="3"/>
      <c r="U414" s="3"/>
      <c r="V414" s="3"/>
      <c r="W414" s="1850"/>
      <c r="X414" s="2098">
        <v>0</v>
      </c>
      <c r="Y414" s="2099">
        <v>0</v>
      </c>
      <c r="Z414" s="2099">
        <v>0</v>
      </c>
      <c r="AA414" s="2099">
        <v>0</v>
      </c>
      <c r="AB414" s="2099">
        <v>0</v>
      </c>
      <c r="AC414" s="2099">
        <v>0</v>
      </c>
      <c r="AD414" s="2099">
        <v>0</v>
      </c>
      <c r="AE414" s="2099">
        <v>0</v>
      </c>
      <c r="AF414" s="2099">
        <v>0</v>
      </c>
      <c r="AG414" s="2099">
        <v>0</v>
      </c>
      <c r="AH414" s="2099">
        <v>0</v>
      </c>
      <c r="AI414" s="2099">
        <v>0</v>
      </c>
      <c r="AJ414" s="2099">
        <v>0</v>
      </c>
      <c r="AK414" s="2099">
        <v>0</v>
      </c>
      <c r="AL414" s="2099">
        <v>0</v>
      </c>
      <c r="AM414" s="2099">
        <v>0</v>
      </c>
      <c r="AN414" s="2099">
        <v>0</v>
      </c>
      <c r="AO414" s="2099">
        <v>0</v>
      </c>
      <c r="AP414" s="2099">
        <v>0</v>
      </c>
    </row>
    <row r="415" spans="1:42" ht="14.5">
      <c r="J415" s="709"/>
      <c r="K415" s="1764" t="s">
        <v>1216</v>
      </c>
      <c r="L415" s="519"/>
      <c r="M415" s="4"/>
      <c r="N415" s="4"/>
      <c r="O415" s="27"/>
      <c r="P415" s="3"/>
      <c r="Q415" s="3" t="s">
        <v>620</v>
      </c>
      <c r="R415" s="4"/>
      <c r="S415" s="3"/>
      <c r="T415" s="3"/>
      <c r="U415" s="3"/>
      <c r="V415" s="3"/>
      <c r="W415" s="1850"/>
      <c r="X415" s="2098">
        <v>0</v>
      </c>
      <c r="Y415" s="2099">
        <v>0</v>
      </c>
      <c r="Z415" s="2099">
        <v>0</v>
      </c>
      <c r="AA415" s="2099">
        <v>0</v>
      </c>
      <c r="AB415" s="2099">
        <v>0</v>
      </c>
      <c r="AC415" s="2099">
        <v>0</v>
      </c>
      <c r="AD415" s="2099">
        <v>0</v>
      </c>
      <c r="AE415" s="2099">
        <v>0</v>
      </c>
      <c r="AF415" s="2099">
        <v>0</v>
      </c>
      <c r="AG415" s="2099">
        <v>0</v>
      </c>
      <c r="AH415" s="2099">
        <v>0</v>
      </c>
      <c r="AI415" s="2099">
        <v>0</v>
      </c>
      <c r="AJ415" s="2099">
        <v>0</v>
      </c>
      <c r="AK415" s="2099">
        <v>0</v>
      </c>
      <c r="AL415" s="2099">
        <v>0</v>
      </c>
      <c r="AM415" s="2099">
        <v>0</v>
      </c>
      <c r="AN415" s="2099">
        <v>0</v>
      </c>
      <c r="AO415" s="2099">
        <v>0</v>
      </c>
      <c r="AP415" s="2099">
        <v>0</v>
      </c>
    </row>
    <row r="416" spans="1:42" ht="14.5">
      <c r="J416" s="709"/>
      <c r="K416" s="1764" t="s">
        <v>1216</v>
      </c>
      <c r="L416" s="519"/>
      <c r="M416" s="4"/>
      <c r="N416" s="4"/>
      <c r="O416" s="27"/>
      <c r="P416" s="3"/>
      <c r="Q416" s="3" t="s">
        <v>619</v>
      </c>
      <c r="R416" s="4"/>
      <c r="S416" s="3"/>
      <c r="T416" s="3"/>
      <c r="U416" s="3"/>
      <c r="V416" s="3"/>
      <c r="W416" s="1850"/>
      <c r="X416" s="2098">
        <v>0</v>
      </c>
      <c r="Y416" s="2099">
        <v>0</v>
      </c>
      <c r="Z416" s="2099">
        <v>0</v>
      </c>
      <c r="AA416" s="2099">
        <v>0</v>
      </c>
      <c r="AB416" s="2099">
        <v>0</v>
      </c>
      <c r="AC416" s="2099">
        <v>0</v>
      </c>
      <c r="AD416" s="2099">
        <v>0</v>
      </c>
      <c r="AE416" s="2099">
        <v>0</v>
      </c>
      <c r="AF416" s="2099">
        <v>0</v>
      </c>
      <c r="AG416" s="2099">
        <v>0</v>
      </c>
      <c r="AH416" s="2099">
        <v>0</v>
      </c>
      <c r="AI416" s="2099">
        <v>0</v>
      </c>
      <c r="AJ416" s="2099">
        <v>0</v>
      </c>
      <c r="AK416" s="2099">
        <v>0</v>
      </c>
      <c r="AL416" s="2099">
        <v>0</v>
      </c>
      <c r="AM416" s="2099">
        <v>0</v>
      </c>
      <c r="AN416" s="2099">
        <v>0</v>
      </c>
      <c r="AO416" s="2099">
        <v>0</v>
      </c>
      <c r="AP416" s="2099">
        <v>0</v>
      </c>
    </row>
    <row r="417" spans="1:42" ht="14.5">
      <c r="A417" s="1693">
        <v>302</v>
      </c>
      <c r="B417" s="616">
        <v>331</v>
      </c>
      <c r="C417" s="1693">
        <v>348</v>
      </c>
      <c r="D417" s="616">
        <v>307</v>
      </c>
      <c r="E417" s="1693">
        <v>360</v>
      </c>
      <c r="F417" s="616">
        <v>1</v>
      </c>
      <c r="G417" s="1693">
        <v>409</v>
      </c>
      <c r="H417" s="616">
        <v>1</v>
      </c>
      <c r="J417" s="709" t="s">
        <v>512</v>
      </c>
      <c r="K417" s="1764" t="s">
        <v>1216</v>
      </c>
      <c r="L417" s="4"/>
      <c r="M417" s="4"/>
      <c r="N417" s="4"/>
      <c r="O417" s="198" t="s">
        <v>994</v>
      </c>
      <c r="P417" s="447"/>
      <c r="Q417" s="514"/>
      <c r="R417" s="514"/>
      <c r="S417" s="447"/>
      <c r="T417" s="447"/>
      <c r="U417" s="447"/>
      <c r="V417" s="447"/>
      <c r="W417" s="1853"/>
      <c r="X417" s="2015">
        <v>0</v>
      </c>
      <c r="Y417" s="2016">
        <v>0</v>
      </c>
      <c r="Z417" s="2016">
        <v>0</v>
      </c>
      <c r="AA417" s="2016">
        <v>0</v>
      </c>
      <c r="AB417" s="2016">
        <v>0</v>
      </c>
      <c r="AC417" s="2016">
        <v>0</v>
      </c>
      <c r="AD417" s="2016">
        <v>0</v>
      </c>
      <c r="AE417" s="2016">
        <v>0</v>
      </c>
      <c r="AF417" s="2016">
        <v>0</v>
      </c>
      <c r="AG417" s="2016">
        <v>0</v>
      </c>
      <c r="AH417" s="2016">
        <v>0</v>
      </c>
      <c r="AI417" s="2016">
        <v>0</v>
      </c>
      <c r="AJ417" s="1978">
        <v>0</v>
      </c>
      <c r="AK417" s="1978">
        <v>0</v>
      </c>
      <c r="AL417" s="1978">
        <v>0</v>
      </c>
      <c r="AM417" s="1978">
        <v>0</v>
      </c>
      <c r="AN417" s="1978">
        <v>0</v>
      </c>
      <c r="AO417" s="1978">
        <v>0</v>
      </c>
      <c r="AP417" s="1978">
        <v>0</v>
      </c>
    </row>
    <row r="418" spans="1:42" ht="14.5">
      <c r="A418" s="1693">
        <v>303</v>
      </c>
      <c r="B418" s="616">
        <v>332</v>
      </c>
      <c r="C418" s="1693">
        <v>349</v>
      </c>
      <c r="D418" s="616">
        <v>308</v>
      </c>
      <c r="E418" s="1693">
        <v>361</v>
      </c>
      <c r="F418" s="616">
        <v>1</v>
      </c>
      <c r="G418" s="1693">
        <v>410</v>
      </c>
      <c r="H418" s="616">
        <v>1</v>
      </c>
      <c r="J418" s="709" t="s">
        <v>512</v>
      </c>
      <c r="K418" s="1764" t="s">
        <v>1216</v>
      </c>
      <c r="L418" s="4"/>
      <c r="M418" s="4"/>
      <c r="N418" s="4"/>
      <c r="O418" s="106" t="s">
        <v>995</v>
      </c>
      <c r="P418" s="104"/>
      <c r="Q418" s="105"/>
      <c r="R418" s="105"/>
      <c r="S418" s="104"/>
      <c r="T418" s="104"/>
      <c r="U418" s="104"/>
      <c r="V418" s="104"/>
      <c r="W418" s="1853"/>
      <c r="X418" s="2017">
        <v>0</v>
      </c>
      <c r="Y418" s="2018">
        <v>0</v>
      </c>
      <c r="Z418" s="2018">
        <v>0</v>
      </c>
      <c r="AA418" s="2018">
        <v>0</v>
      </c>
      <c r="AB418" s="2018">
        <v>0</v>
      </c>
      <c r="AC418" s="2018">
        <v>0</v>
      </c>
      <c r="AD418" s="2018">
        <v>0</v>
      </c>
      <c r="AE418" s="2018">
        <v>0</v>
      </c>
      <c r="AF418" s="2018">
        <v>0</v>
      </c>
      <c r="AG418" s="2018">
        <v>0</v>
      </c>
      <c r="AH418" s="2018">
        <v>0</v>
      </c>
      <c r="AI418" s="2018">
        <v>0</v>
      </c>
      <c r="AJ418" s="1980">
        <v>0</v>
      </c>
      <c r="AK418" s="1980">
        <v>0</v>
      </c>
      <c r="AL418" s="1980">
        <v>0</v>
      </c>
      <c r="AM418" s="1980">
        <v>0</v>
      </c>
      <c r="AN418" s="1980">
        <v>0</v>
      </c>
      <c r="AO418" s="1980">
        <v>0</v>
      </c>
      <c r="AP418" s="1980">
        <v>0</v>
      </c>
    </row>
    <row r="419" spans="1:42" ht="14.5">
      <c r="A419" s="1693">
        <v>304</v>
      </c>
      <c r="B419" s="616">
        <v>1</v>
      </c>
      <c r="C419" s="1693">
        <v>350</v>
      </c>
      <c r="D419" s="616">
        <v>309</v>
      </c>
      <c r="E419" s="1693">
        <v>362</v>
      </c>
      <c r="F419" s="616">
        <v>1</v>
      </c>
      <c r="G419" s="1693">
        <v>411</v>
      </c>
      <c r="H419" s="616">
        <v>1</v>
      </c>
      <c r="J419" s="709" t="s">
        <v>512</v>
      </c>
      <c r="K419" s="1764" t="s">
        <v>1216</v>
      </c>
      <c r="L419" s="4"/>
      <c r="M419" s="4"/>
      <c r="N419" s="4"/>
      <c r="O419" s="327" t="s">
        <v>1</v>
      </c>
      <c r="P419" s="2092"/>
      <c r="Q419" s="868"/>
      <c r="R419" s="868"/>
      <c r="S419" s="868"/>
      <c r="T419" s="868"/>
      <c r="U419" s="868"/>
      <c r="V419" s="868"/>
      <c r="W419" s="2093"/>
      <c r="X419" s="2094">
        <v>-700.06471481308199</v>
      </c>
      <c r="Y419" s="2095">
        <v>-533.66168111309116</v>
      </c>
      <c r="Z419" s="2095">
        <v>-506.84710454392894</v>
      </c>
      <c r="AA419" s="2095">
        <v>-557.12942793742832</v>
      </c>
      <c r="AB419" s="2095">
        <v>-555.56654705422989</v>
      </c>
      <c r="AC419" s="2095">
        <v>-489.89661094778842</v>
      </c>
      <c r="AD419" s="2095">
        <v>-570.79456922441818</v>
      </c>
      <c r="AE419" s="2095">
        <v>-524.39670247449999</v>
      </c>
      <c r="AF419" s="2095">
        <v>-527.05225494676779</v>
      </c>
      <c r="AG419" s="2095">
        <v>-577.51366758818676</v>
      </c>
      <c r="AH419" s="2095">
        <v>-556.89543257439891</v>
      </c>
      <c r="AI419" s="2095">
        <v>-509.90505709447871</v>
      </c>
      <c r="AJ419" s="2095">
        <v>-1740.5735004701019</v>
      </c>
      <c r="AK419" s="2095">
        <v>-1602.5925859394465</v>
      </c>
      <c r="AL419" s="2095">
        <v>-1622.243526645686</v>
      </c>
      <c r="AM419" s="2095">
        <v>-1644.3141572570644</v>
      </c>
      <c r="AN419" s="2095">
        <v>-3343.1660864095484</v>
      </c>
      <c r="AO419" s="2095">
        <v>-3266.5576839027508</v>
      </c>
      <c r="AP419" s="2095">
        <v>-6609.7237703122992</v>
      </c>
    </row>
    <row r="420" spans="1:42" ht="14.15" customHeight="1">
      <c r="A420" s="1693">
        <v>305</v>
      </c>
      <c r="B420" s="616">
        <v>1</v>
      </c>
      <c r="C420" s="1693">
        <v>351</v>
      </c>
      <c r="D420" s="616">
        <v>310</v>
      </c>
      <c r="E420" s="1693">
        <v>363</v>
      </c>
      <c r="F420" s="616">
        <v>1</v>
      </c>
      <c r="G420" s="1693">
        <v>412</v>
      </c>
      <c r="H420" s="616">
        <v>1</v>
      </c>
      <c r="J420" s="709" t="s">
        <v>512</v>
      </c>
      <c r="K420" s="1764" t="s">
        <v>1216</v>
      </c>
      <c r="L420" s="4"/>
      <c r="M420" s="4"/>
      <c r="N420" s="4"/>
      <c r="O420" s="25"/>
      <c r="P420" s="511" t="s">
        <v>55</v>
      </c>
      <c r="Q420" s="2"/>
      <c r="R420" s="2"/>
      <c r="S420" s="1"/>
      <c r="T420" s="1"/>
      <c r="U420" s="1"/>
      <c r="V420" s="1"/>
      <c r="W420" s="1792"/>
      <c r="X420" s="1323">
        <v>-0.70006471481308197</v>
      </c>
      <c r="Y420" s="1322">
        <v>-0.46405363575051406</v>
      </c>
      <c r="Z420" s="1322">
        <v>-0.38988238811071457</v>
      </c>
      <c r="AA420" s="1322">
        <v>-0.50648129812493481</v>
      </c>
      <c r="AB420" s="1322">
        <v>-0.46297212254519154</v>
      </c>
      <c r="AC420" s="1322">
        <v>-0.34992615067699173</v>
      </c>
      <c r="AD420" s="1322">
        <v>-0.51890415384038013</v>
      </c>
      <c r="AE420" s="1322">
        <v>-0.43699725206208334</v>
      </c>
      <c r="AF420" s="1322">
        <v>-0.40542481149751369</v>
      </c>
      <c r="AG420" s="1322">
        <v>-0.52501242508016976</v>
      </c>
      <c r="AH420" s="1322">
        <v>-0.4640795271453324</v>
      </c>
      <c r="AI420" s="1322">
        <v>-0.36421789792462766</v>
      </c>
      <c r="AJ420" s="1322">
        <v>-0.5045140581072759</v>
      </c>
      <c r="AK420" s="1322">
        <v>-0.43313313133498554</v>
      </c>
      <c r="AL420" s="1322">
        <v>-0.45062320184602389</v>
      </c>
      <c r="AM420" s="1322">
        <v>-0.44440923169109847</v>
      </c>
      <c r="AN420" s="1322">
        <v>-0.46757567642091585</v>
      </c>
      <c r="AO420" s="1322">
        <v>-0.44747365532914396</v>
      </c>
      <c r="AP420" s="1322">
        <v>-0.45742033012541861</v>
      </c>
    </row>
    <row r="421" spans="1:42" ht="14.5">
      <c r="A421" s="1693">
        <v>1</v>
      </c>
      <c r="B421" s="616">
        <v>1</v>
      </c>
      <c r="C421" s="1693">
        <v>1</v>
      </c>
      <c r="D421" s="616">
        <v>1</v>
      </c>
      <c r="E421" s="1693">
        <v>364</v>
      </c>
      <c r="F421" s="616">
        <v>1</v>
      </c>
      <c r="G421" s="1693">
        <v>413</v>
      </c>
      <c r="H421" s="616">
        <v>1</v>
      </c>
      <c r="J421" s="709" t="s">
        <v>512</v>
      </c>
      <c r="K421" s="69"/>
      <c r="L421" s="8"/>
      <c r="M421" s="737"/>
      <c r="N421" s="4"/>
      <c r="O421" s="4"/>
      <c r="P421" s="3"/>
      <c r="Q421" s="742" t="s">
        <v>1074</v>
      </c>
      <c r="R421" s="707"/>
      <c r="S421" s="586"/>
      <c r="T421" s="586"/>
      <c r="U421" s="586"/>
      <c r="V421" s="586"/>
      <c r="W421" s="1785"/>
      <c r="X421" s="1368">
        <v>1.570800509741808E-3</v>
      </c>
      <c r="Y421" s="1368">
        <v>1.3033923813367864E-4</v>
      </c>
      <c r="Z421" s="1368">
        <v>-5.8383111565666972E-4</v>
      </c>
      <c r="AA421" s="1368">
        <v>4.2590694333290163E-4</v>
      </c>
      <c r="AB421" s="1368">
        <v>6.8458959886952151E-5</v>
      </c>
      <c r="AC421" s="1368">
        <v>-6.2929775055332459E-4</v>
      </c>
      <c r="AD421" s="1368">
        <v>6.1114804149182088E-4</v>
      </c>
      <c r="AE421" s="1368">
        <v>-6.8793283745017381E-4</v>
      </c>
      <c r="AF421" s="1368">
        <v>-6.339643791778072E-4</v>
      </c>
      <c r="AG421" s="1368">
        <v>1.6758413358061586E-4</v>
      </c>
      <c r="AH421" s="1368">
        <v>-1.4836724699219051E-4</v>
      </c>
      <c r="AI421" s="1368">
        <v>-9.33079281242601E-4</v>
      </c>
      <c r="AJ421" s="2035">
        <v>5.2802370129451592E-4</v>
      </c>
      <c r="AK421" s="1368">
        <v>-7.7364252826699043E-5</v>
      </c>
      <c r="AL421" s="1368">
        <v>-2.421042926933451E-4</v>
      </c>
      <c r="AM421" s="1368">
        <v>-3.0748777158845665E-4</v>
      </c>
      <c r="AN421" s="1368">
        <v>2.3506536892799884E-4</v>
      </c>
      <c r="AO421" s="1368">
        <v>-2.7441809261349696E-4</v>
      </c>
      <c r="AP421" s="1368">
        <v>1.4112911684090665E-19</v>
      </c>
    </row>
    <row r="422" spans="1:42" ht="14.5">
      <c r="A422" s="1693">
        <v>1</v>
      </c>
      <c r="B422" s="616">
        <v>1</v>
      </c>
      <c r="C422" s="1693">
        <v>1</v>
      </c>
      <c r="D422" s="616">
        <v>1</v>
      </c>
      <c r="E422" s="1693">
        <v>365</v>
      </c>
      <c r="F422" s="616">
        <v>1</v>
      </c>
      <c r="G422" s="1693">
        <v>414</v>
      </c>
      <c r="H422" s="616">
        <v>1</v>
      </c>
      <c r="J422" s="709" t="s">
        <v>512</v>
      </c>
      <c r="K422" s="69"/>
      <c r="L422" s="8"/>
      <c r="M422" s="737"/>
      <c r="N422" s="4"/>
      <c r="O422" s="4"/>
      <c r="P422" s="3"/>
      <c r="Q422" s="27"/>
      <c r="R422" s="572" t="s">
        <v>509</v>
      </c>
      <c r="S422" s="251"/>
      <c r="T422" s="251"/>
      <c r="U422" s="251"/>
      <c r="V422" s="251"/>
      <c r="W422" s="1849"/>
      <c r="X422" s="1986">
        <v>920.98516946243922</v>
      </c>
      <c r="Y422" s="1986">
        <v>951.04416104085863</v>
      </c>
      <c r="Z422" s="1986">
        <v>1026.8086248310324</v>
      </c>
      <c r="AA422" s="1986">
        <v>936.86030165904924</v>
      </c>
      <c r="AB422" s="1986">
        <v>994.82508923559817</v>
      </c>
      <c r="AC422" s="1986">
        <v>1056.1510322473453</v>
      </c>
      <c r="AD422" s="1987">
        <v>940.04240287818084</v>
      </c>
      <c r="AE422" s="1987">
        <v>1009.8431849691304</v>
      </c>
      <c r="AF422" s="1987">
        <v>1049.8689586170649</v>
      </c>
      <c r="AG422" s="1988">
        <v>974.29444720632296</v>
      </c>
      <c r="AH422" s="1988">
        <v>1009.9318184356564</v>
      </c>
      <c r="AI422" s="1988">
        <v>1085.5685797296205</v>
      </c>
      <c r="AJ422" s="1989">
        <v>2898.8379553343302</v>
      </c>
      <c r="AK422" s="1988">
        <v>2987.8364231419928</v>
      </c>
      <c r="AL422" s="1988">
        <v>2999.7545464643763</v>
      </c>
      <c r="AM422" s="1988">
        <v>3069.7948453715999</v>
      </c>
      <c r="AN422" s="1988">
        <v>5886.6743784763221</v>
      </c>
      <c r="AO422" s="1988">
        <v>6069.5493918359762</v>
      </c>
      <c r="AP422" s="1988">
        <v>11956.223770312299</v>
      </c>
    </row>
    <row r="423" spans="1:42" ht="14.5">
      <c r="A423" s="1693">
        <v>1</v>
      </c>
      <c r="B423" s="616">
        <v>1</v>
      </c>
      <c r="C423" s="1693">
        <v>1</v>
      </c>
      <c r="D423" s="616">
        <v>1</v>
      </c>
      <c r="E423" s="1693">
        <v>366</v>
      </c>
      <c r="F423" s="616">
        <v>1</v>
      </c>
      <c r="G423" s="1693">
        <v>415</v>
      </c>
      <c r="H423" s="616">
        <v>1</v>
      </c>
      <c r="J423" s="709" t="s">
        <v>512</v>
      </c>
      <c r="K423" s="69"/>
      <c r="L423" s="8"/>
      <c r="M423" s="737"/>
      <c r="N423" s="4"/>
      <c r="O423" s="4"/>
      <c r="P423" s="3"/>
      <c r="Q423" s="27"/>
      <c r="R423" s="27"/>
      <c r="S423" s="36" t="s">
        <v>63</v>
      </c>
      <c r="T423" s="3"/>
      <c r="U423" s="3"/>
      <c r="V423" s="3"/>
      <c r="W423" s="1990"/>
      <c r="X423" s="1991">
        <v>295.72447364305015</v>
      </c>
      <c r="Y423" s="1991">
        <v>325.78346522146956</v>
      </c>
      <c r="Z423" s="1991">
        <v>401.5479290116433</v>
      </c>
      <c r="AA423" s="1991">
        <v>311.59960583966017</v>
      </c>
      <c r="AB423" s="1991">
        <v>369.5643934162091</v>
      </c>
      <c r="AC423" s="1991">
        <v>430.89033642795619</v>
      </c>
      <c r="AD423" s="1922">
        <v>314.78170705879171</v>
      </c>
      <c r="AE423" s="1922">
        <v>384.58248914974138</v>
      </c>
      <c r="AF423" s="1922">
        <v>424.60826279767588</v>
      </c>
      <c r="AG423" s="1992">
        <v>349.03375138693394</v>
      </c>
      <c r="AH423" s="1992">
        <v>384.67112261626727</v>
      </c>
      <c r="AI423" s="1992">
        <v>460.30788391023151</v>
      </c>
      <c r="AJ423" s="1947">
        <v>1023.055867876163</v>
      </c>
      <c r="AK423" s="1948">
        <v>1112.0543356838255</v>
      </c>
      <c r="AL423" s="1948">
        <v>1123.972459006209</v>
      </c>
      <c r="AM423" s="1948">
        <v>1194.0127579134328</v>
      </c>
      <c r="AN423" s="1948">
        <v>2135.1102035599883</v>
      </c>
      <c r="AO423" s="1948">
        <v>2317.985216919642</v>
      </c>
      <c r="AP423" s="1948">
        <v>4453.0954204796308</v>
      </c>
    </row>
    <row r="424" spans="1:42" ht="14.5">
      <c r="A424" s="1693">
        <v>1</v>
      </c>
      <c r="B424" s="616">
        <v>1</v>
      </c>
      <c r="C424" s="1693">
        <v>1</v>
      </c>
      <c r="D424" s="616">
        <v>1</v>
      </c>
      <c r="E424" s="1693">
        <v>367</v>
      </c>
      <c r="F424" s="616">
        <v>1</v>
      </c>
      <c r="G424" s="1693">
        <v>416</v>
      </c>
      <c r="H424" s="616">
        <v>1</v>
      </c>
      <c r="J424" s="709" t="s">
        <v>512</v>
      </c>
      <c r="K424" s="69"/>
      <c r="L424" s="8"/>
      <c r="M424" s="737"/>
      <c r="N424" s="4"/>
      <c r="O424" s="4"/>
      <c r="P424" s="3"/>
      <c r="Q424" s="27"/>
      <c r="R424" s="27"/>
      <c r="S424" s="36" t="s">
        <v>28</v>
      </c>
      <c r="T424" s="3"/>
      <c r="U424" s="3"/>
      <c r="V424" s="3"/>
      <c r="W424" s="1990"/>
      <c r="X424" s="1991">
        <v>595.26163331938903</v>
      </c>
      <c r="Y424" s="1991">
        <v>595.26163331938903</v>
      </c>
      <c r="Z424" s="1991">
        <v>595.26163331938903</v>
      </c>
      <c r="AA424" s="1991">
        <v>595.26163331938903</v>
      </c>
      <c r="AB424" s="1991">
        <v>595.26163331938903</v>
      </c>
      <c r="AC424" s="1991">
        <v>595.26163331938903</v>
      </c>
      <c r="AD424" s="1922">
        <v>595.26163331938903</v>
      </c>
      <c r="AE424" s="1922">
        <v>595.26163331938903</v>
      </c>
      <c r="AF424" s="1922">
        <v>595.26163331938903</v>
      </c>
      <c r="AG424" s="1992">
        <v>595.26163331938903</v>
      </c>
      <c r="AH424" s="1992">
        <v>595.26163331938903</v>
      </c>
      <c r="AI424" s="1992">
        <v>595.26163331938903</v>
      </c>
      <c r="AJ424" s="1947">
        <v>1785.784899958167</v>
      </c>
      <c r="AK424" s="1948">
        <v>1785.784899958167</v>
      </c>
      <c r="AL424" s="1948">
        <v>1785.784899958167</v>
      </c>
      <c r="AM424" s="1948">
        <v>1785.784899958167</v>
      </c>
      <c r="AN424" s="1948">
        <v>3571.569799916334</v>
      </c>
      <c r="AO424" s="1948">
        <v>3571.569799916334</v>
      </c>
      <c r="AP424" s="1948">
        <v>7143.139599832668</v>
      </c>
    </row>
    <row r="425" spans="1:42" ht="14.5">
      <c r="A425" s="1693">
        <v>1</v>
      </c>
      <c r="B425" s="616">
        <v>1</v>
      </c>
      <c r="C425" s="1693">
        <v>1</v>
      </c>
      <c r="D425" s="616">
        <v>1</v>
      </c>
      <c r="E425" s="1693">
        <v>368</v>
      </c>
      <c r="F425" s="616">
        <v>1</v>
      </c>
      <c r="G425" s="1693">
        <v>417</v>
      </c>
      <c r="H425" s="616">
        <v>1</v>
      </c>
      <c r="J425" s="709" t="s">
        <v>512</v>
      </c>
      <c r="K425" s="69"/>
      <c r="L425" s="8"/>
      <c r="M425" s="737"/>
      <c r="N425" s="4"/>
      <c r="O425" s="4"/>
      <c r="P425" s="3"/>
      <c r="Q425" s="27"/>
      <c r="R425" s="25"/>
      <c r="S425" s="104" t="s">
        <v>62</v>
      </c>
      <c r="T425" s="1"/>
      <c r="U425" s="1"/>
      <c r="V425" s="1"/>
      <c r="W425" s="1990"/>
      <c r="X425" s="1993">
        <v>29.999062499999997</v>
      </c>
      <c r="Y425" s="1993">
        <v>29.999062499999997</v>
      </c>
      <c r="Z425" s="1993">
        <v>29.999062499999997</v>
      </c>
      <c r="AA425" s="1993">
        <v>29.999062499999997</v>
      </c>
      <c r="AB425" s="1993">
        <v>29.999062499999997</v>
      </c>
      <c r="AC425" s="1993">
        <v>29.999062499999997</v>
      </c>
      <c r="AD425" s="1932">
        <v>29.999062499999997</v>
      </c>
      <c r="AE425" s="1932">
        <v>29.999062499999997</v>
      </c>
      <c r="AF425" s="1932">
        <v>29.999062499999997</v>
      </c>
      <c r="AG425" s="1994">
        <v>29.999062499999997</v>
      </c>
      <c r="AH425" s="1994">
        <v>29.999062499999997</v>
      </c>
      <c r="AI425" s="1994">
        <v>29.999062499999997</v>
      </c>
      <c r="AJ425" s="1949">
        <v>89.997187499999995</v>
      </c>
      <c r="AK425" s="1950">
        <v>89.997187499999995</v>
      </c>
      <c r="AL425" s="1950">
        <v>89.997187499999995</v>
      </c>
      <c r="AM425" s="1950">
        <v>89.997187499999995</v>
      </c>
      <c r="AN425" s="1950">
        <v>179.99437499999999</v>
      </c>
      <c r="AO425" s="1950">
        <v>179.99437499999999</v>
      </c>
      <c r="AP425" s="1950">
        <v>359.98874999999998</v>
      </c>
    </row>
    <row r="426" spans="1:42" ht="14.5">
      <c r="A426" s="1693">
        <v>1</v>
      </c>
      <c r="B426" s="616">
        <v>1</v>
      </c>
      <c r="C426" s="1693">
        <v>1</v>
      </c>
      <c r="D426" s="616">
        <v>1</v>
      </c>
      <c r="E426" s="1693">
        <v>369</v>
      </c>
      <c r="F426" s="616">
        <v>1</v>
      </c>
      <c r="G426" s="1693">
        <v>418</v>
      </c>
      <c r="H426" s="616">
        <v>1</v>
      </c>
      <c r="J426" s="709" t="s">
        <v>512</v>
      </c>
      <c r="K426" s="69"/>
      <c r="L426" s="8"/>
      <c r="M426" s="737"/>
      <c r="N426" s="4"/>
      <c r="O426" s="4"/>
      <c r="P426" s="3"/>
      <c r="Q426" s="27"/>
      <c r="R426" s="572" t="s">
        <v>1015</v>
      </c>
      <c r="S426" s="586"/>
      <c r="T426" s="586"/>
      <c r="U426" s="586"/>
      <c r="V426" s="586"/>
      <c r="W426" s="1849"/>
      <c r="X426" s="1400">
        <v>149.07954535064283</v>
      </c>
      <c r="Y426" s="1400">
        <v>8.1175200722325371</v>
      </c>
      <c r="Z426" s="1400">
        <v>-38.961520287103383</v>
      </c>
      <c r="AA426" s="1400">
        <v>27.269126278379133</v>
      </c>
      <c r="AB426" s="1400">
        <v>4.7414578186316589</v>
      </c>
      <c r="AC426" s="1400">
        <v>-48.254421299556839</v>
      </c>
      <c r="AD426" s="1683">
        <v>37.752166346237402</v>
      </c>
      <c r="AE426" s="1683">
        <v>-41.446482494630459</v>
      </c>
      <c r="AF426" s="1683">
        <v>-41.816703670297159</v>
      </c>
      <c r="AG426" s="1941">
        <v>10.219220381863749</v>
      </c>
      <c r="AH426" s="1941">
        <v>-9.0363858612574859</v>
      </c>
      <c r="AI426" s="1941">
        <v>-57.663522635141874</v>
      </c>
      <c r="AJ426" s="1942">
        <v>118.23554513577199</v>
      </c>
      <c r="AK426" s="1941">
        <v>-16.243837202546047</v>
      </c>
      <c r="AL426" s="1941">
        <v>-45.511019818690215</v>
      </c>
      <c r="AM426" s="1941">
        <v>-56.48068811453561</v>
      </c>
      <c r="AN426" s="1941">
        <v>101.99170793322594</v>
      </c>
      <c r="AO426" s="1941">
        <v>-101.99170793322583</v>
      </c>
      <c r="AP426" s="1941">
        <v>1.1368683772161603E-13</v>
      </c>
    </row>
    <row r="427" spans="1:42" ht="14.5">
      <c r="A427" s="1693">
        <v>1</v>
      </c>
      <c r="B427" s="616">
        <v>1</v>
      </c>
      <c r="C427" s="1693">
        <v>1</v>
      </c>
      <c r="D427" s="616">
        <v>1</v>
      </c>
      <c r="E427" s="1693">
        <v>370</v>
      </c>
      <c r="F427" s="616">
        <v>1</v>
      </c>
      <c r="G427" s="1693">
        <v>419</v>
      </c>
      <c r="H427" s="616">
        <v>1</v>
      </c>
      <c r="J427" s="709" t="s">
        <v>512</v>
      </c>
      <c r="K427" s="69"/>
      <c r="L427" s="8"/>
      <c r="M427" s="737"/>
      <c r="N427" s="4"/>
      <c r="O427" s="4"/>
      <c r="P427" s="3"/>
      <c r="Q427" s="27"/>
      <c r="R427" s="498"/>
      <c r="S427" s="553" t="s">
        <v>1016</v>
      </c>
      <c r="T427" s="47"/>
      <c r="U427" s="47"/>
      <c r="V427" s="47"/>
      <c r="W427" s="1776"/>
      <c r="X427" s="1334">
        <v>0.13931825177198176</v>
      </c>
      <c r="Y427" s="1334">
        <v>8.4631405028736031E-3</v>
      </c>
      <c r="Z427" s="1334">
        <v>-3.9440840700840245E-2</v>
      </c>
      <c r="AA427" s="1334">
        <v>2.8283677987836389E-2</v>
      </c>
      <c r="AB427" s="1334">
        <v>4.7435139087086903E-3</v>
      </c>
      <c r="AC427" s="1334">
        <v>-4.7876360308603656E-2</v>
      </c>
      <c r="AD427" s="1334">
        <v>3.8609507083049388E-2</v>
      </c>
      <c r="AE427" s="1334">
        <v>-4.2799074375949597E-2</v>
      </c>
      <c r="AF427" s="1334">
        <v>-4.1482674598555778E-2</v>
      </c>
      <c r="AG427" s="1334">
        <v>1.0379968016998985E-2</v>
      </c>
      <c r="AH427" s="1334">
        <v>-9.0283016258901651E-3</v>
      </c>
      <c r="AI427" s="1334">
        <v>-5.6098101898764956E-2</v>
      </c>
      <c r="AJ427" s="1332">
        <v>3.9188818276170351E-2</v>
      </c>
      <c r="AK427" s="1334">
        <v>-5.4663742531214721E-3</v>
      </c>
      <c r="AL427" s="1334">
        <v>-1.5405304067929851E-2</v>
      </c>
      <c r="AM427" s="1334">
        <v>-1.8743710468591964E-2</v>
      </c>
      <c r="AN427" s="1334">
        <v>1.703078890383988E-2</v>
      </c>
      <c r="AO427" s="1334">
        <v>-1.7091030088966612E-2</v>
      </c>
      <c r="AP427" s="1334">
        <v>9.5085906642115737E-18</v>
      </c>
    </row>
    <row r="428" spans="1:42" ht="14.5">
      <c r="A428" s="1693">
        <v>1</v>
      </c>
      <c r="B428" s="616">
        <v>1</v>
      </c>
      <c r="C428" s="1693">
        <v>1</v>
      </c>
      <c r="D428" s="616">
        <v>1</v>
      </c>
      <c r="E428" s="1693">
        <v>371</v>
      </c>
      <c r="F428" s="616">
        <v>1</v>
      </c>
      <c r="G428" s="1693">
        <v>420</v>
      </c>
      <c r="H428" s="616">
        <v>1</v>
      </c>
      <c r="J428" s="709" t="s">
        <v>512</v>
      </c>
      <c r="K428" s="69"/>
      <c r="L428" s="8"/>
      <c r="M428" s="737"/>
      <c r="N428" s="4"/>
      <c r="O428" s="4"/>
      <c r="P428" s="3"/>
      <c r="Q428" s="27"/>
      <c r="R428" s="27"/>
      <c r="S428" s="36" t="s">
        <v>63</v>
      </c>
      <c r="T428" s="3"/>
      <c r="U428" s="3"/>
      <c r="V428" s="3"/>
      <c r="W428" s="1899"/>
      <c r="X428" s="1969">
        <v>149.07954535064283</v>
      </c>
      <c r="Y428" s="1969">
        <v>8.1175200722325371</v>
      </c>
      <c r="Z428" s="1969">
        <v>-38.961520287103383</v>
      </c>
      <c r="AA428" s="1969">
        <v>27.269126278379133</v>
      </c>
      <c r="AB428" s="1969">
        <v>4.7414578186316589</v>
      </c>
      <c r="AC428" s="1969">
        <v>-48.254421299556839</v>
      </c>
      <c r="AD428" s="1969">
        <v>37.752166346237402</v>
      </c>
      <c r="AE428" s="1969">
        <v>-41.446482494630459</v>
      </c>
      <c r="AF428" s="1969">
        <v>-41.816703670297159</v>
      </c>
      <c r="AG428" s="1969">
        <v>10.219220381863749</v>
      </c>
      <c r="AH428" s="1969">
        <v>-9.0363858612574859</v>
      </c>
      <c r="AI428" s="1969">
        <v>-57.663522635141874</v>
      </c>
      <c r="AJ428" s="1995">
        <v>118.23554513577199</v>
      </c>
      <c r="AK428" s="1969">
        <v>-16.243837202546047</v>
      </c>
      <c r="AL428" s="1969">
        <v>-45.511019818690215</v>
      </c>
      <c r="AM428" s="1969">
        <v>-56.48068811453561</v>
      </c>
      <c r="AN428" s="1969">
        <v>101.99170793322594</v>
      </c>
      <c r="AO428" s="1969">
        <v>-101.99170793322583</v>
      </c>
      <c r="AP428" s="1969">
        <v>1.1368683772161603E-13</v>
      </c>
    </row>
    <row r="429" spans="1:42" ht="14.5">
      <c r="A429" s="1693">
        <v>1</v>
      </c>
      <c r="B429" s="616">
        <v>1</v>
      </c>
      <c r="C429" s="1693">
        <v>1</v>
      </c>
      <c r="D429" s="616">
        <v>1</v>
      </c>
      <c r="E429" s="1693">
        <v>372</v>
      </c>
      <c r="F429" s="616">
        <v>1</v>
      </c>
      <c r="G429" s="1693">
        <v>421</v>
      </c>
      <c r="H429" s="616">
        <v>1</v>
      </c>
      <c r="J429" s="709" t="s">
        <v>512</v>
      </c>
      <c r="K429" s="69"/>
      <c r="L429" s="8"/>
      <c r="M429" s="737"/>
      <c r="N429" s="4"/>
      <c r="O429" s="4"/>
      <c r="P429" s="3"/>
      <c r="Q429" s="27"/>
      <c r="R429" s="27"/>
      <c r="S429" s="36" t="s">
        <v>28</v>
      </c>
      <c r="T429" s="3"/>
      <c r="U429" s="3"/>
      <c r="V429" s="3"/>
      <c r="W429" s="1899"/>
      <c r="X429" s="1969">
        <v>0</v>
      </c>
      <c r="Y429" s="1969">
        <v>0</v>
      </c>
      <c r="Z429" s="1969">
        <v>0</v>
      </c>
      <c r="AA429" s="1969">
        <v>0</v>
      </c>
      <c r="AB429" s="1969">
        <v>0</v>
      </c>
      <c r="AC429" s="1969">
        <v>0</v>
      </c>
      <c r="AD429" s="1969">
        <v>0</v>
      </c>
      <c r="AE429" s="1969">
        <v>0</v>
      </c>
      <c r="AF429" s="1969">
        <v>0</v>
      </c>
      <c r="AG429" s="1969">
        <v>0</v>
      </c>
      <c r="AH429" s="1969">
        <v>0</v>
      </c>
      <c r="AI429" s="1969">
        <v>0</v>
      </c>
      <c r="AJ429" s="1995">
        <v>0</v>
      </c>
      <c r="AK429" s="1969">
        <v>0</v>
      </c>
      <c r="AL429" s="1969">
        <v>0</v>
      </c>
      <c r="AM429" s="1969">
        <v>0</v>
      </c>
      <c r="AN429" s="1969">
        <v>0</v>
      </c>
      <c r="AO429" s="1969">
        <v>0</v>
      </c>
      <c r="AP429" s="1969">
        <v>0</v>
      </c>
    </row>
    <row r="430" spans="1:42" ht="14.5">
      <c r="A430" s="1693">
        <v>1</v>
      </c>
      <c r="B430" s="616">
        <v>1</v>
      </c>
      <c r="C430" s="1693">
        <v>1</v>
      </c>
      <c r="D430" s="616">
        <v>1</v>
      </c>
      <c r="E430" s="1693">
        <v>373</v>
      </c>
      <c r="F430" s="616">
        <v>1</v>
      </c>
      <c r="G430" s="1693">
        <v>422</v>
      </c>
      <c r="H430" s="616">
        <v>1</v>
      </c>
      <c r="J430" s="709" t="s">
        <v>512</v>
      </c>
      <c r="K430" s="69"/>
      <c r="L430" s="8"/>
      <c r="M430" s="737"/>
      <c r="N430" s="4"/>
      <c r="O430" s="4"/>
      <c r="P430" s="3"/>
      <c r="Q430" s="25"/>
      <c r="R430" s="25"/>
      <c r="S430" s="104" t="s">
        <v>62</v>
      </c>
      <c r="T430" s="1"/>
      <c r="U430" s="1"/>
      <c r="V430" s="1"/>
      <c r="W430" s="1899"/>
      <c r="X430" s="1943">
        <v>0</v>
      </c>
      <c r="Y430" s="1943">
        <v>0</v>
      </c>
      <c r="Z430" s="1943">
        <v>0</v>
      </c>
      <c r="AA430" s="1943">
        <v>0</v>
      </c>
      <c r="AB430" s="1943">
        <v>0</v>
      </c>
      <c r="AC430" s="1943">
        <v>0</v>
      </c>
      <c r="AD430" s="1943">
        <v>0</v>
      </c>
      <c r="AE430" s="1943">
        <v>0</v>
      </c>
      <c r="AF430" s="1943">
        <v>0</v>
      </c>
      <c r="AG430" s="1943">
        <v>0</v>
      </c>
      <c r="AH430" s="1943">
        <v>0</v>
      </c>
      <c r="AI430" s="1943">
        <v>0</v>
      </c>
      <c r="AJ430" s="1944">
        <v>0</v>
      </c>
      <c r="AK430" s="1943">
        <v>0</v>
      </c>
      <c r="AL430" s="1943">
        <v>0</v>
      </c>
      <c r="AM430" s="1943">
        <v>0</v>
      </c>
      <c r="AN430" s="1943">
        <v>0</v>
      </c>
      <c r="AO430" s="1943">
        <v>0</v>
      </c>
      <c r="AP430" s="1943">
        <v>0</v>
      </c>
    </row>
    <row r="431" spans="1:42" ht="14.5">
      <c r="A431" s="1693">
        <v>1</v>
      </c>
      <c r="B431" s="616">
        <v>1</v>
      </c>
      <c r="C431" s="1693">
        <v>1</v>
      </c>
      <c r="D431" s="616">
        <v>1</v>
      </c>
      <c r="E431" s="1693">
        <v>374</v>
      </c>
      <c r="F431" s="616">
        <v>1</v>
      </c>
      <c r="G431" s="1693">
        <v>423</v>
      </c>
      <c r="H431" s="616">
        <v>1</v>
      </c>
      <c r="J431" s="709" t="s">
        <v>512</v>
      </c>
      <c r="K431" s="69"/>
      <c r="W431" s="1772"/>
      <c r="X431" s="1125"/>
      <c r="Y431" s="1366"/>
      <c r="Z431" s="1366"/>
      <c r="AA431" s="1366"/>
      <c r="AB431" s="1366"/>
      <c r="AC431" s="1366"/>
      <c r="AD431" s="1366"/>
      <c r="AE431" s="1366"/>
      <c r="AF431" s="1366"/>
      <c r="AG431" s="1242"/>
      <c r="AH431" s="69"/>
      <c r="AI431" s="69"/>
      <c r="AJ431" s="69"/>
      <c r="AK431" s="69"/>
      <c r="AL431" s="69"/>
      <c r="AM431" s="69"/>
      <c r="AN431" s="69"/>
      <c r="AO431" s="69"/>
      <c r="AP431" s="69"/>
    </row>
    <row r="432" spans="1:42" ht="15.5">
      <c r="A432" s="1693">
        <v>1</v>
      </c>
      <c r="B432" s="616">
        <v>1</v>
      </c>
      <c r="C432" s="1693">
        <v>1</v>
      </c>
      <c r="D432" s="616">
        <v>1</v>
      </c>
      <c r="E432" s="1693">
        <v>375</v>
      </c>
      <c r="F432" s="616">
        <v>1</v>
      </c>
      <c r="G432" s="1693">
        <v>424</v>
      </c>
      <c r="H432" s="616">
        <v>1</v>
      </c>
      <c r="J432" s="709" t="s">
        <v>512</v>
      </c>
      <c r="K432" s="69"/>
      <c r="L432" s="8"/>
      <c r="M432" s="738" t="s">
        <v>930</v>
      </c>
      <c r="W432" s="1772"/>
      <c r="X432" s="1125"/>
      <c r="Y432" s="1366"/>
      <c r="Z432" s="1366"/>
      <c r="AA432" s="1366"/>
      <c r="AB432" s="1366"/>
      <c r="AC432" s="1366"/>
      <c r="AD432" s="1366"/>
      <c r="AE432" s="1366"/>
      <c r="AF432" s="1366"/>
      <c r="AG432" s="1242"/>
      <c r="AH432" s="69"/>
      <c r="AI432" s="69"/>
      <c r="AJ432" s="69"/>
      <c r="AK432" s="69"/>
      <c r="AL432" s="69"/>
      <c r="AM432" s="69"/>
      <c r="AN432" s="69"/>
      <c r="AO432" s="69"/>
      <c r="AP432" s="69"/>
    </row>
    <row r="433" spans="1:42" ht="14.5">
      <c r="A433" s="1693">
        <v>1</v>
      </c>
      <c r="B433" s="616">
        <v>1</v>
      </c>
      <c r="C433" s="1693">
        <v>1</v>
      </c>
      <c r="D433" s="616">
        <v>1</v>
      </c>
      <c r="E433" s="1693">
        <v>376</v>
      </c>
      <c r="F433" s="616">
        <v>1</v>
      </c>
      <c r="G433" s="1693">
        <v>425</v>
      </c>
      <c r="H433" s="616">
        <v>1</v>
      </c>
      <c r="J433" s="709" t="s">
        <v>512</v>
      </c>
      <c r="K433" s="69"/>
      <c r="L433" s="8"/>
      <c r="M433" s="737"/>
      <c r="Q433" s="2103" t="s">
        <v>31</v>
      </c>
      <c r="R433" s="2104"/>
      <c r="S433" s="2104"/>
      <c r="T433" s="2104"/>
      <c r="U433" s="2104"/>
      <c r="V433" s="2104"/>
      <c r="W433" s="1850"/>
      <c r="X433" s="2105">
        <v>195944.53522784231</v>
      </c>
      <c r="Y433" s="2105">
        <v>163451.67757492847</v>
      </c>
      <c r="Z433" s="2105">
        <v>168243.55306478357</v>
      </c>
      <c r="AA433" s="2105">
        <v>165134.55658408499</v>
      </c>
      <c r="AB433" s="2105">
        <v>170626.67016879705</v>
      </c>
      <c r="AC433" s="2105">
        <v>178319.85742453634</v>
      </c>
      <c r="AD433" s="2106">
        <v>162895.25481668572</v>
      </c>
      <c r="AE433" s="2106">
        <v>161681.59083694208</v>
      </c>
      <c r="AF433" s="2106">
        <v>167572.72492022385</v>
      </c>
      <c r="AG433" s="2107">
        <v>162254.97495953212</v>
      </c>
      <c r="AH433" s="2107">
        <v>162339.65432555042</v>
      </c>
      <c r="AI433" s="2107">
        <v>163570.308326812</v>
      </c>
      <c r="AJ433" s="2108">
        <v>527639.76586755435</v>
      </c>
      <c r="AK433" s="2107">
        <v>514081.08417741838</v>
      </c>
      <c r="AL433" s="2107">
        <v>492149.57057385164</v>
      </c>
      <c r="AM433" s="2107">
        <v>488164.93761189457</v>
      </c>
      <c r="AN433" s="2107">
        <v>1041720.8500449727</v>
      </c>
      <c r="AO433" s="2107">
        <v>980314.50818574615</v>
      </c>
      <c r="AP433" s="2107">
        <v>2022035.3582307189</v>
      </c>
    </row>
    <row r="434" spans="1:42" ht="14.5">
      <c r="A434" s="1693">
        <v>1</v>
      </c>
      <c r="B434" s="616">
        <v>1</v>
      </c>
      <c r="C434" s="1693">
        <v>1</v>
      </c>
      <c r="D434" s="616">
        <v>1</v>
      </c>
      <c r="E434" s="1693">
        <v>377</v>
      </c>
      <c r="F434" s="616">
        <v>1</v>
      </c>
      <c r="G434" s="1693">
        <v>426</v>
      </c>
      <c r="H434" s="616">
        <v>1</v>
      </c>
      <c r="J434" s="709" t="s">
        <v>512</v>
      </c>
      <c r="K434" s="69"/>
      <c r="L434" s="8"/>
      <c r="M434" s="737"/>
      <c r="Q434" s="223"/>
      <c r="R434" s="36" t="s">
        <v>518</v>
      </c>
      <c r="S434" s="69"/>
      <c r="T434" s="69"/>
      <c r="U434" s="69"/>
      <c r="V434" s="69"/>
      <c r="W434" s="1850"/>
      <c r="X434" s="1378">
        <v>101037.80173362732</v>
      </c>
      <c r="Y434" s="2043">
        <v>101171.7364883691</v>
      </c>
      <c r="Z434" s="2043">
        <v>101509.32249318919</v>
      </c>
      <c r="AA434" s="2043">
        <v>101108.53703862581</v>
      </c>
      <c r="AB434" s="2043">
        <v>101366.81248966583</v>
      </c>
      <c r="AC434" s="2043">
        <v>101640.06434228232</v>
      </c>
      <c r="AD434" s="2043">
        <v>101122.71562293514</v>
      </c>
      <c r="AE434" s="2043">
        <v>101433.72907146503</v>
      </c>
      <c r="AF434" s="2043">
        <v>101612.07311746872</v>
      </c>
      <c r="AG434" s="2043">
        <v>101275.33348919076</v>
      </c>
      <c r="AH434" s="2043">
        <v>101434.12399827321</v>
      </c>
      <c r="AI434" s="2043">
        <v>101771.14099523202</v>
      </c>
      <c r="AJ434" s="1947">
        <v>303718.86071518564</v>
      </c>
      <c r="AK434" s="1948">
        <v>304115.41387057398</v>
      </c>
      <c r="AL434" s="1948">
        <v>304168.51781186892</v>
      </c>
      <c r="AM434" s="1948">
        <v>304480.59848269599</v>
      </c>
      <c r="AN434" s="1948">
        <v>607834.27458575962</v>
      </c>
      <c r="AO434" s="1948">
        <v>608649.11629456491</v>
      </c>
      <c r="AP434" s="1948">
        <v>1216483.3908803244</v>
      </c>
    </row>
    <row r="435" spans="1:42" ht="14.5">
      <c r="A435" s="1693">
        <v>1</v>
      </c>
      <c r="B435" s="616">
        <v>1</v>
      </c>
      <c r="C435" s="1693">
        <v>1</v>
      </c>
      <c r="D435" s="616">
        <v>1</v>
      </c>
      <c r="E435" s="1693">
        <v>378</v>
      </c>
      <c r="F435" s="616">
        <v>1</v>
      </c>
      <c r="G435" s="1693">
        <v>427</v>
      </c>
      <c r="H435" s="616">
        <v>1</v>
      </c>
      <c r="J435" s="709" t="s">
        <v>512</v>
      </c>
      <c r="K435" s="69"/>
      <c r="L435" s="8"/>
      <c r="M435" s="737"/>
      <c r="Q435" s="223"/>
      <c r="R435" s="36" t="s">
        <v>1075</v>
      </c>
      <c r="S435" s="69"/>
      <c r="T435" s="69"/>
      <c r="U435" s="69"/>
      <c r="V435" s="69"/>
      <c r="W435" s="1850"/>
      <c r="X435" s="1378">
        <v>94906.73349421499</v>
      </c>
      <c r="Y435" s="2043">
        <v>62279.94108655936</v>
      </c>
      <c r="Z435" s="2043">
        <v>66734.23057159438</v>
      </c>
      <c r="AA435" s="2043">
        <v>64026.019545459174</v>
      </c>
      <c r="AB435" s="2043">
        <v>69259.857679131223</v>
      </c>
      <c r="AC435" s="2043">
        <v>76679.793082254022</v>
      </c>
      <c r="AD435" s="2043">
        <v>61772.53919375057</v>
      </c>
      <c r="AE435" s="2043">
        <v>60247.861765477042</v>
      </c>
      <c r="AF435" s="2043">
        <v>65960.651802755121</v>
      </c>
      <c r="AG435" s="2043">
        <v>60979.641470341361</v>
      </c>
      <c r="AH435" s="2043">
        <v>60905.5303272772</v>
      </c>
      <c r="AI435" s="2043">
        <v>61799.167331579978</v>
      </c>
      <c r="AJ435" s="1947">
        <v>223920.90515236874</v>
      </c>
      <c r="AK435" s="1948">
        <v>209965.6703068444</v>
      </c>
      <c r="AL435" s="1948">
        <v>187981.05276198272</v>
      </c>
      <c r="AM435" s="1948">
        <v>183684.33912919855</v>
      </c>
      <c r="AN435" s="1948">
        <v>433886.57545921311</v>
      </c>
      <c r="AO435" s="1948">
        <v>371665.39189118124</v>
      </c>
      <c r="AP435" s="1948">
        <v>805551.96735039435</v>
      </c>
    </row>
    <row r="436" spans="1:42" ht="14.5">
      <c r="A436" s="1693">
        <v>1</v>
      </c>
      <c r="B436" s="616">
        <v>1</v>
      </c>
      <c r="C436" s="1693">
        <v>1</v>
      </c>
      <c r="D436" s="616">
        <v>1</v>
      </c>
      <c r="E436" s="1693">
        <v>379</v>
      </c>
      <c r="F436" s="616">
        <v>1</v>
      </c>
      <c r="G436" s="1693">
        <v>428</v>
      </c>
      <c r="H436" s="616">
        <v>1</v>
      </c>
      <c r="J436" s="709" t="s">
        <v>512</v>
      </c>
      <c r="K436" s="69"/>
      <c r="L436" s="8"/>
      <c r="M436" s="737"/>
      <c r="Q436" s="710" t="s">
        <v>30</v>
      </c>
      <c r="R436" s="582"/>
      <c r="S436" s="582"/>
      <c r="T436" s="582"/>
      <c r="U436" s="582"/>
      <c r="V436" s="582"/>
      <c r="W436" s="2109"/>
      <c r="X436" s="2110">
        <v>68189.963693167359</v>
      </c>
      <c r="Y436" s="2110">
        <v>58034.312848557049</v>
      </c>
      <c r="Z436" s="2110">
        <v>59654.736414894054</v>
      </c>
      <c r="AA436" s="2110">
        <v>58974.696346454453</v>
      </c>
      <c r="AB436" s="2110">
        <v>60738.326305373543</v>
      </c>
      <c r="AC436" s="2110">
        <v>64278.198064338394</v>
      </c>
      <c r="AD436" s="2111">
        <v>57841.931137799555</v>
      </c>
      <c r="AE436" s="2111">
        <v>57521.649689556289</v>
      </c>
      <c r="AF436" s="2111">
        <v>59532.817855530113</v>
      </c>
      <c r="AG436" s="2112">
        <v>58538.032136502392</v>
      </c>
      <c r="AH436" s="2112">
        <v>56269.776897461532</v>
      </c>
      <c r="AI436" s="2112">
        <v>56628.087657754193</v>
      </c>
      <c r="AJ436" s="2113">
        <v>185879.01295661845</v>
      </c>
      <c r="AK436" s="2112">
        <v>183991.2207161664</v>
      </c>
      <c r="AL436" s="2112">
        <v>174896.39868288595</v>
      </c>
      <c r="AM436" s="2112">
        <v>171435.89669171811</v>
      </c>
      <c r="AN436" s="2112">
        <v>369870.23367278487</v>
      </c>
      <c r="AO436" s="2112">
        <v>346332.29537460406</v>
      </c>
      <c r="AP436" s="2112">
        <v>716202.52904738893</v>
      </c>
    </row>
    <row r="437" spans="1:42" ht="14.5">
      <c r="A437" s="1693">
        <v>1</v>
      </c>
      <c r="B437" s="616">
        <v>1</v>
      </c>
      <c r="C437" s="1693">
        <v>1</v>
      </c>
      <c r="D437" s="616">
        <v>1</v>
      </c>
      <c r="E437" s="1693">
        <v>380</v>
      </c>
      <c r="F437" s="616">
        <v>1</v>
      </c>
      <c r="G437" s="1693">
        <v>429</v>
      </c>
      <c r="H437" s="616">
        <v>1</v>
      </c>
      <c r="J437" s="709" t="s">
        <v>512</v>
      </c>
      <c r="K437" s="69"/>
      <c r="L437" s="8"/>
      <c r="M437" s="737"/>
      <c r="Q437" s="223"/>
      <c r="R437" s="36" t="s">
        <v>518</v>
      </c>
      <c r="W437" s="1850"/>
      <c r="X437" s="1378">
        <v>41000</v>
      </c>
      <c r="Y437" s="2043">
        <v>41000</v>
      </c>
      <c r="Z437" s="2043">
        <v>41000</v>
      </c>
      <c r="AA437" s="2043">
        <v>41000</v>
      </c>
      <c r="AB437" s="2043">
        <v>41000</v>
      </c>
      <c r="AC437" s="2043">
        <v>41000</v>
      </c>
      <c r="AD437" s="2043">
        <v>41000</v>
      </c>
      <c r="AE437" s="2043">
        <v>41000</v>
      </c>
      <c r="AF437" s="2043">
        <v>41000</v>
      </c>
      <c r="AG437" s="2043">
        <v>41000</v>
      </c>
      <c r="AH437" s="2043">
        <v>41000</v>
      </c>
      <c r="AI437" s="2043">
        <v>41000</v>
      </c>
      <c r="AJ437" s="1947">
        <v>123000</v>
      </c>
      <c r="AK437" s="1948">
        <v>123000</v>
      </c>
      <c r="AL437" s="1948">
        <v>123000</v>
      </c>
      <c r="AM437" s="1948">
        <v>123000</v>
      </c>
      <c r="AN437" s="1948">
        <v>246000</v>
      </c>
      <c r="AO437" s="1948">
        <v>246000</v>
      </c>
      <c r="AP437" s="1948">
        <v>492000</v>
      </c>
    </row>
    <row r="438" spans="1:42" ht="14.5">
      <c r="A438" s="1693">
        <v>1</v>
      </c>
      <c r="B438" s="616">
        <v>1</v>
      </c>
      <c r="C438" s="1693">
        <v>1</v>
      </c>
      <c r="D438" s="616">
        <v>1</v>
      </c>
      <c r="E438" s="1693">
        <v>381</v>
      </c>
      <c r="F438" s="616">
        <v>1</v>
      </c>
      <c r="G438" s="1693">
        <v>430</v>
      </c>
      <c r="H438" s="616">
        <v>1</v>
      </c>
      <c r="J438" s="709" t="s">
        <v>512</v>
      </c>
      <c r="K438" s="69"/>
      <c r="L438" s="8"/>
      <c r="M438" s="737"/>
      <c r="Q438" s="223"/>
      <c r="R438" s="36" t="s">
        <v>1075</v>
      </c>
      <c r="W438" s="1850"/>
      <c r="X438" s="1378">
        <v>27189.963693167359</v>
      </c>
      <c r="Y438" s="2043">
        <v>17034.312848557049</v>
      </c>
      <c r="Z438" s="2043">
        <v>18654.736414894054</v>
      </c>
      <c r="AA438" s="2043">
        <v>17974.696346454453</v>
      </c>
      <c r="AB438" s="2043">
        <v>19738.326305373546</v>
      </c>
      <c r="AC438" s="2043">
        <v>23278.198064338394</v>
      </c>
      <c r="AD438" s="2043">
        <v>16841.931137799555</v>
      </c>
      <c r="AE438" s="2043">
        <v>16521.649689556289</v>
      </c>
      <c r="AF438" s="2043">
        <v>18532.817855530113</v>
      </c>
      <c r="AG438" s="2043">
        <v>17538.032136502392</v>
      </c>
      <c r="AH438" s="2043">
        <v>15269.776897461528</v>
      </c>
      <c r="AI438" s="2043">
        <v>15628.087657754189</v>
      </c>
      <c r="AJ438" s="1947">
        <v>62879.012956618462</v>
      </c>
      <c r="AK438" s="1948">
        <v>60991.22071616639</v>
      </c>
      <c r="AL438" s="1948">
        <v>51896.398682885956</v>
      </c>
      <c r="AM438" s="1948">
        <v>48435.89669171811</v>
      </c>
      <c r="AN438" s="1948">
        <v>123870.23367278485</v>
      </c>
      <c r="AO438" s="1948">
        <v>100332.29537460406</v>
      </c>
      <c r="AP438" s="1948">
        <v>224202.5290473889</v>
      </c>
    </row>
    <row r="439" spans="1:42" ht="14.5">
      <c r="A439" s="1693">
        <v>1</v>
      </c>
      <c r="B439" s="616">
        <v>1</v>
      </c>
      <c r="C439" s="1693">
        <v>1</v>
      </c>
      <c r="D439" s="616">
        <v>1</v>
      </c>
      <c r="E439" s="1693">
        <v>382</v>
      </c>
      <c r="F439" s="616">
        <v>1</v>
      </c>
      <c r="G439" s="1693">
        <v>431</v>
      </c>
      <c r="H439" s="616">
        <v>1</v>
      </c>
      <c r="J439" s="709" t="s">
        <v>512</v>
      </c>
      <c r="K439" s="69"/>
      <c r="L439" s="8"/>
      <c r="M439" s="737"/>
      <c r="Q439" s="711"/>
      <c r="R439" s="743" t="s">
        <v>1076</v>
      </c>
      <c r="S439" s="11"/>
      <c r="T439" s="11"/>
      <c r="U439" s="11"/>
      <c r="V439" s="11"/>
      <c r="W439" s="1785"/>
      <c r="X439" s="1369">
        <v>0.28649140784963079</v>
      </c>
      <c r="Y439" s="1365">
        <v>0.27351202572401317</v>
      </c>
      <c r="Z439" s="1365">
        <v>0.27953774629769235</v>
      </c>
      <c r="AA439" s="1365">
        <v>0.28074049385019512</v>
      </c>
      <c r="AB439" s="1365">
        <v>0.28498941474609651</v>
      </c>
      <c r="AC439" s="1365">
        <v>0.30357669378904023</v>
      </c>
      <c r="AD439" s="1365">
        <v>0.27264430696259001</v>
      </c>
      <c r="AE439" s="1365">
        <v>0.27422798428712786</v>
      </c>
      <c r="AF439" s="1365">
        <v>0.28096777925951322</v>
      </c>
      <c r="AG439" s="1365">
        <v>0.28760471058250409</v>
      </c>
      <c r="AH439" s="1365">
        <v>0.25071248563815218</v>
      </c>
      <c r="AI439" s="1365">
        <v>0.25288508458216852</v>
      </c>
      <c r="AJ439" s="1365">
        <v>0.28080903350150332</v>
      </c>
      <c r="AK439" s="1365">
        <v>0.29048187080789756</v>
      </c>
      <c r="AL439" s="1365">
        <v>0.27607249730958777</v>
      </c>
      <c r="AM439" s="1365">
        <v>0.26369094350308014</v>
      </c>
      <c r="AN439" s="1365">
        <v>0.28548989685077059</v>
      </c>
      <c r="AO439" s="1365">
        <v>0.26995329014647679</v>
      </c>
      <c r="AP439" s="1365">
        <v>0.27832162062099042</v>
      </c>
    </row>
    <row r="440" spans="1:42" ht="14.5">
      <c r="A440" s="1693">
        <v>1</v>
      </c>
      <c r="B440" s="616">
        <v>1</v>
      </c>
      <c r="C440" s="1693">
        <v>1</v>
      </c>
      <c r="D440" s="616">
        <v>1</v>
      </c>
      <c r="E440" s="1693">
        <v>383</v>
      </c>
      <c r="F440" s="616">
        <v>1</v>
      </c>
      <c r="G440" s="1693">
        <v>432</v>
      </c>
      <c r="H440" s="616">
        <v>1</v>
      </c>
      <c r="J440" s="709" t="s">
        <v>512</v>
      </c>
      <c r="K440" s="69"/>
      <c r="L440" s="8"/>
      <c r="M440" s="737"/>
      <c r="Q440" s="718" t="s">
        <v>1030</v>
      </c>
      <c r="R440" s="587"/>
      <c r="S440" s="588"/>
      <c r="T440" s="588"/>
      <c r="U440" s="588"/>
      <c r="V440" s="588"/>
      <c r="W440" s="2114"/>
      <c r="X440" s="2115">
        <v>123052.51485796104</v>
      </c>
      <c r="Y440" s="2115">
        <v>101209.46203948699</v>
      </c>
      <c r="Z440" s="2115">
        <v>104253.09945725728</v>
      </c>
      <c r="AA440" s="2115">
        <v>101929.82261149504</v>
      </c>
      <c r="AB440" s="2115">
        <v>105500.40799757888</v>
      </c>
      <c r="AC440" s="2115">
        <v>109616.60697759804</v>
      </c>
      <c r="AD440" s="2116">
        <v>100762.3978708564</v>
      </c>
      <c r="AE440" s="2116">
        <v>99910.889697481543</v>
      </c>
      <c r="AF440" s="2116">
        <v>103614.16117443654</v>
      </c>
      <c r="AG440" s="2117">
        <v>99396.07852590963</v>
      </c>
      <c r="AH440" s="2117">
        <v>101676.02040697997</v>
      </c>
      <c r="AI440" s="2117">
        <v>102428.01604991566</v>
      </c>
      <c r="AJ440" s="2118">
        <v>328515.07635470532</v>
      </c>
      <c r="AK440" s="2117">
        <v>317046.83758667193</v>
      </c>
      <c r="AL440" s="2117">
        <v>304287.44874277443</v>
      </c>
      <c r="AM440" s="2117">
        <v>303500.11498280527</v>
      </c>
      <c r="AN440" s="2117">
        <v>645561.91394137731</v>
      </c>
      <c r="AO440" s="2117">
        <v>607787.56372557976</v>
      </c>
      <c r="AP440" s="2117">
        <v>1253349.4776669571</v>
      </c>
    </row>
    <row r="441" spans="1:42" ht="14.5">
      <c r="A441" s="1693">
        <v>1</v>
      </c>
      <c r="B441" s="616">
        <v>1</v>
      </c>
      <c r="C441" s="1693">
        <v>1</v>
      </c>
      <c r="D441" s="616">
        <v>1</v>
      </c>
      <c r="E441" s="1693">
        <v>384</v>
      </c>
      <c r="F441" s="616">
        <v>1</v>
      </c>
      <c r="G441" s="1693">
        <v>433</v>
      </c>
      <c r="H441" s="616">
        <v>1</v>
      </c>
      <c r="J441" s="709" t="s">
        <v>512</v>
      </c>
      <c r="K441" s="69"/>
      <c r="L441" s="8"/>
      <c r="M441" s="737"/>
      <c r="Q441" s="223"/>
      <c r="R441" s="36" t="s">
        <v>518</v>
      </c>
      <c r="W441" s="1850"/>
      <c r="X441" s="1378">
        <v>56000</v>
      </c>
      <c r="Y441" s="2043">
        <v>56000</v>
      </c>
      <c r="Z441" s="2043">
        <v>56000</v>
      </c>
      <c r="AA441" s="2043">
        <v>56000</v>
      </c>
      <c r="AB441" s="2043">
        <v>56000</v>
      </c>
      <c r="AC441" s="2043">
        <v>56000</v>
      </c>
      <c r="AD441" s="2043">
        <v>56000</v>
      </c>
      <c r="AE441" s="2043">
        <v>56000</v>
      </c>
      <c r="AF441" s="2043">
        <v>56000</v>
      </c>
      <c r="AG441" s="2043">
        <v>56000</v>
      </c>
      <c r="AH441" s="2043">
        <v>56000</v>
      </c>
      <c r="AI441" s="2043">
        <v>56000</v>
      </c>
      <c r="AJ441" s="1947">
        <v>168000</v>
      </c>
      <c r="AK441" s="1948">
        <v>168000</v>
      </c>
      <c r="AL441" s="1948">
        <v>168000</v>
      </c>
      <c r="AM441" s="1948">
        <v>168000</v>
      </c>
      <c r="AN441" s="1948">
        <v>336000</v>
      </c>
      <c r="AO441" s="1948">
        <v>336000</v>
      </c>
      <c r="AP441" s="1948">
        <v>672000</v>
      </c>
    </row>
    <row r="442" spans="1:42" ht="14.5">
      <c r="A442" s="1693">
        <v>1</v>
      </c>
      <c r="B442" s="616">
        <v>1</v>
      </c>
      <c r="C442" s="1693">
        <v>1</v>
      </c>
      <c r="D442" s="616">
        <v>1</v>
      </c>
      <c r="E442" s="1693">
        <v>385</v>
      </c>
      <c r="F442" s="616">
        <v>1</v>
      </c>
      <c r="G442" s="1693">
        <v>434</v>
      </c>
      <c r="H442" s="616">
        <v>1</v>
      </c>
      <c r="J442" s="709" t="s">
        <v>512</v>
      </c>
      <c r="K442" s="69"/>
      <c r="L442" s="8"/>
      <c r="M442" s="737"/>
      <c r="Q442" s="223"/>
      <c r="R442" s="36" t="s">
        <v>1075</v>
      </c>
      <c r="W442" s="1850"/>
      <c r="X442" s="1378">
        <v>67052.51485796104</v>
      </c>
      <c r="Y442" s="2043">
        <v>45209.462039486985</v>
      </c>
      <c r="Z442" s="2043">
        <v>48253.099457257282</v>
      </c>
      <c r="AA442" s="2043">
        <v>45929.82261149503</v>
      </c>
      <c r="AB442" s="2043">
        <v>49500.407997578877</v>
      </c>
      <c r="AC442" s="2043">
        <v>53616.606977598036</v>
      </c>
      <c r="AD442" s="2043">
        <v>44762.397870856395</v>
      </c>
      <c r="AE442" s="2043">
        <v>43910.889697481543</v>
      </c>
      <c r="AF442" s="2043">
        <v>47614.161174436529</v>
      </c>
      <c r="AG442" s="2043">
        <v>43396.07852590963</v>
      </c>
      <c r="AH442" s="2043">
        <v>45676.020406979966</v>
      </c>
      <c r="AI442" s="2043">
        <v>46428.016049915663</v>
      </c>
      <c r="AJ442" s="1947">
        <v>160515.07635470532</v>
      </c>
      <c r="AK442" s="1948">
        <v>149046.83758667196</v>
      </c>
      <c r="AL442" s="1948">
        <v>136287.44874277446</v>
      </c>
      <c r="AM442" s="1948">
        <v>135500.11498280527</v>
      </c>
      <c r="AN442" s="1948">
        <v>309561.91394137731</v>
      </c>
      <c r="AO442" s="1948">
        <v>271787.56372557976</v>
      </c>
      <c r="AP442" s="1948">
        <v>581349.47766695707</v>
      </c>
    </row>
    <row r="443" spans="1:42" ht="14.5">
      <c r="A443" s="1693">
        <v>1</v>
      </c>
      <c r="B443" s="616">
        <v>1</v>
      </c>
      <c r="C443" s="1693">
        <v>1</v>
      </c>
      <c r="D443" s="616">
        <v>1</v>
      </c>
      <c r="E443" s="1693">
        <v>386</v>
      </c>
      <c r="F443" s="616">
        <v>1</v>
      </c>
      <c r="G443" s="1693">
        <v>435</v>
      </c>
      <c r="H443" s="616">
        <v>1</v>
      </c>
      <c r="J443" s="709" t="s">
        <v>512</v>
      </c>
      <c r="K443" s="69"/>
      <c r="L443" s="8"/>
      <c r="M443" s="737"/>
      <c r="Q443" s="711"/>
      <c r="R443" s="743" t="s">
        <v>1077</v>
      </c>
      <c r="S443" s="11"/>
      <c r="T443" s="11"/>
      <c r="U443" s="11"/>
      <c r="V443" s="11"/>
      <c r="W443" s="1785"/>
      <c r="X443" s="1369">
        <v>0.70650956353953753</v>
      </c>
      <c r="Y443" s="1365">
        <v>0.72590727047498194</v>
      </c>
      <c r="Z443" s="1365">
        <v>0.72306369675589477</v>
      </c>
      <c r="AA443" s="1365">
        <v>0.71736183098004946</v>
      </c>
      <c r="AB443" s="1365">
        <v>0.71470559796564392</v>
      </c>
      <c r="AC443" s="1365">
        <v>0.69922732994445846</v>
      </c>
      <c r="AD443" s="1365">
        <v>0.72463263539253919</v>
      </c>
      <c r="AE443" s="1365">
        <v>0.72883731323794732</v>
      </c>
      <c r="AF443" s="1365">
        <v>0.72185704466382672</v>
      </c>
      <c r="AG443" s="1365">
        <v>0.71164863353642638</v>
      </c>
      <c r="AH443" s="1365">
        <v>0.74994865263530042</v>
      </c>
      <c r="AI443" s="1365">
        <v>0.75127251797437233</v>
      </c>
      <c r="AJ443" s="1365">
        <v>0.7168382793267184</v>
      </c>
      <c r="AK443" s="1365">
        <v>0.70986289029465865</v>
      </c>
      <c r="AL443" s="1365">
        <v>0.72500630643524744</v>
      </c>
      <c r="AM443" s="1365">
        <v>0.73767919260388437</v>
      </c>
      <c r="AN443" s="1365">
        <v>0.71346276066215197</v>
      </c>
      <c r="AO443" s="1365">
        <v>0.73126949577580147</v>
      </c>
      <c r="AP443" s="1365">
        <v>0.72167842824482242</v>
      </c>
    </row>
    <row r="444" spans="1:42" ht="14.5">
      <c r="A444" s="1693">
        <v>1</v>
      </c>
      <c r="B444" s="616">
        <v>1</v>
      </c>
      <c r="C444" s="1693">
        <v>1</v>
      </c>
      <c r="D444" s="616">
        <v>1</v>
      </c>
      <c r="E444" s="1693">
        <v>387</v>
      </c>
      <c r="F444" s="616">
        <v>1</v>
      </c>
      <c r="G444" s="1693">
        <v>436</v>
      </c>
      <c r="H444" s="616">
        <v>1</v>
      </c>
      <c r="J444" s="709" t="s">
        <v>512</v>
      </c>
      <c r="K444" s="69"/>
      <c r="L444" s="8"/>
      <c r="M444" s="737"/>
      <c r="O444" s="8"/>
      <c r="Q444" s="1765" t="s">
        <v>936</v>
      </c>
      <c r="R444" s="1766"/>
      <c r="S444" s="1767"/>
      <c r="T444" s="1767"/>
      <c r="U444" s="1767"/>
      <c r="V444" s="1767"/>
      <c r="W444" s="2119"/>
      <c r="X444" s="2120">
        <v>3631.9919619008415</v>
      </c>
      <c r="Y444" s="2120">
        <v>3248.7410057713319</v>
      </c>
      <c r="Z444" s="2120">
        <v>3347.8700880883048</v>
      </c>
      <c r="AA444" s="2120">
        <v>3265.908198198068</v>
      </c>
      <c r="AB444" s="2120">
        <v>3388.369318790395</v>
      </c>
      <c r="AC444" s="2120">
        <v>3417.155771652112</v>
      </c>
      <c r="AD444" s="2121">
        <v>3313.1312388053343</v>
      </c>
      <c r="AE444" s="2121">
        <v>3280.6547474297504</v>
      </c>
      <c r="AF444" s="2121">
        <v>3417.6936353104325</v>
      </c>
      <c r="AG444" s="2122">
        <v>3336.3506295319089</v>
      </c>
      <c r="AH444" s="2122">
        <v>3392.9615885345138</v>
      </c>
      <c r="AI444" s="2122">
        <v>3486.2995620476809</v>
      </c>
      <c r="AJ444" s="2123">
        <v>10228.603055760479</v>
      </c>
      <c r="AK444" s="2122">
        <v>10071.433288640575</v>
      </c>
      <c r="AL444" s="2122">
        <v>10011.479621545517</v>
      </c>
      <c r="AM444" s="2122">
        <v>10215.611780114103</v>
      </c>
      <c r="AN444" s="2122">
        <v>20300.036344401051</v>
      </c>
      <c r="AO444" s="2122">
        <v>20227.091401659618</v>
      </c>
      <c r="AP444" s="2122">
        <v>40527.127746060673</v>
      </c>
    </row>
    <row r="445" spans="1:42" ht="14.5">
      <c r="A445" s="1693">
        <v>1</v>
      </c>
      <c r="B445" s="616">
        <v>1</v>
      </c>
      <c r="C445" s="1693">
        <v>1</v>
      </c>
      <c r="D445" s="616">
        <v>1</v>
      </c>
      <c r="E445" s="1693">
        <v>388</v>
      </c>
      <c r="F445" s="616">
        <v>1</v>
      </c>
      <c r="G445" s="1693">
        <v>437</v>
      </c>
      <c r="H445" s="616">
        <v>1</v>
      </c>
      <c r="J445" s="709" t="s">
        <v>512</v>
      </c>
      <c r="K445" s="69"/>
      <c r="L445" s="8"/>
      <c r="M445" s="737"/>
      <c r="O445" s="8"/>
      <c r="Q445" s="223"/>
      <c r="R445" s="36" t="s">
        <v>518</v>
      </c>
      <c r="W445" s="1850"/>
      <c r="X445" s="1378">
        <v>3116.8165641648875</v>
      </c>
      <c r="Y445" s="2043">
        <v>3220.692327328245</v>
      </c>
      <c r="Z445" s="2043">
        <v>3482.5138683581554</v>
      </c>
      <c r="AA445" s="2043">
        <v>3171.6767369667577</v>
      </c>
      <c r="AB445" s="2043">
        <v>3371.9874004302237</v>
      </c>
      <c r="AC445" s="2043">
        <v>3583.9133100349654</v>
      </c>
      <c r="AD445" s="2043">
        <v>3182.6732200569504</v>
      </c>
      <c r="AE445" s="2043">
        <v>3423.8858864959052</v>
      </c>
      <c r="AF445" s="2043">
        <v>3562.2041588516549</v>
      </c>
      <c r="AG445" s="2043">
        <v>3301.0390419844348</v>
      </c>
      <c r="AH445" s="2043">
        <v>3424.1921798375552</v>
      </c>
      <c r="AI445" s="2043">
        <v>3685.5724155024132</v>
      </c>
      <c r="AJ445" s="1947">
        <v>9820.0227598512884</v>
      </c>
      <c r="AK445" s="1948">
        <v>10127.577447431948</v>
      </c>
      <c r="AL445" s="1948">
        <v>10168.76326540451</v>
      </c>
      <c r="AM445" s="1948">
        <v>10410.803637324403</v>
      </c>
      <c r="AN445" s="1948">
        <v>19947.600207283234</v>
      </c>
      <c r="AO445" s="1948">
        <v>20579.566902728911</v>
      </c>
      <c r="AP445" s="1948">
        <v>40527.167110012146</v>
      </c>
    </row>
    <row r="446" spans="1:42" ht="14.5">
      <c r="A446" s="1693">
        <v>1</v>
      </c>
      <c r="B446" s="616">
        <v>1</v>
      </c>
      <c r="C446" s="1693">
        <v>1</v>
      </c>
      <c r="D446" s="616">
        <v>1</v>
      </c>
      <c r="E446" s="1693">
        <v>389</v>
      </c>
      <c r="F446" s="616">
        <v>1</v>
      </c>
      <c r="G446" s="1693">
        <v>438</v>
      </c>
      <c r="H446" s="616">
        <v>1</v>
      </c>
      <c r="J446" s="709" t="s">
        <v>512</v>
      </c>
      <c r="K446" s="69"/>
      <c r="L446" s="8"/>
      <c r="M446" s="737"/>
      <c r="O446" s="8"/>
      <c r="Q446" s="223"/>
      <c r="R446" s="36" t="s">
        <v>1075</v>
      </c>
      <c r="W446" s="1850"/>
      <c r="X446" s="1378">
        <v>515.17539773595411</v>
      </c>
      <c r="Y446" s="2043">
        <v>28.048678443086942</v>
      </c>
      <c r="Z446" s="2043">
        <v>-134.64378026985071</v>
      </c>
      <c r="AA446" s="2043">
        <v>94.231461231310163</v>
      </c>
      <c r="AB446" s="2043">
        <v>16.381918360171198</v>
      </c>
      <c r="AC446" s="2043">
        <v>-166.75753838285334</v>
      </c>
      <c r="AD446" s="2043">
        <v>130.45801874838401</v>
      </c>
      <c r="AE446" s="2043">
        <v>-143.23113906615492</v>
      </c>
      <c r="AF446" s="2043">
        <v>-144.51052354122237</v>
      </c>
      <c r="AG446" s="2043">
        <v>35.311587547474005</v>
      </c>
      <c r="AH446" s="2043">
        <v>-31.230591303041479</v>
      </c>
      <c r="AI446" s="2043">
        <v>-199.27285345473217</v>
      </c>
      <c r="AJ446" s="1947">
        <v>408.58029590919034</v>
      </c>
      <c r="AK446" s="1948">
        <v>-56.144158791371979</v>
      </c>
      <c r="AL446" s="1948">
        <v>-157.28364385899329</v>
      </c>
      <c r="AM446" s="1948">
        <v>-195.19185721029964</v>
      </c>
      <c r="AN446" s="1948">
        <v>352.43613711781836</v>
      </c>
      <c r="AO446" s="1948">
        <v>-352.47550106929293</v>
      </c>
      <c r="AP446" s="1948">
        <v>-3.9363951474570058E-2</v>
      </c>
    </row>
    <row r="447" spans="1:42" ht="14.5">
      <c r="A447" s="1693">
        <v>1</v>
      </c>
      <c r="B447" s="616">
        <v>1</v>
      </c>
      <c r="C447" s="1693">
        <v>1</v>
      </c>
      <c r="D447" s="616">
        <v>1</v>
      </c>
      <c r="E447" s="1693">
        <v>390</v>
      </c>
      <c r="F447" s="616">
        <v>1</v>
      </c>
      <c r="G447" s="1693">
        <v>439</v>
      </c>
      <c r="H447" s="616">
        <v>1</v>
      </c>
      <c r="J447" s="709" t="s">
        <v>512</v>
      </c>
      <c r="K447" s="69"/>
      <c r="L447" s="8"/>
      <c r="M447" s="737"/>
      <c r="O447" s="8"/>
      <c r="Q447" s="172"/>
      <c r="R447" s="743" t="s">
        <v>1078</v>
      </c>
      <c r="S447" s="9"/>
      <c r="T447" s="9"/>
      <c r="U447" s="9"/>
      <c r="W447" s="1785"/>
      <c r="X447" s="1369">
        <v>5.4282281010899656E-3</v>
      </c>
      <c r="Y447" s="1365">
        <v>4.5036456287111243E-4</v>
      </c>
      <c r="Z447" s="1365">
        <v>-2.0176119379304303E-3</v>
      </c>
      <c r="AA447" s="1365">
        <v>1.4717682264224594E-3</v>
      </c>
      <c r="AB447" s="1365">
        <v>2.3652832837263042E-4</v>
      </c>
      <c r="AC447" s="1365">
        <v>-2.1747259829453815E-3</v>
      </c>
      <c r="AD447" s="1365">
        <v>2.1119096033789435E-3</v>
      </c>
      <c r="AE447" s="1365">
        <v>-2.3773646876249573E-3</v>
      </c>
      <c r="AF447" s="1365">
        <v>-2.1908595441621497E-3</v>
      </c>
      <c r="AG447" s="1365">
        <v>5.7907174748884818E-4</v>
      </c>
      <c r="AH447" s="1365">
        <v>-5.1277102646054E-4</v>
      </c>
      <c r="AI447" s="1365">
        <v>-3.2245232752982707E-3</v>
      </c>
      <c r="AJ447" s="1365">
        <v>1.8246634704837793E-3</v>
      </c>
      <c r="AK447" s="1365">
        <v>-2.6739684972939984E-4</v>
      </c>
      <c r="AL447" s="1365">
        <v>-8.3669945214181888E-4</v>
      </c>
      <c r="AM447" s="1365">
        <v>-1.0626483353760878E-3</v>
      </c>
      <c r="AN447" s="1365">
        <v>8.1227711814962249E-4</v>
      </c>
      <c r="AO447" s="1365">
        <v>-9.4836782966462789E-4</v>
      </c>
      <c r="AP447" s="1365">
        <v>-4.8865812598093692E-8</v>
      </c>
    </row>
    <row r="448" spans="1:42" ht="14.5">
      <c r="A448" s="1693">
        <v>1</v>
      </c>
      <c r="B448" s="616">
        <v>1</v>
      </c>
      <c r="C448" s="1693">
        <v>1</v>
      </c>
      <c r="D448" s="616">
        <v>1</v>
      </c>
      <c r="E448" s="1693">
        <v>391</v>
      </c>
      <c r="F448" s="616">
        <v>1</v>
      </c>
      <c r="G448" s="1693">
        <v>440</v>
      </c>
      <c r="H448" s="616">
        <v>1</v>
      </c>
      <c r="J448" s="709" t="s">
        <v>512</v>
      </c>
      <c r="K448" s="69"/>
      <c r="L448" s="8"/>
      <c r="M448" s="737"/>
      <c r="O448" s="8"/>
      <c r="Q448" s="719" t="s">
        <v>1079</v>
      </c>
      <c r="R448" s="590"/>
      <c r="S448" s="590"/>
      <c r="T448" s="590"/>
      <c r="U448" s="590"/>
      <c r="V448" s="590"/>
      <c r="W448" s="2124"/>
      <c r="X448" s="2125">
        <v>0</v>
      </c>
      <c r="Y448" s="2125">
        <v>0</v>
      </c>
      <c r="Z448" s="2125">
        <v>0</v>
      </c>
      <c r="AA448" s="2125">
        <v>0</v>
      </c>
      <c r="AB448" s="2125">
        <v>0</v>
      </c>
      <c r="AC448" s="2125">
        <v>0</v>
      </c>
      <c r="AD448" s="2126">
        <v>0</v>
      </c>
      <c r="AE448" s="2126">
        <v>0</v>
      </c>
      <c r="AF448" s="2126">
        <v>0</v>
      </c>
      <c r="AG448" s="2127">
        <v>0</v>
      </c>
      <c r="AH448" s="2127">
        <v>0</v>
      </c>
      <c r="AI448" s="2127">
        <v>0</v>
      </c>
      <c r="AJ448" s="2128">
        <v>0</v>
      </c>
      <c r="AK448" s="2127">
        <v>0</v>
      </c>
      <c r="AL448" s="2127">
        <v>0</v>
      </c>
      <c r="AM448" s="2127">
        <v>0</v>
      </c>
      <c r="AN448" s="2127">
        <v>0</v>
      </c>
      <c r="AO448" s="2127">
        <v>0</v>
      </c>
      <c r="AP448" s="2127">
        <v>0</v>
      </c>
    </row>
    <row r="449" spans="1:42" ht="14.5">
      <c r="A449" s="1693">
        <v>1</v>
      </c>
      <c r="B449" s="616">
        <v>1</v>
      </c>
      <c r="C449" s="1693">
        <v>1</v>
      </c>
      <c r="D449" s="616">
        <v>1</v>
      </c>
      <c r="E449" s="1693">
        <v>392</v>
      </c>
      <c r="F449" s="616">
        <v>1</v>
      </c>
      <c r="G449" s="1693">
        <v>441</v>
      </c>
      <c r="H449" s="616">
        <v>1</v>
      </c>
      <c r="J449" s="709" t="s">
        <v>512</v>
      </c>
      <c r="K449" s="69"/>
      <c r="L449" s="8"/>
      <c r="M449" s="737"/>
      <c r="O449" s="8"/>
      <c r="Q449" s="223"/>
      <c r="R449" s="36" t="s">
        <v>518</v>
      </c>
      <c r="W449" s="1850"/>
      <c r="X449" s="1378">
        <v>0</v>
      </c>
      <c r="Y449" s="2043">
        <v>0</v>
      </c>
      <c r="Z449" s="2043">
        <v>0</v>
      </c>
      <c r="AA449" s="2043">
        <v>0</v>
      </c>
      <c r="AB449" s="2043">
        <v>0</v>
      </c>
      <c r="AC449" s="2043">
        <v>0</v>
      </c>
      <c r="AD449" s="2043">
        <v>0</v>
      </c>
      <c r="AE449" s="2043">
        <v>0</v>
      </c>
      <c r="AF449" s="2043">
        <v>0</v>
      </c>
      <c r="AG449" s="2043">
        <v>0</v>
      </c>
      <c r="AH449" s="2043">
        <v>0</v>
      </c>
      <c r="AI449" s="2043">
        <v>0</v>
      </c>
      <c r="AJ449" s="1947">
        <v>0</v>
      </c>
      <c r="AK449" s="1948">
        <v>0</v>
      </c>
      <c r="AL449" s="1948">
        <v>0</v>
      </c>
      <c r="AM449" s="1948">
        <v>0</v>
      </c>
      <c r="AN449" s="1948">
        <v>0</v>
      </c>
      <c r="AO449" s="1948">
        <v>0</v>
      </c>
      <c r="AP449" s="1948">
        <v>0</v>
      </c>
    </row>
    <row r="450" spans="1:42" ht="14.5">
      <c r="A450" s="1693">
        <v>1</v>
      </c>
      <c r="B450" s="616">
        <v>1</v>
      </c>
      <c r="C450" s="1693">
        <v>1</v>
      </c>
      <c r="D450" s="616">
        <v>1</v>
      </c>
      <c r="E450" s="1693">
        <v>393</v>
      </c>
      <c r="F450" s="616">
        <v>1</v>
      </c>
      <c r="G450" s="1693">
        <v>442</v>
      </c>
      <c r="H450" s="616">
        <v>1</v>
      </c>
      <c r="J450" s="709" t="s">
        <v>512</v>
      </c>
      <c r="K450" s="69"/>
      <c r="L450" s="8"/>
      <c r="M450" s="737"/>
      <c r="O450" s="8"/>
      <c r="Q450" s="223"/>
      <c r="R450" s="36" t="s">
        <v>1075</v>
      </c>
      <c r="W450" s="1850"/>
      <c r="X450" s="1378">
        <v>0</v>
      </c>
      <c r="Y450" s="2043">
        <v>0</v>
      </c>
      <c r="Z450" s="2043">
        <v>0</v>
      </c>
      <c r="AA450" s="2043">
        <v>0</v>
      </c>
      <c r="AB450" s="2043">
        <v>0</v>
      </c>
      <c r="AC450" s="2043">
        <v>0</v>
      </c>
      <c r="AD450" s="2043">
        <v>0</v>
      </c>
      <c r="AE450" s="2043">
        <v>0</v>
      </c>
      <c r="AF450" s="2043">
        <v>0</v>
      </c>
      <c r="AG450" s="2043">
        <v>0</v>
      </c>
      <c r="AH450" s="2043">
        <v>0</v>
      </c>
      <c r="AI450" s="2043">
        <v>0</v>
      </c>
      <c r="AJ450" s="1947">
        <v>0</v>
      </c>
      <c r="AK450" s="1948">
        <v>0</v>
      </c>
      <c r="AL450" s="1948">
        <v>0</v>
      </c>
      <c r="AM450" s="1948">
        <v>0</v>
      </c>
      <c r="AN450" s="1948">
        <v>0</v>
      </c>
      <c r="AO450" s="1948">
        <v>0</v>
      </c>
      <c r="AP450" s="1948">
        <v>0</v>
      </c>
    </row>
    <row r="451" spans="1:42" ht="14.5">
      <c r="A451" s="1693">
        <v>1</v>
      </c>
      <c r="B451" s="616">
        <v>1</v>
      </c>
      <c r="C451" s="1693">
        <v>1</v>
      </c>
      <c r="D451" s="616">
        <v>1</v>
      </c>
      <c r="E451" s="1693">
        <v>394</v>
      </c>
      <c r="F451" s="616">
        <v>1</v>
      </c>
      <c r="G451" s="1693">
        <v>443</v>
      </c>
      <c r="H451" s="616">
        <v>1</v>
      </c>
      <c r="J451" s="709" t="s">
        <v>512</v>
      </c>
      <c r="K451" s="69"/>
      <c r="L451" s="8"/>
      <c r="M451" s="737"/>
      <c r="O451" s="8"/>
      <c r="Q451" s="172"/>
      <c r="R451" s="743" t="s">
        <v>1080</v>
      </c>
      <c r="S451" s="9"/>
      <c r="T451" s="9"/>
      <c r="U451" s="9"/>
      <c r="W451" s="1785"/>
      <c r="X451" s="1369">
        <v>0</v>
      </c>
      <c r="Y451" s="1365">
        <v>0</v>
      </c>
      <c r="Z451" s="1365">
        <v>0</v>
      </c>
      <c r="AA451" s="1365">
        <v>0</v>
      </c>
      <c r="AB451" s="1365">
        <v>0</v>
      </c>
      <c r="AC451" s="1365">
        <v>0</v>
      </c>
      <c r="AD451" s="1365">
        <v>0</v>
      </c>
      <c r="AE451" s="1365">
        <v>0</v>
      </c>
      <c r="AF451" s="1365">
        <v>0</v>
      </c>
      <c r="AG451" s="1365">
        <v>0</v>
      </c>
      <c r="AH451" s="1365">
        <v>0</v>
      </c>
      <c r="AI451" s="1365">
        <v>0</v>
      </c>
      <c r="AJ451" s="1365">
        <v>0</v>
      </c>
      <c r="AK451" s="1365">
        <v>0</v>
      </c>
      <c r="AL451" s="1365">
        <v>0</v>
      </c>
      <c r="AM451" s="1365">
        <v>0</v>
      </c>
      <c r="AN451" s="1365">
        <v>0</v>
      </c>
      <c r="AO451" s="1365">
        <v>0</v>
      </c>
      <c r="AP451" s="1365">
        <v>0</v>
      </c>
    </row>
    <row r="452" spans="1:42" ht="14.5">
      <c r="A452" s="1693">
        <v>1</v>
      </c>
      <c r="B452" s="616">
        <v>1</v>
      </c>
      <c r="C452" s="1693">
        <v>1</v>
      </c>
      <c r="D452" s="616">
        <v>1</v>
      </c>
      <c r="E452" s="1693">
        <v>395</v>
      </c>
      <c r="F452" s="616">
        <v>1</v>
      </c>
      <c r="G452" s="1693">
        <v>444</v>
      </c>
      <c r="H452" s="616">
        <v>1</v>
      </c>
      <c r="J452" s="709" t="s">
        <v>512</v>
      </c>
      <c r="K452" s="69"/>
      <c r="L452" s="8"/>
      <c r="M452" s="737"/>
      <c r="O452" s="8"/>
      <c r="Q452" s="785" t="s">
        <v>1056</v>
      </c>
      <c r="R452" s="592"/>
      <c r="S452" s="593"/>
      <c r="T452" s="593"/>
      <c r="U452" s="593"/>
      <c r="V452" s="594"/>
      <c r="W452" s="2129"/>
      <c r="X452" s="2130">
        <v>1070.064714813082</v>
      </c>
      <c r="Y452" s="2131">
        <v>959.16168111309116</v>
      </c>
      <c r="Z452" s="2131">
        <v>987.84710454392894</v>
      </c>
      <c r="AA452" s="2131">
        <v>964.12942793742832</v>
      </c>
      <c r="AB452" s="2131">
        <v>999.56654705422989</v>
      </c>
      <c r="AC452" s="2131">
        <v>1007.8966109477884</v>
      </c>
      <c r="AD452" s="2131">
        <v>977.79456922441818</v>
      </c>
      <c r="AE452" s="2131">
        <v>968.39670247449999</v>
      </c>
      <c r="AF452" s="2131">
        <v>1008.0522549467678</v>
      </c>
      <c r="AG452" s="2131">
        <v>984.51366758818676</v>
      </c>
      <c r="AH452" s="2131">
        <v>1000.8954325743989</v>
      </c>
      <c r="AI452" s="2131">
        <v>1027.9050570944787</v>
      </c>
      <c r="AJ452" s="2131">
        <v>3017.0735004701023</v>
      </c>
      <c r="AK452" s="2131">
        <v>2971.5925859394465</v>
      </c>
      <c r="AL452" s="2131">
        <v>2954.243526645686</v>
      </c>
      <c r="AM452" s="2131">
        <v>3013.3141572570644</v>
      </c>
      <c r="AN452" s="2131">
        <v>5988.6660864095493</v>
      </c>
      <c r="AO452" s="2131">
        <v>5967.5576839027508</v>
      </c>
      <c r="AP452" s="2131">
        <v>11956.223770312299</v>
      </c>
    </row>
    <row r="453" spans="1:42" ht="14.5">
      <c r="A453" s="1693">
        <v>1</v>
      </c>
      <c r="B453" s="616">
        <v>1</v>
      </c>
      <c r="C453" s="1693">
        <v>1</v>
      </c>
      <c r="D453" s="616">
        <v>1</v>
      </c>
      <c r="E453" s="1693">
        <v>396</v>
      </c>
      <c r="F453" s="616">
        <v>1</v>
      </c>
      <c r="G453" s="1693">
        <v>445</v>
      </c>
      <c r="H453" s="616">
        <v>1</v>
      </c>
      <c r="J453" s="709" t="s">
        <v>512</v>
      </c>
      <c r="K453" s="69"/>
      <c r="L453" s="8"/>
      <c r="M453" s="737"/>
      <c r="O453" s="8"/>
      <c r="Q453" s="223"/>
      <c r="R453" s="36" t="s">
        <v>518</v>
      </c>
      <c r="W453" s="1850"/>
      <c r="X453" s="1378">
        <v>920.98516946243922</v>
      </c>
      <c r="Y453" s="2043">
        <v>951.04416104085863</v>
      </c>
      <c r="Z453" s="2043">
        <v>1026.8086248310324</v>
      </c>
      <c r="AA453" s="2043">
        <v>936.86030165904924</v>
      </c>
      <c r="AB453" s="2043">
        <v>994.82508923559817</v>
      </c>
      <c r="AC453" s="2043">
        <v>1056.1510322473453</v>
      </c>
      <c r="AD453" s="2043">
        <v>940.04240287818084</v>
      </c>
      <c r="AE453" s="2043">
        <v>1009.8431849691304</v>
      </c>
      <c r="AF453" s="2043">
        <v>1049.8689586170649</v>
      </c>
      <c r="AG453" s="2043">
        <v>974.29444720632296</v>
      </c>
      <c r="AH453" s="2043">
        <v>1009.9318184356564</v>
      </c>
      <c r="AI453" s="2043">
        <v>1085.5685797296205</v>
      </c>
      <c r="AJ453" s="1947">
        <v>2898.8379553343302</v>
      </c>
      <c r="AK453" s="1948">
        <v>2987.8364231419928</v>
      </c>
      <c r="AL453" s="1948">
        <v>2999.7545464643763</v>
      </c>
      <c r="AM453" s="1948">
        <v>3069.7948453715999</v>
      </c>
      <c r="AN453" s="1948">
        <v>5886.674378476323</v>
      </c>
      <c r="AO453" s="1948">
        <v>6069.5493918359762</v>
      </c>
      <c r="AP453" s="1948">
        <v>11956.223770312299</v>
      </c>
    </row>
    <row r="454" spans="1:42" ht="14.5">
      <c r="A454" s="1693">
        <v>1</v>
      </c>
      <c r="B454" s="616">
        <v>1</v>
      </c>
      <c r="C454" s="1693">
        <v>1</v>
      </c>
      <c r="D454" s="616">
        <v>1</v>
      </c>
      <c r="E454" s="1693">
        <v>397</v>
      </c>
      <c r="F454" s="616">
        <v>1</v>
      </c>
      <c r="G454" s="1693">
        <v>446</v>
      </c>
      <c r="H454" s="616">
        <v>1</v>
      </c>
      <c r="J454" s="709" t="s">
        <v>512</v>
      </c>
      <c r="K454" s="69"/>
      <c r="L454" s="8"/>
      <c r="M454" s="737"/>
      <c r="O454" s="8"/>
      <c r="Q454" s="223"/>
      <c r="R454" s="36" t="s">
        <v>1075</v>
      </c>
      <c r="W454" s="1850"/>
      <c r="X454" s="1378">
        <v>149.07954535064283</v>
      </c>
      <c r="Y454" s="2043">
        <v>8.1175200722325371</v>
      </c>
      <c r="Z454" s="2043">
        <v>-38.961520287103383</v>
      </c>
      <c r="AA454" s="2043">
        <v>27.269126278379133</v>
      </c>
      <c r="AB454" s="2043">
        <v>4.7414578186316589</v>
      </c>
      <c r="AC454" s="2043">
        <v>-48.254421299556839</v>
      </c>
      <c r="AD454" s="2043">
        <v>37.752166346237402</v>
      </c>
      <c r="AE454" s="2043">
        <v>-41.446482494630459</v>
      </c>
      <c r="AF454" s="2043">
        <v>-41.816703670297159</v>
      </c>
      <c r="AG454" s="2043">
        <v>10.219220381863749</v>
      </c>
      <c r="AH454" s="2043">
        <v>-9.0363858612574859</v>
      </c>
      <c r="AI454" s="2043">
        <v>-57.663522635141874</v>
      </c>
      <c r="AJ454" s="1947">
        <v>118.23554513577199</v>
      </c>
      <c r="AK454" s="1948">
        <v>-16.243837202546047</v>
      </c>
      <c r="AL454" s="1948">
        <v>-45.511019818690215</v>
      </c>
      <c r="AM454" s="1948">
        <v>-56.48068811453561</v>
      </c>
      <c r="AN454" s="1948">
        <v>101.99170793322594</v>
      </c>
      <c r="AO454" s="1948">
        <v>-101.99170793322583</v>
      </c>
      <c r="AP454" s="1948">
        <v>1.1368683772161603E-13</v>
      </c>
    </row>
    <row r="455" spans="1:42" ht="14.5">
      <c r="A455" s="1693">
        <v>1</v>
      </c>
      <c r="B455" s="616">
        <v>1</v>
      </c>
      <c r="C455" s="1693">
        <v>1</v>
      </c>
      <c r="D455" s="616">
        <v>1</v>
      </c>
      <c r="E455" s="1693">
        <v>398</v>
      </c>
      <c r="F455" s="616">
        <v>1</v>
      </c>
      <c r="G455" s="1693">
        <v>447</v>
      </c>
      <c r="H455" s="616">
        <v>1</v>
      </c>
      <c r="J455" s="709" t="s">
        <v>512</v>
      </c>
      <c r="K455" s="69"/>
      <c r="L455" s="8"/>
      <c r="M455" s="737"/>
      <c r="O455" s="8"/>
      <c r="Q455" s="171"/>
      <c r="R455" s="743" t="s">
        <v>1081</v>
      </c>
      <c r="S455" s="16"/>
      <c r="T455" s="16"/>
      <c r="U455" s="16"/>
      <c r="V455" s="11"/>
      <c r="W455" s="1785"/>
      <c r="X455" s="1369">
        <v>1.570800509741808E-3</v>
      </c>
      <c r="Y455" s="1365">
        <v>1.3033923813367864E-4</v>
      </c>
      <c r="Z455" s="1365">
        <v>-5.8383111565666972E-4</v>
      </c>
      <c r="AA455" s="1365">
        <v>4.2590694333290163E-4</v>
      </c>
      <c r="AB455" s="1365">
        <v>6.8458959886952151E-5</v>
      </c>
      <c r="AC455" s="1365">
        <v>-6.2929775055332459E-4</v>
      </c>
      <c r="AD455" s="1365">
        <v>6.1114804149182088E-4</v>
      </c>
      <c r="AE455" s="1365">
        <v>-6.8793283745017381E-4</v>
      </c>
      <c r="AF455" s="1365">
        <v>-6.339643791778072E-4</v>
      </c>
      <c r="AG455" s="1365">
        <v>1.6758413358061586E-4</v>
      </c>
      <c r="AH455" s="1365">
        <v>-1.4836724699219051E-4</v>
      </c>
      <c r="AI455" s="1365">
        <v>-9.33079281242601E-4</v>
      </c>
      <c r="AJ455" s="1365">
        <v>5.2802370129451592E-4</v>
      </c>
      <c r="AK455" s="1365">
        <v>-7.7364252826699043E-5</v>
      </c>
      <c r="AL455" s="1365">
        <v>-2.421042926933451E-4</v>
      </c>
      <c r="AM455" s="1365">
        <v>-3.0748777158845665E-4</v>
      </c>
      <c r="AN455" s="1365">
        <v>2.3506536892799884E-4</v>
      </c>
      <c r="AO455" s="1365">
        <v>-2.7441809261349696E-4</v>
      </c>
      <c r="AP455" s="1365">
        <v>1.4112911684090665E-19</v>
      </c>
    </row>
    <row r="456" spans="1:42" ht="14.5">
      <c r="A456" s="1693">
        <v>1</v>
      </c>
      <c r="B456" s="616">
        <v>1</v>
      </c>
      <c r="C456" s="1693">
        <v>1</v>
      </c>
      <c r="D456" s="616">
        <v>1</v>
      </c>
      <c r="E456" s="1693">
        <v>399</v>
      </c>
      <c r="F456" s="616">
        <v>1</v>
      </c>
      <c r="G456" s="1693">
        <v>448</v>
      </c>
      <c r="H456" s="616">
        <v>1</v>
      </c>
      <c r="J456" s="709" t="s">
        <v>512</v>
      </c>
      <c r="K456" s="69"/>
      <c r="W456" s="1772"/>
      <c r="X456" s="1125"/>
      <c r="Y456" s="1366"/>
      <c r="Z456" s="1366"/>
      <c r="AA456" s="1366"/>
      <c r="AB456" s="1366"/>
      <c r="AC456" s="1366"/>
      <c r="AD456" s="1366"/>
      <c r="AE456" s="1366"/>
      <c r="AF456" s="1366"/>
      <c r="AG456" s="1242"/>
      <c r="AH456" s="69"/>
      <c r="AI456" s="69"/>
      <c r="AJ456" s="69"/>
      <c r="AK456" s="69"/>
      <c r="AL456" s="69"/>
      <c r="AM456" s="69"/>
      <c r="AN456" s="69"/>
      <c r="AO456" s="69"/>
      <c r="AP456" s="69"/>
    </row>
    <row r="457" spans="1:42" ht="15.5">
      <c r="A457" s="1693">
        <v>336</v>
      </c>
      <c r="B457" s="616">
        <v>1</v>
      </c>
      <c r="C457" s="1693">
        <v>353</v>
      </c>
      <c r="D457" s="616">
        <v>1</v>
      </c>
      <c r="E457" s="1693">
        <v>400</v>
      </c>
      <c r="F457" s="616">
        <v>1</v>
      </c>
      <c r="G457" s="1693">
        <v>449</v>
      </c>
      <c r="H457" s="616">
        <v>1</v>
      </c>
      <c r="K457" s="69"/>
      <c r="L457" s="8"/>
      <c r="M457" s="368" t="s">
        <v>594</v>
      </c>
      <c r="W457" s="1772"/>
      <c r="X457" s="1125"/>
      <c r="Y457" s="1366"/>
      <c r="Z457" s="1366"/>
      <c r="AA457" s="1366"/>
      <c r="AB457" s="1366"/>
      <c r="AC457" s="1366"/>
      <c r="AD457" s="1366"/>
      <c r="AE457" s="1366"/>
      <c r="AF457" s="1366"/>
      <c r="AG457" s="1366"/>
      <c r="AH457" s="69"/>
      <c r="AI457" s="69"/>
      <c r="AJ457" s="69"/>
      <c r="AK457" s="69"/>
      <c r="AL457" s="69"/>
      <c r="AM457" s="69"/>
      <c r="AN457" s="69"/>
      <c r="AO457" s="69"/>
      <c r="AP457" s="69"/>
    </row>
    <row r="458" spans="1:42" ht="14.5">
      <c r="A458" s="1693">
        <v>337</v>
      </c>
      <c r="B458" s="616">
        <v>1</v>
      </c>
      <c r="C458" s="1693">
        <v>354</v>
      </c>
      <c r="D458" s="616">
        <v>1</v>
      </c>
      <c r="E458" s="1693">
        <v>401</v>
      </c>
      <c r="F458" s="616">
        <v>1</v>
      </c>
      <c r="G458" s="1693">
        <v>450</v>
      </c>
      <c r="H458" s="616">
        <v>1</v>
      </c>
      <c r="K458" s="69"/>
      <c r="N458" s="4" t="s">
        <v>931</v>
      </c>
      <c r="R458" s="3"/>
      <c r="W458" s="1772"/>
      <c r="X458" s="1125"/>
      <c r="Y458" s="1366"/>
      <c r="Z458" s="1366"/>
      <c r="AA458" s="1366"/>
      <c r="AB458" s="1366"/>
      <c r="AC458" s="1366"/>
      <c r="AD458" s="1366"/>
      <c r="AE458" s="1366"/>
      <c r="AF458" s="1366"/>
      <c r="AG458" s="1366"/>
      <c r="AH458" s="69"/>
      <c r="AI458" s="69"/>
      <c r="AJ458" s="69"/>
      <c r="AK458" s="69"/>
      <c r="AL458" s="69"/>
      <c r="AM458" s="69"/>
      <c r="AN458" s="69"/>
      <c r="AO458" s="69"/>
      <c r="AP458" s="69"/>
    </row>
    <row r="459" spans="1:42" ht="14.5">
      <c r="A459" s="1693">
        <v>338</v>
      </c>
      <c r="B459" s="616">
        <v>1</v>
      </c>
      <c r="C459" s="1693">
        <v>355</v>
      </c>
      <c r="D459" s="616">
        <v>1</v>
      </c>
      <c r="E459" s="1693">
        <v>402</v>
      </c>
      <c r="F459" s="616">
        <v>1</v>
      </c>
      <c r="G459" s="1693">
        <v>451</v>
      </c>
      <c r="H459" s="616">
        <v>1</v>
      </c>
      <c r="K459" s="69"/>
      <c r="L459" s="81"/>
      <c r="M459" s="81"/>
      <c r="N459" s="12"/>
      <c r="O459" s="198"/>
      <c r="P459" s="447"/>
      <c r="Q459" s="514"/>
      <c r="R459" s="514"/>
      <c r="S459" s="447"/>
      <c r="T459" s="447"/>
      <c r="U459" s="447"/>
      <c r="V459" s="447"/>
      <c r="W459" s="1773"/>
      <c r="X459" s="1955">
        <v>45017</v>
      </c>
      <c r="Y459" s="1955">
        <v>45047</v>
      </c>
      <c r="Z459" s="1955">
        <v>45078</v>
      </c>
      <c r="AA459" s="1955">
        <v>45108</v>
      </c>
      <c r="AB459" s="1955">
        <v>45139</v>
      </c>
      <c r="AC459" s="1955">
        <v>45170</v>
      </c>
      <c r="AD459" s="1955">
        <v>45200</v>
      </c>
      <c r="AE459" s="1955">
        <v>45231</v>
      </c>
      <c r="AF459" s="1955">
        <v>45261</v>
      </c>
      <c r="AG459" s="1955">
        <v>45292</v>
      </c>
      <c r="AH459" s="1955">
        <v>45323</v>
      </c>
      <c r="AI459" s="1955">
        <v>45352</v>
      </c>
      <c r="AJ459" s="2132" t="s">
        <v>904</v>
      </c>
      <c r="AK459" s="2133" t="s">
        <v>36</v>
      </c>
      <c r="AL459" s="2133" t="s">
        <v>35</v>
      </c>
      <c r="AM459" s="2133" t="s">
        <v>34</v>
      </c>
      <c r="AN459" s="2133" t="s">
        <v>33</v>
      </c>
      <c r="AO459" s="2133" t="s">
        <v>32</v>
      </c>
      <c r="AP459" s="2133" t="s">
        <v>905</v>
      </c>
    </row>
    <row r="460" spans="1:42" ht="14.5">
      <c r="A460" s="1693">
        <v>339</v>
      </c>
      <c r="B460" s="616">
        <v>1</v>
      </c>
      <c r="C460" s="1693">
        <v>356</v>
      </c>
      <c r="D460" s="616">
        <v>1</v>
      </c>
      <c r="E460" s="1693">
        <v>403</v>
      </c>
      <c r="F460" s="616">
        <v>1</v>
      </c>
      <c r="G460" s="1693">
        <v>452</v>
      </c>
      <c r="H460" s="616">
        <v>1</v>
      </c>
      <c r="K460" s="69"/>
      <c r="O460" s="2134" t="s">
        <v>0</v>
      </c>
      <c r="P460" s="582"/>
      <c r="Q460" s="2135"/>
      <c r="R460" s="2135"/>
      <c r="S460" s="582"/>
      <c r="T460" s="582"/>
      <c r="U460" s="582"/>
      <c r="V460" s="582"/>
      <c r="W460" s="1810"/>
      <c r="X460" s="1317">
        <v>249409.45789114246</v>
      </c>
      <c r="Y460" s="2136">
        <v>206980.92717306255</v>
      </c>
      <c r="Z460" s="2136">
        <v>232680.57166040916</v>
      </c>
      <c r="AA460" s="2136">
        <v>215219.24277147866</v>
      </c>
      <c r="AB460" s="2136">
        <v>236704.56693899591</v>
      </c>
      <c r="AC460" s="2136">
        <v>260258.74058821803</v>
      </c>
      <c r="AD460" s="2136">
        <v>213112.77941711599</v>
      </c>
      <c r="AE460" s="2136">
        <v>217545.41642464936</v>
      </c>
      <c r="AF460" s="2136">
        <v>251698.45610123008</v>
      </c>
      <c r="AG460" s="2136">
        <v>212373.43541542144</v>
      </c>
      <c r="AH460" s="2136">
        <v>235088.95788258666</v>
      </c>
      <c r="AI460" s="2136">
        <v>257341.72011073522</v>
      </c>
      <c r="AJ460" s="2136">
        <v>689070.95672461414</v>
      </c>
      <c r="AK460" s="2136">
        <v>712182.55029869266</v>
      </c>
      <c r="AL460" s="2136">
        <v>682356.65194299549</v>
      </c>
      <c r="AM460" s="2136">
        <v>704804.1134087434</v>
      </c>
      <c r="AN460" s="2136">
        <v>1401253.5070233068</v>
      </c>
      <c r="AO460" s="2136">
        <v>1387160.7653517388</v>
      </c>
      <c r="AP460" s="2136">
        <v>2788414.2723750458</v>
      </c>
    </row>
    <row r="461" spans="1:42" ht="14.5">
      <c r="A461" s="1693">
        <v>340</v>
      </c>
      <c r="B461" s="616">
        <v>1</v>
      </c>
      <c r="C461" s="1693">
        <v>357</v>
      </c>
      <c r="D461" s="616">
        <v>1</v>
      </c>
      <c r="E461" s="1693">
        <v>404</v>
      </c>
      <c r="F461" s="616">
        <v>1</v>
      </c>
      <c r="G461" s="1693">
        <v>453</v>
      </c>
      <c r="H461" s="616">
        <v>1</v>
      </c>
      <c r="K461" s="69"/>
      <c r="O461" s="94"/>
      <c r="P461" s="93"/>
      <c r="Q461" s="68" t="s">
        <v>1018</v>
      </c>
      <c r="R461" s="68"/>
      <c r="S461" s="283"/>
      <c r="T461" s="283"/>
      <c r="U461" s="283"/>
      <c r="V461" s="283"/>
      <c r="W461" s="1811"/>
      <c r="X461" s="1318">
        <v>67674.023540568713</v>
      </c>
      <c r="Y461" s="1259">
        <v>54618.30192174355</v>
      </c>
      <c r="Z461" s="1259">
        <v>58049.774863874743</v>
      </c>
      <c r="AA461" s="1259">
        <v>54222.962003772969</v>
      </c>
      <c r="AB461" s="1259">
        <v>57048.932703830753</v>
      </c>
      <c r="AC461" s="1259">
        <v>63342.633043194932</v>
      </c>
      <c r="AD461" s="1259">
        <v>54973.975972473301</v>
      </c>
      <c r="AE461" s="1259">
        <v>56316.327817664773</v>
      </c>
      <c r="AF461" s="1259">
        <v>60478.451500399889</v>
      </c>
      <c r="AG461" s="1259">
        <v>56672.660370208163</v>
      </c>
      <c r="AH461" s="1259">
        <v>59865.119111840941</v>
      </c>
      <c r="AI461" s="1259">
        <v>63550.07804840216</v>
      </c>
      <c r="AJ461" s="1259">
        <v>180342.10032618701</v>
      </c>
      <c r="AK461" s="1259">
        <v>174614.52775079868</v>
      </c>
      <c r="AL461" s="1259">
        <v>171768.75529053796</v>
      </c>
      <c r="AM461" s="1259">
        <v>180087.85753045126</v>
      </c>
      <c r="AN461" s="1259">
        <v>354956.62807698571</v>
      </c>
      <c r="AO461" s="1259">
        <v>351856.61282098922</v>
      </c>
      <c r="AP461" s="1259">
        <v>706813.24089797493</v>
      </c>
    </row>
    <row r="462" spans="1:42" ht="14.5">
      <c r="A462" s="1693">
        <v>341</v>
      </c>
      <c r="B462" s="616">
        <v>1</v>
      </c>
      <c r="C462" s="1693">
        <v>358</v>
      </c>
      <c r="D462" s="616">
        <v>1</v>
      </c>
      <c r="E462" s="1693">
        <v>405</v>
      </c>
      <c r="F462" s="616">
        <v>1</v>
      </c>
      <c r="G462" s="1693">
        <v>454</v>
      </c>
      <c r="H462" s="616">
        <v>1</v>
      </c>
      <c r="K462" s="69"/>
      <c r="O462" s="94"/>
      <c r="P462" s="93"/>
      <c r="Q462" s="68"/>
      <c r="R462" s="68"/>
      <c r="S462" s="8" t="s">
        <v>57</v>
      </c>
      <c r="T462" s="285"/>
      <c r="U462" s="285"/>
      <c r="V462" s="285"/>
      <c r="W462" s="1899"/>
      <c r="X462" s="1971">
        <v>34842.073540568716</v>
      </c>
      <c r="Y462" s="1971">
        <v>29286.351921743557</v>
      </c>
      <c r="Z462" s="1971">
        <v>32717.824863874743</v>
      </c>
      <c r="AA462" s="1971">
        <v>28268.012003772968</v>
      </c>
      <c r="AB462" s="1971">
        <v>31093.982703830756</v>
      </c>
      <c r="AC462" s="1971">
        <v>37387.683043194935</v>
      </c>
      <c r="AD462" s="1971">
        <v>28009.975972473301</v>
      </c>
      <c r="AE462" s="1971">
        <v>30852.327817664773</v>
      </c>
      <c r="AF462" s="1971">
        <v>35014.451500399889</v>
      </c>
      <c r="AG462" s="1971">
        <v>29860.460370208166</v>
      </c>
      <c r="AH462" s="1971">
        <v>33052.919111840944</v>
      </c>
      <c r="AI462" s="1971">
        <v>36737.878048402163</v>
      </c>
      <c r="AJ462" s="2137">
        <v>96846.250326187015</v>
      </c>
      <c r="AK462" s="1971">
        <v>96749.677750798655</v>
      </c>
      <c r="AL462" s="1971">
        <v>93876.755290537956</v>
      </c>
      <c r="AM462" s="1971">
        <v>99651.257530451272</v>
      </c>
      <c r="AN462" s="1971">
        <v>193595.92807698567</v>
      </c>
      <c r="AO462" s="1971">
        <v>193528.01282098924</v>
      </c>
      <c r="AP462" s="1971">
        <v>387123.94089797488</v>
      </c>
    </row>
    <row r="463" spans="1:42" ht="14.5">
      <c r="A463" s="1693">
        <v>342</v>
      </c>
      <c r="B463" s="616">
        <v>1</v>
      </c>
      <c r="C463" s="1693">
        <v>359</v>
      </c>
      <c r="D463" s="616">
        <v>1</v>
      </c>
      <c r="E463" s="1693">
        <v>406</v>
      </c>
      <c r="F463" s="616">
        <v>1</v>
      </c>
      <c r="G463" s="1693">
        <v>455</v>
      </c>
      <c r="H463" s="616">
        <v>1</v>
      </c>
      <c r="K463" s="69"/>
      <c r="O463" s="94"/>
      <c r="P463" s="93"/>
      <c r="Q463" s="68"/>
      <c r="R463" s="68"/>
      <c r="T463" s="97" t="s">
        <v>1017</v>
      </c>
      <c r="U463" s="97"/>
      <c r="V463" s="97"/>
      <c r="W463" s="1899"/>
      <c r="X463" s="2138">
        <v>34842.073540568716</v>
      </c>
      <c r="Y463" s="2138">
        <v>29286.351921743557</v>
      </c>
      <c r="Z463" s="2138">
        <v>32717.824863874743</v>
      </c>
      <c r="AA463" s="2138">
        <v>28268.012003772968</v>
      </c>
      <c r="AB463" s="2138">
        <v>31093.982703830756</v>
      </c>
      <c r="AC463" s="2138">
        <v>37387.683043194935</v>
      </c>
      <c r="AD463" s="2138">
        <v>28009.975972473301</v>
      </c>
      <c r="AE463" s="2138">
        <v>30852.327817664773</v>
      </c>
      <c r="AF463" s="2138">
        <v>35014.451500399889</v>
      </c>
      <c r="AG463" s="2138">
        <v>29860.460370208166</v>
      </c>
      <c r="AH463" s="2138">
        <v>33052.919111840944</v>
      </c>
      <c r="AI463" s="2138">
        <v>36737.878048402163</v>
      </c>
      <c r="AJ463" s="2139">
        <v>96846.250326187015</v>
      </c>
      <c r="AK463" s="2138">
        <v>96749.677750798655</v>
      </c>
      <c r="AL463" s="2138">
        <v>93876.755290537956</v>
      </c>
      <c r="AM463" s="2138">
        <v>99651.257530451272</v>
      </c>
      <c r="AN463" s="2138">
        <v>193595.92807698567</v>
      </c>
      <c r="AO463" s="2138">
        <v>193528.01282098924</v>
      </c>
      <c r="AP463" s="2138">
        <v>387123.94089797488</v>
      </c>
    </row>
    <row r="464" spans="1:42" ht="14.5">
      <c r="A464" s="1693">
        <v>343</v>
      </c>
      <c r="B464" s="616">
        <v>1</v>
      </c>
      <c r="C464" s="1693">
        <v>360</v>
      </c>
      <c r="D464" s="616">
        <v>1</v>
      </c>
      <c r="E464" s="1693">
        <v>407</v>
      </c>
      <c r="F464" s="616">
        <v>1</v>
      </c>
      <c r="G464" s="1693">
        <v>456</v>
      </c>
      <c r="H464" s="616">
        <v>1</v>
      </c>
      <c r="K464" s="69"/>
      <c r="O464" s="94"/>
      <c r="P464" s="93"/>
      <c r="Q464" s="68"/>
      <c r="R464" s="68"/>
      <c r="U464" s="97" t="s">
        <v>1082</v>
      </c>
      <c r="V464" s="97"/>
      <c r="W464" s="1911"/>
      <c r="X464" s="2140">
        <v>34842.073540568716</v>
      </c>
      <c r="Y464" s="2140">
        <v>29286.351921743557</v>
      </c>
      <c r="Z464" s="2140">
        <v>32717.824863874743</v>
      </c>
      <c r="AA464" s="2140">
        <v>28268.012003772968</v>
      </c>
      <c r="AB464" s="2140">
        <v>31093.982703830756</v>
      </c>
      <c r="AC464" s="2140">
        <v>37387.683043194935</v>
      </c>
      <c r="AD464" s="2140">
        <v>28009.975972473301</v>
      </c>
      <c r="AE464" s="2140">
        <v>30852.327817664773</v>
      </c>
      <c r="AF464" s="2140">
        <v>35014.451500399889</v>
      </c>
      <c r="AG464" s="2140">
        <v>29860.460370208166</v>
      </c>
      <c r="AH464" s="2140">
        <v>33052.919111840944</v>
      </c>
      <c r="AI464" s="2140">
        <v>36737.878048402163</v>
      </c>
      <c r="AJ464" s="2139">
        <v>96846.250326187015</v>
      </c>
      <c r="AK464" s="2138">
        <v>96749.677750798655</v>
      </c>
      <c r="AL464" s="2138">
        <v>93876.755290537956</v>
      </c>
      <c r="AM464" s="2138">
        <v>99651.257530451272</v>
      </c>
      <c r="AN464" s="2138">
        <v>193595.92807698567</v>
      </c>
      <c r="AO464" s="2138">
        <v>193528.01282098924</v>
      </c>
      <c r="AP464" s="2138">
        <v>387123.94089797488</v>
      </c>
    </row>
    <row r="465" spans="1:42" ht="14.5">
      <c r="A465" s="1693">
        <v>344</v>
      </c>
      <c r="B465" s="616">
        <v>1</v>
      </c>
      <c r="C465" s="1693">
        <v>361</v>
      </c>
      <c r="D465" s="616">
        <v>1</v>
      </c>
      <c r="E465" s="1693">
        <v>408</v>
      </c>
      <c r="F465" s="616">
        <v>1</v>
      </c>
      <c r="G465" s="1693">
        <v>457</v>
      </c>
      <c r="H465" s="616">
        <v>1</v>
      </c>
      <c r="K465" s="69"/>
      <c r="O465" s="94"/>
      <c r="P465" s="93"/>
      <c r="Q465" s="68"/>
      <c r="R465" s="68"/>
      <c r="T465" s="285"/>
      <c r="U465" s="285" t="s">
        <v>1083</v>
      </c>
      <c r="V465" s="285"/>
      <c r="W465" s="1911"/>
      <c r="X465" s="2023"/>
      <c r="Y465" s="2023"/>
      <c r="Z465" s="2023"/>
      <c r="AA465" s="2023"/>
      <c r="AB465" s="2023"/>
      <c r="AC465" s="2023"/>
      <c r="AD465" s="2023"/>
      <c r="AE465" s="2023"/>
      <c r="AF465" s="2023"/>
      <c r="AG465" s="2023"/>
      <c r="AH465" s="2023"/>
      <c r="AI465" s="2023"/>
      <c r="AJ465" s="2137">
        <v>0</v>
      </c>
      <c r="AK465" s="1971">
        <v>0</v>
      </c>
      <c r="AL465" s="1971">
        <v>0</v>
      </c>
      <c r="AM465" s="1971">
        <v>0</v>
      </c>
      <c r="AN465" s="1971">
        <v>0</v>
      </c>
      <c r="AO465" s="1971">
        <v>0</v>
      </c>
      <c r="AP465" s="1971">
        <v>0</v>
      </c>
    </row>
    <row r="466" spans="1:42" ht="14.5" collapsed="1">
      <c r="A466" s="1693">
        <v>345</v>
      </c>
      <c r="B466" s="616">
        <v>1</v>
      </c>
      <c r="C466" s="1693">
        <v>362</v>
      </c>
      <c r="D466" s="616">
        <v>1</v>
      </c>
      <c r="E466" s="1693">
        <v>409</v>
      </c>
      <c r="F466" s="616">
        <v>1</v>
      </c>
      <c r="G466" s="1693">
        <v>458</v>
      </c>
      <c r="H466" s="616">
        <v>1</v>
      </c>
      <c r="K466" s="69"/>
      <c r="O466" s="94"/>
      <c r="P466" s="93"/>
      <c r="Q466" s="68"/>
      <c r="R466" s="68"/>
      <c r="S466" s="11"/>
      <c r="T466" s="288" t="s">
        <v>66</v>
      </c>
      <c r="U466" s="288"/>
      <c r="V466" s="288"/>
      <c r="W466" s="1911"/>
      <c r="X466" s="2141"/>
      <c r="Y466" s="2141"/>
      <c r="Z466" s="2141"/>
      <c r="AA466" s="2141"/>
      <c r="AB466" s="2141"/>
      <c r="AC466" s="2141"/>
      <c r="AD466" s="2141"/>
      <c r="AE466" s="2141"/>
      <c r="AF466" s="2141"/>
      <c r="AG466" s="2141"/>
      <c r="AH466" s="2141"/>
      <c r="AI466" s="2141"/>
      <c r="AJ466" s="2142">
        <v>0</v>
      </c>
      <c r="AK466" s="2143">
        <v>0</v>
      </c>
      <c r="AL466" s="2143">
        <v>0</v>
      </c>
      <c r="AM466" s="2143">
        <v>0</v>
      </c>
      <c r="AN466" s="2143">
        <v>0</v>
      </c>
      <c r="AO466" s="2143">
        <v>0</v>
      </c>
      <c r="AP466" s="2143">
        <v>0</v>
      </c>
    </row>
    <row r="467" spans="1:42" ht="14.5">
      <c r="A467" s="1693">
        <v>346</v>
      </c>
      <c r="B467" s="616">
        <v>1</v>
      </c>
      <c r="C467" s="1693">
        <v>363</v>
      </c>
      <c r="D467" s="616">
        <v>1</v>
      </c>
      <c r="E467" s="1693">
        <v>410</v>
      </c>
      <c r="F467" s="616">
        <v>1</v>
      </c>
      <c r="G467" s="1693">
        <v>459</v>
      </c>
      <c r="H467" s="616">
        <v>1</v>
      </c>
      <c r="K467" s="69"/>
      <c r="O467" s="94"/>
      <c r="P467" s="93"/>
      <c r="Q467" s="68"/>
      <c r="R467" s="68"/>
      <c r="S467" s="8" t="s">
        <v>27</v>
      </c>
      <c r="T467" s="284"/>
      <c r="U467" s="284"/>
      <c r="V467" s="284"/>
      <c r="W467" s="1899"/>
      <c r="X467" s="1987">
        <v>32831.949999999997</v>
      </c>
      <c r="Y467" s="1987">
        <v>25331.949999999997</v>
      </c>
      <c r="Z467" s="1987">
        <v>25331.949999999997</v>
      </c>
      <c r="AA467" s="1987">
        <v>25954.95</v>
      </c>
      <c r="AB467" s="1987">
        <v>25954.95</v>
      </c>
      <c r="AC467" s="1987">
        <v>25954.95</v>
      </c>
      <c r="AD467" s="1987">
        <v>26964</v>
      </c>
      <c r="AE467" s="1987">
        <v>25464</v>
      </c>
      <c r="AF467" s="1987">
        <v>25464</v>
      </c>
      <c r="AG467" s="1987">
        <v>26812.199999999997</v>
      </c>
      <c r="AH467" s="1987">
        <v>26812.199999999997</v>
      </c>
      <c r="AI467" s="1987">
        <v>26812.199999999997</v>
      </c>
      <c r="AJ467" s="2144">
        <v>83495.849999999991</v>
      </c>
      <c r="AK467" s="1987">
        <v>77864.850000000006</v>
      </c>
      <c r="AL467" s="1987">
        <v>77892</v>
      </c>
      <c r="AM467" s="1987">
        <v>80436.599999999991</v>
      </c>
      <c r="AN467" s="1987">
        <v>161360.70000000001</v>
      </c>
      <c r="AO467" s="1987">
        <v>158328.59999999998</v>
      </c>
      <c r="AP467" s="1987">
        <v>319689.3</v>
      </c>
    </row>
    <row r="468" spans="1:42" ht="14.5">
      <c r="A468" s="1693">
        <v>347</v>
      </c>
      <c r="B468" s="616">
        <v>1</v>
      </c>
      <c r="C468" s="1693">
        <v>364</v>
      </c>
      <c r="D468" s="616">
        <v>1</v>
      </c>
      <c r="E468" s="1693">
        <v>411</v>
      </c>
      <c r="F468" s="616">
        <v>1</v>
      </c>
      <c r="G468" s="1693">
        <v>460</v>
      </c>
      <c r="H468" s="616">
        <v>1</v>
      </c>
      <c r="K468" s="69"/>
      <c r="O468" s="94"/>
      <c r="P468" s="93"/>
      <c r="Q468" s="68"/>
      <c r="R468" s="68"/>
      <c r="T468" s="97" t="s">
        <v>1017</v>
      </c>
      <c r="U468" s="97"/>
      <c r="V468" s="97"/>
      <c r="W468" s="1899"/>
      <c r="X468" s="2138">
        <v>32831.949999999997</v>
      </c>
      <c r="Y468" s="2138">
        <v>25331.949999999997</v>
      </c>
      <c r="Z468" s="2138">
        <v>25331.949999999997</v>
      </c>
      <c r="AA468" s="2138">
        <v>25954.95</v>
      </c>
      <c r="AB468" s="2138">
        <v>25954.95</v>
      </c>
      <c r="AC468" s="2138">
        <v>25954.95</v>
      </c>
      <c r="AD468" s="2138">
        <v>26964</v>
      </c>
      <c r="AE468" s="2138">
        <v>25464</v>
      </c>
      <c r="AF468" s="2138">
        <v>25464</v>
      </c>
      <c r="AG468" s="2138">
        <v>26812.199999999997</v>
      </c>
      <c r="AH468" s="2138">
        <v>26812.199999999997</v>
      </c>
      <c r="AI468" s="2138">
        <v>26812.199999999997</v>
      </c>
      <c r="AJ468" s="2139">
        <v>83495.849999999991</v>
      </c>
      <c r="AK468" s="2138">
        <v>77864.850000000006</v>
      </c>
      <c r="AL468" s="2138">
        <v>77892</v>
      </c>
      <c r="AM468" s="2138">
        <v>80436.599999999991</v>
      </c>
      <c r="AN468" s="2138">
        <v>161360.70000000001</v>
      </c>
      <c r="AO468" s="2138">
        <v>158328.59999999998</v>
      </c>
      <c r="AP468" s="2138">
        <v>319689.3</v>
      </c>
    </row>
    <row r="469" spans="1:42" ht="14.5">
      <c r="A469" s="1693">
        <v>348</v>
      </c>
      <c r="B469" s="616">
        <v>1</v>
      </c>
      <c r="C469" s="1693">
        <v>365</v>
      </c>
      <c r="D469" s="616">
        <v>1</v>
      </c>
      <c r="E469" s="1693">
        <v>412</v>
      </c>
      <c r="F469" s="616">
        <v>1</v>
      </c>
      <c r="G469" s="1693">
        <v>461</v>
      </c>
      <c r="H469" s="616">
        <v>1</v>
      </c>
      <c r="K469" s="69"/>
      <c r="O469" s="94"/>
      <c r="P469" s="93"/>
      <c r="Q469" s="68"/>
      <c r="R469" s="68"/>
      <c r="U469" s="97" t="s">
        <v>1082</v>
      </c>
      <c r="V469" s="869"/>
      <c r="W469" s="1899"/>
      <c r="X469" s="2145">
        <v>32831.949999999997</v>
      </c>
      <c r="Y469" s="2145">
        <v>25331.949999999997</v>
      </c>
      <c r="Z469" s="2145">
        <v>25331.949999999997</v>
      </c>
      <c r="AA469" s="2145">
        <v>25954.95</v>
      </c>
      <c r="AB469" s="2145">
        <v>25954.95</v>
      </c>
      <c r="AC469" s="2145">
        <v>25954.95</v>
      </c>
      <c r="AD469" s="2145">
        <v>26964</v>
      </c>
      <c r="AE469" s="2145">
        <v>25464</v>
      </c>
      <c r="AF469" s="2145">
        <v>25464</v>
      </c>
      <c r="AG469" s="2145">
        <v>26812.199999999997</v>
      </c>
      <c r="AH469" s="2145">
        <v>26812.199999999997</v>
      </c>
      <c r="AI469" s="2145">
        <v>26812.199999999997</v>
      </c>
      <c r="AJ469" s="2146">
        <v>83495.849999999991</v>
      </c>
      <c r="AK469" s="2145">
        <v>77864.850000000006</v>
      </c>
      <c r="AL469" s="2145">
        <v>77892</v>
      </c>
      <c r="AM469" s="2145">
        <v>80436.599999999991</v>
      </c>
      <c r="AN469" s="2145">
        <v>161360.70000000001</v>
      </c>
      <c r="AO469" s="2145">
        <v>158328.59999999998</v>
      </c>
      <c r="AP469" s="2145">
        <v>319689.3</v>
      </c>
    </row>
    <row r="470" spans="1:42" ht="14.5">
      <c r="A470" s="1693">
        <v>349</v>
      </c>
      <c r="B470" s="616">
        <v>1</v>
      </c>
      <c r="C470" s="1693">
        <v>366</v>
      </c>
      <c r="D470" s="616">
        <v>1</v>
      </c>
      <c r="E470" s="1693">
        <v>413</v>
      </c>
      <c r="F470" s="616">
        <v>1</v>
      </c>
      <c r="G470" s="1693">
        <v>462</v>
      </c>
      <c r="H470" s="616">
        <v>1</v>
      </c>
      <c r="K470" s="69"/>
      <c r="O470" s="94"/>
      <c r="P470" s="93"/>
      <c r="Q470" s="68"/>
      <c r="R470" s="68"/>
      <c r="V470" s="8" t="s">
        <v>1084</v>
      </c>
      <c r="W470" s="1911"/>
      <c r="X470" s="2021">
        <v>32831.949999999997</v>
      </c>
      <c r="Y470" s="2021">
        <v>25331.949999999997</v>
      </c>
      <c r="Z470" s="2021">
        <v>25331.949999999997</v>
      </c>
      <c r="AA470" s="2021">
        <v>25954.95</v>
      </c>
      <c r="AB470" s="2021">
        <v>25954.95</v>
      </c>
      <c r="AC470" s="2021">
        <v>25954.95</v>
      </c>
      <c r="AD470" s="2021">
        <v>26964</v>
      </c>
      <c r="AE470" s="2021">
        <v>25464</v>
      </c>
      <c r="AF470" s="2021">
        <v>25464</v>
      </c>
      <c r="AG470" s="2021">
        <v>26812.199999999997</v>
      </c>
      <c r="AH470" s="2021">
        <v>26812.199999999997</v>
      </c>
      <c r="AI470" s="2021">
        <v>26812.199999999997</v>
      </c>
      <c r="AJ470" s="2147">
        <v>83495.849999999991</v>
      </c>
      <c r="AK470" s="579">
        <v>77864.850000000006</v>
      </c>
      <c r="AL470" s="579">
        <v>77892</v>
      </c>
      <c r="AM470" s="579">
        <v>80436.599999999991</v>
      </c>
      <c r="AN470" s="579">
        <v>161360.70000000001</v>
      </c>
      <c r="AO470" s="579">
        <v>158328.59999999998</v>
      </c>
      <c r="AP470" s="579">
        <v>319689.3</v>
      </c>
    </row>
    <row r="471" spans="1:42" ht="14.5">
      <c r="A471" s="1693">
        <v>350</v>
      </c>
      <c r="B471" s="616">
        <v>1</v>
      </c>
      <c r="C471" s="1693">
        <v>367</v>
      </c>
      <c r="D471" s="616">
        <v>1</v>
      </c>
      <c r="E471" s="1693">
        <v>414</v>
      </c>
      <c r="F471" s="616">
        <v>1</v>
      </c>
      <c r="G471" s="1693">
        <v>463</v>
      </c>
      <c r="H471" s="616">
        <v>1</v>
      </c>
      <c r="K471" s="69"/>
      <c r="O471" s="94"/>
      <c r="P471" s="93"/>
      <c r="Q471" s="68"/>
      <c r="R471" s="68"/>
      <c r="V471" s="8" t="s">
        <v>1085</v>
      </c>
      <c r="W471" s="1911"/>
      <c r="X471" s="2021"/>
      <c r="Y471" s="2021"/>
      <c r="Z471" s="2021"/>
      <c r="AA471" s="2021"/>
      <c r="AB471" s="2021"/>
      <c r="AC471" s="2021"/>
      <c r="AD471" s="2021"/>
      <c r="AE471" s="2021"/>
      <c r="AF471" s="2021"/>
      <c r="AG471" s="2021"/>
      <c r="AH471" s="2021"/>
      <c r="AI471" s="2021"/>
      <c r="AJ471" s="2147">
        <v>0</v>
      </c>
      <c r="AK471" s="579">
        <v>0</v>
      </c>
      <c r="AL471" s="579">
        <v>0</v>
      </c>
      <c r="AM471" s="579">
        <v>0</v>
      </c>
      <c r="AN471" s="579">
        <v>0</v>
      </c>
      <c r="AO471" s="579">
        <v>0</v>
      </c>
      <c r="AP471" s="579">
        <v>0</v>
      </c>
    </row>
    <row r="472" spans="1:42" ht="14.5">
      <c r="A472" s="1693">
        <v>351</v>
      </c>
      <c r="B472" s="616">
        <v>1</v>
      </c>
      <c r="C472" s="1693">
        <v>368</v>
      </c>
      <c r="D472" s="616">
        <v>1</v>
      </c>
      <c r="E472" s="1693">
        <v>415</v>
      </c>
      <c r="F472" s="616">
        <v>1</v>
      </c>
      <c r="G472" s="1693">
        <v>464</v>
      </c>
      <c r="H472" s="616">
        <v>1</v>
      </c>
      <c r="K472" s="69"/>
      <c r="O472" s="94"/>
      <c r="P472" s="93"/>
      <c r="Q472" s="68"/>
      <c r="R472" s="68"/>
      <c r="U472" s="97" t="s">
        <v>1083</v>
      </c>
      <c r="V472" s="869"/>
      <c r="W472" s="1899"/>
      <c r="X472" s="2145">
        <v>0</v>
      </c>
      <c r="Y472" s="2145">
        <v>0</v>
      </c>
      <c r="Z472" s="2145">
        <v>0</v>
      </c>
      <c r="AA472" s="2145">
        <v>0</v>
      </c>
      <c r="AB472" s="2145">
        <v>0</v>
      </c>
      <c r="AC472" s="2145">
        <v>0</v>
      </c>
      <c r="AD472" s="2145">
        <v>0</v>
      </c>
      <c r="AE472" s="2145">
        <v>0</v>
      </c>
      <c r="AF472" s="2145">
        <v>0</v>
      </c>
      <c r="AG472" s="2145">
        <v>0</v>
      </c>
      <c r="AH472" s="2145">
        <v>0</v>
      </c>
      <c r="AI472" s="2145">
        <v>0</v>
      </c>
      <c r="AJ472" s="2146">
        <v>0</v>
      </c>
      <c r="AK472" s="2145">
        <v>0</v>
      </c>
      <c r="AL472" s="2145">
        <v>0</v>
      </c>
      <c r="AM472" s="2145">
        <v>0</v>
      </c>
      <c r="AN472" s="2145">
        <v>0</v>
      </c>
      <c r="AO472" s="2145">
        <v>0</v>
      </c>
      <c r="AP472" s="2145">
        <v>0</v>
      </c>
    </row>
    <row r="473" spans="1:42" ht="14.5">
      <c r="A473" s="1693">
        <v>352</v>
      </c>
      <c r="B473" s="616">
        <v>1</v>
      </c>
      <c r="C473" s="1693">
        <v>369</v>
      </c>
      <c r="D473" s="616">
        <v>1</v>
      </c>
      <c r="E473" s="1693">
        <v>416</v>
      </c>
      <c r="F473" s="616">
        <v>1</v>
      </c>
      <c r="G473" s="1693">
        <v>465</v>
      </c>
      <c r="H473" s="616">
        <v>1</v>
      </c>
      <c r="K473" s="69"/>
      <c r="O473" s="94"/>
      <c r="P473" s="93"/>
      <c r="Q473" s="68"/>
      <c r="R473" s="68"/>
      <c r="V473" s="8" t="s">
        <v>1084</v>
      </c>
      <c r="W473" s="1911"/>
      <c r="X473" s="2021"/>
      <c r="Y473" s="2021"/>
      <c r="Z473" s="2021"/>
      <c r="AA473" s="2021"/>
      <c r="AB473" s="2021"/>
      <c r="AC473" s="2021"/>
      <c r="AD473" s="2021"/>
      <c r="AE473" s="2021"/>
      <c r="AF473" s="2021"/>
      <c r="AG473" s="2021"/>
      <c r="AH473" s="2021"/>
      <c r="AI473" s="2021"/>
      <c r="AJ473" s="2147">
        <v>0</v>
      </c>
      <c r="AK473" s="579">
        <v>0</v>
      </c>
      <c r="AL473" s="579">
        <v>0</v>
      </c>
      <c r="AM473" s="579">
        <v>0</v>
      </c>
      <c r="AN473" s="579">
        <v>0</v>
      </c>
      <c r="AO473" s="579">
        <v>0</v>
      </c>
      <c r="AP473" s="579">
        <v>0</v>
      </c>
    </row>
    <row r="474" spans="1:42" ht="14.5">
      <c r="A474" s="1693">
        <v>353</v>
      </c>
      <c r="B474" s="616">
        <v>1</v>
      </c>
      <c r="C474" s="1693">
        <v>370</v>
      </c>
      <c r="D474" s="616">
        <v>1</v>
      </c>
      <c r="E474" s="1693">
        <v>417</v>
      </c>
      <c r="F474" s="616">
        <v>1</v>
      </c>
      <c r="G474" s="1693">
        <v>466</v>
      </c>
      <c r="H474" s="616">
        <v>1</v>
      </c>
      <c r="K474" s="69"/>
      <c r="O474" s="94"/>
      <c r="P474" s="93"/>
      <c r="Q474" s="68"/>
      <c r="R474" s="68"/>
      <c r="T474" s="285"/>
      <c r="U474" s="285"/>
      <c r="V474" s="285" t="s">
        <v>1085</v>
      </c>
      <c r="W474" s="1911"/>
      <c r="X474" s="2023"/>
      <c r="Y474" s="2023"/>
      <c r="Z474" s="2023"/>
      <c r="AA474" s="2023"/>
      <c r="AB474" s="2023"/>
      <c r="AC474" s="2023"/>
      <c r="AD474" s="2023"/>
      <c r="AE474" s="2023"/>
      <c r="AF474" s="2023"/>
      <c r="AG474" s="2023"/>
      <c r="AH474" s="2023"/>
      <c r="AI474" s="2023"/>
      <c r="AJ474" s="2137">
        <v>0</v>
      </c>
      <c r="AK474" s="1971">
        <v>0</v>
      </c>
      <c r="AL474" s="1971">
        <v>0</v>
      </c>
      <c r="AM474" s="1971">
        <v>0</v>
      </c>
      <c r="AN474" s="1971">
        <v>0</v>
      </c>
      <c r="AO474" s="1971">
        <v>0</v>
      </c>
      <c r="AP474" s="1971">
        <v>0</v>
      </c>
    </row>
    <row r="475" spans="1:42" ht="14.5" collapsed="1">
      <c r="A475" s="1693">
        <v>354</v>
      </c>
      <c r="B475" s="616">
        <v>1</v>
      </c>
      <c r="C475" s="1693">
        <v>371</v>
      </c>
      <c r="D475" s="616">
        <v>1</v>
      </c>
      <c r="E475" s="1693">
        <v>418</v>
      </c>
      <c r="F475" s="616">
        <v>1</v>
      </c>
      <c r="G475" s="1693">
        <v>467</v>
      </c>
      <c r="H475" s="616">
        <v>1</v>
      </c>
      <c r="K475" s="69"/>
      <c r="O475" s="94"/>
      <c r="P475" s="93"/>
      <c r="Q475" s="68"/>
      <c r="R475" s="68"/>
      <c r="T475" s="288" t="s">
        <v>66</v>
      </c>
      <c r="U475" s="288"/>
      <c r="V475" s="288"/>
      <c r="W475" s="1911"/>
      <c r="X475" s="2141"/>
      <c r="Y475" s="2141"/>
      <c r="Z475" s="2141"/>
      <c r="AA475" s="2141"/>
      <c r="AB475" s="2141"/>
      <c r="AC475" s="2141"/>
      <c r="AD475" s="2141"/>
      <c r="AE475" s="2141"/>
      <c r="AF475" s="2141"/>
      <c r="AG475" s="2141"/>
      <c r="AH475" s="2141"/>
      <c r="AI475" s="2141"/>
      <c r="AJ475" s="2142">
        <v>0</v>
      </c>
      <c r="AK475" s="2143">
        <v>0</v>
      </c>
      <c r="AL475" s="2143">
        <v>0</v>
      </c>
      <c r="AM475" s="2143">
        <v>0</v>
      </c>
      <c r="AN475" s="2143">
        <v>0</v>
      </c>
      <c r="AO475" s="2143">
        <v>0</v>
      </c>
      <c r="AP475" s="2143">
        <v>0</v>
      </c>
    </row>
    <row r="476" spans="1:42" ht="14.5">
      <c r="A476" s="1693">
        <v>355</v>
      </c>
      <c r="B476" s="616">
        <v>1</v>
      </c>
      <c r="C476" s="1693">
        <v>372</v>
      </c>
      <c r="D476" s="616">
        <v>1</v>
      </c>
      <c r="E476" s="1693">
        <v>419</v>
      </c>
      <c r="F476" s="616">
        <v>1</v>
      </c>
      <c r="G476" s="1693">
        <v>468</v>
      </c>
      <c r="H476" s="616">
        <v>1</v>
      </c>
      <c r="K476" s="69"/>
      <c r="O476" s="94"/>
      <c r="P476" s="93"/>
      <c r="Q476" s="67"/>
      <c r="R476" s="67"/>
      <c r="S476" s="1475" t="s">
        <v>2</v>
      </c>
      <c r="T476" s="1475"/>
      <c r="U476" s="1475"/>
      <c r="V476" s="1475"/>
      <c r="W476" s="1911"/>
      <c r="X476" s="2148"/>
      <c r="Y476" s="2148"/>
      <c r="Z476" s="2148"/>
      <c r="AA476" s="2148"/>
      <c r="AB476" s="2148"/>
      <c r="AC476" s="2148"/>
      <c r="AD476" s="2148"/>
      <c r="AE476" s="2148"/>
      <c r="AF476" s="2148"/>
      <c r="AG476" s="2148"/>
      <c r="AH476" s="2148"/>
      <c r="AI476" s="2148"/>
      <c r="AJ476" s="1919">
        <v>0</v>
      </c>
      <c r="AK476" s="1918">
        <v>0</v>
      </c>
      <c r="AL476" s="1918">
        <v>0</v>
      </c>
      <c r="AM476" s="1918">
        <v>0</v>
      </c>
      <c r="AN476" s="1918">
        <v>0</v>
      </c>
      <c r="AO476" s="1918">
        <v>0</v>
      </c>
      <c r="AP476" s="1918">
        <v>0</v>
      </c>
    </row>
    <row r="477" spans="1:42" ht="14.5">
      <c r="A477" s="1693">
        <v>356</v>
      </c>
      <c r="B477" s="616">
        <v>1</v>
      </c>
      <c r="C477" s="1693">
        <v>373</v>
      </c>
      <c r="D477" s="616">
        <v>1</v>
      </c>
      <c r="E477" s="1693">
        <v>420</v>
      </c>
      <c r="F477" s="616">
        <v>1</v>
      </c>
      <c r="G477" s="1693">
        <v>469</v>
      </c>
      <c r="H477" s="616">
        <v>1</v>
      </c>
      <c r="K477" s="69"/>
      <c r="O477" s="94"/>
      <c r="P477" s="93"/>
      <c r="Q477" s="583" t="s">
        <v>1019</v>
      </c>
      <c r="R477" s="583"/>
      <c r="S477" s="583"/>
      <c r="T477" s="583"/>
      <c r="U477" s="583"/>
      <c r="V477" s="583"/>
      <c r="W477" s="1812"/>
      <c r="X477" s="1319">
        <v>181735.43435057375</v>
      </c>
      <c r="Y477" s="2149">
        <v>152362.625251319</v>
      </c>
      <c r="Z477" s="2149">
        <v>174630.79679653441</v>
      </c>
      <c r="AA477" s="2149">
        <v>160996.2807677057</v>
      </c>
      <c r="AB477" s="2149">
        <v>179655.63423516517</v>
      </c>
      <c r="AC477" s="2149">
        <v>196916.10754502309</v>
      </c>
      <c r="AD477" s="2149">
        <v>158138.80344464269</v>
      </c>
      <c r="AE477" s="2149">
        <v>161229.08860698459</v>
      </c>
      <c r="AF477" s="2149">
        <v>191220.0046008302</v>
      </c>
      <c r="AG477" s="2149">
        <v>155700.77504521326</v>
      </c>
      <c r="AH477" s="2149">
        <v>175223.83877074573</v>
      </c>
      <c r="AI477" s="2149">
        <v>193791.64206233306</v>
      </c>
      <c r="AJ477" s="2149">
        <v>508728.85639842716</v>
      </c>
      <c r="AK477" s="2149">
        <v>537568.02254789392</v>
      </c>
      <c r="AL477" s="2149">
        <v>510587.89665245754</v>
      </c>
      <c r="AM477" s="2149">
        <v>524716.25587829214</v>
      </c>
      <c r="AN477" s="2149">
        <v>1046296.8789463211</v>
      </c>
      <c r="AO477" s="2149">
        <v>1035304.1525307497</v>
      </c>
      <c r="AP477" s="2149">
        <v>2081601.0314770709</v>
      </c>
    </row>
    <row r="478" spans="1:42" ht="14.5">
      <c r="A478" s="1693">
        <v>357</v>
      </c>
      <c r="B478" s="616">
        <v>1</v>
      </c>
      <c r="C478" s="1693">
        <v>374</v>
      </c>
      <c r="D478" s="616">
        <v>1</v>
      </c>
      <c r="E478" s="1693">
        <v>421</v>
      </c>
      <c r="F478" s="616">
        <v>1</v>
      </c>
      <c r="G478" s="1693">
        <v>470</v>
      </c>
      <c r="H478" s="616">
        <v>1</v>
      </c>
      <c r="K478" s="69"/>
      <c r="O478" s="94"/>
      <c r="P478" s="93"/>
      <c r="Q478" s="63"/>
      <c r="R478" s="63"/>
      <c r="S478" s="8" t="s">
        <v>57</v>
      </c>
      <c r="T478" s="285"/>
      <c r="U478" s="285"/>
      <c r="V478" s="285"/>
      <c r="W478" s="1899"/>
      <c r="X478" s="1971">
        <v>112928.64049119875</v>
      </c>
      <c r="Y478" s="1971">
        <v>101662.88240756901</v>
      </c>
      <c r="Z478" s="1971">
        <v>109445.41314028442</v>
      </c>
      <c r="AA478" s="1971">
        <v>110296.53792395569</v>
      </c>
      <c r="AB478" s="1971">
        <v>118091.66078204017</v>
      </c>
      <c r="AC478" s="1971">
        <v>128109.31368564809</v>
      </c>
      <c r="AD478" s="1971">
        <v>109611.90672276772</v>
      </c>
      <c r="AE478" s="1971">
        <v>99665.115153859602</v>
      </c>
      <c r="AF478" s="1971">
        <v>120240.36461958021</v>
      </c>
      <c r="AG478" s="1971">
        <v>105725.31424208827</v>
      </c>
      <c r="AH478" s="1971">
        <v>114384.14735824575</v>
      </c>
      <c r="AI478" s="1971">
        <v>127157.69432483309</v>
      </c>
      <c r="AJ478" s="2137">
        <v>324036.93603905221</v>
      </c>
      <c r="AK478" s="1971">
        <v>356497.51239164395</v>
      </c>
      <c r="AL478" s="1971">
        <v>329517.38649620756</v>
      </c>
      <c r="AM478" s="1971">
        <v>347267.15592516714</v>
      </c>
      <c r="AN478" s="1971">
        <v>680534.44843069615</v>
      </c>
      <c r="AO478" s="1971">
        <v>676784.5424213747</v>
      </c>
      <c r="AP478" s="1971">
        <v>1357318.990852071</v>
      </c>
    </row>
    <row r="479" spans="1:42" ht="14.5">
      <c r="A479" s="1693">
        <v>358</v>
      </c>
      <c r="B479" s="616">
        <v>1</v>
      </c>
      <c r="C479" s="1693">
        <v>375</v>
      </c>
      <c r="D479" s="616">
        <v>1</v>
      </c>
      <c r="E479" s="1693">
        <v>422</v>
      </c>
      <c r="F479" s="616">
        <v>1</v>
      </c>
      <c r="G479" s="1693">
        <v>471</v>
      </c>
      <c r="H479" s="616">
        <v>1</v>
      </c>
      <c r="K479" s="69"/>
      <c r="O479" s="94"/>
      <c r="P479" s="93"/>
      <c r="Q479" s="63"/>
      <c r="R479" s="63"/>
      <c r="T479" s="97" t="s">
        <v>1017</v>
      </c>
      <c r="U479" s="97"/>
      <c r="V479" s="97"/>
      <c r="W479" s="1899"/>
      <c r="X479" s="2138">
        <v>112928.64049119875</v>
      </c>
      <c r="Y479" s="2138">
        <v>101662.88240756901</v>
      </c>
      <c r="Z479" s="2138">
        <v>109445.41314028442</v>
      </c>
      <c r="AA479" s="2138">
        <v>110296.53792395569</v>
      </c>
      <c r="AB479" s="2138">
        <v>118091.66078204017</v>
      </c>
      <c r="AC479" s="2138">
        <v>128109.31368564809</v>
      </c>
      <c r="AD479" s="2138">
        <v>109611.90672276772</v>
      </c>
      <c r="AE479" s="2138">
        <v>99665.115153859602</v>
      </c>
      <c r="AF479" s="2138">
        <v>120240.36461958021</v>
      </c>
      <c r="AG479" s="2138">
        <v>105725.31424208827</v>
      </c>
      <c r="AH479" s="2138">
        <v>114384.14735824575</v>
      </c>
      <c r="AI479" s="2138">
        <v>127157.69432483309</v>
      </c>
      <c r="AJ479" s="2139">
        <v>324036.93603905221</v>
      </c>
      <c r="AK479" s="2138">
        <v>356497.51239164395</v>
      </c>
      <c r="AL479" s="2138">
        <v>329517.38649620756</v>
      </c>
      <c r="AM479" s="2138">
        <v>347267.15592516714</v>
      </c>
      <c r="AN479" s="2138">
        <v>680534.44843069615</v>
      </c>
      <c r="AO479" s="2138">
        <v>676784.5424213747</v>
      </c>
      <c r="AP479" s="2138">
        <v>1357318.990852071</v>
      </c>
    </row>
    <row r="480" spans="1:42" ht="14.5">
      <c r="A480" s="1693">
        <v>359</v>
      </c>
      <c r="B480" s="616">
        <v>1</v>
      </c>
      <c r="C480" s="1693">
        <v>376</v>
      </c>
      <c r="D480" s="616">
        <v>1</v>
      </c>
      <c r="E480" s="1693">
        <v>423</v>
      </c>
      <c r="F480" s="616">
        <v>1</v>
      </c>
      <c r="G480" s="1693">
        <v>472</v>
      </c>
      <c r="H480" s="616">
        <v>1</v>
      </c>
      <c r="K480" s="69"/>
      <c r="O480" s="94"/>
      <c r="P480" s="93"/>
      <c r="Q480" s="63"/>
      <c r="R480" s="63"/>
      <c r="U480" s="97" t="s">
        <v>1082</v>
      </c>
      <c r="V480" s="97"/>
      <c r="W480" s="1911"/>
      <c r="X480" s="2140">
        <v>112928.64049119875</v>
      </c>
      <c r="Y480" s="2140">
        <v>101662.88240756901</v>
      </c>
      <c r="Z480" s="2140">
        <v>109445.41314028442</v>
      </c>
      <c r="AA480" s="2140">
        <v>110296.53792395569</v>
      </c>
      <c r="AB480" s="2140">
        <v>118091.66078204017</v>
      </c>
      <c r="AC480" s="2140">
        <v>128109.31368564809</v>
      </c>
      <c r="AD480" s="2140">
        <v>109611.90672276772</v>
      </c>
      <c r="AE480" s="2140">
        <v>99665.115153859602</v>
      </c>
      <c r="AF480" s="2140">
        <v>120240.36461958021</v>
      </c>
      <c r="AG480" s="2140">
        <v>105725.31424208827</v>
      </c>
      <c r="AH480" s="2140">
        <v>114384.14735824575</v>
      </c>
      <c r="AI480" s="2140">
        <v>127157.69432483309</v>
      </c>
      <c r="AJ480" s="2139">
        <v>324036.93603905221</v>
      </c>
      <c r="AK480" s="2138">
        <v>356497.51239164395</v>
      </c>
      <c r="AL480" s="2138">
        <v>329517.38649620756</v>
      </c>
      <c r="AM480" s="2138">
        <v>347267.15592516714</v>
      </c>
      <c r="AN480" s="2138">
        <v>680534.44843069615</v>
      </c>
      <c r="AO480" s="2138">
        <v>676784.5424213747</v>
      </c>
      <c r="AP480" s="2138">
        <v>1357318.990852071</v>
      </c>
    </row>
    <row r="481" spans="1:42" ht="15" customHeight="1">
      <c r="A481" s="1693">
        <v>360</v>
      </c>
      <c r="B481" s="616">
        <v>1</v>
      </c>
      <c r="C481" s="1693">
        <v>377</v>
      </c>
      <c r="D481" s="616">
        <v>1</v>
      </c>
      <c r="E481" s="1693">
        <v>424</v>
      </c>
      <c r="F481" s="616">
        <v>1</v>
      </c>
      <c r="G481" s="1693">
        <v>473</v>
      </c>
      <c r="H481" s="616">
        <v>1</v>
      </c>
      <c r="K481" s="69"/>
      <c r="O481" s="94"/>
      <c r="P481" s="93"/>
      <c r="Q481" s="63"/>
      <c r="R481" s="63"/>
      <c r="T481" s="285"/>
      <c r="U481" s="285" t="s">
        <v>1083</v>
      </c>
      <c r="V481" s="285"/>
      <c r="W481" s="1911"/>
      <c r="X481" s="2023"/>
      <c r="Y481" s="2023"/>
      <c r="Z481" s="2023"/>
      <c r="AA481" s="2023"/>
      <c r="AB481" s="2023"/>
      <c r="AC481" s="2023"/>
      <c r="AD481" s="2023"/>
      <c r="AE481" s="2023"/>
      <c r="AF481" s="2023"/>
      <c r="AG481" s="2023"/>
      <c r="AH481" s="2023"/>
      <c r="AI481" s="2023"/>
      <c r="AJ481" s="2137">
        <v>0</v>
      </c>
      <c r="AK481" s="1971">
        <v>0</v>
      </c>
      <c r="AL481" s="1971">
        <v>0</v>
      </c>
      <c r="AM481" s="1971">
        <v>0</v>
      </c>
      <c r="AN481" s="1971">
        <v>0</v>
      </c>
      <c r="AO481" s="1971">
        <v>0</v>
      </c>
      <c r="AP481" s="1971">
        <v>0</v>
      </c>
    </row>
    <row r="482" spans="1:42" ht="14.5" collapsed="1">
      <c r="A482" s="1693">
        <v>361</v>
      </c>
      <c r="B482" s="616">
        <v>1</v>
      </c>
      <c r="C482" s="1693">
        <v>378</v>
      </c>
      <c r="D482" s="616">
        <v>1</v>
      </c>
      <c r="E482" s="1693">
        <v>425</v>
      </c>
      <c r="F482" s="616">
        <v>1</v>
      </c>
      <c r="G482" s="1693">
        <v>474</v>
      </c>
      <c r="H482" s="616">
        <v>1</v>
      </c>
      <c r="K482" s="69"/>
      <c r="O482" s="94"/>
      <c r="P482" s="93"/>
      <c r="Q482" s="63"/>
      <c r="R482" s="63"/>
      <c r="S482" s="11"/>
      <c r="T482" s="288" t="s">
        <v>66</v>
      </c>
      <c r="U482" s="288"/>
      <c r="V482" s="288"/>
      <c r="W482" s="1911"/>
      <c r="X482" s="2141"/>
      <c r="Y482" s="2141"/>
      <c r="Z482" s="2141"/>
      <c r="AA482" s="2141"/>
      <c r="AB482" s="2141"/>
      <c r="AC482" s="2141"/>
      <c r="AD482" s="2141"/>
      <c r="AE482" s="2141"/>
      <c r="AF482" s="2141"/>
      <c r="AG482" s="2141"/>
      <c r="AH482" s="2141"/>
      <c r="AI482" s="2141"/>
      <c r="AJ482" s="2142">
        <v>0</v>
      </c>
      <c r="AK482" s="2143">
        <v>0</v>
      </c>
      <c r="AL482" s="2143">
        <v>0</v>
      </c>
      <c r="AM482" s="2143">
        <v>0</v>
      </c>
      <c r="AN482" s="2143">
        <v>0</v>
      </c>
      <c r="AO482" s="2143">
        <v>0</v>
      </c>
      <c r="AP482" s="2143">
        <v>0</v>
      </c>
    </row>
    <row r="483" spans="1:42" ht="14.5">
      <c r="A483" s="1693">
        <v>362</v>
      </c>
      <c r="B483" s="616">
        <v>1</v>
      </c>
      <c r="C483" s="1693">
        <v>379</v>
      </c>
      <c r="D483" s="616">
        <v>1</v>
      </c>
      <c r="E483" s="1693">
        <v>426</v>
      </c>
      <c r="F483" s="616">
        <v>1</v>
      </c>
      <c r="G483" s="1693">
        <v>475</v>
      </c>
      <c r="H483" s="616">
        <v>1</v>
      </c>
      <c r="K483" s="69"/>
      <c r="O483" s="94"/>
      <c r="P483" s="93"/>
      <c r="Q483" s="63"/>
      <c r="R483" s="63"/>
      <c r="S483" s="8" t="s">
        <v>27</v>
      </c>
      <c r="T483" s="284"/>
      <c r="U483" s="284"/>
      <c r="V483" s="284"/>
      <c r="W483" s="1899"/>
      <c r="X483" s="1987">
        <v>68806.793859374986</v>
      </c>
      <c r="Y483" s="1987">
        <v>50699.742843749998</v>
      </c>
      <c r="Z483" s="1987">
        <v>65185.383656249993</v>
      </c>
      <c r="AA483" s="1987">
        <v>50699.742843749998</v>
      </c>
      <c r="AB483" s="1987">
        <v>61563.973453124992</v>
      </c>
      <c r="AC483" s="1987">
        <v>68806.793859374986</v>
      </c>
      <c r="AD483" s="1987">
        <v>48526.896721874989</v>
      </c>
      <c r="AE483" s="1987">
        <v>61563.973453124992</v>
      </c>
      <c r="AF483" s="1987">
        <v>70979.639981249988</v>
      </c>
      <c r="AG483" s="1987">
        <v>49975.460803124995</v>
      </c>
      <c r="AH483" s="1987">
        <v>60839.691412499989</v>
      </c>
      <c r="AI483" s="1987">
        <v>66633.947737499984</v>
      </c>
      <c r="AJ483" s="2144">
        <v>184691.92035937498</v>
      </c>
      <c r="AK483" s="1987">
        <v>181070.51015624998</v>
      </c>
      <c r="AL483" s="1987">
        <v>181070.51015624998</v>
      </c>
      <c r="AM483" s="1987">
        <v>177449.09995312497</v>
      </c>
      <c r="AN483" s="1987">
        <v>365762.43051562493</v>
      </c>
      <c r="AO483" s="1987">
        <v>358519.61010937497</v>
      </c>
      <c r="AP483" s="1987">
        <v>724282.04062499991</v>
      </c>
    </row>
    <row r="484" spans="1:42" ht="14.5">
      <c r="A484" s="1693">
        <v>363</v>
      </c>
      <c r="B484" s="616">
        <v>1</v>
      </c>
      <c r="C484" s="1693">
        <v>380</v>
      </c>
      <c r="D484" s="616">
        <v>1</v>
      </c>
      <c r="E484" s="1693">
        <v>427</v>
      </c>
      <c r="F484" s="616">
        <v>1</v>
      </c>
      <c r="G484" s="1693">
        <v>476</v>
      </c>
      <c r="H484" s="616">
        <v>1</v>
      </c>
      <c r="K484" s="69"/>
      <c r="O484" s="94"/>
      <c r="P484" s="93"/>
      <c r="Q484" s="63"/>
      <c r="R484" s="63"/>
      <c r="T484" s="97" t="s">
        <v>1017</v>
      </c>
      <c r="U484" s="97"/>
      <c r="V484" s="97"/>
      <c r="W484" s="1899"/>
      <c r="X484" s="2138">
        <v>68806.793859374986</v>
      </c>
      <c r="Y484" s="2138">
        <v>50699.742843749998</v>
      </c>
      <c r="Z484" s="2138">
        <v>65185.383656249993</v>
      </c>
      <c r="AA484" s="2138">
        <v>50699.742843749998</v>
      </c>
      <c r="AB484" s="2138">
        <v>61563.973453124992</v>
      </c>
      <c r="AC484" s="2138">
        <v>68806.793859374986</v>
      </c>
      <c r="AD484" s="2138">
        <v>48526.896721874989</v>
      </c>
      <c r="AE484" s="2138">
        <v>61563.973453124992</v>
      </c>
      <c r="AF484" s="2138">
        <v>70979.639981249988</v>
      </c>
      <c r="AG484" s="2138">
        <v>49975.460803124995</v>
      </c>
      <c r="AH484" s="2138">
        <v>60839.691412499989</v>
      </c>
      <c r="AI484" s="2138">
        <v>66633.947737499984</v>
      </c>
      <c r="AJ484" s="2139">
        <v>184691.92035937498</v>
      </c>
      <c r="AK484" s="2138">
        <v>181070.51015624998</v>
      </c>
      <c r="AL484" s="2138">
        <v>181070.51015624998</v>
      </c>
      <c r="AM484" s="2138">
        <v>177449.09995312497</v>
      </c>
      <c r="AN484" s="2138">
        <v>365762.43051562493</v>
      </c>
      <c r="AO484" s="2138">
        <v>358519.61010937497</v>
      </c>
      <c r="AP484" s="2138">
        <v>724282.04062499991</v>
      </c>
    </row>
    <row r="485" spans="1:42" ht="14.5">
      <c r="A485" s="1693">
        <v>364</v>
      </c>
      <c r="B485" s="616">
        <v>1</v>
      </c>
      <c r="C485" s="1693">
        <v>381</v>
      </c>
      <c r="D485" s="616">
        <v>1</v>
      </c>
      <c r="E485" s="1693">
        <v>428</v>
      </c>
      <c r="F485" s="616">
        <v>1</v>
      </c>
      <c r="G485" s="1693">
        <v>477</v>
      </c>
      <c r="H485" s="616">
        <v>1</v>
      </c>
      <c r="K485" s="69"/>
      <c r="O485" s="94"/>
      <c r="P485" s="93"/>
      <c r="Q485" s="63"/>
      <c r="R485" s="63"/>
      <c r="U485" s="97" t="s">
        <v>1082</v>
      </c>
      <c r="V485" s="869"/>
      <c r="W485" s="1899"/>
      <c r="X485" s="2145">
        <v>68806.793859374986</v>
      </c>
      <c r="Y485" s="2145">
        <v>50699.742843749998</v>
      </c>
      <c r="Z485" s="2145">
        <v>65185.383656249993</v>
      </c>
      <c r="AA485" s="2145">
        <v>50699.742843749998</v>
      </c>
      <c r="AB485" s="2145">
        <v>61563.973453124992</v>
      </c>
      <c r="AC485" s="2145">
        <v>68806.793859374986</v>
      </c>
      <c r="AD485" s="2145">
        <v>48526.896721874989</v>
      </c>
      <c r="AE485" s="2145">
        <v>61563.973453124992</v>
      </c>
      <c r="AF485" s="2145">
        <v>70979.639981249988</v>
      </c>
      <c r="AG485" s="2145">
        <v>49975.460803124995</v>
      </c>
      <c r="AH485" s="2145">
        <v>60839.691412499989</v>
      </c>
      <c r="AI485" s="2145">
        <v>66633.947737499984</v>
      </c>
      <c r="AJ485" s="2146">
        <v>184691.92035937498</v>
      </c>
      <c r="AK485" s="2145">
        <v>181070.51015624998</v>
      </c>
      <c r="AL485" s="2145">
        <v>181070.51015624998</v>
      </c>
      <c r="AM485" s="2145">
        <v>177449.09995312497</v>
      </c>
      <c r="AN485" s="2145">
        <v>365762.43051562493</v>
      </c>
      <c r="AO485" s="2145">
        <v>358519.61010937497</v>
      </c>
      <c r="AP485" s="2145">
        <v>724282.04062499991</v>
      </c>
    </row>
    <row r="486" spans="1:42" ht="15" customHeight="1">
      <c r="A486" s="1693">
        <v>365</v>
      </c>
      <c r="B486" s="616">
        <v>1</v>
      </c>
      <c r="C486" s="1693">
        <v>382</v>
      </c>
      <c r="D486" s="616">
        <v>1</v>
      </c>
      <c r="E486" s="1693">
        <v>429</v>
      </c>
      <c r="F486" s="616">
        <v>1</v>
      </c>
      <c r="G486" s="1693">
        <v>478</v>
      </c>
      <c r="H486" s="616">
        <v>1</v>
      </c>
      <c r="K486" s="69"/>
      <c r="O486" s="94"/>
      <c r="P486" s="93"/>
      <c r="Q486" s="63"/>
      <c r="R486" s="63"/>
      <c r="V486" s="8" t="s">
        <v>1086</v>
      </c>
      <c r="W486" s="1911"/>
      <c r="X486" s="2021">
        <v>68806.793859374986</v>
      </c>
      <c r="Y486" s="2021">
        <v>50699.742843749998</v>
      </c>
      <c r="Z486" s="2021">
        <v>65185.383656249993</v>
      </c>
      <c r="AA486" s="2021">
        <v>50699.742843749998</v>
      </c>
      <c r="AB486" s="2021">
        <v>61563.973453124992</v>
      </c>
      <c r="AC486" s="2021">
        <v>68806.793859374986</v>
      </c>
      <c r="AD486" s="2021">
        <v>48526.896721874989</v>
      </c>
      <c r="AE486" s="2021">
        <v>61563.973453124992</v>
      </c>
      <c r="AF486" s="2021">
        <v>70979.639981249988</v>
      </c>
      <c r="AG486" s="2021">
        <v>49975.460803124995</v>
      </c>
      <c r="AH486" s="2021">
        <v>60839.691412499989</v>
      </c>
      <c r="AI486" s="2021">
        <v>66633.947737499984</v>
      </c>
      <c r="AJ486" s="2147">
        <v>184691.92035937498</v>
      </c>
      <c r="AK486" s="579">
        <v>181070.51015624998</v>
      </c>
      <c r="AL486" s="579">
        <v>181070.51015624998</v>
      </c>
      <c r="AM486" s="579">
        <v>177449.09995312497</v>
      </c>
      <c r="AN486" s="579">
        <v>365762.43051562493</v>
      </c>
      <c r="AO486" s="579">
        <v>358519.61010937497</v>
      </c>
      <c r="AP486" s="579">
        <v>724282.04062499991</v>
      </c>
    </row>
    <row r="487" spans="1:42" ht="14.5">
      <c r="A487" s="1693">
        <v>366</v>
      </c>
      <c r="B487" s="616">
        <v>1</v>
      </c>
      <c r="C487" s="1693">
        <v>383</v>
      </c>
      <c r="D487" s="616">
        <v>1</v>
      </c>
      <c r="E487" s="1693">
        <v>430</v>
      </c>
      <c r="F487" s="616">
        <v>1</v>
      </c>
      <c r="G487" s="1693">
        <v>479</v>
      </c>
      <c r="H487" s="616">
        <v>1</v>
      </c>
      <c r="K487" s="69"/>
      <c r="O487" s="94"/>
      <c r="P487" s="93"/>
      <c r="Q487" s="63"/>
      <c r="R487" s="63"/>
      <c r="V487" s="8" t="s">
        <v>1087</v>
      </c>
      <c r="W487" s="1911"/>
      <c r="X487" s="2021"/>
      <c r="Y487" s="2021"/>
      <c r="Z487" s="2021"/>
      <c r="AA487" s="2021"/>
      <c r="AB487" s="2021"/>
      <c r="AC487" s="2021"/>
      <c r="AD487" s="2021"/>
      <c r="AE487" s="2021"/>
      <c r="AF487" s="2021"/>
      <c r="AG487" s="2021"/>
      <c r="AH487" s="2021"/>
      <c r="AI487" s="2021"/>
      <c r="AJ487" s="2147">
        <v>0</v>
      </c>
      <c r="AK487" s="579">
        <v>0</v>
      </c>
      <c r="AL487" s="579">
        <v>0</v>
      </c>
      <c r="AM487" s="579">
        <v>0</v>
      </c>
      <c r="AN487" s="579">
        <v>0</v>
      </c>
      <c r="AO487" s="579">
        <v>0</v>
      </c>
      <c r="AP487" s="579">
        <v>0</v>
      </c>
    </row>
    <row r="488" spans="1:42" ht="14.5">
      <c r="A488" s="1693">
        <v>367</v>
      </c>
      <c r="B488" s="616">
        <v>1</v>
      </c>
      <c r="C488" s="1693">
        <v>384</v>
      </c>
      <c r="D488" s="616">
        <v>1</v>
      </c>
      <c r="E488" s="1693">
        <v>431</v>
      </c>
      <c r="F488" s="616">
        <v>1</v>
      </c>
      <c r="G488" s="1693">
        <v>480</v>
      </c>
      <c r="H488" s="616">
        <v>1</v>
      </c>
      <c r="K488" s="69"/>
      <c r="O488" s="94"/>
      <c r="P488" s="93"/>
      <c r="Q488" s="63"/>
      <c r="R488" s="63"/>
      <c r="U488" s="97" t="s">
        <v>1083</v>
      </c>
      <c r="V488" s="869"/>
      <c r="W488" s="1899"/>
      <c r="X488" s="2145">
        <v>0</v>
      </c>
      <c r="Y488" s="2145">
        <v>0</v>
      </c>
      <c r="Z488" s="2145">
        <v>0</v>
      </c>
      <c r="AA488" s="2145">
        <v>0</v>
      </c>
      <c r="AB488" s="2145">
        <v>0</v>
      </c>
      <c r="AC488" s="2145">
        <v>0</v>
      </c>
      <c r="AD488" s="2145">
        <v>0</v>
      </c>
      <c r="AE488" s="2145">
        <v>0</v>
      </c>
      <c r="AF488" s="2145">
        <v>0</v>
      </c>
      <c r="AG488" s="2145">
        <v>0</v>
      </c>
      <c r="AH488" s="2145">
        <v>0</v>
      </c>
      <c r="AI488" s="2145">
        <v>0</v>
      </c>
      <c r="AJ488" s="2146">
        <v>0</v>
      </c>
      <c r="AK488" s="2145">
        <v>0</v>
      </c>
      <c r="AL488" s="2145">
        <v>0</v>
      </c>
      <c r="AM488" s="2145">
        <v>0</v>
      </c>
      <c r="AN488" s="2145">
        <v>0</v>
      </c>
      <c r="AO488" s="2145">
        <v>0</v>
      </c>
      <c r="AP488" s="2145">
        <v>0</v>
      </c>
    </row>
    <row r="489" spans="1:42" ht="14.5">
      <c r="A489" s="1693">
        <v>368</v>
      </c>
      <c r="B489" s="616">
        <v>1</v>
      </c>
      <c r="C489" s="1693">
        <v>385</v>
      </c>
      <c r="D489" s="616">
        <v>1</v>
      </c>
      <c r="E489" s="1693">
        <v>432</v>
      </c>
      <c r="F489" s="616">
        <v>1</v>
      </c>
      <c r="G489" s="1693">
        <v>481</v>
      </c>
      <c r="H489" s="616">
        <v>1</v>
      </c>
      <c r="K489" s="69"/>
      <c r="O489" s="94"/>
      <c r="P489" s="93"/>
      <c r="Q489" s="63"/>
      <c r="R489" s="63"/>
      <c r="V489" s="8" t="s">
        <v>1086</v>
      </c>
      <c r="W489" s="1911"/>
      <c r="X489" s="2021"/>
      <c r="Y489" s="2021"/>
      <c r="Z489" s="2021"/>
      <c r="AA489" s="2021"/>
      <c r="AB489" s="2021"/>
      <c r="AC489" s="2021"/>
      <c r="AD489" s="2021"/>
      <c r="AE489" s="2021"/>
      <c r="AF489" s="2021"/>
      <c r="AG489" s="2021"/>
      <c r="AH489" s="2021"/>
      <c r="AI489" s="2021"/>
      <c r="AJ489" s="2147">
        <v>0</v>
      </c>
      <c r="AK489" s="579">
        <v>0</v>
      </c>
      <c r="AL489" s="579">
        <v>0</v>
      </c>
      <c r="AM489" s="579">
        <v>0</v>
      </c>
      <c r="AN489" s="579">
        <v>0</v>
      </c>
      <c r="AO489" s="579">
        <v>0</v>
      </c>
      <c r="AP489" s="579">
        <v>0</v>
      </c>
    </row>
    <row r="490" spans="1:42" ht="14.5">
      <c r="A490" s="1693">
        <v>369</v>
      </c>
      <c r="B490" s="616">
        <v>1</v>
      </c>
      <c r="C490" s="1693">
        <v>386</v>
      </c>
      <c r="D490" s="616">
        <v>1</v>
      </c>
      <c r="E490" s="1693">
        <v>433</v>
      </c>
      <c r="F490" s="616">
        <v>1</v>
      </c>
      <c r="G490" s="1693">
        <v>482</v>
      </c>
      <c r="H490" s="616">
        <v>1</v>
      </c>
      <c r="K490" s="69"/>
      <c r="O490" s="94"/>
      <c r="P490" s="93"/>
      <c r="Q490" s="63"/>
      <c r="R490" s="63"/>
      <c r="T490" s="285"/>
      <c r="U490" s="285"/>
      <c r="V490" s="285" t="s">
        <v>1087</v>
      </c>
      <c r="W490" s="1911"/>
      <c r="X490" s="2023"/>
      <c r="Y490" s="2023"/>
      <c r="Z490" s="2023"/>
      <c r="AA490" s="2023"/>
      <c r="AB490" s="2023"/>
      <c r="AC490" s="2023"/>
      <c r="AD490" s="2023"/>
      <c r="AE490" s="2023"/>
      <c r="AF490" s="2023"/>
      <c r="AG490" s="2023"/>
      <c r="AH490" s="2023"/>
      <c r="AI490" s="2023"/>
      <c r="AJ490" s="2137">
        <v>0</v>
      </c>
      <c r="AK490" s="1971">
        <v>0</v>
      </c>
      <c r="AL490" s="1971">
        <v>0</v>
      </c>
      <c r="AM490" s="1971">
        <v>0</v>
      </c>
      <c r="AN490" s="1971">
        <v>0</v>
      </c>
      <c r="AO490" s="1971">
        <v>0</v>
      </c>
      <c r="AP490" s="1971">
        <v>0</v>
      </c>
    </row>
    <row r="491" spans="1:42" ht="14.5" collapsed="1">
      <c r="A491" s="1693">
        <v>370</v>
      </c>
      <c r="B491" s="616">
        <v>1</v>
      </c>
      <c r="C491" s="1693">
        <v>387</v>
      </c>
      <c r="D491" s="616">
        <v>1</v>
      </c>
      <c r="E491" s="1693">
        <v>434</v>
      </c>
      <c r="F491" s="616">
        <v>1</v>
      </c>
      <c r="G491" s="1693">
        <v>483</v>
      </c>
      <c r="H491" s="616">
        <v>1</v>
      </c>
      <c r="K491" s="69"/>
      <c r="O491" s="94"/>
      <c r="P491" s="93"/>
      <c r="Q491" s="63"/>
      <c r="R491" s="63"/>
      <c r="T491" s="288" t="s">
        <v>66</v>
      </c>
      <c r="U491" s="288"/>
      <c r="V491" s="288"/>
      <c r="W491" s="1911"/>
      <c r="X491" s="2141"/>
      <c r="Y491" s="2141"/>
      <c r="Z491" s="2141"/>
      <c r="AA491" s="2141"/>
      <c r="AB491" s="2141"/>
      <c r="AC491" s="2141"/>
      <c r="AD491" s="2141"/>
      <c r="AE491" s="2141"/>
      <c r="AF491" s="2141"/>
      <c r="AG491" s="2141"/>
      <c r="AH491" s="2141"/>
      <c r="AI491" s="2141"/>
      <c r="AJ491" s="2142">
        <v>0</v>
      </c>
      <c r="AK491" s="2143">
        <v>0</v>
      </c>
      <c r="AL491" s="2143">
        <v>0</v>
      </c>
      <c r="AM491" s="2143">
        <v>0</v>
      </c>
      <c r="AN491" s="2143">
        <v>0</v>
      </c>
      <c r="AO491" s="2143">
        <v>0</v>
      </c>
      <c r="AP491" s="2143">
        <v>0</v>
      </c>
    </row>
    <row r="492" spans="1:42" ht="14.5">
      <c r="A492" s="1693">
        <v>371</v>
      </c>
      <c r="B492" s="616">
        <v>1</v>
      </c>
      <c r="C492" s="1693">
        <v>388</v>
      </c>
      <c r="D492" s="616">
        <v>1</v>
      </c>
      <c r="E492" s="1693">
        <v>435</v>
      </c>
      <c r="F492" s="616">
        <v>1</v>
      </c>
      <c r="G492" s="1693">
        <v>484</v>
      </c>
      <c r="H492" s="616">
        <v>1</v>
      </c>
      <c r="K492" s="69"/>
      <c r="O492" s="92"/>
      <c r="P492" s="91"/>
      <c r="Q492" s="62"/>
      <c r="R492" s="62"/>
      <c r="S492" s="1475" t="s">
        <v>2</v>
      </c>
      <c r="T492" s="1475"/>
      <c r="U492" s="1475"/>
      <c r="V492" s="1475"/>
      <c r="W492" s="1911"/>
      <c r="X492" s="2148"/>
      <c r="Y492" s="2148"/>
      <c r="Z492" s="2148"/>
      <c r="AA492" s="2148"/>
      <c r="AB492" s="2148"/>
      <c r="AC492" s="2148"/>
      <c r="AD492" s="2148"/>
      <c r="AE492" s="2148"/>
      <c r="AF492" s="2148"/>
      <c r="AG492" s="2148"/>
      <c r="AH492" s="2148"/>
      <c r="AI492" s="2148"/>
      <c r="AJ492" s="1919">
        <v>0</v>
      </c>
      <c r="AK492" s="1918">
        <v>0</v>
      </c>
      <c r="AL492" s="1918">
        <v>0</v>
      </c>
      <c r="AM492" s="1918">
        <v>0</v>
      </c>
      <c r="AN492" s="1918">
        <v>0</v>
      </c>
      <c r="AO492" s="1918">
        <v>0</v>
      </c>
      <c r="AP492" s="1918">
        <v>0</v>
      </c>
    </row>
    <row r="493" spans="1:42" ht="14.5">
      <c r="A493" s="1693">
        <v>372</v>
      </c>
      <c r="B493" s="616">
        <v>1</v>
      </c>
      <c r="C493" s="1693">
        <v>389</v>
      </c>
      <c r="D493" s="616">
        <v>1</v>
      </c>
      <c r="E493" s="1693">
        <v>436</v>
      </c>
      <c r="F493" s="616">
        <v>1</v>
      </c>
      <c r="G493" s="1693">
        <v>485</v>
      </c>
      <c r="H493" s="616">
        <v>1</v>
      </c>
      <c r="K493" s="69"/>
      <c r="O493" s="2134" t="s">
        <v>54</v>
      </c>
      <c r="P493" s="582"/>
      <c r="Q493" s="2135"/>
      <c r="R493" s="2135"/>
      <c r="S493" s="582"/>
      <c r="T493" s="582"/>
      <c r="U493" s="582"/>
      <c r="V493" s="582"/>
      <c r="W493" s="2150"/>
      <c r="X493" s="2151">
        <v>73917.497872078937</v>
      </c>
      <c r="Y493" s="2152">
        <v>58863.45296760161</v>
      </c>
      <c r="Z493" s="2152">
        <v>66801.231974266848</v>
      </c>
      <c r="AA493" s="2152">
        <v>60464.705489540727</v>
      </c>
      <c r="AB493" s="2152">
        <v>66976.18102130531</v>
      </c>
      <c r="AC493" s="2152">
        <v>74323.26557071424</v>
      </c>
      <c r="AD493" s="2152">
        <v>59980.09179313913</v>
      </c>
      <c r="AE493" s="2152">
        <v>62971.988238247344</v>
      </c>
      <c r="AF493" s="2152">
        <v>72783.591746864258</v>
      </c>
      <c r="AG493" s="2152">
        <v>60735.265726707097</v>
      </c>
      <c r="AH493" s="2152">
        <v>67701.010244083751</v>
      </c>
      <c r="AI493" s="2152">
        <v>73972.991008070967</v>
      </c>
      <c r="AJ493" s="2152">
        <v>199582.18281394741</v>
      </c>
      <c r="AK493" s="2152">
        <v>201764.15208156029</v>
      </c>
      <c r="AL493" s="2152">
        <v>195735.67177825072</v>
      </c>
      <c r="AM493" s="2152">
        <v>202409.26697886182</v>
      </c>
      <c r="AN493" s="2152">
        <v>401346.33489550767</v>
      </c>
      <c r="AO493" s="2152">
        <v>398144.93875711254</v>
      </c>
      <c r="AP493" s="2152">
        <v>799491.27365262026</v>
      </c>
    </row>
    <row r="494" spans="1:42" ht="14.5">
      <c r="A494" s="1693">
        <v>373</v>
      </c>
      <c r="B494" s="616">
        <v>1</v>
      </c>
      <c r="C494" s="1693">
        <v>390</v>
      </c>
      <c r="D494" s="616">
        <v>1</v>
      </c>
      <c r="E494" s="1693">
        <v>437</v>
      </c>
      <c r="F494" s="616">
        <v>1</v>
      </c>
      <c r="G494" s="1693">
        <v>486</v>
      </c>
      <c r="H494" s="616">
        <v>1</v>
      </c>
      <c r="K494" s="69"/>
      <c r="O494" s="94"/>
      <c r="P494" s="93"/>
      <c r="Q494" s="68" t="s">
        <v>1018</v>
      </c>
      <c r="R494" s="68"/>
      <c r="S494" s="283"/>
      <c r="T494" s="283"/>
      <c r="U494" s="283"/>
      <c r="V494" s="283"/>
      <c r="W494" s="1811"/>
      <c r="X494" s="1318">
        <v>25906.734483335647</v>
      </c>
      <c r="Y494" s="1259">
        <v>20828.940084854112</v>
      </c>
      <c r="Z494" s="1259">
        <v>21998.374099947789</v>
      </c>
      <c r="AA494" s="1259">
        <v>20925.636333584531</v>
      </c>
      <c r="AB494" s="1259">
        <v>21999.505199606487</v>
      </c>
      <c r="AC494" s="1259">
        <v>24391.111328564875</v>
      </c>
      <c r="AD494" s="1259">
        <v>21565.510825396992</v>
      </c>
      <c r="AE494" s="1259">
        <v>22079.189348207521</v>
      </c>
      <c r="AF494" s="1259">
        <v>23660.796347646865</v>
      </c>
      <c r="AG494" s="1259">
        <v>22311.765715966867</v>
      </c>
      <c r="AH494" s="1259">
        <v>23524.900037787324</v>
      </c>
      <c r="AI494" s="1259">
        <v>24925.184433680588</v>
      </c>
      <c r="AJ494" s="1259">
        <v>68734.048668137548</v>
      </c>
      <c r="AK494" s="1259">
        <v>67316.2528617559</v>
      </c>
      <c r="AL494" s="1259">
        <v>67305.496521251363</v>
      </c>
      <c r="AM494" s="1259">
        <v>70761.850187434771</v>
      </c>
      <c r="AN494" s="1259">
        <v>136050.30152989345</v>
      </c>
      <c r="AO494" s="1259">
        <v>138067.34670868615</v>
      </c>
      <c r="AP494" s="1259">
        <v>274117.64823857963</v>
      </c>
    </row>
    <row r="495" spans="1:42" s="9" customFormat="1" ht="14.5">
      <c r="A495" s="1693">
        <v>374</v>
      </c>
      <c r="B495" s="616">
        <v>1</v>
      </c>
      <c r="C495" s="1693">
        <v>391</v>
      </c>
      <c r="D495" s="616">
        <v>1</v>
      </c>
      <c r="E495" s="1693">
        <v>438</v>
      </c>
      <c r="F495" s="616">
        <v>1</v>
      </c>
      <c r="G495" s="1693">
        <v>487</v>
      </c>
      <c r="H495" s="616">
        <v>1</v>
      </c>
      <c r="I495" s="616"/>
      <c r="K495" s="22"/>
      <c r="N495" s="22"/>
      <c r="O495" s="94"/>
      <c r="P495" s="214"/>
      <c r="Q495" s="68"/>
      <c r="R495" s="68"/>
      <c r="S495" s="8" t="s">
        <v>57</v>
      </c>
      <c r="T495" s="285"/>
      <c r="U495" s="285"/>
      <c r="V495" s="285"/>
      <c r="W495" s="1899"/>
      <c r="X495" s="1971">
        <v>13239.987945416113</v>
      </c>
      <c r="Y495" s="1971">
        <v>11128.813730262551</v>
      </c>
      <c r="Z495" s="1971">
        <v>12432.773448272403</v>
      </c>
      <c r="AA495" s="1971">
        <v>10741.844561433729</v>
      </c>
      <c r="AB495" s="1971">
        <v>11815.713427455687</v>
      </c>
      <c r="AC495" s="1971">
        <v>14207.319556414075</v>
      </c>
      <c r="AD495" s="1971">
        <v>10643.790869539855</v>
      </c>
      <c r="AE495" s="1971">
        <v>11723.884570712613</v>
      </c>
      <c r="AF495" s="1971">
        <v>13305.491570151959</v>
      </c>
      <c r="AG495" s="1971">
        <v>11346.974940679103</v>
      </c>
      <c r="AH495" s="1971">
        <v>12560.109262499558</v>
      </c>
      <c r="AI495" s="1971">
        <v>13960.393658392823</v>
      </c>
      <c r="AJ495" s="2137">
        <v>36801.575123951065</v>
      </c>
      <c r="AK495" s="1971">
        <v>36764.87754530349</v>
      </c>
      <c r="AL495" s="1971">
        <v>35673.167010404424</v>
      </c>
      <c r="AM495" s="1971">
        <v>37867.477861571482</v>
      </c>
      <c r="AN495" s="1971">
        <v>73566.452669254562</v>
      </c>
      <c r="AO495" s="1971">
        <v>73540.644871975906</v>
      </c>
      <c r="AP495" s="1971">
        <v>147107.09754123047</v>
      </c>
    </row>
    <row r="496" spans="1:42" ht="14.5">
      <c r="A496" s="1693">
        <v>375</v>
      </c>
      <c r="B496" s="616">
        <v>1</v>
      </c>
      <c r="C496" s="1693">
        <v>392</v>
      </c>
      <c r="D496" s="616">
        <v>1</v>
      </c>
      <c r="E496" s="1693">
        <v>439</v>
      </c>
      <c r="F496" s="616">
        <v>1</v>
      </c>
      <c r="G496" s="1693">
        <v>488</v>
      </c>
      <c r="H496" s="616">
        <v>1</v>
      </c>
      <c r="K496" s="69"/>
      <c r="O496" s="94"/>
      <c r="P496" s="93"/>
      <c r="Q496" s="68"/>
      <c r="R496" s="68"/>
      <c r="T496" s="97" t="s">
        <v>1017</v>
      </c>
      <c r="U496" s="97"/>
      <c r="V496" s="97"/>
      <c r="W496" s="1899"/>
      <c r="X496" s="2138">
        <v>13239.987945416113</v>
      </c>
      <c r="Y496" s="2138">
        <v>11128.813730262551</v>
      </c>
      <c r="Z496" s="2138">
        <v>12432.773448272403</v>
      </c>
      <c r="AA496" s="2138">
        <v>10741.844561433729</v>
      </c>
      <c r="AB496" s="2138">
        <v>11815.713427455687</v>
      </c>
      <c r="AC496" s="2138">
        <v>14207.319556414075</v>
      </c>
      <c r="AD496" s="2138">
        <v>10643.790869539855</v>
      </c>
      <c r="AE496" s="2138">
        <v>11723.884570712613</v>
      </c>
      <c r="AF496" s="2138">
        <v>13305.491570151959</v>
      </c>
      <c r="AG496" s="2138">
        <v>11346.974940679103</v>
      </c>
      <c r="AH496" s="2138">
        <v>12560.109262499558</v>
      </c>
      <c r="AI496" s="2138">
        <v>13960.393658392823</v>
      </c>
      <c r="AJ496" s="2139">
        <v>36801.575123951065</v>
      </c>
      <c r="AK496" s="2138">
        <v>36764.87754530349</v>
      </c>
      <c r="AL496" s="2138">
        <v>35673.167010404424</v>
      </c>
      <c r="AM496" s="2138">
        <v>37867.477861571482</v>
      </c>
      <c r="AN496" s="2138">
        <v>73566.452669254562</v>
      </c>
      <c r="AO496" s="2138">
        <v>73540.644871975906</v>
      </c>
      <c r="AP496" s="2138">
        <v>147107.09754123047</v>
      </c>
    </row>
    <row r="497" spans="1:42" ht="14.5">
      <c r="A497" s="1693">
        <v>376</v>
      </c>
      <c r="B497" s="616">
        <v>1</v>
      </c>
      <c r="C497" s="1693">
        <v>393</v>
      </c>
      <c r="D497" s="616">
        <v>1</v>
      </c>
      <c r="E497" s="1693">
        <v>440</v>
      </c>
      <c r="F497" s="616">
        <v>1</v>
      </c>
      <c r="G497" s="1693">
        <v>489</v>
      </c>
      <c r="H497" s="616">
        <v>1</v>
      </c>
      <c r="K497" s="69"/>
      <c r="O497" s="94"/>
      <c r="P497" s="93"/>
      <c r="Q497" s="68"/>
      <c r="R497" s="68"/>
      <c r="U497" s="97" t="s">
        <v>1082</v>
      </c>
      <c r="V497" s="97"/>
      <c r="W497" s="1911"/>
      <c r="X497" s="2140">
        <v>13239.987945416113</v>
      </c>
      <c r="Y497" s="2140">
        <v>11128.813730262551</v>
      </c>
      <c r="Z497" s="2140">
        <v>12432.773448272403</v>
      </c>
      <c r="AA497" s="2140">
        <v>10741.844561433729</v>
      </c>
      <c r="AB497" s="2140">
        <v>11815.713427455687</v>
      </c>
      <c r="AC497" s="2140">
        <v>14207.319556414075</v>
      </c>
      <c r="AD497" s="2140">
        <v>10643.790869539855</v>
      </c>
      <c r="AE497" s="2140">
        <v>11723.884570712613</v>
      </c>
      <c r="AF497" s="2140">
        <v>13305.491570151959</v>
      </c>
      <c r="AG497" s="2140">
        <v>11346.974940679103</v>
      </c>
      <c r="AH497" s="2140">
        <v>12560.109262499558</v>
      </c>
      <c r="AI497" s="2140">
        <v>13960.393658392823</v>
      </c>
      <c r="AJ497" s="2139">
        <v>36801.575123951065</v>
      </c>
      <c r="AK497" s="2138">
        <v>36764.87754530349</v>
      </c>
      <c r="AL497" s="2138">
        <v>35673.167010404424</v>
      </c>
      <c r="AM497" s="2138">
        <v>37867.477861571482</v>
      </c>
      <c r="AN497" s="2138">
        <v>73566.452669254562</v>
      </c>
      <c r="AO497" s="2138">
        <v>73540.644871975906</v>
      </c>
      <c r="AP497" s="2138">
        <v>147107.09754123047</v>
      </c>
    </row>
    <row r="498" spans="1:42" ht="14.5">
      <c r="A498" s="1693">
        <v>377</v>
      </c>
      <c r="B498" s="616">
        <v>1</v>
      </c>
      <c r="C498" s="1693">
        <v>394</v>
      </c>
      <c r="D498" s="616">
        <v>1</v>
      </c>
      <c r="E498" s="1693">
        <v>441</v>
      </c>
      <c r="F498" s="616">
        <v>1</v>
      </c>
      <c r="G498" s="1693">
        <v>490</v>
      </c>
      <c r="H498" s="616">
        <v>1</v>
      </c>
      <c r="K498" s="69"/>
      <c r="O498" s="94"/>
      <c r="P498" s="93"/>
      <c r="Q498" s="68"/>
      <c r="R498" s="68"/>
      <c r="T498" s="285"/>
      <c r="U498" s="285" t="s">
        <v>1083</v>
      </c>
      <c r="V498" s="285"/>
      <c r="W498" s="1911"/>
      <c r="X498" s="2023"/>
      <c r="Y498" s="2023"/>
      <c r="Z498" s="2023"/>
      <c r="AA498" s="2023"/>
      <c r="AB498" s="2023"/>
      <c r="AC498" s="2023"/>
      <c r="AD498" s="2023"/>
      <c r="AE498" s="2023"/>
      <c r="AF498" s="2023"/>
      <c r="AG498" s="2023"/>
      <c r="AH498" s="2023"/>
      <c r="AI498" s="2023"/>
      <c r="AJ498" s="2137">
        <v>0</v>
      </c>
      <c r="AK498" s="1971">
        <v>0</v>
      </c>
      <c r="AL498" s="1971">
        <v>0</v>
      </c>
      <c r="AM498" s="1971">
        <v>0</v>
      </c>
      <c r="AN498" s="1971">
        <v>0</v>
      </c>
      <c r="AO498" s="1971">
        <v>0</v>
      </c>
      <c r="AP498" s="1971">
        <v>0</v>
      </c>
    </row>
    <row r="499" spans="1:42" ht="14.5" collapsed="1">
      <c r="A499" s="1693">
        <v>378</v>
      </c>
      <c r="B499" s="616">
        <v>1</v>
      </c>
      <c r="C499" s="1693">
        <v>395</v>
      </c>
      <c r="D499" s="616">
        <v>1</v>
      </c>
      <c r="E499" s="1693">
        <v>442</v>
      </c>
      <c r="F499" s="616">
        <v>1</v>
      </c>
      <c r="G499" s="1693">
        <v>491</v>
      </c>
      <c r="H499" s="616">
        <v>1</v>
      </c>
      <c r="K499" s="69"/>
      <c r="O499" s="94"/>
      <c r="P499" s="93"/>
      <c r="Q499" s="68"/>
      <c r="R499" s="68"/>
      <c r="S499" s="11"/>
      <c r="T499" s="288" t="s">
        <v>66</v>
      </c>
      <c r="U499" s="288"/>
      <c r="V499" s="288"/>
      <c r="W499" s="1911"/>
      <c r="X499" s="2141"/>
      <c r="Y499" s="2141"/>
      <c r="Z499" s="2141"/>
      <c r="AA499" s="2141"/>
      <c r="AB499" s="2141"/>
      <c r="AC499" s="2141"/>
      <c r="AD499" s="2141"/>
      <c r="AE499" s="2141"/>
      <c r="AF499" s="2141"/>
      <c r="AG499" s="2141"/>
      <c r="AH499" s="2141"/>
      <c r="AI499" s="2141"/>
      <c r="AJ499" s="2142">
        <v>0</v>
      </c>
      <c r="AK499" s="2143">
        <v>0</v>
      </c>
      <c r="AL499" s="2143">
        <v>0</v>
      </c>
      <c r="AM499" s="2143">
        <v>0</v>
      </c>
      <c r="AN499" s="2143">
        <v>0</v>
      </c>
      <c r="AO499" s="2143">
        <v>0</v>
      </c>
      <c r="AP499" s="2143">
        <v>0</v>
      </c>
    </row>
    <row r="500" spans="1:42" s="9" customFormat="1" ht="14.5">
      <c r="A500" s="1693">
        <v>379</v>
      </c>
      <c r="B500" s="616">
        <v>1</v>
      </c>
      <c r="C500" s="1693">
        <v>396</v>
      </c>
      <c r="D500" s="616">
        <v>1</v>
      </c>
      <c r="E500" s="1693">
        <v>443</v>
      </c>
      <c r="F500" s="616">
        <v>1</v>
      </c>
      <c r="G500" s="1693">
        <v>492</v>
      </c>
      <c r="H500" s="616">
        <v>1</v>
      </c>
      <c r="I500" s="616"/>
      <c r="K500" s="22"/>
      <c r="N500" s="22"/>
      <c r="O500" s="94"/>
      <c r="P500" s="214"/>
      <c r="Q500" s="68"/>
      <c r="R500" s="68"/>
      <c r="S500" s="8" t="s">
        <v>27</v>
      </c>
      <c r="T500" s="284"/>
      <c r="U500" s="284"/>
      <c r="V500" s="284"/>
      <c r="W500" s="1899"/>
      <c r="X500" s="1987">
        <v>12666.746537919536</v>
      </c>
      <c r="Y500" s="1987">
        <v>9700.126354591559</v>
      </c>
      <c r="Z500" s="1987">
        <v>9565.600651675386</v>
      </c>
      <c r="AA500" s="1987">
        <v>10183.791772150802</v>
      </c>
      <c r="AB500" s="1987">
        <v>10183.791772150802</v>
      </c>
      <c r="AC500" s="1987">
        <v>10183.791772150802</v>
      </c>
      <c r="AD500" s="1987">
        <v>10921.719955857137</v>
      </c>
      <c r="AE500" s="1987">
        <v>10355.304777494908</v>
      </c>
      <c r="AF500" s="1987">
        <v>10355.304777494908</v>
      </c>
      <c r="AG500" s="1987">
        <v>10964.790775287764</v>
      </c>
      <c r="AH500" s="1987">
        <v>10964.790775287764</v>
      </c>
      <c r="AI500" s="1987">
        <v>10964.790775287764</v>
      </c>
      <c r="AJ500" s="2144">
        <v>31932.473544186487</v>
      </c>
      <c r="AK500" s="1987">
        <v>30551.375316452406</v>
      </c>
      <c r="AL500" s="1987">
        <v>31632.329510846947</v>
      </c>
      <c r="AM500" s="1987">
        <v>32894.372325863289</v>
      </c>
      <c r="AN500" s="1987">
        <v>62483.848860638893</v>
      </c>
      <c r="AO500" s="1987">
        <v>64526.701836710236</v>
      </c>
      <c r="AP500" s="1987">
        <v>127010.55069734913</v>
      </c>
    </row>
    <row r="501" spans="1:42" ht="14.5">
      <c r="A501" s="1693">
        <v>380</v>
      </c>
      <c r="B501" s="616">
        <v>1</v>
      </c>
      <c r="C501" s="1693">
        <v>397</v>
      </c>
      <c r="D501" s="616">
        <v>1</v>
      </c>
      <c r="E501" s="1693">
        <v>444</v>
      </c>
      <c r="F501" s="616">
        <v>1</v>
      </c>
      <c r="G501" s="1693">
        <v>493</v>
      </c>
      <c r="H501" s="616">
        <v>1</v>
      </c>
      <c r="K501" s="69"/>
      <c r="O501" s="94"/>
      <c r="P501" s="93"/>
      <c r="Q501" s="68"/>
      <c r="R501" s="68"/>
      <c r="T501" s="97" t="s">
        <v>1017</v>
      </c>
      <c r="U501" s="97"/>
      <c r="V501" s="97"/>
      <c r="W501" s="1899"/>
      <c r="X501" s="2138">
        <v>21689.746537919538</v>
      </c>
      <c r="Y501" s="2138">
        <v>18723.126354591561</v>
      </c>
      <c r="Z501" s="2138">
        <v>18588.600651675388</v>
      </c>
      <c r="AA501" s="2138">
        <v>19045.758438817469</v>
      </c>
      <c r="AB501" s="2138">
        <v>19045.758438817469</v>
      </c>
      <c r="AC501" s="2138">
        <v>19045.758438817469</v>
      </c>
      <c r="AD501" s="2138">
        <v>19786.199955857137</v>
      </c>
      <c r="AE501" s="2138">
        <v>19219.784777494908</v>
      </c>
      <c r="AF501" s="2138">
        <v>19219.784777494908</v>
      </c>
      <c r="AG501" s="2138">
        <v>20209.094775287766</v>
      </c>
      <c r="AH501" s="2138">
        <v>20209.094775287766</v>
      </c>
      <c r="AI501" s="2138">
        <v>20209.094775287766</v>
      </c>
      <c r="AJ501" s="2139">
        <v>59001.47354418649</v>
      </c>
      <c r="AK501" s="2138">
        <v>57137.275316452404</v>
      </c>
      <c r="AL501" s="2138">
        <v>58225.769510846949</v>
      </c>
      <c r="AM501" s="2138">
        <v>60627.284325863293</v>
      </c>
      <c r="AN501" s="2138">
        <v>116138.74886063889</v>
      </c>
      <c r="AO501" s="2138">
        <v>118853.05383671024</v>
      </c>
      <c r="AP501" s="2138">
        <v>234991.80269734914</v>
      </c>
    </row>
    <row r="502" spans="1:42" ht="14.5">
      <c r="A502" s="1693">
        <v>381</v>
      </c>
      <c r="B502" s="616">
        <v>1</v>
      </c>
      <c r="C502" s="1693">
        <v>398</v>
      </c>
      <c r="D502" s="616">
        <v>1</v>
      </c>
      <c r="E502" s="1693">
        <v>445</v>
      </c>
      <c r="F502" s="616">
        <v>1</v>
      </c>
      <c r="G502" s="1693">
        <v>494</v>
      </c>
      <c r="H502" s="616">
        <v>1</v>
      </c>
      <c r="K502" s="69"/>
      <c r="O502" s="94"/>
      <c r="P502" s="93"/>
      <c r="Q502" s="68"/>
      <c r="R502" s="68"/>
      <c r="U502" s="97" t="s">
        <v>1082</v>
      </c>
      <c r="V502" s="869"/>
      <c r="W502" s="1899"/>
      <c r="X502" s="2145">
        <v>21689.746537919538</v>
      </c>
      <c r="Y502" s="2145">
        <v>18723.126354591561</v>
      </c>
      <c r="Z502" s="2145">
        <v>18588.600651675388</v>
      </c>
      <c r="AA502" s="2145">
        <v>19045.758438817469</v>
      </c>
      <c r="AB502" s="2145">
        <v>19045.758438817469</v>
      </c>
      <c r="AC502" s="2145">
        <v>19045.758438817469</v>
      </c>
      <c r="AD502" s="2145">
        <v>19786.199955857137</v>
      </c>
      <c r="AE502" s="2145">
        <v>19219.784777494908</v>
      </c>
      <c r="AF502" s="2145">
        <v>19219.784777494908</v>
      </c>
      <c r="AG502" s="2145">
        <v>20209.094775287766</v>
      </c>
      <c r="AH502" s="2145">
        <v>20209.094775287766</v>
      </c>
      <c r="AI502" s="2145">
        <v>20209.094775287766</v>
      </c>
      <c r="AJ502" s="2146">
        <v>59001.47354418649</v>
      </c>
      <c r="AK502" s="2145">
        <v>57137.275316452404</v>
      </c>
      <c r="AL502" s="2145">
        <v>58225.769510846949</v>
      </c>
      <c r="AM502" s="2145">
        <v>60627.284325863293</v>
      </c>
      <c r="AN502" s="2145">
        <v>116138.74886063889</v>
      </c>
      <c r="AO502" s="2145">
        <v>118853.05383671024</v>
      </c>
      <c r="AP502" s="2145">
        <v>234991.80269734914</v>
      </c>
    </row>
    <row r="503" spans="1:42" ht="14.5">
      <c r="A503" s="1693">
        <v>382</v>
      </c>
      <c r="B503" s="616">
        <v>1</v>
      </c>
      <c r="C503" s="1693">
        <v>399</v>
      </c>
      <c r="D503" s="616">
        <v>1</v>
      </c>
      <c r="E503" s="1693">
        <v>446</v>
      </c>
      <c r="F503" s="616">
        <v>1</v>
      </c>
      <c r="G503" s="1693">
        <v>495</v>
      </c>
      <c r="H503" s="616">
        <v>1</v>
      </c>
      <c r="K503" s="69"/>
      <c r="O503" s="94"/>
      <c r="P503" s="93"/>
      <c r="Q503" s="68"/>
      <c r="R503" s="68"/>
      <c r="V503" s="8" t="s">
        <v>1084</v>
      </c>
      <c r="W503" s="1911"/>
      <c r="X503" s="2021">
        <v>21689.746537919538</v>
      </c>
      <c r="Y503" s="2021">
        <v>18723.126354591561</v>
      </c>
      <c r="Z503" s="2021">
        <v>18588.600651675388</v>
      </c>
      <c r="AA503" s="2021">
        <v>19045.758438817469</v>
      </c>
      <c r="AB503" s="2021">
        <v>19045.758438817469</v>
      </c>
      <c r="AC503" s="2021">
        <v>19045.758438817469</v>
      </c>
      <c r="AD503" s="2021">
        <v>19786.199955857137</v>
      </c>
      <c r="AE503" s="2021">
        <v>19219.784777494908</v>
      </c>
      <c r="AF503" s="2021">
        <v>19219.784777494908</v>
      </c>
      <c r="AG503" s="2021">
        <v>20209.094775287766</v>
      </c>
      <c r="AH503" s="2021">
        <v>20209.094775287766</v>
      </c>
      <c r="AI503" s="2021">
        <v>20209.094775287766</v>
      </c>
      <c r="AJ503" s="2147">
        <v>59001.47354418649</v>
      </c>
      <c r="AK503" s="579">
        <v>57137.275316452404</v>
      </c>
      <c r="AL503" s="579">
        <v>58225.769510846949</v>
      </c>
      <c r="AM503" s="579">
        <v>60627.284325863293</v>
      </c>
      <c r="AN503" s="579">
        <v>116138.74886063889</v>
      </c>
      <c r="AO503" s="579">
        <v>118853.05383671024</v>
      </c>
      <c r="AP503" s="579">
        <v>234991.80269734914</v>
      </c>
    </row>
    <row r="504" spans="1:42" ht="14.5">
      <c r="A504" s="1693">
        <v>383</v>
      </c>
      <c r="B504" s="616">
        <v>1</v>
      </c>
      <c r="C504" s="1693">
        <v>400</v>
      </c>
      <c r="D504" s="616">
        <v>1</v>
      </c>
      <c r="E504" s="1693">
        <v>447</v>
      </c>
      <c r="F504" s="616">
        <v>1</v>
      </c>
      <c r="G504" s="1693">
        <v>496</v>
      </c>
      <c r="H504" s="616">
        <v>1</v>
      </c>
      <c r="K504" s="69"/>
      <c r="O504" s="94"/>
      <c r="P504" s="93"/>
      <c r="Q504" s="68"/>
      <c r="R504" s="68"/>
      <c r="V504" s="8" t="s">
        <v>1085</v>
      </c>
      <c r="W504" s="1911"/>
      <c r="X504" s="2021"/>
      <c r="Y504" s="2021"/>
      <c r="Z504" s="2021"/>
      <c r="AA504" s="2021"/>
      <c r="AB504" s="2021"/>
      <c r="AC504" s="2021"/>
      <c r="AD504" s="2021"/>
      <c r="AE504" s="2021"/>
      <c r="AF504" s="2021"/>
      <c r="AG504" s="2021"/>
      <c r="AH504" s="2021"/>
      <c r="AI504" s="2021"/>
      <c r="AJ504" s="2147">
        <v>0</v>
      </c>
      <c r="AK504" s="579">
        <v>0</v>
      </c>
      <c r="AL504" s="579">
        <v>0</v>
      </c>
      <c r="AM504" s="579">
        <v>0</v>
      </c>
      <c r="AN504" s="579">
        <v>0</v>
      </c>
      <c r="AO504" s="579">
        <v>0</v>
      </c>
      <c r="AP504" s="579">
        <v>0</v>
      </c>
    </row>
    <row r="505" spans="1:42" ht="14.5">
      <c r="A505" s="1693">
        <v>384</v>
      </c>
      <c r="B505" s="616">
        <v>1</v>
      </c>
      <c r="C505" s="1693">
        <v>401</v>
      </c>
      <c r="D505" s="616">
        <v>1</v>
      </c>
      <c r="E505" s="1693">
        <v>448</v>
      </c>
      <c r="F505" s="616">
        <v>1</v>
      </c>
      <c r="G505" s="1693">
        <v>497</v>
      </c>
      <c r="H505" s="616">
        <v>1</v>
      </c>
      <c r="K505" s="69"/>
      <c r="O505" s="94"/>
      <c r="P505" s="93"/>
      <c r="Q505" s="68"/>
      <c r="R505" s="68"/>
      <c r="U505" s="97" t="s">
        <v>1083</v>
      </c>
      <c r="V505" s="869"/>
      <c r="W505" s="1899"/>
      <c r="X505" s="2145">
        <v>0</v>
      </c>
      <c r="Y505" s="2145">
        <v>0</v>
      </c>
      <c r="Z505" s="2145">
        <v>0</v>
      </c>
      <c r="AA505" s="2145">
        <v>0</v>
      </c>
      <c r="AB505" s="2145">
        <v>0</v>
      </c>
      <c r="AC505" s="2145">
        <v>0</v>
      </c>
      <c r="AD505" s="2145">
        <v>0</v>
      </c>
      <c r="AE505" s="2145">
        <v>0</v>
      </c>
      <c r="AF505" s="2145">
        <v>0</v>
      </c>
      <c r="AG505" s="2145">
        <v>0</v>
      </c>
      <c r="AH505" s="2145">
        <v>0</v>
      </c>
      <c r="AI505" s="2145">
        <v>0</v>
      </c>
      <c r="AJ505" s="2146">
        <v>0</v>
      </c>
      <c r="AK505" s="2145">
        <v>0</v>
      </c>
      <c r="AL505" s="2145">
        <v>0</v>
      </c>
      <c r="AM505" s="2145">
        <v>0</v>
      </c>
      <c r="AN505" s="2145">
        <v>0</v>
      </c>
      <c r="AO505" s="2145">
        <v>0</v>
      </c>
      <c r="AP505" s="2145">
        <v>0</v>
      </c>
    </row>
    <row r="506" spans="1:42" ht="14.5">
      <c r="A506" s="1693">
        <v>385</v>
      </c>
      <c r="B506" s="616">
        <v>1</v>
      </c>
      <c r="C506" s="1693">
        <v>402</v>
      </c>
      <c r="D506" s="616">
        <v>1</v>
      </c>
      <c r="E506" s="1693">
        <v>449</v>
      </c>
      <c r="F506" s="616">
        <v>1</v>
      </c>
      <c r="G506" s="1693">
        <v>498</v>
      </c>
      <c r="H506" s="616">
        <v>1</v>
      </c>
      <c r="K506" s="69"/>
      <c r="O506" s="94"/>
      <c r="P506" s="93"/>
      <c r="Q506" s="68"/>
      <c r="R506" s="68"/>
      <c r="V506" s="8" t="s">
        <v>1084</v>
      </c>
      <c r="W506" s="1911"/>
      <c r="X506" s="2021"/>
      <c r="Y506" s="2021"/>
      <c r="Z506" s="2021"/>
      <c r="AA506" s="2021"/>
      <c r="AB506" s="2021"/>
      <c r="AC506" s="2021"/>
      <c r="AD506" s="2021"/>
      <c r="AE506" s="2021"/>
      <c r="AF506" s="2021"/>
      <c r="AG506" s="2021"/>
      <c r="AH506" s="2021"/>
      <c r="AI506" s="2021"/>
      <c r="AJ506" s="2147">
        <v>0</v>
      </c>
      <c r="AK506" s="579">
        <v>0</v>
      </c>
      <c r="AL506" s="579">
        <v>0</v>
      </c>
      <c r="AM506" s="579">
        <v>0</v>
      </c>
      <c r="AN506" s="579">
        <v>0</v>
      </c>
      <c r="AO506" s="579">
        <v>0</v>
      </c>
      <c r="AP506" s="579">
        <v>0</v>
      </c>
    </row>
    <row r="507" spans="1:42" ht="14.5">
      <c r="A507" s="1693">
        <v>386</v>
      </c>
      <c r="B507" s="616">
        <v>1</v>
      </c>
      <c r="C507" s="1693">
        <v>403</v>
      </c>
      <c r="D507" s="616">
        <v>1</v>
      </c>
      <c r="E507" s="1693">
        <v>450</v>
      </c>
      <c r="F507" s="616">
        <v>1</v>
      </c>
      <c r="G507" s="1693">
        <v>499</v>
      </c>
      <c r="H507" s="616">
        <v>1</v>
      </c>
      <c r="K507" s="69"/>
      <c r="O507" s="94"/>
      <c r="P507" s="93"/>
      <c r="Q507" s="68"/>
      <c r="R507" s="68"/>
      <c r="T507" s="285"/>
      <c r="U507" s="285"/>
      <c r="V507" s="285" t="s">
        <v>1085</v>
      </c>
      <c r="W507" s="1911"/>
      <c r="X507" s="2023"/>
      <c r="Y507" s="2023"/>
      <c r="Z507" s="2023"/>
      <c r="AA507" s="2023"/>
      <c r="AB507" s="2023"/>
      <c r="AC507" s="2023"/>
      <c r="AD507" s="2023"/>
      <c r="AE507" s="2023"/>
      <c r="AF507" s="2023"/>
      <c r="AG507" s="2023"/>
      <c r="AH507" s="2023"/>
      <c r="AI507" s="2023"/>
      <c r="AJ507" s="2137">
        <v>0</v>
      </c>
      <c r="AK507" s="1971">
        <v>0</v>
      </c>
      <c r="AL507" s="1971">
        <v>0</v>
      </c>
      <c r="AM507" s="1971">
        <v>0</v>
      </c>
      <c r="AN507" s="1971">
        <v>0</v>
      </c>
      <c r="AO507" s="1971">
        <v>0</v>
      </c>
      <c r="AP507" s="1971">
        <v>0</v>
      </c>
    </row>
    <row r="508" spans="1:42" ht="14.5" collapsed="1">
      <c r="A508" s="1693">
        <v>387</v>
      </c>
      <c r="B508" s="616">
        <v>1</v>
      </c>
      <c r="C508" s="1693">
        <v>404</v>
      </c>
      <c r="D508" s="616">
        <v>1</v>
      </c>
      <c r="E508" s="1693">
        <v>451</v>
      </c>
      <c r="F508" s="616">
        <v>1</v>
      </c>
      <c r="G508" s="1693">
        <v>500</v>
      </c>
      <c r="H508" s="616">
        <v>1</v>
      </c>
      <c r="K508" s="69"/>
      <c r="O508" s="94"/>
      <c r="P508" s="93"/>
      <c r="Q508" s="68"/>
      <c r="R508" s="68"/>
      <c r="T508" s="288" t="s">
        <v>66</v>
      </c>
      <c r="U508" s="288"/>
      <c r="V508" s="288"/>
      <c r="W508" s="1911"/>
      <c r="X508" s="2141"/>
      <c r="Y508" s="2141"/>
      <c r="Z508" s="2141"/>
      <c r="AA508" s="2141"/>
      <c r="AB508" s="2141"/>
      <c r="AC508" s="2141"/>
      <c r="AD508" s="2141"/>
      <c r="AE508" s="2141"/>
      <c r="AF508" s="2141"/>
      <c r="AG508" s="2141"/>
      <c r="AH508" s="2141"/>
      <c r="AI508" s="2141"/>
      <c r="AJ508" s="2142">
        <v>0</v>
      </c>
      <c r="AK508" s="2143">
        <v>0</v>
      </c>
      <c r="AL508" s="2143">
        <v>0</v>
      </c>
      <c r="AM508" s="2143">
        <v>0</v>
      </c>
      <c r="AN508" s="2143">
        <v>0</v>
      </c>
      <c r="AO508" s="2143">
        <v>0</v>
      </c>
      <c r="AP508" s="2143">
        <v>0</v>
      </c>
    </row>
    <row r="509" spans="1:42" ht="14.5">
      <c r="A509" s="1693">
        <v>388</v>
      </c>
      <c r="B509" s="616">
        <v>1</v>
      </c>
      <c r="C509" s="1693">
        <v>405</v>
      </c>
      <c r="D509" s="616">
        <v>1</v>
      </c>
      <c r="E509" s="1693">
        <v>452</v>
      </c>
      <c r="F509" s="616">
        <v>1</v>
      </c>
      <c r="G509" s="1693">
        <v>501</v>
      </c>
      <c r="H509" s="616">
        <v>1</v>
      </c>
      <c r="K509" s="69"/>
      <c r="O509" s="94"/>
      <c r="P509" s="93"/>
      <c r="Q509" s="68"/>
      <c r="R509" s="68"/>
      <c r="T509" s="298" t="s">
        <v>1088</v>
      </c>
      <c r="U509" s="298"/>
      <c r="V509" s="298"/>
      <c r="W509" s="1899"/>
      <c r="X509" s="1971">
        <v>-8990.0000000000018</v>
      </c>
      <c r="Y509" s="1971">
        <v>-8990.0000000000018</v>
      </c>
      <c r="Z509" s="1971">
        <v>-8990.0000000000018</v>
      </c>
      <c r="AA509" s="1971">
        <v>-8828.9666666666672</v>
      </c>
      <c r="AB509" s="1971">
        <v>-8828.9666666666672</v>
      </c>
      <c r="AC509" s="1971">
        <v>-8828.9666666666672</v>
      </c>
      <c r="AD509" s="1971">
        <v>-8831.48</v>
      </c>
      <c r="AE509" s="1971">
        <v>-8831.48</v>
      </c>
      <c r="AF509" s="1971">
        <v>-8831.48</v>
      </c>
      <c r="AG509" s="1971">
        <v>-9211.3040000000019</v>
      </c>
      <c r="AH509" s="1971">
        <v>-9211.3040000000019</v>
      </c>
      <c r="AI509" s="1971">
        <v>-9211.3040000000019</v>
      </c>
      <c r="AJ509" s="2137">
        <v>-26970.000000000004</v>
      </c>
      <c r="AK509" s="1971">
        <v>-26486.899999999998</v>
      </c>
      <c r="AL509" s="1971">
        <v>-26494.440000000002</v>
      </c>
      <c r="AM509" s="1971">
        <v>-27633.912000000004</v>
      </c>
      <c r="AN509" s="1971">
        <v>-53456.9</v>
      </c>
      <c r="AO509" s="1971">
        <v>-54128.352000000006</v>
      </c>
      <c r="AP509" s="1971">
        <v>-107585.25200000001</v>
      </c>
    </row>
    <row r="510" spans="1:42" ht="14.5">
      <c r="A510" s="1693">
        <v>389</v>
      </c>
      <c r="B510" s="616">
        <v>1</v>
      </c>
      <c r="C510" s="1693">
        <v>406</v>
      </c>
      <c r="D510" s="616">
        <v>1</v>
      </c>
      <c r="E510" s="1693">
        <v>453</v>
      </c>
      <c r="F510" s="616">
        <v>1</v>
      </c>
      <c r="G510" s="1693">
        <v>502</v>
      </c>
      <c r="H510" s="616">
        <v>1</v>
      </c>
      <c r="K510" s="69"/>
      <c r="O510" s="94"/>
      <c r="P510" s="93"/>
      <c r="Q510" s="68"/>
      <c r="R510" s="68"/>
      <c r="T510" s="291"/>
      <c r="U510" s="291"/>
      <c r="V510" s="291" t="s">
        <v>223</v>
      </c>
      <c r="W510" s="1911"/>
      <c r="X510" s="2140">
        <v>-3098.8000000000006</v>
      </c>
      <c r="Y510" s="2140">
        <v>-3098.8000000000006</v>
      </c>
      <c r="Z510" s="2140">
        <v>-3098.8000000000006</v>
      </c>
      <c r="AA510" s="2140">
        <v>-2991</v>
      </c>
      <c r="AB510" s="2140">
        <v>-2991</v>
      </c>
      <c r="AC510" s="2140">
        <v>-2991</v>
      </c>
      <c r="AD510" s="2140">
        <v>-2991</v>
      </c>
      <c r="AE510" s="2140">
        <v>-2991</v>
      </c>
      <c r="AF510" s="2140">
        <v>-2991</v>
      </c>
      <c r="AG510" s="2140">
        <v>-3098.8000000000006</v>
      </c>
      <c r="AH510" s="2140">
        <v>-3098.8000000000006</v>
      </c>
      <c r="AI510" s="2140">
        <v>-3098.8000000000006</v>
      </c>
      <c r="AJ510" s="2139">
        <v>-9296.4000000000015</v>
      </c>
      <c r="AK510" s="2138">
        <v>-8973</v>
      </c>
      <c r="AL510" s="2138">
        <v>-8973</v>
      </c>
      <c r="AM510" s="2138">
        <v>-9296.4000000000015</v>
      </c>
      <c r="AN510" s="2138">
        <v>-18269.400000000001</v>
      </c>
      <c r="AO510" s="2138">
        <v>-18269.400000000001</v>
      </c>
      <c r="AP510" s="2138">
        <v>-36538.800000000003</v>
      </c>
    </row>
    <row r="511" spans="1:42" ht="14.5">
      <c r="A511" s="1693">
        <v>390</v>
      </c>
      <c r="B511" s="616">
        <v>1</v>
      </c>
      <c r="C511" s="1693">
        <v>407</v>
      </c>
      <c r="D511" s="616">
        <v>1</v>
      </c>
      <c r="E511" s="1693">
        <v>454</v>
      </c>
      <c r="F511" s="616">
        <v>1</v>
      </c>
      <c r="G511" s="1693">
        <v>503</v>
      </c>
      <c r="H511" s="616">
        <v>1</v>
      </c>
      <c r="K511" s="69"/>
      <c r="L511" s="8"/>
      <c r="M511" s="8"/>
      <c r="O511" s="94"/>
      <c r="P511" s="93"/>
      <c r="Q511" s="68"/>
      <c r="R511" s="68"/>
      <c r="T511" s="229"/>
      <c r="U511" s="229"/>
      <c r="V511" s="229" t="s">
        <v>1089</v>
      </c>
      <c r="W511" s="1911"/>
      <c r="X511" s="2021">
        <v>-400</v>
      </c>
      <c r="Y511" s="2021">
        <v>-400</v>
      </c>
      <c r="Z511" s="2021">
        <v>-400</v>
      </c>
      <c r="AA511" s="2021">
        <v>-400</v>
      </c>
      <c r="AB511" s="2021">
        <v>-400</v>
      </c>
      <c r="AC511" s="2021">
        <v>-400</v>
      </c>
      <c r="AD511" s="2021">
        <v>-400</v>
      </c>
      <c r="AE511" s="2021">
        <v>-400</v>
      </c>
      <c r="AF511" s="2021">
        <v>-400</v>
      </c>
      <c r="AG511" s="2021">
        <v>-400</v>
      </c>
      <c r="AH511" s="2021">
        <v>-400</v>
      </c>
      <c r="AI511" s="2021">
        <v>-400</v>
      </c>
      <c r="AJ511" s="2147">
        <v>-1200</v>
      </c>
      <c r="AK511" s="579">
        <v>-1200</v>
      </c>
      <c r="AL511" s="579">
        <v>-1200</v>
      </c>
      <c r="AM511" s="579">
        <v>-1200</v>
      </c>
      <c r="AN511" s="579">
        <v>-2400</v>
      </c>
      <c r="AO511" s="579">
        <v>-2400</v>
      </c>
      <c r="AP511" s="579">
        <v>-4800</v>
      </c>
    </row>
    <row r="512" spans="1:42" ht="14.5">
      <c r="A512" s="1693">
        <v>391</v>
      </c>
      <c r="B512" s="616">
        <v>1</v>
      </c>
      <c r="C512" s="1693">
        <v>408</v>
      </c>
      <c r="D512" s="616">
        <v>1</v>
      </c>
      <c r="E512" s="1693">
        <v>455</v>
      </c>
      <c r="F512" s="616">
        <v>1</v>
      </c>
      <c r="G512" s="1693">
        <v>504</v>
      </c>
      <c r="H512" s="616">
        <v>1</v>
      </c>
      <c r="K512" s="69"/>
      <c r="O512" s="94"/>
      <c r="P512" s="93"/>
      <c r="Q512" s="68"/>
      <c r="R512" s="68"/>
      <c r="T512" s="228"/>
      <c r="U512" s="228"/>
      <c r="V512" s="228" t="s">
        <v>224</v>
      </c>
      <c r="W512" s="1911"/>
      <c r="X512" s="2153">
        <v>-5491.2000000000007</v>
      </c>
      <c r="Y512" s="2153">
        <v>-5491.2000000000007</v>
      </c>
      <c r="Z512" s="2153">
        <v>-5491.2000000000007</v>
      </c>
      <c r="AA512" s="2153">
        <v>-5437.9666666666662</v>
      </c>
      <c r="AB512" s="2153">
        <v>-5437.9666666666662</v>
      </c>
      <c r="AC512" s="2153">
        <v>-5437.9666666666662</v>
      </c>
      <c r="AD512" s="2153">
        <v>-5440.4800000000005</v>
      </c>
      <c r="AE512" s="2153">
        <v>-5440.4800000000005</v>
      </c>
      <c r="AF512" s="2153">
        <v>-5440.4800000000005</v>
      </c>
      <c r="AG512" s="2153">
        <v>-5712.5040000000008</v>
      </c>
      <c r="AH512" s="2153">
        <v>-5712.5040000000008</v>
      </c>
      <c r="AI512" s="2153">
        <v>-5712.5040000000008</v>
      </c>
      <c r="AJ512" s="2154">
        <v>-16473.600000000002</v>
      </c>
      <c r="AK512" s="584">
        <v>-16313.899999999998</v>
      </c>
      <c r="AL512" s="584">
        <v>-16321.440000000002</v>
      </c>
      <c r="AM512" s="584">
        <v>-17137.512000000002</v>
      </c>
      <c r="AN512" s="584">
        <v>-32787.5</v>
      </c>
      <c r="AO512" s="584">
        <v>-33458.952000000005</v>
      </c>
      <c r="AP512" s="584">
        <v>-66246.452000000005</v>
      </c>
    </row>
    <row r="513" spans="1:42" ht="14.5">
      <c r="A513" s="1693">
        <v>392</v>
      </c>
      <c r="B513" s="616">
        <v>1</v>
      </c>
      <c r="C513" s="1693">
        <v>409</v>
      </c>
      <c r="D513" s="616">
        <v>1</v>
      </c>
      <c r="E513" s="1693">
        <v>456</v>
      </c>
      <c r="F513" s="616">
        <v>1</v>
      </c>
      <c r="G513" s="1693">
        <v>505</v>
      </c>
      <c r="H513" s="616">
        <v>1</v>
      </c>
      <c r="K513" s="69"/>
      <c r="O513" s="94"/>
      <c r="P513" s="93"/>
      <c r="Q513" s="68"/>
      <c r="R513" s="68"/>
      <c r="T513" s="290" t="s">
        <v>1090</v>
      </c>
      <c r="U513" s="290"/>
      <c r="V513" s="290"/>
      <c r="W513" s="1899"/>
      <c r="X513" s="1987">
        <v>-33</v>
      </c>
      <c r="Y513" s="1987">
        <v>-33</v>
      </c>
      <c r="Z513" s="1987">
        <v>-33</v>
      </c>
      <c r="AA513" s="1987">
        <v>-33</v>
      </c>
      <c r="AB513" s="1987">
        <v>-33</v>
      </c>
      <c r="AC513" s="1987">
        <v>-33</v>
      </c>
      <c r="AD513" s="1987">
        <v>-33</v>
      </c>
      <c r="AE513" s="1987">
        <v>-33</v>
      </c>
      <c r="AF513" s="1987">
        <v>-33</v>
      </c>
      <c r="AG513" s="1987">
        <v>-33</v>
      </c>
      <c r="AH513" s="1987">
        <v>-33</v>
      </c>
      <c r="AI513" s="1987">
        <v>-33</v>
      </c>
      <c r="AJ513" s="2144">
        <v>-99</v>
      </c>
      <c r="AK513" s="1987">
        <v>-99</v>
      </c>
      <c r="AL513" s="1987">
        <v>-99</v>
      </c>
      <c r="AM513" s="1987">
        <v>-99</v>
      </c>
      <c r="AN513" s="1987">
        <v>-198</v>
      </c>
      <c r="AO513" s="1987">
        <v>-198</v>
      </c>
      <c r="AP513" s="1987">
        <v>-396</v>
      </c>
    </row>
    <row r="514" spans="1:42" ht="14.5">
      <c r="A514" s="1693">
        <v>393</v>
      </c>
      <c r="B514" s="616">
        <v>1</v>
      </c>
      <c r="C514" s="1693">
        <v>410</v>
      </c>
      <c r="D514" s="616">
        <v>1</v>
      </c>
      <c r="E514" s="1693">
        <v>457</v>
      </c>
      <c r="F514" s="616">
        <v>1</v>
      </c>
      <c r="G514" s="1693">
        <v>506</v>
      </c>
      <c r="H514" s="616">
        <v>1</v>
      </c>
      <c r="K514" s="69"/>
      <c r="O514" s="94"/>
      <c r="P514" s="93"/>
      <c r="Q514" s="68"/>
      <c r="R514" s="68"/>
      <c r="T514" s="291"/>
      <c r="U514" s="291"/>
      <c r="V514" s="291" t="s">
        <v>223</v>
      </c>
      <c r="W514" s="1911"/>
      <c r="X514" s="2140">
        <v>-33</v>
      </c>
      <c r="Y514" s="2140">
        <v>-33</v>
      </c>
      <c r="Z514" s="2140">
        <v>-33</v>
      </c>
      <c r="AA514" s="2140">
        <v>-33</v>
      </c>
      <c r="AB514" s="2140">
        <v>-33</v>
      </c>
      <c r="AC514" s="2140">
        <v>-33</v>
      </c>
      <c r="AD514" s="2140">
        <v>-33</v>
      </c>
      <c r="AE514" s="2140">
        <v>-33</v>
      </c>
      <c r="AF514" s="2140">
        <v>-33</v>
      </c>
      <c r="AG514" s="2140">
        <v>-33</v>
      </c>
      <c r="AH514" s="2140">
        <v>-33</v>
      </c>
      <c r="AI514" s="2140">
        <v>-33</v>
      </c>
      <c r="AJ514" s="2139">
        <v>-99</v>
      </c>
      <c r="AK514" s="2138">
        <v>-99</v>
      </c>
      <c r="AL514" s="2138">
        <v>-99</v>
      </c>
      <c r="AM514" s="2138">
        <v>-99</v>
      </c>
      <c r="AN514" s="2138">
        <v>-198</v>
      </c>
      <c r="AO514" s="2138">
        <v>-198</v>
      </c>
      <c r="AP514" s="2138">
        <v>-396</v>
      </c>
    </row>
    <row r="515" spans="1:42" ht="14.5">
      <c r="A515" s="1693">
        <v>394</v>
      </c>
      <c r="B515" s="616">
        <v>1</v>
      </c>
      <c r="C515" s="1693">
        <v>411</v>
      </c>
      <c r="D515" s="616">
        <v>1</v>
      </c>
      <c r="E515" s="1693">
        <v>458</v>
      </c>
      <c r="F515" s="616">
        <v>1</v>
      </c>
      <c r="G515" s="1693">
        <v>507</v>
      </c>
      <c r="H515" s="616">
        <v>1</v>
      </c>
      <c r="K515" s="69"/>
      <c r="O515" s="94"/>
      <c r="P515" s="93"/>
      <c r="Q515" s="68"/>
      <c r="R515" s="68"/>
      <c r="T515" s="228"/>
      <c r="U515" s="228"/>
      <c r="V515" s="228" t="s">
        <v>224</v>
      </c>
      <c r="W515" s="1911"/>
      <c r="X515" s="2153"/>
      <c r="Y515" s="2153"/>
      <c r="Z515" s="2153"/>
      <c r="AA515" s="2153"/>
      <c r="AB515" s="2153"/>
      <c r="AC515" s="2153"/>
      <c r="AD515" s="2153"/>
      <c r="AE515" s="2153"/>
      <c r="AF515" s="2153"/>
      <c r="AG515" s="2153"/>
      <c r="AH515" s="2153"/>
      <c r="AI515" s="2153"/>
      <c r="AJ515" s="2154">
        <v>0</v>
      </c>
      <c r="AK515" s="584">
        <v>0</v>
      </c>
      <c r="AL515" s="584">
        <v>0</v>
      </c>
      <c r="AM515" s="584">
        <v>0</v>
      </c>
      <c r="AN515" s="584">
        <v>0</v>
      </c>
      <c r="AO515" s="584">
        <v>0</v>
      </c>
      <c r="AP515" s="584">
        <v>0</v>
      </c>
    </row>
    <row r="516" spans="1:42" ht="14.5">
      <c r="A516" s="1693">
        <v>395</v>
      </c>
      <c r="B516" s="616">
        <v>1</v>
      </c>
      <c r="C516" s="1693">
        <v>412</v>
      </c>
      <c r="D516" s="616">
        <v>1</v>
      </c>
      <c r="E516" s="1693">
        <v>459</v>
      </c>
      <c r="F516" s="616">
        <v>1</v>
      </c>
      <c r="G516" s="1693">
        <v>508</v>
      </c>
      <c r="H516" s="616">
        <v>1</v>
      </c>
      <c r="K516" s="69"/>
      <c r="O516" s="94"/>
      <c r="P516" s="93"/>
      <c r="Q516" s="68"/>
      <c r="R516" s="68"/>
      <c r="T516" s="309" t="s">
        <v>1091</v>
      </c>
      <c r="U516" s="229"/>
      <c r="V516" s="229"/>
      <c r="W516" s="1911"/>
      <c r="X516" s="2021"/>
      <c r="Y516" s="2021"/>
      <c r="Z516" s="2021"/>
      <c r="AA516" s="2021"/>
      <c r="AB516" s="2021"/>
      <c r="AC516" s="2021"/>
      <c r="AD516" s="2021"/>
      <c r="AE516" s="2021"/>
      <c r="AF516" s="2021"/>
      <c r="AG516" s="2021"/>
      <c r="AH516" s="2021"/>
      <c r="AI516" s="2021"/>
      <c r="AJ516" s="2147">
        <v>0</v>
      </c>
      <c r="AK516" s="579">
        <v>0</v>
      </c>
      <c r="AL516" s="579">
        <v>0</v>
      </c>
      <c r="AM516" s="579">
        <v>0</v>
      </c>
      <c r="AN516" s="579">
        <v>0</v>
      </c>
      <c r="AO516" s="579">
        <v>0</v>
      </c>
      <c r="AP516" s="579">
        <v>0</v>
      </c>
    </row>
    <row r="517" spans="1:42" s="9" customFormat="1" ht="14.5">
      <c r="A517" s="1693">
        <v>396</v>
      </c>
      <c r="B517" s="616">
        <v>1</v>
      </c>
      <c r="C517" s="1693">
        <v>413</v>
      </c>
      <c r="D517" s="616">
        <v>1</v>
      </c>
      <c r="E517" s="1693">
        <v>460</v>
      </c>
      <c r="F517" s="616">
        <v>1</v>
      </c>
      <c r="G517" s="1693">
        <v>509</v>
      </c>
      <c r="H517" s="616">
        <v>1</v>
      </c>
      <c r="I517" s="616"/>
      <c r="K517" s="22"/>
      <c r="N517" s="22"/>
      <c r="O517" s="94"/>
      <c r="P517" s="214"/>
      <c r="Q517" s="67"/>
      <c r="R517" s="67"/>
      <c r="S517" s="1475" t="s">
        <v>2</v>
      </c>
      <c r="T517" s="1475"/>
      <c r="U517" s="1475"/>
      <c r="V517" s="1475"/>
      <c r="W517" s="1911"/>
      <c r="X517" s="2148"/>
      <c r="Y517" s="2148"/>
      <c r="Z517" s="2148"/>
      <c r="AA517" s="2148"/>
      <c r="AB517" s="2148"/>
      <c r="AC517" s="2148"/>
      <c r="AD517" s="2148"/>
      <c r="AE517" s="2148"/>
      <c r="AF517" s="2148"/>
      <c r="AG517" s="2148"/>
      <c r="AH517" s="2148"/>
      <c r="AI517" s="2148"/>
      <c r="AJ517" s="1919">
        <v>0</v>
      </c>
      <c r="AK517" s="1918">
        <v>0</v>
      </c>
      <c r="AL517" s="1918">
        <v>0</v>
      </c>
      <c r="AM517" s="1918">
        <v>0</v>
      </c>
      <c r="AN517" s="1918">
        <v>0</v>
      </c>
      <c r="AO517" s="1918">
        <v>0</v>
      </c>
      <c r="AP517" s="1918">
        <v>0</v>
      </c>
    </row>
    <row r="518" spans="1:42" ht="14.5">
      <c r="A518" s="1693">
        <v>397</v>
      </c>
      <c r="B518" s="616">
        <v>1</v>
      </c>
      <c r="C518" s="1693">
        <v>414</v>
      </c>
      <c r="D518" s="616">
        <v>1</v>
      </c>
      <c r="E518" s="1693">
        <v>461</v>
      </c>
      <c r="F518" s="616">
        <v>1</v>
      </c>
      <c r="G518" s="1693">
        <v>510</v>
      </c>
      <c r="H518" s="616">
        <v>1</v>
      </c>
      <c r="K518" s="69"/>
      <c r="O518" s="94"/>
      <c r="P518" s="93"/>
      <c r="Q518" s="583" t="s">
        <v>1019</v>
      </c>
      <c r="R518" s="583"/>
      <c r="S518" s="583"/>
      <c r="T518" s="583"/>
      <c r="U518" s="583"/>
      <c r="V518" s="583"/>
      <c r="W518" s="1812"/>
      <c r="X518" s="1319">
        <v>48010.763388743289</v>
      </c>
      <c r="Y518" s="2149">
        <v>38034.512882747498</v>
      </c>
      <c r="Z518" s="2149">
        <v>44802.857874319066</v>
      </c>
      <c r="AA518" s="2149">
        <v>39539.069155956196</v>
      </c>
      <c r="AB518" s="2149">
        <v>44976.675821698824</v>
      </c>
      <c r="AC518" s="2149">
        <v>49932.154242149365</v>
      </c>
      <c r="AD518" s="2149">
        <v>38414.580967742135</v>
      </c>
      <c r="AE518" s="2149">
        <v>40892.79889003982</v>
      </c>
      <c r="AF518" s="2149">
        <v>49122.795399217401</v>
      </c>
      <c r="AG518" s="2149">
        <v>38423.50001074023</v>
      </c>
      <c r="AH518" s="2149">
        <v>44176.110206296427</v>
      </c>
      <c r="AI518" s="2149">
        <v>49047.806574390372</v>
      </c>
      <c r="AJ518" s="2149">
        <v>130848.13414580986</v>
      </c>
      <c r="AK518" s="2149">
        <v>134447.89921980439</v>
      </c>
      <c r="AL518" s="2149">
        <v>128430.17525699936</v>
      </c>
      <c r="AM518" s="2149">
        <v>131647.41679142704</v>
      </c>
      <c r="AN518" s="2149">
        <v>265296.03336561425</v>
      </c>
      <c r="AO518" s="2149">
        <v>260077.59204842639</v>
      </c>
      <c r="AP518" s="2149">
        <v>525373.62541404064</v>
      </c>
    </row>
    <row r="519" spans="1:42" s="9" customFormat="1" ht="14.5">
      <c r="A519" s="1693">
        <v>398</v>
      </c>
      <c r="B519" s="616">
        <v>1</v>
      </c>
      <c r="C519" s="1693">
        <v>415</v>
      </c>
      <c r="D519" s="616">
        <v>1</v>
      </c>
      <c r="E519" s="1693">
        <v>462</v>
      </c>
      <c r="F519" s="616">
        <v>1</v>
      </c>
      <c r="G519" s="1693">
        <v>511</v>
      </c>
      <c r="H519" s="616">
        <v>1</v>
      </c>
      <c r="I519" s="616"/>
      <c r="K519" s="22"/>
      <c r="N519" s="22"/>
      <c r="O519" s="94"/>
      <c r="P519" s="214"/>
      <c r="Q519" s="63"/>
      <c r="R519" s="63"/>
      <c r="S519" s="8" t="s">
        <v>57</v>
      </c>
      <c r="T519" s="285"/>
      <c r="U519" s="285"/>
      <c r="V519" s="285"/>
      <c r="W519" s="1899"/>
      <c r="X519" s="1971">
        <v>24889.189762977669</v>
      </c>
      <c r="Y519" s="1971">
        <v>20997.563895341249</v>
      </c>
      <c r="Z519" s="1971">
        <v>22898.209176225319</v>
      </c>
      <c r="AA519" s="1971">
        <v>22502.120168549955</v>
      </c>
      <c r="AB519" s="1971">
        <v>24288.952051276949</v>
      </c>
      <c r="AC519" s="1971">
        <v>26810.580616383748</v>
      </c>
      <c r="AD519" s="1971">
        <v>22107.786936939014</v>
      </c>
      <c r="AE519" s="1971">
        <v>20205.075119617952</v>
      </c>
      <c r="AF519" s="1971">
        <v>25271.066816848659</v>
      </c>
      <c r="AG519" s="1971">
        <v>21629.936008868361</v>
      </c>
      <c r="AH519" s="1971">
        <v>23731.771421408932</v>
      </c>
      <c r="AI519" s="1971">
        <v>26656.387905227883</v>
      </c>
      <c r="AJ519" s="2137">
        <v>68784.962834544247</v>
      </c>
      <c r="AK519" s="1971">
        <v>73601.652836210647</v>
      </c>
      <c r="AL519" s="1971">
        <v>67583.928873405617</v>
      </c>
      <c r="AM519" s="1971">
        <v>72018.095335505175</v>
      </c>
      <c r="AN519" s="1971">
        <v>142386.61567075489</v>
      </c>
      <c r="AO519" s="1971">
        <v>139602.02420891079</v>
      </c>
      <c r="AP519" s="1971">
        <v>281988.63987966569</v>
      </c>
    </row>
    <row r="520" spans="1:42" ht="14.5">
      <c r="A520" s="1693">
        <v>399</v>
      </c>
      <c r="B520" s="616">
        <v>1</v>
      </c>
      <c r="C520" s="1693">
        <v>416</v>
      </c>
      <c r="D520" s="616">
        <v>1</v>
      </c>
      <c r="E520" s="1693">
        <v>463</v>
      </c>
      <c r="F520" s="616">
        <v>1</v>
      </c>
      <c r="G520" s="1693">
        <v>512</v>
      </c>
      <c r="H520" s="616">
        <v>1</v>
      </c>
      <c r="K520" s="69"/>
      <c r="O520" s="94"/>
      <c r="P520" s="93"/>
      <c r="Q520" s="63"/>
      <c r="R520" s="63"/>
      <c r="T520" s="97" t="s">
        <v>1017</v>
      </c>
      <c r="U520" s="97"/>
      <c r="V520" s="97"/>
      <c r="W520" s="1899"/>
      <c r="X520" s="2138">
        <v>24889.189762977669</v>
      </c>
      <c r="Y520" s="2138">
        <v>20997.563895341249</v>
      </c>
      <c r="Z520" s="2138">
        <v>22898.209176225319</v>
      </c>
      <c r="AA520" s="2138">
        <v>22502.120168549955</v>
      </c>
      <c r="AB520" s="2138">
        <v>24288.952051276949</v>
      </c>
      <c r="AC520" s="2138">
        <v>26810.580616383748</v>
      </c>
      <c r="AD520" s="2138">
        <v>22107.786936939014</v>
      </c>
      <c r="AE520" s="2138">
        <v>20205.075119617952</v>
      </c>
      <c r="AF520" s="2138">
        <v>25271.066816848659</v>
      </c>
      <c r="AG520" s="2138">
        <v>21629.936008868361</v>
      </c>
      <c r="AH520" s="2138">
        <v>23731.771421408932</v>
      </c>
      <c r="AI520" s="2138">
        <v>26656.387905227883</v>
      </c>
      <c r="AJ520" s="2139">
        <v>68784.962834544247</v>
      </c>
      <c r="AK520" s="2138">
        <v>73601.652836210647</v>
      </c>
      <c r="AL520" s="2138">
        <v>67583.928873405617</v>
      </c>
      <c r="AM520" s="2138">
        <v>72018.095335505175</v>
      </c>
      <c r="AN520" s="2138">
        <v>142386.61567075489</v>
      </c>
      <c r="AO520" s="2138">
        <v>139602.02420891079</v>
      </c>
      <c r="AP520" s="2138">
        <v>281988.63987966569</v>
      </c>
    </row>
    <row r="521" spans="1:42" ht="14.5">
      <c r="A521" s="1693">
        <v>400</v>
      </c>
      <c r="B521" s="616">
        <v>1</v>
      </c>
      <c r="C521" s="1693">
        <v>417</v>
      </c>
      <c r="D521" s="616">
        <v>1</v>
      </c>
      <c r="E521" s="1693">
        <v>464</v>
      </c>
      <c r="F521" s="616">
        <v>1</v>
      </c>
      <c r="G521" s="1693">
        <v>513</v>
      </c>
      <c r="H521" s="616">
        <v>1</v>
      </c>
      <c r="K521" s="69"/>
      <c r="O521" s="94"/>
      <c r="P521" s="93"/>
      <c r="Q521" s="63"/>
      <c r="R521" s="63"/>
      <c r="U521" s="97" t="s">
        <v>1082</v>
      </c>
      <c r="V521" s="97"/>
      <c r="W521" s="1911"/>
      <c r="X521" s="2140">
        <v>24889.189762977669</v>
      </c>
      <c r="Y521" s="2140">
        <v>20997.563895341249</v>
      </c>
      <c r="Z521" s="2140">
        <v>22898.209176225319</v>
      </c>
      <c r="AA521" s="2140">
        <v>22502.120168549955</v>
      </c>
      <c r="AB521" s="2140">
        <v>24288.952051276949</v>
      </c>
      <c r="AC521" s="2140">
        <v>26810.580616383748</v>
      </c>
      <c r="AD521" s="2140">
        <v>22107.786936939014</v>
      </c>
      <c r="AE521" s="2140">
        <v>20205.075119617952</v>
      </c>
      <c r="AF521" s="2140">
        <v>25271.066816848659</v>
      </c>
      <c r="AG521" s="2140">
        <v>21629.936008868361</v>
      </c>
      <c r="AH521" s="2140">
        <v>23731.771421408932</v>
      </c>
      <c r="AI521" s="2140">
        <v>26656.387905227883</v>
      </c>
      <c r="AJ521" s="2139">
        <v>68784.962834544247</v>
      </c>
      <c r="AK521" s="2138">
        <v>73601.652836210647</v>
      </c>
      <c r="AL521" s="2138">
        <v>67583.928873405617</v>
      </c>
      <c r="AM521" s="2138">
        <v>72018.095335505175</v>
      </c>
      <c r="AN521" s="2138">
        <v>142386.61567075489</v>
      </c>
      <c r="AO521" s="2138">
        <v>139602.02420891079</v>
      </c>
      <c r="AP521" s="2138">
        <v>281988.63987966569</v>
      </c>
    </row>
    <row r="522" spans="1:42" ht="14.5">
      <c r="A522" s="1693">
        <v>401</v>
      </c>
      <c r="B522" s="616">
        <v>1</v>
      </c>
      <c r="C522" s="1693">
        <v>418</v>
      </c>
      <c r="D522" s="616">
        <v>1</v>
      </c>
      <c r="E522" s="1693">
        <v>465</v>
      </c>
      <c r="F522" s="616">
        <v>1</v>
      </c>
      <c r="G522" s="1693">
        <v>514</v>
      </c>
      <c r="H522" s="616">
        <v>1</v>
      </c>
      <c r="K522" s="69"/>
      <c r="O522" s="94"/>
      <c r="P522" s="93"/>
      <c r="Q522" s="63"/>
      <c r="R522" s="63"/>
      <c r="T522" s="285"/>
      <c r="U522" s="285" t="s">
        <v>1083</v>
      </c>
      <c r="V522" s="285"/>
      <c r="W522" s="1911"/>
      <c r="X522" s="2023"/>
      <c r="Y522" s="2023"/>
      <c r="Z522" s="2023"/>
      <c r="AA522" s="2023"/>
      <c r="AB522" s="2023"/>
      <c r="AC522" s="2023"/>
      <c r="AD522" s="2023"/>
      <c r="AE522" s="2023"/>
      <c r="AF522" s="2023"/>
      <c r="AG522" s="2023"/>
      <c r="AH522" s="2023"/>
      <c r="AI522" s="2023"/>
      <c r="AJ522" s="2137">
        <v>0</v>
      </c>
      <c r="AK522" s="1971">
        <v>0</v>
      </c>
      <c r="AL522" s="1971">
        <v>0</v>
      </c>
      <c r="AM522" s="1971">
        <v>0</v>
      </c>
      <c r="AN522" s="1971">
        <v>0</v>
      </c>
      <c r="AO522" s="1971">
        <v>0</v>
      </c>
      <c r="AP522" s="1971">
        <v>0</v>
      </c>
    </row>
    <row r="523" spans="1:42" ht="14.5" collapsed="1">
      <c r="A523" s="1693">
        <v>402</v>
      </c>
      <c r="B523" s="616">
        <v>1</v>
      </c>
      <c r="C523" s="1693">
        <v>419</v>
      </c>
      <c r="D523" s="616">
        <v>1</v>
      </c>
      <c r="E523" s="1693">
        <v>466</v>
      </c>
      <c r="F523" s="616">
        <v>1</v>
      </c>
      <c r="G523" s="1693">
        <v>515</v>
      </c>
      <c r="H523" s="616">
        <v>1</v>
      </c>
      <c r="K523" s="69"/>
      <c r="O523" s="94"/>
      <c r="P523" s="93"/>
      <c r="Q523" s="63"/>
      <c r="R523" s="63"/>
      <c r="S523" s="11"/>
      <c r="T523" s="288" t="s">
        <v>66</v>
      </c>
      <c r="U523" s="288"/>
      <c r="V523" s="288"/>
      <c r="W523" s="1911"/>
      <c r="X523" s="2141"/>
      <c r="Y523" s="2141"/>
      <c r="Z523" s="2141"/>
      <c r="AA523" s="2141"/>
      <c r="AB523" s="2141"/>
      <c r="AC523" s="2141"/>
      <c r="AD523" s="2141"/>
      <c r="AE523" s="2141"/>
      <c r="AF523" s="2141"/>
      <c r="AG523" s="2141"/>
      <c r="AH523" s="2141"/>
      <c r="AI523" s="2141"/>
      <c r="AJ523" s="2142">
        <v>0</v>
      </c>
      <c r="AK523" s="2143">
        <v>0</v>
      </c>
      <c r="AL523" s="2143">
        <v>0</v>
      </c>
      <c r="AM523" s="2143">
        <v>0</v>
      </c>
      <c r="AN523" s="2143">
        <v>0</v>
      </c>
      <c r="AO523" s="2143">
        <v>0</v>
      </c>
      <c r="AP523" s="2143">
        <v>0</v>
      </c>
    </row>
    <row r="524" spans="1:42" s="9" customFormat="1" ht="14.5">
      <c r="A524" s="1693">
        <v>403</v>
      </c>
      <c r="B524" s="616">
        <v>1</v>
      </c>
      <c r="C524" s="1693">
        <v>420</v>
      </c>
      <c r="D524" s="616">
        <v>1</v>
      </c>
      <c r="E524" s="1693">
        <v>467</v>
      </c>
      <c r="F524" s="616">
        <v>1</v>
      </c>
      <c r="G524" s="1693">
        <v>516</v>
      </c>
      <c r="H524" s="616">
        <v>1</v>
      </c>
      <c r="I524" s="616"/>
      <c r="K524" s="22"/>
      <c r="N524" s="22"/>
      <c r="O524" s="94"/>
      <c r="P524" s="214"/>
      <c r="Q524" s="63"/>
      <c r="R524" s="63"/>
      <c r="S524" s="8" t="s">
        <v>27</v>
      </c>
      <c r="T524" s="285"/>
      <c r="U524" s="285"/>
      <c r="V524" s="285"/>
      <c r="W524" s="1899"/>
      <c r="X524" s="1971">
        <v>23121.573625765617</v>
      </c>
      <c r="Y524" s="1971">
        <v>17036.948987406246</v>
      </c>
      <c r="Z524" s="1971">
        <v>21904.648698093748</v>
      </c>
      <c r="AA524" s="1971">
        <v>17036.948987406246</v>
      </c>
      <c r="AB524" s="1971">
        <v>20687.723770421871</v>
      </c>
      <c r="AC524" s="1971">
        <v>23121.573625765617</v>
      </c>
      <c r="AD524" s="1971">
        <v>16306.794030803119</v>
      </c>
      <c r="AE524" s="1971">
        <v>20687.723770421871</v>
      </c>
      <c r="AF524" s="1971">
        <v>23851.728582368742</v>
      </c>
      <c r="AG524" s="1971">
        <v>16793.564001871873</v>
      </c>
      <c r="AH524" s="1971">
        <v>20444.338784887495</v>
      </c>
      <c r="AI524" s="1971">
        <v>22391.418669162493</v>
      </c>
      <c r="AJ524" s="2137">
        <v>62063.171311265614</v>
      </c>
      <c r="AK524" s="1971">
        <v>60846.246383593731</v>
      </c>
      <c r="AL524" s="1971">
        <v>60846.246383593731</v>
      </c>
      <c r="AM524" s="1971">
        <v>59629.321455921861</v>
      </c>
      <c r="AN524" s="1971">
        <v>122909.41769485935</v>
      </c>
      <c r="AO524" s="1971">
        <v>120475.5678395156</v>
      </c>
      <c r="AP524" s="1971">
        <v>243384.98553437495</v>
      </c>
    </row>
    <row r="525" spans="1:42" ht="14.5">
      <c r="A525" s="1693">
        <v>404</v>
      </c>
      <c r="B525" s="616">
        <v>1</v>
      </c>
      <c r="C525" s="1693">
        <v>421</v>
      </c>
      <c r="D525" s="616">
        <v>1</v>
      </c>
      <c r="E525" s="1693">
        <v>468</v>
      </c>
      <c r="F525" s="616">
        <v>1</v>
      </c>
      <c r="G525" s="1693">
        <v>517</v>
      </c>
      <c r="H525" s="616">
        <v>1</v>
      </c>
      <c r="K525" s="69"/>
      <c r="O525" s="94"/>
      <c r="P525" s="93"/>
      <c r="Q525" s="63"/>
      <c r="R525" s="63"/>
      <c r="T525" s="97" t="s">
        <v>1017</v>
      </c>
      <c r="U525" s="97"/>
      <c r="V525" s="97"/>
      <c r="W525" s="1899"/>
      <c r="X525" s="2138">
        <v>23121.573625765617</v>
      </c>
      <c r="Y525" s="2138">
        <v>17036.948987406246</v>
      </c>
      <c r="Z525" s="2138">
        <v>21904.648698093748</v>
      </c>
      <c r="AA525" s="2138">
        <v>17036.948987406246</v>
      </c>
      <c r="AB525" s="2138">
        <v>20687.723770421871</v>
      </c>
      <c r="AC525" s="2138">
        <v>23121.573625765617</v>
      </c>
      <c r="AD525" s="2138">
        <v>16306.794030803119</v>
      </c>
      <c r="AE525" s="2138">
        <v>20687.723770421871</v>
      </c>
      <c r="AF525" s="2138">
        <v>23851.728582368742</v>
      </c>
      <c r="AG525" s="2138">
        <v>16793.564001871873</v>
      </c>
      <c r="AH525" s="2138">
        <v>20444.338784887495</v>
      </c>
      <c r="AI525" s="2138">
        <v>22391.418669162493</v>
      </c>
      <c r="AJ525" s="2139">
        <v>62063.171311265614</v>
      </c>
      <c r="AK525" s="2138">
        <v>60846.246383593731</v>
      </c>
      <c r="AL525" s="2138">
        <v>60846.246383593731</v>
      </c>
      <c r="AM525" s="2138">
        <v>59629.321455921861</v>
      </c>
      <c r="AN525" s="2138">
        <v>122909.41769485935</v>
      </c>
      <c r="AO525" s="2138">
        <v>120475.5678395156</v>
      </c>
      <c r="AP525" s="2138">
        <v>243384.98553437495</v>
      </c>
    </row>
    <row r="526" spans="1:42" ht="14.5">
      <c r="A526" s="1693">
        <v>405</v>
      </c>
      <c r="B526" s="616">
        <v>1</v>
      </c>
      <c r="C526" s="1693">
        <v>422</v>
      </c>
      <c r="D526" s="616">
        <v>1</v>
      </c>
      <c r="E526" s="1693">
        <v>469</v>
      </c>
      <c r="F526" s="616">
        <v>1</v>
      </c>
      <c r="G526" s="1693">
        <v>518</v>
      </c>
      <c r="H526" s="616">
        <v>1</v>
      </c>
      <c r="K526" s="69"/>
      <c r="O526" s="94"/>
      <c r="P526" s="93"/>
      <c r="Q526" s="63"/>
      <c r="R526" s="63"/>
      <c r="U526" s="97" t="s">
        <v>1082</v>
      </c>
      <c r="V526" s="97"/>
      <c r="W526" s="1899"/>
      <c r="X526" s="2138">
        <v>23121.573625765617</v>
      </c>
      <c r="Y526" s="2138">
        <v>17036.948987406246</v>
      </c>
      <c r="Z526" s="2138">
        <v>21904.648698093748</v>
      </c>
      <c r="AA526" s="2138">
        <v>17036.948987406246</v>
      </c>
      <c r="AB526" s="2138">
        <v>20687.723770421871</v>
      </c>
      <c r="AC526" s="2138">
        <v>23121.573625765617</v>
      </c>
      <c r="AD526" s="2138">
        <v>16306.794030803119</v>
      </c>
      <c r="AE526" s="2138">
        <v>20687.723770421871</v>
      </c>
      <c r="AF526" s="2138">
        <v>23851.728582368742</v>
      </c>
      <c r="AG526" s="2138">
        <v>16793.564001871873</v>
      </c>
      <c r="AH526" s="2138">
        <v>20444.338784887495</v>
      </c>
      <c r="AI526" s="2138">
        <v>22391.418669162493</v>
      </c>
      <c r="AJ526" s="2139">
        <v>62063.171311265614</v>
      </c>
      <c r="AK526" s="2138">
        <v>60846.246383593731</v>
      </c>
      <c r="AL526" s="2138">
        <v>60846.246383593731</v>
      </c>
      <c r="AM526" s="2138">
        <v>59629.321455921861</v>
      </c>
      <c r="AN526" s="2138">
        <v>122909.41769485935</v>
      </c>
      <c r="AO526" s="2138">
        <v>120475.5678395156</v>
      </c>
      <c r="AP526" s="2138">
        <v>243384.98553437495</v>
      </c>
    </row>
    <row r="527" spans="1:42" ht="14.5">
      <c r="A527" s="1693">
        <v>406</v>
      </c>
      <c r="B527" s="616">
        <v>1</v>
      </c>
      <c r="C527" s="1693">
        <v>423</v>
      </c>
      <c r="D527" s="616">
        <v>1</v>
      </c>
      <c r="E527" s="1693">
        <v>470</v>
      </c>
      <c r="F527" s="616">
        <v>1</v>
      </c>
      <c r="G527" s="1693">
        <v>519</v>
      </c>
      <c r="H527" s="616">
        <v>1</v>
      </c>
      <c r="K527" s="69"/>
      <c r="O527" s="94"/>
      <c r="P527" s="93"/>
      <c r="Q527" s="63"/>
      <c r="R527" s="63"/>
      <c r="V527" s="8" t="s">
        <v>1086</v>
      </c>
      <c r="W527" s="1911"/>
      <c r="X527" s="2021">
        <v>23121.573625765617</v>
      </c>
      <c r="Y527" s="2021">
        <v>17036.948987406246</v>
      </c>
      <c r="Z527" s="2021">
        <v>21904.648698093748</v>
      </c>
      <c r="AA527" s="2021">
        <v>17036.948987406246</v>
      </c>
      <c r="AB527" s="2021">
        <v>20687.723770421871</v>
      </c>
      <c r="AC527" s="2021">
        <v>23121.573625765617</v>
      </c>
      <c r="AD527" s="2021">
        <v>16306.794030803119</v>
      </c>
      <c r="AE527" s="2021">
        <v>20687.723770421871</v>
      </c>
      <c r="AF527" s="2021">
        <v>23851.728582368742</v>
      </c>
      <c r="AG527" s="2021">
        <v>16793.564001871873</v>
      </c>
      <c r="AH527" s="2021">
        <v>20444.338784887495</v>
      </c>
      <c r="AI527" s="2021">
        <v>22391.418669162493</v>
      </c>
      <c r="AJ527" s="2147">
        <v>62063.171311265614</v>
      </c>
      <c r="AK527" s="579">
        <v>60846.246383593731</v>
      </c>
      <c r="AL527" s="579">
        <v>60846.246383593731</v>
      </c>
      <c r="AM527" s="579">
        <v>59629.321455921861</v>
      </c>
      <c r="AN527" s="579">
        <v>122909.41769485935</v>
      </c>
      <c r="AO527" s="579">
        <v>120475.5678395156</v>
      </c>
      <c r="AP527" s="579">
        <v>243384.98553437495</v>
      </c>
    </row>
    <row r="528" spans="1:42" ht="14.5">
      <c r="A528" s="1693">
        <v>407</v>
      </c>
      <c r="B528" s="616">
        <v>1</v>
      </c>
      <c r="C528" s="1693">
        <v>424</v>
      </c>
      <c r="D528" s="616">
        <v>1</v>
      </c>
      <c r="E528" s="1693">
        <v>471</v>
      </c>
      <c r="F528" s="616">
        <v>1</v>
      </c>
      <c r="G528" s="1693">
        <v>520</v>
      </c>
      <c r="H528" s="616">
        <v>1</v>
      </c>
      <c r="K528" s="69"/>
      <c r="O528" s="94"/>
      <c r="P528" s="93"/>
      <c r="Q528" s="63"/>
      <c r="R528" s="63"/>
      <c r="V528" s="8" t="s">
        <v>1087</v>
      </c>
      <c r="W528" s="1911"/>
      <c r="X528" s="2021"/>
      <c r="Y528" s="2021"/>
      <c r="Z528" s="2021"/>
      <c r="AA528" s="2021"/>
      <c r="AB528" s="2021"/>
      <c r="AC528" s="2021"/>
      <c r="AD528" s="2021"/>
      <c r="AE528" s="2021"/>
      <c r="AF528" s="2021"/>
      <c r="AG528" s="2021"/>
      <c r="AH528" s="2021"/>
      <c r="AI528" s="2021"/>
      <c r="AJ528" s="2147">
        <v>0</v>
      </c>
      <c r="AK528" s="579">
        <v>0</v>
      </c>
      <c r="AL528" s="579">
        <v>0</v>
      </c>
      <c r="AM528" s="579">
        <v>0</v>
      </c>
      <c r="AN528" s="579">
        <v>0</v>
      </c>
      <c r="AO528" s="579">
        <v>0</v>
      </c>
      <c r="AP528" s="579">
        <v>0</v>
      </c>
    </row>
    <row r="529" spans="1:42" ht="14.5">
      <c r="A529" s="1693">
        <v>408</v>
      </c>
      <c r="B529" s="616">
        <v>1</v>
      </c>
      <c r="C529" s="1693">
        <v>425</v>
      </c>
      <c r="D529" s="616">
        <v>1</v>
      </c>
      <c r="E529" s="1693">
        <v>472</v>
      </c>
      <c r="F529" s="616">
        <v>1</v>
      </c>
      <c r="G529" s="1693">
        <v>521</v>
      </c>
      <c r="H529" s="616">
        <v>1</v>
      </c>
      <c r="K529" s="69"/>
      <c r="O529" s="94"/>
      <c r="P529" s="93"/>
      <c r="Q529" s="63"/>
      <c r="R529" s="63"/>
      <c r="U529" s="97" t="s">
        <v>1083</v>
      </c>
      <c r="V529" s="97"/>
      <c r="W529" s="1899"/>
      <c r="X529" s="2138">
        <v>0</v>
      </c>
      <c r="Y529" s="2138">
        <v>0</v>
      </c>
      <c r="Z529" s="2138">
        <v>0</v>
      </c>
      <c r="AA529" s="2138">
        <v>0</v>
      </c>
      <c r="AB529" s="2138">
        <v>0</v>
      </c>
      <c r="AC529" s="2138">
        <v>0</v>
      </c>
      <c r="AD529" s="2138">
        <v>0</v>
      </c>
      <c r="AE529" s="2138">
        <v>0</v>
      </c>
      <c r="AF529" s="2138">
        <v>0</v>
      </c>
      <c r="AG529" s="2138">
        <v>0</v>
      </c>
      <c r="AH529" s="2138">
        <v>0</v>
      </c>
      <c r="AI529" s="2138">
        <v>0</v>
      </c>
      <c r="AJ529" s="2139">
        <v>0</v>
      </c>
      <c r="AK529" s="2138">
        <v>0</v>
      </c>
      <c r="AL529" s="2138">
        <v>0</v>
      </c>
      <c r="AM529" s="2138">
        <v>0</v>
      </c>
      <c r="AN529" s="2138">
        <v>0</v>
      </c>
      <c r="AO529" s="2138">
        <v>0</v>
      </c>
      <c r="AP529" s="2138">
        <v>0</v>
      </c>
    </row>
    <row r="530" spans="1:42" ht="14.5">
      <c r="A530" s="1693">
        <v>409</v>
      </c>
      <c r="B530" s="616">
        <v>1</v>
      </c>
      <c r="C530" s="1693">
        <v>426</v>
      </c>
      <c r="D530" s="616">
        <v>1</v>
      </c>
      <c r="E530" s="1693">
        <v>473</v>
      </c>
      <c r="F530" s="616">
        <v>1</v>
      </c>
      <c r="G530" s="1693">
        <v>522</v>
      </c>
      <c r="H530" s="616">
        <v>1</v>
      </c>
      <c r="K530" s="69"/>
      <c r="O530" s="94"/>
      <c r="P530" s="93"/>
      <c r="Q530" s="63"/>
      <c r="R530" s="63"/>
      <c r="V530" s="8" t="s">
        <v>1086</v>
      </c>
      <c r="W530" s="1911"/>
      <c r="X530" s="2021"/>
      <c r="Y530" s="2021"/>
      <c r="Z530" s="2021"/>
      <c r="AA530" s="2021"/>
      <c r="AB530" s="2021"/>
      <c r="AC530" s="2021"/>
      <c r="AD530" s="2021"/>
      <c r="AE530" s="2021"/>
      <c r="AF530" s="2021"/>
      <c r="AG530" s="2021"/>
      <c r="AH530" s="2021"/>
      <c r="AI530" s="2021"/>
      <c r="AJ530" s="2147">
        <v>0</v>
      </c>
      <c r="AK530" s="579">
        <v>0</v>
      </c>
      <c r="AL530" s="579">
        <v>0</v>
      </c>
      <c r="AM530" s="579">
        <v>0</v>
      </c>
      <c r="AN530" s="579">
        <v>0</v>
      </c>
      <c r="AO530" s="579">
        <v>0</v>
      </c>
      <c r="AP530" s="579">
        <v>0</v>
      </c>
    </row>
    <row r="531" spans="1:42" ht="14.5">
      <c r="A531" s="1693">
        <v>410</v>
      </c>
      <c r="B531" s="616">
        <v>1</v>
      </c>
      <c r="C531" s="1693">
        <v>427</v>
      </c>
      <c r="D531" s="616">
        <v>1</v>
      </c>
      <c r="E531" s="1693">
        <v>474</v>
      </c>
      <c r="F531" s="616">
        <v>1</v>
      </c>
      <c r="G531" s="1693">
        <v>523</v>
      </c>
      <c r="H531" s="616">
        <v>1</v>
      </c>
      <c r="K531" s="69"/>
      <c r="O531" s="94"/>
      <c r="P531" s="93"/>
      <c r="Q531" s="63"/>
      <c r="R531" s="63"/>
      <c r="T531" s="285"/>
      <c r="U531" s="285"/>
      <c r="V531" s="285" t="s">
        <v>1087</v>
      </c>
      <c r="W531" s="1911"/>
      <c r="X531" s="2023"/>
      <c r="Y531" s="2023"/>
      <c r="Z531" s="2023"/>
      <c r="AA531" s="2023"/>
      <c r="AB531" s="2023"/>
      <c r="AC531" s="2023"/>
      <c r="AD531" s="2023"/>
      <c r="AE531" s="2023"/>
      <c r="AF531" s="2023"/>
      <c r="AG531" s="2023"/>
      <c r="AH531" s="2023"/>
      <c r="AI531" s="2023"/>
      <c r="AJ531" s="2137">
        <v>0</v>
      </c>
      <c r="AK531" s="1971">
        <v>0</v>
      </c>
      <c r="AL531" s="1971">
        <v>0</v>
      </c>
      <c r="AM531" s="1971">
        <v>0</v>
      </c>
      <c r="AN531" s="1971">
        <v>0</v>
      </c>
      <c r="AO531" s="1971">
        <v>0</v>
      </c>
      <c r="AP531" s="1971">
        <v>0</v>
      </c>
    </row>
    <row r="532" spans="1:42" ht="14.5" collapsed="1">
      <c r="A532" s="1693">
        <v>411</v>
      </c>
      <c r="B532" s="616">
        <v>1</v>
      </c>
      <c r="C532" s="1693">
        <v>428</v>
      </c>
      <c r="D532" s="616">
        <v>1</v>
      </c>
      <c r="E532" s="1693">
        <v>475</v>
      </c>
      <c r="F532" s="616">
        <v>1</v>
      </c>
      <c r="G532" s="1693">
        <v>524</v>
      </c>
      <c r="H532" s="616">
        <v>1</v>
      </c>
      <c r="K532" s="69"/>
      <c r="O532" s="94"/>
      <c r="P532" s="93"/>
      <c r="Q532" s="63"/>
      <c r="R532" s="63"/>
      <c r="T532" s="11" t="s">
        <v>66</v>
      </c>
      <c r="U532" s="11"/>
      <c r="V532" s="11"/>
      <c r="W532" s="1911"/>
      <c r="X532" s="2153"/>
      <c r="Y532" s="2153"/>
      <c r="Z532" s="2153"/>
      <c r="AA532" s="2153"/>
      <c r="AB532" s="2153"/>
      <c r="AC532" s="2153"/>
      <c r="AD532" s="2153"/>
      <c r="AE532" s="2153"/>
      <c r="AF532" s="2153"/>
      <c r="AG532" s="2153"/>
      <c r="AH532" s="2153"/>
      <c r="AI532" s="2153"/>
      <c r="AJ532" s="2154">
        <v>0</v>
      </c>
      <c r="AK532" s="584">
        <v>0</v>
      </c>
      <c r="AL532" s="584">
        <v>0</v>
      </c>
      <c r="AM532" s="584">
        <v>0</v>
      </c>
      <c r="AN532" s="584">
        <v>0</v>
      </c>
      <c r="AO532" s="584">
        <v>0</v>
      </c>
      <c r="AP532" s="584">
        <v>0</v>
      </c>
    </row>
    <row r="533" spans="1:42" ht="14.5">
      <c r="A533" s="1693">
        <v>412</v>
      </c>
      <c r="B533" s="616">
        <v>1</v>
      </c>
      <c r="C533" s="1693">
        <v>429</v>
      </c>
      <c r="D533" s="616">
        <v>1</v>
      </c>
      <c r="E533" s="1693">
        <v>476</v>
      </c>
      <c r="F533" s="616">
        <v>1</v>
      </c>
      <c r="G533" s="1693">
        <v>525</v>
      </c>
      <c r="H533" s="616">
        <v>1</v>
      </c>
      <c r="K533" s="69"/>
      <c r="O533" s="94"/>
      <c r="P533" s="93"/>
      <c r="Q533" s="63"/>
      <c r="R533" s="63"/>
      <c r="T533" s="298" t="s">
        <v>1092</v>
      </c>
      <c r="U533" s="298"/>
      <c r="V533" s="298"/>
      <c r="W533" s="1899"/>
      <c r="X533" s="1971">
        <v>0</v>
      </c>
      <c r="Y533" s="1971">
        <v>0</v>
      </c>
      <c r="Z533" s="1971">
        <v>0</v>
      </c>
      <c r="AA533" s="1971">
        <v>0</v>
      </c>
      <c r="AB533" s="1971">
        <v>0</v>
      </c>
      <c r="AC533" s="1971">
        <v>0</v>
      </c>
      <c r="AD533" s="1971">
        <v>0</v>
      </c>
      <c r="AE533" s="1971">
        <v>0</v>
      </c>
      <c r="AF533" s="1971">
        <v>0</v>
      </c>
      <c r="AG533" s="1971">
        <v>0</v>
      </c>
      <c r="AH533" s="1971">
        <v>0</v>
      </c>
      <c r="AI533" s="1971">
        <v>0</v>
      </c>
      <c r="AJ533" s="2137">
        <v>0</v>
      </c>
      <c r="AK533" s="1971">
        <v>0</v>
      </c>
      <c r="AL533" s="1971">
        <v>0</v>
      </c>
      <c r="AM533" s="1971">
        <v>0</v>
      </c>
      <c r="AN533" s="1971">
        <v>0</v>
      </c>
      <c r="AO533" s="1971">
        <v>0</v>
      </c>
      <c r="AP533" s="1971">
        <v>0</v>
      </c>
    </row>
    <row r="534" spans="1:42" ht="14.5">
      <c r="A534" s="1693">
        <v>413</v>
      </c>
      <c r="B534" s="616">
        <v>1</v>
      </c>
      <c r="C534" s="1693">
        <v>430</v>
      </c>
      <c r="D534" s="616">
        <v>1</v>
      </c>
      <c r="E534" s="1693">
        <v>477</v>
      </c>
      <c r="F534" s="616">
        <v>1</v>
      </c>
      <c r="G534" s="1693">
        <v>526</v>
      </c>
      <c r="H534" s="616">
        <v>1</v>
      </c>
      <c r="K534" s="69"/>
      <c r="O534" s="94"/>
      <c r="P534" s="93"/>
      <c r="Q534" s="63"/>
      <c r="R534" s="63"/>
      <c r="T534" s="291"/>
      <c r="U534" s="291"/>
      <c r="V534" s="291" t="s">
        <v>223</v>
      </c>
      <c r="W534" s="1911"/>
      <c r="X534" s="2140"/>
      <c r="Y534" s="2140"/>
      <c r="Z534" s="2140"/>
      <c r="AA534" s="2140"/>
      <c r="AB534" s="2140"/>
      <c r="AC534" s="2140"/>
      <c r="AD534" s="2140"/>
      <c r="AE534" s="2140"/>
      <c r="AF534" s="2140"/>
      <c r="AG534" s="2140"/>
      <c r="AH534" s="2140"/>
      <c r="AI534" s="2140"/>
      <c r="AJ534" s="2139">
        <v>0</v>
      </c>
      <c r="AK534" s="2138">
        <v>0</v>
      </c>
      <c r="AL534" s="2138">
        <v>0</v>
      </c>
      <c r="AM534" s="2138">
        <v>0</v>
      </c>
      <c r="AN534" s="2138">
        <v>0</v>
      </c>
      <c r="AO534" s="2138">
        <v>0</v>
      </c>
      <c r="AP534" s="2138">
        <v>0</v>
      </c>
    </row>
    <row r="535" spans="1:42" ht="14.5">
      <c r="A535" s="1693">
        <v>414</v>
      </c>
      <c r="B535" s="616">
        <v>1</v>
      </c>
      <c r="C535" s="1693">
        <v>431</v>
      </c>
      <c r="D535" s="616">
        <v>1</v>
      </c>
      <c r="E535" s="1693">
        <v>478</v>
      </c>
      <c r="F535" s="616">
        <v>1</v>
      </c>
      <c r="G535" s="1693">
        <v>527</v>
      </c>
      <c r="H535" s="616">
        <v>1</v>
      </c>
      <c r="K535" s="69"/>
      <c r="O535" s="94"/>
      <c r="P535" s="93"/>
      <c r="Q535" s="63"/>
      <c r="R535" s="63"/>
      <c r="T535" s="229"/>
      <c r="U535" s="229"/>
      <c r="V535" s="229" t="s">
        <v>1089</v>
      </c>
      <c r="W535" s="1911"/>
      <c r="X535" s="2021"/>
      <c r="Y535" s="2021"/>
      <c r="Z535" s="2021"/>
      <c r="AA535" s="2021"/>
      <c r="AB535" s="2021"/>
      <c r="AC535" s="2021"/>
      <c r="AD535" s="2021"/>
      <c r="AE535" s="2021"/>
      <c r="AF535" s="2021"/>
      <c r="AG535" s="2021"/>
      <c r="AH535" s="2021"/>
      <c r="AI535" s="2021"/>
      <c r="AJ535" s="2147">
        <v>0</v>
      </c>
      <c r="AK535" s="579">
        <v>0</v>
      </c>
      <c r="AL535" s="579">
        <v>0</v>
      </c>
      <c r="AM535" s="579">
        <v>0</v>
      </c>
      <c r="AN535" s="579">
        <v>0</v>
      </c>
      <c r="AO535" s="579">
        <v>0</v>
      </c>
      <c r="AP535" s="579">
        <v>0</v>
      </c>
    </row>
    <row r="536" spans="1:42" ht="14.5">
      <c r="A536" s="1693">
        <v>415</v>
      </c>
      <c r="B536" s="616">
        <v>1</v>
      </c>
      <c r="C536" s="1693">
        <v>432</v>
      </c>
      <c r="D536" s="616">
        <v>1</v>
      </c>
      <c r="E536" s="1693">
        <v>479</v>
      </c>
      <c r="F536" s="616">
        <v>1</v>
      </c>
      <c r="G536" s="1693">
        <v>528</v>
      </c>
      <c r="H536" s="616">
        <v>1</v>
      </c>
      <c r="K536" s="69"/>
      <c r="O536" s="94"/>
      <c r="P536" s="93"/>
      <c r="Q536" s="63"/>
      <c r="R536" s="63"/>
      <c r="T536" s="228"/>
      <c r="U536" s="228"/>
      <c r="V536" s="228" t="s">
        <v>224</v>
      </c>
      <c r="W536" s="1911"/>
      <c r="X536" s="2153"/>
      <c r="Y536" s="2153"/>
      <c r="Z536" s="2153"/>
      <c r="AA536" s="2153"/>
      <c r="AB536" s="2153"/>
      <c r="AC536" s="2153"/>
      <c r="AD536" s="2153"/>
      <c r="AE536" s="2153"/>
      <c r="AF536" s="2153"/>
      <c r="AG536" s="2153"/>
      <c r="AH536" s="2153"/>
      <c r="AI536" s="2153"/>
      <c r="AJ536" s="2154">
        <v>0</v>
      </c>
      <c r="AK536" s="584">
        <v>0</v>
      </c>
      <c r="AL536" s="584">
        <v>0</v>
      </c>
      <c r="AM536" s="584">
        <v>0</v>
      </c>
      <c r="AN536" s="584">
        <v>0</v>
      </c>
      <c r="AO536" s="584">
        <v>0</v>
      </c>
      <c r="AP536" s="584">
        <v>0</v>
      </c>
    </row>
    <row r="537" spans="1:42" ht="14.5">
      <c r="A537" s="1693">
        <v>416</v>
      </c>
      <c r="B537" s="616">
        <v>1</v>
      </c>
      <c r="C537" s="1693">
        <v>433</v>
      </c>
      <c r="D537" s="616">
        <v>1</v>
      </c>
      <c r="E537" s="1693">
        <v>480</v>
      </c>
      <c r="F537" s="616">
        <v>1</v>
      </c>
      <c r="G537" s="1693">
        <v>529</v>
      </c>
      <c r="H537" s="616">
        <v>1</v>
      </c>
      <c r="K537" s="69"/>
      <c r="O537" s="94"/>
      <c r="P537" s="93"/>
      <c r="Q537" s="63"/>
      <c r="R537" s="63"/>
      <c r="T537" s="290" t="s">
        <v>1093</v>
      </c>
      <c r="U537" s="290"/>
      <c r="V537" s="290"/>
      <c r="W537" s="1899"/>
      <c r="X537" s="1987">
        <v>0</v>
      </c>
      <c r="Y537" s="1987">
        <v>0</v>
      </c>
      <c r="Z537" s="1987">
        <v>0</v>
      </c>
      <c r="AA537" s="1987">
        <v>0</v>
      </c>
      <c r="AB537" s="1987">
        <v>0</v>
      </c>
      <c r="AC537" s="1987">
        <v>0</v>
      </c>
      <c r="AD537" s="1987">
        <v>0</v>
      </c>
      <c r="AE537" s="1987">
        <v>0</v>
      </c>
      <c r="AF537" s="1987">
        <v>0</v>
      </c>
      <c r="AG537" s="1987">
        <v>0</v>
      </c>
      <c r="AH537" s="1987">
        <v>0</v>
      </c>
      <c r="AI537" s="1987">
        <v>0</v>
      </c>
      <c r="AJ537" s="2144">
        <v>0</v>
      </c>
      <c r="AK537" s="1987">
        <v>0</v>
      </c>
      <c r="AL537" s="1987">
        <v>0</v>
      </c>
      <c r="AM537" s="1987">
        <v>0</v>
      </c>
      <c r="AN537" s="1987">
        <v>0</v>
      </c>
      <c r="AO537" s="1987">
        <v>0</v>
      </c>
      <c r="AP537" s="1987">
        <v>0</v>
      </c>
    </row>
    <row r="538" spans="1:42" ht="14.5">
      <c r="A538" s="1693">
        <v>417</v>
      </c>
      <c r="B538" s="616">
        <v>1</v>
      </c>
      <c r="C538" s="1693">
        <v>434</v>
      </c>
      <c r="D538" s="616">
        <v>1</v>
      </c>
      <c r="E538" s="1693">
        <v>481</v>
      </c>
      <c r="F538" s="616">
        <v>1</v>
      </c>
      <c r="G538" s="1693">
        <v>530</v>
      </c>
      <c r="H538" s="616">
        <v>1</v>
      </c>
      <c r="K538" s="69"/>
      <c r="O538" s="94"/>
      <c r="P538" s="93"/>
      <c r="Q538" s="63"/>
      <c r="R538" s="63"/>
      <c r="T538" s="291"/>
      <c r="U538" s="291"/>
      <c r="V538" s="291" t="s">
        <v>223</v>
      </c>
      <c r="W538" s="1911"/>
      <c r="X538" s="2140"/>
      <c r="Y538" s="2140"/>
      <c r="Z538" s="2140"/>
      <c r="AA538" s="2140"/>
      <c r="AB538" s="2140"/>
      <c r="AC538" s="2140"/>
      <c r="AD538" s="2140"/>
      <c r="AE538" s="2140"/>
      <c r="AF538" s="2140"/>
      <c r="AG538" s="2140"/>
      <c r="AH538" s="2140"/>
      <c r="AI538" s="2140"/>
      <c r="AJ538" s="2139">
        <v>0</v>
      </c>
      <c r="AK538" s="2138">
        <v>0</v>
      </c>
      <c r="AL538" s="2138">
        <v>0</v>
      </c>
      <c r="AM538" s="2138">
        <v>0</v>
      </c>
      <c r="AN538" s="2138">
        <v>0</v>
      </c>
      <c r="AO538" s="2138">
        <v>0</v>
      </c>
      <c r="AP538" s="2138">
        <v>0</v>
      </c>
    </row>
    <row r="539" spans="1:42" ht="14.5">
      <c r="A539" s="1693">
        <v>418</v>
      </c>
      <c r="B539" s="616">
        <v>1</v>
      </c>
      <c r="C539" s="1693">
        <v>435</v>
      </c>
      <c r="D539" s="616">
        <v>1</v>
      </c>
      <c r="E539" s="1693">
        <v>482</v>
      </c>
      <c r="F539" s="616">
        <v>1</v>
      </c>
      <c r="G539" s="1693">
        <v>531</v>
      </c>
      <c r="H539" s="616">
        <v>1</v>
      </c>
      <c r="K539" s="69"/>
      <c r="O539" s="94"/>
      <c r="P539" s="93"/>
      <c r="Q539" s="63"/>
      <c r="R539" s="63"/>
      <c r="T539" s="228"/>
      <c r="U539" s="228"/>
      <c r="V539" s="228" t="s">
        <v>224</v>
      </c>
      <c r="W539" s="1911"/>
      <c r="X539" s="2153"/>
      <c r="Y539" s="2153"/>
      <c r="Z539" s="2153"/>
      <c r="AA539" s="2153"/>
      <c r="AB539" s="2153"/>
      <c r="AC539" s="2153"/>
      <c r="AD539" s="2153"/>
      <c r="AE539" s="2153"/>
      <c r="AF539" s="2153"/>
      <c r="AG539" s="2153"/>
      <c r="AH539" s="2153"/>
      <c r="AI539" s="2153"/>
      <c r="AJ539" s="2154">
        <v>0</v>
      </c>
      <c r="AK539" s="584">
        <v>0</v>
      </c>
      <c r="AL539" s="584">
        <v>0</v>
      </c>
      <c r="AM539" s="584">
        <v>0</v>
      </c>
      <c r="AN539" s="584">
        <v>0</v>
      </c>
      <c r="AO539" s="584">
        <v>0</v>
      </c>
      <c r="AP539" s="584">
        <v>0</v>
      </c>
    </row>
    <row r="540" spans="1:42" ht="14.5">
      <c r="A540" s="1693">
        <v>419</v>
      </c>
      <c r="B540" s="616">
        <v>1</v>
      </c>
      <c r="C540" s="1693">
        <v>436</v>
      </c>
      <c r="D540" s="616">
        <v>1</v>
      </c>
      <c r="E540" s="1693">
        <v>483</v>
      </c>
      <c r="F540" s="616">
        <v>1</v>
      </c>
      <c r="G540" s="1693">
        <v>532</v>
      </c>
      <c r="H540" s="616">
        <v>1</v>
      </c>
      <c r="K540" s="69"/>
      <c r="O540" s="94"/>
      <c r="P540" s="93"/>
      <c r="Q540" s="63"/>
      <c r="R540" s="63"/>
      <c r="T540" s="2155" t="s">
        <v>1094</v>
      </c>
      <c r="U540" s="2156"/>
      <c r="V540" s="2156"/>
      <c r="W540" s="1911"/>
      <c r="X540" s="2148"/>
      <c r="Y540" s="2148"/>
      <c r="Z540" s="2148"/>
      <c r="AA540" s="2148"/>
      <c r="AB540" s="2148"/>
      <c r="AC540" s="2148"/>
      <c r="AD540" s="2148"/>
      <c r="AE540" s="2148"/>
      <c r="AF540" s="2148"/>
      <c r="AG540" s="2148"/>
      <c r="AH540" s="2148"/>
      <c r="AI540" s="2148"/>
      <c r="AJ540" s="1919">
        <v>0</v>
      </c>
      <c r="AK540" s="1918">
        <v>0</v>
      </c>
      <c r="AL540" s="1918">
        <v>0</v>
      </c>
      <c r="AM540" s="1918">
        <v>0</v>
      </c>
      <c r="AN540" s="1918">
        <v>0</v>
      </c>
      <c r="AO540" s="1918">
        <v>0</v>
      </c>
      <c r="AP540" s="1918">
        <v>0</v>
      </c>
    </row>
    <row r="541" spans="1:42" s="9" customFormat="1" ht="14.5">
      <c r="A541" s="1693">
        <v>420</v>
      </c>
      <c r="B541" s="616">
        <v>1</v>
      </c>
      <c r="C541" s="1693">
        <v>437</v>
      </c>
      <c r="D541" s="616">
        <v>1</v>
      </c>
      <c r="E541" s="1693">
        <v>484</v>
      </c>
      <c r="F541" s="616">
        <v>1</v>
      </c>
      <c r="G541" s="1693">
        <v>533</v>
      </c>
      <c r="H541" s="616">
        <v>1</v>
      </c>
      <c r="I541" s="616"/>
      <c r="K541" s="22"/>
      <c r="N541" s="22"/>
      <c r="O541" s="92"/>
      <c r="P541" s="215"/>
      <c r="Q541" s="62"/>
      <c r="R541" s="62"/>
      <c r="S541" s="1475" t="s">
        <v>2</v>
      </c>
      <c r="T541" s="1475"/>
      <c r="U541" s="1475"/>
      <c r="V541" s="1475"/>
      <c r="W541" s="1911"/>
      <c r="X541" s="2148"/>
      <c r="Y541" s="2148"/>
      <c r="Z541" s="2148"/>
      <c r="AA541" s="2148"/>
      <c r="AB541" s="2148"/>
      <c r="AC541" s="2148"/>
      <c r="AD541" s="2148"/>
      <c r="AE541" s="2148"/>
      <c r="AF541" s="2148"/>
      <c r="AG541" s="2148"/>
      <c r="AH541" s="2148"/>
      <c r="AI541" s="2148"/>
      <c r="AJ541" s="1919">
        <v>0</v>
      </c>
      <c r="AK541" s="1918">
        <v>0</v>
      </c>
      <c r="AL541" s="1918">
        <v>0</v>
      </c>
      <c r="AM541" s="1918">
        <v>0</v>
      </c>
      <c r="AN541" s="1918">
        <v>0</v>
      </c>
      <c r="AO541" s="1918">
        <v>0</v>
      </c>
      <c r="AP541" s="1918">
        <v>0</v>
      </c>
    </row>
    <row r="542" spans="1:42" ht="14.5">
      <c r="A542" s="1693">
        <v>421</v>
      </c>
      <c r="B542" s="616">
        <v>1</v>
      </c>
      <c r="C542" s="1693">
        <v>438</v>
      </c>
      <c r="D542" s="616">
        <v>1</v>
      </c>
      <c r="E542" s="1693">
        <v>485</v>
      </c>
      <c r="F542" s="616">
        <v>1</v>
      </c>
      <c r="G542" s="1693">
        <v>534</v>
      </c>
      <c r="H542" s="616">
        <v>1</v>
      </c>
      <c r="K542" s="69"/>
      <c r="O542" s="22"/>
      <c r="P542" s="69"/>
      <c r="Q542" s="22"/>
      <c r="R542" s="22"/>
      <c r="S542" s="69"/>
      <c r="T542" s="69"/>
      <c r="U542" s="69"/>
      <c r="V542" s="69"/>
      <c r="W542" s="1772"/>
      <c r="X542" s="1125"/>
      <c r="Y542" s="1366"/>
      <c r="Z542" s="1366"/>
      <c r="AA542" s="1366"/>
      <c r="AB542" s="1366"/>
      <c r="AC542" s="1366"/>
      <c r="AD542" s="1366"/>
      <c r="AE542" s="1366"/>
      <c r="AF542" s="1366"/>
      <c r="AG542" s="1242"/>
      <c r="AH542" s="1242"/>
      <c r="AI542" s="1242"/>
      <c r="AJ542" s="1242"/>
      <c r="AK542" s="1242"/>
      <c r="AL542" s="1242"/>
      <c r="AM542" s="1242"/>
      <c r="AN542" s="1242"/>
      <c r="AO542" s="1242"/>
      <c r="AP542" s="608"/>
    </row>
    <row r="543" spans="1:42" ht="14.5">
      <c r="A543" s="1693">
        <v>1</v>
      </c>
      <c r="B543" s="616">
        <v>1</v>
      </c>
      <c r="C543" s="1693">
        <v>1</v>
      </c>
      <c r="D543" s="616">
        <v>1</v>
      </c>
      <c r="E543" s="1693">
        <v>1</v>
      </c>
      <c r="F543" s="616">
        <v>1</v>
      </c>
      <c r="G543" s="1693">
        <v>535</v>
      </c>
      <c r="H543" s="616">
        <v>1</v>
      </c>
      <c r="K543" s="69"/>
      <c r="L543" s="1567"/>
      <c r="N543" s="4" t="s">
        <v>1027</v>
      </c>
      <c r="R543" s="3"/>
      <c r="W543" s="1772"/>
      <c r="X543" s="1125"/>
      <c r="Y543" s="1366"/>
      <c r="Z543" s="1366"/>
      <c r="AA543" s="1366"/>
      <c r="AB543" s="1366"/>
      <c r="AC543" s="1366"/>
      <c r="AD543" s="1366"/>
      <c r="AE543" s="1366"/>
      <c r="AF543" s="1366"/>
      <c r="AG543" s="1366"/>
      <c r="AH543" s="69"/>
      <c r="AI543" s="69"/>
      <c r="AJ543" s="69"/>
      <c r="AK543" s="69"/>
      <c r="AL543" s="69"/>
      <c r="AM543" s="69"/>
      <c r="AN543" s="69"/>
      <c r="AO543" s="69"/>
      <c r="AP543" s="69"/>
    </row>
    <row r="544" spans="1:42" ht="14.5">
      <c r="A544" s="1693">
        <v>1</v>
      </c>
      <c r="B544" s="616">
        <v>1</v>
      </c>
      <c r="C544" s="1693">
        <v>1</v>
      </c>
      <c r="D544" s="616">
        <v>1</v>
      </c>
      <c r="E544" s="1693">
        <v>1</v>
      </c>
      <c r="F544" s="616">
        <v>1</v>
      </c>
      <c r="G544" s="1693">
        <v>536</v>
      </c>
      <c r="H544" s="616">
        <v>1</v>
      </c>
      <c r="K544" s="69"/>
      <c r="L544" s="519"/>
      <c r="O544" s="2134" t="s">
        <v>0</v>
      </c>
      <c r="P544" s="582"/>
      <c r="Q544" s="2135"/>
      <c r="R544" s="2135"/>
      <c r="S544" s="582"/>
      <c r="T544" s="582"/>
      <c r="U544" s="582"/>
      <c r="V544" s="582"/>
      <c r="W544" s="1810"/>
      <c r="X544" s="1317">
        <v>1500</v>
      </c>
      <c r="Y544" s="2136">
        <v>1800</v>
      </c>
      <c r="Z544" s="2136">
        <v>2100</v>
      </c>
      <c r="AA544" s="2136">
        <v>1700</v>
      </c>
      <c r="AB544" s="2136">
        <v>2000</v>
      </c>
      <c r="AC544" s="2136">
        <v>2400</v>
      </c>
      <c r="AD544" s="2136">
        <v>1700</v>
      </c>
      <c r="AE544" s="2136">
        <v>2000</v>
      </c>
      <c r="AF544" s="2136">
        <v>2300</v>
      </c>
      <c r="AG544" s="2136">
        <v>1900</v>
      </c>
      <c r="AH544" s="2136">
        <v>2150</v>
      </c>
      <c r="AI544" s="2136">
        <v>2450</v>
      </c>
      <c r="AJ544" s="2136">
        <v>5400</v>
      </c>
      <c r="AK544" s="2136">
        <v>6100</v>
      </c>
      <c r="AL544" s="2136">
        <v>6000</v>
      </c>
      <c r="AM544" s="2136">
        <v>6500</v>
      </c>
      <c r="AN544" s="2136">
        <v>11500</v>
      </c>
      <c r="AO544" s="2136">
        <v>12500</v>
      </c>
      <c r="AP544" s="2136">
        <v>24000</v>
      </c>
    </row>
    <row r="545" spans="1:42" ht="14.5">
      <c r="A545" s="1693">
        <v>1</v>
      </c>
      <c r="B545" s="616">
        <v>1</v>
      </c>
      <c r="C545" s="1693">
        <v>687</v>
      </c>
      <c r="D545" s="616">
        <v>1</v>
      </c>
      <c r="E545" s="1695">
        <v>711</v>
      </c>
      <c r="F545" s="616">
        <v>1</v>
      </c>
      <c r="G545" s="1693">
        <v>537</v>
      </c>
      <c r="H545" s="616">
        <v>1</v>
      </c>
      <c r="K545" s="69"/>
      <c r="L545" s="519"/>
      <c r="M545" s="22"/>
      <c r="O545" s="94"/>
      <c r="P545" s="93"/>
      <c r="Q545" s="68" t="s">
        <v>1018</v>
      </c>
      <c r="R545" s="68"/>
      <c r="S545" s="283" t="s">
        <v>175</v>
      </c>
      <c r="T545" s="1082"/>
      <c r="U545" s="1082"/>
      <c r="V545" s="1082"/>
      <c r="W545" s="2157"/>
      <c r="X545" s="2158">
        <v>1200</v>
      </c>
      <c r="Y545" s="2158">
        <v>1400</v>
      </c>
      <c r="Z545" s="2158">
        <v>1600</v>
      </c>
      <c r="AA545" s="2158">
        <v>1400</v>
      </c>
      <c r="AB545" s="2158">
        <v>1600</v>
      </c>
      <c r="AC545" s="2158">
        <v>1800</v>
      </c>
      <c r="AD545" s="2158">
        <v>1500</v>
      </c>
      <c r="AE545" s="2158">
        <v>1600</v>
      </c>
      <c r="AF545" s="2158">
        <v>1800</v>
      </c>
      <c r="AG545" s="2158">
        <v>1600</v>
      </c>
      <c r="AH545" s="2158">
        <v>1700</v>
      </c>
      <c r="AI545" s="2158">
        <v>1800</v>
      </c>
      <c r="AJ545" s="2159">
        <v>4200</v>
      </c>
      <c r="AK545" s="2158">
        <v>4800</v>
      </c>
      <c r="AL545" s="2158">
        <v>4900</v>
      </c>
      <c r="AM545" s="2158">
        <v>5100</v>
      </c>
      <c r="AN545" s="2158">
        <v>9000</v>
      </c>
      <c r="AO545" s="2158">
        <v>10000</v>
      </c>
      <c r="AP545" s="2159">
        <v>19000</v>
      </c>
    </row>
    <row r="546" spans="1:42" ht="14.5">
      <c r="A546" s="1693">
        <v>642</v>
      </c>
      <c r="B546" s="616">
        <v>1</v>
      </c>
      <c r="C546" s="1693">
        <v>688</v>
      </c>
      <c r="D546" s="616">
        <v>1</v>
      </c>
      <c r="E546" s="1693">
        <v>712</v>
      </c>
      <c r="F546" s="616">
        <v>1</v>
      </c>
      <c r="G546" s="1693">
        <v>538</v>
      </c>
      <c r="H546" s="616">
        <v>1</v>
      </c>
      <c r="K546" s="69"/>
      <c r="L546" s="519"/>
      <c r="M546" s="22"/>
      <c r="O546" s="94"/>
      <c r="P546" s="93"/>
      <c r="Q546" s="68"/>
      <c r="R546" s="68"/>
      <c r="S546" s="69"/>
      <c r="T546" s="296" t="s">
        <v>523</v>
      </c>
      <c r="U546" s="296"/>
      <c r="V546" s="296"/>
      <c r="W546" s="1911"/>
      <c r="X546" s="2140"/>
      <c r="Y546" s="2140"/>
      <c r="Z546" s="2140"/>
      <c r="AA546" s="2140"/>
      <c r="AB546" s="2140"/>
      <c r="AC546" s="2140"/>
      <c r="AD546" s="2140"/>
      <c r="AE546" s="2140"/>
      <c r="AF546" s="2140"/>
      <c r="AG546" s="2140"/>
      <c r="AH546" s="2140"/>
      <c r="AI546" s="2140"/>
      <c r="AJ546" s="2160">
        <v>0</v>
      </c>
      <c r="AK546" s="2161">
        <v>0</v>
      </c>
      <c r="AL546" s="2161">
        <v>0</v>
      </c>
      <c r="AM546" s="2161">
        <v>0</v>
      </c>
      <c r="AN546" s="2161">
        <v>0</v>
      </c>
      <c r="AO546" s="2161">
        <v>0</v>
      </c>
      <c r="AP546" s="2160">
        <v>0</v>
      </c>
    </row>
    <row r="547" spans="1:42" ht="14.5">
      <c r="A547" s="1693">
        <v>1</v>
      </c>
      <c r="B547" s="616">
        <v>1</v>
      </c>
      <c r="C547" s="1693">
        <v>689</v>
      </c>
      <c r="D547" s="616">
        <v>1</v>
      </c>
      <c r="E547" s="1693">
        <v>713</v>
      </c>
      <c r="F547" s="616">
        <v>1</v>
      </c>
      <c r="G547" s="1693">
        <v>539</v>
      </c>
      <c r="H547" s="616">
        <v>1</v>
      </c>
      <c r="K547" s="69"/>
      <c r="L547" s="519"/>
      <c r="M547" s="22"/>
      <c r="O547" s="94"/>
      <c r="P547" s="93"/>
      <c r="Q547" s="68"/>
      <c r="R547" s="68"/>
      <c r="S547" s="69"/>
      <c r="T547" s="69" t="s">
        <v>524</v>
      </c>
      <c r="U547" s="69"/>
      <c r="V547" s="69"/>
      <c r="W547" s="1911"/>
      <c r="X547" s="2021">
        <v>1200</v>
      </c>
      <c r="Y547" s="2021">
        <v>1400</v>
      </c>
      <c r="Z547" s="2021">
        <v>1600</v>
      </c>
      <c r="AA547" s="2021">
        <v>1400</v>
      </c>
      <c r="AB547" s="2021">
        <v>1600</v>
      </c>
      <c r="AC547" s="2021">
        <v>1800</v>
      </c>
      <c r="AD547" s="2021">
        <v>1500</v>
      </c>
      <c r="AE547" s="2021">
        <v>1600</v>
      </c>
      <c r="AF547" s="2021">
        <v>1800</v>
      </c>
      <c r="AG547" s="2021">
        <v>1600</v>
      </c>
      <c r="AH547" s="2021">
        <v>1700</v>
      </c>
      <c r="AI547" s="2021">
        <v>1800</v>
      </c>
      <c r="AJ547" s="1925">
        <v>4200</v>
      </c>
      <c r="AK547" s="1926">
        <v>4800</v>
      </c>
      <c r="AL547" s="1926">
        <v>4900</v>
      </c>
      <c r="AM547" s="1926">
        <v>5100</v>
      </c>
      <c r="AN547" s="1926">
        <v>9000</v>
      </c>
      <c r="AO547" s="1926">
        <v>10000</v>
      </c>
      <c r="AP547" s="1925">
        <v>19000</v>
      </c>
    </row>
    <row r="548" spans="1:42" ht="14.5">
      <c r="A548" s="1693">
        <v>1</v>
      </c>
      <c r="B548" s="616">
        <v>1</v>
      </c>
      <c r="C548" s="1693">
        <v>690</v>
      </c>
      <c r="D548" s="616">
        <v>1</v>
      </c>
      <c r="E548" s="1693">
        <v>714</v>
      </c>
      <c r="F548" s="616">
        <v>1</v>
      </c>
      <c r="G548" s="1693">
        <v>540</v>
      </c>
      <c r="H548" s="616">
        <v>1</v>
      </c>
      <c r="K548" s="69"/>
      <c r="L548" s="519"/>
      <c r="M548" s="22"/>
      <c r="O548" s="94"/>
      <c r="P548" s="93"/>
      <c r="Q548" s="68"/>
      <c r="R548" s="68"/>
      <c r="S548" s="69"/>
      <c r="T548" s="69" t="s">
        <v>525</v>
      </c>
      <c r="U548" s="69"/>
      <c r="V548" s="69"/>
      <c r="W548" s="1911"/>
      <c r="X548" s="2021"/>
      <c r="Y548" s="2021"/>
      <c r="Z548" s="2021"/>
      <c r="AA548" s="2021"/>
      <c r="AB548" s="2021"/>
      <c r="AC548" s="2021"/>
      <c r="AD548" s="2021"/>
      <c r="AE548" s="2021"/>
      <c r="AF548" s="2021"/>
      <c r="AG548" s="2021"/>
      <c r="AH548" s="2021"/>
      <c r="AI548" s="2021"/>
      <c r="AJ548" s="1925">
        <v>0</v>
      </c>
      <c r="AK548" s="1926">
        <v>0</v>
      </c>
      <c r="AL548" s="1926">
        <v>0</v>
      </c>
      <c r="AM548" s="1926">
        <v>0</v>
      </c>
      <c r="AN548" s="1926">
        <v>0</v>
      </c>
      <c r="AO548" s="1926">
        <v>0</v>
      </c>
      <c r="AP548" s="1925">
        <v>0</v>
      </c>
    </row>
    <row r="549" spans="1:42" ht="14.5">
      <c r="A549" s="1693">
        <v>1</v>
      </c>
      <c r="B549" s="616">
        <v>1</v>
      </c>
      <c r="C549" s="1693">
        <v>691</v>
      </c>
      <c r="D549" s="616">
        <v>1</v>
      </c>
      <c r="E549" s="1693">
        <v>715</v>
      </c>
      <c r="F549" s="616">
        <v>1</v>
      </c>
      <c r="G549" s="1693">
        <v>541</v>
      </c>
      <c r="H549" s="616">
        <v>1</v>
      </c>
      <c r="K549" s="69"/>
      <c r="L549" s="519"/>
      <c r="M549" s="22"/>
      <c r="O549" s="94"/>
      <c r="P549" s="93"/>
      <c r="Q549" s="68"/>
      <c r="R549" s="68"/>
      <c r="S549" s="211"/>
      <c r="T549" s="211" t="s">
        <v>526</v>
      </c>
      <c r="U549" s="211"/>
      <c r="V549" s="211"/>
      <c r="W549" s="1911"/>
      <c r="X549" s="2153"/>
      <c r="Y549" s="2153"/>
      <c r="Z549" s="2153"/>
      <c r="AA549" s="2153"/>
      <c r="AB549" s="2153"/>
      <c r="AC549" s="2153"/>
      <c r="AD549" s="2153"/>
      <c r="AE549" s="2153"/>
      <c r="AF549" s="2153"/>
      <c r="AG549" s="2153"/>
      <c r="AH549" s="2153"/>
      <c r="AI549" s="2153"/>
      <c r="AJ549" s="1927">
        <v>0</v>
      </c>
      <c r="AK549" s="1928">
        <v>0</v>
      </c>
      <c r="AL549" s="1928">
        <v>0</v>
      </c>
      <c r="AM549" s="1928">
        <v>0</v>
      </c>
      <c r="AN549" s="1928">
        <v>0</v>
      </c>
      <c r="AO549" s="1928">
        <v>0</v>
      </c>
      <c r="AP549" s="1927">
        <v>0</v>
      </c>
    </row>
    <row r="550" spans="1:42" ht="14.5">
      <c r="A550" s="1693">
        <v>656</v>
      </c>
      <c r="B550" s="616">
        <v>1</v>
      </c>
      <c r="C550" s="1693">
        <v>696</v>
      </c>
      <c r="D550" s="616">
        <v>1</v>
      </c>
      <c r="E550" s="1695">
        <v>721</v>
      </c>
      <c r="F550" s="616">
        <v>1</v>
      </c>
      <c r="G550" s="1693">
        <v>542</v>
      </c>
      <c r="H550" s="616">
        <v>1</v>
      </c>
      <c r="K550" s="69"/>
      <c r="L550" s="519"/>
      <c r="M550" s="22"/>
      <c r="O550" s="94"/>
      <c r="P550" s="93"/>
      <c r="Q550" s="63" t="s">
        <v>1019</v>
      </c>
      <c r="R550" s="63"/>
      <c r="S550" s="301" t="s">
        <v>175</v>
      </c>
      <c r="T550" s="66"/>
      <c r="U550" s="66"/>
      <c r="V550" s="66"/>
      <c r="W550" s="1911"/>
      <c r="X550" s="2021">
        <v>300</v>
      </c>
      <c r="Y550" s="2162">
        <v>400</v>
      </c>
      <c r="Z550" s="2021">
        <v>500</v>
      </c>
      <c r="AA550" s="2021">
        <v>300</v>
      </c>
      <c r="AB550" s="2021">
        <v>400</v>
      </c>
      <c r="AC550" s="2021">
        <v>600</v>
      </c>
      <c r="AD550" s="2021">
        <v>200</v>
      </c>
      <c r="AE550" s="2021">
        <v>400</v>
      </c>
      <c r="AF550" s="2021">
        <v>500</v>
      </c>
      <c r="AG550" s="2021">
        <v>300</v>
      </c>
      <c r="AH550" s="2021">
        <v>450</v>
      </c>
      <c r="AI550" s="2021">
        <v>650</v>
      </c>
      <c r="AJ550" s="2163">
        <v>1200</v>
      </c>
      <c r="AK550" s="2164">
        <v>1300</v>
      </c>
      <c r="AL550" s="2164">
        <v>1100</v>
      </c>
      <c r="AM550" s="2164">
        <v>1400</v>
      </c>
      <c r="AN550" s="2164">
        <v>2500</v>
      </c>
      <c r="AO550" s="2164">
        <v>2500</v>
      </c>
      <c r="AP550" s="2163">
        <v>5000</v>
      </c>
    </row>
    <row r="551" spans="1:42" ht="14.5">
      <c r="A551" s="1693">
        <v>1</v>
      </c>
      <c r="B551" s="616">
        <v>1</v>
      </c>
      <c r="C551" s="1693">
        <v>1</v>
      </c>
      <c r="D551" s="616">
        <v>1</v>
      </c>
      <c r="E551" s="1693">
        <v>1</v>
      </c>
      <c r="F551" s="616">
        <v>1</v>
      </c>
      <c r="G551" s="1693">
        <v>543</v>
      </c>
      <c r="H551" s="616">
        <v>1</v>
      </c>
      <c r="K551" s="69"/>
      <c r="L551" s="519"/>
      <c r="O551" s="2134" t="s">
        <v>54</v>
      </c>
      <c r="P551" s="582"/>
      <c r="Q551" s="2135"/>
      <c r="R551" s="2135"/>
      <c r="S551" s="582"/>
      <c r="T551" s="582"/>
      <c r="U551" s="582"/>
      <c r="V551" s="582"/>
      <c r="W551" s="1810"/>
      <c r="X551" s="1317">
        <v>720</v>
      </c>
      <c r="Y551" s="2136">
        <v>860</v>
      </c>
      <c r="Z551" s="2136">
        <v>1000</v>
      </c>
      <c r="AA551" s="2136">
        <v>820</v>
      </c>
      <c r="AB551" s="2136">
        <v>960</v>
      </c>
      <c r="AC551" s="2136">
        <v>1140</v>
      </c>
      <c r="AD551" s="2136">
        <v>830</v>
      </c>
      <c r="AE551" s="2136">
        <v>960</v>
      </c>
      <c r="AF551" s="2136">
        <v>1100</v>
      </c>
      <c r="AG551" s="2136">
        <v>920</v>
      </c>
      <c r="AH551" s="2136">
        <v>1030</v>
      </c>
      <c r="AI551" s="2136">
        <v>1160</v>
      </c>
      <c r="AJ551" s="2136">
        <v>2580</v>
      </c>
      <c r="AK551" s="2136">
        <v>2920</v>
      </c>
      <c r="AL551" s="2136">
        <v>2890</v>
      </c>
      <c r="AM551" s="2136">
        <v>3110</v>
      </c>
      <c r="AN551" s="2136">
        <v>5500</v>
      </c>
      <c r="AO551" s="2136">
        <v>6000</v>
      </c>
      <c r="AP551" s="2136">
        <v>11500</v>
      </c>
    </row>
    <row r="552" spans="1:42" ht="14.5">
      <c r="A552" s="1693">
        <v>1</v>
      </c>
      <c r="B552" s="616">
        <v>1</v>
      </c>
      <c r="C552" s="1693">
        <v>714</v>
      </c>
      <c r="D552" s="616">
        <v>1</v>
      </c>
      <c r="E552" s="1695">
        <v>744</v>
      </c>
      <c r="F552" s="616">
        <v>1</v>
      </c>
      <c r="G552" s="1693">
        <v>544</v>
      </c>
      <c r="H552" s="616">
        <v>1</v>
      </c>
      <c r="K552" s="69"/>
      <c r="L552" s="519"/>
      <c r="M552" s="22"/>
      <c r="O552" s="94"/>
      <c r="P552" s="93"/>
      <c r="Q552" s="68" t="s">
        <v>1018</v>
      </c>
      <c r="R552" s="68"/>
      <c r="S552" s="283" t="s">
        <v>175</v>
      </c>
      <c r="T552" s="1082"/>
      <c r="U552" s="1082"/>
      <c r="V552" s="1082"/>
      <c r="W552" s="2157"/>
      <c r="X552" s="2158">
        <v>600</v>
      </c>
      <c r="Y552" s="2158">
        <v>700</v>
      </c>
      <c r="Z552" s="2158">
        <v>800</v>
      </c>
      <c r="AA552" s="2158">
        <v>700</v>
      </c>
      <c r="AB552" s="2158">
        <v>800</v>
      </c>
      <c r="AC552" s="2158">
        <v>900</v>
      </c>
      <c r="AD552" s="2158">
        <v>750</v>
      </c>
      <c r="AE552" s="2158">
        <v>800</v>
      </c>
      <c r="AF552" s="2158">
        <v>900</v>
      </c>
      <c r="AG552" s="2158">
        <v>800</v>
      </c>
      <c r="AH552" s="2158">
        <v>850</v>
      </c>
      <c r="AI552" s="2158">
        <v>900</v>
      </c>
      <c r="AJ552" s="2159">
        <v>2100</v>
      </c>
      <c r="AK552" s="2158">
        <v>2400</v>
      </c>
      <c r="AL552" s="2158">
        <v>2450</v>
      </c>
      <c r="AM552" s="2158">
        <v>2550</v>
      </c>
      <c r="AN552" s="2158">
        <v>4500</v>
      </c>
      <c r="AO552" s="2158">
        <v>5000</v>
      </c>
      <c r="AP552" s="2159">
        <v>9500</v>
      </c>
    </row>
    <row r="553" spans="1:42" ht="14.5">
      <c r="A553" s="1693">
        <v>675</v>
      </c>
      <c r="B553" s="616">
        <v>1</v>
      </c>
      <c r="C553" s="1693">
        <v>715</v>
      </c>
      <c r="D553" s="616">
        <v>1</v>
      </c>
      <c r="E553" s="1693">
        <v>745</v>
      </c>
      <c r="F553" s="616">
        <v>1</v>
      </c>
      <c r="G553" s="1693">
        <v>545</v>
      </c>
      <c r="H553" s="616">
        <v>1</v>
      </c>
      <c r="K553" s="69"/>
      <c r="L553" s="519"/>
      <c r="M553" s="22"/>
      <c r="O553" s="94"/>
      <c r="P553" s="93"/>
      <c r="Q553" s="68"/>
      <c r="R553" s="68"/>
      <c r="S553" s="69"/>
      <c r="T553" s="296" t="s">
        <v>523</v>
      </c>
      <c r="U553" s="296"/>
      <c r="V553" s="296"/>
      <c r="W553" s="1911"/>
      <c r="X553" s="2140"/>
      <c r="Y553" s="2140"/>
      <c r="Z553" s="2140"/>
      <c r="AA553" s="2140"/>
      <c r="AB553" s="2140"/>
      <c r="AC553" s="2140"/>
      <c r="AD553" s="2140"/>
      <c r="AE553" s="2140"/>
      <c r="AF553" s="2140"/>
      <c r="AG553" s="2140"/>
      <c r="AH553" s="2140"/>
      <c r="AI553" s="2140"/>
      <c r="AJ553" s="2160">
        <v>0</v>
      </c>
      <c r="AK553" s="2161">
        <v>0</v>
      </c>
      <c r="AL553" s="2161">
        <v>0</v>
      </c>
      <c r="AM553" s="2161">
        <v>0</v>
      </c>
      <c r="AN553" s="2161">
        <v>0</v>
      </c>
      <c r="AO553" s="2161">
        <v>0</v>
      </c>
      <c r="AP553" s="2160">
        <v>0</v>
      </c>
    </row>
    <row r="554" spans="1:42" ht="14.5">
      <c r="A554" s="1693">
        <v>1</v>
      </c>
      <c r="B554" s="616">
        <v>1</v>
      </c>
      <c r="C554" s="1693">
        <v>716</v>
      </c>
      <c r="D554" s="616">
        <v>1</v>
      </c>
      <c r="E554" s="1693">
        <v>746</v>
      </c>
      <c r="F554" s="616">
        <v>1</v>
      </c>
      <c r="G554" s="1693">
        <v>546</v>
      </c>
      <c r="H554" s="616">
        <v>1</v>
      </c>
      <c r="K554" s="69"/>
      <c r="L554" s="519"/>
      <c r="M554" s="22"/>
      <c r="O554" s="94"/>
      <c r="P554" s="93"/>
      <c r="Q554" s="68"/>
      <c r="R554" s="68"/>
      <c r="S554" s="69"/>
      <c r="T554" s="69" t="s">
        <v>524</v>
      </c>
      <c r="U554" s="69"/>
      <c r="V554" s="69"/>
      <c r="W554" s="1911"/>
      <c r="X554" s="2021">
        <v>600</v>
      </c>
      <c r="Y554" s="2021">
        <v>700</v>
      </c>
      <c r="Z554" s="2021">
        <v>800</v>
      </c>
      <c r="AA554" s="2021">
        <v>700</v>
      </c>
      <c r="AB554" s="2021">
        <v>800</v>
      </c>
      <c r="AC554" s="2021">
        <v>900</v>
      </c>
      <c r="AD554" s="2021">
        <v>750</v>
      </c>
      <c r="AE554" s="2021">
        <v>800</v>
      </c>
      <c r="AF554" s="2021">
        <v>900</v>
      </c>
      <c r="AG554" s="2021">
        <v>800</v>
      </c>
      <c r="AH554" s="2021">
        <v>850</v>
      </c>
      <c r="AI554" s="2021">
        <v>900</v>
      </c>
      <c r="AJ554" s="1925">
        <v>2100</v>
      </c>
      <c r="AK554" s="1926">
        <v>2400</v>
      </c>
      <c r="AL554" s="1926">
        <v>2450</v>
      </c>
      <c r="AM554" s="1926">
        <v>2550</v>
      </c>
      <c r="AN554" s="1926">
        <v>4500</v>
      </c>
      <c r="AO554" s="1926">
        <v>5000</v>
      </c>
      <c r="AP554" s="1925">
        <v>9500</v>
      </c>
    </row>
    <row r="555" spans="1:42" ht="14.5">
      <c r="A555" s="1693">
        <v>1</v>
      </c>
      <c r="B555" s="616">
        <v>1</v>
      </c>
      <c r="C555" s="1693">
        <v>717</v>
      </c>
      <c r="D555" s="616">
        <v>1</v>
      </c>
      <c r="E555" s="1693">
        <v>747</v>
      </c>
      <c r="F555" s="616">
        <v>1</v>
      </c>
      <c r="G555" s="1693">
        <v>547</v>
      </c>
      <c r="H555" s="616">
        <v>1</v>
      </c>
      <c r="K555" s="69"/>
      <c r="L555" s="519"/>
      <c r="M555" s="22"/>
      <c r="O555" s="94"/>
      <c r="P555" s="93"/>
      <c r="Q555" s="68"/>
      <c r="R555" s="68"/>
      <c r="S555" s="69"/>
      <c r="T555" s="69" t="s">
        <v>525</v>
      </c>
      <c r="U555" s="69"/>
      <c r="V555" s="69"/>
      <c r="W555" s="1911"/>
      <c r="X555" s="2021"/>
      <c r="Y555" s="2021"/>
      <c r="Z555" s="2021"/>
      <c r="AA555" s="2021"/>
      <c r="AB555" s="2021"/>
      <c r="AC555" s="2021"/>
      <c r="AD555" s="2021"/>
      <c r="AE555" s="2021"/>
      <c r="AF555" s="2021"/>
      <c r="AG555" s="2021"/>
      <c r="AH555" s="2021"/>
      <c r="AI555" s="2021"/>
      <c r="AJ555" s="1925">
        <v>0</v>
      </c>
      <c r="AK555" s="1926">
        <v>0</v>
      </c>
      <c r="AL555" s="1926">
        <v>0</v>
      </c>
      <c r="AM555" s="1926">
        <v>0</v>
      </c>
      <c r="AN555" s="1926">
        <v>0</v>
      </c>
      <c r="AO555" s="1926">
        <v>0</v>
      </c>
      <c r="AP555" s="1925">
        <v>0</v>
      </c>
    </row>
    <row r="556" spans="1:42" ht="14.5">
      <c r="A556" s="1693">
        <v>1</v>
      </c>
      <c r="B556" s="616">
        <v>1</v>
      </c>
      <c r="C556" s="1693">
        <v>718</v>
      </c>
      <c r="D556" s="616">
        <v>1</v>
      </c>
      <c r="E556" s="1693">
        <v>748</v>
      </c>
      <c r="F556" s="616">
        <v>1</v>
      </c>
      <c r="G556" s="1693">
        <v>548</v>
      </c>
      <c r="H556" s="616">
        <v>1</v>
      </c>
      <c r="K556" s="69"/>
      <c r="L556" s="519"/>
      <c r="M556" s="22"/>
      <c r="O556" s="94"/>
      <c r="P556" s="93"/>
      <c r="Q556" s="68"/>
      <c r="R556" s="68"/>
      <c r="S556" s="211"/>
      <c r="T556" s="211" t="s">
        <v>526</v>
      </c>
      <c r="U556" s="211"/>
      <c r="V556" s="211"/>
      <c r="W556" s="1911"/>
      <c r="X556" s="2153"/>
      <c r="Y556" s="2153"/>
      <c r="Z556" s="2153"/>
      <c r="AA556" s="2153"/>
      <c r="AB556" s="2153"/>
      <c r="AC556" s="2153"/>
      <c r="AD556" s="2153"/>
      <c r="AE556" s="2153"/>
      <c r="AF556" s="2153"/>
      <c r="AG556" s="2153"/>
      <c r="AH556" s="2153"/>
      <c r="AI556" s="2153"/>
      <c r="AJ556" s="1927">
        <v>0</v>
      </c>
      <c r="AK556" s="1928">
        <v>0</v>
      </c>
      <c r="AL556" s="1928">
        <v>0</v>
      </c>
      <c r="AM556" s="1928">
        <v>0</v>
      </c>
      <c r="AN556" s="1928">
        <v>0</v>
      </c>
      <c r="AO556" s="1928">
        <v>0</v>
      </c>
      <c r="AP556" s="1927">
        <v>0</v>
      </c>
    </row>
    <row r="557" spans="1:42" ht="14.5">
      <c r="A557" s="1693">
        <v>689</v>
      </c>
      <c r="B557" s="616">
        <v>1</v>
      </c>
      <c r="C557" s="1693">
        <v>723</v>
      </c>
      <c r="D557" s="616">
        <v>1</v>
      </c>
      <c r="E557" s="1695">
        <v>754</v>
      </c>
      <c r="F557" s="616">
        <v>1</v>
      </c>
      <c r="G557" s="1693">
        <v>549</v>
      </c>
      <c r="H557" s="616">
        <v>1</v>
      </c>
      <c r="K557" s="69"/>
      <c r="L557" s="519"/>
      <c r="M557" s="22"/>
      <c r="O557" s="92"/>
      <c r="P557" s="91"/>
      <c r="Q557" s="62" t="s">
        <v>1019</v>
      </c>
      <c r="R557" s="62"/>
      <c r="S557" s="1086" t="s">
        <v>175</v>
      </c>
      <c r="T557" s="1087"/>
      <c r="U557" s="1087"/>
      <c r="V557" s="1087"/>
      <c r="W557" s="1911"/>
      <c r="X557" s="2153">
        <v>120</v>
      </c>
      <c r="Y557" s="2165">
        <v>160.00000000000003</v>
      </c>
      <c r="Z557" s="2153">
        <v>200</v>
      </c>
      <c r="AA557" s="2153">
        <v>120</v>
      </c>
      <c r="AB557" s="2153">
        <v>160.00000000000003</v>
      </c>
      <c r="AC557" s="2153">
        <v>240</v>
      </c>
      <c r="AD557" s="2153">
        <v>80.000000000000014</v>
      </c>
      <c r="AE557" s="2153">
        <v>160.00000000000003</v>
      </c>
      <c r="AF557" s="2153">
        <v>200</v>
      </c>
      <c r="AG557" s="2153">
        <v>120</v>
      </c>
      <c r="AH557" s="2153">
        <v>180.00000000000003</v>
      </c>
      <c r="AI557" s="2153">
        <v>260</v>
      </c>
      <c r="AJ557" s="2166">
        <v>480</v>
      </c>
      <c r="AK557" s="2167">
        <v>520</v>
      </c>
      <c r="AL557" s="2167">
        <v>440.00000000000006</v>
      </c>
      <c r="AM557" s="2167">
        <v>560</v>
      </c>
      <c r="AN557" s="2167">
        <v>1000</v>
      </c>
      <c r="AO557" s="2167">
        <v>1000</v>
      </c>
      <c r="AP557" s="2166">
        <v>2000</v>
      </c>
    </row>
    <row r="558" spans="1:42" ht="14.5">
      <c r="A558" s="1693">
        <v>1</v>
      </c>
      <c r="B558" s="616">
        <v>1</v>
      </c>
      <c r="C558" s="1693">
        <v>1</v>
      </c>
      <c r="D558" s="616">
        <v>1</v>
      </c>
      <c r="E558" s="1693">
        <v>1</v>
      </c>
      <c r="F558" s="616">
        <v>1</v>
      </c>
      <c r="G558" s="1693">
        <v>550</v>
      </c>
      <c r="H558" s="616">
        <v>1</v>
      </c>
      <c r="K558" s="69"/>
      <c r="O558" s="22"/>
      <c r="P558" s="69"/>
      <c r="Q558" s="22"/>
      <c r="R558" s="22"/>
      <c r="S558" s="69"/>
      <c r="T558" s="1030" t="s">
        <v>1095</v>
      </c>
      <c r="U558" s="69"/>
      <c r="V558" s="69"/>
      <c r="W558" s="1772"/>
      <c r="X558" s="1125"/>
      <c r="Y558" s="1366"/>
      <c r="Z558" s="1366"/>
      <c r="AA558" s="1366"/>
      <c r="AB558" s="1366"/>
      <c r="AC558" s="1366"/>
      <c r="AD558" s="1366"/>
      <c r="AE558" s="1366"/>
      <c r="AF558" s="1366"/>
      <c r="AG558" s="1242"/>
      <c r="AH558" s="1242"/>
      <c r="AI558" s="1242"/>
      <c r="AJ558" s="1242"/>
      <c r="AK558" s="1242"/>
      <c r="AL558" s="1242"/>
      <c r="AM558" s="1242"/>
      <c r="AN558" s="1242"/>
      <c r="AO558" s="1242"/>
      <c r="AP558" s="608"/>
    </row>
    <row r="559" spans="1:42" ht="14.5">
      <c r="A559" s="1693">
        <v>422</v>
      </c>
      <c r="B559" s="616">
        <v>1</v>
      </c>
      <c r="C559" s="1693">
        <v>439</v>
      </c>
      <c r="D559" s="616">
        <v>1</v>
      </c>
      <c r="E559" s="1693">
        <v>486</v>
      </c>
      <c r="F559" s="616">
        <v>1</v>
      </c>
      <c r="G559" s="1693">
        <v>551</v>
      </c>
      <c r="H559" s="616">
        <v>1</v>
      </c>
      <c r="K559" s="69"/>
      <c r="N559" s="22" t="s">
        <v>1030</v>
      </c>
      <c r="V559" s="222"/>
      <c r="W559" s="1772"/>
      <c r="X559" s="1618"/>
      <c r="Y559" s="1619"/>
      <c r="Z559" s="1619"/>
      <c r="AA559" s="1619"/>
      <c r="AB559" s="1619"/>
      <c r="AC559" s="1619"/>
      <c r="AD559" s="1366"/>
      <c r="AE559" s="1366"/>
      <c r="AF559" s="1366"/>
      <c r="AG559" s="1366"/>
      <c r="AH559" s="1366"/>
      <c r="AI559" s="1366"/>
      <c r="AJ559" s="1366"/>
      <c r="AK559" s="1366"/>
      <c r="AL559" s="1366"/>
      <c r="AM559" s="1366"/>
      <c r="AN559" s="1366"/>
      <c r="AO559" s="1366"/>
      <c r="AP559" s="1366"/>
    </row>
    <row r="560" spans="1:42" ht="14.5">
      <c r="A560" s="1693">
        <v>423</v>
      </c>
      <c r="B560" s="616">
        <v>1</v>
      </c>
      <c r="C560" s="1693">
        <v>440</v>
      </c>
      <c r="D560" s="616">
        <v>1</v>
      </c>
      <c r="E560" s="1693">
        <v>487</v>
      </c>
      <c r="F560" s="616">
        <v>1</v>
      </c>
      <c r="G560" s="1693">
        <v>552</v>
      </c>
      <c r="H560" s="616">
        <v>1</v>
      </c>
      <c r="K560" s="69"/>
      <c r="O560" s="2168" t="s">
        <v>0</v>
      </c>
      <c r="P560" s="497"/>
      <c r="Q560" s="1690"/>
      <c r="R560" s="1690"/>
      <c r="S560" s="497"/>
      <c r="T560" s="497"/>
      <c r="U560" s="497"/>
      <c r="V560" s="1690"/>
      <c r="W560" s="2169"/>
      <c r="X560" s="2170">
        <v>597539.75269376335</v>
      </c>
      <c r="Y560" s="2171">
        <v>459660.74531021097</v>
      </c>
      <c r="Z560" s="2171">
        <v>471454.49231950368</v>
      </c>
      <c r="AA560" s="2171">
        <v>451631.38128236326</v>
      </c>
      <c r="AB560" s="2171">
        <v>467561.37320136622</v>
      </c>
      <c r="AC560" s="2171">
        <v>482813.82379793969</v>
      </c>
      <c r="AD560" s="2171">
        <v>461874.03012861137</v>
      </c>
      <c r="AE560" s="2171">
        <v>454754.53391125426</v>
      </c>
      <c r="AF560" s="2171">
        <v>495688.03437301517</v>
      </c>
      <c r="AG560" s="2171">
        <v>465201.27253560082</v>
      </c>
      <c r="AH560" s="2171">
        <v>484471.38317566039</v>
      </c>
      <c r="AI560" s="2171">
        <v>501057.72294524882</v>
      </c>
      <c r="AJ560" s="2172">
        <v>1528654.9903234781</v>
      </c>
      <c r="AK560" s="2171">
        <v>1402006.5782816689</v>
      </c>
      <c r="AL560" s="2171">
        <v>1412316.5984128809</v>
      </c>
      <c r="AM560" s="2171">
        <v>1450730.3786565103</v>
      </c>
      <c r="AN560" s="2171">
        <v>2930661.5686051473</v>
      </c>
      <c r="AO560" s="2171">
        <v>2863046.9770693909</v>
      </c>
      <c r="AP560" s="2171">
        <v>5793708.5456745382</v>
      </c>
    </row>
    <row r="561" spans="1:42" ht="14.5">
      <c r="A561" s="1693">
        <v>424</v>
      </c>
      <c r="B561" s="616">
        <v>1</v>
      </c>
      <c r="C561" s="1693">
        <v>441</v>
      </c>
      <c r="D561" s="616">
        <v>1</v>
      </c>
      <c r="E561" s="1693">
        <v>488</v>
      </c>
      <c r="F561" s="616">
        <v>1</v>
      </c>
      <c r="G561" s="1693">
        <v>553</v>
      </c>
      <c r="H561" s="616">
        <v>1</v>
      </c>
      <c r="K561" s="69"/>
      <c r="O561" s="73"/>
      <c r="P561" s="72"/>
      <c r="Q561" s="68" t="s">
        <v>1018</v>
      </c>
      <c r="R561" s="68"/>
      <c r="S561" s="283"/>
      <c r="T561" s="283"/>
      <c r="U561" s="283"/>
      <c r="V561" s="68"/>
      <c r="W561" s="2173"/>
      <c r="X561" s="2174">
        <v>528711.60137370089</v>
      </c>
      <c r="Y561" s="2175">
        <v>406316.03269596095</v>
      </c>
      <c r="Z561" s="2175">
        <v>418590.86909560784</v>
      </c>
      <c r="AA561" s="2175">
        <v>396384.00767352991</v>
      </c>
      <c r="AB561" s="2175">
        <v>415016.30798305373</v>
      </c>
      <c r="AC561" s="2175">
        <v>428217.64534604386</v>
      </c>
      <c r="AD561" s="2175">
        <v>415518.50741736137</v>
      </c>
      <c r="AE561" s="2175">
        <v>407492.37159044179</v>
      </c>
      <c r="AF561" s="2175">
        <v>433455.70295236935</v>
      </c>
      <c r="AG561" s="2175">
        <v>415400.80643885082</v>
      </c>
      <c r="AH561" s="2175">
        <v>423839.58609526459</v>
      </c>
      <c r="AI561" s="2175">
        <v>442964.61402835301</v>
      </c>
      <c r="AJ561" s="2176">
        <v>1353618.5031652697</v>
      </c>
      <c r="AK561" s="2175">
        <v>1239617.9610026274</v>
      </c>
      <c r="AL561" s="2175">
        <v>1256466.5819601726</v>
      </c>
      <c r="AM561" s="2175">
        <v>1282205.0065624686</v>
      </c>
      <c r="AN561" s="2175">
        <v>2593236.4641678971</v>
      </c>
      <c r="AO561" s="2175">
        <v>2538671.588522641</v>
      </c>
      <c r="AP561" s="2175">
        <v>5131908.0526905386</v>
      </c>
    </row>
    <row r="562" spans="1:42" ht="14.5">
      <c r="A562" s="1693">
        <v>425</v>
      </c>
      <c r="B562" s="616">
        <v>1</v>
      </c>
      <c r="C562" s="1693">
        <v>442</v>
      </c>
      <c r="D562" s="616">
        <v>1</v>
      </c>
      <c r="E562" s="1693">
        <v>489</v>
      </c>
      <c r="F562" s="616">
        <v>1</v>
      </c>
      <c r="G562" s="1693">
        <v>554</v>
      </c>
      <c r="H562" s="616">
        <v>1</v>
      </c>
      <c r="K562" s="69"/>
      <c r="O562" s="73"/>
      <c r="P562" s="72"/>
      <c r="Q562" s="68"/>
      <c r="R562" s="68"/>
      <c r="S562" s="8" t="s">
        <v>57</v>
      </c>
      <c r="T562" s="285"/>
      <c r="U562" s="285"/>
      <c r="V562" s="285"/>
      <c r="W562" s="1899"/>
      <c r="X562" s="2177">
        <v>136296.79177370094</v>
      </c>
      <c r="Y562" s="1971">
        <v>93901.223095961002</v>
      </c>
      <c r="Z562" s="1971">
        <v>106176.05949560784</v>
      </c>
      <c r="AA562" s="1971">
        <v>88024.850073529931</v>
      </c>
      <c r="AB562" s="1971">
        <v>105907.15038305374</v>
      </c>
      <c r="AC562" s="1971">
        <v>119108.4877460439</v>
      </c>
      <c r="AD562" s="1971">
        <v>85889.530417361355</v>
      </c>
      <c r="AE562" s="1971">
        <v>77863.394590441763</v>
      </c>
      <c r="AF562" s="1971">
        <v>103826.72595236932</v>
      </c>
      <c r="AG562" s="1971">
        <v>85771.829438850837</v>
      </c>
      <c r="AH562" s="1971">
        <v>94210.60909526459</v>
      </c>
      <c r="AI562" s="1971">
        <v>112585.637028353</v>
      </c>
      <c r="AJ562" s="2137">
        <v>336374.0743652698</v>
      </c>
      <c r="AK562" s="1971">
        <v>313040.48820262757</v>
      </c>
      <c r="AL562" s="1971">
        <v>267579.65096017247</v>
      </c>
      <c r="AM562" s="1971">
        <v>292568.07556246844</v>
      </c>
      <c r="AN562" s="1971">
        <v>649414.56256789737</v>
      </c>
      <c r="AO562" s="1971">
        <v>560147.72652264091</v>
      </c>
      <c r="AP562" s="1971">
        <v>1209562.2890905384</v>
      </c>
    </row>
    <row r="563" spans="1:42" ht="14.5">
      <c r="A563" s="1693">
        <v>426</v>
      </c>
      <c r="B563" s="616">
        <v>1</v>
      </c>
      <c r="C563" s="1693">
        <v>443</v>
      </c>
      <c r="D563" s="616">
        <v>1</v>
      </c>
      <c r="E563" s="1693">
        <v>490</v>
      </c>
      <c r="F563" s="616">
        <v>1</v>
      </c>
      <c r="G563" s="1693">
        <v>555</v>
      </c>
      <c r="H563" s="616">
        <v>1</v>
      </c>
      <c r="K563" s="69"/>
      <c r="O563" s="73"/>
      <c r="P563" s="72"/>
      <c r="Q563" s="68"/>
      <c r="R563" s="68"/>
      <c r="T563" s="97" t="s">
        <v>1017</v>
      </c>
      <c r="U563" s="97"/>
      <c r="V563" s="97"/>
      <c r="W563" s="1911"/>
      <c r="X563" s="2178">
        <v>136296.79177370094</v>
      </c>
      <c r="Y563" s="2140">
        <v>93901.223095961002</v>
      </c>
      <c r="Z563" s="2140">
        <v>106176.05949560784</v>
      </c>
      <c r="AA563" s="2140">
        <v>88024.850073529931</v>
      </c>
      <c r="AB563" s="2140">
        <v>105907.15038305374</v>
      </c>
      <c r="AC563" s="2140">
        <v>119108.4877460439</v>
      </c>
      <c r="AD563" s="2140">
        <v>85889.530417361355</v>
      </c>
      <c r="AE563" s="2140">
        <v>77863.394590441763</v>
      </c>
      <c r="AF563" s="2140">
        <v>103826.72595236932</v>
      </c>
      <c r="AG563" s="2140">
        <v>85771.829438850837</v>
      </c>
      <c r="AH563" s="2140">
        <v>94210.60909526459</v>
      </c>
      <c r="AI563" s="2140">
        <v>112585.637028353</v>
      </c>
      <c r="AJ563" s="2160">
        <v>336374.0743652698</v>
      </c>
      <c r="AK563" s="2161">
        <v>313040.48820262757</v>
      </c>
      <c r="AL563" s="2161">
        <v>267579.65096017247</v>
      </c>
      <c r="AM563" s="2161">
        <v>292568.07556246844</v>
      </c>
      <c r="AN563" s="2161">
        <v>649414.56256789737</v>
      </c>
      <c r="AO563" s="2161">
        <v>560147.72652264091</v>
      </c>
      <c r="AP563" s="2161">
        <v>1209562.2890905384</v>
      </c>
    </row>
    <row r="564" spans="1:42" ht="14.5">
      <c r="A564" s="1693">
        <v>427</v>
      </c>
      <c r="B564" s="616">
        <v>1</v>
      </c>
      <c r="C564" s="1693">
        <v>444</v>
      </c>
      <c r="D564" s="616">
        <v>1</v>
      </c>
      <c r="E564" s="1693">
        <v>491</v>
      </c>
      <c r="F564" s="616">
        <v>1</v>
      </c>
      <c r="G564" s="1693">
        <v>556</v>
      </c>
      <c r="H564" s="616">
        <v>1</v>
      </c>
      <c r="K564" s="69"/>
      <c r="O564" s="73"/>
      <c r="P564" s="72"/>
      <c r="Q564" s="68"/>
      <c r="R564" s="68"/>
      <c r="T564" s="11" t="s">
        <v>66</v>
      </c>
      <c r="U564" s="11"/>
      <c r="V564" s="11"/>
      <c r="W564" s="1911"/>
      <c r="X564" s="2165"/>
      <c r="Y564" s="2153"/>
      <c r="Z564" s="2153"/>
      <c r="AA564" s="2153"/>
      <c r="AB564" s="2153"/>
      <c r="AC564" s="2153"/>
      <c r="AD564" s="2153"/>
      <c r="AE564" s="2153"/>
      <c r="AF564" s="2153"/>
      <c r="AG564" s="2153"/>
      <c r="AH564" s="2153"/>
      <c r="AI564" s="2153"/>
      <c r="AJ564" s="1927">
        <v>0</v>
      </c>
      <c r="AK564" s="1928">
        <v>0</v>
      </c>
      <c r="AL564" s="1928">
        <v>0</v>
      </c>
      <c r="AM564" s="1928">
        <v>0</v>
      </c>
      <c r="AN564" s="1928">
        <v>0</v>
      </c>
      <c r="AO564" s="1928">
        <v>0</v>
      </c>
      <c r="AP564" s="1928">
        <v>0</v>
      </c>
    </row>
    <row r="565" spans="1:42" ht="14.5">
      <c r="A565" s="1693">
        <v>428</v>
      </c>
      <c r="B565" s="616">
        <v>1</v>
      </c>
      <c r="C565" s="1693">
        <v>445</v>
      </c>
      <c r="D565" s="616">
        <v>1</v>
      </c>
      <c r="E565" s="1693">
        <v>492</v>
      </c>
      <c r="F565" s="616">
        <v>1</v>
      </c>
      <c r="G565" s="1693">
        <v>557</v>
      </c>
      <c r="H565" s="616">
        <v>1</v>
      </c>
      <c r="K565" s="69"/>
      <c r="O565" s="73"/>
      <c r="P565" s="72"/>
      <c r="Q565" s="68"/>
      <c r="R565" s="68"/>
      <c r="S565" s="487" t="s">
        <v>27</v>
      </c>
      <c r="T565" s="284"/>
      <c r="U565" s="284"/>
      <c r="V565" s="284"/>
      <c r="W565" s="1899"/>
      <c r="X565" s="2179">
        <v>391664.80959999998</v>
      </c>
      <c r="Y565" s="1987">
        <v>311664.80959999998</v>
      </c>
      <c r="Z565" s="1987">
        <v>311664.80959999998</v>
      </c>
      <c r="AA565" s="1987">
        <v>308359.15759999998</v>
      </c>
      <c r="AB565" s="1987">
        <v>308359.15759999998</v>
      </c>
      <c r="AC565" s="1987">
        <v>308359.15759999998</v>
      </c>
      <c r="AD565" s="1987">
        <v>328878.97700000001</v>
      </c>
      <c r="AE565" s="1987">
        <v>328878.97700000001</v>
      </c>
      <c r="AF565" s="1987">
        <v>328878.97700000001</v>
      </c>
      <c r="AG565" s="1987">
        <v>328878.97700000001</v>
      </c>
      <c r="AH565" s="1987">
        <v>328878.97700000001</v>
      </c>
      <c r="AI565" s="1987">
        <v>328878.97700000001</v>
      </c>
      <c r="AJ565" s="2144">
        <v>1014994.4287999999</v>
      </c>
      <c r="AK565" s="1987">
        <v>925077.47279999987</v>
      </c>
      <c r="AL565" s="1987">
        <v>986636.9310000001</v>
      </c>
      <c r="AM565" s="1987">
        <v>986636.9310000001</v>
      </c>
      <c r="AN565" s="1987">
        <v>1940071.9015999998</v>
      </c>
      <c r="AO565" s="1987">
        <v>1973273.8620000002</v>
      </c>
      <c r="AP565" s="1987">
        <v>3913345.7636000002</v>
      </c>
    </row>
    <row r="566" spans="1:42" ht="14.5">
      <c r="A566" s="1693">
        <v>429</v>
      </c>
      <c r="B566" s="616">
        <v>1</v>
      </c>
      <c r="C566" s="1693">
        <v>446</v>
      </c>
      <c r="D566" s="616">
        <v>1</v>
      </c>
      <c r="E566" s="1693">
        <v>493</v>
      </c>
      <c r="F566" s="616">
        <v>1</v>
      </c>
      <c r="G566" s="1693">
        <v>558</v>
      </c>
      <c r="H566" s="616">
        <v>1</v>
      </c>
      <c r="K566" s="69"/>
      <c r="O566" s="73"/>
      <c r="P566" s="72"/>
      <c r="Q566" s="68"/>
      <c r="R566" s="68"/>
      <c r="T566" s="97" t="s">
        <v>1017</v>
      </c>
      <c r="U566" s="97"/>
      <c r="V566" s="869"/>
      <c r="W566" s="1899"/>
      <c r="X566" s="2180">
        <v>391664.80959999998</v>
      </c>
      <c r="Y566" s="2145">
        <v>311664.80959999998</v>
      </c>
      <c r="Z566" s="2145">
        <v>311664.80959999998</v>
      </c>
      <c r="AA566" s="2145">
        <v>308359.15759999998</v>
      </c>
      <c r="AB566" s="2145">
        <v>308359.15759999998</v>
      </c>
      <c r="AC566" s="2145">
        <v>308359.15759999998</v>
      </c>
      <c r="AD566" s="2145">
        <v>328878.97700000001</v>
      </c>
      <c r="AE566" s="2145">
        <v>328878.97700000001</v>
      </c>
      <c r="AF566" s="2145">
        <v>328878.97700000001</v>
      </c>
      <c r="AG566" s="2145">
        <v>328878.97700000001</v>
      </c>
      <c r="AH566" s="2145">
        <v>328878.97700000001</v>
      </c>
      <c r="AI566" s="2145">
        <v>328878.97700000001</v>
      </c>
      <c r="AJ566" s="2146">
        <v>1014994.4287999999</v>
      </c>
      <c r="AK566" s="2145">
        <v>925077.47279999987</v>
      </c>
      <c r="AL566" s="2145">
        <v>986636.9310000001</v>
      </c>
      <c r="AM566" s="2145">
        <v>986636.9310000001</v>
      </c>
      <c r="AN566" s="2145">
        <v>1940071.9015999998</v>
      </c>
      <c r="AO566" s="2145">
        <v>1973273.8620000002</v>
      </c>
      <c r="AP566" s="2145">
        <v>3913345.7636000002</v>
      </c>
    </row>
    <row r="567" spans="1:42" ht="14.5">
      <c r="A567" s="1693">
        <v>430</v>
      </c>
      <c r="B567" s="616">
        <v>1</v>
      </c>
      <c r="C567" s="1693">
        <v>447</v>
      </c>
      <c r="D567" s="616">
        <v>1</v>
      </c>
      <c r="E567" s="1693">
        <v>494</v>
      </c>
      <c r="F567" s="616">
        <v>1</v>
      </c>
      <c r="G567" s="1693">
        <v>559</v>
      </c>
      <c r="H567" s="616">
        <v>1</v>
      </c>
      <c r="K567" s="69"/>
      <c r="O567" s="73"/>
      <c r="P567" s="72"/>
      <c r="Q567" s="68"/>
      <c r="R567" s="68"/>
      <c r="V567" s="97" t="s">
        <v>1084</v>
      </c>
      <c r="W567" s="1911"/>
      <c r="X567" s="2178">
        <v>391664.80959999998</v>
      </c>
      <c r="Y567" s="2140">
        <v>311664.80959999998</v>
      </c>
      <c r="Z567" s="2140">
        <v>311664.80959999998</v>
      </c>
      <c r="AA567" s="2140">
        <v>308359.15759999998</v>
      </c>
      <c r="AB567" s="2140">
        <v>308359.15759999998</v>
      </c>
      <c r="AC567" s="2140">
        <v>308359.15759999998</v>
      </c>
      <c r="AD567" s="2140">
        <v>328878.97700000001</v>
      </c>
      <c r="AE567" s="2140">
        <v>328878.97700000001</v>
      </c>
      <c r="AF567" s="2140">
        <v>328878.97700000001</v>
      </c>
      <c r="AG567" s="2140">
        <v>328878.97700000001</v>
      </c>
      <c r="AH567" s="2140">
        <v>328878.97700000001</v>
      </c>
      <c r="AI567" s="2140">
        <v>328878.97700000001</v>
      </c>
      <c r="AJ567" s="2160">
        <v>1014994.4287999999</v>
      </c>
      <c r="AK567" s="2161">
        <v>925077.47279999987</v>
      </c>
      <c r="AL567" s="2161">
        <v>986636.9310000001</v>
      </c>
      <c r="AM567" s="2161">
        <v>986636.9310000001</v>
      </c>
      <c r="AN567" s="2161">
        <v>1940071.9015999998</v>
      </c>
      <c r="AO567" s="2161">
        <v>1973273.8620000002</v>
      </c>
      <c r="AP567" s="2161">
        <v>3913345.7636000002</v>
      </c>
    </row>
    <row r="568" spans="1:42" ht="14.5">
      <c r="A568" s="1693">
        <v>431</v>
      </c>
      <c r="B568" s="616">
        <v>1</v>
      </c>
      <c r="C568" s="1693">
        <v>448</v>
      </c>
      <c r="D568" s="616">
        <v>1</v>
      </c>
      <c r="E568" s="1693">
        <v>495</v>
      </c>
      <c r="F568" s="616">
        <v>1</v>
      </c>
      <c r="G568" s="1693">
        <v>560</v>
      </c>
      <c r="H568" s="616">
        <v>1</v>
      </c>
      <c r="K568" s="69"/>
      <c r="O568" s="73"/>
      <c r="P568" s="72"/>
      <c r="Q568" s="68"/>
      <c r="R568" s="68"/>
      <c r="T568" s="285"/>
      <c r="U568" s="285"/>
      <c r="V568" s="285" t="s">
        <v>1085</v>
      </c>
      <c r="W568" s="1911"/>
      <c r="X568" s="2181"/>
      <c r="Y568" s="2023"/>
      <c r="Z568" s="2023"/>
      <c r="AA568" s="2023"/>
      <c r="AB568" s="2023"/>
      <c r="AC568" s="2023"/>
      <c r="AD568" s="2023"/>
      <c r="AE568" s="2023"/>
      <c r="AF568" s="2023"/>
      <c r="AG568" s="2023"/>
      <c r="AH568" s="2023"/>
      <c r="AI568" s="2023"/>
      <c r="AJ568" s="2182">
        <v>0</v>
      </c>
      <c r="AK568" s="2183">
        <v>0</v>
      </c>
      <c r="AL568" s="2183">
        <v>0</v>
      </c>
      <c r="AM568" s="2183">
        <v>0</v>
      </c>
      <c r="AN568" s="2183">
        <v>0</v>
      </c>
      <c r="AO568" s="2183">
        <v>0</v>
      </c>
      <c r="AP568" s="2183">
        <v>0</v>
      </c>
    </row>
    <row r="569" spans="1:42" ht="14.5">
      <c r="A569" s="1693">
        <v>432</v>
      </c>
      <c r="B569" s="616">
        <v>1</v>
      </c>
      <c r="C569" s="1693">
        <v>449</v>
      </c>
      <c r="D569" s="616">
        <v>1</v>
      </c>
      <c r="E569" s="1693">
        <v>496</v>
      </c>
      <c r="F569" s="616">
        <v>1</v>
      </c>
      <c r="G569" s="1693">
        <v>561</v>
      </c>
      <c r="H569" s="616">
        <v>1</v>
      </c>
      <c r="K569" s="69"/>
      <c r="O569" s="73"/>
      <c r="P569" s="72"/>
      <c r="Q569" s="68"/>
      <c r="R569" s="68"/>
      <c r="T569" s="288" t="s">
        <v>66</v>
      </c>
      <c r="U569" s="288"/>
      <c r="V569" s="288"/>
      <c r="W569" s="1911"/>
      <c r="X569" s="2184"/>
      <c r="Y569" s="2141"/>
      <c r="Z569" s="2141"/>
      <c r="AA569" s="2141"/>
      <c r="AB569" s="2141"/>
      <c r="AC569" s="2141"/>
      <c r="AD569" s="2141"/>
      <c r="AE569" s="2141"/>
      <c r="AF569" s="2141"/>
      <c r="AG569" s="2141"/>
      <c r="AH569" s="2141"/>
      <c r="AI569" s="2141"/>
      <c r="AJ569" s="2185">
        <v>0</v>
      </c>
      <c r="AK569" s="2186">
        <v>0</v>
      </c>
      <c r="AL569" s="2186">
        <v>0</v>
      </c>
      <c r="AM569" s="2186">
        <v>0</v>
      </c>
      <c r="AN569" s="2186">
        <v>0</v>
      </c>
      <c r="AO569" s="2186">
        <v>0</v>
      </c>
      <c r="AP569" s="2186">
        <v>0</v>
      </c>
    </row>
    <row r="570" spans="1:42" ht="14.5">
      <c r="A570" s="1693">
        <v>433</v>
      </c>
      <c r="B570" s="616">
        <v>1</v>
      </c>
      <c r="C570" s="1693">
        <v>450</v>
      </c>
      <c r="D570" s="616">
        <v>1</v>
      </c>
      <c r="E570" s="1693">
        <v>497</v>
      </c>
      <c r="F570" s="616">
        <v>1</v>
      </c>
      <c r="G570" s="1693">
        <v>562</v>
      </c>
      <c r="H570" s="616">
        <v>1</v>
      </c>
      <c r="K570" s="69"/>
      <c r="O570" s="73"/>
      <c r="P570" s="72"/>
      <c r="Q570" s="68"/>
      <c r="R570" s="68"/>
      <c r="S570" s="487" t="s">
        <v>24</v>
      </c>
      <c r="T570" s="284"/>
      <c r="U570" s="284"/>
      <c r="V570" s="284"/>
      <c r="W570" s="1899"/>
      <c r="X570" s="2179">
        <v>750</v>
      </c>
      <c r="Y570" s="1987">
        <v>750</v>
      </c>
      <c r="Z570" s="1987">
        <v>750</v>
      </c>
      <c r="AA570" s="1987">
        <v>0</v>
      </c>
      <c r="AB570" s="1987">
        <v>750</v>
      </c>
      <c r="AC570" s="1987">
        <v>750</v>
      </c>
      <c r="AD570" s="1987">
        <v>750</v>
      </c>
      <c r="AE570" s="1987">
        <v>750</v>
      </c>
      <c r="AF570" s="1987">
        <v>750</v>
      </c>
      <c r="AG570" s="1987">
        <v>750</v>
      </c>
      <c r="AH570" s="1987">
        <v>750</v>
      </c>
      <c r="AI570" s="1987">
        <v>1500</v>
      </c>
      <c r="AJ570" s="2144">
        <v>2250</v>
      </c>
      <c r="AK570" s="1987">
        <v>1500</v>
      </c>
      <c r="AL570" s="1987">
        <v>2250</v>
      </c>
      <c r="AM570" s="1987">
        <v>3000</v>
      </c>
      <c r="AN570" s="1987">
        <v>3750</v>
      </c>
      <c r="AO570" s="1987">
        <v>5250</v>
      </c>
      <c r="AP570" s="1987">
        <v>9000</v>
      </c>
    </row>
    <row r="571" spans="1:42" ht="14.5">
      <c r="A571" s="1693">
        <v>434</v>
      </c>
      <c r="B571" s="616">
        <v>1</v>
      </c>
      <c r="C571" s="1693">
        <v>451</v>
      </c>
      <c r="D571" s="616">
        <v>1</v>
      </c>
      <c r="E571" s="1693">
        <v>498</v>
      </c>
      <c r="F571" s="616">
        <v>1</v>
      </c>
      <c r="G571" s="1693">
        <v>563</v>
      </c>
      <c r="H571" s="616">
        <v>1</v>
      </c>
      <c r="K571" s="69"/>
      <c r="O571" s="73"/>
      <c r="P571" s="72"/>
      <c r="Q571" s="68"/>
      <c r="R571" s="68"/>
      <c r="T571" s="97"/>
      <c r="U571" s="97"/>
      <c r="V571" s="97" t="s">
        <v>1096</v>
      </c>
      <c r="W571" s="1911"/>
      <c r="X571" s="2178">
        <v>750</v>
      </c>
      <c r="Y571" s="2140">
        <v>750</v>
      </c>
      <c r="Z571" s="2140">
        <v>750</v>
      </c>
      <c r="AA571" s="2140">
        <v>0</v>
      </c>
      <c r="AB571" s="2140">
        <v>750</v>
      </c>
      <c r="AC571" s="2140">
        <v>750</v>
      </c>
      <c r="AD571" s="2140">
        <v>750</v>
      </c>
      <c r="AE571" s="2140">
        <v>750</v>
      </c>
      <c r="AF571" s="2140">
        <v>750</v>
      </c>
      <c r="AG571" s="2140">
        <v>750</v>
      </c>
      <c r="AH571" s="2140">
        <v>750</v>
      </c>
      <c r="AI571" s="2140">
        <v>1500</v>
      </c>
      <c r="AJ571" s="2160">
        <v>2250</v>
      </c>
      <c r="AK571" s="2161">
        <v>1500</v>
      </c>
      <c r="AL571" s="2161">
        <v>2250</v>
      </c>
      <c r="AM571" s="2161">
        <v>3000</v>
      </c>
      <c r="AN571" s="2161">
        <v>3750</v>
      </c>
      <c r="AO571" s="2161">
        <v>5250</v>
      </c>
      <c r="AP571" s="2161">
        <v>9000</v>
      </c>
    </row>
    <row r="572" spans="1:42" ht="14.5">
      <c r="A572" s="1693">
        <v>435</v>
      </c>
      <c r="B572" s="616">
        <v>1</v>
      </c>
      <c r="C572" s="1693">
        <v>452</v>
      </c>
      <c r="D572" s="616">
        <v>1</v>
      </c>
      <c r="E572" s="1693">
        <v>499</v>
      </c>
      <c r="F572" s="616">
        <v>1</v>
      </c>
      <c r="G572" s="1693">
        <v>564</v>
      </c>
      <c r="H572" s="616">
        <v>1</v>
      </c>
      <c r="K572" s="69"/>
      <c r="O572" s="73"/>
      <c r="P572" s="72"/>
      <c r="Q572" s="68"/>
      <c r="R572" s="68"/>
      <c r="V572" s="8" t="s">
        <v>1097</v>
      </c>
      <c r="W572" s="1911"/>
      <c r="X572" s="2162"/>
      <c r="Y572" s="2021"/>
      <c r="Z572" s="2021"/>
      <c r="AA572" s="2021"/>
      <c r="AB572" s="2021"/>
      <c r="AC572" s="2021"/>
      <c r="AD572" s="2021"/>
      <c r="AE572" s="2021"/>
      <c r="AF572" s="2021"/>
      <c r="AG572" s="2021"/>
      <c r="AH572" s="2021"/>
      <c r="AI572" s="2021"/>
      <c r="AJ572" s="1925">
        <v>0</v>
      </c>
      <c r="AK572" s="1926">
        <v>0</v>
      </c>
      <c r="AL572" s="1926">
        <v>0</v>
      </c>
      <c r="AM572" s="1926">
        <v>0</v>
      </c>
      <c r="AN572" s="1926">
        <v>0</v>
      </c>
      <c r="AO572" s="1926">
        <v>0</v>
      </c>
      <c r="AP572" s="1926">
        <v>0</v>
      </c>
    </row>
    <row r="573" spans="1:42" ht="14.5">
      <c r="A573" s="1693">
        <v>436</v>
      </c>
      <c r="B573" s="616">
        <v>1</v>
      </c>
      <c r="C573" s="1693">
        <v>453</v>
      </c>
      <c r="D573" s="616">
        <v>1</v>
      </c>
      <c r="E573" s="1693">
        <v>500</v>
      </c>
      <c r="F573" s="616">
        <v>1</v>
      </c>
      <c r="G573" s="1693">
        <v>565</v>
      </c>
      <c r="H573" s="616">
        <v>1</v>
      </c>
      <c r="K573" s="69"/>
      <c r="O573" s="73"/>
      <c r="P573" s="72"/>
      <c r="Q573" s="68"/>
      <c r="R573" s="68"/>
      <c r="V573" s="8" t="s">
        <v>1098</v>
      </c>
      <c r="W573" s="1911"/>
      <c r="X573" s="2162"/>
      <c r="Y573" s="2021"/>
      <c r="Z573" s="2021"/>
      <c r="AA573" s="2021"/>
      <c r="AB573" s="2021"/>
      <c r="AC573" s="2021"/>
      <c r="AD573" s="2021"/>
      <c r="AE573" s="2021"/>
      <c r="AF573" s="2021"/>
      <c r="AG573" s="2021"/>
      <c r="AH573" s="2021"/>
      <c r="AI573" s="2021"/>
      <c r="AJ573" s="1925">
        <v>0</v>
      </c>
      <c r="AK573" s="1926">
        <v>0</v>
      </c>
      <c r="AL573" s="1926">
        <v>0</v>
      </c>
      <c r="AM573" s="1926">
        <v>0</v>
      </c>
      <c r="AN573" s="1926">
        <v>0</v>
      </c>
      <c r="AO573" s="1926">
        <v>0</v>
      </c>
      <c r="AP573" s="1926">
        <v>0</v>
      </c>
    </row>
    <row r="574" spans="1:42" ht="14.5">
      <c r="A574" s="1693">
        <v>437</v>
      </c>
      <c r="B574" s="616">
        <v>1</v>
      </c>
      <c r="C574" s="1693">
        <v>454</v>
      </c>
      <c r="D574" s="616">
        <v>1</v>
      </c>
      <c r="E574" s="1693">
        <v>501</v>
      </c>
      <c r="F574" s="616">
        <v>1</v>
      </c>
      <c r="G574" s="1693">
        <v>566</v>
      </c>
      <c r="H574" s="616">
        <v>1</v>
      </c>
      <c r="K574" s="69"/>
      <c r="O574" s="73"/>
      <c r="P574" s="72"/>
      <c r="Q574" s="68"/>
      <c r="R574" s="68"/>
      <c r="T574" s="11"/>
      <c r="U574" s="11"/>
      <c r="V574" s="11" t="s">
        <v>2</v>
      </c>
      <c r="W574" s="1911"/>
      <c r="X574" s="2165"/>
      <c r="Y574" s="2153"/>
      <c r="Z574" s="2153"/>
      <c r="AA574" s="2153"/>
      <c r="AB574" s="2153"/>
      <c r="AC574" s="2153"/>
      <c r="AD574" s="2153"/>
      <c r="AE574" s="2153"/>
      <c r="AF574" s="2153"/>
      <c r="AG574" s="2153"/>
      <c r="AH574" s="2153"/>
      <c r="AI574" s="2153"/>
      <c r="AJ574" s="1927">
        <v>0</v>
      </c>
      <c r="AK574" s="1928">
        <v>0</v>
      </c>
      <c r="AL574" s="1928">
        <v>0</v>
      </c>
      <c r="AM574" s="1928">
        <v>0</v>
      </c>
      <c r="AN574" s="1928">
        <v>0</v>
      </c>
      <c r="AO574" s="1928">
        <v>0</v>
      </c>
      <c r="AP574" s="1928">
        <v>0</v>
      </c>
    </row>
    <row r="575" spans="1:42" ht="14.5">
      <c r="A575" s="1693">
        <v>438</v>
      </c>
      <c r="B575" s="616">
        <v>1</v>
      </c>
      <c r="C575" s="1693">
        <v>455</v>
      </c>
      <c r="D575" s="616">
        <v>1</v>
      </c>
      <c r="E575" s="1693">
        <v>502</v>
      </c>
      <c r="F575" s="616">
        <v>1</v>
      </c>
      <c r="G575" s="1693">
        <v>567</v>
      </c>
      <c r="H575" s="616">
        <v>1</v>
      </c>
      <c r="K575" s="69"/>
      <c r="O575" s="73"/>
      <c r="P575" s="72"/>
      <c r="Q575" s="68"/>
      <c r="R575" s="68"/>
      <c r="S575" s="1475" t="s">
        <v>2</v>
      </c>
      <c r="T575" s="11"/>
      <c r="U575" s="11"/>
      <c r="V575" s="11"/>
      <c r="W575" s="1911"/>
      <c r="X575" s="2148"/>
      <c r="Y575" s="2153"/>
      <c r="Z575" s="2153"/>
      <c r="AA575" s="2153"/>
      <c r="AB575" s="2153"/>
      <c r="AC575" s="2153"/>
      <c r="AD575" s="2153"/>
      <c r="AE575" s="2153"/>
      <c r="AF575" s="2153"/>
      <c r="AG575" s="2153"/>
      <c r="AH575" s="2153"/>
      <c r="AI575" s="2153"/>
      <c r="AJ575" s="1927">
        <v>0</v>
      </c>
      <c r="AK575" s="1928">
        <v>0</v>
      </c>
      <c r="AL575" s="1928">
        <v>0</v>
      </c>
      <c r="AM575" s="1928">
        <v>0</v>
      </c>
      <c r="AN575" s="1928">
        <v>0</v>
      </c>
      <c r="AO575" s="1928">
        <v>0</v>
      </c>
      <c r="AP575" s="1928">
        <v>0</v>
      </c>
    </row>
    <row r="576" spans="1:42" ht="14.5">
      <c r="A576" s="1693">
        <v>439</v>
      </c>
      <c r="B576" s="616">
        <v>1</v>
      </c>
      <c r="C576" s="1693">
        <v>456</v>
      </c>
      <c r="D576" s="616">
        <v>1</v>
      </c>
      <c r="E576" s="1693">
        <v>503</v>
      </c>
      <c r="F576" s="616">
        <v>1</v>
      </c>
      <c r="G576" s="1693">
        <v>568</v>
      </c>
      <c r="H576" s="616">
        <v>1</v>
      </c>
      <c r="K576" s="69"/>
      <c r="O576" s="73"/>
      <c r="P576" s="72"/>
      <c r="Q576" s="583" t="s">
        <v>1019</v>
      </c>
      <c r="R576" s="583"/>
      <c r="S576" s="495"/>
      <c r="T576" s="495"/>
      <c r="U576" s="495"/>
      <c r="V576" s="583"/>
      <c r="W576" s="2187"/>
      <c r="X576" s="2188">
        <v>68828.15132006249</v>
      </c>
      <c r="Y576" s="2188">
        <v>53344.712614249998</v>
      </c>
      <c r="Z576" s="2188">
        <v>52863.623223895833</v>
      </c>
      <c r="AA576" s="2188">
        <v>55247.373608833339</v>
      </c>
      <c r="AB576" s="2188">
        <v>52545.065218312506</v>
      </c>
      <c r="AC576" s="2188">
        <v>54596.17845189583</v>
      </c>
      <c r="AD576" s="2188">
        <v>46355.52271125</v>
      </c>
      <c r="AE576" s="2188">
        <v>47262.162320812495</v>
      </c>
      <c r="AF576" s="2188">
        <v>62232.331420645831</v>
      </c>
      <c r="AG576" s="2188">
        <v>49800.466096749995</v>
      </c>
      <c r="AH576" s="2188">
        <v>60631.797080395831</v>
      </c>
      <c r="AI576" s="2188">
        <v>58093.108916895835</v>
      </c>
      <c r="AJ576" s="2189">
        <v>175036.48715820833</v>
      </c>
      <c r="AK576" s="2188">
        <v>162388.61727904167</v>
      </c>
      <c r="AL576" s="2188">
        <v>155850.01645270834</v>
      </c>
      <c r="AM576" s="2188">
        <v>168525.37209404167</v>
      </c>
      <c r="AN576" s="2188">
        <v>337425.10443725</v>
      </c>
      <c r="AO576" s="2188">
        <v>324375.38854675001</v>
      </c>
      <c r="AP576" s="2188">
        <v>661800.49298400001</v>
      </c>
    </row>
    <row r="577" spans="1:42" ht="14.5">
      <c r="A577" s="1693">
        <v>440</v>
      </c>
      <c r="B577" s="616">
        <v>1</v>
      </c>
      <c r="C577" s="1693">
        <v>457</v>
      </c>
      <c r="D577" s="616">
        <v>1</v>
      </c>
      <c r="E577" s="1693">
        <v>504</v>
      </c>
      <c r="F577" s="616">
        <v>1</v>
      </c>
      <c r="G577" s="1693">
        <v>569</v>
      </c>
      <c r="H577" s="616">
        <v>1</v>
      </c>
      <c r="K577" s="69"/>
      <c r="O577" s="73"/>
      <c r="P577" s="72"/>
      <c r="Q577" s="63"/>
      <c r="R577" s="63"/>
      <c r="S577" s="8" t="s">
        <v>57</v>
      </c>
      <c r="T577" s="285"/>
      <c r="U577" s="285"/>
      <c r="V577" s="285"/>
      <c r="W577" s="1899"/>
      <c r="X577" s="2177">
        <v>19229.667320062494</v>
      </c>
      <c r="Y577" s="1971">
        <v>15446.22861425</v>
      </c>
      <c r="Z577" s="1971">
        <v>14965.139223895832</v>
      </c>
      <c r="AA577" s="1971">
        <v>16559.337858833336</v>
      </c>
      <c r="AB577" s="1971">
        <v>13857.029468312501</v>
      </c>
      <c r="AC577" s="1971">
        <v>15908.142701895831</v>
      </c>
      <c r="AD577" s="1971">
        <v>8038.3834612499986</v>
      </c>
      <c r="AE577" s="1971">
        <v>8945.0230708124982</v>
      </c>
      <c r="AF577" s="1971">
        <v>23915.192170645831</v>
      </c>
      <c r="AG577" s="1971">
        <v>10693.775096749998</v>
      </c>
      <c r="AH577" s="1971">
        <v>21525.106080395832</v>
      </c>
      <c r="AI577" s="1971">
        <v>18986.417916895836</v>
      </c>
      <c r="AJ577" s="2137">
        <v>49641.035158208324</v>
      </c>
      <c r="AK577" s="1971">
        <v>46324.510029041674</v>
      </c>
      <c r="AL577" s="1971">
        <v>40898.598702708332</v>
      </c>
      <c r="AM577" s="1971">
        <v>51205.299094041664</v>
      </c>
      <c r="AN577" s="1971">
        <v>95965.545187249998</v>
      </c>
      <c r="AO577" s="1971">
        <v>92103.897796749996</v>
      </c>
      <c r="AP577" s="1971">
        <v>188069.44298399999</v>
      </c>
    </row>
    <row r="578" spans="1:42" ht="14.5">
      <c r="A578" s="1693">
        <v>441</v>
      </c>
      <c r="B578" s="616">
        <v>1</v>
      </c>
      <c r="C578" s="1693">
        <v>458</v>
      </c>
      <c r="D578" s="616">
        <v>1</v>
      </c>
      <c r="E578" s="1693">
        <v>505</v>
      </c>
      <c r="F578" s="616">
        <v>1</v>
      </c>
      <c r="G578" s="1693">
        <v>570</v>
      </c>
      <c r="H578" s="616">
        <v>1</v>
      </c>
      <c r="K578" s="69"/>
      <c r="O578" s="73"/>
      <c r="P578" s="72"/>
      <c r="Q578" s="63"/>
      <c r="R578" s="63"/>
      <c r="T578" s="97" t="s">
        <v>1017</v>
      </c>
      <c r="U578" s="97"/>
      <c r="V578" s="97"/>
      <c r="W578" s="1911"/>
      <c r="X578" s="2178">
        <v>19229.667320062494</v>
      </c>
      <c r="Y578" s="2140">
        <v>15446.22861425</v>
      </c>
      <c r="Z578" s="2140">
        <v>14965.139223895832</v>
      </c>
      <c r="AA578" s="2140">
        <v>16559.337858833336</v>
      </c>
      <c r="AB578" s="2140">
        <v>13857.029468312501</v>
      </c>
      <c r="AC578" s="2140">
        <v>15908.142701895831</v>
      </c>
      <c r="AD578" s="2140">
        <v>8038.3834612499986</v>
      </c>
      <c r="AE578" s="2140">
        <v>8945.0230708124982</v>
      </c>
      <c r="AF578" s="2140">
        <v>23915.192170645831</v>
      </c>
      <c r="AG578" s="2140">
        <v>10693.775096749998</v>
      </c>
      <c r="AH578" s="2140">
        <v>21525.106080395832</v>
      </c>
      <c r="AI578" s="2140">
        <v>18986.417916895836</v>
      </c>
      <c r="AJ578" s="2160">
        <v>49641.035158208324</v>
      </c>
      <c r="AK578" s="2161">
        <v>46324.510029041674</v>
      </c>
      <c r="AL578" s="2161">
        <v>40898.598702708332</v>
      </c>
      <c r="AM578" s="2161">
        <v>51205.299094041664</v>
      </c>
      <c r="AN578" s="2161">
        <v>95965.545187249998</v>
      </c>
      <c r="AO578" s="2161">
        <v>92103.897796749996</v>
      </c>
      <c r="AP578" s="2161">
        <v>188069.44298399999</v>
      </c>
    </row>
    <row r="579" spans="1:42" ht="14.5">
      <c r="A579" s="1693">
        <v>442</v>
      </c>
      <c r="B579" s="616">
        <v>1</v>
      </c>
      <c r="C579" s="1693">
        <v>459</v>
      </c>
      <c r="D579" s="616">
        <v>1</v>
      </c>
      <c r="E579" s="1693">
        <v>506</v>
      </c>
      <c r="F579" s="616">
        <v>1</v>
      </c>
      <c r="G579" s="1693">
        <v>571</v>
      </c>
      <c r="H579" s="616">
        <v>1</v>
      </c>
      <c r="K579" s="69"/>
      <c r="O579" s="73"/>
      <c r="P579" s="72"/>
      <c r="Q579" s="63"/>
      <c r="R579" s="63"/>
      <c r="T579" s="11" t="s">
        <v>66</v>
      </c>
      <c r="U579" s="11"/>
      <c r="V579" s="11"/>
      <c r="W579" s="1911"/>
      <c r="X579" s="2165"/>
      <c r="Y579" s="2153"/>
      <c r="Z579" s="2153"/>
      <c r="AA579" s="2153"/>
      <c r="AB579" s="2153"/>
      <c r="AC579" s="2153"/>
      <c r="AD579" s="2153"/>
      <c r="AE579" s="2153"/>
      <c r="AF579" s="2153"/>
      <c r="AG579" s="2153"/>
      <c r="AH579" s="2153"/>
      <c r="AI579" s="2153"/>
      <c r="AJ579" s="1927">
        <v>0</v>
      </c>
      <c r="AK579" s="1928">
        <v>0</v>
      </c>
      <c r="AL579" s="1928">
        <v>0</v>
      </c>
      <c r="AM579" s="1928">
        <v>0</v>
      </c>
      <c r="AN579" s="1928">
        <v>0</v>
      </c>
      <c r="AO579" s="1928">
        <v>0</v>
      </c>
      <c r="AP579" s="1928">
        <v>0</v>
      </c>
    </row>
    <row r="580" spans="1:42" ht="14.5">
      <c r="A580" s="1693">
        <v>443</v>
      </c>
      <c r="B580" s="616">
        <v>1</v>
      </c>
      <c r="C580" s="1693">
        <v>460</v>
      </c>
      <c r="D580" s="616">
        <v>1</v>
      </c>
      <c r="E580" s="1693">
        <v>507</v>
      </c>
      <c r="F580" s="616">
        <v>1</v>
      </c>
      <c r="G580" s="1693">
        <v>572</v>
      </c>
      <c r="H580" s="616">
        <v>1</v>
      </c>
      <c r="K580" s="69"/>
      <c r="O580" s="73"/>
      <c r="P580" s="72"/>
      <c r="Q580" s="63"/>
      <c r="R580" s="63"/>
      <c r="S580" s="487" t="s">
        <v>27</v>
      </c>
      <c r="T580" s="284"/>
      <c r="U580" s="284"/>
      <c r="V580" s="284"/>
      <c r="W580" s="1899"/>
      <c r="X580" s="2179">
        <v>49598.483999999997</v>
      </c>
      <c r="Y580" s="1987">
        <v>37898.483999999997</v>
      </c>
      <c r="Z580" s="1987">
        <v>37898.483999999997</v>
      </c>
      <c r="AA580" s="1987">
        <v>38688.035750000003</v>
      </c>
      <c r="AB580" s="1987">
        <v>38688.035750000003</v>
      </c>
      <c r="AC580" s="1987">
        <v>38688.035750000003</v>
      </c>
      <c r="AD580" s="1987">
        <v>38317.13925</v>
      </c>
      <c r="AE580" s="1987">
        <v>38317.13925</v>
      </c>
      <c r="AF580" s="1987">
        <v>38317.13925</v>
      </c>
      <c r="AG580" s="1987">
        <v>39106.690999999999</v>
      </c>
      <c r="AH580" s="1987">
        <v>39106.690999999999</v>
      </c>
      <c r="AI580" s="1987">
        <v>39106.690999999999</v>
      </c>
      <c r="AJ580" s="2144">
        <v>125395.45199999999</v>
      </c>
      <c r="AK580" s="1987">
        <v>116064.10725</v>
      </c>
      <c r="AL580" s="1987">
        <v>114951.41774999999</v>
      </c>
      <c r="AM580" s="1987">
        <v>117320.073</v>
      </c>
      <c r="AN580" s="1987">
        <v>241459.55924999999</v>
      </c>
      <c r="AO580" s="1987">
        <v>232271.49075</v>
      </c>
      <c r="AP580" s="1987">
        <v>473731.05</v>
      </c>
    </row>
    <row r="581" spans="1:42" ht="14.5">
      <c r="A581" s="1693">
        <v>444</v>
      </c>
      <c r="B581" s="616">
        <v>1</v>
      </c>
      <c r="C581" s="1693">
        <v>461</v>
      </c>
      <c r="D581" s="616">
        <v>1</v>
      </c>
      <c r="E581" s="1693">
        <v>508</v>
      </c>
      <c r="F581" s="616">
        <v>1</v>
      </c>
      <c r="G581" s="1693">
        <v>573</v>
      </c>
      <c r="H581" s="616">
        <v>1</v>
      </c>
      <c r="K581" s="69"/>
      <c r="O581" s="73"/>
      <c r="P581" s="72"/>
      <c r="Q581" s="63"/>
      <c r="R581" s="63"/>
      <c r="T581" s="97" t="s">
        <v>1017</v>
      </c>
      <c r="U581" s="97"/>
      <c r="V581" s="869"/>
      <c r="W581" s="1899"/>
      <c r="X581" s="2180">
        <v>49598.483999999997</v>
      </c>
      <c r="Y581" s="2145">
        <v>37898.483999999997</v>
      </c>
      <c r="Z581" s="2145">
        <v>37898.483999999997</v>
      </c>
      <c r="AA581" s="2145">
        <v>38688.035750000003</v>
      </c>
      <c r="AB581" s="2145">
        <v>38688.035750000003</v>
      </c>
      <c r="AC581" s="2145">
        <v>38688.035750000003</v>
      </c>
      <c r="AD581" s="2145">
        <v>38317.13925</v>
      </c>
      <c r="AE581" s="2145">
        <v>38317.13925</v>
      </c>
      <c r="AF581" s="2145">
        <v>38317.13925</v>
      </c>
      <c r="AG581" s="2145">
        <v>39106.690999999999</v>
      </c>
      <c r="AH581" s="2145">
        <v>39106.690999999999</v>
      </c>
      <c r="AI581" s="2145">
        <v>39106.690999999999</v>
      </c>
      <c r="AJ581" s="2146">
        <v>125395.45199999999</v>
      </c>
      <c r="AK581" s="2145">
        <v>116064.10725</v>
      </c>
      <c r="AL581" s="2145">
        <v>114951.41774999999</v>
      </c>
      <c r="AM581" s="2145">
        <v>117320.073</v>
      </c>
      <c r="AN581" s="2145">
        <v>241459.55924999999</v>
      </c>
      <c r="AO581" s="2145">
        <v>232271.49075</v>
      </c>
      <c r="AP581" s="2145">
        <v>473731.05</v>
      </c>
    </row>
    <row r="582" spans="1:42" ht="14.5">
      <c r="A582" s="1693">
        <v>445</v>
      </c>
      <c r="B582" s="616">
        <v>1</v>
      </c>
      <c r="C582" s="1693">
        <v>462</v>
      </c>
      <c r="D582" s="616">
        <v>1</v>
      </c>
      <c r="E582" s="1693">
        <v>509</v>
      </c>
      <c r="F582" s="616">
        <v>1</v>
      </c>
      <c r="G582" s="1693">
        <v>574</v>
      </c>
      <c r="H582" s="616">
        <v>1</v>
      </c>
      <c r="K582" s="69"/>
      <c r="O582" s="73"/>
      <c r="P582" s="72"/>
      <c r="Q582" s="63"/>
      <c r="R582" s="63"/>
      <c r="V582" s="97" t="s">
        <v>1086</v>
      </c>
      <c r="W582" s="1911"/>
      <c r="X582" s="2178">
        <v>49598.483999999997</v>
      </c>
      <c r="Y582" s="2140">
        <v>37898.483999999997</v>
      </c>
      <c r="Z582" s="2140">
        <v>37898.483999999997</v>
      </c>
      <c r="AA582" s="2140">
        <v>38688.035750000003</v>
      </c>
      <c r="AB582" s="2140">
        <v>38688.035750000003</v>
      </c>
      <c r="AC582" s="2140">
        <v>38688.035750000003</v>
      </c>
      <c r="AD582" s="2140">
        <v>38317.13925</v>
      </c>
      <c r="AE582" s="2140">
        <v>38317.13925</v>
      </c>
      <c r="AF582" s="2140">
        <v>38317.13925</v>
      </c>
      <c r="AG582" s="2140">
        <v>39106.690999999999</v>
      </c>
      <c r="AH582" s="2140">
        <v>39106.690999999999</v>
      </c>
      <c r="AI582" s="2140">
        <v>39106.690999999999</v>
      </c>
      <c r="AJ582" s="2160">
        <v>125395.45199999999</v>
      </c>
      <c r="AK582" s="2161">
        <v>116064.10725</v>
      </c>
      <c r="AL582" s="2161">
        <v>114951.41774999999</v>
      </c>
      <c r="AM582" s="2161">
        <v>117320.073</v>
      </c>
      <c r="AN582" s="2161">
        <v>241459.55924999999</v>
      </c>
      <c r="AO582" s="2161">
        <v>232271.49075</v>
      </c>
      <c r="AP582" s="2161">
        <v>473731.05</v>
      </c>
    </row>
    <row r="583" spans="1:42" ht="14.5">
      <c r="A583" s="1693">
        <v>446</v>
      </c>
      <c r="B583" s="616">
        <v>1</v>
      </c>
      <c r="C583" s="1693">
        <v>463</v>
      </c>
      <c r="D583" s="616">
        <v>1</v>
      </c>
      <c r="E583" s="1693">
        <v>510</v>
      </c>
      <c r="F583" s="616">
        <v>1</v>
      </c>
      <c r="G583" s="1693">
        <v>575</v>
      </c>
      <c r="H583" s="616">
        <v>1</v>
      </c>
      <c r="K583" s="69"/>
      <c r="O583" s="73"/>
      <c r="P583" s="72"/>
      <c r="Q583" s="63"/>
      <c r="R583" s="63"/>
      <c r="T583" s="285"/>
      <c r="U583" s="285"/>
      <c r="V583" s="285" t="s">
        <v>1087</v>
      </c>
      <c r="W583" s="1911"/>
      <c r="X583" s="2181"/>
      <c r="Y583" s="2023"/>
      <c r="Z583" s="2023"/>
      <c r="AA583" s="2023"/>
      <c r="AB583" s="2023"/>
      <c r="AC583" s="2023"/>
      <c r="AD583" s="2023"/>
      <c r="AE583" s="2023"/>
      <c r="AF583" s="2023"/>
      <c r="AG583" s="2023"/>
      <c r="AH583" s="2023"/>
      <c r="AI583" s="2023"/>
      <c r="AJ583" s="2182">
        <v>0</v>
      </c>
      <c r="AK583" s="2183">
        <v>0</v>
      </c>
      <c r="AL583" s="2183">
        <v>0</v>
      </c>
      <c r="AM583" s="2183">
        <v>0</v>
      </c>
      <c r="AN583" s="2183">
        <v>0</v>
      </c>
      <c r="AO583" s="2183">
        <v>0</v>
      </c>
      <c r="AP583" s="2183">
        <v>0</v>
      </c>
    </row>
    <row r="584" spans="1:42" ht="14.5">
      <c r="A584" s="1693">
        <v>447</v>
      </c>
      <c r="B584" s="616">
        <v>1</v>
      </c>
      <c r="C584" s="1693">
        <v>464</v>
      </c>
      <c r="D584" s="616">
        <v>1</v>
      </c>
      <c r="E584" s="1693">
        <v>511</v>
      </c>
      <c r="F584" s="616">
        <v>1</v>
      </c>
      <c r="G584" s="1693">
        <v>576</v>
      </c>
      <c r="H584" s="616">
        <v>1</v>
      </c>
      <c r="K584" s="69"/>
      <c r="O584" s="73"/>
      <c r="P584" s="72"/>
      <c r="Q584" s="63"/>
      <c r="R584" s="63"/>
      <c r="T584" s="288" t="s">
        <v>66</v>
      </c>
      <c r="U584" s="288"/>
      <c r="V584" s="288"/>
      <c r="W584" s="1911"/>
      <c r="X584" s="2184"/>
      <c r="Y584" s="2141"/>
      <c r="Z584" s="2141"/>
      <c r="AA584" s="2141"/>
      <c r="AB584" s="2141"/>
      <c r="AC584" s="2141"/>
      <c r="AD584" s="2141"/>
      <c r="AE584" s="2141"/>
      <c r="AF584" s="2141"/>
      <c r="AG584" s="2141"/>
      <c r="AH584" s="2141"/>
      <c r="AI584" s="2141"/>
      <c r="AJ584" s="2185">
        <v>0</v>
      </c>
      <c r="AK584" s="2186">
        <v>0</v>
      </c>
      <c r="AL584" s="2186">
        <v>0</v>
      </c>
      <c r="AM584" s="2186">
        <v>0</v>
      </c>
      <c r="AN584" s="2186">
        <v>0</v>
      </c>
      <c r="AO584" s="2186">
        <v>0</v>
      </c>
      <c r="AP584" s="2186">
        <v>0</v>
      </c>
    </row>
    <row r="585" spans="1:42" ht="14.5">
      <c r="A585" s="1693">
        <v>448</v>
      </c>
      <c r="B585" s="616">
        <v>1</v>
      </c>
      <c r="C585" s="1693">
        <v>465</v>
      </c>
      <c r="D585" s="616">
        <v>1</v>
      </c>
      <c r="E585" s="1693">
        <v>512</v>
      </c>
      <c r="F585" s="616">
        <v>1</v>
      </c>
      <c r="G585" s="1693">
        <v>577</v>
      </c>
      <c r="H585" s="616">
        <v>1</v>
      </c>
      <c r="K585" s="69"/>
      <c r="O585" s="73"/>
      <c r="P585" s="72"/>
      <c r="Q585" s="63"/>
      <c r="R585" s="63"/>
      <c r="S585" s="487" t="s">
        <v>24</v>
      </c>
      <c r="T585" s="284"/>
      <c r="U585" s="284"/>
      <c r="V585" s="284"/>
      <c r="W585" s="1899"/>
      <c r="X585" s="2179">
        <v>0</v>
      </c>
      <c r="Y585" s="1987">
        <v>0</v>
      </c>
      <c r="Z585" s="1987">
        <v>0</v>
      </c>
      <c r="AA585" s="1987">
        <v>0</v>
      </c>
      <c r="AB585" s="1987">
        <v>0</v>
      </c>
      <c r="AC585" s="1987">
        <v>0</v>
      </c>
      <c r="AD585" s="1987">
        <v>0</v>
      </c>
      <c r="AE585" s="1987">
        <v>0</v>
      </c>
      <c r="AF585" s="1987">
        <v>0</v>
      </c>
      <c r="AG585" s="1987">
        <v>0</v>
      </c>
      <c r="AH585" s="1987">
        <v>0</v>
      </c>
      <c r="AI585" s="1987">
        <v>0</v>
      </c>
      <c r="AJ585" s="2144">
        <v>0</v>
      </c>
      <c r="AK585" s="1987">
        <v>0</v>
      </c>
      <c r="AL585" s="1987">
        <v>0</v>
      </c>
      <c r="AM585" s="1987">
        <v>0</v>
      </c>
      <c r="AN585" s="1987">
        <v>0</v>
      </c>
      <c r="AO585" s="1987">
        <v>0</v>
      </c>
      <c r="AP585" s="1987">
        <v>0</v>
      </c>
    </row>
    <row r="586" spans="1:42" ht="14.5">
      <c r="A586" s="1693">
        <v>449</v>
      </c>
      <c r="B586" s="616">
        <v>1</v>
      </c>
      <c r="C586" s="1693">
        <v>466</v>
      </c>
      <c r="D586" s="616">
        <v>1</v>
      </c>
      <c r="E586" s="1693">
        <v>513</v>
      </c>
      <c r="F586" s="616">
        <v>1</v>
      </c>
      <c r="G586" s="1693">
        <v>578</v>
      </c>
      <c r="H586" s="616">
        <v>1</v>
      </c>
      <c r="K586" s="69"/>
      <c r="O586" s="73"/>
      <c r="P586" s="72"/>
      <c r="Q586" s="63"/>
      <c r="R586" s="63"/>
      <c r="T586" s="97"/>
      <c r="U586" s="97"/>
      <c r="V586" s="97" t="s">
        <v>1096</v>
      </c>
      <c r="W586" s="1911"/>
      <c r="X586" s="2178"/>
      <c r="Y586" s="2140"/>
      <c r="Z586" s="2140"/>
      <c r="AA586" s="2140"/>
      <c r="AB586" s="2140"/>
      <c r="AC586" s="2140"/>
      <c r="AD586" s="2140"/>
      <c r="AE586" s="2140"/>
      <c r="AF586" s="2140"/>
      <c r="AG586" s="2140"/>
      <c r="AH586" s="2140"/>
      <c r="AI586" s="2140"/>
      <c r="AJ586" s="2160">
        <v>0</v>
      </c>
      <c r="AK586" s="2161">
        <v>0</v>
      </c>
      <c r="AL586" s="2161">
        <v>0</v>
      </c>
      <c r="AM586" s="2161">
        <v>0</v>
      </c>
      <c r="AN586" s="2161">
        <v>0</v>
      </c>
      <c r="AO586" s="2161">
        <v>0</v>
      </c>
      <c r="AP586" s="2161">
        <v>0</v>
      </c>
    </row>
    <row r="587" spans="1:42" ht="14.5">
      <c r="A587" s="1693">
        <v>450</v>
      </c>
      <c r="B587" s="616">
        <v>1</v>
      </c>
      <c r="C587" s="1693">
        <v>467</v>
      </c>
      <c r="D587" s="616">
        <v>1</v>
      </c>
      <c r="E587" s="1693">
        <v>514</v>
      </c>
      <c r="F587" s="616">
        <v>1</v>
      </c>
      <c r="G587" s="1693">
        <v>579</v>
      </c>
      <c r="H587" s="616">
        <v>1</v>
      </c>
      <c r="K587" s="69"/>
      <c r="O587" s="73"/>
      <c r="P587" s="72"/>
      <c r="Q587" s="63"/>
      <c r="R587" s="63"/>
      <c r="V587" s="8" t="s">
        <v>1097</v>
      </c>
      <c r="W587" s="1911"/>
      <c r="X587" s="2162"/>
      <c r="Y587" s="2021"/>
      <c r="Z587" s="2021"/>
      <c r="AA587" s="2021"/>
      <c r="AB587" s="2021"/>
      <c r="AC587" s="2021"/>
      <c r="AD587" s="2021"/>
      <c r="AE587" s="2021"/>
      <c r="AF587" s="2021"/>
      <c r="AG587" s="2021"/>
      <c r="AH587" s="2021"/>
      <c r="AI587" s="2021"/>
      <c r="AJ587" s="1925">
        <v>0</v>
      </c>
      <c r="AK587" s="1926">
        <v>0</v>
      </c>
      <c r="AL587" s="1926">
        <v>0</v>
      </c>
      <c r="AM587" s="1926">
        <v>0</v>
      </c>
      <c r="AN587" s="1926">
        <v>0</v>
      </c>
      <c r="AO587" s="1926">
        <v>0</v>
      </c>
      <c r="AP587" s="1926">
        <v>0</v>
      </c>
    </row>
    <row r="588" spans="1:42" ht="14.5">
      <c r="A588" s="1693">
        <v>451</v>
      </c>
      <c r="B588" s="616">
        <v>1</v>
      </c>
      <c r="C588" s="1693">
        <v>468</v>
      </c>
      <c r="D588" s="616">
        <v>1</v>
      </c>
      <c r="E588" s="1693">
        <v>515</v>
      </c>
      <c r="F588" s="616">
        <v>1</v>
      </c>
      <c r="G588" s="1693">
        <v>580</v>
      </c>
      <c r="H588" s="616">
        <v>1</v>
      </c>
      <c r="K588" s="69"/>
      <c r="O588" s="73"/>
      <c r="P588" s="72"/>
      <c r="Q588" s="63"/>
      <c r="R588" s="63"/>
      <c r="V588" s="8" t="s">
        <v>1098</v>
      </c>
      <c r="W588" s="1911"/>
      <c r="X588" s="2162"/>
      <c r="Y588" s="2021"/>
      <c r="Z588" s="2021"/>
      <c r="AA588" s="2021"/>
      <c r="AB588" s="2021"/>
      <c r="AC588" s="2021"/>
      <c r="AD588" s="2021"/>
      <c r="AE588" s="2021"/>
      <c r="AF588" s="2021"/>
      <c r="AG588" s="2021"/>
      <c r="AH588" s="2021"/>
      <c r="AI588" s="2021"/>
      <c r="AJ588" s="1925">
        <v>0</v>
      </c>
      <c r="AK588" s="1926">
        <v>0</v>
      </c>
      <c r="AL588" s="1926">
        <v>0</v>
      </c>
      <c r="AM588" s="1926">
        <v>0</v>
      </c>
      <c r="AN588" s="1926">
        <v>0</v>
      </c>
      <c r="AO588" s="1926">
        <v>0</v>
      </c>
      <c r="AP588" s="1926">
        <v>0</v>
      </c>
    </row>
    <row r="589" spans="1:42" ht="14.5">
      <c r="A589" s="1693">
        <v>452</v>
      </c>
      <c r="B589" s="616">
        <v>1</v>
      </c>
      <c r="C589" s="1693">
        <v>469</v>
      </c>
      <c r="D589" s="616">
        <v>1</v>
      </c>
      <c r="E589" s="1693">
        <v>516</v>
      </c>
      <c r="F589" s="616">
        <v>1</v>
      </c>
      <c r="G589" s="1693">
        <v>581</v>
      </c>
      <c r="H589" s="616">
        <v>1</v>
      </c>
      <c r="K589" s="69"/>
      <c r="O589" s="73"/>
      <c r="P589" s="72"/>
      <c r="Q589" s="63"/>
      <c r="R589" s="63"/>
      <c r="T589" s="11"/>
      <c r="U589" s="11"/>
      <c r="V589" s="11" t="s">
        <v>2</v>
      </c>
      <c r="W589" s="1911"/>
      <c r="X589" s="2165"/>
      <c r="Y589" s="2153"/>
      <c r="Z589" s="2153"/>
      <c r="AA589" s="2153"/>
      <c r="AB589" s="2153"/>
      <c r="AC589" s="2153"/>
      <c r="AD589" s="2153"/>
      <c r="AE589" s="2153"/>
      <c r="AF589" s="2153"/>
      <c r="AG589" s="2153"/>
      <c r="AH589" s="2153"/>
      <c r="AI589" s="2153"/>
      <c r="AJ589" s="1927">
        <v>0</v>
      </c>
      <c r="AK589" s="1928">
        <v>0</v>
      </c>
      <c r="AL589" s="1928">
        <v>0</v>
      </c>
      <c r="AM589" s="1928">
        <v>0</v>
      </c>
      <c r="AN589" s="1928">
        <v>0</v>
      </c>
      <c r="AO589" s="1928">
        <v>0</v>
      </c>
      <c r="AP589" s="1928">
        <v>0</v>
      </c>
    </row>
    <row r="590" spans="1:42" ht="14.5">
      <c r="A590" s="1693">
        <v>453</v>
      </c>
      <c r="B590" s="616">
        <v>1</v>
      </c>
      <c r="C590" s="1693">
        <v>470</v>
      </c>
      <c r="D590" s="616">
        <v>1</v>
      </c>
      <c r="E590" s="1693">
        <v>517</v>
      </c>
      <c r="F590" s="616">
        <v>1</v>
      </c>
      <c r="G590" s="1693">
        <v>582</v>
      </c>
      <c r="H590" s="616">
        <v>1</v>
      </c>
      <c r="K590" s="69"/>
      <c r="O590" s="73"/>
      <c r="P590" s="72"/>
      <c r="Q590" s="62"/>
      <c r="R590" s="62"/>
      <c r="S590" s="1475" t="s">
        <v>2</v>
      </c>
      <c r="T590" s="11"/>
      <c r="U590" s="11"/>
      <c r="V590" s="11"/>
      <c r="W590" s="1911"/>
      <c r="X590" s="2148"/>
      <c r="Y590" s="2153"/>
      <c r="Z590" s="2153"/>
      <c r="AA590" s="2153"/>
      <c r="AB590" s="2153"/>
      <c r="AC590" s="2153"/>
      <c r="AD590" s="2153"/>
      <c r="AE590" s="2153"/>
      <c r="AF590" s="2153"/>
      <c r="AG590" s="2153"/>
      <c r="AH590" s="2153"/>
      <c r="AI590" s="2153"/>
      <c r="AJ590" s="1927">
        <v>0</v>
      </c>
      <c r="AK590" s="1928">
        <v>0</v>
      </c>
      <c r="AL590" s="1928">
        <v>0</v>
      </c>
      <c r="AM590" s="1928">
        <v>0</v>
      </c>
      <c r="AN590" s="1928">
        <v>0</v>
      </c>
      <c r="AO590" s="1928">
        <v>0</v>
      </c>
      <c r="AP590" s="1928">
        <v>0</v>
      </c>
    </row>
    <row r="591" spans="1:42" ht="14.5">
      <c r="A591" s="1693">
        <v>454</v>
      </c>
      <c r="B591" s="616">
        <v>1</v>
      </c>
      <c r="C591" s="1693">
        <v>471</v>
      </c>
      <c r="D591" s="616">
        <v>1</v>
      </c>
      <c r="E591" s="1693">
        <v>518</v>
      </c>
      <c r="F591" s="616">
        <v>1</v>
      </c>
      <c r="G591" s="1693">
        <v>583</v>
      </c>
      <c r="H591" s="616">
        <v>1</v>
      </c>
      <c r="K591" s="69"/>
      <c r="O591" s="2168" t="s">
        <v>54</v>
      </c>
      <c r="P591" s="497"/>
      <c r="Q591" s="1690"/>
      <c r="R591" s="1690"/>
      <c r="S591" s="497"/>
      <c r="T591" s="497"/>
      <c r="U591" s="497"/>
      <c r="V591" s="1690"/>
      <c r="W591" s="2169"/>
      <c r="X591" s="2171">
        <v>250485.29442764385</v>
      </c>
      <c r="Y591" s="2171">
        <v>142425.16447175815</v>
      </c>
      <c r="Z591" s="2171">
        <v>145944.44702001809</v>
      </c>
      <c r="AA591" s="2171">
        <v>137821.19239287172</v>
      </c>
      <c r="AB591" s="2171">
        <v>143174.93346550182</v>
      </c>
      <c r="AC591" s="2171">
        <v>149064.97817147317</v>
      </c>
      <c r="AD591" s="2171">
        <v>133668.06654263684</v>
      </c>
      <c r="AE591" s="2171">
        <v>131578.76757131179</v>
      </c>
      <c r="AF591" s="2171">
        <v>144426.0803914665</v>
      </c>
      <c r="AG591" s="2171">
        <v>134622.79249374877</v>
      </c>
      <c r="AH591" s="2171">
        <v>140769.17102850415</v>
      </c>
      <c r="AI591" s="2171">
        <v>146620.46784607027</v>
      </c>
      <c r="AJ591" s="2172">
        <v>538854.90591942007</v>
      </c>
      <c r="AK591" s="2171">
        <v>430061.10402984667</v>
      </c>
      <c r="AL591" s="2171">
        <v>409672.91450541513</v>
      </c>
      <c r="AM591" s="2171">
        <v>422012.43136832322</v>
      </c>
      <c r="AN591" s="2171">
        <v>968916.00994926679</v>
      </c>
      <c r="AO591" s="2171">
        <v>831685.34587373841</v>
      </c>
      <c r="AP591" s="2171">
        <v>1800601.3558230053</v>
      </c>
    </row>
    <row r="592" spans="1:42" ht="14.5">
      <c r="A592" s="1693">
        <v>455</v>
      </c>
      <c r="B592" s="616">
        <v>1</v>
      </c>
      <c r="C592" s="1693">
        <v>472</v>
      </c>
      <c r="D592" s="616">
        <v>1</v>
      </c>
      <c r="E592" s="1693">
        <v>519</v>
      </c>
      <c r="F592" s="616">
        <v>1</v>
      </c>
      <c r="G592" s="1693">
        <v>584</v>
      </c>
      <c r="H592" s="616">
        <v>1</v>
      </c>
      <c r="K592" s="69"/>
      <c r="O592" s="73"/>
      <c r="P592" s="72"/>
      <c r="Q592" s="68" t="s">
        <v>1018</v>
      </c>
      <c r="R592" s="68"/>
      <c r="S592" s="283"/>
      <c r="T592" s="283"/>
      <c r="U592" s="283"/>
      <c r="V592" s="68"/>
      <c r="W592" s="2173"/>
      <c r="X592" s="2175">
        <v>228150.47999930658</v>
      </c>
      <c r="Y592" s="2175">
        <v>128463.49376264666</v>
      </c>
      <c r="Z592" s="2175">
        <v>131904.66937766713</v>
      </c>
      <c r="AA592" s="2175">
        <v>122844.18604423451</v>
      </c>
      <c r="AB592" s="2175">
        <v>129669.75360233025</v>
      </c>
      <c r="AC592" s="2175">
        <v>134573.92909344318</v>
      </c>
      <c r="AD592" s="2175">
        <v>122073.25090913416</v>
      </c>
      <c r="AE592" s="2175">
        <v>119607.27647274731</v>
      </c>
      <c r="AF592" s="2175">
        <v>128517.84570072056</v>
      </c>
      <c r="AG592" s="2175">
        <v>122113.05936528961</v>
      </c>
      <c r="AH592" s="2175">
        <v>125214.26692322834</v>
      </c>
      <c r="AI592" s="2175">
        <v>131929.90416144076</v>
      </c>
      <c r="AJ592" s="2176">
        <v>488518.64313962037</v>
      </c>
      <c r="AK592" s="2175">
        <v>387087.86874000792</v>
      </c>
      <c r="AL592" s="2175">
        <v>370198.37308260205</v>
      </c>
      <c r="AM592" s="2175">
        <v>379257.2304499587</v>
      </c>
      <c r="AN592" s="2175">
        <v>875606.51187962829</v>
      </c>
      <c r="AO592" s="2175">
        <v>749455.60353256075</v>
      </c>
      <c r="AP592" s="2175">
        <v>1625062.1154121892</v>
      </c>
    </row>
    <row r="593" spans="1:42" ht="14.5">
      <c r="A593" s="1693">
        <v>456</v>
      </c>
      <c r="B593" s="616">
        <v>1</v>
      </c>
      <c r="C593" s="1693">
        <v>473</v>
      </c>
      <c r="D593" s="616">
        <v>1</v>
      </c>
      <c r="E593" s="1693">
        <v>520</v>
      </c>
      <c r="F593" s="616">
        <v>1</v>
      </c>
      <c r="G593" s="1693">
        <v>585</v>
      </c>
      <c r="H593" s="616">
        <v>1</v>
      </c>
      <c r="K593" s="69"/>
      <c r="O593" s="73"/>
      <c r="P593" s="72"/>
      <c r="Q593" s="68"/>
      <c r="R593" s="68"/>
      <c r="S593" s="8" t="s">
        <v>57</v>
      </c>
      <c r="T593" s="285"/>
      <c r="U593" s="285"/>
      <c r="V593" s="285"/>
      <c r="W593" s="1899"/>
      <c r="X593" s="2177">
        <v>51265.865210273398</v>
      </c>
      <c r="Y593" s="1971">
        <v>32396.077502911561</v>
      </c>
      <c r="Z593" s="1971">
        <v>36654.338743316148</v>
      </c>
      <c r="AA593" s="1971">
        <v>29921.113237264202</v>
      </c>
      <c r="AB593" s="1971">
        <v>36496.930795359956</v>
      </c>
      <c r="AC593" s="1971">
        <v>41401.106286472874</v>
      </c>
      <c r="AD593" s="1971">
        <v>29236.548512175599</v>
      </c>
      <c r="AE593" s="1971">
        <v>26770.574075788754</v>
      </c>
      <c r="AF593" s="1971">
        <v>35681.143303762008</v>
      </c>
      <c r="AG593" s="1971">
        <v>29276.356968331042</v>
      </c>
      <c r="AH593" s="1971">
        <v>32377.564526269787</v>
      </c>
      <c r="AI593" s="1971">
        <v>38843.451764482197</v>
      </c>
      <c r="AJ593" s="2137">
        <v>120316.28145650111</v>
      </c>
      <c r="AK593" s="1971">
        <v>107819.15031909704</v>
      </c>
      <c r="AL593" s="1971">
        <v>91688.265891726362</v>
      </c>
      <c r="AM593" s="1971">
        <v>100497.37325908302</v>
      </c>
      <c r="AN593" s="1971">
        <v>228135.43177559815</v>
      </c>
      <c r="AO593" s="1971">
        <v>192185.63915080938</v>
      </c>
      <c r="AP593" s="1971">
        <v>420321.07092640753</v>
      </c>
    </row>
    <row r="594" spans="1:42" ht="14.5">
      <c r="A594" s="1693">
        <v>457</v>
      </c>
      <c r="B594" s="616">
        <v>1</v>
      </c>
      <c r="C594" s="1693">
        <v>474</v>
      </c>
      <c r="D594" s="616">
        <v>1</v>
      </c>
      <c r="E594" s="1693">
        <v>521</v>
      </c>
      <c r="F594" s="616">
        <v>1</v>
      </c>
      <c r="G594" s="1693">
        <v>586</v>
      </c>
      <c r="H594" s="616">
        <v>1</v>
      </c>
      <c r="K594" s="69"/>
      <c r="O594" s="73"/>
      <c r="P594" s="72"/>
      <c r="Q594" s="68"/>
      <c r="R594" s="68"/>
      <c r="T594" s="97" t="s">
        <v>1017</v>
      </c>
      <c r="U594" s="97"/>
      <c r="V594" s="97"/>
      <c r="W594" s="1911"/>
      <c r="X594" s="2178">
        <v>51265.865210273398</v>
      </c>
      <c r="Y594" s="2140">
        <v>32396.077502911561</v>
      </c>
      <c r="Z594" s="2140">
        <v>36654.338743316148</v>
      </c>
      <c r="AA594" s="2140">
        <v>29921.113237264202</v>
      </c>
      <c r="AB594" s="2140">
        <v>36496.930795359956</v>
      </c>
      <c r="AC594" s="2140">
        <v>41401.106286472874</v>
      </c>
      <c r="AD594" s="2140">
        <v>29236.548512175599</v>
      </c>
      <c r="AE594" s="2140">
        <v>26770.574075788754</v>
      </c>
      <c r="AF594" s="2140">
        <v>35681.143303762008</v>
      </c>
      <c r="AG594" s="2140">
        <v>29276.356968331042</v>
      </c>
      <c r="AH594" s="2140">
        <v>32377.564526269787</v>
      </c>
      <c r="AI594" s="2140">
        <v>38843.451764482197</v>
      </c>
      <c r="AJ594" s="2160">
        <v>120316.28145650111</v>
      </c>
      <c r="AK594" s="2161">
        <v>107819.15031909704</v>
      </c>
      <c r="AL594" s="2161">
        <v>91688.265891726362</v>
      </c>
      <c r="AM594" s="2161">
        <v>100497.37325908302</v>
      </c>
      <c r="AN594" s="2161">
        <v>228135.43177559815</v>
      </c>
      <c r="AO594" s="2161">
        <v>192185.63915080938</v>
      </c>
      <c r="AP594" s="2161">
        <v>420321.07092640753</v>
      </c>
    </row>
    <row r="595" spans="1:42" ht="14.5">
      <c r="A595" s="1693">
        <v>458</v>
      </c>
      <c r="B595" s="616">
        <v>1</v>
      </c>
      <c r="C595" s="1693">
        <v>475</v>
      </c>
      <c r="D595" s="616">
        <v>1</v>
      </c>
      <c r="E595" s="1693">
        <v>522</v>
      </c>
      <c r="F595" s="616">
        <v>1</v>
      </c>
      <c r="G595" s="1693">
        <v>587</v>
      </c>
      <c r="H595" s="616">
        <v>1</v>
      </c>
      <c r="K595" s="69"/>
      <c r="O595" s="73"/>
      <c r="P595" s="72"/>
      <c r="Q595" s="68"/>
      <c r="R595" s="68"/>
      <c r="T595" s="11" t="s">
        <v>66</v>
      </c>
      <c r="U595" s="11"/>
      <c r="V595" s="11"/>
      <c r="W595" s="1911"/>
      <c r="X595" s="2165"/>
      <c r="Y595" s="2153"/>
      <c r="Z595" s="2153"/>
      <c r="AA595" s="2153"/>
      <c r="AB595" s="2153"/>
      <c r="AC595" s="2153"/>
      <c r="AD595" s="2153"/>
      <c r="AE595" s="2153"/>
      <c r="AF595" s="2153"/>
      <c r="AG595" s="2153"/>
      <c r="AH595" s="2153"/>
      <c r="AI595" s="2153"/>
      <c r="AJ595" s="1927">
        <v>0</v>
      </c>
      <c r="AK595" s="1928">
        <v>0</v>
      </c>
      <c r="AL595" s="1928">
        <v>0</v>
      </c>
      <c r="AM595" s="1928">
        <v>0</v>
      </c>
      <c r="AN595" s="1928">
        <v>0</v>
      </c>
      <c r="AO595" s="1928">
        <v>0</v>
      </c>
      <c r="AP595" s="1928">
        <v>0</v>
      </c>
    </row>
    <row r="596" spans="1:42" ht="14.5">
      <c r="A596" s="1693">
        <v>459</v>
      </c>
      <c r="B596" s="616">
        <v>1</v>
      </c>
      <c r="C596" s="1693">
        <v>476</v>
      </c>
      <c r="D596" s="616">
        <v>1</v>
      </c>
      <c r="E596" s="1693">
        <v>523</v>
      </c>
      <c r="F596" s="616">
        <v>1</v>
      </c>
      <c r="G596" s="1693">
        <v>588</v>
      </c>
      <c r="H596" s="616">
        <v>1</v>
      </c>
      <c r="K596" s="69"/>
      <c r="O596" s="73"/>
      <c r="P596" s="72"/>
      <c r="Q596" s="68"/>
      <c r="R596" s="68"/>
      <c r="S596" s="487" t="s">
        <v>27</v>
      </c>
      <c r="T596" s="284"/>
      <c r="U596" s="284"/>
      <c r="V596" s="284"/>
      <c r="W596" s="1899"/>
      <c r="X596" s="2179">
        <v>176634.86478903319</v>
      </c>
      <c r="Y596" s="1987">
        <v>95817.666259735095</v>
      </c>
      <c r="Z596" s="1987">
        <v>95000.580634350976</v>
      </c>
      <c r="AA596" s="1987">
        <v>92923.072806970304</v>
      </c>
      <c r="AB596" s="1987">
        <v>92923.072806970304</v>
      </c>
      <c r="AC596" s="1987">
        <v>92923.072806970304</v>
      </c>
      <c r="AD596" s="1987">
        <v>92586.952396958557</v>
      </c>
      <c r="AE596" s="1987">
        <v>92586.952396958557</v>
      </c>
      <c r="AF596" s="1987">
        <v>92586.952396958557</v>
      </c>
      <c r="AG596" s="1987">
        <v>92586.952396958557</v>
      </c>
      <c r="AH596" s="1987">
        <v>92586.952396958557</v>
      </c>
      <c r="AI596" s="1987">
        <v>92586.952396958557</v>
      </c>
      <c r="AJ596" s="2144">
        <v>367453.11168311926</v>
      </c>
      <c r="AK596" s="1987">
        <v>278769.21842091088</v>
      </c>
      <c r="AL596" s="1987">
        <v>277760.85719087569</v>
      </c>
      <c r="AM596" s="1987">
        <v>277760.85719087569</v>
      </c>
      <c r="AN596" s="1987">
        <v>646222.3301040302</v>
      </c>
      <c r="AO596" s="1987">
        <v>555521.71438175137</v>
      </c>
      <c r="AP596" s="1987">
        <v>1201744.0444857816</v>
      </c>
    </row>
    <row r="597" spans="1:42" ht="14.5">
      <c r="A597" s="1693">
        <v>460</v>
      </c>
      <c r="B597" s="616">
        <v>1</v>
      </c>
      <c r="C597" s="1693">
        <v>477</v>
      </c>
      <c r="D597" s="616">
        <v>1</v>
      </c>
      <c r="E597" s="1693">
        <v>524</v>
      </c>
      <c r="F597" s="616">
        <v>1</v>
      </c>
      <c r="G597" s="1693">
        <v>589</v>
      </c>
      <c r="H597" s="616">
        <v>1</v>
      </c>
      <c r="K597" s="69"/>
      <c r="O597" s="73"/>
      <c r="P597" s="72"/>
      <c r="Q597" s="68"/>
      <c r="R597" s="68"/>
      <c r="T597" s="97" t="s">
        <v>1017</v>
      </c>
      <c r="U597" s="97"/>
      <c r="V597" s="869"/>
      <c r="W597" s="1899"/>
      <c r="X597" s="2180">
        <v>194538.19812236654</v>
      </c>
      <c r="Y597" s="2145">
        <v>113720.99959306842</v>
      </c>
      <c r="Z597" s="2145">
        <v>112903.9139676843</v>
      </c>
      <c r="AA597" s="2145">
        <v>111706.40614030363</v>
      </c>
      <c r="AB597" s="2145">
        <v>111706.40614030363</v>
      </c>
      <c r="AC597" s="2145">
        <v>111706.40614030363</v>
      </c>
      <c r="AD597" s="2145">
        <v>110636.95239695856</v>
      </c>
      <c r="AE597" s="2145">
        <v>110636.95239695856</v>
      </c>
      <c r="AF597" s="2145">
        <v>110636.95239695856</v>
      </c>
      <c r="AG597" s="2145">
        <v>110636.95239695856</v>
      </c>
      <c r="AH597" s="2145">
        <v>110636.95239695856</v>
      </c>
      <c r="AI597" s="2145">
        <v>110636.95239695856</v>
      </c>
      <c r="AJ597" s="2146">
        <v>421163.11168311926</v>
      </c>
      <c r="AK597" s="2145">
        <v>335119.21842091088</v>
      </c>
      <c r="AL597" s="2145">
        <v>331910.85719087569</v>
      </c>
      <c r="AM597" s="2145">
        <v>331910.85719087569</v>
      </c>
      <c r="AN597" s="2145">
        <v>756282.3301040302</v>
      </c>
      <c r="AO597" s="2145">
        <v>663821.71438175137</v>
      </c>
      <c r="AP597" s="2145">
        <v>1420104.0444857816</v>
      </c>
    </row>
    <row r="598" spans="1:42" ht="14.5">
      <c r="A598" s="1693">
        <v>461</v>
      </c>
      <c r="B598" s="616">
        <v>1</v>
      </c>
      <c r="C598" s="1693">
        <v>478</v>
      </c>
      <c r="D598" s="616">
        <v>1</v>
      </c>
      <c r="E598" s="1693">
        <v>525</v>
      </c>
      <c r="F598" s="616">
        <v>1</v>
      </c>
      <c r="G598" s="1693">
        <v>590</v>
      </c>
      <c r="H598" s="616">
        <v>1</v>
      </c>
      <c r="K598" s="69"/>
      <c r="O598" s="73"/>
      <c r="P598" s="72"/>
      <c r="Q598" s="68"/>
      <c r="R598" s="68"/>
      <c r="V598" s="97" t="s">
        <v>1084</v>
      </c>
      <c r="W598" s="1911"/>
      <c r="X598" s="2178">
        <v>194538.19812236654</v>
      </c>
      <c r="Y598" s="2140">
        <v>113720.99959306842</v>
      </c>
      <c r="Z598" s="2140">
        <v>112903.9139676843</v>
      </c>
      <c r="AA598" s="2140">
        <v>111706.40614030363</v>
      </c>
      <c r="AB598" s="2140">
        <v>111706.40614030363</v>
      </c>
      <c r="AC598" s="2140">
        <v>111706.40614030363</v>
      </c>
      <c r="AD598" s="2140">
        <v>110636.95239695856</v>
      </c>
      <c r="AE598" s="2140">
        <v>110636.95239695856</v>
      </c>
      <c r="AF598" s="2140">
        <v>110636.95239695856</v>
      </c>
      <c r="AG598" s="2140">
        <v>110636.95239695856</v>
      </c>
      <c r="AH598" s="2140">
        <v>110636.95239695856</v>
      </c>
      <c r="AI598" s="2140">
        <v>110636.95239695856</v>
      </c>
      <c r="AJ598" s="2160">
        <v>421163.11168311926</v>
      </c>
      <c r="AK598" s="2161">
        <v>335119.21842091088</v>
      </c>
      <c r="AL598" s="2161">
        <v>331910.85719087569</v>
      </c>
      <c r="AM598" s="2161">
        <v>331910.85719087569</v>
      </c>
      <c r="AN598" s="2161">
        <v>756282.3301040302</v>
      </c>
      <c r="AO598" s="2161">
        <v>663821.71438175137</v>
      </c>
      <c r="AP598" s="2161">
        <v>1420104.0444857816</v>
      </c>
    </row>
    <row r="599" spans="1:42" ht="14.5">
      <c r="A599" s="1693">
        <v>462</v>
      </c>
      <c r="B599" s="616">
        <v>1</v>
      </c>
      <c r="C599" s="1693">
        <v>479</v>
      </c>
      <c r="D599" s="616">
        <v>1</v>
      </c>
      <c r="E599" s="1693">
        <v>526</v>
      </c>
      <c r="F599" s="616">
        <v>1</v>
      </c>
      <c r="G599" s="1693">
        <v>591</v>
      </c>
      <c r="H599" s="616">
        <v>1</v>
      </c>
      <c r="K599" s="69"/>
      <c r="O599" s="73"/>
      <c r="P599" s="72"/>
      <c r="Q599" s="68"/>
      <c r="R599" s="68"/>
      <c r="T599" s="285"/>
      <c r="U599" s="285"/>
      <c r="V599" s="285" t="s">
        <v>1085</v>
      </c>
      <c r="W599" s="1911"/>
      <c r="X599" s="2181"/>
      <c r="Y599" s="2023"/>
      <c r="Z599" s="2023"/>
      <c r="AA599" s="2023"/>
      <c r="AB599" s="2023"/>
      <c r="AC599" s="2023"/>
      <c r="AD599" s="2023"/>
      <c r="AE599" s="2023"/>
      <c r="AF599" s="2023"/>
      <c r="AG599" s="2023"/>
      <c r="AH599" s="2023"/>
      <c r="AI599" s="2023"/>
      <c r="AJ599" s="2182">
        <v>0</v>
      </c>
      <c r="AK599" s="2183">
        <v>0</v>
      </c>
      <c r="AL599" s="2183">
        <v>0</v>
      </c>
      <c r="AM599" s="2183">
        <v>0</v>
      </c>
      <c r="AN599" s="2183">
        <v>0</v>
      </c>
      <c r="AO599" s="2183">
        <v>0</v>
      </c>
      <c r="AP599" s="2183">
        <v>0</v>
      </c>
    </row>
    <row r="600" spans="1:42" ht="14.5">
      <c r="A600" s="1693">
        <v>463</v>
      </c>
      <c r="B600" s="616">
        <v>1</v>
      </c>
      <c r="C600" s="1693">
        <v>480</v>
      </c>
      <c r="D600" s="616">
        <v>1</v>
      </c>
      <c r="E600" s="1693">
        <v>527</v>
      </c>
      <c r="F600" s="616">
        <v>1</v>
      </c>
      <c r="G600" s="1693">
        <v>592</v>
      </c>
      <c r="H600" s="616">
        <v>1</v>
      </c>
      <c r="K600" s="69"/>
      <c r="O600" s="73"/>
      <c r="P600" s="72"/>
      <c r="Q600" s="68"/>
      <c r="R600" s="68"/>
      <c r="T600" s="288" t="s">
        <v>66</v>
      </c>
      <c r="W600" s="1911"/>
      <c r="X600" s="2021"/>
      <c r="Y600" s="2021"/>
      <c r="Z600" s="2021"/>
      <c r="AA600" s="2021"/>
      <c r="AB600" s="2021"/>
      <c r="AC600" s="2021"/>
      <c r="AD600" s="2021"/>
      <c r="AE600" s="2021"/>
      <c r="AF600" s="2021"/>
      <c r="AG600" s="2021"/>
      <c r="AH600" s="2021"/>
      <c r="AI600" s="2021"/>
      <c r="AJ600" s="1925">
        <v>0</v>
      </c>
      <c r="AK600" s="1926">
        <v>0</v>
      </c>
      <c r="AL600" s="1926">
        <v>0</v>
      </c>
      <c r="AM600" s="1926">
        <v>0</v>
      </c>
      <c r="AN600" s="1926">
        <v>0</v>
      </c>
      <c r="AO600" s="1926">
        <v>0</v>
      </c>
      <c r="AP600" s="1926">
        <v>0</v>
      </c>
    </row>
    <row r="601" spans="1:42" ht="14.5">
      <c r="A601" s="1693">
        <v>464</v>
      </c>
      <c r="B601" s="616">
        <v>1</v>
      </c>
      <c r="C601" s="1693">
        <v>481</v>
      </c>
      <c r="D601" s="616">
        <v>1</v>
      </c>
      <c r="E601" s="1693">
        <v>528</v>
      </c>
      <c r="F601" s="616">
        <v>1</v>
      </c>
      <c r="G601" s="1693">
        <v>593</v>
      </c>
      <c r="H601" s="616">
        <v>1</v>
      </c>
      <c r="K601" s="69"/>
      <c r="O601" s="73"/>
      <c r="P601" s="72"/>
      <c r="Q601" s="68"/>
      <c r="R601" s="68"/>
      <c r="S601" s="208"/>
      <c r="T601" s="290" t="s">
        <v>1099</v>
      </c>
      <c r="U601" s="290"/>
      <c r="V601" s="290"/>
      <c r="W601" s="1899"/>
      <c r="X601" s="1987">
        <v>-17903.333333333332</v>
      </c>
      <c r="Y601" s="1987">
        <v>-17903.333333333332</v>
      </c>
      <c r="Z601" s="1987">
        <v>-17903.333333333332</v>
      </c>
      <c r="AA601" s="1987">
        <v>-18783.333333333336</v>
      </c>
      <c r="AB601" s="1987">
        <v>-18783.333333333336</v>
      </c>
      <c r="AC601" s="1987">
        <v>-18783.333333333336</v>
      </c>
      <c r="AD601" s="1987">
        <v>-18050</v>
      </c>
      <c r="AE601" s="1987">
        <v>-18050</v>
      </c>
      <c r="AF601" s="1987">
        <v>-18050</v>
      </c>
      <c r="AG601" s="1987">
        <v>-18050</v>
      </c>
      <c r="AH601" s="1987">
        <v>-18050</v>
      </c>
      <c r="AI601" s="1987">
        <v>-18050</v>
      </c>
      <c r="AJ601" s="2144">
        <v>-53710</v>
      </c>
      <c r="AK601" s="1987">
        <v>-56350.000000000007</v>
      </c>
      <c r="AL601" s="1987">
        <v>-54150.000000000007</v>
      </c>
      <c r="AM601" s="1987">
        <v>-54150.000000000007</v>
      </c>
      <c r="AN601" s="1987">
        <v>-110060</v>
      </c>
      <c r="AO601" s="1987">
        <v>-108300.00000000001</v>
      </c>
      <c r="AP601" s="1987">
        <v>-218360</v>
      </c>
    </row>
    <row r="602" spans="1:42" ht="14.5">
      <c r="A602" s="1693">
        <v>465</v>
      </c>
      <c r="B602" s="616">
        <v>1</v>
      </c>
      <c r="C602" s="1693">
        <v>482</v>
      </c>
      <c r="D602" s="616">
        <v>1</v>
      </c>
      <c r="E602" s="1693">
        <v>529</v>
      </c>
      <c r="F602" s="616">
        <v>1</v>
      </c>
      <c r="G602" s="1693">
        <v>594</v>
      </c>
      <c r="H602" s="616">
        <v>1</v>
      </c>
      <c r="K602" s="69"/>
      <c r="O602" s="73"/>
      <c r="P602" s="72"/>
      <c r="Q602" s="68"/>
      <c r="R602" s="68"/>
      <c r="S602" s="208"/>
      <c r="T602" s="291"/>
      <c r="U602" s="291"/>
      <c r="V602" s="291" t="s">
        <v>223</v>
      </c>
      <c r="W602" s="1911"/>
      <c r="X602" s="2140">
        <v>-14886.666666666666</v>
      </c>
      <c r="Y602" s="2140">
        <v>-14886.666666666666</v>
      </c>
      <c r="Z602" s="2140">
        <v>-14886.666666666666</v>
      </c>
      <c r="AA602" s="2140">
        <v>-15766.66666666667</v>
      </c>
      <c r="AB602" s="2140">
        <v>-15766.66666666667</v>
      </c>
      <c r="AC602" s="2140">
        <v>-15766.66666666667</v>
      </c>
      <c r="AD602" s="2140">
        <v>-15033.333333333336</v>
      </c>
      <c r="AE602" s="2140">
        <v>-15033.333333333336</v>
      </c>
      <c r="AF602" s="2140">
        <v>-15033.333333333336</v>
      </c>
      <c r="AG602" s="2140">
        <v>-15033.333333333336</v>
      </c>
      <c r="AH602" s="2140">
        <v>-15033.333333333336</v>
      </c>
      <c r="AI602" s="2140">
        <v>-15033.333333333336</v>
      </c>
      <c r="AJ602" s="2160">
        <v>-44660</v>
      </c>
      <c r="AK602" s="2161">
        <v>-47300.000000000007</v>
      </c>
      <c r="AL602" s="2161">
        <v>-45100.000000000007</v>
      </c>
      <c r="AM602" s="2161">
        <v>-45100.000000000007</v>
      </c>
      <c r="AN602" s="2161">
        <v>-91960</v>
      </c>
      <c r="AO602" s="2161">
        <v>-90200.000000000015</v>
      </c>
      <c r="AP602" s="2161">
        <v>-182160</v>
      </c>
    </row>
    <row r="603" spans="1:42" ht="14.5">
      <c r="A603" s="1693">
        <v>466</v>
      </c>
      <c r="B603" s="616">
        <v>1</v>
      </c>
      <c r="C603" s="1693">
        <v>483</v>
      </c>
      <c r="D603" s="616">
        <v>1</v>
      </c>
      <c r="E603" s="1693">
        <v>530</v>
      </c>
      <c r="F603" s="616">
        <v>1</v>
      </c>
      <c r="G603" s="1693">
        <v>595</v>
      </c>
      <c r="H603" s="616">
        <v>1</v>
      </c>
      <c r="K603" s="69"/>
      <c r="O603" s="73"/>
      <c r="P603" s="72"/>
      <c r="Q603" s="68"/>
      <c r="R603" s="68"/>
      <c r="S603" s="208"/>
      <c r="T603" s="229"/>
      <c r="U603" s="229"/>
      <c r="V603" s="229" t="s">
        <v>1089</v>
      </c>
      <c r="W603" s="1911"/>
      <c r="X603" s="2021">
        <v>-2733.3333333333335</v>
      </c>
      <c r="Y603" s="2021">
        <v>-2733.3333333333335</v>
      </c>
      <c r="Z603" s="2021">
        <v>-2733.3333333333335</v>
      </c>
      <c r="AA603" s="2021">
        <v>-2733.3333333333335</v>
      </c>
      <c r="AB603" s="2021">
        <v>-2733.3333333333335</v>
      </c>
      <c r="AC603" s="2021">
        <v>-2733.3333333333335</v>
      </c>
      <c r="AD603" s="2021">
        <v>-2733.3333333333335</v>
      </c>
      <c r="AE603" s="2021">
        <v>-2733.3333333333335</v>
      </c>
      <c r="AF603" s="2021">
        <v>-2733.3333333333335</v>
      </c>
      <c r="AG603" s="2021">
        <v>-2733.3333333333335</v>
      </c>
      <c r="AH603" s="2021">
        <v>-2733.3333333333335</v>
      </c>
      <c r="AI603" s="2021">
        <v>-2733.3333333333335</v>
      </c>
      <c r="AJ603" s="1925">
        <v>-8200</v>
      </c>
      <c r="AK603" s="1926">
        <v>-8200</v>
      </c>
      <c r="AL603" s="1926">
        <v>-8200</v>
      </c>
      <c r="AM603" s="1926">
        <v>-8200</v>
      </c>
      <c r="AN603" s="1926">
        <v>-16400</v>
      </c>
      <c r="AO603" s="1926">
        <v>-16400</v>
      </c>
      <c r="AP603" s="1926">
        <v>-32800</v>
      </c>
    </row>
    <row r="604" spans="1:42" ht="14.5">
      <c r="A604" s="1693">
        <v>467</v>
      </c>
      <c r="B604" s="616">
        <v>1</v>
      </c>
      <c r="C604" s="1693">
        <v>484</v>
      </c>
      <c r="D604" s="616">
        <v>1</v>
      </c>
      <c r="E604" s="1693">
        <v>531</v>
      </c>
      <c r="F604" s="616">
        <v>1</v>
      </c>
      <c r="G604" s="1693">
        <v>596</v>
      </c>
      <c r="H604" s="616">
        <v>1</v>
      </c>
      <c r="K604" s="69"/>
      <c r="O604" s="73"/>
      <c r="P604" s="72"/>
      <c r="Q604" s="68"/>
      <c r="R604" s="68"/>
      <c r="S604" s="208"/>
      <c r="T604" s="229"/>
      <c r="U604" s="229"/>
      <c r="V604" s="228" t="s">
        <v>224</v>
      </c>
      <c r="W604" s="1911"/>
      <c r="X604" s="2153">
        <v>-283.33333333333331</v>
      </c>
      <c r="Y604" s="2153">
        <v>-283.33333333333331</v>
      </c>
      <c r="Z604" s="2153">
        <v>-283.33333333333331</v>
      </c>
      <c r="AA604" s="2153">
        <v>-283.33333333333331</v>
      </c>
      <c r="AB604" s="2153">
        <v>-283.33333333333331</v>
      </c>
      <c r="AC604" s="2153">
        <v>-283.33333333333331</v>
      </c>
      <c r="AD604" s="2153">
        <v>-283.33333333333331</v>
      </c>
      <c r="AE604" s="2153">
        <v>-283.33333333333331</v>
      </c>
      <c r="AF604" s="2153">
        <v>-283.33333333333331</v>
      </c>
      <c r="AG604" s="2153">
        <v>-283.33333333333331</v>
      </c>
      <c r="AH604" s="2153">
        <v>-283.33333333333331</v>
      </c>
      <c r="AI604" s="2153">
        <v>-283.33333333333331</v>
      </c>
      <c r="AJ604" s="1927">
        <v>-850</v>
      </c>
      <c r="AK604" s="1928">
        <v>-850</v>
      </c>
      <c r="AL604" s="1928">
        <v>-850</v>
      </c>
      <c r="AM604" s="1928">
        <v>-850</v>
      </c>
      <c r="AN604" s="1928">
        <v>-1700</v>
      </c>
      <c r="AO604" s="1928">
        <v>-1700</v>
      </c>
      <c r="AP604" s="1928">
        <v>-3400</v>
      </c>
    </row>
    <row r="605" spans="1:42" ht="14.5">
      <c r="A605" s="1693">
        <v>468</v>
      </c>
      <c r="B605" s="616">
        <v>1</v>
      </c>
      <c r="C605" s="1693">
        <v>485</v>
      </c>
      <c r="D605" s="616">
        <v>1</v>
      </c>
      <c r="E605" s="1693">
        <v>532</v>
      </c>
      <c r="F605" s="616">
        <v>1</v>
      </c>
      <c r="G605" s="1693">
        <v>597</v>
      </c>
      <c r="H605" s="616">
        <v>1</v>
      </c>
      <c r="K605" s="69"/>
      <c r="O605" s="73"/>
      <c r="P605" s="72"/>
      <c r="Q605" s="68"/>
      <c r="R605" s="68"/>
      <c r="S605" s="208"/>
      <c r="T605" s="290" t="s">
        <v>1100</v>
      </c>
      <c r="U605" s="290"/>
      <c r="V605" s="290"/>
      <c r="W605" s="1899"/>
      <c r="X605" s="1987">
        <v>0</v>
      </c>
      <c r="Y605" s="1987">
        <v>0</v>
      </c>
      <c r="Z605" s="1987">
        <v>0</v>
      </c>
      <c r="AA605" s="1987">
        <v>0</v>
      </c>
      <c r="AB605" s="1987">
        <v>0</v>
      </c>
      <c r="AC605" s="1987">
        <v>0</v>
      </c>
      <c r="AD605" s="1987">
        <v>0</v>
      </c>
      <c r="AE605" s="1987">
        <v>0</v>
      </c>
      <c r="AF605" s="1987">
        <v>0</v>
      </c>
      <c r="AG605" s="1987">
        <v>0</v>
      </c>
      <c r="AH605" s="1987">
        <v>0</v>
      </c>
      <c r="AI605" s="1987">
        <v>0</v>
      </c>
      <c r="AJ605" s="2144">
        <v>0</v>
      </c>
      <c r="AK605" s="1987">
        <v>0</v>
      </c>
      <c r="AL605" s="1987">
        <v>0</v>
      </c>
      <c r="AM605" s="1987">
        <v>0</v>
      </c>
      <c r="AN605" s="1987">
        <v>0</v>
      </c>
      <c r="AO605" s="1987">
        <v>0</v>
      </c>
      <c r="AP605" s="1987">
        <v>0</v>
      </c>
    </row>
    <row r="606" spans="1:42" ht="14.5">
      <c r="A606" s="1693">
        <v>469</v>
      </c>
      <c r="B606" s="616">
        <v>1</v>
      </c>
      <c r="C606" s="1693">
        <v>486</v>
      </c>
      <c r="D606" s="616">
        <v>1</v>
      </c>
      <c r="E606" s="1693">
        <v>533</v>
      </c>
      <c r="F606" s="616">
        <v>1</v>
      </c>
      <c r="G606" s="1693">
        <v>598</v>
      </c>
      <c r="H606" s="616">
        <v>1</v>
      </c>
      <c r="K606" s="69"/>
      <c r="O606" s="73"/>
      <c r="P606" s="72"/>
      <c r="Q606" s="68"/>
      <c r="R606" s="68"/>
      <c r="S606" s="208"/>
      <c r="T606" s="292"/>
      <c r="U606" s="291"/>
      <c r="V606" s="291" t="s">
        <v>223</v>
      </c>
      <c r="W606" s="1911"/>
      <c r="X606" s="2140"/>
      <c r="Y606" s="2140"/>
      <c r="Z606" s="2140"/>
      <c r="AA606" s="2140"/>
      <c r="AB606" s="2140"/>
      <c r="AC606" s="2140"/>
      <c r="AD606" s="2140"/>
      <c r="AE606" s="2140"/>
      <c r="AF606" s="2140"/>
      <c r="AG606" s="2140"/>
      <c r="AH606" s="2140"/>
      <c r="AI606" s="2140"/>
      <c r="AJ606" s="2160">
        <v>0</v>
      </c>
      <c r="AK606" s="2161">
        <v>0</v>
      </c>
      <c r="AL606" s="2161">
        <v>0</v>
      </c>
      <c r="AM606" s="2161">
        <v>0</v>
      </c>
      <c r="AN606" s="2161">
        <v>0</v>
      </c>
      <c r="AO606" s="2161">
        <v>0</v>
      </c>
      <c r="AP606" s="2161">
        <v>0</v>
      </c>
    </row>
    <row r="607" spans="1:42" ht="14.5">
      <c r="A607" s="1693">
        <v>470</v>
      </c>
      <c r="B607" s="616">
        <v>1</v>
      </c>
      <c r="C607" s="1693">
        <v>487</v>
      </c>
      <c r="D607" s="616">
        <v>1</v>
      </c>
      <c r="E607" s="1693">
        <v>534</v>
      </c>
      <c r="F607" s="616">
        <v>1</v>
      </c>
      <c r="G607" s="1693">
        <v>599</v>
      </c>
      <c r="H607" s="616">
        <v>1</v>
      </c>
      <c r="K607" s="69"/>
      <c r="O607" s="73"/>
      <c r="P607" s="72"/>
      <c r="Q607" s="68"/>
      <c r="R607" s="68"/>
      <c r="S607" s="208"/>
      <c r="T607" s="230"/>
      <c r="U607" s="228"/>
      <c r="V607" s="228" t="s">
        <v>224</v>
      </c>
      <c r="W607" s="1911"/>
      <c r="X607" s="2153"/>
      <c r="Y607" s="2153"/>
      <c r="Z607" s="2153"/>
      <c r="AA607" s="2153"/>
      <c r="AB607" s="2153"/>
      <c r="AC607" s="2153"/>
      <c r="AD607" s="2153"/>
      <c r="AE607" s="2153"/>
      <c r="AF607" s="2153"/>
      <c r="AG607" s="2153"/>
      <c r="AH607" s="2153"/>
      <c r="AI607" s="2153"/>
      <c r="AJ607" s="1927">
        <v>0</v>
      </c>
      <c r="AK607" s="1928">
        <v>0</v>
      </c>
      <c r="AL607" s="1928">
        <v>0</v>
      </c>
      <c r="AM607" s="1928">
        <v>0</v>
      </c>
      <c r="AN607" s="1928">
        <v>0</v>
      </c>
      <c r="AO607" s="1928">
        <v>0</v>
      </c>
      <c r="AP607" s="1928">
        <v>0</v>
      </c>
    </row>
    <row r="608" spans="1:42" ht="14.5">
      <c r="A608" s="1693">
        <v>471</v>
      </c>
      <c r="B608" s="616">
        <v>1</v>
      </c>
      <c r="C608" s="1693">
        <v>488</v>
      </c>
      <c r="D608" s="616">
        <v>1</v>
      </c>
      <c r="E608" s="1693">
        <v>535</v>
      </c>
      <c r="F608" s="616">
        <v>1</v>
      </c>
      <c r="G608" s="1693">
        <v>600</v>
      </c>
      <c r="H608" s="616">
        <v>1</v>
      </c>
      <c r="K608" s="69"/>
      <c r="O608" s="73"/>
      <c r="P608" s="72"/>
      <c r="Q608" s="68"/>
      <c r="R608" s="68"/>
      <c r="S608" s="208"/>
      <c r="T608" s="309" t="s">
        <v>1091</v>
      </c>
      <c r="U608" s="229"/>
      <c r="V608" s="229"/>
      <c r="W608" s="1911"/>
      <c r="X608" s="2021"/>
      <c r="Y608" s="2021"/>
      <c r="Z608" s="2021"/>
      <c r="AA608" s="2021"/>
      <c r="AB608" s="2021"/>
      <c r="AC608" s="2021"/>
      <c r="AD608" s="2021"/>
      <c r="AE608" s="2021"/>
      <c r="AF608" s="2021"/>
      <c r="AG608" s="2021"/>
      <c r="AH608" s="2021"/>
      <c r="AI608" s="2021"/>
      <c r="AJ608" s="1925">
        <v>0</v>
      </c>
      <c r="AK608" s="1926">
        <v>0</v>
      </c>
      <c r="AL608" s="1926">
        <v>0</v>
      </c>
      <c r="AM608" s="1926">
        <v>0</v>
      </c>
      <c r="AN608" s="1926">
        <v>0</v>
      </c>
      <c r="AO608" s="1926">
        <v>0</v>
      </c>
      <c r="AP608" s="1926">
        <v>0</v>
      </c>
    </row>
    <row r="609" spans="1:42" ht="14.5">
      <c r="A609" s="1693">
        <v>472</v>
      </c>
      <c r="B609" s="616">
        <v>1</v>
      </c>
      <c r="C609" s="1693">
        <v>489</v>
      </c>
      <c r="D609" s="616">
        <v>1</v>
      </c>
      <c r="E609" s="1693">
        <v>536</v>
      </c>
      <c r="F609" s="616">
        <v>1</v>
      </c>
      <c r="G609" s="1693">
        <v>601</v>
      </c>
      <c r="H609" s="616">
        <v>1</v>
      </c>
      <c r="K609" s="69"/>
      <c r="O609" s="73"/>
      <c r="P609" s="72"/>
      <c r="Q609" s="68"/>
      <c r="R609" s="68"/>
      <c r="S609" s="487" t="s">
        <v>24</v>
      </c>
      <c r="T609" s="284"/>
      <c r="U609" s="284"/>
      <c r="V609" s="284"/>
      <c r="W609" s="1899"/>
      <c r="X609" s="1987">
        <v>249.75</v>
      </c>
      <c r="Y609" s="1987">
        <v>249.75</v>
      </c>
      <c r="Z609" s="1987">
        <v>249.75</v>
      </c>
      <c r="AA609" s="1987">
        <v>0</v>
      </c>
      <c r="AB609" s="1987">
        <v>249.75</v>
      </c>
      <c r="AC609" s="1987">
        <v>249.75</v>
      </c>
      <c r="AD609" s="1987">
        <v>249.75</v>
      </c>
      <c r="AE609" s="1987">
        <v>249.75</v>
      </c>
      <c r="AF609" s="1987">
        <v>249.75</v>
      </c>
      <c r="AG609" s="1987">
        <v>249.75</v>
      </c>
      <c r="AH609" s="1987">
        <v>249.75</v>
      </c>
      <c r="AI609" s="1987">
        <v>499.5</v>
      </c>
      <c r="AJ609" s="2144">
        <v>749.25</v>
      </c>
      <c r="AK609" s="1987">
        <v>499.5</v>
      </c>
      <c r="AL609" s="1987">
        <v>749.25</v>
      </c>
      <c r="AM609" s="1987">
        <v>999</v>
      </c>
      <c r="AN609" s="1987">
        <v>1248.75</v>
      </c>
      <c r="AO609" s="1987">
        <v>1748.25</v>
      </c>
      <c r="AP609" s="1987">
        <v>2997</v>
      </c>
    </row>
    <row r="610" spans="1:42" ht="14.5">
      <c r="A610" s="1693">
        <v>473</v>
      </c>
      <c r="B610" s="616">
        <v>1</v>
      </c>
      <c r="C610" s="1693">
        <v>490</v>
      </c>
      <c r="D610" s="616">
        <v>1</v>
      </c>
      <c r="E610" s="1693">
        <v>537</v>
      </c>
      <c r="F610" s="616">
        <v>1</v>
      </c>
      <c r="G610" s="1693">
        <v>602</v>
      </c>
      <c r="H610" s="616">
        <v>1</v>
      </c>
      <c r="K610" s="69"/>
      <c r="O610" s="73"/>
      <c r="P610" s="72"/>
      <c r="Q610" s="68"/>
      <c r="R610" s="68"/>
      <c r="T610" s="97"/>
      <c r="U610" s="97"/>
      <c r="V610" s="97" t="s">
        <v>1096</v>
      </c>
      <c r="W610" s="1911"/>
      <c r="X610" s="2140">
        <v>249.75</v>
      </c>
      <c r="Y610" s="2140">
        <v>249.75</v>
      </c>
      <c r="Z610" s="2140">
        <v>249.75</v>
      </c>
      <c r="AA610" s="2140">
        <v>0</v>
      </c>
      <c r="AB610" s="2140">
        <v>249.75</v>
      </c>
      <c r="AC610" s="2140">
        <v>249.75</v>
      </c>
      <c r="AD610" s="2140">
        <v>249.75</v>
      </c>
      <c r="AE610" s="2140">
        <v>249.75</v>
      </c>
      <c r="AF610" s="2140">
        <v>249.75</v>
      </c>
      <c r="AG610" s="2140">
        <v>249.75</v>
      </c>
      <c r="AH610" s="2140">
        <v>249.75</v>
      </c>
      <c r="AI610" s="2140">
        <v>499.5</v>
      </c>
      <c r="AJ610" s="2160">
        <v>749.25</v>
      </c>
      <c r="AK610" s="2161">
        <v>499.5</v>
      </c>
      <c r="AL610" s="2161">
        <v>749.25</v>
      </c>
      <c r="AM610" s="2161">
        <v>999</v>
      </c>
      <c r="AN610" s="2161">
        <v>1248.75</v>
      </c>
      <c r="AO610" s="2161">
        <v>1748.25</v>
      </c>
      <c r="AP610" s="2161">
        <v>2997</v>
      </c>
    </row>
    <row r="611" spans="1:42" ht="14.5">
      <c r="A611" s="1693">
        <v>474</v>
      </c>
      <c r="B611" s="616">
        <v>1</v>
      </c>
      <c r="C611" s="1693">
        <v>491</v>
      </c>
      <c r="D611" s="616">
        <v>1</v>
      </c>
      <c r="E611" s="1693">
        <v>538</v>
      </c>
      <c r="F611" s="616">
        <v>1</v>
      </c>
      <c r="G611" s="1693">
        <v>603</v>
      </c>
      <c r="H611" s="616">
        <v>1</v>
      </c>
      <c r="K611" s="69"/>
      <c r="O611" s="73"/>
      <c r="P611" s="72"/>
      <c r="Q611" s="68"/>
      <c r="R611" s="68"/>
      <c r="V611" s="8" t="s">
        <v>1097</v>
      </c>
      <c r="W611" s="1911"/>
      <c r="X611" s="2021"/>
      <c r="Y611" s="2021"/>
      <c r="Z611" s="2021"/>
      <c r="AA611" s="2021"/>
      <c r="AB611" s="2021"/>
      <c r="AC611" s="2021"/>
      <c r="AD611" s="2021"/>
      <c r="AE611" s="2021"/>
      <c r="AF611" s="2021"/>
      <c r="AG611" s="2021"/>
      <c r="AH611" s="2021"/>
      <c r="AI611" s="2021"/>
      <c r="AJ611" s="1925">
        <v>0</v>
      </c>
      <c r="AK611" s="1926">
        <v>0</v>
      </c>
      <c r="AL611" s="1926">
        <v>0</v>
      </c>
      <c r="AM611" s="1926">
        <v>0</v>
      </c>
      <c r="AN611" s="1926">
        <v>0</v>
      </c>
      <c r="AO611" s="1926">
        <v>0</v>
      </c>
      <c r="AP611" s="1926">
        <v>0</v>
      </c>
    </row>
    <row r="612" spans="1:42" ht="14.5">
      <c r="A612" s="1693">
        <v>475</v>
      </c>
      <c r="B612" s="616">
        <v>1</v>
      </c>
      <c r="C612" s="1693">
        <v>492</v>
      </c>
      <c r="D612" s="616">
        <v>1</v>
      </c>
      <c r="E612" s="1693">
        <v>539</v>
      </c>
      <c r="F612" s="616">
        <v>1</v>
      </c>
      <c r="G612" s="1693">
        <v>604</v>
      </c>
      <c r="H612" s="616">
        <v>1</v>
      </c>
      <c r="K612" s="69"/>
      <c r="O612" s="73"/>
      <c r="P612" s="72"/>
      <c r="Q612" s="68"/>
      <c r="R612" s="68"/>
      <c r="V612" s="8" t="s">
        <v>1098</v>
      </c>
      <c r="W612" s="1911"/>
      <c r="X612" s="2021"/>
      <c r="Y612" s="2021"/>
      <c r="Z612" s="2021"/>
      <c r="AA612" s="2021"/>
      <c r="AB612" s="2021"/>
      <c r="AC612" s="2021"/>
      <c r="AD612" s="2021"/>
      <c r="AE612" s="2021"/>
      <c r="AF612" s="2021"/>
      <c r="AG612" s="2021"/>
      <c r="AH612" s="2021"/>
      <c r="AI612" s="2021"/>
      <c r="AJ612" s="1925">
        <v>0</v>
      </c>
      <c r="AK612" s="1926">
        <v>0</v>
      </c>
      <c r="AL612" s="1926">
        <v>0</v>
      </c>
      <c r="AM612" s="1926">
        <v>0</v>
      </c>
      <c r="AN612" s="1926">
        <v>0</v>
      </c>
      <c r="AO612" s="1926">
        <v>0</v>
      </c>
      <c r="AP612" s="1926">
        <v>0</v>
      </c>
    </row>
    <row r="613" spans="1:42" ht="14.5">
      <c r="A613" s="1693">
        <v>476</v>
      </c>
      <c r="B613" s="616">
        <v>1</v>
      </c>
      <c r="C613" s="1693">
        <v>493</v>
      </c>
      <c r="D613" s="616">
        <v>1</v>
      </c>
      <c r="E613" s="1693">
        <v>540</v>
      </c>
      <c r="F613" s="616">
        <v>1</v>
      </c>
      <c r="G613" s="1693">
        <v>605</v>
      </c>
      <c r="H613" s="616">
        <v>1</v>
      </c>
      <c r="K613" s="69"/>
      <c r="O613" s="73"/>
      <c r="P613" s="72"/>
      <c r="Q613" s="68"/>
      <c r="R613" s="68"/>
      <c r="S613" s="11"/>
      <c r="T613" s="11"/>
      <c r="U613" s="11"/>
      <c r="V613" s="11" t="s">
        <v>2</v>
      </c>
      <c r="W613" s="1911"/>
      <c r="X613" s="2153"/>
      <c r="Y613" s="2153"/>
      <c r="Z613" s="2153"/>
      <c r="AA613" s="2153"/>
      <c r="AB613" s="2153"/>
      <c r="AC613" s="2153"/>
      <c r="AD613" s="2153"/>
      <c r="AE613" s="2153"/>
      <c r="AF613" s="2153"/>
      <c r="AG613" s="2153"/>
      <c r="AH613" s="2153"/>
      <c r="AI613" s="2153"/>
      <c r="AJ613" s="1927">
        <v>0</v>
      </c>
      <c r="AK613" s="1928">
        <v>0</v>
      </c>
      <c r="AL613" s="1928">
        <v>0</v>
      </c>
      <c r="AM613" s="1928">
        <v>0</v>
      </c>
      <c r="AN613" s="1928">
        <v>0</v>
      </c>
      <c r="AO613" s="1928">
        <v>0</v>
      </c>
      <c r="AP613" s="1928">
        <v>0</v>
      </c>
    </row>
    <row r="614" spans="1:42" ht="14.5">
      <c r="A614" s="1693">
        <v>477</v>
      </c>
      <c r="B614" s="616">
        <v>1</v>
      </c>
      <c r="C614" s="1693">
        <v>494</v>
      </c>
      <c r="D614" s="616">
        <v>1</v>
      </c>
      <c r="E614" s="1693">
        <v>541</v>
      </c>
      <c r="F614" s="616">
        <v>1</v>
      </c>
      <c r="G614" s="1693">
        <v>606</v>
      </c>
      <c r="H614" s="616">
        <v>1</v>
      </c>
      <c r="K614" s="69"/>
      <c r="O614" s="73"/>
      <c r="P614" s="72"/>
      <c r="Q614" s="68"/>
      <c r="R614" s="68"/>
      <c r="S614" s="8" t="s">
        <v>2</v>
      </c>
      <c r="W614" s="1911"/>
      <c r="X614" s="2021"/>
      <c r="Y614" s="2021"/>
      <c r="Z614" s="2021"/>
      <c r="AA614" s="2021"/>
      <c r="AB614" s="2021"/>
      <c r="AC614" s="2021"/>
      <c r="AD614" s="2021"/>
      <c r="AE614" s="2021"/>
      <c r="AF614" s="2021"/>
      <c r="AG614" s="2021"/>
      <c r="AH614" s="2021"/>
      <c r="AI614" s="2021"/>
      <c r="AJ614" s="1925">
        <v>0</v>
      </c>
      <c r="AK614" s="1926">
        <v>0</v>
      </c>
      <c r="AL614" s="1926">
        <v>0</v>
      </c>
      <c r="AM614" s="1926">
        <v>0</v>
      </c>
      <c r="AN614" s="1926">
        <v>0</v>
      </c>
      <c r="AO614" s="1926">
        <v>0</v>
      </c>
      <c r="AP614" s="1926">
        <v>0</v>
      </c>
    </row>
    <row r="615" spans="1:42" ht="14.5">
      <c r="A615" s="1693">
        <v>478</v>
      </c>
      <c r="B615" s="616">
        <v>1</v>
      </c>
      <c r="C615" s="1693">
        <v>495</v>
      </c>
      <c r="D615" s="616">
        <v>1</v>
      </c>
      <c r="E615" s="1693">
        <v>542</v>
      </c>
      <c r="F615" s="616">
        <v>1</v>
      </c>
      <c r="G615" s="1693">
        <v>607</v>
      </c>
      <c r="H615" s="616">
        <v>1</v>
      </c>
      <c r="K615" s="69"/>
      <c r="O615" s="73"/>
      <c r="P615" s="72"/>
      <c r="Q615" s="583" t="s">
        <v>1019</v>
      </c>
      <c r="R615" s="583"/>
      <c r="S615" s="495"/>
      <c r="T615" s="495"/>
      <c r="U615" s="495"/>
      <c r="V615" s="583"/>
      <c r="W615" s="2187"/>
      <c r="X615" s="2188">
        <v>22334.814428337257</v>
      </c>
      <c r="Y615" s="2188">
        <v>13961.670709111497</v>
      </c>
      <c r="Z615" s="2188">
        <v>14039.777642350977</v>
      </c>
      <c r="AA615" s="2188">
        <v>14977.006348637202</v>
      </c>
      <c r="AB615" s="2188">
        <v>13505.179863171561</v>
      </c>
      <c r="AC615" s="2188">
        <v>14491.049078029977</v>
      </c>
      <c r="AD615" s="2188">
        <v>11594.815633502678</v>
      </c>
      <c r="AE615" s="2188">
        <v>11971.491098564491</v>
      </c>
      <c r="AF615" s="2188">
        <v>15908.234690745945</v>
      </c>
      <c r="AG615" s="2188">
        <v>12509.733128459178</v>
      </c>
      <c r="AH615" s="2188">
        <v>15554.904105275804</v>
      </c>
      <c r="AI615" s="2188">
        <v>14690.563684629513</v>
      </c>
      <c r="AJ615" s="2189">
        <v>50336.262779799727</v>
      </c>
      <c r="AK615" s="2188">
        <v>42973.23528983874</v>
      </c>
      <c r="AL615" s="2188">
        <v>39474.541422813112</v>
      </c>
      <c r="AM615" s="2188">
        <v>42755.200918364499</v>
      </c>
      <c r="AN615" s="2188">
        <v>93309.498069638474</v>
      </c>
      <c r="AO615" s="2188">
        <v>82229.742341177596</v>
      </c>
      <c r="AP615" s="2188">
        <v>175539.24041081607</v>
      </c>
    </row>
    <row r="616" spans="1:42" ht="14.5">
      <c r="A616" s="1693">
        <v>479</v>
      </c>
      <c r="B616" s="616">
        <v>1</v>
      </c>
      <c r="C616" s="1693">
        <v>496</v>
      </c>
      <c r="D616" s="616">
        <v>1</v>
      </c>
      <c r="E616" s="1693">
        <v>543</v>
      </c>
      <c r="F616" s="616">
        <v>1</v>
      </c>
      <c r="G616" s="1693">
        <v>608</v>
      </c>
      <c r="H616" s="616">
        <v>1</v>
      </c>
      <c r="K616" s="69"/>
      <c r="O616" s="73"/>
      <c r="P616" s="72"/>
      <c r="Q616" s="63"/>
      <c r="R616" s="63"/>
      <c r="S616" s="8" t="s">
        <v>57</v>
      </c>
      <c r="T616" s="285"/>
      <c r="U616" s="285"/>
      <c r="V616" s="285"/>
      <c r="W616" s="1899"/>
      <c r="X616" s="2177">
        <v>5046.929249228062</v>
      </c>
      <c r="Y616" s="1971">
        <v>3509.4745004505385</v>
      </c>
      <c r="Z616" s="1971">
        <v>3669.6625547509793</v>
      </c>
      <c r="AA616" s="1971">
        <v>4390.847196712205</v>
      </c>
      <c r="AB616" s="1971">
        <v>2919.0207112465623</v>
      </c>
      <c r="AC616" s="1971">
        <v>3904.8899261049792</v>
      </c>
      <c r="AD616" s="1971">
        <v>1693.7205071310004</v>
      </c>
      <c r="AE616" s="1971">
        <v>2070.3959721928127</v>
      </c>
      <c r="AF616" s="1971">
        <v>6007.1395643742671</v>
      </c>
      <c r="AG616" s="1971">
        <v>2392.5939377625009</v>
      </c>
      <c r="AH616" s="1971">
        <v>5437.7649145791247</v>
      </c>
      <c r="AI616" s="1971">
        <v>4573.4244939328355</v>
      </c>
      <c r="AJ616" s="2137">
        <v>12226.06630442958</v>
      </c>
      <c r="AK616" s="1971">
        <v>11214.757834063746</v>
      </c>
      <c r="AL616" s="1971">
        <v>9771.2560436980802</v>
      </c>
      <c r="AM616" s="1971">
        <v>12403.78334627446</v>
      </c>
      <c r="AN616" s="1971">
        <v>23440.824138493328</v>
      </c>
      <c r="AO616" s="1971">
        <v>22175.039389972539</v>
      </c>
      <c r="AP616" s="1971">
        <v>45615.863528465867</v>
      </c>
    </row>
    <row r="617" spans="1:42" ht="14.5">
      <c r="A617" s="1693">
        <v>480</v>
      </c>
      <c r="B617" s="616">
        <v>1</v>
      </c>
      <c r="C617" s="1693">
        <v>497</v>
      </c>
      <c r="D617" s="616">
        <v>1</v>
      </c>
      <c r="E617" s="1693">
        <v>544</v>
      </c>
      <c r="F617" s="616">
        <v>1</v>
      </c>
      <c r="G617" s="1693">
        <v>609</v>
      </c>
      <c r="H617" s="616">
        <v>1</v>
      </c>
      <c r="K617" s="69"/>
      <c r="O617" s="73"/>
      <c r="P617" s="72"/>
      <c r="Q617" s="63"/>
      <c r="R617" s="63"/>
      <c r="T617" s="97" t="s">
        <v>1017</v>
      </c>
      <c r="U617" s="97"/>
      <c r="V617" s="97"/>
      <c r="W617" s="1911"/>
      <c r="X617" s="2178">
        <v>5046.929249228062</v>
      </c>
      <c r="Y617" s="2140">
        <v>3509.4745004505385</v>
      </c>
      <c r="Z617" s="2140">
        <v>3669.6625547509793</v>
      </c>
      <c r="AA617" s="2140">
        <v>4390.847196712205</v>
      </c>
      <c r="AB617" s="2140">
        <v>2919.0207112465623</v>
      </c>
      <c r="AC617" s="2140">
        <v>3904.8899261049792</v>
      </c>
      <c r="AD617" s="2140">
        <v>1693.7205071310004</v>
      </c>
      <c r="AE617" s="2140">
        <v>2070.3959721928127</v>
      </c>
      <c r="AF617" s="2140">
        <v>6007.1395643742671</v>
      </c>
      <c r="AG617" s="2140">
        <v>2392.5939377625009</v>
      </c>
      <c r="AH617" s="2140">
        <v>5437.7649145791247</v>
      </c>
      <c r="AI617" s="2140">
        <v>4573.4244939328355</v>
      </c>
      <c r="AJ617" s="2160">
        <v>12226.06630442958</v>
      </c>
      <c r="AK617" s="2161">
        <v>11214.757834063746</v>
      </c>
      <c r="AL617" s="2161">
        <v>9771.2560436980802</v>
      </c>
      <c r="AM617" s="2161">
        <v>12403.78334627446</v>
      </c>
      <c r="AN617" s="2161">
        <v>23440.824138493328</v>
      </c>
      <c r="AO617" s="2161">
        <v>22175.039389972539</v>
      </c>
      <c r="AP617" s="2161">
        <v>45615.863528465867</v>
      </c>
    </row>
    <row r="618" spans="1:42" ht="14.5">
      <c r="A618" s="1693">
        <v>481</v>
      </c>
      <c r="B618" s="616">
        <v>1</v>
      </c>
      <c r="C618" s="1693">
        <v>498</v>
      </c>
      <c r="D618" s="616">
        <v>1</v>
      </c>
      <c r="E618" s="1693">
        <v>545</v>
      </c>
      <c r="F618" s="616">
        <v>1</v>
      </c>
      <c r="G618" s="1693">
        <v>610</v>
      </c>
      <c r="H618" s="616">
        <v>1</v>
      </c>
      <c r="K618" s="69"/>
      <c r="O618" s="73"/>
      <c r="P618" s="72"/>
      <c r="Q618" s="63"/>
      <c r="R618" s="63"/>
      <c r="T618" s="11" t="s">
        <v>66</v>
      </c>
      <c r="U618" s="11"/>
      <c r="V618" s="11"/>
      <c r="W618" s="1911"/>
      <c r="X618" s="2165"/>
      <c r="Y618" s="2153"/>
      <c r="Z618" s="2153"/>
      <c r="AA618" s="2153"/>
      <c r="AB618" s="2153"/>
      <c r="AC618" s="2153"/>
      <c r="AD618" s="2153"/>
      <c r="AE618" s="2153"/>
      <c r="AF618" s="2153"/>
      <c r="AG618" s="2153"/>
      <c r="AH618" s="2153"/>
      <c r="AI618" s="2153"/>
      <c r="AJ618" s="1927">
        <v>0</v>
      </c>
      <c r="AK618" s="1928">
        <v>0</v>
      </c>
      <c r="AL618" s="1928">
        <v>0</v>
      </c>
      <c r="AM618" s="1928">
        <v>0</v>
      </c>
      <c r="AN618" s="1928">
        <v>0</v>
      </c>
      <c r="AO618" s="1928">
        <v>0</v>
      </c>
      <c r="AP618" s="1928">
        <v>0</v>
      </c>
    </row>
    <row r="619" spans="1:42" ht="14.5">
      <c r="A619" s="1693">
        <v>482</v>
      </c>
      <c r="B619" s="616">
        <v>1</v>
      </c>
      <c r="C619" s="1693">
        <v>499</v>
      </c>
      <c r="D619" s="616">
        <v>1</v>
      </c>
      <c r="E619" s="1693">
        <v>546</v>
      </c>
      <c r="F619" s="616">
        <v>1</v>
      </c>
      <c r="G619" s="1693">
        <v>611</v>
      </c>
      <c r="H619" s="616">
        <v>1</v>
      </c>
      <c r="K619" s="69"/>
      <c r="O619" s="73"/>
      <c r="P619" s="72"/>
      <c r="Q619" s="63"/>
      <c r="R619" s="63"/>
      <c r="S619" s="487" t="s">
        <v>27</v>
      </c>
      <c r="T619" s="284"/>
      <c r="U619" s="284"/>
      <c r="V619" s="284"/>
      <c r="W619" s="1899"/>
      <c r="X619" s="2179">
        <v>17287.885179109195</v>
      </c>
      <c r="Y619" s="1987">
        <v>10452.196208660958</v>
      </c>
      <c r="Z619" s="1987">
        <v>10370.115087599997</v>
      </c>
      <c r="AA619" s="1987">
        <v>10586.159151924998</v>
      </c>
      <c r="AB619" s="1987">
        <v>10586.159151924998</v>
      </c>
      <c r="AC619" s="1987">
        <v>10586.159151924998</v>
      </c>
      <c r="AD619" s="1987">
        <v>9901.0951263716779</v>
      </c>
      <c r="AE619" s="1987">
        <v>9901.0951263716779</v>
      </c>
      <c r="AF619" s="1987">
        <v>9901.0951263716779</v>
      </c>
      <c r="AG619" s="1987">
        <v>10117.139190696678</v>
      </c>
      <c r="AH619" s="1987">
        <v>10117.139190696678</v>
      </c>
      <c r="AI619" s="1987">
        <v>10117.139190696678</v>
      </c>
      <c r="AJ619" s="2144">
        <v>38110.196475370147</v>
      </c>
      <c r="AK619" s="1987">
        <v>31758.477455774992</v>
      </c>
      <c r="AL619" s="1987">
        <v>29703.285379115034</v>
      </c>
      <c r="AM619" s="1987">
        <v>30351.417572090035</v>
      </c>
      <c r="AN619" s="1987">
        <v>69868.673931145138</v>
      </c>
      <c r="AO619" s="1987">
        <v>60054.702951205065</v>
      </c>
      <c r="AP619" s="1987">
        <v>129923.3768823502</v>
      </c>
    </row>
    <row r="620" spans="1:42" ht="14.5">
      <c r="A620" s="1693">
        <v>483</v>
      </c>
      <c r="B620" s="616">
        <v>1</v>
      </c>
      <c r="C620" s="1693">
        <v>500</v>
      </c>
      <c r="D620" s="616">
        <v>1</v>
      </c>
      <c r="E620" s="1693">
        <v>547</v>
      </c>
      <c r="F620" s="616">
        <v>1</v>
      </c>
      <c r="G620" s="1693">
        <v>612</v>
      </c>
      <c r="H620" s="616">
        <v>1</v>
      </c>
      <c r="K620" s="69"/>
      <c r="O620" s="73"/>
      <c r="P620" s="72"/>
      <c r="Q620" s="63"/>
      <c r="R620" s="63"/>
      <c r="T620" s="97" t="s">
        <v>1017</v>
      </c>
      <c r="U620" s="97"/>
      <c r="V620" s="869"/>
      <c r="W620" s="1899"/>
      <c r="X620" s="2180">
        <v>17287.885179109195</v>
      </c>
      <c r="Y620" s="2145">
        <v>10452.196208660958</v>
      </c>
      <c r="Z620" s="2145">
        <v>10370.115087599997</v>
      </c>
      <c r="AA620" s="2145">
        <v>10586.159151924998</v>
      </c>
      <c r="AB620" s="2145">
        <v>10586.159151924998</v>
      </c>
      <c r="AC620" s="2145">
        <v>10586.159151924998</v>
      </c>
      <c r="AD620" s="2145">
        <v>9901.0951263716779</v>
      </c>
      <c r="AE620" s="2145">
        <v>9901.0951263716779</v>
      </c>
      <c r="AF620" s="2145">
        <v>9901.0951263716779</v>
      </c>
      <c r="AG620" s="2145">
        <v>10117.139190696678</v>
      </c>
      <c r="AH620" s="2145">
        <v>10117.139190696678</v>
      </c>
      <c r="AI620" s="2145">
        <v>10117.139190696678</v>
      </c>
      <c r="AJ620" s="2146">
        <v>38110.196475370147</v>
      </c>
      <c r="AK620" s="2145">
        <v>31758.477455774992</v>
      </c>
      <c r="AL620" s="2145">
        <v>29703.285379115034</v>
      </c>
      <c r="AM620" s="2145">
        <v>30351.417572090035</v>
      </c>
      <c r="AN620" s="2145">
        <v>69868.673931145138</v>
      </c>
      <c r="AO620" s="2145">
        <v>60054.702951205065</v>
      </c>
      <c r="AP620" s="2145">
        <v>129923.3768823502</v>
      </c>
    </row>
    <row r="621" spans="1:42" ht="14.5">
      <c r="A621" s="1693">
        <v>484</v>
      </c>
      <c r="B621" s="616">
        <v>1</v>
      </c>
      <c r="C621" s="1693">
        <v>501</v>
      </c>
      <c r="D621" s="616">
        <v>1</v>
      </c>
      <c r="E621" s="1693">
        <v>548</v>
      </c>
      <c r="F621" s="616">
        <v>1</v>
      </c>
      <c r="G621" s="1693">
        <v>613</v>
      </c>
      <c r="H621" s="616">
        <v>1</v>
      </c>
      <c r="K621" s="69"/>
      <c r="O621" s="73"/>
      <c r="P621" s="72"/>
      <c r="Q621" s="63"/>
      <c r="R621" s="63"/>
      <c r="V621" s="97" t="s">
        <v>1086</v>
      </c>
      <c r="W621" s="1911"/>
      <c r="X621" s="2178">
        <v>17287.885179109195</v>
      </c>
      <c r="Y621" s="2140">
        <v>10452.196208660958</v>
      </c>
      <c r="Z621" s="2140">
        <v>10370.115087599997</v>
      </c>
      <c r="AA621" s="2140">
        <v>10586.159151924998</v>
      </c>
      <c r="AB621" s="2140">
        <v>10586.159151924998</v>
      </c>
      <c r="AC621" s="2140">
        <v>10586.159151924998</v>
      </c>
      <c r="AD621" s="2140">
        <v>9901.0951263716779</v>
      </c>
      <c r="AE621" s="2140">
        <v>9901.0951263716779</v>
      </c>
      <c r="AF621" s="2140">
        <v>9901.0951263716779</v>
      </c>
      <c r="AG621" s="2140">
        <v>10117.139190696678</v>
      </c>
      <c r="AH621" s="2140">
        <v>10117.139190696678</v>
      </c>
      <c r="AI621" s="2140">
        <v>10117.139190696678</v>
      </c>
      <c r="AJ621" s="2160">
        <v>38110.196475370147</v>
      </c>
      <c r="AK621" s="2161">
        <v>31758.477455774992</v>
      </c>
      <c r="AL621" s="2161">
        <v>29703.285379115034</v>
      </c>
      <c r="AM621" s="2161">
        <v>30351.417572090035</v>
      </c>
      <c r="AN621" s="2161">
        <v>69868.673931145138</v>
      </c>
      <c r="AO621" s="2161">
        <v>60054.702951205065</v>
      </c>
      <c r="AP621" s="2161">
        <v>129923.3768823502</v>
      </c>
    </row>
    <row r="622" spans="1:42" ht="14.5">
      <c r="A622" s="1693">
        <v>485</v>
      </c>
      <c r="B622" s="616">
        <v>1</v>
      </c>
      <c r="C622" s="1693">
        <v>502</v>
      </c>
      <c r="D622" s="616">
        <v>1</v>
      </c>
      <c r="E622" s="1693">
        <v>549</v>
      </c>
      <c r="F622" s="616">
        <v>1</v>
      </c>
      <c r="G622" s="1693">
        <v>614</v>
      </c>
      <c r="H622" s="616">
        <v>1</v>
      </c>
      <c r="K622" s="69"/>
      <c r="O622" s="73"/>
      <c r="P622" s="72"/>
      <c r="Q622" s="63"/>
      <c r="R622" s="63"/>
      <c r="T622" s="285"/>
      <c r="U622" s="285"/>
      <c r="V622" s="285" t="s">
        <v>1087</v>
      </c>
      <c r="W622" s="1911"/>
      <c r="X622" s="2181"/>
      <c r="Y622" s="2023"/>
      <c r="Z622" s="2023"/>
      <c r="AA622" s="2023"/>
      <c r="AB622" s="2023"/>
      <c r="AC622" s="2023"/>
      <c r="AD622" s="2023"/>
      <c r="AE622" s="2023"/>
      <c r="AF622" s="2023"/>
      <c r="AG622" s="2023"/>
      <c r="AH622" s="2023"/>
      <c r="AI622" s="2023"/>
      <c r="AJ622" s="2182">
        <v>0</v>
      </c>
      <c r="AK622" s="2183">
        <v>0</v>
      </c>
      <c r="AL622" s="2183">
        <v>0</v>
      </c>
      <c r="AM622" s="2183">
        <v>0</v>
      </c>
      <c r="AN622" s="2183">
        <v>0</v>
      </c>
      <c r="AO622" s="2183">
        <v>0</v>
      </c>
      <c r="AP622" s="2183">
        <v>0</v>
      </c>
    </row>
    <row r="623" spans="1:42" ht="14.5">
      <c r="A623" s="1693">
        <v>486</v>
      </c>
      <c r="B623" s="616">
        <v>1</v>
      </c>
      <c r="C623" s="1693">
        <v>503</v>
      </c>
      <c r="D623" s="616">
        <v>1</v>
      </c>
      <c r="E623" s="1693">
        <v>550</v>
      </c>
      <c r="F623" s="616">
        <v>1</v>
      </c>
      <c r="G623" s="1693">
        <v>615</v>
      </c>
      <c r="H623" s="616">
        <v>1</v>
      </c>
      <c r="K623" s="69"/>
      <c r="O623" s="73"/>
      <c r="P623" s="72"/>
      <c r="Q623" s="63"/>
      <c r="R623" s="63"/>
      <c r="T623" s="288" t="s">
        <v>66</v>
      </c>
      <c r="W623" s="1911"/>
      <c r="X623" s="2021"/>
      <c r="Y623" s="2021"/>
      <c r="Z623" s="2021"/>
      <c r="AA623" s="2021"/>
      <c r="AB623" s="2021"/>
      <c r="AC623" s="2021"/>
      <c r="AD623" s="2021"/>
      <c r="AE623" s="2021"/>
      <c r="AF623" s="2021"/>
      <c r="AG623" s="2021"/>
      <c r="AH623" s="2021"/>
      <c r="AI623" s="2021"/>
      <c r="AJ623" s="1925">
        <v>0</v>
      </c>
      <c r="AK623" s="1926">
        <v>0</v>
      </c>
      <c r="AL623" s="1926">
        <v>0</v>
      </c>
      <c r="AM623" s="1926">
        <v>0</v>
      </c>
      <c r="AN623" s="1926">
        <v>0</v>
      </c>
      <c r="AO623" s="1926">
        <v>0</v>
      </c>
      <c r="AP623" s="1926">
        <v>0</v>
      </c>
    </row>
    <row r="624" spans="1:42" ht="14.5">
      <c r="A624" s="1693">
        <v>487</v>
      </c>
      <c r="B624" s="616">
        <v>1</v>
      </c>
      <c r="C624" s="1693">
        <v>504</v>
      </c>
      <c r="D624" s="616">
        <v>1</v>
      </c>
      <c r="E624" s="1693">
        <v>551</v>
      </c>
      <c r="F624" s="616">
        <v>1</v>
      </c>
      <c r="G624" s="1693">
        <v>616</v>
      </c>
      <c r="H624" s="616">
        <v>1</v>
      </c>
      <c r="K624" s="69"/>
      <c r="O624" s="73"/>
      <c r="P624" s="72"/>
      <c r="Q624" s="63"/>
      <c r="R624" s="63"/>
      <c r="S624" s="208"/>
      <c r="T624" s="290" t="s">
        <v>1101</v>
      </c>
      <c r="U624" s="290"/>
      <c r="V624" s="290"/>
      <c r="W624" s="1899"/>
      <c r="X624" s="1987">
        <v>0</v>
      </c>
      <c r="Y624" s="1987">
        <v>0</v>
      </c>
      <c r="Z624" s="1987">
        <v>0</v>
      </c>
      <c r="AA624" s="1987">
        <v>0</v>
      </c>
      <c r="AB624" s="1987">
        <v>0</v>
      </c>
      <c r="AC624" s="1987">
        <v>0</v>
      </c>
      <c r="AD624" s="1987">
        <v>0</v>
      </c>
      <c r="AE624" s="1987">
        <v>0</v>
      </c>
      <c r="AF624" s="1987">
        <v>0</v>
      </c>
      <c r="AG624" s="1987">
        <v>0</v>
      </c>
      <c r="AH624" s="1987">
        <v>0</v>
      </c>
      <c r="AI624" s="1987">
        <v>0</v>
      </c>
      <c r="AJ624" s="2144">
        <v>0</v>
      </c>
      <c r="AK624" s="1987">
        <v>0</v>
      </c>
      <c r="AL624" s="1987">
        <v>0</v>
      </c>
      <c r="AM624" s="1987">
        <v>0</v>
      </c>
      <c r="AN624" s="1987">
        <v>0</v>
      </c>
      <c r="AO624" s="1987">
        <v>0</v>
      </c>
      <c r="AP624" s="1987">
        <v>0</v>
      </c>
    </row>
    <row r="625" spans="1:42" ht="14.5">
      <c r="A625" s="1693">
        <v>488</v>
      </c>
      <c r="B625" s="616">
        <v>1</v>
      </c>
      <c r="C625" s="1693">
        <v>505</v>
      </c>
      <c r="D625" s="616">
        <v>1</v>
      </c>
      <c r="E625" s="1693">
        <v>552</v>
      </c>
      <c r="F625" s="616">
        <v>1</v>
      </c>
      <c r="G625" s="1693">
        <v>617</v>
      </c>
      <c r="H625" s="616">
        <v>1</v>
      </c>
      <c r="K625" s="69"/>
      <c r="O625" s="73"/>
      <c r="P625" s="72"/>
      <c r="Q625" s="63"/>
      <c r="R625" s="63"/>
      <c r="S625" s="208"/>
      <c r="T625" s="291"/>
      <c r="U625" s="291"/>
      <c r="V625" s="291" t="s">
        <v>223</v>
      </c>
      <c r="W625" s="1911"/>
      <c r="X625" s="2140"/>
      <c r="Y625" s="2140"/>
      <c r="Z625" s="2140"/>
      <c r="AA625" s="2140"/>
      <c r="AB625" s="2140"/>
      <c r="AC625" s="2140"/>
      <c r="AD625" s="2140"/>
      <c r="AE625" s="2140"/>
      <c r="AF625" s="2140"/>
      <c r="AG625" s="2140"/>
      <c r="AH625" s="2140"/>
      <c r="AI625" s="2140"/>
      <c r="AJ625" s="2160">
        <v>0</v>
      </c>
      <c r="AK625" s="2161">
        <v>0</v>
      </c>
      <c r="AL625" s="2161">
        <v>0</v>
      </c>
      <c r="AM625" s="2161">
        <v>0</v>
      </c>
      <c r="AN625" s="2161">
        <v>0</v>
      </c>
      <c r="AO625" s="2161">
        <v>0</v>
      </c>
      <c r="AP625" s="2161">
        <v>0</v>
      </c>
    </row>
    <row r="626" spans="1:42" ht="14.5">
      <c r="A626" s="1693">
        <v>489</v>
      </c>
      <c r="B626" s="616">
        <v>1</v>
      </c>
      <c r="C626" s="1693">
        <v>506</v>
      </c>
      <c r="D626" s="616">
        <v>1</v>
      </c>
      <c r="E626" s="1693">
        <v>553</v>
      </c>
      <c r="F626" s="616">
        <v>1</v>
      </c>
      <c r="G626" s="1693">
        <v>618</v>
      </c>
      <c r="H626" s="616">
        <v>1</v>
      </c>
      <c r="K626" s="69"/>
      <c r="O626" s="73"/>
      <c r="P626" s="72"/>
      <c r="Q626" s="63"/>
      <c r="R626" s="63"/>
      <c r="S626" s="208"/>
      <c r="T626" s="229"/>
      <c r="U626" s="229"/>
      <c r="V626" s="229" t="s">
        <v>1089</v>
      </c>
      <c r="W626" s="1911"/>
      <c r="X626" s="2021"/>
      <c r="Y626" s="2021"/>
      <c r="Z626" s="2021"/>
      <c r="AA626" s="2021"/>
      <c r="AB626" s="2021"/>
      <c r="AC626" s="2021"/>
      <c r="AD626" s="2021"/>
      <c r="AE626" s="2021"/>
      <c r="AF626" s="2021"/>
      <c r="AG626" s="2021"/>
      <c r="AH626" s="2021"/>
      <c r="AI626" s="2021"/>
      <c r="AJ626" s="1925">
        <v>0</v>
      </c>
      <c r="AK626" s="1926">
        <v>0</v>
      </c>
      <c r="AL626" s="1926">
        <v>0</v>
      </c>
      <c r="AM626" s="1926">
        <v>0</v>
      </c>
      <c r="AN626" s="1926">
        <v>0</v>
      </c>
      <c r="AO626" s="1926">
        <v>0</v>
      </c>
      <c r="AP626" s="1926">
        <v>0</v>
      </c>
    </row>
    <row r="627" spans="1:42" ht="14.5">
      <c r="A627" s="1693">
        <v>490</v>
      </c>
      <c r="B627" s="616">
        <v>1</v>
      </c>
      <c r="C627" s="1693">
        <v>507</v>
      </c>
      <c r="D627" s="616">
        <v>1</v>
      </c>
      <c r="E627" s="1693">
        <v>554</v>
      </c>
      <c r="F627" s="616">
        <v>1</v>
      </c>
      <c r="G627" s="1693">
        <v>619</v>
      </c>
      <c r="H627" s="616">
        <v>1</v>
      </c>
      <c r="K627" s="69"/>
      <c r="O627" s="73"/>
      <c r="P627" s="72"/>
      <c r="Q627" s="63"/>
      <c r="R627" s="63"/>
      <c r="S627" s="208"/>
      <c r="T627" s="229"/>
      <c r="U627" s="229"/>
      <c r="V627" s="228" t="s">
        <v>224</v>
      </c>
      <c r="W627" s="1911"/>
      <c r="X627" s="2153"/>
      <c r="Y627" s="2153"/>
      <c r="Z627" s="2153"/>
      <c r="AA627" s="2153"/>
      <c r="AB627" s="2153"/>
      <c r="AC627" s="2153"/>
      <c r="AD627" s="2153"/>
      <c r="AE627" s="2153"/>
      <c r="AF627" s="2153"/>
      <c r="AG627" s="2153"/>
      <c r="AH627" s="2153"/>
      <c r="AI627" s="2153"/>
      <c r="AJ627" s="1927">
        <v>0</v>
      </c>
      <c r="AK627" s="1928">
        <v>0</v>
      </c>
      <c r="AL627" s="1928">
        <v>0</v>
      </c>
      <c r="AM627" s="1928">
        <v>0</v>
      </c>
      <c r="AN627" s="1928">
        <v>0</v>
      </c>
      <c r="AO627" s="1928">
        <v>0</v>
      </c>
      <c r="AP627" s="1928">
        <v>0</v>
      </c>
    </row>
    <row r="628" spans="1:42" ht="14.5">
      <c r="A628" s="1693">
        <v>491</v>
      </c>
      <c r="B628" s="616">
        <v>1</v>
      </c>
      <c r="C628" s="1693">
        <v>508</v>
      </c>
      <c r="D628" s="616">
        <v>1</v>
      </c>
      <c r="E628" s="1693">
        <v>555</v>
      </c>
      <c r="F628" s="616">
        <v>1</v>
      </c>
      <c r="G628" s="1693">
        <v>620</v>
      </c>
      <c r="H628" s="616">
        <v>1</v>
      </c>
      <c r="K628" s="69"/>
      <c r="O628" s="73"/>
      <c r="P628" s="72"/>
      <c r="Q628" s="63"/>
      <c r="R628" s="63"/>
      <c r="S628" s="208"/>
      <c r="T628" s="290" t="s">
        <v>1102</v>
      </c>
      <c r="U628" s="290"/>
      <c r="V628" s="290"/>
      <c r="W628" s="1899"/>
      <c r="X628" s="1987">
        <v>0</v>
      </c>
      <c r="Y628" s="1987">
        <v>0</v>
      </c>
      <c r="Z628" s="1987">
        <v>0</v>
      </c>
      <c r="AA628" s="1987">
        <v>0</v>
      </c>
      <c r="AB628" s="1987">
        <v>0</v>
      </c>
      <c r="AC628" s="1987">
        <v>0</v>
      </c>
      <c r="AD628" s="1987">
        <v>0</v>
      </c>
      <c r="AE628" s="1987">
        <v>0</v>
      </c>
      <c r="AF628" s="1987">
        <v>0</v>
      </c>
      <c r="AG628" s="1987">
        <v>0</v>
      </c>
      <c r="AH628" s="1987">
        <v>0</v>
      </c>
      <c r="AI628" s="1987">
        <v>0</v>
      </c>
      <c r="AJ628" s="2144">
        <v>0</v>
      </c>
      <c r="AK628" s="1987">
        <v>0</v>
      </c>
      <c r="AL628" s="1987">
        <v>0</v>
      </c>
      <c r="AM628" s="1987">
        <v>0</v>
      </c>
      <c r="AN628" s="1987">
        <v>0</v>
      </c>
      <c r="AO628" s="1987">
        <v>0</v>
      </c>
      <c r="AP628" s="1987">
        <v>0</v>
      </c>
    </row>
    <row r="629" spans="1:42" ht="14.5">
      <c r="A629" s="1693">
        <v>492</v>
      </c>
      <c r="B629" s="616">
        <v>1</v>
      </c>
      <c r="C629" s="1693">
        <v>509</v>
      </c>
      <c r="D629" s="616">
        <v>1</v>
      </c>
      <c r="E629" s="1693">
        <v>556</v>
      </c>
      <c r="F629" s="616">
        <v>1</v>
      </c>
      <c r="G629" s="1693">
        <v>621</v>
      </c>
      <c r="H629" s="616">
        <v>1</v>
      </c>
      <c r="K629" s="69"/>
      <c r="O629" s="73"/>
      <c r="P629" s="72"/>
      <c r="Q629" s="63"/>
      <c r="R629" s="63"/>
      <c r="S629" s="208"/>
      <c r="T629" s="292"/>
      <c r="U629" s="291"/>
      <c r="V629" s="291" t="s">
        <v>223</v>
      </c>
      <c r="W629" s="1911"/>
      <c r="X629" s="2140"/>
      <c r="Y629" s="2140"/>
      <c r="Z629" s="2140"/>
      <c r="AA629" s="2140"/>
      <c r="AB629" s="2140"/>
      <c r="AC629" s="2140"/>
      <c r="AD629" s="2140"/>
      <c r="AE629" s="2140"/>
      <c r="AF629" s="2140"/>
      <c r="AG629" s="2140"/>
      <c r="AH629" s="2140"/>
      <c r="AI629" s="2140"/>
      <c r="AJ629" s="2160">
        <v>0</v>
      </c>
      <c r="AK629" s="2161">
        <v>0</v>
      </c>
      <c r="AL629" s="2161">
        <v>0</v>
      </c>
      <c r="AM629" s="2161">
        <v>0</v>
      </c>
      <c r="AN629" s="2161">
        <v>0</v>
      </c>
      <c r="AO629" s="2161">
        <v>0</v>
      </c>
      <c r="AP629" s="2161">
        <v>0</v>
      </c>
    </row>
    <row r="630" spans="1:42" ht="14.5">
      <c r="A630" s="1693">
        <v>493</v>
      </c>
      <c r="B630" s="616">
        <v>1</v>
      </c>
      <c r="C630" s="1693">
        <v>510</v>
      </c>
      <c r="D630" s="616">
        <v>1</v>
      </c>
      <c r="E630" s="1693">
        <v>557</v>
      </c>
      <c r="F630" s="616">
        <v>1</v>
      </c>
      <c r="G630" s="1693">
        <v>622</v>
      </c>
      <c r="H630" s="616">
        <v>1</v>
      </c>
      <c r="K630" s="69"/>
      <c r="O630" s="73"/>
      <c r="P630" s="72"/>
      <c r="Q630" s="63"/>
      <c r="R630" s="63"/>
      <c r="S630" s="208"/>
      <c r="T630" s="228"/>
      <c r="U630" s="228"/>
      <c r="V630" s="228" t="s">
        <v>224</v>
      </c>
      <c r="W630" s="1911"/>
      <c r="X630" s="2153"/>
      <c r="Y630" s="2153"/>
      <c r="Z630" s="2153"/>
      <c r="AA630" s="2153"/>
      <c r="AB630" s="2153"/>
      <c r="AC630" s="2153"/>
      <c r="AD630" s="2153"/>
      <c r="AE630" s="2153"/>
      <c r="AF630" s="2153"/>
      <c r="AG630" s="2153"/>
      <c r="AH630" s="2153"/>
      <c r="AI630" s="2153"/>
      <c r="AJ630" s="1927">
        <v>0</v>
      </c>
      <c r="AK630" s="1928">
        <v>0</v>
      </c>
      <c r="AL630" s="1928">
        <v>0</v>
      </c>
      <c r="AM630" s="1928">
        <v>0</v>
      </c>
      <c r="AN630" s="1928">
        <v>0</v>
      </c>
      <c r="AO630" s="1928">
        <v>0</v>
      </c>
      <c r="AP630" s="1928">
        <v>0</v>
      </c>
    </row>
    <row r="631" spans="1:42" ht="14.5">
      <c r="A631" s="1693">
        <v>494</v>
      </c>
      <c r="B631" s="616">
        <v>1</v>
      </c>
      <c r="C631" s="1693">
        <v>511</v>
      </c>
      <c r="D631" s="616">
        <v>1</v>
      </c>
      <c r="E631" s="1693">
        <v>558</v>
      </c>
      <c r="F631" s="616">
        <v>1</v>
      </c>
      <c r="G631" s="1693">
        <v>623</v>
      </c>
      <c r="H631" s="616">
        <v>1</v>
      </c>
      <c r="K631" s="69"/>
      <c r="O631" s="73"/>
      <c r="P631" s="72"/>
      <c r="Q631" s="63"/>
      <c r="R631" s="63"/>
      <c r="S631" s="208"/>
      <c r="T631" s="309" t="s">
        <v>1094</v>
      </c>
      <c r="U631" s="229"/>
      <c r="V631" s="229"/>
      <c r="W631" s="1911"/>
      <c r="X631" s="2021"/>
      <c r="Y631" s="2021"/>
      <c r="Z631" s="2021"/>
      <c r="AA631" s="2021"/>
      <c r="AB631" s="2021"/>
      <c r="AC631" s="2021"/>
      <c r="AD631" s="2021"/>
      <c r="AE631" s="2021"/>
      <c r="AF631" s="2021"/>
      <c r="AG631" s="2021"/>
      <c r="AH631" s="2021"/>
      <c r="AI631" s="2021"/>
      <c r="AJ631" s="1925">
        <v>0</v>
      </c>
      <c r="AK631" s="1926">
        <v>0</v>
      </c>
      <c r="AL631" s="1926">
        <v>0</v>
      </c>
      <c r="AM631" s="1926">
        <v>0</v>
      </c>
      <c r="AN631" s="1926">
        <v>0</v>
      </c>
      <c r="AO631" s="1926">
        <v>0</v>
      </c>
      <c r="AP631" s="1926">
        <v>0</v>
      </c>
    </row>
    <row r="632" spans="1:42" ht="14.5">
      <c r="A632" s="1693">
        <v>495</v>
      </c>
      <c r="B632" s="616">
        <v>1</v>
      </c>
      <c r="C632" s="1693">
        <v>512</v>
      </c>
      <c r="D632" s="616">
        <v>1</v>
      </c>
      <c r="E632" s="1693">
        <v>559</v>
      </c>
      <c r="F632" s="616">
        <v>1</v>
      </c>
      <c r="G632" s="1693">
        <v>624</v>
      </c>
      <c r="H632" s="616">
        <v>1</v>
      </c>
      <c r="K632" s="69"/>
      <c r="O632" s="73"/>
      <c r="P632" s="72"/>
      <c r="Q632" s="63"/>
      <c r="R632" s="63"/>
      <c r="S632" s="487" t="s">
        <v>24</v>
      </c>
      <c r="T632" s="284"/>
      <c r="U632" s="284"/>
      <c r="V632" s="284"/>
      <c r="W632" s="1899"/>
      <c r="X632" s="1987">
        <v>0</v>
      </c>
      <c r="Y632" s="1987">
        <v>0</v>
      </c>
      <c r="Z632" s="1987">
        <v>0</v>
      </c>
      <c r="AA632" s="1987">
        <v>0</v>
      </c>
      <c r="AB632" s="1987">
        <v>0</v>
      </c>
      <c r="AC632" s="1987">
        <v>0</v>
      </c>
      <c r="AD632" s="1987">
        <v>0</v>
      </c>
      <c r="AE632" s="1987">
        <v>0</v>
      </c>
      <c r="AF632" s="1987">
        <v>0</v>
      </c>
      <c r="AG632" s="1987">
        <v>0</v>
      </c>
      <c r="AH632" s="1987">
        <v>0</v>
      </c>
      <c r="AI632" s="1987">
        <v>0</v>
      </c>
      <c r="AJ632" s="2144">
        <v>0</v>
      </c>
      <c r="AK632" s="1987">
        <v>0</v>
      </c>
      <c r="AL632" s="1987">
        <v>0</v>
      </c>
      <c r="AM632" s="1987">
        <v>0</v>
      </c>
      <c r="AN632" s="1987">
        <v>0</v>
      </c>
      <c r="AO632" s="1987">
        <v>0</v>
      </c>
      <c r="AP632" s="1987">
        <v>0</v>
      </c>
    </row>
    <row r="633" spans="1:42" ht="14.5">
      <c r="A633" s="1693">
        <v>496</v>
      </c>
      <c r="B633" s="616">
        <v>1</v>
      </c>
      <c r="C633" s="1693">
        <v>513</v>
      </c>
      <c r="D633" s="616">
        <v>1</v>
      </c>
      <c r="E633" s="1693">
        <v>560</v>
      </c>
      <c r="F633" s="616">
        <v>1</v>
      </c>
      <c r="G633" s="1693">
        <v>625</v>
      </c>
      <c r="H633" s="616">
        <v>1</v>
      </c>
      <c r="K633" s="69"/>
      <c r="O633" s="73"/>
      <c r="P633" s="72"/>
      <c r="Q633" s="63"/>
      <c r="R633" s="63"/>
      <c r="T633" s="97"/>
      <c r="U633" s="97"/>
      <c r="V633" s="97" t="s">
        <v>1096</v>
      </c>
      <c r="W633" s="1911"/>
      <c r="X633" s="2140"/>
      <c r="Y633" s="2140"/>
      <c r="Z633" s="2140"/>
      <c r="AA633" s="2140"/>
      <c r="AB633" s="2140"/>
      <c r="AC633" s="2140"/>
      <c r="AD633" s="2140"/>
      <c r="AE633" s="2140"/>
      <c r="AF633" s="2140"/>
      <c r="AG633" s="2140"/>
      <c r="AH633" s="2140"/>
      <c r="AI633" s="2140"/>
      <c r="AJ633" s="2160">
        <v>0</v>
      </c>
      <c r="AK633" s="2161">
        <v>0</v>
      </c>
      <c r="AL633" s="2161">
        <v>0</v>
      </c>
      <c r="AM633" s="2161">
        <v>0</v>
      </c>
      <c r="AN633" s="2161">
        <v>0</v>
      </c>
      <c r="AO633" s="2161">
        <v>0</v>
      </c>
      <c r="AP633" s="2161">
        <v>0</v>
      </c>
    </row>
    <row r="634" spans="1:42" ht="14.5">
      <c r="A634" s="1693">
        <v>497</v>
      </c>
      <c r="B634" s="616">
        <v>1</v>
      </c>
      <c r="C634" s="1693">
        <v>514</v>
      </c>
      <c r="D634" s="616">
        <v>1</v>
      </c>
      <c r="E634" s="1693">
        <v>561</v>
      </c>
      <c r="F634" s="616">
        <v>1</v>
      </c>
      <c r="G634" s="1693">
        <v>626</v>
      </c>
      <c r="H634" s="616">
        <v>1</v>
      </c>
      <c r="K634" s="69"/>
      <c r="O634" s="73"/>
      <c r="P634" s="72"/>
      <c r="Q634" s="63"/>
      <c r="R634" s="63"/>
      <c r="V634" s="8" t="s">
        <v>1097</v>
      </c>
      <c r="W634" s="1911"/>
      <c r="X634" s="2021"/>
      <c r="Y634" s="2021"/>
      <c r="Z634" s="2021"/>
      <c r="AA634" s="2021"/>
      <c r="AB634" s="2021"/>
      <c r="AC634" s="2021"/>
      <c r="AD634" s="2021"/>
      <c r="AE634" s="2021"/>
      <c r="AF634" s="2021"/>
      <c r="AG634" s="2021"/>
      <c r="AH634" s="2021"/>
      <c r="AI634" s="2021"/>
      <c r="AJ634" s="1925">
        <v>0</v>
      </c>
      <c r="AK634" s="1926">
        <v>0</v>
      </c>
      <c r="AL634" s="1926">
        <v>0</v>
      </c>
      <c r="AM634" s="1926">
        <v>0</v>
      </c>
      <c r="AN634" s="1926">
        <v>0</v>
      </c>
      <c r="AO634" s="1926">
        <v>0</v>
      </c>
      <c r="AP634" s="1926">
        <v>0</v>
      </c>
    </row>
    <row r="635" spans="1:42" ht="14.5">
      <c r="A635" s="1693">
        <v>498</v>
      </c>
      <c r="B635" s="616">
        <v>1</v>
      </c>
      <c r="C635" s="1693">
        <v>515</v>
      </c>
      <c r="D635" s="616">
        <v>1</v>
      </c>
      <c r="E635" s="1693">
        <v>562</v>
      </c>
      <c r="F635" s="616">
        <v>1</v>
      </c>
      <c r="G635" s="1693">
        <v>627</v>
      </c>
      <c r="H635" s="616">
        <v>1</v>
      </c>
      <c r="K635" s="69"/>
      <c r="O635" s="73"/>
      <c r="P635" s="72"/>
      <c r="Q635" s="63"/>
      <c r="R635" s="63"/>
      <c r="V635" s="8" t="s">
        <v>1098</v>
      </c>
      <c r="W635" s="1911"/>
      <c r="X635" s="2021"/>
      <c r="Y635" s="2021"/>
      <c r="Z635" s="2021"/>
      <c r="AA635" s="2021"/>
      <c r="AB635" s="2021"/>
      <c r="AC635" s="2021"/>
      <c r="AD635" s="2021"/>
      <c r="AE635" s="2021"/>
      <c r="AF635" s="2021"/>
      <c r="AG635" s="2021"/>
      <c r="AH635" s="2021"/>
      <c r="AI635" s="2021"/>
      <c r="AJ635" s="1925">
        <v>0</v>
      </c>
      <c r="AK635" s="1926">
        <v>0</v>
      </c>
      <c r="AL635" s="1926">
        <v>0</v>
      </c>
      <c r="AM635" s="1926">
        <v>0</v>
      </c>
      <c r="AN635" s="1926">
        <v>0</v>
      </c>
      <c r="AO635" s="1926">
        <v>0</v>
      </c>
      <c r="AP635" s="1926">
        <v>0</v>
      </c>
    </row>
    <row r="636" spans="1:42" ht="14.5">
      <c r="A636" s="1693">
        <v>499</v>
      </c>
      <c r="B636" s="616">
        <v>1</v>
      </c>
      <c r="C636" s="1693">
        <v>516</v>
      </c>
      <c r="D636" s="616">
        <v>1</v>
      </c>
      <c r="E636" s="1693">
        <v>563</v>
      </c>
      <c r="F636" s="616">
        <v>1</v>
      </c>
      <c r="G636" s="1693">
        <v>628</v>
      </c>
      <c r="H636" s="616">
        <v>1</v>
      </c>
      <c r="K636" s="69"/>
      <c r="O636" s="73"/>
      <c r="P636" s="72"/>
      <c r="Q636" s="63"/>
      <c r="R636" s="63"/>
      <c r="T636" s="11"/>
      <c r="U636" s="11"/>
      <c r="V636" s="11" t="s">
        <v>2</v>
      </c>
      <c r="W636" s="1911"/>
      <c r="X636" s="2153"/>
      <c r="Y636" s="2153"/>
      <c r="Z636" s="2153"/>
      <c r="AA636" s="2153"/>
      <c r="AB636" s="2153"/>
      <c r="AC636" s="2153"/>
      <c r="AD636" s="2153"/>
      <c r="AE636" s="2153"/>
      <c r="AF636" s="2153"/>
      <c r="AG636" s="2153"/>
      <c r="AH636" s="2153"/>
      <c r="AI636" s="2153"/>
      <c r="AJ636" s="1927">
        <v>0</v>
      </c>
      <c r="AK636" s="1928">
        <v>0</v>
      </c>
      <c r="AL636" s="1928">
        <v>0</v>
      </c>
      <c r="AM636" s="1928">
        <v>0</v>
      </c>
      <c r="AN636" s="1928">
        <v>0</v>
      </c>
      <c r="AO636" s="1928">
        <v>0</v>
      </c>
      <c r="AP636" s="1928">
        <v>0</v>
      </c>
    </row>
    <row r="637" spans="1:42" ht="14.5">
      <c r="A637" s="1693">
        <v>500</v>
      </c>
      <c r="B637" s="616">
        <v>1</v>
      </c>
      <c r="C637" s="1693">
        <v>517</v>
      </c>
      <c r="D637" s="616">
        <v>1</v>
      </c>
      <c r="E637" s="1693">
        <v>564</v>
      </c>
      <c r="F637" s="616">
        <v>1</v>
      </c>
      <c r="G637" s="1693">
        <v>629</v>
      </c>
      <c r="H637" s="616">
        <v>1</v>
      </c>
      <c r="K637" s="69"/>
      <c r="O637" s="71"/>
      <c r="P637" s="70"/>
      <c r="Q637" s="62"/>
      <c r="R637" s="62"/>
      <c r="S637" s="1475" t="s">
        <v>2</v>
      </c>
      <c r="T637" s="11"/>
      <c r="U637" s="11"/>
      <c r="V637" s="11"/>
      <c r="W637" s="1911"/>
      <c r="X637" s="2153"/>
      <c r="Y637" s="2153"/>
      <c r="Z637" s="2153"/>
      <c r="AA637" s="2153"/>
      <c r="AB637" s="2153"/>
      <c r="AC637" s="2153"/>
      <c r="AD637" s="2153"/>
      <c r="AE637" s="2153"/>
      <c r="AF637" s="2153"/>
      <c r="AG637" s="2153"/>
      <c r="AH637" s="2153"/>
      <c r="AI637" s="2153"/>
      <c r="AJ637" s="1927">
        <v>0</v>
      </c>
      <c r="AK637" s="1928">
        <v>0</v>
      </c>
      <c r="AL637" s="1928">
        <v>0</v>
      </c>
      <c r="AM637" s="1928">
        <v>0</v>
      </c>
      <c r="AN637" s="1928">
        <v>0</v>
      </c>
      <c r="AO637" s="1928">
        <v>0</v>
      </c>
      <c r="AP637" s="1928">
        <v>0</v>
      </c>
    </row>
    <row r="638" spans="1:42" ht="14.5">
      <c r="A638" s="1693">
        <v>501</v>
      </c>
      <c r="B638" s="616">
        <v>1</v>
      </c>
      <c r="C638" s="1693">
        <v>518</v>
      </c>
      <c r="D638" s="616">
        <v>1</v>
      </c>
      <c r="E638" s="1693">
        <v>565</v>
      </c>
      <c r="F638" s="616">
        <v>1</v>
      </c>
      <c r="G638" s="1693">
        <v>630</v>
      </c>
      <c r="H638" s="616">
        <v>1</v>
      </c>
      <c r="K638" s="69"/>
      <c r="O638" s="22"/>
      <c r="P638" s="69"/>
      <c r="Q638" s="22"/>
      <c r="R638" s="22"/>
      <c r="S638" s="69"/>
      <c r="T638" s="69"/>
      <c r="U638" s="69"/>
      <c r="V638" s="69"/>
      <c r="W638" s="1772"/>
      <c r="X638" s="1125"/>
      <c r="Y638" s="1366"/>
      <c r="Z638" s="1366"/>
      <c r="AA638" s="1366"/>
      <c r="AB638" s="1366"/>
      <c r="AC638" s="1366"/>
      <c r="AD638" s="1366"/>
      <c r="AE638" s="1366"/>
      <c r="AF638" s="1366"/>
      <c r="AG638" s="1366"/>
      <c r="AH638" s="1366"/>
      <c r="AI638" s="1366"/>
      <c r="AJ638" s="1366"/>
      <c r="AK638" s="1366"/>
      <c r="AL638" s="1366"/>
      <c r="AM638" s="1366"/>
      <c r="AN638" s="1366"/>
      <c r="AO638" s="1366"/>
      <c r="AP638" s="1366"/>
    </row>
    <row r="639" spans="1:42" ht="14.5">
      <c r="A639" s="1693">
        <v>502</v>
      </c>
      <c r="B639" s="616">
        <v>1</v>
      </c>
      <c r="C639" s="1693">
        <v>519</v>
      </c>
      <c r="D639" s="616">
        <v>1</v>
      </c>
      <c r="E639" s="1693">
        <v>566</v>
      </c>
      <c r="F639" s="616">
        <v>1</v>
      </c>
      <c r="G639" s="1693">
        <v>631</v>
      </c>
      <c r="H639" s="616">
        <v>1</v>
      </c>
      <c r="K639" s="69"/>
      <c r="N639" s="22" t="s">
        <v>936</v>
      </c>
      <c r="O639" s="22"/>
      <c r="P639" s="69"/>
      <c r="Q639" s="22"/>
      <c r="R639" s="22"/>
      <c r="S639" s="69"/>
      <c r="T639" s="69"/>
      <c r="U639" s="69"/>
      <c r="V639" s="222"/>
      <c r="W639" s="1772"/>
      <c r="X639" s="1125"/>
      <c r="Y639" s="1366"/>
      <c r="Z639" s="1366"/>
      <c r="AA639" s="1366"/>
      <c r="AB639" s="1366"/>
      <c r="AC639" s="1366"/>
      <c r="AD639" s="1366"/>
      <c r="AE639" s="1366"/>
      <c r="AF639" s="1366"/>
      <c r="AG639" s="1366"/>
      <c r="AH639" s="1366"/>
      <c r="AI639" s="1366"/>
      <c r="AJ639" s="1366"/>
      <c r="AK639" s="1366"/>
      <c r="AL639" s="1366"/>
      <c r="AM639" s="1366"/>
      <c r="AN639" s="1366"/>
      <c r="AO639" s="1366"/>
      <c r="AP639" s="1366"/>
    </row>
    <row r="640" spans="1:42" ht="14.5">
      <c r="A640" s="1693">
        <v>503</v>
      </c>
      <c r="B640" s="616">
        <v>1</v>
      </c>
      <c r="C640" s="1693">
        <v>520</v>
      </c>
      <c r="D640" s="616">
        <v>1</v>
      </c>
      <c r="E640" s="1693">
        <v>567</v>
      </c>
      <c r="F640" s="616">
        <v>1</v>
      </c>
      <c r="G640" s="1693">
        <v>632</v>
      </c>
      <c r="H640" s="616">
        <v>1</v>
      </c>
      <c r="K640" s="69"/>
      <c r="O640" s="365" t="s">
        <v>0</v>
      </c>
      <c r="P640" s="489"/>
      <c r="Q640" s="581"/>
      <c r="R640" s="581"/>
      <c r="S640" s="489"/>
      <c r="T640" s="489"/>
      <c r="U640" s="489"/>
      <c r="V640" s="581"/>
      <c r="W640" s="2190"/>
      <c r="X640" s="2038">
        <v>91600</v>
      </c>
      <c r="Y640" s="2038">
        <v>6000</v>
      </c>
      <c r="Z640" s="2038">
        <v>26100</v>
      </c>
      <c r="AA640" s="2038">
        <v>16000</v>
      </c>
      <c r="AB640" s="2038">
        <v>47800</v>
      </c>
      <c r="AC640" s="2038">
        <v>26800</v>
      </c>
      <c r="AD640" s="2038">
        <v>31600</v>
      </c>
      <c r="AE640" s="2038">
        <v>16300</v>
      </c>
      <c r="AF640" s="2038">
        <v>17300</v>
      </c>
      <c r="AG640" s="2038">
        <v>41900</v>
      </c>
      <c r="AH640" s="2038">
        <v>26000</v>
      </c>
      <c r="AI640" s="2038">
        <v>42500</v>
      </c>
      <c r="AJ640" s="2039">
        <v>123700</v>
      </c>
      <c r="AK640" s="2038">
        <v>90600</v>
      </c>
      <c r="AL640" s="2038">
        <v>65200</v>
      </c>
      <c r="AM640" s="2038">
        <v>110400</v>
      </c>
      <c r="AN640" s="2038">
        <v>214300</v>
      </c>
      <c r="AO640" s="2038">
        <v>175600</v>
      </c>
      <c r="AP640" s="2038">
        <v>389900</v>
      </c>
    </row>
    <row r="641" spans="1:42" ht="14.5">
      <c r="A641" s="1693">
        <v>504</v>
      </c>
      <c r="B641" s="616">
        <v>1</v>
      </c>
      <c r="C641" s="1693">
        <v>521</v>
      </c>
      <c r="D641" s="616">
        <v>1</v>
      </c>
      <c r="E641" s="1693">
        <v>568</v>
      </c>
      <c r="F641" s="616">
        <v>1</v>
      </c>
      <c r="G641" s="1693">
        <v>633</v>
      </c>
      <c r="H641" s="616">
        <v>1</v>
      </c>
      <c r="K641" s="69"/>
      <c r="O641" s="352"/>
      <c r="P641" s="353"/>
      <c r="Q641" s="68" t="s">
        <v>1018</v>
      </c>
      <c r="R641" s="68"/>
      <c r="S641" s="283"/>
      <c r="T641" s="283"/>
      <c r="U641" s="283"/>
      <c r="V641" s="68"/>
      <c r="W641" s="2173"/>
      <c r="X641" s="2175">
        <v>91600</v>
      </c>
      <c r="Y641" s="2175">
        <v>6000</v>
      </c>
      <c r="Z641" s="2175">
        <v>26100</v>
      </c>
      <c r="AA641" s="2175">
        <v>16000</v>
      </c>
      <c r="AB641" s="2175">
        <v>47800</v>
      </c>
      <c r="AC641" s="2175">
        <v>26800</v>
      </c>
      <c r="AD641" s="2175">
        <v>31600</v>
      </c>
      <c r="AE641" s="2175">
        <v>16300</v>
      </c>
      <c r="AF641" s="2175">
        <v>17300</v>
      </c>
      <c r="AG641" s="2175">
        <v>41900</v>
      </c>
      <c r="AH641" s="2175">
        <v>26000</v>
      </c>
      <c r="AI641" s="2175">
        <v>42500</v>
      </c>
      <c r="AJ641" s="2176">
        <v>123700</v>
      </c>
      <c r="AK641" s="2175">
        <v>90600</v>
      </c>
      <c r="AL641" s="2175">
        <v>65200</v>
      </c>
      <c r="AM641" s="2175">
        <v>110400</v>
      </c>
      <c r="AN641" s="2175">
        <v>214300</v>
      </c>
      <c r="AO641" s="2175">
        <v>175600</v>
      </c>
      <c r="AP641" s="2175">
        <v>389900</v>
      </c>
    </row>
    <row r="642" spans="1:42" ht="14.5">
      <c r="A642" s="1693">
        <v>505</v>
      </c>
      <c r="B642" s="616">
        <v>1</v>
      </c>
      <c r="C642" s="1693">
        <v>522</v>
      </c>
      <c r="D642" s="616">
        <v>1</v>
      </c>
      <c r="E642" s="1693">
        <v>569</v>
      </c>
      <c r="F642" s="616">
        <v>1</v>
      </c>
      <c r="G642" s="1693">
        <v>634</v>
      </c>
      <c r="H642" s="616">
        <v>1</v>
      </c>
      <c r="K642" s="69"/>
      <c r="O642" s="352"/>
      <c r="P642" s="353"/>
      <c r="Q642" s="68"/>
      <c r="R642" s="68"/>
      <c r="S642" s="69" t="s">
        <v>1033</v>
      </c>
      <c r="T642" s="302"/>
      <c r="U642" s="302"/>
      <c r="V642" s="302"/>
      <c r="W642" s="1899"/>
      <c r="X642" s="1971">
        <v>84900</v>
      </c>
      <c r="Y642" s="1971">
        <v>0</v>
      </c>
      <c r="Z642" s="1971">
        <v>19200</v>
      </c>
      <c r="AA642" s="1971">
        <v>9700</v>
      </c>
      <c r="AB642" s="1971">
        <v>41500</v>
      </c>
      <c r="AC642" s="1971">
        <v>19200</v>
      </c>
      <c r="AD642" s="1971">
        <v>25000</v>
      </c>
      <c r="AE642" s="1971">
        <v>9700</v>
      </c>
      <c r="AF642" s="1971">
        <v>9700</v>
      </c>
      <c r="AG642" s="1971">
        <v>35000</v>
      </c>
      <c r="AH642" s="1971">
        <v>19200</v>
      </c>
      <c r="AI642" s="1971">
        <v>34700</v>
      </c>
      <c r="AJ642" s="2137">
        <v>104100</v>
      </c>
      <c r="AK642" s="1971">
        <v>70400</v>
      </c>
      <c r="AL642" s="1971">
        <v>44400</v>
      </c>
      <c r="AM642" s="1971">
        <v>88900</v>
      </c>
      <c r="AN642" s="1971">
        <v>174500</v>
      </c>
      <c r="AO642" s="1971">
        <v>133300</v>
      </c>
      <c r="AP642" s="1971">
        <v>307800</v>
      </c>
    </row>
    <row r="643" spans="1:42" ht="14.5">
      <c r="A643" s="1693">
        <v>506</v>
      </c>
      <c r="B643" s="616">
        <v>1</v>
      </c>
      <c r="C643" s="1693">
        <v>523</v>
      </c>
      <c r="D643" s="616">
        <v>1</v>
      </c>
      <c r="E643" s="1693">
        <v>570</v>
      </c>
      <c r="F643" s="616">
        <v>1</v>
      </c>
      <c r="G643" s="1693">
        <v>635</v>
      </c>
      <c r="H643" s="616">
        <v>1</v>
      </c>
      <c r="K643" s="69"/>
      <c r="O643" s="352"/>
      <c r="P643" s="353"/>
      <c r="Q643" s="68"/>
      <c r="R643" s="68"/>
      <c r="S643" s="69"/>
      <c r="T643" s="740" t="s">
        <v>587</v>
      </c>
      <c r="U643" s="296"/>
      <c r="V643" s="296"/>
      <c r="W643" s="1911"/>
      <c r="X643" s="2140">
        <v>75200</v>
      </c>
      <c r="Y643" s="2140">
        <v>0</v>
      </c>
      <c r="Z643" s="2140">
        <v>0</v>
      </c>
      <c r="AA643" s="2140">
        <v>0</v>
      </c>
      <c r="AB643" s="2140">
        <v>0</v>
      </c>
      <c r="AC643" s="2140">
        <v>0</v>
      </c>
      <c r="AD643" s="2140">
        <v>0</v>
      </c>
      <c r="AE643" s="2140">
        <v>0</v>
      </c>
      <c r="AF643" s="2140">
        <v>0</v>
      </c>
      <c r="AG643" s="2140">
        <v>0</v>
      </c>
      <c r="AH643" s="2140">
        <v>0</v>
      </c>
      <c r="AI643" s="2140">
        <v>0</v>
      </c>
      <c r="AJ643" s="2160">
        <v>75200</v>
      </c>
      <c r="AK643" s="2161">
        <v>0</v>
      </c>
      <c r="AL643" s="2161">
        <v>0</v>
      </c>
      <c r="AM643" s="2161">
        <v>0</v>
      </c>
      <c r="AN643" s="2161">
        <v>75200</v>
      </c>
      <c r="AO643" s="2161">
        <v>0</v>
      </c>
      <c r="AP643" s="2161">
        <v>75200</v>
      </c>
    </row>
    <row r="644" spans="1:42" ht="14.5">
      <c r="A644" s="1693">
        <v>507</v>
      </c>
      <c r="B644" s="616">
        <v>1</v>
      </c>
      <c r="C644" s="1693">
        <v>524</v>
      </c>
      <c r="D644" s="616">
        <v>1</v>
      </c>
      <c r="E644" s="1693">
        <v>571</v>
      </c>
      <c r="F644" s="616">
        <v>1</v>
      </c>
      <c r="G644" s="1693">
        <v>636</v>
      </c>
      <c r="H644" s="616">
        <v>1</v>
      </c>
      <c r="K644" s="69"/>
      <c r="O644" s="352"/>
      <c r="P644" s="353"/>
      <c r="Q644" s="68"/>
      <c r="R644" s="68"/>
      <c r="S644" s="69"/>
      <c r="T644" s="69" t="s">
        <v>1034</v>
      </c>
      <c r="U644" s="69"/>
      <c r="V644" s="69"/>
      <c r="W644" s="1911"/>
      <c r="X644" s="2021">
        <v>0</v>
      </c>
      <c r="Y644" s="2021">
        <v>0</v>
      </c>
      <c r="Z644" s="2021">
        <v>9500</v>
      </c>
      <c r="AA644" s="2021">
        <v>0</v>
      </c>
      <c r="AB644" s="2021">
        <v>25000</v>
      </c>
      <c r="AC644" s="2021">
        <v>9500</v>
      </c>
      <c r="AD644" s="2021">
        <v>25000</v>
      </c>
      <c r="AE644" s="2021">
        <v>0</v>
      </c>
      <c r="AF644" s="2021">
        <v>0</v>
      </c>
      <c r="AG644" s="2021">
        <v>0</v>
      </c>
      <c r="AH644" s="2021">
        <v>9500</v>
      </c>
      <c r="AI644" s="2021">
        <v>25000</v>
      </c>
      <c r="AJ644" s="1925">
        <v>9500</v>
      </c>
      <c r="AK644" s="1926">
        <v>34500</v>
      </c>
      <c r="AL644" s="1926">
        <v>25000</v>
      </c>
      <c r="AM644" s="1926">
        <v>34500</v>
      </c>
      <c r="AN644" s="1926">
        <v>44000</v>
      </c>
      <c r="AO644" s="1926">
        <v>59500</v>
      </c>
      <c r="AP644" s="1926">
        <v>103500</v>
      </c>
    </row>
    <row r="645" spans="1:42" ht="14.5">
      <c r="A645" s="1693">
        <v>508</v>
      </c>
      <c r="B645" s="616">
        <v>1</v>
      </c>
      <c r="C645" s="1693">
        <v>525</v>
      </c>
      <c r="D645" s="616">
        <v>1</v>
      </c>
      <c r="E645" s="1693">
        <v>572</v>
      </c>
      <c r="F645" s="616">
        <v>1</v>
      </c>
      <c r="G645" s="1693">
        <v>637</v>
      </c>
      <c r="H645" s="616">
        <v>1</v>
      </c>
      <c r="K645" s="69"/>
      <c r="O645" s="352"/>
      <c r="P645" s="353"/>
      <c r="Q645" s="68"/>
      <c r="R645" s="68"/>
      <c r="S645" s="69"/>
      <c r="T645" s="69" t="s">
        <v>1035</v>
      </c>
      <c r="U645" s="69"/>
      <c r="V645" s="69"/>
      <c r="W645" s="1911"/>
      <c r="X645" s="2021">
        <v>9700</v>
      </c>
      <c r="Y645" s="2021">
        <v>0</v>
      </c>
      <c r="Z645" s="2021">
        <v>9700</v>
      </c>
      <c r="AA645" s="2021">
        <v>9700</v>
      </c>
      <c r="AB645" s="2021">
        <v>16500</v>
      </c>
      <c r="AC645" s="2021">
        <v>9700</v>
      </c>
      <c r="AD645" s="2021">
        <v>0</v>
      </c>
      <c r="AE645" s="2021">
        <v>9700</v>
      </c>
      <c r="AF645" s="2021">
        <v>9700</v>
      </c>
      <c r="AG645" s="2021">
        <v>35000</v>
      </c>
      <c r="AH645" s="2021">
        <v>9700</v>
      </c>
      <c r="AI645" s="2021">
        <v>9700</v>
      </c>
      <c r="AJ645" s="1925">
        <v>19400</v>
      </c>
      <c r="AK645" s="1926">
        <v>35900</v>
      </c>
      <c r="AL645" s="1926">
        <v>19400</v>
      </c>
      <c r="AM645" s="1926">
        <v>54400</v>
      </c>
      <c r="AN645" s="1926">
        <v>55300</v>
      </c>
      <c r="AO645" s="1926">
        <v>73800</v>
      </c>
      <c r="AP645" s="1926">
        <v>129100</v>
      </c>
    </row>
    <row r="646" spans="1:42" ht="14.5">
      <c r="A646" s="1693">
        <v>509</v>
      </c>
      <c r="B646" s="616">
        <v>1</v>
      </c>
      <c r="C646" s="1693">
        <v>526</v>
      </c>
      <c r="D646" s="616">
        <v>1</v>
      </c>
      <c r="E646" s="1693">
        <v>573</v>
      </c>
      <c r="F646" s="616">
        <v>1</v>
      </c>
      <c r="G646" s="1693">
        <v>638</v>
      </c>
      <c r="H646" s="616">
        <v>1</v>
      </c>
      <c r="K646" s="69"/>
      <c r="O646" s="352"/>
      <c r="P646" s="353"/>
      <c r="Q646" s="68"/>
      <c r="R646" s="68"/>
      <c r="S646" s="69"/>
      <c r="T646" s="69" t="s">
        <v>1036</v>
      </c>
      <c r="U646" s="69"/>
      <c r="V646" s="69"/>
      <c r="W646" s="1911"/>
      <c r="X646" s="2021">
        <v>0</v>
      </c>
      <c r="Y646" s="2021">
        <v>0</v>
      </c>
      <c r="Z646" s="2021">
        <v>0</v>
      </c>
      <c r="AA646" s="2021">
        <v>0</v>
      </c>
      <c r="AB646" s="2021">
        <v>0</v>
      </c>
      <c r="AC646" s="2021">
        <v>0</v>
      </c>
      <c r="AD646" s="2021">
        <v>0</v>
      </c>
      <c r="AE646" s="2021">
        <v>0</v>
      </c>
      <c r="AF646" s="2021">
        <v>0</v>
      </c>
      <c r="AG646" s="2021">
        <v>0</v>
      </c>
      <c r="AH646" s="2021">
        <v>0</v>
      </c>
      <c r="AI646" s="2021">
        <v>0</v>
      </c>
      <c r="AJ646" s="1925">
        <v>0</v>
      </c>
      <c r="AK646" s="1926">
        <v>0</v>
      </c>
      <c r="AL646" s="1926">
        <v>0</v>
      </c>
      <c r="AM646" s="1926">
        <v>0</v>
      </c>
      <c r="AN646" s="1926">
        <v>0</v>
      </c>
      <c r="AO646" s="1926">
        <v>0</v>
      </c>
      <c r="AP646" s="1926">
        <v>0</v>
      </c>
    </row>
    <row r="647" spans="1:42" ht="14.5">
      <c r="A647" s="1693">
        <v>510</v>
      </c>
      <c r="B647" s="616">
        <v>1</v>
      </c>
      <c r="C647" s="1693">
        <v>527</v>
      </c>
      <c r="D647" s="616">
        <v>1</v>
      </c>
      <c r="E647" s="1693">
        <v>574</v>
      </c>
      <c r="F647" s="616">
        <v>1</v>
      </c>
      <c r="G647" s="1693">
        <v>639</v>
      </c>
      <c r="H647" s="616">
        <v>1</v>
      </c>
      <c r="K647" s="69"/>
      <c r="O647" s="352"/>
      <c r="P647" s="353"/>
      <c r="Q647" s="68"/>
      <c r="R647" s="68"/>
      <c r="S647" s="69"/>
      <c r="T647" s="69" t="s">
        <v>479</v>
      </c>
      <c r="U647" s="69"/>
      <c r="V647" s="69"/>
      <c r="W647" s="1911"/>
      <c r="X647" s="2021">
        <v>0</v>
      </c>
      <c r="Y647" s="2021">
        <v>0</v>
      </c>
      <c r="Z647" s="2021">
        <v>0</v>
      </c>
      <c r="AA647" s="2021">
        <v>0</v>
      </c>
      <c r="AB647" s="2021">
        <v>0</v>
      </c>
      <c r="AC647" s="2021">
        <v>0</v>
      </c>
      <c r="AD647" s="2021">
        <v>0</v>
      </c>
      <c r="AE647" s="2021">
        <v>0</v>
      </c>
      <c r="AF647" s="2021">
        <v>0</v>
      </c>
      <c r="AG647" s="2021">
        <v>0</v>
      </c>
      <c r="AH647" s="2021">
        <v>0</v>
      </c>
      <c r="AI647" s="2021">
        <v>0</v>
      </c>
      <c r="AJ647" s="1925">
        <v>0</v>
      </c>
      <c r="AK647" s="1926">
        <v>0</v>
      </c>
      <c r="AL647" s="1926">
        <v>0</v>
      </c>
      <c r="AM647" s="1926">
        <v>0</v>
      </c>
      <c r="AN647" s="1926">
        <v>0</v>
      </c>
      <c r="AO647" s="1926">
        <v>0</v>
      </c>
      <c r="AP647" s="1926">
        <v>0</v>
      </c>
    </row>
    <row r="648" spans="1:42" ht="14.5">
      <c r="A648" s="1693">
        <v>511</v>
      </c>
      <c r="B648" s="616">
        <v>1</v>
      </c>
      <c r="C648" s="1693">
        <v>528</v>
      </c>
      <c r="D648" s="616">
        <v>1</v>
      </c>
      <c r="E648" s="1693">
        <v>575</v>
      </c>
      <c r="F648" s="616">
        <v>1</v>
      </c>
      <c r="G648" s="1693">
        <v>640</v>
      </c>
      <c r="H648" s="616">
        <v>1</v>
      </c>
      <c r="K648" s="69"/>
      <c r="O648" s="352"/>
      <c r="P648" s="353"/>
      <c r="Q648" s="68"/>
      <c r="R648" s="68"/>
      <c r="S648" s="211"/>
      <c r="T648" s="211" t="s">
        <v>2</v>
      </c>
      <c r="U648" s="211"/>
      <c r="V648" s="211"/>
      <c r="W648" s="1911"/>
      <c r="X648" s="2153">
        <v>0</v>
      </c>
      <c r="Y648" s="2153">
        <v>0</v>
      </c>
      <c r="Z648" s="2153">
        <v>0</v>
      </c>
      <c r="AA648" s="2153">
        <v>0</v>
      </c>
      <c r="AB648" s="2153">
        <v>0</v>
      </c>
      <c r="AC648" s="2153">
        <v>0</v>
      </c>
      <c r="AD648" s="2153">
        <v>0</v>
      </c>
      <c r="AE648" s="2153">
        <v>0</v>
      </c>
      <c r="AF648" s="2153">
        <v>0</v>
      </c>
      <c r="AG648" s="2153">
        <v>0</v>
      </c>
      <c r="AH648" s="2153">
        <v>0</v>
      </c>
      <c r="AI648" s="2153">
        <v>0</v>
      </c>
      <c r="AJ648" s="1927">
        <v>0</v>
      </c>
      <c r="AK648" s="1928">
        <v>0</v>
      </c>
      <c r="AL648" s="1928">
        <v>0</v>
      </c>
      <c r="AM648" s="1928">
        <v>0</v>
      </c>
      <c r="AN648" s="1928">
        <v>0</v>
      </c>
      <c r="AO648" s="1928">
        <v>0</v>
      </c>
      <c r="AP648" s="1928">
        <v>0</v>
      </c>
    </row>
    <row r="649" spans="1:42" ht="14.5">
      <c r="A649" s="1693">
        <v>512</v>
      </c>
      <c r="B649" s="616">
        <v>1</v>
      </c>
      <c r="C649" s="1693">
        <v>529</v>
      </c>
      <c r="D649" s="616">
        <v>1</v>
      </c>
      <c r="E649" s="1693">
        <v>576</v>
      </c>
      <c r="F649" s="616">
        <v>1</v>
      </c>
      <c r="G649" s="1693">
        <v>641</v>
      </c>
      <c r="H649" s="616">
        <v>1</v>
      </c>
      <c r="K649" s="69"/>
      <c r="O649" s="352"/>
      <c r="P649" s="353"/>
      <c r="Q649" s="68"/>
      <c r="R649" s="68"/>
      <c r="S649" s="69" t="s">
        <v>27</v>
      </c>
      <c r="T649" s="302"/>
      <c r="U649" s="302"/>
      <c r="V649" s="302"/>
      <c r="W649" s="1899"/>
      <c r="X649" s="1971">
        <v>6700</v>
      </c>
      <c r="Y649" s="1971">
        <v>6000</v>
      </c>
      <c r="Z649" s="1971">
        <v>6900</v>
      </c>
      <c r="AA649" s="1971">
        <v>6300</v>
      </c>
      <c r="AB649" s="1971">
        <v>6300</v>
      </c>
      <c r="AC649" s="1971">
        <v>7600</v>
      </c>
      <c r="AD649" s="1971">
        <v>6600</v>
      </c>
      <c r="AE649" s="1971">
        <v>6600</v>
      </c>
      <c r="AF649" s="1971">
        <v>7600</v>
      </c>
      <c r="AG649" s="1971">
        <v>6900</v>
      </c>
      <c r="AH649" s="1971">
        <v>6800</v>
      </c>
      <c r="AI649" s="1971">
        <v>7800</v>
      </c>
      <c r="AJ649" s="2137">
        <v>19600</v>
      </c>
      <c r="AK649" s="1971">
        <v>20200</v>
      </c>
      <c r="AL649" s="1971">
        <v>20800</v>
      </c>
      <c r="AM649" s="1971">
        <v>21500</v>
      </c>
      <c r="AN649" s="1971">
        <v>39800</v>
      </c>
      <c r="AO649" s="1971">
        <v>42300</v>
      </c>
      <c r="AP649" s="1971">
        <v>82100</v>
      </c>
    </row>
    <row r="650" spans="1:42" ht="14.5">
      <c r="A650" s="1693">
        <v>513</v>
      </c>
      <c r="B650" s="616">
        <v>1</v>
      </c>
      <c r="C650" s="1693">
        <v>530</v>
      </c>
      <c r="D650" s="616">
        <v>1</v>
      </c>
      <c r="E650" s="1693">
        <v>577</v>
      </c>
      <c r="F650" s="616">
        <v>1</v>
      </c>
      <c r="G650" s="1693">
        <v>642</v>
      </c>
      <c r="H650" s="616">
        <v>1</v>
      </c>
      <c r="K650" s="69"/>
      <c r="O650" s="352"/>
      <c r="P650" s="353"/>
      <c r="Q650" s="68"/>
      <c r="R650" s="68"/>
      <c r="S650" s="69"/>
      <c r="T650" s="740" t="s">
        <v>587</v>
      </c>
      <c r="U650" s="296"/>
      <c r="V650" s="296"/>
      <c r="W650" s="1911"/>
      <c r="X650" s="2140">
        <v>700</v>
      </c>
      <c r="Y650" s="2140">
        <v>700</v>
      </c>
      <c r="Z650" s="2140">
        <v>700</v>
      </c>
      <c r="AA650" s="2140">
        <v>700</v>
      </c>
      <c r="AB650" s="2140">
        <v>700</v>
      </c>
      <c r="AC650" s="2140">
        <v>1000</v>
      </c>
      <c r="AD650" s="2140">
        <v>1000</v>
      </c>
      <c r="AE650" s="2140">
        <v>1000</v>
      </c>
      <c r="AF650" s="2140">
        <v>1000</v>
      </c>
      <c r="AG650" s="2140">
        <v>1000</v>
      </c>
      <c r="AH650" s="2140">
        <v>1000</v>
      </c>
      <c r="AI650" s="2140">
        <v>1000</v>
      </c>
      <c r="AJ650" s="2160">
        <v>2100</v>
      </c>
      <c r="AK650" s="2161">
        <v>2400</v>
      </c>
      <c r="AL650" s="2161">
        <v>3000</v>
      </c>
      <c r="AM650" s="2161">
        <v>3000</v>
      </c>
      <c r="AN650" s="2161">
        <v>4500</v>
      </c>
      <c r="AO650" s="2161">
        <v>6000</v>
      </c>
      <c r="AP650" s="2161">
        <v>10500</v>
      </c>
    </row>
    <row r="651" spans="1:42" ht="14.5">
      <c r="A651" s="1693">
        <v>514</v>
      </c>
      <c r="B651" s="616">
        <v>1</v>
      </c>
      <c r="C651" s="1693">
        <v>531</v>
      </c>
      <c r="D651" s="616">
        <v>1</v>
      </c>
      <c r="E651" s="1693">
        <v>578</v>
      </c>
      <c r="F651" s="616">
        <v>1</v>
      </c>
      <c r="G651" s="1693">
        <v>643</v>
      </c>
      <c r="H651" s="616">
        <v>1</v>
      </c>
      <c r="K651" s="69"/>
      <c r="O651" s="352"/>
      <c r="P651" s="353"/>
      <c r="Q651" s="68"/>
      <c r="R651" s="68"/>
      <c r="S651" s="69"/>
      <c r="T651" s="69" t="s">
        <v>1034</v>
      </c>
      <c r="U651" s="69"/>
      <c r="V651" s="69"/>
      <c r="W651" s="1911"/>
      <c r="X651" s="2021">
        <v>3200</v>
      </c>
      <c r="Y651" s="2021">
        <v>2500</v>
      </c>
      <c r="Z651" s="2021">
        <v>3000</v>
      </c>
      <c r="AA651" s="2021">
        <v>2800</v>
      </c>
      <c r="AB651" s="2021">
        <v>2800</v>
      </c>
      <c r="AC651" s="2021">
        <v>3400</v>
      </c>
      <c r="AD651" s="2021">
        <v>2800</v>
      </c>
      <c r="AE651" s="2021">
        <v>2800</v>
      </c>
      <c r="AF651" s="2021">
        <v>3400</v>
      </c>
      <c r="AG651" s="2021">
        <v>3100</v>
      </c>
      <c r="AH651" s="2021">
        <v>3000</v>
      </c>
      <c r="AI651" s="2021">
        <v>3600</v>
      </c>
      <c r="AJ651" s="1925">
        <v>8700</v>
      </c>
      <c r="AK651" s="1926">
        <v>9000</v>
      </c>
      <c r="AL651" s="1926">
        <v>9000</v>
      </c>
      <c r="AM651" s="1926">
        <v>9700</v>
      </c>
      <c r="AN651" s="1926">
        <v>17700</v>
      </c>
      <c r="AO651" s="1926">
        <v>18700</v>
      </c>
      <c r="AP651" s="1926">
        <v>36400</v>
      </c>
    </row>
    <row r="652" spans="1:42" ht="14.5">
      <c r="A652" s="1693">
        <v>515</v>
      </c>
      <c r="B652" s="616">
        <v>1</v>
      </c>
      <c r="C652" s="1693">
        <v>532</v>
      </c>
      <c r="D652" s="616">
        <v>1</v>
      </c>
      <c r="E652" s="1693">
        <v>579</v>
      </c>
      <c r="F652" s="616">
        <v>1</v>
      </c>
      <c r="G652" s="1693">
        <v>644</v>
      </c>
      <c r="H652" s="616">
        <v>1</v>
      </c>
      <c r="K652" s="69"/>
      <c r="O652" s="352"/>
      <c r="P652" s="353"/>
      <c r="Q652" s="68"/>
      <c r="R652" s="68"/>
      <c r="S652" s="69"/>
      <c r="T652" s="69" t="s">
        <v>1035</v>
      </c>
      <c r="U652" s="69"/>
      <c r="V652" s="69"/>
      <c r="W652" s="1911"/>
      <c r="X652" s="2021">
        <v>2800</v>
      </c>
      <c r="Y652" s="2021">
        <v>2800</v>
      </c>
      <c r="Z652" s="2021">
        <v>3200</v>
      </c>
      <c r="AA652" s="2021">
        <v>2800</v>
      </c>
      <c r="AB652" s="2021">
        <v>2800</v>
      </c>
      <c r="AC652" s="2021">
        <v>3200</v>
      </c>
      <c r="AD652" s="2021">
        <v>2800</v>
      </c>
      <c r="AE652" s="2021">
        <v>2800</v>
      </c>
      <c r="AF652" s="2021">
        <v>3200</v>
      </c>
      <c r="AG652" s="2021">
        <v>2800</v>
      </c>
      <c r="AH652" s="2021">
        <v>2800</v>
      </c>
      <c r="AI652" s="2021">
        <v>3200</v>
      </c>
      <c r="AJ652" s="1925">
        <v>8800</v>
      </c>
      <c r="AK652" s="1926">
        <v>8800</v>
      </c>
      <c r="AL652" s="1926">
        <v>8800</v>
      </c>
      <c r="AM652" s="1926">
        <v>8800</v>
      </c>
      <c r="AN652" s="1926">
        <v>17600</v>
      </c>
      <c r="AO652" s="1926">
        <v>17600</v>
      </c>
      <c r="AP652" s="1926">
        <v>35200</v>
      </c>
    </row>
    <row r="653" spans="1:42" ht="14.5">
      <c r="A653" s="1693">
        <v>516</v>
      </c>
      <c r="B653" s="616">
        <v>1</v>
      </c>
      <c r="C653" s="1693">
        <v>533</v>
      </c>
      <c r="D653" s="616">
        <v>1</v>
      </c>
      <c r="E653" s="1693">
        <v>580</v>
      </c>
      <c r="F653" s="616">
        <v>1</v>
      </c>
      <c r="G653" s="1693">
        <v>645</v>
      </c>
      <c r="H653" s="616">
        <v>1</v>
      </c>
      <c r="K653" s="69"/>
      <c r="O653" s="352"/>
      <c r="P653" s="353"/>
      <c r="Q653" s="68"/>
      <c r="R653" s="68"/>
      <c r="S653" s="69"/>
      <c r="T653" s="69" t="s">
        <v>1036</v>
      </c>
      <c r="U653" s="69"/>
      <c r="V653" s="69"/>
      <c r="W653" s="1911"/>
      <c r="X653" s="2021">
        <v>0</v>
      </c>
      <c r="Y653" s="2021">
        <v>0</v>
      </c>
      <c r="Z653" s="2021">
        <v>0</v>
      </c>
      <c r="AA653" s="2021">
        <v>0</v>
      </c>
      <c r="AB653" s="2021">
        <v>0</v>
      </c>
      <c r="AC653" s="2021">
        <v>0</v>
      </c>
      <c r="AD653" s="2021">
        <v>0</v>
      </c>
      <c r="AE653" s="2021">
        <v>0</v>
      </c>
      <c r="AF653" s="2021">
        <v>0</v>
      </c>
      <c r="AG653" s="2021">
        <v>0</v>
      </c>
      <c r="AH653" s="2021">
        <v>0</v>
      </c>
      <c r="AI653" s="2021">
        <v>0</v>
      </c>
      <c r="AJ653" s="1925">
        <v>0</v>
      </c>
      <c r="AK653" s="1926">
        <v>0</v>
      </c>
      <c r="AL653" s="1926">
        <v>0</v>
      </c>
      <c r="AM653" s="1926">
        <v>0</v>
      </c>
      <c r="AN653" s="1926">
        <v>0</v>
      </c>
      <c r="AO653" s="1926">
        <v>0</v>
      </c>
      <c r="AP653" s="1926">
        <v>0</v>
      </c>
    </row>
    <row r="654" spans="1:42" ht="14.5">
      <c r="A654" s="1693">
        <v>517</v>
      </c>
      <c r="B654" s="616">
        <v>1</v>
      </c>
      <c r="C654" s="1693">
        <v>534</v>
      </c>
      <c r="D654" s="616">
        <v>1</v>
      </c>
      <c r="E654" s="1693">
        <v>581</v>
      </c>
      <c r="F654" s="616">
        <v>1</v>
      </c>
      <c r="G654" s="1693">
        <v>646</v>
      </c>
      <c r="H654" s="616">
        <v>1</v>
      </c>
      <c r="K654" s="69"/>
      <c r="O654" s="352"/>
      <c r="P654" s="353"/>
      <c r="Q654" s="68"/>
      <c r="R654" s="68"/>
      <c r="S654" s="69"/>
      <c r="T654" s="69" t="s">
        <v>479</v>
      </c>
      <c r="U654" s="69"/>
      <c r="V654" s="69"/>
      <c r="W654" s="1911"/>
      <c r="X654" s="2021">
        <v>0</v>
      </c>
      <c r="Y654" s="2021">
        <v>0</v>
      </c>
      <c r="Z654" s="2021">
        <v>0</v>
      </c>
      <c r="AA654" s="2021">
        <v>0</v>
      </c>
      <c r="AB654" s="2021">
        <v>0</v>
      </c>
      <c r="AC654" s="2021">
        <v>0</v>
      </c>
      <c r="AD654" s="2021">
        <v>0</v>
      </c>
      <c r="AE654" s="2021">
        <v>0</v>
      </c>
      <c r="AF654" s="2021">
        <v>0</v>
      </c>
      <c r="AG654" s="2021">
        <v>0</v>
      </c>
      <c r="AH654" s="2021">
        <v>0</v>
      </c>
      <c r="AI654" s="2021">
        <v>0</v>
      </c>
      <c r="AJ654" s="1925">
        <v>0</v>
      </c>
      <c r="AK654" s="1926">
        <v>0</v>
      </c>
      <c r="AL654" s="1926">
        <v>0</v>
      </c>
      <c r="AM654" s="1926">
        <v>0</v>
      </c>
      <c r="AN654" s="1926">
        <v>0</v>
      </c>
      <c r="AO654" s="1926">
        <v>0</v>
      </c>
      <c r="AP654" s="1926">
        <v>0</v>
      </c>
    </row>
    <row r="655" spans="1:42" ht="14.5">
      <c r="A655" s="1693">
        <v>518</v>
      </c>
      <c r="B655" s="616">
        <v>1</v>
      </c>
      <c r="C655" s="1693">
        <v>535</v>
      </c>
      <c r="D655" s="616">
        <v>1</v>
      </c>
      <c r="E655" s="1693">
        <v>582</v>
      </c>
      <c r="F655" s="616">
        <v>1</v>
      </c>
      <c r="G655" s="1693">
        <v>647</v>
      </c>
      <c r="H655" s="616">
        <v>1</v>
      </c>
      <c r="K655" s="69"/>
      <c r="O655" s="352"/>
      <c r="P655" s="353"/>
      <c r="Q655" s="67"/>
      <c r="R655" s="67"/>
      <c r="S655" s="69"/>
      <c r="T655" s="211" t="s">
        <v>2</v>
      </c>
      <c r="U655" s="211"/>
      <c r="V655" s="211"/>
      <c r="W655" s="1911"/>
      <c r="X655" s="2153">
        <v>0</v>
      </c>
      <c r="Y655" s="2153">
        <v>0</v>
      </c>
      <c r="Z655" s="2153">
        <v>0</v>
      </c>
      <c r="AA655" s="2153">
        <v>0</v>
      </c>
      <c r="AB655" s="2153">
        <v>0</v>
      </c>
      <c r="AC655" s="2153">
        <v>0</v>
      </c>
      <c r="AD655" s="2153">
        <v>0</v>
      </c>
      <c r="AE655" s="2153">
        <v>0</v>
      </c>
      <c r="AF655" s="2153">
        <v>0</v>
      </c>
      <c r="AG655" s="2153">
        <v>0</v>
      </c>
      <c r="AH655" s="2153">
        <v>0</v>
      </c>
      <c r="AI655" s="2153">
        <v>0</v>
      </c>
      <c r="AJ655" s="1927">
        <v>0</v>
      </c>
      <c r="AK655" s="1928">
        <v>0</v>
      </c>
      <c r="AL655" s="1928">
        <v>0</v>
      </c>
      <c r="AM655" s="1928">
        <v>0</v>
      </c>
      <c r="AN655" s="1928">
        <v>0</v>
      </c>
      <c r="AO655" s="1928">
        <v>0</v>
      </c>
      <c r="AP655" s="1928">
        <v>0</v>
      </c>
    </row>
    <row r="656" spans="1:42" ht="14.5">
      <c r="A656" s="1693">
        <v>519</v>
      </c>
      <c r="B656" s="616">
        <v>1</v>
      </c>
      <c r="C656" s="1693">
        <v>536</v>
      </c>
      <c r="D656" s="616">
        <v>1</v>
      </c>
      <c r="E656" s="1693">
        <v>583</v>
      </c>
      <c r="F656" s="616">
        <v>1</v>
      </c>
      <c r="G656" s="1693">
        <v>648</v>
      </c>
      <c r="H656" s="616">
        <v>1</v>
      </c>
      <c r="K656" s="69"/>
      <c r="O656" s="352"/>
      <c r="P656" s="353"/>
      <c r="Q656" s="63" t="s">
        <v>1019</v>
      </c>
      <c r="R656" s="63"/>
      <c r="S656" s="495"/>
      <c r="T656" s="495"/>
      <c r="U656" s="495"/>
      <c r="V656" s="583"/>
      <c r="W656" s="2187"/>
      <c r="X656" s="2188">
        <v>0</v>
      </c>
      <c r="Y656" s="2188">
        <v>0</v>
      </c>
      <c r="Z656" s="2188">
        <v>0</v>
      </c>
      <c r="AA656" s="2188">
        <v>0</v>
      </c>
      <c r="AB656" s="2188">
        <v>0</v>
      </c>
      <c r="AC656" s="2188">
        <v>0</v>
      </c>
      <c r="AD656" s="2188">
        <v>0</v>
      </c>
      <c r="AE656" s="2188">
        <v>0</v>
      </c>
      <c r="AF656" s="2188">
        <v>0</v>
      </c>
      <c r="AG656" s="2188">
        <v>0</v>
      </c>
      <c r="AH656" s="2188">
        <v>0</v>
      </c>
      <c r="AI656" s="2188">
        <v>0</v>
      </c>
      <c r="AJ656" s="2189">
        <v>0</v>
      </c>
      <c r="AK656" s="2188">
        <v>0</v>
      </c>
      <c r="AL656" s="2188">
        <v>0</v>
      </c>
      <c r="AM656" s="2188">
        <v>0</v>
      </c>
      <c r="AN656" s="2188">
        <v>0</v>
      </c>
      <c r="AO656" s="2188">
        <v>0</v>
      </c>
      <c r="AP656" s="2188">
        <v>0</v>
      </c>
    </row>
    <row r="657" spans="1:42" ht="14.5">
      <c r="A657" s="1693">
        <v>520</v>
      </c>
      <c r="B657" s="616">
        <v>1</v>
      </c>
      <c r="C657" s="1693">
        <v>537</v>
      </c>
      <c r="D657" s="616">
        <v>1</v>
      </c>
      <c r="E657" s="1693">
        <v>584</v>
      </c>
      <c r="F657" s="616">
        <v>1</v>
      </c>
      <c r="G657" s="1693">
        <v>649</v>
      </c>
      <c r="H657" s="616">
        <v>1</v>
      </c>
      <c r="K657" s="69"/>
      <c r="O657" s="352"/>
      <c r="P657" s="353"/>
      <c r="Q657" s="63"/>
      <c r="R657" s="63"/>
      <c r="S657" s="69" t="s">
        <v>1033</v>
      </c>
      <c r="T657" s="302"/>
      <c r="U657" s="302"/>
      <c r="V657" s="302"/>
      <c r="W657" s="1899"/>
      <c r="X657" s="1971">
        <v>0</v>
      </c>
      <c r="Y657" s="1971">
        <v>0</v>
      </c>
      <c r="Z657" s="1971">
        <v>0</v>
      </c>
      <c r="AA657" s="1971">
        <v>0</v>
      </c>
      <c r="AB657" s="1971">
        <v>0</v>
      </c>
      <c r="AC657" s="1971">
        <v>0</v>
      </c>
      <c r="AD657" s="1971">
        <v>0</v>
      </c>
      <c r="AE657" s="1971">
        <v>0</v>
      </c>
      <c r="AF657" s="1971">
        <v>0</v>
      </c>
      <c r="AG657" s="1971">
        <v>0</v>
      </c>
      <c r="AH657" s="1971">
        <v>0</v>
      </c>
      <c r="AI657" s="1971">
        <v>0</v>
      </c>
      <c r="AJ657" s="2137">
        <v>0</v>
      </c>
      <c r="AK657" s="1971">
        <v>0</v>
      </c>
      <c r="AL657" s="1971">
        <v>0</v>
      </c>
      <c r="AM657" s="1971">
        <v>0</v>
      </c>
      <c r="AN657" s="1971">
        <v>0</v>
      </c>
      <c r="AO657" s="1971">
        <v>0</v>
      </c>
      <c r="AP657" s="1971">
        <v>0</v>
      </c>
    </row>
    <row r="658" spans="1:42" ht="14.5">
      <c r="A658" s="1693">
        <v>521</v>
      </c>
      <c r="B658" s="616">
        <v>1</v>
      </c>
      <c r="C658" s="1693">
        <v>538</v>
      </c>
      <c r="D658" s="616">
        <v>1</v>
      </c>
      <c r="E658" s="1693">
        <v>585</v>
      </c>
      <c r="F658" s="616">
        <v>1</v>
      </c>
      <c r="G658" s="1693">
        <v>650</v>
      </c>
      <c r="H658" s="616">
        <v>1</v>
      </c>
      <c r="K658" s="69"/>
      <c r="O658" s="352"/>
      <c r="P658" s="353"/>
      <c r="Q658" s="63"/>
      <c r="R658" s="63"/>
      <c r="S658" s="69"/>
      <c r="T658" s="740" t="s">
        <v>587</v>
      </c>
      <c r="U658" s="296"/>
      <c r="V658" s="296"/>
      <c r="W658" s="1911"/>
      <c r="X658" s="2140">
        <v>0</v>
      </c>
      <c r="Y658" s="2140">
        <v>0</v>
      </c>
      <c r="Z658" s="2140">
        <v>0</v>
      </c>
      <c r="AA658" s="2140">
        <v>0</v>
      </c>
      <c r="AB658" s="2140">
        <v>0</v>
      </c>
      <c r="AC658" s="2140">
        <v>0</v>
      </c>
      <c r="AD658" s="2140">
        <v>0</v>
      </c>
      <c r="AE658" s="2140">
        <v>0</v>
      </c>
      <c r="AF658" s="2140">
        <v>0</v>
      </c>
      <c r="AG658" s="2140">
        <v>0</v>
      </c>
      <c r="AH658" s="2140">
        <v>0</v>
      </c>
      <c r="AI658" s="2140">
        <v>0</v>
      </c>
      <c r="AJ658" s="2160">
        <v>0</v>
      </c>
      <c r="AK658" s="2161">
        <v>0</v>
      </c>
      <c r="AL658" s="2161">
        <v>0</v>
      </c>
      <c r="AM658" s="2161">
        <v>0</v>
      </c>
      <c r="AN658" s="2161">
        <v>0</v>
      </c>
      <c r="AO658" s="2161">
        <v>0</v>
      </c>
      <c r="AP658" s="2161">
        <v>0</v>
      </c>
    </row>
    <row r="659" spans="1:42" ht="14.5">
      <c r="A659" s="1693">
        <v>522</v>
      </c>
      <c r="B659" s="616">
        <v>1</v>
      </c>
      <c r="C659" s="1693">
        <v>539</v>
      </c>
      <c r="D659" s="616">
        <v>1</v>
      </c>
      <c r="E659" s="1693">
        <v>586</v>
      </c>
      <c r="F659" s="616">
        <v>1</v>
      </c>
      <c r="G659" s="1693">
        <v>651</v>
      </c>
      <c r="H659" s="616">
        <v>1</v>
      </c>
      <c r="K659" s="69"/>
      <c r="O659" s="352"/>
      <c r="P659" s="353"/>
      <c r="Q659" s="63"/>
      <c r="R659" s="63"/>
      <c r="S659" s="69"/>
      <c r="T659" s="69" t="s">
        <v>1034</v>
      </c>
      <c r="U659" s="69"/>
      <c r="V659" s="69"/>
      <c r="W659" s="1911"/>
      <c r="X659" s="2021">
        <v>0</v>
      </c>
      <c r="Y659" s="2021">
        <v>0</v>
      </c>
      <c r="Z659" s="2021">
        <v>0</v>
      </c>
      <c r="AA659" s="2021">
        <v>0</v>
      </c>
      <c r="AB659" s="2021">
        <v>0</v>
      </c>
      <c r="AC659" s="2021">
        <v>0</v>
      </c>
      <c r="AD659" s="2021">
        <v>0</v>
      </c>
      <c r="AE659" s="2021">
        <v>0</v>
      </c>
      <c r="AF659" s="2021">
        <v>0</v>
      </c>
      <c r="AG659" s="2021">
        <v>0</v>
      </c>
      <c r="AH659" s="2021">
        <v>0</v>
      </c>
      <c r="AI659" s="2021">
        <v>0</v>
      </c>
      <c r="AJ659" s="1925">
        <v>0</v>
      </c>
      <c r="AK659" s="1926">
        <v>0</v>
      </c>
      <c r="AL659" s="1926">
        <v>0</v>
      </c>
      <c r="AM659" s="1926">
        <v>0</v>
      </c>
      <c r="AN659" s="1926">
        <v>0</v>
      </c>
      <c r="AO659" s="1926">
        <v>0</v>
      </c>
      <c r="AP659" s="1926">
        <v>0</v>
      </c>
    </row>
    <row r="660" spans="1:42" ht="14.5">
      <c r="A660" s="1693">
        <v>523</v>
      </c>
      <c r="B660" s="616">
        <v>1</v>
      </c>
      <c r="C660" s="1693">
        <v>540</v>
      </c>
      <c r="D660" s="616">
        <v>1</v>
      </c>
      <c r="E660" s="1693">
        <v>587</v>
      </c>
      <c r="F660" s="616">
        <v>1</v>
      </c>
      <c r="G660" s="1693">
        <v>652</v>
      </c>
      <c r="H660" s="616">
        <v>1</v>
      </c>
      <c r="K660" s="69"/>
      <c r="O660" s="352"/>
      <c r="P660" s="353"/>
      <c r="Q660" s="63"/>
      <c r="R660" s="63"/>
      <c r="S660" s="69"/>
      <c r="T660" s="69" t="s">
        <v>1035</v>
      </c>
      <c r="U660" s="69"/>
      <c r="V660" s="69"/>
      <c r="W660" s="1911"/>
      <c r="X660" s="2021">
        <v>0</v>
      </c>
      <c r="Y660" s="2021">
        <v>0</v>
      </c>
      <c r="Z660" s="2021">
        <v>0</v>
      </c>
      <c r="AA660" s="2021">
        <v>0</v>
      </c>
      <c r="AB660" s="2021">
        <v>0</v>
      </c>
      <c r="AC660" s="2021">
        <v>0</v>
      </c>
      <c r="AD660" s="2021">
        <v>0</v>
      </c>
      <c r="AE660" s="2021">
        <v>0</v>
      </c>
      <c r="AF660" s="2021">
        <v>0</v>
      </c>
      <c r="AG660" s="2021">
        <v>0</v>
      </c>
      <c r="AH660" s="2021">
        <v>0</v>
      </c>
      <c r="AI660" s="2021">
        <v>0</v>
      </c>
      <c r="AJ660" s="1925">
        <v>0</v>
      </c>
      <c r="AK660" s="1926">
        <v>0</v>
      </c>
      <c r="AL660" s="1926">
        <v>0</v>
      </c>
      <c r="AM660" s="1926">
        <v>0</v>
      </c>
      <c r="AN660" s="1926">
        <v>0</v>
      </c>
      <c r="AO660" s="1926">
        <v>0</v>
      </c>
      <c r="AP660" s="1926">
        <v>0</v>
      </c>
    </row>
    <row r="661" spans="1:42" ht="14.5">
      <c r="A661" s="1693">
        <v>524</v>
      </c>
      <c r="B661" s="616">
        <v>1</v>
      </c>
      <c r="C661" s="1693">
        <v>541</v>
      </c>
      <c r="D661" s="616">
        <v>1</v>
      </c>
      <c r="E661" s="1693">
        <v>588</v>
      </c>
      <c r="F661" s="616">
        <v>1</v>
      </c>
      <c r="G661" s="1693">
        <v>653</v>
      </c>
      <c r="H661" s="616">
        <v>1</v>
      </c>
      <c r="K661" s="69"/>
      <c r="O661" s="352"/>
      <c r="P661" s="353"/>
      <c r="Q661" s="63"/>
      <c r="R661" s="63"/>
      <c r="S661" s="69"/>
      <c r="T661" s="69" t="s">
        <v>1036</v>
      </c>
      <c r="U661" s="69"/>
      <c r="V661" s="69"/>
      <c r="W661" s="1911"/>
      <c r="X661" s="2021">
        <v>0</v>
      </c>
      <c r="Y661" s="2021">
        <v>0</v>
      </c>
      <c r="Z661" s="2021">
        <v>0</v>
      </c>
      <c r="AA661" s="2021">
        <v>0</v>
      </c>
      <c r="AB661" s="2021">
        <v>0</v>
      </c>
      <c r="AC661" s="2021">
        <v>0</v>
      </c>
      <c r="AD661" s="2021">
        <v>0</v>
      </c>
      <c r="AE661" s="2021">
        <v>0</v>
      </c>
      <c r="AF661" s="2021">
        <v>0</v>
      </c>
      <c r="AG661" s="2021">
        <v>0</v>
      </c>
      <c r="AH661" s="2021">
        <v>0</v>
      </c>
      <c r="AI661" s="2021">
        <v>0</v>
      </c>
      <c r="AJ661" s="1925">
        <v>0</v>
      </c>
      <c r="AK661" s="1926">
        <v>0</v>
      </c>
      <c r="AL661" s="1926">
        <v>0</v>
      </c>
      <c r="AM661" s="1926">
        <v>0</v>
      </c>
      <c r="AN661" s="1926">
        <v>0</v>
      </c>
      <c r="AO661" s="1926">
        <v>0</v>
      </c>
      <c r="AP661" s="1926">
        <v>0</v>
      </c>
    </row>
    <row r="662" spans="1:42" ht="14.5">
      <c r="A662" s="1693">
        <v>525</v>
      </c>
      <c r="B662" s="616">
        <v>1</v>
      </c>
      <c r="C662" s="1693">
        <v>542</v>
      </c>
      <c r="D662" s="616">
        <v>1</v>
      </c>
      <c r="E662" s="1693">
        <v>589</v>
      </c>
      <c r="F662" s="616">
        <v>1</v>
      </c>
      <c r="G662" s="1693">
        <v>654</v>
      </c>
      <c r="H662" s="616">
        <v>1</v>
      </c>
      <c r="K662" s="69"/>
      <c r="O662" s="352"/>
      <c r="P662" s="353"/>
      <c r="Q662" s="63"/>
      <c r="R662" s="63"/>
      <c r="S662" s="69"/>
      <c r="T662" s="69" t="s">
        <v>479</v>
      </c>
      <c r="U662" s="69"/>
      <c r="V662" s="69"/>
      <c r="W662" s="1911"/>
      <c r="X662" s="2021">
        <v>0</v>
      </c>
      <c r="Y662" s="2021">
        <v>0</v>
      </c>
      <c r="Z662" s="2021">
        <v>0</v>
      </c>
      <c r="AA662" s="2021">
        <v>0</v>
      </c>
      <c r="AB662" s="2021">
        <v>0</v>
      </c>
      <c r="AC662" s="2021">
        <v>0</v>
      </c>
      <c r="AD662" s="2021">
        <v>0</v>
      </c>
      <c r="AE662" s="2021">
        <v>0</v>
      </c>
      <c r="AF662" s="2021">
        <v>0</v>
      </c>
      <c r="AG662" s="2021">
        <v>0</v>
      </c>
      <c r="AH662" s="2021">
        <v>0</v>
      </c>
      <c r="AI662" s="2021">
        <v>0</v>
      </c>
      <c r="AJ662" s="1925">
        <v>0</v>
      </c>
      <c r="AK662" s="1926">
        <v>0</v>
      </c>
      <c r="AL662" s="1926">
        <v>0</v>
      </c>
      <c r="AM662" s="1926">
        <v>0</v>
      </c>
      <c r="AN662" s="1926">
        <v>0</v>
      </c>
      <c r="AO662" s="1926">
        <v>0</v>
      </c>
      <c r="AP662" s="1926">
        <v>0</v>
      </c>
    </row>
    <row r="663" spans="1:42" ht="14.5">
      <c r="A663" s="1693">
        <v>526</v>
      </c>
      <c r="B663" s="616">
        <v>1</v>
      </c>
      <c r="C663" s="1693">
        <v>543</v>
      </c>
      <c r="D663" s="616">
        <v>1</v>
      </c>
      <c r="E663" s="1693">
        <v>590</v>
      </c>
      <c r="F663" s="616">
        <v>1</v>
      </c>
      <c r="G663" s="1693">
        <v>655</v>
      </c>
      <c r="H663" s="616">
        <v>1</v>
      </c>
      <c r="K663" s="69"/>
      <c r="O663" s="352"/>
      <c r="P663" s="353"/>
      <c r="Q663" s="63"/>
      <c r="R663" s="63"/>
      <c r="S663" s="69"/>
      <c r="T663" s="211" t="s">
        <v>2</v>
      </c>
      <c r="U663" s="211"/>
      <c r="V663" s="211"/>
      <c r="W663" s="1911"/>
      <c r="X663" s="2153">
        <v>0</v>
      </c>
      <c r="Y663" s="2153">
        <v>0</v>
      </c>
      <c r="Z663" s="2153">
        <v>0</v>
      </c>
      <c r="AA663" s="2153">
        <v>0</v>
      </c>
      <c r="AB663" s="2153">
        <v>0</v>
      </c>
      <c r="AC663" s="2153">
        <v>0</v>
      </c>
      <c r="AD663" s="2153">
        <v>0</v>
      </c>
      <c r="AE663" s="2153">
        <v>0</v>
      </c>
      <c r="AF663" s="2153">
        <v>0</v>
      </c>
      <c r="AG663" s="2153">
        <v>0</v>
      </c>
      <c r="AH663" s="2153">
        <v>0</v>
      </c>
      <c r="AI663" s="2153">
        <v>0</v>
      </c>
      <c r="AJ663" s="1927">
        <v>0</v>
      </c>
      <c r="AK663" s="1928">
        <v>0</v>
      </c>
      <c r="AL663" s="1928">
        <v>0</v>
      </c>
      <c r="AM663" s="1928">
        <v>0</v>
      </c>
      <c r="AN663" s="1928">
        <v>0</v>
      </c>
      <c r="AO663" s="1928">
        <v>0</v>
      </c>
      <c r="AP663" s="1928">
        <v>0</v>
      </c>
    </row>
    <row r="664" spans="1:42" ht="14.5">
      <c r="A664" s="1693">
        <v>527</v>
      </c>
      <c r="B664" s="616">
        <v>1</v>
      </c>
      <c r="C664" s="1693">
        <v>544</v>
      </c>
      <c r="D664" s="616">
        <v>1</v>
      </c>
      <c r="E664" s="1693">
        <v>591</v>
      </c>
      <c r="F664" s="616">
        <v>1</v>
      </c>
      <c r="G664" s="1693">
        <v>656</v>
      </c>
      <c r="H664" s="616">
        <v>1</v>
      </c>
      <c r="K664" s="69"/>
      <c r="O664" s="352"/>
      <c r="P664" s="353"/>
      <c r="Q664" s="63"/>
      <c r="R664" s="63"/>
      <c r="S664" s="786" t="s">
        <v>27</v>
      </c>
      <c r="T664" s="302"/>
      <c r="U664" s="302"/>
      <c r="V664" s="302"/>
      <c r="W664" s="1899"/>
      <c r="X664" s="1971">
        <v>0</v>
      </c>
      <c r="Y664" s="1971">
        <v>0</v>
      </c>
      <c r="Z664" s="1971">
        <v>0</v>
      </c>
      <c r="AA664" s="1971">
        <v>0</v>
      </c>
      <c r="AB664" s="1971">
        <v>0</v>
      </c>
      <c r="AC664" s="1971">
        <v>0</v>
      </c>
      <c r="AD664" s="1971">
        <v>0</v>
      </c>
      <c r="AE664" s="1971">
        <v>0</v>
      </c>
      <c r="AF664" s="1971">
        <v>0</v>
      </c>
      <c r="AG664" s="1971">
        <v>0</v>
      </c>
      <c r="AH664" s="1971">
        <v>0</v>
      </c>
      <c r="AI664" s="1971">
        <v>0</v>
      </c>
      <c r="AJ664" s="2137">
        <v>0</v>
      </c>
      <c r="AK664" s="1971">
        <v>0</v>
      </c>
      <c r="AL664" s="1971">
        <v>0</v>
      </c>
      <c r="AM664" s="1971">
        <v>0</v>
      </c>
      <c r="AN664" s="1971">
        <v>0</v>
      </c>
      <c r="AO664" s="1971">
        <v>0</v>
      </c>
      <c r="AP664" s="1971">
        <v>0</v>
      </c>
    </row>
    <row r="665" spans="1:42" ht="14.5">
      <c r="A665" s="1693">
        <v>528</v>
      </c>
      <c r="B665" s="616">
        <v>1</v>
      </c>
      <c r="C665" s="1693">
        <v>545</v>
      </c>
      <c r="D665" s="616">
        <v>1</v>
      </c>
      <c r="E665" s="1693">
        <v>592</v>
      </c>
      <c r="F665" s="616">
        <v>1</v>
      </c>
      <c r="G665" s="1693">
        <v>657</v>
      </c>
      <c r="H665" s="616">
        <v>1</v>
      </c>
      <c r="K665" s="69"/>
      <c r="O665" s="352"/>
      <c r="P665" s="353"/>
      <c r="Q665" s="63"/>
      <c r="R665" s="63"/>
      <c r="S665" s="69"/>
      <c r="T665" s="740" t="s">
        <v>587</v>
      </c>
      <c r="U665" s="296"/>
      <c r="V665" s="296"/>
      <c r="W665" s="1911"/>
      <c r="X665" s="2140">
        <v>0</v>
      </c>
      <c r="Y665" s="2140">
        <v>0</v>
      </c>
      <c r="Z665" s="2140">
        <v>0</v>
      </c>
      <c r="AA665" s="2140">
        <v>0</v>
      </c>
      <c r="AB665" s="2140">
        <v>0</v>
      </c>
      <c r="AC665" s="2140">
        <v>0</v>
      </c>
      <c r="AD665" s="2140">
        <v>0</v>
      </c>
      <c r="AE665" s="2140">
        <v>0</v>
      </c>
      <c r="AF665" s="2140">
        <v>0</v>
      </c>
      <c r="AG665" s="2140">
        <v>0</v>
      </c>
      <c r="AH665" s="2140">
        <v>0</v>
      </c>
      <c r="AI665" s="2140">
        <v>0</v>
      </c>
      <c r="AJ665" s="2160">
        <v>0</v>
      </c>
      <c r="AK665" s="2161">
        <v>0</v>
      </c>
      <c r="AL665" s="2161">
        <v>0</v>
      </c>
      <c r="AM665" s="2161">
        <v>0</v>
      </c>
      <c r="AN665" s="2161">
        <v>0</v>
      </c>
      <c r="AO665" s="2161">
        <v>0</v>
      </c>
      <c r="AP665" s="2161">
        <v>0</v>
      </c>
    </row>
    <row r="666" spans="1:42" ht="14.5">
      <c r="A666" s="1693">
        <v>529</v>
      </c>
      <c r="B666" s="616">
        <v>1</v>
      </c>
      <c r="C666" s="1693">
        <v>546</v>
      </c>
      <c r="D666" s="616">
        <v>1</v>
      </c>
      <c r="E666" s="1693">
        <v>593</v>
      </c>
      <c r="F666" s="616">
        <v>1</v>
      </c>
      <c r="G666" s="1693">
        <v>658</v>
      </c>
      <c r="H666" s="616">
        <v>1</v>
      </c>
      <c r="K666" s="69"/>
      <c r="O666" s="352"/>
      <c r="P666" s="353"/>
      <c r="Q666" s="63"/>
      <c r="R666" s="63"/>
      <c r="S666" s="69"/>
      <c r="T666" s="69" t="s">
        <v>1034</v>
      </c>
      <c r="U666" s="69"/>
      <c r="V666" s="69"/>
      <c r="W666" s="1911"/>
      <c r="X666" s="2021">
        <v>0</v>
      </c>
      <c r="Y666" s="2021">
        <v>0</v>
      </c>
      <c r="Z666" s="2021">
        <v>0</v>
      </c>
      <c r="AA666" s="2021">
        <v>0</v>
      </c>
      <c r="AB666" s="2021">
        <v>0</v>
      </c>
      <c r="AC666" s="2021">
        <v>0</v>
      </c>
      <c r="AD666" s="2021">
        <v>0</v>
      </c>
      <c r="AE666" s="2021">
        <v>0</v>
      </c>
      <c r="AF666" s="2021">
        <v>0</v>
      </c>
      <c r="AG666" s="2021">
        <v>0</v>
      </c>
      <c r="AH666" s="2021">
        <v>0</v>
      </c>
      <c r="AI666" s="2021">
        <v>0</v>
      </c>
      <c r="AJ666" s="1925">
        <v>0</v>
      </c>
      <c r="AK666" s="1926">
        <v>0</v>
      </c>
      <c r="AL666" s="1926">
        <v>0</v>
      </c>
      <c r="AM666" s="1926">
        <v>0</v>
      </c>
      <c r="AN666" s="1926">
        <v>0</v>
      </c>
      <c r="AO666" s="1926">
        <v>0</v>
      </c>
      <c r="AP666" s="1926">
        <v>0</v>
      </c>
    </row>
    <row r="667" spans="1:42" ht="14.5">
      <c r="A667" s="1693">
        <v>530</v>
      </c>
      <c r="B667" s="616">
        <v>1</v>
      </c>
      <c r="C667" s="1693">
        <v>547</v>
      </c>
      <c r="D667" s="616">
        <v>1</v>
      </c>
      <c r="E667" s="1693">
        <v>594</v>
      </c>
      <c r="F667" s="616">
        <v>1</v>
      </c>
      <c r="G667" s="1693">
        <v>659</v>
      </c>
      <c r="H667" s="616">
        <v>1</v>
      </c>
      <c r="K667" s="69"/>
      <c r="O667" s="352"/>
      <c r="P667" s="353"/>
      <c r="Q667" s="63"/>
      <c r="R667" s="63"/>
      <c r="S667" s="69"/>
      <c r="T667" s="69" t="s">
        <v>1035</v>
      </c>
      <c r="U667" s="69"/>
      <c r="V667" s="69"/>
      <c r="W667" s="1911"/>
      <c r="X667" s="2021">
        <v>0</v>
      </c>
      <c r="Y667" s="2021">
        <v>0</v>
      </c>
      <c r="Z667" s="2021">
        <v>0</v>
      </c>
      <c r="AA667" s="2021">
        <v>0</v>
      </c>
      <c r="AB667" s="2021">
        <v>0</v>
      </c>
      <c r="AC667" s="2021">
        <v>0</v>
      </c>
      <c r="AD667" s="2021">
        <v>0</v>
      </c>
      <c r="AE667" s="2021">
        <v>0</v>
      </c>
      <c r="AF667" s="2021">
        <v>0</v>
      </c>
      <c r="AG667" s="2021">
        <v>0</v>
      </c>
      <c r="AH667" s="2021">
        <v>0</v>
      </c>
      <c r="AI667" s="2021">
        <v>0</v>
      </c>
      <c r="AJ667" s="1925">
        <v>0</v>
      </c>
      <c r="AK667" s="1926">
        <v>0</v>
      </c>
      <c r="AL667" s="1926">
        <v>0</v>
      </c>
      <c r="AM667" s="1926">
        <v>0</v>
      </c>
      <c r="AN667" s="1926">
        <v>0</v>
      </c>
      <c r="AO667" s="1926">
        <v>0</v>
      </c>
      <c r="AP667" s="1926">
        <v>0</v>
      </c>
    </row>
    <row r="668" spans="1:42" ht="14.5">
      <c r="A668" s="1693">
        <v>531</v>
      </c>
      <c r="B668" s="616">
        <v>1</v>
      </c>
      <c r="C668" s="1693">
        <v>548</v>
      </c>
      <c r="D668" s="616">
        <v>1</v>
      </c>
      <c r="E668" s="1693">
        <v>595</v>
      </c>
      <c r="F668" s="616">
        <v>1</v>
      </c>
      <c r="G668" s="1693">
        <v>660</v>
      </c>
      <c r="H668" s="616">
        <v>1</v>
      </c>
      <c r="K668" s="69"/>
      <c r="O668" s="352"/>
      <c r="P668" s="353"/>
      <c r="Q668" s="63"/>
      <c r="R668" s="63"/>
      <c r="S668" s="69"/>
      <c r="T668" s="69" t="s">
        <v>1036</v>
      </c>
      <c r="U668" s="69"/>
      <c r="V668" s="69"/>
      <c r="W668" s="1911"/>
      <c r="X668" s="2021">
        <v>0</v>
      </c>
      <c r="Y668" s="2021">
        <v>0</v>
      </c>
      <c r="Z668" s="2021">
        <v>0</v>
      </c>
      <c r="AA668" s="2021">
        <v>0</v>
      </c>
      <c r="AB668" s="2021">
        <v>0</v>
      </c>
      <c r="AC668" s="2021">
        <v>0</v>
      </c>
      <c r="AD668" s="2021">
        <v>0</v>
      </c>
      <c r="AE668" s="2021">
        <v>0</v>
      </c>
      <c r="AF668" s="2021">
        <v>0</v>
      </c>
      <c r="AG668" s="2021">
        <v>0</v>
      </c>
      <c r="AH668" s="2021">
        <v>0</v>
      </c>
      <c r="AI668" s="2021">
        <v>0</v>
      </c>
      <c r="AJ668" s="1925">
        <v>0</v>
      </c>
      <c r="AK668" s="1926">
        <v>0</v>
      </c>
      <c r="AL668" s="1926">
        <v>0</v>
      </c>
      <c r="AM668" s="1926">
        <v>0</v>
      </c>
      <c r="AN668" s="1926">
        <v>0</v>
      </c>
      <c r="AO668" s="1926">
        <v>0</v>
      </c>
      <c r="AP668" s="1926">
        <v>0</v>
      </c>
    </row>
    <row r="669" spans="1:42" ht="14.5">
      <c r="A669" s="1693">
        <v>532</v>
      </c>
      <c r="B669" s="616">
        <v>1</v>
      </c>
      <c r="C669" s="1693">
        <v>549</v>
      </c>
      <c r="D669" s="616">
        <v>1</v>
      </c>
      <c r="E669" s="1693">
        <v>596</v>
      </c>
      <c r="F669" s="616">
        <v>1</v>
      </c>
      <c r="G669" s="1693">
        <v>661</v>
      </c>
      <c r="H669" s="616">
        <v>1</v>
      </c>
      <c r="K669" s="69"/>
      <c r="O669" s="352"/>
      <c r="P669" s="353"/>
      <c r="Q669" s="63"/>
      <c r="R669" s="63"/>
      <c r="S669" s="69"/>
      <c r="T669" s="69" t="s">
        <v>479</v>
      </c>
      <c r="U669" s="69"/>
      <c r="V669" s="69"/>
      <c r="W669" s="1911"/>
      <c r="X669" s="2021">
        <v>0</v>
      </c>
      <c r="Y669" s="2021">
        <v>0</v>
      </c>
      <c r="Z669" s="2021">
        <v>0</v>
      </c>
      <c r="AA669" s="2021">
        <v>0</v>
      </c>
      <c r="AB669" s="2021">
        <v>0</v>
      </c>
      <c r="AC669" s="2021">
        <v>0</v>
      </c>
      <c r="AD669" s="2021">
        <v>0</v>
      </c>
      <c r="AE669" s="2021">
        <v>0</v>
      </c>
      <c r="AF669" s="2021">
        <v>0</v>
      </c>
      <c r="AG669" s="2021">
        <v>0</v>
      </c>
      <c r="AH669" s="2021">
        <v>0</v>
      </c>
      <c r="AI669" s="2021">
        <v>0</v>
      </c>
      <c r="AJ669" s="1925">
        <v>0</v>
      </c>
      <c r="AK669" s="1926">
        <v>0</v>
      </c>
      <c r="AL669" s="1926">
        <v>0</v>
      </c>
      <c r="AM669" s="1926">
        <v>0</v>
      </c>
      <c r="AN669" s="1926">
        <v>0</v>
      </c>
      <c r="AO669" s="1926">
        <v>0</v>
      </c>
      <c r="AP669" s="1926">
        <v>0</v>
      </c>
    </row>
    <row r="670" spans="1:42" ht="14.5">
      <c r="A670" s="1693">
        <v>533</v>
      </c>
      <c r="B670" s="616">
        <v>1</v>
      </c>
      <c r="C670" s="1693">
        <v>550</v>
      </c>
      <c r="D670" s="616">
        <v>1</v>
      </c>
      <c r="E670" s="1693">
        <v>597</v>
      </c>
      <c r="F670" s="616">
        <v>1</v>
      </c>
      <c r="G670" s="1693">
        <v>662</v>
      </c>
      <c r="H670" s="616">
        <v>1</v>
      </c>
      <c r="K670" s="69"/>
      <c r="O670" s="352"/>
      <c r="P670" s="353"/>
      <c r="Q670" s="63"/>
      <c r="R670" s="63"/>
      <c r="S670" s="69"/>
      <c r="T670" s="211" t="s">
        <v>2</v>
      </c>
      <c r="U670" s="211"/>
      <c r="V670" s="211"/>
      <c r="W670" s="1911"/>
      <c r="X670" s="2153">
        <v>0</v>
      </c>
      <c r="Y670" s="2153">
        <v>0</v>
      </c>
      <c r="Z670" s="2153">
        <v>0</v>
      </c>
      <c r="AA670" s="2153">
        <v>0</v>
      </c>
      <c r="AB670" s="2153">
        <v>0</v>
      </c>
      <c r="AC670" s="2153">
        <v>0</v>
      </c>
      <c r="AD670" s="2153">
        <v>0</v>
      </c>
      <c r="AE670" s="2153">
        <v>0</v>
      </c>
      <c r="AF670" s="2153">
        <v>0</v>
      </c>
      <c r="AG670" s="2153">
        <v>0</v>
      </c>
      <c r="AH670" s="2153">
        <v>0</v>
      </c>
      <c r="AI670" s="2153">
        <v>0</v>
      </c>
      <c r="AJ670" s="1927">
        <v>0</v>
      </c>
      <c r="AK670" s="1928">
        <v>0</v>
      </c>
      <c r="AL670" s="1928">
        <v>0</v>
      </c>
      <c r="AM670" s="1928">
        <v>0</v>
      </c>
      <c r="AN670" s="1928">
        <v>0</v>
      </c>
      <c r="AO670" s="1928">
        <v>0</v>
      </c>
      <c r="AP670" s="1928">
        <v>0</v>
      </c>
    </row>
    <row r="671" spans="1:42" ht="14.5">
      <c r="A671" s="1693">
        <v>534</v>
      </c>
      <c r="B671" s="616">
        <v>1</v>
      </c>
      <c r="C671" s="1693">
        <v>551</v>
      </c>
      <c r="D671" s="616">
        <v>1</v>
      </c>
      <c r="E671" s="1693">
        <v>598</v>
      </c>
      <c r="F671" s="616">
        <v>1</v>
      </c>
      <c r="G671" s="1693">
        <v>663</v>
      </c>
      <c r="H671" s="616">
        <v>1</v>
      </c>
      <c r="K671" s="69"/>
      <c r="O671" s="365" t="s">
        <v>54</v>
      </c>
      <c r="P671" s="489"/>
      <c r="Q671" s="581"/>
      <c r="R671" s="581"/>
      <c r="S671" s="489"/>
      <c r="T671" s="489"/>
      <c r="U671" s="489"/>
      <c r="V671" s="581"/>
      <c r="W671" s="2190"/>
      <c r="X671" s="2038">
        <v>12930.734</v>
      </c>
      <c r="Y671" s="2038">
        <v>1680</v>
      </c>
      <c r="Z671" s="2038">
        <v>8237.3509999999987</v>
      </c>
      <c r="AA671" s="2038">
        <v>2547.9339999999997</v>
      </c>
      <c r="AB671" s="2038">
        <v>8656.6</v>
      </c>
      <c r="AC671" s="2038">
        <v>8480.1509999999998</v>
      </c>
      <c r="AD671" s="2038">
        <v>7156.6</v>
      </c>
      <c r="AE671" s="2038">
        <v>2547.9339999999997</v>
      </c>
      <c r="AF671" s="2038">
        <v>3017.134</v>
      </c>
      <c r="AG671" s="2038">
        <v>13209.372530000002</v>
      </c>
      <c r="AH671" s="2038">
        <v>8167.3509999999997</v>
      </c>
      <c r="AI671" s="2038">
        <v>8485.5339999999997</v>
      </c>
      <c r="AJ671" s="2039">
        <v>22848.084999999999</v>
      </c>
      <c r="AK671" s="2038">
        <v>19684.684999999998</v>
      </c>
      <c r="AL671" s="2038">
        <v>12721.668</v>
      </c>
      <c r="AM671" s="2038">
        <v>29862.257530000003</v>
      </c>
      <c r="AN671" s="2038">
        <v>42532.77</v>
      </c>
      <c r="AO671" s="2038">
        <v>42583.925530000008</v>
      </c>
      <c r="AP671" s="2038">
        <v>85116.695529999997</v>
      </c>
    </row>
    <row r="672" spans="1:42" ht="14.5">
      <c r="A672" s="1693">
        <v>535</v>
      </c>
      <c r="B672" s="616">
        <v>1</v>
      </c>
      <c r="C672" s="1693">
        <v>552</v>
      </c>
      <c r="D672" s="616">
        <v>1</v>
      </c>
      <c r="E672" s="1693">
        <v>599</v>
      </c>
      <c r="F672" s="616">
        <v>1</v>
      </c>
      <c r="G672" s="1693">
        <v>664</v>
      </c>
      <c r="H672" s="616">
        <v>1</v>
      </c>
      <c r="K672" s="69"/>
      <c r="O672" s="352"/>
      <c r="P672" s="353"/>
      <c r="Q672" s="68" t="s">
        <v>1018</v>
      </c>
      <c r="R672" s="68"/>
      <c r="S672" s="283"/>
      <c r="T672" s="283"/>
      <c r="U672" s="283"/>
      <c r="V672" s="68"/>
      <c r="W672" s="2173"/>
      <c r="X672" s="2175">
        <v>12930.734</v>
      </c>
      <c r="Y672" s="2175">
        <v>1680</v>
      </c>
      <c r="Z672" s="2175">
        <v>8237.3509999999987</v>
      </c>
      <c r="AA672" s="2175">
        <v>2547.9339999999997</v>
      </c>
      <c r="AB672" s="2175">
        <v>8656.6</v>
      </c>
      <c r="AC672" s="2175">
        <v>8480.1509999999998</v>
      </c>
      <c r="AD672" s="2175">
        <v>7156.6</v>
      </c>
      <c r="AE672" s="2175">
        <v>2547.9339999999997</v>
      </c>
      <c r="AF672" s="2175">
        <v>3017.134</v>
      </c>
      <c r="AG672" s="2175">
        <v>13209.372530000002</v>
      </c>
      <c r="AH672" s="2175">
        <v>8167.3509999999997</v>
      </c>
      <c r="AI672" s="2175">
        <v>8485.5339999999997</v>
      </c>
      <c r="AJ672" s="2176">
        <v>22848.084999999999</v>
      </c>
      <c r="AK672" s="2175">
        <v>19684.684999999998</v>
      </c>
      <c r="AL672" s="2175">
        <v>12721.668</v>
      </c>
      <c r="AM672" s="2175">
        <v>29862.257530000003</v>
      </c>
      <c r="AN672" s="2175">
        <v>42532.77</v>
      </c>
      <c r="AO672" s="2175">
        <v>42583.925530000008</v>
      </c>
      <c r="AP672" s="2175">
        <v>85116.695529999997</v>
      </c>
    </row>
    <row r="673" spans="1:42" ht="14.5">
      <c r="A673" s="1693">
        <v>536</v>
      </c>
      <c r="B673" s="616">
        <v>1</v>
      </c>
      <c r="C673" s="1693">
        <v>553</v>
      </c>
      <c r="D673" s="616">
        <v>1</v>
      </c>
      <c r="E673" s="1693">
        <v>600</v>
      </c>
      <c r="F673" s="616">
        <v>1</v>
      </c>
      <c r="G673" s="1693">
        <v>665</v>
      </c>
      <c r="H673" s="616">
        <v>1</v>
      </c>
      <c r="K673" s="69"/>
      <c r="O673" s="352"/>
      <c r="P673" s="353"/>
      <c r="Q673" s="68"/>
      <c r="R673" s="68"/>
      <c r="S673" s="69" t="s">
        <v>1033</v>
      </c>
      <c r="T673" s="302"/>
      <c r="U673" s="302"/>
      <c r="V673" s="302"/>
      <c r="W673" s="1899"/>
      <c r="X673" s="1971">
        <v>10703.334000000001</v>
      </c>
      <c r="Y673" s="1971">
        <v>0</v>
      </c>
      <c r="Z673" s="1971">
        <v>6166.3509999999997</v>
      </c>
      <c r="AA673" s="1971">
        <v>703.33399999999995</v>
      </c>
      <c r="AB673" s="1971">
        <v>6812</v>
      </c>
      <c r="AC673" s="1971">
        <v>6166.3509999999997</v>
      </c>
      <c r="AD673" s="1971">
        <v>5312</v>
      </c>
      <c r="AE673" s="1971">
        <v>703.33399999999995</v>
      </c>
      <c r="AF673" s="1971">
        <v>703.33399999999995</v>
      </c>
      <c r="AG673" s="1971">
        <v>11130.172530000002</v>
      </c>
      <c r="AH673" s="1971">
        <v>6166.3509999999997</v>
      </c>
      <c r="AI673" s="1971">
        <v>6015.3339999999998</v>
      </c>
      <c r="AJ673" s="2137">
        <v>16869.685000000001</v>
      </c>
      <c r="AK673" s="1971">
        <v>13681.684999999999</v>
      </c>
      <c r="AL673" s="1971">
        <v>6718.6679999999997</v>
      </c>
      <c r="AM673" s="1971">
        <v>23311.857530000001</v>
      </c>
      <c r="AN673" s="1971">
        <v>30551.37</v>
      </c>
      <c r="AO673" s="1971">
        <v>30030.525530000003</v>
      </c>
      <c r="AP673" s="1971">
        <v>60581.895530000002</v>
      </c>
    </row>
    <row r="674" spans="1:42" ht="14.5">
      <c r="A674" s="1693">
        <v>537</v>
      </c>
      <c r="B674" s="616">
        <v>1</v>
      </c>
      <c r="C674" s="1693">
        <v>554</v>
      </c>
      <c r="D674" s="616">
        <v>1</v>
      </c>
      <c r="E674" s="1693">
        <v>601</v>
      </c>
      <c r="F674" s="616">
        <v>1</v>
      </c>
      <c r="G674" s="1693">
        <v>666</v>
      </c>
      <c r="H674" s="616">
        <v>1</v>
      </c>
      <c r="K674" s="69"/>
      <c r="O674" s="352"/>
      <c r="P674" s="353"/>
      <c r="Q674" s="68"/>
      <c r="R674" s="68"/>
      <c r="S674" s="69"/>
      <c r="T674" s="740" t="s">
        <v>587</v>
      </c>
      <c r="U674" s="296"/>
      <c r="V674" s="296"/>
      <c r="W674" s="1911"/>
      <c r="X674" s="2140">
        <v>10000</v>
      </c>
      <c r="Y674" s="2140">
        <v>0</v>
      </c>
      <c r="Z674" s="2140">
        <v>0</v>
      </c>
      <c r="AA674" s="2140">
        <v>0</v>
      </c>
      <c r="AB674" s="2140">
        <v>0</v>
      </c>
      <c r="AC674" s="2140">
        <v>0</v>
      </c>
      <c r="AD674" s="2140">
        <v>0</v>
      </c>
      <c r="AE674" s="2140">
        <v>0</v>
      </c>
      <c r="AF674" s="2140">
        <v>0</v>
      </c>
      <c r="AG674" s="2140">
        <v>0</v>
      </c>
      <c r="AH674" s="2140">
        <v>0</v>
      </c>
      <c r="AI674" s="2140">
        <v>0</v>
      </c>
      <c r="AJ674" s="2160">
        <v>10000</v>
      </c>
      <c r="AK674" s="2161">
        <v>0</v>
      </c>
      <c r="AL674" s="2161">
        <v>0</v>
      </c>
      <c r="AM674" s="2161">
        <v>0</v>
      </c>
      <c r="AN674" s="2161">
        <v>10000</v>
      </c>
      <c r="AO674" s="2161">
        <v>0</v>
      </c>
      <c r="AP674" s="2161">
        <v>10000</v>
      </c>
    </row>
    <row r="675" spans="1:42" ht="14.5">
      <c r="A675" s="1693">
        <v>538</v>
      </c>
      <c r="B675" s="616">
        <v>1</v>
      </c>
      <c r="C675" s="1693">
        <v>555</v>
      </c>
      <c r="D675" s="616">
        <v>1</v>
      </c>
      <c r="E675" s="1693">
        <v>602</v>
      </c>
      <c r="F675" s="616">
        <v>1</v>
      </c>
      <c r="G675" s="1693">
        <v>667</v>
      </c>
      <c r="H675" s="616">
        <v>1</v>
      </c>
      <c r="K675" s="69"/>
      <c r="O675" s="352"/>
      <c r="P675" s="353"/>
      <c r="Q675" s="68"/>
      <c r="R675" s="68"/>
      <c r="S675" s="69"/>
      <c r="T675" s="69" t="s">
        <v>1034</v>
      </c>
      <c r="U675" s="69"/>
      <c r="V675" s="69"/>
      <c r="W675" s="1911"/>
      <c r="X675" s="2021">
        <v>0</v>
      </c>
      <c r="Y675" s="2021">
        <v>0</v>
      </c>
      <c r="Z675" s="2021">
        <v>5463.0169999999998</v>
      </c>
      <c r="AA675" s="2021">
        <v>0</v>
      </c>
      <c r="AB675" s="2021">
        <v>5312</v>
      </c>
      <c r="AC675" s="2021">
        <v>5463.0169999999998</v>
      </c>
      <c r="AD675" s="2021">
        <v>5312</v>
      </c>
      <c r="AE675" s="2021">
        <v>0</v>
      </c>
      <c r="AF675" s="2021">
        <v>0</v>
      </c>
      <c r="AG675" s="2021">
        <v>0</v>
      </c>
      <c r="AH675" s="2021">
        <v>5463.0169999999998</v>
      </c>
      <c r="AI675" s="2021">
        <v>5312</v>
      </c>
      <c r="AJ675" s="1925">
        <v>5463.0169999999998</v>
      </c>
      <c r="AK675" s="1926">
        <v>10775.017</v>
      </c>
      <c r="AL675" s="1926">
        <v>5312</v>
      </c>
      <c r="AM675" s="1926">
        <v>10775.017</v>
      </c>
      <c r="AN675" s="1926">
        <v>16238.034</v>
      </c>
      <c r="AO675" s="1926">
        <v>16087.017</v>
      </c>
      <c r="AP675" s="1926">
        <v>32325.050999999999</v>
      </c>
    </row>
    <row r="676" spans="1:42" ht="14.5">
      <c r="A676" s="1693">
        <v>539</v>
      </c>
      <c r="B676" s="616">
        <v>1</v>
      </c>
      <c r="C676" s="1693">
        <v>556</v>
      </c>
      <c r="D676" s="616">
        <v>1</v>
      </c>
      <c r="E676" s="1693">
        <v>603</v>
      </c>
      <c r="F676" s="616">
        <v>1</v>
      </c>
      <c r="G676" s="1693">
        <v>668</v>
      </c>
      <c r="H676" s="616">
        <v>1</v>
      </c>
      <c r="K676" s="69"/>
      <c r="O676" s="352"/>
      <c r="P676" s="353"/>
      <c r="Q676" s="68"/>
      <c r="R676" s="68"/>
      <c r="S676" s="69"/>
      <c r="T676" s="69" t="s">
        <v>1035</v>
      </c>
      <c r="U676" s="69"/>
      <c r="V676" s="69"/>
      <c r="W676" s="1911"/>
      <c r="X676" s="2021">
        <v>703.33399999999995</v>
      </c>
      <c r="Y676" s="2021">
        <v>0</v>
      </c>
      <c r="Z676" s="2021">
        <v>703.33399999999995</v>
      </c>
      <c r="AA676" s="2021">
        <v>703.33399999999995</v>
      </c>
      <c r="AB676" s="2021">
        <v>1500</v>
      </c>
      <c r="AC676" s="2021">
        <v>703.33399999999995</v>
      </c>
      <c r="AD676" s="2021">
        <v>0</v>
      </c>
      <c r="AE676" s="2021">
        <v>703.33399999999995</v>
      </c>
      <c r="AF676" s="2021">
        <v>703.33399999999995</v>
      </c>
      <c r="AG676" s="2021">
        <v>11130.172530000002</v>
      </c>
      <c r="AH676" s="2021">
        <v>703.33399999999995</v>
      </c>
      <c r="AI676" s="2021">
        <v>703.33399999999995</v>
      </c>
      <c r="AJ676" s="1925">
        <v>1406.6679999999999</v>
      </c>
      <c r="AK676" s="1926">
        <v>2906.6679999999997</v>
      </c>
      <c r="AL676" s="1926">
        <v>1406.6679999999999</v>
      </c>
      <c r="AM676" s="1926">
        <v>12536.840530000003</v>
      </c>
      <c r="AN676" s="1926">
        <v>4313.3359999999993</v>
      </c>
      <c r="AO676" s="1926">
        <v>13943.508530000003</v>
      </c>
      <c r="AP676" s="1926">
        <v>18256.844530000002</v>
      </c>
    </row>
    <row r="677" spans="1:42" ht="14.5">
      <c r="A677" s="1693">
        <v>540</v>
      </c>
      <c r="B677" s="616">
        <v>1</v>
      </c>
      <c r="C677" s="1693">
        <v>557</v>
      </c>
      <c r="D677" s="616">
        <v>1</v>
      </c>
      <c r="E677" s="1693">
        <v>604</v>
      </c>
      <c r="F677" s="616">
        <v>1</v>
      </c>
      <c r="G677" s="1693">
        <v>669</v>
      </c>
      <c r="H677" s="616">
        <v>1</v>
      </c>
      <c r="K677" s="69"/>
      <c r="O677" s="352"/>
      <c r="P677" s="353"/>
      <c r="Q677" s="68"/>
      <c r="R677" s="68"/>
      <c r="S677" s="69"/>
      <c r="T677" s="69" t="s">
        <v>1036</v>
      </c>
      <c r="U677" s="69"/>
      <c r="V677" s="69"/>
      <c r="W677" s="1911"/>
      <c r="X677" s="2021">
        <v>0</v>
      </c>
      <c r="Y677" s="2021">
        <v>0</v>
      </c>
      <c r="Z677" s="2021">
        <v>0</v>
      </c>
      <c r="AA677" s="2021">
        <v>0</v>
      </c>
      <c r="AB677" s="2021">
        <v>0</v>
      </c>
      <c r="AC677" s="2021">
        <v>0</v>
      </c>
      <c r="AD677" s="2021">
        <v>0</v>
      </c>
      <c r="AE677" s="2021">
        <v>0</v>
      </c>
      <c r="AF677" s="2021">
        <v>0</v>
      </c>
      <c r="AG677" s="2021">
        <v>0</v>
      </c>
      <c r="AH677" s="2021">
        <v>0</v>
      </c>
      <c r="AI677" s="2021">
        <v>0</v>
      </c>
      <c r="AJ677" s="1925">
        <v>0</v>
      </c>
      <c r="AK677" s="1926">
        <v>0</v>
      </c>
      <c r="AL677" s="1926">
        <v>0</v>
      </c>
      <c r="AM677" s="1926">
        <v>0</v>
      </c>
      <c r="AN677" s="1926">
        <v>0</v>
      </c>
      <c r="AO677" s="1926">
        <v>0</v>
      </c>
      <c r="AP677" s="1926">
        <v>0</v>
      </c>
    </row>
    <row r="678" spans="1:42" ht="14.5">
      <c r="A678" s="1693">
        <v>541</v>
      </c>
      <c r="B678" s="616">
        <v>1</v>
      </c>
      <c r="C678" s="1693">
        <v>558</v>
      </c>
      <c r="D678" s="616">
        <v>1</v>
      </c>
      <c r="E678" s="1693">
        <v>605</v>
      </c>
      <c r="F678" s="616">
        <v>1</v>
      </c>
      <c r="G678" s="1693">
        <v>670</v>
      </c>
      <c r="H678" s="616">
        <v>1</v>
      </c>
      <c r="K678" s="69"/>
      <c r="O678" s="352"/>
      <c r="P678" s="353"/>
      <c r="Q678" s="68"/>
      <c r="R678" s="68"/>
      <c r="S678" s="69"/>
      <c r="T678" s="69" t="s">
        <v>479</v>
      </c>
      <c r="U678" s="69"/>
      <c r="V678" s="69"/>
      <c r="W678" s="1911"/>
      <c r="X678" s="2021">
        <v>0</v>
      </c>
      <c r="Y678" s="2021">
        <v>0</v>
      </c>
      <c r="Z678" s="2021">
        <v>0</v>
      </c>
      <c r="AA678" s="2021">
        <v>0</v>
      </c>
      <c r="AB678" s="2021">
        <v>0</v>
      </c>
      <c r="AC678" s="2021">
        <v>0</v>
      </c>
      <c r="AD678" s="2021">
        <v>0</v>
      </c>
      <c r="AE678" s="2021">
        <v>0</v>
      </c>
      <c r="AF678" s="2021">
        <v>0</v>
      </c>
      <c r="AG678" s="2021">
        <v>0</v>
      </c>
      <c r="AH678" s="2021">
        <v>0</v>
      </c>
      <c r="AI678" s="2021">
        <v>0</v>
      </c>
      <c r="AJ678" s="1925">
        <v>0</v>
      </c>
      <c r="AK678" s="1926">
        <v>0</v>
      </c>
      <c r="AL678" s="1926">
        <v>0</v>
      </c>
      <c r="AM678" s="1926">
        <v>0</v>
      </c>
      <c r="AN678" s="1926">
        <v>0</v>
      </c>
      <c r="AO678" s="1926">
        <v>0</v>
      </c>
      <c r="AP678" s="1926">
        <v>0</v>
      </c>
    </row>
    <row r="679" spans="1:42" ht="14.5">
      <c r="A679" s="1693">
        <v>542</v>
      </c>
      <c r="B679" s="616">
        <v>1</v>
      </c>
      <c r="C679" s="1693">
        <v>559</v>
      </c>
      <c r="D679" s="616">
        <v>1</v>
      </c>
      <c r="E679" s="1693">
        <v>606</v>
      </c>
      <c r="F679" s="616">
        <v>1</v>
      </c>
      <c r="G679" s="1693">
        <v>671</v>
      </c>
      <c r="H679" s="616">
        <v>1</v>
      </c>
      <c r="K679" s="69"/>
      <c r="O679" s="352"/>
      <c r="P679" s="353"/>
      <c r="Q679" s="68"/>
      <c r="R679" s="68"/>
      <c r="S679" s="69"/>
      <c r="T679" s="211" t="s">
        <v>2</v>
      </c>
      <c r="U679" s="211"/>
      <c r="V679" s="211"/>
      <c r="W679" s="1911"/>
      <c r="X679" s="2153">
        <v>0</v>
      </c>
      <c r="Y679" s="2153">
        <v>0</v>
      </c>
      <c r="Z679" s="2153">
        <v>0</v>
      </c>
      <c r="AA679" s="2153">
        <v>0</v>
      </c>
      <c r="AB679" s="2153">
        <v>0</v>
      </c>
      <c r="AC679" s="2153">
        <v>0</v>
      </c>
      <c r="AD679" s="2153">
        <v>0</v>
      </c>
      <c r="AE679" s="2153">
        <v>0</v>
      </c>
      <c r="AF679" s="2153">
        <v>0</v>
      </c>
      <c r="AG679" s="2153">
        <v>0</v>
      </c>
      <c r="AH679" s="2153">
        <v>0</v>
      </c>
      <c r="AI679" s="2153">
        <v>0</v>
      </c>
      <c r="AJ679" s="1927">
        <v>0</v>
      </c>
      <c r="AK679" s="1928">
        <v>0</v>
      </c>
      <c r="AL679" s="1928">
        <v>0</v>
      </c>
      <c r="AM679" s="1928">
        <v>0</v>
      </c>
      <c r="AN679" s="1928">
        <v>0</v>
      </c>
      <c r="AO679" s="1928">
        <v>0</v>
      </c>
      <c r="AP679" s="1928">
        <v>0</v>
      </c>
    </row>
    <row r="680" spans="1:42" ht="14.5">
      <c r="A680" s="1693">
        <v>543</v>
      </c>
      <c r="B680" s="616">
        <v>1</v>
      </c>
      <c r="C680" s="1693">
        <v>560</v>
      </c>
      <c r="D680" s="616">
        <v>1</v>
      </c>
      <c r="E680" s="1693">
        <v>607</v>
      </c>
      <c r="F680" s="616">
        <v>1</v>
      </c>
      <c r="G680" s="1693">
        <v>672</v>
      </c>
      <c r="H680" s="616">
        <v>1</v>
      </c>
      <c r="K680" s="69"/>
      <c r="O680" s="352"/>
      <c r="P680" s="353"/>
      <c r="Q680" s="68"/>
      <c r="R680" s="68"/>
      <c r="S680" s="786" t="s">
        <v>27</v>
      </c>
      <c r="T680" s="2191"/>
      <c r="U680" s="2191"/>
      <c r="V680" s="2191"/>
      <c r="W680" s="1899"/>
      <c r="X680" s="1918">
        <v>2227.4</v>
      </c>
      <c r="Y680" s="1918">
        <v>1680</v>
      </c>
      <c r="Z680" s="1918">
        <v>2071</v>
      </c>
      <c r="AA680" s="1918">
        <v>1844.6</v>
      </c>
      <c r="AB680" s="1918">
        <v>1844.6</v>
      </c>
      <c r="AC680" s="1918">
        <v>2313.8000000000002</v>
      </c>
      <c r="AD680" s="1918">
        <v>1844.6</v>
      </c>
      <c r="AE680" s="1918">
        <v>1844.6</v>
      </c>
      <c r="AF680" s="1918">
        <v>2313.8000000000002</v>
      </c>
      <c r="AG680" s="1918">
        <v>2079.2000000000003</v>
      </c>
      <c r="AH680" s="1918">
        <v>2001</v>
      </c>
      <c r="AI680" s="1918">
        <v>2470.2000000000003</v>
      </c>
      <c r="AJ680" s="1919">
        <v>5978.4</v>
      </c>
      <c r="AK680" s="1918">
        <v>6003</v>
      </c>
      <c r="AL680" s="1918">
        <v>6003</v>
      </c>
      <c r="AM680" s="1918">
        <v>6550.4000000000015</v>
      </c>
      <c r="AN680" s="1918">
        <v>11981.4</v>
      </c>
      <c r="AO680" s="1918">
        <v>12553.400000000001</v>
      </c>
      <c r="AP680" s="1918">
        <v>24534.800000000003</v>
      </c>
    </row>
    <row r="681" spans="1:42" ht="14.5">
      <c r="A681" s="1693">
        <v>544</v>
      </c>
      <c r="B681" s="616">
        <v>1</v>
      </c>
      <c r="C681" s="1693">
        <v>561</v>
      </c>
      <c r="D681" s="616">
        <v>1</v>
      </c>
      <c r="E681" s="1693">
        <v>608</v>
      </c>
      <c r="F681" s="616">
        <v>1</v>
      </c>
      <c r="G681" s="1693">
        <v>673</v>
      </c>
      <c r="H681" s="616">
        <v>1</v>
      </c>
      <c r="K681" s="69"/>
      <c r="O681" s="352"/>
      <c r="P681" s="353"/>
      <c r="Q681" s="68"/>
      <c r="R681" s="68"/>
      <c r="S681" s="69"/>
      <c r="T681" s="740" t="s">
        <v>587</v>
      </c>
      <c r="U681" s="302"/>
      <c r="V681" s="302"/>
      <c r="W681" s="1899"/>
      <c r="X681" s="1971">
        <v>-200</v>
      </c>
      <c r="Y681" s="1971">
        <v>-200</v>
      </c>
      <c r="Z681" s="1971">
        <v>-200</v>
      </c>
      <c r="AA681" s="1971">
        <v>-200</v>
      </c>
      <c r="AB681" s="1971">
        <v>-200</v>
      </c>
      <c r="AC681" s="1971">
        <v>-200</v>
      </c>
      <c r="AD681" s="1971">
        <v>-200</v>
      </c>
      <c r="AE681" s="1971">
        <v>-200</v>
      </c>
      <c r="AF681" s="1971">
        <v>-200</v>
      </c>
      <c r="AG681" s="1971">
        <v>-200</v>
      </c>
      <c r="AH681" s="1971">
        <v>-200</v>
      </c>
      <c r="AI681" s="1971">
        <v>-200</v>
      </c>
      <c r="AJ681" s="2137">
        <v>-600</v>
      </c>
      <c r="AK681" s="1971">
        <v>-600</v>
      </c>
      <c r="AL681" s="1971">
        <v>-600</v>
      </c>
      <c r="AM681" s="1971">
        <v>-600</v>
      </c>
      <c r="AN681" s="1971">
        <v>-1200</v>
      </c>
      <c r="AO681" s="1971">
        <v>-1200</v>
      </c>
      <c r="AP681" s="1971">
        <v>-2400</v>
      </c>
    </row>
    <row r="682" spans="1:42" ht="14.5">
      <c r="A682" s="1693">
        <v>545</v>
      </c>
      <c r="B682" s="616">
        <v>1</v>
      </c>
      <c r="C682" s="1693">
        <v>562</v>
      </c>
      <c r="D682" s="616">
        <v>1</v>
      </c>
      <c r="E682" s="1693">
        <v>609</v>
      </c>
      <c r="F682" s="616">
        <v>1</v>
      </c>
      <c r="G682" s="1693">
        <v>674</v>
      </c>
      <c r="H682" s="616">
        <v>1</v>
      </c>
      <c r="K682" s="69"/>
      <c r="O682" s="352"/>
      <c r="P682" s="353"/>
      <c r="Q682" s="68"/>
      <c r="R682" s="68"/>
      <c r="S682" s="69"/>
      <c r="T682" s="69"/>
      <c r="U682" s="740" t="s">
        <v>587</v>
      </c>
      <c r="V682" s="305"/>
      <c r="W682" s="1911"/>
      <c r="X682" s="2192">
        <v>10</v>
      </c>
      <c r="Y682" s="2192">
        <v>10</v>
      </c>
      <c r="Z682" s="2192">
        <v>10</v>
      </c>
      <c r="AA682" s="2192">
        <v>10</v>
      </c>
      <c r="AB682" s="2192">
        <v>10</v>
      </c>
      <c r="AC682" s="2192">
        <v>10</v>
      </c>
      <c r="AD682" s="2192">
        <v>10</v>
      </c>
      <c r="AE682" s="2192">
        <v>10</v>
      </c>
      <c r="AF682" s="2192">
        <v>10</v>
      </c>
      <c r="AG682" s="2192">
        <v>10</v>
      </c>
      <c r="AH682" s="2192">
        <v>10</v>
      </c>
      <c r="AI682" s="2192">
        <v>10</v>
      </c>
      <c r="AJ682" s="2193">
        <v>30</v>
      </c>
      <c r="AK682" s="2194">
        <v>30</v>
      </c>
      <c r="AL682" s="2194">
        <v>30</v>
      </c>
      <c r="AM682" s="2194">
        <v>30</v>
      </c>
      <c r="AN682" s="2194">
        <v>60</v>
      </c>
      <c r="AO682" s="2194">
        <v>60</v>
      </c>
      <c r="AP682" s="2194">
        <v>120</v>
      </c>
    </row>
    <row r="683" spans="1:42" s="69" customFormat="1" ht="14.5">
      <c r="A683" s="1693">
        <v>546</v>
      </c>
      <c r="B683" s="616">
        <v>1</v>
      </c>
      <c r="C683" s="1693">
        <v>563</v>
      </c>
      <c r="D683" s="616">
        <v>1</v>
      </c>
      <c r="E683" s="1693">
        <v>610</v>
      </c>
      <c r="F683" s="616">
        <v>1</v>
      </c>
      <c r="G683" s="1693">
        <v>675</v>
      </c>
      <c r="H683" s="616">
        <v>1</v>
      </c>
      <c r="I683" s="616"/>
      <c r="L683" s="9"/>
      <c r="M683" s="9"/>
      <c r="N683" s="22"/>
      <c r="O683" s="352"/>
      <c r="P683" s="353"/>
      <c r="Q683" s="68"/>
      <c r="R683" s="68"/>
      <c r="U683" s="306" t="s">
        <v>1103</v>
      </c>
      <c r="V683" s="306"/>
      <c r="W683" s="1851"/>
      <c r="X683" s="2145">
        <v>-210</v>
      </c>
      <c r="Y683" s="2145">
        <v>-210</v>
      </c>
      <c r="Z683" s="2145">
        <v>-210</v>
      </c>
      <c r="AA683" s="2145">
        <v>-210</v>
      </c>
      <c r="AB683" s="2145">
        <v>-210</v>
      </c>
      <c r="AC683" s="2145">
        <v>-210</v>
      </c>
      <c r="AD683" s="2145">
        <v>-210</v>
      </c>
      <c r="AE683" s="2145">
        <v>-210</v>
      </c>
      <c r="AF683" s="2145">
        <v>-210</v>
      </c>
      <c r="AG683" s="2145">
        <v>-210</v>
      </c>
      <c r="AH683" s="2145">
        <v>-210</v>
      </c>
      <c r="AI683" s="2145">
        <v>-210</v>
      </c>
      <c r="AJ683" s="2146">
        <v>-630</v>
      </c>
      <c r="AK683" s="2145">
        <v>-630</v>
      </c>
      <c r="AL683" s="2145">
        <v>-630</v>
      </c>
      <c r="AM683" s="2145">
        <v>-630</v>
      </c>
      <c r="AN683" s="2145">
        <v>-1260</v>
      </c>
      <c r="AO683" s="2145">
        <v>-1260</v>
      </c>
      <c r="AP683" s="2145">
        <v>-2520</v>
      </c>
    </row>
    <row r="684" spans="1:42" s="69" customFormat="1" ht="14.5">
      <c r="A684" s="1693">
        <v>547</v>
      </c>
      <c r="B684" s="616">
        <v>1</v>
      </c>
      <c r="C684" s="1693">
        <v>564</v>
      </c>
      <c r="D684" s="616">
        <v>1</v>
      </c>
      <c r="E684" s="1693">
        <v>611</v>
      </c>
      <c r="F684" s="616">
        <v>1</v>
      </c>
      <c r="G684" s="1693">
        <v>676</v>
      </c>
      <c r="H684" s="616">
        <v>1</v>
      </c>
      <c r="I684" s="616"/>
      <c r="L684" s="9"/>
      <c r="M684" s="9"/>
      <c r="N684" s="22"/>
      <c r="O684" s="352"/>
      <c r="P684" s="353"/>
      <c r="Q684" s="68"/>
      <c r="R684" s="68"/>
      <c r="U684" s="307"/>
      <c r="V684" s="291" t="s">
        <v>223</v>
      </c>
      <c r="W684" s="1911"/>
      <c r="X684" s="2140">
        <v>-190</v>
      </c>
      <c r="Y684" s="2140">
        <v>-190</v>
      </c>
      <c r="Z684" s="2140">
        <v>-190</v>
      </c>
      <c r="AA684" s="2140">
        <v>-190</v>
      </c>
      <c r="AB684" s="2140">
        <v>-190</v>
      </c>
      <c r="AC684" s="2140">
        <v>-190</v>
      </c>
      <c r="AD684" s="2140">
        <v>-190</v>
      </c>
      <c r="AE684" s="2140">
        <v>-190</v>
      </c>
      <c r="AF684" s="2140">
        <v>-190</v>
      </c>
      <c r="AG684" s="2140">
        <v>-190</v>
      </c>
      <c r="AH684" s="2140">
        <v>-190</v>
      </c>
      <c r="AI684" s="2140">
        <v>-190</v>
      </c>
      <c r="AJ684" s="2139">
        <v>-570</v>
      </c>
      <c r="AK684" s="2138">
        <v>-570</v>
      </c>
      <c r="AL684" s="2138">
        <v>-570</v>
      </c>
      <c r="AM684" s="2138">
        <v>-570</v>
      </c>
      <c r="AN684" s="2138">
        <v>-1140</v>
      </c>
      <c r="AO684" s="2138">
        <v>-1140</v>
      </c>
      <c r="AP684" s="2138">
        <v>-2280</v>
      </c>
    </row>
    <row r="685" spans="1:42" s="69" customFormat="1" ht="14.5">
      <c r="A685" s="1693">
        <v>548</v>
      </c>
      <c r="B685" s="616">
        <v>1</v>
      </c>
      <c r="C685" s="1693">
        <v>565</v>
      </c>
      <c r="D685" s="616">
        <v>1</v>
      </c>
      <c r="E685" s="1693">
        <v>612</v>
      </c>
      <c r="F685" s="616">
        <v>1</v>
      </c>
      <c r="G685" s="1693">
        <v>677</v>
      </c>
      <c r="H685" s="616">
        <v>1</v>
      </c>
      <c r="I685" s="616"/>
      <c r="L685" s="9"/>
      <c r="M685" s="9"/>
      <c r="N685" s="22"/>
      <c r="O685" s="352"/>
      <c r="P685" s="353"/>
      <c r="Q685" s="68"/>
      <c r="R685" s="68"/>
      <c r="U685" s="231"/>
      <c r="V685" s="229" t="s">
        <v>1089</v>
      </c>
      <c r="W685" s="1911"/>
      <c r="X685" s="2021">
        <v>-20</v>
      </c>
      <c r="Y685" s="2021">
        <v>-20</v>
      </c>
      <c r="Z685" s="2021">
        <v>-20</v>
      </c>
      <c r="AA685" s="2021">
        <v>-20</v>
      </c>
      <c r="AB685" s="2021">
        <v>-20</v>
      </c>
      <c r="AC685" s="2021">
        <v>-20</v>
      </c>
      <c r="AD685" s="2021">
        <v>-20</v>
      </c>
      <c r="AE685" s="2021">
        <v>-20</v>
      </c>
      <c r="AF685" s="2021">
        <v>-20</v>
      </c>
      <c r="AG685" s="2021">
        <v>-20</v>
      </c>
      <c r="AH685" s="2021">
        <v>-20</v>
      </c>
      <c r="AI685" s="2021">
        <v>-20</v>
      </c>
      <c r="AJ685" s="2147">
        <v>-60</v>
      </c>
      <c r="AK685" s="579">
        <v>-60</v>
      </c>
      <c r="AL685" s="579">
        <v>-60</v>
      </c>
      <c r="AM685" s="579">
        <v>-60</v>
      </c>
      <c r="AN685" s="579">
        <v>-120</v>
      </c>
      <c r="AO685" s="579">
        <v>-120</v>
      </c>
      <c r="AP685" s="579">
        <v>-240</v>
      </c>
    </row>
    <row r="686" spans="1:42" s="69" customFormat="1" ht="14.5">
      <c r="A686" s="1693">
        <v>549</v>
      </c>
      <c r="B686" s="616">
        <v>1</v>
      </c>
      <c r="C686" s="1693">
        <v>566</v>
      </c>
      <c r="D686" s="616">
        <v>1</v>
      </c>
      <c r="E686" s="1693">
        <v>613</v>
      </c>
      <c r="F686" s="616">
        <v>1</v>
      </c>
      <c r="G686" s="1693">
        <v>678</v>
      </c>
      <c r="H686" s="616">
        <v>1</v>
      </c>
      <c r="I686" s="616"/>
      <c r="L686" s="9"/>
      <c r="M686" s="9"/>
      <c r="N686" s="22"/>
      <c r="O686" s="352"/>
      <c r="P686" s="353"/>
      <c r="Q686" s="68"/>
      <c r="R686" s="68"/>
      <c r="T686" s="211"/>
      <c r="U686" s="232"/>
      <c r="V686" s="228" t="s">
        <v>224</v>
      </c>
      <c r="W686" s="1911"/>
      <c r="X686" s="2153"/>
      <c r="Y686" s="2153"/>
      <c r="Z686" s="2153"/>
      <c r="AA686" s="2153"/>
      <c r="AB686" s="2153"/>
      <c r="AC686" s="2153"/>
      <c r="AD686" s="2153"/>
      <c r="AE686" s="2153"/>
      <c r="AF686" s="2153"/>
      <c r="AG686" s="2153"/>
      <c r="AH686" s="2153"/>
      <c r="AI686" s="2153"/>
      <c r="AJ686" s="2147">
        <v>0</v>
      </c>
      <c r="AK686" s="579">
        <v>0</v>
      </c>
      <c r="AL686" s="579">
        <v>0</v>
      </c>
      <c r="AM686" s="579">
        <v>0</v>
      </c>
      <c r="AN686" s="579">
        <v>0</v>
      </c>
      <c r="AO686" s="579">
        <v>0</v>
      </c>
      <c r="AP686" s="579">
        <v>0</v>
      </c>
    </row>
    <row r="687" spans="1:42" ht="14.5">
      <c r="A687" s="1693">
        <v>550</v>
      </c>
      <c r="B687" s="616">
        <v>1</v>
      </c>
      <c r="C687" s="1693">
        <v>567</v>
      </c>
      <c r="D687" s="616">
        <v>1</v>
      </c>
      <c r="E687" s="1693">
        <v>614</v>
      </c>
      <c r="F687" s="616">
        <v>1</v>
      </c>
      <c r="G687" s="1693">
        <v>679</v>
      </c>
      <c r="H687" s="616">
        <v>1</v>
      </c>
      <c r="K687" s="69"/>
      <c r="O687" s="352"/>
      <c r="P687" s="353"/>
      <c r="Q687" s="68"/>
      <c r="R687" s="68"/>
      <c r="S687" s="69"/>
      <c r="T687" s="69" t="s">
        <v>1034</v>
      </c>
      <c r="U687" s="302"/>
      <c r="V687" s="302"/>
      <c r="W687" s="1899"/>
      <c r="X687" s="2145">
        <v>2427.4</v>
      </c>
      <c r="Y687" s="2145">
        <v>1880</v>
      </c>
      <c r="Z687" s="2145">
        <v>2271</v>
      </c>
      <c r="AA687" s="2145">
        <v>2044.6</v>
      </c>
      <c r="AB687" s="2145">
        <v>2044.6</v>
      </c>
      <c r="AC687" s="2145">
        <v>2513.8000000000002</v>
      </c>
      <c r="AD687" s="2145">
        <v>2044.6</v>
      </c>
      <c r="AE687" s="2145">
        <v>2044.6</v>
      </c>
      <c r="AF687" s="2145">
        <v>2513.8000000000002</v>
      </c>
      <c r="AG687" s="2145">
        <v>2279.2000000000003</v>
      </c>
      <c r="AH687" s="2145">
        <v>2201</v>
      </c>
      <c r="AI687" s="2145">
        <v>2670.2000000000003</v>
      </c>
      <c r="AJ687" s="2146">
        <v>6578.4</v>
      </c>
      <c r="AK687" s="2145">
        <v>6603</v>
      </c>
      <c r="AL687" s="2145">
        <v>6603</v>
      </c>
      <c r="AM687" s="2145">
        <v>7150.4000000000015</v>
      </c>
      <c r="AN687" s="2145">
        <v>13181.4</v>
      </c>
      <c r="AO687" s="2145">
        <v>13753.400000000001</v>
      </c>
      <c r="AP687" s="2145">
        <v>26934.800000000003</v>
      </c>
    </row>
    <row r="688" spans="1:42" ht="14.5">
      <c r="A688" s="1693">
        <v>551</v>
      </c>
      <c r="B688" s="616">
        <v>1</v>
      </c>
      <c r="C688" s="1693">
        <v>568</v>
      </c>
      <c r="D688" s="616">
        <v>1</v>
      </c>
      <c r="E688" s="1693">
        <v>615</v>
      </c>
      <c r="F688" s="616">
        <v>1</v>
      </c>
      <c r="G688" s="1693">
        <v>680</v>
      </c>
      <c r="H688" s="616">
        <v>1</v>
      </c>
      <c r="K688" s="69"/>
      <c r="O688" s="352"/>
      <c r="P688" s="353"/>
      <c r="Q688" s="68"/>
      <c r="R688" s="68"/>
      <c r="S688" s="69"/>
      <c r="T688" s="69"/>
      <c r="U688" s="305" t="s">
        <v>1104</v>
      </c>
      <c r="V688" s="305"/>
      <c r="W688" s="1911"/>
      <c r="X688" s="2192">
        <v>2502.4</v>
      </c>
      <c r="Y688" s="2192">
        <v>1955</v>
      </c>
      <c r="Z688" s="2192">
        <v>2346</v>
      </c>
      <c r="AA688" s="2192">
        <v>2189.6</v>
      </c>
      <c r="AB688" s="2192">
        <v>2189.6</v>
      </c>
      <c r="AC688" s="2192">
        <v>2658.8</v>
      </c>
      <c r="AD688" s="2192">
        <v>2189.6</v>
      </c>
      <c r="AE688" s="2192">
        <v>2189.6</v>
      </c>
      <c r="AF688" s="2192">
        <v>2658.8</v>
      </c>
      <c r="AG688" s="2192">
        <v>2424.2000000000003</v>
      </c>
      <c r="AH688" s="2192">
        <v>2346</v>
      </c>
      <c r="AI688" s="2192">
        <v>2815.2000000000003</v>
      </c>
      <c r="AJ688" s="2193">
        <v>6803.4</v>
      </c>
      <c r="AK688" s="2194">
        <v>7038</v>
      </c>
      <c r="AL688" s="2194">
        <v>7038</v>
      </c>
      <c r="AM688" s="2194">
        <v>7585.4000000000015</v>
      </c>
      <c r="AN688" s="2194">
        <v>13841.4</v>
      </c>
      <c r="AO688" s="2194">
        <v>14623.400000000001</v>
      </c>
      <c r="AP688" s="2194">
        <v>28464.800000000003</v>
      </c>
    </row>
    <row r="689" spans="1:42" s="69" customFormat="1" ht="14.5">
      <c r="A689" s="1693">
        <v>552</v>
      </c>
      <c r="B689" s="616">
        <v>1</v>
      </c>
      <c r="C689" s="1693">
        <v>569</v>
      </c>
      <c r="D689" s="616">
        <v>1</v>
      </c>
      <c r="E689" s="1693">
        <v>616</v>
      </c>
      <c r="F689" s="616">
        <v>1</v>
      </c>
      <c r="G689" s="1693">
        <v>681</v>
      </c>
      <c r="H689" s="616">
        <v>1</v>
      </c>
      <c r="I689" s="616"/>
      <c r="L689" s="9"/>
      <c r="M689" s="9"/>
      <c r="N689" s="22"/>
      <c r="O689" s="352"/>
      <c r="P689" s="353"/>
      <c r="Q689" s="68"/>
      <c r="R689" s="68"/>
      <c r="U689" s="306" t="s">
        <v>1103</v>
      </c>
      <c r="V689" s="306"/>
      <c r="W689" s="1851"/>
      <c r="X689" s="2145">
        <v>-75</v>
      </c>
      <c r="Y689" s="2145">
        <v>-75</v>
      </c>
      <c r="Z689" s="2145">
        <v>-75</v>
      </c>
      <c r="AA689" s="2145">
        <v>-145</v>
      </c>
      <c r="AB689" s="2145">
        <v>-145</v>
      </c>
      <c r="AC689" s="2145">
        <v>-145</v>
      </c>
      <c r="AD689" s="2145">
        <v>-145</v>
      </c>
      <c r="AE689" s="2145">
        <v>-145</v>
      </c>
      <c r="AF689" s="2145">
        <v>-145</v>
      </c>
      <c r="AG689" s="2145">
        <v>-145</v>
      </c>
      <c r="AH689" s="2145">
        <v>-145</v>
      </c>
      <c r="AI689" s="2145">
        <v>-145</v>
      </c>
      <c r="AJ689" s="2146">
        <v>-225</v>
      </c>
      <c r="AK689" s="2145">
        <v>-435</v>
      </c>
      <c r="AL689" s="2145">
        <v>-435</v>
      </c>
      <c r="AM689" s="2145">
        <v>-435</v>
      </c>
      <c r="AN689" s="2145">
        <v>-660</v>
      </c>
      <c r="AO689" s="2145">
        <v>-870</v>
      </c>
      <c r="AP689" s="2145">
        <v>-1530</v>
      </c>
    </row>
    <row r="690" spans="1:42" s="69" customFormat="1" ht="14.5">
      <c r="A690" s="1693">
        <v>553</v>
      </c>
      <c r="B690" s="616">
        <v>1</v>
      </c>
      <c r="C690" s="1693">
        <v>570</v>
      </c>
      <c r="D690" s="616">
        <v>1</v>
      </c>
      <c r="E690" s="1693">
        <v>617</v>
      </c>
      <c r="F690" s="616">
        <v>1</v>
      </c>
      <c r="G690" s="1693">
        <v>682</v>
      </c>
      <c r="H690" s="616">
        <v>1</v>
      </c>
      <c r="I690" s="616"/>
      <c r="L690" s="9"/>
      <c r="M690" s="9"/>
      <c r="N690" s="22"/>
      <c r="O690" s="352"/>
      <c r="P690" s="353"/>
      <c r="Q690" s="68"/>
      <c r="R690" s="68"/>
      <c r="U690" s="307"/>
      <c r="V690" s="291" t="s">
        <v>223</v>
      </c>
      <c r="W690" s="1911"/>
      <c r="X690" s="2140">
        <v>-60</v>
      </c>
      <c r="Y690" s="2140">
        <v>-60</v>
      </c>
      <c r="Z690" s="2140">
        <v>-60</v>
      </c>
      <c r="AA690" s="2140">
        <v>-120</v>
      </c>
      <c r="AB690" s="2140">
        <v>-120</v>
      </c>
      <c r="AC690" s="2140">
        <v>-120</v>
      </c>
      <c r="AD690" s="2140">
        <v>-120</v>
      </c>
      <c r="AE690" s="2140">
        <v>-120</v>
      </c>
      <c r="AF690" s="2140">
        <v>-120</v>
      </c>
      <c r="AG690" s="2140">
        <v>-120</v>
      </c>
      <c r="AH690" s="2140">
        <v>-120</v>
      </c>
      <c r="AI690" s="2140">
        <v>-120</v>
      </c>
      <c r="AJ690" s="2139">
        <v>-180</v>
      </c>
      <c r="AK690" s="2138">
        <v>-360</v>
      </c>
      <c r="AL690" s="2138">
        <v>-360</v>
      </c>
      <c r="AM690" s="2138">
        <v>-360</v>
      </c>
      <c r="AN690" s="2138">
        <v>-540</v>
      </c>
      <c r="AO690" s="2138">
        <v>-720</v>
      </c>
      <c r="AP690" s="2138">
        <v>-1260</v>
      </c>
    </row>
    <row r="691" spans="1:42" s="69" customFormat="1" ht="14.5">
      <c r="A691" s="1693">
        <v>554</v>
      </c>
      <c r="B691" s="616">
        <v>1</v>
      </c>
      <c r="C691" s="1693">
        <v>571</v>
      </c>
      <c r="D691" s="616">
        <v>1</v>
      </c>
      <c r="E691" s="1693">
        <v>618</v>
      </c>
      <c r="F691" s="616">
        <v>1</v>
      </c>
      <c r="G691" s="1693">
        <v>683</v>
      </c>
      <c r="H691" s="616">
        <v>1</v>
      </c>
      <c r="I691" s="616"/>
      <c r="L691" s="9"/>
      <c r="M691" s="9"/>
      <c r="N691" s="22"/>
      <c r="O691" s="352"/>
      <c r="P691" s="353"/>
      <c r="Q691" s="68"/>
      <c r="R691" s="68"/>
      <c r="U691" s="231"/>
      <c r="V691" s="229" t="s">
        <v>1089</v>
      </c>
      <c r="W691" s="1911"/>
      <c r="X691" s="2021">
        <v>-15</v>
      </c>
      <c r="Y691" s="2021">
        <v>-15</v>
      </c>
      <c r="Z691" s="2021">
        <v>-15</v>
      </c>
      <c r="AA691" s="2021">
        <v>-25</v>
      </c>
      <c r="AB691" s="2021">
        <v>-25</v>
      </c>
      <c r="AC691" s="2021">
        <v>-25</v>
      </c>
      <c r="AD691" s="2021">
        <v>-25</v>
      </c>
      <c r="AE691" s="2021">
        <v>-25</v>
      </c>
      <c r="AF691" s="2021">
        <v>-25</v>
      </c>
      <c r="AG691" s="2021">
        <v>-25</v>
      </c>
      <c r="AH691" s="2021">
        <v>-25</v>
      </c>
      <c r="AI691" s="2021">
        <v>-25</v>
      </c>
      <c r="AJ691" s="2147">
        <v>-45</v>
      </c>
      <c r="AK691" s="579">
        <v>-75</v>
      </c>
      <c r="AL691" s="579">
        <v>-75</v>
      </c>
      <c r="AM691" s="579">
        <v>-75</v>
      </c>
      <c r="AN691" s="579">
        <v>-120</v>
      </c>
      <c r="AO691" s="579">
        <v>-150</v>
      </c>
      <c r="AP691" s="579">
        <v>-270</v>
      </c>
    </row>
    <row r="692" spans="1:42" s="69" customFormat="1" ht="14.5">
      <c r="A692" s="1693">
        <v>555</v>
      </c>
      <c r="B692" s="616">
        <v>1</v>
      </c>
      <c r="C692" s="1693">
        <v>572</v>
      </c>
      <c r="D692" s="616">
        <v>1</v>
      </c>
      <c r="E692" s="1693">
        <v>619</v>
      </c>
      <c r="F692" s="616">
        <v>1</v>
      </c>
      <c r="G692" s="1693">
        <v>684</v>
      </c>
      <c r="H692" s="616">
        <v>1</v>
      </c>
      <c r="I692" s="616"/>
      <c r="L692" s="9"/>
      <c r="M692" s="9"/>
      <c r="N692" s="22"/>
      <c r="O692" s="352"/>
      <c r="P692" s="353"/>
      <c r="Q692" s="68"/>
      <c r="R692" s="68"/>
      <c r="T692" s="211"/>
      <c r="U692" s="232"/>
      <c r="V692" s="228" t="s">
        <v>224</v>
      </c>
      <c r="W692" s="1911"/>
      <c r="X692" s="2153"/>
      <c r="Y692" s="2153"/>
      <c r="Z692" s="2153"/>
      <c r="AA692" s="2153"/>
      <c r="AB692" s="2153"/>
      <c r="AC692" s="2153"/>
      <c r="AD692" s="2153"/>
      <c r="AE692" s="2153"/>
      <c r="AF692" s="2153"/>
      <c r="AG692" s="2153"/>
      <c r="AH692" s="2153"/>
      <c r="AI692" s="2153"/>
      <c r="AJ692" s="2147">
        <v>0</v>
      </c>
      <c r="AK692" s="579">
        <v>0</v>
      </c>
      <c r="AL692" s="579">
        <v>0</v>
      </c>
      <c r="AM692" s="579">
        <v>0</v>
      </c>
      <c r="AN692" s="579">
        <v>0</v>
      </c>
      <c r="AO692" s="579">
        <v>0</v>
      </c>
      <c r="AP692" s="579">
        <v>0</v>
      </c>
    </row>
    <row r="693" spans="1:42" ht="14.5">
      <c r="A693" s="1693">
        <v>556</v>
      </c>
      <c r="B693" s="616">
        <v>1</v>
      </c>
      <c r="C693" s="1693">
        <v>573</v>
      </c>
      <c r="D693" s="616">
        <v>1</v>
      </c>
      <c r="E693" s="1693">
        <v>620</v>
      </c>
      <c r="F693" s="616">
        <v>1</v>
      </c>
      <c r="G693" s="1693">
        <v>685</v>
      </c>
      <c r="H693" s="616">
        <v>1</v>
      </c>
      <c r="K693" s="69"/>
      <c r="O693" s="352"/>
      <c r="P693" s="353"/>
      <c r="Q693" s="68"/>
      <c r="R693" s="68"/>
      <c r="S693" s="69"/>
      <c r="T693" s="69" t="s">
        <v>1035</v>
      </c>
      <c r="U693" s="302"/>
      <c r="V693" s="302"/>
      <c r="W693" s="1899"/>
      <c r="X693" s="2145">
        <v>0</v>
      </c>
      <c r="Y693" s="2145">
        <v>0</v>
      </c>
      <c r="Z693" s="2145">
        <v>0</v>
      </c>
      <c r="AA693" s="2145">
        <v>0</v>
      </c>
      <c r="AB693" s="2145">
        <v>0</v>
      </c>
      <c r="AC693" s="2145">
        <v>0</v>
      </c>
      <c r="AD693" s="2145">
        <v>0</v>
      </c>
      <c r="AE693" s="2145">
        <v>0</v>
      </c>
      <c r="AF693" s="2145">
        <v>0</v>
      </c>
      <c r="AG693" s="2145">
        <v>0</v>
      </c>
      <c r="AH693" s="2145">
        <v>0</v>
      </c>
      <c r="AI693" s="2145">
        <v>0</v>
      </c>
      <c r="AJ693" s="2146">
        <v>0</v>
      </c>
      <c r="AK693" s="2145">
        <v>0</v>
      </c>
      <c r="AL693" s="2145">
        <v>0</v>
      </c>
      <c r="AM693" s="2145">
        <v>0</v>
      </c>
      <c r="AN693" s="2145">
        <v>0</v>
      </c>
      <c r="AO693" s="2145">
        <v>0</v>
      </c>
      <c r="AP693" s="2145">
        <v>0</v>
      </c>
    </row>
    <row r="694" spans="1:42" ht="14.5">
      <c r="A694" s="1693">
        <v>557</v>
      </c>
      <c r="B694" s="616">
        <v>1</v>
      </c>
      <c r="C694" s="1693">
        <v>574</v>
      </c>
      <c r="D694" s="616">
        <v>1</v>
      </c>
      <c r="E694" s="1693">
        <v>621</v>
      </c>
      <c r="F694" s="616">
        <v>1</v>
      </c>
      <c r="G694" s="1693">
        <v>686</v>
      </c>
      <c r="H694" s="616">
        <v>1</v>
      </c>
      <c r="K694" s="69"/>
      <c r="O694" s="352"/>
      <c r="P694" s="353"/>
      <c r="Q694" s="68"/>
      <c r="R694" s="68"/>
      <c r="S694" s="69"/>
      <c r="T694" s="69"/>
      <c r="U694" s="305" t="s">
        <v>1035</v>
      </c>
      <c r="V694" s="305"/>
      <c r="W694" s="1911"/>
      <c r="X694" s="2192">
        <v>835</v>
      </c>
      <c r="Y694" s="2192">
        <v>835</v>
      </c>
      <c r="Z694" s="2192">
        <v>835</v>
      </c>
      <c r="AA694" s="2192">
        <v>835</v>
      </c>
      <c r="AB694" s="2192">
        <v>835</v>
      </c>
      <c r="AC694" s="2192">
        <v>835</v>
      </c>
      <c r="AD694" s="2192">
        <v>835</v>
      </c>
      <c r="AE694" s="2192">
        <v>835</v>
      </c>
      <c r="AF694" s="2192">
        <v>835</v>
      </c>
      <c r="AG694" s="2192">
        <v>835</v>
      </c>
      <c r="AH694" s="2192">
        <v>835</v>
      </c>
      <c r="AI694" s="2192">
        <v>835</v>
      </c>
      <c r="AJ694" s="2193">
        <v>2505</v>
      </c>
      <c r="AK694" s="2194">
        <v>2505</v>
      </c>
      <c r="AL694" s="2194">
        <v>2505</v>
      </c>
      <c r="AM694" s="2194">
        <v>2505</v>
      </c>
      <c r="AN694" s="2194">
        <v>5010</v>
      </c>
      <c r="AO694" s="2194">
        <v>5010</v>
      </c>
      <c r="AP694" s="2194">
        <v>10020</v>
      </c>
    </row>
    <row r="695" spans="1:42" s="69" customFormat="1" ht="14.5">
      <c r="A695" s="1693">
        <v>558</v>
      </c>
      <c r="B695" s="616">
        <v>1</v>
      </c>
      <c r="C695" s="1693">
        <v>575</v>
      </c>
      <c r="D695" s="616">
        <v>1</v>
      </c>
      <c r="E695" s="1693">
        <v>622</v>
      </c>
      <c r="F695" s="616">
        <v>1</v>
      </c>
      <c r="G695" s="1693">
        <v>687</v>
      </c>
      <c r="H695" s="616">
        <v>1</v>
      </c>
      <c r="I695" s="616"/>
      <c r="L695" s="9"/>
      <c r="M695" s="9"/>
      <c r="N695" s="22"/>
      <c r="O695" s="352"/>
      <c r="P695" s="353"/>
      <c r="Q695" s="68"/>
      <c r="R695" s="68"/>
      <c r="U695" s="306" t="s">
        <v>1103</v>
      </c>
      <c r="V695" s="306"/>
      <c r="W695" s="1851"/>
      <c r="X695" s="2145">
        <v>-835</v>
      </c>
      <c r="Y695" s="2145">
        <v>-835</v>
      </c>
      <c r="Z695" s="2145">
        <v>-835</v>
      </c>
      <c r="AA695" s="2145">
        <v>-835</v>
      </c>
      <c r="AB695" s="2145">
        <v>-835</v>
      </c>
      <c r="AC695" s="2145">
        <v>-835</v>
      </c>
      <c r="AD695" s="2145">
        <v>-835</v>
      </c>
      <c r="AE695" s="2145">
        <v>-835</v>
      </c>
      <c r="AF695" s="2145">
        <v>-835</v>
      </c>
      <c r="AG695" s="2145">
        <v>-835</v>
      </c>
      <c r="AH695" s="2145">
        <v>-835</v>
      </c>
      <c r="AI695" s="2145">
        <v>-835</v>
      </c>
      <c r="AJ695" s="2146">
        <v>-2505</v>
      </c>
      <c r="AK695" s="2145">
        <v>-2505</v>
      </c>
      <c r="AL695" s="2145">
        <v>-2505</v>
      </c>
      <c r="AM695" s="2145">
        <v>-2505</v>
      </c>
      <c r="AN695" s="2145">
        <v>-5010</v>
      </c>
      <c r="AO695" s="2145">
        <v>-5010</v>
      </c>
      <c r="AP695" s="2145">
        <v>-10020</v>
      </c>
    </row>
    <row r="696" spans="1:42" s="69" customFormat="1" ht="14.5">
      <c r="A696" s="1693">
        <v>559</v>
      </c>
      <c r="B696" s="616">
        <v>1</v>
      </c>
      <c r="C696" s="1693">
        <v>576</v>
      </c>
      <c r="D696" s="616">
        <v>1</v>
      </c>
      <c r="E696" s="1693">
        <v>623</v>
      </c>
      <c r="F696" s="616">
        <v>1</v>
      </c>
      <c r="G696" s="1693">
        <v>688</v>
      </c>
      <c r="H696" s="616">
        <v>1</v>
      </c>
      <c r="I696" s="616"/>
      <c r="L696" s="9"/>
      <c r="M696" s="9"/>
      <c r="N696" s="22"/>
      <c r="O696" s="352"/>
      <c r="P696" s="353"/>
      <c r="Q696" s="68"/>
      <c r="R696" s="68"/>
      <c r="U696" s="307"/>
      <c r="V696" s="291" t="s">
        <v>223</v>
      </c>
      <c r="W696" s="1911"/>
      <c r="X696" s="2140">
        <v>-750</v>
      </c>
      <c r="Y696" s="2140">
        <v>-750</v>
      </c>
      <c r="Z696" s="2140">
        <v>-750</v>
      </c>
      <c r="AA696" s="2140">
        <v>-750</v>
      </c>
      <c r="AB696" s="2140">
        <v>-750</v>
      </c>
      <c r="AC696" s="2140">
        <v>-750</v>
      </c>
      <c r="AD696" s="2140">
        <v>-750</v>
      </c>
      <c r="AE696" s="2140">
        <v>-750</v>
      </c>
      <c r="AF696" s="2140">
        <v>-750</v>
      </c>
      <c r="AG696" s="2140">
        <v>-750</v>
      </c>
      <c r="AH696" s="2140">
        <v>-750</v>
      </c>
      <c r="AI696" s="2140">
        <v>-750</v>
      </c>
      <c r="AJ696" s="2139">
        <v>-2250</v>
      </c>
      <c r="AK696" s="2138">
        <v>-2250</v>
      </c>
      <c r="AL696" s="2138">
        <v>-2250</v>
      </c>
      <c r="AM696" s="2138">
        <v>-2250</v>
      </c>
      <c r="AN696" s="2138">
        <v>-4500</v>
      </c>
      <c r="AO696" s="2138">
        <v>-4500</v>
      </c>
      <c r="AP696" s="2138">
        <v>-9000</v>
      </c>
    </row>
    <row r="697" spans="1:42" s="69" customFormat="1" ht="14.5">
      <c r="A697" s="1693">
        <v>560</v>
      </c>
      <c r="B697" s="616">
        <v>1</v>
      </c>
      <c r="C697" s="1693">
        <v>577</v>
      </c>
      <c r="D697" s="616">
        <v>1</v>
      </c>
      <c r="E697" s="1693">
        <v>624</v>
      </c>
      <c r="F697" s="616">
        <v>1</v>
      </c>
      <c r="G697" s="1693">
        <v>689</v>
      </c>
      <c r="H697" s="616">
        <v>1</v>
      </c>
      <c r="I697" s="616"/>
      <c r="L697" s="9"/>
      <c r="M697" s="9"/>
      <c r="N697" s="22"/>
      <c r="O697" s="352"/>
      <c r="P697" s="353"/>
      <c r="Q697" s="68"/>
      <c r="R697" s="68"/>
      <c r="U697" s="231"/>
      <c r="V697" s="229" t="s">
        <v>1089</v>
      </c>
      <c r="W697" s="1911"/>
      <c r="X697" s="2021">
        <v>-85</v>
      </c>
      <c r="Y697" s="2021">
        <v>-85</v>
      </c>
      <c r="Z697" s="2021">
        <v>-85</v>
      </c>
      <c r="AA697" s="2021">
        <v>-85</v>
      </c>
      <c r="AB697" s="2021">
        <v>-85</v>
      </c>
      <c r="AC697" s="2021">
        <v>-85</v>
      </c>
      <c r="AD697" s="2021">
        <v>-85</v>
      </c>
      <c r="AE697" s="2021">
        <v>-85</v>
      </c>
      <c r="AF697" s="2021">
        <v>-85</v>
      </c>
      <c r="AG697" s="2021">
        <v>-85</v>
      </c>
      <c r="AH697" s="2021">
        <v>-85</v>
      </c>
      <c r="AI697" s="2021">
        <v>-85</v>
      </c>
      <c r="AJ697" s="2147">
        <v>-255</v>
      </c>
      <c r="AK697" s="579">
        <v>-255</v>
      </c>
      <c r="AL697" s="579">
        <v>-255</v>
      </c>
      <c r="AM697" s="579">
        <v>-255</v>
      </c>
      <c r="AN697" s="579">
        <v>-510</v>
      </c>
      <c r="AO697" s="579">
        <v>-510</v>
      </c>
      <c r="AP697" s="579">
        <v>-1020</v>
      </c>
    </row>
    <row r="698" spans="1:42" s="69" customFormat="1" ht="14.5">
      <c r="A698" s="1693">
        <v>561</v>
      </c>
      <c r="B698" s="616">
        <v>1</v>
      </c>
      <c r="C698" s="1693">
        <v>578</v>
      </c>
      <c r="D698" s="616">
        <v>1</v>
      </c>
      <c r="E698" s="1693">
        <v>625</v>
      </c>
      <c r="F698" s="616">
        <v>1</v>
      </c>
      <c r="G698" s="1693">
        <v>690</v>
      </c>
      <c r="H698" s="616">
        <v>1</v>
      </c>
      <c r="I698" s="616"/>
      <c r="L698" s="9"/>
      <c r="M698" s="9"/>
      <c r="N698" s="22"/>
      <c r="O698" s="352"/>
      <c r="P698" s="353"/>
      <c r="Q698" s="68"/>
      <c r="R698" s="68"/>
      <c r="T698" s="211"/>
      <c r="U698" s="232"/>
      <c r="V698" s="228" t="s">
        <v>224</v>
      </c>
      <c r="W698" s="1911"/>
      <c r="X698" s="2153"/>
      <c r="Y698" s="2153"/>
      <c r="Z698" s="2153"/>
      <c r="AA698" s="2153"/>
      <c r="AB698" s="2153"/>
      <c r="AC698" s="2153"/>
      <c r="AD698" s="2153"/>
      <c r="AE698" s="2153"/>
      <c r="AF698" s="2153"/>
      <c r="AG698" s="2153"/>
      <c r="AH698" s="2153"/>
      <c r="AI698" s="2153"/>
      <c r="AJ698" s="2147">
        <v>0</v>
      </c>
      <c r="AK698" s="579">
        <v>0</v>
      </c>
      <c r="AL698" s="579">
        <v>0</v>
      </c>
      <c r="AM698" s="579">
        <v>0</v>
      </c>
      <c r="AN698" s="579">
        <v>0</v>
      </c>
      <c r="AO698" s="579">
        <v>0</v>
      </c>
      <c r="AP698" s="579">
        <v>0</v>
      </c>
    </row>
    <row r="699" spans="1:42" ht="14.5">
      <c r="A699" s="1693">
        <v>562</v>
      </c>
      <c r="B699" s="616">
        <v>1</v>
      </c>
      <c r="C699" s="1693">
        <v>579</v>
      </c>
      <c r="D699" s="616">
        <v>1</v>
      </c>
      <c r="E699" s="1693">
        <v>626</v>
      </c>
      <c r="F699" s="616">
        <v>1</v>
      </c>
      <c r="G699" s="1693">
        <v>691</v>
      </c>
      <c r="H699" s="616">
        <v>1</v>
      </c>
      <c r="K699" s="69"/>
      <c r="O699" s="352"/>
      <c r="P699" s="353"/>
      <c r="Q699" s="68"/>
      <c r="R699" s="68"/>
      <c r="S699" s="69"/>
      <c r="T699" s="69" t="s">
        <v>1036</v>
      </c>
      <c r="U699" s="302"/>
      <c r="V699" s="302"/>
      <c r="W699" s="1899"/>
      <c r="X699" s="2145">
        <v>0</v>
      </c>
      <c r="Y699" s="2145">
        <v>0</v>
      </c>
      <c r="Z699" s="2145">
        <v>0</v>
      </c>
      <c r="AA699" s="2145">
        <v>0</v>
      </c>
      <c r="AB699" s="2145">
        <v>0</v>
      </c>
      <c r="AC699" s="2145">
        <v>0</v>
      </c>
      <c r="AD699" s="2145">
        <v>0</v>
      </c>
      <c r="AE699" s="2145">
        <v>0</v>
      </c>
      <c r="AF699" s="2145">
        <v>0</v>
      </c>
      <c r="AG699" s="2145">
        <v>0</v>
      </c>
      <c r="AH699" s="2145">
        <v>0</v>
      </c>
      <c r="AI699" s="2145">
        <v>0</v>
      </c>
      <c r="AJ699" s="2146">
        <v>0</v>
      </c>
      <c r="AK699" s="2145">
        <v>0</v>
      </c>
      <c r="AL699" s="2145">
        <v>0</v>
      </c>
      <c r="AM699" s="2145">
        <v>0</v>
      </c>
      <c r="AN699" s="2145">
        <v>0</v>
      </c>
      <c r="AO699" s="2145">
        <v>0</v>
      </c>
      <c r="AP699" s="2145">
        <v>0</v>
      </c>
    </row>
    <row r="700" spans="1:42" ht="14.5">
      <c r="A700" s="1693">
        <v>563</v>
      </c>
      <c r="B700" s="616">
        <v>1</v>
      </c>
      <c r="C700" s="1693">
        <v>580</v>
      </c>
      <c r="D700" s="616">
        <v>1</v>
      </c>
      <c r="E700" s="1693">
        <v>627</v>
      </c>
      <c r="F700" s="616">
        <v>1</v>
      </c>
      <c r="G700" s="1693">
        <v>692</v>
      </c>
      <c r="H700" s="616">
        <v>1</v>
      </c>
      <c r="K700" s="69"/>
      <c r="O700" s="352"/>
      <c r="P700" s="353"/>
      <c r="Q700" s="68"/>
      <c r="R700" s="68"/>
      <c r="S700" s="69"/>
      <c r="T700" s="69"/>
      <c r="U700" s="305" t="s">
        <v>1036</v>
      </c>
      <c r="V700" s="305"/>
      <c r="W700" s="1911"/>
      <c r="X700" s="2192"/>
      <c r="Y700" s="2192"/>
      <c r="Z700" s="2192"/>
      <c r="AA700" s="2192"/>
      <c r="AB700" s="2192"/>
      <c r="AC700" s="2192"/>
      <c r="AD700" s="2192"/>
      <c r="AE700" s="2192"/>
      <c r="AF700" s="2192"/>
      <c r="AG700" s="2192"/>
      <c r="AH700" s="2192"/>
      <c r="AI700" s="2192"/>
      <c r="AJ700" s="2193">
        <v>0</v>
      </c>
      <c r="AK700" s="2194">
        <v>0</v>
      </c>
      <c r="AL700" s="2194">
        <v>0</v>
      </c>
      <c r="AM700" s="2194">
        <v>0</v>
      </c>
      <c r="AN700" s="2194">
        <v>0</v>
      </c>
      <c r="AO700" s="2194">
        <v>0</v>
      </c>
      <c r="AP700" s="2194">
        <v>0</v>
      </c>
    </row>
    <row r="701" spans="1:42" s="69" customFormat="1" ht="14.5">
      <c r="A701" s="1693">
        <v>564</v>
      </c>
      <c r="B701" s="616">
        <v>1</v>
      </c>
      <c r="C701" s="1693">
        <v>581</v>
      </c>
      <c r="D701" s="616">
        <v>1</v>
      </c>
      <c r="E701" s="1693">
        <v>628</v>
      </c>
      <c r="F701" s="616">
        <v>1</v>
      </c>
      <c r="G701" s="1693">
        <v>693</v>
      </c>
      <c r="H701" s="616">
        <v>1</v>
      </c>
      <c r="I701" s="616"/>
      <c r="L701" s="9"/>
      <c r="M701" s="9"/>
      <c r="N701" s="22"/>
      <c r="O701" s="352"/>
      <c r="P701" s="353"/>
      <c r="Q701" s="68"/>
      <c r="R701" s="68"/>
      <c r="U701" s="306" t="s">
        <v>1103</v>
      </c>
      <c r="V701" s="306"/>
      <c r="W701" s="1851"/>
      <c r="X701" s="2145">
        <v>0</v>
      </c>
      <c r="Y701" s="2145">
        <v>0</v>
      </c>
      <c r="Z701" s="2145">
        <v>0</v>
      </c>
      <c r="AA701" s="2145">
        <v>0</v>
      </c>
      <c r="AB701" s="2145">
        <v>0</v>
      </c>
      <c r="AC701" s="2145">
        <v>0</v>
      </c>
      <c r="AD701" s="2145">
        <v>0</v>
      </c>
      <c r="AE701" s="2145">
        <v>0</v>
      </c>
      <c r="AF701" s="2145">
        <v>0</v>
      </c>
      <c r="AG701" s="2145">
        <v>0</v>
      </c>
      <c r="AH701" s="2145">
        <v>0</v>
      </c>
      <c r="AI701" s="2145">
        <v>0</v>
      </c>
      <c r="AJ701" s="2146">
        <v>0</v>
      </c>
      <c r="AK701" s="2145">
        <v>0</v>
      </c>
      <c r="AL701" s="2145">
        <v>0</v>
      </c>
      <c r="AM701" s="2145">
        <v>0</v>
      </c>
      <c r="AN701" s="2145">
        <v>0</v>
      </c>
      <c r="AO701" s="2145">
        <v>0</v>
      </c>
      <c r="AP701" s="2145">
        <v>0</v>
      </c>
    </row>
    <row r="702" spans="1:42" s="69" customFormat="1" ht="14.5">
      <c r="A702" s="1693">
        <v>565</v>
      </c>
      <c r="B702" s="616">
        <v>1</v>
      </c>
      <c r="C702" s="1693">
        <v>582</v>
      </c>
      <c r="D702" s="616">
        <v>1</v>
      </c>
      <c r="E702" s="1693">
        <v>629</v>
      </c>
      <c r="F702" s="616">
        <v>1</v>
      </c>
      <c r="G702" s="1693">
        <v>694</v>
      </c>
      <c r="H702" s="616">
        <v>1</v>
      </c>
      <c r="I702" s="616"/>
      <c r="L702" s="9"/>
      <c r="M702" s="9"/>
      <c r="N702" s="22"/>
      <c r="O702" s="352"/>
      <c r="P702" s="353"/>
      <c r="Q702" s="68"/>
      <c r="R702" s="68"/>
      <c r="U702" s="307"/>
      <c r="V702" s="291" t="s">
        <v>223</v>
      </c>
      <c r="W702" s="1911"/>
      <c r="X702" s="2140"/>
      <c r="Y702" s="2140"/>
      <c r="Z702" s="2140"/>
      <c r="AA702" s="2140"/>
      <c r="AB702" s="2140"/>
      <c r="AC702" s="2140"/>
      <c r="AD702" s="2140"/>
      <c r="AE702" s="2140"/>
      <c r="AF702" s="2140"/>
      <c r="AG702" s="2140"/>
      <c r="AH702" s="2140"/>
      <c r="AI702" s="2140"/>
      <c r="AJ702" s="2139">
        <v>0</v>
      </c>
      <c r="AK702" s="2138">
        <v>0</v>
      </c>
      <c r="AL702" s="2138">
        <v>0</v>
      </c>
      <c r="AM702" s="2138">
        <v>0</v>
      </c>
      <c r="AN702" s="2138">
        <v>0</v>
      </c>
      <c r="AO702" s="2138">
        <v>0</v>
      </c>
      <c r="AP702" s="2138">
        <v>0</v>
      </c>
    </row>
    <row r="703" spans="1:42" s="69" customFormat="1" ht="14.5">
      <c r="A703" s="1693">
        <v>566</v>
      </c>
      <c r="B703" s="616">
        <v>1</v>
      </c>
      <c r="C703" s="1693">
        <v>583</v>
      </c>
      <c r="D703" s="616">
        <v>1</v>
      </c>
      <c r="E703" s="1693">
        <v>630</v>
      </c>
      <c r="F703" s="616">
        <v>1</v>
      </c>
      <c r="G703" s="1693">
        <v>695</v>
      </c>
      <c r="H703" s="616">
        <v>1</v>
      </c>
      <c r="I703" s="616"/>
      <c r="L703" s="9"/>
      <c r="M703" s="9"/>
      <c r="N703" s="22"/>
      <c r="O703" s="352"/>
      <c r="P703" s="353"/>
      <c r="Q703" s="68"/>
      <c r="R703" s="68"/>
      <c r="U703" s="231"/>
      <c r="V703" s="229" t="s">
        <v>1089</v>
      </c>
      <c r="W703" s="1911"/>
      <c r="X703" s="2021"/>
      <c r="Y703" s="2021"/>
      <c r="Z703" s="2021"/>
      <c r="AA703" s="2021"/>
      <c r="AB703" s="2021"/>
      <c r="AC703" s="2021"/>
      <c r="AD703" s="2021"/>
      <c r="AE703" s="2021"/>
      <c r="AF703" s="2021"/>
      <c r="AG703" s="2021"/>
      <c r="AH703" s="2021"/>
      <c r="AI703" s="2021"/>
      <c r="AJ703" s="2147">
        <v>0</v>
      </c>
      <c r="AK703" s="579">
        <v>0</v>
      </c>
      <c r="AL703" s="579">
        <v>0</v>
      </c>
      <c r="AM703" s="579">
        <v>0</v>
      </c>
      <c r="AN703" s="579">
        <v>0</v>
      </c>
      <c r="AO703" s="579">
        <v>0</v>
      </c>
      <c r="AP703" s="579">
        <v>0</v>
      </c>
    </row>
    <row r="704" spans="1:42" s="69" customFormat="1" ht="14.5">
      <c r="A704" s="1693">
        <v>567</v>
      </c>
      <c r="B704" s="616">
        <v>1</v>
      </c>
      <c r="C704" s="1693">
        <v>584</v>
      </c>
      <c r="D704" s="616">
        <v>1</v>
      </c>
      <c r="E704" s="1693">
        <v>631</v>
      </c>
      <c r="F704" s="616">
        <v>1</v>
      </c>
      <c r="G704" s="1693">
        <v>696</v>
      </c>
      <c r="H704" s="616">
        <v>1</v>
      </c>
      <c r="I704" s="616"/>
      <c r="L704" s="9"/>
      <c r="M704" s="9"/>
      <c r="N704" s="22"/>
      <c r="O704" s="352"/>
      <c r="P704" s="353"/>
      <c r="Q704" s="68"/>
      <c r="R704" s="68"/>
      <c r="T704" s="211"/>
      <c r="U704" s="232"/>
      <c r="V704" s="228" t="s">
        <v>224</v>
      </c>
      <c r="W704" s="1911"/>
      <c r="X704" s="2153"/>
      <c r="Y704" s="2153"/>
      <c r="Z704" s="2153"/>
      <c r="AA704" s="2153"/>
      <c r="AB704" s="2153"/>
      <c r="AC704" s="2153"/>
      <c r="AD704" s="2153"/>
      <c r="AE704" s="2153"/>
      <c r="AF704" s="2153"/>
      <c r="AG704" s="2153"/>
      <c r="AH704" s="2153"/>
      <c r="AI704" s="2153"/>
      <c r="AJ704" s="2147">
        <v>0</v>
      </c>
      <c r="AK704" s="579">
        <v>0</v>
      </c>
      <c r="AL704" s="579">
        <v>0</v>
      </c>
      <c r="AM704" s="579">
        <v>0</v>
      </c>
      <c r="AN704" s="579">
        <v>0</v>
      </c>
      <c r="AO704" s="579">
        <v>0</v>
      </c>
      <c r="AP704" s="579">
        <v>0</v>
      </c>
    </row>
    <row r="705" spans="1:42" ht="14.5">
      <c r="A705" s="1693">
        <v>568</v>
      </c>
      <c r="B705" s="616">
        <v>1</v>
      </c>
      <c r="C705" s="1693">
        <v>585</v>
      </c>
      <c r="D705" s="616">
        <v>1</v>
      </c>
      <c r="E705" s="1693">
        <v>632</v>
      </c>
      <c r="F705" s="616">
        <v>1</v>
      </c>
      <c r="G705" s="1693">
        <v>697</v>
      </c>
      <c r="H705" s="616">
        <v>1</v>
      </c>
      <c r="K705" s="69"/>
      <c r="O705" s="352"/>
      <c r="P705" s="353"/>
      <c r="Q705" s="68"/>
      <c r="R705" s="68"/>
      <c r="S705" s="69"/>
      <c r="T705" s="69" t="s">
        <v>479</v>
      </c>
      <c r="U705" s="302"/>
      <c r="V705" s="302"/>
      <c r="W705" s="1899"/>
      <c r="X705" s="2145">
        <v>0</v>
      </c>
      <c r="Y705" s="2145">
        <v>0</v>
      </c>
      <c r="Z705" s="2145">
        <v>0</v>
      </c>
      <c r="AA705" s="2145">
        <v>0</v>
      </c>
      <c r="AB705" s="2145">
        <v>0</v>
      </c>
      <c r="AC705" s="2145">
        <v>0</v>
      </c>
      <c r="AD705" s="2145">
        <v>0</v>
      </c>
      <c r="AE705" s="2145">
        <v>0</v>
      </c>
      <c r="AF705" s="2145">
        <v>0</v>
      </c>
      <c r="AG705" s="2145">
        <v>0</v>
      </c>
      <c r="AH705" s="2145">
        <v>0</v>
      </c>
      <c r="AI705" s="2145">
        <v>0</v>
      </c>
      <c r="AJ705" s="2146">
        <v>0</v>
      </c>
      <c r="AK705" s="2145">
        <v>0</v>
      </c>
      <c r="AL705" s="2145">
        <v>0</v>
      </c>
      <c r="AM705" s="2145">
        <v>0</v>
      </c>
      <c r="AN705" s="2145">
        <v>0</v>
      </c>
      <c r="AO705" s="2145">
        <v>0</v>
      </c>
      <c r="AP705" s="2145">
        <v>0</v>
      </c>
    </row>
    <row r="706" spans="1:42" ht="14.5">
      <c r="A706" s="1693">
        <v>569</v>
      </c>
      <c r="B706" s="616">
        <v>1</v>
      </c>
      <c r="C706" s="1693">
        <v>586</v>
      </c>
      <c r="D706" s="616">
        <v>1</v>
      </c>
      <c r="E706" s="1693">
        <v>633</v>
      </c>
      <c r="F706" s="616">
        <v>1</v>
      </c>
      <c r="G706" s="1693">
        <v>698</v>
      </c>
      <c r="H706" s="616">
        <v>1</v>
      </c>
      <c r="K706" s="69"/>
      <c r="O706" s="352"/>
      <c r="P706" s="353"/>
      <c r="Q706" s="68"/>
      <c r="R706" s="68"/>
      <c r="S706" s="69"/>
      <c r="T706" s="69"/>
      <c r="U706" s="305" t="s">
        <v>479</v>
      </c>
      <c r="V706" s="305"/>
      <c r="W706" s="1911"/>
      <c r="X706" s="2192"/>
      <c r="Y706" s="2192"/>
      <c r="Z706" s="2192"/>
      <c r="AA706" s="2192"/>
      <c r="AB706" s="2192"/>
      <c r="AC706" s="2192"/>
      <c r="AD706" s="2192"/>
      <c r="AE706" s="2192"/>
      <c r="AF706" s="2192"/>
      <c r="AG706" s="2192"/>
      <c r="AH706" s="2192"/>
      <c r="AI706" s="2192"/>
      <c r="AJ706" s="2193">
        <v>0</v>
      </c>
      <c r="AK706" s="2194">
        <v>0</v>
      </c>
      <c r="AL706" s="2194">
        <v>0</v>
      </c>
      <c r="AM706" s="2194">
        <v>0</v>
      </c>
      <c r="AN706" s="2194">
        <v>0</v>
      </c>
      <c r="AO706" s="2194">
        <v>0</v>
      </c>
      <c r="AP706" s="2194">
        <v>0</v>
      </c>
    </row>
    <row r="707" spans="1:42" s="69" customFormat="1" ht="14.5">
      <c r="A707" s="1693">
        <v>570</v>
      </c>
      <c r="B707" s="616">
        <v>1</v>
      </c>
      <c r="C707" s="1693">
        <v>587</v>
      </c>
      <c r="D707" s="616">
        <v>1</v>
      </c>
      <c r="E707" s="1693">
        <v>634</v>
      </c>
      <c r="F707" s="616">
        <v>1</v>
      </c>
      <c r="G707" s="1693">
        <v>699</v>
      </c>
      <c r="H707" s="616">
        <v>1</v>
      </c>
      <c r="I707" s="616"/>
      <c r="L707" s="9"/>
      <c r="M707" s="9"/>
      <c r="N707" s="22"/>
      <c r="O707" s="352"/>
      <c r="P707" s="353"/>
      <c r="Q707" s="68"/>
      <c r="R707" s="68"/>
      <c r="U707" s="306" t="s">
        <v>1103</v>
      </c>
      <c r="V707" s="306"/>
      <c r="W707" s="1851"/>
      <c r="X707" s="2145">
        <v>0</v>
      </c>
      <c r="Y707" s="2145">
        <v>0</v>
      </c>
      <c r="Z707" s="2145">
        <v>0</v>
      </c>
      <c r="AA707" s="2145">
        <v>0</v>
      </c>
      <c r="AB707" s="2145">
        <v>0</v>
      </c>
      <c r="AC707" s="2145">
        <v>0</v>
      </c>
      <c r="AD707" s="2145">
        <v>0</v>
      </c>
      <c r="AE707" s="2145">
        <v>0</v>
      </c>
      <c r="AF707" s="2145">
        <v>0</v>
      </c>
      <c r="AG707" s="2145">
        <v>0</v>
      </c>
      <c r="AH707" s="2145">
        <v>0</v>
      </c>
      <c r="AI707" s="2145">
        <v>0</v>
      </c>
      <c r="AJ707" s="2146">
        <v>0</v>
      </c>
      <c r="AK707" s="2145">
        <v>0</v>
      </c>
      <c r="AL707" s="2145">
        <v>0</v>
      </c>
      <c r="AM707" s="2145">
        <v>0</v>
      </c>
      <c r="AN707" s="2145">
        <v>0</v>
      </c>
      <c r="AO707" s="2145">
        <v>0</v>
      </c>
      <c r="AP707" s="2145">
        <v>0</v>
      </c>
    </row>
    <row r="708" spans="1:42" s="69" customFormat="1" ht="14.5">
      <c r="A708" s="1693">
        <v>571</v>
      </c>
      <c r="B708" s="616">
        <v>1</v>
      </c>
      <c r="C708" s="1693">
        <v>588</v>
      </c>
      <c r="D708" s="616">
        <v>1</v>
      </c>
      <c r="E708" s="1693">
        <v>635</v>
      </c>
      <c r="F708" s="616">
        <v>1</v>
      </c>
      <c r="G708" s="1693">
        <v>700</v>
      </c>
      <c r="H708" s="616">
        <v>1</v>
      </c>
      <c r="I708" s="616"/>
      <c r="L708" s="9"/>
      <c r="M708" s="9"/>
      <c r="N708" s="22"/>
      <c r="O708" s="352"/>
      <c r="P708" s="353"/>
      <c r="Q708" s="68"/>
      <c r="R708" s="68"/>
      <c r="U708" s="307"/>
      <c r="V708" s="291" t="s">
        <v>223</v>
      </c>
      <c r="W708" s="1911"/>
      <c r="X708" s="2140"/>
      <c r="Y708" s="2140"/>
      <c r="Z708" s="2140"/>
      <c r="AA708" s="2140"/>
      <c r="AB708" s="2140"/>
      <c r="AC708" s="2140"/>
      <c r="AD708" s="2140"/>
      <c r="AE708" s="2140"/>
      <c r="AF708" s="2140"/>
      <c r="AG708" s="2140"/>
      <c r="AH708" s="2140"/>
      <c r="AI708" s="2140"/>
      <c r="AJ708" s="2139">
        <v>0</v>
      </c>
      <c r="AK708" s="2138">
        <v>0</v>
      </c>
      <c r="AL708" s="2138">
        <v>0</v>
      </c>
      <c r="AM708" s="2138">
        <v>0</v>
      </c>
      <c r="AN708" s="2138">
        <v>0</v>
      </c>
      <c r="AO708" s="2138">
        <v>0</v>
      </c>
      <c r="AP708" s="2138">
        <v>0</v>
      </c>
    </row>
    <row r="709" spans="1:42" s="69" customFormat="1" ht="14.5">
      <c r="A709" s="1693">
        <v>572</v>
      </c>
      <c r="B709" s="616">
        <v>1</v>
      </c>
      <c r="C709" s="1693">
        <v>589</v>
      </c>
      <c r="D709" s="616">
        <v>1</v>
      </c>
      <c r="E709" s="1693">
        <v>636</v>
      </c>
      <c r="F709" s="616">
        <v>1</v>
      </c>
      <c r="G709" s="1693">
        <v>701</v>
      </c>
      <c r="H709" s="616">
        <v>1</v>
      </c>
      <c r="I709" s="616"/>
      <c r="L709" s="9"/>
      <c r="M709" s="9"/>
      <c r="N709" s="22"/>
      <c r="O709" s="352"/>
      <c r="P709" s="353"/>
      <c r="Q709" s="68"/>
      <c r="R709" s="68"/>
      <c r="U709" s="231"/>
      <c r="V709" s="229" t="s">
        <v>1089</v>
      </c>
      <c r="W709" s="1911"/>
      <c r="X709" s="2021"/>
      <c r="Y709" s="2021"/>
      <c r="Z709" s="2021"/>
      <c r="AA709" s="2021"/>
      <c r="AB709" s="2021"/>
      <c r="AC709" s="2021"/>
      <c r="AD709" s="2021"/>
      <c r="AE709" s="2021"/>
      <c r="AF709" s="2021"/>
      <c r="AG709" s="2021"/>
      <c r="AH709" s="2021"/>
      <c r="AI709" s="2021"/>
      <c r="AJ709" s="2147">
        <v>0</v>
      </c>
      <c r="AK709" s="579">
        <v>0</v>
      </c>
      <c r="AL709" s="579">
        <v>0</v>
      </c>
      <c r="AM709" s="579">
        <v>0</v>
      </c>
      <c r="AN709" s="579">
        <v>0</v>
      </c>
      <c r="AO709" s="579">
        <v>0</v>
      </c>
      <c r="AP709" s="579">
        <v>0</v>
      </c>
    </row>
    <row r="710" spans="1:42" s="69" customFormat="1" ht="14.5">
      <c r="A710" s="1693">
        <v>573</v>
      </c>
      <c r="B710" s="616">
        <v>1</v>
      </c>
      <c r="C710" s="1693">
        <v>590</v>
      </c>
      <c r="D710" s="616">
        <v>1</v>
      </c>
      <c r="E710" s="1693">
        <v>637</v>
      </c>
      <c r="F710" s="616">
        <v>1</v>
      </c>
      <c r="G710" s="1693">
        <v>702</v>
      </c>
      <c r="H710" s="616">
        <v>1</v>
      </c>
      <c r="I710" s="616"/>
      <c r="L710" s="9"/>
      <c r="M710" s="9"/>
      <c r="N710" s="22"/>
      <c r="O710" s="352"/>
      <c r="P710" s="353"/>
      <c r="Q710" s="68"/>
      <c r="R710" s="68"/>
      <c r="T710" s="211"/>
      <c r="U710" s="232"/>
      <c r="V710" s="228" t="s">
        <v>224</v>
      </c>
      <c r="W710" s="1911"/>
      <c r="X710" s="2153"/>
      <c r="Y710" s="2153"/>
      <c r="Z710" s="2153"/>
      <c r="AA710" s="2153"/>
      <c r="AB710" s="2153"/>
      <c r="AC710" s="2153"/>
      <c r="AD710" s="2153"/>
      <c r="AE710" s="2153"/>
      <c r="AF710" s="2153"/>
      <c r="AG710" s="2153"/>
      <c r="AH710" s="2153"/>
      <c r="AI710" s="2153"/>
      <c r="AJ710" s="2147">
        <v>0</v>
      </c>
      <c r="AK710" s="579">
        <v>0</v>
      </c>
      <c r="AL710" s="579">
        <v>0</v>
      </c>
      <c r="AM710" s="579">
        <v>0</v>
      </c>
      <c r="AN710" s="579">
        <v>0</v>
      </c>
      <c r="AO710" s="579">
        <v>0</v>
      </c>
      <c r="AP710" s="579">
        <v>0</v>
      </c>
    </row>
    <row r="711" spans="1:42" s="69" customFormat="1" ht="14.5">
      <c r="A711" s="1693">
        <v>574</v>
      </c>
      <c r="B711" s="616">
        <v>1</v>
      </c>
      <c r="C711" s="1693">
        <v>591</v>
      </c>
      <c r="D711" s="616">
        <v>1</v>
      </c>
      <c r="E711" s="1693">
        <v>638</v>
      </c>
      <c r="F711" s="616">
        <v>1</v>
      </c>
      <c r="G711" s="1693">
        <v>703</v>
      </c>
      <c r="H711" s="616">
        <v>1</v>
      </c>
      <c r="I711" s="616"/>
      <c r="L711" s="9"/>
      <c r="M711" s="9"/>
      <c r="N711" s="22"/>
      <c r="O711" s="352"/>
      <c r="P711" s="353"/>
      <c r="Q711" s="68"/>
      <c r="R711" s="68"/>
      <c r="T711" s="2195" t="s">
        <v>1100</v>
      </c>
      <c r="U711" s="293"/>
      <c r="V711" s="293"/>
      <c r="W711" s="1851"/>
      <c r="X711" s="1987">
        <v>0</v>
      </c>
      <c r="Y711" s="1987">
        <v>0</v>
      </c>
      <c r="Z711" s="1987">
        <v>0</v>
      </c>
      <c r="AA711" s="1987">
        <v>0</v>
      </c>
      <c r="AB711" s="1987">
        <v>0</v>
      </c>
      <c r="AC711" s="1987">
        <v>0</v>
      </c>
      <c r="AD711" s="1987">
        <v>0</v>
      </c>
      <c r="AE711" s="1987">
        <v>0</v>
      </c>
      <c r="AF711" s="1987">
        <v>0</v>
      </c>
      <c r="AG711" s="1987">
        <v>0</v>
      </c>
      <c r="AH711" s="1987">
        <v>0</v>
      </c>
      <c r="AI711" s="1987">
        <v>0</v>
      </c>
      <c r="AJ711" s="2144">
        <v>0</v>
      </c>
      <c r="AK711" s="1987">
        <v>0</v>
      </c>
      <c r="AL711" s="1987">
        <v>0</v>
      </c>
      <c r="AM711" s="1987">
        <v>0</v>
      </c>
      <c r="AN711" s="1987">
        <v>0</v>
      </c>
      <c r="AO711" s="1987">
        <v>0</v>
      </c>
      <c r="AP711" s="1987">
        <v>0</v>
      </c>
    </row>
    <row r="712" spans="1:42" s="69" customFormat="1" ht="14.5">
      <c r="A712" s="1693">
        <v>575</v>
      </c>
      <c r="B712" s="616">
        <v>1</v>
      </c>
      <c r="C712" s="1693">
        <v>592</v>
      </c>
      <c r="D712" s="616">
        <v>1</v>
      </c>
      <c r="E712" s="1693">
        <v>639</v>
      </c>
      <c r="F712" s="616">
        <v>1</v>
      </c>
      <c r="G712" s="1693">
        <v>704</v>
      </c>
      <c r="H712" s="616">
        <v>1</v>
      </c>
      <c r="I712" s="616"/>
      <c r="L712" s="9"/>
      <c r="M712" s="9"/>
      <c r="N712" s="22"/>
      <c r="O712" s="352"/>
      <c r="P712" s="353"/>
      <c r="Q712" s="68"/>
      <c r="R712" s="68"/>
      <c r="T712" s="231"/>
      <c r="U712" s="307"/>
      <c r="V712" s="307" t="s">
        <v>223</v>
      </c>
      <c r="W712" s="1911"/>
      <c r="X712" s="2140"/>
      <c r="Y712" s="2140"/>
      <c r="Z712" s="2140"/>
      <c r="AA712" s="2140"/>
      <c r="AB712" s="2140"/>
      <c r="AC712" s="2140"/>
      <c r="AD712" s="2140"/>
      <c r="AE712" s="2140"/>
      <c r="AF712" s="2140"/>
      <c r="AG712" s="2140"/>
      <c r="AH712" s="2140"/>
      <c r="AI712" s="2140"/>
      <c r="AJ712" s="2139">
        <v>0</v>
      </c>
      <c r="AK712" s="2138">
        <v>0</v>
      </c>
      <c r="AL712" s="2138">
        <v>0</v>
      </c>
      <c r="AM712" s="2138">
        <v>0</v>
      </c>
      <c r="AN712" s="2138">
        <v>0</v>
      </c>
      <c r="AO712" s="2138">
        <v>0</v>
      </c>
      <c r="AP712" s="2138">
        <v>0</v>
      </c>
    </row>
    <row r="713" spans="1:42" s="69" customFormat="1" ht="14.5">
      <c r="A713" s="1693">
        <v>576</v>
      </c>
      <c r="B713" s="616">
        <v>1</v>
      </c>
      <c r="C713" s="1693">
        <v>593</v>
      </c>
      <c r="D713" s="616">
        <v>1</v>
      </c>
      <c r="E713" s="1693">
        <v>640</v>
      </c>
      <c r="F713" s="616">
        <v>1</v>
      </c>
      <c r="G713" s="1693">
        <v>705</v>
      </c>
      <c r="H713" s="616">
        <v>1</v>
      </c>
      <c r="I713" s="616"/>
      <c r="L713" s="9"/>
      <c r="M713" s="9"/>
      <c r="N713" s="22"/>
      <c r="O713" s="352"/>
      <c r="P713" s="353"/>
      <c r="Q713" s="68"/>
      <c r="R713" s="68"/>
      <c r="T713" s="232"/>
      <c r="U713" s="232"/>
      <c r="V713" s="232" t="s">
        <v>224</v>
      </c>
      <c r="W713" s="1911"/>
      <c r="X713" s="2153"/>
      <c r="Y713" s="2153"/>
      <c r="Z713" s="2153"/>
      <c r="AA713" s="2153"/>
      <c r="AB713" s="2153"/>
      <c r="AC713" s="2153"/>
      <c r="AD713" s="2153"/>
      <c r="AE713" s="2153"/>
      <c r="AF713" s="2153"/>
      <c r="AG713" s="2153"/>
      <c r="AH713" s="2153"/>
      <c r="AI713" s="2153"/>
      <c r="AJ713" s="2147">
        <v>0</v>
      </c>
      <c r="AK713" s="579">
        <v>0</v>
      </c>
      <c r="AL713" s="579">
        <v>0</v>
      </c>
      <c r="AM713" s="579">
        <v>0</v>
      </c>
      <c r="AN713" s="579">
        <v>0</v>
      </c>
      <c r="AO713" s="579">
        <v>0</v>
      </c>
      <c r="AP713" s="579">
        <v>0</v>
      </c>
    </row>
    <row r="714" spans="1:42" s="69" customFormat="1" ht="14.5">
      <c r="A714" s="1693">
        <v>577</v>
      </c>
      <c r="B714" s="616">
        <v>1</v>
      </c>
      <c r="C714" s="1693">
        <v>594</v>
      </c>
      <c r="D714" s="616">
        <v>1</v>
      </c>
      <c r="E714" s="1693">
        <v>641</v>
      </c>
      <c r="F714" s="616">
        <v>1</v>
      </c>
      <c r="G714" s="1693">
        <v>706</v>
      </c>
      <c r="H714" s="616">
        <v>1</v>
      </c>
      <c r="I714" s="616"/>
      <c r="L714" s="9"/>
      <c r="M714" s="9"/>
      <c r="N714" s="22"/>
      <c r="O714" s="352"/>
      <c r="P714" s="353"/>
      <c r="Q714" s="68"/>
      <c r="R714" s="68"/>
      <c r="T714" s="231" t="s">
        <v>1105</v>
      </c>
      <c r="U714" s="231"/>
      <c r="V714" s="232"/>
      <c r="W714" s="1911"/>
      <c r="X714" s="2153"/>
      <c r="Y714" s="2153"/>
      <c r="Z714" s="2153"/>
      <c r="AA714" s="2153"/>
      <c r="AB714" s="2153"/>
      <c r="AC714" s="2153"/>
      <c r="AD714" s="2153"/>
      <c r="AE714" s="2153"/>
      <c r="AF714" s="2153"/>
      <c r="AG714" s="2153"/>
      <c r="AH714" s="2153"/>
      <c r="AI714" s="2153"/>
      <c r="AJ714" s="2147">
        <v>0</v>
      </c>
      <c r="AK714" s="579">
        <v>0</v>
      </c>
      <c r="AL714" s="579">
        <v>0</v>
      </c>
      <c r="AM714" s="579">
        <v>0</v>
      </c>
      <c r="AN714" s="579">
        <v>0</v>
      </c>
      <c r="AO714" s="579">
        <v>0</v>
      </c>
      <c r="AP714" s="579">
        <v>0</v>
      </c>
    </row>
    <row r="715" spans="1:42" ht="14.5">
      <c r="A715" s="1693">
        <v>578</v>
      </c>
      <c r="B715" s="616">
        <v>1</v>
      </c>
      <c r="C715" s="1693">
        <v>595</v>
      </c>
      <c r="D715" s="616">
        <v>1</v>
      </c>
      <c r="E715" s="1693">
        <v>642</v>
      </c>
      <c r="F715" s="616">
        <v>1</v>
      </c>
      <c r="G715" s="1693">
        <v>707</v>
      </c>
      <c r="H715" s="616">
        <v>1</v>
      </c>
      <c r="K715" s="69"/>
      <c r="O715" s="352"/>
      <c r="P715" s="353"/>
      <c r="Q715" s="67"/>
      <c r="R715" s="67"/>
      <c r="S715" s="211"/>
      <c r="T715" s="2191" t="s">
        <v>2</v>
      </c>
      <c r="U715" s="2191"/>
      <c r="V715" s="2191"/>
      <c r="W715" s="1911"/>
      <c r="X715" s="2148"/>
      <c r="Y715" s="2148"/>
      <c r="Z715" s="2148"/>
      <c r="AA715" s="2148"/>
      <c r="AB715" s="2148"/>
      <c r="AC715" s="2148"/>
      <c r="AD715" s="2148"/>
      <c r="AE715" s="2148"/>
      <c r="AF715" s="2148"/>
      <c r="AG715" s="2148"/>
      <c r="AH715" s="2148"/>
      <c r="AI715" s="2148"/>
      <c r="AJ715" s="2196">
        <v>0</v>
      </c>
      <c r="AK715" s="2197">
        <v>0</v>
      </c>
      <c r="AL715" s="2197">
        <v>0</v>
      </c>
      <c r="AM715" s="2197">
        <v>0</v>
      </c>
      <c r="AN715" s="2197">
        <v>0</v>
      </c>
      <c r="AO715" s="2197">
        <v>0</v>
      </c>
      <c r="AP715" s="2197">
        <v>0</v>
      </c>
    </row>
    <row r="716" spans="1:42" ht="14.5">
      <c r="A716" s="1693">
        <v>579</v>
      </c>
      <c r="B716" s="616">
        <v>1</v>
      </c>
      <c r="C716" s="1693">
        <v>596</v>
      </c>
      <c r="D716" s="616">
        <v>1</v>
      </c>
      <c r="E716" s="1693">
        <v>643</v>
      </c>
      <c r="F716" s="616">
        <v>1</v>
      </c>
      <c r="G716" s="1693">
        <v>708</v>
      </c>
      <c r="H716" s="616">
        <v>1</v>
      </c>
      <c r="K716" s="69"/>
      <c r="O716" s="352"/>
      <c r="P716" s="353"/>
      <c r="Q716" s="63" t="s">
        <v>1019</v>
      </c>
      <c r="R716" s="63"/>
      <c r="S716" s="495"/>
      <c r="T716" s="495"/>
      <c r="U716" s="495"/>
      <c r="V716" s="583"/>
      <c r="W716" s="2187"/>
      <c r="X716" s="2188">
        <v>0</v>
      </c>
      <c r="Y716" s="2188">
        <v>0</v>
      </c>
      <c r="Z716" s="2188">
        <v>0</v>
      </c>
      <c r="AA716" s="2188">
        <v>0</v>
      </c>
      <c r="AB716" s="2188">
        <v>0</v>
      </c>
      <c r="AC716" s="2188">
        <v>0</v>
      </c>
      <c r="AD716" s="2188">
        <v>0</v>
      </c>
      <c r="AE716" s="2188">
        <v>0</v>
      </c>
      <c r="AF716" s="2188">
        <v>0</v>
      </c>
      <c r="AG716" s="2188">
        <v>0</v>
      </c>
      <c r="AH716" s="2188">
        <v>0</v>
      </c>
      <c r="AI716" s="2188">
        <v>0</v>
      </c>
      <c r="AJ716" s="2189">
        <v>0</v>
      </c>
      <c r="AK716" s="2188">
        <v>0</v>
      </c>
      <c r="AL716" s="2188">
        <v>0</v>
      </c>
      <c r="AM716" s="2188">
        <v>0</v>
      </c>
      <c r="AN716" s="2188">
        <v>0</v>
      </c>
      <c r="AO716" s="2188">
        <v>0</v>
      </c>
      <c r="AP716" s="2188">
        <v>0</v>
      </c>
    </row>
    <row r="717" spans="1:42" ht="14.5">
      <c r="A717" s="1693">
        <v>580</v>
      </c>
      <c r="B717" s="616">
        <v>1</v>
      </c>
      <c r="C717" s="1693">
        <v>597</v>
      </c>
      <c r="D717" s="616">
        <v>1</v>
      </c>
      <c r="E717" s="1693">
        <v>644</v>
      </c>
      <c r="F717" s="616">
        <v>1</v>
      </c>
      <c r="G717" s="1693">
        <v>709</v>
      </c>
      <c r="H717" s="616">
        <v>1</v>
      </c>
      <c r="K717" s="69"/>
      <c r="O717" s="352"/>
      <c r="P717" s="353"/>
      <c r="Q717" s="68"/>
      <c r="R717" s="68"/>
      <c r="S717" s="69" t="s">
        <v>1033</v>
      </c>
      <c r="T717" s="302"/>
      <c r="U717" s="302"/>
      <c r="V717" s="302"/>
      <c r="W717" s="1899"/>
      <c r="X717" s="1971">
        <v>0</v>
      </c>
      <c r="Y717" s="1971">
        <v>0</v>
      </c>
      <c r="Z717" s="1971">
        <v>0</v>
      </c>
      <c r="AA717" s="1971">
        <v>0</v>
      </c>
      <c r="AB717" s="1971">
        <v>0</v>
      </c>
      <c r="AC717" s="1971">
        <v>0</v>
      </c>
      <c r="AD717" s="1971">
        <v>0</v>
      </c>
      <c r="AE717" s="1971">
        <v>0</v>
      </c>
      <c r="AF717" s="1971">
        <v>0</v>
      </c>
      <c r="AG717" s="1971">
        <v>0</v>
      </c>
      <c r="AH717" s="1971">
        <v>0</v>
      </c>
      <c r="AI717" s="1971">
        <v>0</v>
      </c>
      <c r="AJ717" s="2137">
        <v>0</v>
      </c>
      <c r="AK717" s="1971">
        <v>0</v>
      </c>
      <c r="AL717" s="1971">
        <v>0</v>
      </c>
      <c r="AM717" s="1971">
        <v>0</v>
      </c>
      <c r="AN717" s="1971">
        <v>0</v>
      </c>
      <c r="AO717" s="1971">
        <v>0</v>
      </c>
      <c r="AP717" s="1971">
        <v>0</v>
      </c>
    </row>
    <row r="718" spans="1:42" ht="14.5">
      <c r="A718" s="1693">
        <v>581</v>
      </c>
      <c r="B718" s="616">
        <v>1</v>
      </c>
      <c r="C718" s="1693">
        <v>598</v>
      </c>
      <c r="D718" s="616">
        <v>1</v>
      </c>
      <c r="E718" s="1693">
        <v>645</v>
      </c>
      <c r="F718" s="616">
        <v>1</v>
      </c>
      <c r="G718" s="1693">
        <v>710</v>
      </c>
      <c r="H718" s="616">
        <v>1</v>
      </c>
      <c r="K718" s="69"/>
      <c r="O718" s="352"/>
      <c r="P718" s="353"/>
      <c r="Q718" s="68"/>
      <c r="R718" s="68"/>
      <c r="S718" s="69"/>
      <c r="T718" s="740" t="s">
        <v>587</v>
      </c>
      <c r="U718" s="296"/>
      <c r="V718" s="296"/>
      <c r="W718" s="1911"/>
      <c r="X718" s="2140"/>
      <c r="Y718" s="2140"/>
      <c r="Z718" s="2140"/>
      <c r="AA718" s="2140"/>
      <c r="AB718" s="2140"/>
      <c r="AC718" s="2140"/>
      <c r="AD718" s="2140"/>
      <c r="AE718" s="2140"/>
      <c r="AF718" s="2140"/>
      <c r="AG718" s="2140"/>
      <c r="AH718" s="2140"/>
      <c r="AI718" s="2140"/>
      <c r="AJ718" s="2160">
        <v>0</v>
      </c>
      <c r="AK718" s="2161">
        <v>0</v>
      </c>
      <c r="AL718" s="2161">
        <v>0</v>
      </c>
      <c r="AM718" s="2161">
        <v>0</v>
      </c>
      <c r="AN718" s="2161">
        <v>0</v>
      </c>
      <c r="AO718" s="2161">
        <v>0</v>
      </c>
      <c r="AP718" s="2161">
        <v>0</v>
      </c>
    </row>
    <row r="719" spans="1:42" ht="14.5">
      <c r="A719" s="1693">
        <v>582</v>
      </c>
      <c r="B719" s="616">
        <v>1</v>
      </c>
      <c r="C719" s="1693">
        <v>599</v>
      </c>
      <c r="D719" s="616">
        <v>1</v>
      </c>
      <c r="E719" s="1693">
        <v>646</v>
      </c>
      <c r="F719" s="616">
        <v>1</v>
      </c>
      <c r="G719" s="1693">
        <v>711</v>
      </c>
      <c r="H719" s="616">
        <v>1</v>
      </c>
      <c r="K719" s="69"/>
      <c r="O719" s="352"/>
      <c r="P719" s="353"/>
      <c r="Q719" s="68"/>
      <c r="R719" s="68"/>
      <c r="S719" s="69"/>
      <c r="T719" s="69" t="s">
        <v>1034</v>
      </c>
      <c r="U719" s="69"/>
      <c r="V719" s="69"/>
      <c r="W719" s="1911"/>
      <c r="X719" s="2021"/>
      <c r="Y719" s="2021"/>
      <c r="Z719" s="2021"/>
      <c r="AA719" s="2021"/>
      <c r="AB719" s="2021"/>
      <c r="AC719" s="2021"/>
      <c r="AD719" s="2021"/>
      <c r="AE719" s="2021"/>
      <c r="AF719" s="2021"/>
      <c r="AG719" s="2021"/>
      <c r="AH719" s="2021"/>
      <c r="AI719" s="2021"/>
      <c r="AJ719" s="1925">
        <v>0</v>
      </c>
      <c r="AK719" s="1926">
        <v>0</v>
      </c>
      <c r="AL719" s="1926">
        <v>0</v>
      </c>
      <c r="AM719" s="1926">
        <v>0</v>
      </c>
      <c r="AN719" s="1926">
        <v>0</v>
      </c>
      <c r="AO719" s="1926">
        <v>0</v>
      </c>
      <c r="AP719" s="1926">
        <v>0</v>
      </c>
    </row>
    <row r="720" spans="1:42" ht="14.5">
      <c r="A720" s="1693">
        <v>583</v>
      </c>
      <c r="B720" s="616">
        <v>1</v>
      </c>
      <c r="C720" s="1693">
        <v>600</v>
      </c>
      <c r="D720" s="616">
        <v>1</v>
      </c>
      <c r="E720" s="1693">
        <v>647</v>
      </c>
      <c r="F720" s="616">
        <v>1</v>
      </c>
      <c r="G720" s="1693">
        <v>712</v>
      </c>
      <c r="H720" s="616">
        <v>1</v>
      </c>
      <c r="K720" s="69"/>
      <c r="O720" s="352"/>
      <c r="P720" s="353"/>
      <c r="Q720" s="68"/>
      <c r="R720" s="68"/>
      <c r="S720" s="69"/>
      <c r="T720" s="69" t="s">
        <v>1035</v>
      </c>
      <c r="U720" s="69"/>
      <c r="V720" s="69"/>
      <c r="W720" s="1911"/>
      <c r="X720" s="2021"/>
      <c r="Y720" s="2021"/>
      <c r="Z720" s="2021"/>
      <c r="AA720" s="2021"/>
      <c r="AB720" s="2021"/>
      <c r="AC720" s="2021"/>
      <c r="AD720" s="2021"/>
      <c r="AE720" s="2021"/>
      <c r="AF720" s="2021"/>
      <c r="AG720" s="2021"/>
      <c r="AH720" s="2021"/>
      <c r="AI720" s="2021"/>
      <c r="AJ720" s="1925">
        <v>0</v>
      </c>
      <c r="AK720" s="1926">
        <v>0</v>
      </c>
      <c r="AL720" s="1926">
        <v>0</v>
      </c>
      <c r="AM720" s="1926">
        <v>0</v>
      </c>
      <c r="AN720" s="1926">
        <v>0</v>
      </c>
      <c r="AO720" s="1926">
        <v>0</v>
      </c>
      <c r="AP720" s="1926">
        <v>0</v>
      </c>
    </row>
    <row r="721" spans="1:42" ht="14.5">
      <c r="A721" s="1693">
        <v>584</v>
      </c>
      <c r="B721" s="616">
        <v>1</v>
      </c>
      <c r="C721" s="1693">
        <v>601</v>
      </c>
      <c r="D721" s="616">
        <v>1</v>
      </c>
      <c r="E721" s="1693">
        <v>648</v>
      </c>
      <c r="F721" s="616">
        <v>1</v>
      </c>
      <c r="G721" s="1693">
        <v>713</v>
      </c>
      <c r="H721" s="616">
        <v>1</v>
      </c>
      <c r="K721" s="69"/>
      <c r="O721" s="352"/>
      <c r="P721" s="353"/>
      <c r="Q721" s="68"/>
      <c r="R721" s="68"/>
      <c r="S721" s="69"/>
      <c r="T721" s="69" t="s">
        <v>1036</v>
      </c>
      <c r="U721" s="69"/>
      <c r="V721" s="69"/>
      <c r="W721" s="1911"/>
      <c r="X721" s="2021"/>
      <c r="Y721" s="2021"/>
      <c r="Z721" s="2021"/>
      <c r="AA721" s="2021"/>
      <c r="AB721" s="2021"/>
      <c r="AC721" s="2021"/>
      <c r="AD721" s="2021"/>
      <c r="AE721" s="2021"/>
      <c r="AF721" s="2021"/>
      <c r="AG721" s="2021"/>
      <c r="AH721" s="2021"/>
      <c r="AI721" s="2021"/>
      <c r="AJ721" s="1925">
        <v>0</v>
      </c>
      <c r="AK721" s="1926">
        <v>0</v>
      </c>
      <c r="AL721" s="1926">
        <v>0</v>
      </c>
      <c r="AM721" s="1926">
        <v>0</v>
      </c>
      <c r="AN721" s="1926">
        <v>0</v>
      </c>
      <c r="AO721" s="1926">
        <v>0</v>
      </c>
      <c r="AP721" s="1926">
        <v>0</v>
      </c>
    </row>
    <row r="722" spans="1:42" ht="14.5">
      <c r="A722" s="1693">
        <v>585</v>
      </c>
      <c r="B722" s="616">
        <v>1</v>
      </c>
      <c r="C722" s="1693">
        <v>602</v>
      </c>
      <c r="D722" s="616">
        <v>1</v>
      </c>
      <c r="E722" s="1693">
        <v>649</v>
      </c>
      <c r="F722" s="616">
        <v>1</v>
      </c>
      <c r="G722" s="1693">
        <v>714</v>
      </c>
      <c r="H722" s="616">
        <v>1</v>
      </c>
      <c r="K722" s="69"/>
      <c r="O722" s="352"/>
      <c r="P722" s="353"/>
      <c r="Q722" s="68"/>
      <c r="R722" s="68"/>
      <c r="S722" s="69"/>
      <c r="T722" s="69" t="s">
        <v>479</v>
      </c>
      <c r="U722" s="69"/>
      <c r="V722" s="69"/>
      <c r="W722" s="1911"/>
      <c r="X722" s="2021"/>
      <c r="Y722" s="2021"/>
      <c r="Z722" s="2021"/>
      <c r="AA722" s="2021"/>
      <c r="AB722" s="2021"/>
      <c r="AC722" s="2021"/>
      <c r="AD722" s="2021"/>
      <c r="AE722" s="2021"/>
      <c r="AF722" s="2021"/>
      <c r="AG722" s="2021"/>
      <c r="AH722" s="2021"/>
      <c r="AI722" s="2021"/>
      <c r="AJ722" s="1925">
        <v>0</v>
      </c>
      <c r="AK722" s="1926">
        <v>0</v>
      </c>
      <c r="AL722" s="1926">
        <v>0</v>
      </c>
      <c r="AM722" s="1926">
        <v>0</v>
      </c>
      <c r="AN722" s="1926">
        <v>0</v>
      </c>
      <c r="AO722" s="1926">
        <v>0</v>
      </c>
      <c r="AP722" s="1926">
        <v>0</v>
      </c>
    </row>
    <row r="723" spans="1:42" ht="14.5">
      <c r="A723" s="1693">
        <v>586</v>
      </c>
      <c r="B723" s="616">
        <v>1</v>
      </c>
      <c r="C723" s="1693">
        <v>603</v>
      </c>
      <c r="D723" s="616">
        <v>1</v>
      </c>
      <c r="E723" s="1693">
        <v>650</v>
      </c>
      <c r="F723" s="616">
        <v>1</v>
      </c>
      <c r="G723" s="1693">
        <v>715</v>
      </c>
      <c r="H723" s="616">
        <v>1</v>
      </c>
      <c r="K723" s="69"/>
      <c r="O723" s="352"/>
      <c r="P723" s="353"/>
      <c r="Q723" s="68"/>
      <c r="R723" s="68"/>
      <c r="S723" s="69"/>
      <c r="T723" s="211" t="s">
        <v>2</v>
      </c>
      <c r="U723" s="211"/>
      <c r="V723" s="211"/>
      <c r="W723" s="1911"/>
      <c r="X723" s="2153"/>
      <c r="Y723" s="2153"/>
      <c r="Z723" s="2153"/>
      <c r="AA723" s="2153"/>
      <c r="AB723" s="2153"/>
      <c r="AC723" s="2153"/>
      <c r="AD723" s="2153"/>
      <c r="AE723" s="2153"/>
      <c r="AF723" s="2153"/>
      <c r="AG723" s="2153"/>
      <c r="AH723" s="2153"/>
      <c r="AI723" s="2153"/>
      <c r="AJ723" s="1927">
        <v>0</v>
      </c>
      <c r="AK723" s="1928">
        <v>0</v>
      </c>
      <c r="AL723" s="1928">
        <v>0</v>
      </c>
      <c r="AM723" s="1928">
        <v>0</v>
      </c>
      <c r="AN723" s="1928">
        <v>0</v>
      </c>
      <c r="AO723" s="1928">
        <v>0</v>
      </c>
      <c r="AP723" s="1928">
        <v>0</v>
      </c>
    </row>
    <row r="724" spans="1:42" ht="14.5">
      <c r="A724" s="1693">
        <v>587</v>
      </c>
      <c r="B724" s="616">
        <v>1</v>
      </c>
      <c r="C724" s="1693">
        <v>604</v>
      </c>
      <c r="D724" s="616">
        <v>1</v>
      </c>
      <c r="E724" s="1693">
        <v>651</v>
      </c>
      <c r="F724" s="616">
        <v>1</v>
      </c>
      <c r="G724" s="1693">
        <v>716</v>
      </c>
      <c r="H724" s="616">
        <v>1</v>
      </c>
      <c r="K724" s="69"/>
      <c r="O724" s="352"/>
      <c r="P724" s="353"/>
      <c r="Q724" s="68"/>
      <c r="R724" s="68"/>
      <c r="S724" s="786" t="s">
        <v>27</v>
      </c>
      <c r="T724" s="786"/>
      <c r="U724" s="786"/>
      <c r="V724" s="786"/>
      <c r="W724" s="1899"/>
      <c r="X724" s="1683">
        <v>0</v>
      </c>
      <c r="Y724" s="1683">
        <v>0</v>
      </c>
      <c r="Z724" s="1683">
        <v>0</v>
      </c>
      <c r="AA724" s="1683">
        <v>0</v>
      </c>
      <c r="AB724" s="1683">
        <v>0</v>
      </c>
      <c r="AC724" s="1683">
        <v>0</v>
      </c>
      <c r="AD724" s="1683">
        <v>0</v>
      </c>
      <c r="AE724" s="1683">
        <v>0</v>
      </c>
      <c r="AF724" s="1683">
        <v>0</v>
      </c>
      <c r="AG724" s="1683">
        <v>0</v>
      </c>
      <c r="AH724" s="1683">
        <v>0</v>
      </c>
      <c r="AI724" s="1683">
        <v>0</v>
      </c>
      <c r="AJ724" s="2198">
        <v>0</v>
      </c>
      <c r="AK724" s="1683">
        <v>0</v>
      </c>
      <c r="AL724" s="1683">
        <v>0</v>
      </c>
      <c r="AM724" s="1683">
        <v>0</v>
      </c>
      <c r="AN724" s="1683">
        <v>0</v>
      </c>
      <c r="AO724" s="1683">
        <v>0</v>
      </c>
      <c r="AP724" s="1683">
        <v>0</v>
      </c>
    </row>
    <row r="725" spans="1:42" ht="14.5">
      <c r="A725" s="1693">
        <v>588</v>
      </c>
      <c r="B725" s="616">
        <v>1</v>
      </c>
      <c r="C725" s="1693">
        <v>605</v>
      </c>
      <c r="D725" s="616">
        <v>1</v>
      </c>
      <c r="E725" s="1693">
        <v>652</v>
      </c>
      <c r="F725" s="616">
        <v>1</v>
      </c>
      <c r="G725" s="1693">
        <v>717</v>
      </c>
      <c r="H725" s="616">
        <v>1</v>
      </c>
      <c r="K725" s="69"/>
      <c r="O725" s="352"/>
      <c r="P725" s="353"/>
      <c r="Q725" s="68"/>
      <c r="R725" s="68"/>
      <c r="S725" s="69"/>
      <c r="T725" s="740" t="s">
        <v>587</v>
      </c>
      <c r="U725" s="302"/>
      <c r="V725" s="302"/>
      <c r="W725" s="1899"/>
      <c r="X725" s="1971">
        <v>0</v>
      </c>
      <c r="Y725" s="1971">
        <v>0</v>
      </c>
      <c r="Z725" s="1971">
        <v>0</v>
      </c>
      <c r="AA725" s="1971">
        <v>0</v>
      </c>
      <c r="AB725" s="1971">
        <v>0</v>
      </c>
      <c r="AC725" s="1971">
        <v>0</v>
      </c>
      <c r="AD725" s="1971">
        <v>0</v>
      </c>
      <c r="AE725" s="1971">
        <v>0</v>
      </c>
      <c r="AF725" s="1971">
        <v>0</v>
      </c>
      <c r="AG725" s="1971">
        <v>0</v>
      </c>
      <c r="AH725" s="1971">
        <v>0</v>
      </c>
      <c r="AI725" s="1971">
        <v>0</v>
      </c>
      <c r="AJ725" s="2137">
        <v>0</v>
      </c>
      <c r="AK725" s="1971">
        <v>0</v>
      </c>
      <c r="AL725" s="1971">
        <v>0</v>
      </c>
      <c r="AM725" s="1971">
        <v>0</v>
      </c>
      <c r="AN725" s="1971">
        <v>0</v>
      </c>
      <c r="AO725" s="1971">
        <v>0</v>
      </c>
      <c r="AP725" s="1971">
        <v>0</v>
      </c>
    </row>
    <row r="726" spans="1:42" ht="14.5">
      <c r="A726" s="1693">
        <v>589</v>
      </c>
      <c r="B726" s="616">
        <v>1</v>
      </c>
      <c r="C726" s="1693">
        <v>606</v>
      </c>
      <c r="D726" s="616">
        <v>1</v>
      </c>
      <c r="E726" s="1693">
        <v>653</v>
      </c>
      <c r="F726" s="616">
        <v>1</v>
      </c>
      <c r="G726" s="1693">
        <v>718</v>
      </c>
      <c r="H726" s="616">
        <v>1</v>
      </c>
      <c r="K726" s="69"/>
      <c r="O726" s="352"/>
      <c r="P726" s="353"/>
      <c r="Q726" s="68"/>
      <c r="R726" s="68"/>
      <c r="S726" s="69"/>
      <c r="T726" s="69"/>
      <c r="U726" s="740" t="s">
        <v>587</v>
      </c>
      <c r="V726" s="305"/>
      <c r="W726" s="1911"/>
      <c r="X726" s="2192"/>
      <c r="Y726" s="2192"/>
      <c r="Z726" s="2192"/>
      <c r="AA726" s="2192"/>
      <c r="AB726" s="2192"/>
      <c r="AC726" s="2192"/>
      <c r="AD726" s="2192"/>
      <c r="AE726" s="2192"/>
      <c r="AF726" s="2192"/>
      <c r="AG726" s="2192"/>
      <c r="AH726" s="2192"/>
      <c r="AI726" s="2192"/>
      <c r="AJ726" s="2193">
        <v>0</v>
      </c>
      <c r="AK726" s="2194">
        <v>0</v>
      </c>
      <c r="AL726" s="2194">
        <v>0</v>
      </c>
      <c r="AM726" s="2194">
        <v>0</v>
      </c>
      <c r="AN726" s="2194">
        <v>0</v>
      </c>
      <c r="AO726" s="2194">
        <v>0</v>
      </c>
      <c r="AP726" s="2194">
        <v>0</v>
      </c>
    </row>
    <row r="727" spans="1:42" s="69" customFormat="1" ht="14.5">
      <c r="A727" s="1693">
        <v>590</v>
      </c>
      <c r="B727" s="616">
        <v>1</v>
      </c>
      <c r="C727" s="1693">
        <v>607</v>
      </c>
      <c r="D727" s="616">
        <v>1</v>
      </c>
      <c r="E727" s="1693">
        <v>654</v>
      </c>
      <c r="F727" s="616">
        <v>1</v>
      </c>
      <c r="G727" s="1693">
        <v>719</v>
      </c>
      <c r="H727" s="616">
        <v>1</v>
      </c>
      <c r="I727" s="616"/>
      <c r="L727" s="9"/>
      <c r="M727" s="9"/>
      <c r="N727" s="22"/>
      <c r="O727" s="352"/>
      <c r="P727" s="353"/>
      <c r="Q727" s="68"/>
      <c r="R727" s="68"/>
      <c r="U727" s="306" t="s">
        <v>1103</v>
      </c>
      <c r="V727" s="306"/>
      <c r="W727" s="1851"/>
      <c r="X727" s="2145">
        <v>0</v>
      </c>
      <c r="Y727" s="2145">
        <v>0</v>
      </c>
      <c r="Z727" s="2145">
        <v>0</v>
      </c>
      <c r="AA727" s="2145">
        <v>0</v>
      </c>
      <c r="AB727" s="2145">
        <v>0</v>
      </c>
      <c r="AC727" s="2145">
        <v>0</v>
      </c>
      <c r="AD727" s="2145">
        <v>0</v>
      </c>
      <c r="AE727" s="2145">
        <v>0</v>
      </c>
      <c r="AF727" s="2145">
        <v>0</v>
      </c>
      <c r="AG727" s="2145">
        <v>0</v>
      </c>
      <c r="AH727" s="2145">
        <v>0</v>
      </c>
      <c r="AI727" s="2145">
        <v>0</v>
      </c>
      <c r="AJ727" s="2146">
        <v>0</v>
      </c>
      <c r="AK727" s="2145">
        <v>0</v>
      </c>
      <c r="AL727" s="2145">
        <v>0</v>
      </c>
      <c r="AM727" s="2145">
        <v>0</v>
      </c>
      <c r="AN727" s="2145">
        <v>0</v>
      </c>
      <c r="AO727" s="2145">
        <v>0</v>
      </c>
      <c r="AP727" s="2145">
        <v>0</v>
      </c>
    </row>
    <row r="728" spans="1:42" s="69" customFormat="1" ht="14.5">
      <c r="A728" s="1693">
        <v>591</v>
      </c>
      <c r="B728" s="616">
        <v>1</v>
      </c>
      <c r="C728" s="1693">
        <v>608</v>
      </c>
      <c r="D728" s="616">
        <v>1</v>
      </c>
      <c r="E728" s="1693">
        <v>655</v>
      </c>
      <c r="F728" s="616">
        <v>1</v>
      </c>
      <c r="G728" s="1693">
        <v>720</v>
      </c>
      <c r="H728" s="616">
        <v>1</v>
      </c>
      <c r="I728" s="616"/>
      <c r="L728" s="9"/>
      <c r="M728" s="9"/>
      <c r="N728" s="22"/>
      <c r="O728" s="352"/>
      <c r="P728" s="353"/>
      <c r="Q728" s="68"/>
      <c r="R728" s="68"/>
      <c r="U728" s="307"/>
      <c r="V728" s="291" t="s">
        <v>223</v>
      </c>
      <c r="W728" s="1911"/>
      <c r="X728" s="2140"/>
      <c r="Y728" s="2140"/>
      <c r="Z728" s="2140"/>
      <c r="AA728" s="2140"/>
      <c r="AB728" s="2140"/>
      <c r="AC728" s="2140"/>
      <c r="AD728" s="2140"/>
      <c r="AE728" s="2140"/>
      <c r="AF728" s="2140"/>
      <c r="AG728" s="2140"/>
      <c r="AH728" s="2140"/>
      <c r="AI728" s="2140"/>
      <c r="AJ728" s="2139">
        <v>0</v>
      </c>
      <c r="AK728" s="2138">
        <v>0</v>
      </c>
      <c r="AL728" s="2138">
        <v>0</v>
      </c>
      <c r="AM728" s="2138">
        <v>0</v>
      </c>
      <c r="AN728" s="2138">
        <v>0</v>
      </c>
      <c r="AO728" s="2138">
        <v>0</v>
      </c>
      <c r="AP728" s="2138">
        <v>0</v>
      </c>
    </row>
    <row r="729" spans="1:42" s="69" customFormat="1" ht="14.5">
      <c r="A729" s="1693">
        <v>592</v>
      </c>
      <c r="B729" s="616">
        <v>1</v>
      </c>
      <c r="C729" s="1693">
        <v>609</v>
      </c>
      <c r="D729" s="616">
        <v>1</v>
      </c>
      <c r="E729" s="1693">
        <v>656</v>
      </c>
      <c r="F729" s="616">
        <v>1</v>
      </c>
      <c r="G729" s="1693">
        <v>721</v>
      </c>
      <c r="H729" s="616">
        <v>1</v>
      </c>
      <c r="I729" s="616"/>
      <c r="L729" s="9"/>
      <c r="M729" s="9"/>
      <c r="N729" s="22"/>
      <c r="O729" s="352"/>
      <c r="P729" s="353"/>
      <c r="Q729" s="68"/>
      <c r="R729" s="68"/>
      <c r="U729" s="231"/>
      <c r="V729" s="229" t="s">
        <v>1089</v>
      </c>
      <c r="W729" s="1911"/>
      <c r="X729" s="2021"/>
      <c r="Y729" s="2021"/>
      <c r="Z729" s="2021"/>
      <c r="AA729" s="2021"/>
      <c r="AB729" s="2021"/>
      <c r="AC729" s="2021"/>
      <c r="AD729" s="2021"/>
      <c r="AE729" s="2021"/>
      <c r="AF729" s="2021"/>
      <c r="AG729" s="2021"/>
      <c r="AH729" s="2021"/>
      <c r="AI729" s="2021"/>
      <c r="AJ729" s="2147">
        <v>0</v>
      </c>
      <c r="AK729" s="579">
        <v>0</v>
      </c>
      <c r="AL729" s="579">
        <v>0</v>
      </c>
      <c r="AM729" s="579">
        <v>0</v>
      </c>
      <c r="AN729" s="579">
        <v>0</v>
      </c>
      <c r="AO729" s="579">
        <v>0</v>
      </c>
      <c r="AP729" s="579">
        <v>0</v>
      </c>
    </row>
    <row r="730" spans="1:42" s="69" customFormat="1" ht="14.5">
      <c r="A730" s="1693">
        <v>593</v>
      </c>
      <c r="B730" s="616">
        <v>1</v>
      </c>
      <c r="C730" s="1693">
        <v>610</v>
      </c>
      <c r="D730" s="616">
        <v>1</v>
      </c>
      <c r="E730" s="1693">
        <v>657</v>
      </c>
      <c r="F730" s="616">
        <v>1</v>
      </c>
      <c r="G730" s="1693">
        <v>722</v>
      </c>
      <c r="H730" s="616">
        <v>1</v>
      </c>
      <c r="I730" s="616"/>
      <c r="L730" s="9"/>
      <c r="M730" s="9"/>
      <c r="N730" s="22"/>
      <c r="O730" s="352"/>
      <c r="P730" s="353"/>
      <c r="Q730" s="68"/>
      <c r="R730" s="68"/>
      <c r="T730" s="211"/>
      <c r="U730" s="232"/>
      <c r="V730" s="228" t="s">
        <v>224</v>
      </c>
      <c r="W730" s="1911"/>
      <c r="X730" s="2153"/>
      <c r="Y730" s="2153"/>
      <c r="Z730" s="2153"/>
      <c r="AA730" s="2153"/>
      <c r="AB730" s="2153"/>
      <c r="AC730" s="2153"/>
      <c r="AD730" s="2153"/>
      <c r="AE730" s="2153"/>
      <c r="AF730" s="2153"/>
      <c r="AG730" s="2153"/>
      <c r="AH730" s="2153"/>
      <c r="AI730" s="2153"/>
      <c r="AJ730" s="2147">
        <v>0</v>
      </c>
      <c r="AK730" s="579">
        <v>0</v>
      </c>
      <c r="AL730" s="579">
        <v>0</v>
      </c>
      <c r="AM730" s="579">
        <v>0</v>
      </c>
      <c r="AN730" s="579">
        <v>0</v>
      </c>
      <c r="AO730" s="579">
        <v>0</v>
      </c>
      <c r="AP730" s="579">
        <v>0</v>
      </c>
    </row>
    <row r="731" spans="1:42" ht="14.5">
      <c r="A731" s="1693">
        <v>594</v>
      </c>
      <c r="B731" s="616">
        <v>1</v>
      </c>
      <c r="C731" s="1693">
        <v>611</v>
      </c>
      <c r="D731" s="616">
        <v>1</v>
      </c>
      <c r="E731" s="1693">
        <v>658</v>
      </c>
      <c r="F731" s="616">
        <v>1</v>
      </c>
      <c r="G731" s="1693">
        <v>723</v>
      </c>
      <c r="H731" s="616">
        <v>1</v>
      </c>
      <c r="K731" s="69"/>
      <c r="O731" s="352"/>
      <c r="P731" s="353"/>
      <c r="Q731" s="68"/>
      <c r="R731" s="68"/>
      <c r="S731" s="69"/>
      <c r="T731" s="69" t="s">
        <v>1034</v>
      </c>
      <c r="U731" s="302"/>
      <c r="V731" s="302"/>
      <c r="W731" s="1899"/>
      <c r="X731" s="2145">
        <v>0</v>
      </c>
      <c r="Y731" s="2145">
        <v>0</v>
      </c>
      <c r="Z731" s="2145">
        <v>0</v>
      </c>
      <c r="AA731" s="2145">
        <v>0</v>
      </c>
      <c r="AB731" s="2145">
        <v>0</v>
      </c>
      <c r="AC731" s="2145">
        <v>0</v>
      </c>
      <c r="AD731" s="2145">
        <v>0</v>
      </c>
      <c r="AE731" s="2145">
        <v>0</v>
      </c>
      <c r="AF731" s="2145">
        <v>0</v>
      </c>
      <c r="AG731" s="2145">
        <v>0</v>
      </c>
      <c r="AH731" s="2145">
        <v>0</v>
      </c>
      <c r="AI731" s="2145">
        <v>0</v>
      </c>
      <c r="AJ731" s="2146">
        <v>0</v>
      </c>
      <c r="AK731" s="2145">
        <v>0</v>
      </c>
      <c r="AL731" s="2145">
        <v>0</v>
      </c>
      <c r="AM731" s="2145">
        <v>0</v>
      </c>
      <c r="AN731" s="2145">
        <v>0</v>
      </c>
      <c r="AO731" s="2145">
        <v>0</v>
      </c>
      <c r="AP731" s="2145">
        <v>0</v>
      </c>
    </row>
    <row r="732" spans="1:42" ht="14.5">
      <c r="A732" s="1693">
        <v>595</v>
      </c>
      <c r="B732" s="616">
        <v>1</v>
      </c>
      <c r="C732" s="1693">
        <v>612</v>
      </c>
      <c r="D732" s="616">
        <v>1</v>
      </c>
      <c r="E732" s="1693">
        <v>659</v>
      </c>
      <c r="F732" s="616">
        <v>1</v>
      </c>
      <c r="G732" s="1693">
        <v>724</v>
      </c>
      <c r="H732" s="616">
        <v>1</v>
      </c>
      <c r="K732" s="69"/>
      <c r="O732" s="352"/>
      <c r="P732" s="353"/>
      <c r="Q732" s="68"/>
      <c r="R732" s="68"/>
      <c r="S732" s="69"/>
      <c r="T732" s="69"/>
      <c r="U732" s="305" t="s">
        <v>1034</v>
      </c>
      <c r="V732" s="305"/>
      <c r="W732" s="1911"/>
      <c r="X732" s="2192"/>
      <c r="Y732" s="2192"/>
      <c r="Z732" s="2192"/>
      <c r="AA732" s="2192"/>
      <c r="AB732" s="2192"/>
      <c r="AC732" s="2192"/>
      <c r="AD732" s="2192"/>
      <c r="AE732" s="2192"/>
      <c r="AF732" s="2192"/>
      <c r="AG732" s="2192"/>
      <c r="AH732" s="2192"/>
      <c r="AI732" s="2192"/>
      <c r="AJ732" s="2193">
        <v>0</v>
      </c>
      <c r="AK732" s="2194">
        <v>0</v>
      </c>
      <c r="AL732" s="2194">
        <v>0</v>
      </c>
      <c r="AM732" s="2194">
        <v>0</v>
      </c>
      <c r="AN732" s="2194">
        <v>0</v>
      </c>
      <c r="AO732" s="2194">
        <v>0</v>
      </c>
      <c r="AP732" s="2194">
        <v>0</v>
      </c>
    </row>
    <row r="733" spans="1:42" s="69" customFormat="1" ht="14.5">
      <c r="A733" s="1693">
        <v>596</v>
      </c>
      <c r="B733" s="616">
        <v>1</v>
      </c>
      <c r="C733" s="1693">
        <v>613</v>
      </c>
      <c r="D733" s="616">
        <v>1</v>
      </c>
      <c r="E733" s="1693">
        <v>660</v>
      </c>
      <c r="F733" s="616">
        <v>1</v>
      </c>
      <c r="G733" s="1693">
        <v>725</v>
      </c>
      <c r="H733" s="616">
        <v>1</v>
      </c>
      <c r="I733" s="616"/>
      <c r="L733" s="9"/>
      <c r="M733" s="9"/>
      <c r="N733" s="22"/>
      <c r="O733" s="352"/>
      <c r="P733" s="353"/>
      <c r="Q733" s="68"/>
      <c r="R733" s="68"/>
      <c r="U733" s="306" t="s">
        <v>1103</v>
      </c>
      <c r="V733" s="306"/>
      <c r="W733" s="1851"/>
      <c r="X733" s="2145">
        <v>0</v>
      </c>
      <c r="Y733" s="2145">
        <v>0</v>
      </c>
      <c r="Z733" s="2145">
        <v>0</v>
      </c>
      <c r="AA733" s="2145">
        <v>0</v>
      </c>
      <c r="AB733" s="2145">
        <v>0</v>
      </c>
      <c r="AC733" s="2145">
        <v>0</v>
      </c>
      <c r="AD733" s="2145">
        <v>0</v>
      </c>
      <c r="AE733" s="2145">
        <v>0</v>
      </c>
      <c r="AF733" s="2145">
        <v>0</v>
      </c>
      <c r="AG733" s="2145">
        <v>0</v>
      </c>
      <c r="AH733" s="2145">
        <v>0</v>
      </c>
      <c r="AI733" s="2145">
        <v>0</v>
      </c>
      <c r="AJ733" s="2146">
        <v>0</v>
      </c>
      <c r="AK733" s="2145">
        <v>0</v>
      </c>
      <c r="AL733" s="2145">
        <v>0</v>
      </c>
      <c r="AM733" s="2145">
        <v>0</v>
      </c>
      <c r="AN733" s="2145">
        <v>0</v>
      </c>
      <c r="AO733" s="2145">
        <v>0</v>
      </c>
      <c r="AP733" s="2145">
        <v>0</v>
      </c>
    </row>
    <row r="734" spans="1:42" s="69" customFormat="1" ht="14.5">
      <c r="A734" s="1693">
        <v>597</v>
      </c>
      <c r="B734" s="616">
        <v>1</v>
      </c>
      <c r="C734" s="1693">
        <v>614</v>
      </c>
      <c r="D734" s="616">
        <v>1</v>
      </c>
      <c r="E734" s="1693">
        <v>661</v>
      </c>
      <c r="F734" s="616">
        <v>1</v>
      </c>
      <c r="G734" s="1693">
        <v>726</v>
      </c>
      <c r="H734" s="616">
        <v>1</v>
      </c>
      <c r="I734" s="616"/>
      <c r="L734" s="9"/>
      <c r="M734" s="9"/>
      <c r="N734" s="22"/>
      <c r="O734" s="352"/>
      <c r="P734" s="353"/>
      <c r="Q734" s="68"/>
      <c r="R734" s="68"/>
      <c r="U734" s="307"/>
      <c r="V734" s="291" t="s">
        <v>223</v>
      </c>
      <c r="W734" s="1911"/>
      <c r="X734" s="2140"/>
      <c r="Y734" s="2140"/>
      <c r="Z734" s="2140"/>
      <c r="AA734" s="2140"/>
      <c r="AB734" s="2140"/>
      <c r="AC734" s="2140"/>
      <c r="AD734" s="2140"/>
      <c r="AE734" s="2140"/>
      <c r="AF734" s="2140"/>
      <c r="AG734" s="2140"/>
      <c r="AH734" s="2140"/>
      <c r="AI734" s="2140"/>
      <c r="AJ734" s="2139">
        <v>0</v>
      </c>
      <c r="AK734" s="2138">
        <v>0</v>
      </c>
      <c r="AL734" s="2138">
        <v>0</v>
      </c>
      <c r="AM734" s="2138">
        <v>0</v>
      </c>
      <c r="AN734" s="2138">
        <v>0</v>
      </c>
      <c r="AO734" s="2138">
        <v>0</v>
      </c>
      <c r="AP734" s="2138">
        <v>0</v>
      </c>
    </row>
    <row r="735" spans="1:42" s="69" customFormat="1" ht="14.5">
      <c r="A735" s="1693">
        <v>598</v>
      </c>
      <c r="B735" s="616">
        <v>1</v>
      </c>
      <c r="C735" s="1693">
        <v>615</v>
      </c>
      <c r="D735" s="616">
        <v>1</v>
      </c>
      <c r="E735" s="1693">
        <v>662</v>
      </c>
      <c r="F735" s="616">
        <v>1</v>
      </c>
      <c r="G735" s="1693">
        <v>727</v>
      </c>
      <c r="H735" s="616">
        <v>1</v>
      </c>
      <c r="I735" s="616"/>
      <c r="L735" s="9"/>
      <c r="M735" s="9"/>
      <c r="N735" s="22"/>
      <c r="O735" s="352"/>
      <c r="P735" s="353"/>
      <c r="Q735" s="68"/>
      <c r="R735" s="68"/>
      <c r="U735" s="231"/>
      <c r="V735" s="229" t="s">
        <v>1089</v>
      </c>
      <c r="W735" s="1911"/>
      <c r="X735" s="2021"/>
      <c r="Y735" s="2021"/>
      <c r="Z735" s="2021"/>
      <c r="AA735" s="2021"/>
      <c r="AB735" s="2021"/>
      <c r="AC735" s="2021"/>
      <c r="AD735" s="2021"/>
      <c r="AE735" s="2021"/>
      <c r="AF735" s="2021"/>
      <c r="AG735" s="2021"/>
      <c r="AH735" s="2021"/>
      <c r="AI735" s="2021"/>
      <c r="AJ735" s="2147">
        <v>0</v>
      </c>
      <c r="AK735" s="579">
        <v>0</v>
      </c>
      <c r="AL735" s="579">
        <v>0</v>
      </c>
      <c r="AM735" s="579">
        <v>0</v>
      </c>
      <c r="AN735" s="579">
        <v>0</v>
      </c>
      <c r="AO735" s="579">
        <v>0</v>
      </c>
      <c r="AP735" s="579">
        <v>0</v>
      </c>
    </row>
    <row r="736" spans="1:42" s="69" customFormat="1" ht="14.5">
      <c r="A736" s="1693">
        <v>599</v>
      </c>
      <c r="B736" s="616">
        <v>1</v>
      </c>
      <c r="C736" s="1693">
        <v>616</v>
      </c>
      <c r="D736" s="616">
        <v>1</v>
      </c>
      <c r="E736" s="1693">
        <v>663</v>
      </c>
      <c r="F736" s="616">
        <v>1</v>
      </c>
      <c r="G736" s="1693">
        <v>728</v>
      </c>
      <c r="H736" s="616">
        <v>1</v>
      </c>
      <c r="I736" s="616"/>
      <c r="L736" s="9"/>
      <c r="M736" s="9"/>
      <c r="N736" s="22"/>
      <c r="O736" s="352"/>
      <c r="P736" s="353"/>
      <c r="Q736" s="68"/>
      <c r="R736" s="68"/>
      <c r="T736" s="211"/>
      <c r="U736" s="232"/>
      <c r="V736" s="228" t="s">
        <v>224</v>
      </c>
      <c r="W736" s="1911"/>
      <c r="X736" s="2153"/>
      <c r="Y736" s="2153"/>
      <c r="Z736" s="2153"/>
      <c r="AA736" s="2153"/>
      <c r="AB736" s="2153"/>
      <c r="AC736" s="2153"/>
      <c r="AD736" s="2153"/>
      <c r="AE736" s="2153"/>
      <c r="AF736" s="2153"/>
      <c r="AG736" s="2153"/>
      <c r="AH736" s="2153"/>
      <c r="AI736" s="2153"/>
      <c r="AJ736" s="2147">
        <v>0</v>
      </c>
      <c r="AK736" s="579">
        <v>0</v>
      </c>
      <c r="AL736" s="579">
        <v>0</v>
      </c>
      <c r="AM736" s="579">
        <v>0</v>
      </c>
      <c r="AN736" s="579">
        <v>0</v>
      </c>
      <c r="AO736" s="579">
        <v>0</v>
      </c>
      <c r="AP736" s="579">
        <v>0</v>
      </c>
    </row>
    <row r="737" spans="1:42" ht="14.5">
      <c r="A737" s="1693">
        <v>600</v>
      </c>
      <c r="B737" s="616">
        <v>1</v>
      </c>
      <c r="C737" s="1693">
        <v>617</v>
      </c>
      <c r="D737" s="616">
        <v>1</v>
      </c>
      <c r="E737" s="1693">
        <v>664</v>
      </c>
      <c r="F737" s="616">
        <v>1</v>
      </c>
      <c r="G737" s="1693">
        <v>729</v>
      </c>
      <c r="H737" s="616">
        <v>1</v>
      </c>
      <c r="K737" s="69"/>
      <c r="O737" s="352"/>
      <c r="P737" s="353"/>
      <c r="Q737" s="68"/>
      <c r="R737" s="68"/>
      <c r="S737" s="69"/>
      <c r="T737" s="69" t="s">
        <v>1035</v>
      </c>
      <c r="U737" s="302"/>
      <c r="V737" s="302"/>
      <c r="W737" s="1899"/>
      <c r="X737" s="2145">
        <v>0</v>
      </c>
      <c r="Y737" s="2145">
        <v>0</v>
      </c>
      <c r="Z737" s="2145">
        <v>0</v>
      </c>
      <c r="AA737" s="2145">
        <v>0</v>
      </c>
      <c r="AB737" s="2145">
        <v>0</v>
      </c>
      <c r="AC737" s="2145">
        <v>0</v>
      </c>
      <c r="AD737" s="2145">
        <v>0</v>
      </c>
      <c r="AE737" s="2145">
        <v>0</v>
      </c>
      <c r="AF737" s="2145">
        <v>0</v>
      </c>
      <c r="AG737" s="2145">
        <v>0</v>
      </c>
      <c r="AH737" s="2145">
        <v>0</v>
      </c>
      <c r="AI737" s="2145">
        <v>0</v>
      </c>
      <c r="AJ737" s="2146">
        <v>0</v>
      </c>
      <c r="AK737" s="2145">
        <v>0</v>
      </c>
      <c r="AL737" s="2145">
        <v>0</v>
      </c>
      <c r="AM737" s="2145">
        <v>0</v>
      </c>
      <c r="AN737" s="2145">
        <v>0</v>
      </c>
      <c r="AO737" s="2145">
        <v>0</v>
      </c>
      <c r="AP737" s="2145">
        <v>0</v>
      </c>
    </row>
    <row r="738" spans="1:42" ht="14.5">
      <c r="A738" s="1693">
        <v>601</v>
      </c>
      <c r="B738" s="616">
        <v>1</v>
      </c>
      <c r="C738" s="1693">
        <v>618</v>
      </c>
      <c r="D738" s="616">
        <v>1</v>
      </c>
      <c r="E738" s="1693">
        <v>665</v>
      </c>
      <c r="F738" s="616">
        <v>1</v>
      </c>
      <c r="G738" s="1693">
        <v>730</v>
      </c>
      <c r="H738" s="616">
        <v>1</v>
      </c>
      <c r="K738" s="69"/>
      <c r="O738" s="352"/>
      <c r="P738" s="353"/>
      <c r="Q738" s="68"/>
      <c r="R738" s="68"/>
      <c r="S738" s="69"/>
      <c r="T738" s="69"/>
      <c r="U738" s="305" t="s">
        <v>1035</v>
      </c>
      <c r="V738" s="305"/>
      <c r="W738" s="1911"/>
      <c r="X738" s="2192"/>
      <c r="Y738" s="2192"/>
      <c r="Z738" s="2192"/>
      <c r="AA738" s="2192"/>
      <c r="AB738" s="2192"/>
      <c r="AC738" s="2192"/>
      <c r="AD738" s="2192"/>
      <c r="AE738" s="2192"/>
      <c r="AF738" s="2192"/>
      <c r="AG738" s="2192"/>
      <c r="AH738" s="2192"/>
      <c r="AI738" s="2192"/>
      <c r="AJ738" s="2193">
        <v>0</v>
      </c>
      <c r="AK738" s="2194">
        <v>0</v>
      </c>
      <c r="AL738" s="2194">
        <v>0</v>
      </c>
      <c r="AM738" s="2194">
        <v>0</v>
      </c>
      <c r="AN738" s="2194">
        <v>0</v>
      </c>
      <c r="AO738" s="2194">
        <v>0</v>
      </c>
      <c r="AP738" s="2194">
        <v>0</v>
      </c>
    </row>
    <row r="739" spans="1:42" s="69" customFormat="1" ht="14.5">
      <c r="A739" s="1693">
        <v>602</v>
      </c>
      <c r="B739" s="616">
        <v>1</v>
      </c>
      <c r="C739" s="1693">
        <v>619</v>
      </c>
      <c r="D739" s="616">
        <v>1</v>
      </c>
      <c r="E739" s="1693">
        <v>666</v>
      </c>
      <c r="F739" s="616">
        <v>1</v>
      </c>
      <c r="G739" s="1693">
        <v>731</v>
      </c>
      <c r="H739" s="616">
        <v>1</v>
      </c>
      <c r="I739" s="616"/>
      <c r="L739" s="9"/>
      <c r="M739" s="9"/>
      <c r="N739" s="22"/>
      <c r="O739" s="352"/>
      <c r="P739" s="353"/>
      <c r="Q739" s="68"/>
      <c r="R739" s="68"/>
      <c r="U739" s="306" t="s">
        <v>1103</v>
      </c>
      <c r="V739" s="306"/>
      <c r="W739" s="1851"/>
      <c r="X739" s="2145">
        <v>0</v>
      </c>
      <c r="Y739" s="2145">
        <v>0</v>
      </c>
      <c r="Z739" s="2145">
        <v>0</v>
      </c>
      <c r="AA739" s="2145">
        <v>0</v>
      </c>
      <c r="AB739" s="2145">
        <v>0</v>
      </c>
      <c r="AC739" s="2145">
        <v>0</v>
      </c>
      <c r="AD739" s="2145">
        <v>0</v>
      </c>
      <c r="AE739" s="2145">
        <v>0</v>
      </c>
      <c r="AF739" s="2145">
        <v>0</v>
      </c>
      <c r="AG739" s="2145">
        <v>0</v>
      </c>
      <c r="AH739" s="2145">
        <v>0</v>
      </c>
      <c r="AI739" s="2145">
        <v>0</v>
      </c>
      <c r="AJ739" s="2146">
        <v>0</v>
      </c>
      <c r="AK739" s="2145">
        <v>0</v>
      </c>
      <c r="AL739" s="2145">
        <v>0</v>
      </c>
      <c r="AM739" s="2145">
        <v>0</v>
      </c>
      <c r="AN739" s="2145">
        <v>0</v>
      </c>
      <c r="AO739" s="2145">
        <v>0</v>
      </c>
      <c r="AP739" s="2145">
        <v>0</v>
      </c>
    </row>
    <row r="740" spans="1:42" s="69" customFormat="1" ht="14.5">
      <c r="A740" s="1693">
        <v>603</v>
      </c>
      <c r="B740" s="616">
        <v>1</v>
      </c>
      <c r="C740" s="1693">
        <v>620</v>
      </c>
      <c r="D740" s="616">
        <v>1</v>
      </c>
      <c r="E740" s="1693">
        <v>667</v>
      </c>
      <c r="F740" s="616">
        <v>1</v>
      </c>
      <c r="G740" s="1693">
        <v>732</v>
      </c>
      <c r="H740" s="616">
        <v>1</v>
      </c>
      <c r="I740" s="616"/>
      <c r="L740" s="9"/>
      <c r="M740" s="9"/>
      <c r="N740" s="22"/>
      <c r="O740" s="352"/>
      <c r="P740" s="353"/>
      <c r="Q740" s="68"/>
      <c r="R740" s="68"/>
      <c r="U740" s="307"/>
      <c r="V740" s="291" t="s">
        <v>223</v>
      </c>
      <c r="W740" s="1911"/>
      <c r="X740" s="2140"/>
      <c r="Y740" s="2140"/>
      <c r="Z740" s="2140"/>
      <c r="AA740" s="2140"/>
      <c r="AB740" s="2140"/>
      <c r="AC740" s="2140"/>
      <c r="AD740" s="2140"/>
      <c r="AE740" s="2140"/>
      <c r="AF740" s="2140"/>
      <c r="AG740" s="2140"/>
      <c r="AH740" s="2140"/>
      <c r="AI740" s="2140"/>
      <c r="AJ740" s="2139">
        <v>0</v>
      </c>
      <c r="AK740" s="2138">
        <v>0</v>
      </c>
      <c r="AL740" s="2138">
        <v>0</v>
      </c>
      <c r="AM740" s="2138">
        <v>0</v>
      </c>
      <c r="AN740" s="2138">
        <v>0</v>
      </c>
      <c r="AO740" s="2138">
        <v>0</v>
      </c>
      <c r="AP740" s="2138">
        <v>0</v>
      </c>
    </row>
    <row r="741" spans="1:42" s="69" customFormat="1" ht="14.5">
      <c r="A741" s="1693">
        <v>604</v>
      </c>
      <c r="B741" s="616">
        <v>1</v>
      </c>
      <c r="C741" s="1693">
        <v>621</v>
      </c>
      <c r="D741" s="616">
        <v>1</v>
      </c>
      <c r="E741" s="1693">
        <v>668</v>
      </c>
      <c r="F741" s="616">
        <v>1</v>
      </c>
      <c r="G741" s="1693">
        <v>733</v>
      </c>
      <c r="H741" s="616">
        <v>1</v>
      </c>
      <c r="I741" s="616"/>
      <c r="L741" s="9"/>
      <c r="M741" s="9"/>
      <c r="N741" s="22"/>
      <c r="O741" s="352"/>
      <c r="P741" s="353"/>
      <c r="Q741" s="68"/>
      <c r="R741" s="68"/>
      <c r="U741" s="231"/>
      <c r="V741" s="229" t="s">
        <v>1089</v>
      </c>
      <c r="W741" s="1911"/>
      <c r="X741" s="2021"/>
      <c r="Y741" s="2021"/>
      <c r="Z741" s="2021"/>
      <c r="AA741" s="2021"/>
      <c r="AB741" s="2021"/>
      <c r="AC741" s="2021"/>
      <c r="AD741" s="2021"/>
      <c r="AE741" s="2021"/>
      <c r="AF741" s="2021"/>
      <c r="AG741" s="2021"/>
      <c r="AH741" s="2021"/>
      <c r="AI741" s="2021"/>
      <c r="AJ741" s="2147">
        <v>0</v>
      </c>
      <c r="AK741" s="579">
        <v>0</v>
      </c>
      <c r="AL741" s="579">
        <v>0</v>
      </c>
      <c r="AM741" s="579">
        <v>0</v>
      </c>
      <c r="AN741" s="579">
        <v>0</v>
      </c>
      <c r="AO741" s="579">
        <v>0</v>
      </c>
      <c r="AP741" s="579">
        <v>0</v>
      </c>
    </row>
    <row r="742" spans="1:42" s="69" customFormat="1" ht="14.5">
      <c r="A742" s="1693">
        <v>605</v>
      </c>
      <c r="B742" s="616">
        <v>1</v>
      </c>
      <c r="C742" s="1693">
        <v>622</v>
      </c>
      <c r="D742" s="616">
        <v>1</v>
      </c>
      <c r="E742" s="1693">
        <v>669</v>
      </c>
      <c r="F742" s="616">
        <v>1</v>
      </c>
      <c r="G742" s="1693">
        <v>734</v>
      </c>
      <c r="H742" s="616">
        <v>1</v>
      </c>
      <c r="I742" s="616"/>
      <c r="L742" s="9"/>
      <c r="M742" s="9"/>
      <c r="N742" s="22"/>
      <c r="O742" s="352"/>
      <c r="P742" s="353"/>
      <c r="Q742" s="68"/>
      <c r="R742" s="68"/>
      <c r="T742" s="211"/>
      <c r="U742" s="232"/>
      <c r="V742" s="228" t="s">
        <v>224</v>
      </c>
      <c r="W742" s="1911"/>
      <c r="X742" s="2153"/>
      <c r="Y742" s="2153"/>
      <c r="Z742" s="2153"/>
      <c r="AA742" s="2153"/>
      <c r="AB742" s="2153"/>
      <c r="AC742" s="2153"/>
      <c r="AD742" s="2153"/>
      <c r="AE742" s="2153"/>
      <c r="AF742" s="2153"/>
      <c r="AG742" s="2153"/>
      <c r="AH742" s="2153"/>
      <c r="AI742" s="2153"/>
      <c r="AJ742" s="2147">
        <v>0</v>
      </c>
      <c r="AK742" s="579">
        <v>0</v>
      </c>
      <c r="AL742" s="579">
        <v>0</v>
      </c>
      <c r="AM742" s="579">
        <v>0</v>
      </c>
      <c r="AN742" s="579">
        <v>0</v>
      </c>
      <c r="AO742" s="579">
        <v>0</v>
      </c>
      <c r="AP742" s="579">
        <v>0</v>
      </c>
    </row>
    <row r="743" spans="1:42" ht="14.5">
      <c r="A743" s="1693">
        <v>606</v>
      </c>
      <c r="B743" s="616">
        <v>1</v>
      </c>
      <c r="C743" s="1693">
        <v>623</v>
      </c>
      <c r="D743" s="616">
        <v>1</v>
      </c>
      <c r="E743" s="1693">
        <v>670</v>
      </c>
      <c r="F743" s="616">
        <v>1</v>
      </c>
      <c r="G743" s="1693">
        <v>735</v>
      </c>
      <c r="H743" s="616">
        <v>1</v>
      </c>
      <c r="K743" s="69"/>
      <c r="O743" s="352"/>
      <c r="P743" s="353"/>
      <c r="Q743" s="68"/>
      <c r="R743" s="68"/>
      <c r="S743" s="69"/>
      <c r="T743" s="69" t="s">
        <v>1036</v>
      </c>
      <c r="U743" s="302"/>
      <c r="V743" s="302"/>
      <c r="W743" s="1899"/>
      <c r="X743" s="2145">
        <v>0</v>
      </c>
      <c r="Y743" s="2145">
        <v>0</v>
      </c>
      <c r="Z743" s="2145">
        <v>0</v>
      </c>
      <c r="AA743" s="2145">
        <v>0</v>
      </c>
      <c r="AB743" s="2145">
        <v>0</v>
      </c>
      <c r="AC743" s="2145">
        <v>0</v>
      </c>
      <c r="AD743" s="2145">
        <v>0</v>
      </c>
      <c r="AE743" s="2145">
        <v>0</v>
      </c>
      <c r="AF743" s="2145">
        <v>0</v>
      </c>
      <c r="AG743" s="2145">
        <v>0</v>
      </c>
      <c r="AH743" s="2145">
        <v>0</v>
      </c>
      <c r="AI743" s="2145">
        <v>0</v>
      </c>
      <c r="AJ743" s="2146">
        <v>0</v>
      </c>
      <c r="AK743" s="2145">
        <v>0</v>
      </c>
      <c r="AL743" s="2145">
        <v>0</v>
      </c>
      <c r="AM743" s="2145">
        <v>0</v>
      </c>
      <c r="AN743" s="2145">
        <v>0</v>
      </c>
      <c r="AO743" s="2145">
        <v>0</v>
      </c>
      <c r="AP743" s="2145">
        <v>0</v>
      </c>
    </row>
    <row r="744" spans="1:42" ht="14.5">
      <c r="A744" s="1693">
        <v>607</v>
      </c>
      <c r="B744" s="616">
        <v>1</v>
      </c>
      <c r="C744" s="1693">
        <v>624</v>
      </c>
      <c r="D744" s="616">
        <v>1</v>
      </c>
      <c r="E744" s="1693">
        <v>671</v>
      </c>
      <c r="F744" s="616">
        <v>1</v>
      </c>
      <c r="G744" s="1693">
        <v>736</v>
      </c>
      <c r="H744" s="616">
        <v>1</v>
      </c>
      <c r="K744" s="69"/>
      <c r="O744" s="352"/>
      <c r="P744" s="353"/>
      <c r="Q744" s="68"/>
      <c r="R744" s="68"/>
      <c r="S744" s="69"/>
      <c r="T744" s="69"/>
      <c r="U744" s="305" t="s">
        <v>1036</v>
      </c>
      <c r="V744" s="305"/>
      <c r="W744" s="1911"/>
      <c r="X744" s="2192"/>
      <c r="Y744" s="2192"/>
      <c r="Z744" s="2192"/>
      <c r="AA744" s="2192"/>
      <c r="AB744" s="2192"/>
      <c r="AC744" s="2192"/>
      <c r="AD744" s="2192"/>
      <c r="AE744" s="2192"/>
      <c r="AF744" s="2192"/>
      <c r="AG744" s="2192"/>
      <c r="AH744" s="2192"/>
      <c r="AI744" s="2192"/>
      <c r="AJ744" s="2193">
        <v>0</v>
      </c>
      <c r="AK744" s="2194">
        <v>0</v>
      </c>
      <c r="AL744" s="2194">
        <v>0</v>
      </c>
      <c r="AM744" s="2194">
        <v>0</v>
      </c>
      <c r="AN744" s="2194">
        <v>0</v>
      </c>
      <c r="AO744" s="2194">
        <v>0</v>
      </c>
      <c r="AP744" s="2194">
        <v>0</v>
      </c>
    </row>
    <row r="745" spans="1:42" s="69" customFormat="1" ht="14.5">
      <c r="A745" s="1693">
        <v>608</v>
      </c>
      <c r="B745" s="616">
        <v>1</v>
      </c>
      <c r="C745" s="1693">
        <v>625</v>
      </c>
      <c r="D745" s="616">
        <v>1</v>
      </c>
      <c r="E745" s="1693">
        <v>672</v>
      </c>
      <c r="F745" s="616">
        <v>1</v>
      </c>
      <c r="G745" s="1693">
        <v>737</v>
      </c>
      <c r="H745" s="616">
        <v>1</v>
      </c>
      <c r="I745" s="616"/>
      <c r="L745" s="9"/>
      <c r="M745" s="9"/>
      <c r="N745" s="22"/>
      <c r="O745" s="352"/>
      <c r="P745" s="353"/>
      <c r="Q745" s="68"/>
      <c r="R745" s="68"/>
      <c r="U745" s="306" t="s">
        <v>1103</v>
      </c>
      <c r="V745" s="306"/>
      <c r="W745" s="1851"/>
      <c r="X745" s="2145">
        <v>0</v>
      </c>
      <c r="Y745" s="2145">
        <v>0</v>
      </c>
      <c r="Z745" s="2145">
        <v>0</v>
      </c>
      <c r="AA745" s="2145">
        <v>0</v>
      </c>
      <c r="AB745" s="2145">
        <v>0</v>
      </c>
      <c r="AC745" s="2145">
        <v>0</v>
      </c>
      <c r="AD745" s="2145">
        <v>0</v>
      </c>
      <c r="AE745" s="2145">
        <v>0</v>
      </c>
      <c r="AF745" s="2145">
        <v>0</v>
      </c>
      <c r="AG745" s="2145">
        <v>0</v>
      </c>
      <c r="AH745" s="2145">
        <v>0</v>
      </c>
      <c r="AI745" s="2145">
        <v>0</v>
      </c>
      <c r="AJ745" s="2146">
        <v>0</v>
      </c>
      <c r="AK745" s="2145">
        <v>0</v>
      </c>
      <c r="AL745" s="2145">
        <v>0</v>
      </c>
      <c r="AM745" s="2145">
        <v>0</v>
      </c>
      <c r="AN745" s="2145">
        <v>0</v>
      </c>
      <c r="AO745" s="2145">
        <v>0</v>
      </c>
      <c r="AP745" s="2145">
        <v>0</v>
      </c>
    </row>
    <row r="746" spans="1:42" s="69" customFormat="1" ht="14.5">
      <c r="A746" s="1693">
        <v>609</v>
      </c>
      <c r="B746" s="616">
        <v>1</v>
      </c>
      <c r="C746" s="1693">
        <v>626</v>
      </c>
      <c r="D746" s="616">
        <v>1</v>
      </c>
      <c r="E746" s="1693">
        <v>673</v>
      </c>
      <c r="F746" s="616">
        <v>1</v>
      </c>
      <c r="G746" s="1693">
        <v>738</v>
      </c>
      <c r="H746" s="616">
        <v>1</v>
      </c>
      <c r="I746" s="616"/>
      <c r="L746" s="9"/>
      <c r="M746" s="9"/>
      <c r="N746" s="22"/>
      <c r="O746" s="352"/>
      <c r="P746" s="353"/>
      <c r="Q746" s="68"/>
      <c r="R746" s="68"/>
      <c r="U746" s="307"/>
      <c r="V746" s="291" t="s">
        <v>223</v>
      </c>
      <c r="W746" s="1911"/>
      <c r="X746" s="2140"/>
      <c r="Y746" s="2140"/>
      <c r="Z746" s="2140"/>
      <c r="AA746" s="2140"/>
      <c r="AB746" s="2140"/>
      <c r="AC746" s="2140"/>
      <c r="AD746" s="2140"/>
      <c r="AE746" s="2140"/>
      <c r="AF746" s="2140"/>
      <c r="AG746" s="2140"/>
      <c r="AH746" s="2140"/>
      <c r="AI746" s="2140"/>
      <c r="AJ746" s="2139">
        <v>0</v>
      </c>
      <c r="AK746" s="2138">
        <v>0</v>
      </c>
      <c r="AL746" s="2138">
        <v>0</v>
      </c>
      <c r="AM746" s="2138">
        <v>0</v>
      </c>
      <c r="AN746" s="2138">
        <v>0</v>
      </c>
      <c r="AO746" s="2138">
        <v>0</v>
      </c>
      <c r="AP746" s="2138">
        <v>0</v>
      </c>
    </row>
    <row r="747" spans="1:42" s="69" customFormat="1" ht="14.5">
      <c r="A747" s="1693">
        <v>610</v>
      </c>
      <c r="B747" s="616">
        <v>1</v>
      </c>
      <c r="C747" s="1693">
        <v>627</v>
      </c>
      <c r="D747" s="616">
        <v>1</v>
      </c>
      <c r="E747" s="1693">
        <v>674</v>
      </c>
      <c r="F747" s="616">
        <v>1</v>
      </c>
      <c r="G747" s="1693">
        <v>739</v>
      </c>
      <c r="H747" s="616">
        <v>1</v>
      </c>
      <c r="I747" s="616"/>
      <c r="L747" s="9"/>
      <c r="M747" s="9"/>
      <c r="N747" s="22"/>
      <c r="O747" s="352"/>
      <c r="P747" s="353"/>
      <c r="Q747" s="68"/>
      <c r="R747" s="68"/>
      <c r="U747" s="231"/>
      <c r="V747" s="229" t="s">
        <v>1089</v>
      </c>
      <c r="W747" s="1911"/>
      <c r="X747" s="2021"/>
      <c r="Y747" s="2021"/>
      <c r="Z747" s="2021"/>
      <c r="AA747" s="2021"/>
      <c r="AB747" s="2021"/>
      <c r="AC747" s="2021"/>
      <c r="AD747" s="2021"/>
      <c r="AE747" s="2021"/>
      <c r="AF747" s="2021"/>
      <c r="AG747" s="2021"/>
      <c r="AH747" s="2021"/>
      <c r="AI747" s="2021"/>
      <c r="AJ747" s="2147">
        <v>0</v>
      </c>
      <c r="AK747" s="579">
        <v>0</v>
      </c>
      <c r="AL747" s="579">
        <v>0</v>
      </c>
      <c r="AM747" s="579">
        <v>0</v>
      </c>
      <c r="AN747" s="579">
        <v>0</v>
      </c>
      <c r="AO747" s="579">
        <v>0</v>
      </c>
      <c r="AP747" s="579">
        <v>0</v>
      </c>
    </row>
    <row r="748" spans="1:42" s="69" customFormat="1" ht="14.5">
      <c r="A748" s="1693">
        <v>611</v>
      </c>
      <c r="B748" s="616">
        <v>1</v>
      </c>
      <c r="C748" s="1693">
        <v>628</v>
      </c>
      <c r="D748" s="616">
        <v>1</v>
      </c>
      <c r="E748" s="1693">
        <v>675</v>
      </c>
      <c r="F748" s="616">
        <v>1</v>
      </c>
      <c r="G748" s="1693">
        <v>740</v>
      </c>
      <c r="H748" s="616">
        <v>1</v>
      </c>
      <c r="I748" s="616"/>
      <c r="L748" s="9"/>
      <c r="M748" s="9"/>
      <c r="N748" s="22"/>
      <c r="O748" s="352"/>
      <c r="P748" s="353"/>
      <c r="Q748" s="68"/>
      <c r="R748" s="68"/>
      <c r="T748" s="211"/>
      <c r="U748" s="232"/>
      <c r="V748" s="228" t="s">
        <v>224</v>
      </c>
      <c r="W748" s="1911"/>
      <c r="X748" s="2153"/>
      <c r="Y748" s="2153"/>
      <c r="Z748" s="2153"/>
      <c r="AA748" s="2153"/>
      <c r="AB748" s="2153"/>
      <c r="AC748" s="2153"/>
      <c r="AD748" s="2153"/>
      <c r="AE748" s="2153"/>
      <c r="AF748" s="2153"/>
      <c r="AG748" s="2153"/>
      <c r="AH748" s="2153"/>
      <c r="AI748" s="2153"/>
      <c r="AJ748" s="2147">
        <v>0</v>
      </c>
      <c r="AK748" s="579">
        <v>0</v>
      </c>
      <c r="AL748" s="579">
        <v>0</v>
      </c>
      <c r="AM748" s="579">
        <v>0</v>
      </c>
      <c r="AN748" s="579">
        <v>0</v>
      </c>
      <c r="AO748" s="579">
        <v>0</v>
      </c>
      <c r="AP748" s="579">
        <v>0</v>
      </c>
    </row>
    <row r="749" spans="1:42" ht="14.5">
      <c r="A749" s="1693">
        <v>612</v>
      </c>
      <c r="B749" s="616">
        <v>1</v>
      </c>
      <c r="C749" s="1693">
        <v>629</v>
      </c>
      <c r="D749" s="616">
        <v>1</v>
      </c>
      <c r="E749" s="1693">
        <v>676</v>
      </c>
      <c r="F749" s="616">
        <v>1</v>
      </c>
      <c r="G749" s="1693">
        <v>741</v>
      </c>
      <c r="H749" s="616">
        <v>1</v>
      </c>
      <c r="K749" s="69"/>
      <c r="O749" s="352"/>
      <c r="P749" s="353"/>
      <c r="Q749" s="68"/>
      <c r="R749" s="68"/>
      <c r="S749" s="69"/>
      <c r="T749" s="69" t="s">
        <v>479</v>
      </c>
      <c r="U749" s="302"/>
      <c r="V749" s="302"/>
      <c r="W749" s="1899"/>
      <c r="X749" s="2145">
        <v>0</v>
      </c>
      <c r="Y749" s="2145">
        <v>0</v>
      </c>
      <c r="Z749" s="2145">
        <v>0</v>
      </c>
      <c r="AA749" s="2145">
        <v>0</v>
      </c>
      <c r="AB749" s="2145">
        <v>0</v>
      </c>
      <c r="AC749" s="2145">
        <v>0</v>
      </c>
      <c r="AD749" s="2145">
        <v>0</v>
      </c>
      <c r="AE749" s="2145">
        <v>0</v>
      </c>
      <c r="AF749" s="2145">
        <v>0</v>
      </c>
      <c r="AG749" s="2145">
        <v>0</v>
      </c>
      <c r="AH749" s="2145">
        <v>0</v>
      </c>
      <c r="AI749" s="2145">
        <v>0</v>
      </c>
      <c r="AJ749" s="2146">
        <v>0</v>
      </c>
      <c r="AK749" s="2145">
        <v>0</v>
      </c>
      <c r="AL749" s="2145">
        <v>0</v>
      </c>
      <c r="AM749" s="2145">
        <v>0</v>
      </c>
      <c r="AN749" s="2145">
        <v>0</v>
      </c>
      <c r="AO749" s="2145">
        <v>0</v>
      </c>
      <c r="AP749" s="2145">
        <v>0</v>
      </c>
    </row>
    <row r="750" spans="1:42" ht="14.5">
      <c r="A750" s="1693">
        <v>613</v>
      </c>
      <c r="B750" s="616">
        <v>1</v>
      </c>
      <c r="C750" s="1693">
        <v>630</v>
      </c>
      <c r="D750" s="616">
        <v>1</v>
      </c>
      <c r="E750" s="1693">
        <v>677</v>
      </c>
      <c r="F750" s="616">
        <v>1</v>
      </c>
      <c r="G750" s="1693">
        <v>742</v>
      </c>
      <c r="H750" s="616">
        <v>1</v>
      </c>
      <c r="K750" s="69"/>
      <c r="O750" s="352"/>
      <c r="P750" s="353"/>
      <c r="Q750" s="68"/>
      <c r="R750" s="68"/>
      <c r="S750" s="69"/>
      <c r="T750" s="69"/>
      <c r="U750" s="305" t="s">
        <v>479</v>
      </c>
      <c r="V750" s="305"/>
      <c r="W750" s="1911"/>
      <c r="X750" s="2192"/>
      <c r="Y750" s="2192"/>
      <c r="Z750" s="2192"/>
      <c r="AA750" s="2192"/>
      <c r="AB750" s="2192"/>
      <c r="AC750" s="2192"/>
      <c r="AD750" s="2192"/>
      <c r="AE750" s="2192"/>
      <c r="AF750" s="2192"/>
      <c r="AG750" s="2192"/>
      <c r="AH750" s="2192"/>
      <c r="AI750" s="2192"/>
      <c r="AJ750" s="2193">
        <v>0</v>
      </c>
      <c r="AK750" s="2194">
        <v>0</v>
      </c>
      <c r="AL750" s="2194">
        <v>0</v>
      </c>
      <c r="AM750" s="2194">
        <v>0</v>
      </c>
      <c r="AN750" s="2194">
        <v>0</v>
      </c>
      <c r="AO750" s="2194">
        <v>0</v>
      </c>
      <c r="AP750" s="2194">
        <v>0</v>
      </c>
    </row>
    <row r="751" spans="1:42" s="69" customFormat="1" ht="14.5">
      <c r="A751" s="1693">
        <v>614</v>
      </c>
      <c r="B751" s="616">
        <v>1</v>
      </c>
      <c r="C751" s="1693">
        <v>631</v>
      </c>
      <c r="D751" s="616">
        <v>1</v>
      </c>
      <c r="E751" s="1693">
        <v>678</v>
      </c>
      <c r="F751" s="616">
        <v>1</v>
      </c>
      <c r="G751" s="1693">
        <v>743</v>
      </c>
      <c r="H751" s="616">
        <v>1</v>
      </c>
      <c r="I751" s="616"/>
      <c r="L751" s="9"/>
      <c r="M751" s="9"/>
      <c r="N751" s="22"/>
      <c r="O751" s="352"/>
      <c r="P751" s="353"/>
      <c r="Q751" s="68"/>
      <c r="R751" s="68"/>
      <c r="U751" s="306" t="s">
        <v>1103</v>
      </c>
      <c r="V751" s="306"/>
      <c r="W751" s="1851"/>
      <c r="X751" s="2145">
        <v>0</v>
      </c>
      <c r="Y751" s="2145">
        <v>0</v>
      </c>
      <c r="Z751" s="2145">
        <v>0</v>
      </c>
      <c r="AA751" s="2145">
        <v>0</v>
      </c>
      <c r="AB751" s="2145">
        <v>0</v>
      </c>
      <c r="AC751" s="2145">
        <v>0</v>
      </c>
      <c r="AD751" s="2145">
        <v>0</v>
      </c>
      <c r="AE751" s="2145">
        <v>0</v>
      </c>
      <c r="AF751" s="2145">
        <v>0</v>
      </c>
      <c r="AG751" s="2145">
        <v>0</v>
      </c>
      <c r="AH751" s="2145">
        <v>0</v>
      </c>
      <c r="AI751" s="2145">
        <v>0</v>
      </c>
      <c r="AJ751" s="2146">
        <v>0</v>
      </c>
      <c r="AK751" s="2145">
        <v>0</v>
      </c>
      <c r="AL751" s="2145">
        <v>0</v>
      </c>
      <c r="AM751" s="2145">
        <v>0</v>
      </c>
      <c r="AN751" s="2145">
        <v>0</v>
      </c>
      <c r="AO751" s="2145">
        <v>0</v>
      </c>
      <c r="AP751" s="2145">
        <v>0</v>
      </c>
    </row>
    <row r="752" spans="1:42" s="69" customFormat="1" ht="14.5">
      <c r="A752" s="1693">
        <v>615</v>
      </c>
      <c r="B752" s="616">
        <v>1</v>
      </c>
      <c r="C752" s="1693">
        <v>632</v>
      </c>
      <c r="D752" s="616">
        <v>1</v>
      </c>
      <c r="E752" s="1693">
        <v>679</v>
      </c>
      <c r="F752" s="616">
        <v>1</v>
      </c>
      <c r="G752" s="1693">
        <v>744</v>
      </c>
      <c r="H752" s="616">
        <v>1</v>
      </c>
      <c r="I752" s="616"/>
      <c r="L752" s="9"/>
      <c r="M752" s="9"/>
      <c r="N752" s="22"/>
      <c r="O752" s="352"/>
      <c r="P752" s="353"/>
      <c r="Q752" s="68"/>
      <c r="R752" s="68"/>
      <c r="U752" s="307"/>
      <c r="V752" s="291" t="s">
        <v>223</v>
      </c>
      <c r="W752" s="1911"/>
      <c r="X752" s="2140"/>
      <c r="Y752" s="2140"/>
      <c r="Z752" s="2140"/>
      <c r="AA752" s="2140"/>
      <c r="AB752" s="2140"/>
      <c r="AC752" s="2140"/>
      <c r="AD752" s="2140"/>
      <c r="AE752" s="2140"/>
      <c r="AF752" s="2140"/>
      <c r="AG752" s="2140"/>
      <c r="AH752" s="2140"/>
      <c r="AI752" s="2140"/>
      <c r="AJ752" s="2139">
        <v>0</v>
      </c>
      <c r="AK752" s="2138">
        <v>0</v>
      </c>
      <c r="AL752" s="2138">
        <v>0</v>
      </c>
      <c r="AM752" s="2138">
        <v>0</v>
      </c>
      <c r="AN752" s="2138">
        <v>0</v>
      </c>
      <c r="AO752" s="2138">
        <v>0</v>
      </c>
      <c r="AP752" s="2138">
        <v>0</v>
      </c>
    </row>
    <row r="753" spans="1:42" s="69" customFormat="1" ht="14.5">
      <c r="A753" s="1693">
        <v>616</v>
      </c>
      <c r="B753" s="616">
        <v>1</v>
      </c>
      <c r="C753" s="1693">
        <v>633</v>
      </c>
      <c r="D753" s="616">
        <v>1</v>
      </c>
      <c r="E753" s="1693">
        <v>680</v>
      </c>
      <c r="F753" s="616">
        <v>1</v>
      </c>
      <c r="G753" s="1693">
        <v>745</v>
      </c>
      <c r="H753" s="616">
        <v>1</v>
      </c>
      <c r="I753" s="616"/>
      <c r="L753" s="9"/>
      <c r="M753" s="9"/>
      <c r="N753" s="22"/>
      <c r="O753" s="352"/>
      <c r="P753" s="353"/>
      <c r="Q753" s="68"/>
      <c r="R753" s="68"/>
      <c r="U753" s="231"/>
      <c r="V753" s="229" t="s">
        <v>1089</v>
      </c>
      <c r="W753" s="1911"/>
      <c r="X753" s="2021"/>
      <c r="Y753" s="2021"/>
      <c r="Z753" s="2021"/>
      <c r="AA753" s="2021"/>
      <c r="AB753" s="2021"/>
      <c r="AC753" s="2021"/>
      <c r="AD753" s="2021"/>
      <c r="AE753" s="2021"/>
      <c r="AF753" s="2021"/>
      <c r="AG753" s="2021"/>
      <c r="AH753" s="2021"/>
      <c r="AI753" s="2021"/>
      <c r="AJ753" s="2147">
        <v>0</v>
      </c>
      <c r="AK753" s="579">
        <v>0</v>
      </c>
      <c r="AL753" s="579">
        <v>0</v>
      </c>
      <c r="AM753" s="579">
        <v>0</v>
      </c>
      <c r="AN753" s="579">
        <v>0</v>
      </c>
      <c r="AO753" s="579">
        <v>0</v>
      </c>
      <c r="AP753" s="579">
        <v>0</v>
      </c>
    </row>
    <row r="754" spans="1:42" s="69" customFormat="1" ht="14.5">
      <c r="A754" s="1693">
        <v>617</v>
      </c>
      <c r="B754" s="616">
        <v>1</v>
      </c>
      <c r="C754" s="1693">
        <v>634</v>
      </c>
      <c r="D754" s="616">
        <v>1</v>
      </c>
      <c r="E754" s="1693">
        <v>681</v>
      </c>
      <c r="F754" s="616">
        <v>1</v>
      </c>
      <c r="G754" s="1693">
        <v>746</v>
      </c>
      <c r="H754" s="616">
        <v>1</v>
      </c>
      <c r="I754" s="616"/>
      <c r="L754" s="9"/>
      <c r="M754" s="9"/>
      <c r="N754" s="22"/>
      <c r="O754" s="352"/>
      <c r="P754" s="353"/>
      <c r="Q754" s="68"/>
      <c r="R754" s="68"/>
      <c r="T754" s="211"/>
      <c r="U754" s="232"/>
      <c r="V754" s="228" t="s">
        <v>224</v>
      </c>
      <c r="W754" s="1911"/>
      <c r="X754" s="2153"/>
      <c r="Y754" s="2153"/>
      <c r="Z754" s="2153"/>
      <c r="AA754" s="2153"/>
      <c r="AB754" s="2153"/>
      <c r="AC754" s="2153"/>
      <c r="AD754" s="2153"/>
      <c r="AE754" s="2153"/>
      <c r="AF754" s="2153"/>
      <c r="AG754" s="2153"/>
      <c r="AH754" s="2153"/>
      <c r="AI754" s="2153"/>
      <c r="AJ754" s="2147">
        <v>0</v>
      </c>
      <c r="AK754" s="579">
        <v>0</v>
      </c>
      <c r="AL754" s="579">
        <v>0</v>
      </c>
      <c r="AM754" s="579">
        <v>0</v>
      </c>
      <c r="AN754" s="579">
        <v>0</v>
      </c>
      <c r="AO754" s="579">
        <v>0</v>
      </c>
      <c r="AP754" s="579">
        <v>0</v>
      </c>
    </row>
    <row r="755" spans="1:42" s="69" customFormat="1" ht="14.5">
      <c r="A755" s="1693">
        <v>618</v>
      </c>
      <c r="B755" s="616">
        <v>1</v>
      </c>
      <c r="C755" s="1693">
        <v>635</v>
      </c>
      <c r="D755" s="616">
        <v>1</v>
      </c>
      <c r="E755" s="1693">
        <v>682</v>
      </c>
      <c r="F755" s="616">
        <v>1</v>
      </c>
      <c r="G755" s="1693">
        <v>747</v>
      </c>
      <c r="H755" s="616">
        <v>1</v>
      </c>
      <c r="I755" s="616"/>
      <c r="L755" s="9"/>
      <c r="M755" s="9"/>
      <c r="N755" s="22"/>
      <c r="O755" s="352"/>
      <c r="P755" s="353"/>
      <c r="Q755" s="68"/>
      <c r="R755" s="68"/>
      <c r="T755" s="2195" t="s">
        <v>1102</v>
      </c>
      <c r="U755" s="293"/>
      <c r="V755" s="293"/>
      <c r="W755" s="1851"/>
      <c r="X755" s="1987">
        <v>0</v>
      </c>
      <c r="Y755" s="1987">
        <v>0</v>
      </c>
      <c r="Z755" s="1987">
        <v>0</v>
      </c>
      <c r="AA755" s="1987">
        <v>0</v>
      </c>
      <c r="AB755" s="1987">
        <v>0</v>
      </c>
      <c r="AC755" s="1987">
        <v>0</v>
      </c>
      <c r="AD755" s="1987">
        <v>0</v>
      </c>
      <c r="AE755" s="1987">
        <v>0</v>
      </c>
      <c r="AF755" s="1987">
        <v>0</v>
      </c>
      <c r="AG755" s="1987">
        <v>0</v>
      </c>
      <c r="AH755" s="1987">
        <v>0</v>
      </c>
      <c r="AI755" s="1987">
        <v>0</v>
      </c>
      <c r="AJ755" s="2144">
        <v>0</v>
      </c>
      <c r="AK755" s="1987">
        <v>0</v>
      </c>
      <c r="AL755" s="1987">
        <v>0</v>
      </c>
      <c r="AM755" s="1987">
        <v>0</v>
      </c>
      <c r="AN755" s="1987">
        <v>0</v>
      </c>
      <c r="AO755" s="1987">
        <v>0</v>
      </c>
      <c r="AP755" s="1987">
        <v>0</v>
      </c>
    </row>
    <row r="756" spans="1:42" s="69" customFormat="1" ht="14.5">
      <c r="A756" s="1693">
        <v>619</v>
      </c>
      <c r="B756" s="616">
        <v>1</v>
      </c>
      <c r="C756" s="1693">
        <v>636</v>
      </c>
      <c r="D756" s="616">
        <v>1</v>
      </c>
      <c r="E756" s="1693">
        <v>683</v>
      </c>
      <c r="F756" s="616">
        <v>1</v>
      </c>
      <c r="G756" s="1693">
        <v>748</v>
      </c>
      <c r="H756" s="616">
        <v>1</v>
      </c>
      <c r="I756" s="616"/>
      <c r="L756" s="9"/>
      <c r="M756" s="9"/>
      <c r="N756" s="22"/>
      <c r="O756" s="352"/>
      <c r="P756" s="353"/>
      <c r="Q756" s="68"/>
      <c r="R756" s="68"/>
      <c r="T756" s="231"/>
      <c r="U756" s="307"/>
      <c r="V756" s="307" t="s">
        <v>223</v>
      </c>
      <c r="W756" s="1911"/>
      <c r="X756" s="2140"/>
      <c r="Y756" s="2140"/>
      <c r="Z756" s="2140"/>
      <c r="AA756" s="2140"/>
      <c r="AB756" s="2140"/>
      <c r="AC756" s="2140"/>
      <c r="AD756" s="2140"/>
      <c r="AE756" s="2140"/>
      <c r="AF756" s="2140"/>
      <c r="AG756" s="2140"/>
      <c r="AH756" s="2140"/>
      <c r="AI756" s="2140"/>
      <c r="AJ756" s="2139">
        <v>0</v>
      </c>
      <c r="AK756" s="2138">
        <v>0</v>
      </c>
      <c r="AL756" s="2138">
        <v>0</v>
      </c>
      <c r="AM756" s="2138">
        <v>0</v>
      </c>
      <c r="AN756" s="2138">
        <v>0</v>
      </c>
      <c r="AO756" s="2138">
        <v>0</v>
      </c>
      <c r="AP756" s="2138">
        <v>0</v>
      </c>
    </row>
    <row r="757" spans="1:42" s="69" customFormat="1" ht="14.5">
      <c r="A757" s="1693">
        <v>620</v>
      </c>
      <c r="B757" s="616">
        <v>1</v>
      </c>
      <c r="C757" s="1693">
        <v>637</v>
      </c>
      <c r="D757" s="616">
        <v>1</v>
      </c>
      <c r="E757" s="1693">
        <v>684</v>
      </c>
      <c r="F757" s="616">
        <v>1</v>
      </c>
      <c r="G757" s="1693">
        <v>749</v>
      </c>
      <c r="H757" s="616">
        <v>1</v>
      </c>
      <c r="I757" s="616"/>
      <c r="L757" s="9"/>
      <c r="M757" s="9"/>
      <c r="N757" s="22"/>
      <c r="O757" s="352"/>
      <c r="P757" s="353"/>
      <c r="Q757" s="68"/>
      <c r="R757" s="68"/>
      <c r="T757" s="232"/>
      <c r="U757" s="232"/>
      <c r="V757" s="232" t="s">
        <v>224</v>
      </c>
      <c r="W757" s="1911"/>
      <c r="X757" s="2153"/>
      <c r="Y757" s="2153"/>
      <c r="Z757" s="2153"/>
      <c r="AA757" s="2153"/>
      <c r="AB757" s="2153"/>
      <c r="AC757" s="2153"/>
      <c r="AD757" s="2153"/>
      <c r="AE757" s="2153"/>
      <c r="AF757" s="2153"/>
      <c r="AG757" s="2153"/>
      <c r="AH757" s="2153"/>
      <c r="AI757" s="2153"/>
      <c r="AJ757" s="2147">
        <v>0</v>
      </c>
      <c r="AK757" s="579">
        <v>0</v>
      </c>
      <c r="AL757" s="579">
        <v>0</v>
      </c>
      <c r="AM757" s="579">
        <v>0</v>
      </c>
      <c r="AN757" s="579">
        <v>0</v>
      </c>
      <c r="AO757" s="579">
        <v>0</v>
      </c>
      <c r="AP757" s="579">
        <v>0</v>
      </c>
    </row>
    <row r="758" spans="1:42" s="69" customFormat="1" ht="14.5">
      <c r="A758" s="1693">
        <v>621</v>
      </c>
      <c r="B758" s="616">
        <v>1</v>
      </c>
      <c r="C758" s="1693">
        <v>638</v>
      </c>
      <c r="D758" s="616">
        <v>1</v>
      </c>
      <c r="E758" s="1693">
        <v>685</v>
      </c>
      <c r="F758" s="616">
        <v>1</v>
      </c>
      <c r="G758" s="1693">
        <v>750</v>
      </c>
      <c r="H758" s="616">
        <v>1</v>
      </c>
      <c r="I758" s="616"/>
      <c r="L758" s="9"/>
      <c r="M758" s="9"/>
      <c r="N758" s="22"/>
      <c r="O758" s="352"/>
      <c r="P758" s="353"/>
      <c r="Q758" s="68"/>
      <c r="R758" s="68"/>
      <c r="T758" s="231" t="s">
        <v>1106</v>
      </c>
      <c r="U758" s="231"/>
      <c r="V758" s="307"/>
      <c r="W758" s="1911"/>
      <c r="X758" s="2140"/>
      <c r="Y758" s="2140"/>
      <c r="Z758" s="2140"/>
      <c r="AA758" s="2140"/>
      <c r="AB758" s="2140"/>
      <c r="AC758" s="2140"/>
      <c r="AD758" s="2140"/>
      <c r="AE758" s="2140"/>
      <c r="AF758" s="2140"/>
      <c r="AG758" s="2140"/>
      <c r="AH758" s="2140"/>
      <c r="AI758" s="2140"/>
      <c r="AJ758" s="2139">
        <v>0</v>
      </c>
      <c r="AK758" s="2138">
        <v>0</v>
      </c>
      <c r="AL758" s="2138">
        <v>0</v>
      </c>
      <c r="AM758" s="2138">
        <v>0</v>
      </c>
      <c r="AN758" s="2138">
        <v>0</v>
      </c>
      <c r="AO758" s="2138">
        <v>0</v>
      </c>
      <c r="AP758" s="2138">
        <v>0</v>
      </c>
    </row>
    <row r="759" spans="1:42" ht="14.5">
      <c r="A759" s="1693">
        <v>622</v>
      </c>
      <c r="B759" s="616">
        <v>1</v>
      </c>
      <c r="C759" s="1693">
        <v>639</v>
      </c>
      <c r="D759" s="616">
        <v>1</v>
      </c>
      <c r="E759" s="1693">
        <v>686</v>
      </c>
      <c r="F759" s="616">
        <v>1</v>
      </c>
      <c r="G759" s="1693">
        <v>751</v>
      </c>
      <c r="H759" s="616">
        <v>1</v>
      </c>
      <c r="K759" s="69"/>
      <c r="O759" s="354"/>
      <c r="P759" s="355"/>
      <c r="Q759" s="67"/>
      <c r="R759" s="67"/>
      <c r="S759" s="211"/>
      <c r="T759" s="2191" t="s">
        <v>2</v>
      </c>
      <c r="U759" s="2191"/>
      <c r="V759" s="2191"/>
      <c r="W759" s="1911"/>
      <c r="X759" s="2148"/>
      <c r="Y759" s="2148"/>
      <c r="Z759" s="2148"/>
      <c r="AA759" s="2148"/>
      <c r="AB759" s="2148"/>
      <c r="AC759" s="2148"/>
      <c r="AD759" s="2148"/>
      <c r="AE759" s="2148"/>
      <c r="AF759" s="2148"/>
      <c r="AG759" s="2148"/>
      <c r="AH759" s="2148"/>
      <c r="AI759" s="2148"/>
      <c r="AJ759" s="2196">
        <v>0</v>
      </c>
      <c r="AK759" s="2197">
        <v>0</v>
      </c>
      <c r="AL759" s="2197">
        <v>0</v>
      </c>
      <c r="AM759" s="2197">
        <v>0</v>
      </c>
      <c r="AN759" s="2197">
        <v>0</v>
      </c>
      <c r="AO759" s="2197">
        <v>0</v>
      </c>
      <c r="AP759" s="2197">
        <v>0</v>
      </c>
    </row>
    <row r="760" spans="1:42" s="69" customFormat="1" ht="14.5">
      <c r="A760" s="1693">
        <v>623</v>
      </c>
      <c r="B760" s="616">
        <v>1</v>
      </c>
      <c r="C760" s="1693">
        <v>1</v>
      </c>
      <c r="D760" s="616">
        <v>1</v>
      </c>
      <c r="E760" s="1693">
        <v>687</v>
      </c>
      <c r="F760" s="616"/>
      <c r="G760" s="1693">
        <v>752</v>
      </c>
      <c r="H760" s="616"/>
      <c r="I760" s="616"/>
      <c r="L760" s="4"/>
      <c r="M760" s="4"/>
      <c r="N760" s="4"/>
      <c r="O760" s="12"/>
      <c r="P760" s="28"/>
      <c r="Q760" s="22"/>
      <c r="R760" s="22"/>
      <c r="S760" s="28"/>
      <c r="T760" s="3"/>
      <c r="U760" s="3"/>
      <c r="V760" s="3"/>
      <c r="W760" s="1850"/>
      <c r="X760" s="2199"/>
      <c r="Y760" s="2200"/>
      <c r="Z760" s="2200"/>
      <c r="AA760" s="2200"/>
      <c r="AB760" s="2200"/>
      <c r="AC760" s="2200"/>
      <c r="AD760" s="2200"/>
      <c r="AE760" s="2200"/>
      <c r="AF760" s="2200"/>
      <c r="AG760" s="2200"/>
      <c r="AH760" s="2200"/>
      <c r="AI760" s="2200"/>
      <c r="AJ760" s="2200"/>
      <c r="AK760" s="2200"/>
      <c r="AL760" s="2200"/>
      <c r="AM760" s="2200"/>
      <c r="AN760" s="2200"/>
      <c r="AO760" s="2200"/>
      <c r="AP760" s="2200"/>
    </row>
    <row r="761" spans="1:42" ht="14.5">
      <c r="A761" s="1693">
        <v>624</v>
      </c>
      <c r="B761" s="616">
        <v>1</v>
      </c>
      <c r="C761" s="1693">
        <v>669</v>
      </c>
      <c r="D761" s="616">
        <v>1</v>
      </c>
      <c r="E761" s="1693">
        <v>688</v>
      </c>
      <c r="F761" s="616">
        <v>1</v>
      </c>
      <c r="G761" s="1693">
        <v>753</v>
      </c>
      <c r="H761" s="616">
        <v>1</v>
      </c>
      <c r="K761" s="69"/>
      <c r="L761" s="8"/>
      <c r="M761" s="22"/>
      <c r="N761" s="4" t="s">
        <v>1056</v>
      </c>
      <c r="V761" s="222"/>
      <c r="W761" s="1772"/>
      <c r="X761" s="1125"/>
      <c r="Y761" s="1366"/>
      <c r="Z761" s="1366"/>
      <c r="AA761" s="1366"/>
      <c r="AB761" s="1366"/>
      <c r="AC761" s="1366"/>
      <c r="AD761" s="1366"/>
      <c r="AE761" s="1366"/>
      <c r="AF761" s="1366"/>
      <c r="AG761" s="1366"/>
      <c r="AH761" s="1366"/>
      <c r="AI761" s="1366"/>
      <c r="AJ761" s="1366"/>
      <c r="AK761" s="1366"/>
      <c r="AL761" s="1366"/>
      <c r="AM761" s="1366"/>
      <c r="AN761" s="1366"/>
      <c r="AO761" s="1366"/>
      <c r="AP761" s="1366"/>
    </row>
    <row r="762" spans="1:42" ht="14.5">
      <c r="A762" s="1693">
        <v>625</v>
      </c>
      <c r="B762" s="616">
        <v>1</v>
      </c>
      <c r="C762" s="1693">
        <v>670</v>
      </c>
      <c r="D762" s="616">
        <v>1</v>
      </c>
      <c r="E762" s="1693">
        <v>689</v>
      </c>
      <c r="F762" s="616">
        <v>1</v>
      </c>
      <c r="G762" s="1693">
        <v>754</v>
      </c>
      <c r="H762" s="616">
        <v>1</v>
      </c>
      <c r="K762" s="69"/>
      <c r="O762" s="316" t="s">
        <v>0</v>
      </c>
      <c r="P762" s="2056"/>
      <c r="Q762" s="471"/>
      <c r="R762" s="471"/>
      <c r="S762" s="471"/>
      <c r="T762" s="471"/>
      <c r="U762" s="471"/>
      <c r="V762" s="471"/>
      <c r="W762" s="2201"/>
      <c r="X762" s="2059">
        <v>1000</v>
      </c>
      <c r="Y762" s="2202">
        <v>1150</v>
      </c>
      <c r="Z762" s="2059">
        <v>1300</v>
      </c>
      <c r="AA762" s="2059">
        <v>1100</v>
      </c>
      <c r="AB762" s="2059">
        <v>1200</v>
      </c>
      <c r="AC762" s="2059">
        <v>1400</v>
      </c>
      <c r="AD762" s="2059">
        <v>1100</v>
      </c>
      <c r="AE762" s="2059">
        <v>1200</v>
      </c>
      <c r="AF762" s="2059">
        <v>1300</v>
      </c>
      <c r="AG762" s="2059">
        <v>1100</v>
      </c>
      <c r="AH762" s="2059">
        <v>1200</v>
      </c>
      <c r="AI762" s="2059">
        <v>1400</v>
      </c>
      <c r="AJ762" s="2060">
        <v>3450</v>
      </c>
      <c r="AK762" s="2059">
        <v>3700</v>
      </c>
      <c r="AL762" s="2059">
        <v>3600</v>
      </c>
      <c r="AM762" s="2059">
        <v>3700</v>
      </c>
      <c r="AN762" s="2059">
        <v>7150</v>
      </c>
      <c r="AO762" s="2059">
        <v>7300</v>
      </c>
      <c r="AP762" s="2060">
        <v>14450</v>
      </c>
    </row>
    <row r="763" spans="1:42" ht="14.5">
      <c r="A763" s="1693">
        <v>626</v>
      </c>
      <c r="B763" s="616">
        <v>1</v>
      </c>
      <c r="C763" s="1693">
        <v>671</v>
      </c>
      <c r="D763" s="616">
        <v>1</v>
      </c>
      <c r="E763" s="1693">
        <v>690</v>
      </c>
      <c r="F763" s="616">
        <v>1</v>
      </c>
      <c r="G763" s="1693">
        <v>755</v>
      </c>
      <c r="H763" s="616">
        <v>1</v>
      </c>
      <c r="K763" s="69"/>
      <c r="O763" s="86"/>
      <c r="P763" s="85"/>
      <c r="Q763" s="68" t="s">
        <v>1018</v>
      </c>
      <c r="R763" s="68"/>
      <c r="S763" s="457"/>
      <c r="T763" s="283"/>
      <c r="U763" s="283"/>
      <c r="V763" s="68"/>
      <c r="W763" s="2173"/>
      <c r="X763" s="2175">
        <v>1000</v>
      </c>
      <c r="Y763" s="2174">
        <v>1150</v>
      </c>
      <c r="Z763" s="2175">
        <v>1300</v>
      </c>
      <c r="AA763" s="2175">
        <v>1100</v>
      </c>
      <c r="AB763" s="2175">
        <v>1200</v>
      </c>
      <c r="AC763" s="2175">
        <v>1400</v>
      </c>
      <c r="AD763" s="2175">
        <v>1100</v>
      </c>
      <c r="AE763" s="2175">
        <v>1200</v>
      </c>
      <c r="AF763" s="2175">
        <v>1300</v>
      </c>
      <c r="AG763" s="2175">
        <v>1100</v>
      </c>
      <c r="AH763" s="2175">
        <v>1200</v>
      </c>
      <c r="AI763" s="2175">
        <v>1400</v>
      </c>
      <c r="AJ763" s="2176">
        <v>3450</v>
      </c>
      <c r="AK763" s="2175">
        <v>3700</v>
      </c>
      <c r="AL763" s="2175">
        <v>3600</v>
      </c>
      <c r="AM763" s="2175">
        <v>3700</v>
      </c>
      <c r="AN763" s="2175">
        <v>7150</v>
      </c>
      <c r="AO763" s="2175">
        <v>7300</v>
      </c>
      <c r="AP763" s="2176">
        <v>14450</v>
      </c>
    </row>
    <row r="764" spans="1:42" ht="14.5">
      <c r="A764" s="1693">
        <v>627</v>
      </c>
      <c r="B764" s="616">
        <v>1</v>
      </c>
      <c r="C764" s="1693">
        <v>672</v>
      </c>
      <c r="D764" s="616">
        <v>1</v>
      </c>
      <c r="E764" s="1695">
        <v>691</v>
      </c>
      <c r="F764" s="616">
        <v>1</v>
      </c>
      <c r="G764" s="1693">
        <v>756</v>
      </c>
      <c r="H764" s="616">
        <v>1</v>
      </c>
      <c r="K764" s="69"/>
      <c r="M764" s="22"/>
      <c r="O764" s="86"/>
      <c r="P764" s="85"/>
      <c r="Q764" s="68"/>
      <c r="R764" s="68"/>
      <c r="S764" s="8" t="s">
        <v>3</v>
      </c>
      <c r="T764" s="284"/>
      <c r="U764" s="284"/>
      <c r="V764" s="284"/>
      <c r="W764" s="1899"/>
      <c r="X764" s="1987">
        <v>500</v>
      </c>
      <c r="Y764" s="2179">
        <v>0</v>
      </c>
      <c r="Z764" s="1987">
        <v>0</v>
      </c>
      <c r="AA764" s="1987">
        <v>500</v>
      </c>
      <c r="AB764" s="1987">
        <v>0</v>
      </c>
      <c r="AC764" s="1987">
        <v>0</v>
      </c>
      <c r="AD764" s="1987">
        <v>500</v>
      </c>
      <c r="AE764" s="1987">
        <v>0</v>
      </c>
      <c r="AF764" s="1987">
        <v>0</v>
      </c>
      <c r="AG764" s="1987">
        <v>500</v>
      </c>
      <c r="AH764" s="1987">
        <v>0</v>
      </c>
      <c r="AI764" s="1987">
        <v>0</v>
      </c>
      <c r="AJ764" s="2144">
        <v>500</v>
      </c>
      <c r="AK764" s="1987">
        <v>500</v>
      </c>
      <c r="AL764" s="1987">
        <v>500</v>
      </c>
      <c r="AM764" s="1987">
        <v>500</v>
      </c>
      <c r="AN764" s="1987">
        <v>1000</v>
      </c>
      <c r="AO764" s="1987">
        <v>1000</v>
      </c>
      <c r="AP764" s="2144">
        <v>2000</v>
      </c>
    </row>
    <row r="765" spans="1:42" ht="14.5">
      <c r="A765" s="1693">
        <v>1</v>
      </c>
      <c r="B765" s="616">
        <v>1</v>
      </c>
      <c r="C765" s="1693">
        <v>673</v>
      </c>
      <c r="D765" s="616">
        <v>1</v>
      </c>
      <c r="E765" s="1693">
        <v>692</v>
      </c>
      <c r="F765" s="616">
        <v>1</v>
      </c>
      <c r="G765" s="1693">
        <v>757</v>
      </c>
      <c r="H765" s="616">
        <v>1</v>
      </c>
      <c r="K765" s="69"/>
      <c r="M765" s="22"/>
      <c r="O765" s="86"/>
      <c r="P765" s="85"/>
      <c r="Q765" s="68"/>
      <c r="R765" s="68"/>
      <c r="T765" s="97" t="s">
        <v>523</v>
      </c>
      <c r="U765" s="97"/>
      <c r="V765" s="97"/>
      <c r="W765" s="1911"/>
      <c r="X765" s="2140"/>
      <c r="Y765" s="2178"/>
      <c r="Z765" s="2140"/>
      <c r="AA765" s="2140"/>
      <c r="AB765" s="2140"/>
      <c r="AC765" s="2140"/>
      <c r="AD765" s="2140"/>
      <c r="AE765" s="2140"/>
      <c r="AF765" s="2140"/>
      <c r="AG765" s="2140"/>
      <c r="AH765" s="2140"/>
      <c r="AI765" s="2140"/>
      <c r="AJ765" s="2160">
        <v>0</v>
      </c>
      <c r="AK765" s="2161">
        <v>0</v>
      </c>
      <c r="AL765" s="2161">
        <v>0</v>
      </c>
      <c r="AM765" s="2161">
        <v>0</v>
      </c>
      <c r="AN765" s="2161">
        <v>0</v>
      </c>
      <c r="AO765" s="2161">
        <v>0</v>
      </c>
      <c r="AP765" s="2160">
        <v>0</v>
      </c>
    </row>
    <row r="766" spans="1:42" ht="14.5">
      <c r="A766" s="1693">
        <v>1</v>
      </c>
      <c r="B766" s="616">
        <v>1</v>
      </c>
      <c r="C766" s="1693">
        <v>674</v>
      </c>
      <c r="D766" s="616">
        <v>1</v>
      </c>
      <c r="E766" s="1693">
        <v>693</v>
      </c>
      <c r="F766" s="616">
        <v>1</v>
      </c>
      <c r="G766" s="1693">
        <v>758</v>
      </c>
      <c r="H766" s="616">
        <v>1</v>
      </c>
      <c r="K766" s="69"/>
      <c r="M766" s="22"/>
      <c r="O766" s="86"/>
      <c r="P766" s="85"/>
      <c r="Q766" s="68"/>
      <c r="R766" s="68"/>
      <c r="T766" s="8" t="s">
        <v>524</v>
      </c>
      <c r="W766" s="1911"/>
      <c r="X766" s="2021">
        <v>500</v>
      </c>
      <c r="Y766" s="2162">
        <v>0</v>
      </c>
      <c r="Z766" s="2021">
        <v>0</v>
      </c>
      <c r="AA766" s="2021">
        <v>500</v>
      </c>
      <c r="AB766" s="2021">
        <v>0</v>
      </c>
      <c r="AC766" s="2021">
        <v>0</v>
      </c>
      <c r="AD766" s="2021">
        <v>500</v>
      </c>
      <c r="AE766" s="2021">
        <v>0</v>
      </c>
      <c r="AF766" s="2021">
        <v>0</v>
      </c>
      <c r="AG766" s="2021">
        <v>500</v>
      </c>
      <c r="AH766" s="2021">
        <v>0</v>
      </c>
      <c r="AI766" s="2021">
        <v>0</v>
      </c>
      <c r="AJ766" s="1925">
        <v>500</v>
      </c>
      <c r="AK766" s="1926">
        <v>500</v>
      </c>
      <c r="AL766" s="1926">
        <v>500</v>
      </c>
      <c r="AM766" s="1926">
        <v>500</v>
      </c>
      <c r="AN766" s="1926">
        <v>1000</v>
      </c>
      <c r="AO766" s="1926">
        <v>1000</v>
      </c>
      <c r="AP766" s="1925">
        <v>2000</v>
      </c>
    </row>
    <row r="767" spans="1:42" ht="14.5">
      <c r="A767" s="1693">
        <v>1</v>
      </c>
      <c r="B767" s="616">
        <v>1</v>
      </c>
      <c r="C767" s="1693">
        <v>675</v>
      </c>
      <c r="D767" s="616">
        <v>1</v>
      </c>
      <c r="E767" s="1693">
        <v>694</v>
      </c>
      <c r="F767" s="616">
        <v>1</v>
      </c>
      <c r="G767" s="1693">
        <v>759</v>
      </c>
      <c r="H767" s="616">
        <v>1</v>
      </c>
      <c r="K767" s="69"/>
      <c r="M767" s="22"/>
      <c r="O767" s="86"/>
      <c r="P767" s="85"/>
      <c r="Q767" s="68"/>
      <c r="R767" s="68"/>
      <c r="T767" s="8" t="s">
        <v>525</v>
      </c>
      <c r="W767" s="1911"/>
      <c r="X767" s="2021"/>
      <c r="Y767" s="2162"/>
      <c r="Z767" s="2021"/>
      <c r="AA767" s="2021"/>
      <c r="AB767" s="2021"/>
      <c r="AC767" s="2021"/>
      <c r="AD767" s="2021"/>
      <c r="AE767" s="2021"/>
      <c r="AF767" s="2021"/>
      <c r="AG767" s="2021"/>
      <c r="AH767" s="2021"/>
      <c r="AI767" s="2021"/>
      <c r="AJ767" s="1925">
        <v>0</v>
      </c>
      <c r="AK767" s="1926">
        <v>0</v>
      </c>
      <c r="AL767" s="1926">
        <v>0</v>
      </c>
      <c r="AM767" s="1926">
        <v>0</v>
      </c>
      <c r="AN767" s="1926">
        <v>0</v>
      </c>
      <c r="AO767" s="1926">
        <v>0</v>
      </c>
      <c r="AP767" s="1925">
        <v>0</v>
      </c>
    </row>
    <row r="768" spans="1:42" ht="14.5">
      <c r="A768" s="1693">
        <v>1</v>
      </c>
      <c r="B768" s="616">
        <v>1</v>
      </c>
      <c r="C768" s="1693">
        <v>676</v>
      </c>
      <c r="D768" s="616">
        <v>1</v>
      </c>
      <c r="E768" s="1693">
        <v>695</v>
      </c>
      <c r="F768" s="616">
        <v>1</v>
      </c>
      <c r="G768" s="1693">
        <v>760</v>
      </c>
      <c r="H768" s="616">
        <v>1</v>
      </c>
      <c r="K768" s="69"/>
      <c r="M768" s="22"/>
      <c r="O768" s="86"/>
      <c r="P768" s="85"/>
      <c r="Q768" s="68"/>
      <c r="R768" s="68"/>
      <c r="S768" s="11"/>
      <c r="T768" s="8" t="s">
        <v>526</v>
      </c>
      <c r="W768" s="1911"/>
      <c r="X768" s="2021"/>
      <c r="Y768" s="2162"/>
      <c r="Z768" s="2021"/>
      <c r="AA768" s="2021"/>
      <c r="AB768" s="2021"/>
      <c r="AC768" s="2021"/>
      <c r="AD768" s="2021"/>
      <c r="AE768" s="2021"/>
      <c r="AF768" s="2021"/>
      <c r="AG768" s="2021"/>
      <c r="AH768" s="2021"/>
      <c r="AI768" s="2021"/>
      <c r="AJ768" s="1925">
        <v>0</v>
      </c>
      <c r="AK768" s="1926">
        <v>0</v>
      </c>
      <c r="AL768" s="1926">
        <v>0</v>
      </c>
      <c r="AM768" s="1926">
        <v>0</v>
      </c>
      <c r="AN768" s="1926">
        <v>0</v>
      </c>
      <c r="AO768" s="1926">
        <v>0</v>
      </c>
      <c r="AP768" s="1925">
        <v>0</v>
      </c>
    </row>
    <row r="769" spans="1:42" ht="14.5">
      <c r="A769" s="1693">
        <v>647</v>
      </c>
      <c r="B769" s="616">
        <v>695</v>
      </c>
      <c r="C769" s="1693">
        <v>1</v>
      </c>
      <c r="D769" s="616">
        <v>644</v>
      </c>
      <c r="E769" s="1693">
        <v>696</v>
      </c>
      <c r="F769" s="616">
        <v>1</v>
      </c>
      <c r="G769" s="1693">
        <v>761</v>
      </c>
      <c r="H769" s="616">
        <v>1</v>
      </c>
      <c r="K769" s="69"/>
      <c r="M769" s="737"/>
      <c r="O769" s="86"/>
      <c r="P769" s="85"/>
      <c r="Q769" s="68"/>
      <c r="R769" s="68"/>
      <c r="S769" s="3" t="s">
        <v>1059</v>
      </c>
      <c r="T769" s="284"/>
      <c r="U769" s="284"/>
      <c r="V769" s="284"/>
      <c r="W769" s="1899"/>
      <c r="X769" s="1987">
        <v>0</v>
      </c>
      <c r="Y769" s="2179">
        <v>0</v>
      </c>
      <c r="Z769" s="1987">
        <v>0</v>
      </c>
      <c r="AA769" s="1987">
        <v>0</v>
      </c>
      <c r="AB769" s="1987">
        <v>0</v>
      </c>
      <c r="AC769" s="1987">
        <v>0</v>
      </c>
      <c r="AD769" s="1987">
        <v>0</v>
      </c>
      <c r="AE769" s="1987">
        <v>0</v>
      </c>
      <c r="AF769" s="1987">
        <v>0</v>
      </c>
      <c r="AG769" s="1987">
        <v>0</v>
      </c>
      <c r="AH769" s="1987">
        <v>0</v>
      </c>
      <c r="AI769" s="1987">
        <v>0</v>
      </c>
      <c r="AJ769" s="2144">
        <v>0</v>
      </c>
      <c r="AK769" s="1987">
        <v>0</v>
      </c>
      <c r="AL769" s="1987">
        <v>0</v>
      </c>
      <c r="AM769" s="1987">
        <v>0</v>
      </c>
      <c r="AN769" s="1987">
        <v>0</v>
      </c>
      <c r="AO769" s="1987">
        <v>0</v>
      </c>
      <c r="AP769" s="2144">
        <v>0</v>
      </c>
    </row>
    <row r="770" spans="1:42" ht="14.5">
      <c r="A770" s="1693">
        <v>1</v>
      </c>
      <c r="B770" s="616">
        <v>1</v>
      </c>
      <c r="C770" s="1693">
        <v>1</v>
      </c>
      <c r="D770" s="616">
        <v>645</v>
      </c>
      <c r="E770" s="1693">
        <v>697</v>
      </c>
      <c r="F770" s="616">
        <v>1</v>
      </c>
      <c r="G770" s="1693">
        <v>762</v>
      </c>
      <c r="H770" s="616">
        <v>1</v>
      </c>
      <c r="K770" s="69"/>
      <c r="M770" s="737"/>
      <c r="O770" s="86"/>
      <c r="P770" s="85"/>
      <c r="Q770" s="68"/>
      <c r="R770" s="68"/>
      <c r="T770" s="97" t="s">
        <v>523</v>
      </c>
      <c r="U770" s="97"/>
      <c r="V770" s="97"/>
      <c r="W770" s="1911"/>
      <c r="X770" s="2140"/>
      <c r="Y770" s="2178"/>
      <c r="Z770" s="2140"/>
      <c r="AA770" s="2140"/>
      <c r="AB770" s="2140"/>
      <c r="AC770" s="2140"/>
      <c r="AD770" s="2140"/>
      <c r="AE770" s="2140"/>
      <c r="AF770" s="2140"/>
      <c r="AG770" s="2140"/>
      <c r="AH770" s="2140"/>
      <c r="AI770" s="2140"/>
      <c r="AJ770" s="2160">
        <v>0</v>
      </c>
      <c r="AK770" s="2161">
        <v>0</v>
      </c>
      <c r="AL770" s="2161">
        <v>0</v>
      </c>
      <c r="AM770" s="2161">
        <v>0</v>
      </c>
      <c r="AN770" s="2161">
        <v>0</v>
      </c>
      <c r="AO770" s="2161">
        <v>0</v>
      </c>
      <c r="AP770" s="2160">
        <v>0</v>
      </c>
    </row>
    <row r="771" spans="1:42" ht="14.5">
      <c r="A771" s="1693">
        <v>1</v>
      </c>
      <c r="B771" s="616">
        <v>1</v>
      </c>
      <c r="C771" s="1693">
        <v>1</v>
      </c>
      <c r="D771" s="616">
        <v>646</v>
      </c>
      <c r="E771" s="1693">
        <v>698</v>
      </c>
      <c r="F771" s="616">
        <v>1</v>
      </c>
      <c r="G771" s="1693">
        <v>763</v>
      </c>
      <c r="H771" s="616">
        <v>1</v>
      </c>
      <c r="K771" s="69"/>
      <c r="M771" s="737"/>
      <c r="O771" s="86"/>
      <c r="P771" s="85"/>
      <c r="Q771" s="68"/>
      <c r="R771" s="68"/>
      <c r="T771" s="8" t="s">
        <v>524</v>
      </c>
      <c r="W771" s="1911"/>
      <c r="X771" s="2021"/>
      <c r="Y771" s="2162"/>
      <c r="Z771" s="2021"/>
      <c r="AA771" s="2021"/>
      <c r="AB771" s="2021"/>
      <c r="AC771" s="2021"/>
      <c r="AD771" s="2021"/>
      <c r="AE771" s="2021"/>
      <c r="AF771" s="2021"/>
      <c r="AG771" s="2021"/>
      <c r="AH771" s="2021"/>
      <c r="AI771" s="2021"/>
      <c r="AJ771" s="1925">
        <v>0</v>
      </c>
      <c r="AK771" s="1926">
        <v>0</v>
      </c>
      <c r="AL771" s="1926">
        <v>0</v>
      </c>
      <c r="AM771" s="1926">
        <v>0</v>
      </c>
      <c r="AN771" s="1926">
        <v>0</v>
      </c>
      <c r="AO771" s="1926">
        <v>0</v>
      </c>
      <c r="AP771" s="1925">
        <v>0</v>
      </c>
    </row>
    <row r="772" spans="1:42" ht="14.5">
      <c r="A772" s="1693">
        <v>1</v>
      </c>
      <c r="B772" s="616">
        <v>1</v>
      </c>
      <c r="C772" s="1693">
        <v>1</v>
      </c>
      <c r="D772" s="616">
        <v>1</v>
      </c>
      <c r="E772" s="1693">
        <v>699</v>
      </c>
      <c r="F772" s="616">
        <v>1</v>
      </c>
      <c r="G772" s="1693">
        <v>764</v>
      </c>
      <c r="H772" s="616">
        <v>1</v>
      </c>
      <c r="K772" s="69"/>
      <c r="M772" s="737"/>
      <c r="O772" s="86"/>
      <c r="P772" s="85"/>
      <c r="Q772" s="68"/>
      <c r="R772" s="68"/>
      <c r="T772" s="8" t="s">
        <v>525</v>
      </c>
      <c r="W772" s="1911"/>
      <c r="X772" s="2021"/>
      <c r="Y772" s="2162"/>
      <c r="Z772" s="2021"/>
      <c r="AA772" s="2021"/>
      <c r="AB772" s="2021"/>
      <c r="AC772" s="2021"/>
      <c r="AD772" s="2021"/>
      <c r="AE772" s="2021"/>
      <c r="AF772" s="2021"/>
      <c r="AG772" s="2021"/>
      <c r="AH772" s="2021"/>
      <c r="AI772" s="2021"/>
      <c r="AJ772" s="1925">
        <v>0</v>
      </c>
      <c r="AK772" s="1926">
        <v>0</v>
      </c>
      <c r="AL772" s="1926">
        <v>0</v>
      </c>
      <c r="AM772" s="1926">
        <v>0</v>
      </c>
      <c r="AN772" s="1926">
        <v>0</v>
      </c>
      <c r="AO772" s="1926">
        <v>0</v>
      </c>
      <c r="AP772" s="1925">
        <v>0</v>
      </c>
    </row>
    <row r="773" spans="1:42" ht="14.5">
      <c r="A773" s="1693">
        <v>1</v>
      </c>
      <c r="B773" s="616">
        <v>1</v>
      </c>
      <c r="C773" s="1693">
        <v>1</v>
      </c>
      <c r="D773" s="616">
        <v>1</v>
      </c>
      <c r="E773" s="1693">
        <v>700</v>
      </c>
      <c r="F773" s="616">
        <v>1</v>
      </c>
      <c r="G773" s="1693">
        <v>765</v>
      </c>
      <c r="H773" s="616">
        <v>1</v>
      </c>
      <c r="K773" s="69"/>
      <c r="M773" s="737"/>
      <c r="O773" s="86"/>
      <c r="P773" s="85"/>
      <c r="Q773" s="68"/>
      <c r="R773" s="68"/>
      <c r="T773" s="8" t="s">
        <v>526</v>
      </c>
      <c r="W773" s="1911"/>
      <c r="X773" s="2021"/>
      <c r="Y773" s="2162"/>
      <c r="Z773" s="2021"/>
      <c r="AA773" s="2021"/>
      <c r="AB773" s="2021"/>
      <c r="AC773" s="2021"/>
      <c r="AD773" s="2021"/>
      <c r="AE773" s="2021"/>
      <c r="AF773" s="2021"/>
      <c r="AG773" s="2021"/>
      <c r="AH773" s="2021"/>
      <c r="AI773" s="2021"/>
      <c r="AJ773" s="1925">
        <v>0</v>
      </c>
      <c r="AK773" s="1926">
        <v>0</v>
      </c>
      <c r="AL773" s="1926">
        <v>0</v>
      </c>
      <c r="AM773" s="1926">
        <v>0</v>
      </c>
      <c r="AN773" s="1926">
        <v>0</v>
      </c>
      <c r="AO773" s="1926">
        <v>0</v>
      </c>
      <c r="AP773" s="1925">
        <v>0</v>
      </c>
    </row>
    <row r="774" spans="1:42" ht="14.5">
      <c r="A774" s="1693">
        <v>632</v>
      </c>
      <c r="B774" s="616">
        <v>1</v>
      </c>
      <c r="C774" s="1693">
        <v>677</v>
      </c>
      <c r="D774" s="616">
        <v>1</v>
      </c>
      <c r="E774" s="1693">
        <v>701</v>
      </c>
      <c r="F774" s="616">
        <v>1</v>
      </c>
      <c r="G774" s="1693">
        <v>766</v>
      </c>
      <c r="H774" s="616">
        <v>1</v>
      </c>
      <c r="K774" s="69"/>
      <c r="M774" s="22"/>
      <c r="O774" s="86"/>
      <c r="P774" s="85"/>
      <c r="Q774" s="68"/>
      <c r="R774" s="68"/>
      <c r="S774" s="487" t="s">
        <v>4</v>
      </c>
      <c r="T774" s="284"/>
      <c r="U774" s="284"/>
      <c r="V774" s="284"/>
      <c r="W774" s="1899"/>
      <c r="X774" s="1987">
        <v>500</v>
      </c>
      <c r="Y774" s="2179">
        <v>1150</v>
      </c>
      <c r="Z774" s="1987">
        <v>1300</v>
      </c>
      <c r="AA774" s="1987">
        <v>600</v>
      </c>
      <c r="AB774" s="1987">
        <v>1200</v>
      </c>
      <c r="AC774" s="1987">
        <v>1400</v>
      </c>
      <c r="AD774" s="1987">
        <v>600</v>
      </c>
      <c r="AE774" s="1987">
        <v>1200</v>
      </c>
      <c r="AF774" s="1987">
        <v>1300</v>
      </c>
      <c r="AG774" s="1987">
        <v>600</v>
      </c>
      <c r="AH774" s="1987">
        <v>1200</v>
      </c>
      <c r="AI774" s="1987">
        <v>1400</v>
      </c>
      <c r="AJ774" s="2144">
        <v>2950</v>
      </c>
      <c r="AK774" s="1987">
        <v>3200</v>
      </c>
      <c r="AL774" s="1987">
        <v>3100</v>
      </c>
      <c r="AM774" s="1987">
        <v>3200</v>
      </c>
      <c r="AN774" s="1987">
        <v>6150</v>
      </c>
      <c r="AO774" s="1987">
        <v>6300</v>
      </c>
      <c r="AP774" s="2144">
        <v>12450</v>
      </c>
    </row>
    <row r="775" spans="1:42" ht="14.5">
      <c r="A775" s="1693">
        <v>1</v>
      </c>
      <c r="B775" s="616">
        <v>1</v>
      </c>
      <c r="C775" s="1693">
        <v>678</v>
      </c>
      <c r="D775" s="616">
        <v>1</v>
      </c>
      <c r="E775" s="1693">
        <v>702</v>
      </c>
      <c r="F775" s="616">
        <v>1</v>
      </c>
      <c r="G775" s="1693">
        <v>767</v>
      </c>
      <c r="H775" s="616">
        <v>1</v>
      </c>
      <c r="K775" s="69"/>
      <c r="M775" s="22"/>
      <c r="O775" s="86"/>
      <c r="P775" s="85"/>
      <c r="Q775" s="68"/>
      <c r="R775" s="68"/>
      <c r="T775" s="97" t="s">
        <v>523</v>
      </c>
      <c r="U775" s="97"/>
      <c r="V775" s="97"/>
      <c r="W775" s="1911"/>
      <c r="X775" s="2140"/>
      <c r="Y775" s="2178"/>
      <c r="Z775" s="2140"/>
      <c r="AA775" s="2140"/>
      <c r="AB775" s="2140"/>
      <c r="AC775" s="2140"/>
      <c r="AD775" s="2140"/>
      <c r="AE775" s="2140"/>
      <c r="AF775" s="2140"/>
      <c r="AG775" s="2140"/>
      <c r="AH775" s="2140"/>
      <c r="AI775" s="2140"/>
      <c r="AJ775" s="2160">
        <v>0</v>
      </c>
      <c r="AK775" s="2161">
        <v>0</v>
      </c>
      <c r="AL775" s="2161">
        <v>0</v>
      </c>
      <c r="AM775" s="2161">
        <v>0</v>
      </c>
      <c r="AN775" s="2161">
        <v>0</v>
      </c>
      <c r="AO775" s="2161">
        <v>0</v>
      </c>
      <c r="AP775" s="2160">
        <v>0</v>
      </c>
    </row>
    <row r="776" spans="1:42" ht="14.5">
      <c r="A776" s="1693">
        <v>1</v>
      </c>
      <c r="B776" s="616">
        <v>1</v>
      </c>
      <c r="C776" s="1693">
        <v>679</v>
      </c>
      <c r="D776" s="616">
        <v>1</v>
      </c>
      <c r="E776" s="1693">
        <v>703</v>
      </c>
      <c r="F776" s="616">
        <v>1</v>
      </c>
      <c r="G776" s="1693">
        <v>768</v>
      </c>
      <c r="H776" s="616">
        <v>1</v>
      </c>
      <c r="K776" s="69"/>
      <c r="M776" s="22"/>
      <c r="O776" s="86"/>
      <c r="P776" s="85"/>
      <c r="Q776" s="68"/>
      <c r="R776" s="68"/>
      <c r="T776" s="8" t="s">
        <v>524</v>
      </c>
      <c r="W776" s="1911"/>
      <c r="X776" s="2021">
        <v>500</v>
      </c>
      <c r="Y776" s="2162">
        <v>1150</v>
      </c>
      <c r="Z776" s="2021">
        <v>1300</v>
      </c>
      <c r="AA776" s="2021">
        <v>600</v>
      </c>
      <c r="AB776" s="2021">
        <v>1200</v>
      </c>
      <c r="AC776" s="2021">
        <v>1400</v>
      </c>
      <c r="AD776" s="2021">
        <v>600</v>
      </c>
      <c r="AE776" s="2021">
        <v>1200</v>
      </c>
      <c r="AF776" s="2021">
        <v>1300</v>
      </c>
      <c r="AG776" s="2021">
        <v>600</v>
      </c>
      <c r="AH776" s="2021">
        <v>1200</v>
      </c>
      <c r="AI776" s="2021">
        <v>1400</v>
      </c>
      <c r="AJ776" s="1925">
        <v>2950</v>
      </c>
      <c r="AK776" s="1926">
        <v>3200</v>
      </c>
      <c r="AL776" s="1926">
        <v>3100</v>
      </c>
      <c r="AM776" s="1926">
        <v>3200</v>
      </c>
      <c r="AN776" s="1926">
        <v>6150</v>
      </c>
      <c r="AO776" s="1926">
        <v>6300</v>
      </c>
      <c r="AP776" s="1925">
        <v>12450</v>
      </c>
    </row>
    <row r="777" spans="1:42" ht="14.5">
      <c r="A777" s="1693">
        <v>1</v>
      </c>
      <c r="B777" s="616">
        <v>1</v>
      </c>
      <c r="C777" s="1693">
        <v>680</v>
      </c>
      <c r="D777" s="616">
        <v>1</v>
      </c>
      <c r="E777" s="1693">
        <v>704</v>
      </c>
      <c r="F777" s="616">
        <v>1</v>
      </c>
      <c r="G777" s="1693">
        <v>769</v>
      </c>
      <c r="H777" s="616">
        <v>1</v>
      </c>
      <c r="K777" s="69"/>
      <c r="M777" s="22"/>
      <c r="O777" s="86"/>
      <c r="P777" s="85"/>
      <c r="Q777" s="68"/>
      <c r="R777" s="68"/>
      <c r="T777" s="8" t="s">
        <v>525</v>
      </c>
      <c r="W777" s="1911"/>
      <c r="X777" s="2021"/>
      <c r="Y777" s="2162"/>
      <c r="Z777" s="2021"/>
      <c r="AA777" s="2021"/>
      <c r="AB777" s="2021"/>
      <c r="AC777" s="2021"/>
      <c r="AD777" s="2021"/>
      <c r="AE777" s="2021"/>
      <c r="AF777" s="2021"/>
      <c r="AG777" s="2021"/>
      <c r="AH777" s="2021"/>
      <c r="AI777" s="2021"/>
      <c r="AJ777" s="1925">
        <v>0</v>
      </c>
      <c r="AK777" s="1926">
        <v>0</v>
      </c>
      <c r="AL777" s="1926">
        <v>0</v>
      </c>
      <c r="AM777" s="1926">
        <v>0</v>
      </c>
      <c r="AN777" s="1926">
        <v>0</v>
      </c>
      <c r="AO777" s="1926">
        <v>0</v>
      </c>
      <c r="AP777" s="1925">
        <v>0</v>
      </c>
    </row>
    <row r="778" spans="1:42" ht="14.5">
      <c r="A778" s="1693">
        <v>1</v>
      </c>
      <c r="B778" s="616">
        <v>1</v>
      </c>
      <c r="C778" s="1693">
        <v>681</v>
      </c>
      <c r="D778" s="616">
        <v>1</v>
      </c>
      <c r="E778" s="1693">
        <v>705</v>
      </c>
      <c r="F778" s="616">
        <v>1</v>
      </c>
      <c r="G778" s="1693">
        <v>770</v>
      </c>
      <c r="H778" s="616">
        <v>1</v>
      </c>
      <c r="K778" s="69"/>
      <c r="M778" s="22"/>
      <c r="O778" s="86"/>
      <c r="P778" s="85"/>
      <c r="Q778" s="68"/>
      <c r="R778" s="68"/>
      <c r="T778" s="8" t="s">
        <v>526</v>
      </c>
      <c r="W778" s="1911"/>
      <c r="X778" s="2021"/>
      <c r="Y778" s="2162"/>
      <c r="Z778" s="2021"/>
      <c r="AA778" s="2021"/>
      <c r="AB778" s="2021"/>
      <c r="AC778" s="2021"/>
      <c r="AD778" s="2021"/>
      <c r="AE778" s="2021"/>
      <c r="AF778" s="2021"/>
      <c r="AG778" s="2021"/>
      <c r="AH778" s="2021"/>
      <c r="AI778" s="2021"/>
      <c r="AJ778" s="1925">
        <v>0</v>
      </c>
      <c r="AK778" s="1926">
        <v>0</v>
      </c>
      <c r="AL778" s="1926">
        <v>0</v>
      </c>
      <c r="AM778" s="1926">
        <v>0</v>
      </c>
      <c r="AN778" s="1926">
        <v>0</v>
      </c>
      <c r="AO778" s="1926">
        <v>0</v>
      </c>
      <c r="AP778" s="1925">
        <v>0</v>
      </c>
    </row>
    <row r="779" spans="1:42" ht="14.5">
      <c r="A779" s="1693">
        <v>637</v>
      </c>
      <c r="B779" s="616">
        <v>1</v>
      </c>
      <c r="C779" s="1693">
        <v>682</v>
      </c>
      <c r="D779" s="616">
        <v>1</v>
      </c>
      <c r="E779" s="1693">
        <v>706</v>
      </c>
      <c r="F779" s="616">
        <v>1</v>
      </c>
      <c r="G779" s="1693">
        <v>771</v>
      </c>
      <c r="H779" s="616">
        <v>1</v>
      </c>
      <c r="K779" s="69"/>
      <c r="M779" s="22"/>
      <c r="O779" s="86"/>
      <c r="P779" s="85"/>
      <c r="Q779" s="68"/>
      <c r="R779" s="68"/>
      <c r="S779" s="487" t="s">
        <v>602</v>
      </c>
      <c r="T779" s="284"/>
      <c r="U779" s="284"/>
      <c r="V779" s="284"/>
      <c r="W779" s="1899"/>
      <c r="X779" s="1987">
        <v>0</v>
      </c>
      <c r="Y779" s="2179">
        <v>0</v>
      </c>
      <c r="Z779" s="1987">
        <v>0</v>
      </c>
      <c r="AA779" s="1987">
        <v>0</v>
      </c>
      <c r="AB779" s="1987">
        <v>0</v>
      </c>
      <c r="AC779" s="1987">
        <v>0</v>
      </c>
      <c r="AD779" s="1987">
        <v>0</v>
      </c>
      <c r="AE779" s="1987">
        <v>0</v>
      </c>
      <c r="AF779" s="1987">
        <v>0</v>
      </c>
      <c r="AG779" s="1987">
        <v>0</v>
      </c>
      <c r="AH779" s="1987">
        <v>0</v>
      </c>
      <c r="AI779" s="1987">
        <v>0</v>
      </c>
      <c r="AJ779" s="2144">
        <v>0</v>
      </c>
      <c r="AK779" s="1987">
        <v>0</v>
      </c>
      <c r="AL779" s="1987">
        <v>0</v>
      </c>
      <c r="AM779" s="1987">
        <v>0</v>
      </c>
      <c r="AN779" s="1987">
        <v>0</v>
      </c>
      <c r="AO779" s="1987">
        <v>0</v>
      </c>
      <c r="AP779" s="2144">
        <v>0</v>
      </c>
    </row>
    <row r="780" spans="1:42" ht="14.5">
      <c r="A780" s="1693">
        <v>1</v>
      </c>
      <c r="B780" s="616">
        <v>1</v>
      </c>
      <c r="C780" s="1693">
        <v>683</v>
      </c>
      <c r="D780" s="616">
        <v>1</v>
      </c>
      <c r="E780" s="1693">
        <v>707</v>
      </c>
      <c r="F780" s="616">
        <v>1</v>
      </c>
      <c r="G780" s="1693">
        <v>772</v>
      </c>
      <c r="H780" s="616">
        <v>1</v>
      </c>
      <c r="K780" s="69"/>
      <c r="M780" s="22"/>
      <c r="O780" s="86"/>
      <c r="P780" s="85"/>
      <c r="Q780" s="68"/>
      <c r="R780" s="68"/>
      <c r="T780" s="97" t="s">
        <v>523</v>
      </c>
      <c r="U780" s="97"/>
      <c r="V780" s="97"/>
      <c r="W780" s="1911"/>
      <c r="X780" s="2140"/>
      <c r="Y780" s="2178"/>
      <c r="Z780" s="2140"/>
      <c r="AA780" s="2140"/>
      <c r="AB780" s="2140"/>
      <c r="AC780" s="2140"/>
      <c r="AD780" s="2140"/>
      <c r="AE780" s="2140"/>
      <c r="AF780" s="2140"/>
      <c r="AG780" s="2140"/>
      <c r="AH780" s="2140"/>
      <c r="AI780" s="2140"/>
      <c r="AJ780" s="2160">
        <v>0</v>
      </c>
      <c r="AK780" s="2161">
        <v>0</v>
      </c>
      <c r="AL780" s="2161">
        <v>0</v>
      </c>
      <c r="AM780" s="2161">
        <v>0</v>
      </c>
      <c r="AN780" s="2161">
        <v>0</v>
      </c>
      <c r="AO780" s="2161">
        <v>0</v>
      </c>
      <c r="AP780" s="2160">
        <v>0</v>
      </c>
    </row>
    <row r="781" spans="1:42" ht="14.5">
      <c r="A781" s="1693">
        <v>1</v>
      </c>
      <c r="B781" s="616">
        <v>1</v>
      </c>
      <c r="C781" s="1693">
        <v>684</v>
      </c>
      <c r="D781" s="616">
        <v>1</v>
      </c>
      <c r="E781" s="1693">
        <v>708</v>
      </c>
      <c r="F781" s="616">
        <v>1</v>
      </c>
      <c r="G781" s="1693">
        <v>773</v>
      </c>
      <c r="H781" s="616">
        <v>1</v>
      </c>
      <c r="K781" s="69"/>
      <c r="M781" s="22"/>
      <c r="O781" s="86"/>
      <c r="P781" s="85"/>
      <c r="Q781" s="68"/>
      <c r="R781" s="68"/>
      <c r="T781" s="8" t="s">
        <v>524</v>
      </c>
      <c r="W781" s="1911"/>
      <c r="X781" s="2021"/>
      <c r="Y781" s="2162"/>
      <c r="Z781" s="2021"/>
      <c r="AA781" s="2021"/>
      <c r="AB781" s="2021"/>
      <c r="AC781" s="2021"/>
      <c r="AD781" s="2021"/>
      <c r="AE781" s="2021"/>
      <c r="AF781" s="2021"/>
      <c r="AG781" s="2021"/>
      <c r="AH781" s="2021"/>
      <c r="AI781" s="2021"/>
      <c r="AJ781" s="1925">
        <v>0</v>
      </c>
      <c r="AK781" s="1926">
        <v>0</v>
      </c>
      <c r="AL781" s="1926">
        <v>0</v>
      </c>
      <c r="AM781" s="1926">
        <v>0</v>
      </c>
      <c r="AN781" s="1926">
        <v>0</v>
      </c>
      <c r="AO781" s="1926">
        <v>0</v>
      </c>
      <c r="AP781" s="1925">
        <v>0</v>
      </c>
    </row>
    <row r="782" spans="1:42" ht="14.5">
      <c r="A782" s="1693">
        <v>1</v>
      </c>
      <c r="B782" s="616">
        <v>1</v>
      </c>
      <c r="C782" s="1693">
        <v>685</v>
      </c>
      <c r="D782" s="616">
        <v>1</v>
      </c>
      <c r="E782" s="1693">
        <v>709</v>
      </c>
      <c r="F782" s="616">
        <v>1</v>
      </c>
      <c r="G782" s="1693">
        <v>774</v>
      </c>
      <c r="H782" s="616">
        <v>1</v>
      </c>
      <c r="K782" s="69"/>
      <c r="M782" s="22"/>
      <c r="O782" s="86"/>
      <c r="P782" s="85"/>
      <c r="Q782" s="68"/>
      <c r="R782" s="68"/>
      <c r="T782" s="8" t="s">
        <v>525</v>
      </c>
      <c r="W782" s="1911"/>
      <c r="X782" s="2021"/>
      <c r="Y782" s="2162"/>
      <c r="Z782" s="2021"/>
      <c r="AA782" s="2021"/>
      <c r="AB782" s="2021"/>
      <c r="AC782" s="2021"/>
      <c r="AD782" s="2021"/>
      <c r="AE782" s="2021"/>
      <c r="AF782" s="2021"/>
      <c r="AG782" s="2021"/>
      <c r="AH782" s="2021"/>
      <c r="AI782" s="2021"/>
      <c r="AJ782" s="1925">
        <v>0</v>
      </c>
      <c r="AK782" s="1926">
        <v>0</v>
      </c>
      <c r="AL782" s="1926">
        <v>0</v>
      </c>
      <c r="AM782" s="1926">
        <v>0</v>
      </c>
      <c r="AN782" s="1926">
        <v>0</v>
      </c>
      <c r="AO782" s="1926">
        <v>0</v>
      </c>
      <c r="AP782" s="1925">
        <v>0</v>
      </c>
    </row>
    <row r="783" spans="1:42" ht="14.5">
      <c r="A783" s="1693">
        <v>1</v>
      </c>
      <c r="B783" s="616">
        <v>1</v>
      </c>
      <c r="C783" s="1693">
        <v>686</v>
      </c>
      <c r="D783" s="616">
        <v>1</v>
      </c>
      <c r="E783" s="1693">
        <v>710</v>
      </c>
      <c r="F783" s="616">
        <v>1</v>
      </c>
      <c r="G783" s="1693">
        <v>775</v>
      </c>
      <c r="H783" s="616">
        <v>1</v>
      </c>
      <c r="K783" s="69"/>
      <c r="M783" s="22"/>
      <c r="O783" s="86"/>
      <c r="P783" s="85"/>
      <c r="Q783" s="68"/>
      <c r="R783" s="68"/>
      <c r="S783" s="11"/>
      <c r="T783" s="8" t="s">
        <v>526</v>
      </c>
      <c r="W783" s="1911"/>
      <c r="X783" s="2021"/>
      <c r="Y783" s="2162"/>
      <c r="Z783" s="2021"/>
      <c r="AA783" s="2021"/>
      <c r="AB783" s="2021"/>
      <c r="AC783" s="2021"/>
      <c r="AD783" s="2021"/>
      <c r="AE783" s="2021"/>
      <c r="AF783" s="2021"/>
      <c r="AG783" s="2021"/>
      <c r="AH783" s="2021"/>
      <c r="AI783" s="2021"/>
      <c r="AJ783" s="1925">
        <v>0</v>
      </c>
      <c r="AK783" s="1926">
        <v>0</v>
      </c>
      <c r="AL783" s="1926">
        <v>0</v>
      </c>
      <c r="AM783" s="1926">
        <v>0</v>
      </c>
      <c r="AN783" s="1926">
        <v>0</v>
      </c>
      <c r="AO783" s="1926">
        <v>0</v>
      </c>
      <c r="AP783" s="1925">
        <v>0</v>
      </c>
    </row>
    <row r="784" spans="1:42" ht="14.5">
      <c r="A784" s="1693">
        <v>1</v>
      </c>
      <c r="B784" s="616">
        <v>698</v>
      </c>
      <c r="C784" s="1693">
        <v>1</v>
      </c>
      <c r="D784" s="616">
        <v>647</v>
      </c>
      <c r="E784" s="1693">
        <v>1</v>
      </c>
      <c r="F784" s="616">
        <v>1</v>
      </c>
      <c r="G784" s="1693">
        <v>776</v>
      </c>
      <c r="H784" s="616">
        <v>1</v>
      </c>
      <c r="K784" s="69"/>
      <c r="M784" s="22"/>
      <c r="O784" s="86"/>
      <c r="P784" s="85"/>
      <c r="Q784" s="68"/>
      <c r="R784" s="68"/>
      <c r="S784" s="3" t="s">
        <v>1060</v>
      </c>
      <c r="T784" s="284"/>
      <c r="U784" s="284"/>
      <c r="V784" s="284"/>
      <c r="W784" s="1899"/>
      <c r="X784" s="1987">
        <v>0</v>
      </c>
      <c r="Y784" s="2179">
        <v>0</v>
      </c>
      <c r="Z784" s="1987">
        <v>0</v>
      </c>
      <c r="AA784" s="1987">
        <v>0</v>
      </c>
      <c r="AB784" s="1987">
        <v>0</v>
      </c>
      <c r="AC784" s="1987">
        <v>0</v>
      </c>
      <c r="AD784" s="1987">
        <v>0</v>
      </c>
      <c r="AE784" s="1987">
        <v>0</v>
      </c>
      <c r="AF784" s="1987">
        <v>0</v>
      </c>
      <c r="AG784" s="1987">
        <v>0</v>
      </c>
      <c r="AH784" s="1987">
        <v>0</v>
      </c>
      <c r="AI784" s="1987">
        <v>0</v>
      </c>
      <c r="AJ784" s="2144">
        <v>0</v>
      </c>
      <c r="AK784" s="1987">
        <v>0</v>
      </c>
      <c r="AL784" s="1987">
        <v>0</v>
      </c>
      <c r="AM784" s="1987">
        <v>0</v>
      </c>
      <c r="AN784" s="1987">
        <v>0</v>
      </c>
      <c r="AO784" s="1987">
        <v>0</v>
      </c>
      <c r="AP784" s="2144">
        <v>0</v>
      </c>
    </row>
    <row r="785" spans="1:42" ht="14.5">
      <c r="A785" s="1693">
        <v>1</v>
      </c>
      <c r="B785" s="616">
        <v>1</v>
      </c>
      <c r="C785" s="1693">
        <v>1</v>
      </c>
      <c r="D785" s="616">
        <v>648</v>
      </c>
      <c r="E785" s="1693">
        <v>1</v>
      </c>
      <c r="F785" s="616">
        <v>1</v>
      </c>
      <c r="G785" s="1693">
        <v>777</v>
      </c>
      <c r="H785" s="616">
        <v>1</v>
      </c>
      <c r="K785" s="69"/>
      <c r="M785" s="22"/>
      <c r="O785" s="86"/>
      <c r="P785" s="85"/>
      <c r="Q785" s="68"/>
      <c r="R785" s="68"/>
      <c r="T785" s="97" t="s">
        <v>523</v>
      </c>
      <c r="U785" s="97"/>
      <c r="V785" s="97"/>
      <c r="W785" s="1911"/>
      <c r="X785" s="2140"/>
      <c r="Y785" s="2178"/>
      <c r="Z785" s="2140"/>
      <c r="AA785" s="2140"/>
      <c r="AB785" s="2140"/>
      <c r="AC785" s="2140"/>
      <c r="AD785" s="2140"/>
      <c r="AE785" s="2140"/>
      <c r="AF785" s="2140"/>
      <c r="AG785" s="2140"/>
      <c r="AH785" s="2140"/>
      <c r="AI785" s="2140"/>
      <c r="AJ785" s="2160">
        <v>0</v>
      </c>
      <c r="AK785" s="2161">
        <v>0</v>
      </c>
      <c r="AL785" s="2161">
        <v>0</v>
      </c>
      <c r="AM785" s="2161">
        <v>0</v>
      </c>
      <c r="AN785" s="2161">
        <v>0</v>
      </c>
      <c r="AO785" s="2161">
        <v>0</v>
      </c>
      <c r="AP785" s="2160">
        <v>0</v>
      </c>
    </row>
    <row r="786" spans="1:42" ht="14.5">
      <c r="A786" s="1693">
        <v>1</v>
      </c>
      <c r="B786" s="616">
        <v>1</v>
      </c>
      <c r="C786" s="1693">
        <v>1</v>
      </c>
      <c r="D786" s="616">
        <v>649</v>
      </c>
      <c r="E786" s="1693">
        <v>1</v>
      </c>
      <c r="F786" s="616">
        <v>1</v>
      </c>
      <c r="G786" s="1693">
        <v>778</v>
      </c>
      <c r="H786" s="616">
        <v>1</v>
      </c>
      <c r="K786" s="69"/>
      <c r="M786" s="22"/>
      <c r="O786" s="86"/>
      <c r="P786" s="85"/>
      <c r="Q786" s="68"/>
      <c r="R786" s="68"/>
      <c r="T786" s="8" t="s">
        <v>524</v>
      </c>
      <c r="W786" s="1911"/>
      <c r="X786" s="2021"/>
      <c r="Y786" s="2162"/>
      <c r="Z786" s="2021"/>
      <c r="AA786" s="2021"/>
      <c r="AB786" s="2021"/>
      <c r="AC786" s="2021"/>
      <c r="AD786" s="2021"/>
      <c r="AE786" s="2021"/>
      <c r="AF786" s="2021"/>
      <c r="AG786" s="2021"/>
      <c r="AH786" s="2021"/>
      <c r="AI786" s="2021"/>
      <c r="AJ786" s="1925">
        <v>0</v>
      </c>
      <c r="AK786" s="1926">
        <v>0</v>
      </c>
      <c r="AL786" s="1926">
        <v>0</v>
      </c>
      <c r="AM786" s="1926">
        <v>0</v>
      </c>
      <c r="AN786" s="1926">
        <v>0</v>
      </c>
      <c r="AO786" s="1926">
        <v>0</v>
      </c>
      <c r="AP786" s="1925">
        <v>0</v>
      </c>
    </row>
    <row r="787" spans="1:42" ht="14.5">
      <c r="A787" s="1693">
        <v>1</v>
      </c>
      <c r="B787" s="616">
        <v>1</v>
      </c>
      <c r="C787" s="1693">
        <v>1</v>
      </c>
      <c r="D787" s="616">
        <v>650</v>
      </c>
      <c r="E787" s="1693">
        <v>1</v>
      </c>
      <c r="F787" s="616">
        <v>1</v>
      </c>
      <c r="G787" s="1693">
        <v>779</v>
      </c>
      <c r="H787" s="616">
        <v>1</v>
      </c>
      <c r="K787" s="69"/>
      <c r="M787" s="22"/>
      <c r="O787" s="86"/>
      <c r="P787" s="85"/>
      <c r="Q787" s="68"/>
      <c r="R787" s="68"/>
      <c r="T787" s="8" t="s">
        <v>525</v>
      </c>
      <c r="W787" s="1911"/>
      <c r="X787" s="2021"/>
      <c r="Y787" s="2162"/>
      <c r="Z787" s="2021"/>
      <c r="AA787" s="2021"/>
      <c r="AB787" s="2021"/>
      <c r="AC787" s="2021"/>
      <c r="AD787" s="2021"/>
      <c r="AE787" s="2021"/>
      <c r="AF787" s="2021"/>
      <c r="AG787" s="2021"/>
      <c r="AH787" s="2021"/>
      <c r="AI787" s="2021"/>
      <c r="AJ787" s="1925">
        <v>0</v>
      </c>
      <c r="AK787" s="1926">
        <v>0</v>
      </c>
      <c r="AL787" s="1926">
        <v>0</v>
      </c>
      <c r="AM787" s="1926">
        <v>0</v>
      </c>
      <c r="AN787" s="1926">
        <v>0</v>
      </c>
      <c r="AO787" s="1926">
        <v>0</v>
      </c>
      <c r="AP787" s="1925">
        <v>0</v>
      </c>
    </row>
    <row r="788" spans="1:42" ht="14.5">
      <c r="A788" s="1693">
        <v>1</v>
      </c>
      <c r="B788" s="616">
        <v>1</v>
      </c>
      <c r="C788" s="1693">
        <v>1</v>
      </c>
      <c r="D788" s="616">
        <v>651</v>
      </c>
      <c r="E788" s="1693">
        <v>1</v>
      </c>
      <c r="F788" s="616">
        <v>1</v>
      </c>
      <c r="G788" s="1693">
        <v>780</v>
      </c>
      <c r="H788" s="616">
        <v>1</v>
      </c>
      <c r="K788" s="69"/>
      <c r="M788" s="22"/>
      <c r="O788" s="86"/>
      <c r="P788" s="85"/>
      <c r="Q788" s="68"/>
      <c r="R788" s="68"/>
      <c r="S788" s="11"/>
      <c r="T788" s="8" t="s">
        <v>526</v>
      </c>
      <c r="W788" s="1911"/>
      <c r="X788" s="2021"/>
      <c r="Y788" s="2162"/>
      <c r="Z788" s="2021"/>
      <c r="AA788" s="2021"/>
      <c r="AB788" s="2021"/>
      <c r="AC788" s="2021"/>
      <c r="AD788" s="2021"/>
      <c r="AE788" s="2021"/>
      <c r="AF788" s="2021"/>
      <c r="AG788" s="2021"/>
      <c r="AH788" s="2021"/>
      <c r="AI788" s="2021"/>
      <c r="AJ788" s="1925">
        <v>0</v>
      </c>
      <c r="AK788" s="1926">
        <v>0</v>
      </c>
      <c r="AL788" s="1926">
        <v>0</v>
      </c>
      <c r="AM788" s="1926">
        <v>0</v>
      </c>
      <c r="AN788" s="1926">
        <v>0</v>
      </c>
      <c r="AO788" s="1926">
        <v>0</v>
      </c>
      <c r="AP788" s="1925">
        <v>0</v>
      </c>
    </row>
    <row r="789" spans="1:42" ht="14.5">
      <c r="A789" s="1693">
        <v>1</v>
      </c>
      <c r="B789" s="616">
        <v>1</v>
      </c>
      <c r="C789" s="1693">
        <v>1</v>
      </c>
      <c r="D789" s="616">
        <v>1</v>
      </c>
      <c r="E789" s="1693">
        <v>1</v>
      </c>
      <c r="F789" s="616">
        <v>1</v>
      </c>
      <c r="G789" s="1693">
        <v>781</v>
      </c>
      <c r="H789" s="616">
        <v>1</v>
      </c>
      <c r="K789" s="69"/>
      <c r="M789" s="22"/>
      <c r="O789" s="86"/>
      <c r="P789" s="85"/>
      <c r="Q789" s="68"/>
      <c r="R789" s="68"/>
      <c r="S789" s="3" t="s">
        <v>1061</v>
      </c>
      <c r="T789" s="284"/>
      <c r="U789" s="284"/>
      <c r="V789" s="284"/>
      <c r="W789" s="1899"/>
      <c r="X789" s="1987">
        <v>0</v>
      </c>
      <c r="Y789" s="2179">
        <v>0</v>
      </c>
      <c r="Z789" s="1987">
        <v>0</v>
      </c>
      <c r="AA789" s="1987">
        <v>0</v>
      </c>
      <c r="AB789" s="1987">
        <v>0</v>
      </c>
      <c r="AC789" s="1987">
        <v>0</v>
      </c>
      <c r="AD789" s="1987">
        <v>0</v>
      </c>
      <c r="AE789" s="1987">
        <v>0</v>
      </c>
      <c r="AF789" s="1987">
        <v>0</v>
      </c>
      <c r="AG789" s="1987">
        <v>0</v>
      </c>
      <c r="AH789" s="1987">
        <v>0</v>
      </c>
      <c r="AI789" s="1987">
        <v>0</v>
      </c>
      <c r="AJ789" s="2144">
        <v>0</v>
      </c>
      <c r="AK789" s="1987">
        <v>0</v>
      </c>
      <c r="AL789" s="1987">
        <v>0</v>
      </c>
      <c r="AM789" s="1987">
        <v>0</v>
      </c>
      <c r="AN789" s="1987">
        <v>0</v>
      </c>
      <c r="AO789" s="1987">
        <v>0</v>
      </c>
      <c r="AP789" s="2144">
        <v>0</v>
      </c>
    </row>
    <row r="790" spans="1:42" ht="14.5">
      <c r="A790" s="1693">
        <v>1</v>
      </c>
      <c r="B790" s="616">
        <v>1</v>
      </c>
      <c r="C790" s="1693">
        <v>1</v>
      </c>
      <c r="D790" s="616">
        <v>1</v>
      </c>
      <c r="E790" s="1693">
        <v>1</v>
      </c>
      <c r="F790" s="616">
        <v>1</v>
      </c>
      <c r="G790" s="1693">
        <v>782</v>
      </c>
      <c r="H790" s="616">
        <v>1</v>
      </c>
      <c r="K790" s="69"/>
      <c r="M790" s="22"/>
      <c r="O790" s="86"/>
      <c r="P790" s="85"/>
      <c r="Q790" s="68"/>
      <c r="R790" s="68"/>
      <c r="T790" s="97" t="s">
        <v>523</v>
      </c>
      <c r="U790" s="97"/>
      <c r="V790" s="97"/>
      <c r="W790" s="1911"/>
      <c r="X790" s="2140"/>
      <c r="Y790" s="2178"/>
      <c r="Z790" s="2140"/>
      <c r="AA790" s="2140"/>
      <c r="AB790" s="2140"/>
      <c r="AC790" s="2140"/>
      <c r="AD790" s="2140"/>
      <c r="AE790" s="2140"/>
      <c r="AF790" s="2140"/>
      <c r="AG790" s="2140"/>
      <c r="AH790" s="2140"/>
      <c r="AI790" s="2140"/>
      <c r="AJ790" s="2160">
        <v>0</v>
      </c>
      <c r="AK790" s="2161">
        <v>0</v>
      </c>
      <c r="AL790" s="2161">
        <v>0</v>
      </c>
      <c r="AM790" s="2161">
        <v>0</v>
      </c>
      <c r="AN790" s="2161">
        <v>0</v>
      </c>
      <c r="AO790" s="2161">
        <v>0</v>
      </c>
      <c r="AP790" s="2160">
        <v>0</v>
      </c>
    </row>
    <row r="791" spans="1:42" ht="14.5">
      <c r="A791" s="1693">
        <v>1</v>
      </c>
      <c r="B791" s="616">
        <v>1</v>
      </c>
      <c r="C791" s="1693">
        <v>1</v>
      </c>
      <c r="D791" s="616">
        <v>1</v>
      </c>
      <c r="E791" s="1693">
        <v>1</v>
      </c>
      <c r="F791" s="616">
        <v>1</v>
      </c>
      <c r="G791" s="1693">
        <v>783</v>
      </c>
      <c r="H791" s="616">
        <v>1</v>
      </c>
      <c r="K791" s="69"/>
      <c r="M791" s="22"/>
      <c r="O791" s="86"/>
      <c r="P791" s="85"/>
      <c r="Q791" s="68"/>
      <c r="R791" s="68"/>
      <c r="T791" s="8" t="s">
        <v>524</v>
      </c>
      <c r="W791" s="1911"/>
      <c r="X791" s="2021"/>
      <c r="Y791" s="2162"/>
      <c r="Z791" s="2021"/>
      <c r="AA791" s="2021"/>
      <c r="AB791" s="2021"/>
      <c r="AC791" s="2021"/>
      <c r="AD791" s="2021"/>
      <c r="AE791" s="2021"/>
      <c r="AF791" s="2021"/>
      <c r="AG791" s="2021"/>
      <c r="AH791" s="2021"/>
      <c r="AI791" s="2021"/>
      <c r="AJ791" s="1925">
        <v>0</v>
      </c>
      <c r="AK791" s="1926">
        <v>0</v>
      </c>
      <c r="AL791" s="1926">
        <v>0</v>
      </c>
      <c r="AM791" s="1926">
        <v>0</v>
      </c>
      <c r="AN791" s="1926">
        <v>0</v>
      </c>
      <c r="AO791" s="1926">
        <v>0</v>
      </c>
      <c r="AP791" s="1925">
        <v>0</v>
      </c>
    </row>
    <row r="792" spans="1:42" ht="14.5">
      <c r="A792" s="1693">
        <v>1</v>
      </c>
      <c r="B792" s="616">
        <v>1</v>
      </c>
      <c r="C792" s="1693">
        <v>1</v>
      </c>
      <c r="D792" s="616">
        <v>1</v>
      </c>
      <c r="E792" s="1693">
        <v>1</v>
      </c>
      <c r="F792" s="616">
        <v>1</v>
      </c>
      <c r="G792" s="1693">
        <v>784</v>
      </c>
      <c r="H792" s="616">
        <v>1</v>
      </c>
      <c r="K792" s="69"/>
      <c r="M792" s="22"/>
      <c r="O792" s="86"/>
      <c r="P792" s="85"/>
      <c r="Q792" s="68"/>
      <c r="R792" s="68"/>
      <c r="T792" s="8" t="s">
        <v>525</v>
      </c>
      <c r="W792" s="1911"/>
      <c r="X792" s="2021"/>
      <c r="Y792" s="2162"/>
      <c r="Z792" s="2021"/>
      <c r="AA792" s="2021"/>
      <c r="AB792" s="2021"/>
      <c r="AC792" s="2021"/>
      <c r="AD792" s="2021"/>
      <c r="AE792" s="2021"/>
      <c r="AF792" s="2021"/>
      <c r="AG792" s="2021"/>
      <c r="AH792" s="2021"/>
      <c r="AI792" s="2021"/>
      <c r="AJ792" s="1925">
        <v>0</v>
      </c>
      <c r="AK792" s="1926">
        <v>0</v>
      </c>
      <c r="AL792" s="1926">
        <v>0</v>
      </c>
      <c r="AM792" s="1926">
        <v>0</v>
      </c>
      <c r="AN792" s="1926">
        <v>0</v>
      </c>
      <c r="AO792" s="1926">
        <v>0</v>
      </c>
      <c r="AP792" s="1925">
        <v>0</v>
      </c>
    </row>
    <row r="793" spans="1:42" ht="14.5">
      <c r="A793" s="1693">
        <v>1</v>
      </c>
      <c r="B793" s="616">
        <v>1</v>
      </c>
      <c r="C793" s="1693">
        <v>1</v>
      </c>
      <c r="D793" s="616">
        <v>1</v>
      </c>
      <c r="E793" s="1693">
        <v>1</v>
      </c>
      <c r="F793" s="616">
        <v>1</v>
      </c>
      <c r="G793" s="1693">
        <v>785</v>
      </c>
      <c r="H793" s="616">
        <v>1</v>
      </c>
      <c r="K793" s="69"/>
      <c r="M793" s="22"/>
      <c r="O793" s="86"/>
      <c r="P793" s="85"/>
      <c r="Q793" s="67"/>
      <c r="R793" s="67"/>
      <c r="T793" s="8" t="s">
        <v>526</v>
      </c>
      <c r="W793" s="1911"/>
      <c r="X793" s="2021"/>
      <c r="Y793" s="2162"/>
      <c r="Z793" s="2021"/>
      <c r="AA793" s="2021"/>
      <c r="AB793" s="2021"/>
      <c r="AC793" s="2021"/>
      <c r="AD793" s="2021"/>
      <c r="AE793" s="2021"/>
      <c r="AF793" s="2021"/>
      <c r="AG793" s="2021"/>
      <c r="AH793" s="2021"/>
      <c r="AI793" s="2021"/>
      <c r="AJ793" s="1925">
        <v>0</v>
      </c>
      <c r="AK793" s="1926">
        <v>0</v>
      </c>
      <c r="AL793" s="1926">
        <v>0</v>
      </c>
      <c r="AM793" s="1926">
        <v>0</v>
      </c>
      <c r="AN793" s="1926">
        <v>0</v>
      </c>
      <c r="AO793" s="1926">
        <v>0</v>
      </c>
      <c r="AP793" s="1925">
        <v>0</v>
      </c>
    </row>
    <row r="794" spans="1:42" ht="14.5">
      <c r="A794" s="1693">
        <v>1</v>
      </c>
      <c r="B794" s="616">
        <v>1</v>
      </c>
      <c r="C794" s="1695">
        <v>692</v>
      </c>
      <c r="D794" s="616">
        <v>1</v>
      </c>
      <c r="E794" s="1695">
        <v>716</v>
      </c>
      <c r="F794" s="616">
        <v>1</v>
      </c>
      <c r="G794" s="1693">
        <v>786</v>
      </c>
      <c r="H794" s="616">
        <v>1</v>
      </c>
      <c r="K794" s="69"/>
      <c r="O794" s="86"/>
      <c r="P794" s="85"/>
      <c r="Q794" s="63" t="s">
        <v>1019</v>
      </c>
      <c r="R794" s="63"/>
      <c r="S794" s="495"/>
      <c r="T794" s="495"/>
      <c r="U794" s="495"/>
      <c r="V794" s="495"/>
      <c r="W794" s="2061"/>
      <c r="X794" s="2203">
        <v>0</v>
      </c>
      <c r="Y794" s="2204">
        <v>0</v>
      </c>
      <c r="Z794" s="2203">
        <v>0</v>
      </c>
      <c r="AA794" s="2203">
        <v>0</v>
      </c>
      <c r="AB794" s="2203">
        <v>0</v>
      </c>
      <c r="AC794" s="2203">
        <v>0</v>
      </c>
      <c r="AD794" s="2203">
        <v>0</v>
      </c>
      <c r="AE794" s="2203">
        <v>0</v>
      </c>
      <c r="AF794" s="2203">
        <v>0</v>
      </c>
      <c r="AG794" s="2203">
        <v>0</v>
      </c>
      <c r="AH794" s="2203">
        <v>0</v>
      </c>
      <c r="AI794" s="2203">
        <v>0</v>
      </c>
      <c r="AJ794" s="2205">
        <v>0</v>
      </c>
      <c r="AK794" s="2203">
        <v>0</v>
      </c>
      <c r="AL794" s="2203">
        <v>0</v>
      </c>
      <c r="AM794" s="2203">
        <v>0</v>
      </c>
      <c r="AN794" s="2203">
        <v>0</v>
      </c>
      <c r="AO794" s="2203">
        <v>0</v>
      </c>
      <c r="AP794" s="2205">
        <v>0</v>
      </c>
    </row>
    <row r="795" spans="1:42" ht="14.5">
      <c r="A795" s="1693">
        <v>653</v>
      </c>
      <c r="B795" s="616">
        <v>1</v>
      </c>
      <c r="C795" s="1693">
        <v>693</v>
      </c>
      <c r="D795" s="616">
        <v>1</v>
      </c>
      <c r="E795" s="1695">
        <v>717</v>
      </c>
      <c r="F795" s="616">
        <v>1</v>
      </c>
      <c r="G795" s="1693">
        <v>787</v>
      </c>
      <c r="H795" s="616">
        <v>1</v>
      </c>
      <c r="K795" s="69"/>
      <c r="M795" s="737"/>
      <c r="O795" s="86"/>
      <c r="P795" s="85"/>
      <c r="Q795" s="63"/>
      <c r="R795" s="63"/>
      <c r="S795" s="3" t="s">
        <v>3</v>
      </c>
      <c r="W795" s="1911"/>
      <c r="X795" s="2021"/>
      <c r="Y795" s="2162"/>
      <c r="Z795" s="2021"/>
      <c r="AA795" s="2021"/>
      <c r="AB795" s="2021"/>
      <c r="AC795" s="2021"/>
      <c r="AD795" s="2021"/>
      <c r="AE795" s="2021"/>
      <c r="AF795" s="2021"/>
      <c r="AG795" s="2021"/>
      <c r="AH795" s="2021"/>
      <c r="AI795" s="2021"/>
      <c r="AJ795" s="1925">
        <v>0</v>
      </c>
      <c r="AK795" s="1926">
        <v>0</v>
      </c>
      <c r="AL795" s="1926">
        <v>0</v>
      </c>
      <c r="AM795" s="1926">
        <v>0</v>
      </c>
      <c r="AN795" s="1926">
        <v>0</v>
      </c>
      <c r="AO795" s="1926">
        <v>0</v>
      </c>
      <c r="AP795" s="1925">
        <v>0</v>
      </c>
    </row>
    <row r="796" spans="1:42" ht="14.5">
      <c r="A796" s="1693">
        <v>657</v>
      </c>
      <c r="B796" s="616">
        <v>702</v>
      </c>
      <c r="C796" s="1693">
        <v>1</v>
      </c>
      <c r="D796" s="616">
        <v>653</v>
      </c>
      <c r="E796" s="1693">
        <v>718</v>
      </c>
      <c r="F796" s="616">
        <v>1</v>
      </c>
      <c r="G796" s="1693">
        <v>788</v>
      </c>
      <c r="H796" s="616">
        <v>1</v>
      </c>
      <c r="K796" s="69"/>
      <c r="M796" s="22"/>
      <c r="O796" s="86"/>
      <c r="P796" s="85"/>
      <c r="Q796" s="63"/>
      <c r="R796" s="63"/>
      <c r="S796" s="3" t="s">
        <v>1059</v>
      </c>
      <c r="W796" s="1911"/>
      <c r="X796" s="2021"/>
      <c r="Y796" s="2162"/>
      <c r="Z796" s="2021"/>
      <c r="AA796" s="2021"/>
      <c r="AB796" s="2021"/>
      <c r="AC796" s="2021"/>
      <c r="AD796" s="2021"/>
      <c r="AE796" s="2021"/>
      <c r="AF796" s="2021"/>
      <c r="AG796" s="2021"/>
      <c r="AH796" s="2021"/>
      <c r="AI796" s="2021"/>
      <c r="AJ796" s="1925">
        <v>0</v>
      </c>
      <c r="AK796" s="1926">
        <v>0</v>
      </c>
      <c r="AL796" s="1926">
        <v>0</v>
      </c>
      <c r="AM796" s="1926">
        <v>0</v>
      </c>
      <c r="AN796" s="1926">
        <v>0</v>
      </c>
      <c r="AO796" s="1926">
        <v>0</v>
      </c>
      <c r="AP796" s="1925">
        <v>0</v>
      </c>
    </row>
    <row r="797" spans="1:42" ht="14.5">
      <c r="A797" s="1693">
        <v>654</v>
      </c>
      <c r="B797" s="616">
        <v>1</v>
      </c>
      <c r="C797" s="1693">
        <v>694</v>
      </c>
      <c r="D797" s="616">
        <v>1</v>
      </c>
      <c r="E797" s="1693">
        <v>719</v>
      </c>
      <c r="F797" s="616">
        <v>1</v>
      </c>
      <c r="G797" s="1693">
        <v>789</v>
      </c>
      <c r="H797" s="616">
        <v>1</v>
      </c>
      <c r="K797" s="69"/>
      <c r="M797" s="22"/>
      <c r="O797" s="86"/>
      <c r="P797" s="85"/>
      <c r="Q797" s="63"/>
      <c r="R797" s="63"/>
      <c r="S797" s="3" t="s">
        <v>4</v>
      </c>
      <c r="W797" s="1911"/>
      <c r="X797" s="2021">
        <v>0</v>
      </c>
      <c r="Y797" s="2162">
        <v>0</v>
      </c>
      <c r="Z797" s="2021">
        <v>0</v>
      </c>
      <c r="AA797" s="2021">
        <v>0</v>
      </c>
      <c r="AB797" s="2021">
        <v>0</v>
      </c>
      <c r="AC797" s="2021">
        <v>0</v>
      </c>
      <c r="AD797" s="2021">
        <v>0</v>
      </c>
      <c r="AE797" s="2021">
        <v>0</v>
      </c>
      <c r="AF797" s="2021">
        <v>0</v>
      </c>
      <c r="AG797" s="2021">
        <v>0</v>
      </c>
      <c r="AH797" s="2021">
        <v>0</v>
      </c>
      <c r="AI797" s="2021">
        <v>0</v>
      </c>
      <c r="AJ797" s="1925">
        <v>0</v>
      </c>
      <c r="AK797" s="1926">
        <v>0</v>
      </c>
      <c r="AL797" s="1926">
        <v>0</v>
      </c>
      <c r="AM797" s="1926">
        <v>0</v>
      </c>
      <c r="AN797" s="1926">
        <v>0</v>
      </c>
      <c r="AO797" s="1926">
        <v>0</v>
      </c>
      <c r="AP797" s="1925">
        <v>0</v>
      </c>
    </row>
    <row r="798" spans="1:42" ht="14.5">
      <c r="A798" s="1693">
        <v>655</v>
      </c>
      <c r="B798" s="616">
        <v>1</v>
      </c>
      <c r="C798" s="1693">
        <v>695</v>
      </c>
      <c r="D798" s="616">
        <v>1</v>
      </c>
      <c r="E798" s="1693">
        <v>720</v>
      </c>
      <c r="F798" s="616">
        <v>1</v>
      </c>
      <c r="G798" s="1693">
        <v>790</v>
      </c>
      <c r="H798" s="616">
        <v>1</v>
      </c>
      <c r="K798" s="69"/>
      <c r="M798" s="22"/>
      <c r="O798" s="86"/>
      <c r="P798" s="85"/>
      <c r="Q798" s="63"/>
      <c r="R798" s="63"/>
      <c r="S798" s="3" t="s">
        <v>602</v>
      </c>
      <c r="W798" s="1911"/>
      <c r="X798" s="2021"/>
      <c r="Y798" s="2162"/>
      <c r="Z798" s="2021"/>
      <c r="AA798" s="2021"/>
      <c r="AB798" s="2021"/>
      <c r="AC798" s="2021"/>
      <c r="AD798" s="2021"/>
      <c r="AE798" s="2021"/>
      <c r="AF798" s="2021"/>
      <c r="AG798" s="2021"/>
      <c r="AH798" s="2021"/>
      <c r="AI798" s="2021"/>
      <c r="AJ798" s="1925">
        <v>0</v>
      </c>
      <c r="AK798" s="1926">
        <v>0</v>
      </c>
      <c r="AL798" s="1926">
        <v>0</v>
      </c>
      <c r="AM798" s="1926">
        <v>0</v>
      </c>
      <c r="AN798" s="1926">
        <v>0</v>
      </c>
      <c r="AO798" s="1926">
        <v>0</v>
      </c>
      <c r="AP798" s="1925">
        <v>0</v>
      </c>
    </row>
    <row r="799" spans="1:42" ht="14.5">
      <c r="A799" s="1693">
        <v>1</v>
      </c>
      <c r="B799" s="616">
        <v>705</v>
      </c>
      <c r="C799" s="1693">
        <v>1</v>
      </c>
      <c r="D799" s="616">
        <v>654</v>
      </c>
      <c r="E799" s="1693">
        <v>1</v>
      </c>
      <c r="F799" s="616">
        <v>1</v>
      </c>
      <c r="G799" s="1693">
        <v>791</v>
      </c>
      <c r="H799" s="616">
        <v>1</v>
      </c>
      <c r="K799" s="69"/>
      <c r="M799" s="22"/>
      <c r="O799" s="86"/>
      <c r="P799" s="85"/>
      <c r="Q799" s="63"/>
      <c r="R799" s="63"/>
      <c r="S799" s="3" t="s">
        <v>1060</v>
      </c>
      <c r="W799" s="1911"/>
      <c r="X799" s="2021"/>
      <c r="Y799" s="2162"/>
      <c r="Z799" s="2021"/>
      <c r="AA799" s="2021"/>
      <c r="AB799" s="2021"/>
      <c r="AC799" s="2021"/>
      <c r="AD799" s="2021"/>
      <c r="AE799" s="2021"/>
      <c r="AF799" s="2021"/>
      <c r="AG799" s="2021"/>
      <c r="AH799" s="2021"/>
      <c r="AI799" s="2021"/>
      <c r="AJ799" s="1925">
        <v>0</v>
      </c>
      <c r="AK799" s="1926">
        <v>0</v>
      </c>
      <c r="AL799" s="1926">
        <v>0</v>
      </c>
      <c r="AM799" s="1926">
        <v>0</v>
      </c>
      <c r="AN799" s="1926">
        <v>0</v>
      </c>
      <c r="AO799" s="1926">
        <v>0</v>
      </c>
      <c r="AP799" s="1925">
        <v>0</v>
      </c>
    </row>
    <row r="800" spans="1:42" ht="14.5">
      <c r="A800" s="1693">
        <v>1</v>
      </c>
      <c r="B800" s="616">
        <v>1</v>
      </c>
      <c r="C800" s="1693">
        <v>1</v>
      </c>
      <c r="D800" s="616">
        <v>1</v>
      </c>
      <c r="E800" s="1693">
        <v>1</v>
      </c>
      <c r="F800" s="616">
        <v>1</v>
      </c>
      <c r="G800" s="1693">
        <v>792</v>
      </c>
      <c r="H800" s="616">
        <v>1</v>
      </c>
      <c r="K800" s="69"/>
      <c r="M800" s="22"/>
      <c r="O800" s="86"/>
      <c r="P800" s="85"/>
      <c r="Q800" s="63"/>
      <c r="R800" s="63"/>
      <c r="S800" s="3" t="s">
        <v>1061</v>
      </c>
      <c r="T800" s="69"/>
      <c r="U800" s="69"/>
      <c r="V800" s="69"/>
      <c r="W800" s="1911"/>
      <c r="X800" s="2021"/>
      <c r="Y800" s="2162"/>
      <c r="Z800" s="2021"/>
      <c r="AA800" s="2021"/>
      <c r="AB800" s="2021"/>
      <c r="AC800" s="2021"/>
      <c r="AD800" s="2021"/>
      <c r="AE800" s="2021"/>
      <c r="AF800" s="2021"/>
      <c r="AG800" s="2021"/>
      <c r="AH800" s="2021"/>
      <c r="AI800" s="2021"/>
      <c r="AJ800" s="1925">
        <v>0</v>
      </c>
      <c r="AK800" s="1926">
        <v>0</v>
      </c>
      <c r="AL800" s="1926">
        <v>0</v>
      </c>
      <c r="AM800" s="1926">
        <v>0</v>
      </c>
      <c r="AN800" s="1926">
        <v>0</v>
      </c>
      <c r="AO800" s="1926">
        <v>0</v>
      </c>
      <c r="AP800" s="1925">
        <v>0</v>
      </c>
    </row>
    <row r="801" spans="1:42" ht="14.5">
      <c r="A801" s="1693">
        <v>1</v>
      </c>
      <c r="B801" s="616">
        <v>1</v>
      </c>
      <c r="C801" s="1693">
        <v>697</v>
      </c>
      <c r="D801" s="616">
        <v>1</v>
      </c>
      <c r="E801" s="1695">
        <v>722</v>
      </c>
      <c r="F801" s="616">
        <v>1</v>
      </c>
      <c r="G801" s="1693">
        <v>793</v>
      </c>
      <c r="H801" s="616">
        <v>1</v>
      </c>
      <c r="K801" s="69"/>
      <c r="O801" s="316" t="s">
        <v>54</v>
      </c>
      <c r="P801" s="2056"/>
      <c r="Q801" s="471"/>
      <c r="R801" s="471"/>
      <c r="S801" s="471"/>
      <c r="T801" s="471"/>
      <c r="U801" s="471"/>
      <c r="V801" s="471"/>
      <c r="W801" s="2201"/>
      <c r="X801" s="2059">
        <v>370</v>
      </c>
      <c r="Y801" s="2202">
        <v>425.5</v>
      </c>
      <c r="Z801" s="2059">
        <v>481</v>
      </c>
      <c r="AA801" s="2059">
        <v>407</v>
      </c>
      <c r="AB801" s="2059">
        <v>444</v>
      </c>
      <c r="AC801" s="2059">
        <v>518</v>
      </c>
      <c r="AD801" s="2059">
        <v>407</v>
      </c>
      <c r="AE801" s="2059">
        <v>444</v>
      </c>
      <c r="AF801" s="2059">
        <v>481</v>
      </c>
      <c r="AG801" s="2059">
        <v>407</v>
      </c>
      <c r="AH801" s="2059">
        <v>444</v>
      </c>
      <c r="AI801" s="2059">
        <v>518</v>
      </c>
      <c r="AJ801" s="2060">
        <v>1276.5</v>
      </c>
      <c r="AK801" s="2059">
        <v>1369</v>
      </c>
      <c r="AL801" s="2059">
        <v>1332</v>
      </c>
      <c r="AM801" s="2059">
        <v>1369</v>
      </c>
      <c r="AN801" s="2059">
        <v>2645.5</v>
      </c>
      <c r="AO801" s="2059">
        <v>2701</v>
      </c>
      <c r="AP801" s="2060">
        <v>5346.5</v>
      </c>
    </row>
    <row r="802" spans="1:42" ht="14.5">
      <c r="A802" s="1693">
        <v>1</v>
      </c>
      <c r="B802" s="616">
        <v>1</v>
      </c>
      <c r="C802" s="1693">
        <v>698</v>
      </c>
      <c r="D802" s="616">
        <v>1</v>
      </c>
      <c r="E802" s="1693">
        <v>723</v>
      </c>
      <c r="F802" s="616">
        <v>1</v>
      </c>
      <c r="G802" s="1693">
        <v>794</v>
      </c>
      <c r="H802" s="616">
        <v>1</v>
      </c>
      <c r="K802" s="69"/>
      <c r="O802" s="86"/>
      <c r="P802" s="85"/>
      <c r="Q802" s="68" t="s">
        <v>1018</v>
      </c>
      <c r="R802" s="68"/>
      <c r="S802" s="457"/>
      <c r="T802" s="283"/>
      <c r="U802" s="283"/>
      <c r="V802" s="68"/>
      <c r="W802" s="2173"/>
      <c r="X802" s="2175">
        <v>370</v>
      </c>
      <c r="Y802" s="2174">
        <v>425.5</v>
      </c>
      <c r="Z802" s="2175">
        <v>481</v>
      </c>
      <c r="AA802" s="2175">
        <v>407</v>
      </c>
      <c r="AB802" s="2175">
        <v>444</v>
      </c>
      <c r="AC802" s="2175">
        <v>518</v>
      </c>
      <c r="AD802" s="2175">
        <v>407</v>
      </c>
      <c r="AE802" s="2175">
        <v>444</v>
      </c>
      <c r="AF802" s="2175">
        <v>481</v>
      </c>
      <c r="AG802" s="2175">
        <v>407</v>
      </c>
      <c r="AH802" s="2175">
        <v>444</v>
      </c>
      <c r="AI802" s="2175">
        <v>518</v>
      </c>
      <c r="AJ802" s="2176">
        <v>1276.5</v>
      </c>
      <c r="AK802" s="2175">
        <v>1369</v>
      </c>
      <c r="AL802" s="2175">
        <v>1332</v>
      </c>
      <c r="AM802" s="2175">
        <v>1369</v>
      </c>
      <c r="AN802" s="2175">
        <v>2645.5</v>
      </c>
      <c r="AO802" s="2175">
        <v>2701</v>
      </c>
      <c r="AP802" s="2176">
        <v>5346.5</v>
      </c>
    </row>
    <row r="803" spans="1:42" ht="14.5">
      <c r="A803" s="1693">
        <v>660</v>
      </c>
      <c r="B803" s="616">
        <v>1</v>
      </c>
      <c r="C803" s="1693">
        <v>699</v>
      </c>
      <c r="D803" s="616">
        <v>1</v>
      </c>
      <c r="E803" s="1695">
        <v>724</v>
      </c>
      <c r="F803" s="616">
        <v>1</v>
      </c>
      <c r="G803" s="1693">
        <v>795</v>
      </c>
      <c r="H803" s="616">
        <v>1</v>
      </c>
      <c r="K803" s="69"/>
      <c r="M803" s="737"/>
      <c r="O803" s="86"/>
      <c r="P803" s="85"/>
      <c r="Q803" s="68"/>
      <c r="R803" s="68"/>
      <c r="S803" s="8" t="s">
        <v>3</v>
      </c>
      <c r="T803" s="284"/>
      <c r="U803" s="284"/>
      <c r="V803" s="284"/>
      <c r="W803" s="1899"/>
      <c r="X803" s="1987">
        <v>150</v>
      </c>
      <c r="Y803" s="2179">
        <v>0</v>
      </c>
      <c r="Z803" s="1987">
        <v>0</v>
      </c>
      <c r="AA803" s="1987">
        <v>150</v>
      </c>
      <c r="AB803" s="1987">
        <v>0</v>
      </c>
      <c r="AC803" s="1987">
        <v>0</v>
      </c>
      <c r="AD803" s="1987">
        <v>150</v>
      </c>
      <c r="AE803" s="1987">
        <v>0</v>
      </c>
      <c r="AF803" s="1987">
        <v>0</v>
      </c>
      <c r="AG803" s="1987">
        <v>150</v>
      </c>
      <c r="AH803" s="1987">
        <v>0</v>
      </c>
      <c r="AI803" s="1987">
        <v>0</v>
      </c>
      <c r="AJ803" s="2144">
        <v>150</v>
      </c>
      <c r="AK803" s="1987">
        <v>150</v>
      </c>
      <c r="AL803" s="1987">
        <v>150</v>
      </c>
      <c r="AM803" s="1987">
        <v>150</v>
      </c>
      <c r="AN803" s="1987">
        <v>300</v>
      </c>
      <c r="AO803" s="1987">
        <v>300</v>
      </c>
      <c r="AP803" s="2144">
        <v>600</v>
      </c>
    </row>
    <row r="804" spans="1:42" ht="14.5">
      <c r="A804" s="1693">
        <v>1</v>
      </c>
      <c r="B804" s="616">
        <v>1</v>
      </c>
      <c r="C804" s="1693">
        <v>700</v>
      </c>
      <c r="D804" s="616">
        <v>1</v>
      </c>
      <c r="E804" s="1693">
        <v>725</v>
      </c>
      <c r="F804" s="616">
        <v>1</v>
      </c>
      <c r="G804" s="1693">
        <v>796</v>
      </c>
      <c r="H804" s="616">
        <v>1</v>
      </c>
      <c r="K804" s="69"/>
      <c r="M804" s="737"/>
      <c r="O804" s="86"/>
      <c r="P804" s="85"/>
      <c r="Q804" s="68"/>
      <c r="R804" s="68"/>
      <c r="T804" s="97" t="s">
        <v>523</v>
      </c>
      <c r="U804" s="97"/>
      <c r="V804" s="97"/>
      <c r="W804" s="1911"/>
      <c r="X804" s="2140"/>
      <c r="Y804" s="2178"/>
      <c r="Z804" s="2140"/>
      <c r="AA804" s="2140"/>
      <c r="AB804" s="2140"/>
      <c r="AC804" s="2140"/>
      <c r="AD804" s="2140"/>
      <c r="AE804" s="2140"/>
      <c r="AF804" s="2140"/>
      <c r="AG804" s="2140"/>
      <c r="AH804" s="2140"/>
      <c r="AI804" s="2140"/>
      <c r="AJ804" s="2160">
        <v>0</v>
      </c>
      <c r="AK804" s="2161">
        <v>0</v>
      </c>
      <c r="AL804" s="2161">
        <v>0</v>
      </c>
      <c r="AM804" s="2161">
        <v>0</v>
      </c>
      <c r="AN804" s="2161">
        <v>0</v>
      </c>
      <c r="AO804" s="2161">
        <v>0</v>
      </c>
      <c r="AP804" s="2160">
        <v>0</v>
      </c>
    </row>
    <row r="805" spans="1:42" ht="14.5">
      <c r="A805" s="1693">
        <v>1</v>
      </c>
      <c r="B805" s="616">
        <v>1</v>
      </c>
      <c r="C805" s="1693">
        <v>701</v>
      </c>
      <c r="D805" s="616">
        <v>1</v>
      </c>
      <c r="E805" s="1693">
        <v>726</v>
      </c>
      <c r="F805" s="616">
        <v>1</v>
      </c>
      <c r="G805" s="1693">
        <v>797</v>
      </c>
      <c r="H805" s="616">
        <v>1</v>
      </c>
      <c r="K805" s="69"/>
      <c r="M805" s="737"/>
      <c r="O805" s="86"/>
      <c r="P805" s="85"/>
      <c r="Q805" s="68"/>
      <c r="R805" s="68"/>
      <c r="T805" s="8" t="s">
        <v>524</v>
      </c>
      <c r="W805" s="1911"/>
      <c r="X805" s="2021">
        <v>150</v>
      </c>
      <c r="Y805" s="2162"/>
      <c r="Z805" s="2021"/>
      <c r="AA805" s="2021">
        <v>150</v>
      </c>
      <c r="AB805" s="2021"/>
      <c r="AC805" s="2021"/>
      <c r="AD805" s="2021">
        <v>150</v>
      </c>
      <c r="AE805" s="2021"/>
      <c r="AF805" s="2021"/>
      <c r="AG805" s="2021">
        <v>150</v>
      </c>
      <c r="AH805" s="2021"/>
      <c r="AI805" s="2021"/>
      <c r="AJ805" s="1925">
        <v>150</v>
      </c>
      <c r="AK805" s="1926">
        <v>150</v>
      </c>
      <c r="AL805" s="1926">
        <v>150</v>
      </c>
      <c r="AM805" s="1926">
        <v>150</v>
      </c>
      <c r="AN805" s="1926">
        <v>300</v>
      </c>
      <c r="AO805" s="1926">
        <v>300</v>
      </c>
      <c r="AP805" s="1925">
        <v>600</v>
      </c>
    </row>
    <row r="806" spans="1:42" ht="14.5">
      <c r="A806" s="1693">
        <v>1</v>
      </c>
      <c r="B806" s="616">
        <v>1</v>
      </c>
      <c r="C806" s="1693">
        <v>702</v>
      </c>
      <c r="D806" s="616">
        <v>1</v>
      </c>
      <c r="E806" s="1693">
        <v>727</v>
      </c>
      <c r="F806" s="616">
        <v>1</v>
      </c>
      <c r="G806" s="1693">
        <v>798</v>
      </c>
      <c r="H806" s="616">
        <v>1</v>
      </c>
      <c r="K806" s="69"/>
      <c r="M806" s="737"/>
      <c r="O806" s="86"/>
      <c r="P806" s="85"/>
      <c r="Q806" s="68"/>
      <c r="R806" s="68"/>
      <c r="T806" s="8" t="s">
        <v>525</v>
      </c>
      <c r="W806" s="1911"/>
      <c r="X806" s="2021"/>
      <c r="Y806" s="2162"/>
      <c r="Z806" s="2021"/>
      <c r="AA806" s="2021"/>
      <c r="AB806" s="2021"/>
      <c r="AC806" s="2021"/>
      <c r="AD806" s="2021"/>
      <c r="AE806" s="2021"/>
      <c r="AF806" s="2021"/>
      <c r="AG806" s="2021"/>
      <c r="AH806" s="2021"/>
      <c r="AI806" s="2021"/>
      <c r="AJ806" s="1925">
        <v>0</v>
      </c>
      <c r="AK806" s="1926">
        <v>0</v>
      </c>
      <c r="AL806" s="1926">
        <v>0</v>
      </c>
      <c r="AM806" s="1926">
        <v>0</v>
      </c>
      <c r="AN806" s="1926">
        <v>0</v>
      </c>
      <c r="AO806" s="1926">
        <v>0</v>
      </c>
      <c r="AP806" s="1925">
        <v>0</v>
      </c>
    </row>
    <row r="807" spans="1:42" ht="14.5">
      <c r="A807" s="1693">
        <v>1</v>
      </c>
      <c r="B807" s="616">
        <v>1</v>
      </c>
      <c r="C807" s="1693">
        <v>703</v>
      </c>
      <c r="D807" s="616">
        <v>1</v>
      </c>
      <c r="E807" s="1693">
        <v>728</v>
      </c>
      <c r="F807" s="616">
        <v>1</v>
      </c>
      <c r="G807" s="1693">
        <v>799</v>
      </c>
      <c r="H807" s="616">
        <v>1</v>
      </c>
      <c r="K807" s="69"/>
      <c r="M807" s="737"/>
      <c r="O807" s="86"/>
      <c r="P807" s="85"/>
      <c r="Q807" s="68"/>
      <c r="R807" s="68"/>
      <c r="S807" s="11"/>
      <c r="T807" s="8" t="s">
        <v>526</v>
      </c>
      <c r="V807" s="11"/>
      <c r="W807" s="1911"/>
      <c r="X807" s="2153"/>
      <c r="Y807" s="2165"/>
      <c r="Z807" s="2153"/>
      <c r="AA807" s="2153"/>
      <c r="AB807" s="2153"/>
      <c r="AC807" s="2153"/>
      <c r="AD807" s="2153"/>
      <c r="AE807" s="2153"/>
      <c r="AF807" s="2153"/>
      <c r="AG807" s="2153"/>
      <c r="AH807" s="2153"/>
      <c r="AI807" s="2153"/>
      <c r="AJ807" s="1927">
        <v>0</v>
      </c>
      <c r="AK807" s="1928">
        <v>0</v>
      </c>
      <c r="AL807" s="1928">
        <v>0</v>
      </c>
      <c r="AM807" s="1928">
        <v>0</v>
      </c>
      <c r="AN807" s="1928">
        <v>0</v>
      </c>
      <c r="AO807" s="1928">
        <v>0</v>
      </c>
      <c r="AP807" s="1927">
        <v>0</v>
      </c>
    </row>
    <row r="808" spans="1:42" ht="14.5">
      <c r="A808" s="1693">
        <v>680</v>
      </c>
      <c r="B808" s="616">
        <v>710</v>
      </c>
      <c r="C808" s="1693">
        <v>1</v>
      </c>
      <c r="D808" s="616">
        <v>657</v>
      </c>
      <c r="E808" s="1693">
        <v>729</v>
      </c>
      <c r="F808" s="616">
        <v>1</v>
      </c>
      <c r="G808" s="1693">
        <v>800</v>
      </c>
      <c r="H808" s="616">
        <v>1</v>
      </c>
      <c r="K808" s="69"/>
      <c r="M808" s="22"/>
      <c r="O808" s="86"/>
      <c r="P808" s="85"/>
      <c r="Q808" s="68"/>
      <c r="R808" s="68"/>
      <c r="S808" s="3" t="s">
        <v>1059</v>
      </c>
      <c r="T808" s="284"/>
      <c r="U808" s="284"/>
      <c r="V808" s="285"/>
      <c r="W808" s="1899"/>
      <c r="X808" s="1971">
        <v>0</v>
      </c>
      <c r="Y808" s="2177">
        <v>0</v>
      </c>
      <c r="Z808" s="1971">
        <v>0</v>
      </c>
      <c r="AA808" s="1971">
        <v>0</v>
      </c>
      <c r="AB808" s="1971">
        <v>0</v>
      </c>
      <c r="AC808" s="1971">
        <v>0</v>
      </c>
      <c r="AD808" s="1971">
        <v>0</v>
      </c>
      <c r="AE808" s="1971">
        <v>0</v>
      </c>
      <c r="AF808" s="1971">
        <v>0</v>
      </c>
      <c r="AG808" s="1971">
        <v>0</v>
      </c>
      <c r="AH808" s="1971">
        <v>0</v>
      </c>
      <c r="AI808" s="1971">
        <v>0</v>
      </c>
      <c r="AJ808" s="2137">
        <v>0</v>
      </c>
      <c r="AK808" s="1971">
        <v>0</v>
      </c>
      <c r="AL808" s="1971">
        <v>0</v>
      </c>
      <c r="AM808" s="1971">
        <v>0</v>
      </c>
      <c r="AN808" s="1971">
        <v>0</v>
      </c>
      <c r="AO808" s="1971">
        <v>0</v>
      </c>
      <c r="AP808" s="2137">
        <v>0</v>
      </c>
    </row>
    <row r="809" spans="1:42" ht="14.5">
      <c r="A809" s="1693">
        <v>1</v>
      </c>
      <c r="B809" s="616">
        <v>1</v>
      </c>
      <c r="C809" s="1693">
        <v>1</v>
      </c>
      <c r="D809" s="616">
        <v>658</v>
      </c>
      <c r="E809" s="1693">
        <v>730</v>
      </c>
      <c r="F809" s="616">
        <v>1</v>
      </c>
      <c r="G809" s="1693">
        <v>801</v>
      </c>
      <c r="H809" s="616">
        <v>1</v>
      </c>
      <c r="K809" s="69"/>
      <c r="M809" s="22"/>
      <c r="O809" s="86"/>
      <c r="P809" s="85"/>
      <c r="Q809" s="68"/>
      <c r="R809" s="68"/>
      <c r="T809" s="97" t="s">
        <v>523</v>
      </c>
      <c r="U809" s="97"/>
      <c r="V809" s="97"/>
      <c r="W809" s="1911"/>
      <c r="X809" s="2140"/>
      <c r="Y809" s="2178"/>
      <c r="Z809" s="2140"/>
      <c r="AA809" s="2140"/>
      <c r="AB809" s="2140"/>
      <c r="AC809" s="2140"/>
      <c r="AD809" s="2140"/>
      <c r="AE809" s="2140"/>
      <c r="AF809" s="2140"/>
      <c r="AG809" s="2140"/>
      <c r="AH809" s="2140"/>
      <c r="AI809" s="2140"/>
      <c r="AJ809" s="2160">
        <v>0</v>
      </c>
      <c r="AK809" s="2161">
        <v>0</v>
      </c>
      <c r="AL809" s="2161">
        <v>0</v>
      </c>
      <c r="AM809" s="2161">
        <v>0</v>
      </c>
      <c r="AN809" s="2161">
        <v>0</v>
      </c>
      <c r="AO809" s="2161">
        <v>0</v>
      </c>
      <c r="AP809" s="2160">
        <v>0</v>
      </c>
    </row>
    <row r="810" spans="1:42" ht="14.5">
      <c r="A810" s="1693">
        <v>1</v>
      </c>
      <c r="B810" s="616">
        <v>1</v>
      </c>
      <c r="C810" s="1693">
        <v>1</v>
      </c>
      <c r="D810" s="616">
        <v>659</v>
      </c>
      <c r="E810" s="1693">
        <v>731</v>
      </c>
      <c r="F810" s="616">
        <v>1</v>
      </c>
      <c r="G810" s="1693">
        <v>802</v>
      </c>
      <c r="H810" s="616">
        <v>1</v>
      </c>
      <c r="K810" s="69"/>
      <c r="M810" s="22"/>
      <c r="O810" s="86"/>
      <c r="P810" s="85"/>
      <c r="Q810" s="68"/>
      <c r="R810" s="68"/>
      <c r="T810" s="8" t="s">
        <v>524</v>
      </c>
      <c r="W810" s="1911"/>
      <c r="X810" s="2021"/>
      <c r="Y810" s="2162"/>
      <c r="Z810" s="2021"/>
      <c r="AA810" s="2021"/>
      <c r="AB810" s="2021"/>
      <c r="AC810" s="2021"/>
      <c r="AD810" s="2021"/>
      <c r="AE810" s="2021"/>
      <c r="AF810" s="2021"/>
      <c r="AG810" s="2021"/>
      <c r="AH810" s="2021"/>
      <c r="AI810" s="2021"/>
      <c r="AJ810" s="1925">
        <v>0</v>
      </c>
      <c r="AK810" s="1926">
        <v>0</v>
      </c>
      <c r="AL810" s="1926">
        <v>0</v>
      </c>
      <c r="AM810" s="1926">
        <v>0</v>
      </c>
      <c r="AN810" s="1926">
        <v>0</v>
      </c>
      <c r="AO810" s="1926">
        <v>0</v>
      </c>
      <c r="AP810" s="1925">
        <v>0</v>
      </c>
    </row>
    <row r="811" spans="1:42" ht="14.5">
      <c r="A811" s="1693">
        <v>1</v>
      </c>
      <c r="B811" s="616">
        <v>1</v>
      </c>
      <c r="C811" s="1693">
        <v>1</v>
      </c>
      <c r="D811" s="616">
        <v>1</v>
      </c>
      <c r="E811" s="1693">
        <v>732</v>
      </c>
      <c r="F811" s="616">
        <v>1</v>
      </c>
      <c r="G811" s="1693">
        <v>803</v>
      </c>
      <c r="H811" s="616">
        <v>1</v>
      </c>
      <c r="K811" s="69"/>
      <c r="M811" s="22"/>
      <c r="O811" s="86"/>
      <c r="P811" s="85"/>
      <c r="Q811" s="68"/>
      <c r="R811" s="68"/>
      <c r="T811" s="8" t="s">
        <v>525</v>
      </c>
      <c r="W811" s="1911"/>
      <c r="X811" s="2021"/>
      <c r="Y811" s="2021"/>
      <c r="Z811" s="2021"/>
      <c r="AA811" s="2021"/>
      <c r="AB811" s="2021"/>
      <c r="AC811" s="2021"/>
      <c r="AD811" s="2021"/>
      <c r="AE811" s="2021"/>
      <c r="AF811" s="2021"/>
      <c r="AG811" s="2021"/>
      <c r="AH811" s="2021"/>
      <c r="AI811" s="2021"/>
      <c r="AJ811" s="1925">
        <v>0</v>
      </c>
      <c r="AK811" s="1926">
        <v>0</v>
      </c>
      <c r="AL811" s="1926">
        <v>0</v>
      </c>
      <c r="AM811" s="1926">
        <v>0</v>
      </c>
      <c r="AN811" s="1926">
        <v>0</v>
      </c>
      <c r="AO811" s="1926">
        <v>0</v>
      </c>
      <c r="AP811" s="1925">
        <v>0</v>
      </c>
    </row>
    <row r="812" spans="1:42" ht="14.5">
      <c r="A812" s="1693">
        <v>1</v>
      </c>
      <c r="B812" s="616">
        <v>1</v>
      </c>
      <c r="C812" s="1693">
        <v>1</v>
      </c>
      <c r="D812" s="616">
        <v>1</v>
      </c>
      <c r="E812" s="1693">
        <v>733</v>
      </c>
      <c r="F812" s="616">
        <v>1</v>
      </c>
      <c r="G812" s="1693">
        <v>804</v>
      </c>
      <c r="H812" s="616">
        <v>1</v>
      </c>
      <c r="K812" s="69"/>
      <c r="M812" s="22"/>
      <c r="O812" s="86"/>
      <c r="P812" s="85"/>
      <c r="Q812" s="68"/>
      <c r="R812" s="68"/>
      <c r="T812" s="8" t="s">
        <v>526</v>
      </c>
      <c r="V812" s="11"/>
      <c r="W812" s="1911"/>
      <c r="X812" s="2153"/>
      <c r="Y812" s="2153"/>
      <c r="Z812" s="2153"/>
      <c r="AA812" s="2153"/>
      <c r="AB812" s="2153"/>
      <c r="AC812" s="2153"/>
      <c r="AD812" s="2153"/>
      <c r="AE812" s="2153"/>
      <c r="AF812" s="2153"/>
      <c r="AG812" s="2153"/>
      <c r="AH812" s="2153"/>
      <c r="AI812" s="2153"/>
      <c r="AJ812" s="1927">
        <v>0</v>
      </c>
      <c r="AK812" s="1928">
        <v>0</v>
      </c>
      <c r="AL812" s="1928">
        <v>0</v>
      </c>
      <c r="AM812" s="1928">
        <v>0</v>
      </c>
      <c r="AN812" s="1928">
        <v>0</v>
      </c>
      <c r="AO812" s="1928">
        <v>0</v>
      </c>
      <c r="AP812" s="1927">
        <v>0</v>
      </c>
    </row>
    <row r="813" spans="1:42" ht="14.5">
      <c r="A813" s="1693">
        <v>665</v>
      </c>
      <c r="B813" s="616">
        <v>1</v>
      </c>
      <c r="C813" s="1693">
        <v>704</v>
      </c>
      <c r="D813" s="616">
        <v>1</v>
      </c>
      <c r="E813" s="1693">
        <v>734</v>
      </c>
      <c r="F813" s="616">
        <v>1</v>
      </c>
      <c r="G813" s="1693">
        <v>805</v>
      </c>
      <c r="H813" s="616">
        <v>1</v>
      </c>
      <c r="K813" s="69"/>
      <c r="M813" s="22"/>
      <c r="O813" s="86"/>
      <c r="P813" s="85"/>
      <c r="Q813" s="68"/>
      <c r="R813" s="68"/>
      <c r="S813" s="487" t="s">
        <v>4</v>
      </c>
      <c r="T813" s="284"/>
      <c r="U813" s="284"/>
      <c r="V813" s="284"/>
      <c r="W813" s="1899"/>
      <c r="X813" s="1971">
        <v>220</v>
      </c>
      <c r="Y813" s="2177">
        <v>425.5</v>
      </c>
      <c r="Z813" s="1971">
        <v>481</v>
      </c>
      <c r="AA813" s="1971">
        <v>257</v>
      </c>
      <c r="AB813" s="1971">
        <v>444</v>
      </c>
      <c r="AC813" s="1971">
        <v>518</v>
      </c>
      <c r="AD813" s="1971">
        <v>257</v>
      </c>
      <c r="AE813" s="1971">
        <v>444</v>
      </c>
      <c r="AF813" s="1971">
        <v>481</v>
      </c>
      <c r="AG813" s="1971">
        <v>257</v>
      </c>
      <c r="AH813" s="1971">
        <v>444</v>
      </c>
      <c r="AI813" s="1971">
        <v>518</v>
      </c>
      <c r="AJ813" s="2137">
        <v>1126.5</v>
      </c>
      <c r="AK813" s="1971">
        <v>1219</v>
      </c>
      <c r="AL813" s="1971">
        <v>1182</v>
      </c>
      <c r="AM813" s="1971">
        <v>1219</v>
      </c>
      <c r="AN813" s="1971">
        <v>2345.5</v>
      </c>
      <c r="AO813" s="1971">
        <v>2401</v>
      </c>
      <c r="AP813" s="2137">
        <v>4746.5</v>
      </c>
    </row>
    <row r="814" spans="1:42" ht="14.5">
      <c r="A814" s="1693">
        <v>1</v>
      </c>
      <c r="B814" s="616">
        <v>1</v>
      </c>
      <c r="C814" s="1693">
        <v>705</v>
      </c>
      <c r="D814" s="616">
        <v>1</v>
      </c>
      <c r="E814" s="1693">
        <v>735</v>
      </c>
      <c r="F814" s="616">
        <v>1</v>
      </c>
      <c r="G814" s="1693">
        <v>806</v>
      </c>
      <c r="H814" s="616">
        <v>1</v>
      </c>
      <c r="K814" s="69"/>
      <c r="M814" s="22"/>
      <c r="O814" s="86"/>
      <c r="P814" s="85"/>
      <c r="Q814" s="68"/>
      <c r="R814" s="68"/>
      <c r="T814" s="97" t="s">
        <v>523</v>
      </c>
      <c r="U814" s="97"/>
      <c r="V814" s="97"/>
      <c r="W814" s="1911"/>
      <c r="X814" s="2140"/>
      <c r="Y814" s="2178"/>
      <c r="Z814" s="2140"/>
      <c r="AA814" s="2140"/>
      <c r="AB814" s="2140"/>
      <c r="AC814" s="2140"/>
      <c r="AD814" s="2140"/>
      <c r="AE814" s="2140"/>
      <c r="AF814" s="2140"/>
      <c r="AG814" s="2140"/>
      <c r="AH814" s="2140"/>
      <c r="AI814" s="2140"/>
      <c r="AJ814" s="2160">
        <v>0</v>
      </c>
      <c r="AK814" s="2161">
        <v>0</v>
      </c>
      <c r="AL814" s="2161">
        <v>0</v>
      </c>
      <c r="AM814" s="2161">
        <v>0</v>
      </c>
      <c r="AN814" s="2161">
        <v>0</v>
      </c>
      <c r="AO814" s="2161">
        <v>0</v>
      </c>
      <c r="AP814" s="2160">
        <v>0</v>
      </c>
    </row>
    <row r="815" spans="1:42" ht="14.5">
      <c r="A815" s="1693">
        <v>1</v>
      </c>
      <c r="B815" s="616">
        <v>1</v>
      </c>
      <c r="C815" s="1693">
        <v>706</v>
      </c>
      <c r="D815" s="616">
        <v>1</v>
      </c>
      <c r="E815" s="1693">
        <v>736</v>
      </c>
      <c r="F815" s="616">
        <v>1</v>
      </c>
      <c r="G815" s="1693">
        <v>807</v>
      </c>
      <c r="H815" s="616">
        <v>1</v>
      </c>
      <c r="K815" s="69"/>
      <c r="M815" s="22"/>
      <c r="O815" s="86"/>
      <c r="P815" s="85"/>
      <c r="Q815" s="68"/>
      <c r="R815" s="68"/>
      <c r="T815" s="8" t="s">
        <v>524</v>
      </c>
      <c r="W815" s="1911"/>
      <c r="X815" s="2021">
        <v>220</v>
      </c>
      <c r="Y815" s="2162">
        <v>425.5</v>
      </c>
      <c r="Z815" s="2021">
        <v>481</v>
      </c>
      <c r="AA815" s="2021">
        <v>257</v>
      </c>
      <c r="AB815" s="2021">
        <v>444</v>
      </c>
      <c r="AC815" s="2021">
        <v>518</v>
      </c>
      <c r="AD815" s="2021">
        <v>257</v>
      </c>
      <c r="AE815" s="2021">
        <v>444</v>
      </c>
      <c r="AF815" s="2021">
        <v>481</v>
      </c>
      <c r="AG815" s="2021">
        <v>257</v>
      </c>
      <c r="AH815" s="2021">
        <v>444</v>
      </c>
      <c r="AI815" s="2021">
        <v>518</v>
      </c>
      <c r="AJ815" s="1925">
        <v>1126.5</v>
      </c>
      <c r="AK815" s="1926">
        <v>1219</v>
      </c>
      <c r="AL815" s="1926">
        <v>1182</v>
      </c>
      <c r="AM815" s="1926">
        <v>1219</v>
      </c>
      <c r="AN815" s="1926">
        <v>2345.5</v>
      </c>
      <c r="AO815" s="1926">
        <v>2401</v>
      </c>
      <c r="AP815" s="1925">
        <v>4746.5</v>
      </c>
    </row>
    <row r="816" spans="1:42" ht="14.5">
      <c r="A816" s="1693">
        <v>1</v>
      </c>
      <c r="B816" s="616">
        <v>1</v>
      </c>
      <c r="C816" s="1693">
        <v>707</v>
      </c>
      <c r="D816" s="616">
        <v>1</v>
      </c>
      <c r="E816" s="1693">
        <v>737</v>
      </c>
      <c r="F816" s="616">
        <v>1</v>
      </c>
      <c r="G816" s="1693">
        <v>808</v>
      </c>
      <c r="H816" s="616">
        <v>1</v>
      </c>
      <c r="K816" s="69"/>
      <c r="M816" s="22"/>
      <c r="O816" s="86"/>
      <c r="P816" s="85"/>
      <c r="Q816" s="68"/>
      <c r="R816" s="68"/>
      <c r="T816" s="8" t="s">
        <v>525</v>
      </c>
      <c r="W816" s="1911"/>
      <c r="X816" s="2021"/>
      <c r="Y816" s="2021"/>
      <c r="Z816" s="2021"/>
      <c r="AA816" s="2021"/>
      <c r="AB816" s="2021"/>
      <c r="AC816" s="2021"/>
      <c r="AD816" s="2021"/>
      <c r="AE816" s="2021"/>
      <c r="AF816" s="2021"/>
      <c r="AG816" s="2021"/>
      <c r="AH816" s="2021"/>
      <c r="AI816" s="2021"/>
      <c r="AJ816" s="1925">
        <v>0</v>
      </c>
      <c r="AK816" s="1926">
        <v>0</v>
      </c>
      <c r="AL816" s="1926">
        <v>0</v>
      </c>
      <c r="AM816" s="1926">
        <v>0</v>
      </c>
      <c r="AN816" s="1926">
        <v>0</v>
      </c>
      <c r="AO816" s="1926">
        <v>0</v>
      </c>
      <c r="AP816" s="1925">
        <v>0</v>
      </c>
    </row>
    <row r="817" spans="1:42" ht="14.5">
      <c r="A817" s="1693">
        <v>1</v>
      </c>
      <c r="B817" s="616">
        <v>1</v>
      </c>
      <c r="C817" s="1693">
        <v>708</v>
      </c>
      <c r="D817" s="616">
        <v>1</v>
      </c>
      <c r="E817" s="1693">
        <v>738</v>
      </c>
      <c r="F817" s="616">
        <v>1</v>
      </c>
      <c r="G817" s="1693">
        <v>809</v>
      </c>
      <c r="H817" s="616">
        <v>1</v>
      </c>
      <c r="K817" s="69"/>
      <c r="M817" s="22"/>
      <c r="O817" s="86"/>
      <c r="P817" s="85"/>
      <c r="Q817" s="68"/>
      <c r="R817" s="68"/>
      <c r="T817" s="8" t="s">
        <v>526</v>
      </c>
      <c r="V817" s="11"/>
      <c r="W817" s="1911"/>
      <c r="X817" s="2153"/>
      <c r="Y817" s="2153"/>
      <c r="Z817" s="2153"/>
      <c r="AA817" s="2153"/>
      <c r="AB817" s="2153"/>
      <c r="AC817" s="2153"/>
      <c r="AD817" s="2153"/>
      <c r="AE817" s="2153"/>
      <c r="AF817" s="2153"/>
      <c r="AG817" s="2153"/>
      <c r="AH817" s="2153"/>
      <c r="AI817" s="2153"/>
      <c r="AJ817" s="1927">
        <v>0</v>
      </c>
      <c r="AK817" s="1928">
        <v>0</v>
      </c>
      <c r="AL817" s="1928">
        <v>0</v>
      </c>
      <c r="AM817" s="1928">
        <v>0</v>
      </c>
      <c r="AN817" s="1928">
        <v>0</v>
      </c>
      <c r="AO817" s="1928">
        <v>0</v>
      </c>
      <c r="AP817" s="1927">
        <v>0</v>
      </c>
    </row>
    <row r="818" spans="1:42" ht="14.5">
      <c r="A818" s="1693">
        <v>670</v>
      </c>
      <c r="B818" s="616">
        <v>1</v>
      </c>
      <c r="C818" s="1693">
        <v>709</v>
      </c>
      <c r="D818" s="616">
        <v>1</v>
      </c>
      <c r="E818" s="1693">
        <v>739</v>
      </c>
      <c r="F818" s="616">
        <v>1</v>
      </c>
      <c r="G818" s="1693">
        <v>810</v>
      </c>
      <c r="H818" s="616">
        <v>1</v>
      </c>
      <c r="K818" s="69"/>
      <c r="M818" s="22"/>
      <c r="O818" s="86"/>
      <c r="P818" s="85"/>
      <c r="Q818" s="68"/>
      <c r="R818" s="68"/>
      <c r="S818" s="487" t="s">
        <v>602</v>
      </c>
      <c r="T818" s="284"/>
      <c r="U818" s="284"/>
      <c r="V818" s="284"/>
      <c r="W818" s="1899"/>
      <c r="X818" s="1971">
        <v>0</v>
      </c>
      <c r="Y818" s="2177">
        <v>0</v>
      </c>
      <c r="Z818" s="1971">
        <v>0</v>
      </c>
      <c r="AA818" s="1971">
        <v>0</v>
      </c>
      <c r="AB818" s="1971">
        <v>0</v>
      </c>
      <c r="AC818" s="1971">
        <v>0</v>
      </c>
      <c r="AD818" s="1971">
        <v>0</v>
      </c>
      <c r="AE818" s="1971">
        <v>0</v>
      </c>
      <c r="AF818" s="1971">
        <v>0</v>
      </c>
      <c r="AG818" s="1971">
        <v>0</v>
      </c>
      <c r="AH818" s="1971">
        <v>0</v>
      </c>
      <c r="AI818" s="1971">
        <v>0</v>
      </c>
      <c r="AJ818" s="2137">
        <v>0</v>
      </c>
      <c r="AK818" s="1971">
        <v>0</v>
      </c>
      <c r="AL818" s="1971">
        <v>0</v>
      </c>
      <c r="AM818" s="1971">
        <v>0</v>
      </c>
      <c r="AN818" s="1971">
        <v>0</v>
      </c>
      <c r="AO818" s="1971">
        <v>0</v>
      </c>
      <c r="AP818" s="2137">
        <v>0</v>
      </c>
    </row>
    <row r="819" spans="1:42" ht="14.5">
      <c r="A819" s="1693">
        <v>1</v>
      </c>
      <c r="B819" s="616">
        <v>1</v>
      </c>
      <c r="C819" s="1693">
        <v>710</v>
      </c>
      <c r="D819" s="616">
        <v>1</v>
      </c>
      <c r="E819" s="1693">
        <v>740</v>
      </c>
      <c r="F819" s="616">
        <v>1</v>
      </c>
      <c r="G819" s="1693">
        <v>811</v>
      </c>
      <c r="H819" s="616">
        <v>1</v>
      </c>
      <c r="K819" s="69"/>
      <c r="M819" s="22"/>
      <c r="O819" s="86"/>
      <c r="P819" s="85"/>
      <c r="Q819" s="68"/>
      <c r="R819" s="68"/>
      <c r="T819" s="97" t="s">
        <v>523</v>
      </c>
      <c r="U819" s="97"/>
      <c r="V819" s="97"/>
      <c r="W819" s="1911"/>
      <c r="X819" s="2140"/>
      <c r="Y819" s="2178"/>
      <c r="Z819" s="2140"/>
      <c r="AA819" s="2140"/>
      <c r="AB819" s="2140"/>
      <c r="AC819" s="2140"/>
      <c r="AD819" s="2140"/>
      <c r="AE819" s="2140"/>
      <c r="AF819" s="2140"/>
      <c r="AG819" s="2140"/>
      <c r="AH819" s="2140"/>
      <c r="AI819" s="2140"/>
      <c r="AJ819" s="2160">
        <v>0</v>
      </c>
      <c r="AK819" s="2161">
        <v>0</v>
      </c>
      <c r="AL819" s="2161">
        <v>0</v>
      </c>
      <c r="AM819" s="2161">
        <v>0</v>
      </c>
      <c r="AN819" s="2161">
        <v>0</v>
      </c>
      <c r="AO819" s="2161">
        <v>0</v>
      </c>
      <c r="AP819" s="2160">
        <v>0</v>
      </c>
    </row>
    <row r="820" spans="1:42" ht="14.5">
      <c r="A820" s="1693">
        <v>1</v>
      </c>
      <c r="B820" s="616">
        <v>1</v>
      </c>
      <c r="C820" s="1693">
        <v>711</v>
      </c>
      <c r="D820" s="616">
        <v>1</v>
      </c>
      <c r="E820" s="1693">
        <v>741</v>
      </c>
      <c r="F820" s="616">
        <v>1</v>
      </c>
      <c r="G820" s="1693">
        <v>812</v>
      </c>
      <c r="H820" s="616">
        <v>1</v>
      </c>
      <c r="K820" s="69"/>
      <c r="M820" s="22"/>
      <c r="O820" s="86"/>
      <c r="P820" s="85"/>
      <c r="Q820" s="68"/>
      <c r="R820" s="68"/>
      <c r="T820" s="8" t="s">
        <v>524</v>
      </c>
      <c r="W820" s="1911"/>
      <c r="X820" s="2021"/>
      <c r="Y820" s="2162"/>
      <c r="Z820" s="2021"/>
      <c r="AA820" s="2021"/>
      <c r="AB820" s="2021"/>
      <c r="AC820" s="2021"/>
      <c r="AD820" s="2021"/>
      <c r="AE820" s="2021"/>
      <c r="AF820" s="2021"/>
      <c r="AG820" s="2021"/>
      <c r="AH820" s="2021"/>
      <c r="AI820" s="2021"/>
      <c r="AJ820" s="1925">
        <v>0</v>
      </c>
      <c r="AK820" s="1926">
        <v>0</v>
      </c>
      <c r="AL820" s="1926">
        <v>0</v>
      </c>
      <c r="AM820" s="1926">
        <v>0</v>
      </c>
      <c r="AN820" s="1926">
        <v>0</v>
      </c>
      <c r="AO820" s="1926">
        <v>0</v>
      </c>
      <c r="AP820" s="1925">
        <v>0</v>
      </c>
    </row>
    <row r="821" spans="1:42" ht="14.5">
      <c r="A821" s="1693">
        <v>1</v>
      </c>
      <c r="B821" s="616">
        <v>1</v>
      </c>
      <c r="C821" s="1693">
        <v>712</v>
      </c>
      <c r="D821" s="616">
        <v>1</v>
      </c>
      <c r="E821" s="1693">
        <v>742</v>
      </c>
      <c r="F821" s="616">
        <v>1</v>
      </c>
      <c r="G821" s="1693">
        <v>813</v>
      </c>
      <c r="H821" s="616">
        <v>1</v>
      </c>
      <c r="K821" s="69"/>
      <c r="M821" s="22"/>
      <c r="O821" s="86"/>
      <c r="P821" s="85"/>
      <c r="Q821" s="68"/>
      <c r="R821" s="68"/>
      <c r="T821" s="8" t="s">
        <v>525</v>
      </c>
      <c r="W821" s="1911"/>
      <c r="X821" s="2021"/>
      <c r="Y821" s="2021"/>
      <c r="Z821" s="2021"/>
      <c r="AA821" s="2021"/>
      <c r="AB821" s="2021"/>
      <c r="AC821" s="2021"/>
      <c r="AD821" s="2021"/>
      <c r="AE821" s="2021"/>
      <c r="AF821" s="2021"/>
      <c r="AG821" s="2021"/>
      <c r="AH821" s="2021"/>
      <c r="AI821" s="2021"/>
      <c r="AJ821" s="1925">
        <v>0</v>
      </c>
      <c r="AK821" s="1926">
        <v>0</v>
      </c>
      <c r="AL821" s="1926">
        <v>0</v>
      </c>
      <c r="AM821" s="1926">
        <v>0</v>
      </c>
      <c r="AN821" s="1926">
        <v>0</v>
      </c>
      <c r="AO821" s="1926">
        <v>0</v>
      </c>
      <c r="AP821" s="1925">
        <v>0</v>
      </c>
    </row>
    <row r="822" spans="1:42" ht="14.5">
      <c r="A822" s="1693">
        <v>1</v>
      </c>
      <c r="B822" s="616">
        <v>1</v>
      </c>
      <c r="C822" s="1693">
        <v>713</v>
      </c>
      <c r="D822" s="616">
        <v>1</v>
      </c>
      <c r="E822" s="1693">
        <v>743</v>
      </c>
      <c r="F822" s="616">
        <v>1</v>
      </c>
      <c r="G822" s="1693">
        <v>814</v>
      </c>
      <c r="H822" s="616">
        <v>1</v>
      </c>
      <c r="K822" s="69"/>
      <c r="M822" s="22"/>
      <c r="O822" s="86"/>
      <c r="P822" s="85"/>
      <c r="Q822" s="68"/>
      <c r="R822" s="68"/>
      <c r="S822" s="11"/>
      <c r="T822" s="8" t="s">
        <v>526</v>
      </c>
      <c r="V822" s="11"/>
      <c r="W822" s="1911"/>
      <c r="X822" s="2153"/>
      <c r="Y822" s="2153"/>
      <c r="Z822" s="2153"/>
      <c r="AA822" s="2153"/>
      <c r="AB822" s="2153"/>
      <c r="AC822" s="2153"/>
      <c r="AD822" s="2153"/>
      <c r="AE822" s="2153"/>
      <c r="AF822" s="2153"/>
      <c r="AG822" s="2153"/>
      <c r="AH822" s="2153"/>
      <c r="AI822" s="2153"/>
      <c r="AJ822" s="1927">
        <v>0</v>
      </c>
      <c r="AK822" s="1928">
        <v>0</v>
      </c>
      <c r="AL822" s="1928">
        <v>0</v>
      </c>
      <c r="AM822" s="1928">
        <v>0</v>
      </c>
      <c r="AN822" s="1928">
        <v>0</v>
      </c>
      <c r="AO822" s="1928">
        <v>0</v>
      </c>
      <c r="AP822" s="1927">
        <v>0</v>
      </c>
    </row>
    <row r="823" spans="1:42" ht="14.5">
      <c r="A823" s="1693">
        <v>1</v>
      </c>
      <c r="B823" s="616">
        <v>713</v>
      </c>
      <c r="C823" s="1693">
        <v>1</v>
      </c>
      <c r="D823" s="616">
        <v>660</v>
      </c>
      <c r="E823" s="1693">
        <v>1</v>
      </c>
      <c r="F823" s="616">
        <v>1</v>
      </c>
      <c r="G823" s="1693">
        <v>815</v>
      </c>
      <c r="H823" s="616">
        <v>1</v>
      </c>
      <c r="K823" s="69"/>
      <c r="M823" s="22"/>
      <c r="O823" s="86"/>
      <c r="P823" s="85"/>
      <c r="Q823" s="68"/>
      <c r="R823" s="68"/>
      <c r="S823" s="3" t="s">
        <v>1060</v>
      </c>
      <c r="T823" s="284"/>
      <c r="U823" s="284"/>
      <c r="V823" s="284"/>
      <c r="W823" s="1899"/>
      <c r="X823" s="1971">
        <v>0</v>
      </c>
      <c r="Y823" s="2177">
        <v>0</v>
      </c>
      <c r="Z823" s="1971">
        <v>0</v>
      </c>
      <c r="AA823" s="1971">
        <v>0</v>
      </c>
      <c r="AB823" s="1971">
        <v>0</v>
      </c>
      <c r="AC823" s="1971">
        <v>0</v>
      </c>
      <c r="AD823" s="1971">
        <v>0</v>
      </c>
      <c r="AE823" s="1971">
        <v>0</v>
      </c>
      <c r="AF823" s="1971">
        <v>0</v>
      </c>
      <c r="AG823" s="1971">
        <v>0</v>
      </c>
      <c r="AH823" s="1971">
        <v>0</v>
      </c>
      <c r="AI823" s="1971">
        <v>0</v>
      </c>
      <c r="AJ823" s="2137">
        <v>0</v>
      </c>
      <c r="AK823" s="1971">
        <v>0</v>
      </c>
      <c r="AL823" s="1971">
        <v>0</v>
      </c>
      <c r="AM823" s="1971">
        <v>0</v>
      </c>
      <c r="AN823" s="1971">
        <v>0</v>
      </c>
      <c r="AO823" s="1971">
        <v>0</v>
      </c>
      <c r="AP823" s="2137">
        <v>0</v>
      </c>
    </row>
    <row r="824" spans="1:42" ht="14.5">
      <c r="A824" s="1693">
        <v>1</v>
      </c>
      <c r="B824" s="616">
        <v>1</v>
      </c>
      <c r="C824" s="1693">
        <v>1</v>
      </c>
      <c r="D824" s="616">
        <v>661</v>
      </c>
      <c r="E824" s="1693">
        <v>1</v>
      </c>
      <c r="F824" s="616">
        <v>1</v>
      </c>
      <c r="G824" s="1693">
        <v>816</v>
      </c>
      <c r="H824" s="616">
        <v>1</v>
      </c>
      <c r="K824" s="69"/>
      <c r="M824" s="22"/>
      <c r="O824" s="86"/>
      <c r="P824" s="85"/>
      <c r="Q824" s="68"/>
      <c r="R824" s="68"/>
      <c r="T824" s="97" t="s">
        <v>523</v>
      </c>
      <c r="U824" s="97"/>
      <c r="V824" s="97"/>
      <c r="W824" s="1911"/>
      <c r="X824" s="2140"/>
      <c r="Y824" s="2178"/>
      <c r="Z824" s="2140"/>
      <c r="AA824" s="2140"/>
      <c r="AB824" s="2140"/>
      <c r="AC824" s="2140"/>
      <c r="AD824" s="2140"/>
      <c r="AE824" s="2140"/>
      <c r="AF824" s="2140"/>
      <c r="AG824" s="2140"/>
      <c r="AH824" s="2140"/>
      <c r="AI824" s="2140"/>
      <c r="AJ824" s="2160">
        <v>0</v>
      </c>
      <c r="AK824" s="2161">
        <v>0</v>
      </c>
      <c r="AL824" s="2161">
        <v>0</v>
      </c>
      <c r="AM824" s="2161">
        <v>0</v>
      </c>
      <c r="AN824" s="2161">
        <v>0</v>
      </c>
      <c r="AO824" s="2161">
        <v>0</v>
      </c>
      <c r="AP824" s="2160">
        <v>0</v>
      </c>
    </row>
    <row r="825" spans="1:42" ht="14.5">
      <c r="A825" s="1693">
        <v>1</v>
      </c>
      <c r="B825" s="616">
        <v>1</v>
      </c>
      <c r="C825" s="1693">
        <v>1</v>
      </c>
      <c r="D825" s="616">
        <v>662</v>
      </c>
      <c r="E825" s="1693">
        <v>1</v>
      </c>
      <c r="F825" s="616">
        <v>1</v>
      </c>
      <c r="G825" s="1693">
        <v>817</v>
      </c>
      <c r="H825" s="616">
        <v>1</v>
      </c>
      <c r="K825" s="69"/>
      <c r="M825" s="22"/>
      <c r="O825" s="86"/>
      <c r="P825" s="85"/>
      <c r="Q825" s="68"/>
      <c r="R825" s="68"/>
      <c r="T825" s="8" t="s">
        <v>524</v>
      </c>
      <c r="W825" s="1911"/>
      <c r="X825" s="2021"/>
      <c r="Y825" s="2162"/>
      <c r="Z825" s="2021"/>
      <c r="AA825" s="2021"/>
      <c r="AB825" s="2021"/>
      <c r="AC825" s="2021"/>
      <c r="AD825" s="2021"/>
      <c r="AE825" s="2021"/>
      <c r="AF825" s="2021"/>
      <c r="AG825" s="2021"/>
      <c r="AH825" s="2021"/>
      <c r="AI825" s="2021"/>
      <c r="AJ825" s="1925">
        <v>0</v>
      </c>
      <c r="AK825" s="1926">
        <v>0</v>
      </c>
      <c r="AL825" s="1926">
        <v>0</v>
      </c>
      <c r="AM825" s="1926">
        <v>0</v>
      </c>
      <c r="AN825" s="1926">
        <v>0</v>
      </c>
      <c r="AO825" s="1926">
        <v>0</v>
      </c>
      <c r="AP825" s="1925">
        <v>0</v>
      </c>
    </row>
    <row r="826" spans="1:42" ht="14.5">
      <c r="A826" s="1693">
        <v>1</v>
      </c>
      <c r="B826" s="616">
        <v>1</v>
      </c>
      <c r="C826" s="1693">
        <v>1</v>
      </c>
      <c r="D826" s="616">
        <v>663</v>
      </c>
      <c r="E826" s="1693">
        <v>1</v>
      </c>
      <c r="F826" s="616">
        <v>1</v>
      </c>
      <c r="G826" s="1693">
        <v>818</v>
      </c>
      <c r="H826" s="616">
        <v>1</v>
      </c>
      <c r="K826" s="69"/>
      <c r="M826" s="22"/>
      <c r="O826" s="86"/>
      <c r="P826" s="85"/>
      <c r="Q826" s="68"/>
      <c r="R826" s="68"/>
      <c r="T826" s="8" t="s">
        <v>525</v>
      </c>
      <c r="W826" s="1911"/>
      <c r="X826" s="2021"/>
      <c r="Y826" s="2021"/>
      <c r="Z826" s="2021"/>
      <c r="AA826" s="2021"/>
      <c r="AB826" s="2021"/>
      <c r="AC826" s="2021"/>
      <c r="AD826" s="2021"/>
      <c r="AE826" s="2021"/>
      <c r="AF826" s="2021"/>
      <c r="AG826" s="2021"/>
      <c r="AH826" s="2021"/>
      <c r="AI826" s="2021"/>
      <c r="AJ826" s="1925">
        <v>0</v>
      </c>
      <c r="AK826" s="1926">
        <v>0</v>
      </c>
      <c r="AL826" s="1926">
        <v>0</v>
      </c>
      <c r="AM826" s="1926">
        <v>0</v>
      </c>
      <c r="AN826" s="1926">
        <v>0</v>
      </c>
      <c r="AO826" s="1926">
        <v>0</v>
      </c>
      <c r="AP826" s="1925">
        <v>0</v>
      </c>
    </row>
    <row r="827" spans="1:42" ht="14.5">
      <c r="A827" s="1693">
        <v>1</v>
      </c>
      <c r="B827" s="616">
        <v>1</v>
      </c>
      <c r="C827" s="1693">
        <v>1</v>
      </c>
      <c r="D827" s="616">
        <v>664</v>
      </c>
      <c r="E827" s="1693">
        <v>1</v>
      </c>
      <c r="F827" s="616">
        <v>1</v>
      </c>
      <c r="G827" s="1693">
        <v>819</v>
      </c>
      <c r="H827" s="616">
        <v>1</v>
      </c>
      <c r="K827" s="69"/>
      <c r="M827" s="22"/>
      <c r="O827" s="86"/>
      <c r="P827" s="85"/>
      <c r="Q827" s="68"/>
      <c r="R827" s="68"/>
      <c r="S827" s="11"/>
      <c r="T827" s="8" t="s">
        <v>526</v>
      </c>
      <c r="V827" s="11"/>
      <c r="W827" s="1911"/>
      <c r="X827" s="2153"/>
      <c r="Y827" s="2153"/>
      <c r="Z827" s="2153"/>
      <c r="AA827" s="2153"/>
      <c r="AB827" s="2153"/>
      <c r="AC827" s="2153"/>
      <c r="AD827" s="2153"/>
      <c r="AE827" s="2153"/>
      <c r="AF827" s="2153"/>
      <c r="AG827" s="2153"/>
      <c r="AH827" s="2153"/>
      <c r="AI827" s="2153"/>
      <c r="AJ827" s="1927">
        <v>0</v>
      </c>
      <c r="AK827" s="1928">
        <v>0</v>
      </c>
      <c r="AL827" s="1928">
        <v>0</v>
      </c>
      <c r="AM827" s="1928">
        <v>0</v>
      </c>
      <c r="AN827" s="1928">
        <v>0</v>
      </c>
      <c r="AO827" s="1928">
        <v>0</v>
      </c>
      <c r="AP827" s="1927">
        <v>0</v>
      </c>
    </row>
    <row r="828" spans="1:42" ht="14.5">
      <c r="A828" s="1693">
        <v>1</v>
      </c>
      <c r="B828" s="616">
        <v>1</v>
      </c>
      <c r="C828" s="1693">
        <v>1</v>
      </c>
      <c r="D828" s="616">
        <v>1</v>
      </c>
      <c r="E828" s="1693">
        <v>1</v>
      </c>
      <c r="F828" s="616">
        <v>1</v>
      </c>
      <c r="G828" s="1693">
        <v>820</v>
      </c>
      <c r="H828" s="616">
        <v>1</v>
      </c>
      <c r="K828" s="69"/>
      <c r="M828" s="22"/>
      <c r="O828" s="86"/>
      <c r="P828" s="85"/>
      <c r="Q828" s="68"/>
      <c r="R828" s="68"/>
      <c r="S828" s="3" t="s">
        <v>1061</v>
      </c>
      <c r="T828" s="284"/>
      <c r="U828" s="284"/>
      <c r="V828" s="284"/>
      <c r="W828" s="1899"/>
      <c r="X828" s="1971">
        <v>0</v>
      </c>
      <c r="Y828" s="2177">
        <v>0</v>
      </c>
      <c r="Z828" s="1971">
        <v>0</v>
      </c>
      <c r="AA828" s="1971">
        <v>0</v>
      </c>
      <c r="AB828" s="1971">
        <v>0</v>
      </c>
      <c r="AC828" s="1971">
        <v>0</v>
      </c>
      <c r="AD828" s="1971">
        <v>0</v>
      </c>
      <c r="AE828" s="1971">
        <v>0</v>
      </c>
      <c r="AF828" s="1971">
        <v>0</v>
      </c>
      <c r="AG828" s="1971">
        <v>0</v>
      </c>
      <c r="AH828" s="1971">
        <v>0</v>
      </c>
      <c r="AI828" s="1971">
        <v>0</v>
      </c>
      <c r="AJ828" s="2137">
        <v>0</v>
      </c>
      <c r="AK828" s="1971">
        <v>0</v>
      </c>
      <c r="AL828" s="1971">
        <v>0</v>
      </c>
      <c r="AM828" s="1971">
        <v>0</v>
      </c>
      <c r="AN828" s="1971">
        <v>0</v>
      </c>
      <c r="AO828" s="1971">
        <v>0</v>
      </c>
      <c r="AP828" s="2137">
        <v>0</v>
      </c>
    </row>
    <row r="829" spans="1:42" ht="14.5">
      <c r="A829" s="1693">
        <v>1</v>
      </c>
      <c r="B829" s="616">
        <v>1</v>
      </c>
      <c r="C829" s="1693">
        <v>1</v>
      </c>
      <c r="D829" s="616">
        <v>1</v>
      </c>
      <c r="E829" s="1693">
        <v>1</v>
      </c>
      <c r="F829" s="616">
        <v>1</v>
      </c>
      <c r="G829" s="1693">
        <v>821</v>
      </c>
      <c r="H829" s="616">
        <v>1</v>
      </c>
      <c r="K829" s="69"/>
      <c r="M829" s="22"/>
      <c r="O829" s="86"/>
      <c r="P829" s="85"/>
      <c r="Q829" s="68"/>
      <c r="R829" s="68"/>
      <c r="T829" s="97" t="s">
        <v>523</v>
      </c>
      <c r="U829" s="97"/>
      <c r="V829" s="97"/>
      <c r="W829" s="1911"/>
      <c r="X829" s="2140"/>
      <c r="Y829" s="2178"/>
      <c r="Z829" s="2140"/>
      <c r="AA829" s="2140"/>
      <c r="AB829" s="2140"/>
      <c r="AC829" s="2140"/>
      <c r="AD829" s="2140"/>
      <c r="AE829" s="2140"/>
      <c r="AF829" s="2140"/>
      <c r="AG829" s="2140"/>
      <c r="AH829" s="2140"/>
      <c r="AI829" s="2140"/>
      <c r="AJ829" s="2160">
        <v>0</v>
      </c>
      <c r="AK829" s="2161">
        <v>0</v>
      </c>
      <c r="AL829" s="2161">
        <v>0</v>
      </c>
      <c r="AM829" s="2161">
        <v>0</v>
      </c>
      <c r="AN829" s="2161">
        <v>0</v>
      </c>
      <c r="AO829" s="2161">
        <v>0</v>
      </c>
      <c r="AP829" s="2160">
        <v>0</v>
      </c>
    </row>
    <row r="830" spans="1:42" ht="14.5">
      <c r="A830" s="1693">
        <v>1</v>
      </c>
      <c r="B830" s="616">
        <v>1</v>
      </c>
      <c r="C830" s="1693">
        <v>1</v>
      </c>
      <c r="D830" s="616">
        <v>1</v>
      </c>
      <c r="E830" s="1693">
        <v>1</v>
      </c>
      <c r="F830" s="616">
        <v>1</v>
      </c>
      <c r="G830" s="1693">
        <v>822</v>
      </c>
      <c r="H830" s="616">
        <v>1</v>
      </c>
      <c r="K830" s="69"/>
      <c r="M830" s="22"/>
      <c r="O830" s="86"/>
      <c r="P830" s="85"/>
      <c r="Q830" s="68"/>
      <c r="R830" s="68"/>
      <c r="T830" s="8" t="s">
        <v>524</v>
      </c>
      <c r="W830" s="1911"/>
      <c r="X830" s="2021"/>
      <c r="Y830" s="2162"/>
      <c r="Z830" s="2021"/>
      <c r="AA830" s="2021"/>
      <c r="AB830" s="2021"/>
      <c r="AC830" s="2021"/>
      <c r="AD830" s="2021"/>
      <c r="AE830" s="2021"/>
      <c r="AF830" s="2021"/>
      <c r="AG830" s="2021"/>
      <c r="AH830" s="2021"/>
      <c r="AI830" s="2021"/>
      <c r="AJ830" s="1925">
        <v>0</v>
      </c>
      <c r="AK830" s="1926">
        <v>0</v>
      </c>
      <c r="AL830" s="1926">
        <v>0</v>
      </c>
      <c r="AM830" s="1926">
        <v>0</v>
      </c>
      <c r="AN830" s="1926">
        <v>0</v>
      </c>
      <c r="AO830" s="1926">
        <v>0</v>
      </c>
      <c r="AP830" s="1925">
        <v>0</v>
      </c>
    </row>
    <row r="831" spans="1:42" ht="14.5">
      <c r="A831" s="1693">
        <v>1</v>
      </c>
      <c r="B831" s="616">
        <v>1</v>
      </c>
      <c r="C831" s="1693">
        <v>1</v>
      </c>
      <c r="D831" s="616">
        <v>1</v>
      </c>
      <c r="E831" s="1693">
        <v>1</v>
      </c>
      <c r="F831" s="616">
        <v>1</v>
      </c>
      <c r="G831" s="1693">
        <v>823</v>
      </c>
      <c r="H831" s="616">
        <v>1</v>
      </c>
      <c r="K831" s="69"/>
      <c r="M831" s="22"/>
      <c r="O831" s="86"/>
      <c r="P831" s="85"/>
      <c r="Q831" s="68"/>
      <c r="R831" s="68"/>
      <c r="T831" s="8" t="s">
        <v>525</v>
      </c>
      <c r="W831" s="1911"/>
      <c r="X831" s="2021"/>
      <c r="Y831" s="2021"/>
      <c r="Z831" s="2021"/>
      <c r="AA831" s="2021"/>
      <c r="AB831" s="2021"/>
      <c r="AC831" s="2021"/>
      <c r="AD831" s="2021"/>
      <c r="AE831" s="2021"/>
      <c r="AF831" s="2021"/>
      <c r="AG831" s="2021"/>
      <c r="AH831" s="2021"/>
      <c r="AI831" s="2021"/>
      <c r="AJ831" s="1925">
        <v>0</v>
      </c>
      <c r="AK831" s="1926">
        <v>0</v>
      </c>
      <c r="AL831" s="1926">
        <v>0</v>
      </c>
      <c r="AM831" s="1926">
        <v>0</v>
      </c>
      <c r="AN831" s="1926">
        <v>0</v>
      </c>
      <c r="AO831" s="1926">
        <v>0</v>
      </c>
      <c r="AP831" s="1925">
        <v>0</v>
      </c>
    </row>
    <row r="832" spans="1:42" ht="14.5">
      <c r="A832" s="1693">
        <v>1</v>
      </c>
      <c r="B832" s="616">
        <v>1</v>
      </c>
      <c r="C832" s="1693">
        <v>1</v>
      </c>
      <c r="D832" s="616">
        <v>1</v>
      </c>
      <c r="E832" s="1693">
        <v>1</v>
      </c>
      <c r="F832" s="616">
        <v>1</v>
      </c>
      <c r="G832" s="1693">
        <v>824</v>
      </c>
      <c r="H832" s="616">
        <v>1</v>
      </c>
      <c r="K832" s="69"/>
      <c r="M832" s="22"/>
      <c r="O832" s="86"/>
      <c r="P832" s="85"/>
      <c r="Q832" s="67"/>
      <c r="R832" s="67"/>
      <c r="S832" s="11"/>
      <c r="T832" s="11" t="s">
        <v>526</v>
      </c>
      <c r="U832" s="11"/>
      <c r="V832" s="11"/>
      <c r="W832" s="1911"/>
      <c r="X832" s="2153"/>
      <c r="Y832" s="2153"/>
      <c r="Z832" s="2153"/>
      <c r="AA832" s="2153"/>
      <c r="AB832" s="2153"/>
      <c r="AC832" s="2153"/>
      <c r="AD832" s="2153"/>
      <c r="AE832" s="2153"/>
      <c r="AF832" s="2153"/>
      <c r="AG832" s="2153"/>
      <c r="AH832" s="2153"/>
      <c r="AI832" s="2153"/>
      <c r="AJ832" s="1927">
        <v>0</v>
      </c>
      <c r="AK832" s="1928">
        <v>0</v>
      </c>
      <c r="AL832" s="1928">
        <v>0</v>
      </c>
      <c r="AM832" s="1928">
        <v>0</v>
      </c>
      <c r="AN832" s="1928">
        <v>0</v>
      </c>
      <c r="AO832" s="1928">
        <v>0</v>
      </c>
      <c r="AP832" s="1927">
        <v>0</v>
      </c>
    </row>
    <row r="833" spans="1:42" ht="14.5">
      <c r="A833" s="1693">
        <v>1</v>
      </c>
      <c r="B833" s="616">
        <v>1</v>
      </c>
      <c r="C833" s="1695">
        <v>719</v>
      </c>
      <c r="D833" s="616">
        <v>1</v>
      </c>
      <c r="E833" s="1695">
        <v>749</v>
      </c>
      <c r="F833" s="616">
        <v>1</v>
      </c>
      <c r="G833" s="1693">
        <v>825</v>
      </c>
      <c r="H833" s="616">
        <v>1</v>
      </c>
      <c r="K833" s="69"/>
      <c r="O833" s="86"/>
      <c r="P833" s="85"/>
      <c r="Q833" s="63" t="s">
        <v>1019</v>
      </c>
      <c r="R833" s="63"/>
      <c r="S833" s="66"/>
      <c r="T833" s="66"/>
      <c r="U833" s="66"/>
      <c r="V833" s="66"/>
      <c r="W833" s="2061"/>
      <c r="X833" s="2203">
        <v>0</v>
      </c>
      <c r="Y833" s="2204">
        <v>0</v>
      </c>
      <c r="Z833" s="2203">
        <v>0</v>
      </c>
      <c r="AA833" s="2203">
        <v>0</v>
      </c>
      <c r="AB833" s="2203">
        <v>0</v>
      </c>
      <c r="AC833" s="2203">
        <v>0</v>
      </c>
      <c r="AD833" s="2203">
        <v>0</v>
      </c>
      <c r="AE833" s="2203">
        <v>0</v>
      </c>
      <c r="AF833" s="2203">
        <v>0</v>
      </c>
      <c r="AG833" s="2203">
        <v>0</v>
      </c>
      <c r="AH833" s="2203">
        <v>0</v>
      </c>
      <c r="AI833" s="2203">
        <v>0</v>
      </c>
      <c r="AJ833" s="2205">
        <v>0</v>
      </c>
      <c r="AK833" s="2203">
        <v>0</v>
      </c>
      <c r="AL833" s="2203">
        <v>0</v>
      </c>
      <c r="AM833" s="2203">
        <v>0</v>
      </c>
      <c r="AN833" s="2203">
        <v>0</v>
      </c>
      <c r="AO833" s="2203">
        <v>0</v>
      </c>
      <c r="AP833" s="2205">
        <v>0</v>
      </c>
    </row>
    <row r="834" spans="1:42" ht="14.5">
      <c r="A834" s="1693">
        <v>686</v>
      </c>
      <c r="B834" s="616">
        <v>1</v>
      </c>
      <c r="C834" s="1693">
        <v>720</v>
      </c>
      <c r="D834" s="616">
        <v>1</v>
      </c>
      <c r="E834" s="1695">
        <v>750</v>
      </c>
      <c r="F834" s="616">
        <v>1</v>
      </c>
      <c r="G834" s="1693">
        <v>826</v>
      </c>
      <c r="H834" s="616">
        <v>1</v>
      </c>
      <c r="K834" s="69"/>
      <c r="M834" s="22"/>
      <c r="O834" s="86"/>
      <c r="P834" s="85"/>
      <c r="Q834" s="63"/>
      <c r="R834" s="63"/>
      <c r="S834" s="3" t="s">
        <v>3</v>
      </c>
      <c r="W834" s="1911"/>
      <c r="X834" s="2021"/>
      <c r="Y834" s="2162"/>
      <c r="Z834" s="2021"/>
      <c r="AA834" s="2021"/>
      <c r="AB834" s="2021"/>
      <c r="AC834" s="2021"/>
      <c r="AD834" s="2021"/>
      <c r="AE834" s="2021"/>
      <c r="AF834" s="2021"/>
      <c r="AG834" s="2021"/>
      <c r="AH834" s="2021"/>
      <c r="AI834" s="2021"/>
      <c r="AJ834" s="1925">
        <v>0</v>
      </c>
      <c r="AK834" s="1926">
        <v>0</v>
      </c>
      <c r="AL834" s="1926">
        <v>0</v>
      </c>
      <c r="AM834" s="1926">
        <v>0</v>
      </c>
      <c r="AN834" s="1926">
        <v>0</v>
      </c>
      <c r="AO834" s="1926">
        <v>0</v>
      </c>
      <c r="AP834" s="1925">
        <v>0</v>
      </c>
    </row>
    <row r="835" spans="1:42" ht="14.5">
      <c r="A835" s="1693">
        <v>690</v>
      </c>
      <c r="B835" s="616">
        <v>717</v>
      </c>
      <c r="C835" s="1693">
        <v>1</v>
      </c>
      <c r="D835" s="616">
        <v>666</v>
      </c>
      <c r="E835" s="1693">
        <v>751</v>
      </c>
      <c r="F835" s="616">
        <v>1</v>
      </c>
      <c r="G835" s="1693">
        <v>827</v>
      </c>
      <c r="H835" s="616">
        <v>1</v>
      </c>
      <c r="K835" s="69"/>
      <c r="M835" s="22"/>
      <c r="O835" s="86"/>
      <c r="P835" s="85"/>
      <c r="Q835" s="63"/>
      <c r="R835" s="63"/>
      <c r="S835" s="3" t="s">
        <v>1059</v>
      </c>
      <c r="W835" s="1911"/>
      <c r="X835" s="2021"/>
      <c r="Y835" s="2162"/>
      <c r="Z835" s="2021"/>
      <c r="AA835" s="2021"/>
      <c r="AB835" s="2021"/>
      <c r="AC835" s="2021"/>
      <c r="AD835" s="2021"/>
      <c r="AE835" s="2021"/>
      <c r="AF835" s="2021"/>
      <c r="AG835" s="2021"/>
      <c r="AH835" s="2021"/>
      <c r="AI835" s="2021"/>
      <c r="AJ835" s="1925">
        <v>0</v>
      </c>
      <c r="AK835" s="1926">
        <v>0</v>
      </c>
      <c r="AL835" s="1926">
        <v>0</v>
      </c>
      <c r="AM835" s="1926">
        <v>0</v>
      </c>
      <c r="AN835" s="1926">
        <v>0</v>
      </c>
      <c r="AO835" s="1926">
        <v>0</v>
      </c>
      <c r="AP835" s="1925">
        <v>0</v>
      </c>
    </row>
    <row r="836" spans="1:42" ht="14.5">
      <c r="A836" s="1693">
        <v>687</v>
      </c>
      <c r="B836" s="616">
        <v>1</v>
      </c>
      <c r="C836" s="1693">
        <v>721</v>
      </c>
      <c r="D836" s="616">
        <v>1</v>
      </c>
      <c r="E836" s="1693">
        <v>752</v>
      </c>
      <c r="F836" s="616">
        <v>1</v>
      </c>
      <c r="G836" s="1693">
        <v>828</v>
      </c>
      <c r="H836" s="616">
        <v>1</v>
      </c>
      <c r="K836" s="69"/>
      <c r="M836" s="22"/>
      <c r="O836" s="86"/>
      <c r="P836" s="85"/>
      <c r="Q836" s="63"/>
      <c r="R836" s="63"/>
      <c r="S836" s="3" t="s">
        <v>4</v>
      </c>
      <c r="W836" s="1911"/>
      <c r="X836" s="2021">
        <v>0</v>
      </c>
      <c r="Y836" s="2162">
        <v>0</v>
      </c>
      <c r="Z836" s="2021">
        <v>0</v>
      </c>
      <c r="AA836" s="2021">
        <v>0</v>
      </c>
      <c r="AB836" s="2021">
        <v>0</v>
      </c>
      <c r="AC836" s="2021">
        <v>0</v>
      </c>
      <c r="AD836" s="2021">
        <v>0</v>
      </c>
      <c r="AE836" s="2021">
        <v>0</v>
      </c>
      <c r="AF836" s="2021">
        <v>0</v>
      </c>
      <c r="AG836" s="2021">
        <v>0</v>
      </c>
      <c r="AH836" s="2021">
        <v>0</v>
      </c>
      <c r="AI836" s="2021">
        <v>0</v>
      </c>
      <c r="AJ836" s="1925">
        <v>0</v>
      </c>
      <c r="AK836" s="1926">
        <v>0</v>
      </c>
      <c r="AL836" s="1926">
        <v>0</v>
      </c>
      <c r="AM836" s="1926">
        <v>0</v>
      </c>
      <c r="AN836" s="1926">
        <v>0</v>
      </c>
      <c r="AO836" s="1926">
        <v>0</v>
      </c>
      <c r="AP836" s="1925">
        <v>0</v>
      </c>
    </row>
    <row r="837" spans="1:42" ht="14.5">
      <c r="A837" s="1693">
        <v>688</v>
      </c>
      <c r="B837" s="616">
        <v>1</v>
      </c>
      <c r="C837" s="1693">
        <v>722</v>
      </c>
      <c r="D837" s="616">
        <v>1</v>
      </c>
      <c r="E837" s="1693">
        <v>753</v>
      </c>
      <c r="F837" s="616">
        <v>1</v>
      </c>
      <c r="G837" s="1693">
        <v>829</v>
      </c>
      <c r="H837" s="616">
        <v>1</v>
      </c>
      <c r="K837" s="69"/>
      <c r="M837" s="22"/>
      <c r="O837" s="86"/>
      <c r="P837" s="85"/>
      <c r="Q837" s="63"/>
      <c r="R837" s="63"/>
      <c r="S837" s="3" t="s">
        <v>602</v>
      </c>
      <c r="W837" s="1911"/>
      <c r="X837" s="2021"/>
      <c r="Y837" s="2162"/>
      <c r="Z837" s="2021"/>
      <c r="AA837" s="2021"/>
      <c r="AB837" s="2021"/>
      <c r="AC837" s="2021"/>
      <c r="AD837" s="2021"/>
      <c r="AE837" s="2021"/>
      <c r="AF837" s="2021"/>
      <c r="AG837" s="2021"/>
      <c r="AH837" s="2021"/>
      <c r="AI837" s="2021"/>
      <c r="AJ837" s="1925">
        <v>0</v>
      </c>
      <c r="AK837" s="1926">
        <v>0</v>
      </c>
      <c r="AL837" s="1926">
        <v>0</v>
      </c>
      <c r="AM837" s="1926">
        <v>0</v>
      </c>
      <c r="AN837" s="1926">
        <v>0</v>
      </c>
      <c r="AO837" s="1926">
        <v>0</v>
      </c>
      <c r="AP837" s="1925">
        <v>0</v>
      </c>
    </row>
    <row r="838" spans="1:42" ht="14.5">
      <c r="A838" s="1693">
        <v>1</v>
      </c>
      <c r="B838" s="616">
        <v>720</v>
      </c>
      <c r="C838" s="1693">
        <v>1</v>
      </c>
      <c r="D838" s="616">
        <v>667</v>
      </c>
      <c r="E838" s="1693">
        <v>1</v>
      </c>
      <c r="F838" s="616">
        <v>1</v>
      </c>
      <c r="G838" s="1693">
        <v>830</v>
      </c>
      <c r="H838" s="616">
        <v>1</v>
      </c>
      <c r="K838" s="69"/>
      <c r="M838" s="22"/>
      <c r="O838" s="86"/>
      <c r="P838" s="85"/>
      <c r="Q838" s="63"/>
      <c r="R838" s="63"/>
      <c r="S838" s="3" t="s">
        <v>1060</v>
      </c>
      <c r="W838" s="1911"/>
      <c r="X838" s="2021"/>
      <c r="Y838" s="2162"/>
      <c r="Z838" s="2021"/>
      <c r="AA838" s="2021"/>
      <c r="AB838" s="2021"/>
      <c r="AC838" s="2021"/>
      <c r="AD838" s="2021"/>
      <c r="AE838" s="2021"/>
      <c r="AF838" s="2021"/>
      <c r="AG838" s="2021"/>
      <c r="AH838" s="2021"/>
      <c r="AI838" s="2021"/>
      <c r="AJ838" s="1925">
        <v>0</v>
      </c>
      <c r="AK838" s="1926">
        <v>0</v>
      </c>
      <c r="AL838" s="1926">
        <v>0</v>
      </c>
      <c r="AM838" s="1926">
        <v>0</v>
      </c>
      <c r="AN838" s="1926">
        <v>0</v>
      </c>
      <c r="AO838" s="1926">
        <v>0</v>
      </c>
      <c r="AP838" s="1925">
        <v>0</v>
      </c>
    </row>
    <row r="839" spans="1:42" ht="14.5">
      <c r="A839" s="1693">
        <v>1</v>
      </c>
      <c r="B839" s="616">
        <v>1</v>
      </c>
      <c r="C839" s="1693">
        <v>1</v>
      </c>
      <c r="D839" s="616">
        <v>1</v>
      </c>
      <c r="E839" s="1693">
        <v>1</v>
      </c>
      <c r="F839" s="616">
        <v>1</v>
      </c>
      <c r="G839" s="1693">
        <v>831</v>
      </c>
      <c r="H839" s="616">
        <v>1</v>
      </c>
      <c r="K839" s="69"/>
      <c r="M839" s="22"/>
      <c r="O839" s="84"/>
      <c r="P839" s="83"/>
      <c r="Q839" s="62"/>
      <c r="R839" s="62"/>
      <c r="S839" s="1" t="s">
        <v>1061</v>
      </c>
      <c r="T839" s="211"/>
      <c r="U839" s="211"/>
      <c r="V839" s="211"/>
      <c r="W839" s="1911"/>
      <c r="X839" s="2153"/>
      <c r="Y839" s="2165"/>
      <c r="Z839" s="2153"/>
      <c r="AA839" s="2153"/>
      <c r="AB839" s="2153"/>
      <c r="AC839" s="2153"/>
      <c r="AD839" s="2153"/>
      <c r="AE839" s="2153"/>
      <c r="AF839" s="2153"/>
      <c r="AG839" s="2153"/>
      <c r="AH839" s="2153"/>
      <c r="AI839" s="2153"/>
      <c r="AJ839" s="1927">
        <v>0</v>
      </c>
      <c r="AK839" s="1928">
        <v>0</v>
      </c>
      <c r="AL839" s="1928">
        <v>0</v>
      </c>
      <c r="AM839" s="1928">
        <v>0</v>
      </c>
      <c r="AN839" s="1928">
        <v>0</v>
      </c>
      <c r="AO839" s="1928">
        <v>0</v>
      </c>
      <c r="AP839" s="1927">
        <v>0</v>
      </c>
    </row>
    <row r="840" spans="1:42" ht="14.5">
      <c r="A840" s="1695">
        <v>723</v>
      </c>
      <c r="B840" s="616">
        <v>1</v>
      </c>
      <c r="C840" s="1695">
        <v>724</v>
      </c>
      <c r="D840" s="616">
        <v>1</v>
      </c>
      <c r="E840" s="1695">
        <v>755</v>
      </c>
      <c r="F840" s="616">
        <v>1</v>
      </c>
      <c r="G840" s="1693">
        <v>832</v>
      </c>
      <c r="H840" s="616">
        <v>1</v>
      </c>
      <c r="J840" s="709" t="s">
        <v>512</v>
      </c>
      <c r="K840" s="1764" t="s">
        <v>1216</v>
      </c>
      <c r="W840" s="1772"/>
      <c r="X840" s="1125"/>
      <c r="Y840" s="1366"/>
      <c r="Z840" s="1366"/>
      <c r="AA840" s="1366"/>
      <c r="AB840" s="1366"/>
      <c r="AC840" s="1366"/>
      <c r="AD840" s="1366"/>
      <c r="AE840" s="1366"/>
      <c r="AF840" s="1366"/>
      <c r="AG840" s="1242"/>
      <c r="AH840" s="1242"/>
      <c r="AI840" s="1242"/>
      <c r="AJ840" s="1242"/>
      <c r="AK840" s="1625"/>
      <c r="AL840" s="1625"/>
      <c r="AM840" s="1625"/>
      <c r="AN840" s="1625"/>
      <c r="AO840" s="1625"/>
      <c r="AP840" s="1626"/>
    </row>
    <row r="841" spans="1:42" ht="14.5">
      <c r="A841" s="1693">
        <v>724</v>
      </c>
      <c r="B841" s="616">
        <v>1</v>
      </c>
      <c r="C841" s="1693">
        <v>725</v>
      </c>
      <c r="D841" s="616">
        <v>1</v>
      </c>
      <c r="E841" s="1693">
        <v>756</v>
      </c>
      <c r="F841" s="616">
        <v>1</v>
      </c>
      <c r="G841" s="1693">
        <v>833</v>
      </c>
      <c r="H841" s="616">
        <v>1</v>
      </c>
      <c r="J841" s="709" t="s">
        <v>512</v>
      </c>
      <c r="K841" s="1764" t="s">
        <v>1216</v>
      </c>
      <c r="L841" s="8"/>
      <c r="M841" s="22" t="s">
        <v>906</v>
      </c>
      <c r="W841" s="1772"/>
      <c r="X841" s="1125"/>
      <c r="Y841" s="1366"/>
      <c r="Z841" s="1366"/>
      <c r="AA841" s="1366"/>
      <c r="AB841" s="1366"/>
      <c r="AC841" s="1366"/>
      <c r="AD841" s="1366"/>
      <c r="AE841" s="1366"/>
      <c r="AF841" s="1366"/>
      <c r="AG841" s="1366"/>
      <c r="AH841" s="69"/>
      <c r="AI841" s="69"/>
      <c r="AJ841" s="69"/>
      <c r="AK841" s="69"/>
      <c r="AL841" s="69"/>
      <c r="AM841" s="69"/>
      <c r="AN841" s="69"/>
      <c r="AO841" s="69"/>
      <c r="AP841" s="69"/>
    </row>
    <row r="842" spans="1:42" s="69" customFormat="1" ht="14.5">
      <c r="A842" s="1693">
        <v>725</v>
      </c>
      <c r="B842" s="616">
        <v>1</v>
      </c>
      <c r="C842" s="1693">
        <v>726</v>
      </c>
      <c r="D842" s="616">
        <v>1</v>
      </c>
      <c r="E842" s="1693">
        <v>757</v>
      </c>
      <c r="F842" s="616">
        <v>1</v>
      </c>
      <c r="G842" s="1693">
        <v>834</v>
      </c>
      <c r="H842" s="616">
        <v>1</v>
      </c>
      <c r="I842" s="616"/>
      <c r="J842" s="709" t="s">
        <v>512</v>
      </c>
      <c r="K842" s="1764" t="s">
        <v>1216</v>
      </c>
      <c r="L842" s="8"/>
      <c r="M842" s="8"/>
      <c r="N842" s="22"/>
      <c r="O842" s="2206" t="s">
        <v>31</v>
      </c>
      <c r="P842" s="2207"/>
      <c r="Q842" s="2208"/>
      <c r="R842" s="2208"/>
      <c r="S842" s="2208"/>
      <c r="T842" s="2208"/>
      <c r="U842" s="2208"/>
      <c r="V842" s="2208"/>
      <c r="W842" s="1851"/>
      <c r="X842" s="2209">
        <v>28046.333333333332</v>
      </c>
      <c r="Y842" s="2209">
        <v>28046.333333333332</v>
      </c>
      <c r="Z842" s="2209">
        <v>28046.333333333332</v>
      </c>
      <c r="AA842" s="2209">
        <v>28835.300000000003</v>
      </c>
      <c r="AB842" s="2209">
        <v>28835.300000000003</v>
      </c>
      <c r="AC842" s="2209">
        <v>28835.300000000003</v>
      </c>
      <c r="AD842" s="2209">
        <v>28104.480000000003</v>
      </c>
      <c r="AE842" s="2209">
        <v>28104.480000000003</v>
      </c>
      <c r="AF842" s="2209">
        <v>28104.480000000003</v>
      </c>
      <c r="AG842" s="2209">
        <v>28484.304</v>
      </c>
      <c r="AH842" s="2209">
        <v>28484.304</v>
      </c>
      <c r="AI842" s="2209">
        <v>28484.304</v>
      </c>
      <c r="AJ842" s="2210">
        <v>84139</v>
      </c>
      <c r="AK842" s="2209">
        <v>86505.900000000009</v>
      </c>
      <c r="AL842" s="2209">
        <v>84313.44</v>
      </c>
      <c r="AM842" s="2209">
        <v>85452.912000000011</v>
      </c>
      <c r="AN842" s="2209">
        <v>170644.90000000002</v>
      </c>
      <c r="AO842" s="2209">
        <v>169766.35200000001</v>
      </c>
      <c r="AP842" s="2209">
        <v>340411.25200000004</v>
      </c>
    </row>
    <row r="843" spans="1:42" ht="14.5">
      <c r="A843" s="1693">
        <v>726</v>
      </c>
      <c r="B843" s="616">
        <v>1</v>
      </c>
      <c r="C843" s="1693">
        <v>727</v>
      </c>
      <c r="D843" s="616">
        <v>1</v>
      </c>
      <c r="E843" s="1693">
        <v>758</v>
      </c>
      <c r="F843" s="616">
        <v>1</v>
      </c>
      <c r="G843" s="1693">
        <v>835</v>
      </c>
      <c r="H843" s="616">
        <v>1</v>
      </c>
      <c r="J843" s="709" t="s">
        <v>512</v>
      </c>
      <c r="K843" s="1764" t="s">
        <v>1216</v>
      </c>
      <c r="L843" s="8"/>
      <c r="M843" s="8"/>
      <c r="O843" s="1235"/>
      <c r="P843" s="8" t="s">
        <v>595</v>
      </c>
      <c r="Q843" s="8"/>
      <c r="R843" s="8"/>
      <c r="W843" s="1899"/>
      <c r="X843" s="579">
        <v>19018.466666666667</v>
      </c>
      <c r="Y843" s="579">
        <v>19018.466666666667</v>
      </c>
      <c r="Z843" s="579">
        <v>19018.466666666667</v>
      </c>
      <c r="AA843" s="579">
        <v>19850.666666666672</v>
      </c>
      <c r="AB843" s="579">
        <v>19850.666666666672</v>
      </c>
      <c r="AC843" s="579">
        <v>19850.666666666672</v>
      </c>
      <c r="AD843" s="579">
        <v>19117.333333333336</v>
      </c>
      <c r="AE843" s="579">
        <v>19117.333333333336</v>
      </c>
      <c r="AF843" s="579">
        <v>19117.333333333336</v>
      </c>
      <c r="AG843" s="579">
        <v>19225.133333333335</v>
      </c>
      <c r="AH843" s="579">
        <v>19225.133333333335</v>
      </c>
      <c r="AI843" s="579">
        <v>19225.133333333335</v>
      </c>
      <c r="AJ843" s="1995">
        <v>57055.4</v>
      </c>
      <c r="AK843" s="1969">
        <v>59552.000000000015</v>
      </c>
      <c r="AL843" s="1969">
        <v>57352.000000000007</v>
      </c>
      <c r="AM843" s="1969">
        <v>57675.400000000009</v>
      </c>
      <c r="AN843" s="1969">
        <v>116607.40000000002</v>
      </c>
      <c r="AO843" s="1969">
        <v>115027.40000000002</v>
      </c>
      <c r="AP843" s="1969">
        <v>231634.80000000005</v>
      </c>
    </row>
    <row r="844" spans="1:42" ht="14.5">
      <c r="A844" s="1693">
        <v>727</v>
      </c>
      <c r="B844" s="616">
        <v>1</v>
      </c>
      <c r="C844" s="1693">
        <v>728</v>
      </c>
      <c r="D844" s="616">
        <v>1</v>
      </c>
      <c r="E844" s="1693">
        <v>759</v>
      </c>
      <c r="F844" s="616">
        <v>1</v>
      </c>
      <c r="G844" s="1693">
        <v>836</v>
      </c>
      <c r="H844" s="616">
        <v>1</v>
      </c>
      <c r="J844" s="709" t="s">
        <v>512</v>
      </c>
      <c r="K844" s="69"/>
      <c r="L844" s="8"/>
      <c r="M844" s="8"/>
      <c r="O844" s="1235"/>
      <c r="P844" s="8" t="s">
        <v>596</v>
      </c>
      <c r="Q844" s="8"/>
      <c r="R844" s="8"/>
      <c r="W844" s="1899"/>
      <c r="X844" s="579">
        <v>3253.3333333333335</v>
      </c>
      <c r="Y844" s="579">
        <v>3253.3333333333335</v>
      </c>
      <c r="Z844" s="579">
        <v>3253.3333333333335</v>
      </c>
      <c r="AA844" s="579">
        <v>3263.3333333333335</v>
      </c>
      <c r="AB844" s="579">
        <v>3263.3333333333335</v>
      </c>
      <c r="AC844" s="579">
        <v>3263.3333333333335</v>
      </c>
      <c r="AD844" s="579">
        <v>3263.3333333333335</v>
      </c>
      <c r="AE844" s="579">
        <v>3263.3333333333335</v>
      </c>
      <c r="AF844" s="579">
        <v>3263.3333333333335</v>
      </c>
      <c r="AG844" s="579">
        <v>3263.3333333333335</v>
      </c>
      <c r="AH844" s="579">
        <v>3263.3333333333335</v>
      </c>
      <c r="AI844" s="579">
        <v>3263.3333333333335</v>
      </c>
      <c r="AJ844" s="1995">
        <v>9760</v>
      </c>
      <c r="AK844" s="1969">
        <v>9790</v>
      </c>
      <c r="AL844" s="1969">
        <v>9790</v>
      </c>
      <c r="AM844" s="1969">
        <v>9790</v>
      </c>
      <c r="AN844" s="1969">
        <v>19550</v>
      </c>
      <c r="AO844" s="1969">
        <v>19580</v>
      </c>
      <c r="AP844" s="1969">
        <v>39130</v>
      </c>
    </row>
    <row r="845" spans="1:42" ht="14.5">
      <c r="A845" s="1693">
        <v>728</v>
      </c>
      <c r="B845" s="616">
        <v>1</v>
      </c>
      <c r="C845" s="1693">
        <v>729</v>
      </c>
      <c r="D845" s="616">
        <v>1</v>
      </c>
      <c r="E845" s="1693">
        <v>760</v>
      </c>
      <c r="F845" s="616">
        <v>1</v>
      </c>
      <c r="G845" s="1693">
        <v>837</v>
      </c>
      <c r="H845" s="616">
        <v>1</v>
      </c>
      <c r="J845" s="709" t="s">
        <v>512</v>
      </c>
      <c r="K845" s="1764" t="s">
        <v>1216</v>
      </c>
      <c r="L845" s="8"/>
      <c r="M845" s="8"/>
      <c r="O845" s="172"/>
      <c r="P845" s="8" t="s">
        <v>597</v>
      </c>
      <c r="W845" s="1851"/>
      <c r="X845" s="579">
        <v>5774.5333333333338</v>
      </c>
      <c r="Y845" s="579">
        <v>5774.5333333333338</v>
      </c>
      <c r="Z845" s="579">
        <v>5774.5333333333338</v>
      </c>
      <c r="AA845" s="579">
        <v>5721.2999999999993</v>
      </c>
      <c r="AB845" s="579">
        <v>5721.2999999999993</v>
      </c>
      <c r="AC845" s="579">
        <v>5721.2999999999993</v>
      </c>
      <c r="AD845" s="579">
        <v>5723.8133333333335</v>
      </c>
      <c r="AE845" s="579">
        <v>5723.8133333333335</v>
      </c>
      <c r="AF845" s="579">
        <v>5723.8133333333335</v>
      </c>
      <c r="AG845" s="579">
        <v>5995.8373333333338</v>
      </c>
      <c r="AH845" s="579">
        <v>5995.8373333333338</v>
      </c>
      <c r="AI845" s="579">
        <v>5995.8373333333338</v>
      </c>
      <c r="AJ845" s="1947">
        <v>17323.600000000002</v>
      </c>
      <c r="AK845" s="1948">
        <v>17163.899999999998</v>
      </c>
      <c r="AL845" s="1948">
        <v>17171.440000000002</v>
      </c>
      <c r="AM845" s="1948">
        <v>17987.512000000002</v>
      </c>
      <c r="AN845" s="1948">
        <v>34487.5</v>
      </c>
      <c r="AO845" s="1948">
        <v>35158.952000000005</v>
      </c>
      <c r="AP845" s="1948">
        <v>69646.452000000005</v>
      </c>
    </row>
    <row r="846" spans="1:42" ht="14.5">
      <c r="A846" s="1693">
        <v>729</v>
      </c>
      <c r="B846" s="616">
        <v>1</v>
      </c>
      <c r="C846" s="1693">
        <v>730</v>
      </c>
      <c r="D846" s="616">
        <v>1</v>
      </c>
      <c r="E846" s="1693">
        <v>761</v>
      </c>
      <c r="F846" s="616">
        <v>1</v>
      </c>
      <c r="G846" s="1693">
        <v>838</v>
      </c>
      <c r="H846" s="616">
        <v>1</v>
      </c>
      <c r="J846" s="709" t="s">
        <v>512</v>
      </c>
      <c r="K846" s="69"/>
      <c r="L846" s="8"/>
      <c r="M846" s="8"/>
      <c r="O846" s="171"/>
      <c r="P846" s="11" t="s">
        <v>598</v>
      </c>
      <c r="Q846" s="16"/>
      <c r="R846" s="16"/>
      <c r="S846" s="11"/>
      <c r="T846" s="11"/>
      <c r="U846" s="11"/>
      <c r="V846" s="11"/>
      <c r="W846" s="1851"/>
      <c r="X846" s="584">
        <v>0</v>
      </c>
      <c r="Y846" s="584">
        <v>0</v>
      </c>
      <c r="Z846" s="584">
        <v>0</v>
      </c>
      <c r="AA846" s="584">
        <v>0</v>
      </c>
      <c r="AB846" s="584">
        <v>0</v>
      </c>
      <c r="AC846" s="584">
        <v>0</v>
      </c>
      <c r="AD846" s="584">
        <v>0</v>
      </c>
      <c r="AE846" s="584">
        <v>0</v>
      </c>
      <c r="AF846" s="584">
        <v>0</v>
      </c>
      <c r="AG846" s="584">
        <v>0</v>
      </c>
      <c r="AH846" s="584">
        <v>0</v>
      </c>
      <c r="AI846" s="584">
        <v>0</v>
      </c>
      <c r="AJ846" s="1949">
        <v>0</v>
      </c>
      <c r="AK846" s="1950">
        <v>0</v>
      </c>
      <c r="AL846" s="1950">
        <v>0</v>
      </c>
      <c r="AM846" s="1950">
        <v>0</v>
      </c>
      <c r="AN846" s="1950">
        <v>0</v>
      </c>
      <c r="AO846" s="1950">
        <v>0</v>
      </c>
      <c r="AP846" s="1950">
        <v>0</v>
      </c>
    </row>
    <row r="847" spans="1:42" s="69" customFormat="1" ht="14.5">
      <c r="A847" s="1693">
        <v>730</v>
      </c>
      <c r="B847" s="616">
        <v>1</v>
      </c>
      <c r="C847" s="1693">
        <v>731</v>
      </c>
      <c r="D847" s="616">
        <v>1</v>
      </c>
      <c r="E847" s="1693">
        <v>762</v>
      </c>
      <c r="F847" s="616">
        <v>1</v>
      </c>
      <c r="G847" s="1693">
        <v>839</v>
      </c>
      <c r="H847" s="616">
        <v>1</v>
      </c>
      <c r="I847" s="616"/>
      <c r="J847" s="709" t="s">
        <v>512</v>
      </c>
      <c r="K847" s="1764" t="s">
        <v>1216</v>
      </c>
      <c r="L847" s="12"/>
      <c r="M847" s="8"/>
      <c r="N847" s="22"/>
      <c r="O847" s="2211" t="s">
        <v>1107</v>
      </c>
      <c r="P847" s="2212"/>
      <c r="Q847" s="1046"/>
      <c r="R847" s="1046"/>
      <c r="S847" s="1046"/>
      <c r="T847" s="1046"/>
      <c r="U847" s="1046"/>
      <c r="V847" s="1046"/>
      <c r="W847" s="2213"/>
      <c r="X847" s="2214">
        <v>9023.0000000000018</v>
      </c>
      <c r="Y847" s="2214">
        <v>9023.0000000000018</v>
      </c>
      <c r="Z847" s="2214">
        <v>9023.0000000000018</v>
      </c>
      <c r="AA847" s="2214">
        <v>8861.9666666666672</v>
      </c>
      <c r="AB847" s="2214">
        <v>8861.9666666666672</v>
      </c>
      <c r="AC847" s="2214">
        <v>8861.9666666666672</v>
      </c>
      <c r="AD847" s="2214">
        <v>8864.48</v>
      </c>
      <c r="AE847" s="2214">
        <v>8864.48</v>
      </c>
      <c r="AF847" s="2214">
        <v>8864.48</v>
      </c>
      <c r="AG847" s="2214">
        <v>9244.3040000000019</v>
      </c>
      <c r="AH847" s="2214">
        <v>9244.3040000000019</v>
      </c>
      <c r="AI847" s="2214">
        <v>9244.3040000000019</v>
      </c>
      <c r="AJ847" s="2215">
        <v>27069.000000000004</v>
      </c>
      <c r="AK847" s="2214">
        <v>26585.899999999998</v>
      </c>
      <c r="AL847" s="2214">
        <v>26593.440000000002</v>
      </c>
      <c r="AM847" s="2214">
        <v>27732.912000000004</v>
      </c>
      <c r="AN847" s="2214">
        <v>53654.9</v>
      </c>
      <c r="AO847" s="2214">
        <v>54326.352000000006</v>
      </c>
      <c r="AP847" s="2214">
        <v>107981.25200000001</v>
      </c>
    </row>
    <row r="848" spans="1:42" ht="14.5">
      <c r="A848" s="1693">
        <v>731</v>
      </c>
      <c r="B848" s="616">
        <v>1</v>
      </c>
      <c r="C848" s="1693">
        <v>732</v>
      </c>
      <c r="D848" s="616">
        <v>1</v>
      </c>
      <c r="E848" s="1693">
        <v>763</v>
      </c>
      <c r="F848" s="616">
        <v>1</v>
      </c>
      <c r="G848" s="1693">
        <v>840</v>
      </c>
      <c r="H848" s="616">
        <v>1</v>
      </c>
      <c r="J848" s="709" t="s">
        <v>512</v>
      </c>
      <c r="K848" s="1764" t="s">
        <v>1216</v>
      </c>
      <c r="L848" s="12"/>
      <c r="M848" s="8"/>
      <c r="O848" s="223"/>
      <c r="P848" s="8" t="s">
        <v>595</v>
      </c>
      <c r="Q848" s="8"/>
      <c r="R848" s="8"/>
      <c r="W848" s="1899"/>
      <c r="X848" s="579">
        <v>3131.8000000000006</v>
      </c>
      <c r="Y848" s="579">
        <v>3131.8000000000006</v>
      </c>
      <c r="Z848" s="579">
        <v>3131.8000000000006</v>
      </c>
      <c r="AA848" s="579">
        <v>3024</v>
      </c>
      <c r="AB848" s="579">
        <v>3024</v>
      </c>
      <c r="AC848" s="579">
        <v>3024</v>
      </c>
      <c r="AD848" s="579">
        <v>3024</v>
      </c>
      <c r="AE848" s="579">
        <v>3024</v>
      </c>
      <c r="AF848" s="579">
        <v>3024</v>
      </c>
      <c r="AG848" s="579">
        <v>3131.8000000000006</v>
      </c>
      <c r="AH848" s="579">
        <v>3131.8000000000006</v>
      </c>
      <c r="AI848" s="579">
        <v>3131.8000000000006</v>
      </c>
      <c r="AJ848" s="1995">
        <v>9395.4000000000015</v>
      </c>
      <c r="AK848" s="1969">
        <v>9072</v>
      </c>
      <c r="AL848" s="1969">
        <v>9072</v>
      </c>
      <c r="AM848" s="1969">
        <v>9395.4000000000015</v>
      </c>
      <c r="AN848" s="1969">
        <v>18467.400000000001</v>
      </c>
      <c r="AO848" s="1969">
        <v>18467.400000000001</v>
      </c>
      <c r="AP848" s="1969">
        <v>36934.800000000003</v>
      </c>
    </row>
    <row r="849" spans="1:42" ht="14.5">
      <c r="A849" s="1693">
        <v>732</v>
      </c>
      <c r="B849" s="616">
        <v>1</v>
      </c>
      <c r="C849" s="1693">
        <v>733</v>
      </c>
      <c r="D849" s="616">
        <v>1</v>
      </c>
      <c r="E849" s="1693">
        <v>764</v>
      </c>
      <c r="F849" s="616">
        <v>1</v>
      </c>
      <c r="G849" s="1693">
        <v>841</v>
      </c>
      <c r="H849" s="616">
        <v>1</v>
      </c>
      <c r="J849" s="709" t="s">
        <v>512</v>
      </c>
      <c r="K849" s="69"/>
      <c r="L849" s="12"/>
      <c r="M849" s="8"/>
      <c r="O849" s="223"/>
      <c r="P849" s="8" t="s">
        <v>596</v>
      </c>
      <c r="Q849" s="8"/>
      <c r="R849" s="8"/>
      <c r="W849" s="1899"/>
      <c r="X849" s="579">
        <v>400</v>
      </c>
      <c r="Y849" s="579">
        <v>400</v>
      </c>
      <c r="Z849" s="579">
        <v>400</v>
      </c>
      <c r="AA849" s="579">
        <v>400</v>
      </c>
      <c r="AB849" s="579">
        <v>400</v>
      </c>
      <c r="AC849" s="579">
        <v>400</v>
      </c>
      <c r="AD849" s="579">
        <v>400</v>
      </c>
      <c r="AE849" s="579">
        <v>400</v>
      </c>
      <c r="AF849" s="579">
        <v>400</v>
      </c>
      <c r="AG849" s="579">
        <v>400</v>
      </c>
      <c r="AH849" s="579">
        <v>400</v>
      </c>
      <c r="AI849" s="579">
        <v>400</v>
      </c>
      <c r="AJ849" s="1995">
        <v>1200</v>
      </c>
      <c r="AK849" s="1969">
        <v>1200</v>
      </c>
      <c r="AL849" s="1969">
        <v>1200</v>
      </c>
      <c r="AM849" s="1969">
        <v>1200</v>
      </c>
      <c r="AN849" s="1969">
        <v>2400</v>
      </c>
      <c r="AO849" s="1969">
        <v>2400</v>
      </c>
      <c r="AP849" s="1969">
        <v>4800</v>
      </c>
    </row>
    <row r="850" spans="1:42" ht="14.5">
      <c r="A850" s="1693">
        <v>733</v>
      </c>
      <c r="B850" s="616">
        <v>1</v>
      </c>
      <c r="C850" s="1693">
        <v>734</v>
      </c>
      <c r="D850" s="616">
        <v>1</v>
      </c>
      <c r="E850" s="1693">
        <v>765</v>
      </c>
      <c r="F850" s="616">
        <v>1</v>
      </c>
      <c r="G850" s="1693">
        <v>842</v>
      </c>
      <c r="H850" s="616">
        <v>1</v>
      </c>
      <c r="J850" s="709" t="s">
        <v>512</v>
      </c>
      <c r="K850" s="1764" t="s">
        <v>1216</v>
      </c>
      <c r="L850" s="12"/>
      <c r="M850" s="8"/>
      <c r="O850" s="223"/>
      <c r="P850" s="8" t="s">
        <v>597</v>
      </c>
      <c r="W850" s="1851"/>
      <c r="X850" s="579">
        <v>5491.2000000000007</v>
      </c>
      <c r="Y850" s="579">
        <v>5491.2000000000007</v>
      </c>
      <c r="Z850" s="579">
        <v>5491.2000000000007</v>
      </c>
      <c r="AA850" s="579">
        <v>5437.9666666666662</v>
      </c>
      <c r="AB850" s="579">
        <v>5437.9666666666662</v>
      </c>
      <c r="AC850" s="579">
        <v>5437.9666666666662</v>
      </c>
      <c r="AD850" s="579">
        <v>5440.4800000000005</v>
      </c>
      <c r="AE850" s="579">
        <v>5440.4800000000005</v>
      </c>
      <c r="AF850" s="579">
        <v>5440.4800000000005</v>
      </c>
      <c r="AG850" s="579">
        <v>5712.5040000000008</v>
      </c>
      <c r="AH850" s="579">
        <v>5712.5040000000008</v>
      </c>
      <c r="AI850" s="579">
        <v>5712.5040000000008</v>
      </c>
      <c r="AJ850" s="1947">
        <v>16473.600000000002</v>
      </c>
      <c r="AK850" s="1948">
        <v>16313.899999999998</v>
      </c>
      <c r="AL850" s="1948">
        <v>16321.440000000002</v>
      </c>
      <c r="AM850" s="1948">
        <v>17137.512000000002</v>
      </c>
      <c r="AN850" s="1948">
        <v>32787.5</v>
      </c>
      <c r="AO850" s="1948">
        <v>33458.952000000005</v>
      </c>
      <c r="AP850" s="1948">
        <v>66246.452000000005</v>
      </c>
    </row>
    <row r="851" spans="1:42" ht="14.5">
      <c r="A851" s="1693">
        <v>734</v>
      </c>
      <c r="B851" s="616">
        <v>1</v>
      </c>
      <c r="C851" s="1693">
        <v>735</v>
      </c>
      <c r="D851" s="616">
        <v>1</v>
      </c>
      <c r="E851" s="1693">
        <v>766</v>
      </c>
      <c r="F851" s="616">
        <v>1</v>
      </c>
      <c r="G851" s="1693">
        <v>843</v>
      </c>
      <c r="H851" s="616">
        <v>1</v>
      </c>
      <c r="J851" s="709" t="s">
        <v>512</v>
      </c>
      <c r="K851" s="69"/>
      <c r="L851" s="12"/>
      <c r="M851" s="8"/>
      <c r="O851" s="223"/>
      <c r="P851" s="285" t="s">
        <v>598</v>
      </c>
      <c r="Q851" s="1034"/>
      <c r="R851" s="1034"/>
      <c r="S851" s="285"/>
      <c r="T851" s="285"/>
      <c r="U851" s="285"/>
      <c r="V851" s="285"/>
      <c r="W851" s="1851"/>
      <c r="X851" s="1971">
        <v>0</v>
      </c>
      <c r="Y851" s="1971">
        <v>0</v>
      </c>
      <c r="Z851" s="1971">
        <v>0</v>
      </c>
      <c r="AA851" s="1971">
        <v>0</v>
      </c>
      <c r="AB851" s="1971">
        <v>0</v>
      </c>
      <c r="AC851" s="1971">
        <v>0</v>
      </c>
      <c r="AD851" s="1971">
        <v>0</v>
      </c>
      <c r="AE851" s="1971">
        <v>0</v>
      </c>
      <c r="AF851" s="1971">
        <v>0</v>
      </c>
      <c r="AG851" s="1971">
        <v>0</v>
      </c>
      <c r="AH851" s="1971">
        <v>0</v>
      </c>
      <c r="AI851" s="1971">
        <v>0</v>
      </c>
      <c r="AJ851" s="2216">
        <v>0</v>
      </c>
      <c r="AK851" s="1973">
        <v>0</v>
      </c>
      <c r="AL851" s="1973">
        <v>0</v>
      </c>
      <c r="AM851" s="1973">
        <v>0</v>
      </c>
      <c r="AN851" s="1973">
        <v>0</v>
      </c>
      <c r="AO851" s="1973">
        <v>0</v>
      </c>
      <c r="AP851" s="1973">
        <v>0</v>
      </c>
    </row>
    <row r="852" spans="1:42" s="69" customFormat="1" ht="14.5">
      <c r="A852" s="1693">
        <v>730</v>
      </c>
      <c r="B852" s="616">
        <v>1</v>
      </c>
      <c r="C852" s="1693">
        <v>731</v>
      </c>
      <c r="D852" s="616">
        <v>1</v>
      </c>
      <c r="E852" s="1693">
        <v>762</v>
      </c>
      <c r="F852" s="616">
        <v>1</v>
      </c>
      <c r="G852" s="1693">
        <v>844</v>
      </c>
      <c r="H852" s="616">
        <v>1</v>
      </c>
      <c r="I852" s="616"/>
      <c r="J852" s="709" t="s">
        <v>512</v>
      </c>
      <c r="K852" s="1764" t="s">
        <v>1216</v>
      </c>
      <c r="L852" s="8"/>
      <c r="M852" s="8"/>
      <c r="N852" s="22"/>
      <c r="O852" s="223"/>
      <c r="P852" s="1036" t="s">
        <v>1108</v>
      </c>
      <c r="Q852" s="1037"/>
      <c r="R852" s="1037"/>
      <c r="S852" s="1037"/>
      <c r="T852" s="1037"/>
      <c r="U852" s="1037"/>
      <c r="V852" s="1038"/>
      <c r="W852" s="2150"/>
      <c r="X852" s="2217">
        <v>9023.0000000000018</v>
      </c>
      <c r="Y852" s="2217">
        <v>9023.0000000000018</v>
      </c>
      <c r="Z852" s="2217">
        <v>9023.0000000000018</v>
      </c>
      <c r="AA852" s="2217">
        <v>8861.9666666666672</v>
      </c>
      <c r="AB852" s="2217">
        <v>8861.9666666666672</v>
      </c>
      <c r="AC852" s="2217">
        <v>8861.9666666666672</v>
      </c>
      <c r="AD852" s="2217">
        <v>8864.48</v>
      </c>
      <c r="AE852" s="2217">
        <v>8864.48</v>
      </c>
      <c r="AF852" s="2217">
        <v>8864.48</v>
      </c>
      <c r="AG852" s="2217">
        <v>9244.3040000000019</v>
      </c>
      <c r="AH852" s="2217">
        <v>9244.3040000000019</v>
      </c>
      <c r="AI852" s="2217">
        <v>9244.3040000000019</v>
      </c>
      <c r="AJ852" s="2218">
        <v>27069.000000000004</v>
      </c>
      <c r="AK852" s="2217">
        <v>26585.899999999998</v>
      </c>
      <c r="AL852" s="2217">
        <v>26593.440000000002</v>
      </c>
      <c r="AM852" s="2217">
        <v>27732.912000000004</v>
      </c>
      <c r="AN852" s="2217">
        <v>53654.9</v>
      </c>
      <c r="AO852" s="2217">
        <v>54326.352000000006</v>
      </c>
      <c r="AP852" s="2217">
        <v>107981.25200000001</v>
      </c>
    </row>
    <row r="853" spans="1:42" ht="14.5">
      <c r="A853" s="1693">
        <v>731</v>
      </c>
      <c r="B853" s="616">
        <v>1</v>
      </c>
      <c r="C853" s="1693">
        <v>732</v>
      </c>
      <c r="D853" s="616">
        <v>1</v>
      </c>
      <c r="E853" s="1693">
        <v>763</v>
      </c>
      <c r="F853" s="616">
        <v>1</v>
      </c>
      <c r="G853" s="1693">
        <v>845</v>
      </c>
      <c r="H853" s="616">
        <v>1</v>
      </c>
      <c r="J853" s="709" t="s">
        <v>512</v>
      </c>
      <c r="K853" s="1764" t="s">
        <v>1216</v>
      </c>
      <c r="L853" s="8"/>
      <c r="M853" s="8"/>
      <c r="O853" s="223"/>
      <c r="P853" s="1039"/>
      <c r="Q853" s="8" t="s">
        <v>595</v>
      </c>
      <c r="R853" s="8"/>
      <c r="V853" s="1219"/>
      <c r="W853" s="1899"/>
      <c r="X853" s="579">
        <v>3131.8000000000006</v>
      </c>
      <c r="Y853" s="579">
        <v>3131.8000000000006</v>
      </c>
      <c r="Z853" s="579">
        <v>3131.8000000000006</v>
      </c>
      <c r="AA853" s="579">
        <v>3024</v>
      </c>
      <c r="AB853" s="579">
        <v>3024</v>
      </c>
      <c r="AC853" s="579">
        <v>3024</v>
      </c>
      <c r="AD853" s="579">
        <v>3024</v>
      </c>
      <c r="AE853" s="579">
        <v>3024</v>
      </c>
      <c r="AF853" s="579">
        <v>3024</v>
      </c>
      <c r="AG853" s="579">
        <v>3131.8000000000006</v>
      </c>
      <c r="AH853" s="579">
        <v>3131.8000000000006</v>
      </c>
      <c r="AI853" s="579">
        <v>3131.8000000000006</v>
      </c>
      <c r="AJ853" s="1995">
        <v>9395.4000000000015</v>
      </c>
      <c r="AK853" s="1969">
        <v>9072</v>
      </c>
      <c r="AL853" s="1969">
        <v>9072</v>
      </c>
      <c r="AM853" s="1969">
        <v>9395.4000000000015</v>
      </c>
      <c r="AN853" s="1969">
        <v>18467.400000000001</v>
      </c>
      <c r="AO853" s="1969">
        <v>18467.400000000001</v>
      </c>
      <c r="AP853" s="1969">
        <v>36934.800000000003</v>
      </c>
    </row>
    <row r="854" spans="1:42" ht="14.5">
      <c r="A854" s="1693">
        <v>732</v>
      </c>
      <c r="B854" s="616">
        <v>1</v>
      </c>
      <c r="C854" s="1693">
        <v>733</v>
      </c>
      <c r="D854" s="616">
        <v>1</v>
      </c>
      <c r="E854" s="1693">
        <v>764</v>
      </c>
      <c r="F854" s="616">
        <v>1</v>
      </c>
      <c r="G854" s="1693">
        <v>846</v>
      </c>
      <c r="H854" s="616">
        <v>1</v>
      </c>
      <c r="J854" s="709" t="s">
        <v>512</v>
      </c>
      <c r="K854" s="69"/>
      <c r="L854" s="8"/>
      <c r="M854" s="8"/>
      <c r="O854" s="223"/>
      <c r="P854" s="1039"/>
      <c r="Q854" s="8" t="s">
        <v>596</v>
      </c>
      <c r="R854" s="8"/>
      <c r="V854" s="1219"/>
      <c r="W854" s="1899"/>
      <c r="X854" s="579">
        <v>400</v>
      </c>
      <c r="Y854" s="579">
        <v>400</v>
      </c>
      <c r="Z854" s="579">
        <v>400</v>
      </c>
      <c r="AA854" s="579">
        <v>400</v>
      </c>
      <c r="AB854" s="579">
        <v>400</v>
      </c>
      <c r="AC854" s="579">
        <v>400</v>
      </c>
      <c r="AD854" s="579">
        <v>400</v>
      </c>
      <c r="AE854" s="579">
        <v>400</v>
      </c>
      <c r="AF854" s="579">
        <v>400</v>
      </c>
      <c r="AG854" s="579">
        <v>400</v>
      </c>
      <c r="AH854" s="579">
        <v>400</v>
      </c>
      <c r="AI854" s="579">
        <v>400</v>
      </c>
      <c r="AJ854" s="1995">
        <v>1200</v>
      </c>
      <c r="AK854" s="1969">
        <v>1200</v>
      </c>
      <c r="AL854" s="1969">
        <v>1200</v>
      </c>
      <c r="AM854" s="1969">
        <v>1200</v>
      </c>
      <c r="AN854" s="1969">
        <v>2400</v>
      </c>
      <c r="AO854" s="1969">
        <v>2400</v>
      </c>
      <c r="AP854" s="1969">
        <v>4800</v>
      </c>
    </row>
    <row r="855" spans="1:42" ht="14.5">
      <c r="A855" s="1693">
        <v>733</v>
      </c>
      <c r="B855" s="616">
        <v>1</v>
      </c>
      <c r="C855" s="1693">
        <v>734</v>
      </c>
      <c r="D855" s="616">
        <v>1</v>
      </c>
      <c r="E855" s="1693">
        <v>765</v>
      </c>
      <c r="F855" s="616">
        <v>1</v>
      </c>
      <c r="G855" s="1693">
        <v>847</v>
      </c>
      <c r="H855" s="616">
        <v>1</v>
      </c>
      <c r="J855" s="709" t="s">
        <v>512</v>
      </c>
      <c r="K855" s="1764" t="s">
        <v>1216</v>
      </c>
      <c r="L855" s="8"/>
      <c r="M855" s="8"/>
      <c r="O855" s="223"/>
      <c r="P855" s="1039"/>
      <c r="Q855" s="8" t="s">
        <v>597</v>
      </c>
      <c r="V855" s="1219"/>
      <c r="W855" s="1851"/>
      <c r="X855" s="579">
        <v>5491.2000000000007</v>
      </c>
      <c r="Y855" s="579">
        <v>5491.2000000000007</v>
      </c>
      <c r="Z855" s="579">
        <v>5491.2000000000007</v>
      </c>
      <c r="AA855" s="579">
        <v>5437.9666666666662</v>
      </c>
      <c r="AB855" s="579">
        <v>5437.9666666666662</v>
      </c>
      <c r="AC855" s="579">
        <v>5437.9666666666662</v>
      </c>
      <c r="AD855" s="579">
        <v>5440.4800000000005</v>
      </c>
      <c r="AE855" s="579">
        <v>5440.4800000000005</v>
      </c>
      <c r="AF855" s="579">
        <v>5440.4800000000005</v>
      </c>
      <c r="AG855" s="579">
        <v>5712.5040000000008</v>
      </c>
      <c r="AH855" s="579">
        <v>5712.5040000000008</v>
      </c>
      <c r="AI855" s="579">
        <v>5712.5040000000008</v>
      </c>
      <c r="AJ855" s="1947">
        <v>16473.600000000002</v>
      </c>
      <c r="AK855" s="1948">
        <v>16313.899999999998</v>
      </c>
      <c r="AL855" s="1948">
        <v>16321.440000000002</v>
      </c>
      <c r="AM855" s="1948">
        <v>17137.512000000002</v>
      </c>
      <c r="AN855" s="1948">
        <v>32787.5</v>
      </c>
      <c r="AO855" s="1948">
        <v>33458.952000000005</v>
      </c>
      <c r="AP855" s="1948">
        <v>66246.452000000005</v>
      </c>
    </row>
    <row r="856" spans="1:42" ht="14.5">
      <c r="A856" s="1693">
        <v>734</v>
      </c>
      <c r="B856" s="616">
        <v>1</v>
      </c>
      <c r="C856" s="1693">
        <v>735</v>
      </c>
      <c r="D856" s="616">
        <v>1</v>
      </c>
      <c r="E856" s="1693">
        <v>766</v>
      </c>
      <c r="F856" s="616">
        <v>1</v>
      </c>
      <c r="G856" s="1693">
        <v>848</v>
      </c>
      <c r="H856" s="616">
        <v>1</v>
      </c>
      <c r="J856" s="709" t="s">
        <v>512</v>
      </c>
      <c r="K856" s="69"/>
      <c r="L856" s="8"/>
      <c r="M856" s="8"/>
      <c r="O856" s="223"/>
      <c r="P856" s="1040"/>
      <c r="Q856" s="285" t="s">
        <v>598</v>
      </c>
      <c r="R856" s="1034"/>
      <c r="S856" s="285"/>
      <c r="T856" s="285"/>
      <c r="U856" s="285"/>
      <c r="V856" s="286"/>
      <c r="W856" s="1851"/>
      <c r="X856" s="1971">
        <v>0</v>
      </c>
      <c r="Y856" s="1971">
        <v>0</v>
      </c>
      <c r="Z856" s="1971">
        <v>0</v>
      </c>
      <c r="AA856" s="1971">
        <v>0</v>
      </c>
      <c r="AB856" s="1971">
        <v>0</v>
      </c>
      <c r="AC856" s="1971">
        <v>0</v>
      </c>
      <c r="AD856" s="1971">
        <v>0</v>
      </c>
      <c r="AE856" s="1971">
        <v>0</v>
      </c>
      <c r="AF856" s="1971">
        <v>0</v>
      </c>
      <c r="AG856" s="1971">
        <v>0</v>
      </c>
      <c r="AH856" s="1971">
        <v>0</v>
      </c>
      <c r="AI856" s="1971">
        <v>0</v>
      </c>
      <c r="AJ856" s="2216">
        <v>0</v>
      </c>
      <c r="AK856" s="1973">
        <v>0</v>
      </c>
      <c r="AL856" s="1973">
        <v>0</v>
      </c>
      <c r="AM856" s="1973">
        <v>0</v>
      </c>
      <c r="AN856" s="1973">
        <v>0</v>
      </c>
      <c r="AO856" s="1973">
        <v>0</v>
      </c>
      <c r="AP856" s="1973">
        <v>0</v>
      </c>
    </row>
    <row r="857" spans="1:42" s="69" customFormat="1" ht="14.5">
      <c r="A857" s="1693">
        <v>1</v>
      </c>
      <c r="B857" s="616">
        <v>1</v>
      </c>
      <c r="C857" s="1693">
        <v>1</v>
      </c>
      <c r="D857" s="616">
        <v>1</v>
      </c>
      <c r="E857" s="1693">
        <v>1</v>
      </c>
      <c r="F857" s="616">
        <v>1</v>
      </c>
      <c r="G857" s="1693">
        <v>849</v>
      </c>
      <c r="H857" s="616">
        <v>1</v>
      </c>
      <c r="I857" s="616"/>
      <c r="J857" s="709" t="s">
        <v>512</v>
      </c>
      <c r="K857" s="1764" t="s">
        <v>1216</v>
      </c>
      <c r="L857" s="12"/>
      <c r="M857" s="8"/>
      <c r="N857" s="22"/>
      <c r="O857" s="223"/>
      <c r="P857" s="1041" t="s">
        <v>796</v>
      </c>
      <c r="Q857" s="1032"/>
      <c r="R857" s="1032"/>
      <c r="S857" s="1032"/>
      <c r="T857" s="1032"/>
      <c r="U857" s="1032"/>
      <c r="V857" s="1042"/>
      <c r="W857" s="2150"/>
      <c r="X857" s="2217">
        <v>0</v>
      </c>
      <c r="Y857" s="2217">
        <v>0</v>
      </c>
      <c r="Z857" s="2217">
        <v>0</v>
      </c>
      <c r="AA857" s="2217">
        <v>0</v>
      </c>
      <c r="AB857" s="2217">
        <v>0</v>
      </c>
      <c r="AC857" s="2217">
        <v>0</v>
      </c>
      <c r="AD857" s="2217">
        <v>0</v>
      </c>
      <c r="AE857" s="2217">
        <v>0</v>
      </c>
      <c r="AF857" s="2217">
        <v>0</v>
      </c>
      <c r="AG857" s="2217">
        <v>0</v>
      </c>
      <c r="AH857" s="2217">
        <v>0</v>
      </c>
      <c r="AI857" s="2217">
        <v>0</v>
      </c>
      <c r="AJ857" s="2218">
        <v>0</v>
      </c>
      <c r="AK857" s="2217">
        <v>0</v>
      </c>
      <c r="AL857" s="2217">
        <v>0</v>
      </c>
      <c r="AM857" s="2217">
        <v>0</v>
      </c>
      <c r="AN857" s="2217">
        <v>0</v>
      </c>
      <c r="AO857" s="2217">
        <v>0</v>
      </c>
      <c r="AP857" s="2217">
        <v>0</v>
      </c>
    </row>
    <row r="858" spans="1:42" ht="14.5">
      <c r="A858" s="1693">
        <v>1</v>
      </c>
      <c r="B858" s="616">
        <v>1</v>
      </c>
      <c r="C858" s="1693">
        <v>1</v>
      </c>
      <c r="D858" s="616">
        <v>1</v>
      </c>
      <c r="E858" s="1693">
        <v>1</v>
      </c>
      <c r="F858" s="616">
        <v>1</v>
      </c>
      <c r="G858" s="1693">
        <v>850</v>
      </c>
      <c r="H858" s="616">
        <v>1</v>
      </c>
      <c r="J858" s="709" t="s">
        <v>512</v>
      </c>
      <c r="K858" s="1764" t="s">
        <v>1216</v>
      </c>
      <c r="L858" s="12"/>
      <c r="M858" s="8"/>
      <c r="O858" s="223"/>
      <c r="P858" s="1039"/>
      <c r="Q858" s="8" t="s">
        <v>595</v>
      </c>
      <c r="R858" s="8"/>
      <c r="V858" s="1219"/>
      <c r="W858" s="1920"/>
      <c r="X858" s="1922"/>
      <c r="Y858" s="1922"/>
      <c r="Z858" s="1922"/>
      <c r="AA858" s="1922"/>
      <c r="AB858" s="1922"/>
      <c r="AC858" s="1922"/>
      <c r="AD858" s="1922"/>
      <c r="AE858" s="1922"/>
      <c r="AF858" s="1922"/>
      <c r="AG858" s="1922"/>
      <c r="AH858" s="1922"/>
      <c r="AI858" s="1922"/>
      <c r="AJ858" s="1947">
        <v>0</v>
      </c>
      <c r="AK858" s="1948">
        <v>0</v>
      </c>
      <c r="AL858" s="1948">
        <v>0</v>
      </c>
      <c r="AM858" s="1948">
        <v>0</v>
      </c>
      <c r="AN858" s="1948">
        <v>0</v>
      </c>
      <c r="AO858" s="1948">
        <v>0</v>
      </c>
      <c r="AP858" s="1948">
        <v>0</v>
      </c>
    </row>
    <row r="859" spans="1:42" ht="14.5">
      <c r="A859" s="1693">
        <v>1</v>
      </c>
      <c r="B859" s="616">
        <v>1</v>
      </c>
      <c r="C859" s="1693">
        <v>1</v>
      </c>
      <c r="D859" s="616">
        <v>1</v>
      </c>
      <c r="E859" s="1693">
        <v>1</v>
      </c>
      <c r="F859" s="616">
        <v>1</v>
      </c>
      <c r="G859" s="1693">
        <v>851</v>
      </c>
      <c r="H859" s="616">
        <v>1</v>
      </c>
      <c r="J859" s="709" t="s">
        <v>512</v>
      </c>
      <c r="K859" s="69"/>
      <c r="L859" s="12"/>
      <c r="M859" s="8"/>
      <c r="O859" s="223"/>
      <c r="P859" s="1039"/>
      <c r="Q859" s="8" t="s">
        <v>596</v>
      </c>
      <c r="R859" s="8"/>
      <c r="V859" s="1219"/>
      <c r="W859" s="1920"/>
      <c r="X859" s="1922"/>
      <c r="Y859" s="1922"/>
      <c r="Z859" s="1922"/>
      <c r="AA859" s="1922"/>
      <c r="AB859" s="1922"/>
      <c r="AC859" s="1922"/>
      <c r="AD859" s="1922"/>
      <c r="AE859" s="1922"/>
      <c r="AF859" s="1922"/>
      <c r="AG859" s="1922"/>
      <c r="AH859" s="1922"/>
      <c r="AI859" s="1922"/>
      <c r="AJ859" s="1947">
        <v>0</v>
      </c>
      <c r="AK859" s="1948">
        <v>0</v>
      </c>
      <c r="AL859" s="1948">
        <v>0</v>
      </c>
      <c r="AM859" s="1948">
        <v>0</v>
      </c>
      <c r="AN859" s="1948">
        <v>0</v>
      </c>
      <c r="AO859" s="1948">
        <v>0</v>
      </c>
      <c r="AP859" s="1948">
        <v>0</v>
      </c>
    </row>
    <row r="860" spans="1:42" ht="14.5">
      <c r="A860" s="1693">
        <v>1</v>
      </c>
      <c r="B860" s="616">
        <v>1</v>
      </c>
      <c r="C860" s="1693">
        <v>1</v>
      </c>
      <c r="D860" s="616">
        <v>1</v>
      </c>
      <c r="E860" s="1693">
        <v>1</v>
      </c>
      <c r="F860" s="616">
        <v>1</v>
      </c>
      <c r="G860" s="1693">
        <v>852</v>
      </c>
      <c r="H860" s="616">
        <v>1</v>
      </c>
      <c r="J860" s="709" t="s">
        <v>512</v>
      </c>
      <c r="K860" s="1764" t="s">
        <v>1216</v>
      </c>
      <c r="L860" s="12"/>
      <c r="M860" s="8"/>
      <c r="O860" s="172"/>
      <c r="P860" s="1039"/>
      <c r="Q860" s="8" t="s">
        <v>597</v>
      </c>
      <c r="V860" s="1219"/>
      <c r="W860" s="1920"/>
      <c r="X860" s="1922"/>
      <c r="Y860" s="1922"/>
      <c r="Z860" s="1922"/>
      <c r="AA860" s="1922"/>
      <c r="AB860" s="1922"/>
      <c r="AC860" s="1922"/>
      <c r="AD860" s="1922"/>
      <c r="AE860" s="1922"/>
      <c r="AF860" s="1922"/>
      <c r="AG860" s="1922"/>
      <c r="AH860" s="1922"/>
      <c r="AI860" s="1922"/>
      <c r="AJ860" s="1947">
        <v>0</v>
      </c>
      <c r="AK860" s="1948">
        <v>0</v>
      </c>
      <c r="AL860" s="1948">
        <v>0</v>
      </c>
      <c r="AM860" s="1948">
        <v>0</v>
      </c>
      <c r="AN860" s="1948">
        <v>0</v>
      </c>
      <c r="AO860" s="1948">
        <v>0</v>
      </c>
      <c r="AP860" s="1948">
        <v>0</v>
      </c>
    </row>
    <row r="861" spans="1:42" ht="14.5">
      <c r="A861" s="1693">
        <v>1</v>
      </c>
      <c r="B861" s="616">
        <v>1</v>
      </c>
      <c r="C861" s="1693">
        <v>1</v>
      </c>
      <c r="D861" s="616">
        <v>1</v>
      </c>
      <c r="E861" s="1693">
        <v>1</v>
      </c>
      <c r="F861" s="616">
        <v>1</v>
      </c>
      <c r="G861" s="1693">
        <v>853</v>
      </c>
      <c r="H861" s="616">
        <v>1</v>
      </c>
      <c r="J861" s="709" t="s">
        <v>512</v>
      </c>
      <c r="K861" s="69"/>
      <c r="L861" s="12"/>
      <c r="M861" s="8"/>
      <c r="O861" s="171"/>
      <c r="P861" s="1040"/>
      <c r="Q861" s="285" t="s">
        <v>598</v>
      </c>
      <c r="R861" s="1034"/>
      <c r="S861" s="285"/>
      <c r="T861" s="11"/>
      <c r="U861" s="11"/>
      <c r="V861" s="78"/>
      <c r="W861" s="1920"/>
      <c r="X861" s="1932"/>
      <c r="Y861" s="1932"/>
      <c r="Z861" s="1932"/>
      <c r="AA861" s="1932"/>
      <c r="AB861" s="1932"/>
      <c r="AC861" s="1932"/>
      <c r="AD861" s="1932"/>
      <c r="AE861" s="1932"/>
      <c r="AF861" s="1932"/>
      <c r="AG861" s="1932"/>
      <c r="AH861" s="1932"/>
      <c r="AI861" s="1932"/>
      <c r="AJ861" s="1949">
        <v>0</v>
      </c>
      <c r="AK861" s="1950">
        <v>0</v>
      </c>
      <c r="AL861" s="1950">
        <v>0</v>
      </c>
      <c r="AM861" s="1950">
        <v>0</v>
      </c>
      <c r="AN861" s="1950">
        <v>0</v>
      </c>
      <c r="AO861" s="1950">
        <v>0</v>
      </c>
      <c r="AP861" s="1950">
        <v>0</v>
      </c>
    </row>
    <row r="862" spans="1:42" s="69" customFormat="1" ht="14.5">
      <c r="A862" s="1693">
        <v>735</v>
      </c>
      <c r="B862" s="616">
        <v>1</v>
      </c>
      <c r="C862" s="1693">
        <v>736</v>
      </c>
      <c r="D862" s="616">
        <v>1</v>
      </c>
      <c r="E862" s="1693">
        <v>767</v>
      </c>
      <c r="F862" s="616">
        <v>1</v>
      </c>
      <c r="G862" s="1693">
        <v>854</v>
      </c>
      <c r="H862" s="616">
        <v>1</v>
      </c>
      <c r="I862" s="616"/>
      <c r="J862" s="709" t="s">
        <v>512</v>
      </c>
      <c r="K862" s="1764" t="s">
        <v>1216</v>
      </c>
      <c r="L862" s="8"/>
      <c r="M862" s="8"/>
      <c r="N862" s="22"/>
      <c r="O862" s="2219" t="s">
        <v>1030</v>
      </c>
      <c r="P862" s="587"/>
      <c r="Q862" s="588"/>
      <c r="R862" s="588"/>
      <c r="S862" s="588"/>
      <c r="T862" s="588"/>
      <c r="U862" s="588"/>
      <c r="V862" s="588"/>
      <c r="W862" s="2220"/>
      <c r="X862" s="2221">
        <v>17903.333333333332</v>
      </c>
      <c r="Y862" s="2221">
        <v>17903.333333333332</v>
      </c>
      <c r="Z862" s="2221">
        <v>17903.333333333332</v>
      </c>
      <c r="AA862" s="2221">
        <v>18783.333333333336</v>
      </c>
      <c r="AB862" s="2221">
        <v>18783.333333333336</v>
      </c>
      <c r="AC862" s="2221">
        <v>18783.333333333336</v>
      </c>
      <c r="AD862" s="2221">
        <v>18050</v>
      </c>
      <c r="AE862" s="2221">
        <v>18050</v>
      </c>
      <c r="AF862" s="2221">
        <v>18050</v>
      </c>
      <c r="AG862" s="2221">
        <v>18050</v>
      </c>
      <c r="AH862" s="2221">
        <v>18050</v>
      </c>
      <c r="AI862" s="2221">
        <v>18050</v>
      </c>
      <c r="AJ862" s="2222">
        <v>53710</v>
      </c>
      <c r="AK862" s="2221">
        <v>56350.000000000007</v>
      </c>
      <c r="AL862" s="2221">
        <v>54150.000000000007</v>
      </c>
      <c r="AM862" s="2221">
        <v>54150.000000000007</v>
      </c>
      <c r="AN862" s="2221">
        <v>110060</v>
      </c>
      <c r="AO862" s="2221">
        <v>108300.00000000001</v>
      </c>
      <c r="AP862" s="2221">
        <v>218360</v>
      </c>
    </row>
    <row r="863" spans="1:42" ht="14.5">
      <c r="A863" s="1693">
        <v>736</v>
      </c>
      <c r="B863" s="616">
        <v>1</v>
      </c>
      <c r="C863" s="1693">
        <v>737</v>
      </c>
      <c r="D863" s="616">
        <v>1</v>
      </c>
      <c r="E863" s="1693">
        <v>768</v>
      </c>
      <c r="F863" s="616">
        <v>1</v>
      </c>
      <c r="G863" s="1693">
        <v>855</v>
      </c>
      <c r="H863" s="616">
        <v>1</v>
      </c>
      <c r="J863" s="709" t="s">
        <v>512</v>
      </c>
      <c r="K863" s="1764" t="s">
        <v>1216</v>
      </c>
      <c r="L863" s="8"/>
      <c r="M863" s="8"/>
      <c r="O863" s="223"/>
      <c r="P863" s="8" t="s">
        <v>595</v>
      </c>
      <c r="Q863" s="8"/>
      <c r="R863" s="8"/>
      <c r="W863" s="1899"/>
      <c r="X863" s="579">
        <v>14886.666666666666</v>
      </c>
      <c r="Y863" s="579">
        <v>14886.666666666666</v>
      </c>
      <c r="Z863" s="579">
        <v>14886.666666666666</v>
      </c>
      <c r="AA863" s="579">
        <v>15766.66666666667</v>
      </c>
      <c r="AB863" s="579">
        <v>15766.66666666667</v>
      </c>
      <c r="AC863" s="579">
        <v>15766.66666666667</v>
      </c>
      <c r="AD863" s="579">
        <v>15033.333333333336</v>
      </c>
      <c r="AE863" s="579">
        <v>15033.333333333336</v>
      </c>
      <c r="AF863" s="579">
        <v>15033.333333333336</v>
      </c>
      <c r="AG863" s="579">
        <v>15033.333333333336</v>
      </c>
      <c r="AH863" s="579">
        <v>15033.333333333336</v>
      </c>
      <c r="AI863" s="579">
        <v>15033.333333333336</v>
      </c>
      <c r="AJ863" s="1995">
        <v>44660</v>
      </c>
      <c r="AK863" s="1969">
        <v>47300.000000000007</v>
      </c>
      <c r="AL863" s="1969">
        <v>45100.000000000007</v>
      </c>
      <c r="AM863" s="1969">
        <v>45100.000000000007</v>
      </c>
      <c r="AN863" s="1969">
        <v>91960</v>
      </c>
      <c r="AO863" s="1969">
        <v>90200.000000000015</v>
      </c>
      <c r="AP863" s="1969">
        <v>182160</v>
      </c>
    </row>
    <row r="864" spans="1:42" ht="14.5">
      <c r="A864" s="1693">
        <v>737</v>
      </c>
      <c r="B864" s="616">
        <v>1</v>
      </c>
      <c r="C864" s="1693">
        <v>738</v>
      </c>
      <c r="D864" s="616">
        <v>1</v>
      </c>
      <c r="E864" s="1693">
        <v>769</v>
      </c>
      <c r="F864" s="616">
        <v>1</v>
      </c>
      <c r="G864" s="1693">
        <v>856</v>
      </c>
      <c r="H864" s="616">
        <v>1</v>
      </c>
      <c r="J864" s="709" t="s">
        <v>512</v>
      </c>
      <c r="K864" s="69"/>
      <c r="L864" s="8"/>
      <c r="M864" s="8"/>
      <c r="O864" s="223"/>
      <c r="P864" s="8" t="s">
        <v>596</v>
      </c>
      <c r="Q864" s="8"/>
      <c r="R864" s="8"/>
      <c r="W864" s="1899"/>
      <c r="X864" s="579">
        <v>2733.3333333333335</v>
      </c>
      <c r="Y864" s="579">
        <v>2733.3333333333335</v>
      </c>
      <c r="Z864" s="579">
        <v>2733.3333333333335</v>
      </c>
      <c r="AA864" s="579">
        <v>2733.3333333333335</v>
      </c>
      <c r="AB864" s="579">
        <v>2733.3333333333335</v>
      </c>
      <c r="AC864" s="579">
        <v>2733.3333333333335</v>
      </c>
      <c r="AD864" s="579">
        <v>2733.3333333333335</v>
      </c>
      <c r="AE864" s="579">
        <v>2733.3333333333335</v>
      </c>
      <c r="AF864" s="579">
        <v>2733.3333333333335</v>
      </c>
      <c r="AG864" s="579">
        <v>2733.3333333333335</v>
      </c>
      <c r="AH864" s="579">
        <v>2733.3333333333335</v>
      </c>
      <c r="AI864" s="579">
        <v>2733.3333333333335</v>
      </c>
      <c r="AJ864" s="1995">
        <v>8200</v>
      </c>
      <c r="AK864" s="1969">
        <v>8200</v>
      </c>
      <c r="AL864" s="1969">
        <v>8200</v>
      </c>
      <c r="AM864" s="1969">
        <v>8200</v>
      </c>
      <c r="AN864" s="1969">
        <v>16400</v>
      </c>
      <c r="AO864" s="1969">
        <v>16400</v>
      </c>
      <c r="AP864" s="1969">
        <v>32800</v>
      </c>
    </row>
    <row r="865" spans="1:42" ht="14.5">
      <c r="A865" s="1693">
        <v>738</v>
      </c>
      <c r="B865" s="616">
        <v>1</v>
      </c>
      <c r="C865" s="1693">
        <v>739</v>
      </c>
      <c r="D865" s="616">
        <v>1</v>
      </c>
      <c r="E865" s="1693">
        <v>770</v>
      </c>
      <c r="F865" s="616">
        <v>1</v>
      </c>
      <c r="G865" s="1693">
        <v>857</v>
      </c>
      <c r="H865" s="616">
        <v>1</v>
      </c>
      <c r="J865" s="709" t="s">
        <v>512</v>
      </c>
      <c r="K865" s="1764" t="s">
        <v>1216</v>
      </c>
      <c r="L865" s="8"/>
      <c r="M865" s="8"/>
      <c r="O865" s="172"/>
      <c r="P865" s="8" t="s">
        <v>597</v>
      </c>
      <c r="W865" s="1851"/>
      <c r="X865" s="579">
        <v>283.33333333333331</v>
      </c>
      <c r="Y865" s="579">
        <v>283.33333333333331</v>
      </c>
      <c r="Z865" s="579">
        <v>283.33333333333331</v>
      </c>
      <c r="AA865" s="579">
        <v>283.33333333333331</v>
      </c>
      <c r="AB865" s="579">
        <v>283.33333333333331</v>
      </c>
      <c r="AC865" s="579">
        <v>283.33333333333331</v>
      </c>
      <c r="AD865" s="579">
        <v>283.33333333333331</v>
      </c>
      <c r="AE865" s="579">
        <v>283.33333333333331</v>
      </c>
      <c r="AF865" s="579">
        <v>283.33333333333331</v>
      </c>
      <c r="AG865" s="579">
        <v>283.33333333333331</v>
      </c>
      <c r="AH865" s="579">
        <v>283.33333333333331</v>
      </c>
      <c r="AI865" s="579">
        <v>283.33333333333331</v>
      </c>
      <c r="AJ865" s="1947">
        <v>850</v>
      </c>
      <c r="AK865" s="1948">
        <v>850</v>
      </c>
      <c r="AL865" s="1948">
        <v>850</v>
      </c>
      <c r="AM865" s="1948">
        <v>850</v>
      </c>
      <c r="AN865" s="1948">
        <v>1700</v>
      </c>
      <c r="AO865" s="1948">
        <v>1700</v>
      </c>
      <c r="AP865" s="1948">
        <v>3400</v>
      </c>
    </row>
    <row r="866" spans="1:42" ht="14.5">
      <c r="A866" s="1693">
        <v>739</v>
      </c>
      <c r="B866" s="616">
        <v>1</v>
      </c>
      <c r="C866" s="1693">
        <v>740</v>
      </c>
      <c r="D866" s="616">
        <v>1</v>
      </c>
      <c r="E866" s="1693">
        <v>771</v>
      </c>
      <c r="F866" s="616">
        <v>1</v>
      </c>
      <c r="G866" s="1693">
        <v>858</v>
      </c>
      <c r="H866" s="616">
        <v>1</v>
      </c>
      <c r="J866" s="709" t="s">
        <v>512</v>
      </c>
      <c r="K866" s="69"/>
      <c r="L866" s="8"/>
      <c r="M866" s="8"/>
      <c r="O866" s="171"/>
      <c r="P866" s="11" t="s">
        <v>598</v>
      </c>
      <c r="Q866" s="16"/>
      <c r="R866" s="16"/>
      <c r="S866" s="11"/>
      <c r="T866" s="11"/>
      <c r="U866" s="11"/>
      <c r="V866" s="11"/>
      <c r="W866" s="1851"/>
      <c r="X866" s="584">
        <v>0</v>
      </c>
      <c r="Y866" s="584">
        <v>0</v>
      </c>
      <c r="Z866" s="584">
        <v>0</v>
      </c>
      <c r="AA866" s="584">
        <v>0</v>
      </c>
      <c r="AB866" s="584">
        <v>0</v>
      </c>
      <c r="AC866" s="584">
        <v>0</v>
      </c>
      <c r="AD866" s="584">
        <v>0</v>
      </c>
      <c r="AE866" s="584">
        <v>0</v>
      </c>
      <c r="AF866" s="584">
        <v>0</v>
      </c>
      <c r="AG866" s="584">
        <v>0</v>
      </c>
      <c r="AH866" s="584">
        <v>0</v>
      </c>
      <c r="AI866" s="584">
        <v>0</v>
      </c>
      <c r="AJ866" s="1949">
        <v>0</v>
      </c>
      <c r="AK866" s="1950">
        <v>0</v>
      </c>
      <c r="AL866" s="1950">
        <v>0</v>
      </c>
      <c r="AM866" s="1950">
        <v>0</v>
      </c>
      <c r="AN866" s="1950">
        <v>0</v>
      </c>
      <c r="AO866" s="1950">
        <v>0</v>
      </c>
      <c r="AP866" s="1950">
        <v>0</v>
      </c>
    </row>
    <row r="867" spans="1:42" s="69" customFormat="1" ht="14.5">
      <c r="A867" s="1693">
        <v>740</v>
      </c>
      <c r="B867" s="616">
        <v>1</v>
      </c>
      <c r="C867" s="1693">
        <v>741</v>
      </c>
      <c r="D867" s="616">
        <v>1</v>
      </c>
      <c r="E867" s="1693">
        <v>772</v>
      </c>
      <c r="F867" s="616">
        <v>1</v>
      </c>
      <c r="G867" s="1693">
        <v>859</v>
      </c>
      <c r="H867" s="616">
        <v>1</v>
      </c>
      <c r="I867" s="616"/>
      <c r="J867" s="709" t="s">
        <v>512</v>
      </c>
      <c r="K867" s="1764" t="s">
        <v>1216</v>
      </c>
      <c r="L867" s="8"/>
      <c r="M867" s="8"/>
      <c r="N867" s="22"/>
      <c r="O867" s="2223" t="s">
        <v>936</v>
      </c>
      <c r="P867" s="2224"/>
      <c r="Q867" s="589"/>
      <c r="R867" s="589"/>
      <c r="S867" s="589"/>
      <c r="T867" s="589"/>
      <c r="U867" s="589"/>
      <c r="V867" s="589"/>
      <c r="W867" s="2225"/>
      <c r="X867" s="2226">
        <v>1120</v>
      </c>
      <c r="Y867" s="2226">
        <v>1120</v>
      </c>
      <c r="Z867" s="2226">
        <v>1120</v>
      </c>
      <c r="AA867" s="2226">
        <v>1190</v>
      </c>
      <c r="AB867" s="2226">
        <v>1190</v>
      </c>
      <c r="AC867" s="2226">
        <v>1190</v>
      </c>
      <c r="AD867" s="2226">
        <v>1190</v>
      </c>
      <c r="AE867" s="2226">
        <v>1190</v>
      </c>
      <c r="AF867" s="2226">
        <v>1190</v>
      </c>
      <c r="AG867" s="2226">
        <v>1190</v>
      </c>
      <c r="AH867" s="2226">
        <v>1190</v>
      </c>
      <c r="AI867" s="2226">
        <v>1190</v>
      </c>
      <c r="AJ867" s="2227">
        <v>3360</v>
      </c>
      <c r="AK867" s="2226">
        <v>3570</v>
      </c>
      <c r="AL867" s="2226">
        <v>3570</v>
      </c>
      <c r="AM867" s="2226">
        <v>3570</v>
      </c>
      <c r="AN867" s="2226">
        <v>6930</v>
      </c>
      <c r="AO867" s="2226">
        <v>7140</v>
      </c>
      <c r="AP867" s="2226">
        <v>14070</v>
      </c>
    </row>
    <row r="868" spans="1:42" ht="14.5">
      <c r="A868" s="1693">
        <v>741</v>
      </c>
      <c r="B868" s="616">
        <v>1</v>
      </c>
      <c r="C868" s="1693">
        <v>742</v>
      </c>
      <c r="D868" s="616">
        <v>1</v>
      </c>
      <c r="E868" s="1693">
        <v>773</v>
      </c>
      <c r="F868" s="616">
        <v>1</v>
      </c>
      <c r="G868" s="1693">
        <v>860</v>
      </c>
      <c r="H868" s="616">
        <v>1</v>
      </c>
      <c r="J868" s="709" t="s">
        <v>512</v>
      </c>
      <c r="K868" s="1764" t="s">
        <v>1216</v>
      </c>
      <c r="L868" s="8"/>
      <c r="M868" s="8"/>
      <c r="O868" s="223"/>
      <c r="P868" s="8" t="s">
        <v>595</v>
      </c>
      <c r="Q868" s="8"/>
      <c r="R868" s="8"/>
      <c r="W868" s="1899"/>
      <c r="X868" s="579">
        <v>1000</v>
      </c>
      <c r="Y868" s="579">
        <v>1000</v>
      </c>
      <c r="Z868" s="579">
        <v>1000</v>
      </c>
      <c r="AA868" s="579">
        <v>1060</v>
      </c>
      <c r="AB868" s="579">
        <v>1060</v>
      </c>
      <c r="AC868" s="579">
        <v>1060</v>
      </c>
      <c r="AD868" s="579">
        <v>1060</v>
      </c>
      <c r="AE868" s="579">
        <v>1060</v>
      </c>
      <c r="AF868" s="579">
        <v>1060</v>
      </c>
      <c r="AG868" s="579">
        <v>1060</v>
      </c>
      <c r="AH868" s="579">
        <v>1060</v>
      </c>
      <c r="AI868" s="579">
        <v>1060</v>
      </c>
      <c r="AJ868" s="1995">
        <v>3000</v>
      </c>
      <c r="AK868" s="1969">
        <v>3180</v>
      </c>
      <c r="AL868" s="1969">
        <v>3180</v>
      </c>
      <c r="AM868" s="1969">
        <v>3180</v>
      </c>
      <c r="AN868" s="1969">
        <v>6180</v>
      </c>
      <c r="AO868" s="1969">
        <v>6360</v>
      </c>
      <c r="AP868" s="1969">
        <v>12540</v>
      </c>
    </row>
    <row r="869" spans="1:42" ht="14.5">
      <c r="A869" s="1693">
        <v>742</v>
      </c>
      <c r="B869" s="616">
        <v>1</v>
      </c>
      <c r="C869" s="1693">
        <v>743</v>
      </c>
      <c r="D869" s="616">
        <v>1</v>
      </c>
      <c r="E869" s="1693">
        <v>774</v>
      </c>
      <c r="F869" s="616">
        <v>1</v>
      </c>
      <c r="G869" s="1693">
        <v>861</v>
      </c>
      <c r="H869" s="616">
        <v>1</v>
      </c>
      <c r="J869" s="709" t="s">
        <v>512</v>
      </c>
      <c r="K869" s="69"/>
      <c r="L869" s="8"/>
      <c r="M869" s="8"/>
      <c r="O869" s="223"/>
      <c r="P869" s="8" t="s">
        <v>596</v>
      </c>
      <c r="Q869" s="8"/>
      <c r="R869" s="8"/>
      <c r="W869" s="1899"/>
      <c r="X869" s="579">
        <v>120</v>
      </c>
      <c r="Y869" s="579">
        <v>120</v>
      </c>
      <c r="Z869" s="579">
        <v>120</v>
      </c>
      <c r="AA869" s="579">
        <v>130</v>
      </c>
      <c r="AB869" s="579">
        <v>130</v>
      </c>
      <c r="AC869" s="579">
        <v>130</v>
      </c>
      <c r="AD869" s="579">
        <v>130</v>
      </c>
      <c r="AE869" s="579">
        <v>130</v>
      </c>
      <c r="AF869" s="579">
        <v>130</v>
      </c>
      <c r="AG869" s="579">
        <v>130</v>
      </c>
      <c r="AH869" s="579">
        <v>130</v>
      </c>
      <c r="AI869" s="579">
        <v>130</v>
      </c>
      <c r="AJ869" s="1995">
        <v>360</v>
      </c>
      <c r="AK869" s="1969">
        <v>390</v>
      </c>
      <c r="AL869" s="1969">
        <v>390</v>
      </c>
      <c r="AM869" s="1969">
        <v>390</v>
      </c>
      <c r="AN869" s="1969">
        <v>750</v>
      </c>
      <c r="AO869" s="1969">
        <v>780</v>
      </c>
      <c r="AP869" s="1969">
        <v>1530</v>
      </c>
    </row>
    <row r="870" spans="1:42" ht="14.5">
      <c r="A870" s="1693">
        <v>743</v>
      </c>
      <c r="B870" s="616">
        <v>1</v>
      </c>
      <c r="C870" s="1693">
        <v>744</v>
      </c>
      <c r="D870" s="616">
        <v>1</v>
      </c>
      <c r="E870" s="1693">
        <v>775</v>
      </c>
      <c r="F870" s="616">
        <v>1</v>
      </c>
      <c r="G870" s="1693">
        <v>862</v>
      </c>
      <c r="H870" s="616">
        <v>1</v>
      </c>
      <c r="J870" s="709" t="s">
        <v>512</v>
      </c>
      <c r="K870" s="1764" t="s">
        <v>1216</v>
      </c>
      <c r="L870" s="8"/>
      <c r="M870" s="8"/>
      <c r="O870" s="172"/>
      <c r="P870" s="8" t="s">
        <v>597</v>
      </c>
      <c r="W870" s="1851"/>
      <c r="X870" s="579">
        <v>0</v>
      </c>
      <c r="Y870" s="579">
        <v>0</v>
      </c>
      <c r="Z870" s="579">
        <v>0</v>
      </c>
      <c r="AA870" s="579">
        <v>0</v>
      </c>
      <c r="AB870" s="579">
        <v>0</v>
      </c>
      <c r="AC870" s="579">
        <v>0</v>
      </c>
      <c r="AD870" s="579">
        <v>0</v>
      </c>
      <c r="AE870" s="579">
        <v>0</v>
      </c>
      <c r="AF870" s="579">
        <v>0</v>
      </c>
      <c r="AG870" s="579">
        <v>0</v>
      </c>
      <c r="AH870" s="579">
        <v>0</v>
      </c>
      <c r="AI870" s="579">
        <v>0</v>
      </c>
      <c r="AJ870" s="1947">
        <v>0</v>
      </c>
      <c r="AK870" s="1948">
        <v>0</v>
      </c>
      <c r="AL870" s="1948">
        <v>0</v>
      </c>
      <c r="AM870" s="1948">
        <v>0</v>
      </c>
      <c r="AN870" s="1948">
        <v>0</v>
      </c>
      <c r="AO870" s="1948">
        <v>0</v>
      </c>
      <c r="AP870" s="1948">
        <v>0</v>
      </c>
    </row>
    <row r="871" spans="1:42" ht="14.5">
      <c r="A871" s="1693">
        <v>744</v>
      </c>
      <c r="B871" s="616">
        <v>1</v>
      </c>
      <c r="C871" s="1693">
        <v>745</v>
      </c>
      <c r="D871" s="616">
        <v>1</v>
      </c>
      <c r="E871" s="1693">
        <v>776</v>
      </c>
      <c r="F871" s="616">
        <v>1</v>
      </c>
      <c r="G871" s="1693">
        <v>863</v>
      </c>
      <c r="H871" s="616">
        <v>1</v>
      </c>
      <c r="J871" s="709" t="s">
        <v>512</v>
      </c>
      <c r="K871" s="69"/>
      <c r="L871" s="8"/>
      <c r="M871" s="8"/>
      <c r="O871" s="171"/>
      <c r="P871" s="11" t="s">
        <v>598</v>
      </c>
      <c r="Q871" s="16"/>
      <c r="R871" s="16"/>
      <c r="S871" s="11"/>
      <c r="T871" s="11"/>
      <c r="U871" s="11"/>
      <c r="V871" s="11"/>
      <c r="W871" s="1851"/>
      <c r="X871" s="584">
        <v>0</v>
      </c>
      <c r="Y871" s="584">
        <v>0</v>
      </c>
      <c r="Z871" s="584">
        <v>0</v>
      </c>
      <c r="AA871" s="584">
        <v>0</v>
      </c>
      <c r="AB871" s="584">
        <v>0</v>
      </c>
      <c r="AC871" s="584">
        <v>0</v>
      </c>
      <c r="AD871" s="584">
        <v>0</v>
      </c>
      <c r="AE871" s="584">
        <v>0</v>
      </c>
      <c r="AF871" s="584">
        <v>0</v>
      </c>
      <c r="AG871" s="584">
        <v>0</v>
      </c>
      <c r="AH871" s="584">
        <v>0</v>
      </c>
      <c r="AI871" s="584">
        <v>0</v>
      </c>
      <c r="AJ871" s="1949">
        <v>0</v>
      </c>
      <c r="AK871" s="1950">
        <v>0</v>
      </c>
      <c r="AL871" s="1950">
        <v>0</v>
      </c>
      <c r="AM871" s="1950">
        <v>0</v>
      </c>
      <c r="AN871" s="1950">
        <v>0</v>
      </c>
      <c r="AO871" s="1950">
        <v>0</v>
      </c>
      <c r="AP871" s="1950">
        <v>0</v>
      </c>
    </row>
    <row r="872" spans="1:42" s="69" customFormat="1" ht="14.5">
      <c r="A872" s="1693">
        <v>745</v>
      </c>
      <c r="B872" s="616">
        <v>1</v>
      </c>
      <c r="C872" s="1693">
        <v>746</v>
      </c>
      <c r="D872" s="616">
        <v>1</v>
      </c>
      <c r="E872" s="1693">
        <v>777</v>
      </c>
      <c r="F872" s="616">
        <v>1</v>
      </c>
      <c r="G872" s="1693">
        <v>864</v>
      </c>
      <c r="H872" s="616">
        <v>1</v>
      </c>
      <c r="I872" s="616"/>
      <c r="J872" s="709" t="s">
        <v>512</v>
      </c>
      <c r="K872" s="1764" t="s">
        <v>1216</v>
      </c>
      <c r="L872" s="8"/>
      <c r="M872" s="8"/>
      <c r="N872" s="22"/>
      <c r="O872" s="2228" t="s">
        <v>1079</v>
      </c>
      <c r="P872" s="590"/>
      <c r="Q872" s="591"/>
      <c r="R872" s="591"/>
      <c r="S872" s="591"/>
      <c r="T872" s="591"/>
      <c r="U872" s="591"/>
      <c r="V872" s="591"/>
      <c r="W872" s="2229"/>
      <c r="X872" s="2230">
        <v>0</v>
      </c>
      <c r="Y872" s="2230">
        <v>0</v>
      </c>
      <c r="Z872" s="2230">
        <v>0</v>
      </c>
      <c r="AA872" s="2230">
        <v>0</v>
      </c>
      <c r="AB872" s="2230">
        <v>0</v>
      </c>
      <c r="AC872" s="2230">
        <v>0</v>
      </c>
      <c r="AD872" s="2230">
        <v>0</v>
      </c>
      <c r="AE872" s="2230">
        <v>0</v>
      </c>
      <c r="AF872" s="2230">
        <v>0</v>
      </c>
      <c r="AG872" s="2230">
        <v>0</v>
      </c>
      <c r="AH872" s="2230">
        <v>0</v>
      </c>
      <c r="AI872" s="2230">
        <v>0</v>
      </c>
      <c r="AJ872" s="2231">
        <v>0</v>
      </c>
      <c r="AK872" s="2230">
        <v>0</v>
      </c>
      <c r="AL872" s="2230">
        <v>0</v>
      </c>
      <c r="AM872" s="2230">
        <v>0</v>
      </c>
      <c r="AN872" s="2230">
        <v>0</v>
      </c>
      <c r="AO872" s="2230">
        <v>0</v>
      </c>
      <c r="AP872" s="2230">
        <v>0</v>
      </c>
    </row>
    <row r="873" spans="1:42" ht="14.5">
      <c r="A873" s="1693">
        <v>746</v>
      </c>
      <c r="B873" s="616">
        <v>1</v>
      </c>
      <c r="C873" s="1693">
        <v>747</v>
      </c>
      <c r="D873" s="616">
        <v>1</v>
      </c>
      <c r="E873" s="1693">
        <v>778</v>
      </c>
      <c r="F873" s="616">
        <v>1</v>
      </c>
      <c r="G873" s="1693">
        <v>865</v>
      </c>
      <c r="H873" s="616">
        <v>1</v>
      </c>
      <c r="J873" s="709" t="s">
        <v>512</v>
      </c>
      <c r="K873" s="1764" t="s">
        <v>1216</v>
      </c>
      <c r="L873" s="8"/>
      <c r="M873" s="8"/>
      <c r="O873" s="1235"/>
      <c r="P873" s="8" t="s">
        <v>595</v>
      </c>
      <c r="Q873" s="8"/>
      <c r="R873" s="8"/>
      <c r="W873" s="1911"/>
      <c r="X873" s="2021"/>
      <c r="Y873" s="2021"/>
      <c r="Z873" s="2021"/>
      <c r="AA873" s="2021"/>
      <c r="AB873" s="2021"/>
      <c r="AC873" s="2021"/>
      <c r="AD873" s="2021"/>
      <c r="AE873" s="2021"/>
      <c r="AF873" s="2021"/>
      <c r="AG873" s="2021"/>
      <c r="AH873" s="2021"/>
      <c r="AI873" s="2021"/>
      <c r="AJ873" s="1947">
        <v>0</v>
      </c>
      <c r="AK873" s="1948">
        <v>0</v>
      </c>
      <c r="AL873" s="1948">
        <v>0</v>
      </c>
      <c r="AM873" s="1948">
        <v>0</v>
      </c>
      <c r="AN873" s="1948">
        <v>0</v>
      </c>
      <c r="AO873" s="1948">
        <v>0</v>
      </c>
      <c r="AP873" s="1948">
        <v>0</v>
      </c>
    </row>
    <row r="874" spans="1:42" ht="14.5">
      <c r="A874" s="1693">
        <v>747</v>
      </c>
      <c r="B874" s="616">
        <v>1</v>
      </c>
      <c r="C874" s="1693">
        <v>748</v>
      </c>
      <c r="D874" s="616">
        <v>1</v>
      </c>
      <c r="E874" s="1693">
        <v>779</v>
      </c>
      <c r="F874" s="616">
        <v>1</v>
      </c>
      <c r="G874" s="1693">
        <v>866</v>
      </c>
      <c r="H874" s="616">
        <v>1</v>
      </c>
      <c r="J874" s="709" t="s">
        <v>512</v>
      </c>
      <c r="K874" s="69"/>
      <c r="L874" s="8"/>
      <c r="M874" s="8"/>
      <c r="O874" s="1235"/>
      <c r="P874" s="8" t="s">
        <v>596</v>
      </c>
      <c r="Q874" s="8"/>
      <c r="R874" s="8"/>
      <c r="W874" s="1911"/>
      <c r="X874" s="2021"/>
      <c r="Y874" s="2021"/>
      <c r="Z874" s="2021"/>
      <c r="AA874" s="2021"/>
      <c r="AB874" s="2021"/>
      <c r="AC874" s="2021"/>
      <c r="AD874" s="2021"/>
      <c r="AE874" s="2021"/>
      <c r="AF874" s="2021"/>
      <c r="AG874" s="2021"/>
      <c r="AH874" s="2021"/>
      <c r="AI874" s="2021"/>
      <c r="AJ874" s="1947">
        <v>0</v>
      </c>
      <c r="AK874" s="1948">
        <v>0</v>
      </c>
      <c r="AL874" s="1948">
        <v>0</v>
      </c>
      <c r="AM874" s="1948">
        <v>0</v>
      </c>
      <c r="AN874" s="1948">
        <v>0</v>
      </c>
      <c r="AO874" s="1948">
        <v>0</v>
      </c>
      <c r="AP874" s="1948">
        <v>0</v>
      </c>
    </row>
    <row r="875" spans="1:42" ht="14.5">
      <c r="A875" s="1693">
        <v>748</v>
      </c>
      <c r="B875" s="616">
        <v>1</v>
      </c>
      <c r="C875" s="1693">
        <v>749</v>
      </c>
      <c r="D875" s="616">
        <v>1</v>
      </c>
      <c r="E875" s="1693">
        <v>780</v>
      </c>
      <c r="F875" s="616">
        <v>1</v>
      </c>
      <c r="G875" s="1693">
        <v>867</v>
      </c>
      <c r="H875" s="616">
        <v>1</v>
      </c>
      <c r="J875" s="709" t="s">
        <v>512</v>
      </c>
      <c r="K875" s="1764" t="s">
        <v>1216</v>
      </c>
      <c r="L875" s="8"/>
      <c r="M875" s="8"/>
      <c r="O875" s="172"/>
      <c r="P875" s="8" t="s">
        <v>597</v>
      </c>
      <c r="W875" s="1911"/>
      <c r="X875" s="2021"/>
      <c r="Y875" s="2021"/>
      <c r="Z875" s="2021"/>
      <c r="AA875" s="2021"/>
      <c r="AB875" s="2021"/>
      <c r="AC875" s="2021"/>
      <c r="AD875" s="2021"/>
      <c r="AE875" s="2021"/>
      <c r="AF875" s="2021"/>
      <c r="AG875" s="2021"/>
      <c r="AH875" s="2021"/>
      <c r="AI875" s="2021"/>
      <c r="AJ875" s="1947">
        <v>0</v>
      </c>
      <c r="AK875" s="1948">
        <v>0</v>
      </c>
      <c r="AL875" s="1948">
        <v>0</v>
      </c>
      <c r="AM875" s="1948">
        <v>0</v>
      </c>
      <c r="AN875" s="1948">
        <v>0</v>
      </c>
      <c r="AO875" s="1948">
        <v>0</v>
      </c>
      <c r="AP875" s="1948">
        <v>0</v>
      </c>
    </row>
    <row r="876" spans="1:42" ht="14.5">
      <c r="A876" s="1693">
        <v>749</v>
      </c>
      <c r="B876" s="616">
        <v>1</v>
      </c>
      <c r="C876" s="1693">
        <v>750</v>
      </c>
      <c r="D876" s="616">
        <v>1</v>
      </c>
      <c r="E876" s="1693">
        <v>781</v>
      </c>
      <c r="F876" s="616">
        <v>1</v>
      </c>
      <c r="G876" s="1693">
        <v>868</v>
      </c>
      <c r="H876" s="616">
        <v>1</v>
      </c>
      <c r="J876" s="709" t="s">
        <v>512</v>
      </c>
      <c r="K876" s="69"/>
      <c r="L876" s="8"/>
      <c r="M876" s="8"/>
      <c r="O876" s="171"/>
      <c r="P876" s="11" t="s">
        <v>598</v>
      </c>
      <c r="Q876" s="16"/>
      <c r="R876" s="16"/>
      <c r="S876" s="11"/>
      <c r="T876" s="11"/>
      <c r="U876" s="11"/>
      <c r="V876" s="11"/>
      <c r="W876" s="1911"/>
      <c r="X876" s="2153"/>
      <c r="Y876" s="2153"/>
      <c r="Z876" s="2153"/>
      <c r="AA876" s="2153"/>
      <c r="AB876" s="2153"/>
      <c r="AC876" s="2153"/>
      <c r="AD876" s="2153"/>
      <c r="AE876" s="2153"/>
      <c r="AF876" s="2153"/>
      <c r="AG876" s="2153"/>
      <c r="AH876" s="2153"/>
      <c r="AI876" s="2153"/>
      <c r="AJ876" s="1949">
        <v>0</v>
      </c>
      <c r="AK876" s="1950">
        <v>0</v>
      </c>
      <c r="AL876" s="1950">
        <v>0</v>
      </c>
      <c r="AM876" s="1950">
        <v>0</v>
      </c>
      <c r="AN876" s="1950">
        <v>0</v>
      </c>
      <c r="AO876" s="1950">
        <v>0</v>
      </c>
      <c r="AP876" s="1950">
        <v>0</v>
      </c>
    </row>
    <row r="877" spans="1:42" s="69" customFormat="1" ht="14.5">
      <c r="A877" s="1693">
        <v>750</v>
      </c>
      <c r="B877" s="616">
        <v>755</v>
      </c>
      <c r="C877" s="1693">
        <v>756</v>
      </c>
      <c r="D877" s="616">
        <v>751</v>
      </c>
      <c r="E877" s="1693">
        <v>782</v>
      </c>
      <c r="F877" s="616">
        <v>1</v>
      </c>
      <c r="G877" s="1693">
        <v>869</v>
      </c>
      <c r="H877" s="616">
        <v>1</v>
      </c>
      <c r="I877" s="616"/>
      <c r="J877" s="709" t="s">
        <v>512</v>
      </c>
      <c r="K877" s="1764" t="s">
        <v>1216</v>
      </c>
      <c r="L877" s="8"/>
      <c r="N877" s="22"/>
      <c r="O877" s="2232" t="s">
        <v>1056</v>
      </c>
      <c r="P877" s="592"/>
      <c r="Q877" s="593"/>
      <c r="R877" s="593"/>
      <c r="S877" s="593"/>
      <c r="T877" s="593"/>
      <c r="U877" s="593"/>
      <c r="V877" s="594"/>
      <c r="W877" s="2233"/>
      <c r="X877" s="2234">
        <v>0</v>
      </c>
      <c r="Y877" s="2234">
        <v>0</v>
      </c>
      <c r="Z877" s="2234">
        <v>0</v>
      </c>
      <c r="AA877" s="2234">
        <v>0</v>
      </c>
      <c r="AB877" s="2234">
        <v>0</v>
      </c>
      <c r="AC877" s="2234">
        <v>0</v>
      </c>
      <c r="AD877" s="2234">
        <v>0</v>
      </c>
      <c r="AE877" s="2234">
        <v>0</v>
      </c>
      <c r="AF877" s="2234">
        <v>0</v>
      </c>
      <c r="AG877" s="2234">
        <v>0</v>
      </c>
      <c r="AH877" s="2234">
        <v>0</v>
      </c>
      <c r="AI877" s="2234">
        <v>0</v>
      </c>
      <c r="AJ877" s="2235">
        <v>0</v>
      </c>
      <c r="AK877" s="2234">
        <v>0</v>
      </c>
      <c r="AL877" s="2234">
        <v>0</v>
      </c>
      <c r="AM877" s="2234">
        <v>0</v>
      </c>
      <c r="AN877" s="2234">
        <v>0</v>
      </c>
      <c r="AO877" s="2234">
        <v>0</v>
      </c>
      <c r="AP877" s="2234">
        <v>0</v>
      </c>
    </row>
    <row r="878" spans="1:42" ht="14.5">
      <c r="A878" s="1693">
        <v>751</v>
      </c>
      <c r="B878" s="616">
        <v>756</v>
      </c>
      <c r="C878" s="1693">
        <v>757</v>
      </c>
      <c r="D878" s="616">
        <v>752</v>
      </c>
      <c r="E878" s="1693">
        <v>783</v>
      </c>
      <c r="F878" s="616">
        <v>1</v>
      </c>
      <c r="G878" s="1693">
        <v>870</v>
      </c>
      <c r="H878" s="616">
        <v>1</v>
      </c>
      <c r="J878" s="709" t="s">
        <v>512</v>
      </c>
      <c r="K878" s="1764" t="s">
        <v>1216</v>
      </c>
      <c r="L878" s="69"/>
      <c r="M878" s="69"/>
      <c r="O878" s="1235"/>
      <c r="P878" s="8" t="s">
        <v>595</v>
      </c>
      <c r="Q878" s="8"/>
      <c r="R878" s="8"/>
      <c r="W878" s="1920"/>
      <c r="X878" s="1922"/>
      <c r="Y878" s="1922"/>
      <c r="Z878" s="1922"/>
      <c r="AA878" s="1922"/>
      <c r="AB878" s="1922"/>
      <c r="AC878" s="1922"/>
      <c r="AD878" s="1922"/>
      <c r="AE878" s="1922"/>
      <c r="AF878" s="1922"/>
      <c r="AG878" s="1922"/>
      <c r="AH878" s="1922"/>
      <c r="AI878" s="1922"/>
      <c r="AJ878" s="1947">
        <v>0</v>
      </c>
      <c r="AK878" s="1948">
        <v>0</v>
      </c>
      <c r="AL878" s="1948">
        <v>0</v>
      </c>
      <c r="AM878" s="1948">
        <v>0</v>
      </c>
      <c r="AN878" s="1948">
        <v>0</v>
      </c>
      <c r="AO878" s="1948">
        <v>0</v>
      </c>
      <c r="AP878" s="1948">
        <v>0</v>
      </c>
    </row>
    <row r="879" spans="1:42" ht="14.5">
      <c r="A879" s="1693">
        <v>752</v>
      </c>
      <c r="B879" s="616">
        <v>757</v>
      </c>
      <c r="C879" s="1693">
        <v>758</v>
      </c>
      <c r="D879" s="616">
        <v>753</v>
      </c>
      <c r="E879" s="1693">
        <v>784</v>
      </c>
      <c r="F879" s="616">
        <v>1</v>
      </c>
      <c r="G879" s="1693">
        <v>871</v>
      </c>
      <c r="H879" s="616">
        <v>1</v>
      </c>
      <c r="J879" s="709" t="s">
        <v>512</v>
      </c>
      <c r="K879" s="69"/>
      <c r="L879" s="69"/>
      <c r="M879" s="69"/>
      <c r="O879" s="1235"/>
      <c r="P879" s="8" t="s">
        <v>596</v>
      </c>
      <c r="Q879" s="8"/>
      <c r="R879" s="8"/>
      <c r="W879" s="1920"/>
      <c r="X879" s="1922"/>
      <c r="Y879" s="1922"/>
      <c r="Z879" s="1922"/>
      <c r="AA879" s="1922"/>
      <c r="AB879" s="1922"/>
      <c r="AC879" s="1922"/>
      <c r="AD879" s="1922"/>
      <c r="AE879" s="1922"/>
      <c r="AF879" s="1922"/>
      <c r="AG879" s="1922"/>
      <c r="AH879" s="1922"/>
      <c r="AI879" s="1922"/>
      <c r="AJ879" s="1947">
        <v>0</v>
      </c>
      <c r="AK879" s="1948">
        <v>0</v>
      </c>
      <c r="AL879" s="1948">
        <v>0</v>
      </c>
      <c r="AM879" s="1948">
        <v>0</v>
      </c>
      <c r="AN879" s="1948">
        <v>0</v>
      </c>
      <c r="AO879" s="1948">
        <v>0</v>
      </c>
      <c r="AP879" s="1948">
        <v>0</v>
      </c>
    </row>
    <row r="880" spans="1:42" ht="14.5">
      <c r="A880" s="1693">
        <v>753</v>
      </c>
      <c r="B880" s="616">
        <v>758</v>
      </c>
      <c r="C880" s="1693">
        <v>759</v>
      </c>
      <c r="D880" s="616">
        <v>754</v>
      </c>
      <c r="E880" s="1693">
        <v>785</v>
      </c>
      <c r="F880" s="616">
        <v>1</v>
      </c>
      <c r="G880" s="1693">
        <v>872</v>
      </c>
      <c r="H880" s="616">
        <v>1</v>
      </c>
      <c r="J880" s="709" t="s">
        <v>512</v>
      </c>
      <c r="K880" s="1764" t="s">
        <v>1216</v>
      </c>
      <c r="L880" s="69"/>
      <c r="M880" s="69"/>
      <c r="O880" s="172"/>
      <c r="P880" s="8" t="s">
        <v>597</v>
      </c>
      <c r="W880" s="1920"/>
      <c r="X880" s="1922"/>
      <c r="Y880" s="1922"/>
      <c r="Z880" s="1922"/>
      <c r="AA880" s="1922"/>
      <c r="AB880" s="1922"/>
      <c r="AC880" s="1922"/>
      <c r="AD880" s="1922"/>
      <c r="AE880" s="1922"/>
      <c r="AF880" s="1922"/>
      <c r="AG880" s="1922"/>
      <c r="AH880" s="1922"/>
      <c r="AI880" s="1922"/>
      <c r="AJ880" s="1947">
        <v>0</v>
      </c>
      <c r="AK880" s="1948">
        <v>0</v>
      </c>
      <c r="AL880" s="1948">
        <v>0</v>
      </c>
      <c r="AM880" s="1948">
        <v>0</v>
      </c>
      <c r="AN880" s="1948">
        <v>0</v>
      </c>
      <c r="AO880" s="1948">
        <v>0</v>
      </c>
      <c r="AP880" s="1948">
        <v>0</v>
      </c>
    </row>
    <row r="881" spans="1:42" ht="14.5">
      <c r="A881" s="1693">
        <v>754</v>
      </c>
      <c r="B881" s="616">
        <v>759</v>
      </c>
      <c r="C881" s="1693">
        <v>760</v>
      </c>
      <c r="D881" s="616">
        <v>755</v>
      </c>
      <c r="E881" s="1693">
        <v>786</v>
      </c>
      <c r="F881" s="616">
        <v>1</v>
      </c>
      <c r="G881" s="1693">
        <v>873</v>
      </c>
      <c r="H881" s="616">
        <v>1</v>
      </c>
      <c r="J881" s="709" t="s">
        <v>512</v>
      </c>
      <c r="K881" s="69"/>
      <c r="L881" s="69"/>
      <c r="M881" s="69"/>
      <c r="O881" s="171"/>
      <c r="P881" s="11" t="s">
        <v>598</v>
      </c>
      <c r="Q881" s="16"/>
      <c r="R881" s="16"/>
      <c r="S881" s="11"/>
      <c r="T881" s="11"/>
      <c r="U881" s="11"/>
      <c r="V881" s="11"/>
      <c r="W881" s="1920"/>
      <c r="X881" s="1932"/>
      <c r="Y881" s="1932"/>
      <c r="Z881" s="1932"/>
      <c r="AA881" s="1932"/>
      <c r="AB881" s="1932"/>
      <c r="AC881" s="1932"/>
      <c r="AD881" s="1932"/>
      <c r="AE881" s="1932"/>
      <c r="AF881" s="1932"/>
      <c r="AG881" s="1932"/>
      <c r="AH881" s="1932"/>
      <c r="AI881" s="1932"/>
      <c r="AJ881" s="1949">
        <v>0</v>
      </c>
      <c r="AK881" s="1950">
        <v>0</v>
      </c>
      <c r="AL881" s="1950">
        <v>0</v>
      </c>
      <c r="AM881" s="1950">
        <v>0</v>
      </c>
      <c r="AN881" s="1950">
        <v>0</v>
      </c>
      <c r="AO881" s="1950">
        <v>0</v>
      </c>
      <c r="AP881" s="1950">
        <v>0</v>
      </c>
    </row>
    <row r="882" spans="1:42" s="69" customFormat="1" ht="14.5">
      <c r="A882" s="1693">
        <v>1</v>
      </c>
      <c r="B882" s="616">
        <v>1</v>
      </c>
      <c r="C882" s="1693">
        <v>1</v>
      </c>
      <c r="D882" s="616">
        <v>1</v>
      </c>
      <c r="E882" s="1693">
        <v>787</v>
      </c>
      <c r="F882" s="616">
        <v>1</v>
      </c>
      <c r="G882" s="1693">
        <v>874</v>
      </c>
      <c r="H882" s="616">
        <v>1</v>
      </c>
      <c r="I882" s="616"/>
      <c r="J882" s="709" t="s">
        <v>512</v>
      </c>
      <c r="L882" s="8"/>
      <c r="M882" s="8"/>
      <c r="N882" s="4"/>
      <c r="O882" s="12"/>
      <c r="P882" s="28"/>
      <c r="Q882" s="22"/>
      <c r="R882" s="22"/>
      <c r="S882" s="28"/>
      <c r="T882" s="3"/>
      <c r="U882" s="3"/>
      <c r="V882" s="3"/>
      <c r="W882" s="1850"/>
      <c r="X882" s="2199"/>
      <c r="Y882" s="2200"/>
      <c r="Z882" s="2200"/>
      <c r="AA882" s="2200"/>
      <c r="AB882" s="2200"/>
      <c r="AC882" s="2200"/>
      <c r="AD882" s="2200"/>
      <c r="AE882" s="2200"/>
      <c r="AF882" s="2200"/>
      <c r="AG882" s="2200"/>
      <c r="AH882" s="2200"/>
      <c r="AI882" s="2200"/>
      <c r="AJ882" s="2200"/>
      <c r="AK882" s="2200"/>
      <c r="AL882" s="2200"/>
      <c r="AM882" s="2200"/>
      <c r="AN882" s="2200"/>
      <c r="AO882" s="2200"/>
      <c r="AP882" s="2200"/>
    </row>
    <row r="883" spans="1:42" ht="14.5">
      <c r="A883" s="1693">
        <v>1</v>
      </c>
      <c r="B883" s="616">
        <v>1</v>
      </c>
      <c r="C883" s="1693">
        <v>1</v>
      </c>
      <c r="D883" s="616">
        <v>1</v>
      </c>
      <c r="E883" s="1693">
        <v>788</v>
      </c>
      <c r="F883" s="616">
        <v>1</v>
      </c>
      <c r="G883" s="1693">
        <v>875</v>
      </c>
      <c r="H883" s="616">
        <v>1</v>
      </c>
      <c r="K883" s="69"/>
      <c r="L883" s="4"/>
      <c r="M883" s="4"/>
      <c r="N883" s="4"/>
      <c r="O883" s="4"/>
      <c r="P883" s="3"/>
      <c r="Q883" s="4"/>
      <c r="R883" s="4"/>
      <c r="S883" s="3"/>
      <c r="T883" s="3"/>
      <c r="U883" s="3"/>
      <c r="V883" s="3"/>
      <c r="W883" s="1773"/>
      <c r="X883" s="1608"/>
      <c r="Y883" s="1609"/>
      <c r="Z883" s="1609"/>
      <c r="AA883" s="1609"/>
      <c r="AB883" s="1609"/>
      <c r="AC883" s="1609"/>
      <c r="AD883" s="1366"/>
      <c r="AE883" s="1366"/>
      <c r="AF883" s="1366"/>
      <c r="AG883" s="1242"/>
      <c r="AH883" s="69"/>
      <c r="AI883" s="69"/>
      <c r="AJ883" s="69"/>
      <c r="AK883" s="69"/>
      <c r="AL883" s="69"/>
      <c r="AM883" s="69"/>
      <c r="AN883" s="69"/>
      <c r="AO883" s="69"/>
      <c r="AP883" s="69"/>
    </row>
    <row r="884" spans="1:42" ht="25">
      <c r="A884" s="1693">
        <v>762</v>
      </c>
      <c r="B884" s="616">
        <v>1</v>
      </c>
      <c r="C884" s="1693">
        <v>763</v>
      </c>
      <c r="D884" s="616">
        <v>1</v>
      </c>
      <c r="E884" s="1693">
        <v>789</v>
      </c>
      <c r="F884" s="616">
        <v>1</v>
      </c>
      <c r="G884" s="1693">
        <v>876</v>
      </c>
      <c r="H884" s="616">
        <v>1</v>
      </c>
      <c r="J884" s="709" t="s">
        <v>512</v>
      </c>
      <c r="K884" s="1764" t="s">
        <v>1216</v>
      </c>
      <c r="L884" s="55" t="s">
        <v>1109</v>
      </c>
      <c r="M884" s="55"/>
      <c r="N884" s="453"/>
      <c r="V884" s="222"/>
      <c r="W884" s="1772"/>
      <c r="X884" s="1125"/>
      <c r="Y884" s="1366"/>
      <c r="Z884" s="1366"/>
      <c r="AA884" s="1366"/>
      <c r="AB884" s="1366"/>
      <c r="AC884" s="1366"/>
      <c r="AD884" s="1366"/>
      <c r="AE884" s="1366"/>
      <c r="AF884" s="1366"/>
      <c r="AG884" s="1366"/>
      <c r="AH884" s="69"/>
      <c r="AI884" s="69"/>
      <c r="AJ884" s="69"/>
      <c r="AK884" s="69"/>
      <c r="AL884" s="69"/>
      <c r="AM884" s="69"/>
      <c r="AN884" s="69"/>
      <c r="AO884" s="69"/>
      <c r="AP884" s="69"/>
    </row>
    <row r="885" spans="1:42" s="34" customFormat="1" ht="15.5">
      <c r="A885" s="1693">
        <v>763</v>
      </c>
      <c r="B885" s="616">
        <v>1</v>
      </c>
      <c r="C885" s="1693">
        <v>764</v>
      </c>
      <c r="D885" s="616">
        <v>1</v>
      </c>
      <c r="E885" s="1693">
        <v>790</v>
      </c>
      <c r="F885" s="616">
        <v>1</v>
      </c>
      <c r="G885" s="1693">
        <v>877</v>
      </c>
      <c r="H885" s="616">
        <v>1</v>
      </c>
      <c r="I885" s="616"/>
      <c r="J885" s="709" t="s">
        <v>512</v>
      </c>
      <c r="K885" s="1764" t="s">
        <v>1216</v>
      </c>
      <c r="M885" s="243" t="s">
        <v>932</v>
      </c>
      <c r="N885" s="454"/>
      <c r="O885" s="4"/>
      <c r="P885" s="3"/>
      <c r="Q885" s="4"/>
      <c r="R885" s="4"/>
      <c r="S885" s="3"/>
      <c r="T885" s="3"/>
      <c r="U885" s="3"/>
      <c r="V885" s="3"/>
      <c r="W885" s="1773"/>
      <c r="X885" s="1608"/>
      <c r="Y885" s="1609"/>
      <c r="Z885" s="1609"/>
      <c r="AA885" s="1609"/>
      <c r="AB885" s="1609"/>
      <c r="AC885" s="1609"/>
      <c r="AD885" s="1627"/>
      <c r="AE885" s="1627"/>
      <c r="AF885" s="1627"/>
      <c r="AG885" s="1627"/>
      <c r="AH885" s="454"/>
      <c r="AI885" s="454"/>
      <c r="AJ885" s="454"/>
      <c r="AK885" s="454"/>
      <c r="AL885" s="454"/>
      <c r="AM885" s="454"/>
      <c r="AN885" s="454"/>
      <c r="AO885" s="454"/>
      <c r="AP885" s="454"/>
    </row>
    <row r="886" spans="1:42" s="34" customFormat="1" ht="14.5">
      <c r="A886" s="1693">
        <v>764</v>
      </c>
      <c r="B886" s="616">
        <v>1</v>
      </c>
      <c r="C886" s="1693">
        <v>765</v>
      </c>
      <c r="D886" s="616">
        <v>1</v>
      </c>
      <c r="E886" s="1693">
        <v>791</v>
      </c>
      <c r="F886" s="616">
        <v>1</v>
      </c>
      <c r="G886" s="1693">
        <v>878</v>
      </c>
      <c r="H886" s="616">
        <v>1</v>
      </c>
      <c r="I886" s="616"/>
      <c r="J886" s="709" t="s">
        <v>512</v>
      </c>
      <c r="K886" s="1764" t="s">
        <v>1216</v>
      </c>
      <c r="L886" s="4"/>
      <c r="M886" s="4"/>
      <c r="N886" s="4" t="s">
        <v>31</v>
      </c>
      <c r="O886" s="4"/>
      <c r="P886" s="3"/>
      <c r="Q886" s="4"/>
      <c r="R886" s="4"/>
      <c r="S886" s="3"/>
      <c r="T886" s="3"/>
      <c r="U886" s="3"/>
      <c r="V886" s="3"/>
      <c r="W886" s="1773"/>
      <c r="X886" s="1608"/>
      <c r="Y886" s="1609"/>
      <c r="Z886" s="1609"/>
      <c r="AA886" s="1609"/>
      <c r="AB886" s="1609"/>
      <c r="AC886" s="1609"/>
      <c r="AD886" s="1627"/>
      <c r="AE886" s="1627"/>
      <c r="AF886" s="1627"/>
      <c r="AG886" s="1627"/>
      <c r="AH886" s="454"/>
      <c r="AI886" s="454"/>
      <c r="AJ886" s="454"/>
      <c r="AK886" s="454"/>
      <c r="AL886" s="454"/>
      <c r="AM886" s="454"/>
      <c r="AN886" s="454"/>
      <c r="AO886" s="454"/>
      <c r="AP886" s="454"/>
    </row>
    <row r="887" spans="1:42" s="2244" customFormat="1" ht="14.5">
      <c r="A887" s="1693">
        <v>765</v>
      </c>
      <c r="B887" s="616">
        <v>1</v>
      </c>
      <c r="C887" s="1693">
        <v>766</v>
      </c>
      <c r="D887" s="616">
        <v>1</v>
      </c>
      <c r="E887" s="1693">
        <v>792</v>
      </c>
      <c r="F887" s="616">
        <v>1</v>
      </c>
      <c r="G887" s="1693">
        <v>879</v>
      </c>
      <c r="H887" s="616">
        <v>1</v>
      </c>
      <c r="I887" s="616"/>
      <c r="J887" s="709" t="s">
        <v>512</v>
      </c>
      <c r="K887" s="1764" t="s">
        <v>1216</v>
      </c>
      <c r="L887" s="2236"/>
      <c r="M887" s="2236"/>
      <c r="N887" s="2237"/>
      <c r="O887" s="2238" t="s">
        <v>202</v>
      </c>
      <c r="P887" s="2239"/>
      <c r="Q887" s="2240"/>
      <c r="R887" s="2240"/>
      <c r="S887" s="2240"/>
      <c r="T887" s="2240"/>
      <c r="U887" s="2240"/>
      <c r="V887" s="2240"/>
      <c r="W887" s="2241"/>
      <c r="X887" s="2242">
        <v>762</v>
      </c>
      <c r="Y887" s="2243">
        <v>766</v>
      </c>
      <c r="Z887" s="2243">
        <v>774</v>
      </c>
      <c r="AA887" s="2243">
        <v>781</v>
      </c>
      <c r="AB887" s="2243">
        <v>785</v>
      </c>
      <c r="AC887" s="2243">
        <v>790</v>
      </c>
      <c r="AD887" s="2243">
        <v>797</v>
      </c>
      <c r="AE887" s="2243">
        <v>803</v>
      </c>
      <c r="AF887" s="2243">
        <v>809</v>
      </c>
      <c r="AG887" s="2243">
        <v>813</v>
      </c>
      <c r="AH887" s="2243">
        <v>817</v>
      </c>
      <c r="AI887" s="2243">
        <v>820</v>
      </c>
      <c r="AJ887" s="2243">
        <v>774</v>
      </c>
      <c r="AK887" s="2243">
        <v>790</v>
      </c>
      <c r="AL887" s="2243">
        <v>809</v>
      </c>
      <c r="AM887" s="2243">
        <v>820</v>
      </c>
      <c r="AN887" s="2243">
        <v>790</v>
      </c>
      <c r="AO887" s="2243">
        <v>820</v>
      </c>
      <c r="AP887" s="2243">
        <v>820</v>
      </c>
    </row>
    <row r="888" spans="1:42" s="34" customFormat="1" ht="14.5">
      <c r="A888" s="1693">
        <v>766</v>
      </c>
      <c r="B888" s="616">
        <v>1</v>
      </c>
      <c r="C888" s="1693">
        <v>767</v>
      </c>
      <c r="D888" s="616">
        <v>1</v>
      </c>
      <c r="E888" s="1693">
        <v>793</v>
      </c>
      <c r="F888" s="616">
        <v>1</v>
      </c>
      <c r="G888" s="1693">
        <v>880</v>
      </c>
      <c r="H888" s="616">
        <v>1</v>
      </c>
      <c r="I888" s="616"/>
      <c r="J888" s="709" t="s">
        <v>512</v>
      </c>
      <c r="K888" s="1764" t="s">
        <v>1216</v>
      </c>
      <c r="L888" s="4"/>
      <c r="M888" s="4"/>
      <c r="N888" s="4"/>
      <c r="O888" s="265"/>
      <c r="P888" s="48" t="s">
        <v>14</v>
      </c>
      <c r="Q888" s="48"/>
      <c r="R888" s="48"/>
      <c r="S888" s="47"/>
      <c r="T888" s="47"/>
      <c r="U888" s="47"/>
      <c r="V888" s="47"/>
      <c r="W888" s="1849"/>
      <c r="X888" s="1970">
        <v>185</v>
      </c>
      <c r="Y888" s="1970">
        <v>188</v>
      </c>
      <c r="Z888" s="1970">
        <v>192</v>
      </c>
      <c r="AA888" s="1970">
        <v>195</v>
      </c>
      <c r="AB888" s="1970">
        <v>196</v>
      </c>
      <c r="AC888" s="1970">
        <v>198</v>
      </c>
      <c r="AD888" s="1970">
        <v>199</v>
      </c>
      <c r="AE888" s="1970">
        <v>201</v>
      </c>
      <c r="AF888" s="1970">
        <v>203</v>
      </c>
      <c r="AG888" s="1970">
        <v>204</v>
      </c>
      <c r="AH888" s="1970">
        <v>205</v>
      </c>
      <c r="AI888" s="1970">
        <v>205</v>
      </c>
      <c r="AJ888" s="2044">
        <v>192</v>
      </c>
      <c r="AK888" s="1970">
        <v>198</v>
      </c>
      <c r="AL888" s="1970">
        <v>203</v>
      </c>
      <c r="AM888" s="1970">
        <v>205</v>
      </c>
      <c r="AN888" s="1970">
        <v>198</v>
      </c>
      <c r="AO888" s="1970">
        <v>205</v>
      </c>
      <c r="AP888" s="1970">
        <v>205</v>
      </c>
    </row>
    <row r="889" spans="1:42" s="34" customFormat="1" ht="14.5">
      <c r="A889" s="1693">
        <v>767</v>
      </c>
      <c r="B889" s="616">
        <v>1</v>
      </c>
      <c r="C889" s="1693">
        <v>768</v>
      </c>
      <c r="D889" s="616">
        <v>1</v>
      </c>
      <c r="E889" s="1693">
        <v>794</v>
      </c>
      <c r="F889" s="616">
        <v>1</v>
      </c>
      <c r="G889" s="1693">
        <v>881</v>
      </c>
      <c r="H889" s="616">
        <v>1</v>
      </c>
      <c r="I889" s="616"/>
      <c r="K889" s="454"/>
      <c r="L889" s="4"/>
      <c r="M889" s="4"/>
      <c r="N889" s="4"/>
      <c r="O889" s="265"/>
      <c r="P889" s="4"/>
      <c r="Q889" s="4"/>
      <c r="R889" s="4"/>
      <c r="S889" s="3"/>
      <c r="T889" s="41"/>
      <c r="U889" s="41" t="s">
        <v>45</v>
      </c>
      <c r="V889" s="3"/>
      <c r="W889" s="2245"/>
      <c r="X889" s="1895">
        <v>116</v>
      </c>
      <c r="Y889" s="1895">
        <v>118</v>
      </c>
      <c r="Z889" s="1895">
        <v>120</v>
      </c>
      <c r="AA889" s="1895">
        <v>122</v>
      </c>
      <c r="AB889" s="1895">
        <v>123</v>
      </c>
      <c r="AC889" s="1895">
        <v>125</v>
      </c>
      <c r="AD889" s="1895">
        <v>126</v>
      </c>
      <c r="AE889" s="1895">
        <v>128</v>
      </c>
      <c r="AF889" s="1895">
        <v>129</v>
      </c>
      <c r="AG889" s="1895">
        <v>130</v>
      </c>
      <c r="AH889" s="1895">
        <v>131</v>
      </c>
      <c r="AI889" s="1895">
        <v>131</v>
      </c>
      <c r="AJ889" s="1909">
        <v>120</v>
      </c>
      <c r="AK889" s="1910">
        <v>125</v>
      </c>
      <c r="AL889" s="1910">
        <v>129</v>
      </c>
      <c r="AM889" s="1910">
        <v>131</v>
      </c>
      <c r="AN889" s="1910">
        <v>125</v>
      </c>
      <c r="AO889" s="1910">
        <v>131</v>
      </c>
      <c r="AP889" s="1910">
        <v>131</v>
      </c>
    </row>
    <row r="890" spans="1:42" s="34" customFormat="1" ht="14.5">
      <c r="A890" s="1693">
        <v>768</v>
      </c>
      <c r="B890" s="616">
        <v>1</v>
      </c>
      <c r="C890" s="1693">
        <v>769</v>
      </c>
      <c r="D890" s="616">
        <v>1</v>
      </c>
      <c r="E890" s="1693">
        <v>795</v>
      </c>
      <c r="F890" s="616">
        <v>1</v>
      </c>
      <c r="G890" s="1693">
        <v>882</v>
      </c>
      <c r="H890" s="616">
        <v>1</v>
      </c>
      <c r="I890" s="616"/>
      <c r="K890" s="454"/>
      <c r="L890" s="4"/>
      <c r="M890" s="4"/>
      <c r="N890" s="4"/>
      <c r="O890" s="265"/>
      <c r="P890" s="4"/>
      <c r="Q890" s="4"/>
      <c r="R890" s="4"/>
      <c r="S890" s="3"/>
      <c r="T890" s="41"/>
      <c r="U890" s="41" t="s">
        <v>44</v>
      </c>
      <c r="V890" s="3"/>
      <c r="W890" s="2245"/>
      <c r="X890" s="1895">
        <v>7</v>
      </c>
      <c r="Y890" s="1895">
        <v>7</v>
      </c>
      <c r="Z890" s="1895">
        <v>7</v>
      </c>
      <c r="AA890" s="1895">
        <v>7</v>
      </c>
      <c r="AB890" s="1895">
        <v>7</v>
      </c>
      <c r="AC890" s="1895">
        <v>7</v>
      </c>
      <c r="AD890" s="1895">
        <v>7</v>
      </c>
      <c r="AE890" s="1895">
        <v>7</v>
      </c>
      <c r="AF890" s="1895">
        <v>7</v>
      </c>
      <c r="AG890" s="1895">
        <v>7</v>
      </c>
      <c r="AH890" s="1895">
        <v>7</v>
      </c>
      <c r="AI890" s="1895">
        <v>7</v>
      </c>
      <c r="AJ890" s="1909">
        <v>7</v>
      </c>
      <c r="AK890" s="1910">
        <v>7</v>
      </c>
      <c r="AL890" s="1910">
        <v>7</v>
      </c>
      <c r="AM890" s="1910">
        <v>7</v>
      </c>
      <c r="AN890" s="1910">
        <v>7</v>
      </c>
      <c r="AO890" s="1910">
        <v>7</v>
      </c>
      <c r="AP890" s="1910">
        <v>7</v>
      </c>
    </row>
    <row r="891" spans="1:42" s="34" customFormat="1" ht="14.5">
      <c r="A891" s="1693">
        <v>769</v>
      </c>
      <c r="B891" s="616">
        <v>1</v>
      </c>
      <c r="C891" s="1693">
        <v>770</v>
      </c>
      <c r="D891" s="616">
        <v>1</v>
      </c>
      <c r="E891" s="1693">
        <v>796</v>
      </c>
      <c r="F891" s="616">
        <v>1</v>
      </c>
      <c r="G891" s="1693">
        <v>883</v>
      </c>
      <c r="H891" s="616">
        <v>1</v>
      </c>
      <c r="I891" s="616"/>
      <c r="K891" s="454"/>
      <c r="L891" s="4"/>
      <c r="M891" s="4"/>
      <c r="N891" s="4"/>
      <c r="O891" s="265"/>
      <c r="P891" s="4"/>
      <c r="Q891" s="4"/>
      <c r="R891" s="4"/>
      <c r="S891" s="3"/>
      <c r="T891" s="41"/>
      <c r="U891" s="41" t="s">
        <v>43</v>
      </c>
      <c r="V891" s="3"/>
      <c r="W891" s="2245"/>
      <c r="X891" s="1895">
        <v>28</v>
      </c>
      <c r="Y891" s="1895">
        <v>28</v>
      </c>
      <c r="Z891" s="1895">
        <v>28</v>
      </c>
      <c r="AA891" s="1895">
        <v>29</v>
      </c>
      <c r="AB891" s="1895">
        <v>29</v>
      </c>
      <c r="AC891" s="1895">
        <v>29</v>
      </c>
      <c r="AD891" s="1895">
        <v>29</v>
      </c>
      <c r="AE891" s="1895">
        <v>29</v>
      </c>
      <c r="AF891" s="1895">
        <v>29</v>
      </c>
      <c r="AG891" s="1895">
        <v>29</v>
      </c>
      <c r="AH891" s="1895">
        <v>29</v>
      </c>
      <c r="AI891" s="1895">
        <v>29</v>
      </c>
      <c r="AJ891" s="1909">
        <v>28</v>
      </c>
      <c r="AK891" s="1910">
        <v>29</v>
      </c>
      <c r="AL891" s="1910">
        <v>29</v>
      </c>
      <c r="AM891" s="1910">
        <v>29</v>
      </c>
      <c r="AN891" s="1910">
        <v>29</v>
      </c>
      <c r="AO891" s="1910">
        <v>29</v>
      </c>
      <c r="AP891" s="1910">
        <v>29</v>
      </c>
    </row>
    <row r="892" spans="1:42" s="34" customFormat="1" ht="14.5">
      <c r="A892" s="1693">
        <v>770</v>
      </c>
      <c r="B892" s="616">
        <v>1</v>
      </c>
      <c r="C892" s="1693">
        <v>771</v>
      </c>
      <c r="D892" s="616">
        <v>1</v>
      </c>
      <c r="E892" s="1693">
        <v>797</v>
      </c>
      <c r="F892" s="616">
        <v>1</v>
      </c>
      <c r="G892" s="1693">
        <v>884</v>
      </c>
      <c r="H892" s="616">
        <v>1</v>
      </c>
      <c r="I892" s="616"/>
      <c r="K892" s="454"/>
      <c r="L892" s="4"/>
      <c r="M892" s="4"/>
      <c r="N892" s="4"/>
      <c r="O892" s="265"/>
      <c r="P892" s="2"/>
      <c r="Q892" s="2"/>
      <c r="R892" s="2"/>
      <c r="S892" s="1"/>
      <c r="T892" s="39"/>
      <c r="U892" s="39" t="s">
        <v>40</v>
      </c>
      <c r="V892" s="1"/>
      <c r="W892" s="2245"/>
      <c r="X892" s="2246">
        <v>34</v>
      </c>
      <c r="Y892" s="2246">
        <v>35</v>
      </c>
      <c r="Z892" s="2246">
        <v>37</v>
      </c>
      <c r="AA892" s="2246">
        <v>37</v>
      </c>
      <c r="AB892" s="2246">
        <v>37</v>
      </c>
      <c r="AC892" s="2246">
        <v>37</v>
      </c>
      <c r="AD892" s="2246">
        <v>37</v>
      </c>
      <c r="AE892" s="2246">
        <v>37</v>
      </c>
      <c r="AF892" s="2246">
        <v>38</v>
      </c>
      <c r="AG892" s="2246">
        <v>38</v>
      </c>
      <c r="AH892" s="2246">
        <v>38</v>
      </c>
      <c r="AI892" s="2246">
        <v>38</v>
      </c>
      <c r="AJ892" s="2247">
        <v>37</v>
      </c>
      <c r="AK892" s="2248">
        <v>37</v>
      </c>
      <c r="AL892" s="2248">
        <v>38</v>
      </c>
      <c r="AM892" s="2248">
        <v>38</v>
      </c>
      <c r="AN892" s="2248">
        <v>37</v>
      </c>
      <c r="AO892" s="2248">
        <v>38</v>
      </c>
      <c r="AP892" s="2248">
        <v>38</v>
      </c>
    </row>
    <row r="893" spans="1:42" s="34" customFormat="1" ht="14.5">
      <c r="A893" s="1693">
        <v>771</v>
      </c>
      <c r="B893" s="616">
        <v>1</v>
      </c>
      <c r="C893" s="1693">
        <v>772</v>
      </c>
      <c r="D893" s="616">
        <v>1</v>
      </c>
      <c r="E893" s="1693">
        <v>798</v>
      </c>
      <c r="F893" s="616">
        <v>1</v>
      </c>
      <c r="G893" s="1693">
        <v>885</v>
      </c>
      <c r="H893" s="616">
        <v>1</v>
      </c>
      <c r="I893" s="616"/>
      <c r="J893" s="709" t="s">
        <v>512</v>
      </c>
      <c r="K893" s="1764" t="s">
        <v>1216</v>
      </c>
      <c r="L893" s="4"/>
      <c r="M893" s="4"/>
      <c r="N893" s="4"/>
      <c r="O893" s="265"/>
      <c r="P893" s="48" t="s">
        <v>204</v>
      </c>
      <c r="Q893" s="48"/>
      <c r="R893" s="48"/>
      <c r="S893" s="47"/>
      <c r="T893" s="47"/>
      <c r="U893" s="47"/>
      <c r="V893" s="47"/>
      <c r="W893" s="1850"/>
      <c r="X893" s="1970">
        <v>437</v>
      </c>
      <c r="Y893" s="1970">
        <v>438</v>
      </c>
      <c r="Z893" s="1970">
        <v>440</v>
      </c>
      <c r="AA893" s="1970">
        <v>442</v>
      </c>
      <c r="AB893" s="1970">
        <v>444</v>
      </c>
      <c r="AC893" s="1970">
        <v>446</v>
      </c>
      <c r="AD893" s="1970">
        <v>450</v>
      </c>
      <c r="AE893" s="1970">
        <v>454</v>
      </c>
      <c r="AF893" s="1970">
        <v>458</v>
      </c>
      <c r="AG893" s="1970">
        <v>461</v>
      </c>
      <c r="AH893" s="1970">
        <v>464</v>
      </c>
      <c r="AI893" s="1970">
        <v>467</v>
      </c>
      <c r="AJ893" s="2249">
        <v>440</v>
      </c>
      <c r="AK893" s="2250">
        <v>446</v>
      </c>
      <c r="AL893" s="2250">
        <v>458</v>
      </c>
      <c r="AM893" s="2250">
        <v>467</v>
      </c>
      <c r="AN893" s="2250">
        <v>446</v>
      </c>
      <c r="AO893" s="2250">
        <v>467</v>
      </c>
      <c r="AP893" s="2250">
        <v>467</v>
      </c>
    </row>
    <row r="894" spans="1:42" s="34" customFormat="1" ht="14.5">
      <c r="A894" s="1693">
        <v>772</v>
      </c>
      <c r="B894" s="616">
        <v>1</v>
      </c>
      <c r="C894" s="1693">
        <v>773</v>
      </c>
      <c r="D894" s="616">
        <v>1</v>
      </c>
      <c r="E894" s="1693">
        <v>799</v>
      </c>
      <c r="F894" s="616">
        <v>1</v>
      </c>
      <c r="G894" s="1693">
        <v>886</v>
      </c>
      <c r="H894" s="616">
        <v>1</v>
      </c>
      <c r="I894" s="616"/>
      <c r="K894" s="454"/>
      <c r="L894" s="4"/>
      <c r="M894" s="4"/>
      <c r="N894" s="4"/>
      <c r="O894" s="265"/>
      <c r="P894" s="4"/>
      <c r="Q894" s="4"/>
      <c r="R894" s="4"/>
      <c r="S894" s="3"/>
      <c r="T894" s="41"/>
      <c r="U894" s="41" t="s">
        <v>15</v>
      </c>
      <c r="V894" s="3"/>
      <c r="W894" s="2245"/>
      <c r="X894" s="1895">
        <v>355</v>
      </c>
      <c r="Y894" s="1895">
        <v>356</v>
      </c>
      <c r="Z894" s="1895">
        <v>358</v>
      </c>
      <c r="AA894" s="1895">
        <v>360</v>
      </c>
      <c r="AB894" s="1895">
        <v>362</v>
      </c>
      <c r="AC894" s="1895">
        <v>364</v>
      </c>
      <c r="AD894" s="1895">
        <v>366</v>
      </c>
      <c r="AE894" s="1895">
        <v>369</v>
      </c>
      <c r="AF894" s="1895">
        <v>371</v>
      </c>
      <c r="AG894" s="1895">
        <v>373</v>
      </c>
      <c r="AH894" s="1895">
        <v>374</v>
      </c>
      <c r="AI894" s="1895">
        <v>375</v>
      </c>
      <c r="AJ894" s="1909">
        <v>358</v>
      </c>
      <c r="AK894" s="1910">
        <v>364</v>
      </c>
      <c r="AL894" s="1910">
        <v>371</v>
      </c>
      <c r="AM894" s="1910">
        <v>375</v>
      </c>
      <c r="AN894" s="1910">
        <v>364</v>
      </c>
      <c r="AO894" s="1910">
        <v>375</v>
      </c>
      <c r="AP894" s="1910">
        <v>375</v>
      </c>
    </row>
    <row r="895" spans="1:42" s="34" customFormat="1" ht="14.5">
      <c r="A895" s="1693">
        <v>773</v>
      </c>
      <c r="B895" s="616">
        <v>1</v>
      </c>
      <c r="C895" s="1693">
        <v>774</v>
      </c>
      <c r="D895" s="616">
        <v>1</v>
      </c>
      <c r="E895" s="1693">
        <v>800</v>
      </c>
      <c r="F895" s="616">
        <v>1</v>
      </c>
      <c r="G895" s="1693">
        <v>887</v>
      </c>
      <c r="H895" s="616">
        <v>1</v>
      </c>
      <c r="I895" s="616"/>
      <c r="K895" s="454"/>
      <c r="L895" s="4"/>
      <c r="M895" s="4"/>
      <c r="N895" s="4"/>
      <c r="O895" s="265"/>
      <c r="P895" s="4"/>
      <c r="Q895" s="4"/>
      <c r="R895" s="4"/>
      <c r="S895" s="3"/>
      <c r="T895" s="41"/>
      <c r="U895" s="41" t="s">
        <v>16</v>
      </c>
      <c r="V895" s="3"/>
      <c r="W895" s="2245"/>
      <c r="X895" s="1895">
        <v>1</v>
      </c>
      <c r="Y895" s="1895">
        <v>1</v>
      </c>
      <c r="Z895" s="1895">
        <v>1</v>
      </c>
      <c r="AA895" s="1895">
        <v>1</v>
      </c>
      <c r="AB895" s="1895">
        <v>1</v>
      </c>
      <c r="AC895" s="1895">
        <v>1</v>
      </c>
      <c r="AD895" s="1895">
        <v>3</v>
      </c>
      <c r="AE895" s="1895">
        <v>4</v>
      </c>
      <c r="AF895" s="1895">
        <v>6</v>
      </c>
      <c r="AG895" s="1895">
        <v>7</v>
      </c>
      <c r="AH895" s="1895">
        <v>9</v>
      </c>
      <c r="AI895" s="1895">
        <v>11</v>
      </c>
      <c r="AJ895" s="1909">
        <v>1</v>
      </c>
      <c r="AK895" s="1910">
        <v>1</v>
      </c>
      <c r="AL895" s="1910">
        <v>6</v>
      </c>
      <c r="AM895" s="1910">
        <v>11</v>
      </c>
      <c r="AN895" s="1910">
        <v>1</v>
      </c>
      <c r="AO895" s="1910">
        <v>11</v>
      </c>
      <c r="AP895" s="1910">
        <v>11</v>
      </c>
    </row>
    <row r="896" spans="1:42" s="34" customFormat="1" ht="14.5">
      <c r="A896" s="1693">
        <v>774</v>
      </c>
      <c r="B896" s="616">
        <v>1</v>
      </c>
      <c r="C896" s="1693">
        <v>775</v>
      </c>
      <c r="D896" s="616">
        <v>1</v>
      </c>
      <c r="E896" s="1693">
        <v>801</v>
      </c>
      <c r="F896" s="616">
        <v>1</v>
      </c>
      <c r="G896" s="1693">
        <v>888</v>
      </c>
      <c r="H896" s="616">
        <v>1</v>
      </c>
      <c r="I896" s="616"/>
      <c r="K896" s="454"/>
      <c r="L896" s="4"/>
      <c r="M896" s="4"/>
      <c r="N896" s="4"/>
      <c r="O896" s="265"/>
      <c r="P896" s="4"/>
      <c r="Q896" s="4"/>
      <c r="R896" s="4"/>
      <c r="S896" s="3"/>
      <c r="T896" s="41"/>
      <c r="U896" s="41" t="s">
        <v>42</v>
      </c>
      <c r="V896" s="3"/>
      <c r="W896" s="2245"/>
      <c r="X896" s="1895">
        <v>48</v>
      </c>
      <c r="Y896" s="1895">
        <v>48</v>
      </c>
      <c r="Z896" s="1895">
        <v>48</v>
      </c>
      <c r="AA896" s="1895">
        <v>48</v>
      </c>
      <c r="AB896" s="1895">
        <v>48</v>
      </c>
      <c r="AC896" s="1895">
        <v>48</v>
      </c>
      <c r="AD896" s="1895">
        <v>48</v>
      </c>
      <c r="AE896" s="1895">
        <v>48</v>
      </c>
      <c r="AF896" s="1895">
        <v>48</v>
      </c>
      <c r="AG896" s="1895">
        <v>48</v>
      </c>
      <c r="AH896" s="1895">
        <v>48</v>
      </c>
      <c r="AI896" s="1895">
        <v>48</v>
      </c>
      <c r="AJ896" s="1909">
        <v>48</v>
      </c>
      <c r="AK896" s="1910">
        <v>48</v>
      </c>
      <c r="AL896" s="1910">
        <v>48</v>
      </c>
      <c r="AM896" s="1910">
        <v>48</v>
      </c>
      <c r="AN896" s="1910">
        <v>48</v>
      </c>
      <c r="AO896" s="1910">
        <v>48</v>
      </c>
      <c r="AP896" s="1910">
        <v>48</v>
      </c>
    </row>
    <row r="897" spans="1:42" s="34" customFormat="1" ht="14.5">
      <c r="A897" s="1693">
        <v>775</v>
      </c>
      <c r="B897" s="616">
        <v>1</v>
      </c>
      <c r="C897" s="1693">
        <v>776</v>
      </c>
      <c r="D897" s="616">
        <v>1</v>
      </c>
      <c r="E897" s="1693">
        <v>802</v>
      </c>
      <c r="F897" s="616">
        <v>1</v>
      </c>
      <c r="G897" s="1693">
        <v>889</v>
      </c>
      <c r="H897" s="616">
        <v>1</v>
      </c>
      <c r="I897" s="616"/>
      <c r="K897" s="454"/>
      <c r="L897" s="4"/>
      <c r="M897" s="4"/>
      <c r="N897" s="4"/>
      <c r="O897" s="265"/>
      <c r="P897" s="4"/>
      <c r="Q897" s="4"/>
      <c r="R897" s="4"/>
      <c r="S897" s="3"/>
      <c r="T897" s="41"/>
      <c r="U897" s="41" t="s">
        <v>41</v>
      </c>
      <c r="V897" s="3"/>
      <c r="W897" s="2245"/>
      <c r="X897" s="1895">
        <v>0</v>
      </c>
      <c r="Y897" s="1895">
        <v>0</v>
      </c>
      <c r="Z897" s="1895">
        <v>0</v>
      </c>
      <c r="AA897" s="1895">
        <v>0</v>
      </c>
      <c r="AB897" s="1895">
        <v>0</v>
      </c>
      <c r="AC897" s="1895">
        <v>0</v>
      </c>
      <c r="AD897" s="1895">
        <v>0</v>
      </c>
      <c r="AE897" s="1895">
        <v>0</v>
      </c>
      <c r="AF897" s="1895">
        <v>0</v>
      </c>
      <c r="AG897" s="1895">
        <v>0</v>
      </c>
      <c r="AH897" s="1895">
        <v>0</v>
      </c>
      <c r="AI897" s="1895">
        <v>0</v>
      </c>
      <c r="AJ897" s="1909">
        <v>0</v>
      </c>
      <c r="AK897" s="1910">
        <v>0</v>
      </c>
      <c r="AL897" s="1910">
        <v>0</v>
      </c>
      <c r="AM897" s="1910">
        <v>0</v>
      </c>
      <c r="AN897" s="1910">
        <v>0</v>
      </c>
      <c r="AO897" s="1910">
        <v>0</v>
      </c>
      <c r="AP897" s="1910">
        <v>0</v>
      </c>
    </row>
    <row r="898" spans="1:42" s="34" customFormat="1" ht="14.5">
      <c r="A898" s="1693">
        <v>776</v>
      </c>
      <c r="B898" s="616">
        <v>1</v>
      </c>
      <c r="C898" s="1693">
        <v>777</v>
      </c>
      <c r="D898" s="616">
        <v>1</v>
      </c>
      <c r="E898" s="1693">
        <v>803</v>
      </c>
      <c r="F898" s="616">
        <v>1</v>
      </c>
      <c r="G898" s="1693">
        <v>890</v>
      </c>
      <c r="H898" s="616">
        <v>1</v>
      </c>
      <c r="I898" s="616"/>
      <c r="K898" s="454"/>
      <c r="L898" s="4"/>
      <c r="M898" s="4"/>
      <c r="N898" s="4"/>
      <c r="O898" s="265"/>
      <c r="P898" s="4"/>
      <c r="Q898" s="4"/>
      <c r="R898" s="4"/>
      <c r="S898" s="3"/>
      <c r="T898" s="41"/>
      <c r="U898" s="41" t="s">
        <v>40</v>
      </c>
      <c r="V898" s="3"/>
      <c r="W898" s="2245"/>
      <c r="X898" s="1895">
        <v>33</v>
      </c>
      <c r="Y898" s="1895">
        <v>33</v>
      </c>
      <c r="Z898" s="1895">
        <v>33</v>
      </c>
      <c r="AA898" s="1895">
        <v>33</v>
      </c>
      <c r="AB898" s="1895">
        <v>33</v>
      </c>
      <c r="AC898" s="1895">
        <v>33</v>
      </c>
      <c r="AD898" s="1895">
        <v>33</v>
      </c>
      <c r="AE898" s="1895">
        <v>33</v>
      </c>
      <c r="AF898" s="1895">
        <v>33</v>
      </c>
      <c r="AG898" s="1895">
        <v>33</v>
      </c>
      <c r="AH898" s="1895">
        <v>33</v>
      </c>
      <c r="AI898" s="1895">
        <v>33</v>
      </c>
      <c r="AJ898" s="1909">
        <v>33</v>
      </c>
      <c r="AK898" s="1910">
        <v>33</v>
      </c>
      <c r="AL898" s="1910">
        <v>33</v>
      </c>
      <c r="AM898" s="1910">
        <v>33</v>
      </c>
      <c r="AN898" s="1910">
        <v>33</v>
      </c>
      <c r="AO898" s="1910">
        <v>33</v>
      </c>
      <c r="AP898" s="1910">
        <v>33</v>
      </c>
    </row>
    <row r="899" spans="1:42" s="34" customFormat="1" ht="14.5">
      <c r="A899" s="1693">
        <v>777</v>
      </c>
      <c r="B899" s="616">
        <v>1</v>
      </c>
      <c r="C899" s="1693">
        <v>778</v>
      </c>
      <c r="D899" s="616">
        <v>1</v>
      </c>
      <c r="E899" s="1693">
        <v>804</v>
      </c>
      <c r="F899" s="616">
        <v>1</v>
      </c>
      <c r="G899" s="1693">
        <v>891</v>
      </c>
      <c r="H899" s="616">
        <v>1</v>
      </c>
      <c r="I899" s="616"/>
      <c r="J899" s="709" t="s">
        <v>512</v>
      </c>
      <c r="K899" s="1764" t="s">
        <v>1216</v>
      </c>
      <c r="L899" s="4"/>
      <c r="M899" s="4"/>
      <c r="N899" s="4"/>
      <c r="O899" s="265"/>
      <c r="P899" s="252" t="s">
        <v>207</v>
      </c>
      <c r="Q899" s="252"/>
      <c r="R899" s="252"/>
      <c r="S899" s="251"/>
      <c r="T899" s="251"/>
      <c r="U899" s="251"/>
      <c r="V899" s="251"/>
      <c r="W899" s="1850"/>
      <c r="X899" s="1986">
        <v>20</v>
      </c>
      <c r="Y899" s="1986">
        <v>20</v>
      </c>
      <c r="Z899" s="1986">
        <v>20</v>
      </c>
      <c r="AA899" s="1986">
        <v>20</v>
      </c>
      <c r="AB899" s="1986">
        <v>20</v>
      </c>
      <c r="AC899" s="1986">
        <v>21</v>
      </c>
      <c r="AD899" s="1986">
        <v>21</v>
      </c>
      <c r="AE899" s="1986">
        <v>21</v>
      </c>
      <c r="AF899" s="1986">
        <v>21</v>
      </c>
      <c r="AG899" s="1986">
        <v>21</v>
      </c>
      <c r="AH899" s="1986">
        <v>21</v>
      </c>
      <c r="AI899" s="1986">
        <v>21</v>
      </c>
      <c r="AJ899" s="2251">
        <v>20</v>
      </c>
      <c r="AK899" s="2252">
        <v>21</v>
      </c>
      <c r="AL899" s="2252">
        <v>21</v>
      </c>
      <c r="AM899" s="2252">
        <v>21</v>
      </c>
      <c r="AN899" s="2252">
        <v>21</v>
      </c>
      <c r="AO899" s="2252">
        <v>21</v>
      </c>
      <c r="AP899" s="2252">
        <v>21</v>
      </c>
    </row>
    <row r="900" spans="1:42" s="34" customFormat="1" ht="14.5">
      <c r="A900" s="1693">
        <v>778</v>
      </c>
      <c r="B900" s="616">
        <v>1</v>
      </c>
      <c r="C900" s="1693">
        <v>779</v>
      </c>
      <c r="D900" s="616">
        <v>1</v>
      </c>
      <c r="E900" s="1693">
        <v>805</v>
      </c>
      <c r="F900" s="616">
        <v>1</v>
      </c>
      <c r="G900" s="1693">
        <v>892</v>
      </c>
      <c r="H900" s="616">
        <v>1</v>
      </c>
      <c r="I900" s="616"/>
      <c r="K900" s="454"/>
      <c r="L900" s="4"/>
      <c r="M900" s="4"/>
      <c r="N900" s="4"/>
      <c r="O900" s="265"/>
      <c r="P900" s="4"/>
      <c r="Q900" s="4"/>
      <c r="R900" s="4"/>
      <c r="S900" s="3"/>
      <c r="T900" s="41"/>
      <c r="U900" s="41" t="s">
        <v>198</v>
      </c>
      <c r="V900" s="3"/>
      <c r="W900" s="2245"/>
      <c r="X900" s="1895">
        <v>9</v>
      </c>
      <c r="Y900" s="1895">
        <v>9</v>
      </c>
      <c r="Z900" s="1895">
        <v>9</v>
      </c>
      <c r="AA900" s="1895">
        <v>9</v>
      </c>
      <c r="AB900" s="1895">
        <v>9</v>
      </c>
      <c r="AC900" s="1895">
        <v>10</v>
      </c>
      <c r="AD900" s="1895">
        <v>10</v>
      </c>
      <c r="AE900" s="1895">
        <v>10</v>
      </c>
      <c r="AF900" s="1895">
        <v>10</v>
      </c>
      <c r="AG900" s="1895">
        <v>10</v>
      </c>
      <c r="AH900" s="1895">
        <v>10</v>
      </c>
      <c r="AI900" s="1895">
        <v>10</v>
      </c>
      <c r="AJ900" s="1909">
        <v>9</v>
      </c>
      <c r="AK900" s="1910">
        <v>10</v>
      </c>
      <c r="AL900" s="1910">
        <v>10</v>
      </c>
      <c r="AM900" s="1910">
        <v>10</v>
      </c>
      <c r="AN900" s="1910">
        <v>10</v>
      </c>
      <c r="AO900" s="1910">
        <v>10</v>
      </c>
      <c r="AP900" s="1910">
        <v>10</v>
      </c>
    </row>
    <row r="901" spans="1:42" s="34" customFormat="1" ht="14.5">
      <c r="A901" s="1693">
        <v>779</v>
      </c>
      <c r="B901" s="616">
        <v>1</v>
      </c>
      <c r="C901" s="1693">
        <v>780</v>
      </c>
      <c r="D901" s="616">
        <v>1</v>
      </c>
      <c r="E901" s="1693">
        <v>806</v>
      </c>
      <c r="F901" s="616">
        <v>1</v>
      </c>
      <c r="G901" s="1693">
        <v>893</v>
      </c>
      <c r="H901" s="616">
        <v>1</v>
      </c>
      <c r="I901" s="616"/>
      <c r="K901" s="454"/>
      <c r="L901" s="4"/>
      <c r="M901" s="4"/>
      <c r="N901" s="4"/>
      <c r="O901" s="265"/>
      <c r="P901" s="4"/>
      <c r="Q901" s="4"/>
      <c r="R901" s="4"/>
      <c r="S901" s="3"/>
      <c r="T901" s="41"/>
      <c r="U901" s="41" t="s">
        <v>199</v>
      </c>
      <c r="V901" s="3"/>
      <c r="W901" s="2245"/>
      <c r="X901" s="1895">
        <v>0</v>
      </c>
      <c r="Y901" s="1895">
        <v>0</v>
      </c>
      <c r="Z901" s="1895">
        <v>0</v>
      </c>
      <c r="AA901" s="1895">
        <v>0</v>
      </c>
      <c r="AB901" s="1895">
        <v>0</v>
      </c>
      <c r="AC901" s="1895">
        <v>0</v>
      </c>
      <c r="AD901" s="1895">
        <v>0</v>
      </c>
      <c r="AE901" s="1895">
        <v>0</v>
      </c>
      <c r="AF901" s="1895">
        <v>0</v>
      </c>
      <c r="AG901" s="1895">
        <v>0</v>
      </c>
      <c r="AH901" s="1895">
        <v>0</v>
      </c>
      <c r="AI901" s="1895">
        <v>0</v>
      </c>
      <c r="AJ901" s="1909">
        <v>0</v>
      </c>
      <c r="AK901" s="1910">
        <v>0</v>
      </c>
      <c r="AL901" s="1910">
        <v>0</v>
      </c>
      <c r="AM901" s="1910">
        <v>0</v>
      </c>
      <c r="AN901" s="1910">
        <v>0</v>
      </c>
      <c r="AO901" s="1910">
        <v>0</v>
      </c>
      <c r="AP901" s="1910">
        <v>0</v>
      </c>
    </row>
    <row r="902" spans="1:42" s="34" customFormat="1" ht="14.5">
      <c r="A902" s="1693">
        <v>780</v>
      </c>
      <c r="B902" s="616">
        <v>1</v>
      </c>
      <c r="C902" s="1693">
        <v>781</v>
      </c>
      <c r="D902" s="616">
        <v>1</v>
      </c>
      <c r="E902" s="1693">
        <v>807</v>
      </c>
      <c r="F902" s="616">
        <v>1</v>
      </c>
      <c r="G902" s="1693">
        <v>894</v>
      </c>
      <c r="H902" s="616">
        <v>1</v>
      </c>
      <c r="I902" s="616"/>
      <c r="K902" s="454"/>
      <c r="L902" s="4"/>
      <c r="M902" s="4"/>
      <c r="N902" s="4"/>
      <c r="O902" s="265"/>
      <c r="P902" s="4"/>
      <c r="Q902" s="4"/>
      <c r="R902" s="4"/>
      <c r="S902" s="3"/>
      <c r="T902" s="41"/>
      <c r="U902" s="41" t="s">
        <v>200</v>
      </c>
      <c r="V902" s="3"/>
      <c r="W902" s="2245"/>
      <c r="X902" s="1895">
        <v>9</v>
      </c>
      <c r="Y902" s="1895">
        <v>9</v>
      </c>
      <c r="Z902" s="1895">
        <v>9</v>
      </c>
      <c r="AA902" s="1895">
        <v>9</v>
      </c>
      <c r="AB902" s="1895">
        <v>9</v>
      </c>
      <c r="AC902" s="1895">
        <v>9</v>
      </c>
      <c r="AD902" s="1895">
        <v>9</v>
      </c>
      <c r="AE902" s="1895">
        <v>9</v>
      </c>
      <c r="AF902" s="1895">
        <v>9</v>
      </c>
      <c r="AG902" s="1895">
        <v>9</v>
      </c>
      <c r="AH902" s="1895">
        <v>9</v>
      </c>
      <c r="AI902" s="1895">
        <v>9</v>
      </c>
      <c r="AJ902" s="1909">
        <v>9</v>
      </c>
      <c r="AK902" s="1910">
        <v>9</v>
      </c>
      <c r="AL902" s="1910">
        <v>9</v>
      </c>
      <c r="AM902" s="1910">
        <v>9</v>
      </c>
      <c r="AN902" s="1910">
        <v>9</v>
      </c>
      <c r="AO902" s="1910">
        <v>9</v>
      </c>
      <c r="AP902" s="1910">
        <v>9</v>
      </c>
    </row>
    <row r="903" spans="1:42" s="34" customFormat="1" ht="14.5">
      <c r="A903" s="1693">
        <v>781</v>
      </c>
      <c r="B903" s="616">
        <v>1</v>
      </c>
      <c r="C903" s="1693">
        <v>782</v>
      </c>
      <c r="D903" s="616">
        <v>1</v>
      </c>
      <c r="E903" s="1693">
        <v>808</v>
      </c>
      <c r="F903" s="616">
        <v>1</v>
      </c>
      <c r="G903" s="1693">
        <v>895</v>
      </c>
      <c r="H903" s="616">
        <v>1</v>
      </c>
      <c r="I903" s="616"/>
      <c r="K903" s="454"/>
      <c r="L903" s="4"/>
      <c r="M903" s="4"/>
      <c r="N903" s="4"/>
      <c r="O903" s="265"/>
      <c r="P903" s="2"/>
      <c r="Q903" s="2"/>
      <c r="R903" s="2"/>
      <c r="S903" s="1"/>
      <c r="T903" s="39"/>
      <c r="U903" s="39" t="s">
        <v>201</v>
      </c>
      <c r="V903" s="1"/>
      <c r="W903" s="2245"/>
      <c r="X903" s="2246">
        <v>2</v>
      </c>
      <c r="Y903" s="2246">
        <v>2</v>
      </c>
      <c r="Z903" s="2246">
        <v>2</v>
      </c>
      <c r="AA903" s="2246">
        <v>2</v>
      </c>
      <c r="AB903" s="2246">
        <v>2</v>
      </c>
      <c r="AC903" s="2246">
        <v>2</v>
      </c>
      <c r="AD903" s="2246">
        <v>2</v>
      </c>
      <c r="AE903" s="2246">
        <v>2</v>
      </c>
      <c r="AF903" s="2246">
        <v>2</v>
      </c>
      <c r="AG903" s="2246">
        <v>2</v>
      </c>
      <c r="AH903" s="2246">
        <v>2</v>
      </c>
      <c r="AI903" s="2246">
        <v>2</v>
      </c>
      <c r="AJ903" s="2247">
        <v>2</v>
      </c>
      <c r="AK903" s="2248">
        <v>2</v>
      </c>
      <c r="AL903" s="2248">
        <v>2</v>
      </c>
      <c r="AM903" s="2248">
        <v>2</v>
      </c>
      <c r="AN903" s="2248">
        <v>2</v>
      </c>
      <c r="AO903" s="2248">
        <v>2</v>
      </c>
      <c r="AP903" s="2248">
        <v>2</v>
      </c>
    </row>
    <row r="904" spans="1:42" s="34" customFormat="1" ht="14.5">
      <c r="A904" s="1693">
        <v>782</v>
      </c>
      <c r="B904" s="616">
        <v>1</v>
      </c>
      <c r="C904" s="1693">
        <v>783</v>
      </c>
      <c r="D904" s="616">
        <v>1</v>
      </c>
      <c r="E904" s="1693">
        <v>809</v>
      </c>
      <c r="F904" s="616">
        <v>1</v>
      </c>
      <c r="G904" s="1693">
        <v>896</v>
      </c>
      <c r="H904" s="616">
        <v>1</v>
      </c>
      <c r="I904" s="616"/>
      <c r="J904" s="709" t="s">
        <v>512</v>
      </c>
      <c r="K904" s="1764" t="s">
        <v>1216</v>
      </c>
      <c r="L904" s="4"/>
      <c r="M904" s="4"/>
      <c r="N904" s="4"/>
      <c r="O904" s="265"/>
      <c r="P904" s="48" t="s">
        <v>17</v>
      </c>
      <c r="Q904" s="48"/>
      <c r="R904" s="48"/>
      <c r="S904" s="47"/>
      <c r="T904" s="47"/>
      <c r="U904" s="47"/>
      <c r="V904" s="47"/>
      <c r="W904" s="1850"/>
      <c r="X904" s="1970">
        <v>81</v>
      </c>
      <c r="Y904" s="1970">
        <v>81</v>
      </c>
      <c r="Z904" s="1970">
        <v>82</v>
      </c>
      <c r="AA904" s="1970">
        <v>84</v>
      </c>
      <c r="AB904" s="1970">
        <v>85</v>
      </c>
      <c r="AC904" s="1970">
        <v>85</v>
      </c>
      <c r="AD904" s="1970">
        <v>87</v>
      </c>
      <c r="AE904" s="1970">
        <v>87</v>
      </c>
      <c r="AF904" s="1970">
        <v>87</v>
      </c>
      <c r="AG904" s="1970">
        <v>87</v>
      </c>
      <c r="AH904" s="1970">
        <v>87</v>
      </c>
      <c r="AI904" s="1970">
        <v>87</v>
      </c>
      <c r="AJ904" s="2249">
        <v>82</v>
      </c>
      <c r="AK904" s="2250">
        <v>85</v>
      </c>
      <c r="AL904" s="2250">
        <v>87</v>
      </c>
      <c r="AM904" s="2250">
        <v>87</v>
      </c>
      <c r="AN904" s="2250">
        <v>85</v>
      </c>
      <c r="AO904" s="2250">
        <v>87</v>
      </c>
      <c r="AP904" s="2250">
        <v>87</v>
      </c>
    </row>
    <row r="905" spans="1:42" s="34" customFormat="1" ht="14.5">
      <c r="A905" s="1693">
        <v>783</v>
      </c>
      <c r="B905" s="616">
        <v>1</v>
      </c>
      <c r="C905" s="1693">
        <v>784</v>
      </c>
      <c r="D905" s="616">
        <v>1</v>
      </c>
      <c r="E905" s="1693">
        <v>810</v>
      </c>
      <c r="F905" s="616">
        <v>1</v>
      </c>
      <c r="G905" s="1693">
        <v>897</v>
      </c>
      <c r="H905" s="616">
        <v>1</v>
      </c>
      <c r="I905" s="616"/>
      <c r="K905" s="454"/>
      <c r="L905" s="4"/>
      <c r="M905" s="4"/>
      <c r="N905" s="4"/>
      <c r="O905" s="265"/>
      <c r="P905" s="4"/>
      <c r="Q905" s="4"/>
      <c r="R905" s="3"/>
      <c r="S905" s="3"/>
      <c r="T905" s="41"/>
      <c r="U905" s="41" t="s">
        <v>39</v>
      </c>
      <c r="V905" s="41"/>
      <c r="W905" s="2245"/>
      <c r="X905" s="1895">
        <v>8</v>
      </c>
      <c r="Y905" s="1895">
        <v>8</v>
      </c>
      <c r="Z905" s="1895">
        <v>8</v>
      </c>
      <c r="AA905" s="1895">
        <v>8</v>
      </c>
      <c r="AB905" s="1895">
        <v>9</v>
      </c>
      <c r="AC905" s="1895">
        <v>9</v>
      </c>
      <c r="AD905" s="1895">
        <v>9</v>
      </c>
      <c r="AE905" s="1895">
        <v>9</v>
      </c>
      <c r="AF905" s="1895">
        <v>9</v>
      </c>
      <c r="AG905" s="1895">
        <v>9</v>
      </c>
      <c r="AH905" s="1895">
        <v>9</v>
      </c>
      <c r="AI905" s="1895">
        <v>9</v>
      </c>
      <c r="AJ905" s="1909">
        <v>8</v>
      </c>
      <c r="AK905" s="1910">
        <v>9</v>
      </c>
      <c r="AL905" s="1910">
        <v>9</v>
      </c>
      <c r="AM905" s="1910">
        <v>9</v>
      </c>
      <c r="AN905" s="1910">
        <v>9</v>
      </c>
      <c r="AO905" s="1910">
        <v>9</v>
      </c>
      <c r="AP905" s="1910">
        <v>9</v>
      </c>
    </row>
    <row r="906" spans="1:42" s="34" customFormat="1" ht="14.5">
      <c r="A906" s="1693">
        <v>784</v>
      </c>
      <c r="B906" s="616">
        <v>1</v>
      </c>
      <c r="C906" s="1693">
        <v>785</v>
      </c>
      <c r="D906" s="616">
        <v>1</v>
      </c>
      <c r="E906" s="1693">
        <v>811</v>
      </c>
      <c r="F906" s="616">
        <v>1</v>
      </c>
      <c r="G906" s="1693">
        <v>898</v>
      </c>
      <c r="H906" s="616">
        <v>1</v>
      </c>
      <c r="I906" s="616"/>
      <c r="K906" s="454"/>
      <c r="L906" s="4"/>
      <c r="M906" s="4"/>
      <c r="N906" s="4"/>
      <c r="O906" s="265"/>
      <c r="P906" s="4"/>
      <c r="Q906" s="4"/>
      <c r="R906" s="3"/>
      <c r="S906" s="3"/>
      <c r="T906" s="41"/>
      <c r="U906" s="41" t="s">
        <v>18</v>
      </c>
      <c r="V906" s="41"/>
      <c r="W906" s="2245"/>
      <c r="X906" s="1895">
        <v>44</v>
      </c>
      <c r="Y906" s="1895">
        <v>44</v>
      </c>
      <c r="Z906" s="1895">
        <v>44</v>
      </c>
      <c r="AA906" s="1895">
        <v>44</v>
      </c>
      <c r="AB906" s="1895">
        <v>44</v>
      </c>
      <c r="AC906" s="1895">
        <v>44</v>
      </c>
      <c r="AD906" s="1895">
        <v>45</v>
      </c>
      <c r="AE906" s="1895">
        <v>45</v>
      </c>
      <c r="AF906" s="1895">
        <v>45</v>
      </c>
      <c r="AG906" s="1895">
        <v>45</v>
      </c>
      <c r="AH906" s="1895">
        <v>45</v>
      </c>
      <c r="AI906" s="1895">
        <v>45</v>
      </c>
      <c r="AJ906" s="1909">
        <v>44</v>
      </c>
      <c r="AK906" s="1910">
        <v>44</v>
      </c>
      <c r="AL906" s="1910">
        <v>45</v>
      </c>
      <c r="AM906" s="1910">
        <v>45</v>
      </c>
      <c r="AN906" s="1910">
        <v>44</v>
      </c>
      <c r="AO906" s="1910">
        <v>45</v>
      </c>
      <c r="AP906" s="1910">
        <v>45</v>
      </c>
    </row>
    <row r="907" spans="1:42" s="34" customFormat="1" ht="14.5">
      <c r="A907" s="1693">
        <v>785</v>
      </c>
      <c r="B907" s="616">
        <v>1</v>
      </c>
      <c r="C907" s="1693">
        <v>786</v>
      </c>
      <c r="D907" s="616">
        <v>1</v>
      </c>
      <c r="E907" s="1693">
        <v>812</v>
      </c>
      <c r="F907" s="616">
        <v>1</v>
      </c>
      <c r="G907" s="1693">
        <v>899</v>
      </c>
      <c r="H907" s="616">
        <v>1</v>
      </c>
      <c r="I907" s="616"/>
      <c r="K907" s="454"/>
      <c r="L907" s="4"/>
      <c r="M907" s="4"/>
      <c r="N907" s="4"/>
      <c r="O907" s="265"/>
      <c r="P907" s="4"/>
      <c r="Q907" s="4"/>
      <c r="R907" s="3"/>
      <c r="S907" s="3"/>
      <c r="T907" s="41"/>
      <c r="U907" s="41" t="s">
        <v>19</v>
      </c>
      <c r="V907" s="41"/>
      <c r="W907" s="2245"/>
      <c r="X907" s="1895">
        <v>9</v>
      </c>
      <c r="Y907" s="1895">
        <v>9</v>
      </c>
      <c r="Z907" s="1895">
        <v>10</v>
      </c>
      <c r="AA907" s="1895">
        <v>10</v>
      </c>
      <c r="AB907" s="1895">
        <v>10</v>
      </c>
      <c r="AC907" s="1895">
        <v>10</v>
      </c>
      <c r="AD907" s="1895">
        <v>10</v>
      </c>
      <c r="AE907" s="1895">
        <v>10</v>
      </c>
      <c r="AF907" s="1895">
        <v>10</v>
      </c>
      <c r="AG907" s="1895">
        <v>10</v>
      </c>
      <c r="AH907" s="1895">
        <v>10</v>
      </c>
      <c r="AI907" s="1895">
        <v>10</v>
      </c>
      <c r="AJ907" s="1909">
        <v>10</v>
      </c>
      <c r="AK907" s="1910">
        <v>10</v>
      </c>
      <c r="AL907" s="1910">
        <v>10</v>
      </c>
      <c r="AM907" s="1910">
        <v>10</v>
      </c>
      <c r="AN907" s="1910">
        <v>10</v>
      </c>
      <c r="AO907" s="1910">
        <v>10</v>
      </c>
      <c r="AP907" s="1910">
        <v>10</v>
      </c>
    </row>
    <row r="908" spans="1:42" s="34" customFormat="1" ht="14.5">
      <c r="A908" s="1693">
        <v>786</v>
      </c>
      <c r="B908" s="616">
        <v>1</v>
      </c>
      <c r="C908" s="1693">
        <v>787</v>
      </c>
      <c r="D908" s="616">
        <v>1</v>
      </c>
      <c r="E908" s="1693">
        <v>813</v>
      </c>
      <c r="F908" s="616">
        <v>1</v>
      </c>
      <c r="G908" s="1693">
        <v>900</v>
      </c>
      <c r="H908" s="616">
        <v>1</v>
      </c>
      <c r="I908" s="616"/>
      <c r="K908" s="454"/>
      <c r="L908" s="4"/>
      <c r="M908" s="4"/>
      <c r="N908" s="4"/>
      <c r="O908" s="265"/>
      <c r="P908" s="4"/>
      <c r="Q908" s="4"/>
      <c r="R908" s="3"/>
      <c r="S908" s="3"/>
      <c r="T908" s="41"/>
      <c r="U908" s="41" t="s">
        <v>20</v>
      </c>
      <c r="V908" s="41"/>
      <c r="W908" s="2245"/>
      <c r="X908" s="1895">
        <v>0</v>
      </c>
      <c r="Y908" s="1895">
        <v>0</v>
      </c>
      <c r="Z908" s="1895">
        <v>0</v>
      </c>
      <c r="AA908" s="1895">
        <v>0</v>
      </c>
      <c r="AB908" s="1895">
        <v>0</v>
      </c>
      <c r="AC908" s="1895">
        <v>0</v>
      </c>
      <c r="AD908" s="1895">
        <v>0</v>
      </c>
      <c r="AE908" s="1895">
        <v>0</v>
      </c>
      <c r="AF908" s="1895">
        <v>0</v>
      </c>
      <c r="AG908" s="1895">
        <v>0</v>
      </c>
      <c r="AH908" s="1895">
        <v>0</v>
      </c>
      <c r="AI908" s="1895">
        <v>0</v>
      </c>
      <c r="AJ908" s="1909">
        <v>0</v>
      </c>
      <c r="AK908" s="1910">
        <v>0</v>
      </c>
      <c r="AL908" s="1910">
        <v>0</v>
      </c>
      <c r="AM908" s="1910">
        <v>0</v>
      </c>
      <c r="AN908" s="1910">
        <v>0</v>
      </c>
      <c r="AO908" s="1910">
        <v>0</v>
      </c>
      <c r="AP908" s="1910">
        <v>0</v>
      </c>
    </row>
    <row r="909" spans="1:42" s="34" customFormat="1" ht="14.5">
      <c r="A909" s="1693">
        <v>787</v>
      </c>
      <c r="B909" s="616">
        <v>1</v>
      </c>
      <c r="C909" s="1693">
        <v>788</v>
      </c>
      <c r="D909" s="616">
        <v>1</v>
      </c>
      <c r="E909" s="1693">
        <v>814</v>
      </c>
      <c r="F909" s="616">
        <v>1</v>
      </c>
      <c r="G909" s="1693">
        <v>901</v>
      </c>
      <c r="H909" s="616">
        <v>1</v>
      </c>
      <c r="I909" s="616"/>
      <c r="K909" s="454"/>
      <c r="L909" s="4"/>
      <c r="M909" s="4"/>
      <c r="N909" s="4"/>
      <c r="O909" s="265"/>
      <c r="P909" s="4"/>
      <c r="Q909" s="4"/>
      <c r="R909" s="3"/>
      <c r="S909" s="3"/>
      <c r="T909" s="41"/>
      <c r="U909" s="41" t="s">
        <v>2</v>
      </c>
      <c r="V909" s="41"/>
      <c r="W909" s="2245"/>
      <c r="X909" s="1895">
        <v>20</v>
      </c>
      <c r="Y909" s="1895">
        <v>20</v>
      </c>
      <c r="Z909" s="1895">
        <v>20</v>
      </c>
      <c r="AA909" s="1895">
        <v>22</v>
      </c>
      <c r="AB909" s="1895">
        <v>22</v>
      </c>
      <c r="AC909" s="1895">
        <v>22</v>
      </c>
      <c r="AD909" s="1895">
        <v>23</v>
      </c>
      <c r="AE909" s="1895">
        <v>23</v>
      </c>
      <c r="AF909" s="1895">
        <v>23</v>
      </c>
      <c r="AG909" s="1895">
        <v>23</v>
      </c>
      <c r="AH909" s="1895">
        <v>23</v>
      </c>
      <c r="AI909" s="1895">
        <v>23</v>
      </c>
      <c r="AJ909" s="1909">
        <v>20</v>
      </c>
      <c r="AK909" s="1910">
        <v>22</v>
      </c>
      <c r="AL909" s="1910">
        <v>23</v>
      </c>
      <c r="AM909" s="1910">
        <v>23</v>
      </c>
      <c r="AN909" s="1910">
        <v>22</v>
      </c>
      <c r="AO909" s="1910">
        <v>23</v>
      </c>
      <c r="AP909" s="1910">
        <v>23</v>
      </c>
    </row>
    <row r="910" spans="1:42" s="34" customFormat="1" ht="14.5">
      <c r="A910" s="1693">
        <v>788</v>
      </c>
      <c r="B910" s="616">
        <v>1</v>
      </c>
      <c r="C910" s="1693">
        <v>789</v>
      </c>
      <c r="D910" s="616">
        <v>1</v>
      </c>
      <c r="E910" s="1693">
        <v>815</v>
      </c>
      <c r="F910" s="616">
        <v>1</v>
      </c>
      <c r="G910" s="1693">
        <v>902</v>
      </c>
      <c r="H910" s="616">
        <v>1</v>
      </c>
      <c r="I910" s="616"/>
      <c r="J910" s="709" t="s">
        <v>512</v>
      </c>
      <c r="K910" s="1764" t="s">
        <v>1216</v>
      </c>
      <c r="L910" s="4"/>
      <c r="M910" s="4"/>
      <c r="N910" s="4"/>
      <c r="O910" s="265"/>
      <c r="P910" s="252" t="s">
        <v>206</v>
      </c>
      <c r="Q910" s="252"/>
      <c r="R910" s="252"/>
      <c r="S910" s="251"/>
      <c r="T910" s="251"/>
      <c r="U910" s="251"/>
      <c r="V910" s="251"/>
      <c r="W910" s="1850"/>
      <c r="X910" s="1986">
        <v>39</v>
      </c>
      <c r="Y910" s="1986">
        <v>39</v>
      </c>
      <c r="Z910" s="1986">
        <v>40</v>
      </c>
      <c r="AA910" s="1986">
        <v>40</v>
      </c>
      <c r="AB910" s="1986">
        <v>40</v>
      </c>
      <c r="AC910" s="1986">
        <v>40</v>
      </c>
      <c r="AD910" s="1986">
        <v>40</v>
      </c>
      <c r="AE910" s="1986">
        <v>40</v>
      </c>
      <c r="AF910" s="1986">
        <v>40</v>
      </c>
      <c r="AG910" s="1986">
        <v>40</v>
      </c>
      <c r="AH910" s="1986">
        <v>40</v>
      </c>
      <c r="AI910" s="1986">
        <v>40</v>
      </c>
      <c r="AJ910" s="2251">
        <v>40</v>
      </c>
      <c r="AK910" s="2252">
        <v>40</v>
      </c>
      <c r="AL910" s="2252">
        <v>40</v>
      </c>
      <c r="AM910" s="2252">
        <v>40</v>
      </c>
      <c r="AN910" s="2252">
        <v>40</v>
      </c>
      <c r="AO910" s="2252">
        <v>40</v>
      </c>
      <c r="AP910" s="2252">
        <v>40</v>
      </c>
    </row>
    <row r="911" spans="1:42" s="34" customFormat="1" ht="14.5">
      <c r="A911" s="1693">
        <v>789</v>
      </c>
      <c r="B911" s="616">
        <v>1</v>
      </c>
      <c r="C911" s="1693">
        <v>790</v>
      </c>
      <c r="D911" s="616">
        <v>1</v>
      </c>
      <c r="E911" s="1693">
        <v>816</v>
      </c>
      <c r="F911" s="616">
        <v>1</v>
      </c>
      <c r="G911" s="1693">
        <v>903</v>
      </c>
      <c r="H911" s="616">
        <v>1</v>
      </c>
      <c r="I911" s="616"/>
      <c r="K911" s="454"/>
      <c r="L911" s="4"/>
      <c r="M911" s="4"/>
      <c r="N911" s="4"/>
      <c r="O911" s="265"/>
      <c r="P911" s="4"/>
      <c r="Q911" s="4"/>
      <c r="R911" s="3"/>
      <c r="S911" s="3"/>
      <c r="T911" s="41"/>
      <c r="U911" s="41" t="s">
        <v>21</v>
      </c>
      <c r="V911" s="41"/>
      <c r="W911" s="2245"/>
      <c r="X911" s="1895">
        <v>14</v>
      </c>
      <c r="Y911" s="1895">
        <v>14</v>
      </c>
      <c r="Z911" s="1895">
        <v>14</v>
      </c>
      <c r="AA911" s="1895">
        <v>14</v>
      </c>
      <c r="AB911" s="1895">
        <v>14</v>
      </c>
      <c r="AC911" s="1895">
        <v>14</v>
      </c>
      <c r="AD911" s="1895">
        <v>14</v>
      </c>
      <c r="AE911" s="1895">
        <v>14</v>
      </c>
      <c r="AF911" s="1895">
        <v>14</v>
      </c>
      <c r="AG911" s="1895">
        <v>14</v>
      </c>
      <c r="AH911" s="1895">
        <v>14</v>
      </c>
      <c r="AI911" s="1895">
        <v>14</v>
      </c>
      <c r="AJ911" s="1909">
        <v>14</v>
      </c>
      <c r="AK911" s="1910">
        <v>14</v>
      </c>
      <c r="AL911" s="1910">
        <v>14</v>
      </c>
      <c r="AM911" s="1910">
        <v>14</v>
      </c>
      <c r="AN911" s="1910">
        <v>14</v>
      </c>
      <c r="AO911" s="1910">
        <v>14</v>
      </c>
      <c r="AP911" s="1910">
        <v>14</v>
      </c>
    </row>
    <row r="912" spans="1:42" s="34" customFormat="1" ht="14.5">
      <c r="A912" s="1693">
        <v>790</v>
      </c>
      <c r="B912" s="616">
        <v>1</v>
      </c>
      <c r="C912" s="1693">
        <v>791</v>
      </c>
      <c r="D912" s="616">
        <v>1</v>
      </c>
      <c r="E912" s="1693">
        <v>817</v>
      </c>
      <c r="F912" s="616">
        <v>1</v>
      </c>
      <c r="G912" s="1693">
        <v>904</v>
      </c>
      <c r="H912" s="616">
        <v>1</v>
      </c>
      <c r="I912" s="616"/>
      <c r="K912" s="454"/>
      <c r="L912" s="4"/>
      <c r="M912" s="4"/>
      <c r="N912" s="4"/>
      <c r="O912" s="265"/>
      <c r="P912" s="4"/>
      <c r="Q912" s="4"/>
      <c r="R912" s="3"/>
      <c r="S912" s="3"/>
      <c r="T912" s="41"/>
      <c r="U912" s="41" t="s">
        <v>22</v>
      </c>
      <c r="V912" s="41"/>
      <c r="W912" s="2245"/>
      <c r="X912" s="1895">
        <v>25</v>
      </c>
      <c r="Y912" s="1895">
        <v>25</v>
      </c>
      <c r="Z912" s="1895">
        <v>26</v>
      </c>
      <c r="AA912" s="1895">
        <v>26</v>
      </c>
      <c r="AB912" s="1895">
        <v>26</v>
      </c>
      <c r="AC912" s="1895">
        <v>26</v>
      </c>
      <c r="AD912" s="1895">
        <v>26</v>
      </c>
      <c r="AE912" s="1895">
        <v>26</v>
      </c>
      <c r="AF912" s="1895">
        <v>26</v>
      </c>
      <c r="AG912" s="1895">
        <v>26</v>
      </c>
      <c r="AH912" s="1895">
        <v>26</v>
      </c>
      <c r="AI912" s="1895">
        <v>26</v>
      </c>
      <c r="AJ912" s="1909">
        <v>26</v>
      </c>
      <c r="AK912" s="1910">
        <v>26</v>
      </c>
      <c r="AL912" s="1910">
        <v>26</v>
      </c>
      <c r="AM912" s="1910">
        <v>26</v>
      </c>
      <c r="AN912" s="1910">
        <v>26</v>
      </c>
      <c r="AO912" s="1910">
        <v>26</v>
      </c>
      <c r="AP912" s="1910">
        <v>26</v>
      </c>
    </row>
    <row r="913" spans="1:42" s="34" customFormat="1" ht="14.5">
      <c r="A913" s="1693">
        <v>791</v>
      </c>
      <c r="B913" s="616">
        <v>1</v>
      </c>
      <c r="C913" s="1693">
        <v>792</v>
      </c>
      <c r="D913" s="616">
        <v>1</v>
      </c>
      <c r="E913" s="1693">
        <v>818</v>
      </c>
      <c r="F913" s="616">
        <v>1</v>
      </c>
      <c r="G913" s="1693">
        <v>905</v>
      </c>
      <c r="H913" s="616">
        <v>1</v>
      </c>
      <c r="I913" s="616"/>
      <c r="K913" s="454"/>
      <c r="L913" s="4"/>
      <c r="M913" s="4"/>
      <c r="N913" s="4"/>
      <c r="O913" s="266"/>
      <c r="P913" s="2"/>
      <c r="Q913" s="2"/>
      <c r="R913" s="1"/>
      <c r="S913" s="1"/>
      <c r="T913" s="39"/>
      <c r="U913" s="39" t="s">
        <v>23</v>
      </c>
      <c r="V913" s="39"/>
      <c r="W913" s="2245"/>
      <c r="X913" s="2246">
        <v>0</v>
      </c>
      <c r="Y913" s="2246">
        <v>0</v>
      </c>
      <c r="Z913" s="2246">
        <v>0</v>
      </c>
      <c r="AA913" s="2246">
        <v>0</v>
      </c>
      <c r="AB913" s="2246">
        <v>0</v>
      </c>
      <c r="AC913" s="2246">
        <v>0</v>
      </c>
      <c r="AD913" s="2246">
        <v>0</v>
      </c>
      <c r="AE913" s="2246">
        <v>0</v>
      </c>
      <c r="AF913" s="2246">
        <v>0</v>
      </c>
      <c r="AG913" s="2246">
        <v>0</v>
      </c>
      <c r="AH913" s="2246">
        <v>0</v>
      </c>
      <c r="AI913" s="2246">
        <v>0</v>
      </c>
      <c r="AJ913" s="2247">
        <v>0</v>
      </c>
      <c r="AK913" s="2248">
        <v>0</v>
      </c>
      <c r="AL913" s="2248">
        <v>0</v>
      </c>
      <c r="AM913" s="2248">
        <v>0</v>
      </c>
      <c r="AN913" s="2248">
        <v>0</v>
      </c>
      <c r="AO913" s="2248">
        <v>0</v>
      </c>
      <c r="AP913" s="2248">
        <v>0</v>
      </c>
    </row>
    <row r="914" spans="1:42" s="34" customFormat="1" ht="14.5">
      <c r="A914" s="1693">
        <v>792</v>
      </c>
      <c r="B914" s="616">
        <v>1</v>
      </c>
      <c r="C914" s="1693">
        <v>793</v>
      </c>
      <c r="D914" s="616">
        <v>1</v>
      </c>
      <c r="E914" s="1693">
        <v>819</v>
      </c>
      <c r="F914" s="616">
        <v>1</v>
      </c>
      <c r="G914" s="1693">
        <v>906</v>
      </c>
      <c r="H914" s="616">
        <v>1</v>
      </c>
      <c r="I914" s="616"/>
      <c r="J914" s="709" t="s">
        <v>512</v>
      </c>
      <c r="K914" s="1764" t="s">
        <v>1216</v>
      </c>
      <c r="L914" s="4"/>
      <c r="M914" s="4"/>
      <c r="N914" s="4"/>
      <c r="O914" s="2253" t="s">
        <v>1110</v>
      </c>
      <c r="P914" s="1523"/>
      <c r="Q914" s="1509"/>
      <c r="R914" s="1509"/>
      <c r="S914" s="1523"/>
      <c r="T914" s="1523"/>
      <c r="U914" s="1523"/>
      <c r="V914" s="1523"/>
      <c r="W914" s="1850"/>
      <c r="X914" s="2254">
        <v>27</v>
      </c>
      <c r="Y914" s="2254">
        <v>27</v>
      </c>
      <c r="Z914" s="2254">
        <v>27</v>
      </c>
      <c r="AA914" s="2254">
        <v>27</v>
      </c>
      <c r="AB914" s="2254">
        <v>27</v>
      </c>
      <c r="AC914" s="2254">
        <v>27</v>
      </c>
      <c r="AD914" s="2254">
        <v>27</v>
      </c>
      <c r="AE914" s="2254">
        <v>27</v>
      </c>
      <c r="AF914" s="2254">
        <v>27</v>
      </c>
      <c r="AG914" s="2254">
        <v>27</v>
      </c>
      <c r="AH914" s="2254">
        <v>27</v>
      </c>
      <c r="AI914" s="2254">
        <v>27</v>
      </c>
      <c r="AJ914" s="2255">
        <v>27</v>
      </c>
      <c r="AK914" s="2256">
        <v>27</v>
      </c>
      <c r="AL914" s="2256">
        <v>27</v>
      </c>
      <c r="AM914" s="2256">
        <v>27</v>
      </c>
      <c r="AN914" s="2256">
        <v>27</v>
      </c>
      <c r="AO914" s="2256">
        <v>27</v>
      </c>
      <c r="AP914" s="2256">
        <v>27</v>
      </c>
    </row>
    <row r="915" spans="1:42" s="34" customFormat="1" ht="14.5">
      <c r="A915" s="1693">
        <v>793</v>
      </c>
      <c r="B915" s="616">
        <v>1</v>
      </c>
      <c r="C915" s="1693">
        <v>794</v>
      </c>
      <c r="D915" s="616">
        <v>1</v>
      </c>
      <c r="E915" s="1693">
        <v>820</v>
      </c>
      <c r="F915" s="616">
        <v>1</v>
      </c>
      <c r="G915" s="1693">
        <v>907</v>
      </c>
      <c r="H915" s="616">
        <v>1</v>
      </c>
      <c r="I915" s="616"/>
      <c r="J915" s="709" t="s">
        <v>512</v>
      </c>
      <c r="K915" s="1764" t="s">
        <v>1216</v>
      </c>
      <c r="L915" s="4"/>
      <c r="M915" s="4"/>
      <c r="N915" s="4"/>
      <c r="O915" s="4"/>
      <c r="P915" s="3"/>
      <c r="Q915" s="4"/>
      <c r="R915" s="4"/>
      <c r="S915" s="3"/>
      <c r="T915" s="3"/>
      <c r="U915" s="3"/>
      <c r="V915" s="3"/>
      <c r="W915" s="1773"/>
      <c r="X915" s="2257"/>
      <c r="Y915" s="1629"/>
      <c r="Z915" s="1629"/>
      <c r="AA915" s="1629"/>
      <c r="AB915" s="1629"/>
      <c r="AC915" s="1629"/>
      <c r="AD915" s="1629"/>
      <c r="AE915" s="1629"/>
      <c r="AF915" s="1629"/>
      <c r="AG915" s="1629"/>
      <c r="AH915" s="454"/>
      <c r="AI915" s="454"/>
      <c r="AJ915" s="454"/>
      <c r="AK915" s="454"/>
      <c r="AL915" s="454"/>
      <c r="AM915" s="454"/>
      <c r="AN915" s="454"/>
      <c r="AO915" s="454"/>
      <c r="AP915" s="454"/>
    </row>
    <row r="916" spans="1:42" s="34" customFormat="1" ht="15.5">
      <c r="A916" s="1693">
        <v>794</v>
      </c>
      <c r="B916" s="616">
        <v>1</v>
      </c>
      <c r="C916" s="1693">
        <v>795</v>
      </c>
      <c r="D916" s="616">
        <v>1</v>
      </c>
      <c r="E916" s="1693">
        <v>821</v>
      </c>
      <c r="F916" s="616">
        <v>1</v>
      </c>
      <c r="G916" s="1693">
        <v>908</v>
      </c>
      <c r="H916" s="616">
        <v>1</v>
      </c>
      <c r="I916" s="616"/>
      <c r="J916" s="709" t="s">
        <v>512</v>
      </c>
      <c r="K916" s="1764" t="s">
        <v>1216</v>
      </c>
      <c r="M916" s="243" t="s">
        <v>933</v>
      </c>
      <c r="N916" s="454"/>
      <c r="O916" s="4"/>
      <c r="P916" s="3"/>
      <c r="Q916" s="4"/>
      <c r="R916" s="4"/>
      <c r="S916" s="3"/>
      <c r="T916" s="3"/>
      <c r="U916" s="3"/>
      <c r="V916" s="3"/>
      <c r="W916" s="1773"/>
      <c r="X916" s="1630"/>
      <c r="Y916" s="1631"/>
      <c r="Z916" s="1631"/>
      <c r="AA916" s="1631"/>
      <c r="AB916" s="1631"/>
      <c r="AC916" s="1631"/>
      <c r="AD916" s="1631"/>
      <c r="AE916" s="1631"/>
      <c r="AF916" s="1631"/>
      <c r="AG916" s="1631"/>
      <c r="AH916" s="454"/>
      <c r="AI916" s="454"/>
      <c r="AJ916" s="454"/>
      <c r="AK916" s="454"/>
      <c r="AL916" s="454"/>
      <c r="AM916" s="454"/>
      <c r="AN916" s="454"/>
      <c r="AO916" s="454"/>
      <c r="AP916" s="454"/>
    </row>
    <row r="917" spans="1:42" s="34" customFormat="1" ht="14.5">
      <c r="A917" s="1693">
        <v>795</v>
      </c>
      <c r="B917" s="616">
        <v>1</v>
      </c>
      <c r="C917" s="1693">
        <v>796</v>
      </c>
      <c r="D917" s="616">
        <v>1</v>
      </c>
      <c r="E917" s="1693">
        <v>822</v>
      </c>
      <c r="F917" s="616">
        <v>1</v>
      </c>
      <c r="G917" s="1693">
        <v>909</v>
      </c>
      <c r="H917" s="616">
        <v>1</v>
      </c>
      <c r="I917" s="616"/>
      <c r="J917" s="709" t="s">
        <v>512</v>
      </c>
      <c r="K917" s="1764" t="s">
        <v>1216</v>
      </c>
      <c r="L917" s="4"/>
      <c r="M917" s="4"/>
      <c r="N917" s="4" t="s">
        <v>30</v>
      </c>
      <c r="O917" s="4"/>
      <c r="P917" s="3"/>
      <c r="Q917" s="4"/>
      <c r="R917" s="4"/>
      <c r="S917" s="3"/>
      <c r="T917" s="3"/>
      <c r="U917" s="3"/>
      <c r="V917" s="3"/>
      <c r="W917" s="1773"/>
      <c r="X917" s="1632"/>
      <c r="Y917" s="1633"/>
      <c r="Z917" s="1633"/>
      <c r="AA917" s="1633"/>
      <c r="AB917" s="1633"/>
      <c r="AC917" s="1633"/>
      <c r="AD917" s="1633"/>
      <c r="AE917" s="1633"/>
      <c r="AF917" s="1633"/>
      <c r="AG917" s="1633"/>
      <c r="AH917" s="454"/>
      <c r="AI917" s="454"/>
      <c r="AJ917" s="454"/>
      <c r="AK917" s="454"/>
      <c r="AL917" s="454"/>
      <c r="AM917" s="454"/>
      <c r="AN917" s="454"/>
      <c r="AO917" s="454"/>
      <c r="AP917" s="454"/>
    </row>
    <row r="918" spans="1:42" s="2244" customFormat="1" ht="14.5">
      <c r="A918" s="1693">
        <v>796</v>
      </c>
      <c r="B918" s="616">
        <v>1</v>
      </c>
      <c r="C918" s="1693">
        <v>797</v>
      </c>
      <c r="D918" s="616">
        <v>1</v>
      </c>
      <c r="E918" s="1693">
        <v>823</v>
      </c>
      <c r="F918" s="616">
        <v>1</v>
      </c>
      <c r="G918" s="1693">
        <v>910</v>
      </c>
      <c r="H918" s="616">
        <v>1</v>
      </c>
      <c r="I918" s="616"/>
      <c r="J918" s="709" t="s">
        <v>512</v>
      </c>
      <c r="K918" s="1764" t="s">
        <v>1216</v>
      </c>
      <c r="L918" s="2236"/>
      <c r="M918" s="2236"/>
      <c r="N918" s="2237"/>
      <c r="O918" s="2258" t="s">
        <v>202</v>
      </c>
      <c r="P918" s="2259"/>
      <c r="Q918" s="2260"/>
      <c r="R918" s="2260"/>
      <c r="S918" s="2260"/>
      <c r="T918" s="2260"/>
      <c r="U918" s="2260"/>
      <c r="V918" s="2260"/>
      <c r="W918" s="1998"/>
      <c r="X918" s="1999">
        <v>250</v>
      </c>
      <c r="Y918" s="2000">
        <v>252</v>
      </c>
      <c r="Z918" s="2000">
        <v>256</v>
      </c>
      <c r="AA918" s="2000">
        <v>260</v>
      </c>
      <c r="AB918" s="2000">
        <v>262</v>
      </c>
      <c r="AC918" s="2000">
        <v>263</v>
      </c>
      <c r="AD918" s="2000">
        <v>266</v>
      </c>
      <c r="AE918" s="2000">
        <v>268</v>
      </c>
      <c r="AF918" s="2000">
        <v>272</v>
      </c>
      <c r="AG918" s="2000">
        <v>274</v>
      </c>
      <c r="AH918" s="2000">
        <v>277</v>
      </c>
      <c r="AI918" s="2000">
        <v>279</v>
      </c>
      <c r="AJ918" s="2000">
        <v>256</v>
      </c>
      <c r="AK918" s="2000">
        <v>263</v>
      </c>
      <c r="AL918" s="2000">
        <v>272</v>
      </c>
      <c r="AM918" s="2000">
        <v>279</v>
      </c>
      <c r="AN918" s="2000">
        <v>263</v>
      </c>
      <c r="AO918" s="2000">
        <v>279</v>
      </c>
      <c r="AP918" s="2000">
        <v>279</v>
      </c>
    </row>
    <row r="919" spans="1:42" s="34" customFormat="1" ht="14.5">
      <c r="A919" s="1693">
        <v>797</v>
      </c>
      <c r="B919" s="616">
        <v>1</v>
      </c>
      <c r="C919" s="1693">
        <v>798</v>
      </c>
      <c r="D919" s="616">
        <v>1</v>
      </c>
      <c r="E919" s="1693">
        <v>824</v>
      </c>
      <c r="F919" s="616">
        <v>1</v>
      </c>
      <c r="G919" s="1693">
        <v>911</v>
      </c>
      <c r="H919" s="616">
        <v>1</v>
      </c>
      <c r="I919" s="616"/>
      <c r="J919" s="709" t="s">
        <v>512</v>
      </c>
      <c r="K919" s="1764" t="s">
        <v>1216</v>
      </c>
      <c r="L919" s="4"/>
      <c r="M919" s="4"/>
      <c r="N919" s="4"/>
      <c r="O919" s="262"/>
      <c r="P919" s="48" t="s">
        <v>14</v>
      </c>
      <c r="Q919" s="48"/>
      <c r="R919" s="48"/>
      <c r="S919" s="47"/>
      <c r="T919" s="47"/>
      <c r="U919" s="47"/>
      <c r="V919" s="47"/>
      <c r="W919" s="1849"/>
      <c r="X919" s="1970">
        <v>104</v>
      </c>
      <c r="Y919" s="1970">
        <v>106</v>
      </c>
      <c r="Z919" s="1970">
        <v>108</v>
      </c>
      <c r="AA919" s="1970">
        <v>110</v>
      </c>
      <c r="AB919" s="1970">
        <v>111</v>
      </c>
      <c r="AC919" s="1970">
        <v>112</v>
      </c>
      <c r="AD919" s="1970">
        <v>113</v>
      </c>
      <c r="AE919" s="1970">
        <v>114</v>
      </c>
      <c r="AF919" s="1970">
        <v>116</v>
      </c>
      <c r="AG919" s="1970">
        <v>117</v>
      </c>
      <c r="AH919" s="1970">
        <v>118</v>
      </c>
      <c r="AI919" s="1970">
        <v>118</v>
      </c>
      <c r="AJ919" s="2044">
        <v>108</v>
      </c>
      <c r="AK919" s="1970">
        <v>112</v>
      </c>
      <c r="AL919" s="1970">
        <v>116</v>
      </c>
      <c r="AM919" s="1970">
        <v>118</v>
      </c>
      <c r="AN919" s="1970">
        <v>112</v>
      </c>
      <c r="AO919" s="1970">
        <v>118</v>
      </c>
      <c r="AP919" s="1970">
        <v>118</v>
      </c>
    </row>
    <row r="920" spans="1:42" s="34" customFormat="1" ht="14.5">
      <c r="A920" s="1693">
        <v>798</v>
      </c>
      <c r="B920" s="616">
        <v>1</v>
      </c>
      <c r="C920" s="1693">
        <v>799</v>
      </c>
      <c r="D920" s="616">
        <v>1</v>
      </c>
      <c r="E920" s="1693">
        <v>825</v>
      </c>
      <c r="F920" s="616">
        <v>1</v>
      </c>
      <c r="G920" s="1693">
        <v>912</v>
      </c>
      <c r="H920" s="616">
        <v>1</v>
      </c>
      <c r="I920" s="616"/>
      <c r="K920" s="454"/>
      <c r="L920" s="4"/>
      <c r="M920" s="4"/>
      <c r="N920" s="4"/>
      <c r="O920" s="262"/>
      <c r="P920" s="4"/>
      <c r="Q920" s="4"/>
      <c r="R920" s="4"/>
      <c r="S920" s="3"/>
      <c r="T920" s="41"/>
      <c r="U920" s="41" t="s">
        <v>45</v>
      </c>
      <c r="V920" s="3"/>
      <c r="W920" s="1904"/>
      <c r="X920" s="1908">
        <v>51</v>
      </c>
      <c r="Y920" s="1908">
        <v>52</v>
      </c>
      <c r="Z920" s="1908">
        <v>53</v>
      </c>
      <c r="AA920" s="1908">
        <v>54</v>
      </c>
      <c r="AB920" s="1908">
        <v>55</v>
      </c>
      <c r="AC920" s="1908">
        <v>56</v>
      </c>
      <c r="AD920" s="1908">
        <v>57</v>
      </c>
      <c r="AE920" s="1908">
        <v>58</v>
      </c>
      <c r="AF920" s="1908">
        <v>59</v>
      </c>
      <c r="AG920" s="1908">
        <v>60</v>
      </c>
      <c r="AH920" s="1908">
        <v>61</v>
      </c>
      <c r="AI920" s="1908">
        <v>61</v>
      </c>
      <c r="AJ920" s="1909">
        <v>53</v>
      </c>
      <c r="AK920" s="1910">
        <v>56</v>
      </c>
      <c r="AL920" s="1910">
        <v>59</v>
      </c>
      <c r="AM920" s="1910">
        <v>61</v>
      </c>
      <c r="AN920" s="1910">
        <v>56</v>
      </c>
      <c r="AO920" s="1910">
        <v>61</v>
      </c>
      <c r="AP920" s="1910">
        <v>61</v>
      </c>
    </row>
    <row r="921" spans="1:42" s="34" customFormat="1" ht="14.5">
      <c r="A921" s="1693">
        <v>799</v>
      </c>
      <c r="B921" s="616">
        <v>1</v>
      </c>
      <c r="C921" s="1693">
        <v>800</v>
      </c>
      <c r="D921" s="616">
        <v>1</v>
      </c>
      <c r="E921" s="1693">
        <v>826</v>
      </c>
      <c r="F921" s="616">
        <v>1</v>
      </c>
      <c r="G921" s="1693">
        <v>913</v>
      </c>
      <c r="H921" s="616">
        <v>1</v>
      </c>
      <c r="I921" s="616"/>
      <c r="K921" s="454"/>
      <c r="L921" s="4"/>
      <c r="M921" s="4"/>
      <c r="N921" s="4"/>
      <c r="O921" s="262"/>
      <c r="P921" s="4"/>
      <c r="Q921" s="4"/>
      <c r="R921" s="4"/>
      <c r="S921" s="3"/>
      <c r="T921" s="41"/>
      <c r="U921" s="41" t="s">
        <v>44</v>
      </c>
      <c r="V921" s="3"/>
      <c r="W921" s="1904"/>
      <c r="X921" s="1908">
        <v>5</v>
      </c>
      <c r="Y921" s="1908">
        <v>5</v>
      </c>
      <c r="Z921" s="1908">
        <v>5</v>
      </c>
      <c r="AA921" s="1908">
        <v>5</v>
      </c>
      <c r="AB921" s="1908">
        <v>5</v>
      </c>
      <c r="AC921" s="1908">
        <v>5</v>
      </c>
      <c r="AD921" s="1908">
        <v>5</v>
      </c>
      <c r="AE921" s="1908">
        <v>5</v>
      </c>
      <c r="AF921" s="1908">
        <v>5</v>
      </c>
      <c r="AG921" s="1908">
        <v>5</v>
      </c>
      <c r="AH921" s="1908">
        <v>5</v>
      </c>
      <c r="AI921" s="1908">
        <v>5</v>
      </c>
      <c r="AJ921" s="1909">
        <v>5</v>
      </c>
      <c r="AK921" s="1910">
        <v>5</v>
      </c>
      <c r="AL921" s="1910">
        <v>5</v>
      </c>
      <c r="AM921" s="1910">
        <v>5</v>
      </c>
      <c r="AN921" s="1910">
        <v>5</v>
      </c>
      <c r="AO921" s="1910">
        <v>5</v>
      </c>
      <c r="AP921" s="1910">
        <v>5</v>
      </c>
    </row>
    <row r="922" spans="1:42" s="34" customFormat="1" ht="14.5">
      <c r="A922" s="1693">
        <v>800</v>
      </c>
      <c r="B922" s="616">
        <v>1</v>
      </c>
      <c r="C922" s="1693">
        <v>801</v>
      </c>
      <c r="D922" s="616">
        <v>1</v>
      </c>
      <c r="E922" s="1693">
        <v>827</v>
      </c>
      <c r="F922" s="616">
        <v>1</v>
      </c>
      <c r="G922" s="1693">
        <v>914</v>
      </c>
      <c r="H922" s="616">
        <v>1</v>
      </c>
      <c r="I922" s="616"/>
      <c r="K922" s="454"/>
      <c r="L922" s="4"/>
      <c r="M922" s="4"/>
      <c r="N922" s="4"/>
      <c r="O922" s="262"/>
      <c r="P922" s="4"/>
      <c r="Q922" s="4"/>
      <c r="R922" s="4"/>
      <c r="S922" s="3"/>
      <c r="T922" s="41"/>
      <c r="U922" s="41" t="s">
        <v>43</v>
      </c>
      <c r="V922" s="3"/>
      <c r="W922" s="1904"/>
      <c r="X922" s="1908">
        <v>28</v>
      </c>
      <c r="Y922" s="1908">
        <v>28</v>
      </c>
      <c r="Z922" s="1908">
        <v>28</v>
      </c>
      <c r="AA922" s="1908">
        <v>29</v>
      </c>
      <c r="AB922" s="1908">
        <v>29</v>
      </c>
      <c r="AC922" s="1908">
        <v>29</v>
      </c>
      <c r="AD922" s="1908">
        <v>29</v>
      </c>
      <c r="AE922" s="1908">
        <v>29</v>
      </c>
      <c r="AF922" s="1908">
        <v>29</v>
      </c>
      <c r="AG922" s="1908">
        <v>29</v>
      </c>
      <c r="AH922" s="1908">
        <v>29</v>
      </c>
      <c r="AI922" s="1908">
        <v>29</v>
      </c>
      <c r="AJ922" s="1909">
        <v>28</v>
      </c>
      <c r="AK922" s="1910">
        <v>29</v>
      </c>
      <c r="AL922" s="1910">
        <v>29</v>
      </c>
      <c r="AM922" s="1910">
        <v>29</v>
      </c>
      <c r="AN922" s="1910">
        <v>29</v>
      </c>
      <c r="AO922" s="1910">
        <v>29</v>
      </c>
      <c r="AP922" s="1910">
        <v>29</v>
      </c>
    </row>
    <row r="923" spans="1:42" s="34" customFormat="1" ht="14.5">
      <c r="A923" s="1693">
        <v>801</v>
      </c>
      <c r="B923" s="616">
        <v>1</v>
      </c>
      <c r="C923" s="1693">
        <v>802</v>
      </c>
      <c r="D923" s="616">
        <v>1</v>
      </c>
      <c r="E923" s="1693">
        <v>828</v>
      </c>
      <c r="F923" s="616">
        <v>1</v>
      </c>
      <c r="G923" s="1693">
        <v>915</v>
      </c>
      <c r="H923" s="616">
        <v>1</v>
      </c>
      <c r="I923" s="616"/>
      <c r="K923" s="454"/>
      <c r="L923" s="4"/>
      <c r="M923" s="4"/>
      <c r="N923" s="4"/>
      <c r="O923" s="262"/>
      <c r="P923" s="2"/>
      <c r="Q923" s="2"/>
      <c r="R923" s="2"/>
      <c r="S923" s="1"/>
      <c r="T923" s="39"/>
      <c r="U923" s="39" t="s">
        <v>40</v>
      </c>
      <c r="V923" s="1"/>
      <c r="W923" s="1904"/>
      <c r="X923" s="2261">
        <v>20</v>
      </c>
      <c r="Y923" s="2261">
        <v>21</v>
      </c>
      <c r="Z923" s="2261">
        <v>22</v>
      </c>
      <c r="AA923" s="2261">
        <v>22</v>
      </c>
      <c r="AB923" s="2261">
        <v>22</v>
      </c>
      <c r="AC923" s="2261">
        <v>22</v>
      </c>
      <c r="AD923" s="2261">
        <v>22</v>
      </c>
      <c r="AE923" s="2261">
        <v>22</v>
      </c>
      <c r="AF923" s="2261">
        <v>23</v>
      </c>
      <c r="AG923" s="2261">
        <v>23</v>
      </c>
      <c r="AH923" s="2261">
        <v>23</v>
      </c>
      <c r="AI923" s="2261">
        <v>23</v>
      </c>
      <c r="AJ923" s="2247">
        <v>22</v>
      </c>
      <c r="AK923" s="2248">
        <v>22</v>
      </c>
      <c r="AL923" s="2248">
        <v>23</v>
      </c>
      <c r="AM923" s="2248">
        <v>23</v>
      </c>
      <c r="AN923" s="2248">
        <v>22</v>
      </c>
      <c r="AO923" s="2248">
        <v>23</v>
      </c>
      <c r="AP923" s="2248">
        <v>23</v>
      </c>
    </row>
    <row r="924" spans="1:42" s="34" customFormat="1" ht="14.5">
      <c r="A924" s="1693">
        <v>802</v>
      </c>
      <c r="B924" s="616">
        <v>1</v>
      </c>
      <c r="C924" s="1693">
        <v>803</v>
      </c>
      <c r="D924" s="616">
        <v>1</v>
      </c>
      <c r="E924" s="1693">
        <v>829</v>
      </c>
      <c r="F924" s="616">
        <v>1</v>
      </c>
      <c r="G924" s="1693">
        <v>916</v>
      </c>
      <c r="H924" s="616">
        <v>1</v>
      </c>
      <c r="I924" s="616"/>
      <c r="J924" s="709" t="s">
        <v>512</v>
      </c>
      <c r="K924" s="1764" t="s">
        <v>1216</v>
      </c>
      <c r="L924" s="4"/>
      <c r="M924" s="4"/>
      <c r="N924" s="4"/>
      <c r="O924" s="262"/>
      <c r="P924" s="48" t="s">
        <v>204</v>
      </c>
      <c r="Q924" s="48"/>
      <c r="R924" s="48"/>
      <c r="S924" s="47"/>
      <c r="T924" s="47"/>
      <c r="U924" s="47"/>
      <c r="V924" s="47"/>
      <c r="W924" s="1849"/>
      <c r="X924" s="1970">
        <v>95</v>
      </c>
      <c r="Y924" s="1970">
        <v>95</v>
      </c>
      <c r="Z924" s="1970">
        <v>96</v>
      </c>
      <c r="AA924" s="1970">
        <v>96</v>
      </c>
      <c r="AB924" s="1970">
        <v>97</v>
      </c>
      <c r="AC924" s="1970">
        <v>97</v>
      </c>
      <c r="AD924" s="1970">
        <v>99</v>
      </c>
      <c r="AE924" s="1970">
        <v>100</v>
      </c>
      <c r="AF924" s="1970">
        <v>102</v>
      </c>
      <c r="AG924" s="1970">
        <v>103</v>
      </c>
      <c r="AH924" s="1970">
        <v>105</v>
      </c>
      <c r="AI924" s="1970">
        <v>107</v>
      </c>
      <c r="AJ924" s="2044">
        <v>96</v>
      </c>
      <c r="AK924" s="1970">
        <v>97</v>
      </c>
      <c r="AL924" s="1970">
        <v>102</v>
      </c>
      <c r="AM924" s="1970">
        <v>107</v>
      </c>
      <c r="AN924" s="1970">
        <v>97</v>
      </c>
      <c r="AO924" s="1970">
        <v>107</v>
      </c>
      <c r="AP924" s="1970">
        <v>107</v>
      </c>
    </row>
    <row r="925" spans="1:42" s="34" customFormat="1" ht="14.5">
      <c r="A925" s="1693">
        <v>803</v>
      </c>
      <c r="B925" s="616">
        <v>1</v>
      </c>
      <c r="C925" s="1693">
        <v>804</v>
      </c>
      <c r="D925" s="616">
        <v>1</v>
      </c>
      <c r="E925" s="1693">
        <v>830</v>
      </c>
      <c r="F925" s="616">
        <v>1</v>
      </c>
      <c r="G925" s="1693">
        <v>917</v>
      </c>
      <c r="H925" s="616">
        <v>1</v>
      </c>
      <c r="I925" s="616"/>
      <c r="K925" s="454"/>
      <c r="L925" s="4"/>
      <c r="M925" s="4"/>
      <c r="N925" s="4"/>
      <c r="O925" s="262"/>
      <c r="P925" s="4"/>
      <c r="Q925" s="4"/>
      <c r="R925" s="4"/>
      <c r="S925" s="3"/>
      <c r="T925" s="41"/>
      <c r="U925" s="41" t="s">
        <v>15</v>
      </c>
      <c r="V925" s="3"/>
      <c r="W925" s="1904"/>
      <c r="X925" s="1908">
        <v>56</v>
      </c>
      <c r="Y925" s="1908">
        <v>56</v>
      </c>
      <c r="Z925" s="1908">
        <v>57</v>
      </c>
      <c r="AA925" s="1908">
        <v>57</v>
      </c>
      <c r="AB925" s="1908">
        <v>58</v>
      </c>
      <c r="AC925" s="1908">
        <v>58</v>
      </c>
      <c r="AD925" s="1908">
        <v>59</v>
      </c>
      <c r="AE925" s="1908">
        <v>60</v>
      </c>
      <c r="AF925" s="1908">
        <v>61</v>
      </c>
      <c r="AG925" s="1908">
        <v>62</v>
      </c>
      <c r="AH925" s="1908">
        <v>63</v>
      </c>
      <c r="AI925" s="1908">
        <v>64</v>
      </c>
      <c r="AJ925" s="1909">
        <v>57</v>
      </c>
      <c r="AK925" s="1910">
        <v>58</v>
      </c>
      <c r="AL925" s="1910">
        <v>61</v>
      </c>
      <c r="AM925" s="1910">
        <v>64</v>
      </c>
      <c r="AN925" s="1910">
        <v>58</v>
      </c>
      <c r="AO925" s="1910">
        <v>64</v>
      </c>
      <c r="AP925" s="1910">
        <v>64</v>
      </c>
    </row>
    <row r="926" spans="1:42" s="34" customFormat="1" ht="14.5">
      <c r="A926" s="1693">
        <v>804</v>
      </c>
      <c r="B926" s="616">
        <v>1</v>
      </c>
      <c r="C926" s="1693">
        <v>805</v>
      </c>
      <c r="D926" s="616">
        <v>1</v>
      </c>
      <c r="E926" s="1693">
        <v>831</v>
      </c>
      <c r="F926" s="616">
        <v>1</v>
      </c>
      <c r="G926" s="1693">
        <v>918</v>
      </c>
      <c r="H926" s="616">
        <v>1</v>
      </c>
      <c r="I926" s="616"/>
      <c r="K926" s="454"/>
      <c r="L926" s="4"/>
      <c r="M926" s="4"/>
      <c r="N926" s="4"/>
      <c r="O926" s="262"/>
      <c r="P926" s="4"/>
      <c r="Q926" s="4"/>
      <c r="R926" s="4"/>
      <c r="S926" s="3"/>
      <c r="T926" s="41"/>
      <c r="U926" s="41" t="s">
        <v>16</v>
      </c>
      <c r="V926" s="3"/>
      <c r="W926" s="1904"/>
      <c r="X926" s="1908">
        <v>1</v>
      </c>
      <c r="Y926" s="1908">
        <v>1</v>
      </c>
      <c r="Z926" s="1908">
        <v>1</v>
      </c>
      <c r="AA926" s="1908">
        <v>1</v>
      </c>
      <c r="AB926" s="1908">
        <v>1</v>
      </c>
      <c r="AC926" s="1908">
        <v>1</v>
      </c>
      <c r="AD926" s="1908">
        <v>2</v>
      </c>
      <c r="AE926" s="1908">
        <v>2</v>
      </c>
      <c r="AF926" s="1908">
        <v>3</v>
      </c>
      <c r="AG926" s="1908">
        <v>3</v>
      </c>
      <c r="AH926" s="1908">
        <v>4</v>
      </c>
      <c r="AI926" s="1908">
        <v>5</v>
      </c>
      <c r="AJ926" s="1909">
        <v>1</v>
      </c>
      <c r="AK926" s="1910">
        <v>1</v>
      </c>
      <c r="AL926" s="1910">
        <v>3</v>
      </c>
      <c r="AM926" s="1910">
        <v>5</v>
      </c>
      <c r="AN926" s="1910">
        <v>1</v>
      </c>
      <c r="AO926" s="1910">
        <v>5</v>
      </c>
      <c r="AP926" s="1910">
        <v>5</v>
      </c>
    </row>
    <row r="927" spans="1:42" s="34" customFormat="1" ht="14.5">
      <c r="A927" s="1693">
        <v>805</v>
      </c>
      <c r="B927" s="616">
        <v>1</v>
      </c>
      <c r="C927" s="1693">
        <v>806</v>
      </c>
      <c r="D927" s="616">
        <v>1</v>
      </c>
      <c r="E927" s="1693">
        <v>832</v>
      </c>
      <c r="F927" s="616">
        <v>1</v>
      </c>
      <c r="G927" s="1693">
        <v>919</v>
      </c>
      <c r="H927" s="616">
        <v>1</v>
      </c>
      <c r="I927" s="616"/>
      <c r="K927" s="454"/>
      <c r="L927" s="4"/>
      <c r="M927" s="4"/>
      <c r="N927" s="4"/>
      <c r="O927" s="262"/>
      <c r="P927" s="4"/>
      <c r="Q927" s="4"/>
      <c r="R927" s="4"/>
      <c r="S927" s="3"/>
      <c r="T927" s="41"/>
      <c r="U927" s="41" t="s">
        <v>42</v>
      </c>
      <c r="V927" s="3"/>
      <c r="W927" s="1904"/>
      <c r="X927" s="1908">
        <v>18</v>
      </c>
      <c r="Y927" s="1908">
        <v>18</v>
      </c>
      <c r="Z927" s="1908">
        <v>18</v>
      </c>
      <c r="AA927" s="1908">
        <v>18</v>
      </c>
      <c r="AB927" s="1908">
        <v>18</v>
      </c>
      <c r="AC927" s="1908">
        <v>18</v>
      </c>
      <c r="AD927" s="1908">
        <v>18</v>
      </c>
      <c r="AE927" s="1908">
        <v>18</v>
      </c>
      <c r="AF927" s="1908">
        <v>18</v>
      </c>
      <c r="AG927" s="1908">
        <v>18</v>
      </c>
      <c r="AH927" s="1908">
        <v>18</v>
      </c>
      <c r="AI927" s="1908">
        <v>18</v>
      </c>
      <c r="AJ927" s="1909">
        <v>18</v>
      </c>
      <c r="AK927" s="1910">
        <v>18</v>
      </c>
      <c r="AL927" s="1910">
        <v>18</v>
      </c>
      <c r="AM927" s="1910">
        <v>18</v>
      </c>
      <c r="AN927" s="1910">
        <v>18</v>
      </c>
      <c r="AO927" s="1910">
        <v>18</v>
      </c>
      <c r="AP927" s="1910">
        <v>18</v>
      </c>
    </row>
    <row r="928" spans="1:42" s="34" customFormat="1" ht="14.5">
      <c r="A928" s="1693">
        <v>806</v>
      </c>
      <c r="B928" s="616">
        <v>1</v>
      </c>
      <c r="C928" s="1693">
        <v>807</v>
      </c>
      <c r="D928" s="616">
        <v>1</v>
      </c>
      <c r="E928" s="1693">
        <v>833</v>
      </c>
      <c r="F928" s="616">
        <v>1</v>
      </c>
      <c r="G928" s="1693">
        <v>920</v>
      </c>
      <c r="H928" s="616">
        <v>1</v>
      </c>
      <c r="I928" s="616"/>
      <c r="K928" s="454"/>
      <c r="L928" s="4"/>
      <c r="M928" s="4"/>
      <c r="N928" s="4"/>
      <c r="O928" s="262"/>
      <c r="P928" s="4"/>
      <c r="Q928" s="4"/>
      <c r="R928" s="4"/>
      <c r="S928" s="3"/>
      <c r="T928" s="41"/>
      <c r="U928" s="41" t="s">
        <v>41</v>
      </c>
      <c r="V928" s="3"/>
      <c r="W928" s="1904"/>
      <c r="X928" s="1908">
        <v>0</v>
      </c>
      <c r="Y928" s="1908">
        <v>0</v>
      </c>
      <c r="Z928" s="1908">
        <v>0</v>
      </c>
      <c r="AA928" s="1908">
        <v>0</v>
      </c>
      <c r="AB928" s="1908">
        <v>0</v>
      </c>
      <c r="AC928" s="1908">
        <v>0</v>
      </c>
      <c r="AD928" s="1908">
        <v>0</v>
      </c>
      <c r="AE928" s="1908">
        <v>0</v>
      </c>
      <c r="AF928" s="1908">
        <v>0</v>
      </c>
      <c r="AG928" s="1908">
        <v>0</v>
      </c>
      <c r="AH928" s="1908">
        <v>0</v>
      </c>
      <c r="AI928" s="1908">
        <v>0</v>
      </c>
      <c r="AJ928" s="1909">
        <v>0</v>
      </c>
      <c r="AK928" s="1910">
        <v>0</v>
      </c>
      <c r="AL928" s="1910">
        <v>0</v>
      </c>
      <c r="AM928" s="1910">
        <v>0</v>
      </c>
      <c r="AN928" s="1910">
        <v>0</v>
      </c>
      <c r="AO928" s="1910">
        <v>0</v>
      </c>
      <c r="AP928" s="1910">
        <v>0</v>
      </c>
    </row>
    <row r="929" spans="1:42" s="34" customFormat="1" ht="14.5">
      <c r="A929" s="1693">
        <v>807</v>
      </c>
      <c r="B929" s="616">
        <v>1</v>
      </c>
      <c r="C929" s="1693">
        <v>808</v>
      </c>
      <c r="D929" s="616">
        <v>1</v>
      </c>
      <c r="E929" s="1693">
        <v>834</v>
      </c>
      <c r="F929" s="616">
        <v>1</v>
      </c>
      <c r="G929" s="1693">
        <v>921</v>
      </c>
      <c r="H929" s="616">
        <v>1</v>
      </c>
      <c r="I929" s="616"/>
      <c r="K929" s="454"/>
      <c r="L929" s="4"/>
      <c r="M929" s="4"/>
      <c r="N929" s="4"/>
      <c r="O929" s="262"/>
      <c r="P929" s="4"/>
      <c r="Q929" s="4"/>
      <c r="R929" s="4"/>
      <c r="S929" s="3"/>
      <c r="T929" s="41"/>
      <c r="U929" s="41" t="s">
        <v>40</v>
      </c>
      <c r="V929" s="3"/>
      <c r="W929" s="1904"/>
      <c r="X929" s="1908">
        <v>20</v>
      </c>
      <c r="Y929" s="1908">
        <v>20</v>
      </c>
      <c r="Z929" s="1908">
        <v>20</v>
      </c>
      <c r="AA929" s="1908">
        <v>20</v>
      </c>
      <c r="AB929" s="1908">
        <v>20</v>
      </c>
      <c r="AC929" s="1908">
        <v>20</v>
      </c>
      <c r="AD929" s="1908">
        <v>20</v>
      </c>
      <c r="AE929" s="1908">
        <v>20</v>
      </c>
      <c r="AF929" s="1908">
        <v>20</v>
      </c>
      <c r="AG929" s="1908">
        <v>20</v>
      </c>
      <c r="AH929" s="1908">
        <v>20</v>
      </c>
      <c r="AI929" s="1908">
        <v>20</v>
      </c>
      <c r="AJ929" s="1909">
        <v>20</v>
      </c>
      <c r="AK929" s="1910">
        <v>20</v>
      </c>
      <c r="AL929" s="1910">
        <v>20</v>
      </c>
      <c r="AM929" s="1910">
        <v>20</v>
      </c>
      <c r="AN929" s="1910">
        <v>20</v>
      </c>
      <c r="AO929" s="1910">
        <v>20</v>
      </c>
      <c r="AP929" s="1910">
        <v>20</v>
      </c>
    </row>
    <row r="930" spans="1:42" s="34" customFormat="1" ht="14.5">
      <c r="A930" s="1693">
        <v>808</v>
      </c>
      <c r="B930" s="616">
        <v>1</v>
      </c>
      <c r="C930" s="1693">
        <v>809</v>
      </c>
      <c r="D930" s="616">
        <v>1</v>
      </c>
      <c r="E930" s="1693">
        <v>835</v>
      </c>
      <c r="F930" s="616">
        <v>1</v>
      </c>
      <c r="G930" s="1693">
        <v>922</v>
      </c>
      <c r="H930" s="616">
        <v>1</v>
      </c>
      <c r="I930" s="616"/>
      <c r="J930" s="709" t="s">
        <v>512</v>
      </c>
      <c r="K930" s="1764" t="s">
        <v>1216</v>
      </c>
      <c r="L930" s="4"/>
      <c r="M930" s="4"/>
      <c r="N930" s="4"/>
      <c r="O930" s="262"/>
      <c r="P930" s="252" t="s">
        <v>205</v>
      </c>
      <c r="Q930" s="252"/>
      <c r="R930" s="252"/>
      <c r="S930" s="251"/>
      <c r="T930" s="251"/>
      <c r="U930" s="251"/>
      <c r="V930" s="251"/>
      <c r="W930" s="1849"/>
      <c r="X930" s="1986">
        <v>5</v>
      </c>
      <c r="Y930" s="1986">
        <v>5</v>
      </c>
      <c r="Z930" s="1986">
        <v>5</v>
      </c>
      <c r="AA930" s="1986">
        <v>5</v>
      </c>
      <c r="AB930" s="1986">
        <v>5</v>
      </c>
      <c r="AC930" s="1986">
        <v>5</v>
      </c>
      <c r="AD930" s="1986">
        <v>5</v>
      </c>
      <c r="AE930" s="1986">
        <v>5</v>
      </c>
      <c r="AF930" s="1986">
        <v>5</v>
      </c>
      <c r="AG930" s="1986">
        <v>5</v>
      </c>
      <c r="AH930" s="1986">
        <v>5</v>
      </c>
      <c r="AI930" s="1986">
        <v>5</v>
      </c>
      <c r="AJ930" s="2262">
        <v>5</v>
      </c>
      <c r="AK930" s="1986">
        <v>5</v>
      </c>
      <c r="AL930" s="1986">
        <v>5</v>
      </c>
      <c r="AM930" s="1986">
        <v>5</v>
      </c>
      <c r="AN930" s="1986">
        <v>5</v>
      </c>
      <c r="AO930" s="1986">
        <v>5</v>
      </c>
      <c r="AP930" s="1986">
        <v>5</v>
      </c>
    </row>
    <row r="931" spans="1:42" s="34" customFormat="1" ht="14.5">
      <c r="A931" s="1693">
        <v>809</v>
      </c>
      <c r="B931" s="616">
        <v>1</v>
      </c>
      <c r="C931" s="1693">
        <v>810</v>
      </c>
      <c r="D931" s="616">
        <v>1</v>
      </c>
      <c r="E931" s="1693">
        <v>836</v>
      </c>
      <c r="F931" s="616">
        <v>1</v>
      </c>
      <c r="G931" s="1693">
        <v>923</v>
      </c>
      <c r="H931" s="616">
        <v>1</v>
      </c>
      <c r="I931" s="616"/>
      <c r="K931" s="454"/>
      <c r="L931" s="4"/>
      <c r="M931" s="4"/>
      <c r="N931" s="4"/>
      <c r="O931" s="262"/>
      <c r="P931" s="4"/>
      <c r="Q931" s="4"/>
      <c r="R931" s="4"/>
      <c r="S931" s="3"/>
      <c r="T931" s="41"/>
      <c r="U931" s="41" t="s">
        <v>198</v>
      </c>
      <c r="V931" s="3"/>
      <c r="W931" s="1904"/>
      <c r="X931" s="1908">
        <v>0</v>
      </c>
      <c r="Y931" s="1908">
        <v>0</v>
      </c>
      <c r="Z931" s="1908">
        <v>0</v>
      </c>
      <c r="AA931" s="1908">
        <v>0</v>
      </c>
      <c r="AB931" s="1908">
        <v>0</v>
      </c>
      <c r="AC931" s="1908">
        <v>0</v>
      </c>
      <c r="AD931" s="1908">
        <v>0</v>
      </c>
      <c r="AE931" s="1908">
        <v>0</v>
      </c>
      <c r="AF931" s="1908">
        <v>0</v>
      </c>
      <c r="AG931" s="1908">
        <v>0</v>
      </c>
      <c r="AH931" s="1908">
        <v>0</v>
      </c>
      <c r="AI931" s="1908">
        <v>0</v>
      </c>
      <c r="AJ931" s="1909">
        <v>0</v>
      </c>
      <c r="AK931" s="1910">
        <v>0</v>
      </c>
      <c r="AL931" s="1910">
        <v>0</v>
      </c>
      <c r="AM931" s="1910">
        <v>0</v>
      </c>
      <c r="AN931" s="1910">
        <v>0</v>
      </c>
      <c r="AO931" s="1910">
        <v>0</v>
      </c>
      <c r="AP931" s="1910">
        <v>0</v>
      </c>
    </row>
    <row r="932" spans="1:42" s="34" customFormat="1" ht="14.5">
      <c r="A932" s="1693">
        <v>810</v>
      </c>
      <c r="B932" s="616">
        <v>1</v>
      </c>
      <c r="C932" s="1693">
        <v>811</v>
      </c>
      <c r="D932" s="616">
        <v>1</v>
      </c>
      <c r="E932" s="1693">
        <v>837</v>
      </c>
      <c r="F932" s="616">
        <v>1</v>
      </c>
      <c r="G932" s="1693">
        <v>924</v>
      </c>
      <c r="H932" s="616">
        <v>1</v>
      </c>
      <c r="I932" s="616"/>
      <c r="K932" s="454"/>
      <c r="L932" s="4"/>
      <c r="M932" s="4"/>
      <c r="N932" s="4"/>
      <c r="O932" s="262"/>
      <c r="P932" s="4"/>
      <c r="Q932" s="4"/>
      <c r="R932" s="4"/>
      <c r="S932" s="3"/>
      <c r="T932" s="41"/>
      <c r="U932" s="41" t="s">
        <v>199</v>
      </c>
      <c r="V932" s="3"/>
      <c r="W932" s="1904"/>
      <c r="X932" s="1908">
        <v>0</v>
      </c>
      <c r="Y932" s="1908">
        <v>0</v>
      </c>
      <c r="Z932" s="1908">
        <v>0</v>
      </c>
      <c r="AA932" s="1908">
        <v>0</v>
      </c>
      <c r="AB932" s="1908">
        <v>0</v>
      </c>
      <c r="AC932" s="1908">
        <v>0</v>
      </c>
      <c r="AD932" s="1908">
        <v>0</v>
      </c>
      <c r="AE932" s="1908">
        <v>0</v>
      </c>
      <c r="AF932" s="1908">
        <v>0</v>
      </c>
      <c r="AG932" s="1908">
        <v>0</v>
      </c>
      <c r="AH932" s="1908">
        <v>0</v>
      </c>
      <c r="AI932" s="1908">
        <v>0</v>
      </c>
      <c r="AJ932" s="1909">
        <v>0</v>
      </c>
      <c r="AK932" s="1910">
        <v>0</v>
      </c>
      <c r="AL932" s="1910">
        <v>0</v>
      </c>
      <c r="AM932" s="1910">
        <v>0</v>
      </c>
      <c r="AN932" s="1910">
        <v>0</v>
      </c>
      <c r="AO932" s="1910">
        <v>0</v>
      </c>
      <c r="AP932" s="1910">
        <v>0</v>
      </c>
    </row>
    <row r="933" spans="1:42" s="34" customFormat="1" ht="14.5">
      <c r="A933" s="1693">
        <v>811</v>
      </c>
      <c r="B933" s="616">
        <v>1</v>
      </c>
      <c r="C933" s="1693">
        <v>812</v>
      </c>
      <c r="D933" s="616">
        <v>1</v>
      </c>
      <c r="E933" s="1693">
        <v>838</v>
      </c>
      <c r="F933" s="616">
        <v>1</v>
      </c>
      <c r="G933" s="1693">
        <v>925</v>
      </c>
      <c r="H933" s="616">
        <v>1</v>
      </c>
      <c r="I933" s="616"/>
      <c r="K933" s="454"/>
      <c r="L933" s="4"/>
      <c r="M933" s="4"/>
      <c r="N933" s="4"/>
      <c r="O933" s="262"/>
      <c r="P933" s="4"/>
      <c r="Q933" s="4"/>
      <c r="R933" s="4"/>
      <c r="S933" s="3"/>
      <c r="T933" s="41"/>
      <c r="U933" s="41" t="s">
        <v>200</v>
      </c>
      <c r="V933" s="3"/>
      <c r="W933" s="1904"/>
      <c r="X933" s="1908">
        <v>5</v>
      </c>
      <c r="Y933" s="1908">
        <v>5</v>
      </c>
      <c r="Z933" s="1908">
        <v>5</v>
      </c>
      <c r="AA933" s="1908">
        <v>5</v>
      </c>
      <c r="AB933" s="1908">
        <v>5</v>
      </c>
      <c r="AC933" s="1908">
        <v>5</v>
      </c>
      <c r="AD933" s="1908">
        <v>5</v>
      </c>
      <c r="AE933" s="1908">
        <v>5</v>
      </c>
      <c r="AF933" s="1908">
        <v>5</v>
      </c>
      <c r="AG933" s="1908">
        <v>5</v>
      </c>
      <c r="AH933" s="1908">
        <v>5</v>
      </c>
      <c r="AI933" s="1908">
        <v>5</v>
      </c>
      <c r="AJ933" s="1909">
        <v>5</v>
      </c>
      <c r="AK933" s="1910">
        <v>5</v>
      </c>
      <c r="AL933" s="1910">
        <v>5</v>
      </c>
      <c r="AM933" s="1910">
        <v>5</v>
      </c>
      <c r="AN933" s="1910">
        <v>5</v>
      </c>
      <c r="AO933" s="1910">
        <v>5</v>
      </c>
      <c r="AP933" s="1910">
        <v>5</v>
      </c>
    </row>
    <row r="934" spans="1:42" s="34" customFormat="1" ht="14.5">
      <c r="A934" s="1693">
        <v>812</v>
      </c>
      <c r="B934" s="616">
        <v>1</v>
      </c>
      <c r="C934" s="1693">
        <v>813</v>
      </c>
      <c r="D934" s="616">
        <v>1</v>
      </c>
      <c r="E934" s="1693">
        <v>839</v>
      </c>
      <c r="F934" s="616">
        <v>1</v>
      </c>
      <c r="G934" s="1693">
        <v>926</v>
      </c>
      <c r="H934" s="616">
        <v>1</v>
      </c>
      <c r="I934" s="616"/>
      <c r="K934" s="454"/>
      <c r="L934" s="4"/>
      <c r="M934" s="4"/>
      <c r="N934" s="4"/>
      <c r="O934" s="262"/>
      <c r="P934" s="2"/>
      <c r="Q934" s="2"/>
      <c r="R934" s="2"/>
      <c r="S934" s="1"/>
      <c r="T934" s="39"/>
      <c r="U934" s="39" t="s">
        <v>201</v>
      </c>
      <c r="V934" s="1"/>
      <c r="W934" s="1904"/>
      <c r="X934" s="2261">
        <v>0</v>
      </c>
      <c r="Y934" s="2261">
        <v>0</v>
      </c>
      <c r="Z934" s="2261">
        <v>0</v>
      </c>
      <c r="AA934" s="2261">
        <v>0</v>
      </c>
      <c r="AB934" s="2261">
        <v>0</v>
      </c>
      <c r="AC934" s="2261">
        <v>0</v>
      </c>
      <c r="AD934" s="2261">
        <v>0</v>
      </c>
      <c r="AE934" s="2261">
        <v>0</v>
      </c>
      <c r="AF934" s="2261">
        <v>0</v>
      </c>
      <c r="AG934" s="2261">
        <v>0</v>
      </c>
      <c r="AH934" s="2261">
        <v>0</v>
      </c>
      <c r="AI934" s="2261">
        <v>0</v>
      </c>
      <c r="AJ934" s="2247">
        <v>0</v>
      </c>
      <c r="AK934" s="2248">
        <v>0</v>
      </c>
      <c r="AL934" s="2248">
        <v>0</v>
      </c>
      <c r="AM934" s="2248">
        <v>0</v>
      </c>
      <c r="AN934" s="2248">
        <v>0</v>
      </c>
      <c r="AO934" s="2248">
        <v>0</v>
      </c>
      <c r="AP934" s="2248">
        <v>0</v>
      </c>
    </row>
    <row r="935" spans="1:42" s="34" customFormat="1" ht="14.5">
      <c r="A935" s="1693">
        <v>813</v>
      </c>
      <c r="B935" s="616">
        <v>1</v>
      </c>
      <c r="C935" s="1693">
        <v>814</v>
      </c>
      <c r="D935" s="616">
        <v>1</v>
      </c>
      <c r="E935" s="1693">
        <v>840</v>
      </c>
      <c r="F935" s="616">
        <v>1</v>
      </c>
      <c r="G935" s="1693">
        <v>927</v>
      </c>
      <c r="H935" s="616">
        <v>1</v>
      </c>
      <c r="I935" s="616"/>
      <c r="J935" s="709" t="s">
        <v>512</v>
      </c>
      <c r="K935" s="1764" t="s">
        <v>1216</v>
      </c>
      <c r="L935" s="4"/>
      <c r="M935" s="4"/>
      <c r="N935" s="4"/>
      <c r="O935" s="262"/>
      <c r="P935" s="48" t="s">
        <v>17</v>
      </c>
      <c r="Q935" s="48"/>
      <c r="R935" s="48"/>
      <c r="S935" s="47"/>
      <c r="T935" s="47"/>
      <c r="U935" s="47"/>
      <c r="V935" s="47"/>
      <c r="W935" s="1849"/>
      <c r="X935" s="1970">
        <v>30</v>
      </c>
      <c r="Y935" s="1970">
        <v>30</v>
      </c>
      <c r="Z935" s="1970">
        <v>30</v>
      </c>
      <c r="AA935" s="1970">
        <v>32</v>
      </c>
      <c r="AB935" s="1970">
        <v>32</v>
      </c>
      <c r="AC935" s="1970">
        <v>32</v>
      </c>
      <c r="AD935" s="1970">
        <v>32</v>
      </c>
      <c r="AE935" s="1970">
        <v>32</v>
      </c>
      <c r="AF935" s="1970">
        <v>32</v>
      </c>
      <c r="AG935" s="1970">
        <v>32</v>
      </c>
      <c r="AH935" s="1970">
        <v>32</v>
      </c>
      <c r="AI935" s="1970">
        <v>32</v>
      </c>
      <c r="AJ935" s="2044">
        <v>30</v>
      </c>
      <c r="AK935" s="1970">
        <v>32</v>
      </c>
      <c r="AL935" s="1970">
        <v>32</v>
      </c>
      <c r="AM935" s="1970">
        <v>32</v>
      </c>
      <c r="AN935" s="1970">
        <v>32</v>
      </c>
      <c r="AO935" s="1970">
        <v>32</v>
      </c>
      <c r="AP935" s="1970">
        <v>32</v>
      </c>
    </row>
    <row r="936" spans="1:42" s="34" customFormat="1" ht="14.5">
      <c r="A936" s="1693">
        <v>814</v>
      </c>
      <c r="B936" s="616">
        <v>1</v>
      </c>
      <c r="C936" s="1693">
        <v>815</v>
      </c>
      <c r="D936" s="616">
        <v>1</v>
      </c>
      <c r="E936" s="1693">
        <v>841</v>
      </c>
      <c r="F936" s="616">
        <v>1</v>
      </c>
      <c r="G936" s="1693">
        <v>928</v>
      </c>
      <c r="H936" s="616">
        <v>1</v>
      </c>
      <c r="I936" s="616"/>
      <c r="K936" s="454"/>
      <c r="L936" s="4"/>
      <c r="M936" s="4"/>
      <c r="N936" s="4"/>
      <c r="O936" s="262"/>
      <c r="P936" s="4"/>
      <c r="Q936" s="4"/>
      <c r="R936" s="3"/>
      <c r="S936" s="3"/>
      <c r="T936" s="41"/>
      <c r="U936" s="41" t="s">
        <v>39</v>
      </c>
      <c r="V936" s="41"/>
      <c r="W936" s="1904"/>
      <c r="X936" s="1908">
        <v>2</v>
      </c>
      <c r="Y936" s="1908">
        <v>2</v>
      </c>
      <c r="Z936" s="1908">
        <v>2</v>
      </c>
      <c r="AA936" s="1908">
        <v>2</v>
      </c>
      <c r="AB936" s="1908">
        <v>2</v>
      </c>
      <c r="AC936" s="1908">
        <v>2</v>
      </c>
      <c r="AD936" s="1908">
        <v>2</v>
      </c>
      <c r="AE936" s="1908">
        <v>2</v>
      </c>
      <c r="AF936" s="1908">
        <v>2</v>
      </c>
      <c r="AG936" s="1908">
        <v>2</v>
      </c>
      <c r="AH936" s="1908">
        <v>2</v>
      </c>
      <c r="AI936" s="1908">
        <v>2</v>
      </c>
      <c r="AJ936" s="1909">
        <v>2</v>
      </c>
      <c r="AK936" s="1910">
        <v>2</v>
      </c>
      <c r="AL936" s="1910">
        <v>2</v>
      </c>
      <c r="AM936" s="1910">
        <v>2</v>
      </c>
      <c r="AN936" s="1910">
        <v>2</v>
      </c>
      <c r="AO936" s="1910">
        <v>2</v>
      </c>
      <c r="AP936" s="1910">
        <v>2</v>
      </c>
    </row>
    <row r="937" spans="1:42" s="34" customFormat="1" ht="14.5">
      <c r="A937" s="1693">
        <v>815</v>
      </c>
      <c r="B937" s="616">
        <v>1</v>
      </c>
      <c r="C937" s="1693">
        <v>816</v>
      </c>
      <c r="D937" s="616">
        <v>1</v>
      </c>
      <c r="E937" s="1693">
        <v>842</v>
      </c>
      <c r="F937" s="616">
        <v>1</v>
      </c>
      <c r="G937" s="1693">
        <v>929</v>
      </c>
      <c r="H937" s="616">
        <v>1</v>
      </c>
      <c r="I937" s="616"/>
      <c r="K937" s="454"/>
      <c r="L937" s="4"/>
      <c r="M937" s="4"/>
      <c r="N937" s="4"/>
      <c r="O937" s="262"/>
      <c r="P937" s="4"/>
      <c r="Q937" s="4"/>
      <c r="R937" s="3"/>
      <c r="S937" s="3"/>
      <c r="T937" s="41"/>
      <c r="U937" s="41" t="s">
        <v>18</v>
      </c>
      <c r="V937" s="41"/>
      <c r="W937" s="1904"/>
      <c r="X937" s="1908">
        <v>14</v>
      </c>
      <c r="Y937" s="1908">
        <v>14</v>
      </c>
      <c r="Z937" s="1908">
        <v>14</v>
      </c>
      <c r="AA937" s="1908">
        <v>14</v>
      </c>
      <c r="AB937" s="1908">
        <v>14</v>
      </c>
      <c r="AC937" s="1908">
        <v>14</v>
      </c>
      <c r="AD937" s="1908">
        <v>14</v>
      </c>
      <c r="AE937" s="1908">
        <v>14</v>
      </c>
      <c r="AF937" s="1908">
        <v>14</v>
      </c>
      <c r="AG937" s="1908">
        <v>14</v>
      </c>
      <c r="AH937" s="1908">
        <v>14</v>
      </c>
      <c r="AI937" s="1908">
        <v>14</v>
      </c>
      <c r="AJ937" s="1909">
        <v>14</v>
      </c>
      <c r="AK937" s="1910">
        <v>14</v>
      </c>
      <c r="AL937" s="1910">
        <v>14</v>
      </c>
      <c r="AM937" s="1910">
        <v>14</v>
      </c>
      <c r="AN937" s="1910">
        <v>14</v>
      </c>
      <c r="AO937" s="1910">
        <v>14</v>
      </c>
      <c r="AP937" s="1910">
        <v>14</v>
      </c>
    </row>
    <row r="938" spans="1:42" s="34" customFormat="1" ht="14.5">
      <c r="A938" s="1693">
        <v>816</v>
      </c>
      <c r="B938" s="616">
        <v>1</v>
      </c>
      <c r="C938" s="1693">
        <v>817</v>
      </c>
      <c r="D938" s="616">
        <v>1</v>
      </c>
      <c r="E938" s="1693">
        <v>843</v>
      </c>
      <c r="F938" s="616">
        <v>1</v>
      </c>
      <c r="G938" s="1693">
        <v>930</v>
      </c>
      <c r="H938" s="616">
        <v>1</v>
      </c>
      <c r="I938" s="616"/>
      <c r="K938" s="454"/>
      <c r="L938" s="4"/>
      <c r="M938" s="4"/>
      <c r="N938" s="4"/>
      <c r="O938" s="262"/>
      <c r="P938" s="4"/>
      <c r="Q938" s="4"/>
      <c r="R938" s="3"/>
      <c r="S938" s="3"/>
      <c r="T938" s="41"/>
      <c r="U938" s="41" t="s">
        <v>19</v>
      </c>
      <c r="V938" s="41"/>
      <c r="W938" s="1904"/>
      <c r="X938" s="1908">
        <v>5</v>
      </c>
      <c r="Y938" s="1908">
        <v>5</v>
      </c>
      <c r="Z938" s="1908">
        <v>5</v>
      </c>
      <c r="AA938" s="1908">
        <v>5</v>
      </c>
      <c r="AB938" s="1908">
        <v>5</v>
      </c>
      <c r="AC938" s="1908">
        <v>5</v>
      </c>
      <c r="AD938" s="1908">
        <v>5</v>
      </c>
      <c r="AE938" s="1908">
        <v>5</v>
      </c>
      <c r="AF938" s="1908">
        <v>5</v>
      </c>
      <c r="AG938" s="1908">
        <v>5</v>
      </c>
      <c r="AH938" s="1908">
        <v>5</v>
      </c>
      <c r="AI938" s="1908">
        <v>5</v>
      </c>
      <c r="AJ938" s="1909">
        <v>5</v>
      </c>
      <c r="AK938" s="1910">
        <v>5</v>
      </c>
      <c r="AL938" s="1910">
        <v>5</v>
      </c>
      <c r="AM938" s="1910">
        <v>5</v>
      </c>
      <c r="AN938" s="1910">
        <v>5</v>
      </c>
      <c r="AO938" s="1910">
        <v>5</v>
      </c>
      <c r="AP938" s="1910">
        <v>5</v>
      </c>
    </row>
    <row r="939" spans="1:42" s="34" customFormat="1" ht="14.5">
      <c r="A939" s="1693">
        <v>817</v>
      </c>
      <c r="B939" s="616">
        <v>1</v>
      </c>
      <c r="C939" s="1693">
        <v>818</v>
      </c>
      <c r="D939" s="616">
        <v>1</v>
      </c>
      <c r="E939" s="1693">
        <v>844</v>
      </c>
      <c r="F939" s="616">
        <v>1</v>
      </c>
      <c r="G939" s="1693">
        <v>931</v>
      </c>
      <c r="H939" s="616">
        <v>1</v>
      </c>
      <c r="I939" s="616"/>
      <c r="K939" s="454"/>
      <c r="L939" s="4"/>
      <c r="M939" s="4"/>
      <c r="N939" s="4"/>
      <c r="O939" s="262"/>
      <c r="P939" s="4"/>
      <c r="Q939" s="4"/>
      <c r="R939" s="3"/>
      <c r="S939" s="3"/>
      <c r="T939" s="41"/>
      <c r="U939" s="41" t="s">
        <v>20</v>
      </c>
      <c r="V939" s="41"/>
      <c r="W939" s="1904"/>
      <c r="X939" s="1908">
        <v>0</v>
      </c>
      <c r="Y939" s="1908">
        <v>0</v>
      </c>
      <c r="Z939" s="1908">
        <v>0</v>
      </c>
      <c r="AA939" s="1908">
        <v>0</v>
      </c>
      <c r="AB939" s="1908">
        <v>0</v>
      </c>
      <c r="AC939" s="1908">
        <v>0</v>
      </c>
      <c r="AD939" s="1908">
        <v>0</v>
      </c>
      <c r="AE939" s="1908">
        <v>0</v>
      </c>
      <c r="AF939" s="1908">
        <v>0</v>
      </c>
      <c r="AG939" s="1908">
        <v>0</v>
      </c>
      <c r="AH939" s="1908">
        <v>0</v>
      </c>
      <c r="AI939" s="1908">
        <v>0</v>
      </c>
      <c r="AJ939" s="1909">
        <v>0</v>
      </c>
      <c r="AK939" s="1910">
        <v>0</v>
      </c>
      <c r="AL939" s="1910">
        <v>0</v>
      </c>
      <c r="AM939" s="1910">
        <v>0</v>
      </c>
      <c r="AN939" s="1910">
        <v>0</v>
      </c>
      <c r="AO939" s="1910">
        <v>0</v>
      </c>
      <c r="AP939" s="1910">
        <v>0</v>
      </c>
    </row>
    <row r="940" spans="1:42" s="34" customFormat="1" ht="14.5">
      <c r="A940" s="1693">
        <v>818</v>
      </c>
      <c r="B940" s="616">
        <v>1</v>
      </c>
      <c r="C940" s="1693">
        <v>819</v>
      </c>
      <c r="D940" s="616">
        <v>1</v>
      </c>
      <c r="E940" s="1693">
        <v>845</v>
      </c>
      <c r="F940" s="616">
        <v>1</v>
      </c>
      <c r="G940" s="1693">
        <v>932</v>
      </c>
      <c r="H940" s="616">
        <v>1</v>
      </c>
      <c r="I940" s="616"/>
      <c r="K940" s="454"/>
      <c r="L940" s="4"/>
      <c r="M940" s="4"/>
      <c r="N940" s="4"/>
      <c r="O940" s="262"/>
      <c r="P940" s="4"/>
      <c r="Q940" s="4"/>
      <c r="R940" s="3"/>
      <c r="S940" s="3"/>
      <c r="T940" s="41"/>
      <c r="U940" s="41" t="s">
        <v>2</v>
      </c>
      <c r="V940" s="41"/>
      <c r="W940" s="1904"/>
      <c r="X940" s="1908">
        <v>9</v>
      </c>
      <c r="Y940" s="1908">
        <v>9</v>
      </c>
      <c r="Z940" s="1908">
        <v>9</v>
      </c>
      <c r="AA940" s="1908">
        <v>11</v>
      </c>
      <c r="AB940" s="1908">
        <v>11</v>
      </c>
      <c r="AC940" s="1908">
        <v>11</v>
      </c>
      <c r="AD940" s="1908">
        <v>11</v>
      </c>
      <c r="AE940" s="1908">
        <v>11</v>
      </c>
      <c r="AF940" s="1908">
        <v>11</v>
      </c>
      <c r="AG940" s="1908">
        <v>11</v>
      </c>
      <c r="AH940" s="1908">
        <v>11</v>
      </c>
      <c r="AI940" s="1908">
        <v>11</v>
      </c>
      <c r="AJ940" s="1909">
        <v>9</v>
      </c>
      <c r="AK940" s="1910">
        <v>11</v>
      </c>
      <c r="AL940" s="1910">
        <v>11</v>
      </c>
      <c r="AM940" s="1910">
        <v>11</v>
      </c>
      <c r="AN940" s="1910">
        <v>11</v>
      </c>
      <c r="AO940" s="1910">
        <v>11</v>
      </c>
      <c r="AP940" s="1910">
        <v>11</v>
      </c>
    </row>
    <row r="941" spans="1:42" s="34" customFormat="1" ht="14.5">
      <c r="A941" s="1693">
        <v>819</v>
      </c>
      <c r="B941" s="616">
        <v>1</v>
      </c>
      <c r="C941" s="1693">
        <v>820</v>
      </c>
      <c r="D941" s="616">
        <v>1</v>
      </c>
      <c r="E941" s="1693">
        <v>846</v>
      </c>
      <c r="F941" s="616">
        <v>1</v>
      </c>
      <c r="G941" s="1693">
        <v>933</v>
      </c>
      <c r="H941" s="616">
        <v>1</v>
      </c>
      <c r="I941" s="616"/>
      <c r="J941" s="709" t="s">
        <v>512</v>
      </c>
      <c r="K941" s="1764" t="s">
        <v>1216</v>
      </c>
      <c r="L941" s="4"/>
      <c r="M941" s="4"/>
      <c r="N941" s="4"/>
      <c r="O941" s="262"/>
      <c r="P941" s="252" t="s">
        <v>206</v>
      </c>
      <c r="Q941" s="252"/>
      <c r="R941" s="252"/>
      <c r="S941" s="251"/>
      <c r="T941" s="251"/>
      <c r="U941" s="251"/>
      <c r="V941" s="251"/>
      <c r="W941" s="1849"/>
      <c r="X941" s="1986">
        <v>16</v>
      </c>
      <c r="Y941" s="1986">
        <v>16</v>
      </c>
      <c r="Z941" s="1986">
        <v>17</v>
      </c>
      <c r="AA941" s="1986">
        <v>17</v>
      </c>
      <c r="AB941" s="1986">
        <v>17</v>
      </c>
      <c r="AC941" s="1986">
        <v>17</v>
      </c>
      <c r="AD941" s="1986">
        <v>17</v>
      </c>
      <c r="AE941" s="1986">
        <v>17</v>
      </c>
      <c r="AF941" s="1986">
        <v>17</v>
      </c>
      <c r="AG941" s="1986">
        <v>17</v>
      </c>
      <c r="AH941" s="1986">
        <v>17</v>
      </c>
      <c r="AI941" s="1986">
        <v>17</v>
      </c>
      <c r="AJ941" s="2262">
        <v>17</v>
      </c>
      <c r="AK941" s="1986">
        <v>17</v>
      </c>
      <c r="AL941" s="1986">
        <v>17</v>
      </c>
      <c r="AM941" s="1986">
        <v>17</v>
      </c>
      <c r="AN941" s="1986">
        <v>17</v>
      </c>
      <c r="AO941" s="1986">
        <v>17</v>
      </c>
      <c r="AP941" s="1986">
        <v>17</v>
      </c>
    </row>
    <row r="942" spans="1:42" s="34" customFormat="1" ht="14.5">
      <c r="A942" s="1693">
        <v>820</v>
      </c>
      <c r="B942" s="616">
        <v>1</v>
      </c>
      <c r="C942" s="1693">
        <v>821</v>
      </c>
      <c r="D942" s="616">
        <v>1</v>
      </c>
      <c r="E942" s="1693">
        <v>847</v>
      </c>
      <c r="F942" s="616">
        <v>1</v>
      </c>
      <c r="G942" s="1693">
        <v>934</v>
      </c>
      <c r="H942" s="616">
        <v>1</v>
      </c>
      <c r="I942" s="616"/>
      <c r="K942" s="454"/>
      <c r="L942" s="4"/>
      <c r="M942" s="4"/>
      <c r="N942" s="4"/>
      <c r="O942" s="262"/>
      <c r="P942" s="4"/>
      <c r="Q942" s="4"/>
      <c r="R942" s="3"/>
      <c r="S942" s="3"/>
      <c r="T942" s="41"/>
      <c r="U942" s="41" t="s">
        <v>21</v>
      </c>
      <c r="V942" s="41"/>
      <c r="W942" s="1904"/>
      <c r="X942" s="1908">
        <v>7</v>
      </c>
      <c r="Y942" s="1908">
        <v>7</v>
      </c>
      <c r="Z942" s="1908">
        <v>7</v>
      </c>
      <c r="AA942" s="1908">
        <v>7</v>
      </c>
      <c r="AB942" s="1908">
        <v>7</v>
      </c>
      <c r="AC942" s="1908">
        <v>7</v>
      </c>
      <c r="AD942" s="1908">
        <v>7</v>
      </c>
      <c r="AE942" s="1908">
        <v>7</v>
      </c>
      <c r="AF942" s="1908">
        <v>7</v>
      </c>
      <c r="AG942" s="1908">
        <v>7</v>
      </c>
      <c r="AH942" s="1908">
        <v>7</v>
      </c>
      <c r="AI942" s="1908">
        <v>7</v>
      </c>
      <c r="AJ942" s="1909">
        <v>7</v>
      </c>
      <c r="AK942" s="1910">
        <v>7</v>
      </c>
      <c r="AL942" s="1910">
        <v>7</v>
      </c>
      <c r="AM942" s="1910">
        <v>7</v>
      </c>
      <c r="AN942" s="1910">
        <v>7</v>
      </c>
      <c r="AO942" s="1910">
        <v>7</v>
      </c>
      <c r="AP942" s="1910">
        <v>7</v>
      </c>
    </row>
    <row r="943" spans="1:42" s="34" customFormat="1" ht="14.5">
      <c r="A943" s="1693">
        <v>821</v>
      </c>
      <c r="B943" s="616">
        <v>1</v>
      </c>
      <c r="C943" s="1693">
        <v>822</v>
      </c>
      <c r="D943" s="616">
        <v>1</v>
      </c>
      <c r="E943" s="1693">
        <v>848</v>
      </c>
      <c r="F943" s="616">
        <v>1</v>
      </c>
      <c r="G943" s="1693">
        <v>935</v>
      </c>
      <c r="H943" s="616">
        <v>1</v>
      </c>
      <c r="I943" s="616"/>
      <c r="K943" s="454"/>
      <c r="L943" s="4"/>
      <c r="M943" s="4"/>
      <c r="N943" s="4"/>
      <c r="O943" s="262"/>
      <c r="P943" s="4"/>
      <c r="Q943" s="4"/>
      <c r="R943" s="3"/>
      <c r="S943" s="3"/>
      <c r="T943" s="41"/>
      <c r="U943" s="41" t="s">
        <v>22</v>
      </c>
      <c r="V943" s="41"/>
      <c r="W943" s="1904"/>
      <c r="X943" s="1908">
        <v>9</v>
      </c>
      <c r="Y943" s="1908">
        <v>9</v>
      </c>
      <c r="Z943" s="1908">
        <v>10</v>
      </c>
      <c r="AA943" s="1908">
        <v>10</v>
      </c>
      <c r="AB943" s="1908">
        <v>10</v>
      </c>
      <c r="AC943" s="1908">
        <v>10</v>
      </c>
      <c r="AD943" s="1908">
        <v>10</v>
      </c>
      <c r="AE943" s="1908">
        <v>10</v>
      </c>
      <c r="AF943" s="1908">
        <v>10</v>
      </c>
      <c r="AG943" s="1908">
        <v>10</v>
      </c>
      <c r="AH943" s="1908">
        <v>10</v>
      </c>
      <c r="AI943" s="1908">
        <v>10</v>
      </c>
      <c r="AJ943" s="1909">
        <v>10</v>
      </c>
      <c r="AK943" s="1910">
        <v>10</v>
      </c>
      <c r="AL943" s="1910">
        <v>10</v>
      </c>
      <c r="AM943" s="1910">
        <v>10</v>
      </c>
      <c r="AN943" s="1910">
        <v>10</v>
      </c>
      <c r="AO943" s="1910">
        <v>10</v>
      </c>
      <c r="AP943" s="1910">
        <v>10</v>
      </c>
    </row>
    <row r="944" spans="1:42" s="34" customFormat="1" ht="14.5">
      <c r="A944" s="1693">
        <v>822</v>
      </c>
      <c r="B944" s="616">
        <v>1</v>
      </c>
      <c r="C944" s="1693">
        <v>823</v>
      </c>
      <c r="D944" s="616">
        <v>1</v>
      </c>
      <c r="E944" s="1693">
        <v>849</v>
      </c>
      <c r="F944" s="616">
        <v>1</v>
      </c>
      <c r="G944" s="1693">
        <v>936</v>
      </c>
      <c r="H944" s="616">
        <v>1</v>
      </c>
      <c r="I944" s="616"/>
      <c r="K944" s="454"/>
      <c r="L944" s="4"/>
      <c r="M944" s="4"/>
      <c r="N944" s="4"/>
      <c r="O944" s="263"/>
      <c r="P944" s="2"/>
      <c r="Q944" s="2"/>
      <c r="R944" s="1"/>
      <c r="S944" s="1"/>
      <c r="T944" s="39"/>
      <c r="U944" s="39" t="s">
        <v>23</v>
      </c>
      <c r="V944" s="39"/>
      <c r="W944" s="1904"/>
      <c r="X944" s="2261">
        <v>0</v>
      </c>
      <c r="Y944" s="2261">
        <v>0</v>
      </c>
      <c r="Z944" s="2261">
        <v>0</v>
      </c>
      <c r="AA944" s="2261">
        <v>0</v>
      </c>
      <c r="AB944" s="2261">
        <v>0</v>
      </c>
      <c r="AC944" s="2261">
        <v>0</v>
      </c>
      <c r="AD944" s="2261">
        <v>0</v>
      </c>
      <c r="AE944" s="2261">
        <v>0</v>
      </c>
      <c r="AF944" s="2261">
        <v>0</v>
      </c>
      <c r="AG944" s="2261">
        <v>0</v>
      </c>
      <c r="AH944" s="2261">
        <v>0</v>
      </c>
      <c r="AI944" s="2261">
        <v>0</v>
      </c>
      <c r="AJ944" s="2247">
        <v>0</v>
      </c>
      <c r="AK944" s="2248">
        <v>0</v>
      </c>
      <c r="AL944" s="2248">
        <v>0</v>
      </c>
      <c r="AM944" s="2248">
        <v>0</v>
      </c>
      <c r="AN944" s="2248">
        <v>0</v>
      </c>
      <c r="AO944" s="2248">
        <v>0</v>
      </c>
      <c r="AP944" s="2248">
        <v>0</v>
      </c>
    </row>
    <row r="945" spans="1:42" s="34" customFormat="1" ht="14.5">
      <c r="A945" s="1693">
        <v>823</v>
      </c>
      <c r="B945" s="616">
        <v>1</v>
      </c>
      <c r="C945" s="1693">
        <v>824</v>
      </c>
      <c r="D945" s="616">
        <v>1</v>
      </c>
      <c r="E945" s="1693">
        <v>850</v>
      </c>
      <c r="F945" s="616">
        <v>1</v>
      </c>
      <c r="G945" s="1693">
        <v>937</v>
      </c>
      <c r="H945" s="616">
        <v>1</v>
      </c>
      <c r="I945" s="616"/>
      <c r="J945" s="709" t="s">
        <v>512</v>
      </c>
      <c r="K945" s="1764" t="s">
        <v>1216</v>
      </c>
      <c r="L945" s="4"/>
      <c r="M945" s="4"/>
      <c r="N945" s="4"/>
      <c r="O945" s="2253" t="s">
        <v>1110</v>
      </c>
      <c r="P945" s="1523"/>
      <c r="Q945" s="1509"/>
      <c r="R945" s="1509"/>
      <c r="S945" s="1523"/>
      <c r="T945" s="1523"/>
      <c r="U945" s="1523"/>
      <c r="V945" s="1523"/>
      <c r="W945" s="1853"/>
      <c r="X945" s="2263">
        <v>26</v>
      </c>
      <c r="Y945" s="2263">
        <v>26</v>
      </c>
      <c r="Z945" s="2263">
        <v>26</v>
      </c>
      <c r="AA945" s="2263">
        <v>26</v>
      </c>
      <c r="AB945" s="2263">
        <v>26</v>
      </c>
      <c r="AC945" s="2263">
        <v>26</v>
      </c>
      <c r="AD945" s="2263">
        <v>26</v>
      </c>
      <c r="AE945" s="2263">
        <v>26</v>
      </c>
      <c r="AF945" s="2263">
        <v>26</v>
      </c>
      <c r="AG945" s="2263">
        <v>26</v>
      </c>
      <c r="AH945" s="2263">
        <v>26</v>
      </c>
      <c r="AI945" s="2263">
        <v>26</v>
      </c>
      <c r="AJ945" s="2255">
        <v>26</v>
      </c>
      <c r="AK945" s="2256">
        <v>26</v>
      </c>
      <c r="AL945" s="2256">
        <v>26</v>
      </c>
      <c r="AM945" s="2256">
        <v>26</v>
      </c>
      <c r="AN945" s="2256">
        <v>26</v>
      </c>
      <c r="AO945" s="2256">
        <v>26</v>
      </c>
      <c r="AP945" s="2256">
        <v>26</v>
      </c>
    </row>
    <row r="946" spans="1:42" s="34" customFormat="1" ht="14.5">
      <c r="A946" s="1693">
        <v>824</v>
      </c>
      <c r="B946" s="616">
        <v>1</v>
      </c>
      <c r="C946" s="1693">
        <v>825</v>
      </c>
      <c r="D946" s="616">
        <v>1</v>
      </c>
      <c r="E946" s="1693">
        <v>851</v>
      </c>
      <c r="F946" s="616">
        <v>1</v>
      </c>
      <c r="G946" s="1693">
        <v>938</v>
      </c>
      <c r="H946" s="616">
        <v>1</v>
      </c>
      <c r="I946" s="616"/>
      <c r="J946" s="709" t="s">
        <v>512</v>
      </c>
      <c r="K946" s="1764" t="s">
        <v>1216</v>
      </c>
      <c r="L946" s="4"/>
      <c r="M946" s="4"/>
      <c r="N946" s="4"/>
      <c r="O946" s="4"/>
      <c r="P946" s="3"/>
      <c r="Q946" s="4"/>
      <c r="R946" s="4"/>
      <c r="S946" s="3"/>
      <c r="T946" s="3"/>
      <c r="U946" s="3"/>
      <c r="V946" s="3"/>
      <c r="W946" s="1773"/>
      <c r="X946" s="1608"/>
      <c r="Y946" s="1609"/>
      <c r="Z946" s="1609"/>
      <c r="AA946" s="1609"/>
      <c r="AB946" s="1609"/>
      <c r="AC946" s="1609"/>
      <c r="AD946" s="1609"/>
      <c r="AE946" s="1609"/>
      <c r="AF946" s="1609"/>
      <c r="AG946" s="1609"/>
      <c r="AH946" s="454"/>
      <c r="AI946" s="454"/>
      <c r="AJ946" s="454"/>
      <c r="AK946" s="454"/>
      <c r="AL946" s="454"/>
      <c r="AM946" s="454"/>
      <c r="AN946" s="454"/>
      <c r="AO946" s="454"/>
      <c r="AP946" s="454"/>
    </row>
    <row r="947" spans="1:42" s="34" customFormat="1" ht="14.5">
      <c r="A947" s="1693">
        <v>825</v>
      </c>
      <c r="B947" s="616">
        <v>1</v>
      </c>
      <c r="C947" s="1693">
        <v>826</v>
      </c>
      <c r="D947" s="616">
        <v>1</v>
      </c>
      <c r="E947" s="1693">
        <v>852</v>
      </c>
      <c r="F947" s="616">
        <v>1</v>
      </c>
      <c r="G947" s="1693">
        <v>939</v>
      </c>
      <c r="H947" s="616">
        <v>1</v>
      </c>
      <c r="I947" s="616"/>
      <c r="J947" s="709" t="s">
        <v>512</v>
      </c>
      <c r="K947" s="1764" t="s">
        <v>1216</v>
      </c>
      <c r="L947" s="4"/>
      <c r="M947" s="4"/>
      <c r="N947" s="4" t="s">
        <v>1030</v>
      </c>
      <c r="O947" s="4"/>
      <c r="P947" s="3"/>
      <c r="Q947" s="4"/>
      <c r="R947" s="4"/>
      <c r="S947" s="3"/>
      <c r="T947" s="3"/>
      <c r="U947" s="3"/>
      <c r="V947" s="3"/>
      <c r="W947" s="1773"/>
      <c r="X947" s="1608"/>
      <c r="Y947" s="1609"/>
      <c r="Z947" s="1609"/>
      <c r="AA947" s="1609"/>
      <c r="AB947" s="1609"/>
      <c r="AC947" s="1609"/>
      <c r="AD947" s="1609"/>
      <c r="AE947" s="1609"/>
      <c r="AF947" s="1609"/>
      <c r="AG947" s="1609"/>
      <c r="AH947" s="454"/>
      <c r="AI947" s="454"/>
      <c r="AJ947" s="454"/>
      <c r="AK947" s="454"/>
      <c r="AL947" s="454"/>
      <c r="AM947" s="454"/>
      <c r="AN947" s="454"/>
      <c r="AO947" s="454"/>
      <c r="AP947" s="454"/>
    </row>
    <row r="948" spans="1:42" s="2244" customFormat="1" ht="14.5">
      <c r="A948" s="1693">
        <v>826</v>
      </c>
      <c r="B948" s="616">
        <v>1</v>
      </c>
      <c r="C948" s="1693">
        <v>827</v>
      </c>
      <c r="D948" s="616">
        <v>1</v>
      </c>
      <c r="E948" s="1693">
        <v>853</v>
      </c>
      <c r="F948" s="616">
        <v>1</v>
      </c>
      <c r="G948" s="1693">
        <v>940</v>
      </c>
      <c r="H948" s="616">
        <v>1</v>
      </c>
      <c r="I948" s="616"/>
      <c r="J948" s="709" t="s">
        <v>512</v>
      </c>
      <c r="K948" s="1764" t="s">
        <v>1216</v>
      </c>
      <c r="L948" s="2236"/>
      <c r="M948" s="2236"/>
      <c r="N948" s="2237"/>
      <c r="O948" s="2264" t="s">
        <v>202</v>
      </c>
      <c r="P948" s="2265"/>
      <c r="Q948" s="2266"/>
      <c r="R948" s="2266"/>
      <c r="S948" s="2266"/>
      <c r="T948" s="2266"/>
      <c r="U948" s="2266"/>
      <c r="V948" s="2266"/>
      <c r="W948" s="2267"/>
      <c r="X948" s="2268">
        <v>484</v>
      </c>
      <c r="Y948" s="2030">
        <v>485</v>
      </c>
      <c r="Z948" s="2030">
        <v>489</v>
      </c>
      <c r="AA948" s="2030">
        <v>490</v>
      </c>
      <c r="AB948" s="2030">
        <v>492</v>
      </c>
      <c r="AC948" s="2030">
        <v>495</v>
      </c>
      <c r="AD948" s="2030">
        <v>499</v>
      </c>
      <c r="AE948" s="2030">
        <v>501</v>
      </c>
      <c r="AF948" s="2030">
        <v>503</v>
      </c>
      <c r="AG948" s="2030">
        <v>504</v>
      </c>
      <c r="AH948" s="2030">
        <v>505</v>
      </c>
      <c r="AI948" s="2030">
        <v>506</v>
      </c>
      <c r="AJ948" s="2030">
        <v>489</v>
      </c>
      <c r="AK948" s="2030">
        <v>495</v>
      </c>
      <c r="AL948" s="2030">
        <v>503</v>
      </c>
      <c r="AM948" s="2030">
        <v>506</v>
      </c>
      <c r="AN948" s="2030">
        <v>495</v>
      </c>
      <c r="AO948" s="2030">
        <v>506</v>
      </c>
      <c r="AP948" s="2030">
        <v>506</v>
      </c>
    </row>
    <row r="949" spans="1:42" s="34" customFormat="1" ht="14.5">
      <c r="A949" s="1693">
        <v>827</v>
      </c>
      <c r="B949" s="616">
        <v>1</v>
      </c>
      <c r="C949" s="1693">
        <v>828</v>
      </c>
      <c r="D949" s="616">
        <v>1</v>
      </c>
      <c r="E949" s="1693">
        <v>854</v>
      </c>
      <c r="F949" s="616">
        <v>1</v>
      </c>
      <c r="G949" s="1693">
        <v>941</v>
      </c>
      <c r="H949" s="616">
        <v>1</v>
      </c>
      <c r="I949" s="616"/>
      <c r="J949" s="709" t="s">
        <v>512</v>
      </c>
      <c r="K949" s="1764" t="s">
        <v>1216</v>
      </c>
      <c r="L949" s="4"/>
      <c r="M949" s="4"/>
      <c r="N949" s="4"/>
      <c r="O949" s="258"/>
      <c r="P949" s="48" t="s">
        <v>14</v>
      </c>
      <c r="Q949" s="48"/>
      <c r="R949" s="48"/>
      <c r="S949" s="47"/>
      <c r="T949" s="47"/>
      <c r="U949" s="47"/>
      <c r="V949" s="47"/>
      <c r="W949" s="1849"/>
      <c r="X949" s="1970">
        <v>71</v>
      </c>
      <c r="Y949" s="1970">
        <v>71</v>
      </c>
      <c r="Z949" s="1970">
        <v>73</v>
      </c>
      <c r="AA949" s="1970">
        <v>73</v>
      </c>
      <c r="AB949" s="1970">
        <v>73</v>
      </c>
      <c r="AC949" s="1970">
        <v>74</v>
      </c>
      <c r="AD949" s="1970">
        <v>74</v>
      </c>
      <c r="AE949" s="1970">
        <v>74</v>
      </c>
      <c r="AF949" s="1970">
        <v>74</v>
      </c>
      <c r="AG949" s="1970">
        <v>74</v>
      </c>
      <c r="AH949" s="1970">
        <v>74</v>
      </c>
      <c r="AI949" s="1970">
        <v>74</v>
      </c>
      <c r="AJ949" s="2044">
        <v>73</v>
      </c>
      <c r="AK949" s="1970">
        <v>74</v>
      </c>
      <c r="AL949" s="1970">
        <v>74</v>
      </c>
      <c r="AM949" s="1970">
        <v>74</v>
      </c>
      <c r="AN949" s="1970">
        <v>74</v>
      </c>
      <c r="AO949" s="1970">
        <v>74</v>
      </c>
      <c r="AP949" s="1970">
        <v>74</v>
      </c>
    </row>
    <row r="950" spans="1:42" s="34" customFormat="1" ht="14.5">
      <c r="A950" s="1693">
        <v>828</v>
      </c>
      <c r="B950" s="616">
        <v>1</v>
      </c>
      <c r="C950" s="1693">
        <v>829</v>
      </c>
      <c r="D950" s="616">
        <v>1</v>
      </c>
      <c r="E950" s="1693">
        <v>855</v>
      </c>
      <c r="F950" s="616">
        <v>1</v>
      </c>
      <c r="G950" s="1693">
        <v>942</v>
      </c>
      <c r="H950" s="616">
        <v>1</v>
      </c>
      <c r="I950" s="616"/>
      <c r="K950" s="454"/>
      <c r="L950" s="4"/>
      <c r="M950" s="4"/>
      <c r="N950" s="4"/>
      <c r="O950" s="258"/>
      <c r="P950" s="4"/>
      <c r="Q950" s="4"/>
      <c r="R950" s="4"/>
      <c r="S950" s="3"/>
      <c r="T950" s="41"/>
      <c r="U950" s="41" t="s">
        <v>45</v>
      </c>
      <c r="V950" s="3"/>
      <c r="W950" s="1904"/>
      <c r="X950" s="1908">
        <v>57</v>
      </c>
      <c r="Y950" s="1908">
        <v>57</v>
      </c>
      <c r="Z950" s="1908">
        <v>58</v>
      </c>
      <c r="AA950" s="1908">
        <v>58</v>
      </c>
      <c r="AB950" s="1908">
        <v>58</v>
      </c>
      <c r="AC950" s="1908">
        <v>59</v>
      </c>
      <c r="AD950" s="1908">
        <v>59</v>
      </c>
      <c r="AE950" s="1908">
        <v>59</v>
      </c>
      <c r="AF950" s="1908">
        <v>59</v>
      </c>
      <c r="AG950" s="1908">
        <v>59</v>
      </c>
      <c r="AH950" s="1908">
        <v>59</v>
      </c>
      <c r="AI950" s="1908">
        <v>59</v>
      </c>
      <c r="AJ950" s="1909">
        <v>58</v>
      </c>
      <c r="AK950" s="1910">
        <v>59</v>
      </c>
      <c r="AL950" s="1910">
        <v>59</v>
      </c>
      <c r="AM950" s="1910">
        <v>59</v>
      </c>
      <c r="AN950" s="1910">
        <v>59</v>
      </c>
      <c r="AO950" s="1910">
        <v>59</v>
      </c>
      <c r="AP950" s="1910">
        <v>59</v>
      </c>
    </row>
    <row r="951" spans="1:42" s="34" customFormat="1" ht="14.5">
      <c r="A951" s="1693">
        <v>829</v>
      </c>
      <c r="B951" s="616">
        <v>1</v>
      </c>
      <c r="C951" s="1693">
        <v>830</v>
      </c>
      <c r="D951" s="616">
        <v>1</v>
      </c>
      <c r="E951" s="1693">
        <v>856</v>
      </c>
      <c r="F951" s="616">
        <v>1</v>
      </c>
      <c r="G951" s="1693">
        <v>943</v>
      </c>
      <c r="H951" s="616">
        <v>1</v>
      </c>
      <c r="I951" s="616"/>
      <c r="K951" s="454"/>
      <c r="L951" s="4"/>
      <c r="M951" s="4"/>
      <c r="N951" s="4"/>
      <c r="O951" s="258"/>
      <c r="P951" s="4"/>
      <c r="Q951" s="4"/>
      <c r="R951" s="4"/>
      <c r="S951" s="3"/>
      <c r="T951" s="41"/>
      <c r="U951" s="41" t="s">
        <v>44</v>
      </c>
      <c r="V951" s="3"/>
      <c r="W951" s="1904"/>
      <c r="X951" s="1908">
        <v>0</v>
      </c>
      <c r="Y951" s="1908">
        <v>0</v>
      </c>
      <c r="Z951" s="1908">
        <v>0</v>
      </c>
      <c r="AA951" s="1908">
        <v>0</v>
      </c>
      <c r="AB951" s="1908">
        <v>0</v>
      </c>
      <c r="AC951" s="1908">
        <v>0</v>
      </c>
      <c r="AD951" s="1908">
        <v>0</v>
      </c>
      <c r="AE951" s="1908">
        <v>0</v>
      </c>
      <c r="AF951" s="1908">
        <v>0</v>
      </c>
      <c r="AG951" s="1908">
        <v>0</v>
      </c>
      <c r="AH951" s="1908">
        <v>0</v>
      </c>
      <c r="AI951" s="1908">
        <v>0</v>
      </c>
      <c r="AJ951" s="1909">
        <v>0</v>
      </c>
      <c r="AK951" s="1910">
        <v>0</v>
      </c>
      <c r="AL951" s="1910">
        <v>0</v>
      </c>
      <c r="AM951" s="1910">
        <v>0</v>
      </c>
      <c r="AN951" s="1910">
        <v>0</v>
      </c>
      <c r="AO951" s="1910">
        <v>0</v>
      </c>
      <c r="AP951" s="1910">
        <v>0</v>
      </c>
    </row>
    <row r="952" spans="1:42" s="34" customFormat="1" ht="14.5">
      <c r="A952" s="1693">
        <v>830</v>
      </c>
      <c r="B952" s="616">
        <v>1</v>
      </c>
      <c r="C952" s="1693">
        <v>831</v>
      </c>
      <c r="D952" s="616">
        <v>1</v>
      </c>
      <c r="E952" s="1693">
        <v>857</v>
      </c>
      <c r="F952" s="616">
        <v>1</v>
      </c>
      <c r="G952" s="1693">
        <v>944</v>
      </c>
      <c r="H952" s="616">
        <v>1</v>
      </c>
      <c r="I952" s="616"/>
      <c r="K952" s="454"/>
      <c r="L952" s="4"/>
      <c r="M952" s="4"/>
      <c r="N952" s="4"/>
      <c r="O952" s="258"/>
      <c r="P952" s="4"/>
      <c r="Q952" s="4"/>
      <c r="R952" s="4"/>
      <c r="S952" s="3"/>
      <c r="T952" s="41"/>
      <c r="U952" s="41" t="s">
        <v>43</v>
      </c>
      <c r="V952" s="3"/>
      <c r="W952" s="1904"/>
      <c r="X952" s="1908">
        <v>0</v>
      </c>
      <c r="Y952" s="1908">
        <v>0</v>
      </c>
      <c r="Z952" s="1908">
        <v>0</v>
      </c>
      <c r="AA952" s="1908">
        <v>0</v>
      </c>
      <c r="AB952" s="1908">
        <v>0</v>
      </c>
      <c r="AC952" s="1908">
        <v>0</v>
      </c>
      <c r="AD952" s="1908">
        <v>0</v>
      </c>
      <c r="AE952" s="1908">
        <v>0</v>
      </c>
      <c r="AF952" s="1908">
        <v>0</v>
      </c>
      <c r="AG952" s="1908">
        <v>0</v>
      </c>
      <c r="AH952" s="1908">
        <v>0</v>
      </c>
      <c r="AI952" s="1908">
        <v>0</v>
      </c>
      <c r="AJ952" s="1909">
        <v>0</v>
      </c>
      <c r="AK952" s="1910">
        <v>0</v>
      </c>
      <c r="AL952" s="1910">
        <v>0</v>
      </c>
      <c r="AM952" s="1910">
        <v>0</v>
      </c>
      <c r="AN952" s="1910">
        <v>0</v>
      </c>
      <c r="AO952" s="1910">
        <v>0</v>
      </c>
      <c r="AP952" s="1910">
        <v>0</v>
      </c>
    </row>
    <row r="953" spans="1:42" s="34" customFormat="1" ht="14.5">
      <c r="A953" s="1693">
        <v>831</v>
      </c>
      <c r="B953" s="616">
        <v>1</v>
      </c>
      <c r="C953" s="1693">
        <v>832</v>
      </c>
      <c r="D953" s="616">
        <v>1</v>
      </c>
      <c r="E953" s="1693">
        <v>858</v>
      </c>
      <c r="F953" s="616">
        <v>1</v>
      </c>
      <c r="G953" s="1693">
        <v>945</v>
      </c>
      <c r="H953" s="616">
        <v>1</v>
      </c>
      <c r="I953" s="616"/>
      <c r="K953" s="454"/>
      <c r="L953" s="4"/>
      <c r="M953" s="4"/>
      <c r="N953" s="4"/>
      <c r="O953" s="258"/>
      <c r="P953" s="2"/>
      <c r="Q953" s="2"/>
      <c r="R953" s="2"/>
      <c r="S953" s="1"/>
      <c r="T953" s="39"/>
      <c r="U953" s="39" t="s">
        <v>40</v>
      </c>
      <c r="V953" s="1"/>
      <c r="W953" s="1904"/>
      <c r="X953" s="2261">
        <v>14</v>
      </c>
      <c r="Y953" s="2261">
        <v>14</v>
      </c>
      <c r="Z953" s="2261">
        <v>15</v>
      </c>
      <c r="AA953" s="2261">
        <v>15</v>
      </c>
      <c r="AB953" s="2261">
        <v>15</v>
      </c>
      <c r="AC953" s="2261">
        <v>15</v>
      </c>
      <c r="AD953" s="2261">
        <v>15</v>
      </c>
      <c r="AE953" s="2261">
        <v>15</v>
      </c>
      <c r="AF953" s="2261">
        <v>15</v>
      </c>
      <c r="AG953" s="2261">
        <v>15</v>
      </c>
      <c r="AH953" s="2261">
        <v>15</v>
      </c>
      <c r="AI953" s="2261">
        <v>15</v>
      </c>
      <c r="AJ953" s="2247">
        <v>15</v>
      </c>
      <c r="AK953" s="2248">
        <v>15</v>
      </c>
      <c r="AL953" s="2248">
        <v>15</v>
      </c>
      <c r="AM953" s="2248">
        <v>15</v>
      </c>
      <c r="AN953" s="2248">
        <v>15</v>
      </c>
      <c r="AO953" s="2248">
        <v>15</v>
      </c>
      <c r="AP953" s="2248">
        <v>15</v>
      </c>
    </row>
    <row r="954" spans="1:42" s="34" customFormat="1" ht="14.5">
      <c r="A954" s="1693">
        <v>832</v>
      </c>
      <c r="B954" s="616">
        <v>1</v>
      </c>
      <c r="C954" s="1693">
        <v>833</v>
      </c>
      <c r="D954" s="616">
        <v>1</v>
      </c>
      <c r="E954" s="1693">
        <v>859</v>
      </c>
      <c r="F954" s="616">
        <v>1</v>
      </c>
      <c r="G954" s="1693">
        <v>946</v>
      </c>
      <c r="H954" s="616">
        <v>1</v>
      </c>
      <c r="I954" s="616"/>
      <c r="J954" s="709" t="s">
        <v>512</v>
      </c>
      <c r="K954" s="1764" t="s">
        <v>1216</v>
      </c>
      <c r="L954" s="4"/>
      <c r="M954" s="4"/>
      <c r="N954" s="4"/>
      <c r="O954" s="258"/>
      <c r="P954" s="48" t="s">
        <v>204</v>
      </c>
      <c r="Q954" s="48"/>
      <c r="R954" s="48"/>
      <c r="S954" s="47"/>
      <c r="T954" s="47"/>
      <c r="U954" s="47"/>
      <c r="V954" s="47"/>
      <c r="W954" s="1849"/>
      <c r="X954" s="1970">
        <v>328</v>
      </c>
      <c r="Y954" s="1970">
        <v>329</v>
      </c>
      <c r="Z954" s="1970">
        <v>330</v>
      </c>
      <c r="AA954" s="1970">
        <v>331</v>
      </c>
      <c r="AB954" s="1970">
        <v>332</v>
      </c>
      <c r="AC954" s="1970">
        <v>333</v>
      </c>
      <c r="AD954" s="1970">
        <v>335</v>
      </c>
      <c r="AE954" s="1970">
        <v>337</v>
      </c>
      <c r="AF954" s="1970">
        <v>339</v>
      </c>
      <c r="AG954" s="1970">
        <v>340</v>
      </c>
      <c r="AH954" s="1970">
        <v>341</v>
      </c>
      <c r="AI954" s="1970">
        <v>342</v>
      </c>
      <c r="AJ954" s="2044">
        <v>330</v>
      </c>
      <c r="AK954" s="1970">
        <v>333</v>
      </c>
      <c r="AL954" s="1970">
        <v>339</v>
      </c>
      <c r="AM954" s="1970">
        <v>342</v>
      </c>
      <c r="AN954" s="1970">
        <v>333</v>
      </c>
      <c r="AO954" s="1970">
        <v>342</v>
      </c>
      <c r="AP954" s="1970">
        <v>342</v>
      </c>
    </row>
    <row r="955" spans="1:42" s="34" customFormat="1" ht="14.5">
      <c r="A955" s="1693">
        <v>833</v>
      </c>
      <c r="B955" s="616">
        <v>1</v>
      </c>
      <c r="C955" s="1693">
        <v>834</v>
      </c>
      <c r="D955" s="616">
        <v>1</v>
      </c>
      <c r="E955" s="1693">
        <v>860</v>
      </c>
      <c r="F955" s="616">
        <v>1</v>
      </c>
      <c r="G955" s="1693">
        <v>947</v>
      </c>
      <c r="H955" s="616">
        <v>1</v>
      </c>
      <c r="I955" s="616"/>
      <c r="K955" s="454"/>
      <c r="L955" s="4"/>
      <c r="M955" s="4"/>
      <c r="N955" s="4"/>
      <c r="O955" s="258"/>
      <c r="P955" s="4"/>
      <c r="Q955" s="4"/>
      <c r="R955" s="4"/>
      <c r="S955" s="3"/>
      <c r="T955" s="41"/>
      <c r="U955" s="41" t="s">
        <v>15</v>
      </c>
      <c r="V955" s="3"/>
      <c r="W955" s="1904"/>
      <c r="X955" s="1908">
        <v>285</v>
      </c>
      <c r="Y955" s="1908">
        <v>286</v>
      </c>
      <c r="Z955" s="1908">
        <v>287</v>
      </c>
      <c r="AA955" s="1908">
        <v>288</v>
      </c>
      <c r="AB955" s="1908">
        <v>289</v>
      </c>
      <c r="AC955" s="1908">
        <v>290</v>
      </c>
      <c r="AD955" s="1908">
        <v>291</v>
      </c>
      <c r="AE955" s="1908">
        <v>292</v>
      </c>
      <c r="AF955" s="1908">
        <v>293</v>
      </c>
      <c r="AG955" s="1908">
        <v>293</v>
      </c>
      <c r="AH955" s="1908">
        <v>293</v>
      </c>
      <c r="AI955" s="1908">
        <v>293</v>
      </c>
      <c r="AJ955" s="1909">
        <v>287</v>
      </c>
      <c r="AK955" s="1910">
        <v>290</v>
      </c>
      <c r="AL955" s="1910">
        <v>293</v>
      </c>
      <c r="AM955" s="1910">
        <v>293</v>
      </c>
      <c r="AN955" s="1910">
        <v>290</v>
      </c>
      <c r="AO955" s="1910">
        <v>293</v>
      </c>
      <c r="AP955" s="1910">
        <v>293</v>
      </c>
    </row>
    <row r="956" spans="1:42" s="34" customFormat="1" ht="14.5">
      <c r="A956" s="1693">
        <v>834</v>
      </c>
      <c r="B956" s="616">
        <v>1</v>
      </c>
      <c r="C956" s="1693">
        <v>835</v>
      </c>
      <c r="D956" s="616">
        <v>1</v>
      </c>
      <c r="E956" s="1693">
        <v>861</v>
      </c>
      <c r="F956" s="616">
        <v>1</v>
      </c>
      <c r="G956" s="1693">
        <v>948</v>
      </c>
      <c r="H956" s="616">
        <v>1</v>
      </c>
      <c r="I956" s="616"/>
      <c r="K956" s="454"/>
      <c r="L956" s="4"/>
      <c r="M956" s="4"/>
      <c r="N956" s="4"/>
      <c r="O956" s="258"/>
      <c r="P956" s="4"/>
      <c r="Q956" s="4"/>
      <c r="R956" s="4"/>
      <c r="S956" s="3"/>
      <c r="T956" s="41"/>
      <c r="U956" s="41" t="s">
        <v>16</v>
      </c>
      <c r="V956" s="3"/>
      <c r="W956" s="1904"/>
      <c r="X956" s="1908">
        <v>0</v>
      </c>
      <c r="Y956" s="1908">
        <v>0</v>
      </c>
      <c r="Z956" s="1908">
        <v>0</v>
      </c>
      <c r="AA956" s="1908">
        <v>0</v>
      </c>
      <c r="AB956" s="1908">
        <v>0</v>
      </c>
      <c r="AC956" s="1908">
        <v>0</v>
      </c>
      <c r="AD956" s="1908">
        <v>1</v>
      </c>
      <c r="AE956" s="1908">
        <v>2</v>
      </c>
      <c r="AF956" s="1908">
        <v>3</v>
      </c>
      <c r="AG956" s="1908">
        <v>4</v>
      </c>
      <c r="AH956" s="1908">
        <v>5</v>
      </c>
      <c r="AI956" s="1908">
        <v>6</v>
      </c>
      <c r="AJ956" s="1909">
        <v>0</v>
      </c>
      <c r="AK956" s="1910">
        <v>0</v>
      </c>
      <c r="AL956" s="1910">
        <v>3</v>
      </c>
      <c r="AM956" s="1910">
        <v>6</v>
      </c>
      <c r="AN956" s="1910">
        <v>0</v>
      </c>
      <c r="AO956" s="1910">
        <v>6</v>
      </c>
      <c r="AP956" s="1910">
        <v>6</v>
      </c>
    </row>
    <row r="957" spans="1:42" s="34" customFormat="1" ht="14.5">
      <c r="A957" s="1693">
        <v>835</v>
      </c>
      <c r="B957" s="616">
        <v>1</v>
      </c>
      <c r="C957" s="1693">
        <v>836</v>
      </c>
      <c r="D957" s="616">
        <v>1</v>
      </c>
      <c r="E957" s="1693">
        <v>862</v>
      </c>
      <c r="F957" s="616">
        <v>1</v>
      </c>
      <c r="G957" s="1693">
        <v>949</v>
      </c>
      <c r="H957" s="616">
        <v>1</v>
      </c>
      <c r="I957" s="616"/>
      <c r="K957" s="454"/>
      <c r="L957" s="4"/>
      <c r="M957" s="4"/>
      <c r="N957" s="4"/>
      <c r="O957" s="258"/>
      <c r="P957" s="4"/>
      <c r="Q957" s="4"/>
      <c r="R957" s="4"/>
      <c r="S957" s="3"/>
      <c r="T957" s="41"/>
      <c r="U957" s="41" t="s">
        <v>42</v>
      </c>
      <c r="V957" s="3"/>
      <c r="W957" s="1904"/>
      <c r="X957" s="1908">
        <v>30</v>
      </c>
      <c r="Y957" s="1908">
        <v>30</v>
      </c>
      <c r="Z957" s="1908">
        <v>30</v>
      </c>
      <c r="AA957" s="1908">
        <v>30</v>
      </c>
      <c r="AB957" s="1908">
        <v>30</v>
      </c>
      <c r="AC957" s="1908">
        <v>30</v>
      </c>
      <c r="AD957" s="1908">
        <v>30</v>
      </c>
      <c r="AE957" s="1908">
        <v>30</v>
      </c>
      <c r="AF957" s="1908">
        <v>30</v>
      </c>
      <c r="AG957" s="1908">
        <v>30</v>
      </c>
      <c r="AH957" s="1908">
        <v>30</v>
      </c>
      <c r="AI957" s="1908">
        <v>30</v>
      </c>
      <c r="AJ957" s="1909">
        <v>30</v>
      </c>
      <c r="AK957" s="1910">
        <v>30</v>
      </c>
      <c r="AL957" s="1910">
        <v>30</v>
      </c>
      <c r="AM957" s="1910">
        <v>30</v>
      </c>
      <c r="AN957" s="1910">
        <v>30</v>
      </c>
      <c r="AO957" s="1910">
        <v>30</v>
      </c>
      <c r="AP957" s="1910">
        <v>30</v>
      </c>
    </row>
    <row r="958" spans="1:42" s="34" customFormat="1" ht="14.5">
      <c r="A958" s="1693">
        <v>836</v>
      </c>
      <c r="B958" s="616">
        <v>1</v>
      </c>
      <c r="C958" s="1693">
        <v>837</v>
      </c>
      <c r="D958" s="616">
        <v>1</v>
      </c>
      <c r="E958" s="1693">
        <v>863</v>
      </c>
      <c r="F958" s="616">
        <v>1</v>
      </c>
      <c r="G958" s="1693">
        <v>950</v>
      </c>
      <c r="H958" s="616">
        <v>1</v>
      </c>
      <c r="I958" s="616"/>
      <c r="K958" s="454"/>
      <c r="L958" s="4"/>
      <c r="M958" s="4"/>
      <c r="N958" s="4"/>
      <c r="O958" s="258"/>
      <c r="P958" s="4"/>
      <c r="Q958" s="4"/>
      <c r="R958" s="4"/>
      <c r="S958" s="3"/>
      <c r="T958" s="41"/>
      <c r="U958" s="41" t="s">
        <v>41</v>
      </c>
      <c r="V958" s="3"/>
      <c r="W958" s="1904"/>
      <c r="X958" s="1908">
        <v>0</v>
      </c>
      <c r="Y958" s="1908">
        <v>0</v>
      </c>
      <c r="Z958" s="1908">
        <v>0</v>
      </c>
      <c r="AA958" s="1908">
        <v>0</v>
      </c>
      <c r="AB958" s="1908">
        <v>0</v>
      </c>
      <c r="AC958" s="1908">
        <v>0</v>
      </c>
      <c r="AD958" s="1908">
        <v>0</v>
      </c>
      <c r="AE958" s="1908">
        <v>0</v>
      </c>
      <c r="AF958" s="1908">
        <v>0</v>
      </c>
      <c r="AG958" s="1908">
        <v>0</v>
      </c>
      <c r="AH958" s="1908">
        <v>0</v>
      </c>
      <c r="AI958" s="1908">
        <v>0</v>
      </c>
      <c r="AJ958" s="1909">
        <v>0</v>
      </c>
      <c r="AK958" s="1910">
        <v>0</v>
      </c>
      <c r="AL958" s="1910">
        <v>0</v>
      </c>
      <c r="AM958" s="1910">
        <v>0</v>
      </c>
      <c r="AN958" s="1910">
        <v>0</v>
      </c>
      <c r="AO958" s="1910">
        <v>0</v>
      </c>
      <c r="AP958" s="1910">
        <v>0</v>
      </c>
    </row>
    <row r="959" spans="1:42" s="34" customFormat="1" ht="14.5">
      <c r="A959" s="1693">
        <v>837</v>
      </c>
      <c r="B959" s="616">
        <v>1</v>
      </c>
      <c r="C959" s="1693">
        <v>838</v>
      </c>
      <c r="D959" s="616">
        <v>1</v>
      </c>
      <c r="E959" s="1693">
        <v>864</v>
      </c>
      <c r="F959" s="616">
        <v>1</v>
      </c>
      <c r="G959" s="1693">
        <v>951</v>
      </c>
      <c r="H959" s="616">
        <v>1</v>
      </c>
      <c r="I959" s="616"/>
      <c r="K959" s="454"/>
      <c r="L959" s="4"/>
      <c r="M959" s="4"/>
      <c r="N959" s="4"/>
      <c r="O959" s="258"/>
      <c r="P959" s="4"/>
      <c r="Q959" s="4"/>
      <c r="R959" s="4"/>
      <c r="S959" s="3"/>
      <c r="T959" s="41"/>
      <c r="U959" s="41" t="s">
        <v>40</v>
      </c>
      <c r="V959" s="3"/>
      <c r="W959" s="1904"/>
      <c r="X959" s="1908">
        <v>13</v>
      </c>
      <c r="Y959" s="1908">
        <v>13</v>
      </c>
      <c r="Z959" s="1908">
        <v>13</v>
      </c>
      <c r="AA959" s="1908">
        <v>13</v>
      </c>
      <c r="AB959" s="1908">
        <v>13</v>
      </c>
      <c r="AC959" s="1908">
        <v>13</v>
      </c>
      <c r="AD959" s="1908">
        <v>13</v>
      </c>
      <c r="AE959" s="1908">
        <v>13</v>
      </c>
      <c r="AF959" s="1908">
        <v>13</v>
      </c>
      <c r="AG959" s="1908">
        <v>13</v>
      </c>
      <c r="AH959" s="1908">
        <v>13</v>
      </c>
      <c r="AI959" s="1908">
        <v>13</v>
      </c>
      <c r="AJ959" s="1909">
        <v>13</v>
      </c>
      <c r="AK959" s="1910">
        <v>13</v>
      </c>
      <c r="AL959" s="1910">
        <v>13</v>
      </c>
      <c r="AM959" s="1910">
        <v>13</v>
      </c>
      <c r="AN959" s="1910">
        <v>13</v>
      </c>
      <c r="AO959" s="1910">
        <v>13</v>
      </c>
      <c r="AP959" s="1910">
        <v>13</v>
      </c>
    </row>
    <row r="960" spans="1:42" s="34" customFormat="1" ht="14.5">
      <c r="A960" s="1693">
        <v>838</v>
      </c>
      <c r="B960" s="616">
        <v>1</v>
      </c>
      <c r="C960" s="1693">
        <v>839</v>
      </c>
      <c r="D960" s="616">
        <v>1</v>
      </c>
      <c r="E960" s="1693">
        <v>865</v>
      </c>
      <c r="F960" s="616">
        <v>1</v>
      </c>
      <c r="G960" s="1693">
        <v>952</v>
      </c>
      <c r="H960" s="616">
        <v>1</v>
      </c>
      <c r="I960" s="616"/>
      <c r="J960" s="709" t="s">
        <v>512</v>
      </c>
      <c r="K960" s="1764" t="s">
        <v>1216</v>
      </c>
      <c r="L960" s="4"/>
      <c r="M960" s="4"/>
      <c r="N960" s="4"/>
      <c r="O960" s="258"/>
      <c r="P960" s="252" t="s">
        <v>205</v>
      </c>
      <c r="Q960" s="252"/>
      <c r="R960" s="252"/>
      <c r="S960" s="251"/>
      <c r="T960" s="251"/>
      <c r="U960" s="251"/>
      <c r="V960" s="251"/>
      <c r="W960" s="1849"/>
      <c r="X960" s="1986">
        <v>11</v>
      </c>
      <c r="Y960" s="1986">
        <v>11</v>
      </c>
      <c r="Z960" s="1986">
        <v>11</v>
      </c>
      <c r="AA960" s="1986">
        <v>11</v>
      </c>
      <c r="AB960" s="1986">
        <v>11</v>
      </c>
      <c r="AC960" s="1986">
        <v>12</v>
      </c>
      <c r="AD960" s="1986">
        <v>12</v>
      </c>
      <c r="AE960" s="1986">
        <v>12</v>
      </c>
      <c r="AF960" s="1986">
        <v>12</v>
      </c>
      <c r="AG960" s="1986">
        <v>12</v>
      </c>
      <c r="AH960" s="1986">
        <v>12</v>
      </c>
      <c r="AI960" s="1986">
        <v>12</v>
      </c>
      <c r="AJ960" s="2262">
        <v>11</v>
      </c>
      <c r="AK960" s="1986">
        <v>12</v>
      </c>
      <c r="AL960" s="1986">
        <v>12</v>
      </c>
      <c r="AM960" s="1986">
        <v>12</v>
      </c>
      <c r="AN960" s="1986">
        <v>12</v>
      </c>
      <c r="AO960" s="1986">
        <v>12</v>
      </c>
      <c r="AP960" s="1986">
        <v>12</v>
      </c>
    </row>
    <row r="961" spans="1:42" s="34" customFormat="1" ht="14.5">
      <c r="A961" s="1693">
        <v>839</v>
      </c>
      <c r="B961" s="616">
        <v>1</v>
      </c>
      <c r="C961" s="1693">
        <v>840</v>
      </c>
      <c r="D961" s="616">
        <v>1</v>
      </c>
      <c r="E961" s="1693">
        <v>866</v>
      </c>
      <c r="F961" s="616">
        <v>1</v>
      </c>
      <c r="G961" s="1693">
        <v>953</v>
      </c>
      <c r="H961" s="616">
        <v>1</v>
      </c>
      <c r="I961" s="616"/>
      <c r="K961" s="454"/>
      <c r="L961" s="4"/>
      <c r="M961" s="4"/>
      <c r="N961" s="4"/>
      <c r="O961" s="258"/>
      <c r="P961" s="4"/>
      <c r="Q961" s="4"/>
      <c r="R961" s="4"/>
      <c r="S961" s="3"/>
      <c r="T961" s="41"/>
      <c r="U961" s="41" t="s">
        <v>198</v>
      </c>
      <c r="V961" s="3"/>
      <c r="W961" s="1904"/>
      <c r="X961" s="1908">
        <v>7</v>
      </c>
      <c r="Y961" s="1908">
        <v>7</v>
      </c>
      <c r="Z961" s="1908">
        <v>7</v>
      </c>
      <c r="AA961" s="1908">
        <v>7</v>
      </c>
      <c r="AB961" s="1908">
        <v>7</v>
      </c>
      <c r="AC961" s="1908">
        <v>8</v>
      </c>
      <c r="AD961" s="1908">
        <v>8</v>
      </c>
      <c r="AE961" s="1908">
        <v>8</v>
      </c>
      <c r="AF961" s="1908">
        <v>8</v>
      </c>
      <c r="AG961" s="1908">
        <v>8</v>
      </c>
      <c r="AH961" s="1908">
        <v>8</v>
      </c>
      <c r="AI961" s="1908">
        <v>8</v>
      </c>
      <c r="AJ961" s="1909">
        <v>7</v>
      </c>
      <c r="AK961" s="1910">
        <v>8</v>
      </c>
      <c r="AL961" s="1910">
        <v>8</v>
      </c>
      <c r="AM961" s="1910">
        <v>8</v>
      </c>
      <c r="AN961" s="1910">
        <v>8</v>
      </c>
      <c r="AO961" s="1910">
        <v>8</v>
      </c>
      <c r="AP961" s="1910">
        <v>8</v>
      </c>
    </row>
    <row r="962" spans="1:42" s="34" customFormat="1" ht="14.5">
      <c r="A962" s="1693">
        <v>840</v>
      </c>
      <c r="B962" s="616">
        <v>1</v>
      </c>
      <c r="C962" s="1693">
        <v>841</v>
      </c>
      <c r="D962" s="616">
        <v>1</v>
      </c>
      <c r="E962" s="1693">
        <v>867</v>
      </c>
      <c r="F962" s="616">
        <v>1</v>
      </c>
      <c r="G962" s="1693">
        <v>954</v>
      </c>
      <c r="H962" s="616">
        <v>1</v>
      </c>
      <c r="I962" s="616"/>
      <c r="K962" s="454"/>
      <c r="L962" s="4"/>
      <c r="M962" s="4"/>
      <c r="N962" s="4"/>
      <c r="O962" s="258"/>
      <c r="P962" s="4"/>
      <c r="Q962" s="4"/>
      <c r="R962" s="4"/>
      <c r="S962" s="3"/>
      <c r="T962" s="41"/>
      <c r="U962" s="41" t="s">
        <v>199</v>
      </c>
      <c r="V962" s="3"/>
      <c r="W962" s="1904"/>
      <c r="X962" s="1908">
        <v>0</v>
      </c>
      <c r="Y962" s="1908">
        <v>0</v>
      </c>
      <c r="Z962" s="1908">
        <v>0</v>
      </c>
      <c r="AA962" s="1908">
        <v>0</v>
      </c>
      <c r="AB962" s="1908">
        <v>0</v>
      </c>
      <c r="AC962" s="1908">
        <v>0</v>
      </c>
      <c r="AD962" s="1908">
        <v>0</v>
      </c>
      <c r="AE962" s="1908">
        <v>0</v>
      </c>
      <c r="AF962" s="1908">
        <v>0</v>
      </c>
      <c r="AG962" s="1908">
        <v>0</v>
      </c>
      <c r="AH962" s="1908">
        <v>0</v>
      </c>
      <c r="AI962" s="1908">
        <v>0</v>
      </c>
      <c r="AJ962" s="1909">
        <v>0</v>
      </c>
      <c r="AK962" s="1910">
        <v>0</v>
      </c>
      <c r="AL962" s="1910">
        <v>0</v>
      </c>
      <c r="AM962" s="1910">
        <v>0</v>
      </c>
      <c r="AN962" s="1910">
        <v>0</v>
      </c>
      <c r="AO962" s="1910">
        <v>0</v>
      </c>
      <c r="AP962" s="1910">
        <v>0</v>
      </c>
    </row>
    <row r="963" spans="1:42" s="34" customFormat="1" ht="14.5">
      <c r="A963" s="1693">
        <v>841</v>
      </c>
      <c r="B963" s="616">
        <v>1</v>
      </c>
      <c r="C963" s="1693">
        <v>842</v>
      </c>
      <c r="D963" s="616">
        <v>1</v>
      </c>
      <c r="E963" s="1693">
        <v>868</v>
      </c>
      <c r="F963" s="616">
        <v>1</v>
      </c>
      <c r="G963" s="1693">
        <v>955</v>
      </c>
      <c r="H963" s="616">
        <v>1</v>
      </c>
      <c r="I963" s="616"/>
      <c r="K963" s="454"/>
      <c r="L963" s="4"/>
      <c r="M963" s="4"/>
      <c r="N963" s="4"/>
      <c r="O963" s="258"/>
      <c r="P963" s="4"/>
      <c r="Q963" s="4"/>
      <c r="R963" s="4"/>
      <c r="S963" s="3"/>
      <c r="T963" s="41"/>
      <c r="U963" s="41" t="s">
        <v>200</v>
      </c>
      <c r="V963" s="3"/>
      <c r="W963" s="1904"/>
      <c r="X963" s="1908">
        <v>2</v>
      </c>
      <c r="Y963" s="1908">
        <v>2</v>
      </c>
      <c r="Z963" s="1908">
        <v>2</v>
      </c>
      <c r="AA963" s="1908">
        <v>2</v>
      </c>
      <c r="AB963" s="1908">
        <v>2</v>
      </c>
      <c r="AC963" s="1908">
        <v>2</v>
      </c>
      <c r="AD963" s="1908">
        <v>2</v>
      </c>
      <c r="AE963" s="1908">
        <v>2</v>
      </c>
      <c r="AF963" s="1908">
        <v>2</v>
      </c>
      <c r="AG963" s="1908">
        <v>2</v>
      </c>
      <c r="AH963" s="1908">
        <v>2</v>
      </c>
      <c r="AI963" s="1908">
        <v>2</v>
      </c>
      <c r="AJ963" s="1909">
        <v>2</v>
      </c>
      <c r="AK963" s="1910">
        <v>2</v>
      </c>
      <c r="AL963" s="1910">
        <v>2</v>
      </c>
      <c r="AM963" s="1910">
        <v>2</v>
      </c>
      <c r="AN963" s="1910">
        <v>2</v>
      </c>
      <c r="AO963" s="1910">
        <v>2</v>
      </c>
      <c r="AP963" s="1910">
        <v>2</v>
      </c>
    </row>
    <row r="964" spans="1:42" s="34" customFormat="1" ht="14.5">
      <c r="A964" s="1693">
        <v>842</v>
      </c>
      <c r="B964" s="616">
        <v>1</v>
      </c>
      <c r="C964" s="1693">
        <v>843</v>
      </c>
      <c r="D964" s="616">
        <v>1</v>
      </c>
      <c r="E964" s="1693">
        <v>869</v>
      </c>
      <c r="F964" s="616">
        <v>1</v>
      </c>
      <c r="G964" s="1693">
        <v>956</v>
      </c>
      <c r="H964" s="616">
        <v>1</v>
      </c>
      <c r="I964" s="616"/>
      <c r="K964" s="454"/>
      <c r="L964" s="4"/>
      <c r="M964" s="4"/>
      <c r="N964" s="4"/>
      <c r="O964" s="258"/>
      <c r="P964" s="2"/>
      <c r="Q964" s="2"/>
      <c r="R964" s="2"/>
      <c r="S964" s="1"/>
      <c r="T964" s="39"/>
      <c r="U964" s="39" t="s">
        <v>201</v>
      </c>
      <c r="V964" s="1"/>
      <c r="W964" s="1904"/>
      <c r="X964" s="2261">
        <v>2</v>
      </c>
      <c r="Y964" s="2261">
        <v>2</v>
      </c>
      <c r="Z964" s="2261">
        <v>2</v>
      </c>
      <c r="AA964" s="2261">
        <v>2</v>
      </c>
      <c r="AB964" s="2261">
        <v>2</v>
      </c>
      <c r="AC964" s="2261">
        <v>2</v>
      </c>
      <c r="AD964" s="2261">
        <v>2</v>
      </c>
      <c r="AE964" s="2261">
        <v>2</v>
      </c>
      <c r="AF964" s="2261">
        <v>2</v>
      </c>
      <c r="AG964" s="2261">
        <v>2</v>
      </c>
      <c r="AH964" s="2261">
        <v>2</v>
      </c>
      <c r="AI964" s="2261">
        <v>2</v>
      </c>
      <c r="AJ964" s="2247">
        <v>2</v>
      </c>
      <c r="AK964" s="2248">
        <v>2</v>
      </c>
      <c r="AL964" s="2248">
        <v>2</v>
      </c>
      <c r="AM964" s="2248">
        <v>2</v>
      </c>
      <c r="AN964" s="2248">
        <v>2</v>
      </c>
      <c r="AO964" s="2248">
        <v>2</v>
      </c>
      <c r="AP964" s="2248">
        <v>2</v>
      </c>
    </row>
    <row r="965" spans="1:42" s="34" customFormat="1" ht="14.5">
      <c r="A965" s="1693">
        <v>843</v>
      </c>
      <c r="B965" s="616">
        <v>1</v>
      </c>
      <c r="C965" s="1693">
        <v>844</v>
      </c>
      <c r="D965" s="616">
        <v>1</v>
      </c>
      <c r="E965" s="1693">
        <v>870</v>
      </c>
      <c r="F965" s="616">
        <v>1</v>
      </c>
      <c r="G965" s="1693">
        <v>957</v>
      </c>
      <c r="H965" s="616">
        <v>1</v>
      </c>
      <c r="I965" s="616"/>
      <c r="J965" s="709" t="s">
        <v>512</v>
      </c>
      <c r="K965" s="1764" t="s">
        <v>1216</v>
      </c>
      <c r="L965" s="4"/>
      <c r="M965" s="4"/>
      <c r="N965" s="4"/>
      <c r="O965" s="258"/>
      <c r="P965" s="48" t="s">
        <v>17</v>
      </c>
      <c r="Q965" s="48"/>
      <c r="R965" s="48"/>
      <c r="S965" s="47"/>
      <c r="T965" s="47"/>
      <c r="U965" s="47"/>
      <c r="V965" s="47"/>
      <c r="W965" s="1849"/>
      <c r="X965" s="1970">
        <v>51</v>
      </c>
      <c r="Y965" s="1970">
        <v>51</v>
      </c>
      <c r="Z965" s="1970">
        <v>52</v>
      </c>
      <c r="AA965" s="1970">
        <v>52</v>
      </c>
      <c r="AB965" s="1970">
        <v>53</v>
      </c>
      <c r="AC965" s="1970">
        <v>53</v>
      </c>
      <c r="AD965" s="1970">
        <v>55</v>
      </c>
      <c r="AE965" s="1970">
        <v>55</v>
      </c>
      <c r="AF965" s="1970">
        <v>55</v>
      </c>
      <c r="AG965" s="1970">
        <v>55</v>
      </c>
      <c r="AH965" s="1970">
        <v>55</v>
      </c>
      <c r="AI965" s="1970">
        <v>55</v>
      </c>
      <c r="AJ965" s="2044">
        <v>52</v>
      </c>
      <c r="AK965" s="1970">
        <v>53</v>
      </c>
      <c r="AL965" s="1970">
        <v>55</v>
      </c>
      <c r="AM965" s="1970">
        <v>55</v>
      </c>
      <c r="AN965" s="1970">
        <v>53</v>
      </c>
      <c r="AO965" s="1970">
        <v>55</v>
      </c>
      <c r="AP965" s="1970">
        <v>55</v>
      </c>
    </row>
    <row r="966" spans="1:42" s="34" customFormat="1" ht="14.5">
      <c r="A966" s="1693">
        <v>844</v>
      </c>
      <c r="B966" s="616">
        <v>1</v>
      </c>
      <c r="C966" s="1693">
        <v>845</v>
      </c>
      <c r="D966" s="616">
        <v>1</v>
      </c>
      <c r="E966" s="1693">
        <v>871</v>
      </c>
      <c r="F966" s="616">
        <v>1</v>
      </c>
      <c r="G966" s="1693">
        <v>958</v>
      </c>
      <c r="H966" s="616">
        <v>1</v>
      </c>
      <c r="I966" s="616"/>
      <c r="K966" s="454"/>
      <c r="L966" s="4"/>
      <c r="M966" s="4"/>
      <c r="N966" s="4"/>
      <c r="O966" s="258"/>
      <c r="P966" s="4"/>
      <c r="Q966" s="4"/>
      <c r="R966" s="3"/>
      <c r="S966" s="3"/>
      <c r="T966" s="41"/>
      <c r="U966" s="41" t="s">
        <v>39</v>
      </c>
      <c r="V966" s="41"/>
      <c r="W966" s="1904"/>
      <c r="X966" s="1908">
        <v>6</v>
      </c>
      <c r="Y966" s="1908">
        <v>6</v>
      </c>
      <c r="Z966" s="1908">
        <v>6</v>
      </c>
      <c r="AA966" s="1908">
        <v>6</v>
      </c>
      <c r="AB966" s="1908">
        <v>7</v>
      </c>
      <c r="AC966" s="1908">
        <v>7</v>
      </c>
      <c r="AD966" s="1908">
        <v>7</v>
      </c>
      <c r="AE966" s="1908">
        <v>7</v>
      </c>
      <c r="AF966" s="1908">
        <v>7</v>
      </c>
      <c r="AG966" s="1908">
        <v>7</v>
      </c>
      <c r="AH966" s="1908">
        <v>7</v>
      </c>
      <c r="AI966" s="1908">
        <v>7</v>
      </c>
      <c r="AJ966" s="1909">
        <v>6</v>
      </c>
      <c r="AK966" s="1910">
        <v>7</v>
      </c>
      <c r="AL966" s="1910">
        <v>7</v>
      </c>
      <c r="AM966" s="1910">
        <v>7</v>
      </c>
      <c r="AN966" s="1910">
        <v>7</v>
      </c>
      <c r="AO966" s="1910">
        <v>7</v>
      </c>
      <c r="AP966" s="1910">
        <v>7</v>
      </c>
    </row>
    <row r="967" spans="1:42" s="34" customFormat="1" ht="14.5">
      <c r="A967" s="1693">
        <v>845</v>
      </c>
      <c r="B967" s="616">
        <v>1</v>
      </c>
      <c r="C967" s="1693">
        <v>846</v>
      </c>
      <c r="D967" s="616">
        <v>1</v>
      </c>
      <c r="E967" s="1693">
        <v>872</v>
      </c>
      <c r="F967" s="616">
        <v>1</v>
      </c>
      <c r="G967" s="1693">
        <v>959</v>
      </c>
      <c r="H967" s="616">
        <v>1</v>
      </c>
      <c r="I967" s="616"/>
      <c r="K967" s="454"/>
      <c r="L967" s="4"/>
      <c r="M967" s="4"/>
      <c r="N967" s="4"/>
      <c r="O967" s="258"/>
      <c r="P967" s="4"/>
      <c r="Q967" s="4"/>
      <c r="R967" s="3"/>
      <c r="S967" s="3"/>
      <c r="T967" s="41"/>
      <c r="U967" s="41" t="s">
        <v>18</v>
      </c>
      <c r="V967" s="41"/>
      <c r="W967" s="1904"/>
      <c r="X967" s="1908">
        <v>30</v>
      </c>
      <c r="Y967" s="1908">
        <v>30</v>
      </c>
      <c r="Z967" s="1908">
        <v>30</v>
      </c>
      <c r="AA967" s="1908">
        <v>30</v>
      </c>
      <c r="AB967" s="1908">
        <v>30</v>
      </c>
      <c r="AC967" s="1908">
        <v>30</v>
      </c>
      <c r="AD967" s="1908">
        <v>31</v>
      </c>
      <c r="AE967" s="1908">
        <v>31</v>
      </c>
      <c r="AF967" s="1908">
        <v>31</v>
      </c>
      <c r="AG967" s="1908">
        <v>31</v>
      </c>
      <c r="AH967" s="1908">
        <v>31</v>
      </c>
      <c r="AI967" s="1908">
        <v>31</v>
      </c>
      <c r="AJ967" s="1909">
        <v>30</v>
      </c>
      <c r="AK967" s="1910">
        <v>30</v>
      </c>
      <c r="AL967" s="1910">
        <v>31</v>
      </c>
      <c r="AM967" s="1910">
        <v>31</v>
      </c>
      <c r="AN967" s="1910">
        <v>30</v>
      </c>
      <c r="AO967" s="1910">
        <v>31</v>
      </c>
      <c r="AP967" s="1910">
        <v>31</v>
      </c>
    </row>
    <row r="968" spans="1:42" s="34" customFormat="1" ht="14.5">
      <c r="A968" s="1693">
        <v>846</v>
      </c>
      <c r="B968" s="616">
        <v>1</v>
      </c>
      <c r="C968" s="1693">
        <v>847</v>
      </c>
      <c r="D968" s="616">
        <v>1</v>
      </c>
      <c r="E968" s="1693">
        <v>873</v>
      </c>
      <c r="F968" s="616">
        <v>1</v>
      </c>
      <c r="G968" s="1693">
        <v>960</v>
      </c>
      <c r="H968" s="616">
        <v>1</v>
      </c>
      <c r="I968" s="616"/>
      <c r="K968" s="454"/>
      <c r="L968" s="4"/>
      <c r="M968" s="4"/>
      <c r="N968" s="4"/>
      <c r="O968" s="258"/>
      <c r="P968" s="4"/>
      <c r="Q968" s="4"/>
      <c r="R968" s="3"/>
      <c r="S968" s="3"/>
      <c r="T968" s="41"/>
      <c r="U968" s="41" t="s">
        <v>19</v>
      </c>
      <c r="V968" s="41"/>
      <c r="W968" s="1904"/>
      <c r="X968" s="1908">
        <v>4</v>
      </c>
      <c r="Y968" s="1908">
        <v>4</v>
      </c>
      <c r="Z968" s="1908">
        <v>5</v>
      </c>
      <c r="AA968" s="1908">
        <v>5</v>
      </c>
      <c r="AB968" s="1908">
        <v>5</v>
      </c>
      <c r="AC968" s="1908">
        <v>5</v>
      </c>
      <c r="AD968" s="1908">
        <v>5</v>
      </c>
      <c r="AE968" s="1908">
        <v>5</v>
      </c>
      <c r="AF968" s="1908">
        <v>5</v>
      </c>
      <c r="AG968" s="1908">
        <v>5</v>
      </c>
      <c r="AH968" s="1908">
        <v>5</v>
      </c>
      <c r="AI968" s="1908">
        <v>5</v>
      </c>
      <c r="AJ968" s="1909">
        <v>5</v>
      </c>
      <c r="AK968" s="1910">
        <v>5</v>
      </c>
      <c r="AL968" s="1910">
        <v>5</v>
      </c>
      <c r="AM968" s="1910">
        <v>5</v>
      </c>
      <c r="AN968" s="1910">
        <v>5</v>
      </c>
      <c r="AO968" s="1910">
        <v>5</v>
      </c>
      <c r="AP968" s="1910">
        <v>5</v>
      </c>
    </row>
    <row r="969" spans="1:42" s="34" customFormat="1" ht="14.5">
      <c r="A969" s="1693">
        <v>847</v>
      </c>
      <c r="B969" s="616">
        <v>1</v>
      </c>
      <c r="C969" s="1693">
        <v>848</v>
      </c>
      <c r="D969" s="616">
        <v>1</v>
      </c>
      <c r="E969" s="1693">
        <v>874</v>
      </c>
      <c r="F969" s="616">
        <v>1</v>
      </c>
      <c r="G969" s="1693">
        <v>961</v>
      </c>
      <c r="H969" s="616">
        <v>1</v>
      </c>
      <c r="I969" s="616"/>
      <c r="K969" s="454"/>
      <c r="L969" s="4"/>
      <c r="M969" s="4"/>
      <c r="N969" s="4"/>
      <c r="O969" s="258"/>
      <c r="P969" s="4"/>
      <c r="Q969" s="4"/>
      <c r="R969" s="3"/>
      <c r="S969" s="3"/>
      <c r="T969" s="41"/>
      <c r="U969" s="41" t="s">
        <v>20</v>
      </c>
      <c r="V969" s="41"/>
      <c r="W969" s="1904"/>
      <c r="X969" s="1908">
        <v>0</v>
      </c>
      <c r="Y969" s="1908">
        <v>0</v>
      </c>
      <c r="Z969" s="1908">
        <v>0</v>
      </c>
      <c r="AA969" s="1908">
        <v>0</v>
      </c>
      <c r="AB969" s="1908">
        <v>0</v>
      </c>
      <c r="AC969" s="1908">
        <v>0</v>
      </c>
      <c r="AD969" s="1908">
        <v>0</v>
      </c>
      <c r="AE969" s="1908">
        <v>0</v>
      </c>
      <c r="AF969" s="1908">
        <v>0</v>
      </c>
      <c r="AG969" s="1908">
        <v>0</v>
      </c>
      <c r="AH969" s="1908">
        <v>0</v>
      </c>
      <c r="AI969" s="1908">
        <v>0</v>
      </c>
      <c r="AJ969" s="1909">
        <v>0</v>
      </c>
      <c r="AK969" s="1910">
        <v>0</v>
      </c>
      <c r="AL969" s="1910">
        <v>0</v>
      </c>
      <c r="AM969" s="1910">
        <v>0</v>
      </c>
      <c r="AN969" s="1910">
        <v>0</v>
      </c>
      <c r="AO969" s="1910">
        <v>0</v>
      </c>
      <c r="AP969" s="1910">
        <v>0</v>
      </c>
    </row>
    <row r="970" spans="1:42" s="34" customFormat="1" ht="14.5">
      <c r="A970" s="1693">
        <v>848</v>
      </c>
      <c r="B970" s="616">
        <v>1</v>
      </c>
      <c r="C970" s="1693">
        <v>849</v>
      </c>
      <c r="D970" s="616">
        <v>1</v>
      </c>
      <c r="E970" s="1693">
        <v>875</v>
      </c>
      <c r="F970" s="616">
        <v>1</v>
      </c>
      <c r="G970" s="1693">
        <v>962</v>
      </c>
      <c r="H970" s="616">
        <v>1</v>
      </c>
      <c r="I970" s="616"/>
      <c r="K970" s="454"/>
      <c r="L970" s="4"/>
      <c r="M970" s="4"/>
      <c r="N970" s="4"/>
      <c r="O970" s="258"/>
      <c r="P970" s="4"/>
      <c r="Q970" s="4"/>
      <c r="R970" s="3"/>
      <c r="S970" s="3"/>
      <c r="T970" s="41"/>
      <c r="U970" s="41" t="s">
        <v>2</v>
      </c>
      <c r="V970" s="41"/>
      <c r="W970" s="1904"/>
      <c r="X970" s="1908">
        <v>11</v>
      </c>
      <c r="Y970" s="1908">
        <v>11</v>
      </c>
      <c r="Z970" s="1908">
        <v>11</v>
      </c>
      <c r="AA970" s="1908">
        <v>11</v>
      </c>
      <c r="AB970" s="1908">
        <v>11</v>
      </c>
      <c r="AC970" s="1908">
        <v>11</v>
      </c>
      <c r="AD970" s="1908">
        <v>12</v>
      </c>
      <c r="AE970" s="1908">
        <v>12</v>
      </c>
      <c r="AF970" s="1908">
        <v>12</v>
      </c>
      <c r="AG970" s="1908">
        <v>12</v>
      </c>
      <c r="AH970" s="1908">
        <v>12</v>
      </c>
      <c r="AI970" s="1908">
        <v>12</v>
      </c>
      <c r="AJ970" s="1909">
        <v>11</v>
      </c>
      <c r="AK970" s="1910">
        <v>11</v>
      </c>
      <c r="AL970" s="1910">
        <v>12</v>
      </c>
      <c r="AM970" s="1910">
        <v>12</v>
      </c>
      <c r="AN970" s="1910">
        <v>11</v>
      </c>
      <c r="AO970" s="1910">
        <v>12</v>
      </c>
      <c r="AP970" s="1910">
        <v>12</v>
      </c>
    </row>
    <row r="971" spans="1:42" s="34" customFormat="1" ht="14.5">
      <c r="A971" s="1693">
        <v>849</v>
      </c>
      <c r="B971" s="616">
        <v>1</v>
      </c>
      <c r="C971" s="1693">
        <v>850</v>
      </c>
      <c r="D971" s="616">
        <v>1</v>
      </c>
      <c r="E971" s="1693">
        <v>876</v>
      </c>
      <c r="F971" s="616">
        <v>1</v>
      </c>
      <c r="G971" s="1693">
        <v>963</v>
      </c>
      <c r="H971" s="616">
        <v>1</v>
      </c>
      <c r="I971" s="616"/>
      <c r="J971" s="709" t="s">
        <v>512</v>
      </c>
      <c r="K971" s="1764" t="s">
        <v>1216</v>
      </c>
      <c r="L971" s="4"/>
      <c r="M971" s="4"/>
      <c r="N971" s="4"/>
      <c r="O971" s="258"/>
      <c r="P971" s="252" t="s">
        <v>206</v>
      </c>
      <c r="Q971" s="252"/>
      <c r="R971" s="252"/>
      <c r="S971" s="251"/>
      <c r="T971" s="251"/>
      <c r="U971" s="251"/>
      <c r="V971" s="251"/>
      <c r="W971" s="1849"/>
      <c r="X971" s="1986">
        <v>23</v>
      </c>
      <c r="Y971" s="1986">
        <v>23</v>
      </c>
      <c r="Z971" s="1986">
        <v>23</v>
      </c>
      <c r="AA971" s="1986">
        <v>23</v>
      </c>
      <c r="AB971" s="1986">
        <v>23</v>
      </c>
      <c r="AC971" s="1986">
        <v>23</v>
      </c>
      <c r="AD971" s="1986">
        <v>23</v>
      </c>
      <c r="AE971" s="1986">
        <v>23</v>
      </c>
      <c r="AF971" s="1986">
        <v>23</v>
      </c>
      <c r="AG971" s="1986">
        <v>23</v>
      </c>
      <c r="AH971" s="1986">
        <v>23</v>
      </c>
      <c r="AI971" s="1986">
        <v>23</v>
      </c>
      <c r="AJ971" s="2262">
        <v>23</v>
      </c>
      <c r="AK971" s="1986">
        <v>23</v>
      </c>
      <c r="AL971" s="1986">
        <v>23</v>
      </c>
      <c r="AM971" s="1986">
        <v>23</v>
      </c>
      <c r="AN971" s="1986">
        <v>23</v>
      </c>
      <c r="AO971" s="1986">
        <v>23</v>
      </c>
      <c r="AP971" s="1986">
        <v>23</v>
      </c>
    </row>
    <row r="972" spans="1:42" s="34" customFormat="1" ht="14.5">
      <c r="A972" s="1693">
        <v>850</v>
      </c>
      <c r="B972" s="616">
        <v>1</v>
      </c>
      <c r="C972" s="1693">
        <v>851</v>
      </c>
      <c r="D972" s="616">
        <v>1</v>
      </c>
      <c r="E972" s="1693">
        <v>877</v>
      </c>
      <c r="F972" s="616">
        <v>1</v>
      </c>
      <c r="G972" s="1693">
        <v>964</v>
      </c>
      <c r="H972" s="616">
        <v>1</v>
      </c>
      <c r="I972" s="616"/>
      <c r="K972" s="454"/>
      <c r="L972" s="4"/>
      <c r="M972" s="4"/>
      <c r="N972" s="4"/>
      <c r="O972" s="258"/>
      <c r="P972" s="4"/>
      <c r="Q972" s="4"/>
      <c r="R972" s="3"/>
      <c r="S972" s="3"/>
      <c r="T972" s="41"/>
      <c r="U972" s="41" t="s">
        <v>21</v>
      </c>
      <c r="V972" s="41"/>
      <c r="W972" s="1904"/>
      <c r="X972" s="1908">
        <v>7</v>
      </c>
      <c r="Y972" s="1908">
        <v>7</v>
      </c>
      <c r="Z972" s="1908">
        <v>7</v>
      </c>
      <c r="AA972" s="1908">
        <v>7</v>
      </c>
      <c r="AB972" s="1908">
        <v>7</v>
      </c>
      <c r="AC972" s="1908">
        <v>7</v>
      </c>
      <c r="AD972" s="1908">
        <v>7</v>
      </c>
      <c r="AE972" s="1908">
        <v>7</v>
      </c>
      <c r="AF972" s="1908">
        <v>7</v>
      </c>
      <c r="AG972" s="1908">
        <v>7</v>
      </c>
      <c r="AH972" s="1908">
        <v>7</v>
      </c>
      <c r="AI972" s="1908">
        <v>7</v>
      </c>
      <c r="AJ972" s="1909">
        <v>7</v>
      </c>
      <c r="AK972" s="1910">
        <v>7</v>
      </c>
      <c r="AL972" s="1910">
        <v>7</v>
      </c>
      <c r="AM972" s="1910">
        <v>7</v>
      </c>
      <c r="AN972" s="1910">
        <v>7</v>
      </c>
      <c r="AO972" s="1910">
        <v>7</v>
      </c>
      <c r="AP972" s="1910">
        <v>7</v>
      </c>
    </row>
    <row r="973" spans="1:42" s="34" customFormat="1" ht="14.5">
      <c r="A973" s="1693">
        <v>851</v>
      </c>
      <c r="B973" s="616">
        <v>1</v>
      </c>
      <c r="C973" s="1693">
        <v>852</v>
      </c>
      <c r="D973" s="616">
        <v>1</v>
      </c>
      <c r="E973" s="1693">
        <v>878</v>
      </c>
      <c r="F973" s="616">
        <v>1</v>
      </c>
      <c r="G973" s="1693">
        <v>965</v>
      </c>
      <c r="H973" s="616">
        <v>1</v>
      </c>
      <c r="I973" s="616"/>
      <c r="K973" s="454"/>
      <c r="L973" s="4"/>
      <c r="M973" s="4"/>
      <c r="N973" s="4"/>
      <c r="O973" s="258"/>
      <c r="P973" s="4"/>
      <c r="Q973" s="4"/>
      <c r="R973" s="3"/>
      <c r="S973" s="3"/>
      <c r="T973" s="41"/>
      <c r="U973" s="41" t="s">
        <v>22</v>
      </c>
      <c r="V973" s="41"/>
      <c r="W973" s="1904"/>
      <c r="X973" s="1908">
        <v>16</v>
      </c>
      <c r="Y973" s="1908">
        <v>16</v>
      </c>
      <c r="Z973" s="1908">
        <v>16</v>
      </c>
      <c r="AA973" s="1908">
        <v>16</v>
      </c>
      <c r="AB973" s="1908">
        <v>16</v>
      </c>
      <c r="AC973" s="1908">
        <v>16</v>
      </c>
      <c r="AD973" s="1908">
        <v>16</v>
      </c>
      <c r="AE973" s="1908">
        <v>16</v>
      </c>
      <c r="AF973" s="1908">
        <v>16</v>
      </c>
      <c r="AG973" s="1908">
        <v>16</v>
      </c>
      <c r="AH973" s="1908">
        <v>16</v>
      </c>
      <c r="AI973" s="1908">
        <v>16</v>
      </c>
      <c r="AJ973" s="1909">
        <v>16</v>
      </c>
      <c r="AK973" s="1910">
        <v>16</v>
      </c>
      <c r="AL973" s="1910">
        <v>16</v>
      </c>
      <c r="AM973" s="1910">
        <v>16</v>
      </c>
      <c r="AN973" s="1910">
        <v>16</v>
      </c>
      <c r="AO973" s="1910">
        <v>16</v>
      </c>
      <c r="AP973" s="1910">
        <v>16</v>
      </c>
    </row>
    <row r="974" spans="1:42" s="34" customFormat="1" ht="14.5">
      <c r="A974" s="1693">
        <v>852</v>
      </c>
      <c r="B974" s="616">
        <v>1</v>
      </c>
      <c r="C974" s="1693">
        <v>853</v>
      </c>
      <c r="D974" s="616">
        <v>1</v>
      </c>
      <c r="E974" s="1693">
        <v>879</v>
      </c>
      <c r="F974" s="616">
        <v>1</v>
      </c>
      <c r="G974" s="1693">
        <v>966</v>
      </c>
      <c r="H974" s="616">
        <v>1</v>
      </c>
      <c r="I974" s="616"/>
      <c r="K974" s="454"/>
      <c r="L974" s="4"/>
      <c r="M974" s="4"/>
      <c r="N974" s="4"/>
      <c r="O974" s="259"/>
      <c r="P974" s="2"/>
      <c r="Q974" s="2"/>
      <c r="R974" s="1"/>
      <c r="S974" s="1"/>
      <c r="T974" s="39"/>
      <c r="U974" s="39" t="s">
        <v>23</v>
      </c>
      <c r="V974" s="39"/>
      <c r="W974" s="1904"/>
      <c r="X974" s="2261">
        <v>0</v>
      </c>
      <c r="Y974" s="2261">
        <v>0</v>
      </c>
      <c r="Z974" s="2261">
        <v>0</v>
      </c>
      <c r="AA974" s="2261">
        <v>0</v>
      </c>
      <c r="AB974" s="2261">
        <v>0</v>
      </c>
      <c r="AC974" s="2261">
        <v>0</v>
      </c>
      <c r="AD974" s="2261">
        <v>0</v>
      </c>
      <c r="AE974" s="2261">
        <v>0</v>
      </c>
      <c r="AF974" s="2261">
        <v>0</v>
      </c>
      <c r="AG974" s="2261">
        <v>0</v>
      </c>
      <c r="AH974" s="2261">
        <v>0</v>
      </c>
      <c r="AI974" s="2261">
        <v>0</v>
      </c>
      <c r="AJ974" s="2247">
        <v>0</v>
      </c>
      <c r="AK974" s="2248">
        <v>0</v>
      </c>
      <c r="AL974" s="2248">
        <v>0</v>
      </c>
      <c r="AM974" s="2248">
        <v>0</v>
      </c>
      <c r="AN974" s="2248">
        <v>0</v>
      </c>
      <c r="AO974" s="2248">
        <v>0</v>
      </c>
      <c r="AP974" s="2248">
        <v>0</v>
      </c>
    </row>
    <row r="975" spans="1:42" s="34" customFormat="1" ht="14.5">
      <c r="A975" s="1693">
        <v>853</v>
      </c>
      <c r="B975" s="616">
        <v>1</v>
      </c>
      <c r="C975" s="1693">
        <v>854</v>
      </c>
      <c r="D975" s="616">
        <v>1</v>
      </c>
      <c r="E975" s="1693">
        <v>880</v>
      </c>
      <c r="F975" s="616">
        <v>1</v>
      </c>
      <c r="G975" s="1693">
        <v>967</v>
      </c>
      <c r="H975" s="616">
        <v>1</v>
      </c>
      <c r="I975" s="616"/>
      <c r="J975" s="709" t="s">
        <v>512</v>
      </c>
      <c r="K975" s="1764" t="s">
        <v>1216</v>
      </c>
      <c r="L975" s="4"/>
      <c r="M975" s="4"/>
      <c r="N975" s="4"/>
      <c r="O975" s="2253" t="s">
        <v>1110</v>
      </c>
      <c r="P975" s="1523"/>
      <c r="Q975" s="1509"/>
      <c r="R975" s="1509"/>
      <c r="S975" s="1523"/>
      <c r="T975" s="1523"/>
      <c r="U975" s="1523"/>
      <c r="V975" s="1523"/>
      <c r="W975" s="1853"/>
      <c r="X975" s="2263">
        <v>1</v>
      </c>
      <c r="Y975" s="2263">
        <v>1</v>
      </c>
      <c r="Z975" s="2263">
        <v>1</v>
      </c>
      <c r="AA975" s="2263">
        <v>1</v>
      </c>
      <c r="AB975" s="2263">
        <v>1</v>
      </c>
      <c r="AC975" s="2263">
        <v>1</v>
      </c>
      <c r="AD975" s="2263">
        <v>1</v>
      </c>
      <c r="AE975" s="2263">
        <v>1</v>
      </c>
      <c r="AF975" s="2263">
        <v>1</v>
      </c>
      <c r="AG975" s="2263">
        <v>1</v>
      </c>
      <c r="AH975" s="2263">
        <v>1</v>
      </c>
      <c r="AI975" s="2263">
        <v>1</v>
      </c>
      <c r="AJ975" s="2255">
        <v>1</v>
      </c>
      <c r="AK975" s="2256">
        <v>1</v>
      </c>
      <c r="AL975" s="2256">
        <v>1</v>
      </c>
      <c r="AM975" s="2256">
        <v>1</v>
      </c>
      <c r="AN975" s="2256">
        <v>1</v>
      </c>
      <c r="AO975" s="2256">
        <v>1</v>
      </c>
      <c r="AP975" s="2256">
        <v>1</v>
      </c>
    </row>
    <row r="976" spans="1:42" s="34" customFormat="1" ht="14.5">
      <c r="A976" s="1693">
        <v>854</v>
      </c>
      <c r="B976" s="616">
        <v>1</v>
      </c>
      <c r="C976" s="1693">
        <v>855</v>
      </c>
      <c r="D976" s="616">
        <v>1</v>
      </c>
      <c r="E976" s="1693">
        <v>881</v>
      </c>
      <c r="F976" s="616">
        <v>1</v>
      </c>
      <c r="G976" s="1693">
        <v>968</v>
      </c>
      <c r="H976" s="616">
        <v>1</v>
      </c>
      <c r="I976" s="616"/>
      <c r="J976" s="709" t="s">
        <v>512</v>
      </c>
      <c r="K976" s="1764" t="s">
        <v>1216</v>
      </c>
      <c r="L976" s="4"/>
      <c r="M976" s="4"/>
      <c r="N976" s="4"/>
      <c r="O976" s="4"/>
      <c r="P976" s="3"/>
      <c r="Q976" s="4"/>
      <c r="R976" s="4"/>
      <c r="S976" s="3"/>
      <c r="T976" s="3"/>
      <c r="U976" s="3"/>
      <c r="V976" s="3"/>
      <c r="W976" s="1773"/>
      <c r="X976" s="1608"/>
      <c r="Y976" s="1609"/>
      <c r="Z976" s="1609"/>
      <c r="AA976" s="1609"/>
      <c r="AB976" s="1609"/>
      <c r="AC976" s="1609"/>
      <c r="AD976" s="1609"/>
      <c r="AE976" s="1609"/>
      <c r="AF976" s="1609"/>
      <c r="AG976" s="1609"/>
      <c r="AH976" s="454"/>
      <c r="AI976" s="454"/>
      <c r="AJ976" s="454"/>
      <c r="AK976" s="454"/>
      <c r="AL976" s="454"/>
      <c r="AM976" s="454"/>
      <c r="AN976" s="454"/>
      <c r="AO976" s="454"/>
      <c r="AP976" s="454"/>
    </row>
    <row r="977" spans="1:42" s="34" customFormat="1" ht="14.5">
      <c r="A977" s="1693">
        <v>855</v>
      </c>
      <c r="B977" s="616">
        <v>1</v>
      </c>
      <c r="C977" s="1693">
        <v>856</v>
      </c>
      <c r="D977" s="616">
        <v>1</v>
      </c>
      <c r="E977" s="1693">
        <v>882</v>
      </c>
      <c r="F977" s="616">
        <v>1</v>
      </c>
      <c r="G977" s="1693">
        <v>969</v>
      </c>
      <c r="H977" s="616">
        <v>1</v>
      </c>
      <c r="I977" s="616"/>
      <c r="J977" s="709" t="s">
        <v>512</v>
      </c>
      <c r="K977" s="1764" t="s">
        <v>1216</v>
      </c>
      <c r="L977" s="4"/>
      <c r="M977" s="4"/>
      <c r="N977" s="4" t="s">
        <v>936</v>
      </c>
      <c r="O977" s="4"/>
      <c r="P977" s="3"/>
      <c r="Q977" s="4"/>
      <c r="R977" s="4"/>
      <c r="S977" s="3"/>
      <c r="T977" s="3"/>
      <c r="U977" s="3"/>
      <c r="V977" s="3"/>
      <c r="W977" s="1773"/>
      <c r="X977" s="1608"/>
      <c r="Y977" s="1609"/>
      <c r="Z977" s="1609"/>
      <c r="AA977" s="1609"/>
      <c r="AB977" s="1609"/>
      <c r="AC977" s="1609"/>
      <c r="AD977" s="1609"/>
      <c r="AE977" s="1609"/>
      <c r="AF977" s="1609"/>
      <c r="AG977" s="1609"/>
      <c r="AH977" s="454"/>
      <c r="AI977" s="454"/>
      <c r="AJ977" s="454"/>
      <c r="AK977" s="454"/>
      <c r="AL977" s="454"/>
      <c r="AM977" s="454"/>
      <c r="AN977" s="454"/>
      <c r="AO977" s="454"/>
      <c r="AP977" s="454"/>
    </row>
    <row r="978" spans="1:42" s="2244" customFormat="1" ht="14.5">
      <c r="A978" s="1693">
        <v>856</v>
      </c>
      <c r="B978" s="616">
        <v>1</v>
      </c>
      <c r="C978" s="1693">
        <v>857</v>
      </c>
      <c r="D978" s="616">
        <v>1</v>
      </c>
      <c r="E978" s="1693">
        <v>883</v>
      </c>
      <c r="F978" s="616">
        <v>1</v>
      </c>
      <c r="G978" s="1693">
        <v>970</v>
      </c>
      <c r="H978" s="616">
        <v>1</v>
      </c>
      <c r="I978" s="616"/>
      <c r="J978" s="709" t="s">
        <v>512</v>
      </c>
      <c r="K978" s="1764" t="s">
        <v>1216</v>
      </c>
      <c r="L978" s="2236"/>
      <c r="M978" s="2236"/>
      <c r="N978" s="2237"/>
      <c r="O978" s="2269" t="s">
        <v>202</v>
      </c>
      <c r="P978" s="2270"/>
      <c r="Q978" s="2271"/>
      <c r="R978" s="2271"/>
      <c r="S978" s="2271"/>
      <c r="T978" s="2271"/>
      <c r="U978" s="2271"/>
      <c r="V978" s="2271"/>
      <c r="W978" s="2037"/>
      <c r="X978" s="2038">
        <v>23</v>
      </c>
      <c r="Y978" s="2039">
        <v>24</v>
      </c>
      <c r="Z978" s="2039">
        <v>24</v>
      </c>
      <c r="AA978" s="2039">
        <v>26</v>
      </c>
      <c r="AB978" s="2039">
        <v>26</v>
      </c>
      <c r="AC978" s="2039">
        <v>27</v>
      </c>
      <c r="AD978" s="2039">
        <v>27</v>
      </c>
      <c r="AE978" s="2039">
        <v>29</v>
      </c>
      <c r="AF978" s="2039">
        <v>29</v>
      </c>
      <c r="AG978" s="2039">
        <v>30</v>
      </c>
      <c r="AH978" s="2039">
        <v>30</v>
      </c>
      <c r="AI978" s="2039">
        <v>30</v>
      </c>
      <c r="AJ978" s="2039">
        <v>24</v>
      </c>
      <c r="AK978" s="2039">
        <v>27</v>
      </c>
      <c r="AL978" s="2039">
        <v>29</v>
      </c>
      <c r="AM978" s="2039">
        <v>30</v>
      </c>
      <c r="AN978" s="2039">
        <v>27</v>
      </c>
      <c r="AO978" s="2039">
        <v>30</v>
      </c>
      <c r="AP978" s="2039">
        <v>30</v>
      </c>
    </row>
    <row r="979" spans="1:42" s="34" customFormat="1" ht="14.5">
      <c r="A979" s="1693">
        <v>857</v>
      </c>
      <c r="B979" s="616">
        <v>1</v>
      </c>
      <c r="C979" s="1693">
        <v>858</v>
      </c>
      <c r="D979" s="616">
        <v>1</v>
      </c>
      <c r="E979" s="1693">
        <v>884</v>
      </c>
      <c r="F979" s="616">
        <v>1</v>
      </c>
      <c r="G979" s="1693">
        <v>971</v>
      </c>
      <c r="H979" s="616">
        <v>1</v>
      </c>
      <c r="I979" s="616"/>
      <c r="J979" s="709" t="s">
        <v>512</v>
      </c>
      <c r="K979" s="1764" t="s">
        <v>1216</v>
      </c>
      <c r="L979" s="4"/>
      <c r="M979" s="4"/>
      <c r="N979" s="4"/>
      <c r="O979" s="363"/>
      <c r="P979" s="48" t="s">
        <v>14</v>
      </c>
      <c r="Q979" s="47"/>
      <c r="R979" s="48"/>
      <c r="S979" s="48"/>
      <c r="T979" s="47"/>
      <c r="U979" s="47"/>
      <c r="V979" s="47"/>
      <c r="W979" s="1849"/>
      <c r="X979" s="1970">
        <v>5</v>
      </c>
      <c r="Y979" s="1970">
        <v>6</v>
      </c>
      <c r="Z979" s="1970">
        <v>6</v>
      </c>
      <c r="AA979" s="1970">
        <v>7</v>
      </c>
      <c r="AB979" s="1970">
        <v>7</v>
      </c>
      <c r="AC979" s="1970">
        <v>7</v>
      </c>
      <c r="AD979" s="1970">
        <v>7</v>
      </c>
      <c r="AE979" s="1970">
        <v>8</v>
      </c>
      <c r="AF979" s="1970">
        <v>8</v>
      </c>
      <c r="AG979" s="1970">
        <v>8</v>
      </c>
      <c r="AH979" s="1970">
        <v>8</v>
      </c>
      <c r="AI979" s="1970">
        <v>8</v>
      </c>
      <c r="AJ979" s="2044">
        <v>6</v>
      </c>
      <c r="AK979" s="1970">
        <v>7</v>
      </c>
      <c r="AL979" s="1970">
        <v>8</v>
      </c>
      <c r="AM979" s="1970">
        <v>8</v>
      </c>
      <c r="AN979" s="1970">
        <v>7</v>
      </c>
      <c r="AO979" s="1970">
        <v>8</v>
      </c>
      <c r="AP979" s="1970">
        <v>8</v>
      </c>
    </row>
    <row r="980" spans="1:42" s="34" customFormat="1" ht="14.5">
      <c r="A980" s="1693">
        <v>858</v>
      </c>
      <c r="B980" s="616">
        <v>1</v>
      </c>
      <c r="C980" s="1693">
        <v>859</v>
      </c>
      <c r="D980" s="616">
        <v>1</v>
      </c>
      <c r="E980" s="1693">
        <v>885</v>
      </c>
      <c r="F980" s="616">
        <v>1</v>
      </c>
      <c r="G980" s="1693">
        <v>972</v>
      </c>
      <c r="H980" s="616">
        <v>1</v>
      </c>
      <c r="I980" s="616"/>
      <c r="K980" s="454"/>
      <c r="L980" s="4"/>
      <c r="M980" s="4"/>
      <c r="N980" s="4"/>
      <c r="O980" s="363"/>
      <c r="P980" s="4"/>
      <c r="Q980" s="3"/>
      <c r="R980" s="4"/>
      <c r="S980" s="4"/>
      <c r="T980" s="41"/>
      <c r="U980" s="41" t="s">
        <v>45</v>
      </c>
      <c r="V980" s="3"/>
      <c r="W980" s="1904"/>
      <c r="X980" s="1908">
        <v>5</v>
      </c>
      <c r="Y980" s="1908">
        <v>6</v>
      </c>
      <c r="Z980" s="1908">
        <v>6</v>
      </c>
      <c r="AA980" s="1908">
        <v>7</v>
      </c>
      <c r="AB980" s="1908">
        <v>7</v>
      </c>
      <c r="AC980" s="1908">
        <v>7</v>
      </c>
      <c r="AD980" s="1908">
        <v>7</v>
      </c>
      <c r="AE980" s="1908">
        <v>8</v>
      </c>
      <c r="AF980" s="1908">
        <v>8</v>
      </c>
      <c r="AG980" s="1908">
        <v>8</v>
      </c>
      <c r="AH980" s="1908">
        <v>8</v>
      </c>
      <c r="AI980" s="1908">
        <v>8</v>
      </c>
      <c r="AJ980" s="1909">
        <v>6</v>
      </c>
      <c r="AK980" s="1910">
        <v>7</v>
      </c>
      <c r="AL980" s="1910">
        <v>8</v>
      </c>
      <c r="AM980" s="1910">
        <v>8</v>
      </c>
      <c r="AN980" s="1910">
        <v>7</v>
      </c>
      <c r="AO980" s="1910">
        <v>8</v>
      </c>
      <c r="AP980" s="1910">
        <v>8</v>
      </c>
    </row>
    <row r="981" spans="1:42" s="34" customFormat="1" ht="14.5">
      <c r="A981" s="1693">
        <v>859</v>
      </c>
      <c r="B981" s="616">
        <v>1</v>
      </c>
      <c r="C981" s="1693">
        <v>860</v>
      </c>
      <c r="D981" s="616">
        <v>1</v>
      </c>
      <c r="E981" s="1693">
        <v>886</v>
      </c>
      <c r="F981" s="616">
        <v>1</v>
      </c>
      <c r="G981" s="1693">
        <v>973</v>
      </c>
      <c r="H981" s="616">
        <v>1</v>
      </c>
      <c r="I981" s="616"/>
      <c r="K981" s="454"/>
      <c r="L981" s="4"/>
      <c r="M981" s="4"/>
      <c r="N981" s="4"/>
      <c r="O981" s="363"/>
      <c r="P981" s="4"/>
      <c r="Q981" s="3"/>
      <c r="R981" s="4"/>
      <c r="S981" s="4"/>
      <c r="T981" s="41"/>
      <c r="U981" s="41" t="s">
        <v>44</v>
      </c>
      <c r="V981" s="3"/>
      <c r="W981" s="1904"/>
      <c r="X981" s="1908">
        <v>0</v>
      </c>
      <c r="Y981" s="1908">
        <v>0</v>
      </c>
      <c r="Z981" s="1908">
        <v>0</v>
      </c>
      <c r="AA981" s="1908">
        <v>0</v>
      </c>
      <c r="AB981" s="1908">
        <v>0</v>
      </c>
      <c r="AC981" s="1908">
        <v>0</v>
      </c>
      <c r="AD981" s="1908">
        <v>0</v>
      </c>
      <c r="AE981" s="1908">
        <v>0</v>
      </c>
      <c r="AF981" s="1908">
        <v>0</v>
      </c>
      <c r="AG981" s="1908">
        <v>0</v>
      </c>
      <c r="AH981" s="1908">
        <v>0</v>
      </c>
      <c r="AI981" s="1908">
        <v>0</v>
      </c>
      <c r="AJ981" s="1909">
        <v>0</v>
      </c>
      <c r="AK981" s="1910">
        <v>0</v>
      </c>
      <c r="AL981" s="1910">
        <v>0</v>
      </c>
      <c r="AM981" s="1910">
        <v>0</v>
      </c>
      <c r="AN981" s="1910">
        <v>0</v>
      </c>
      <c r="AO981" s="1910">
        <v>0</v>
      </c>
      <c r="AP981" s="1910">
        <v>0</v>
      </c>
    </row>
    <row r="982" spans="1:42" s="34" customFormat="1" ht="14.5">
      <c r="A982" s="1693">
        <v>860</v>
      </c>
      <c r="B982" s="616">
        <v>1</v>
      </c>
      <c r="C982" s="1693">
        <v>861</v>
      </c>
      <c r="D982" s="616">
        <v>1</v>
      </c>
      <c r="E982" s="1693">
        <v>887</v>
      </c>
      <c r="F982" s="616">
        <v>1</v>
      </c>
      <c r="G982" s="1693">
        <v>974</v>
      </c>
      <c r="H982" s="616">
        <v>1</v>
      </c>
      <c r="I982" s="616"/>
      <c r="K982" s="454"/>
      <c r="L982" s="4"/>
      <c r="M982" s="4"/>
      <c r="N982" s="4"/>
      <c r="O982" s="363"/>
      <c r="P982" s="4"/>
      <c r="Q982" s="3"/>
      <c r="R982" s="4"/>
      <c r="S982" s="4"/>
      <c r="T982" s="41"/>
      <c r="U982" s="41" t="s">
        <v>43</v>
      </c>
      <c r="V982" s="3"/>
      <c r="W982" s="1904"/>
      <c r="X982" s="1908">
        <v>0</v>
      </c>
      <c r="Y982" s="1908">
        <v>0</v>
      </c>
      <c r="Z982" s="1908">
        <v>0</v>
      </c>
      <c r="AA982" s="1908">
        <v>0</v>
      </c>
      <c r="AB982" s="1908">
        <v>0</v>
      </c>
      <c r="AC982" s="1908">
        <v>0</v>
      </c>
      <c r="AD982" s="1908">
        <v>0</v>
      </c>
      <c r="AE982" s="1908">
        <v>0</v>
      </c>
      <c r="AF982" s="1908">
        <v>0</v>
      </c>
      <c r="AG982" s="1908">
        <v>0</v>
      </c>
      <c r="AH982" s="1908">
        <v>0</v>
      </c>
      <c r="AI982" s="1908">
        <v>0</v>
      </c>
      <c r="AJ982" s="1909">
        <v>0</v>
      </c>
      <c r="AK982" s="1910">
        <v>0</v>
      </c>
      <c r="AL982" s="1910">
        <v>0</v>
      </c>
      <c r="AM982" s="1910">
        <v>0</v>
      </c>
      <c r="AN982" s="1910">
        <v>0</v>
      </c>
      <c r="AO982" s="1910">
        <v>0</v>
      </c>
      <c r="AP982" s="1910">
        <v>0</v>
      </c>
    </row>
    <row r="983" spans="1:42" s="34" customFormat="1" ht="14.5">
      <c r="A983" s="1693">
        <v>861</v>
      </c>
      <c r="B983" s="616">
        <v>1</v>
      </c>
      <c r="C983" s="1693">
        <v>862</v>
      </c>
      <c r="D983" s="616">
        <v>1</v>
      </c>
      <c r="E983" s="1693">
        <v>888</v>
      </c>
      <c r="F983" s="616">
        <v>1</v>
      </c>
      <c r="G983" s="1693">
        <v>975</v>
      </c>
      <c r="H983" s="616">
        <v>1</v>
      </c>
      <c r="I983" s="616"/>
      <c r="K983" s="454"/>
      <c r="L983" s="4"/>
      <c r="M983" s="4"/>
      <c r="N983" s="4"/>
      <c r="O983" s="363"/>
      <c r="P983" s="2"/>
      <c r="Q983" s="1"/>
      <c r="R983" s="2"/>
      <c r="S983" s="2"/>
      <c r="T983" s="39"/>
      <c r="U983" s="39" t="s">
        <v>40</v>
      </c>
      <c r="V983" s="1"/>
      <c r="W983" s="1904"/>
      <c r="X983" s="2261">
        <v>0</v>
      </c>
      <c r="Y983" s="2261">
        <v>0</v>
      </c>
      <c r="Z983" s="2261">
        <v>0</v>
      </c>
      <c r="AA983" s="2261">
        <v>0</v>
      </c>
      <c r="AB983" s="2261">
        <v>0</v>
      </c>
      <c r="AC983" s="2261">
        <v>0</v>
      </c>
      <c r="AD983" s="2261">
        <v>0</v>
      </c>
      <c r="AE983" s="2261">
        <v>0</v>
      </c>
      <c r="AF983" s="2261">
        <v>0</v>
      </c>
      <c r="AG983" s="2261">
        <v>0</v>
      </c>
      <c r="AH983" s="2261">
        <v>0</v>
      </c>
      <c r="AI983" s="2261">
        <v>0</v>
      </c>
      <c r="AJ983" s="2247">
        <v>0</v>
      </c>
      <c r="AK983" s="2248">
        <v>0</v>
      </c>
      <c r="AL983" s="2248">
        <v>0</v>
      </c>
      <c r="AM983" s="2248">
        <v>0</v>
      </c>
      <c r="AN983" s="2248">
        <v>0</v>
      </c>
      <c r="AO983" s="2248">
        <v>0</v>
      </c>
      <c r="AP983" s="2248">
        <v>0</v>
      </c>
    </row>
    <row r="984" spans="1:42" s="34" customFormat="1" ht="14.5">
      <c r="A984" s="1693">
        <v>862</v>
      </c>
      <c r="B984" s="616">
        <v>1</v>
      </c>
      <c r="C984" s="1693">
        <v>863</v>
      </c>
      <c r="D984" s="616">
        <v>1</v>
      </c>
      <c r="E984" s="1693">
        <v>889</v>
      </c>
      <c r="F984" s="616">
        <v>1</v>
      </c>
      <c r="G984" s="1693">
        <v>976</v>
      </c>
      <c r="H984" s="616">
        <v>1</v>
      </c>
      <c r="I984" s="616"/>
      <c r="J984" s="709" t="s">
        <v>512</v>
      </c>
      <c r="K984" s="1764" t="s">
        <v>1216</v>
      </c>
      <c r="L984" s="4"/>
      <c r="M984" s="4"/>
      <c r="N984" s="4"/>
      <c r="O984" s="363"/>
      <c r="P984" s="48" t="s">
        <v>204</v>
      </c>
      <c r="Q984" s="47"/>
      <c r="R984" s="48"/>
      <c r="S984" s="48"/>
      <c r="T984" s="47"/>
      <c r="U984" s="47"/>
      <c r="V984" s="47"/>
      <c r="W984" s="1849"/>
      <c r="X984" s="1970">
        <v>14</v>
      </c>
      <c r="Y984" s="1970">
        <v>14</v>
      </c>
      <c r="Z984" s="1970">
        <v>14</v>
      </c>
      <c r="AA984" s="1970">
        <v>15</v>
      </c>
      <c r="AB984" s="1970">
        <v>15</v>
      </c>
      <c r="AC984" s="1970">
        <v>16</v>
      </c>
      <c r="AD984" s="1970">
        <v>16</v>
      </c>
      <c r="AE984" s="1970">
        <v>17</v>
      </c>
      <c r="AF984" s="1970">
        <v>17</v>
      </c>
      <c r="AG984" s="1970">
        <v>18</v>
      </c>
      <c r="AH984" s="1970">
        <v>18</v>
      </c>
      <c r="AI984" s="1970">
        <v>18</v>
      </c>
      <c r="AJ984" s="2044">
        <v>14</v>
      </c>
      <c r="AK984" s="1970">
        <v>16</v>
      </c>
      <c r="AL984" s="1970">
        <v>17</v>
      </c>
      <c r="AM984" s="1970">
        <v>18</v>
      </c>
      <c r="AN984" s="1970">
        <v>16</v>
      </c>
      <c r="AO984" s="1970">
        <v>18</v>
      </c>
      <c r="AP984" s="1970">
        <v>18</v>
      </c>
    </row>
    <row r="985" spans="1:42" s="34" customFormat="1" ht="14.5">
      <c r="A985" s="1693">
        <v>863</v>
      </c>
      <c r="B985" s="616">
        <v>1</v>
      </c>
      <c r="C985" s="1693">
        <v>864</v>
      </c>
      <c r="D985" s="616">
        <v>1</v>
      </c>
      <c r="E985" s="1693">
        <v>890</v>
      </c>
      <c r="F985" s="616">
        <v>1</v>
      </c>
      <c r="G985" s="1693">
        <v>977</v>
      </c>
      <c r="H985" s="616">
        <v>1</v>
      </c>
      <c r="I985" s="616"/>
      <c r="K985" s="454"/>
      <c r="L985" s="4"/>
      <c r="M985" s="4"/>
      <c r="N985" s="4"/>
      <c r="O985" s="363"/>
      <c r="P985" s="4"/>
      <c r="Q985" s="3"/>
      <c r="R985" s="4"/>
      <c r="S985" s="4"/>
      <c r="T985" s="41"/>
      <c r="U985" s="41" t="s">
        <v>15</v>
      </c>
      <c r="V985" s="3"/>
      <c r="W985" s="1904"/>
      <c r="X985" s="1908">
        <v>14</v>
      </c>
      <c r="Y985" s="1908">
        <v>14</v>
      </c>
      <c r="Z985" s="1908">
        <v>14</v>
      </c>
      <c r="AA985" s="1908">
        <v>15</v>
      </c>
      <c r="AB985" s="1908">
        <v>15</v>
      </c>
      <c r="AC985" s="1908">
        <v>16</v>
      </c>
      <c r="AD985" s="1908">
        <v>16</v>
      </c>
      <c r="AE985" s="1908">
        <v>17</v>
      </c>
      <c r="AF985" s="1908">
        <v>17</v>
      </c>
      <c r="AG985" s="1908">
        <v>18</v>
      </c>
      <c r="AH985" s="1908">
        <v>18</v>
      </c>
      <c r="AI985" s="1908">
        <v>18</v>
      </c>
      <c r="AJ985" s="1909">
        <v>14</v>
      </c>
      <c r="AK985" s="1910">
        <v>16</v>
      </c>
      <c r="AL985" s="1910">
        <v>17</v>
      </c>
      <c r="AM985" s="1910">
        <v>18</v>
      </c>
      <c r="AN985" s="1910">
        <v>16</v>
      </c>
      <c r="AO985" s="1910">
        <v>18</v>
      </c>
      <c r="AP985" s="1910">
        <v>18</v>
      </c>
    </row>
    <row r="986" spans="1:42" s="34" customFormat="1" ht="14.5">
      <c r="A986" s="1693">
        <v>864</v>
      </c>
      <c r="B986" s="616">
        <v>1</v>
      </c>
      <c r="C986" s="1693">
        <v>865</v>
      </c>
      <c r="D986" s="616">
        <v>1</v>
      </c>
      <c r="E986" s="1693">
        <v>891</v>
      </c>
      <c r="F986" s="616">
        <v>1</v>
      </c>
      <c r="G986" s="1693">
        <v>978</v>
      </c>
      <c r="H986" s="616">
        <v>1</v>
      </c>
      <c r="I986" s="616"/>
      <c r="K986" s="454"/>
      <c r="L986" s="4"/>
      <c r="M986" s="4"/>
      <c r="N986" s="4"/>
      <c r="O986" s="363"/>
      <c r="P986" s="4"/>
      <c r="Q986" s="3"/>
      <c r="R986" s="4"/>
      <c r="S986" s="4"/>
      <c r="T986" s="41"/>
      <c r="U986" s="41" t="s">
        <v>16</v>
      </c>
      <c r="V986" s="3"/>
      <c r="W986" s="1904"/>
      <c r="X986" s="1908">
        <v>0</v>
      </c>
      <c r="Y986" s="1908">
        <v>0</v>
      </c>
      <c r="Z986" s="1908">
        <v>0</v>
      </c>
      <c r="AA986" s="1908">
        <v>0</v>
      </c>
      <c r="AB986" s="1908">
        <v>0</v>
      </c>
      <c r="AC986" s="1908">
        <v>0</v>
      </c>
      <c r="AD986" s="1908">
        <v>0</v>
      </c>
      <c r="AE986" s="1908">
        <v>0</v>
      </c>
      <c r="AF986" s="1908">
        <v>0</v>
      </c>
      <c r="AG986" s="1908">
        <v>0</v>
      </c>
      <c r="AH986" s="1908">
        <v>0</v>
      </c>
      <c r="AI986" s="1908">
        <v>0</v>
      </c>
      <c r="AJ986" s="1909">
        <v>0</v>
      </c>
      <c r="AK986" s="1910">
        <v>0</v>
      </c>
      <c r="AL986" s="1910">
        <v>0</v>
      </c>
      <c r="AM986" s="1910">
        <v>0</v>
      </c>
      <c r="AN986" s="1910">
        <v>0</v>
      </c>
      <c r="AO986" s="1910">
        <v>0</v>
      </c>
      <c r="AP986" s="1910">
        <v>0</v>
      </c>
    </row>
    <row r="987" spans="1:42" s="34" customFormat="1" ht="14.5">
      <c r="A987" s="1693">
        <v>865</v>
      </c>
      <c r="B987" s="616">
        <v>1</v>
      </c>
      <c r="C987" s="1693">
        <v>866</v>
      </c>
      <c r="D987" s="616">
        <v>1</v>
      </c>
      <c r="E987" s="1693">
        <v>892</v>
      </c>
      <c r="F987" s="616">
        <v>1</v>
      </c>
      <c r="G987" s="1693">
        <v>979</v>
      </c>
      <c r="H987" s="616">
        <v>1</v>
      </c>
      <c r="I987" s="616"/>
      <c r="K987" s="454"/>
      <c r="L987" s="4"/>
      <c r="M987" s="4"/>
      <c r="N987" s="4"/>
      <c r="O987" s="363"/>
      <c r="P987" s="4"/>
      <c r="Q987" s="3"/>
      <c r="R987" s="4"/>
      <c r="S987" s="4"/>
      <c r="T987" s="41"/>
      <c r="U987" s="41" t="s">
        <v>42</v>
      </c>
      <c r="V987" s="3"/>
      <c r="W987" s="1904"/>
      <c r="X987" s="1908">
        <v>0</v>
      </c>
      <c r="Y987" s="1908">
        <v>0</v>
      </c>
      <c r="Z987" s="1908">
        <v>0</v>
      </c>
      <c r="AA987" s="1908">
        <v>0</v>
      </c>
      <c r="AB987" s="1908">
        <v>0</v>
      </c>
      <c r="AC987" s="1908">
        <v>0</v>
      </c>
      <c r="AD987" s="1908">
        <v>0</v>
      </c>
      <c r="AE987" s="1908">
        <v>0</v>
      </c>
      <c r="AF987" s="1908">
        <v>0</v>
      </c>
      <c r="AG987" s="1908">
        <v>0</v>
      </c>
      <c r="AH987" s="1908">
        <v>0</v>
      </c>
      <c r="AI987" s="1908">
        <v>0</v>
      </c>
      <c r="AJ987" s="1909">
        <v>0</v>
      </c>
      <c r="AK987" s="1910">
        <v>0</v>
      </c>
      <c r="AL987" s="1910">
        <v>0</v>
      </c>
      <c r="AM987" s="1910">
        <v>0</v>
      </c>
      <c r="AN987" s="1910">
        <v>0</v>
      </c>
      <c r="AO987" s="1910">
        <v>0</v>
      </c>
      <c r="AP987" s="1910">
        <v>0</v>
      </c>
    </row>
    <row r="988" spans="1:42" s="34" customFormat="1" ht="14.5">
      <c r="A988" s="1693">
        <v>866</v>
      </c>
      <c r="B988" s="616">
        <v>1</v>
      </c>
      <c r="C988" s="1693">
        <v>867</v>
      </c>
      <c r="D988" s="616">
        <v>1</v>
      </c>
      <c r="E988" s="1693">
        <v>893</v>
      </c>
      <c r="F988" s="616">
        <v>1</v>
      </c>
      <c r="G988" s="1693">
        <v>980</v>
      </c>
      <c r="H988" s="616">
        <v>1</v>
      </c>
      <c r="I988" s="616"/>
      <c r="K988" s="454"/>
      <c r="L988" s="4"/>
      <c r="M988" s="4"/>
      <c r="N988" s="4"/>
      <c r="O988" s="363"/>
      <c r="P988" s="4"/>
      <c r="Q988" s="3"/>
      <c r="R988" s="4"/>
      <c r="S988" s="4"/>
      <c r="T988" s="41"/>
      <c r="U988" s="41" t="s">
        <v>41</v>
      </c>
      <c r="V988" s="3"/>
      <c r="W988" s="1904"/>
      <c r="X988" s="1908">
        <v>0</v>
      </c>
      <c r="Y988" s="1908">
        <v>0</v>
      </c>
      <c r="Z988" s="1908">
        <v>0</v>
      </c>
      <c r="AA988" s="1908">
        <v>0</v>
      </c>
      <c r="AB988" s="1908">
        <v>0</v>
      </c>
      <c r="AC988" s="1908">
        <v>0</v>
      </c>
      <c r="AD988" s="1908">
        <v>0</v>
      </c>
      <c r="AE988" s="1908">
        <v>0</v>
      </c>
      <c r="AF988" s="1908">
        <v>0</v>
      </c>
      <c r="AG988" s="1908">
        <v>0</v>
      </c>
      <c r="AH988" s="1908">
        <v>0</v>
      </c>
      <c r="AI988" s="1908">
        <v>0</v>
      </c>
      <c r="AJ988" s="1909">
        <v>0</v>
      </c>
      <c r="AK988" s="1910">
        <v>0</v>
      </c>
      <c r="AL988" s="1910">
        <v>0</v>
      </c>
      <c r="AM988" s="1910">
        <v>0</v>
      </c>
      <c r="AN988" s="1910">
        <v>0</v>
      </c>
      <c r="AO988" s="1910">
        <v>0</v>
      </c>
      <c r="AP988" s="1910">
        <v>0</v>
      </c>
    </row>
    <row r="989" spans="1:42" s="34" customFormat="1" ht="14.5">
      <c r="A989" s="1693">
        <v>867</v>
      </c>
      <c r="B989" s="616">
        <v>1</v>
      </c>
      <c r="C989" s="1693">
        <v>868</v>
      </c>
      <c r="D989" s="616">
        <v>1</v>
      </c>
      <c r="E989" s="1693">
        <v>894</v>
      </c>
      <c r="F989" s="616">
        <v>1</v>
      </c>
      <c r="G989" s="1693">
        <v>981</v>
      </c>
      <c r="H989" s="616">
        <v>1</v>
      </c>
      <c r="I989" s="616"/>
      <c r="K989" s="454"/>
      <c r="L989" s="4"/>
      <c r="M989" s="4"/>
      <c r="N989" s="4"/>
      <c r="O989" s="363"/>
      <c r="P989" s="4"/>
      <c r="Q989" s="3"/>
      <c r="R989" s="4"/>
      <c r="S989" s="4"/>
      <c r="T989" s="41"/>
      <c r="U989" s="41" t="s">
        <v>40</v>
      </c>
      <c r="V989" s="3"/>
      <c r="W989" s="1904"/>
      <c r="X989" s="1908">
        <v>0</v>
      </c>
      <c r="Y989" s="1908">
        <v>0</v>
      </c>
      <c r="Z989" s="1908">
        <v>0</v>
      </c>
      <c r="AA989" s="1908">
        <v>0</v>
      </c>
      <c r="AB989" s="1908">
        <v>0</v>
      </c>
      <c r="AC989" s="1908">
        <v>0</v>
      </c>
      <c r="AD989" s="1908">
        <v>0</v>
      </c>
      <c r="AE989" s="1908">
        <v>0</v>
      </c>
      <c r="AF989" s="1908">
        <v>0</v>
      </c>
      <c r="AG989" s="1908">
        <v>0</v>
      </c>
      <c r="AH989" s="1908">
        <v>0</v>
      </c>
      <c r="AI989" s="1908">
        <v>0</v>
      </c>
      <c r="AJ989" s="1909">
        <v>0</v>
      </c>
      <c r="AK989" s="1910">
        <v>0</v>
      </c>
      <c r="AL989" s="1910">
        <v>0</v>
      </c>
      <c r="AM989" s="1910">
        <v>0</v>
      </c>
      <c r="AN989" s="1910">
        <v>0</v>
      </c>
      <c r="AO989" s="1910">
        <v>0</v>
      </c>
      <c r="AP989" s="1910">
        <v>0</v>
      </c>
    </row>
    <row r="990" spans="1:42" s="34" customFormat="1" ht="14.5">
      <c r="A990" s="1693">
        <v>868</v>
      </c>
      <c r="B990" s="616">
        <v>1</v>
      </c>
      <c r="C990" s="1693">
        <v>869</v>
      </c>
      <c r="D990" s="616">
        <v>1</v>
      </c>
      <c r="E990" s="1693">
        <v>895</v>
      </c>
      <c r="F990" s="616">
        <v>1</v>
      </c>
      <c r="G990" s="1693">
        <v>982</v>
      </c>
      <c r="H990" s="616">
        <v>1</v>
      </c>
      <c r="I990" s="616"/>
      <c r="J990" s="709" t="s">
        <v>512</v>
      </c>
      <c r="K990" s="1764" t="s">
        <v>1216</v>
      </c>
      <c r="L990" s="4"/>
      <c r="M990" s="4"/>
      <c r="N990" s="4"/>
      <c r="O990" s="363"/>
      <c r="P990" s="252" t="s">
        <v>205</v>
      </c>
      <c r="Q990" s="251"/>
      <c r="R990" s="252"/>
      <c r="S990" s="252"/>
      <c r="T990" s="251"/>
      <c r="U990" s="251"/>
      <c r="V990" s="251"/>
      <c r="W990" s="1849"/>
      <c r="X990" s="1986">
        <v>4</v>
      </c>
      <c r="Y990" s="1986">
        <v>4</v>
      </c>
      <c r="Z990" s="1986">
        <v>4</v>
      </c>
      <c r="AA990" s="1986">
        <v>4</v>
      </c>
      <c r="AB990" s="1986">
        <v>4</v>
      </c>
      <c r="AC990" s="1986">
        <v>4</v>
      </c>
      <c r="AD990" s="1986">
        <v>4</v>
      </c>
      <c r="AE990" s="1986">
        <v>4</v>
      </c>
      <c r="AF990" s="1986">
        <v>4</v>
      </c>
      <c r="AG990" s="1986">
        <v>4</v>
      </c>
      <c r="AH990" s="1986">
        <v>4</v>
      </c>
      <c r="AI990" s="1986">
        <v>4</v>
      </c>
      <c r="AJ990" s="2262">
        <v>4</v>
      </c>
      <c r="AK990" s="1986">
        <v>4</v>
      </c>
      <c r="AL990" s="1986">
        <v>4</v>
      </c>
      <c r="AM990" s="1986">
        <v>4</v>
      </c>
      <c r="AN990" s="1986">
        <v>4</v>
      </c>
      <c r="AO990" s="1986">
        <v>4</v>
      </c>
      <c r="AP990" s="1986">
        <v>4</v>
      </c>
    </row>
    <row r="991" spans="1:42" s="34" customFormat="1" ht="14.5">
      <c r="A991" s="1693">
        <v>869</v>
      </c>
      <c r="B991" s="616">
        <v>1</v>
      </c>
      <c r="C991" s="1693">
        <v>870</v>
      </c>
      <c r="D991" s="616">
        <v>1</v>
      </c>
      <c r="E991" s="1693">
        <v>896</v>
      </c>
      <c r="F991" s="616">
        <v>1</v>
      </c>
      <c r="G991" s="1693">
        <v>983</v>
      </c>
      <c r="H991" s="616">
        <v>1</v>
      </c>
      <c r="I991" s="616"/>
      <c r="K991" s="454"/>
      <c r="L991" s="4"/>
      <c r="M991" s="4"/>
      <c r="N991" s="4"/>
      <c r="O991" s="363"/>
      <c r="P991" s="4"/>
      <c r="Q991" s="3"/>
      <c r="R991" s="4"/>
      <c r="S991" s="4"/>
      <c r="T991" s="41"/>
      <c r="U991" s="41" t="s">
        <v>198</v>
      </c>
      <c r="V991" s="3"/>
      <c r="W991" s="1904"/>
      <c r="X991" s="1908">
        <v>2</v>
      </c>
      <c r="Y991" s="1908">
        <v>2</v>
      </c>
      <c r="Z991" s="1908">
        <v>2</v>
      </c>
      <c r="AA991" s="1908">
        <v>2</v>
      </c>
      <c r="AB991" s="1908">
        <v>2</v>
      </c>
      <c r="AC991" s="1908">
        <v>2</v>
      </c>
      <c r="AD991" s="1908">
        <v>2</v>
      </c>
      <c r="AE991" s="1908">
        <v>2</v>
      </c>
      <c r="AF991" s="1908">
        <v>2</v>
      </c>
      <c r="AG991" s="1908">
        <v>2</v>
      </c>
      <c r="AH991" s="1908">
        <v>2</v>
      </c>
      <c r="AI991" s="1908">
        <v>2</v>
      </c>
      <c r="AJ991" s="1909">
        <v>2</v>
      </c>
      <c r="AK991" s="1910">
        <v>2</v>
      </c>
      <c r="AL991" s="1910">
        <v>2</v>
      </c>
      <c r="AM991" s="1910">
        <v>2</v>
      </c>
      <c r="AN991" s="1910">
        <v>2</v>
      </c>
      <c r="AO991" s="1910">
        <v>2</v>
      </c>
      <c r="AP991" s="1910">
        <v>2</v>
      </c>
    </row>
    <row r="992" spans="1:42" s="34" customFormat="1" ht="14.5">
      <c r="A992" s="1693">
        <v>870</v>
      </c>
      <c r="B992" s="616">
        <v>1</v>
      </c>
      <c r="C992" s="1693">
        <v>871</v>
      </c>
      <c r="D992" s="616">
        <v>1</v>
      </c>
      <c r="E992" s="1693">
        <v>897</v>
      </c>
      <c r="F992" s="616">
        <v>1</v>
      </c>
      <c r="G992" s="1693">
        <v>984</v>
      </c>
      <c r="H992" s="616">
        <v>1</v>
      </c>
      <c r="I992" s="616"/>
      <c r="K992" s="454"/>
      <c r="L992" s="4"/>
      <c r="M992" s="4"/>
      <c r="N992" s="4"/>
      <c r="O992" s="363"/>
      <c r="P992" s="4"/>
      <c r="Q992" s="3"/>
      <c r="R992" s="4"/>
      <c r="S992" s="4"/>
      <c r="T992" s="41"/>
      <c r="U992" s="41" t="s">
        <v>199</v>
      </c>
      <c r="V992" s="3"/>
      <c r="W992" s="1904"/>
      <c r="X992" s="1908">
        <v>0</v>
      </c>
      <c r="Y992" s="1908">
        <v>0</v>
      </c>
      <c r="Z992" s="1908">
        <v>0</v>
      </c>
      <c r="AA992" s="1908">
        <v>0</v>
      </c>
      <c r="AB992" s="1908">
        <v>0</v>
      </c>
      <c r="AC992" s="1908">
        <v>0</v>
      </c>
      <c r="AD992" s="1908">
        <v>0</v>
      </c>
      <c r="AE992" s="1908">
        <v>0</v>
      </c>
      <c r="AF992" s="1908">
        <v>0</v>
      </c>
      <c r="AG992" s="1908">
        <v>0</v>
      </c>
      <c r="AH992" s="1908">
        <v>0</v>
      </c>
      <c r="AI992" s="1908">
        <v>0</v>
      </c>
      <c r="AJ992" s="1909">
        <v>0</v>
      </c>
      <c r="AK992" s="1910">
        <v>0</v>
      </c>
      <c r="AL992" s="1910">
        <v>0</v>
      </c>
      <c r="AM992" s="1910">
        <v>0</v>
      </c>
      <c r="AN992" s="1910">
        <v>0</v>
      </c>
      <c r="AO992" s="1910">
        <v>0</v>
      </c>
      <c r="AP992" s="1910">
        <v>0</v>
      </c>
    </row>
    <row r="993" spans="1:42" s="34" customFormat="1" ht="14.5">
      <c r="A993" s="1693">
        <v>871</v>
      </c>
      <c r="B993" s="616">
        <v>1</v>
      </c>
      <c r="C993" s="1693">
        <v>872</v>
      </c>
      <c r="D993" s="616">
        <v>1</v>
      </c>
      <c r="E993" s="1693">
        <v>898</v>
      </c>
      <c r="F993" s="616">
        <v>1</v>
      </c>
      <c r="G993" s="1693">
        <v>985</v>
      </c>
      <c r="H993" s="616">
        <v>1</v>
      </c>
      <c r="I993" s="616"/>
      <c r="K993" s="454"/>
      <c r="L993" s="4"/>
      <c r="M993" s="4"/>
      <c r="N993" s="4"/>
      <c r="O993" s="363"/>
      <c r="P993" s="4"/>
      <c r="Q993" s="3"/>
      <c r="R993" s="4"/>
      <c r="S993" s="4"/>
      <c r="T993" s="41"/>
      <c r="U993" s="41" t="s">
        <v>200</v>
      </c>
      <c r="V993" s="3"/>
      <c r="W993" s="1904"/>
      <c r="X993" s="1908">
        <v>2</v>
      </c>
      <c r="Y993" s="1908">
        <v>2</v>
      </c>
      <c r="Z993" s="1908">
        <v>2</v>
      </c>
      <c r="AA993" s="1908">
        <v>2</v>
      </c>
      <c r="AB993" s="1908">
        <v>2</v>
      </c>
      <c r="AC993" s="1908">
        <v>2</v>
      </c>
      <c r="AD993" s="1908">
        <v>2</v>
      </c>
      <c r="AE993" s="1908">
        <v>2</v>
      </c>
      <c r="AF993" s="1908">
        <v>2</v>
      </c>
      <c r="AG993" s="1908">
        <v>2</v>
      </c>
      <c r="AH993" s="1908">
        <v>2</v>
      </c>
      <c r="AI993" s="1908">
        <v>2</v>
      </c>
      <c r="AJ993" s="1909">
        <v>2</v>
      </c>
      <c r="AK993" s="1910">
        <v>2</v>
      </c>
      <c r="AL993" s="1910">
        <v>2</v>
      </c>
      <c r="AM993" s="1910">
        <v>2</v>
      </c>
      <c r="AN993" s="1910">
        <v>2</v>
      </c>
      <c r="AO993" s="1910">
        <v>2</v>
      </c>
      <c r="AP993" s="1910">
        <v>2</v>
      </c>
    </row>
    <row r="994" spans="1:42" s="34" customFormat="1" ht="14.5">
      <c r="A994" s="1693">
        <v>872</v>
      </c>
      <c r="B994" s="616">
        <v>1</v>
      </c>
      <c r="C994" s="1693">
        <v>873</v>
      </c>
      <c r="D994" s="616">
        <v>1</v>
      </c>
      <c r="E994" s="1693">
        <v>899</v>
      </c>
      <c r="F994" s="616">
        <v>1</v>
      </c>
      <c r="G994" s="1693">
        <v>986</v>
      </c>
      <c r="H994" s="616">
        <v>1</v>
      </c>
      <c r="I994" s="616"/>
      <c r="K994" s="454"/>
      <c r="L994" s="4"/>
      <c r="M994" s="4"/>
      <c r="N994" s="4"/>
      <c r="O994" s="363"/>
      <c r="P994" s="2"/>
      <c r="Q994" s="1"/>
      <c r="R994" s="2"/>
      <c r="S994" s="2"/>
      <c r="T994" s="39"/>
      <c r="U994" s="39" t="s">
        <v>201</v>
      </c>
      <c r="V994" s="1"/>
      <c r="W994" s="1904"/>
      <c r="X994" s="2261">
        <v>0</v>
      </c>
      <c r="Y994" s="2261">
        <v>0</v>
      </c>
      <c r="Z994" s="2261">
        <v>0</v>
      </c>
      <c r="AA994" s="2261">
        <v>0</v>
      </c>
      <c r="AB994" s="2261">
        <v>0</v>
      </c>
      <c r="AC994" s="2261">
        <v>0</v>
      </c>
      <c r="AD994" s="2261">
        <v>0</v>
      </c>
      <c r="AE994" s="2261">
        <v>0</v>
      </c>
      <c r="AF994" s="2261">
        <v>0</v>
      </c>
      <c r="AG994" s="2261">
        <v>0</v>
      </c>
      <c r="AH994" s="2261">
        <v>0</v>
      </c>
      <c r="AI994" s="2261">
        <v>0</v>
      </c>
      <c r="AJ994" s="2247">
        <v>0</v>
      </c>
      <c r="AK994" s="2248">
        <v>0</v>
      </c>
      <c r="AL994" s="2248">
        <v>0</v>
      </c>
      <c r="AM994" s="2248">
        <v>0</v>
      </c>
      <c r="AN994" s="2248">
        <v>0</v>
      </c>
      <c r="AO994" s="2248">
        <v>0</v>
      </c>
      <c r="AP994" s="2248">
        <v>0</v>
      </c>
    </row>
    <row r="995" spans="1:42" s="34" customFormat="1" ht="14.5">
      <c r="A995" s="1693">
        <v>873</v>
      </c>
      <c r="B995" s="616">
        <v>1</v>
      </c>
      <c r="C995" s="1693">
        <v>874</v>
      </c>
      <c r="D995" s="616">
        <v>1</v>
      </c>
      <c r="E995" s="1693">
        <v>900</v>
      </c>
      <c r="F995" s="616">
        <v>1</v>
      </c>
      <c r="G995" s="1693">
        <v>987</v>
      </c>
      <c r="H995" s="616">
        <v>1</v>
      </c>
      <c r="I995" s="616"/>
      <c r="J995" s="709" t="s">
        <v>512</v>
      </c>
      <c r="K995" s="1764" t="s">
        <v>1216</v>
      </c>
      <c r="L995" s="4"/>
      <c r="M995" s="4"/>
      <c r="N995" s="4"/>
      <c r="O995" s="363"/>
      <c r="P995" s="48" t="s">
        <v>17</v>
      </c>
      <c r="Q995" s="47"/>
      <c r="R995" s="48"/>
      <c r="S995" s="48"/>
      <c r="T995" s="47"/>
      <c r="U995" s="47"/>
      <c r="V995" s="47"/>
      <c r="W995" s="1849"/>
      <c r="X995" s="1970">
        <v>0</v>
      </c>
      <c r="Y995" s="1970">
        <v>0</v>
      </c>
      <c r="Z995" s="1970">
        <v>0</v>
      </c>
      <c r="AA995" s="1970">
        <v>0</v>
      </c>
      <c r="AB995" s="1970">
        <v>0</v>
      </c>
      <c r="AC995" s="1970">
        <v>0</v>
      </c>
      <c r="AD995" s="1970">
        <v>0</v>
      </c>
      <c r="AE995" s="1970">
        <v>0</v>
      </c>
      <c r="AF995" s="1970">
        <v>0</v>
      </c>
      <c r="AG995" s="1970">
        <v>0</v>
      </c>
      <c r="AH995" s="1970">
        <v>0</v>
      </c>
      <c r="AI995" s="1970">
        <v>0</v>
      </c>
      <c r="AJ995" s="2044">
        <v>0</v>
      </c>
      <c r="AK995" s="1970">
        <v>0</v>
      </c>
      <c r="AL995" s="1970">
        <v>0</v>
      </c>
      <c r="AM995" s="1970">
        <v>0</v>
      </c>
      <c r="AN995" s="1970">
        <v>0</v>
      </c>
      <c r="AO995" s="1970">
        <v>0</v>
      </c>
      <c r="AP995" s="1970">
        <v>0</v>
      </c>
    </row>
    <row r="996" spans="1:42" s="34" customFormat="1" ht="14.5">
      <c r="A996" s="1693">
        <v>874</v>
      </c>
      <c r="B996" s="616">
        <v>1</v>
      </c>
      <c r="C996" s="1693">
        <v>875</v>
      </c>
      <c r="D996" s="616">
        <v>1</v>
      </c>
      <c r="E996" s="1693">
        <v>901</v>
      </c>
      <c r="F996" s="616">
        <v>1</v>
      </c>
      <c r="G996" s="1693">
        <v>988</v>
      </c>
      <c r="H996" s="616">
        <v>1</v>
      </c>
      <c r="I996" s="616"/>
      <c r="K996" s="454"/>
      <c r="L996" s="4"/>
      <c r="M996" s="4"/>
      <c r="N996" s="4"/>
      <c r="O996" s="363"/>
      <c r="P996" s="4"/>
      <c r="Q996" s="3"/>
      <c r="R996" s="4"/>
      <c r="S996" s="3"/>
      <c r="T996" s="41"/>
      <c r="U996" s="41" t="s">
        <v>39</v>
      </c>
      <c r="V996" s="41"/>
      <c r="W996" s="1904"/>
      <c r="X996" s="1908">
        <v>0</v>
      </c>
      <c r="Y996" s="1908">
        <v>0</v>
      </c>
      <c r="Z996" s="1908">
        <v>0</v>
      </c>
      <c r="AA996" s="1908">
        <v>0</v>
      </c>
      <c r="AB996" s="1908">
        <v>0</v>
      </c>
      <c r="AC996" s="1908">
        <v>0</v>
      </c>
      <c r="AD996" s="1908">
        <v>0</v>
      </c>
      <c r="AE996" s="1908">
        <v>0</v>
      </c>
      <c r="AF996" s="1908">
        <v>0</v>
      </c>
      <c r="AG996" s="1908">
        <v>0</v>
      </c>
      <c r="AH996" s="1908">
        <v>0</v>
      </c>
      <c r="AI996" s="1908">
        <v>0</v>
      </c>
      <c r="AJ996" s="1909">
        <v>0</v>
      </c>
      <c r="AK996" s="1910">
        <v>0</v>
      </c>
      <c r="AL996" s="1910">
        <v>0</v>
      </c>
      <c r="AM996" s="1910">
        <v>0</v>
      </c>
      <c r="AN996" s="1910">
        <v>0</v>
      </c>
      <c r="AO996" s="1910">
        <v>0</v>
      </c>
      <c r="AP996" s="1910">
        <v>0</v>
      </c>
    </row>
    <row r="997" spans="1:42" s="34" customFormat="1" ht="14.5">
      <c r="A997" s="1693">
        <v>875</v>
      </c>
      <c r="B997" s="616">
        <v>1</v>
      </c>
      <c r="C997" s="1693">
        <v>876</v>
      </c>
      <c r="D997" s="616">
        <v>1</v>
      </c>
      <c r="E997" s="1693">
        <v>902</v>
      </c>
      <c r="F997" s="616">
        <v>1</v>
      </c>
      <c r="G997" s="1693">
        <v>989</v>
      </c>
      <c r="H997" s="616">
        <v>1</v>
      </c>
      <c r="I997" s="616"/>
      <c r="K997" s="454"/>
      <c r="L997" s="4"/>
      <c r="M997" s="4"/>
      <c r="N997" s="4"/>
      <c r="O997" s="363"/>
      <c r="P997" s="4"/>
      <c r="Q997" s="3"/>
      <c r="R997" s="4"/>
      <c r="S997" s="3"/>
      <c r="T997" s="41"/>
      <c r="U997" s="41" t="s">
        <v>18</v>
      </c>
      <c r="V997" s="41"/>
      <c r="W997" s="1904"/>
      <c r="X997" s="1908">
        <v>0</v>
      </c>
      <c r="Y997" s="1908">
        <v>0</v>
      </c>
      <c r="Z997" s="1908">
        <v>0</v>
      </c>
      <c r="AA997" s="1908">
        <v>0</v>
      </c>
      <c r="AB997" s="1908">
        <v>0</v>
      </c>
      <c r="AC997" s="1908">
        <v>0</v>
      </c>
      <c r="AD997" s="1908">
        <v>0</v>
      </c>
      <c r="AE997" s="1908">
        <v>0</v>
      </c>
      <c r="AF997" s="1908">
        <v>0</v>
      </c>
      <c r="AG997" s="1908">
        <v>0</v>
      </c>
      <c r="AH997" s="1908">
        <v>0</v>
      </c>
      <c r="AI997" s="1908">
        <v>0</v>
      </c>
      <c r="AJ997" s="1909">
        <v>0</v>
      </c>
      <c r="AK997" s="1910">
        <v>0</v>
      </c>
      <c r="AL997" s="1910">
        <v>0</v>
      </c>
      <c r="AM997" s="1910">
        <v>0</v>
      </c>
      <c r="AN997" s="1910">
        <v>0</v>
      </c>
      <c r="AO997" s="1910">
        <v>0</v>
      </c>
      <c r="AP997" s="1910">
        <v>0</v>
      </c>
    </row>
    <row r="998" spans="1:42" s="34" customFormat="1" ht="14.5">
      <c r="A998" s="1693">
        <v>876</v>
      </c>
      <c r="B998" s="616">
        <v>1</v>
      </c>
      <c r="C998" s="1693">
        <v>877</v>
      </c>
      <c r="D998" s="616">
        <v>1</v>
      </c>
      <c r="E998" s="1693">
        <v>903</v>
      </c>
      <c r="F998" s="616">
        <v>1</v>
      </c>
      <c r="G998" s="1693">
        <v>990</v>
      </c>
      <c r="H998" s="616">
        <v>1</v>
      </c>
      <c r="I998" s="616"/>
      <c r="K998" s="454"/>
      <c r="L998" s="4"/>
      <c r="M998" s="4"/>
      <c r="N998" s="4"/>
      <c r="O998" s="363"/>
      <c r="P998" s="4"/>
      <c r="Q998" s="3"/>
      <c r="R998" s="4"/>
      <c r="S998" s="3"/>
      <c r="T998" s="41"/>
      <c r="U998" s="41" t="s">
        <v>19</v>
      </c>
      <c r="V998" s="41"/>
      <c r="W998" s="1904"/>
      <c r="X998" s="1908">
        <v>0</v>
      </c>
      <c r="Y998" s="1908">
        <v>0</v>
      </c>
      <c r="Z998" s="1908">
        <v>0</v>
      </c>
      <c r="AA998" s="1908">
        <v>0</v>
      </c>
      <c r="AB998" s="1908">
        <v>0</v>
      </c>
      <c r="AC998" s="1908">
        <v>0</v>
      </c>
      <c r="AD998" s="1908">
        <v>0</v>
      </c>
      <c r="AE998" s="1908">
        <v>0</v>
      </c>
      <c r="AF998" s="1908">
        <v>0</v>
      </c>
      <c r="AG998" s="1908">
        <v>0</v>
      </c>
      <c r="AH998" s="1908">
        <v>0</v>
      </c>
      <c r="AI998" s="1908">
        <v>0</v>
      </c>
      <c r="AJ998" s="1909">
        <v>0</v>
      </c>
      <c r="AK998" s="1910">
        <v>0</v>
      </c>
      <c r="AL998" s="1910">
        <v>0</v>
      </c>
      <c r="AM998" s="1910">
        <v>0</v>
      </c>
      <c r="AN998" s="1910">
        <v>0</v>
      </c>
      <c r="AO998" s="1910">
        <v>0</v>
      </c>
      <c r="AP998" s="1910">
        <v>0</v>
      </c>
    </row>
    <row r="999" spans="1:42" s="34" customFormat="1" ht="14.5">
      <c r="A999" s="1693">
        <v>877</v>
      </c>
      <c r="B999" s="616">
        <v>1</v>
      </c>
      <c r="C999" s="1693">
        <v>878</v>
      </c>
      <c r="D999" s="616">
        <v>1</v>
      </c>
      <c r="E999" s="1693">
        <v>904</v>
      </c>
      <c r="F999" s="616">
        <v>1</v>
      </c>
      <c r="G999" s="1693">
        <v>991</v>
      </c>
      <c r="H999" s="616">
        <v>1</v>
      </c>
      <c r="I999" s="616"/>
      <c r="K999" s="454"/>
      <c r="L999" s="4"/>
      <c r="M999" s="4"/>
      <c r="N999" s="4"/>
      <c r="O999" s="363"/>
      <c r="P999" s="4"/>
      <c r="Q999" s="3"/>
      <c r="R999" s="4"/>
      <c r="S999" s="3"/>
      <c r="T999" s="41"/>
      <c r="U999" s="41" t="s">
        <v>20</v>
      </c>
      <c r="V999" s="41"/>
      <c r="W999" s="1904"/>
      <c r="X999" s="1908">
        <v>0</v>
      </c>
      <c r="Y999" s="1908">
        <v>0</v>
      </c>
      <c r="Z999" s="1908">
        <v>0</v>
      </c>
      <c r="AA999" s="1908">
        <v>0</v>
      </c>
      <c r="AB999" s="1908">
        <v>0</v>
      </c>
      <c r="AC999" s="1908">
        <v>0</v>
      </c>
      <c r="AD999" s="1908">
        <v>0</v>
      </c>
      <c r="AE999" s="1908">
        <v>0</v>
      </c>
      <c r="AF999" s="1908">
        <v>0</v>
      </c>
      <c r="AG999" s="1908">
        <v>0</v>
      </c>
      <c r="AH999" s="1908">
        <v>0</v>
      </c>
      <c r="AI999" s="1908">
        <v>0</v>
      </c>
      <c r="AJ999" s="1909">
        <v>0</v>
      </c>
      <c r="AK999" s="1910">
        <v>0</v>
      </c>
      <c r="AL999" s="1910">
        <v>0</v>
      </c>
      <c r="AM999" s="1910">
        <v>0</v>
      </c>
      <c r="AN999" s="1910">
        <v>0</v>
      </c>
      <c r="AO999" s="1910">
        <v>0</v>
      </c>
      <c r="AP999" s="1910">
        <v>0</v>
      </c>
    </row>
    <row r="1000" spans="1:42" s="34" customFormat="1" ht="14.5">
      <c r="A1000" s="1693">
        <v>878</v>
      </c>
      <c r="B1000" s="616">
        <v>1</v>
      </c>
      <c r="C1000" s="1693">
        <v>879</v>
      </c>
      <c r="D1000" s="616">
        <v>1</v>
      </c>
      <c r="E1000" s="1693">
        <v>905</v>
      </c>
      <c r="F1000" s="616">
        <v>1</v>
      </c>
      <c r="G1000" s="1693">
        <v>992</v>
      </c>
      <c r="H1000" s="616">
        <v>1</v>
      </c>
      <c r="I1000" s="616"/>
      <c r="K1000" s="454"/>
      <c r="L1000" s="4"/>
      <c r="M1000" s="4"/>
      <c r="N1000" s="4"/>
      <c r="O1000" s="363"/>
      <c r="P1000" s="4"/>
      <c r="Q1000" s="3"/>
      <c r="R1000" s="4"/>
      <c r="S1000" s="3"/>
      <c r="T1000" s="41"/>
      <c r="U1000" s="41" t="s">
        <v>2</v>
      </c>
      <c r="V1000" s="41"/>
      <c r="W1000" s="1904"/>
      <c r="X1000" s="1908">
        <v>0</v>
      </c>
      <c r="Y1000" s="1908">
        <v>0</v>
      </c>
      <c r="Z1000" s="1908">
        <v>0</v>
      </c>
      <c r="AA1000" s="1908">
        <v>0</v>
      </c>
      <c r="AB1000" s="1908">
        <v>0</v>
      </c>
      <c r="AC1000" s="1908">
        <v>0</v>
      </c>
      <c r="AD1000" s="1908">
        <v>0</v>
      </c>
      <c r="AE1000" s="1908">
        <v>0</v>
      </c>
      <c r="AF1000" s="1908">
        <v>0</v>
      </c>
      <c r="AG1000" s="1908">
        <v>0</v>
      </c>
      <c r="AH1000" s="1908">
        <v>0</v>
      </c>
      <c r="AI1000" s="1908">
        <v>0</v>
      </c>
      <c r="AJ1000" s="1909">
        <v>0</v>
      </c>
      <c r="AK1000" s="1910">
        <v>0</v>
      </c>
      <c r="AL1000" s="1910">
        <v>0</v>
      </c>
      <c r="AM1000" s="1910">
        <v>0</v>
      </c>
      <c r="AN1000" s="1910">
        <v>0</v>
      </c>
      <c r="AO1000" s="1910">
        <v>0</v>
      </c>
      <c r="AP1000" s="1910">
        <v>0</v>
      </c>
    </row>
    <row r="1001" spans="1:42" s="34" customFormat="1" ht="14.5">
      <c r="A1001" s="1693">
        <v>879</v>
      </c>
      <c r="B1001" s="616">
        <v>1</v>
      </c>
      <c r="C1001" s="1693">
        <v>880</v>
      </c>
      <c r="D1001" s="616">
        <v>1</v>
      </c>
      <c r="E1001" s="1693">
        <v>906</v>
      </c>
      <c r="F1001" s="616">
        <v>1</v>
      </c>
      <c r="G1001" s="1693">
        <v>993</v>
      </c>
      <c r="H1001" s="616">
        <v>1</v>
      </c>
      <c r="I1001" s="616"/>
      <c r="J1001" s="709" t="s">
        <v>512</v>
      </c>
      <c r="K1001" s="1764" t="s">
        <v>1216</v>
      </c>
      <c r="L1001" s="4"/>
      <c r="M1001" s="4"/>
      <c r="N1001" s="4"/>
      <c r="O1001" s="363"/>
      <c r="P1001" s="252" t="s">
        <v>206</v>
      </c>
      <c r="Q1001" s="251"/>
      <c r="R1001" s="252"/>
      <c r="S1001" s="252"/>
      <c r="T1001" s="251"/>
      <c r="U1001" s="251"/>
      <c r="V1001" s="251"/>
      <c r="W1001" s="1849"/>
      <c r="X1001" s="1986">
        <v>0</v>
      </c>
      <c r="Y1001" s="1986">
        <v>0</v>
      </c>
      <c r="Z1001" s="1986">
        <v>0</v>
      </c>
      <c r="AA1001" s="1986">
        <v>0</v>
      </c>
      <c r="AB1001" s="1986">
        <v>0</v>
      </c>
      <c r="AC1001" s="1986">
        <v>0</v>
      </c>
      <c r="AD1001" s="1986">
        <v>0</v>
      </c>
      <c r="AE1001" s="1986">
        <v>0</v>
      </c>
      <c r="AF1001" s="1986">
        <v>0</v>
      </c>
      <c r="AG1001" s="1986">
        <v>0</v>
      </c>
      <c r="AH1001" s="1986">
        <v>0</v>
      </c>
      <c r="AI1001" s="1986">
        <v>0</v>
      </c>
      <c r="AJ1001" s="2262">
        <v>0</v>
      </c>
      <c r="AK1001" s="1986">
        <v>0</v>
      </c>
      <c r="AL1001" s="1986">
        <v>0</v>
      </c>
      <c r="AM1001" s="1986">
        <v>0</v>
      </c>
      <c r="AN1001" s="1986">
        <v>0</v>
      </c>
      <c r="AO1001" s="1986">
        <v>0</v>
      </c>
      <c r="AP1001" s="1986">
        <v>0</v>
      </c>
    </row>
    <row r="1002" spans="1:42" s="34" customFormat="1" ht="14.5">
      <c r="A1002" s="1693">
        <v>880</v>
      </c>
      <c r="B1002" s="616">
        <v>1</v>
      </c>
      <c r="C1002" s="1693">
        <v>881</v>
      </c>
      <c r="D1002" s="616">
        <v>1</v>
      </c>
      <c r="E1002" s="1693">
        <v>907</v>
      </c>
      <c r="F1002" s="616">
        <v>1</v>
      </c>
      <c r="G1002" s="1693">
        <v>994</v>
      </c>
      <c r="H1002" s="616">
        <v>1</v>
      </c>
      <c r="I1002" s="616"/>
      <c r="K1002" s="454"/>
      <c r="L1002" s="4"/>
      <c r="M1002" s="4"/>
      <c r="N1002" s="4"/>
      <c r="O1002" s="363"/>
      <c r="P1002" s="4"/>
      <c r="Q1002" s="3"/>
      <c r="R1002" s="4"/>
      <c r="S1002" s="3"/>
      <c r="T1002" s="41"/>
      <c r="U1002" s="41" t="s">
        <v>21</v>
      </c>
      <c r="V1002" s="41"/>
      <c r="W1002" s="1904"/>
      <c r="X1002" s="1908">
        <v>0</v>
      </c>
      <c r="Y1002" s="1908">
        <v>0</v>
      </c>
      <c r="Z1002" s="1908">
        <v>0</v>
      </c>
      <c r="AA1002" s="1908">
        <v>0</v>
      </c>
      <c r="AB1002" s="1908">
        <v>0</v>
      </c>
      <c r="AC1002" s="1908">
        <v>0</v>
      </c>
      <c r="AD1002" s="1908">
        <v>0</v>
      </c>
      <c r="AE1002" s="1908">
        <v>0</v>
      </c>
      <c r="AF1002" s="1908">
        <v>0</v>
      </c>
      <c r="AG1002" s="1908">
        <v>0</v>
      </c>
      <c r="AH1002" s="1908">
        <v>0</v>
      </c>
      <c r="AI1002" s="1908">
        <v>0</v>
      </c>
      <c r="AJ1002" s="1909">
        <v>0</v>
      </c>
      <c r="AK1002" s="1910">
        <v>0</v>
      </c>
      <c r="AL1002" s="1910">
        <v>0</v>
      </c>
      <c r="AM1002" s="1910">
        <v>0</v>
      </c>
      <c r="AN1002" s="1910">
        <v>0</v>
      </c>
      <c r="AO1002" s="1910">
        <v>0</v>
      </c>
      <c r="AP1002" s="1910">
        <v>0</v>
      </c>
    </row>
    <row r="1003" spans="1:42" s="34" customFormat="1" ht="14.5">
      <c r="A1003" s="1693">
        <v>881</v>
      </c>
      <c r="B1003" s="616">
        <v>1</v>
      </c>
      <c r="C1003" s="1693">
        <v>882</v>
      </c>
      <c r="D1003" s="616">
        <v>1</v>
      </c>
      <c r="E1003" s="1693">
        <v>908</v>
      </c>
      <c r="F1003" s="616">
        <v>1</v>
      </c>
      <c r="G1003" s="1693">
        <v>995</v>
      </c>
      <c r="H1003" s="616">
        <v>1</v>
      </c>
      <c r="I1003" s="616"/>
      <c r="K1003" s="454"/>
      <c r="L1003" s="4"/>
      <c r="M1003" s="4"/>
      <c r="N1003" s="4"/>
      <c r="O1003" s="363"/>
      <c r="P1003" s="4"/>
      <c r="Q1003" s="3"/>
      <c r="R1003" s="4"/>
      <c r="S1003" s="3"/>
      <c r="T1003" s="41"/>
      <c r="U1003" s="41" t="s">
        <v>22</v>
      </c>
      <c r="V1003" s="41"/>
      <c r="W1003" s="1904"/>
      <c r="X1003" s="1908">
        <v>0</v>
      </c>
      <c r="Y1003" s="1908">
        <v>0</v>
      </c>
      <c r="Z1003" s="1908">
        <v>0</v>
      </c>
      <c r="AA1003" s="1908">
        <v>0</v>
      </c>
      <c r="AB1003" s="1908">
        <v>0</v>
      </c>
      <c r="AC1003" s="1908">
        <v>0</v>
      </c>
      <c r="AD1003" s="1908">
        <v>0</v>
      </c>
      <c r="AE1003" s="1908">
        <v>0</v>
      </c>
      <c r="AF1003" s="1908">
        <v>0</v>
      </c>
      <c r="AG1003" s="1908">
        <v>0</v>
      </c>
      <c r="AH1003" s="1908">
        <v>0</v>
      </c>
      <c r="AI1003" s="1908">
        <v>0</v>
      </c>
      <c r="AJ1003" s="1909">
        <v>0</v>
      </c>
      <c r="AK1003" s="1910">
        <v>0</v>
      </c>
      <c r="AL1003" s="1910">
        <v>0</v>
      </c>
      <c r="AM1003" s="1910">
        <v>0</v>
      </c>
      <c r="AN1003" s="1910">
        <v>0</v>
      </c>
      <c r="AO1003" s="1910">
        <v>0</v>
      </c>
      <c r="AP1003" s="1910">
        <v>0</v>
      </c>
    </row>
    <row r="1004" spans="1:42" s="34" customFormat="1" ht="14.5">
      <c r="A1004" s="1693">
        <v>882</v>
      </c>
      <c r="B1004" s="616">
        <v>1</v>
      </c>
      <c r="C1004" s="1693">
        <v>883</v>
      </c>
      <c r="D1004" s="616">
        <v>1</v>
      </c>
      <c r="E1004" s="1693">
        <v>909</v>
      </c>
      <c r="F1004" s="616">
        <v>1</v>
      </c>
      <c r="G1004" s="1693">
        <v>996</v>
      </c>
      <c r="H1004" s="616">
        <v>1</v>
      </c>
      <c r="I1004" s="616"/>
      <c r="K1004" s="454"/>
      <c r="L1004" s="4"/>
      <c r="M1004" s="4"/>
      <c r="N1004" s="4"/>
      <c r="O1004" s="364"/>
      <c r="P1004" s="2"/>
      <c r="Q1004" s="1"/>
      <c r="R1004" s="2"/>
      <c r="S1004" s="1"/>
      <c r="T1004" s="39"/>
      <c r="U1004" s="39" t="s">
        <v>23</v>
      </c>
      <c r="V1004" s="39"/>
      <c r="W1004" s="1904"/>
      <c r="X1004" s="2261">
        <v>0</v>
      </c>
      <c r="Y1004" s="2261">
        <v>0</v>
      </c>
      <c r="Z1004" s="2261">
        <v>0</v>
      </c>
      <c r="AA1004" s="2261">
        <v>0</v>
      </c>
      <c r="AB1004" s="2261">
        <v>0</v>
      </c>
      <c r="AC1004" s="2261">
        <v>0</v>
      </c>
      <c r="AD1004" s="2261">
        <v>0</v>
      </c>
      <c r="AE1004" s="2261">
        <v>0</v>
      </c>
      <c r="AF1004" s="2261">
        <v>0</v>
      </c>
      <c r="AG1004" s="2261">
        <v>0</v>
      </c>
      <c r="AH1004" s="2261">
        <v>0</v>
      </c>
      <c r="AI1004" s="2261">
        <v>0</v>
      </c>
      <c r="AJ1004" s="2247">
        <v>0</v>
      </c>
      <c r="AK1004" s="2248">
        <v>0</v>
      </c>
      <c r="AL1004" s="2248">
        <v>0</v>
      </c>
      <c r="AM1004" s="2248">
        <v>0</v>
      </c>
      <c r="AN1004" s="2248">
        <v>0</v>
      </c>
      <c r="AO1004" s="2248">
        <v>0</v>
      </c>
      <c r="AP1004" s="2248">
        <v>0</v>
      </c>
    </row>
    <row r="1005" spans="1:42" s="34" customFormat="1" ht="14.5">
      <c r="A1005" s="1693">
        <v>883</v>
      </c>
      <c r="B1005" s="616">
        <v>1</v>
      </c>
      <c r="C1005" s="1693">
        <v>884</v>
      </c>
      <c r="D1005" s="616">
        <v>1</v>
      </c>
      <c r="E1005" s="1693">
        <v>910</v>
      </c>
      <c r="F1005" s="616">
        <v>1</v>
      </c>
      <c r="G1005" s="1693">
        <v>997</v>
      </c>
      <c r="H1005" s="616">
        <v>1</v>
      </c>
      <c r="I1005" s="616"/>
      <c r="J1005" s="709" t="s">
        <v>512</v>
      </c>
      <c r="K1005" s="1764" t="s">
        <v>1216</v>
      </c>
      <c r="L1005" s="4"/>
      <c r="M1005" s="4"/>
      <c r="N1005" s="4"/>
      <c r="O1005" s="2253" t="s">
        <v>1110</v>
      </c>
      <c r="P1005" s="1523"/>
      <c r="Q1005" s="1509"/>
      <c r="R1005" s="1509"/>
      <c r="S1005" s="1523"/>
      <c r="T1005" s="1523"/>
      <c r="U1005" s="1523"/>
      <c r="V1005" s="1523"/>
      <c r="W1005" s="1853"/>
      <c r="X1005" s="2263">
        <v>0</v>
      </c>
      <c r="Y1005" s="2263">
        <v>0</v>
      </c>
      <c r="Z1005" s="2263">
        <v>0</v>
      </c>
      <c r="AA1005" s="2263">
        <v>0</v>
      </c>
      <c r="AB1005" s="2263">
        <v>0</v>
      </c>
      <c r="AC1005" s="2263">
        <v>0</v>
      </c>
      <c r="AD1005" s="2263">
        <v>0</v>
      </c>
      <c r="AE1005" s="2263">
        <v>0</v>
      </c>
      <c r="AF1005" s="2263">
        <v>0</v>
      </c>
      <c r="AG1005" s="2263">
        <v>0</v>
      </c>
      <c r="AH1005" s="2263">
        <v>0</v>
      </c>
      <c r="AI1005" s="2263">
        <v>0</v>
      </c>
      <c r="AJ1005" s="2255">
        <v>0</v>
      </c>
      <c r="AK1005" s="2256">
        <v>0</v>
      </c>
      <c r="AL1005" s="2256">
        <v>0</v>
      </c>
      <c r="AM1005" s="2256">
        <v>0</v>
      </c>
      <c r="AN1005" s="2256">
        <v>0</v>
      </c>
      <c r="AO1005" s="2256">
        <v>0</v>
      </c>
      <c r="AP1005" s="2256">
        <v>0</v>
      </c>
    </row>
    <row r="1006" spans="1:42" s="34" customFormat="1" ht="14.5">
      <c r="A1006" s="1693">
        <v>884</v>
      </c>
      <c r="B1006" s="616">
        <v>1</v>
      </c>
      <c r="C1006" s="1693">
        <v>885</v>
      </c>
      <c r="D1006" s="616">
        <v>1</v>
      </c>
      <c r="E1006" s="1693">
        <v>911</v>
      </c>
      <c r="F1006" s="616">
        <v>1</v>
      </c>
      <c r="G1006" s="1693">
        <v>998</v>
      </c>
      <c r="H1006" s="616">
        <v>1</v>
      </c>
      <c r="I1006" s="616"/>
      <c r="J1006" s="709" t="s">
        <v>512</v>
      </c>
      <c r="K1006" s="1764" t="s">
        <v>1216</v>
      </c>
      <c r="L1006" s="35"/>
      <c r="M1006" s="35"/>
      <c r="N1006" s="4"/>
      <c r="O1006" s="35"/>
      <c r="P1006" s="36"/>
      <c r="Q1006" s="35"/>
      <c r="R1006" s="35"/>
      <c r="S1006" s="35"/>
      <c r="T1006" s="35"/>
      <c r="U1006" s="35"/>
      <c r="V1006" s="35"/>
      <c r="W1006" s="1773"/>
      <c r="X1006" s="1608"/>
      <c r="Y1006" s="1609"/>
      <c r="Z1006" s="1609"/>
      <c r="AA1006" s="1609"/>
      <c r="AB1006" s="1609"/>
      <c r="AC1006" s="1609"/>
      <c r="AD1006" s="1627"/>
      <c r="AE1006" s="1627"/>
      <c r="AF1006" s="1627"/>
      <c r="AG1006" s="1627"/>
      <c r="AH1006" s="454"/>
      <c r="AI1006" s="454"/>
      <c r="AJ1006" s="454"/>
      <c r="AK1006" s="454"/>
      <c r="AL1006" s="454"/>
      <c r="AM1006" s="454"/>
      <c r="AN1006" s="454"/>
      <c r="AO1006" s="454"/>
      <c r="AP1006" s="454"/>
    </row>
    <row r="1007" spans="1:42" s="34" customFormat="1" ht="14.5">
      <c r="A1007" s="1693">
        <v>885</v>
      </c>
      <c r="B1007" s="616">
        <v>1</v>
      </c>
      <c r="C1007" s="1693">
        <v>886</v>
      </c>
      <c r="D1007" s="616">
        <v>1</v>
      </c>
      <c r="E1007" s="1693">
        <v>912</v>
      </c>
      <c r="F1007" s="616">
        <v>1</v>
      </c>
      <c r="G1007" s="1693">
        <v>999</v>
      </c>
      <c r="H1007" s="616">
        <v>1</v>
      </c>
      <c r="I1007" s="616"/>
      <c r="J1007" s="709" t="s">
        <v>512</v>
      </c>
      <c r="K1007" s="1764" t="s">
        <v>1216</v>
      </c>
      <c r="L1007" s="4"/>
      <c r="M1007" s="4"/>
      <c r="N1007" s="4" t="s">
        <v>1043</v>
      </c>
      <c r="O1007" s="4"/>
      <c r="P1007" s="3"/>
      <c r="Q1007" s="4"/>
      <c r="R1007" s="4"/>
      <c r="S1007" s="3"/>
      <c r="T1007" s="3"/>
      <c r="U1007" s="3"/>
      <c r="V1007" s="3"/>
      <c r="W1007" s="1773"/>
      <c r="X1007" s="1608"/>
      <c r="Y1007" s="1609"/>
      <c r="Z1007" s="1609"/>
      <c r="AA1007" s="1609"/>
      <c r="AB1007" s="1609"/>
      <c r="AC1007" s="1609"/>
      <c r="AD1007" s="1609"/>
      <c r="AE1007" s="1609"/>
      <c r="AF1007" s="1609"/>
      <c r="AG1007" s="1609"/>
      <c r="AH1007" s="454"/>
      <c r="AI1007" s="454"/>
      <c r="AJ1007" s="454"/>
      <c r="AK1007" s="454"/>
      <c r="AL1007" s="454"/>
      <c r="AM1007" s="454"/>
      <c r="AN1007" s="454"/>
      <c r="AO1007" s="454"/>
      <c r="AP1007" s="454"/>
    </row>
    <row r="1008" spans="1:42" s="34" customFormat="1" ht="14.5">
      <c r="A1008" s="1693">
        <v>886</v>
      </c>
      <c r="B1008" s="616">
        <v>1</v>
      </c>
      <c r="C1008" s="1693">
        <v>887</v>
      </c>
      <c r="D1008" s="616">
        <v>1</v>
      </c>
      <c r="E1008" s="1693">
        <v>913</v>
      </c>
      <c r="F1008" s="616">
        <v>1</v>
      </c>
      <c r="G1008" s="1693">
        <v>1000</v>
      </c>
      <c r="H1008" s="616">
        <v>1</v>
      </c>
      <c r="I1008" s="616"/>
      <c r="J1008" s="709" t="s">
        <v>512</v>
      </c>
      <c r="K1008" s="1764" t="s">
        <v>1216</v>
      </c>
      <c r="L1008" s="4"/>
      <c r="M1008" s="4"/>
      <c r="N1008" s="2237"/>
      <c r="O1008" s="253" t="s">
        <v>202</v>
      </c>
      <c r="P1008" s="595"/>
      <c r="Q1008" s="867"/>
      <c r="R1008" s="867"/>
      <c r="S1008" s="595"/>
      <c r="T1008" s="595"/>
      <c r="U1008" s="595"/>
      <c r="V1008" s="595"/>
      <c r="W1008" s="2124"/>
      <c r="X1008" s="2272">
        <v>0</v>
      </c>
      <c r="Y1008" s="2050">
        <v>0</v>
      </c>
      <c r="Z1008" s="2050">
        <v>0</v>
      </c>
      <c r="AA1008" s="2050">
        <v>0</v>
      </c>
      <c r="AB1008" s="2050">
        <v>0</v>
      </c>
      <c r="AC1008" s="2050">
        <v>0</v>
      </c>
      <c r="AD1008" s="2050">
        <v>0</v>
      </c>
      <c r="AE1008" s="2050">
        <v>0</v>
      </c>
      <c r="AF1008" s="2050">
        <v>0</v>
      </c>
      <c r="AG1008" s="2050">
        <v>0</v>
      </c>
      <c r="AH1008" s="2050">
        <v>0</v>
      </c>
      <c r="AI1008" s="2050">
        <v>0</v>
      </c>
      <c r="AJ1008" s="2050">
        <v>0</v>
      </c>
      <c r="AK1008" s="2050">
        <v>0</v>
      </c>
      <c r="AL1008" s="2050">
        <v>0</v>
      </c>
      <c r="AM1008" s="2050">
        <v>0</v>
      </c>
      <c r="AN1008" s="2050">
        <v>0</v>
      </c>
      <c r="AO1008" s="2050">
        <v>0</v>
      </c>
      <c r="AP1008" s="2050">
        <v>0</v>
      </c>
    </row>
    <row r="1009" spans="1:42" s="34" customFormat="1" ht="14.5">
      <c r="A1009" s="1693">
        <v>887</v>
      </c>
      <c r="B1009" s="616">
        <v>1</v>
      </c>
      <c r="C1009" s="1693">
        <v>888</v>
      </c>
      <c r="D1009" s="616">
        <v>1</v>
      </c>
      <c r="E1009" s="1693">
        <v>914</v>
      </c>
      <c r="F1009" s="616">
        <v>1</v>
      </c>
      <c r="G1009" s="1693">
        <v>1001</v>
      </c>
      <c r="H1009" s="616">
        <v>1</v>
      </c>
      <c r="I1009" s="616"/>
      <c r="J1009" s="709" t="s">
        <v>512</v>
      </c>
      <c r="K1009" s="1764" t="s">
        <v>1216</v>
      </c>
      <c r="L1009" s="4"/>
      <c r="M1009" s="4"/>
      <c r="N1009" s="4"/>
      <c r="O1009" s="256"/>
      <c r="P1009" s="48" t="s">
        <v>14</v>
      </c>
      <c r="Q1009" s="47"/>
      <c r="R1009" s="48"/>
      <c r="S1009" s="48"/>
      <c r="T1009" s="47"/>
      <c r="U1009" s="47"/>
      <c r="V1009" s="47"/>
      <c r="W1009" s="1849"/>
      <c r="X1009" s="1970">
        <v>0</v>
      </c>
      <c r="Y1009" s="1970">
        <v>0</v>
      </c>
      <c r="Z1009" s="1970">
        <v>0</v>
      </c>
      <c r="AA1009" s="1970">
        <v>0</v>
      </c>
      <c r="AB1009" s="1970">
        <v>0</v>
      </c>
      <c r="AC1009" s="1970">
        <v>0</v>
      </c>
      <c r="AD1009" s="1970">
        <v>0</v>
      </c>
      <c r="AE1009" s="1970">
        <v>0</v>
      </c>
      <c r="AF1009" s="1970">
        <v>0</v>
      </c>
      <c r="AG1009" s="1970">
        <v>0</v>
      </c>
      <c r="AH1009" s="1970">
        <v>0</v>
      </c>
      <c r="AI1009" s="1970">
        <v>0</v>
      </c>
      <c r="AJ1009" s="2044">
        <v>0</v>
      </c>
      <c r="AK1009" s="1970">
        <v>0</v>
      </c>
      <c r="AL1009" s="1970">
        <v>0</v>
      </c>
      <c r="AM1009" s="1970">
        <v>0</v>
      </c>
      <c r="AN1009" s="1970">
        <v>0</v>
      </c>
      <c r="AO1009" s="1970">
        <v>0</v>
      </c>
      <c r="AP1009" s="1970">
        <v>0</v>
      </c>
    </row>
    <row r="1010" spans="1:42" s="34" customFormat="1" ht="14.5">
      <c r="A1010" s="1693">
        <v>888</v>
      </c>
      <c r="B1010" s="616">
        <v>1</v>
      </c>
      <c r="C1010" s="1693">
        <v>889</v>
      </c>
      <c r="D1010" s="616">
        <v>1</v>
      </c>
      <c r="E1010" s="1693">
        <v>915</v>
      </c>
      <c r="F1010" s="616">
        <v>1</v>
      </c>
      <c r="G1010" s="1693">
        <v>1002</v>
      </c>
      <c r="H1010" s="616">
        <v>1</v>
      </c>
      <c r="I1010" s="616"/>
      <c r="K1010" s="454"/>
      <c r="L1010" s="4"/>
      <c r="M1010" s="4"/>
      <c r="N1010" s="4"/>
      <c r="O1010" s="256"/>
      <c r="P1010" s="4"/>
      <c r="Q1010" s="3"/>
      <c r="R1010" s="4"/>
      <c r="S1010" s="4"/>
      <c r="T1010" s="41"/>
      <c r="U1010" s="41" t="s">
        <v>45</v>
      </c>
      <c r="V1010" s="3"/>
      <c r="W1010" s="1904"/>
      <c r="X1010" s="1908"/>
      <c r="Y1010" s="1908"/>
      <c r="Z1010" s="1908"/>
      <c r="AA1010" s="1908"/>
      <c r="AB1010" s="1908"/>
      <c r="AC1010" s="1908"/>
      <c r="AD1010" s="1908"/>
      <c r="AE1010" s="1908"/>
      <c r="AF1010" s="1908"/>
      <c r="AG1010" s="1908"/>
      <c r="AH1010" s="1908"/>
      <c r="AI1010" s="1908"/>
      <c r="AJ1010" s="1909">
        <v>0</v>
      </c>
      <c r="AK1010" s="1910">
        <v>0</v>
      </c>
      <c r="AL1010" s="1910">
        <v>0</v>
      </c>
      <c r="AM1010" s="1910">
        <v>0</v>
      </c>
      <c r="AN1010" s="1910">
        <v>0</v>
      </c>
      <c r="AO1010" s="1910">
        <v>0</v>
      </c>
      <c r="AP1010" s="1910">
        <v>0</v>
      </c>
    </row>
    <row r="1011" spans="1:42" s="34" customFormat="1" ht="14.5">
      <c r="A1011" s="1693">
        <v>889</v>
      </c>
      <c r="B1011" s="616">
        <v>1</v>
      </c>
      <c r="C1011" s="1693">
        <v>890</v>
      </c>
      <c r="D1011" s="616">
        <v>1</v>
      </c>
      <c r="E1011" s="1693">
        <v>916</v>
      </c>
      <c r="F1011" s="616">
        <v>1</v>
      </c>
      <c r="G1011" s="1693">
        <v>1003</v>
      </c>
      <c r="H1011" s="616">
        <v>1</v>
      </c>
      <c r="I1011" s="616"/>
      <c r="K1011" s="454"/>
      <c r="L1011" s="4"/>
      <c r="M1011" s="4"/>
      <c r="N1011" s="4"/>
      <c r="O1011" s="256"/>
      <c r="P1011" s="4"/>
      <c r="Q1011" s="3"/>
      <c r="R1011" s="4"/>
      <c r="S1011" s="4"/>
      <c r="T1011" s="41"/>
      <c r="U1011" s="41" t="s">
        <v>44</v>
      </c>
      <c r="V1011" s="3"/>
      <c r="W1011" s="1904"/>
      <c r="X1011" s="1908"/>
      <c r="Y1011" s="1908"/>
      <c r="Z1011" s="1908"/>
      <c r="AA1011" s="1908"/>
      <c r="AB1011" s="1908"/>
      <c r="AC1011" s="1908"/>
      <c r="AD1011" s="1908"/>
      <c r="AE1011" s="1908"/>
      <c r="AF1011" s="1908"/>
      <c r="AG1011" s="1908"/>
      <c r="AH1011" s="1908"/>
      <c r="AI1011" s="1908"/>
      <c r="AJ1011" s="1909">
        <v>0</v>
      </c>
      <c r="AK1011" s="1910">
        <v>0</v>
      </c>
      <c r="AL1011" s="1910">
        <v>0</v>
      </c>
      <c r="AM1011" s="1910">
        <v>0</v>
      </c>
      <c r="AN1011" s="1910">
        <v>0</v>
      </c>
      <c r="AO1011" s="1910">
        <v>0</v>
      </c>
      <c r="AP1011" s="1910">
        <v>0</v>
      </c>
    </row>
    <row r="1012" spans="1:42" s="34" customFormat="1" ht="14.5">
      <c r="A1012" s="1693">
        <v>890</v>
      </c>
      <c r="B1012" s="616">
        <v>1</v>
      </c>
      <c r="C1012" s="1693">
        <v>891</v>
      </c>
      <c r="D1012" s="616">
        <v>1</v>
      </c>
      <c r="E1012" s="1693">
        <v>917</v>
      </c>
      <c r="F1012" s="616">
        <v>1</v>
      </c>
      <c r="G1012" s="1693">
        <v>1004</v>
      </c>
      <c r="H1012" s="616">
        <v>1</v>
      </c>
      <c r="I1012" s="616"/>
      <c r="K1012" s="454"/>
      <c r="L1012" s="4"/>
      <c r="M1012" s="4"/>
      <c r="N1012" s="4"/>
      <c r="O1012" s="256"/>
      <c r="P1012" s="4"/>
      <c r="Q1012" s="3"/>
      <c r="R1012" s="4"/>
      <c r="S1012" s="4"/>
      <c r="T1012" s="41"/>
      <c r="U1012" s="41" t="s">
        <v>43</v>
      </c>
      <c r="V1012" s="3"/>
      <c r="W1012" s="1904"/>
      <c r="X1012" s="1908"/>
      <c r="Y1012" s="1908"/>
      <c r="Z1012" s="1908"/>
      <c r="AA1012" s="1908"/>
      <c r="AB1012" s="1908"/>
      <c r="AC1012" s="1908"/>
      <c r="AD1012" s="1908"/>
      <c r="AE1012" s="1908"/>
      <c r="AF1012" s="1908"/>
      <c r="AG1012" s="1908"/>
      <c r="AH1012" s="1908"/>
      <c r="AI1012" s="1908"/>
      <c r="AJ1012" s="1909">
        <v>0</v>
      </c>
      <c r="AK1012" s="1910">
        <v>0</v>
      </c>
      <c r="AL1012" s="1910">
        <v>0</v>
      </c>
      <c r="AM1012" s="1910">
        <v>0</v>
      </c>
      <c r="AN1012" s="1910">
        <v>0</v>
      </c>
      <c r="AO1012" s="1910">
        <v>0</v>
      </c>
      <c r="AP1012" s="1910">
        <v>0</v>
      </c>
    </row>
    <row r="1013" spans="1:42" s="34" customFormat="1" ht="14.5">
      <c r="A1013" s="1693">
        <v>891</v>
      </c>
      <c r="B1013" s="616">
        <v>1</v>
      </c>
      <c r="C1013" s="1693">
        <v>892</v>
      </c>
      <c r="D1013" s="616">
        <v>1</v>
      </c>
      <c r="E1013" s="1693">
        <v>918</v>
      </c>
      <c r="F1013" s="616">
        <v>1</v>
      </c>
      <c r="G1013" s="1693">
        <v>1005</v>
      </c>
      <c r="H1013" s="616">
        <v>1</v>
      </c>
      <c r="I1013" s="616"/>
      <c r="K1013" s="454"/>
      <c r="L1013" s="4"/>
      <c r="M1013" s="4"/>
      <c r="N1013" s="4"/>
      <c r="O1013" s="256"/>
      <c r="P1013" s="2"/>
      <c r="Q1013" s="1"/>
      <c r="R1013" s="2"/>
      <c r="S1013" s="2"/>
      <c r="T1013" s="39"/>
      <c r="U1013" s="39" t="s">
        <v>40</v>
      </c>
      <c r="V1013" s="1"/>
      <c r="W1013" s="1904"/>
      <c r="X1013" s="2261"/>
      <c r="Y1013" s="2261"/>
      <c r="Z1013" s="2261"/>
      <c r="AA1013" s="2261"/>
      <c r="AB1013" s="2261"/>
      <c r="AC1013" s="2261"/>
      <c r="AD1013" s="2261"/>
      <c r="AE1013" s="2261"/>
      <c r="AF1013" s="2261"/>
      <c r="AG1013" s="2261"/>
      <c r="AH1013" s="2261"/>
      <c r="AI1013" s="2261"/>
      <c r="AJ1013" s="2247">
        <v>0</v>
      </c>
      <c r="AK1013" s="2248">
        <v>0</v>
      </c>
      <c r="AL1013" s="2248">
        <v>0</v>
      </c>
      <c r="AM1013" s="2248">
        <v>0</v>
      </c>
      <c r="AN1013" s="2248">
        <v>0</v>
      </c>
      <c r="AO1013" s="2248">
        <v>0</v>
      </c>
      <c r="AP1013" s="2248">
        <v>0</v>
      </c>
    </row>
    <row r="1014" spans="1:42" s="34" customFormat="1" ht="14.5">
      <c r="A1014" s="1693">
        <v>892</v>
      </c>
      <c r="B1014" s="616">
        <v>1</v>
      </c>
      <c r="C1014" s="1693">
        <v>893</v>
      </c>
      <c r="D1014" s="616">
        <v>1</v>
      </c>
      <c r="E1014" s="1693">
        <v>919</v>
      </c>
      <c r="F1014" s="616">
        <v>1</v>
      </c>
      <c r="G1014" s="1693">
        <v>1006</v>
      </c>
      <c r="H1014" s="616">
        <v>1</v>
      </c>
      <c r="I1014" s="616"/>
      <c r="J1014" s="709" t="s">
        <v>512</v>
      </c>
      <c r="K1014" s="1764" t="s">
        <v>1216</v>
      </c>
      <c r="L1014" s="4"/>
      <c r="M1014" s="4"/>
      <c r="N1014" s="4"/>
      <c r="O1014" s="256"/>
      <c r="P1014" s="48" t="s">
        <v>204</v>
      </c>
      <c r="Q1014" s="47"/>
      <c r="R1014" s="48"/>
      <c r="S1014" s="48"/>
      <c r="T1014" s="47"/>
      <c r="U1014" s="47"/>
      <c r="V1014" s="47"/>
      <c r="W1014" s="1849"/>
      <c r="X1014" s="1970">
        <v>0</v>
      </c>
      <c r="Y1014" s="1970">
        <v>0</v>
      </c>
      <c r="Z1014" s="1970">
        <v>0</v>
      </c>
      <c r="AA1014" s="1970">
        <v>0</v>
      </c>
      <c r="AB1014" s="1970">
        <v>0</v>
      </c>
      <c r="AC1014" s="1970">
        <v>0</v>
      </c>
      <c r="AD1014" s="1970">
        <v>0</v>
      </c>
      <c r="AE1014" s="1970">
        <v>0</v>
      </c>
      <c r="AF1014" s="1970">
        <v>0</v>
      </c>
      <c r="AG1014" s="1970">
        <v>0</v>
      </c>
      <c r="AH1014" s="1970">
        <v>0</v>
      </c>
      <c r="AI1014" s="1970">
        <v>0</v>
      </c>
      <c r="AJ1014" s="2044">
        <v>0</v>
      </c>
      <c r="AK1014" s="1970">
        <v>0</v>
      </c>
      <c r="AL1014" s="1970">
        <v>0</v>
      </c>
      <c r="AM1014" s="1970">
        <v>0</v>
      </c>
      <c r="AN1014" s="1970">
        <v>0</v>
      </c>
      <c r="AO1014" s="1970">
        <v>0</v>
      </c>
      <c r="AP1014" s="1970">
        <v>0</v>
      </c>
    </row>
    <row r="1015" spans="1:42" s="34" customFormat="1" ht="14.5">
      <c r="A1015" s="1693">
        <v>893</v>
      </c>
      <c r="B1015" s="616">
        <v>1</v>
      </c>
      <c r="C1015" s="1693">
        <v>894</v>
      </c>
      <c r="D1015" s="616">
        <v>1</v>
      </c>
      <c r="E1015" s="1693">
        <v>920</v>
      </c>
      <c r="F1015" s="616">
        <v>1</v>
      </c>
      <c r="G1015" s="1693">
        <v>1007</v>
      </c>
      <c r="H1015" s="616">
        <v>1</v>
      </c>
      <c r="I1015" s="616"/>
      <c r="K1015" s="454"/>
      <c r="L1015" s="4"/>
      <c r="M1015" s="4"/>
      <c r="N1015" s="4"/>
      <c r="O1015" s="256"/>
      <c r="P1015" s="4"/>
      <c r="Q1015" s="3"/>
      <c r="R1015" s="4"/>
      <c r="S1015" s="4"/>
      <c r="T1015" s="41"/>
      <c r="U1015" s="41" t="s">
        <v>15</v>
      </c>
      <c r="V1015" s="3"/>
      <c r="W1015" s="1904"/>
      <c r="X1015" s="1908"/>
      <c r="Y1015" s="1908"/>
      <c r="Z1015" s="1908"/>
      <c r="AA1015" s="1908"/>
      <c r="AB1015" s="1908"/>
      <c r="AC1015" s="1908"/>
      <c r="AD1015" s="1908"/>
      <c r="AE1015" s="1908"/>
      <c r="AF1015" s="1908"/>
      <c r="AG1015" s="1908"/>
      <c r="AH1015" s="1908"/>
      <c r="AI1015" s="1908"/>
      <c r="AJ1015" s="1909">
        <v>0</v>
      </c>
      <c r="AK1015" s="1910">
        <v>0</v>
      </c>
      <c r="AL1015" s="1910">
        <v>0</v>
      </c>
      <c r="AM1015" s="1910">
        <v>0</v>
      </c>
      <c r="AN1015" s="1910">
        <v>0</v>
      </c>
      <c r="AO1015" s="1910">
        <v>0</v>
      </c>
      <c r="AP1015" s="1910">
        <v>0</v>
      </c>
    </row>
    <row r="1016" spans="1:42" s="34" customFormat="1" ht="14.5">
      <c r="A1016" s="1693">
        <v>894</v>
      </c>
      <c r="B1016" s="616">
        <v>1</v>
      </c>
      <c r="C1016" s="1693">
        <v>895</v>
      </c>
      <c r="D1016" s="616">
        <v>1</v>
      </c>
      <c r="E1016" s="1693">
        <v>921</v>
      </c>
      <c r="F1016" s="616">
        <v>1</v>
      </c>
      <c r="G1016" s="1693">
        <v>1008</v>
      </c>
      <c r="H1016" s="616">
        <v>1</v>
      </c>
      <c r="I1016" s="616"/>
      <c r="K1016" s="454"/>
      <c r="L1016" s="4"/>
      <c r="M1016" s="4"/>
      <c r="N1016" s="4"/>
      <c r="O1016" s="256"/>
      <c r="P1016" s="4"/>
      <c r="Q1016" s="3"/>
      <c r="R1016" s="4"/>
      <c r="S1016" s="4"/>
      <c r="T1016" s="41"/>
      <c r="U1016" s="41" t="s">
        <v>16</v>
      </c>
      <c r="V1016" s="3"/>
      <c r="W1016" s="1904"/>
      <c r="X1016" s="1908"/>
      <c r="Y1016" s="1908"/>
      <c r="Z1016" s="1908"/>
      <c r="AA1016" s="1908"/>
      <c r="AB1016" s="1908"/>
      <c r="AC1016" s="1908"/>
      <c r="AD1016" s="1908"/>
      <c r="AE1016" s="1908"/>
      <c r="AF1016" s="1908"/>
      <c r="AG1016" s="1908"/>
      <c r="AH1016" s="1908"/>
      <c r="AI1016" s="1908"/>
      <c r="AJ1016" s="1909">
        <v>0</v>
      </c>
      <c r="AK1016" s="1910">
        <v>0</v>
      </c>
      <c r="AL1016" s="1910">
        <v>0</v>
      </c>
      <c r="AM1016" s="1910">
        <v>0</v>
      </c>
      <c r="AN1016" s="1910">
        <v>0</v>
      </c>
      <c r="AO1016" s="1910">
        <v>0</v>
      </c>
      <c r="AP1016" s="1910">
        <v>0</v>
      </c>
    </row>
    <row r="1017" spans="1:42" s="34" customFormat="1" ht="14.5">
      <c r="A1017" s="1693">
        <v>895</v>
      </c>
      <c r="B1017" s="616">
        <v>1</v>
      </c>
      <c r="C1017" s="1693">
        <v>896</v>
      </c>
      <c r="D1017" s="616">
        <v>1</v>
      </c>
      <c r="E1017" s="1693">
        <v>922</v>
      </c>
      <c r="F1017" s="616">
        <v>1</v>
      </c>
      <c r="G1017" s="1693">
        <v>1009</v>
      </c>
      <c r="H1017" s="616">
        <v>1</v>
      </c>
      <c r="I1017" s="616"/>
      <c r="K1017" s="454"/>
      <c r="L1017" s="4"/>
      <c r="M1017" s="4"/>
      <c r="N1017" s="4"/>
      <c r="O1017" s="256"/>
      <c r="P1017" s="4"/>
      <c r="Q1017" s="3"/>
      <c r="R1017" s="4"/>
      <c r="S1017" s="4"/>
      <c r="T1017" s="41"/>
      <c r="U1017" s="41" t="s">
        <v>42</v>
      </c>
      <c r="V1017" s="3"/>
      <c r="W1017" s="1904"/>
      <c r="X1017" s="1908"/>
      <c r="Y1017" s="1908"/>
      <c r="Z1017" s="1908"/>
      <c r="AA1017" s="1908"/>
      <c r="AB1017" s="1908"/>
      <c r="AC1017" s="1908"/>
      <c r="AD1017" s="1908"/>
      <c r="AE1017" s="1908"/>
      <c r="AF1017" s="1908"/>
      <c r="AG1017" s="1908"/>
      <c r="AH1017" s="1908"/>
      <c r="AI1017" s="1908"/>
      <c r="AJ1017" s="1909">
        <v>0</v>
      </c>
      <c r="AK1017" s="1910">
        <v>0</v>
      </c>
      <c r="AL1017" s="1910">
        <v>0</v>
      </c>
      <c r="AM1017" s="1910">
        <v>0</v>
      </c>
      <c r="AN1017" s="1910">
        <v>0</v>
      </c>
      <c r="AO1017" s="1910">
        <v>0</v>
      </c>
      <c r="AP1017" s="1910">
        <v>0</v>
      </c>
    </row>
    <row r="1018" spans="1:42" s="34" customFormat="1" ht="14.5">
      <c r="A1018" s="1693">
        <v>896</v>
      </c>
      <c r="B1018" s="616">
        <v>1</v>
      </c>
      <c r="C1018" s="1693">
        <v>897</v>
      </c>
      <c r="D1018" s="616">
        <v>1</v>
      </c>
      <c r="E1018" s="1693">
        <v>923</v>
      </c>
      <c r="F1018" s="616">
        <v>1</v>
      </c>
      <c r="G1018" s="1693">
        <v>1010</v>
      </c>
      <c r="H1018" s="616">
        <v>1</v>
      </c>
      <c r="I1018" s="616"/>
      <c r="K1018" s="454"/>
      <c r="L1018" s="4"/>
      <c r="M1018" s="4"/>
      <c r="N1018" s="4"/>
      <c r="O1018" s="256"/>
      <c r="P1018" s="4"/>
      <c r="Q1018" s="3"/>
      <c r="R1018" s="4"/>
      <c r="S1018" s="4"/>
      <c r="T1018" s="41"/>
      <c r="U1018" s="41" t="s">
        <v>41</v>
      </c>
      <c r="V1018" s="3"/>
      <c r="W1018" s="1904"/>
      <c r="X1018" s="1908"/>
      <c r="Y1018" s="1908"/>
      <c r="Z1018" s="1908"/>
      <c r="AA1018" s="1908"/>
      <c r="AB1018" s="1908"/>
      <c r="AC1018" s="1908"/>
      <c r="AD1018" s="1908"/>
      <c r="AE1018" s="1908"/>
      <c r="AF1018" s="1908"/>
      <c r="AG1018" s="1908"/>
      <c r="AH1018" s="1908"/>
      <c r="AI1018" s="1908"/>
      <c r="AJ1018" s="1909">
        <v>0</v>
      </c>
      <c r="AK1018" s="1910">
        <v>0</v>
      </c>
      <c r="AL1018" s="1910">
        <v>0</v>
      </c>
      <c r="AM1018" s="1910">
        <v>0</v>
      </c>
      <c r="AN1018" s="1910">
        <v>0</v>
      </c>
      <c r="AO1018" s="1910">
        <v>0</v>
      </c>
      <c r="AP1018" s="1910">
        <v>0</v>
      </c>
    </row>
    <row r="1019" spans="1:42" s="34" customFormat="1" ht="14.5">
      <c r="A1019" s="1693">
        <v>897</v>
      </c>
      <c r="B1019" s="616">
        <v>1</v>
      </c>
      <c r="C1019" s="1693">
        <v>898</v>
      </c>
      <c r="D1019" s="616">
        <v>1</v>
      </c>
      <c r="E1019" s="1693">
        <v>924</v>
      </c>
      <c r="F1019" s="616">
        <v>1</v>
      </c>
      <c r="G1019" s="1693">
        <v>1011</v>
      </c>
      <c r="H1019" s="616">
        <v>1</v>
      </c>
      <c r="I1019" s="616"/>
      <c r="K1019" s="454"/>
      <c r="L1019" s="4"/>
      <c r="M1019" s="4"/>
      <c r="N1019" s="4"/>
      <c r="O1019" s="256"/>
      <c r="P1019" s="4"/>
      <c r="Q1019" s="3"/>
      <c r="R1019" s="4"/>
      <c r="S1019" s="4"/>
      <c r="T1019" s="41"/>
      <c r="U1019" s="41" t="s">
        <v>40</v>
      </c>
      <c r="V1019" s="3"/>
      <c r="W1019" s="1904"/>
      <c r="X1019" s="1908"/>
      <c r="Y1019" s="1908"/>
      <c r="Z1019" s="1908"/>
      <c r="AA1019" s="1908"/>
      <c r="AB1019" s="1908"/>
      <c r="AC1019" s="1908"/>
      <c r="AD1019" s="1908"/>
      <c r="AE1019" s="1908"/>
      <c r="AF1019" s="1908"/>
      <c r="AG1019" s="1908"/>
      <c r="AH1019" s="1908"/>
      <c r="AI1019" s="1908"/>
      <c r="AJ1019" s="1909">
        <v>0</v>
      </c>
      <c r="AK1019" s="1910">
        <v>0</v>
      </c>
      <c r="AL1019" s="1910">
        <v>0</v>
      </c>
      <c r="AM1019" s="1910">
        <v>0</v>
      </c>
      <c r="AN1019" s="1910">
        <v>0</v>
      </c>
      <c r="AO1019" s="1910">
        <v>0</v>
      </c>
      <c r="AP1019" s="1910">
        <v>0</v>
      </c>
    </row>
    <row r="1020" spans="1:42" s="34" customFormat="1" ht="14.5">
      <c r="A1020" s="1693">
        <v>898</v>
      </c>
      <c r="B1020" s="616">
        <v>1</v>
      </c>
      <c r="C1020" s="1693">
        <v>899</v>
      </c>
      <c r="D1020" s="616">
        <v>1</v>
      </c>
      <c r="E1020" s="1693">
        <v>925</v>
      </c>
      <c r="F1020" s="616">
        <v>1</v>
      </c>
      <c r="G1020" s="1693">
        <v>1012</v>
      </c>
      <c r="H1020" s="616">
        <v>1</v>
      </c>
      <c r="I1020" s="616"/>
      <c r="J1020" s="709" t="s">
        <v>512</v>
      </c>
      <c r="K1020" s="1764" t="s">
        <v>1216</v>
      </c>
      <c r="L1020" s="4"/>
      <c r="M1020" s="4"/>
      <c r="N1020" s="4"/>
      <c r="O1020" s="256"/>
      <c r="P1020" s="252" t="s">
        <v>205</v>
      </c>
      <c r="Q1020" s="251"/>
      <c r="R1020" s="252"/>
      <c r="S1020" s="252"/>
      <c r="T1020" s="251"/>
      <c r="U1020" s="251"/>
      <c r="V1020" s="251"/>
      <c r="W1020" s="1849"/>
      <c r="X1020" s="1986">
        <v>0</v>
      </c>
      <c r="Y1020" s="1986">
        <v>0</v>
      </c>
      <c r="Z1020" s="1986">
        <v>0</v>
      </c>
      <c r="AA1020" s="1986">
        <v>0</v>
      </c>
      <c r="AB1020" s="1986">
        <v>0</v>
      </c>
      <c r="AC1020" s="1986">
        <v>0</v>
      </c>
      <c r="AD1020" s="1986">
        <v>0</v>
      </c>
      <c r="AE1020" s="1986">
        <v>0</v>
      </c>
      <c r="AF1020" s="1986">
        <v>0</v>
      </c>
      <c r="AG1020" s="1986">
        <v>0</v>
      </c>
      <c r="AH1020" s="1986">
        <v>0</v>
      </c>
      <c r="AI1020" s="1986">
        <v>0</v>
      </c>
      <c r="AJ1020" s="2262">
        <v>0</v>
      </c>
      <c r="AK1020" s="1986">
        <v>0</v>
      </c>
      <c r="AL1020" s="1986">
        <v>0</v>
      </c>
      <c r="AM1020" s="1986">
        <v>0</v>
      </c>
      <c r="AN1020" s="1986">
        <v>0</v>
      </c>
      <c r="AO1020" s="1986">
        <v>0</v>
      </c>
      <c r="AP1020" s="1986">
        <v>0</v>
      </c>
    </row>
    <row r="1021" spans="1:42" s="34" customFormat="1" ht="14.5">
      <c r="A1021" s="1693">
        <v>899</v>
      </c>
      <c r="B1021" s="616">
        <v>1</v>
      </c>
      <c r="C1021" s="1693">
        <v>900</v>
      </c>
      <c r="D1021" s="616">
        <v>1</v>
      </c>
      <c r="E1021" s="1693">
        <v>926</v>
      </c>
      <c r="F1021" s="616">
        <v>1</v>
      </c>
      <c r="G1021" s="1693">
        <v>1013</v>
      </c>
      <c r="H1021" s="616">
        <v>1</v>
      </c>
      <c r="I1021" s="616"/>
      <c r="K1021" s="454"/>
      <c r="L1021" s="4"/>
      <c r="M1021" s="4"/>
      <c r="N1021" s="4"/>
      <c r="O1021" s="256"/>
      <c r="P1021" s="4"/>
      <c r="Q1021" s="3"/>
      <c r="R1021" s="4"/>
      <c r="S1021" s="4"/>
      <c r="T1021" s="41"/>
      <c r="U1021" s="41" t="s">
        <v>198</v>
      </c>
      <c r="V1021" s="3"/>
      <c r="W1021" s="1904"/>
      <c r="X1021" s="1908"/>
      <c r="Y1021" s="1908"/>
      <c r="Z1021" s="1908"/>
      <c r="AA1021" s="1908"/>
      <c r="AB1021" s="1908"/>
      <c r="AC1021" s="1908"/>
      <c r="AD1021" s="1908"/>
      <c r="AE1021" s="1908"/>
      <c r="AF1021" s="1908"/>
      <c r="AG1021" s="1908"/>
      <c r="AH1021" s="1908"/>
      <c r="AI1021" s="1908"/>
      <c r="AJ1021" s="1909">
        <v>0</v>
      </c>
      <c r="AK1021" s="1910">
        <v>0</v>
      </c>
      <c r="AL1021" s="1910">
        <v>0</v>
      </c>
      <c r="AM1021" s="1910">
        <v>0</v>
      </c>
      <c r="AN1021" s="1910">
        <v>0</v>
      </c>
      <c r="AO1021" s="1910">
        <v>0</v>
      </c>
      <c r="AP1021" s="1910">
        <v>0</v>
      </c>
    </row>
    <row r="1022" spans="1:42" s="34" customFormat="1" ht="14.5">
      <c r="A1022" s="1693">
        <v>900</v>
      </c>
      <c r="B1022" s="616">
        <v>1</v>
      </c>
      <c r="C1022" s="1693">
        <v>901</v>
      </c>
      <c r="D1022" s="616">
        <v>1</v>
      </c>
      <c r="E1022" s="1693">
        <v>927</v>
      </c>
      <c r="F1022" s="616">
        <v>1</v>
      </c>
      <c r="G1022" s="1693">
        <v>1014</v>
      </c>
      <c r="H1022" s="616">
        <v>1</v>
      </c>
      <c r="I1022" s="616"/>
      <c r="K1022" s="454"/>
      <c r="L1022" s="4"/>
      <c r="M1022" s="4"/>
      <c r="N1022" s="4"/>
      <c r="O1022" s="256"/>
      <c r="P1022" s="4"/>
      <c r="Q1022" s="3"/>
      <c r="R1022" s="4"/>
      <c r="S1022" s="4"/>
      <c r="T1022" s="41"/>
      <c r="U1022" s="41" t="s">
        <v>199</v>
      </c>
      <c r="V1022" s="3"/>
      <c r="W1022" s="1904"/>
      <c r="X1022" s="1908"/>
      <c r="Y1022" s="1908"/>
      <c r="Z1022" s="1908"/>
      <c r="AA1022" s="1908"/>
      <c r="AB1022" s="1908"/>
      <c r="AC1022" s="1908"/>
      <c r="AD1022" s="1908"/>
      <c r="AE1022" s="1908"/>
      <c r="AF1022" s="1908"/>
      <c r="AG1022" s="1908"/>
      <c r="AH1022" s="1908"/>
      <c r="AI1022" s="1908"/>
      <c r="AJ1022" s="1909">
        <v>0</v>
      </c>
      <c r="AK1022" s="1910">
        <v>0</v>
      </c>
      <c r="AL1022" s="1910">
        <v>0</v>
      </c>
      <c r="AM1022" s="1910">
        <v>0</v>
      </c>
      <c r="AN1022" s="1910">
        <v>0</v>
      </c>
      <c r="AO1022" s="1910">
        <v>0</v>
      </c>
      <c r="AP1022" s="1910">
        <v>0</v>
      </c>
    </row>
    <row r="1023" spans="1:42" s="34" customFormat="1" ht="14.5">
      <c r="A1023" s="1693">
        <v>901</v>
      </c>
      <c r="B1023" s="616">
        <v>1</v>
      </c>
      <c r="C1023" s="1693">
        <v>902</v>
      </c>
      <c r="D1023" s="616">
        <v>1</v>
      </c>
      <c r="E1023" s="1693">
        <v>928</v>
      </c>
      <c r="F1023" s="616">
        <v>1</v>
      </c>
      <c r="G1023" s="1693">
        <v>1015</v>
      </c>
      <c r="H1023" s="616">
        <v>1</v>
      </c>
      <c r="I1023" s="616"/>
      <c r="K1023" s="454"/>
      <c r="L1023" s="4"/>
      <c r="M1023" s="4"/>
      <c r="N1023" s="4"/>
      <c r="O1023" s="256"/>
      <c r="P1023" s="4"/>
      <c r="Q1023" s="3"/>
      <c r="R1023" s="4"/>
      <c r="S1023" s="4"/>
      <c r="T1023" s="41"/>
      <c r="U1023" s="41" t="s">
        <v>200</v>
      </c>
      <c r="V1023" s="3"/>
      <c r="W1023" s="1904"/>
      <c r="X1023" s="1908"/>
      <c r="Y1023" s="1908"/>
      <c r="Z1023" s="1908"/>
      <c r="AA1023" s="1908"/>
      <c r="AB1023" s="1908"/>
      <c r="AC1023" s="1908"/>
      <c r="AD1023" s="1908"/>
      <c r="AE1023" s="1908"/>
      <c r="AF1023" s="1908"/>
      <c r="AG1023" s="1908"/>
      <c r="AH1023" s="1908"/>
      <c r="AI1023" s="1908"/>
      <c r="AJ1023" s="1909">
        <v>0</v>
      </c>
      <c r="AK1023" s="1910">
        <v>0</v>
      </c>
      <c r="AL1023" s="1910">
        <v>0</v>
      </c>
      <c r="AM1023" s="1910">
        <v>0</v>
      </c>
      <c r="AN1023" s="1910">
        <v>0</v>
      </c>
      <c r="AO1023" s="1910">
        <v>0</v>
      </c>
      <c r="AP1023" s="1910">
        <v>0</v>
      </c>
    </row>
    <row r="1024" spans="1:42" s="34" customFormat="1" ht="14.5">
      <c r="A1024" s="1693">
        <v>902</v>
      </c>
      <c r="B1024" s="616">
        <v>1</v>
      </c>
      <c r="C1024" s="1693">
        <v>903</v>
      </c>
      <c r="D1024" s="616">
        <v>1</v>
      </c>
      <c r="E1024" s="1693">
        <v>929</v>
      </c>
      <c r="F1024" s="616">
        <v>1</v>
      </c>
      <c r="G1024" s="1693">
        <v>1016</v>
      </c>
      <c r="H1024" s="616">
        <v>1</v>
      </c>
      <c r="I1024" s="616"/>
      <c r="K1024" s="454"/>
      <c r="L1024" s="4"/>
      <c r="M1024" s="4"/>
      <c r="N1024" s="4"/>
      <c r="O1024" s="256"/>
      <c r="P1024" s="2"/>
      <c r="Q1024" s="1"/>
      <c r="R1024" s="2"/>
      <c r="S1024" s="2"/>
      <c r="T1024" s="39"/>
      <c r="U1024" s="39" t="s">
        <v>201</v>
      </c>
      <c r="V1024" s="1"/>
      <c r="W1024" s="1904"/>
      <c r="X1024" s="2261"/>
      <c r="Y1024" s="2261"/>
      <c r="Z1024" s="2261"/>
      <c r="AA1024" s="2261"/>
      <c r="AB1024" s="2261"/>
      <c r="AC1024" s="2261"/>
      <c r="AD1024" s="2261"/>
      <c r="AE1024" s="2261"/>
      <c r="AF1024" s="2261"/>
      <c r="AG1024" s="2261"/>
      <c r="AH1024" s="2261"/>
      <c r="AI1024" s="2261"/>
      <c r="AJ1024" s="2247">
        <v>0</v>
      </c>
      <c r="AK1024" s="2248">
        <v>0</v>
      </c>
      <c r="AL1024" s="2248">
        <v>0</v>
      </c>
      <c r="AM1024" s="2248">
        <v>0</v>
      </c>
      <c r="AN1024" s="2248">
        <v>0</v>
      </c>
      <c r="AO1024" s="2248">
        <v>0</v>
      </c>
      <c r="AP1024" s="2248">
        <v>0</v>
      </c>
    </row>
    <row r="1025" spans="1:42" s="34" customFormat="1" ht="14.5">
      <c r="A1025" s="1693">
        <v>903</v>
      </c>
      <c r="B1025" s="616">
        <v>1</v>
      </c>
      <c r="C1025" s="1693">
        <v>904</v>
      </c>
      <c r="D1025" s="616">
        <v>1</v>
      </c>
      <c r="E1025" s="1693">
        <v>930</v>
      </c>
      <c r="F1025" s="616">
        <v>1</v>
      </c>
      <c r="G1025" s="1693">
        <v>1017</v>
      </c>
      <c r="H1025" s="616">
        <v>1</v>
      </c>
      <c r="I1025" s="616"/>
      <c r="J1025" s="709" t="s">
        <v>512</v>
      </c>
      <c r="K1025" s="1764" t="s">
        <v>1216</v>
      </c>
      <c r="L1025" s="4"/>
      <c r="M1025" s="4"/>
      <c r="N1025" s="4"/>
      <c r="O1025" s="256"/>
      <c r="P1025" s="48" t="s">
        <v>17</v>
      </c>
      <c r="Q1025" s="47"/>
      <c r="R1025" s="48"/>
      <c r="S1025" s="48"/>
      <c r="T1025" s="47"/>
      <c r="U1025" s="47"/>
      <c r="V1025" s="47"/>
      <c r="W1025" s="1849"/>
      <c r="X1025" s="1970">
        <v>0</v>
      </c>
      <c r="Y1025" s="1970">
        <v>0</v>
      </c>
      <c r="Z1025" s="1970">
        <v>0</v>
      </c>
      <c r="AA1025" s="1970">
        <v>0</v>
      </c>
      <c r="AB1025" s="1970">
        <v>0</v>
      </c>
      <c r="AC1025" s="1970">
        <v>0</v>
      </c>
      <c r="AD1025" s="1970">
        <v>0</v>
      </c>
      <c r="AE1025" s="1970">
        <v>0</v>
      </c>
      <c r="AF1025" s="1970">
        <v>0</v>
      </c>
      <c r="AG1025" s="1970">
        <v>0</v>
      </c>
      <c r="AH1025" s="1970">
        <v>0</v>
      </c>
      <c r="AI1025" s="1970">
        <v>0</v>
      </c>
      <c r="AJ1025" s="2044">
        <v>0</v>
      </c>
      <c r="AK1025" s="1970">
        <v>0</v>
      </c>
      <c r="AL1025" s="1970">
        <v>0</v>
      </c>
      <c r="AM1025" s="1970">
        <v>0</v>
      </c>
      <c r="AN1025" s="1970">
        <v>0</v>
      </c>
      <c r="AO1025" s="1970">
        <v>0</v>
      </c>
      <c r="AP1025" s="1970">
        <v>0</v>
      </c>
    </row>
    <row r="1026" spans="1:42" s="34" customFormat="1" ht="14.5">
      <c r="A1026" s="1693">
        <v>904</v>
      </c>
      <c r="B1026" s="616">
        <v>1</v>
      </c>
      <c r="C1026" s="1693">
        <v>905</v>
      </c>
      <c r="D1026" s="616">
        <v>1</v>
      </c>
      <c r="E1026" s="1693">
        <v>931</v>
      </c>
      <c r="F1026" s="616">
        <v>1</v>
      </c>
      <c r="G1026" s="1693">
        <v>1018</v>
      </c>
      <c r="H1026" s="616">
        <v>1</v>
      </c>
      <c r="I1026" s="616"/>
      <c r="K1026" s="454"/>
      <c r="L1026" s="4"/>
      <c r="M1026" s="4"/>
      <c r="N1026" s="4"/>
      <c r="O1026" s="256"/>
      <c r="P1026" s="4"/>
      <c r="Q1026" s="3"/>
      <c r="R1026" s="4"/>
      <c r="S1026" s="3"/>
      <c r="T1026" s="41"/>
      <c r="U1026" s="41" t="s">
        <v>39</v>
      </c>
      <c r="V1026" s="41"/>
      <c r="W1026" s="1904"/>
      <c r="X1026" s="1908"/>
      <c r="Y1026" s="1908"/>
      <c r="Z1026" s="1908"/>
      <c r="AA1026" s="1908"/>
      <c r="AB1026" s="1908"/>
      <c r="AC1026" s="1908"/>
      <c r="AD1026" s="1908"/>
      <c r="AE1026" s="1908"/>
      <c r="AF1026" s="1908"/>
      <c r="AG1026" s="1908"/>
      <c r="AH1026" s="1908"/>
      <c r="AI1026" s="1908"/>
      <c r="AJ1026" s="1909">
        <v>0</v>
      </c>
      <c r="AK1026" s="1910">
        <v>0</v>
      </c>
      <c r="AL1026" s="1910">
        <v>0</v>
      </c>
      <c r="AM1026" s="1910">
        <v>0</v>
      </c>
      <c r="AN1026" s="1910">
        <v>0</v>
      </c>
      <c r="AO1026" s="1910">
        <v>0</v>
      </c>
      <c r="AP1026" s="1910">
        <v>0</v>
      </c>
    </row>
    <row r="1027" spans="1:42" s="34" customFormat="1" ht="14.5">
      <c r="A1027" s="1693">
        <v>905</v>
      </c>
      <c r="B1027" s="616">
        <v>1</v>
      </c>
      <c r="C1027" s="1693">
        <v>906</v>
      </c>
      <c r="D1027" s="616">
        <v>1</v>
      </c>
      <c r="E1027" s="1693">
        <v>932</v>
      </c>
      <c r="F1027" s="616">
        <v>1</v>
      </c>
      <c r="G1027" s="1693">
        <v>1019</v>
      </c>
      <c r="H1027" s="616">
        <v>1</v>
      </c>
      <c r="I1027" s="616"/>
      <c r="K1027" s="454"/>
      <c r="L1027" s="4"/>
      <c r="M1027" s="4"/>
      <c r="N1027" s="4"/>
      <c r="O1027" s="256"/>
      <c r="P1027" s="4"/>
      <c r="Q1027" s="3"/>
      <c r="R1027" s="4"/>
      <c r="S1027" s="3"/>
      <c r="T1027" s="41"/>
      <c r="U1027" s="41" t="s">
        <v>18</v>
      </c>
      <c r="V1027" s="41"/>
      <c r="W1027" s="1904"/>
      <c r="X1027" s="1908"/>
      <c r="Y1027" s="1908"/>
      <c r="Z1027" s="1908"/>
      <c r="AA1027" s="1908"/>
      <c r="AB1027" s="1908"/>
      <c r="AC1027" s="1908"/>
      <c r="AD1027" s="1908"/>
      <c r="AE1027" s="1908"/>
      <c r="AF1027" s="1908"/>
      <c r="AG1027" s="1908"/>
      <c r="AH1027" s="1908"/>
      <c r="AI1027" s="1908"/>
      <c r="AJ1027" s="1909">
        <v>0</v>
      </c>
      <c r="AK1027" s="1910">
        <v>0</v>
      </c>
      <c r="AL1027" s="1910">
        <v>0</v>
      </c>
      <c r="AM1027" s="1910">
        <v>0</v>
      </c>
      <c r="AN1027" s="1910">
        <v>0</v>
      </c>
      <c r="AO1027" s="1910">
        <v>0</v>
      </c>
      <c r="AP1027" s="1910">
        <v>0</v>
      </c>
    </row>
    <row r="1028" spans="1:42" s="34" customFormat="1" ht="14.5">
      <c r="A1028" s="1693">
        <v>906</v>
      </c>
      <c r="B1028" s="616">
        <v>1</v>
      </c>
      <c r="C1028" s="1693">
        <v>907</v>
      </c>
      <c r="D1028" s="616">
        <v>1</v>
      </c>
      <c r="E1028" s="1693">
        <v>933</v>
      </c>
      <c r="F1028" s="616">
        <v>1</v>
      </c>
      <c r="G1028" s="1693">
        <v>1020</v>
      </c>
      <c r="H1028" s="616">
        <v>1</v>
      </c>
      <c r="I1028" s="616"/>
      <c r="K1028" s="454"/>
      <c r="L1028" s="4"/>
      <c r="M1028" s="4"/>
      <c r="N1028" s="4"/>
      <c r="O1028" s="256"/>
      <c r="P1028" s="4"/>
      <c r="Q1028" s="3"/>
      <c r="R1028" s="4"/>
      <c r="S1028" s="3"/>
      <c r="T1028" s="41"/>
      <c r="U1028" s="41" t="s">
        <v>19</v>
      </c>
      <c r="V1028" s="41"/>
      <c r="W1028" s="1904"/>
      <c r="X1028" s="1908"/>
      <c r="Y1028" s="1908"/>
      <c r="Z1028" s="1908"/>
      <c r="AA1028" s="1908"/>
      <c r="AB1028" s="1908"/>
      <c r="AC1028" s="1908"/>
      <c r="AD1028" s="1908"/>
      <c r="AE1028" s="1908"/>
      <c r="AF1028" s="1908"/>
      <c r="AG1028" s="1908"/>
      <c r="AH1028" s="1908"/>
      <c r="AI1028" s="1908"/>
      <c r="AJ1028" s="1909">
        <v>0</v>
      </c>
      <c r="AK1028" s="1910">
        <v>0</v>
      </c>
      <c r="AL1028" s="1910">
        <v>0</v>
      </c>
      <c r="AM1028" s="1910">
        <v>0</v>
      </c>
      <c r="AN1028" s="1910">
        <v>0</v>
      </c>
      <c r="AO1028" s="1910">
        <v>0</v>
      </c>
      <c r="AP1028" s="1910">
        <v>0</v>
      </c>
    </row>
    <row r="1029" spans="1:42" s="34" customFormat="1" ht="14.5">
      <c r="A1029" s="1693">
        <v>907</v>
      </c>
      <c r="B1029" s="616">
        <v>1</v>
      </c>
      <c r="C1029" s="1693">
        <v>908</v>
      </c>
      <c r="D1029" s="616">
        <v>1</v>
      </c>
      <c r="E1029" s="1693">
        <v>934</v>
      </c>
      <c r="F1029" s="616">
        <v>1</v>
      </c>
      <c r="G1029" s="1693">
        <v>1021</v>
      </c>
      <c r="H1029" s="616">
        <v>1</v>
      </c>
      <c r="I1029" s="616"/>
      <c r="K1029" s="454"/>
      <c r="L1029" s="4"/>
      <c r="M1029" s="4"/>
      <c r="N1029" s="4"/>
      <c r="O1029" s="256"/>
      <c r="P1029" s="4"/>
      <c r="Q1029" s="3"/>
      <c r="R1029" s="4"/>
      <c r="S1029" s="3"/>
      <c r="T1029" s="41"/>
      <c r="U1029" s="41" t="s">
        <v>20</v>
      </c>
      <c r="V1029" s="41"/>
      <c r="W1029" s="1904"/>
      <c r="X1029" s="1908"/>
      <c r="Y1029" s="1908"/>
      <c r="Z1029" s="1908"/>
      <c r="AA1029" s="1908"/>
      <c r="AB1029" s="1908"/>
      <c r="AC1029" s="1908"/>
      <c r="AD1029" s="1908"/>
      <c r="AE1029" s="1908"/>
      <c r="AF1029" s="1908"/>
      <c r="AG1029" s="1908"/>
      <c r="AH1029" s="1908"/>
      <c r="AI1029" s="1908"/>
      <c r="AJ1029" s="1909">
        <v>0</v>
      </c>
      <c r="AK1029" s="1910">
        <v>0</v>
      </c>
      <c r="AL1029" s="1910">
        <v>0</v>
      </c>
      <c r="AM1029" s="1910">
        <v>0</v>
      </c>
      <c r="AN1029" s="1910">
        <v>0</v>
      </c>
      <c r="AO1029" s="1910">
        <v>0</v>
      </c>
      <c r="AP1029" s="1910">
        <v>0</v>
      </c>
    </row>
    <row r="1030" spans="1:42" s="34" customFormat="1" ht="14.5">
      <c r="A1030" s="1693">
        <v>908</v>
      </c>
      <c r="B1030" s="616">
        <v>1</v>
      </c>
      <c r="C1030" s="1693">
        <v>909</v>
      </c>
      <c r="D1030" s="616">
        <v>1</v>
      </c>
      <c r="E1030" s="1693">
        <v>935</v>
      </c>
      <c r="F1030" s="616">
        <v>1</v>
      </c>
      <c r="G1030" s="1693">
        <v>1022</v>
      </c>
      <c r="H1030" s="616">
        <v>1</v>
      </c>
      <c r="I1030" s="616"/>
      <c r="K1030" s="454"/>
      <c r="L1030" s="4"/>
      <c r="M1030" s="4"/>
      <c r="N1030" s="4"/>
      <c r="O1030" s="256"/>
      <c r="P1030" s="4"/>
      <c r="Q1030" s="3"/>
      <c r="R1030" s="4"/>
      <c r="S1030" s="3"/>
      <c r="T1030" s="41"/>
      <c r="U1030" s="41" t="s">
        <v>2</v>
      </c>
      <c r="V1030" s="41"/>
      <c r="W1030" s="1904"/>
      <c r="X1030" s="1908"/>
      <c r="Y1030" s="1908"/>
      <c r="Z1030" s="1908"/>
      <c r="AA1030" s="1908"/>
      <c r="AB1030" s="1908"/>
      <c r="AC1030" s="1908"/>
      <c r="AD1030" s="1908"/>
      <c r="AE1030" s="1908"/>
      <c r="AF1030" s="1908"/>
      <c r="AG1030" s="1908"/>
      <c r="AH1030" s="1908"/>
      <c r="AI1030" s="1908"/>
      <c r="AJ1030" s="1909">
        <v>0</v>
      </c>
      <c r="AK1030" s="1910">
        <v>0</v>
      </c>
      <c r="AL1030" s="1910">
        <v>0</v>
      </c>
      <c r="AM1030" s="1910">
        <v>0</v>
      </c>
      <c r="AN1030" s="1910">
        <v>0</v>
      </c>
      <c r="AO1030" s="1910">
        <v>0</v>
      </c>
      <c r="AP1030" s="1910">
        <v>0</v>
      </c>
    </row>
    <row r="1031" spans="1:42" s="34" customFormat="1" ht="14.5">
      <c r="A1031" s="1693">
        <v>909</v>
      </c>
      <c r="B1031" s="616">
        <v>1</v>
      </c>
      <c r="C1031" s="1693">
        <v>910</v>
      </c>
      <c r="D1031" s="616">
        <v>1</v>
      </c>
      <c r="E1031" s="1693">
        <v>936</v>
      </c>
      <c r="F1031" s="616">
        <v>1</v>
      </c>
      <c r="G1031" s="1693">
        <v>1023</v>
      </c>
      <c r="H1031" s="616">
        <v>1</v>
      </c>
      <c r="I1031" s="616"/>
      <c r="J1031" s="709" t="s">
        <v>512</v>
      </c>
      <c r="K1031" s="1764" t="s">
        <v>1216</v>
      </c>
      <c r="L1031" s="4"/>
      <c r="M1031" s="4"/>
      <c r="N1031" s="4"/>
      <c r="O1031" s="256"/>
      <c r="P1031" s="252" t="s">
        <v>206</v>
      </c>
      <c r="Q1031" s="251"/>
      <c r="R1031" s="252"/>
      <c r="S1031" s="252"/>
      <c r="T1031" s="251"/>
      <c r="U1031" s="251"/>
      <c r="V1031" s="251"/>
      <c r="W1031" s="1849"/>
      <c r="X1031" s="1986">
        <v>0</v>
      </c>
      <c r="Y1031" s="1986">
        <v>0</v>
      </c>
      <c r="Z1031" s="1986">
        <v>0</v>
      </c>
      <c r="AA1031" s="1986">
        <v>0</v>
      </c>
      <c r="AB1031" s="1986">
        <v>0</v>
      </c>
      <c r="AC1031" s="1986">
        <v>0</v>
      </c>
      <c r="AD1031" s="1986">
        <v>0</v>
      </c>
      <c r="AE1031" s="1986">
        <v>0</v>
      </c>
      <c r="AF1031" s="1986">
        <v>0</v>
      </c>
      <c r="AG1031" s="1986">
        <v>0</v>
      </c>
      <c r="AH1031" s="1986">
        <v>0</v>
      </c>
      <c r="AI1031" s="1986">
        <v>0</v>
      </c>
      <c r="AJ1031" s="2262">
        <v>0</v>
      </c>
      <c r="AK1031" s="1986">
        <v>0</v>
      </c>
      <c r="AL1031" s="1986">
        <v>0</v>
      </c>
      <c r="AM1031" s="1986">
        <v>0</v>
      </c>
      <c r="AN1031" s="1986">
        <v>0</v>
      </c>
      <c r="AO1031" s="1986">
        <v>0</v>
      </c>
      <c r="AP1031" s="1986">
        <v>0</v>
      </c>
    </row>
    <row r="1032" spans="1:42" s="34" customFormat="1" ht="14.5">
      <c r="A1032" s="1693">
        <v>910</v>
      </c>
      <c r="B1032" s="616">
        <v>1</v>
      </c>
      <c r="C1032" s="1693">
        <v>911</v>
      </c>
      <c r="D1032" s="616">
        <v>1</v>
      </c>
      <c r="E1032" s="1693">
        <v>937</v>
      </c>
      <c r="F1032" s="616">
        <v>1</v>
      </c>
      <c r="G1032" s="1693">
        <v>1024</v>
      </c>
      <c r="H1032" s="616">
        <v>1</v>
      </c>
      <c r="I1032" s="616"/>
      <c r="K1032" s="454"/>
      <c r="L1032" s="4"/>
      <c r="M1032" s="4"/>
      <c r="N1032" s="4"/>
      <c r="O1032" s="256"/>
      <c r="P1032" s="4"/>
      <c r="Q1032" s="3"/>
      <c r="R1032" s="4"/>
      <c r="S1032" s="3"/>
      <c r="T1032" s="41"/>
      <c r="U1032" s="41" t="s">
        <v>21</v>
      </c>
      <c r="V1032" s="41"/>
      <c r="W1032" s="1904"/>
      <c r="X1032" s="1908"/>
      <c r="Y1032" s="1908"/>
      <c r="Z1032" s="1908"/>
      <c r="AA1032" s="1908"/>
      <c r="AB1032" s="1908"/>
      <c r="AC1032" s="1908"/>
      <c r="AD1032" s="1908"/>
      <c r="AE1032" s="1908"/>
      <c r="AF1032" s="1908"/>
      <c r="AG1032" s="1908"/>
      <c r="AH1032" s="1908"/>
      <c r="AI1032" s="1908"/>
      <c r="AJ1032" s="1909">
        <v>0</v>
      </c>
      <c r="AK1032" s="1910">
        <v>0</v>
      </c>
      <c r="AL1032" s="1910">
        <v>0</v>
      </c>
      <c r="AM1032" s="1910">
        <v>0</v>
      </c>
      <c r="AN1032" s="1910">
        <v>0</v>
      </c>
      <c r="AO1032" s="1910">
        <v>0</v>
      </c>
      <c r="AP1032" s="1910">
        <v>0</v>
      </c>
    </row>
    <row r="1033" spans="1:42" s="34" customFormat="1" ht="14.5">
      <c r="A1033" s="1693">
        <v>911</v>
      </c>
      <c r="B1033" s="616">
        <v>1</v>
      </c>
      <c r="C1033" s="1693">
        <v>912</v>
      </c>
      <c r="D1033" s="616">
        <v>1</v>
      </c>
      <c r="E1033" s="1693">
        <v>938</v>
      </c>
      <c r="F1033" s="616">
        <v>1</v>
      </c>
      <c r="G1033" s="1693">
        <v>1025</v>
      </c>
      <c r="H1033" s="616">
        <v>1</v>
      </c>
      <c r="I1033" s="616"/>
      <c r="K1033" s="454"/>
      <c r="L1033" s="4"/>
      <c r="M1033" s="4"/>
      <c r="N1033" s="4"/>
      <c r="O1033" s="256"/>
      <c r="P1033" s="4"/>
      <c r="Q1033" s="3"/>
      <c r="R1033" s="4"/>
      <c r="S1033" s="3"/>
      <c r="T1033" s="41"/>
      <c r="U1033" s="41" t="s">
        <v>22</v>
      </c>
      <c r="V1033" s="41"/>
      <c r="W1033" s="1904"/>
      <c r="X1033" s="1908"/>
      <c r="Y1033" s="1908"/>
      <c r="Z1033" s="1908"/>
      <c r="AA1033" s="1908"/>
      <c r="AB1033" s="1908"/>
      <c r="AC1033" s="1908"/>
      <c r="AD1033" s="1908"/>
      <c r="AE1033" s="1908"/>
      <c r="AF1033" s="1908"/>
      <c r="AG1033" s="1908"/>
      <c r="AH1033" s="1908"/>
      <c r="AI1033" s="1908"/>
      <c r="AJ1033" s="1909">
        <v>0</v>
      </c>
      <c r="AK1033" s="1910">
        <v>0</v>
      </c>
      <c r="AL1033" s="1910">
        <v>0</v>
      </c>
      <c r="AM1033" s="1910">
        <v>0</v>
      </c>
      <c r="AN1033" s="1910">
        <v>0</v>
      </c>
      <c r="AO1033" s="1910">
        <v>0</v>
      </c>
      <c r="AP1033" s="1910">
        <v>0</v>
      </c>
    </row>
    <row r="1034" spans="1:42" s="34" customFormat="1" ht="14.5">
      <c r="A1034" s="1693">
        <v>912</v>
      </c>
      <c r="B1034" s="616">
        <v>1</v>
      </c>
      <c r="C1034" s="1693">
        <v>913</v>
      </c>
      <c r="D1034" s="616">
        <v>1</v>
      </c>
      <c r="E1034" s="1693">
        <v>939</v>
      </c>
      <c r="F1034" s="616">
        <v>1</v>
      </c>
      <c r="G1034" s="1693">
        <v>1026</v>
      </c>
      <c r="H1034" s="616">
        <v>1</v>
      </c>
      <c r="I1034" s="616"/>
      <c r="K1034" s="454"/>
      <c r="L1034" s="4"/>
      <c r="M1034" s="4"/>
      <c r="N1034" s="4"/>
      <c r="O1034" s="257"/>
      <c r="P1034" s="2"/>
      <c r="Q1034" s="1"/>
      <c r="R1034" s="2"/>
      <c r="S1034" s="1"/>
      <c r="T1034" s="39"/>
      <c r="U1034" s="39" t="s">
        <v>23</v>
      </c>
      <c r="V1034" s="39"/>
      <c r="W1034" s="1904"/>
      <c r="X1034" s="2261"/>
      <c r="Y1034" s="2261"/>
      <c r="Z1034" s="2261"/>
      <c r="AA1034" s="2261"/>
      <c r="AB1034" s="2261"/>
      <c r="AC1034" s="2261"/>
      <c r="AD1034" s="2261"/>
      <c r="AE1034" s="2261"/>
      <c r="AF1034" s="2261"/>
      <c r="AG1034" s="2261"/>
      <c r="AH1034" s="2261"/>
      <c r="AI1034" s="2261"/>
      <c r="AJ1034" s="2247">
        <v>0</v>
      </c>
      <c r="AK1034" s="2248">
        <v>0</v>
      </c>
      <c r="AL1034" s="2248">
        <v>0</v>
      </c>
      <c r="AM1034" s="2248">
        <v>0</v>
      </c>
      <c r="AN1034" s="2248">
        <v>0</v>
      </c>
      <c r="AO1034" s="2248">
        <v>0</v>
      </c>
      <c r="AP1034" s="2248">
        <v>0</v>
      </c>
    </row>
    <row r="1035" spans="1:42" s="34" customFormat="1" ht="14.5">
      <c r="A1035" s="1693">
        <v>913</v>
      </c>
      <c r="B1035" s="616">
        <v>1</v>
      </c>
      <c r="C1035" s="1693">
        <v>914</v>
      </c>
      <c r="D1035" s="616">
        <v>1</v>
      </c>
      <c r="E1035" s="1693">
        <v>940</v>
      </c>
      <c r="F1035" s="616">
        <v>1</v>
      </c>
      <c r="G1035" s="1693">
        <v>1027</v>
      </c>
      <c r="H1035" s="616">
        <v>1</v>
      </c>
      <c r="I1035" s="616"/>
      <c r="J1035" s="709" t="s">
        <v>512</v>
      </c>
      <c r="K1035" s="1764" t="s">
        <v>1216</v>
      </c>
      <c r="L1035" s="4"/>
      <c r="M1035" s="4"/>
      <c r="N1035" s="4"/>
      <c r="O1035" s="2253" t="s">
        <v>1110</v>
      </c>
      <c r="P1035" s="1523"/>
      <c r="Q1035" s="1509"/>
      <c r="R1035" s="1509"/>
      <c r="S1035" s="1523"/>
      <c r="T1035" s="1523"/>
      <c r="U1035" s="1523"/>
      <c r="V1035" s="1523"/>
      <c r="W1035" s="1853"/>
      <c r="X1035" s="2263"/>
      <c r="Y1035" s="2263"/>
      <c r="Z1035" s="2263"/>
      <c r="AA1035" s="2263"/>
      <c r="AB1035" s="2263"/>
      <c r="AC1035" s="2263"/>
      <c r="AD1035" s="2263"/>
      <c r="AE1035" s="2263"/>
      <c r="AF1035" s="2263"/>
      <c r="AG1035" s="2263"/>
      <c r="AH1035" s="2263"/>
      <c r="AI1035" s="2263"/>
      <c r="AJ1035" s="2255">
        <v>0</v>
      </c>
      <c r="AK1035" s="2256">
        <v>0</v>
      </c>
      <c r="AL1035" s="2256">
        <v>0</v>
      </c>
      <c r="AM1035" s="2256">
        <v>0</v>
      </c>
      <c r="AN1035" s="2256">
        <v>0</v>
      </c>
      <c r="AO1035" s="2256">
        <v>0</v>
      </c>
      <c r="AP1035" s="2256">
        <v>0</v>
      </c>
    </row>
    <row r="1036" spans="1:42" s="34" customFormat="1" ht="14.5">
      <c r="A1036" s="1693">
        <v>914</v>
      </c>
      <c r="B1036" s="616">
        <v>1</v>
      </c>
      <c r="C1036" s="1693">
        <v>915</v>
      </c>
      <c r="D1036" s="616">
        <v>1</v>
      </c>
      <c r="E1036" s="1693">
        <v>941</v>
      </c>
      <c r="F1036" s="616">
        <v>1</v>
      </c>
      <c r="G1036" s="1693">
        <v>1028</v>
      </c>
      <c r="H1036" s="616">
        <v>1</v>
      </c>
      <c r="I1036" s="616"/>
      <c r="J1036" s="709" t="s">
        <v>512</v>
      </c>
      <c r="K1036" s="1764" t="s">
        <v>1216</v>
      </c>
      <c r="L1036" s="4"/>
      <c r="M1036" s="4"/>
      <c r="N1036" s="4"/>
      <c r="O1036" s="4"/>
      <c r="P1036" s="3"/>
      <c r="Q1036" s="4"/>
      <c r="R1036" s="4"/>
      <c r="S1036" s="4"/>
      <c r="T1036" s="3"/>
      <c r="U1036" s="3"/>
      <c r="V1036" s="3"/>
      <c r="W1036" s="1773"/>
      <c r="X1036" s="1608"/>
      <c r="Y1036" s="1609"/>
      <c r="Z1036" s="1609"/>
      <c r="AA1036" s="1609"/>
      <c r="AB1036" s="1609"/>
      <c r="AC1036" s="1609"/>
      <c r="AD1036" s="1609"/>
      <c r="AE1036" s="1609"/>
      <c r="AF1036" s="1609"/>
      <c r="AG1036" s="1609"/>
      <c r="AH1036" s="454"/>
      <c r="AI1036" s="454"/>
      <c r="AJ1036" s="454"/>
      <c r="AK1036" s="454"/>
      <c r="AL1036" s="454"/>
      <c r="AM1036" s="454"/>
      <c r="AN1036" s="454"/>
      <c r="AO1036" s="454"/>
      <c r="AP1036" s="454"/>
    </row>
    <row r="1037" spans="1:42" s="34" customFormat="1" ht="14.5">
      <c r="A1037" s="1693">
        <v>915</v>
      </c>
      <c r="B1037" s="616">
        <v>945</v>
      </c>
      <c r="C1037" s="1693">
        <v>946</v>
      </c>
      <c r="D1037" s="616">
        <v>916</v>
      </c>
      <c r="E1037" s="1693">
        <v>942</v>
      </c>
      <c r="F1037" s="616">
        <v>1</v>
      </c>
      <c r="G1037" s="1693">
        <v>1029</v>
      </c>
      <c r="H1037" s="616">
        <v>1</v>
      </c>
      <c r="I1037" s="616"/>
      <c r="J1037" s="709" t="s">
        <v>512</v>
      </c>
      <c r="K1037" s="1764" t="s">
        <v>1216</v>
      </c>
      <c r="L1037" s="8"/>
      <c r="M1037" s="22"/>
      <c r="N1037" s="4" t="s">
        <v>1056</v>
      </c>
      <c r="O1037" s="4"/>
      <c r="P1037" s="3"/>
      <c r="Q1037" s="4"/>
      <c r="R1037" s="4"/>
      <c r="S1037" s="3"/>
      <c r="T1037" s="3"/>
      <c r="U1037" s="3"/>
      <c r="V1037" s="3"/>
      <c r="W1037" s="1773"/>
      <c r="X1037" s="1608"/>
      <c r="Y1037" s="1609"/>
      <c r="Z1037" s="1609"/>
      <c r="AA1037" s="1609"/>
      <c r="AB1037" s="1609"/>
      <c r="AC1037" s="1609"/>
      <c r="AD1037" s="1609"/>
      <c r="AE1037" s="1609"/>
      <c r="AF1037" s="1609"/>
      <c r="AG1037" s="1609"/>
      <c r="AH1037" s="454"/>
      <c r="AI1037" s="454"/>
      <c r="AJ1037" s="454"/>
      <c r="AK1037" s="454"/>
      <c r="AL1037" s="454"/>
      <c r="AM1037" s="454"/>
      <c r="AN1037" s="454"/>
      <c r="AO1037" s="454"/>
      <c r="AP1037" s="454"/>
    </row>
    <row r="1038" spans="1:42" s="2244" customFormat="1" ht="14.5">
      <c r="A1038" s="1693">
        <v>916</v>
      </c>
      <c r="B1038" s="616">
        <v>946</v>
      </c>
      <c r="C1038" s="1693">
        <v>947</v>
      </c>
      <c r="D1038" s="616">
        <v>917</v>
      </c>
      <c r="E1038" s="1693">
        <v>943</v>
      </c>
      <c r="F1038" s="616">
        <v>1</v>
      </c>
      <c r="G1038" s="1693">
        <v>1030</v>
      </c>
      <c r="H1038" s="616">
        <v>1</v>
      </c>
      <c r="I1038" s="616"/>
      <c r="J1038" s="709" t="s">
        <v>512</v>
      </c>
      <c r="K1038" s="1764" t="s">
        <v>1216</v>
      </c>
      <c r="L1038" s="2236"/>
      <c r="M1038" s="2236"/>
      <c r="N1038" s="2237"/>
      <c r="O1038" s="2273" t="s">
        <v>202</v>
      </c>
      <c r="P1038" s="2274"/>
      <c r="Q1038" s="2275"/>
      <c r="R1038" s="2275"/>
      <c r="S1038" s="2275"/>
      <c r="T1038" s="2275"/>
      <c r="U1038" s="2275"/>
      <c r="V1038" s="2275"/>
      <c r="W1038" s="2093"/>
      <c r="X1038" s="2094">
        <v>5</v>
      </c>
      <c r="Y1038" s="2095">
        <v>5</v>
      </c>
      <c r="Z1038" s="2095">
        <v>5</v>
      </c>
      <c r="AA1038" s="2095">
        <v>5</v>
      </c>
      <c r="AB1038" s="2095">
        <v>5</v>
      </c>
      <c r="AC1038" s="2095">
        <v>5</v>
      </c>
      <c r="AD1038" s="2095">
        <v>5</v>
      </c>
      <c r="AE1038" s="2095">
        <v>5</v>
      </c>
      <c r="AF1038" s="2095">
        <v>5</v>
      </c>
      <c r="AG1038" s="2095">
        <v>5</v>
      </c>
      <c r="AH1038" s="2095">
        <v>5</v>
      </c>
      <c r="AI1038" s="2095">
        <v>5</v>
      </c>
      <c r="AJ1038" s="2095">
        <v>5</v>
      </c>
      <c r="AK1038" s="2095">
        <v>5</v>
      </c>
      <c r="AL1038" s="2095">
        <v>5</v>
      </c>
      <c r="AM1038" s="2095">
        <v>5</v>
      </c>
      <c r="AN1038" s="2095">
        <v>5</v>
      </c>
      <c r="AO1038" s="2095">
        <v>5</v>
      </c>
      <c r="AP1038" s="2095">
        <v>5</v>
      </c>
    </row>
    <row r="1039" spans="1:42" s="34" customFormat="1" ht="14.5">
      <c r="A1039" s="1693">
        <v>917</v>
      </c>
      <c r="B1039" s="616">
        <v>947</v>
      </c>
      <c r="C1039" s="1693">
        <v>948</v>
      </c>
      <c r="D1039" s="616">
        <v>918</v>
      </c>
      <c r="E1039" s="1693">
        <v>944</v>
      </c>
      <c r="F1039" s="616">
        <v>1</v>
      </c>
      <c r="G1039" s="1693">
        <v>1031</v>
      </c>
      <c r="H1039" s="616">
        <v>1</v>
      </c>
      <c r="I1039" s="616"/>
      <c r="J1039" s="709" t="s">
        <v>512</v>
      </c>
      <c r="K1039" s="1764" t="s">
        <v>1216</v>
      </c>
      <c r="L1039" s="4"/>
      <c r="M1039" s="4"/>
      <c r="N1039" s="4"/>
      <c r="O1039" s="260"/>
      <c r="P1039" s="48" t="s">
        <v>14</v>
      </c>
      <c r="Q1039" s="47"/>
      <c r="R1039" s="48"/>
      <c r="S1039" s="48"/>
      <c r="T1039" s="47"/>
      <c r="U1039" s="47"/>
      <c r="V1039" s="47"/>
      <c r="W1039" s="1849"/>
      <c r="X1039" s="1970">
        <v>5</v>
      </c>
      <c r="Y1039" s="1970">
        <v>5</v>
      </c>
      <c r="Z1039" s="1970">
        <v>5</v>
      </c>
      <c r="AA1039" s="1970">
        <v>5</v>
      </c>
      <c r="AB1039" s="1970">
        <v>5</v>
      </c>
      <c r="AC1039" s="1970">
        <v>5</v>
      </c>
      <c r="AD1039" s="1970">
        <v>5</v>
      </c>
      <c r="AE1039" s="1970">
        <v>5</v>
      </c>
      <c r="AF1039" s="1970">
        <v>5</v>
      </c>
      <c r="AG1039" s="1970">
        <v>5</v>
      </c>
      <c r="AH1039" s="1970">
        <v>5</v>
      </c>
      <c r="AI1039" s="1970">
        <v>5</v>
      </c>
      <c r="AJ1039" s="2044">
        <v>5</v>
      </c>
      <c r="AK1039" s="1970">
        <v>5</v>
      </c>
      <c r="AL1039" s="1970">
        <v>5</v>
      </c>
      <c r="AM1039" s="1970">
        <v>5</v>
      </c>
      <c r="AN1039" s="1970">
        <v>5</v>
      </c>
      <c r="AO1039" s="1970">
        <v>5</v>
      </c>
      <c r="AP1039" s="1970">
        <v>5</v>
      </c>
    </row>
    <row r="1040" spans="1:42" s="34" customFormat="1" ht="14.5">
      <c r="A1040" s="1693">
        <v>918</v>
      </c>
      <c r="B1040" s="616">
        <v>948</v>
      </c>
      <c r="C1040" s="1693">
        <v>949</v>
      </c>
      <c r="D1040" s="616">
        <v>919</v>
      </c>
      <c r="E1040" s="1693">
        <v>945</v>
      </c>
      <c r="F1040" s="616">
        <v>1</v>
      </c>
      <c r="G1040" s="1693">
        <v>1032</v>
      </c>
      <c r="H1040" s="616">
        <v>1</v>
      </c>
      <c r="I1040" s="616"/>
      <c r="K1040" s="454"/>
      <c r="L1040" s="4"/>
      <c r="M1040" s="4"/>
      <c r="N1040" s="4"/>
      <c r="O1040" s="260"/>
      <c r="P1040" s="4"/>
      <c r="Q1040" s="3"/>
      <c r="R1040" s="4"/>
      <c r="S1040" s="4"/>
      <c r="T1040" s="41"/>
      <c r="U1040" s="41" t="s">
        <v>45</v>
      </c>
      <c r="V1040" s="3"/>
      <c r="W1040" s="1904"/>
      <c r="X1040" s="1908">
        <v>3</v>
      </c>
      <c r="Y1040" s="1908">
        <v>3</v>
      </c>
      <c r="Z1040" s="1908">
        <v>3</v>
      </c>
      <c r="AA1040" s="1908">
        <v>3</v>
      </c>
      <c r="AB1040" s="1908">
        <v>3</v>
      </c>
      <c r="AC1040" s="1908">
        <v>3</v>
      </c>
      <c r="AD1040" s="1908">
        <v>3</v>
      </c>
      <c r="AE1040" s="1908">
        <v>3</v>
      </c>
      <c r="AF1040" s="1908">
        <v>3</v>
      </c>
      <c r="AG1040" s="1908">
        <v>3</v>
      </c>
      <c r="AH1040" s="1908">
        <v>3</v>
      </c>
      <c r="AI1040" s="1908">
        <v>3</v>
      </c>
      <c r="AJ1040" s="1909">
        <v>3</v>
      </c>
      <c r="AK1040" s="1910">
        <v>3</v>
      </c>
      <c r="AL1040" s="1910">
        <v>3</v>
      </c>
      <c r="AM1040" s="1910">
        <v>3</v>
      </c>
      <c r="AN1040" s="1910">
        <v>3</v>
      </c>
      <c r="AO1040" s="1910">
        <v>3</v>
      </c>
      <c r="AP1040" s="1910">
        <v>3</v>
      </c>
    </row>
    <row r="1041" spans="1:42" s="34" customFormat="1" ht="14.5">
      <c r="A1041" s="1693">
        <v>919</v>
      </c>
      <c r="B1041" s="616">
        <v>949</v>
      </c>
      <c r="C1041" s="1693">
        <v>950</v>
      </c>
      <c r="D1041" s="616">
        <v>920</v>
      </c>
      <c r="E1041" s="1693">
        <v>946</v>
      </c>
      <c r="F1041" s="616">
        <v>1</v>
      </c>
      <c r="G1041" s="1693">
        <v>1033</v>
      </c>
      <c r="H1041" s="616">
        <v>1</v>
      </c>
      <c r="I1041" s="616"/>
      <c r="K1041" s="454"/>
      <c r="L1041" s="8"/>
      <c r="M1041" s="4"/>
      <c r="N1041" s="4"/>
      <c r="O1041" s="260"/>
      <c r="P1041" s="4"/>
      <c r="Q1041" s="3"/>
      <c r="R1041" s="4"/>
      <c r="S1041" s="4"/>
      <c r="T1041" s="41"/>
      <c r="U1041" s="41" t="s">
        <v>1111</v>
      </c>
      <c r="V1041" s="725"/>
      <c r="W1041" s="1904"/>
      <c r="X1041" s="1908">
        <v>2</v>
      </c>
      <c r="Y1041" s="1908">
        <v>2</v>
      </c>
      <c r="Z1041" s="1908">
        <v>2</v>
      </c>
      <c r="AA1041" s="1908">
        <v>2</v>
      </c>
      <c r="AB1041" s="1908">
        <v>2</v>
      </c>
      <c r="AC1041" s="1908">
        <v>2</v>
      </c>
      <c r="AD1041" s="1908">
        <v>2</v>
      </c>
      <c r="AE1041" s="1908">
        <v>2</v>
      </c>
      <c r="AF1041" s="1908">
        <v>2</v>
      </c>
      <c r="AG1041" s="1908">
        <v>2</v>
      </c>
      <c r="AH1041" s="1908">
        <v>2</v>
      </c>
      <c r="AI1041" s="1908">
        <v>2</v>
      </c>
      <c r="AJ1041" s="1909">
        <v>2</v>
      </c>
      <c r="AK1041" s="1910">
        <v>2</v>
      </c>
      <c r="AL1041" s="1910">
        <v>2</v>
      </c>
      <c r="AM1041" s="1910">
        <v>2</v>
      </c>
      <c r="AN1041" s="1910">
        <v>2</v>
      </c>
      <c r="AO1041" s="1910">
        <v>2</v>
      </c>
      <c r="AP1041" s="1910">
        <v>2</v>
      </c>
    </row>
    <row r="1042" spans="1:42" s="34" customFormat="1" ht="14.5">
      <c r="A1042" s="1693">
        <v>920</v>
      </c>
      <c r="B1042" s="616">
        <v>950</v>
      </c>
      <c r="C1042" s="1693">
        <v>951</v>
      </c>
      <c r="D1042" s="616">
        <v>921</v>
      </c>
      <c r="E1042" s="1693">
        <v>947</v>
      </c>
      <c r="F1042" s="616">
        <v>1</v>
      </c>
      <c r="G1042" s="1693">
        <v>1034</v>
      </c>
      <c r="H1042" s="616">
        <v>1</v>
      </c>
      <c r="I1042" s="616"/>
      <c r="K1042" s="454"/>
      <c r="L1042" s="4"/>
      <c r="M1042" s="4"/>
      <c r="N1042" s="4"/>
      <c r="O1042" s="260"/>
      <c r="P1042" s="4"/>
      <c r="Q1042" s="3"/>
      <c r="R1042" s="4"/>
      <c r="S1042" s="4"/>
      <c r="T1042" s="41"/>
      <c r="U1042" s="41" t="s">
        <v>43</v>
      </c>
      <c r="V1042" s="3"/>
      <c r="W1042" s="1904"/>
      <c r="X1042" s="1908">
        <v>0</v>
      </c>
      <c r="Y1042" s="1908">
        <v>0</v>
      </c>
      <c r="Z1042" s="1908">
        <v>0</v>
      </c>
      <c r="AA1042" s="1908">
        <v>0</v>
      </c>
      <c r="AB1042" s="1908">
        <v>0</v>
      </c>
      <c r="AC1042" s="1908">
        <v>0</v>
      </c>
      <c r="AD1042" s="1908">
        <v>0</v>
      </c>
      <c r="AE1042" s="1908">
        <v>0</v>
      </c>
      <c r="AF1042" s="1908">
        <v>0</v>
      </c>
      <c r="AG1042" s="1908">
        <v>0</v>
      </c>
      <c r="AH1042" s="1908">
        <v>0</v>
      </c>
      <c r="AI1042" s="1908">
        <v>0</v>
      </c>
      <c r="AJ1042" s="1909">
        <v>0</v>
      </c>
      <c r="AK1042" s="1910">
        <v>0</v>
      </c>
      <c r="AL1042" s="1910">
        <v>0</v>
      </c>
      <c r="AM1042" s="1910">
        <v>0</v>
      </c>
      <c r="AN1042" s="1910">
        <v>0</v>
      </c>
      <c r="AO1042" s="1910">
        <v>0</v>
      </c>
      <c r="AP1042" s="1910">
        <v>0</v>
      </c>
    </row>
    <row r="1043" spans="1:42" s="34" customFormat="1" ht="14.5">
      <c r="A1043" s="1693">
        <v>921</v>
      </c>
      <c r="B1043" s="616">
        <v>951</v>
      </c>
      <c r="C1043" s="1693">
        <v>952</v>
      </c>
      <c r="D1043" s="616">
        <v>922</v>
      </c>
      <c r="E1043" s="1693">
        <v>948</v>
      </c>
      <c r="F1043" s="616">
        <v>1</v>
      </c>
      <c r="G1043" s="1693">
        <v>1035</v>
      </c>
      <c r="H1043" s="616">
        <v>1</v>
      </c>
      <c r="I1043" s="616"/>
      <c r="K1043" s="454"/>
      <c r="L1043" s="4"/>
      <c r="M1043" s="4"/>
      <c r="N1043" s="4"/>
      <c r="O1043" s="260"/>
      <c r="P1043" s="2"/>
      <c r="Q1043" s="1"/>
      <c r="R1043" s="2"/>
      <c r="S1043" s="2"/>
      <c r="T1043" s="39"/>
      <c r="U1043" s="39" t="s">
        <v>40</v>
      </c>
      <c r="V1043" s="1"/>
      <c r="W1043" s="1904"/>
      <c r="X1043" s="2261">
        <v>0</v>
      </c>
      <c r="Y1043" s="2261">
        <v>0</v>
      </c>
      <c r="Z1043" s="2261">
        <v>0</v>
      </c>
      <c r="AA1043" s="2261">
        <v>0</v>
      </c>
      <c r="AB1043" s="2261">
        <v>0</v>
      </c>
      <c r="AC1043" s="2261">
        <v>0</v>
      </c>
      <c r="AD1043" s="2261">
        <v>0</v>
      </c>
      <c r="AE1043" s="2261">
        <v>0</v>
      </c>
      <c r="AF1043" s="2261">
        <v>0</v>
      </c>
      <c r="AG1043" s="2261">
        <v>0</v>
      </c>
      <c r="AH1043" s="2261">
        <v>0</v>
      </c>
      <c r="AI1043" s="2261">
        <v>0</v>
      </c>
      <c r="AJ1043" s="2247">
        <v>0</v>
      </c>
      <c r="AK1043" s="2248">
        <v>0</v>
      </c>
      <c r="AL1043" s="2248">
        <v>0</v>
      </c>
      <c r="AM1043" s="2248">
        <v>0</v>
      </c>
      <c r="AN1043" s="2248">
        <v>0</v>
      </c>
      <c r="AO1043" s="2248">
        <v>0</v>
      </c>
      <c r="AP1043" s="2248">
        <v>0</v>
      </c>
    </row>
    <row r="1044" spans="1:42" s="34" customFormat="1" ht="14.5">
      <c r="A1044" s="1693">
        <v>922</v>
      </c>
      <c r="B1044" s="616">
        <v>952</v>
      </c>
      <c r="C1044" s="1693">
        <v>953</v>
      </c>
      <c r="D1044" s="616">
        <v>923</v>
      </c>
      <c r="E1044" s="1693">
        <v>949</v>
      </c>
      <c r="F1044" s="616">
        <v>1</v>
      </c>
      <c r="G1044" s="1693">
        <v>1036</v>
      </c>
      <c r="H1044" s="616">
        <v>1</v>
      </c>
      <c r="I1044" s="616"/>
      <c r="J1044" s="709" t="s">
        <v>512</v>
      </c>
      <c r="K1044" s="1764" t="s">
        <v>1216</v>
      </c>
      <c r="L1044" s="4"/>
      <c r="M1044" s="4"/>
      <c r="N1044" s="4"/>
      <c r="O1044" s="260"/>
      <c r="P1044" s="48" t="s">
        <v>204</v>
      </c>
      <c r="Q1044" s="47"/>
      <c r="R1044" s="48"/>
      <c r="S1044" s="48"/>
      <c r="T1044" s="47"/>
      <c r="U1044" s="47"/>
      <c r="V1044" s="47"/>
      <c r="W1044" s="1849"/>
      <c r="X1044" s="1970">
        <v>0</v>
      </c>
      <c r="Y1044" s="1970">
        <v>0</v>
      </c>
      <c r="Z1044" s="1970">
        <v>0</v>
      </c>
      <c r="AA1044" s="1970">
        <v>0</v>
      </c>
      <c r="AB1044" s="1970">
        <v>0</v>
      </c>
      <c r="AC1044" s="1970">
        <v>0</v>
      </c>
      <c r="AD1044" s="1970">
        <v>0</v>
      </c>
      <c r="AE1044" s="1970">
        <v>0</v>
      </c>
      <c r="AF1044" s="1970">
        <v>0</v>
      </c>
      <c r="AG1044" s="1970">
        <v>0</v>
      </c>
      <c r="AH1044" s="1970">
        <v>0</v>
      </c>
      <c r="AI1044" s="1970">
        <v>0</v>
      </c>
      <c r="AJ1044" s="2044">
        <v>0</v>
      </c>
      <c r="AK1044" s="1970">
        <v>0</v>
      </c>
      <c r="AL1044" s="1970">
        <v>0</v>
      </c>
      <c r="AM1044" s="1970">
        <v>0</v>
      </c>
      <c r="AN1044" s="1970">
        <v>0</v>
      </c>
      <c r="AO1044" s="1970">
        <v>0</v>
      </c>
      <c r="AP1044" s="1970">
        <v>0</v>
      </c>
    </row>
    <row r="1045" spans="1:42" s="34" customFormat="1" ht="14.5">
      <c r="A1045" s="1693">
        <v>923</v>
      </c>
      <c r="B1045" s="616">
        <v>953</v>
      </c>
      <c r="C1045" s="1693">
        <v>954</v>
      </c>
      <c r="D1045" s="616">
        <v>924</v>
      </c>
      <c r="E1045" s="1693">
        <v>950</v>
      </c>
      <c r="F1045" s="616">
        <v>1</v>
      </c>
      <c r="G1045" s="1693">
        <v>1037</v>
      </c>
      <c r="H1045" s="616">
        <v>1</v>
      </c>
      <c r="I1045" s="616"/>
      <c r="K1045" s="454"/>
      <c r="L1045" s="4"/>
      <c r="M1045" s="4"/>
      <c r="N1045" s="4"/>
      <c r="O1045" s="260"/>
      <c r="P1045" s="4"/>
      <c r="Q1045" s="3"/>
      <c r="R1045" s="4"/>
      <c r="S1045" s="4"/>
      <c r="T1045" s="41"/>
      <c r="U1045" s="41" t="s">
        <v>15</v>
      </c>
      <c r="V1045" s="3"/>
      <c r="W1045" s="1904"/>
      <c r="X1045" s="1908">
        <v>0</v>
      </c>
      <c r="Y1045" s="1908">
        <v>0</v>
      </c>
      <c r="Z1045" s="1908">
        <v>0</v>
      </c>
      <c r="AA1045" s="1908">
        <v>0</v>
      </c>
      <c r="AB1045" s="1908">
        <v>0</v>
      </c>
      <c r="AC1045" s="1908">
        <v>0</v>
      </c>
      <c r="AD1045" s="1908">
        <v>0</v>
      </c>
      <c r="AE1045" s="1908">
        <v>0</v>
      </c>
      <c r="AF1045" s="1908">
        <v>0</v>
      </c>
      <c r="AG1045" s="1908">
        <v>0</v>
      </c>
      <c r="AH1045" s="1908">
        <v>0</v>
      </c>
      <c r="AI1045" s="1908">
        <v>0</v>
      </c>
      <c r="AJ1045" s="1909">
        <v>0</v>
      </c>
      <c r="AK1045" s="1910">
        <v>0</v>
      </c>
      <c r="AL1045" s="1910">
        <v>0</v>
      </c>
      <c r="AM1045" s="1910">
        <v>0</v>
      </c>
      <c r="AN1045" s="1910">
        <v>0</v>
      </c>
      <c r="AO1045" s="1910">
        <v>0</v>
      </c>
      <c r="AP1045" s="1910">
        <v>0</v>
      </c>
    </row>
    <row r="1046" spans="1:42" s="34" customFormat="1" ht="14.5">
      <c r="A1046" s="1693">
        <v>924</v>
      </c>
      <c r="B1046" s="616">
        <v>954</v>
      </c>
      <c r="C1046" s="1693">
        <v>955</v>
      </c>
      <c r="D1046" s="616">
        <v>925</v>
      </c>
      <c r="E1046" s="1693">
        <v>951</v>
      </c>
      <c r="F1046" s="616">
        <v>1</v>
      </c>
      <c r="G1046" s="1693">
        <v>1038</v>
      </c>
      <c r="H1046" s="616">
        <v>1</v>
      </c>
      <c r="I1046" s="616"/>
      <c r="K1046" s="454"/>
      <c r="L1046" s="8"/>
      <c r="M1046" s="4"/>
      <c r="N1046" s="4"/>
      <c r="O1046" s="260"/>
      <c r="P1046" s="4"/>
      <c r="Q1046" s="3"/>
      <c r="R1046" s="4"/>
      <c r="S1046" s="4"/>
      <c r="T1046" s="41"/>
      <c r="U1046" s="41" t="s">
        <v>1112</v>
      </c>
      <c r="V1046" s="725"/>
      <c r="W1046" s="1904"/>
      <c r="X1046" s="1908">
        <v>0</v>
      </c>
      <c r="Y1046" s="1908">
        <v>0</v>
      </c>
      <c r="Z1046" s="1908">
        <v>0</v>
      </c>
      <c r="AA1046" s="1908">
        <v>0</v>
      </c>
      <c r="AB1046" s="1908">
        <v>0</v>
      </c>
      <c r="AC1046" s="1908">
        <v>0</v>
      </c>
      <c r="AD1046" s="1908">
        <v>0</v>
      </c>
      <c r="AE1046" s="1908">
        <v>0</v>
      </c>
      <c r="AF1046" s="1908">
        <v>0</v>
      </c>
      <c r="AG1046" s="1908">
        <v>0</v>
      </c>
      <c r="AH1046" s="1908">
        <v>0</v>
      </c>
      <c r="AI1046" s="1908">
        <v>0</v>
      </c>
      <c r="AJ1046" s="1909">
        <v>0</v>
      </c>
      <c r="AK1046" s="1910">
        <v>0</v>
      </c>
      <c r="AL1046" s="1910">
        <v>0</v>
      </c>
      <c r="AM1046" s="1910">
        <v>0</v>
      </c>
      <c r="AN1046" s="1910">
        <v>0</v>
      </c>
      <c r="AO1046" s="1910">
        <v>0</v>
      </c>
      <c r="AP1046" s="1910">
        <v>0</v>
      </c>
    </row>
    <row r="1047" spans="1:42" s="34" customFormat="1" ht="14.5">
      <c r="A1047" s="1693">
        <v>925</v>
      </c>
      <c r="B1047" s="616">
        <v>955</v>
      </c>
      <c r="C1047" s="1693">
        <v>956</v>
      </c>
      <c r="D1047" s="616">
        <v>926</v>
      </c>
      <c r="E1047" s="1693">
        <v>952</v>
      </c>
      <c r="F1047" s="616">
        <v>1</v>
      </c>
      <c r="G1047" s="1693">
        <v>1039</v>
      </c>
      <c r="H1047" s="616">
        <v>1</v>
      </c>
      <c r="I1047" s="616"/>
      <c r="K1047" s="454"/>
      <c r="L1047" s="4"/>
      <c r="M1047" s="4"/>
      <c r="N1047" s="4"/>
      <c r="O1047" s="260"/>
      <c r="P1047" s="4"/>
      <c r="Q1047" s="3"/>
      <c r="R1047" s="4"/>
      <c r="S1047" s="4"/>
      <c r="T1047" s="41"/>
      <c r="U1047" s="41" t="s">
        <v>42</v>
      </c>
      <c r="V1047" s="3"/>
      <c r="W1047" s="1904"/>
      <c r="X1047" s="1908">
        <v>0</v>
      </c>
      <c r="Y1047" s="1908">
        <v>0</v>
      </c>
      <c r="Z1047" s="1908">
        <v>0</v>
      </c>
      <c r="AA1047" s="1908">
        <v>0</v>
      </c>
      <c r="AB1047" s="1908">
        <v>0</v>
      </c>
      <c r="AC1047" s="1908">
        <v>0</v>
      </c>
      <c r="AD1047" s="1908">
        <v>0</v>
      </c>
      <c r="AE1047" s="1908">
        <v>0</v>
      </c>
      <c r="AF1047" s="1908">
        <v>0</v>
      </c>
      <c r="AG1047" s="1908">
        <v>0</v>
      </c>
      <c r="AH1047" s="1908">
        <v>0</v>
      </c>
      <c r="AI1047" s="1908">
        <v>0</v>
      </c>
      <c r="AJ1047" s="1909">
        <v>0</v>
      </c>
      <c r="AK1047" s="1910">
        <v>0</v>
      </c>
      <c r="AL1047" s="1910">
        <v>0</v>
      </c>
      <c r="AM1047" s="1910">
        <v>0</v>
      </c>
      <c r="AN1047" s="1910">
        <v>0</v>
      </c>
      <c r="AO1047" s="1910">
        <v>0</v>
      </c>
      <c r="AP1047" s="1910">
        <v>0</v>
      </c>
    </row>
    <row r="1048" spans="1:42" s="34" customFormat="1" ht="14.5">
      <c r="A1048" s="1693">
        <v>926</v>
      </c>
      <c r="B1048" s="616">
        <v>956</v>
      </c>
      <c r="C1048" s="1693">
        <v>957</v>
      </c>
      <c r="D1048" s="616">
        <v>927</v>
      </c>
      <c r="E1048" s="1693">
        <v>953</v>
      </c>
      <c r="F1048" s="616">
        <v>1</v>
      </c>
      <c r="G1048" s="1693">
        <v>1040</v>
      </c>
      <c r="H1048" s="616">
        <v>1</v>
      </c>
      <c r="I1048" s="616"/>
      <c r="K1048" s="454"/>
      <c r="L1048" s="4"/>
      <c r="M1048" s="4"/>
      <c r="N1048" s="4"/>
      <c r="O1048" s="260"/>
      <c r="P1048" s="4"/>
      <c r="Q1048" s="3"/>
      <c r="R1048" s="4"/>
      <c r="S1048" s="4"/>
      <c r="T1048" s="41"/>
      <c r="U1048" s="41" t="s">
        <v>41</v>
      </c>
      <c r="V1048" s="3"/>
      <c r="W1048" s="1904"/>
      <c r="X1048" s="1908">
        <v>0</v>
      </c>
      <c r="Y1048" s="1908">
        <v>0</v>
      </c>
      <c r="Z1048" s="1908">
        <v>0</v>
      </c>
      <c r="AA1048" s="1908">
        <v>0</v>
      </c>
      <c r="AB1048" s="1908">
        <v>0</v>
      </c>
      <c r="AC1048" s="1908">
        <v>0</v>
      </c>
      <c r="AD1048" s="1908">
        <v>0</v>
      </c>
      <c r="AE1048" s="1908">
        <v>0</v>
      </c>
      <c r="AF1048" s="1908">
        <v>0</v>
      </c>
      <c r="AG1048" s="1908">
        <v>0</v>
      </c>
      <c r="AH1048" s="1908">
        <v>0</v>
      </c>
      <c r="AI1048" s="1908">
        <v>0</v>
      </c>
      <c r="AJ1048" s="1909">
        <v>0</v>
      </c>
      <c r="AK1048" s="1910">
        <v>0</v>
      </c>
      <c r="AL1048" s="1910">
        <v>0</v>
      </c>
      <c r="AM1048" s="1910">
        <v>0</v>
      </c>
      <c r="AN1048" s="1910">
        <v>0</v>
      </c>
      <c r="AO1048" s="1910">
        <v>0</v>
      </c>
      <c r="AP1048" s="1910">
        <v>0</v>
      </c>
    </row>
    <row r="1049" spans="1:42" s="34" customFormat="1" ht="14.5">
      <c r="A1049" s="1693">
        <v>927</v>
      </c>
      <c r="B1049" s="616">
        <v>957</v>
      </c>
      <c r="C1049" s="1693">
        <v>958</v>
      </c>
      <c r="D1049" s="616">
        <v>928</v>
      </c>
      <c r="E1049" s="1693">
        <v>954</v>
      </c>
      <c r="F1049" s="616">
        <v>1</v>
      </c>
      <c r="G1049" s="1693">
        <v>1041</v>
      </c>
      <c r="H1049" s="616">
        <v>1</v>
      </c>
      <c r="I1049" s="616"/>
      <c r="K1049" s="454"/>
      <c r="L1049" s="4"/>
      <c r="M1049" s="4"/>
      <c r="N1049" s="4"/>
      <c r="O1049" s="260"/>
      <c r="P1049" s="4"/>
      <c r="Q1049" s="3"/>
      <c r="R1049" s="4"/>
      <c r="S1049" s="4"/>
      <c r="T1049" s="41"/>
      <c r="U1049" s="41" t="s">
        <v>40</v>
      </c>
      <c r="V1049" s="3"/>
      <c r="W1049" s="1904"/>
      <c r="X1049" s="1908">
        <v>0</v>
      </c>
      <c r="Y1049" s="1908">
        <v>0</v>
      </c>
      <c r="Z1049" s="1908">
        <v>0</v>
      </c>
      <c r="AA1049" s="1908">
        <v>0</v>
      </c>
      <c r="AB1049" s="1908">
        <v>0</v>
      </c>
      <c r="AC1049" s="1908">
        <v>0</v>
      </c>
      <c r="AD1049" s="1908">
        <v>0</v>
      </c>
      <c r="AE1049" s="1908">
        <v>0</v>
      </c>
      <c r="AF1049" s="1908">
        <v>0</v>
      </c>
      <c r="AG1049" s="1908">
        <v>0</v>
      </c>
      <c r="AH1049" s="1908">
        <v>0</v>
      </c>
      <c r="AI1049" s="1908">
        <v>0</v>
      </c>
      <c r="AJ1049" s="1909">
        <v>0</v>
      </c>
      <c r="AK1049" s="1910">
        <v>0</v>
      </c>
      <c r="AL1049" s="1910">
        <v>0</v>
      </c>
      <c r="AM1049" s="1910">
        <v>0</v>
      </c>
      <c r="AN1049" s="1910">
        <v>0</v>
      </c>
      <c r="AO1049" s="1910">
        <v>0</v>
      </c>
      <c r="AP1049" s="1910">
        <v>0</v>
      </c>
    </row>
    <row r="1050" spans="1:42" s="34" customFormat="1" ht="14.5">
      <c r="A1050" s="1693">
        <v>928</v>
      </c>
      <c r="B1050" s="616">
        <v>958</v>
      </c>
      <c r="C1050" s="1693">
        <v>959</v>
      </c>
      <c r="D1050" s="616">
        <v>929</v>
      </c>
      <c r="E1050" s="1693">
        <v>955</v>
      </c>
      <c r="F1050" s="616">
        <v>1</v>
      </c>
      <c r="G1050" s="1693">
        <v>1042</v>
      </c>
      <c r="H1050" s="616">
        <v>1</v>
      </c>
      <c r="I1050" s="616"/>
      <c r="J1050" s="709" t="s">
        <v>512</v>
      </c>
      <c r="K1050" s="1764" t="s">
        <v>1216</v>
      </c>
      <c r="L1050" s="4"/>
      <c r="M1050" s="4"/>
      <c r="N1050" s="4"/>
      <c r="O1050" s="260"/>
      <c r="P1050" s="252" t="s">
        <v>205</v>
      </c>
      <c r="Q1050" s="252"/>
      <c r="R1050" s="252"/>
      <c r="S1050" s="251"/>
      <c r="T1050" s="251"/>
      <c r="U1050" s="251"/>
      <c r="V1050" s="251"/>
      <c r="W1050" s="1849"/>
      <c r="X1050" s="1986">
        <v>0</v>
      </c>
      <c r="Y1050" s="1986">
        <v>0</v>
      </c>
      <c r="Z1050" s="1986">
        <v>0</v>
      </c>
      <c r="AA1050" s="1986">
        <v>0</v>
      </c>
      <c r="AB1050" s="1986">
        <v>0</v>
      </c>
      <c r="AC1050" s="1986">
        <v>0</v>
      </c>
      <c r="AD1050" s="1986">
        <v>0</v>
      </c>
      <c r="AE1050" s="1986">
        <v>0</v>
      </c>
      <c r="AF1050" s="1986">
        <v>0</v>
      </c>
      <c r="AG1050" s="1986">
        <v>0</v>
      </c>
      <c r="AH1050" s="1986">
        <v>0</v>
      </c>
      <c r="AI1050" s="1986">
        <v>0</v>
      </c>
      <c r="AJ1050" s="2262">
        <v>0</v>
      </c>
      <c r="AK1050" s="1986">
        <v>0</v>
      </c>
      <c r="AL1050" s="1986">
        <v>0</v>
      </c>
      <c r="AM1050" s="1986">
        <v>0</v>
      </c>
      <c r="AN1050" s="1986">
        <v>0</v>
      </c>
      <c r="AO1050" s="1986">
        <v>0</v>
      </c>
      <c r="AP1050" s="1986">
        <v>0</v>
      </c>
    </row>
    <row r="1051" spans="1:42" s="34" customFormat="1" ht="14.5">
      <c r="A1051" s="1693">
        <v>929</v>
      </c>
      <c r="B1051" s="616">
        <v>959</v>
      </c>
      <c r="C1051" s="1693">
        <v>960</v>
      </c>
      <c r="D1051" s="616">
        <v>930</v>
      </c>
      <c r="E1051" s="1693">
        <v>956</v>
      </c>
      <c r="F1051" s="616">
        <v>1</v>
      </c>
      <c r="G1051" s="1693">
        <v>1043</v>
      </c>
      <c r="H1051" s="616">
        <v>1</v>
      </c>
      <c r="I1051" s="616"/>
      <c r="K1051" s="454"/>
      <c r="L1051" s="4"/>
      <c r="M1051" s="4"/>
      <c r="N1051" s="4"/>
      <c r="O1051" s="260"/>
      <c r="P1051" s="4"/>
      <c r="Q1051" s="4"/>
      <c r="R1051" s="4"/>
      <c r="S1051" s="3"/>
      <c r="T1051" s="41"/>
      <c r="U1051" s="41" t="s">
        <v>198</v>
      </c>
      <c r="V1051" s="3"/>
      <c r="W1051" s="1904"/>
      <c r="X1051" s="1908">
        <v>0</v>
      </c>
      <c r="Y1051" s="1908">
        <v>0</v>
      </c>
      <c r="Z1051" s="1908">
        <v>0</v>
      </c>
      <c r="AA1051" s="1908">
        <v>0</v>
      </c>
      <c r="AB1051" s="1908">
        <v>0</v>
      </c>
      <c r="AC1051" s="1908">
        <v>0</v>
      </c>
      <c r="AD1051" s="1908">
        <v>0</v>
      </c>
      <c r="AE1051" s="1908">
        <v>0</v>
      </c>
      <c r="AF1051" s="1908">
        <v>0</v>
      </c>
      <c r="AG1051" s="1908">
        <v>0</v>
      </c>
      <c r="AH1051" s="1908">
        <v>0</v>
      </c>
      <c r="AI1051" s="1908">
        <v>0</v>
      </c>
      <c r="AJ1051" s="1909">
        <v>0</v>
      </c>
      <c r="AK1051" s="1910">
        <v>0</v>
      </c>
      <c r="AL1051" s="1910">
        <v>0</v>
      </c>
      <c r="AM1051" s="1910">
        <v>0</v>
      </c>
      <c r="AN1051" s="1910">
        <v>0</v>
      </c>
      <c r="AO1051" s="1910">
        <v>0</v>
      </c>
      <c r="AP1051" s="1910">
        <v>0</v>
      </c>
    </row>
    <row r="1052" spans="1:42" s="34" customFormat="1" ht="14.5">
      <c r="A1052" s="1693">
        <v>930</v>
      </c>
      <c r="B1052" s="616">
        <v>960</v>
      </c>
      <c r="C1052" s="1693">
        <v>961</v>
      </c>
      <c r="D1052" s="616">
        <v>931</v>
      </c>
      <c r="E1052" s="1693">
        <v>957</v>
      </c>
      <c r="F1052" s="616">
        <v>1</v>
      </c>
      <c r="G1052" s="1693">
        <v>1044</v>
      </c>
      <c r="H1052" s="616">
        <v>1</v>
      </c>
      <c r="I1052" s="616"/>
      <c r="K1052" s="454"/>
      <c r="L1052" s="4"/>
      <c r="M1052" s="4"/>
      <c r="N1052" s="4"/>
      <c r="O1052" s="260"/>
      <c r="P1052" s="4"/>
      <c r="Q1052" s="4"/>
      <c r="R1052" s="4"/>
      <c r="S1052" s="3"/>
      <c r="T1052" s="41"/>
      <c r="U1052" s="41" t="s">
        <v>199</v>
      </c>
      <c r="V1052" s="3"/>
      <c r="W1052" s="1904"/>
      <c r="X1052" s="1908">
        <v>0</v>
      </c>
      <c r="Y1052" s="1908">
        <v>0</v>
      </c>
      <c r="Z1052" s="1908">
        <v>0</v>
      </c>
      <c r="AA1052" s="1908">
        <v>0</v>
      </c>
      <c r="AB1052" s="1908">
        <v>0</v>
      </c>
      <c r="AC1052" s="1908">
        <v>0</v>
      </c>
      <c r="AD1052" s="1908">
        <v>0</v>
      </c>
      <c r="AE1052" s="1908">
        <v>0</v>
      </c>
      <c r="AF1052" s="1908">
        <v>0</v>
      </c>
      <c r="AG1052" s="1908">
        <v>0</v>
      </c>
      <c r="AH1052" s="1908">
        <v>0</v>
      </c>
      <c r="AI1052" s="1908">
        <v>0</v>
      </c>
      <c r="AJ1052" s="1909">
        <v>0</v>
      </c>
      <c r="AK1052" s="1910">
        <v>0</v>
      </c>
      <c r="AL1052" s="1910">
        <v>0</v>
      </c>
      <c r="AM1052" s="1910">
        <v>0</v>
      </c>
      <c r="AN1052" s="1910">
        <v>0</v>
      </c>
      <c r="AO1052" s="1910">
        <v>0</v>
      </c>
      <c r="AP1052" s="1910">
        <v>0</v>
      </c>
    </row>
    <row r="1053" spans="1:42" s="34" customFormat="1" ht="14.5">
      <c r="A1053" s="1693">
        <v>931</v>
      </c>
      <c r="B1053" s="616">
        <v>961</v>
      </c>
      <c r="C1053" s="1693">
        <v>962</v>
      </c>
      <c r="D1053" s="616">
        <v>932</v>
      </c>
      <c r="E1053" s="1693">
        <v>958</v>
      </c>
      <c r="F1053" s="616">
        <v>1</v>
      </c>
      <c r="G1053" s="1693">
        <v>1045</v>
      </c>
      <c r="H1053" s="616">
        <v>1</v>
      </c>
      <c r="I1053" s="616"/>
      <c r="K1053" s="454"/>
      <c r="L1053" s="4"/>
      <c r="M1053" s="4"/>
      <c r="N1053" s="4"/>
      <c r="O1053" s="260"/>
      <c r="P1053" s="4"/>
      <c r="Q1053" s="4"/>
      <c r="R1053" s="4"/>
      <c r="S1053" s="3"/>
      <c r="T1053" s="41"/>
      <c r="U1053" s="41" t="s">
        <v>200</v>
      </c>
      <c r="V1053" s="3"/>
      <c r="W1053" s="1904"/>
      <c r="X1053" s="1908">
        <v>0</v>
      </c>
      <c r="Y1053" s="1908">
        <v>0</v>
      </c>
      <c r="Z1053" s="1908">
        <v>0</v>
      </c>
      <c r="AA1053" s="1908">
        <v>0</v>
      </c>
      <c r="AB1053" s="1908">
        <v>0</v>
      </c>
      <c r="AC1053" s="1908">
        <v>0</v>
      </c>
      <c r="AD1053" s="1908">
        <v>0</v>
      </c>
      <c r="AE1053" s="1908">
        <v>0</v>
      </c>
      <c r="AF1053" s="1908">
        <v>0</v>
      </c>
      <c r="AG1053" s="1908">
        <v>0</v>
      </c>
      <c r="AH1053" s="1908">
        <v>0</v>
      </c>
      <c r="AI1053" s="1908">
        <v>0</v>
      </c>
      <c r="AJ1053" s="1909">
        <v>0</v>
      </c>
      <c r="AK1053" s="1910">
        <v>0</v>
      </c>
      <c r="AL1053" s="1910">
        <v>0</v>
      </c>
      <c r="AM1053" s="1910">
        <v>0</v>
      </c>
      <c r="AN1053" s="1910">
        <v>0</v>
      </c>
      <c r="AO1053" s="1910">
        <v>0</v>
      </c>
      <c r="AP1053" s="1910">
        <v>0</v>
      </c>
    </row>
    <row r="1054" spans="1:42" s="34" customFormat="1" ht="14.5">
      <c r="A1054" s="1693">
        <v>932</v>
      </c>
      <c r="B1054" s="616">
        <v>962</v>
      </c>
      <c r="C1054" s="1693">
        <v>963</v>
      </c>
      <c r="D1054" s="616">
        <v>933</v>
      </c>
      <c r="E1054" s="1693">
        <v>959</v>
      </c>
      <c r="F1054" s="616">
        <v>1</v>
      </c>
      <c r="G1054" s="1693">
        <v>1046</v>
      </c>
      <c r="H1054" s="616">
        <v>1</v>
      </c>
      <c r="I1054" s="616"/>
      <c r="K1054" s="454"/>
      <c r="L1054" s="4"/>
      <c r="M1054" s="4"/>
      <c r="N1054" s="4"/>
      <c r="O1054" s="260"/>
      <c r="P1054" s="2"/>
      <c r="Q1054" s="2"/>
      <c r="R1054" s="2"/>
      <c r="S1054" s="1"/>
      <c r="T1054" s="39"/>
      <c r="U1054" s="39" t="s">
        <v>201</v>
      </c>
      <c r="V1054" s="1"/>
      <c r="W1054" s="1904"/>
      <c r="X1054" s="2261">
        <v>0</v>
      </c>
      <c r="Y1054" s="2261">
        <v>0</v>
      </c>
      <c r="Z1054" s="2261">
        <v>0</v>
      </c>
      <c r="AA1054" s="2261">
        <v>0</v>
      </c>
      <c r="AB1054" s="2261">
        <v>0</v>
      </c>
      <c r="AC1054" s="2261">
        <v>0</v>
      </c>
      <c r="AD1054" s="2261">
        <v>0</v>
      </c>
      <c r="AE1054" s="2261">
        <v>0</v>
      </c>
      <c r="AF1054" s="2261">
        <v>0</v>
      </c>
      <c r="AG1054" s="2261">
        <v>0</v>
      </c>
      <c r="AH1054" s="2261">
        <v>0</v>
      </c>
      <c r="AI1054" s="2261">
        <v>0</v>
      </c>
      <c r="AJ1054" s="2247">
        <v>0</v>
      </c>
      <c r="AK1054" s="2248">
        <v>0</v>
      </c>
      <c r="AL1054" s="2248">
        <v>0</v>
      </c>
      <c r="AM1054" s="2248">
        <v>0</v>
      </c>
      <c r="AN1054" s="2248">
        <v>0</v>
      </c>
      <c r="AO1054" s="2248">
        <v>0</v>
      </c>
      <c r="AP1054" s="2248">
        <v>0</v>
      </c>
    </row>
    <row r="1055" spans="1:42" s="34" customFormat="1" ht="14.5">
      <c r="A1055" s="1693">
        <v>933</v>
      </c>
      <c r="B1055" s="616">
        <v>963</v>
      </c>
      <c r="C1055" s="1693">
        <v>964</v>
      </c>
      <c r="D1055" s="616">
        <v>934</v>
      </c>
      <c r="E1055" s="1693">
        <v>960</v>
      </c>
      <c r="F1055" s="616">
        <v>1</v>
      </c>
      <c r="G1055" s="1693">
        <v>1047</v>
      </c>
      <c r="H1055" s="616">
        <v>1</v>
      </c>
      <c r="I1055" s="616"/>
      <c r="J1055" s="709" t="s">
        <v>512</v>
      </c>
      <c r="K1055" s="1764" t="s">
        <v>1216</v>
      </c>
      <c r="L1055" s="4"/>
      <c r="M1055" s="4"/>
      <c r="N1055" s="4"/>
      <c r="O1055" s="260"/>
      <c r="P1055" s="48" t="s">
        <v>17</v>
      </c>
      <c r="Q1055" s="48"/>
      <c r="R1055" s="48"/>
      <c r="S1055" s="47"/>
      <c r="T1055" s="47"/>
      <c r="U1055" s="47"/>
      <c r="V1055" s="47"/>
      <c r="W1055" s="1849"/>
      <c r="X1055" s="1970">
        <v>0</v>
      </c>
      <c r="Y1055" s="1970">
        <v>0</v>
      </c>
      <c r="Z1055" s="1970">
        <v>0</v>
      </c>
      <c r="AA1055" s="1970">
        <v>0</v>
      </c>
      <c r="AB1055" s="1970">
        <v>0</v>
      </c>
      <c r="AC1055" s="1970">
        <v>0</v>
      </c>
      <c r="AD1055" s="1970">
        <v>0</v>
      </c>
      <c r="AE1055" s="1970">
        <v>0</v>
      </c>
      <c r="AF1055" s="1970">
        <v>0</v>
      </c>
      <c r="AG1055" s="1970">
        <v>0</v>
      </c>
      <c r="AH1055" s="1970">
        <v>0</v>
      </c>
      <c r="AI1055" s="1970">
        <v>0</v>
      </c>
      <c r="AJ1055" s="2044">
        <v>0</v>
      </c>
      <c r="AK1055" s="1970">
        <v>0</v>
      </c>
      <c r="AL1055" s="1970">
        <v>0</v>
      </c>
      <c r="AM1055" s="1970">
        <v>0</v>
      </c>
      <c r="AN1055" s="1970">
        <v>0</v>
      </c>
      <c r="AO1055" s="1970">
        <v>0</v>
      </c>
      <c r="AP1055" s="1970">
        <v>0</v>
      </c>
    </row>
    <row r="1056" spans="1:42" s="34" customFormat="1" ht="14.5">
      <c r="A1056" s="1693">
        <v>934</v>
      </c>
      <c r="B1056" s="616">
        <v>964</v>
      </c>
      <c r="C1056" s="1693">
        <v>965</v>
      </c>
      <c r="D1056" s="616">
        <v>935</v>
      </c>
      <c r="E1056" s="1693">
        <v>961</v>
      </c>
      <c r="F1056" s="616">
        <v>1</v>
      </c>
      <c r="G1056" s="1693">
        <v>1048</v>
      </c>
      <c r="H1056" s="616">
        <v>1</v>
      </c>
      <c r="I1056" s="616"/>
      <c r="K1056" s="454"/>
      <c r="L1056" s="4"/>
      <c r="M1056" s="4"/>
      <c r="N1056" s="4"/>
      <c r="O1056" s="260"/>
      <c r="P1056" s="4"/>
      <c r="Q1056" s="4"/>
      <c r="R1056" s="3"/>
      <c r="S1056" s="3"/>
      <c r="T1056" s="41"/>
      <c r="U1056" s="41" t="s">
        <v>39</v>
      </c>
      <c r="V1056" s="41"/>
      <c r="W1056" s="1904"/>
      <c r="X1056" s="1908">
        <v>0</v>
      </c>
      <c r="Y1056" s="1908">
        <v>0</v>
      </c>
      <c r="Z1056" s="1908">
        <v>0</v>
      </c>
      <c r="AA1056" s="1908">
        <v>0</v>
      </c>
      <c r="AB1056" s="1908">
        <v>0</v>
      </c>
      <c r="AC1056" s="1908">
        <v>0</v>
      </c>
      <c r="AD1056" s="1908">
        <v>0</v>
      </c>
      <c r="AE1056" s="1908">
        <v>0</v>
      </c>
      <c r="AF1056" s="1908">
        <v>0</v>
      </c>
      <c r="AG1056" s="1908">
        <v>0</v>
      </c>
      <c r="AH1056" s="1908">
        <v>0</v>
      </c>
      <c r="AI1056" s="1908">
        <v>0</v>
      </c>
      <c r="AJ1056" s="1909">
        <v>0</v>
      </c>
      <c r="AK1056" s="1910">
        <v>0</v>
      </c>
      <c r="AL1056" s="1910">
        <v>0</v>
      </c>
      <c r="AM1056" s="1910">
        <v>0</v>
      </c>
      <c r="AN1056" s="1910">
        <v>0</v>
      </c>
      <c r="AO1056" s="1910">
        <v>0</v>
      </c>
      <c r="AP1056" s="1910">
        <v>0</v>
      </c>
    </row>
    <row r="1057" spans="1:42" s="34" customFormat="1" ht="14.5">
      <c r="A1057" s="1693">
        <v>935</v>
      </c>
      <c r="B1057" s="616">
        <v>965</v>
      </c>
      <c r="C1057" s="1693">
        <v>966</v>
      </c>
      <c r="D1057" s="616">
        <v>936</v>
      </c>
      <c r="E1057" s="1693">
        <v>962</v>
      </c>
      <c r="F1057" s="616">
        <v>1</v>
      </c>
      <c r="G1057" s="1693">
        <v>1049</v>
      </c>
      <c r="H1057" s="616">
        <v>1</v>
      </c>
      <c r="I1057" s="616"/>
      <c r="K1057" s="454"/>
      <c r="L1057" s="4"/>
      <c r="M1057" s="4"/>
      <c r="N1057" s="4"/>
      <c r="O1057" s="260"/>
      <c r="P1057" s="4"/>
      <c r="Q1057" s="4"/>
      <c r="R1057" s="3"/>
      <c r="S1057" s="3"/>
      <c r="T1057" s="41"/>
      <c r="U1057" s="41" t="s">
        <v>18</v>
      </c>
      <c r="V1057" s="41"/>
      <c r="W1057" s="1904"/>
      <c r="X1057" s="1908">
        <v>0</v>
      </c>
      <c r="Y1057" s="1908">
        <v>0</v>
      </c>
      <c r="Z1057" s="1908">
        <v>0</v>
      </c>
      <c r="AA1057" s="1908">
        <v>0</v>
      </c>
      <c r="AB1057" s="1908">
        <v>0</v>
      </c>
      <c r="AC1057" s="1908">
        <v>0</v>
      </c>
      <c r="AD1057" s="1908">
        <v>0</v>
      </c>
      <c r="AE1057" s="1908">
        <v>0</v>
      </c>
      <c r="AF1057" s="1908">
        <v>0</v>
      </c>
      <c r="AG1057" s="1908">
        <v>0</v>
      </c>
      <c r="AH1057" s="1908">
        <v>0</v>
      </c>
      <c r="AI1057" s="1908">
        <v>0</v>
      </c>
      <c r="AJ1057" s="1909">
        <v>0</v>
      </c>
      <c r="AK1057" s="1910">
        <v>0</v>
      </c>
      <c r="AL1057" s="1910">
        <v>0</v>
      </c>
      <c r="AM1057" s="1910">
        <v>0</v>
      </c>
      <c r="AN1057" s="1910">
        <v>0</v>
      </c>
      <c r="AO1057" s="1910">
        <v>0</v>
      </c>
      <c r="AP1057" s="1910">
        <v>0</v>
      </c>
    </row>
    <row r="1058" spans="1:42" s="34" customFormat="1" ht="14.5">
      <c r="A1058" s="1693">
        <v>936</v>
      </c>
      <c r="B1058" s="616">
        <v>966</v>
      </c>
      <c r="C1058" s="1693">
        <v>967</v>
      </c>
      <c r="D1058" s="616">
        <v>937</v>
      </c>
      <c r="E1058" s="1693">
        <v>963</v>
      </c>
      <c r="F1058" s="616">
        <v>1</v>
      </c>
      <c r="G1058" s="1693">
        <v>1050</v>
      </c>
      <c r="H1058" s="616">
        <v>1</v>
      </c>
      <c r="I1058" s="616"/>
      <c r="K1058" s="454"/>
      <c r="L1058" s="4"/>
      <c r="M1058" s="4"/>
      <c r="N1058" s="4"/>
      <c r="O1058" s="260"/>
      <c r="P1058" s="4"/>
      <c r="Q1058" s="4"/>
      <c r="R1058" s="3"/>
      <c r="S1058" s="3"/>
      <c r="T1058" s="41"/>
      <c r="U1058" s="41" t="s">
        <v>19</v>
      </c>
      <c r="V1058" s="41"/>
      <c r="W1058" s="1904"/>
      <c r="X1058" s="1908">
        <v>0</v>
      </c>
      <c r="Y1058" s="1908">
        <v>0</v>
      </c>
      <c r="Z1058" s="1908">
        <v>0</v>
      </c>
      <c r="AA1058" s="1908">
        <v>0</v>
      </c>
      <c r="AB1058" s="1908">
        <v>0</v>
      </c>
      <c r="AC1058" s="1908">
        <v>0</v>
      </c>
      <c r="AD1058" s="1908">
        <v>0</v>
      </c>
      <c r="AE1058" s="1908">
        <v>0</v>
      </c>
      <c r="AF1058" s="1908">
        <v>0</v>
      </c>
      <c r="AG1058" s="1908">
        <v>0</v>
      </c>
      <c r="AH1058" s="1908">
        <v>0</v>
      </c>
      <c r="AI1058" s="1908">
        <v>0</v>
      </c>
      <c r="AJ1058" s="1909">
        <v>0</v>
      </c>
      <c r="AK1058" s="1910">
        <v>0</v>
      </c>
      <c r="AL1058" s="1910">
        <v>0</v>
      </c>
      <c r="AM1058" s="1910">
        <v>0</v>
      </c>
      <c r="AN1058" s="1910">
        <v>0</v>
      </c>
      <c r="AO1058" s="1910">
        <v>0</v>
      </c>
      <c r="AP1058" s="1910">
        <v>0</v>
      </c>
    </row>
    <row r="1059" spans="1:42" s="34" customFormat="1" ht="14.5">
      <c r="A1059" s="1693">
        <v>937</v>
      </c>
      <c r="B1059" s="616">
        <v>967</v>
      </c>
      <c r="C1059" s="1693">
        <v>968</v>
      </c>
      <c r="D1059" s="616">
        <v>938</v>
      </c>
      <c r="E1059" s="1693">
        <v>964</v>
      </c>
      <c r="F1059" s="616">
        <v>1</v>
      </c>
      <c r="G1059" s="1693">
        <v>1051</v>
      </c>
      <c r="H1059" s="616">
        <v>1</v>
      </c>
      <c r="I1059" s="616"/>
      <c r="K1059" s="454"/>
      <c r="L1059" s="4"/>
      <c r="M1059" s="4"/>
      <c r="N1059" s="4"/>
      <c r="O1059" s="260"/>
      <c r="P1059" s="4"/>
      <c r="Q1059" s="4"/>
      <c r="R1059" s="3"/>
      <c r="S1059" s="3"/>
      <c r="T1059" s="41"/>
      <c r="U1059" s="41" t="s">
        <v>20</v>
      </c>
      <c r="V1059" s="41"/>
      <c r="W1059" s="1904"/>
      <c r="X1059" s="1908">
        <v>0</v>
      </c>
      <c r="Y1059" s="1908">
        <v>0</v>
      </c>
      <c r="Z1059" s="1908">
        <v>0</v>
      </c>
      <c r="AA1059" s="1908">
        <v>0</v>
      </c>
      <c r="AB1059" s="1908">
        <v>0</v>
      </c>
      <c r="AC1059" s="1908">
        <v>0</v>
      </c>
      <c r="AD1059" s="1908">
        <v>0</v>
      </c>
      <c r="AE1059" s="1908">
        <v>0</v>
      </c>
      <c r="AF1059" s="1908">
        <v>0</v>
      </c>
      <c r="AG1059" s="1908">
        <v>0</v>
      </c>
      <c r="AH1059" s="1908">
        <v>0</v>
      </c>
      <c r="AI1059" s="1908">
        <v>0</v>
      </c>
      <c r="AJ1059" s="1909">
        <v>0</v>
      </c>
      <c r="AK1059" s="1910">
        <v>0</v>
      </c>
      <c r="AL1059" s="1910">
        <v>0</v>
      </c>
      <c r="AM1059" s="1910">
        <v>0</v>
      </c>
      <c r="AN1059" s="1910">
        <v>0</v>
      </c>
      <c r="AO1059" s="1910">
        <v>0</v>
      </c>
      <c r="AP1059" s="1910">
        <v>0</v>
      </c>
    </row>
    <row r="1060" spans="1:42" s="34" customFormat="1" ht="14.5">
      <c r="A1060" s="1693">
        <v>938</v>
      </c>
      <c r="B1060" s="616">
        <v>968</v>
      </c>
      <c r="C1060" s="1693">
        <v>969</v>
      </c>
      <c r="D1060" s="616">
        <v>939</v>
      </c>
      <c r="E1060" s="1693">
        <v>965</v>
      </c>
      <c r="F1060" s="616">
        <v>1</v>
      </c>
      <c r="G1060" s="1693">
        <v>1052</v>
      </c>
      <c r="H1060" s="616">
        <v>1</v>
      </c>
      <c r="I1060" s="616"/>
      <c r="K1060" s="454"/>
      <c r="L1060" s="4"/>
      <c r="M1060" s="4"/>
      <c r="N1060" s="4"/>
      <c r="O1060" s="260"/>
      <c r="P1060" s="4"/>
      <c r="Q1060" s="4"/>
      <c r="R1060" s="3"/>
      <c r="S1060" s="3"/>
      <c r="T1060" s="41"/>
      <c r="U1060" s="41" t="s">
        <v>2</v>
      </c>
      <c r="V1060" s="41"/>
      <c r="W1060" s="1904"/>
      <c r="X1060" s="1908">
        <v>0</v>
      </c>
      <c r="Y1060" s="1908">
        <v>0</v>
      </c>
      <c r="Z1060" s="1908">
        <v>0</v>
      </c>
      <c r="AA1060" s="1908">
        <v>0</v>
      </c>
      <c r="AB1060" s="1908">
        <v>0</v>
      </c>
      <c r="AC1060" s="1908">
        <v>0</v>
      </c>
      <c r="AD1060" s="1908">
        <v>0</v>
      </c>
      <c r="AE1060" s="1908">
        <v>0</v>
      </c>
      <c r="AF1060" s="1908">
        <v>0</v>
      </c>
      <c r="AG1060" s="1908">
        <v>0</v>
      </c>
      <c r="AH1060" s="1908">
        <v>0</v>
      </c>
      <c r="AI1060" s="1908">
        <v>0</v>
      </c>
      <c r="AJ1060" s="1909">
        <v>0</v>
      </c>
      <c r="AK1060" s="1910">
        <v>0</v>
      </c>
      <c r="AL1060" s="1910">
        <v>0</v>
      </c>
      <c r="AM1060" s="1910">
        <v>0</v>
      </c>
      <c r="AN1060" s="1910">
        <v>0</v>
      </c>
      <c r="AO1060" s="1910">
        <v>0</v>
      </c>
      <c r="AP1060" s="1910">
        <v>0</v>
      </c>
    </row>
    <row r="1061" spans="1:42" s="34" customFormat="1" ht="14.5">
      <c r="A1061" s="1693">
        <v>939</v>
      </c>
      <c r="B1061" s="616">
        <v>969</v>
      </c>
      <c r="C1061" s="1693">
        <v>970</v>
      </c>
      <c r="D1061" s="616">
        <v>940</v>
      </c>
      <c r="E1061" s="1693">
        <v>966</v>
      </c>
      <c r="F1061" s="616">
        <v>1</v>
      </c>
      <c r="G1061" s="1693">
        <v>1053</v>
      </c>
      <c r="H1061" s="616">
        <v>1</v>
      </c>
      <c r="I1061" s="616"/>
      <c r="J1061" s="709" t="s">
        <v>512</v>
      </c>
      <c r="K1061" s="1764" t="s">
        <v>1216</v>
      </c>
      <c r="L1061" s="4"/>
      <c r="M1061" s="4"/>
      <c r="N1061" s="4"/>
      <c r="O1061" s="260"/>
      <c r="P1061" s="252" t="s">
        <v>206</v>
      </c>
      <c r="Q1061" s="252"/>
      <c r="R1061" s="252"/>
      <c r="S1061" s="251"/>
      <c r="T1061" s="251"/>
      <c r="U1061" s="251"/>
      <c r="V1061" s="251"/>
      <c r="W1061" s="1849"/>
      <c r="X1061" s="1986">
        <v>0</v>
      </c>
      <c r="Y1061" s="1986">
        <v>0</v>
      </c>
      <c r="Z1061" s="1986">
        <v>0</v>
      </c>
      <c r="AA1061" s="1986">
        <v>0</v>
      </c>
      <c r="AB1061" s="1986">
        <v>0</v>
      </c>
      <c r="AC1061" s="1986">
        <v>0</v>
      </c>
      <c r="AD1061" s="1986">
        <v>0</v>
      </c>
      <c r="AE1061" s="1986">
        <v>0</v>
      </c>
      <c r="AF1061" s="1986">
        <v>0</v>
      </c>
      <c r="AG1061" s="1986">
        <v>0</v>
      </c>
      <c r="AH1061" s="1986">
        <v>0</v>
      </c>
      <c r="AI1061" s="1986">
        <v>0</v>
      </c>
      <c r="AJ1061" s="2262">
        <v>0</v>
      </c>
      <c r="AK1061" s="1986">
        <v>0</v>
      </c>
      <c r="AL1061" s="1986">
        <v>0</v>
      </c>
      <c r="AM1061" s="1986">
        <v>0</v>
      </c>
      <c r="AN1061" s="1986">
        <v>0</v>
      </c>
      <c r="AO1061" s="1986">
        <v>0</v>
      </c>
      <c r="AP1061" s="1986">
        <v>0</v>
      </c>
    </row>
    <row r="1062" spans="1:42" s="34" customFormat="1" ht="14.5">
      <c r="A1062" s="1693">
        <v>940</v>
      </c>
      <c r="B1062" s="616">
        <v>970</v>
      </c>
      <c r="C1062" s="1693">
        <v>971</v>
      </c>
      <c r="D1062" s="616">
        <v>941</v>
      </c>
      <c r="E1062" s="1693">
        <v>967</v>
      </c>
      <c r="F1062" s="616">
        <v>1</v>
      </c>
      <c r="G1062" s="1693">
        <v>1054</v>
      </c>
      <c r="H1062" s="616">
        <v>1</v>
      </c>
      <c r="I1062" s="616"/>
      <c r="K1062" s="454"/>
      <c r="L1062" s="4"/>
      <c r="M1062" s="4"/>
      <c r="N1062" s="4"/>
      <c r="O1062" s="260"/>
      <c r="P1062" s="4"/>
      <c r="Q1062" s="4"/>
      <c r="R1062" s="3"/>
      <c r="S1062" s="3"/>
      <c r="T1062" s="41"/>
      <c r="U1062" s="41" t="s">
        <v>21</v>
      </c>
      <c r="V1062" s="41"/>
      <c r="W1062" s="1904"/>
      <c r="X1062" s="1908">
        <v>0</v>
      </c>
      <c r="Y1062" s="1908">
        <v>0</v>
      </c>
      <c r="Z1062" s="1908">
        <v>0</v>
      </c>
      <c r="AA1062" s="1908">
        <v>0</v>
      </c>
      <c r="AB1062" s="1908">
        <v>0</v>
      </c>
      <c r="AC1062" s="1908">
        <v>0</v>
      </c>
      <c r="AD1062" s="1908">
        <v>0</v>
      </c>
      <c r="AE1062" s="1908">
        <v>0</v>
      </c>
      <c r="AF1062" s="1908">
        <v>0</v>
      </c>
      <c r="AG1062" s="1908">
        <v>0</v>
      </c>
      <c r="AH1062" s="1908">
        <v>0</v>
      </c>
      <c r="AI1062" s="1908">
        <v>0</v>
      </c>
      <c r="AJ1062" s="1909">
        <v>0</v>
      </c>
      <c r="AK1062" s="1910">
        <v>0</v>
      </c>
      <c r="AL1062" s="1910">
        <v>0</v>
      </c>
      <c r="AM1062" s="1910">
        <v>0</v>
      </c>
      <c r="AN1062" s="1910">
        <v>0</v>
      </c>
      <c r="AO1062" s="1910">
        <v>0</v>
      </c>
      <c r="AP1062" s="1910">
        <v>0</v>
      </c>
    </row>
    <row r="1063" spans="1:42" s="34" customFormat="1" ht="14.5">
      <c r="A1063" s="1693">
        <v>941</v>
      </c>
      <c r="B1063" s="616">
        <v>971</v>
      </c>
      <c r="C1063" s="1693">
        <v>972</v>
      </c>
      <c r="D1063" s="616">
        <v>942</v>
      </c>
      <c r="E1063" s="1693">
        <v>968</v>
      </c>
      <c r="F1063" s="616">
        <v>1</v>
      </c>
      <c r="G1063" s="1693">
        <v>1055</v>
      </c>
      <c r="H1063" s="616">
        <v>1</v>
      </c>
      <c r="I1063" s="616"/>
      <c r="K1063" s="454"/>
      <c r="L1063" s="4"/>
      <c r="M1063" s="4"/>
      <c r="N1063" s="4"/>
      <c r="O1063" s="260"/>
      <c r="P1063" s="4"/>
      <c r="Q1063" s="4"/>
      <c r="R1063" s="3"/>
      <c r="S1063" s="3"/>
      <c r="T1063" s="41"/>
      <c r="U1063" s="41" t="s">
        <v>22</v>
      </c>
      <c r="V1063" s="41"/>
      <c r="W1063" s="1904"/>
      <c r="X1063" s="1908">
        <v>0</v>
      </c>
      <c r="Y1063" s="1908">
        <v>0</v>
      </c>
      <c r="Z1063" s="1908">
        <v>0</v>
      </c>
      <c r="AA1063" s="1908">
        <v>0</v>
      </c>
      <c r="AB1063" s="1908">
        <v>0</v>
      </c>
      <c r="AC1063" s="1908">
        <v>0</v>
      </c>
      <c r="AD1063" s="1908">
        <v>0</v>
      </c>
      <c r="AE1063" s="1908">
        <v>0</v>
      </c>
      <c r="AF1063" s="1908">
        <v>0</v>
      </c>
      <c r="AG1063" s="1908">
        <v>0</v>
      </c>
      <c r="AH1063" s="1908">
        <v>0</v>
      </c>
      <c r="AI1063" s="1908">
        <v>0</v>
      </c>
      <c r="AJ1063" s="1909">
        <v>0</v>
      </c>
      <c r="AK1063" s="1910">
        <v>0</v>
      </c>
      <c r="AL1063" s="1910">
        <v>0</v>
      </c>
      <c r="AM1063" s="1910">
        <v>0</v>
      </c>
      <c r="AN1063" s="1910">
        <v>0</v>
      </c>
      <c r="AO1063" s="1910">
        <v>0</v>
      </c>
      <c r="AP1063" s="1910">
        <v>0</v>
      </c>
    </row>
    <row r="1064" spans="1:42" s="34" customFormat="1" ht="14.5">
      <c r="A1064" s="1693">
        <v>942</v>
      </c>
      <c r="B1064" s="616">
        <v>972</v>
      </c>
      <c r="C1064" s="1693">
        <v>973</v>
      </c>
      <c r="D1064" s="616">
        <v>943</v>
      </c>
      <c r="E1064" s="1693">
        <v>969</v>
      </c>
      <c r="F1064" s="616">
        <v>1</v>
      </c>
      <c r="G1064" s="1693">
        <v>1056</v>
      </c>
      <c r="H1064" s="616">
        <v>1</v>
      </c>
      <c r="I1064" s="616"/>
      <c r="K1064" s="454"/>
      <c r="L1064" s="4"/>
      <c r="M1064" s="4"/>
      <c r="N1064" s="4"/>
      <c r="O1064" s="261"/>
      <c r="P1064" s="2"/>
      <c r="Q1064" s="2"/>
      <c r="R1064" s="1"/>
      <c r="S1064" s="1"/>
      <c r="T1064" s="39"/>
      <c r="U1064" s="39" t="s">
        <v>23</v>
      </c>
      <c r="V1064" s="39"/>
      <c r="W1064" s="1904"/>
      <c r="X1064" s="2261">
        <v>0</v>
      </c>
      <c r="Y1064" s="2261">
        <v>0</v>
      </c>
      <c r="Z1064" s="2261">
        <v>0</v>
      </c>
      <c r="AA1064" s="2261">
        <v>0</v>
      </c>
      <c r="AB1064" s="2261">
        <v>0</v>
      </c>
      <c r="AC1064" s="2261">
        <v>0</v>
      </c>
      <c r="AD1064" s="2261">
        <v>0</v>
      </c>
      <c r="AE1064" s="2261">
        <v>0</v>
      </c>
      <c r="AF1064" s="2261">
        <v>0</v>
      </c>
      <c r="AG1064" s="2261">
        <v>0</v>
      </c>
      <c r="AH1064" s="2261">
        <v>0</v>
      </c>
      <c r="AI1064" s="2261">
        <v>0</v>
      </c>
      <c r="AJ1064" s="2247">
        <v>0</v>
      </c>
      <c r="AK1064" s="2248">
        <v>0</v>
      </c>
      <c r="AL1064" s="2248">
        <v>0</v>
      </c>
      <c r="AM1064" s="2248">
        <v>0</v>
      </c>
      <c r="AN1064" s="2248">
        <v>0</v>
      </c>
      <c r="AO1064" s="2248">
        <v>0</v>
      </c>
      <c r="AP1064" s="2248">
        <v>0</v>
      </c>
    </row>
    <row r="1065" spans="1:42" s="34" customFormat="1" ht="14.5">
      <c r="A1065" s="1693">
        <v>943</v>
      </c>
      <c r="B1065" s="616">
        <v>973</v>
      </c>
      <c r="C1065" s="1693">
        <v>974</v>
      </c>
      <c r="D1065" s="616">
        <v>944</v>
      </c>
      <c r="E1065" s="1693">
        <v>970</v>
      </c>
      <c r="F1065" s="616">
        <v>1</v>
      </c>
      <c r="G1065" s="1693">
        <v>1057</v>
      </c>
      <c r="H1065" s="616">
        <v>1</v>
      </c>
      <c r="I1065" s="616"/>
      <c r="J1065" s="709" t="s">
        <v>512</v>
      </c>
      <c r="K1065" s="1764" t="s">
        <v>1216</v>
      </c>
      <c r="L1065" s="4"/>
      <c r="M1065" s="4"/>
      <c r="N1065" s="4"/>
      <c r="O1065" s="2253" t="s">
        <v>1110</v>
      </c>
      <c r="P1065" s="1523"/>
      <c r="Q1065" s="1509"/>
      <c r="R1065" s="1509"/>
      <c r="S1065" s="1523"/>
      <c r="T1065" s="1523"/>
      <c r="U1065" s="1523"/>
      <c r="V1065" s="1523"/>
      <c r="W1065" s="1853"/>
      <c r="X1065" s="2263">
        <v>0</v>
      </c>
      <c r="Y1065" s="2263">
        <v>0</v>
      </c>
      <c r="Z1065" s="2263">
        <v>0</v>
      </c>
      <c r="AA1065" s="2263">
        <v>0</v>
      </c>
      <c r="AB1065" s="2263">
        <v>0</v>
      </c>
      <c r="AC1065" s="2263">
        <v>0</v>
      </c>
      <c r="AD1065" s="2263">
        <v>0</v>
      </c>
      <c r="AE1065" s="2263">
        <v>0</v>
      </c>
      <c r="AF1065" s="2263">
        <v>0</v>
      </c>
      <c r="AG1065" s="2263">
        <v>0</v>
      </c>
      <c r="AH1065" s="2263">
        <v>0</v>
      </c>
      <c r="AI1065" s="2263">
        <v>0</v>
      </c>
      <c r="AJ1065" s="2255">
        <v>0</v>
      </c>
      <c r="AK1065" s="2256">
        <v>0</v>
      </c>
      <c r="AL1065" s="2256">
        <v>0</v>
      </c>
      <c r="AM1065" s="2256">
        <v>0</v>
      </c>
      <c r="AN1065" s="2256">
        <v>0</v>
      </c>
      <c r="AO1065" s="2256">
        <v>0</v>
      </c>
      <c r="AP1065" s="2256">
        <v>0</v>
      </c>
    </row>
    <row r="1066" spans="1:42" s="34" customFormat="1" ht="14.5">
      <c r="A1066" s="1693">
        <v>943</v>
      </c>
      <c r="B1066" s="616">
        <v>973</v>
      </c>
      <c r="C1066" s="1693">
        <v>974</v>
      </c>
      <c r="D1066" s="616">
        <v>944</v>
      </c>
      <c r="E1066" s="1693">
        <v>970</v>
      </c>
      <c r="F1066" s="616">
        <v>1</v>
      </c>
      <c r="G1066" s="1693">
        <v>1057</v>
      </c>
      <c r="H1066" s="616">
        <v>1</v>
      </c>
      <c r="I1066" s="616"/>
      <c r="J1066" s="709" t="s">
        <v>512</v>
      </c>
      <c r="K1066" s="1764" t="s">
        <v>1216</v>
      </c>
      <c r="L1066" s="1768"/>
      <c r="M1066" s="4"/>
      <c r="N1066" s="4"/>
      <c r="O1066" s="4"/>
      <c r="P1066" s="4"/>
      <c r="Q1066" s="1747" t="s">
        <v>1225</v>
      </c>
      <c r="R1066" s="1748"/>
      <c r="S1066" s="1749"/>
      <c r="T1066" s="1749"/>
      <c r="U1066" s="1749"/>
      <c r="V1066" s="1749"/>
      <c r="W1066" s="2129"/>
      <c r="X1066" s="2276"/>
      <c r="Y1066" s="2276"/>
      <c r="Z1066" s="2276"/>
      <c r="AA1066" s="2276"/>
      <c r="AB1066" s="2276"/>
      <c r="AC1066" s="2276"/>
      <c r="AD1066" s="2276"/>
      <c r="AE1066" s="2276"/>
      <c r="AF1066" s="2276"/>
      <c r="AG1066" s="2276"/>
      <c r="AH1066" s="2276"/>
      <c r="AI1066" s="2276"/>
      <c r="AJ1066" s="2277"/>
      <c r="AK1066" s="2276"/>
      <c r="AL1066" s="2276"/>
      <c r="AM1066" s="2276"/>
      <c r="AN1066" s="2276"/>
      <c r="AO1066" s="2276"/>
      <c r="AP1066" s="2276"/>
    </row>
    <row r="1067" spans="1:42" s="34" customFormat="1" ht="14.5">
      <c r="A1067" s="1693">
        <v>944</v>
      </c>
      <c r="B1067" s="616">
        <v>974</v>
      </c>
      <c r="C1067" s="1693">
        <v>975</v>
      </c>
      <c r="D1067" s="616">
        <v>945</v>
      </c>
      <c r="E1067" s="1693">
        <v>971</v>
      </c>
      <c r="F1067" s="616">
        <v>1</v>
      </c>
      <c r="G1067" s="1693">
        <v>1058</v>
      </c>
      <c r="H1067" s="616">
        <v>1</v>
      </c>
      <c r="I1067" s="616"/>
      <c r="J1067" s="709" t="s">
        <v>512</v>
      </c>
      <c r="K1067" s="1764" t="s">
        <v>1216</v>
      </c>
      <c r="L1067" s="1768"/>
      <c r="M1067" s="4"/>
      <c r="N1067" s="4"/>
      <c r="O1067" s="4"/>
      <c r="P1067" s="4"/>
      <c r="Q1067" s="260"/>
      <c r="R1067" s="48" t="s">
        <v>204</v>
      </c>
      <c r="S1067" s="47"/>
      <c r="T1067" s="47"/>
      <c r="U1067" s="47"/>
      <c r="V1067" s="47"/>
      <c r="W1067" s="1849"/>
      <c r="X1067" s="1970">
        <v>0</v>
      </c>
      <c r="Y1067" s="1970">
        <v>0</v>
      </c>
      <c r="Z1067" s="1970">
        <v>0</v>
      </c>
      <c r="AA1067" s="1970">
        <v>0</v>
      </c>
      <c r="AB1067" s="1970">
        <v>0</v>
      </c>
      <c r="AC1067" s="1970">
        <v>0</v>
      </c>
      <c r="AD1067" s="1970">
        <v>0</v>
      </c>
      <c r="AE1067" s="1970">
        <v>0</v>
      </c>
      <c r="AF1067" s="1970">
        <v>0</v>
      </c>
      <c r="AG1067" s="1970">
        <v>0</v>
      </c>
      <c r="AH1067" s="1970">
        <v>0</v>
      </c>
      <c r="AI1067" s="1970">
        <v>0</v>
      </c>
      <c r="AJ1067" s="2044">
        <v>0</v>
      </c>
      <c r="AK1067" s="1970">
        <v>0</v>
      </c>
      <c r="AL1067" s="1970">
        <v>0</v>
      </c>
      <c r="AM1067" s="1970">
        <v>0</v>
      </c>
      <c r="AN1067" s="1970">
        <v>0</v>
      </c>
      <c r="AO1067" s="1970">
        <v>0</v>
      </c>
      <c r="AP1067" s="1970">
        <v>0</v>
      </c>
    </row>
    <row r="1068" spans="1:42" s="34" customFormat="1" ht="14.5">
      <c r="A1068" s="1693">
        <v>945</v>
      </c>
      <c r="B1068" s="616">
        <v>975</v>
      </c>
      <c r="C1068" s="1693">
        <v>976</v>
      </c>
      <c r="D1068" s="616">
        <v>946</v>
      </c>
      <c r="E1068" s="1693">
        <v>972</v>
      </c>
      <c r="F1068" s="616">
        <v>1</v>
      </c>
      <c r="G1068" s="1693">
        <v>1059</v>
      </c>
      <c r="H1068" s="616">
        <v>1</v>
      </c>
      <c r="I1068" s="616"/>
      <c r="K1068" s="1764" t="s">
        <v>1216</v>
      </c>
      <c r="L1068" s="1768"/>
      <c r="M1068" s="4"/>
      <c r="N1068" s="4"/>
      <c r="O1068" s="4"/>
      <c r="P1068" s="4"/>
      <c r="Q1068" s="260"/>
      <c r="R1068" s="4"/>
      <c r="S1068" s="3"/>
      <c r="T1068" s="41"/>
      <c r="U1068" s="41" t="s">
        <v>3</v>
      </c>
      <c r="V1068" s="3"/>
      <c r="W1068" s="1904"/>
      <c r="X1068" s="2278"/>
      <c r="Y1068" s="2278"/>
      <c r="Z1068" s="2278"/>
      <c r="AA1068" s="2278"/>
      <c r="AB1068" s="2278"/>
      <c r="AC1068" s="2278"/>
      <c r="AD1068" s="2278"/>
      <c r="AE1068" s="2278"/>
      <c r="AF1068" s="2278"/>
      <c r="AG1068" s="2278"/>
      <c r="AH1068" s="2278"/>
      <c r="AI1068" s="2278"/>
      <c r="AJ1068" s="1909">
        <v>0</v>
      </c>
      <c r="AK1068" s="1910">
        <v>0</v>
      </c>
      <c r="AL1068" s="1910">
        <v>0</v>
      </c>
      <c r="AM1068" s="1910">
        <v>0</v>
      </c>
      <c r="AN1068" s="1910">
        <v>0</v>
      </c>
      <c r="AO1068" s="1910">
        <v>0</v>
      </c>
      <c r="AP1068" s="1910">
        <v>0</v>
      </c>
    </row>
    <row r="1069" spans="1:42" s="34" customFormat="1" ht="14.5">
      <c r="A1069" s="1693">
        <v>946</v>
      </c>
      <c r="B1069" s="616">
        <v>976</v>
      </c>
      <c r="C1069" s="1693">
        <v>977</v>
      </c>
      <c r="D1069" s="616">
        <v>947</v>
      </c>
      <c r="E1069" s="1693">
        <v>973</v>
      </c>
      <c r="F1069" s="616">
        <v>1</v>
      </c>
      <c r="G1069" s="1693">
        <v>1060</v>
      </c>
      <c r="H1069" s="616">
        <v>1</v>
      </c>
      <c r="I1069" s="616"/>
      <c r="K1069" s="1764" t="s">
        <v>1216</v>
      </c>
      <c r="L1069" s="1768"/>
      <c r="M1069" s="4"/>
      <c r="N1069" s="4"/>
      <c r="O1069" s="4"/>
      <c r="P1069" s="4"/>
      <c r="Q1069" s="260"/>
      <c r="R1069" s="4"/>
      <c r="S1069" s="3"/>
      <c r="T1069" s="41"/>
      <c r="U1069" s="41" t="s">
        <v>4</v>
      </c>
      <c r="V1069" s="725"/>
      <c r="W1069" s="1904"/>
      <c r="X1069" s="2278"/>
      <c r="Y1069" s="2278"/>
      <c r="Z1069" s="2278"/>
      <c r="AA1069" s="2278"/>
      <c r="AB1069" s="2278"/>
      <c r="AC1069" s="2278"/>
      <c r="AD1069" s="2278"/>
      <c r="AE1069" s="2278"/>
      <c r="AF1069" s="2278"/>
      <c r="AG1069" s="2278"/>
      <c r="AH1069" s="2278"/>
      <c r="AI1069" s="2278"/>
      <c r="AJ1069" s="1909">
        <v>0</v>
      </c>
      <c r="AK1069" s="1910">
        <v>0</v>
      </c>
      <c r="AL1069" s="1910">
        <v>0</v>
      </c>
      <c r="AM1069" s="1910">
        <v>0</v>
      </c>
      <c r="AN1069" s="1910">
        <v>0</v>
      </c>
      <c r="AO1069" s="1910">
        <v>0</v>
      </c>
      <c r="AP1069" s="1910">
        <v>0</v>
      </c>
    </row>
    <row r="1070" spans="1:42" s="34" customFormat="1" ht="14.5">
      <c r="A1070" s="1693">
        <v>947</v>
      </c>
      <c r="B1070" s="616">
        <v>977</v>
      </c>
      <c r="C1070" s="1693">
        <v>978</v>
      </c>
      <c r="D1070" s="616">
        <v>948</v>
      </c>
      <c r="E1070" s="1693">
        <v>974</v>
      </c>
      <c r="F1070" s="616">
        <v>1</v>
      </c>
      <c r="G1070" s="1693">
        <v>1061</v>
      </c>
      <c r="H1070" s="616">
        <v>1</v>
      </c>
      <c r="I1070" s="616"/>
      <c r="K1070" s="1764" t="s">
        <v>1216</v>
      </c>
      <c r="L1070" s="1768"/>
      <c r="M1070" s="4"/>
      <c r="N1070" s="4"/>
      <c r="O1070" s="4"/>
      <c r="P1070" s="4"/>
      <c r="Q1070" s="260"/>
      <c r="R1070" s="4"/>
      <c r="S1070" s="3"/>
      <c r="T1070" s="41"/>
      <c r="U1070" s="41" t="s">
        <v>602</v>
      </c>
      <c r="V1070" s="3"/>
      <c r="W1070" s="1904"/>
      <c r="X1070" s="2278"/>
      <c r="Y1070" s="2278"/>
      <c r="Z1070" s="2278"/>
      <c r="AA1070" s="2278"/>
      <c r="AB1070" s="2278"/>
      <c r="AC1070" s="2278"/>
      <c r="AD1070" s="2278"/>
      <c r="AE1070" s="2278"/>
      <c r="AF1070" s="2278"/>
      <c r="AG1070" s="2278"/>
      <c r="AH1070" s="2278"/>
      <c r="AI1070" s="2278"/>
      <c r="AJ1070" s="1909">
        <v>0</v>
      </c>
      <c r="AK1070" s="1910">
        <v>0</v>
      </c>
      <c r="AL1070" s="1910">
        <v>0</v>
      </c>
      <c r="AM1070" s="1910">
        <v>0</v>
      </c>
      <c r="AN1070" s="1910">
        <v>0</v>
      </c>
      <c r="AO1070" s="1910">
        <v>0</v>
      </c>
      <c r="AP1070" s="1910">
        <v>0</v>
      </c>
    </row>
    <row r="1071" spans="1:42" s="34" customFormat="1" ht="14.5">
      <c r="A1071" s="1693">
        <v>947</v>
      </c>
      <c r="B1071" s="616">
        <v>977</v>
      </c>
      <c r="C1071" s="1693">
        <v>978</v>
      </c>
      <c r="D1071" s="616">
        <v>948</v>
      </c>
      <c r="E1071" s="1693">
        <v>974</v>
      </c>
      <c r="F1071" s="616">
        <v>1</v>
      </c>
      <c r="G1071" s="1693">
        <v>1061</v>
      </c>
      <c r="H1071" s="616">
        <v>1</v>
      </c>
      <c r="I1071" s="616"/>
      <c r="K1071" s="1764" t="s">
        <v>1216</v>
      </c>
      <c r="L1071" s="1768"/>
      <c r="M1071" s="4"/>
      <c r="N1071" s="4"/>
      <c r="O1071" s="4"/>
      <c r="P1071" s="4"/>
      <c r="Q1071" s="260"/>
      <c r="R1071" s="4"/>
      <c r="S1071" s="3"/>
      <c r="T1071" s="41"/>
      <c r="U1071" s="41" t="s">
        <v>656</v>
      </c>
      <c r="V1071" s="3"/>
      <c r="W1071" s="1904"/>
      <c r="X1071" s="2278"/>
      <c r="Y1071" s="2278"/>
      <c r="Z1071" s="2278"/>
      <c r="AA1071" s="2278"/>
      <c r="AB1071" s="2278"/>
      <c r="AC1071" s="2278"/>
      <c r="AD1071" s="2278"/>
      <c r="AE1071" s="2278"/>
      <c r="AF1071" s="2278"/>
      <c r="AG1071" s="2278"/>
      <c r="AH1071" s="2278"/>
      <c r="AI1071" s="2278"/>
      <c r="AJ1071" s="1909">
        <v>0</v>
      </c>
      <c r="AK1071" s="1910">
        <v>0</v>
      </c>
      <c r="AL1071" s="1910">
        <v>0</v>
      </c>
      <c r="AM1071" s="1910">
        <v>0</v>
      </c>
      <c r="AN1071" s="1910">
        <v>0</v>
      </c>
      <c r="AO1071" s="1910">
        <v>0</v>
      </c>
      <c r="AP1071" s="1910">
        <v>0</v>
      </c>
    </row>
    <row r="1072" spans="1:42" s="34" customFormat="1" ht="14.5">
      <c r="A1072" s="1693">
        <v>948</v>
      </c>
      <c r="B1072" s="616">
        <v>978</v>
      </c>
      <c r="C1072" s="1693">
        <v>979</v>
      </c>
      <c r="D1072" s="616">
        <v>949</v>
      </c>
      <c r="E1072" s="1693">
        <v>975</v>
      </c>
      <c r="F1072" s="616">
        <v>1</v>
      </c>
      <c r="G1072" s="1693">
        <v>1062</v>
      </c>
      <c r="H1072" s="616">
        <v>1</v>
      </c>
      <c r="I1072" s="616"/>
      <c r="K1072" s="1764" t="s">
        <v>1216</v>
      </c>
      <c r="L1072" s="1768"/>
      <c r="M1072" s="4"/>
      <c r="N1072" s="4"/>
      <c r="O1072" s="4"/>
      <c r="P1072" s="4"/>
      <c r="Q1072" s="260"/>
      <c r="R1072" s="4"/>
      <c r="S1072" s="3"/>
      <c r="T1072" s="41"/>
      <c r="U1072" s="41" t="s">
        <v>620</v>
      </c>
      <c r="V1072" s="3"/>
      <c r="W1072" s="1904"/>
      <c r="X1072" s="2278"/>
      <c r="Y1072" s="2278"/>
      <c r="Z1072" s="2278"/>
      <c r="AA1072" s="2278"/>
      <c r="AB1072" s="2278"/>
      <c r="AC1072" s="2278"/>
      <c r="AD1072" s="2278"/>
      <c r="AE1072" s="2278"/>
      <c r="AF1072" s="2278"/>
      <c r="AG1072" s="2278"/>
      <c r="AH1072" s="2278"/>
      <c r="AI1072" s="2278"/>
      <c r="AJ1072" s="1909">
        <v>0</v>
      </c>
      <c r="AK1072" s="1910">
        <v>0</v>
      </c>
      <c r="AL1072" s="1910">
        <v>0</v>
      </c>
      <c r="AM1072" s="1910">
        <v>0</v>
      </c>
      <c r="AN1072" s="1910">
        <v>0</v>
      </c>
      <c r="AO1072" s="1910">
        <v>0</v>
      </c>
      <c r="AP1072" s="1910">
        <v>0</v>
      </c>
    </row>
    <row r="1073" spans="1:42" s="34" customFormat="1" ht="14.5">
      <c r="A1073" s="1693">
        <v>949</v>
      </c>
      <c r="B1073" s="616">
        <v>979</v>
      </c>
      <c r="C1073" s="1693">
        <v>980</v>
      </c>
      <c r="D1073" s="616">
        <v>950</v>
      </c>
      <c r="E1073" s="1693">
        <v>976</v>
      </c>
      <c r="F1073" s="616">
        <v>1</v>
      </c>
      <c r="G1073" s="1693">
        <v>1063</v>
      </c>
      <c r="H1073" s="616">
        <v>1</v>
      </c>
      <c r="I1073" s="616"/>
      <c r="K1073" s="1764" t="s">
        <v>1216</v>
      </c>
      <c r="L1073" s="1768"/>
      <c r="M1073" s="4"/>
      <c r="N1073" s="4"/>
      <c r="O1073" s="4"/>
      <c r="P1073" s="4"/>
      <c r="Q1073" s="260"/>
      <c r="R1073" s="4"/>
      <c r="S1073" s="3"/>
      <c r="T1073" s="41"/>
      <c r="U1073" s="41" t="s">
        <v>619</v>
      </c>
      <c r="V1073" s="3"/>
      <c r="W1073" s="1904"/>
      <c r="X1073" s="2278"/>
      <c r="Y1073" s="2278"/>
      <c r="Z1073" s="2278"/>
      <c r="AA1073" s="2278"/>
      <c r="AB1073" s="2278"/>
      <c r="AC1073" s="2278"/>
      <c r="AD1073" s="2278"/>
      <c r="AE1073" s="2278"/>
      <c r="AF1073" s="2278"/>
      <c r="AG1073" s="2278"/>
      <c r="AH1073" s="2278"/>
      <c r="AI1073" s="2278"/>
      <c r="AJ1073" s="1909">
        <v>0</v>
      </c>
      <c r="AK1073" s="1910">
        <v>0</v>
      </c>
      <c r="AL1073" s="1910">
        <v>0</v>
      </c>
      <c r="AM1073" s="1910">
        <v>0</v>
      </c>
      <c r="AN1073" s="1910">
        <v>0</v>
      </c>
      <c r="AO1073" s="1910">
        <v>0</v>
      </c>
      <c r="AP1073" s="1910">
        <v>0</v>
      </c>
    </row>
    <row r="1074" spans="1:42" s="34" customFormat="1" ht="14.5">
      <c r="A1074" s="1693">
        <v>950</v>
      </c>
      <c r="B1074" s="616">
        <v>980</v>
      </c>
      <c r="C1074" s="1693">
        <v>981</v>
      </c>
      <c r="D1074" s="616">
        <v>951</v>
      </c>
      <c r="E1074" s="1693">
        <v>977</v>
      </c>
      <c r="F1074" s="616">
        <v>1</v>
      </c>
      <c r="G1074" s="1693">
        <v>1064</v>
      </c>
      <c r="H1074" s="616">
        <v>1</v>
      </c>
      <c r="I1074" s="616"/>
      <c r="J1074" s="709" t="s">
        <v>512</v>
      </c>
      <c r="K1074" s="1764" t="s">
        <v>1216</v>
      </c>
      <c r="L1074" s="1768"/>
      <c r="M1074" s="4"/>
      <c r="N1074" s="4"/>
      <c r="O1074" s="4"/>
      <c r="P1074" s="4"/>
      <c r="Q1074" s="2253" t="s">
        <v>1226</v>
      </c>
      <c r="R1074" s="1523"/>
      <c r="S1074" s="1509"/>
      <c r="T1074" s="1523"/>
      <c r="U1074" s="1523"/>
      <c r="V1074" s="1523"/>
      <c r="W1074" s="1853"/>
      <c r="X1074" s="2279"/>
      <c r="Y1074" s="2279"/>
      <c r="Z1074" s="2279"/>
      <c r="AA1074" s="2279"/>
      <c r="AB1074" s="2279"/>
      <c r="AC1074" s="2279"/>
      <c r="AD1074" s="2279"/>
      <c r="AE1074" s="2279"/>
      <c r="AF1074" s="2279"/>
      <c r="AG1074" s="2279"/>
      <c r="AH1074" s="2279"/>
      <c r="AI1074" s="2279"/>
      <c r="AJ1074" s="2255">
        <v>0</v>
      </c>
      <c r="AK1074" s="2256">
        <v>0</v>
      </c>
      <c r="AL1074" s="2256">
        <v>0</v>
      </c>
      <c r="AM1074" s="2256">
        <v>0</v>
      </c>
      <c r="AN1074" s="2256">
        <v>0</v>
      </c>
      <c r="AO1074" s="2256">
        <v>0</v>
      </c>
      <c r="AP1074" s="2256">
        <v>0</v>
      </c>
    </row>
    <row r="1075" spans="1:42" s="34" customFormat="1" ht="14.5">
      <c r="A1075" s="1693">
        <v>1</v>
      </c>
      <c r="B1075" s="616">
        <v>1</v>
      </c>
      <c r="C1075" s="1693">
        <v>1</v>
      </c>
      <c r="D1075" s="616">
        <v>1</v>
      </c>
      <c r="E1075" s="1693">
        <v>971</v>
      </c>
      <c r="F1075" s="616">
        <v>1</v>
      </c>
      <c r="G1075" s="1693">
        <v>1058</v>
      </c>
      <c r="H1075" s="616">
        <v>1</v>
      </c>
      <c r="I1075" s="616"/>
      <c r="J1075" s="709" t="s">
        <v>512</v>
      </c>
      <c r="K1075" s="1764" t="s">
        <v>1216</v>
      </c>
      <c r="L1075" s="4"/>
      <c r="M1075" s="4"/>
      <c r="N1075" s="4"/>
      <c r="O1075" s="4"/>
      <c r="P1075" s="3"/>
      <c r="Q1075" s="4"/>
      <c r="R1075" s="4"/>
      <c r="S1075" s="3"/>
      <c r="T1075" s="3"/>
      <c r="U1075" s="3"/>
      <c r="V1075" s="3"/>
      <c r="W1075" s="1773"/>
      <c r="X1075" s="1608"/>
      <c r="Y1075" s="1609"/>
      <c r="Z1075" s="1609"/>
      <c r="AA1075" s="1609"/>
      <c r="AB1075" s="1609"/>
      <c r="AC1075" s="1609"/>
      <c r="AD1075" s="1609"/>
      <c r="AE1075" s="1609"/>
      <c r="AF1075" s="1609"/>
      <c r="AG1075" s="1609"/>
      <c r="AH1075" s="454"/>
      <c r="AI1075" s="454"/>
      <c r="AJ1075" s="454"/>
      <c r="AK1075" s="454"/>
      <c r="AL1075" s="454"/>
      <c r="AM1075" s="454"/>
      <c r="AN1075" s="454"/>
      <c r="AO1075" s="454"/>
      <c r="AP1075" s="454"/>
    </row>
    <row r="1076" spans="1:42" ht="18">
      <c r="A1076" s="1693">
        <v>975</v>
      </c>
      <c r="B1076" s="616">
        <v>1</v>
      </c>
      <c r="C1076" s="1693">
        <v>976</v>
      </c>
      <c r="D1076" s="616">
        <v>1</v>
      </c>
      <c r="E1076" s="1693">
        <v>972</v>
      </c>
      <c r="F1076" s="616">
        <v>1</v>
      </c>
      <c r="G1076" s="1693">
        <v>1059</v>
      </c>
      <c r="H1076" s="616">
        <v>1</v>
      </c>
      <c r="J1076" s="709" t="s">
        <v>512</v>
      </c>
      <c r="K1076" s="1764" t="s">
        <v>1216</v>
      </c>
      <c r="L1076" s="242" t="s">
        <v>934</v>
      </c>
      <c r="M1076" s="242"/>
      <c r="O1076" s="4"/>
      <c r="P1076" s="3"/>
      <c r="Q1076" s="4"/>
      <c r="R1076" s="4"/>
      <c r="S1076" s="3"/>
      <c r="T1076" s="3"/>
      <c r="U1076" s="3"/>
      <c r="V1076" s="222"/>
      <c r="W1076" s="1773"/>
      <c r="X1076" s="1608"/>
      <c r="Y1076" s="1609"/>
      <c r="Z1076" s="1609"/>
      <c r="AA1076" s="1609"/>
      <c r="AB1076" s="1609"/>
      <c r="AC1076" s="1609"/>
      <c r="AD1076" s="1366"/>
      <c r="AE1076" s="1366"/>
      <c r="AF1076" s="1366"/>
      <c r="AG1076" s="1366"/>
      <c r="AH1076" s="69"/>
      <c r="AI1076" s="69"/>
      <c r="AJ1076" s="69"/>
      <c r="AK1076" s="69"/>
      <c r="AL1076" s="69"/>
      <c r="AM1076" s="69"/>
      <c r="AN1076" s="69"/>
      <c r="AO1076" s="69"/>
      <c r="AP1076" s="69"/>
    </row>
    <row r="1077" spans="1:42" ht="15.5">
      <c r="A1077" s="1693">
        <v>976</v>
      </c>
      <c r="B1077" s="616">
        <v>1</v>
      </c>
      <c r="C1077" s="1693">
        <v>977</v>
      </c>
      <c r="D1077" s="616">
        <v>1</v>
      </c>
      <c r="E1077" s="1693">
        <v>973</v>
      </c>
      <c r="F1077" s="616">
        <v>1</v>
      </c>
      <c r="G1077" s="1693">
        <v>1060</v>
      </c>
      <c r="H1077" s="616">
        <v>1</v>
      </c>
      <c r="J1077" s="709" t="s">
        <v>512</v>
      </c>
      <c r="K1077" s="1764" t="s">
        <v>1216</v>
      </c>
      <c r="L1077" s="8"/>
      <c r="M1077" s="243" t="s">
        <v>935</v>
      </c>
      <c r="O1077" s="4"/>
      <c r="P1077" s="3"/>
      <c r="Q1077" s="4"/>
      <c r="R1077" s="4"/>
      <c r="S1077" s="3"/>
      <c r="T1077" s="3"/>
      <c r="U1077" s="3"/>
      <c r="V1077" s="3"/>
      <c r="W1077" s="1773"/>
      <c r="X1077" s="1608"/>
      <c r="Y1077" s="1609"/>
      <c r="Z1077" s="1609"/>
      <c r="AA1077" s="1609"/>
      <c r="AB1077" s="1609"/>
      <c r="AC1077" s="1609"/>
      <c r="AD1077" s="1366"/>
      <c r="AE1077" s="1366"/>
      <c r="AF1077" s="1366"/>
      <c r="AG1077" s="1366"/>
      <c r="AH1077" s="69"/>
      <c r="AI1077" s="69"/>
      <c r="AJ1077" s="69"/>
      <c r="AK1077" s="69"/>
      <c r="AL1077" s="69"/>
      <c r="AM1077" s="69"/>
      <c r="AN1077" s="69"/>
      <c r="AO1077" s="69"/>
      <c r="AP1077" s="69"/>
    </row>
    <row r="1078" spans="1:42" ht="14.5">
      <c r="A1078" s="1693">
        <v>977</v>
      </c>
      <c r="B1078" s="616">
        <v>1</v>
      </c>
      <c r="C1078" s="1693">
        <v>978</v>
      </c>
      <c r="D1078" s="616">
        <v>1</v>
      </c>
      <c r="E1078" s="1693">
        <v>974</v>
      </c>
      <c r="F1078" s="616">
        <v>1</v>
      </c>
      <c r="G1078" s="1693">
        <v>1061</v>
      </c>
      <c r="H1078" s="616">
        <v>1</v>
      </c>
      <c r="J1078" s="709" t="s">
        <v>512</v>
      </c>
      <c r="K1078" s="1764" t="s">
        <v>1216</v>
      </c>
      <c r="L1078" s="4"/>
      <c r="M1078" s="4"/>
      <c r="N1078" s="69"/>
      <c r="O1078" s="198"/>
      <c r="P1078" s="447"/>
      <c r="Q1078" s="514"/>
      <c r="R1078" s="514"/>
      <c r="S1078" s="447"/>
      <c r="T1078" s="447"/>
      <c r="U1078" s="447"/>
      <c r="V1078" s="447"/>
      <c r="W1078" s="1773"/>
      <c r="X1078" s="1955">
        <v>45017</v>
      </c>
      <c r="Y1078" s="1955">
        <v>45047</v>
      </c>
      <c r="Z1078" s="1955">
        <v>45078</v>
      </c>
      <c r="AA1078" s="1955">
        <v>45108</v>
      </c>
      <c r="AB1078" s="1955">
        <v>45139</v>
      </c>
      <c r="AC1078" s="1955">
        <v>45170</v>
      </c>
      <c r="AD1078" s="1955">
        <v>45200</v>
      </c>
      <c r="AE1078" s="1955">
        <v>45231</v>
      </c>
      <c r="AF1078" s="1955">
        <v>45261</v>
      </c>
      <c r="AG1078" s="1955">
        <v>45292</v>
      </c>
      <c r="AH1078" s="1955">
        <v>45323</v>
      </c>
      <c r="AI1078" s="1955">
        <v>45352</v>
      </c>
      <c r="AJ1078" s="2132" t="s">
        <v>904</v>
      </c>
      <c r="AK1078" s="2133" t="s">
        <v>36</v>
      </c>
      <c r="AL1078" s="2133" t="s">
        <v>35</v>
      </c>
      <c r="AM1078" s="2133" t="s">
        <v>34</v>
      </c>
      <c r="AN1078" s="2133" t="s">
        <v>33</v>
      </c>
      <c r="AO1078" s="2133" t="s">
        <v>32</v>
      </c>
      <c r="AP1078" s="2133" t="s">
        <v>905</v>
      </c>
    </row>
    <row r="1079" spans="1:42" ht="14.5">
      <c r="A1079" s="1693">
        <v>978</v>
      </c>
      <c r="B1079" s="616">
        <v>1</v>
      </c>
      <c r="C1079" s="1693">
        <v>979</v>
      </c>
      <c r="D1079" s="616">
        <v>1</v>
      </c>
      <c r="E1079" s="1693">
        <v>975</v>
      </c>
      <c r="F1079" s="616">
        <v>1</v>
      </c>
      <c r="G1079" s="1693">
        <v>1062</v>
      </c>
      <c r="H1079" s="616">
        <v>1</v>
      </c>
      <c r="J1079" s="709" t="s">
        <v>512</v>
      </c>
      <c r="K1079" s="1764" t="s">
        <v>1216</v>
      </c>
      <c r="L1079" s="4"/>
      <c r="M1079" s="4"/>
      <c r="N1079" s="69"/>
      <c r="O1079" s="2253" t="s">
        <v>1113</v>
      </c>
      <c r="P1079" s="1509"/>
      <c r="Q1079" s="1509"/>
      <c r="R1079" s="1509"/>
      <c r="S1079" s="1523"/>
      <c r="T1079" s="1523"/>
      <c r="U1079" s="1523"/>
      <c r="V1079" s="1509"/>
      <c r="W1079" s="2280"/>
      <c r="X1079" s="2281">
        <v>1847488</v>
      </c>
      <c r="Y1079" s="2281">
        <v>1960288</v>
      </c>
      <c r="Z1079" s="2281">
        <v>1935244</v>
      </c>
      <c r="AA1079" s="2281">
        <v>1986304</v>
      </c>
      <c r="AB1079" s="2281">
        <v>1981782</v>
      </c>
      <c r="AC1079" s="2281">
        <v>1962660</v>
      </c>
      <c r="AD1079" s="2281">
        <v>1981346</v>
      </c>
      <c r="AE1079" s="2281">
        <v>2023552</v>
      </c>
      <c r="AF1079" s="2281">
        <v>2008135</v>
      </c>
      <c r="AG1079" s="2281">
        <v>2037438</v>
      </c>
      <c r="AH1079" s="2281">
        <v>2047327</v>
      </c>
      <c r="AI1079" s="2281">
        <v>1969638</v>
      </c>
      <c r="AJ1079" s="2282">
        <v>1935244</v>
      </c>
      <c r="AK1079" s="2281">
        <v>1962660</v>
      </c>
      <c r="AL1079" s="2281">
        <v>2008135</v>
      </c>
      <c r="AM1079" s="2281">
        <v>1969638</v>
      </c>
      <c r="AN1079" s="2281">
        <v>1962660</v>
      </c>
      <c r="AO1079" s="2281">
        <v>1969638</v>
      </c>
      <c r="AP1079" s="2281">
        <v>1969638</v>
      </c>
    </row>
    <row r="1080" spans="1:42" ht="14.5">
      <c r="A1080" s="1693">
        <v>979</v>
      </c>
      <c r="B1080" s="616">
        <v>1</v>
      </c>
      <c r="C1080" s="1693">
        <v>980</v>
      </c>
      <c r="D1080" s="616">
        <v>1</v>
      </c>
      <c r="E1080" s="1693">
        <v>976</v>
      </c>
      <c r="F1080" s="616">
        <v>1</v>
      </c>
      <c r="G1080" s="1693">
        <v>1063</v>
      </c>
      <c r="H1080" s="616">
        <v>1</v>
      </c>
      <c r="J1080" s="709" t="s">
        <v>512</v>
      </c>
      <c r="K1080" s="1764" t="s">
        <v>1216</v>
      </c>
      <c r="L1080" s="4"/>
      <c r="M1080" s="4"/>
      <c r="N1080" s="69"/>
      <c r="O1080" s="27"/>
      <c r="P1080" s="4"/>
      <c r="Q1080" s="4"/>
      <c r="R1080" s="4"/>
      <c r="S1080" s="4"/>
      <c r="T1080" s="3" t="s">
        <v>599</v>
      </c>
      <c r="U1080" s="3"/>
      <c r="V1080" s="3"/>
      <c r="W1080" s="1849"/>
      <c r="X1080" s="1682">
        <v>1746556</v>
      </c>
      <c r="Y1080" s="1682">
        <v>1853193</v>
      </c>
      <c r="Z1080" s="1682">
        <v>1829517</v>
      </c>
      <c r="AA1080" s="1682">
        <v>1877788</v>
      </c>
      <c r="AB1080" s="1682">
        <v>1873514</v>
      </c>
      <c r="AC1080" s="1682">
        <v>1855436</v>
      </c>
      <c r="AD1080" s="1682">
        <v>1873101</v>
      </c>
      <c r="AE1080" s="1682">
        <v>1913002</v>
      </c>
      <c r="AF1080" s="1682">
        <v>1898427</v>
      </c>
      <c r="AG1080" s="1682">
        <v>1926128</v>
      </c>
      <c r="AH1080" s="1683">
        <v>1935477</v>
      </c>
      <c r="AI1080" s="1683">
        <v>1862032</v>
      </c>
      <c r="AJ1080" s="2147">
        <v>1829517</v>
      </c>
      <c r="AK1080" s="579">
        <v>1855436</v>
      </c>
      <c r="AL1080" s="579">
        <v>1898427</v>
      </c>
      <c r="AM1080" s="579">
        <v>1862032</v>
      </c>
      <c r="AN1080" s="579">
        <v>1855436</v>
      </c>
      <c r="AO1080" s="579">
        <v>1862032</v>
      </c>
      <c r="AP1080" s="579">
        <v>1862032</v>
      </c>
    </row>
    <row r="1081" spans="1:42" ht="14.5">
      <c r="A1081" s="1693">
        <v>980</v>
      </c>
      <c r="B1081" s="616">
        <v>1</v>
      </c>
      <c r="C1081" s="1693">
        <v>981</v>
      </c>
      <c r="D1081" s="616">
        <v>1</v>
      </c>
      <c r="E1081" s="1693">
        <v>977</v>
      </c>
      <c r="F1081" s="616">
        <v>1</v>
      </c>
      <c r="G1081" s="1693">
        <v>1064</v>
      </c>
      <c r="H1081" s="616">
        <v>1</v>
      </c>
      <c r="J1081" s="709" t="s">
        <v>512</v>
      </c>
      <c r="K1081" s="1764" t="s">
        <v>1216</v>
      </c>
      <c r="L1081" s="8"/>
      <c r="M1081" s="8"/>
      <c r="N1081" s="69"/>
      <c r="O1081" s="27"/>
      <c r="P1081" s="4"/>
      <c r="Q1081" s="4"/>
      <c r="R1081" s="4"/>
      <c r="S1081" s="4"/>
      <c r="T1081" s="3" t="s">
        <v>600</v>
      </c>
      <c r="U1081" s="3"/>
      <c r="V1081" s="3"/>
      <c r="W1081" s="1849"/>
      <c r="X1081" s="1684">
        <v>19957</v>
      </c>
      <c r="Y1081" s="1684">
        <v>21175</v>
      </c>
      <c r="Z1081" s="1684">
        <v>20905</v>
      </c>
      <c r="AA1081" s="1684">
        <v>21456</v>
      </c>
      <c r="AB1081" s="1684">
        <v>21407</v>
      </c>
      <c r="AC1081" s="1684">
        <v>21201</v>
      </c>
      <c r="AD1081" s="1684">
        <v>21403</v>
      </c>
      <c r="AE1081" s="1684">
        <v>21858</v>
      </c>
      <c r="AF1081" s="1684">
        <v>21692</v>
      </c>
      <c r="AG1081" s="1684">
        <v>22008</v>
      </c>
      <c r="AH1081" s="579">
        <v>22115</v>
      </c>
      <c r="AI1081" s="579">
        <v>21276</v>
      </c>
      <c r="AJ1081" s="2147">
        <v>20905</v>
      </c>
      <c r="AK1081" s="579">
        <v>21201</v>
      </c>
      <c r="AL1081" s="579">
        <v>21692</v>
      </c>
      <c r="AM1081" s="579">
        <v>21276</v>
      </c>
      <c r="AN1081" s="579">
        <v>21201</v>
      </c>
      <c r="AO1081" s="579">
        <v>21276</v>
      </c>
      <c r="AP1081" s="579">
        <v>21276</v>
      </c>
    </row>
    <row r="1082" spans="1:42" ht="14.5">
      <c r="A1082" s="1693">
        <v>981</v>
      </c>
      <c r="B1082" s="616">
        <v>1</v>
      </c>
      <c r="C1082" s="1693">
        <v>982</v>
      </c>
      <c r="D1082" s="616">
        <v>1</v>
      </c>
      <c r="E1082" s="1693">
        <v>978</v>
      </c>
      <c r="F1082" s="616">
        <v>1</v>
      </c>
      <c r="G1082" s="1693">
        <v>1065</v>
      </c>
      <c r="H1082" s="616">
        <v>1</v>
      </c>
      <c r="J1082" s="709" t="s">
        <v>512</v>
      </c>
      <c r="K1082" s="1764" t="s">
        <v>1216</v>
      </c>
      <c r="L1082" s="4"/>
      <c r="M1082" s="4"/>
      <c r="N1082" s="69"/>
      <c r="O1082" s="25"/>
      <c r="P1082" s="4"/>
      <c r="Q1082" s="4"/>
      <c r="R1082" s="4"/>
      <c r="S1082" s="4"/>
      <c r="T1082" s="3" t="s">
        <v>66</v>
      </c>
      <c r="U1082" s="3"/>
      <c r="V1082" s="3"/>
      <c r="W1082" s="1849"/>
      <c r="X1082" s="1685">
        <v>80975</v>
      </c>
      <c r="Y1082" s="1685">
        <v>85920</v>
      </c>
      <c r="Z1082" s="1685">
        <v>84822</v>
      </c>
      <c r="AA1082" s="1685">
        <v>87060</v>
      </c>
      <c r="AB1082" s="1685">
        <v>86861</v>
      </c>
      <c r="AC1082" s="1685">
        <v>86023</v>
      </c>
      <c r="AD1082" s="1685">
        <v>86842</v>
      </c>
      <c r="AE1082" s="1685">
        <v>88692</v>
      </c>
      <c r="AF1082" s="1685">
        <v>88016</v>
      </c>
      <c r="AG1082" s="1685">
        <v>89302</v>
      </c>
      <c r="AH1082" s="584">
        <v>89735</v>
      </c>
      <c r="AI1082" s="584">
        <v>86330</v>
      </c>
      <c r="AJ1082" s="2147">
        <v>84822</v>
      </c>
      <c r="AK1082" s="579">
        <v>86023</v>
      </c>
      <c r="AL1082" s="579">
        <v>88016</v>
      </c>
      <c r="AM1082" s="579">
        <v>86330</v>
      </c>
      <c r="AN1082" s="579">
        <v>86023</v>
      </c>
      <c r="AO1082" s="579">
        <v>86330</v>
      </c>
      <c r="AP1082" s="579">
        <v>86330</v>
      </c>
    </row>
    <row r="1083" spans="1:42" ht="14.5">
      <c r="A1083" s="1693">
        <v>982</v>
      </c>
      <c r="B1083" s="616">
        <v>1</v>
      </c>
      <c r="C1083" s="1693">
        <v>983</v>
      </c>
      <c r="D1083" s="616">
        <v>1</v>
      </c>
      <c r="E1083" s="1693">
        <v>979</v>
      </c>
      <c r="F1083" s="616">
        <v>1</v>
      </c>
      <c r="G1083" s="1693">
        <v>1066</v>
      </c>
      <c r="H1083" s="616">
        <v>1</v>
      </c>
      <c r="J1083" s="709" t="s">
        <v>512</v>
      </c>
      <c r="K1083" s="1764" t="s">
        <v>1216</v>
      </c>
      <c r="L1083" s="4"/>
      <c r="M1083" s="4"/>
      <c r="N1083" s="69"/>
      <c r="O1083" s="7" t="s">
        <v>30</v>
      </c>
      <c r="P1083" s="2283"/>
      <c r="Q1083" s="2283"/>
      <c r="R1083" s="2283"/>
      <c r="S1083" s="2283"/>
      <c r="T1083" s="874"/>
      <c r="U1083" s="874"/>
      <c r="V1083" s="874"/>
      <c r="W1083" s="2109"/>
      <c r="X1083" s="2110">
        <v>470253</v>
      </c>
      <c r="Y1083" s="2110">
        <v>498965</v>
      </c>
      <c r="Z1083" s="2110">
        <v>492590</v>
      </c>
      <c r="AA1083" s="2110">
        <v>505587</v>
      </c>
      <c r="AB1083" s="2110">
        <v>504436</v>
      </c>
      <c r="AC1083" s="2110">
        <v>499569</v>
      </c>
      <c r="AD1083" s="2110">
        <v>504325</v>
      </c>
      <c r="AE1083" s="2110">
        <v>515068</v>
      </c>
      <c r="AF1083" s="2110">
        <v>511144</v>
      </c>
      <c r="AG1083" s="2110">
        <v>518603</v>
      </c>
      <c r="AH1083" s="2110">
        <v>521120</v>
      </c>
      <c r="AI1083" s="2110">
        <v>501345</v>
      </c>
      <c r="AJ1083" s="2284">
        <v>492590</v>
      </c>
      <c r="AK1083" s="2110">
        <v>499569</v>
      </c>
      <c r="AL1083" s="2110">
        <v>511144</v>
      </c>
      <c r="AM1083" s="2110">
        <v>501345</v>
      </c>
      <c r="AN1083" s="2110">
        <v>499569</v>
      </c>
      <c r="AO1083" s="2110">
        <v>501345</v>
      </c>
      <c r="AP1083" s="2110">
        <v>501345</v>
      </c>
    </row>
    <row r="1084" spans="1:42" ht="14.5">
      <c r="A1084" s="1693">
        <v>983</v>
      </c>
      <c r="B1084" s="616">
        <v>1</v>
      </c>
      <c r="C1084" s="1693">
        <v>984</v>
      </c>
      <c r="D1084" s="616">
        <v>1</v>
      </c>
      <c r="E1084" s="1693">
        <v>980</v>
      </c>
      <c r="F1084" s="616">
        <v>1</v>
      </c>
      <c r="G1084" s="1693">
        <v>1067</v>
      </c>
      <c r="H1084" s="616">
        <v>1</v>
      </c>
      <c r="J1084" s="709" t="s">
        <v>512</v>
      </c>
      <c r="K1084" s="1764" t="s">
        <v>1216</v>
      </c>
      <c r="L1084" s="4"/>
      <c r="M1084" s="4"/>
      <c r="N1084" s="69"/>
      <c r="O1084" s="27"/>
      <c r="P1084" s="4"/>
      <c r="Q1084" s="4"/>
      <c r="R1084" s="4"/>
      <c r="S1084" s="4"/>
      <c r="T1084" s="3" t="s">
        <v>586</v>
      </c>
      <c r="U1084" s="3"/>
      <c r="V1084" s="3"/>
      <c r="W1084" s="1853"/>
      <c r="X1084" s="2003">
        <v>465482</v>
      </c>
      <c r="Y1084" s="2003">
        <v>493902</v>
      </c>
      <c r="Z1084" s="2003">
        <v>487592</v>
      </c>
      <c r="AA1084" s="2003">
        <v>500457</v>
      </c>
      <c r="AB1084" s="2003">
        <v>499318</v>
      </c>
      <c r="AC1084" s="2003">
        <v>494500</v>
      </c>
      <c r="AD1084" s="2003">
        <v>499208</v>
      </c>
      <c r="AE1084" s="2003">
        <v>509842</v>
      </c>
      <c r="AF1084" s="2003">
        <v>505958</v>
      </c>
      <c r="AG1084" s="2003">
        <v>513341</v>
      </c>
      <c r="AH1084" s="2003">
        <v>515832</v>
      </c>
      <c r="AI1084" s="2003">
        <v>496258</v>
      </c>
      <c r="AJ1084" s="2002">
        <v>487592</v>
      </c>
      <c r="AK1084" s="596">
        <v>494500</v>
      </c>
      <c r="AL1084" s="596">
        <v>505958</v>
      </c>
      <c r="AM1084" s="596">
        <v>496258</v>
      </c>
      <c r="AN1084" s="596">
        <v>494500</v>
      </c>
      <c r="AO1084" s="596">
        <v>496258</v>
      </c>
      <c r="AP1084" s="596">
        <v>496258</v>
      </c>
    </row>
    <row r="1085" spans="1:42" ht="14.5">
      <c r="A1085" s="1693">
        <v>984</v>
      </c>
      <c r="B1085" s="616">
        <v>1</v>
      </c>
      <c r="C1085" s="1693">
        <v>985</v>
      </c>
      <c r="D1085" s="616">
        <v>1</v>
      </c>
      <c r="E1085" s="1693">
        <v>981</v>
      </c>
      <c r="F1085" s="616">
        <v>1</v>
      </c>
      <c r="G1085" s="1693">
        <v>1068</v>
      </c>
      <c r="H1085" s="616">
        <v>1</v>
      </c>
      <c r="J1085" s="709" t="s">
        <v>512</v>
      </c>
      <c r="K1085" s="1764" t="s">
        <v>1216</v>
      </c>
      <c r="L1085" s="4"/>
      <c r="M1085" s="4"/>
      <c r="N1085" s="69"/>
      <c r="O1085" s="25"/>
      <c r="P1085" s="4"/>
      <c r="Q1085" s="4"/>
      <c r="R1085" s="4"/>
      <c r="S1085" s="4"/>
      <c r="T1085" s="3" t="s">
        <v>66</v>
      </c>
      <c r="U1085" s="3"/>
      <c r="V1085" s="3"/>
      <c r="W1085" s="1853"/>
      <c r="X1085" s="2003">
        <v>4771</v>
      </c>
      <c r="Y1085" s="2003">
        <v>5063</v>
      </c>
      <c r="Z1085" s="2003">
        <v>4998</v>
      </c>
      <c r="AA1085" s="2003">
        <v>5130</v>
      </c>
      <c r="AB1085" s="2003">
        <v>5118</v>
      </c>
      <c r="AC1085" s="2003">
        <v>5069</v>
      </c>
      <c r="AD1085" s="2003">
        <v>5117</v>
      </c>
      <c r="AE1085" s="2003">
        <v>5226</v>
      </c>
      <c r="AF1085" s="2003">
        <v>5186</v>
      </c>
      <c r="AG1085" s="2003">
        <v>5262</v>
      </c>
      <c r="AH1085" s="2003">
        <v>5288</v>
      </c>
      <c r="AI1085" s="2003">
        <v>5087</v>
      </c>
      <c r="AJ1085" s="2002">
        <v>4998</v>
      </c>
      <c r="AK1085" s="596">
        <v>5069</v>
      </c>
      <c r="AL1085" s="596">
        <v>5186</v>
      </c>
      <c r="AM1085" s="596">
        <v>5087</v>
      </c>
      <c r="AN1085" s="596">
        <v>5069</v>
      </c>
      <c r="AO1085" s="596">
        <v>5087</v>
      </c>
      <c r="AP1085" s="596">
        <v>5087</v>
      </c>
    </row>
    <row r="1086" spans="1:42" ht="14.5">
      <c r="A1086" s="1693">
        <v>985</v>
      </c>
      <c r="B1086" s="616">
        <v>1</v>
      </c>
      <c r="C1086" s="1693">
        <v>986</v>
      </c>
      <c r="D1086" s="616">
        <v>1</v>
      </c>
      <c r="E1086" s="1693">
        <v>982</v>
      </c>
      <c r="F1086" s="616">
        <v>1</v>
      </c>
      <c r="G1086" s="1693">
        <v>1069</v>
      </c>
      <c r="H1086" s="616">
        <v>1</v>
      </c>
      <c r="J1086" s="709" t="s">
        <v>512</v>
      </c>
      <c r="K1086" s="1764" t="s">
        <v>1216</v>
      </c>
      <c r="L1086" s="4"/>
      <c r="M1086" s="4"/>
      <c r="N1086" s="69"/>
      <c r="O1086" s="6" t="s">
        <v>1030</v>
      </c>
      <c r="P1086" s="2285"/>
      <c r="Q1086" s="2285"/>
      <c r="R1086" s="2285"/>
      <c r="S1086" s="2285"/>
      <c r="T1086" s="706"/>
      <c r="U1086" s="706"/>
      <c r="V1086" s="706"/>
      <c r="W1086" s="2114"/>
      <c r="X1086" s="2115">
        <v>1283738</v>
      </c>
      <c r="Y1086" s="2115">
        <v>1362118</v>
      </c>
      <c r="Z1086" s="2115">
        <v>1344716</v>
      </c>
      <c r="AA1086" s="2115">
        <v>1380195</v>
      </c>
      <c r="AB1086" s="2115">
        <v>1377054</v>
      </c>
      <c r="AC1086" s="2115">
        <v>1363766</v>
      </c>
      <c r="AD1086" s="2115">
        <v>1376750</v>
      </c>
      <c r="AE1086" s="2115">
        <v>1406077</v>
      </c>
      <c r="AF1086" s="2115">
        <v>1395364</v>
      </c>
      <c r="AG1086" s="2115">
        <v>1415726</v>
      </c>
      <c r="AH1086" s="2115">
        <v>1422598</v>
      </c>
      <c r="AI1086" s="2115">
        <v>1368614</v>
      </c>
      <c r="AJ1086" s="2286">
        <v>1344716</v>
      </c>
      <c r="AK1086" s="2115">
        <v>1363766</v>
      </c>
      <c r="AL1086" s="2115">
        <v>1395364</v>
      </c>
      <c r="AM1086" s="2115">
        <v>1368614</v>
      </c>
      <c r="AN1086" s="2115">
        <v>1363766</v>
      </c>
      <c r="AO1086" s="2115">
        <v>1368614</v>
      </c>
      <c r="AP1086" s="2115">
        <v>1368614</v>
      </c>
    </row>
    <row r="1087" spans="1:42" ht="14.5">
      <c r="A1087" s="1693">
        <v>986</v>
      </c>
      <c r="B1087" s="616">
        <v>1</v>
      </c>
      <c r="C1087" s="1693">
        <v>987</v>
      </c>
      <c r="D1087" s="616">
        <v>1</v>
      </c>
      <c r="E1087" s="1693">
        <v>983</v>
      </c>
      <c r="F1087" s="616">
        <v>1</v>
      </c>
      <c r="G1087" s="1693">
        <v>1070</v>
      </c>
      <c r="H1087" s="616">
        <v>1</v>
      </c>
      <c r="J1087" s="709" t="s">
        <v>512</v>
      </c>
      <c r="K1087" s="1764" t="s">
        <v>1216</v>
      </c>
      <c r="L1087" s="4"/>
      <c r="M1087" s="4"/>
      <c r="N1087" s="69"/>
      <c r="O1087" s="27"/>
      <c r="P1087" s="4"/>
      <c r="Q1087" s="4"/>
      <c r="R1087" s="4"/>
      <c r="S1087" s="4"/>
      <c r="T1087" s="3" t="s">
        <v>586</v>
      </c>
      <c r="U1087" s="3"/>
      <c r="V1087" s="3"/>
      <c r="W1087" s="1853"/>
      <c r="X1087" s="2003">
        <v>1221171</v>
      </c>
      <c r="Y1087" s="2003">
        <v>1295731</v>
      </c>
      <c r="Z1087" s="2003">
        <v>1279177</v>
      </c>
      <c r="AA1087" s="2003">
        <v>1312927</v>
      </c>
      <c r="AB1087" s="2003">
        <v>1309939</v>
      </c>
      <c r="AC1087" s="2003">
        <v>1297299</v>
      </c>
      <c r="AD1087" s="2003">
        <v>1309650</v>
      </c>
      <c r="AE1087" s="2003">
        <v>1337548</v>
      </c>
      <c r="AF1087" s="2003">
        <v>1327357</v>
      </c>
      <c r="AG1087" s="2003">
        <v>1346726</v>
      </c>
      <c r="AH1087" s="2003">
        <v>1353263</v>
      </c>
      <c r="AI1087" s="2003">
        <v>1301910</v>
      </c>
      <c r="AJ1087" s="2002">
        <v>1279177</v>
      </c>
      <c r="AK1087" s="596">
        <v>1297299</v>
      </c>
      <c r="AL1087" s="596">
        <v>1327357</v>
      </c>
      <c r="AM1087" s="596">
        <v>1301910</v>
      </c>
      <c r="AN1087" s="596">
        <v>1297299</v>
      </c>
      <c r="AO1087" s="596">
        <v>1301910</v>
      </c>
      <c r="AP1087" s="596">
        <v>1301910</v>
      </c>
    </row>
    <row r="1088" spans="1:42" ht="14.5">
      <c r="A1088" s="1693">
        <v>987</v>
      </c>
      <c r="B1088" s="616">
        <v>1</v>
      </c>
      <c r="C1088" s="1693">
        <v>988</v>
      </c>
      <c r="D1088" s="616">
        <v>1</v>
      </c>
      <c r="E1088" s="1693">
        <v>984</v>
      </c>
      <c r="F1088" s="616">
        <v>1</v>
      </c>
      <c r="G1088" s="1693">
        <v>1071</v>
      </c>
      <c r="H1088" s="616">
        <v>1</v>
      </c>
      <c r="J1088" s="709" t="s">
        <v>512</v>
      </c>
      <c r="K1088" s="1764" t="s">
        <v>1216</v>
      </c>
      <c r="L1088" s="4"/>
      <c r="M1088" s="4"/>
      <c r="N1088" s="69"/>
      <c r="O1088" s="25"/>
      <c r="P1088" s="4"/>
      <c r="Q1088" s="4"/>
      <c r="R1088" s="4"/>
      <c r="S1088" s="4"/>
      <c r="T1088" s="3" t="s">
        <v>66</v>
      </c>
      <c r="U1088" s="3"/>
      <c r="V1088" s="3"/>
      <c r="W1088" s="1853"/>
      <c r="X1088" s="2003">
        <v>62567</v>
      </c>
      <c r="Y1088" s="2003">
        <v>66387</v>
      </c>
      <c r="Z1088" s="2003">
        <v>65539</v>
      </c>
      <c r="AA1088" s="2003">
        <v>67268</v>
      </c>
      <c r="AB1088" s="2003">
        <v>67115</v>
      </c>
      <c r="AC1088" s="2003">
        <v>66467</v>
      </c>
      <c r="AD1088" s="2003">
        <v>67100</v>
      </c>
      <c r="AE1088" s="2003">
        <v>68529</v>
      </c>
      <c r="AF1088" s="2003">
        <v>68007</v>
      </c>
      <c r="AG1088" s="2003">
        <v>69000</v>
      </c>
      <c r="AH1088" s="2003">
        <v>69335</v>
      </c>
      <c r="AI1088" s="2003">
        <v>66704</v>
      </c>
      <c r="AJ1088" s="2002">
        <v>65539</v>
      </c>
      <c r="AK1088" s="596">
        <v>66467</v>
      </c>
      <c r="AL1088" s="596">
        <v>68007</v>
      </c>
      <c r="AM1088" s="596">
        <v>66704</v>
      </c>
      <c r="AN1088" s="596">
        <v>66467</v>
      </c>
      <c r="AO1088" s="596">
        <v>66704</v>
      </c>
      <c r="AP1088" s="596">
        <v>66704</v>
      </c>
    </row>
    <row r="1089" spans="1:43" ht="14.5">
      <c r="A1089" s="1693">
        <v>988</v>
      </c>
      <c r="B1089" s="616">
        <v>1</v>
      </c>
      <c r="C1089" s="1693">
        <v>989</v>
      </c>
      <c r="D1089" s="616">
        <v>1</v>
      </c>
      <c r="E1089" s="1693">
        <v>985</v>
      </c>
      <c r="F1089" s="616">
        <v>1</v>
      </c>
      <c r="G1089" s="1693">
        <v>1072</v>
      </c>
      <c r="H1089" s="616">
        <v>1</v>
      </c>
      <c r="J1089" s="709" t="s">
        <v>512</v>
      </c>
      <c r="K1089" s="1764" t="s">
        <v>1216</v>
      </c>
      <c r="L1089" s="4"/>
      <c r="M1089" s="4"/>
      <c r="N1089" s="69"/>
      <c r="O1089" s="365" t="s">
        <v>936</v>
      </c>
      <c r="P1089" s="581"/>
      <c r="Q1089" s="581"/>
      <c r="R1089" s="581"/>
      <c r="S1089" s="581"/>
      <c r="T1089" s="489"/>
      <c r="U1089" s="489"/>
      <c r="V1089" s="489"/>
      <c r="W1089" s="2037"/>
      <c r="X1089" s="2287">
        <v>91578</v>
      </c>
      <c r="Y1089" s="2287">
        <v>97169</v>
      </c>
      <c r="Z1089" s="2287">
        <v>95928</v>
      </c>
      <c r="AA1089" s="2287">
        <v>98459</v>
      </c>
      <c r="AB1089" s="2287">
        <v>98234</v>
      </c>
      <c r="AC1089" s="2287">
        <v>97287</v>
      </c>
      <c r="AD1089" s="2287">
        <v>98213</v>
      </c>
      <c r="AE1089" s="2287">
        <v>100305</v>
      </c>
      <c r="AF1089" s="2287">
        <v>99541</v>
      </c>
      <c r="AG1089" s="2287">
        <v>100993</v>
      </c>
      <c r="AH1089" s="2287">
        <v>101483</v>
      </c>
      <c r="AI1089" s="2287">
        <v>97633</v>
      </c>
      <c r="AJ1089" s="2288">
        <v>95928</v>
      </c>
      <c r="AK1089" s="2287">
        <v>97287</v>
      </c>
      <c r="AL1089" s="2287">
        <v>99541</v>
      </c>
      <c r="AM1089" s="2287">
        <v>97633</v>
      </c>
      <c r="AN1089" s="2287">
        <v>97287</v>
      </c>
      <c r="AO1089" s="2287">
        <v>97633</v>
      </c>
      <c r="AP1089" s="2287">
        <v>97633</v>
      </c>
    </row>
    <row r="1090" spans="1:43" ht="14.5">
      <c r="A1090" s="1693">
        <v>989</v>
      </c>
      <c r="B1090" s="616">
        <v>1</v>
      </c>
      <c r="C1090" s="1693">
        <v>990</v>
      </c>
      <c r="D1090" s="616">
        <v>1</v>
      </c>
      <c r="E1090" s="1693">
        <v>986</v>
      </c>
      <c r="F1090" s="616">
        <v>1</v>
      </c>
      <c r="G1090" s="1693">
        <v>1073</v>
      </c>
      <c r="H1090" s="616">
        <v>1</v>
      </c>
      <c r="J1090" s="709" t="s">
        <v>512</v>
      </c>
      <c r="K1090" s="1764" t="s">
        <v>1216</v>
      </c>
      <c r="L1090" s="4"/>
      <c r="M1090" s="4"/>
      <c r="N1090" s="69"/>
      <c r="O1090" s="27"/>
      <c r="P1090" s="4"/>
      <c r="Q1090" s="4"/>
      <c r="R1090" s="4"/>
      <c r="S1090" s="4"/>
      <c r="T1090" s="3" t="s">
        <v>599</v>
      </c>
      <c r="U1090" s="3"/>
      <c r="V1090" s="3"/>
      <c r="W1090" s="1853"/>
      <c r="X1090" s="2003">
        <v>59555</v>
      </c>
      <c r="Y1090" s="2003">
        <v>63191</v>
      </c>
      <c r="Z1090" s="2003">
        <v>62384</v>
      </c>
      <c r="AA1090" s="2003">
        <v>64030</v>
      </c>
      <c r="AB1090" s="2003">
        <v>63884</v>
      </c>
      <c r="AC1090" s="2003">
        <v>63268</v>
      </c>
      <c r="AD1090" s="2003">
        <v>63870</v>
      </c>
      <c r="AE1090" s="2003">
        <v>65231</v>
      </c>
      <c r="AF1090" s="2003">
        <v>64734</v>
      </c>
      <c r="AG1090" s="2003">
        <v>65678</v>
      </c>
      <c r="AH1090" s="2003">
        <v>65997</v>
      </c>
      <c r="AI1090" s="2003">
        <v>63493</v>
      </c>
      <c r="AJ1090" s="2002">
        <v>62384</v>
      </c>
      <c r="AK1090" s="596">
        <v>63268</v>
      </c>
      <c r="AL1090" s="596">
        <v>64734</v>
      </c>
      <c r="AM1090" s="596">
        <v>63493</v>
      </c>
      <c r="AN1090" s="596">
        <v>63268</v>
      </c>
      <c r="AO1090" s="596">
        <v>63493</v>
      </c>
      <c r="AP1090" s="596">
        <v>63493</v>
      </c>
    </row>
    <row r="1091" spans="1:43" ht="14.5">
      <c r="A1091" s="1693">
        <v>990</v>
      </c>
      <c r="B1091" s="616">
        <v>1</v>
      </c>
      <c r="C1091" s="1693">
        <v>991</v>
      </c>
      <c r="D1091" s="616">
        <v>1</v>
      </c>
      <c r="E1091" s="1693">
        <v>987</v>
      </c>
      <c r="F1091" s="616">
        <v>1</v>
      </c>
      <c r="G1091" s="1693">
        <v>1074</v>
      </c>
      <c r="H1091" s="616">
        <v>1</v>
      </c>
      <c r="J1091" s="709" t="s">
        <v>512</v>
      </c>
      <c r="K1091" s="1764" t="s">
        <v>1216</v>
      </c>
      <c r="L1091" s="8"/>
      <c r="M1091" s="8"/>
      <c r="N1091" s="69"/>
      <c r="O1091" s="27"/>
      <c r="P1091" s="4"/>
      <c r="Q1091" s="4"/>
      <c r="R1091" s="4"/>
      <c r="S1091" s="4"/>
      <c r="T1091" s="3" t="s">
        <v>600</v>
      </c>
      <c r="U1091" s="3"/>
      <c r="V1091" s="3"/>
      <c r="W1091" s="1853"/>
      <c r="X1091" s="2003">
        <v>19957</v>
      </c>
      <c r="Y1091" s="2003">
        <v>21175</v>
      </c>
      <c r="Z1091" s="2003">
        <v>20905</v>
      </c>
      <c r="AA1091" s="2003">
        <v>21456</v>
      </c>
      <c r="AB1091" s="2003">
        <v>21407</v>
      </c>
      <c r="AC1091" s="2003">
        <v>21201</v>
      </c>
      <c r="AD1091" s="2003">
        <v>21403</v>
      </c>
      <c r="AE1091" s="2003">
        <v>21858</v>
      </c>
      <c r="AF1091" s="2003">
        <v>21692</v>
      </c>
      <c r="AG1091" s="2003">
        <v>22008</v>
      </c>
      <c r="AH1091" s="2003">
        <v>22115</v>
      </c>
      <c r="AI1091" s="2003">
        <v>21276</v>
      </c>
      <c r="AJ1091" s="2002">
        <v>20905</v>
      </c>
      <c r="AK1091" s="596">
        <v>21201</v>
      </c>
      <c r="AL1091" s="596">
        <v>21692</v>
      </c>
      <c r="AM1091" s="596">
        <v>21276</v>
      </c>
      <c r="AN1091" s="596">
        <v>21201</v>
      </c>
      <c r="AO1091" s="596">
        <v>21276</v>
      </c>
      <c r="AP1091" s="596">
        <v>21276</v>
      </c>
    </row>
    <row r="1092" spans="1:43" ht="14.5">
      <c r="A1092" s="1693">
        <v>991</v>
      </c>
      <c r="B1092" s="616">
        <v>1</v>
      </c>
      <c r="C1092" s="1693">
        <v>992</v>
      </c>
      <c r="D1092" s="616">
        <v>1</v>
      </c>
      <c r="E1092" s="1693">
        <v>988</v>
      </c>
      <c r="F1092" s="616">
        <v>1</v>
      </c>
      <c r="G1092" s="1693">
        <v>1075</v>
      </c>
      <c r="H1092" s="616">
        <v>1</v>
      </c>
      <c r="J1092" s="709" t="s">
        <v>512</v>
      </c>
      <c r="K1092" s="1764" t="s">
        <v>1216</v>
      </c>
      <c r="L1092" s="4"/>
      <c r="M1092" s="4"/>
      <c r="N1092" s="69"/>
      <c r="O1092" s="25"/>
      <c r="P1092" s="2"/>
      <c r="Q1092" s="2"/>
      <c r="R1092" s="2"/>
      <c r="S1092" s="2"/>
      <c r="T1092" s="1" t="s">
        <v>66</v>
      </c>
      <c r="U1092" s="1"/>
      <c r="V1092" s="1"/>
      <c r="W1092" s="1853"/>
      <c r="X1092" s="2003">
        <v>12066</v>
      </c>
      <c r="Y1092" s="2003">
        <v>12803</v>
      </c>
      <c r="Z1092" s="2003">
        <v>12639</v>
      </c>
      <c r="AA1092" s="2003">
        <v>12973</v>
      </c>
      <c r="AB1092" s="2003">
        <v>12943</v>
      </c>
      <c r="AC1092" s="2003">
        <v>12818</v>
      </c>
      <c r="AD1092" s="2003">
        <v>12940</v>
      </c>
      <c r="AE1092" s="2003">
        <v>13216</v>
      </c>
      <c r="AF1092" s="2003">
        <v>13115</v>
      </c>
      <c r="AG1092" s="2003">
        <v>13307</v>
      </c>
      <c r="AH1092" s="2003">
        <v>13371</v>
      </c>
      <c r="AI1092" s="2003">
        <v>12864</v>
      </c>
      <c r="AJ1092" s="2002">
        <v>12639</v>
      </c>
      <c r="AK1092" s="596">
        <v>12818</v>
      </c>
      <c r="AL1092" s="596">
        <v>13115</v>
      </c>
      <c r="AM1092" s="596">
        <v>12864</v>
      </c>
      <c r="AN1092" s="596">
        <v>12818</v>
      </c>
      <c r="AO1092" s="596">
        <v>12864</v>
      </c>
      <c r="AP1092" s="596">
        <v>12864</v>
      </c>
    </row>
    <row r="1093" spans="1:43" ht="14.5">
      <c r="A1093" s="1693">
        <v>992</v>
      </c>
      <c r="B1093" s="616">
        <v>1</v>
      </c>
      <c r="C1093" s="1693">
        <v>993</v>
      </c>
      <c r="D1093" s="616">
        <v>1</v>
      </c>
      <c r="E1093" s="1693">
        <v>989</v>
      </c>
      <c r="F1093" s="616">
        <v>1</v>
      </c>
      <c r="G1093" s="1693">
        <v>1076</v>
      </c>
      <c r="H1093" s="616">
        <v>1</v>
      </c>
      <c r="J1093" s="709" t="s">
        <v>512</v>
      </c>
      <c r="K1093" s="1764" t="s">
        <v>1216</v>
      </c>
      <c r="L1093" s="4"/>
      <c r="M1093" s="4"/>
      <c r="N1093" s="69"/>
      <c r="O1093" s="5" t="s">
        <v>1079</v>
      </c>
      <c r="P1093" s="867"/>
      <c r="Q1093" s="867"/>
      <c r="R1093" s="867"/>
      <c r="S1093" s="867"/>
      <c r="T1093" s="595"/>
      <c r="U1093" s="595"/>
      <c r="V1093" s="595"/>
      <c r="W1093" s="2124"/>
      <c r="X1093" s="2125">
        <v>0</v>
      </c>
      <c r="Y1093" s="2125">
        <v>0</v>
      </c>
      <c r="Z1093" s="2125">
        <v>0</v>
      </c>
      <c r="AA1093" s="2125">
        <v>0</v>
      </c>
      <c r="AB1093" s="2125">
        <v>0</v>
      </c>
      <c r="AC1093" s="2125">
        <v>0</v>
      </c>
      <c r="AD1093" s="2125">
        <v>0</v>
      </c>
      <c r="AE1093" s="2125">
        <v>0</v>
      </c>
      <c r="AF1093" s="2125">
        <v>0</v>
      </c>
      <c r="AG1093" s="2125">
        <v>0</v>
      </c>
      <c r="AH1093" s="2125">
        <v>0</v>
      </c>
      <c r="AI1093" s="2125">
        <v>0</v>
      </c>
      <c r="AJ1093" s="2289">
        <v>0</v>
      </c>
      <c r="AK1093" s="2125">
        <v>0</v>
      </c>
      <c r="AL1093" s="2125">
        <v>0</v>
      </c>
      <c r="AM1093" s="2125">
        <v>0</v>
      </c>
      <c r="AN1093" s="2125">
        <v>0</v>
      </c>
      <c r="AO1093" s="2125">
        <v>0</v>
      </c>
      <c r="AP1093" s="2125">
        <v>0</v>
      </c>
    </row>
    <row r="1094" spans="1:43" ht="14.5">
      <c r="A1094" s="1693">
        <v>993</v>
      </c>
      <c r="B1094" s="616">
        <v>1</v>
      </c>
      <c r="C1094" s="1693">
        <v>994</v>
      </c>
      <c r="D1094" s="616">
        <v>1</v>
      </c>
      <c r="E1094" s="1693">
        <v>990</v>
      </c>
      <c r="F1094" s="616">
        <v>1</v>
      </c>
      <c r="G1094" s="1693">
        <v>1077</v>
      </c>
      <c r="H1094" s="616">
        <v>1</v>
      </c>
      <c r="J1094" s="709" t="s">
        <v>512</v>
      </c>
      <c r="K1094" s="1764" t="s">
        <v>1216</v>
      </c>
      <c r="L1094" s="4"/>
      <c r="M1094" s="4"/>
      <c r="N1094" s="69"/>
      <c r="O1094" s="27"/>
      <c r="P1094" s="4"/>
      <c r="Q1094" s="4"/>
      <c r="R1094" s="4"/>
      <c r="S1094" s="4"/>
      <c r="T1094" s="3" t="s">
        <v>586</v>
      </c>
      <c r="U1094" s="3"/>
      <c r="V1094" s="3"/>
      <c r="W1094" s="1853"/>
      <c r="X1094" s="2003"/>
      <c r="Y1094" s="2003"/>
      <c r="Z1094" s="2003"/>
      <c r="AA1094" s="2003"/>
      <c r="AB1094" s="2003"/>
      <c r="AC1094" s="2003"/>
      <c r="AD1094" s="2003"/>
      <c r="AE1094" s="2003"/>
      <c r="AF1094" s="2003"/>
      <c r="AG1094" s="2003"/>
      <c r="AH1094" s="2003"/>
      <c r="AI1094" s="2003"/>
      <c r="AJ1094" s="2002">
        <v>0</v>
      </c>
      <c r="AK1094" s="596">
        <v>0</v>
      </c>
      <c r="AL1094" s="596">
        <v>0</v>
      </c>
      <c r="AM1094" s="596">
        <v>0</v>
      </c>
      <c r="AN1094" s="596">
        <v>0</v>
      </c>
      <c r="AO1094" s="596">
        <v>0</v>
      </c>
      <c r="AP1094" s="596">
        <v>0</v>
      </c>
    </row>
    <row r="1095" spans="1:43" ht="14.5">
      <c r="A1095" s="1693">
        <v>994</v>
      </c>
      <c r="B1095" s="616">
        <v>1</v>
      </c>
      <c r="C1095" s="1693">
        <v>995</v>
      </c>
      <c r="D1095" s="616">
        <v>1</v>
      </c>
      <c r="E1095" s="1693">
        <v>991</v>
      </c>
      <c r="F1095" s="616">
        <v>1</v>
      </c>
      <c r="G1095" s="1693">
        <v>1078</v>
      </c>
      <c r="H1095" s="616">
        <v>1</v>
      </c>
      <c r="J1095" s="709" t="s">
        <v>512</v>
      </c>
      <c r="K1095" s="1764" t="s">
        <v>1216</v>
      </c>
      <c r="L1095" s="4"/>
      <c r="M1095" s="4"/>
      <c r="N1095" s="69"/>
      <c r="O1095" s="25"/>
      <c r="P1095" s="2"/>
      <c r="Q1095" s="2"/>
      <c r="R1095" s="2"/>
      <c r="S1095" s="2"/>
      <c r="T1095" s="1" t="s">
        <v>66</v>
      </c>
      <c r="U1095" s="1"/>
      <c r="V1095" s="1"/>
      <c r="W1095" s="1853"/>
      <c r="X1095" s="2017"/>
      <c r="Y1095" s="2017"/>
      <c r="Z1095" s="2017"/>
      <c r="AA1095" s="2017"/>
      <c r="AB1095" s="2017"/>
      <c r="AC1095" s="2017"/>
      <c r="AD1095" s="2017"/>
      <c r="AE1095" s="2017"/>
      <c r="AF1095" s="2017"/>
      <c r="AG1095" s="2017"/>
      <c r="AH1095" s="2017"/>
      <c r="AI1095" s="2017"/>
      <c r="AJ1095" s="2079">
        <v>0</v>
      </c>
      <c r="AK1095" s="585">
        <v>0</v>
      </c>
      <c r="AL1095" s="585">
        <v>0</v>
      </c>
      <c r="AM1095" s="585">
        <v>0</v>
      </c>
      <c r="AN1095" s="585">
        <v>0</v>
      </c>
      <c r="AO1095" s="585">
        <v>0</v>
      </c>
      <c r="AP1095" s="585">
        <v>0</v>
      </c>
    </row>
    <row r="1096" spans="1:43" ht="14.5">
      <c r="A1096" s="1693">
        <v>995</v>
      </c>
      <c r="B1096" s="616">
        <v>998</v>
      </c>
      <c r="C1096" s="1693">
        <v>1004</v>
      </c>
      <c r="D1096" s="616">
        <v>996</v>
      </c>
      <c r="E1096" s="1693">
        <v>992</v>
      </c>
      <c r="F1096" s="616">
        <v>1</v>
      </c>
      <c r="G1096" s="1693">
        <v>1079</v>
      </c>
      <c r="H1096" s="616">
        <v>1</v>
      </c>
      <c r="J1096" s="709" t="s">
        <v>512</v>
      </c>
      <c r="K1096" s="1764" t="s">
        <v>1216</v>
      </c>
      <c r="L1096" s="8"/>
      <c r="M1096" s="4"/>
      <c r="N1096" s="69"/>
      <c r="O1096" s="316" t="s">
        <v>1056</v>
      </c>
      <c r="P1096" s="471"/>
      <c r="Q1096" s="471"/>
      <c r="R1096" s="471"/>
      <c r="S1096" s="471"/>
      <c r="T1096" s="471"/>
      <c r="U1096" s="471"/>
      <c r="V1096" s="471"/>
      <c r="W1096" s="2058"/>
      <c r="X1096" s="2290">
        <v>1919</v>
      </c>
      <c r="Y1096" s="2290">
        <v>2036</v>
      </c>
      <c r="Z1096" s="2290">
        <v>2010</v>
      </c>
      <c r="AA1096" s="2290">
        <v>2063</v>
      </c>
      <c r="AB1096" s="2290">
        <v>2058</v>
      </c>
      <c r="AC1096" s="2290">
        <v>2038</v>
      </c>
      <c r="AD1096" s="2290">
        <v>2058</v>
      </c>
      <c r="AE1096" s="2290">
        <v>2102</v>
      </c>
      <c r="AF1096" s="2290">
        <v>2086</v>
      </c>
      <c r="AG1096" s="2290">
        <v>2116</v>
      </c>
      <c r="AH1096" s="2290">
        <v>2126</v>
      </c>
      <c r="AI1096" s="2290">
        <v>2046</v>
      </c>
      <c r="AJ1096" s="2291">
        <v>2010</v>
      </c>
      <c r="AK1096" s="2290">
        <v>2038</v>
      </c>
      <c r="AL1096" s="2290">
        <v>2086</v>
      </c>
      <c r="AM1096" s="2290">
        <v>2046</v>
      </c>
      <c r="AN1096" s="2290">
        <v>2038</v>
      </c>
      <c r="AO1096" s="2290">
        <v>2046</v>
      </c>
      <c r="AP1096" s="2290">
        <v>2046</v>
      </c>
    </row>
    <row r="1097" spans="1:43" ht="14.5">
      <c r="A1097" s="1693">
        <v>996</v>
      </c>
      <c r="B1097" s="616">
        <v>999</v>
      </c>
      <c r="C1097" s="1693">
        <v>1005</v>
      </c>
      <c r="D1097" s="616">
        <v>997</v>
      </c>
      <c r="E1097" s="1693">
        <v>993</v>
      </c>
      <c r="F1097" s="616">
        <v>1</v>
      </c>
      <c r="G1097" s="1693">
        <v>1080</v>
      </c>
      <c r="H1097" s="616">
        <v>1</v>
      </c>
      <c r="J1097" s="709" t="s">
        <v>512</v>
      </c>
      <c r="K1097" s="1764" t="s">
        <v>1216</v>
      </c>
      <c r="L1097" s="4"/>
      <c r="M1097" s="4"/>
      <c r="N1097" s="69"/>
      <c r="O1097" s="29"/>
      <c r="P1097" s="4"/>
      <c r="Q1097" s="4"/>
      <c r="R1097" s="4"/>
      <c r="S1097" s="4"/>
      <c r="T1097" s="3" t="s">
        <v>586</v>
      </c>
      <c r="U1097" s="3"/>
      <c r="V1097" s="3"/>
      <c r="W1097" s="1853"/>
      <c r="X1097" s="2003">
        <v>348</v>
      </c>
      <c r="Y1097" s="2003">
        <v>369</v>
      </c>
      <c r="Z1097" s="2003">
        <v>364</v>
      </c>
      <c r="AA1097" s="2003">
        <v>374</v>
      </c>
      <c r="AB1097" s="2003">
        <v>373</v>
      </c>
      <c r="AC1097" s="2003">
        <v>369</v>
      </c>
      <c r="AD1097" s="2003">
        <v>373</v>
      </c>
      <c r="AE1097" s="2003">
        <v>381</v>
      </c>
      <c r="AF1097" s="2003">
        <v>378</v>
      </c>
      <c r="AG1097" s="2003">
        <v>383</v>
      </c>
      <c r="AH1097" s="2003">
        <v>385</v>
      </c>
      <c r="AI1097" s="2003">
        <v>371</v>
      </c>
      <c r="AJ1097" s="2002">
        <v>364</v>
      </c>
      <c r="AK1097" s="596">
        <v>369</v>
      </c>
      <c r="AL1097" s="596">
        <v>378</v>
      </c>
      <c r="AM1097" s="596">
        <v>371</v>
      </c>
      <c r="AN1097" s="596">
        <v>369</v>
      </c>
      <c r="AO1097" s="596">
        <v>371</v>
      </c>
      <c r="AP1097" s="596">
        <v>371</v>
      </c>
    </row>
    <row r="1098" spans="1:43" ht="14.5">
      <c r="A1098" s="1693">
        <v>997</v>
      </c>
      <c r="B1098" s="616">
        <v>1000</v>
      </c>
      <c r="C1098" s="1693">
        <v>1006</v>
      </c>
      <c r="D1098" s="616">
        <v>998</v>
      </c>
      <c r="E1098" s="1693">
        <v>994</v>
      </c>
      <c r="F1098" s="616">
        <v>1</v>
      </c>
      <c r="G1098" s="1693">
        <v>1081</v>
      </c>
      <c r="H1098" s="616">
        <v>1</v>
      </c>
      <c r="J1098" s="709" t="s">
        <v>512</v>
      </c>
      <c r="K1098" s="1764" t="s">
        <v>1216</v>
      </c>
      <c r="L1098" s="4"/>
      <c r="M1098" s="4"/>
      <c r="N1098" s="69"/>
      <c r="O1098" s="366"/>
      <c r="P1098" s="2"/>
      <c r="Q1098" s="2"/>
      <c r="R1098" s="2"/>
      <c r="S1098" s="2"/>
      <c r="T1098" s="1" t="s">
        <v>66</v>
      </c>
      <c r="U1098" s="1"/>
      <c r="V1098" s="1"/>
      <c r="W1098" s="1853"/>
      <c r="X1098" s="2017">
        <v>1571</v>
      </c>
      <c r="Y1098" s="2017">
        <v>1667</v>
      </c>
      <c r="Z1098" s="2017">
        <v>1646</v>
      </c>
      <c r="AA1098" s="2017">
        <v>1689</v>
      </c>
      <c r="AB1098" s="2017">
        <v>1685</v>
      </c>
      <c r="AC1098" s="2017">
        <v>1669</v>
      </c>
      <c r="AD1098" s="2017">
        <v>1685</v>
      </c>
      <c r="AE1098" s="2017">
        <v>1721</v>
      </c>
      <c r="AF1098" s="2017">
        <v>1708</v>
      </c>
      <c r="AG1098" s="2017">
        <v>1733</v>
      </c>
      <c r="AH1098" s="2017">
        <v>1741</v>
      </c>
      <c r="AI1098" s="2017">
        <v>1675</v>
      </c>
      <c r="AJ1098" s="2079">
        <v>1646</v>
      </c>
      <c r="AK1098" s="585">
        <v>1669</v>
      </c>
      <c r="AL1098" s="585">
        <v>1708</v>
      </c>
      <c r="AM1098" s="585">
        <v>1675</v>
      </c>
      <c r="AN1098" s="585">
        <v>1669</v>
      </c>
      <c r="AO1098" s="585">
        <v>1675</v>
      </c>
      <c r="AP1098" s="585">
        <v>1675</v>
      </c>
    </row>
    <row r="1099" spans="1:43" ht="14.5">
      <c r="A1099" s="1693">
        <v>1</v>
      </c>
      <c r="B1099" s="616">
        <v>1</v>
      </c>
      <c r="C1099" s="1693">
        <v>1</v>
      </c>
      <c r="D1099" s="616">
        <v>1</v>
      </c>
      <c r="E1099" s="1693">
        <v>995</v>
      </c>
      <c r="G1099" s="1693">
        <v>1082</v>
      </c>
      <c r="K1099" s="69"/>
      <c r="N1099" s="4"/>
      <c r="O1099" s="4"/>
      <c r="P1099" s="3"/>
      <c r="Q1099" s="3"/>
      <c r="R1099" s="3"/>
      <c r="S1099" s="3"/>
      <c r="T1099" s="3"/>
      <c r="U1099" s="3"/>
      <c r="V1099" s="3"/>
      <c r="W1099" s="1773"/>
      <c r="X1099" s="1608"/>
      <c r="Y1099" s="1609"/>
      <c r="Z1099" s="1609"/>
      <c r="AA1099" s="1609"/>
      <c r="AB1099" s="1609"/>
      <c r="AC1099" s="1609"/>
      <c r="AD1099" s="1366"/>
      <c r="AE1099" s="1366"/>
      <c r="AF1099" s="1366"/>
      <c r="AG1099" s="1366"/>
      <c r="AH1099" s="69"/>
      <c r="AI1099" s="69"/>
      <c r="AJ1099" s="69"/>
      <c r="AK1099" s="69"/>
      <c r="AL1099" s="69"/>
      <c r="AM1099" s="69"/>
      <c r="AN1099" s="69"/>
      <c r="AO1099" s="69"/>
      <c r="AP1099" s="69"/>
    </row>
    <row r="1100" spans="1:43" ht="15.5">
      <c r="A1100" s="1693">
        <v>1</v>
      </c>
      <c r="B1100" s="616">
        <v>1</v>
      </c>
      <c r="C1100" s="1693">
        <v>1</v>
      </c>
      <c r="D1100" s="616">
        <v>1</v>
      </c>
      <c r="E1100" s="1693">
        <v>996</v>
      </c>
      <c r="F1100" s="616">
        <v>1</v>
      </c>
      <c r="G1100" s="1693">
        <v>1083</v>
      </c>
      <c r="H1100" s="616">
        <v>1</v>
      </c>
      <c r="K1100" s="69"/>
      <c r="L1100" s="8"/>
      <c r="M1100" s="243" t="s">
        <v>550</v>
      </c>
      <c r="N1100" s="4"/>
      <c r="O1100" s="4"/>
      <c r="P1100" s="3"/>
      <c r="Q1100" s="3"/>
      <c r="R1100" s="3"/>
      <c r="S1100" s="3"/>
      <c r="T1100" s="3"/>
      <c r="U1100" s="3"/>
      <c r="V1100" s="3"/>
      <c r="W1100" s="1773"/>
      <c r="X1100" s="1608"/>
      <c r="Y1100" s="1609"/>
      <c r="Z1100" s="1609"/>
      <c r="AA1100" s="1609"/>
      <c r="AB1100" s="1609"/>
      <c r="AC1100" s="1609"/>
      <c r="AD1100" s="1366"/>
      <c r="AE1100" s="1366"/>
      <c r="AF1100" s="1366"/>
      <c r="AG1100" s="1366"/>
      <c r="AH1100" s="69"/>
      <c r="AI1100" s="69"/>
      <c r="AJ1100" s="69"/>
      <c r="AK1100" s="69"/>
      <c r="AL1100" s="69"/>
      <c r="AM1100" s="69"/>
      <c r="AN1100" s="69"/>
      <c r="AO1100" s="69"/>
      <c r="AP1100" s="69"/>
      <c r="AQ1100" s="1712"/>
    </row>
    <row r="1101" spans="1:43" ht="14.5">
      <c r="A1101" s="1693">
        <v>1</v>
      </c>
      <c r="B1101" s="616">
        <v>1</v>
      </c>
      <c r="C1101" s="1693">
        <v>1</v>
      </c>
      <c r="D1101" s="616">
        <v>1</v>
      </c>
      <c r="E1101" s="1693">
        <v>997</v>
      </c>
      <c r="F1101" s="616">
        <v>1</v>
      </c>
      <c r="G1101" s="1693">
        <v>1084</v>
      </c>
      <c r="H1101" s="616">
        <v>1</v>
      </c>
      <c r="K1101" s="69"/>
      <c r="L1101" s="8"/>
      <c r="N1101" s="4"/>
      <c r="O1101" s="365" t="s">
        <v>936</v>
      </c>
      <c r="P1101" s="581"/>
      <c r="Q1101" s="581"/>
      <c r="R1101" s="581"/>
      <c r="S1101" s="581"/>
      <c r="T1101" s="489"/>
      <c r="U1101" s="489"/>
      <c r="V1101" s="489"/>
      <c r="W1101" s="2119"/>
      <c r="X1101" s="2120">
        <v>91578</v>
      </c>
      <c r="Y1101" s="2120">
        <v>97169</v>
      </c>
      <c r="Z1101" s="2120">
        <v>95928</v>
      </c>
      <c r="AA1101" s="2120">
        <v>98459</v>
      </c>
      <c r="AB1101" s="2120">
        <v>98234</v>
      </c>
      <c r="AC1101" s="2120">
        <v>97287</v>
      </c>
      <c r="AD1101" s="2121">
        <v>98213</v>
      </c>
      <c r="AE1101" s="2121">
        <v>100305</v>
      </c>
      <c r="AF1101" s="2121">
        <v>99541</v>
      </c>
      <c r="AG1101" s="2121">
        <v>100993</v>
      </c>
      <c r="AH1101" s="2121">
        <v>101483</v>
      </c>
      <c r="AI1101" s="2121">
        <v>97633</v>
      </c>
      <c r="AJ1101" s="2292">
        <v>95928</v>
      </c>
      <c r="AK1101" s="2121">
        <v>97287</v>
      </c>
      <c r="AL1101" s="2121">
        <v>99541</v>
      </c>
      <c r="AM1101" s="2121">
        <v>97633</v>
      </c>
      <c r="AN1101" s="2121">
        <v>97287</v>
      </c>
      <c r="AO1101" s="2121">
        <v>97633</v>
      </c>
      <c r="AP1101" s="2121">
        <v>97633</v>
      </c>
      <c r="AQ1101" s="1712"/>
    </row>
    <row r="1102" spans="1:43" ht="14.5">
      <c r="A1102" s="1693">
        <v>1</v>
      </c>
      <c r="B1102" s="616">
        <v>1</v>
      </c>
      <c r="C1102" s="1693">
        <v>1</v>
      </c>
      <c r="D1102" s="616">
        <v>1</v>
      </c>
      <c r="E1102" s="1693">
        <v>998</v>
      </c>
      <c r="F1102" s="616">
        <v>1</v>
      </c>
      <c r="G1102" s="1693">
        <v>1085</v>
      </c>
      <c r="H1102" s="616">
        <v>1</v>
      </c>
      <c r="K1102" s="69"/>
      <c r="L1102" s="8"/>
      <c r="N1102" s="4"/>
      <c r="O1102" s="27"/>
      <c r="P1102" s="3"/>
      <c r="Q1102" s="3"/>
      <c r="R1102" s="3"/>
      <c r="S1102" s="3"/>
      <c r="T1102" s="3" t="s">
        <v>1114</v>
      </c>
      <c r="U1102" s="47"/>
      <c r="V1102" s="47"/>
      <c r="W1102" s="1849"/>
      <c r="X1102" s="1970">
        <v>79512</v>
      </c>
      <c r="Y1102" s="1970">
        <v>84366</v>
      </c>
      <c r="Z1102" s="1970">
        <v>83289</v>
      </c>
      <c r="AA1102" s="1970">
        <v>85486</v>
      </c>
      <c r="AB1102" s="1970">
        <v>85291</v>
      </c>
      <c r="AC1102" s="1970">
        <v>84469</v>
      </c>
      <c r="AD1102" s="1970">
        <v>85273</v>
      </c>
      <c r="AE1102" s="1970">
        <v>87089</v>
      </c>
      <c r="AF1102" s="1970">
        <v>86426</v>
      </c>
      <c r="AG1102" s="1970">
        <v>87686</v>
      </c>
      <c r="AH1102" s="1970">
        <v>88112</v>
      </c>
      <c r="AI1102" s="1970">
        <v>84769</v>
      </c>
      <c r="AJ1102" s="2044">
        <v>83289</v>
      </c>
      <c r="AK1102" s="1970">
        <v>84469</v>
      </c>
      <c r="AL1102" s="1970">
        <v>86426</v>
      </c>
      <c r="AM1102" s="1970">
        <v>84769</v>
      </c>
      <c r="AN1102" s="1970">
        <v>84469</v>
      </c>
      <c r="AO1102" s="1970">
        <v>84769</v>
      </c>
      <c r="AP1102" s="1970">
        <v>84769</v>
      </c>
      <c r="AQ1102" s="1712"/>
    </row>
    <row r="1103" spans="1:43" ht="14.5">
      <c r="A1103" s="1693">
        <v>1</v>
      </c>
      <c r="B1103" s="616">
        <v>1</v>
      </c>
      <c r="C1103" s="1693">
        <v>1</v>
      </c>
      <c r="D1103" s="616">
        <v>1</v>
      </c>
      <c r="E1103" s="1693">
        <v>999</v>
      </c>
      <c r="F1103" s="616">
        <v>1</v>
      </c>
      <c r="G1103" s="1693">
        <v>1086</v>
      </c>
      <c r="H1103" s="616">
        <v>1</v>
      </c>
      <c r="K1103" s="69"/>
      <c r="L1103" s="8"/>
      <c r="N1103" s="4"/>
      <c r="O1103" s="27"/>
      <c r="P1103" s="3"/>
      <c r="Q1103" s="3"/>
      <c r="R1103" s="3"/>
      <c r="S1103" s="3"/>
      <c r="T1103" s="3"/>
      <c r="U1103" s="740" t="s">
        <v>587</v>
      </c>
      <c r="V1103" s="3"/>
      <c r="W1103" s="1990"/>
      <c r="X1103" s="1991"/>
      <c r="Y1103" s="1991"/>
      <c r="Z1103" s="1991"/>
      <c r="AA1103" s="1991"/>
      <c r="AB1103" s="1991"/>
      <c r="AC1103" s="1991"/>
      <c r="AD1103" s="1922"/>
      <c r="AE1103" s="1922"/>
      <c r="AF1103" s="1922"/>
      <c r="AG1103" s="1922"/>
      <c r="AH1103" s="1922"/>
      <c r="AI1103" s="1922"/>
      <c r="AJ1103" s="1925">
        <v>0</v>
      </c>
      <c r="AK1103" s="1926">
        <v>0</v>
      </c>
      <c r="AL1103" s="1926">
        <v>0</v>
      </c>
      <c r="AM1103" s="1926">
        <v>0</v>
      </c>
      <c r="AN1103" s="1926">
        <v>0</v>
      </c>
      <c r="AO1103" s="1926">
        <v>0</v>
      </c>
      <c r="AP1103" s="1926">
        <v>0</v>
      </c>
      <c r="AQ1103" s="1712"/>
    </row>
    <row r="1104" spans="1:43" ht="14.5">
      <c r="A1104" s="1693">
        <v>1</v>
      </c>
      <c r="B1104" s="616">
        <v>1</v>
      </c>
      <c r="C1104" s="1693">
        <v>1</v>
      </c>
      <c r="D1104" s="616">
        <v>1</v>
      </c>
      <c r="E1104" s="1693">
        <v>1000</v>
      </c>
      <c r="F1104" s="616">
        <v>1</v>
      </c>
      <c r="G1104" s="1693">
        <v>1087</v>
      </c>
      <c r="H1104" s="616">
        <v>1</v>
      </c>
      <c r="K1104" s="69"/>
      <c r="L1104" s="8"/>
      <c r="N1104" s="4"/>
      <c r="O1104" s="27"/>
      <c r="P1104" s="3"/>
      <c r="Q1104" s="3"/>
      <c r="R1104" s="3"/>
      <c r="S1104" s="3"/>
      <c r="T1104" s="3"/>
      <c r="U1104" s="740" t="s">
        <v>1115</v>
      </c>
      <c r="V1104" s="3"/>
      <c r="W1104" s="1990"/>
      <c r="X1104" s="1991"/>
      <c r="Y1104" s="1991"/>
      <c r="Z1104" s="1991"/>
      <c r="AA1104" s="1991"/>
      <c r="AB1104" s="1991"/>
      <c r="AC1104" s="1991"/>
      <c r="AD1104" s="1922"/>
      <c r="AE1104" s="1922"/>
      <c r="AF1104" s="1922"/>
      <c r="AG1104" s="1922"/>
      <c r="AH1104" s="1922"/>
      <c r="AI1104" s="1922"/>
      <c r="AJ1104" s="1925">
        <v>0</v>
      </c>
      <c r="AK1104" s="1926">
        <v>0</v>
      </c>
      <c r="AL1104" s="1926">
        <v>0</v>
      </c>
      <c r="AM1104" s="1926">
        <v>0</v>
      </c>
      <c r="AN1104" s="1926">
        <v>0</v>
      </c>
      <c r="AO1104" s="1926">
        <v>0</v>
      </c>
      <c r="AP1104" s="1926">
        <v>0</v>
      </c>
      <c r="AQ1104" s="1712"/>
    </row>
    <row r="1105" spans="1:43" ht="14.5">
      <c r="A1105" s="1693">
        <v>1</v>
      </c>
      <c r="B1105" s="616">
        <v>1</v>
      </c>
      <c r="C1105" s="1693">
        <v>1</v>
      </c>
      <c r="D1105" s="616">
        <v>1</v>
      </c>
      <c r="E1105" s="1693">
        <v>1001</v>
      </c>
      <c r="F1105" s="616">
        <v>1</v>
      </c>
      <c r="G1105" s="1693">
        <v>1088</v>
      </c>
      <c r="H1105" s="616">
        <v>1</v>
      </c>
      <c r="K1105" s="69"/>
      <c r="L1105" s="8"/>
      <c r="N1105" s="4"/>
      <c r="O1105" s="27"/>
      <c r="P1105" s="3"/>
      <c r="Q1105" s="3"/>
      <c r="R1105" s="3"/>
      <c r="S1105" s="3"/>
      <c r="T1105" s="3"/>
      <c r="U1105" s="740" t="s">
        <v>1035</v>
      </c>
      <c r="V1105" s="3"/>
      <c r="W1105" s="1849"/>
      <c r="X1105" s="1378">
        <v>19957</v>
      </c>
      <c r="Y1105" s="1378">
        <v>21175</v>
      </c>
      <c r="Z1105" s="1378">
        <v>20905</v>
      </c>
      <c r="AA1105" s="1378">
        <v>21456</v>
      </c>
      <c r="AB1105" s="1378">
        <v>21407</v>
      </c>
      <c r="AC1105" s="1378">
        <v>21201</v>
      </c>
      <c r="AD1105" s="579">
        <v>21403</v>
      </c>
      <c r="AE1105" s="579">
        <v>21858</v>
      </c>
      <c r="AF1105" s="579">
        <v>21692</v>
      </c>
      <c r="AG1105" s="579">
        <v>22008</v>
      </c>
      <c r="AH1105" s="579">
        <v>22115</v>
      </c>
      <c r="AI1105" s="579">
        <v>21276</v>
      </c>
      <c r="AJ1105" s="2147">
        <v>20905</v>
      </c>
      <c r="AK1105" s="579">
        <v>21201</v>
      </c>
      <c r="AL1105" s="579">
        <v>21692</v>
      </c>
      <c r="AM1105" s="579">
        <v>21276</v>
      </c>
      <c r="AN1105" s="579">
        <v>21201</v>
      </c>
      <c r="AO1105" s="579">
        <v>21276</v>
      </c>
      <c r="AP1105" s="579">
        <v>21276</v>
      </c>
      <c r="AQ1105" s="1712"/>
    </row>
    <row r="1106" spans="1:43" ht="14.5">
      <c r="A1106" s="1693">
        <v>1</v>
      </c>
      <c r="B1106" s="616">
        <v>1</v>
      </c>
      <c r="C1106" s="1693">
        <v>1</v>
      </c>
      <c r="D1106" s="616">
        <v>1</v>
      </c>
      <c r="E1106" s="1693">
        <v>1002</v>
      </c>
      <c r="F1106" s="616">
        <v>1</v>
      </c>
      <c r="G1106" s="1693">
        <v>1089</v>
      </c>
      <c r="H1106" s="616">
        <v>1</v>
      </c>
      <c r="K1106" s="69"/>
      <c r="L1106" s="8"/>
      <c r="N1106" s="4"/>
      <c r="O1106" s="27"/>
      <c r="P1106" s="3"/>
      <c r="Q1106" s="3"/>
      <c r="R1106" s="3"/>
      <c r="S1106" s="3"/>
      <c r="T1106" s="1"/>
      <c r="U1106" s="741" t="s">
        <v>2</v>
      </c>
      <c r="V1106" s="1"/>
      <c r="W1106" s="1849"/>
      <c r="X1106" s="1379">
        <v>59555</v>
      </c>
      <c r="Y1106" s="1379">
        <v>63191</v>
      </c>
      <c r="Z1106" s="1379">
        <v>62384</v>
      </c>
      <c r="AA1106" s="1379">
        <v>64030</v>
      </c>
      <c r="AB1106" s="1379">
        <v>63884</v>
      </c>
      <c r="AC1106" s="1379">
        <v>63268</v>
      </c>
      <c r="AD1106" s="584">
        <v>63870</v>
      </c>
      <c r="AE1106" s="584">
        <v>65231</v>
      </c>
      <c r="AF1106" s="584">
        <v>64734</v>
      </c>
      <c r="AG1106" s="584">
        <v>65678</v>
      </c>
      <c r="AH1106" s="584">
        <v>65997</v>
      </c>
      <c r="AI1106" s="584">
        <v>63493</v>
      </c>
      <c r="AJ1106" s="2154">
        <v>62384</v>
      </c>
      <c r="AK1106" s="584">
        <v>63268</v>
      </c>
      <c r="AL1106" s="584">
        <v>64734</v>
      </c>
      <c r="AM1106" s="584">
        <v>63493</v>
      </c>
      <c r="AN1106" s="584">
        <v>63268</v>
      </c>
      <c r="AO1106" s="584">
        <v>63493</v>
      </c>
      <c r="AP1106" s="584">
        <v>63493</v>
      </c>
      <c r="AQ1106" s="1712"/>
    </row>
    <row r="1107" spans="1:43" ht="14.5">
      <c r="A1107" s="1693">
        <v>1</v>
      </c>
      <c r="B1107" s="616">
        <v>1</v>
      </c>
      <c r="C1107" s="1693">
        <v>1</v>
      </c>
      <c r="D1107" s="616">
        <v>1</v>
      </c>
      <c r="E1107" s="1693">
        <v>1003</v>
      </c>
      <c r="F1107" s="616">
        <v>1</v>
      </c>
      <c r="G1107" s="1693">
        <v>1090</v>
      </c>
      <c r="H1107" s="616">
        <v>1</v>
      </c>
      <c r="K1107" s="69"/>
      <c r="L1107" s="8"/>
      <c r="N1107" s="4"/>
      <c r="O1107" s="27"/>
      <c r="P1107" s="3"/>
      <c r="Q1107" s="3"/>
      <c r="R1107" s="3"/>
      <c r="S1107" s="3"/>
      <c r="T1107" s="3" t="s">
        <v>1116</v>
      </c>
      <c r="U1107" s="47"/>
      <c r="V1107" s="47"/>
      <c r="W1107" s="1849"/>
      <c r="X1107" s="1970">
        <v>12066</v>
      </c>
      <c r="Y1107" s="1970">
        <v>12803</v>
      </c>
      <c r="Z1107" s="1970">
        <v>12639</v>
      </c>
      <c r="AA1107" s="1970">
        <v>12973</v>
      </c>
      <c r="AB1107" s="1970">
        <v>12943</v>
      </c>
      <c r="AC1107" s="1970">
        <v>12818</v>
      </c>
      <c r="AD1107" s="1970">
        <v>12940</v>
      </c>
      <c r="AE1107" s="1970">
        <v>13216</v>
      </c>
      <c r="AF1107" s="1970">
        <v>13115</v>
      </c>
      <c r="AG1107" s="1970">
        <v>13307</v>
      </c>
      <c r="AH1107" s="1970">
        <v>13371</v>
      </c>
      <c r="AI1107" s="1970">
        <v>12864</v>
      </c>
      <c r="AJ1107" s="2044">
        <v>12639</v>
      </c>
      <c r="AK1107" s="1970">
        <v>12818</v>
      </c>
      <c r="AL1107" s="1970">
        <v>13115</v>
      </c>
      <c r="AM1107" s="1970">
        <v>12864</v>
      </c>
      <c r="AN1107" s="1970">
        <v>12818</v>
      </c>
      <c r="AO1107" s="1970">
        <v>12864</v>
      </c>
      <c r="AP1107" s="1970">
        <v>12864</v>
      </c>
      <c r="AQ1107" s="1712"/>
    </row>
    <row r="1108" spans="1:43" ht="14.5">
      <c r="A1108" s="1693">
        <v>1</v>
      </c>
      <c r="B1108" s="616">
        <v>1</v>
      </c>
      <c r="C1108" s="1693">
        <v>1</v>
      </c>
      <c r="D1108" s="616">
        <v>1</v>
      </c>
      <c r="E1108" s="1693">
        <v>1004</v>
      </c>
      <c r="F1108" s="616">
        <v>1</v>
      </c>
      <c r="G1108" s="1693">
        <v>1091</v>
      </c>
      <c r="H1108" s="616">
        <v>1</v>
      </c>
      <c r="K1108" s="69"/>
      <c r="L1108" s="8"/>
      <c r="N1108" s="4"/>
      <c r="O1108" s="27"/>
      <c r="P1108" s="3"/>
      <c r="Q1108" s="3"/>
      <c r="R1108" s="3"/>
      <c r="S1108" s="3"/>
      <c r="T1108" s="3"/>
      <c r="U1108" s="740" t="s">
        <v>587</v>
      </c>
      <c r="V1108" s="3"/>
      <c r="W1108" s="1990"/>
      <c r="X1108" s="1991"/>
      <c r="Y1108" s="1991"/>
      <c r="Z1108" s="1991"/>
      <c r="AA1108" s="1991"/>
      <c r="AB1108" s="1991"/>
      <c r="AC1108" s="1991"/>
      <c r="AD1108" s="1922"/>
      <c r="AE1108" s="1922"/>
      <c r="AF1108" s="1922"/>
      <c r="AG1108" s="1922"/>
      <c r="AH1108" s="1922"/>
      <c r="AI1108" s="1922"/>
      <c r="AJ1108" s="1925">
        <v>0</v>
      </c>
      <c r="AK1108" s="1926">
        <v>0</v>
      </c>
      <c r="AL1108" s="1926">
        <v>0</v>
      </c>
      <c r="AM1108" s="1926">
        <v>0</v>
      </c>
      <c r="AN1108" s="1926">
        <v>0</v>
      </c>
      <c r="AO1108" s="1926">
        <v>0</v>
      </c>
      <c r="AP1108" s="1926">
        <v>0</v>
      </c>
      <c r="AQ1108" s="1712"/>
    </row>
    <row r="1109" spans="1:43" ht="14.5">
      <c r="A1109" s="1693">
        <v>1</v>
      </c>
      <c r="B1109" s="616">
        <v>1</v>
      </c>
      <c r="C1109" s="1693">
        <v>1</v>
      </c>
      <c r="D1109" s="616">
        <v>1</v>
      </c>
      <c r="E1109" s="1693">
        <v>1005</v>
      </c>
      <c r="F1109" s="616">
        <v>1</v>
      </c>
      <c r="G1109" s="1693">
        <v>1092</v>
      </c>
      <c r="H1109" s="616">
        <v>1</v>
      </c>
      <c r="K1109" s="69"/>
      <c r="L1109" s="8"/>
      <c r="N1109" s="4"/>
      <c r="O1109" s="27"/>
      <c r="P1109" s="3"/>
      <c r="Q1109" s="3"/>
      <c r="R1109" s="3"/>
      <c r="S1109" s="3"/>
      <c r="T1109" s="3"/>
      <c r="U1109" s="740" t="s">
        <v>1115</v>
      </c>
      <c r="V1109" s="3"/>
      <c r="W1109" s="1990"/>
      <c r="X1109" s="1991"/>
      <c r="Y1109" s="1991"/>
      <c r="Z1109" s="1991"/>
      <c r="AA1109" s="1991"/>
      <c r="AB1109" s="1991"/>
      <c r="AC1109" s="1991"/>
      <c r="AD1109" s="1922"/>
      <c r="AE1109" s="1922"/>
      <c r="AF1109" s="1922"/>
      <c r="AG1109" s="1922"/>
      <c r="AH1109" s="1922"/>
      <c r="AI1109" s="1922"/>
      <c r="AJ1109" s="1925">
        <v>0</v>
      </c>
      <c r="AK1109" s="1926">
        <v>0</v>
      </c>
      <c r="AL1109" s="1926">
        <v>0</v>
      </c>
      <c r="AM1109" s="1926">
        <v>0</v>
      </c>
      <c r="AN1109" s="1926">
        <v>0</v>
      </c>
      <c r="AO1109" s="1926">
        <v>0</v>
      </c>
      <c r="AP1109" s="1926">
        <v>0</v>
      </c>
      <c r="AQ1109" s="1712"/>
    </row>
    <row r="1110" spans="1:43" ht="14.5">
      <c r="A1110" s="1693">
        <v>1</v>
      </c>
      <c r="B1110" s="616">
        <v>1</v>
      </c>
      <c r="C1110" s="1693">
        <v>1</v>
      </c>
      <c r="D1110" s="616">
        <v>1</v>
      </c>
      <c r="E1110" s="1693">
        <v>1006</v>
      </c>
      <c r="F1110" s="616">
        <v>1</v>
      </c>
      <c r="G1110" s="1693">
        <v>1093</v>
      </c>
      <c r="H1110" s="616">
        <v>1</v>
      </c>
      <c r="K1110" s="69"/>
      <c r="L1110" s="8"/>
      <c r="N1110" s="4"/>
      <c r="O1110" s="25"/>
      <c r="P1110" s="1"/>
      <c r="Q1110" s="1"/>
      <c r="R1110" s="1"/>
      <c r="S1110" s="1"/>
      <c r="T1110" s="1"/>
      <c r="U1110" s="741" t="s">
        <v>2</v>
      </c>
      <c r="V1110" s="1"/>
      <c r="W1110" s="1849"/>
      <c r="X1110" s="1379">
        <v>12066</v>
      </c>
      <c r="Y1110" s="1379">
        <v>12803</v>
      </c>
      <c r="Z1110" s="1379">
        <v>12639</v>
      </c>
      <c r="AA1110" s="1379">
        <v>12973</v>
      </c>
      <c r="AB1110" s="1379">
        <v>12943</v>
      </c>
      <c r="AC1110" s="1379">
        <v>12818</v>
      </c>
      <c r="AD1110" s="584">
        <v>12940</v>
      </c>
      <c r="AE1110" s="584">
        <v>13216</v>
      </c>
      <c r="AF1110" s="584">
        <v>13115</v>
      </c>
      <c r="AG1110" s="584">
        <v>13307</v>
      </c>
      <c r="AH1110" s="584">
        <v>13371</v>
      </c>
      <c r="AI1110" s="584">
        <v>12864</v>
      </c>
      <c r="AJ1110" s="2154">
        <v>12639</v>
      </c>
      <c r="AK1110" s="584">
        <v>12818</v>
      </c>
      <c r="AL1110" s="584">
        <v>13115</v>
      </c>
      <c r="AM1110" s="584">
        <v>12864</v>
      </c>
      <c r="AN1110" s="584">
        <v>12818</v>
      </c>
      <c r="AO1110" s="584">
        <v>12864</v>
      </c>
      <c r="AP1110" s="584">
        <v>12864</v>
      </c>
      <c r="AQ1110" s="1712"/>
    </row>
    <row r="1111" spans="1:43" ht="14.5">
      <c r="A1111" s="1693">
        <v>1</v>
      </c>
      <c r="B1111" s="616">
        <v>1</v>
      </c>
      <c r="C1111" s="1693">
        <v>1</v>
      </c>
      <c r="D1111" s="616">
        <v>1</v>
      </c>
      <c r="E1111" s="1693">
        <v>1007</v>
      </c>
      <c r="F1111" s="616">
        <v>1</v>
      </c>
      <c r="G1111" s="1693">
        <v>1094</v>
      </c>
      <c r="H1111" s="616">
        <v>1</v>
      </c>
      <c r="K1111" s="69"/>
      <c r="N1111" s="4"/>
      <c r="O1111" s="4"/>
      <c r="P1111" s="3"/>
      <c r="Q1111" s="3"/>
      <c r="R1111" s="3"/>
      <c r="S1111" s="3"/>
      <c r="T1111" s="739"/>
      <c r="U1111" s="3"/>
      <c r="V1111" s="3"/>
      <c r="W1111" s="1773"/>
      <c r="X1111" s="1608"/>
      <c r="Y1111" s="1609"/>
      <c r="Z1111" s="1609"/>
      <c r="AA1111" s="1609"/>
      <c r="AB1111" s="1609"/>
      <c r="AC1111" s="1609"/>
      <c r="AD1111" s="1366"/>
      <c r="AE1111" s="1366"/>
      <c r="AF1111" s="1366"/>
      <c r="AG1111" s="1366"/>
      <c r="AH1111" s="69"/>
      <c r="AI1111" s="69"/>
      <c r="AJ1111" s="69"/>
      <c r="AK1111" s="69"/>
      <c r="AL1111" s="69"/>
      <c r="AM1111" s="69"/>
      <c r="AN1111" s="69"/>
      <c r="AO1111" s="69"/>
      <c r="AP1111" s="69"/>
    </row>
    <row r="1112" spans="1:43" ht="18">
      <c r="A1112" s="1693">
        <v>1</v>
      </c>
      <c r="B1112" s="616">
        <v>1</v>
      </c>
      <c r="C1112" s="1693">
        <v>1</v>
      </c>
      <c r="D1112" s="616">
        <v>1</v>
      </c>
      <c r="E1112" s="1693">
        <v>1008</v>
      </c>
      <c r="F1112" s="616">
        <v>1</v>
      </c>
      <c r="G1112" s="1693">
        <v>1095</v>
      </c>
      <c r="H1112" s="616">
        <v>1</v>
      </c>
      <c r="K1112" s="69"/>
      <c r="L1112" s="242" t="s">
        <v>937</v>
      </c>
      <c r="M1112" s="242"/>
      <c r="W1112" s="1772"/>
      <c r="X1112" s="1125"/>
      <c r="Y1112" s="1366"/>
      <c r="Z1112" s="1366"/>
      <c r="AA1112" s="1366"/>
      <c r="AB1112" s="1366"/>
      <c r="AC1112" s="1366"/>
      <c r="AD1112" s="1366"/>
      <c r="AE1112" s="1366"/>
      <c r="AF1112" s="1366"/>
      <c r="AG1112" s="1366"/>
      <c r="AH1112" s="69"/>
      <c r="AI1112" s="69"/>
      <c r="AJ1112" s="69"/>
      <c r="AK1112" s="69"/>
      <c r="AL1112" s="69"/>
      <c r="AM1112" s="69"/>
      <c r="AN1112" s="69"/>
      <c r="AO1112" s="69"/>
      <c r="AP1112" s="69"/>
    </row>
    <row r="1113" spans="1:43" ht="15.5">
      <c r="A1113" s="1693">
        <v>1</v>
      </c>
      <c r="B1113" s="616">
        <v>1</v>
      </c>
      <c r="C1113" s="1693">
        <v>1</v>
      </c>
      <c r="D1113" s="616">
        <v>1</v>
      </c>
      <c r="E1113" s="1693">
        <v>1009</v>
      </c>
      <c r="F1113" s="616">
        <v>1</v>
      </c>
      <c r="G1113" s="1693">
        <v>1096</v>
      </c>
      <c r="H1113" s="616">
        <v>1</v>
      </c>
      <c r="K1113" s="69"/>
      <c r="L1113" s="244"/>
      <c r="M1113" s="243" t="s">
        <v>938</v>
      </c>
      <c r="V1113" s="578" t="s">
        <v>1117</v>
      </c>
      <c r="W1113" s="1772"/>
      <c r="X1113" s="1125"/>
      <c r="Y1113" s="1366"/>
      <c r="Z1113" s="1366"/>
      <c r="AA1113" s="1366"/>
      <c r="AB1113" s="1366"/>
      <c r="AC1113" s="1366"/>
      <c r="AD1113" s="1366"/>
      <c r="AE1113" s="1366"/>
      <c r="AF1113" s="1366"/>
      <c r="AG1113" s="1366"/>
      <c r="AH1113" s="69"/>
      <c r="AI1113" s="69"/>
      <c r="AJ1113" s="69"/>
      <c r="AK1113" s="69"/>
      <c r="AL1113" s="69"/>
      <c r="AM1113" s="69"/>
      <c r="AN1113" s="69"/>
      <c r="AO1113" s="69"/>
      <c r="AP1113" s="69"/>
    </row>
    <row r="1114" spans="1:43" ht="14.5">
      <c r="A1114" s="1693">
        <v>1</v>
      </c>
      <c r="B1114" s="616">
        <v>1</v>
      </c>
      <c r="C1114" s="1693">
        <v>1</v>
      </c>
      <c r="D1114" s="616">
        <v>1</v>
      </c>
      <c r="E1114" s="1693">
        <v>1010</v>
      </c>
      <c r="F1114" s="616">
        <v>1</v>
      </c>
      <c r="G1114" s="1693">
        <v>1097</v>
      </c>
      <c r="H1114" s="616">
        <v>1</v>
      </c>
      <c r="K1114" s="69"/>
      <c r="L1114" s="244"/>
      <c r="O1114" s="556" t="s">
        <v>1118</v>
      </c>
      <c r="P1114" s="2293"/>
      <c r="Q1114" s="2293"/>
      <c r="R1114" s="2293"/>
      <c r="S1114" s="2293"/>
      <c r="T1114" s="2293"/>
      <c r="U1114" s="2293"/>
      <c r="V1114" s="2294" t="s">
        <v>1119</v>
      </c>
      <c r="W1114" s="1920"/>
      <c r="X1114" s="2295"/>
      <c r="Y1114" s="2295"/>
      <c r="Z1114" s="2295"/>
      <c r="AA1114" s="2295"/>
      <c r="AB1114" s="2295"/>
      <c r="AC1114" s="2295"/>
      <c r="AD1114" s="2295"/>
      <c r="AE1114" s="2295"/>
      <c r="AF1114" s="2295"/>
      <c r="AG1114" s="2295"/>
      <c r="AH1114" s="2295"/>
      <c r="AI1114" s="2295"/>
      <c r="AJ1114" s="2296">
        <v>0</v>
      </c>
      <c r="AK1114" s="2297">
        <v>0</v>
      </c>
      <c r="AL1114" s="2297">
        <v>0</v>
      </c>
      <c r="AM1114" s="2297">
        <v>0</v>
      </c>
      <c r="AN1114" s="2297">
        <v>0</v>
      </c>
      <c r="AO1114" s="2297">
        <v>0</v>
      </c>
      <c r="AP1114" s="2297">
        <v>0</v>
      </c>
    </row>
    <row r="1115" spans="1:43" ht="14.5">
      <c r="A1115" s="1693">
        <v>1</v>
      </c>
      <c r="B1115" s="616">
        <v>1</v>
      </c>
      <c r="C1115" s="1693">
        <v>1</v>
      </c>
      <c r="D1115" s="616">
        <v>1</v>
      </c>
      <c r="E1115" s="1693">
        <v>1011</v>
      </c>
      <c r="F1115" s="616">
        <v>1</v>
      </c>
      <c r="G1115" s="1693">
        <v>1098</v>
      </c>
      <c r="H1115" s="616">
        <v>1</v>
      </c>
      <c r="K1115" s="69"/>
      <c r="L1115" s="244"/>
      <c r="O1115" s="562" t="s">
        <v>939</v>
      </c>
      <c r="P1115" s="563"/>
      <c r="Q1115" s="563"/>
      <c r="R1115" s="563"/>
      <c r="S1115" s="563"/>
      <c r="T1115" s="563"/>
      <c r="U1115" s="563"/>
      <c r="V1115" s="563"/>
      <c r="W1115" s="2298"/>
      <c r="X1115" s="2299">
        <v>0</v>
      </c>
      <c r="Y1115" s="2299">
        <v>0</v>
      </c>
      <c r="Z1115" s="2299">
        <v>0</v>
      </c>
      <c r="AA1115" s="2299">
        <v>0</v>
      </c>
      <c r="AB1115" s="2299">
        <v>0</v>
      </c>
      <c r="AC1115" s="2299">
        <v>0</v>
      </c>
      <c r="AD1115" s="2299">
        <v>0</v>
      </c>
      <c r="AE1115" s="2299">
        <v>0</v>
      </c>
      <c r="AF1115" s="2299">
        <v>0</v>
      </c>
      <c r="AG1115" s="2299">
        <v>0</v>
      </c>
      <c r="AH1115" s="2299">
        <v>0</v>
      </c>
      <c r="AI1115" s="2299">
        <v>0</v>
      </c>
      <c r="AJ1115" s="2300">
        <v>0</v>
      </c>
      <c r="AK1115" s="2299">
        <v>0</v>
      </c>
      <c r="AL1115" s="2299">
        <v>0</v>
      </c>
      <c r="AM1115" s="2299">
        <v>0</v>
      </c>
      <c r="AN1115" s="2299">
        <v>0</v>
      </c>
      <c r="AO1115" s="2299">
        <v>0</v>
      </c>
      <c r="AP1115" s="2299">
        <v>0</v>
      </c>
    </row>
    <row r="1116" spans="1:43" ht="14.5">
      <c r="A1116" s="1693">
        <v>1</v>
      </c>
      <c r="B1116" s="616">
        <v>1</v>
      </c>
      <c r="C1116" s="1693">
        <v>1</v>
      </c>
      <c r="D1116" s="616">
        <v>1</v>
      </c>
      <c r="E1116" s="1693">
        <v>1012</v>
      </c>
      <c r="F1116" s="616">
        <v>1</v>
      </c>
      <c r="G1116" s="1693">
        <v>1099</v>
      </c>
      <c r="H1116" s="616">
        <v>1</v>
      </c>
      <c r="K1116" s="69"/>
      <c r="L1116" s="244"/>
      <c r="O1116" s="564"/>
      <c r="P1116" s="565" t="s">
        <v>384</v>
      </c>
      <c r="Q1116" s="565"/>
      <c r="R1116" s="565"/>
      <c r="S1116" s="565"/>
      <c r="T1116" s="565"/>
      <c r="U1116" s="565"/>
      <c r="V1116" s="565"/>
      <c r="W1116" s="1920"/>
      <c r="X1116" s="2301"/>
      <c r="Y1116" s="2301"/>
      <c r="Z1116" s="2301"/>
      <c r="AA1116" s="2301"/>
      <c r="AB1116" s="2301"/>
      <c r="AC1116" s="2301"/>
      <c r="AD1116" s="2301"/>
      <c r="AE1116" s="2301"/>
      <c r="AF1116" s="2301"/>
      <c r="AG1116" s="2301"/>
      <c r="AH1116" s="2301"/>
      <c r="AI1116" s="2301"/>
      <c r="AJ1116" s="2302">
        <v>0</v>
      </c>
      <c r="AK1116" s="2303">
        <v>0</v>
      </c>
      <c r="AL1116" s="2303">
        <v>0</v>
      </c>
      <c r="AM1116" s="2303">
        <v>0</v>
      </c>
      <c r="AN1116" s="2303">
        <v>0</v>
      </c>
      <c r="AO1116" s="2303">
        <v>0</v>
      </c>
      <c r="AP1116" s="2303">
        <v>0</v>
      </c>
    </row>
    <row r="1117" spans="1:43" ht="14.5">
      <c r="A1117" s="1693">
        <v>1</v>
      </c>
      <c r="B1117" s="616">
        <v>1</v>
      </c>
      <c r="C1117" s="1693">
        <v>1</v>
      </c>
      <c r="D1117" s="616">
        <v>1</v>
      </c>
      <c r="E1117" s="1693">
        <v>1013</v>
      </c>
      <c r="F1117" s="616">
        <v>1</v>
      </c>
      <c r="G1117" s="1693">
        <v>1100</v>
      </c>
      <c r="H1117" s="616">
        <v>1</v>
      </c>
      <c r="K1117" s="69"/>
      <c r="L1117" s="244"/>
      <c r="O1117" s="561"/>
      <c r="P1117" s="558" t="s">
        <v>385</v>
      </c>
      <c r="Q1117" s="558"/>
      <c r="R1117" s="558"/>
      <c r="S1117" s="558"/>
      <c r="T1117" s="558"/>
      <c r="U1117" s="558"/>
      <c r="V1117" s="558"/>
      <c r="W1117" s="1920"/>
      <c r="X1117" s="2304"/>
      <c r="Y1117" s="2304"/>
      <c r="Z1117" s="2304"/>
      <c r="AA1117" s="2304"/>
      <c r="AB1117" s="2304"/>
      <c r="AC1117" s="2304"/>
      <c r="AD1117" s="2304"/>
      <c r="AE1117" s="2304"/>
      <c r="AF1117" s="2304"/>
      <c r="AG1117" s="2304"/>
      <c r="AH1117" s="2304"/>
      <c r="AI1117" s="2304"/>
      <c r="AJ1117" s="2305">
        <v>0</v>
      </c>
      <c r="AK1117" s="2306">
        <v>0</v>
      </c>
      <c r="AL1117" s="2306">
        <v>0</v>
      </c>
      <c r="AM1117" s="2306">
        <v>0</v>
      </c>
      <c r="AN1117" s="2306">
        <v>0</v>
      </c>
      <c r="AO1117" s="2306">
        <v>0</v>
      </c>
      <c r="AP1117" s="2306">
        <v>0</v>
      </c>
    </row>
    <row r="1118" spans="1:43" ht="14.5">
      <c r="A1118" s="1693">
        <v>1</v>
      </c>
      <c r="B1118" s="616">
        <v>1</v>
      </c>
      <c r="C1118" s="1693">
        <v>1</v>
      </c>
      <c r="D1118" s="616">
        <v>1</v>
      </c>
      <c r="E1118" s="1693">
        <v>1014</v>
      </c>
      <c r="F1118" s="616">
        <v>1</v>
      </c>
      <c r="G1118" s="1693">
        <v>1101</v>
      </c>
      <c r="H1118" s="616">
        <v>1</v>
      </c>
      <c r="K1118" s="69"/>
      <c r="L1118" s="244"/>
      <c r="O1118" s="22"/>
      <c r="P1118" s="69"/>
      <c r="Q1118" s="22"/>
      <c r="R1118" s="22"/>
      <c r="S1118" s="69"/>
      <c r="T1118" s="69"/>
      <c r="U1118" s="69"/>
      <c r="V1118" s="69"/>
      <c r="W1118" s="1772"/>
      <c r="X1118" s="1125"/>
      <c r="Y1118" s="1366"/>
      <c r="Z1118" s="1366"/>
      <c r="AA1118" s="1366"/>
      <c r="AB1118" s="1366"/>
      <c r="AC1118" s="1366"/>
      <c r="AD1118" s="1366"/>
      <c r="AE1118" s="1366"/>
      <c r="AF1118" s="1366"/>
      <c r="AG1118" s="1366"/>
      <c r="AH1118" s="69"/>
      <c r="AI1118" s="69"/>
      <c r="AJ1118" s="69"/>
      <c r="AK1118" s="69"/>
      <c r="AL1118" s="69"/>
      <c r="AM1118" s="69"/>
      <c r="AN1118" s="69"/>
      <c r="AO1118" s="69"/>
      <c r="AP1118" s="69"/>
    </row>
    <row r="1119" spans="1:43" ht="15.5">
      <c r="A1119" s="1693">
        <v>1</v>
      </c>
      <c r="B1119" s="616">
        <v>1</v>
      </c>
      <c r="C1119" s="1693">
        <v>1</v>
      </c>
      <c r="D1119" s="616">
        <v>1</v>
      </c>
      <c r="E1119" s="1693">
        <v>1015</v>
      </c>
      <c r="F1119" s="616">
        <v>1</v>
      </c>
      <c r="G1119" s="1693">
        <v>1102</v>
      </c>
      <c r="H1119" s="616">
        <v>1</v>
      </c>
      <c r="K1119" s="69"/>
      <c r="L1119" s="244"/>
      <c r="M1119" s="243" t="s">
        <v>940</v>
      </c>
      <c r="O1119" s="22"/>
      <c r="P1119" s="69"/>
      <c r="Q1119" s="22"/>
      <c r="R1119" s="22"/>
      <c r="S1119" s="69"/>
      <c r="T1119" s="69"/>
      <c r="U1119" s="69"/>
      <c r="V1119" s="578" t="s">
        <v>1117</v>
      </c>
      <c r="W1119" s="1772"/>
      <c r="X1119" s="1125"/>
      <c r="Y1119" s="1366"/>
      <c r="Z1119" s="1366"/>
      <c r="AA1119" s="1366"/>
      <c r="AB1119" s="1366"/>
      <c r="AC1119" s="1366"/>
      <c r="AD1119" s="1366"/>
      <c r="AE1119" s="1366"/>
      <c r="AF1119" s="1366"/>
      <c r="AG1119" s="1366"/>
      <c r="AH1119" s="69"/>
      <c r="AI1119" s="69"/>
      <c r="AJ1119" s="69"/>
      <c r="AK1119" s="69"/>
      <c r="AL1119" s="69"/>
      <c r="AM1119" s="69"/>
      <c r="AN1119" s="69"/>
      <c r="AO1119" s="69"/>
      <c r="AP1119" s="69"/>
    </row>
    <row r="1120" spans="1:43" ht="14.5">
      <c r="A1120" s="1693">
        <v>1</v>
      </c>
      <c r="B1120" s="616">
        <v>1</v>
      </c>
      <c r="C1120" s="1693">
        <v>1</v>
      </c>
      <c r="D1120" s="616">
        <v>1</v>
      </c>
      <c r="E1120" s="1693">
        <v>1016</v>
      </c>
      <c r="F1120" s="616">
        <v>1</v>
      </c>
      <c r="G1120" s="1693">
        <v>1103</v>
      </c>
      <c r="H1120" s="616">
        <v>1</v>
      </c>
      <c r="K1120" s="69"/>
      <c r="L1120" s="244"/>
      <c r="O1120" s="2307" t="s">
        <v>941</v>
      </c>
      <c r="P1120" s="2308"/>
      <c r="Q1120" s="2308"/>
      <c r="R1120" s="2308"/>
      <c r="S1120" s="2308"/>
      <c r="T1120" s="2308"/>
      <c r="U1120" s="2308"/>
      <c r="V1120" s="2308"/>
      <c r="W1120" s="1920"/>
      <c r="X1120" s="2295"/>
      <c r="Y1120" s="2295"/>
      <c r="Z1120" s="2295"/>
      <c r="AA1120" s="2295"/>
      <c r="AB1120" s="2295"/>
      <c r="AC1120" s="2295"/>
      <c r="AD1120" s="2295"/>
      <c r="AE1120" s="2295"/>
      <c r="AF1120" s="2295"/>
      <c r="AG1120" s="2295"/>
      <c r="AH1120" s="2295"/>
      <c r="AI1120" s="2295"/>
      <c r="AJ1120" s="2296">
        <v>0</v>
      </c>
      <c r="AK1120" s="2297">
        <v>0</v>
      </c>
      <c r="AL1120" s="2297">
        <v>0</v>
      </c>
      <c r="AM1120" s="2297">
        <v>0</v>
      </c>
      <c r="AN1120" s="2297">
        <v>0</v>
      </c>
      <c r="AO1120" s="2297">
        <v>0</v>
      </c>
      <c r="AP1120" s="2297">
        <v>0</v>
      </c>
    </row>
    <row r="1121" spans="1:42" s="69" customFormat="1" ht="14.5">
      <c r="A1121" s="1693">
        <v>1</v>
      </c>
      <c r="B1121" s="616">
        <v>1</v>
      </c>
      <c r="C1121" s="1693">
        <v>1</v>
      </c>
      <c r="D1121" s="616">
        <v>1</v>
      </c>
      <c r="E1121" s="1693">
        <v>1017</v>
      </c>
      <c r="F1121" s="616"/>
      <c r="G1121" s="1693">
        <v>1104</v>
      </c>
      <c r="H1121" s="616"/>
      <c r="I1121" s="616"/>
      <c r="J1121" s="709" t="s">
        <v>512</v>
      </c>
      <c r="L1121" s="244"/>
      <c r="M1121" s="244"/>
      <c r="N1121" s="455"/>
      <c r="O1121" s="216"/>
      <c r="P1121" s="216"/>
      <c r="Q1121" s="216"/>
      <c r="R1121" s="210"/>
      <c r="S1121" s="22"/>
      <c r="W1121" s="2245"/>
      <c r="X1121" s="2309"/>
      <c r="Y1121" s="2310"/>
      <c r="Z1121" s="2310"/>
      <c r="AA1121" s="2310"/>
      <c r="AB1121" s="2310"/>
      <c r="AC1121" s="2310"/>
      <c r="AD1121" s="2310"/>
      <c r="AE1121" s="2310"/>
      <c r="AF1121" s="2310"/>
      <c r="AG1121" s="2310"/>
      <c r="AH1121" s="2310"/>
      <c r="AI1121" s="2310"/>
      <c r="AJ1121" s="2310"/>
      <c r="AK1121" s="217"/>
      <c r="AL1121" s="217"/>
      <c r="AM1121" s="217"/>
      <c r="AN1121" s="217"/>
      <c r="AO1121" s="217"/>
      <c r="AP1121" s="217"/>
    </row>
    <row r="1122" spans="1:42" ht="18">
      <c r="A1122" s="1693">
        <v>1</v>
      </c>
      <c r="B1122" s="616">
        <v>1</v>
      </c>
      <c r="C1122" s="1693">
        <v>1</v>
      </c>
      <c r="D1122" s="616">
        <v>1</v>
      </c>
      <c r="E1122" s="1693">
        <v>1</v>
      </c>
      <c r="F1122" s="616">
        <v>1</v>
      </c>
      <c r="G1122" s="1693">
        <v>1105</v>
      </c>
      <c r="H1122" s="616">
        <v>1</v>
      </c>
      <c r="J1122" s="709" t="s">
        <v>512</v>
      </c>
      <c r="K1122" s="69"/>
      <c r="L1122" s="242" t="s">
        <v>942</v>
      </c>
      <c r="M1122" s="242"/>
      <c r="W1122" s="1772"/>
      <c r="X1122" s="1125"/>
      <c r="Y1122" s="1366"/>
      <c r="Z1122" s="1366"/>
      <c r="AA1122" s="1366"/>
      <c r="AB1122" s="1366"/>
      <c r="AC1122" s="1366"/>
      <c r="AD1122" s="1366"/>
      <c r="AE1122" s="1366"/>
      <c r="AF1122" s="1366"/>
      <c r="AG1122" s="1366"/>
      <c r="AH1122" s="69"/>
      <c r="AI1122" s="69"/>
      <c r="AJ1122" s="69"/>
      <c r="AK1122" s="69"/>
      <c r="AL1122" s="69"/>
      <c r="AM1122" s="69"/>
      <c r="AN1122" s="69"/>
      <c r="AO1122" s="69"/>
      <c r="AP1122" s="69"/>
    </row>
    <row r="1123" spans="1:42" ht="14.5">
      <c r="A1123" s="1693">
        <v>1</v>
      </c>
      <c r="B1123" s="616">
        <v>1</v>
      </c>
      <c r="C1123" s="1693">
        <v>1</v>
      </c>
      <c r="D1123" s="616">
        <v>1</v>
      </c>
      <c r="E1123" s="1693">
        <v>1</v>
      </c>
      <c r="F1123" s="616">
        <v>1</v>
      </c>
      <c r="G1123" s="1693">
        <v>1106</v>
      </c>
      <c r="H1123" s="616">
        <v>1</v>
      </c>
      <c r="J1123" s="709" t="s">
        <v>512</v>
      </c>
      <c r="K1123" s="69"/>
      <c r="L1123" s="22"/>
      <c r="M1123" s="22" t="s">
        <v>943</v>
      </c>
      <c r="U1123" s="477" t="s">
        <v>1120</v>
      </c>
      <c r="W1123" s="1772"/>
      <c r="X1123" s="1125"/>
      <c r="Y1123" s="1366"/>
      <c r="Z1123" s="1366"/>
      <c r="AA1123" s="1366"/>
      <c r="AB1123" s="1366"/>
      <c r="AC1123" s="1366"/>
      <c r="AD1123" s="1366"/>
      <c r="AE1123" s="1366"/>
      <c r="AF1123" s="1366"/>
      <c r="AG1123" s="1366"/>
      <c r="AH1123" s="69"/>
      <c r="AI1123" s="69"/>
      <c r="AJ1123" s="69"/>
      <c r="AK1123" s="69"/>
      <c r="AL1123" s="69"/>
      <c r="AM1123" s="69"/>
      <c r="AN1123" s="69"/>
      <c r="AO1123" s="69"/>
      <c r="AP1123" s="69"/>
    </row>
    <row r="1124" spans="1:42" s="392" customFormat="1" ht="14.5">
      <c r="A1124" s="1693">
        <v>1</v>
      </c>
      <c r="B1124" s="616">
        <v>1</v>
      </c>
      <c r="C1124" s="1693">
        <v>1</v>
      </c>
      <c r="D1124" s="616">
        <v>1</v>
      </c>
      <c r="E1124" s="1693">
        <v>1</v>
      </c>
      <c r="F1124" s="616">
        <v>1</v>
      </c>
      <c r="G1124" s="1693">
        <v>1107</v>
      </c>
      <c r="H1124" s="616">
        <v>1</v>
      </c>
      <c r="I1124" s="616"/>
      <c r="J1124" s="709" t="s">
        <v>512</v>
      </c>
      <c r="K1124" s="69"/>
      <c r="L1124" s="1569"/>
      <c r="M1124" s="476"/>
      <c r="O1124" s="831" t="s">
        <v>1121</v>
      </c>
      <c r="P1124" s="180"/>
      <c r="Q1124" s="180"/>
      <c r="R1124" s="180"/>
      <c r="S1124" s="179"/>
      <c r="T1124" s="179"/>
      <c r="U1124" s="179"/>
      <c r="V1124" s="179"/>
      <c r="W1124" s="1824"/>
      <c r="X1124" s="1127"/>
      <c r="Y1124" s="8"/>
      <c r="Z1124" s="173"/>
      <c r="AA1124" s="1234"/>
    </row>
    <row r="1125" spans="1:42" s="392" customFormat="1" ht="14.5">
      <c r="A1125" s="1693">
        <v>1</v>
      </c>
      <c r="B1125" s="616">
        <v>1</v>
      </c>
      <c r="C1125" s="1693">
        <v>1</v>
      </c>
      <c r="D1125" s="616">
        <v>1</v>
      </c>
      <c r="E1125" s="1693">
        <v>1</v>
      </c>
      <c r="F1125" s="616">
        <v>1</v>
      </c>
      <c r="G1125" s="1693">
        <v>1108</v>
      </c>
      <c r="H1125" s="616">
        <v>1</v>
      </c>
      <c r="I1125" s="616"/>
      <c r="J1125" s="709" t="s">
        <v>512</v>
      </c>
      <c r="K1125" s="69"/>
      <c r="L1125" s="391"/>
      <c r="M1125" s="238"/>
      <c r="N1125" s="238"/>
      <c r="O1125" s="538" t="s">
        <v>1122</v>
      </c>
      <c r="P1125" s="405"/>
      <c r="Q1125" s="402"/>
      <c r="R1125" s="402"/>
      <c r="S1125" s="403"/>
      <c r="T1125" s="403"/>
      <c r="U1125" s="403"/>
      <c r="V1125" s="403"/>
      <c r="W1125" s="1825"/>
      <c r="X1125" s="1203">
        <v>608917.12164979987</v>
      </c>
      <c r="Y1125" s="1203">
        <v>557343.79454239993</v>
      </c>
      <c r="Z1125" s="1203">
        <v>458814.33942633012</v>
      </c>
      <c r="AA1125" s="1203">
        <v>507463.57590741257</v>
      </c>
      <c r="AB1125" s="1203">
        <v>502623.67565355485</v>
      </c>
      <c r="AC1125" s="1203">
        <v>492769.61964397045</v>
      </c>
      <c r="AD1125" s="1203">
        <v>503213.09297781583</v>
      </c>
      <c r="AE1125" s="1203">
        <v>512452.30229420844</v>
      </c>
      <c r="AF1125" s="1203">
        <v>507787.72610377916</v>
      </c>
      <c r="AG1125" s="1203">
        <v>518575.3117674386</v>
      </c>
      <c r="AH1125" s="1203">
        <v>517177.02655352384</v>
      </c>
      <c r="AI1125" s="1203">
        <v>471996.41796970757</v>
      </c>
      <c r="AJ1125" s="2311">
        <v>1625075.2556185299</v>
      </c>
      <c r="AK1125" s="1203">
        <v>1502856.8712049378</v>
      </c>
      <c r="AL1125" s="1203">
        <v>1523453.1213758034</v>
      </c>
      <c r="AM1125" s="1203">
        <v>1507748.75629067</v>
      </c>
      <c r="AN1125" s="1203">
        <v>3127932.1268234677</v>
      </c>
      <c r="AO1125" s="1203">
        <v>3031201.8776664734</v>
      </c>
      <c r="AP1125" s="1203">
        <v>6159134.0044899415</v>
      </c>
    </row>
    <row r="1126" spans="1:42" s="392" customFormat="1" ht="14.5">
      <c r="A1126" s="1693">
        <v>1</v>
      </c>
      <c r="B1126" s="616">
        <v>1</v>
      </c>
      <c r="C1126" s="1693">
        <v>1</v>
      </c>
      <c r="D1126" s="616">
        <v>1</v>
      </c>
      <c r="E1126" s="1693">
        <v>1</v>
      </c>
      <c r="F1126" s="616">
        <v>1</v>
      </c>
      <c r="G1126" s="1693">
        <v>1109</v>
      </c>
      <c r="H1126" s="616">
        <v>1</v>
      </c>
      <c r="I1126" s="616"/>
      <c r="J1126" s="709" t="s">
        <v>512</v>
      </c>
      <c r="K1126" s="69"/>
      <c r="L1126" s="1570"/>
      <c r="M1126" s="237"/>
      <c r="N1126" s="237"/>
      <c r="O1126" s="406"/>
      <c r="P1126" s="539" t="s">
        <v>1123</v>
      </c>
      <c r="Q1126" s="393"/>
      <c r="R1126" s="393"/>
      <c r="S1126" s="394"/>
      <c r="T1126" s="2312"/>
      <c r="U1126" s="394"/>
      <c r="V1126" s="394"/>
      <c r="W1126" s="1826"/>
      <c r="X1126" s="1202">
        <v>606287.16059599991</v>
      </c>
      <c r="Y1126" s="1202">
        <v>531167.86094239994</v>
      </c>
      <c r="Z1126" s="1202">
        <v>452799.86040880211</v>
      </c>
      <c r="AA1126" s="1202">
        <v>495564.16713681258</v>
      </c>
      <c r="AB1126" s="1202">
        <v>497888.99557355483</v>
      </c>
      <c r="AC1126" s="1202">
        <v>486220.29965271323</v>
      </c>
      <c r="AD1126" s="1202">
        <v>501618.70004631585</v>
      </c>
      <c r="AE1126" s="1202">
        <v>508318.55519077083</v>
      </c>
      <c r="AF1126" s="1202">
        <v>504966.34391233919</v>
      </c>
      <c r="AG1126" s="1202">
        <v>515392.90576743858</v>
      </c>
      <c r="AH1126" s="1202">
        <v>514625.24155352387</v>
      </c>
      <c r="AI1126" s="1202">
        <v>470528.3829697076</v>
      </c>
      <c r="AJ1126" s="2313">
        <v>1590254.8819472019</v>
      </c>
      <c r="AK1126" s="1202">
        <v>1479673.4623630806</v>
      </c>
      <c r="AL1126" s="1202">
        <v>1514903.599149426</v>
      </c>
      <c r="AM1126" s="1202">
        <v>1500546.5302906702</v>
      </c>
      <c r="AN1126" s="1202">
        <v>3069928.3443102827</v>
      </c>
      <c r="AO1126" s="1202">
        <v>3015450.1294400962</v>
      </c>
      <c r="AP1126" s="1202">
        <v>6085378.4737503789</v>
      </c>
    </row>
    <row r="1127" spans="1:42" s="392" customFormat="1" ht="14.5">
      <c r="A1127" s="1693">
        <v>1</v>
      </c>
      <c r="B1127" s="616">
        <v>1</v>
      </c>
      <c r="C1127" s="1693">
        <v>1</v>
      </c>
      <c r="D1127" s="616">
        <v>1</v>
      </c>
      <c r="E1127" s="1693">
        <v>1</v>
      </c>
      <c r="F1127" s="616">
        <v>1</v>
      </c>
      <c r="G1127" s="1693">
        <v>1110</v>
      </c>
      <c r="H1127" s="616">
        <v>1</v>
      </c>
      <c r="I1127" s="616"/>
      <c r="J1127" s="709" t="s">
        <v>512</v>
      </c>
      <c r="K1127" s="69"/>
      <c r="L1127" s="391"/>
      <c r="M1127" s="238"/>
      <c r="N1127" s="238"/>
      <c r="O1127" s="398"/>
      <c r="P1127" s="397"/>
      <c r="Q1127" s="2314" t="s">
        <v>197</v>
      </c>
      <c r="R1127" s="2315"/>
      <c r="S1127" s="2316"/>
      <c r="T1127" s="2316"/>
      <c r="U1127" s="2316"/>
      <c r="V1127" s="2316"/>
      <c r="W1127" s="1827"/>
      <c r="X1127" s="2317">
        <v>592665.35324999993</v>
      </c>
      <c r="Y1127" s="2317">
        <v>526065.92281999998</v>
      </c>
      <c r="Z1127" s="2317">
        <v>443363.63305880211</v>
      </c>
      <c r="AA1127" s="2317">
        <v>480738.09734961257</v>
      </c>
      <c r="AB1127" s="2317">
        <v>478194.19118555484</v>
      </c>
      <c r="AC1127" s="2317">
        <v>476714.14885471319</v>
      </c>
      <c r="AD1127" s="2317">
        <v>495341.16562063585</v>
      </c>
      <c r="AE1127" s="2317">
        <v>499222.85331077082</v>
      </c>
      <c r="AF1127" s="2317">
        <v>491441.08004133916</v>
      </c>
      <c r="AG1127" s="2317">
        <v>487527.99329743854</v>
      </c>
      <c r="AH1127" s="2317">
        <v>501509.68684074952</v>
      </c>
      <c r="AI1127" s="2317">
        <v>456977.64136970759</v>
      </c>
      <c r="AJ1127" s="2318">
        <v>1562094.9091288021</v>
      </c>
      <c r="AK1127" s="2317">
        <v>1435646.4373898807</v>
      </c>
      <c r="AL1127" s="2317">
        <v>1486005.0989727459</v>
      </c>
      <c r="AM1127" s="2317">
        <v>1446015.3215078958</v>
      </c>
      <c r="AN1127" s="2317">
        <v>2997741.3465186828</v>
      </c>
      <c r="AO1127" s="2317">
        <v>2932020.4204806415</v>
      </c>
      <c r="AP1127" s="2317">
        <v>5929761.7669993239</v>
      </c>
    </row>
    <row r="1128" spans="1:42" s="392" customFormat="1" ht="14.5">
      <c r="A1128" s="1693">
        <v>1</v>
      </c>
      <c r="B1128" s="616">
        <v>1</v>
      </c>
      <c r="C1128" s="1693">
        <v>1</v>
      </c>
      <c r="D1128" s="616">
        <v>1</v>
      </c>
      <c r="E1128" s="1693">
        <v>1</v>
      </c>
      <c r="F1128" s="616">
        <v>1</v>
      </c>
      <c r="G1128" s="1693">
        <v>1111</v>
      </c>
      <c r="H1128" s="616">
        <v>1</v>
      </c>
      <c r="I1128" s="616"/>
      <c r="J1128" s="709" t="s">
        <v>512</v>
      </c>
      <c r="K1128" s="69"/>
      <c r="L1128" s="391"/>
      <c r="M1128" s="391"/>
      <c r="N1128" s="391"/>
      <c r="O1128" s="398"/>
      <c r="P1128" s="396"/>
      <c r="Q1128" s="541" t="s">
        <v>30</v>
      </c>
      <c r="R1128" s="416"/>
      <c r="S1128" s="417"/>
      <c r="T1128" s="417"/>
      <c r="U1128" s="417"/>
      <c r="V1128" s="417"/>
      <c r="W1128" s="1827"/>
      <c r="X1128" s="818">
        <v>156906.67826999997</v>
      </c>
      <c r="Y1128" s="818">
        <v>129297.45025000001</v>
      </c>
      <c r="Z1128" s="818">
        <v>135293.67784277242</v>
      </c>
      <c r="AA1128" s="818">
        <v>157333.60224681176</v>
      </c>
      <c r="AB1128" s="818">
        <v>144990.90598341229</v>
      </c>
      <c r="AC1128" s="818">
        <v>138777.87872912028</v>
      </c>
      <c r="AD1128" s="818">
        <v>155022.45027287927</v>
      </c>
      <c r="AE1128" s="818">
        <v>152853.88561130813</v>
      </c>
      <c r="AF1128" s="818">
        <v>149437.93878853446</v>
      </c>
      <c r="AG1128" s="818">
        <v>154424.87735256355</v>
      </c>
      <c r="AH1128" s="818">
        <v>149865.91943580101</v>
      </c>
      <c r="AI1128" s="818">
        <v>135169.76412558433</v>
      </c>
      <c r="AJ1128" s="927">
        <v>421497.80636277242</v>
      </c>
      <c r="AK1128" s="818">
        <v>441102.38695934438</v>
      </c>
      <c r="AL1128" s="818">
        <v>457314.27467272186</v>
      </c>
      <c r="AM1128" s="818">
        <v>439460.56091394887</v>
      </c>
      <c r="AN1128" s="818">
        <v>862600.19332211686</v>
      </c>
      <c r="AO1128" s="818">
        <v>896774.83558667079</v>
      </c>
      <c r="AP1128" s="818">
        <v>1759375.0289087875</v>
      </c>
    </row>
    <row r="1129" spans="1:42" s="392" customFormat="1" ht="14.5">
      <c r="A1129" s="1693">
        <v>1</v>
      </c>
      <c r="B1129" s="616">
        <v>1</v>
      </c>
      <c r="C1129" s="1693">
        <v>1</v>
      </c>
      <c r="D1129" s="616">
        <v>1</v>
      </c>
      <c r="E1129" s="1693">
        <v>1</v>
      </c>
      <c r="F1129" s="616">
        <v>1</v>
      </c>
      <c r="G1129" s="1693">
        <v>1112</v>
      </c>
      <c r="H1129" s="616">
        <v>1</v>
      </c>
      <c r="I1129" s="616"/>
      <c r="J1129" s="709" t="s">
        <v>512</v>
      </c>
      <c r="K1129" s="69"/>
      <c r="L1129" s="391"/>
      <c r="M1129" s="391"/>
      <c r="N1129" s="391"/>
      <c r="O1129" s="398"/>
      <c r="P1129" s="395"/>
      <c r="Q1129" s="411"/>
      <c r="R1129" s="385" t="s">
        <v>1124</v>
      </c>
      <c r="S1129" s="811"/>
      <c r="T1129" s="803"/>
      <c r="U1129" s="803"/>
      <c r="V1129" s="803"/>
      <c r="W1129" s="1828"/>
      <c r="X1129" s="819">
        <v>147213.867</v>
      </c>
      <c r="Y1129" s="819">
        <v>126015.59600000001</v>
      </c>
      <c r="Z1129" s="819">
        <v>131133.10269</v>
      </c>
      <c r="AA1129" s="819">
        <v>153126.27734</v>
      </c>
      <c r="AB1129" s="819">
        <v>139379.47722</v>
      </c>
      <c r="AC1129" s="819">
        <v>131756.09953000001</v>
      </c>
      <c r="AD1129" s="819">
        <v>147103.56820000001</v>
      </c>
      <c r="AE1129" s="819">
        <v>145294.54179000002</v>
      </c>
      <c r="AF1129" s="819">
        <v>141547.4112</v>
      </c>
      <c r="AG1129" s="819">
        <v>149918.27617000003</v>
      </c>
      <c r="AH1129" s="819">
        <v>143251.86360000001</v>
      </c>
      <c r="AI1129" s="819">
        <v>131232.05898000003</v>
      </c>
      <c r="AJ1129" s="928">
        <v>404362.56569000002</v>
      </c>
      <c r="AK1129" s="819">
        <v>424261.85409000004</v>
      </c>
      <c r="AL1129" s="819">
        <v>433945.52119000006</v>
      </c>
      <c r="AM1129" s="819">
        <v>424402.19875000004</v>
      </c>
      <c r="AN1129" s="819">
        <v>828624.41978000011</v>
      </c>
      <c r="AO1129" s="819">
        <v>858347.7199400001</v>
      </c>
      <c r="AP1129" s="819">
        <v>1686972.1397200001</v>
      </c>
    </row>
    <row r="1130" spans="1:42" s="392" customFormat="1" ht="14.5">
      <c r="A1130" s="1693">
        <v>1</v>
      </c>
      <c r="B1130" s="616">
        <v>1</v>
      </c>
      <c r="C1130" s="1693">
        <v>1</v>
      </c>
      <c r="D1130" s="616">
        <v>1</v>
      </c>
      <c r="E1130" s="1693">
        <v>1</v>
      </c>
      <c r="F1130" s="616">
        <v>1</v>
      </c>
      <c r="G1130" s="1693">
        <v>1113</v>
      </c>
      <c r="H1130" s="616">
        <v>1</v>
      </c>
      <c r="I1130" s="616"/>
      <c r="J1130" s="709" t="s">
        <v>512</v>
      </c>
      <c r="K1130" s="69"/>
      <c r="L1130" s="391"/>
      <c r="M1130" s="238"/>
      <c r="N1130" s="238"/>
      <c r="O1130" s="398"/>
      <c r="P1130" s="395"/>
      <c r="Q1130" s="411"/>
      <c r="R1130" s="1381"/>
      <c r="S1130" s="812"/>
      <c r="T1130" s="387" t="s">
        <v>72</v>
      </c>
      <c r="U1130" s="804"/>
      <c r="V1130" s="804"/>
      <c r="W1130" s="1829"/>
      <c r="X1130" s="1128">
        <v>100814.878</v>
      </c>
      <c r="Y1130" s="1128">
        <v>103203.196</v>
      </c>
      <c r="Z1130" s="1128">
        <v>86333.898000000001</v>
      </c>
      <c r="AA1130" s="1128">
        <v>102184.329</v>
      </c>
      <c r="AB1130" s="1128">
        <v>83396.490999999995</v>
      </c>
      <c r="AC1130" s="1128">
        <v>85772.191000000006</v>
      </c>
      <c r="AD1130" s="1128">
        <v>95494.884000000005</v>
      </c>
      <c r="AE1130" s="1128">
        <v>87950.877999999997</v>
      </c>
      <c r="AF1130" s="1128">
        <v>91541.917000000001</v>
      </c>
      <c r="AG1130" s="1128">
        <v>96006.346000000005</v>
      </c>
      <c r="AH1130" s="1128">
        <v>83553.146999999997</v>
      </c>
      <c r="AI1130" s="1128">
        <v>82104.188999999998</v>
      </c>
      <c r="AJ1130" s="929">
        <v>290351.97200000001</v>
      </c>
      <c r="AK1130" s="820">
        <v>271353.011</v>
      </c>
      <c r="AL1130" s="820">
        <v>274987.679</v>
      </c>
      <c r="AM1130" s="820">
        <v>261663.68200000003</v>
      </c>
      <c r="AN1130" s="820">
        <v>561704.98300000001</v>
      </c>
      <c r="AO1130" s="820">
        <v>536651.36100000003</v>
      </c>
      <c r="AP1130" s="820">
        <v>1098356.344</v>
      </c>
    </row>
    <row r="1131" spans="1:42" s="392" customFormat="1" ht="14.5">
      <c r="A1131" s="1693">
        <v>1</v>
      </c>
      <c r="B1131" s="616">
        <v>1</v>
      </c>
      <c r="C1131" s="1693">
        <v>1</v>
      </c>
      <c r="D1131" s="616">
        <v>1</v>
      </c>
      <c r="E1131" s="1693">
        <v>1</v>
      </c>
      <c r="F1131" s="616">
        <v>1</v>
      </c>
      <c r="G1131" s="1693">
        <v>1114</v>
      </c>
      <c r="H1131" s="616">
        <v>1</v>
      </c>
      <c r="I1131" s="616"/>
      <c r="J1131" s="709" t="s">
        <v>512</v>
      </c>
      <c r="K1131" s="69"/>
      <c r="L1131" s="391"/>
      <c r="M1131" s="238"/>
      <c r="N1131" s="238"/>
      <c r="O1131" s="398"/>
      <c r="P1131" s="395"/>
      <c r="Q1131" s="411"/>
      <c r="R1131" s="1381"/>
      <c r="S1131" s="812"/>
      <c r="T1131" s="388" t="s">
        <v>71</v>
      </c>
      <c r="U1131" s="805"/>
      <c r="V1131" s="805"/>
      <c r="W1131" s="1829"/>
      <c r="X1131" s="1129">
        <v>7786.6</v>
      </c>
      <c r="Y1131" s="1129">
        <v>6872.9409999999998</v>
      </c>
      <c r="Z1131" s="1129">
        <v>8303.9110000000001</v>
      </c>
      <c r="AA1131" s="1129">
        <v>14346.933000000001</v>
      </c>
      <c r="AB1131" s="1129">
        <v>20223.488000000001</v>
      </c>
      <c r="AC1131" s="1129">
        <v>9684.6869999999999</v>
      </c>
      <c r="AD1131" s="1129">
        <v>14188.125</v>
      </c>
      <c r="AE1131" s="1129">
        <v>18810.159</v>
      </c>
      <c r="AF1131" s="1129">
        <v>11125.519</v>
      </c>
      <c r="AG1131" s="1129">
        <v>14717.552</v>
      </c>
      <c r="AH1131" s="1129">
        <v>20321.918000000001</v>
      </c>
      <c r="AI1131" s="1129">
        <v>9504.6190000000006</v>
      </c>
      <c r="AJ1131" s="930">
        <v>22963.452000000001</v>
      </c>
      <c r="AK1131" s="821">
        <v>44255.108</v>
      </c>
      <c r="AL1131" s="821">
        <v>44123.803</v>
      </c>
      <c r="AM1131" s="821">
        <v>44544.089</v>
      </c>
      <c r="AN1131" s="821">
        <v>67218.559999999998</v>
      </c>
      <c r="AO1131" s="821">
        <v>88667.891999999993</v>
      </c>
      <c r="AP1131" s="821">
        <v>155886.45199999999</v>
      </c>
    </row>
    <row r="1132" spans="1:42" s="392" customFormat="1" ht="14.5">
      <c r="A1132" s="1693">
        <v>1</v>
      </c>
      <c r="B1132" s="616">
        <v>1</v>
      </c>
      <c r="C1132" s="1693">
        <v>1</v>
      </c>
      <c r="D1132" s="616">
        <v>1</v>
      </c>
      <c r="E1132" s="1693">
        <v>1</v>
      </c>
      <c r="F1132" s="616">
        <v>1</v>
      </c>
      <c r="G1132" s="1693">
        <v>1115</v>
      </c>
      <c r="H1132" s="616">
        <v>1</v>
      </c>
      <c r="I1132" s="616"/>
      <c r="J1132" s="709" t="s">
        <v>512</v>
      </c>
      <c r="K1132" s="69"/>
      <c r="L1132" s="391"/>
      <c r="M1132" s="238"/>
      <c r="N1132" s="238"/>
      <c r="O1132" s="398"/>
      <c r="P1132" s="395"/>
      <c r="Q1132" s="411"/>
      <c r="R1132" s="1382"/>
      <c r="S1132" s="813"/>
      <c r="T1132" s="389" t="s">
        <v>70</v>
      </c>
      <c r="U1132" s="806"/>
      <c r="V1132" s="806"/>
      <c r="W1132" s="1829"/>
      <c r="X1132" s="1130">
        <v>38612.389000000003</v>
      </c>
      <c r="Y1132" s="1130">
        <v>15939.459000000001</v>
      </c>
      <c r="Z1132" s="1130">
        <v>36495.293689999999</v>
      </c>
      <c r="AA1132" s="1130">
        <v>36595.015339999991</v>
      </c>
      <c r="AB1132" s="1130">
        <v>35759.498220000009</v>
      </c>
      <c r="AC1132" s="1130">
        <v>36299.221530000003</v>
      </c>
      <c r="AD1132" s="1130">
        <v>37420.559200000003</v>
      </c>
      <c r="AE1132" s="1130">
        <v>38533.504790000014</v>
      </c>
      <c r="AF1132" s="1130">
        <v>38879.975200000008</v>
      </c>
      <c r="AG1132" s="1130">
        <v>39194.378170000011</v>
      </c>
      <c r="AH1132" s="1130">
        <v>39376.798600000009</v>
      </c>
      <c r="AI1132" s="1130">
        <v>39623.250980000012</v>
      </c>
      <c r="AJ1132" s="931">
        <v>91047.141690000004</v>
      </c>
      <c r="AK1132" s="822">
        <v>108653.73509</v>
      </c>
      <c r="AL1132" s="822">
        <v>114834.03919000004</v>
      </c>
      <c r="AM1132" s="822">
        <v>118194.42775000003</v>
      </c>
      <c r="AN1132" s="822">
        <v>199700.87677999999</v>
      </c>
      <c r="AO1132" s="822">
        <v>233028.46694000007</v>
      </c>
      <c r="AP1132" s="822">
        <v>432729.34372000006</v>
      </c>
    </row>
    <row r="1133" spans="1:42" s="392" customFormat="1" ht="14.5">
      <c r="A1133" s="1693">
        <v>1</v>
      </c>
      <c r="B1133" s="616">
        <v>1</v>
      </c>
      <c r="C1133" s="1693">
        <v>1</v>
      </c>
      <c r="D1133" s="616">
        <v>1</v>
      </c>
      <c r="E1133" s="1693">
        <v>1</v>
      </c>
      <c r="F1133" s="616">
        <v>1</v>
      </c>
      <c r="G1133" s="1693">
        <v>1116</v>
      </c>
      <c r="H1133" s="616">
        <v>1</v>
      </c>
      <c r="I1133" s="616"/>
      <c r="J1133" s="709" t="s">
        <v>512</v>
      </c>
      <c r="K1133" s="69"/>
      <c r="L1133" s="391"/>
      <c r="M1133" s="391"/>
      <c r="N1133" s="391"/>
      <c r="O1133" s="398"/>
      <c r="P1133" s="395"/>
      <c r="Q1133" s="411"/>
      <c r="R1133" s="385" t="s">
        <v>194</v>
      </c>
      <c r="T1133" s="386"/>
      <c r="U1133" s="806"/>
      <c r="V1133" s="806"/>
      <c r="W1133" s="1828"/>
      <c r="X1133" s="822">
        <v>9692.8112699999838</v>
      </c>
      <c r="Y1133" s="822">
        <v>3281.854249999999</v>
      </c>
      <c r="Z1133" s="822">
        <v>4160.5751527724142</v>
      </c>
      <c r="AA1133" s="822">
        <v>4207.3249068117721</v>
      </c>
      <c r="AB1133" s="822">
        <v>5611.4287634122938</v>
      </c>
      <c r="AC1133" s="822">
        <v>7021.7791991202821</v>
      </c>
      <c r="AD1133" s="822">
        <v>7918.8820728792598</v>
      </c>
      <c r="AE1133" s="822">
        <v>7559.3438213081163</v>
      </c>
      <c r="AF1133" s="822">
        <v>7890.5275885344508</v>
      </c>
      <c r="AG1133" s="822">
        <v>4506.6011825635314</v>
      </c>
      <c r="AH1133" s="822">
        <v>6614.0558358010012</v>
      </c>
      <c r="AI1133" s="822">
        <v>3937.7051455843166</v>
      </c>
      <c r="AJ1133" s="931">
        <v>17135.240672772397</v>
      </c>
      <c r="AK1133" s="822">
        <v>16840.532869344348</v>
      </c>
      <c r="AL1133" s="822">
        <v>23368.753482721826</v>
      </c>
      <c r="AM1133" s="822">
        <v>15058.362163948848</v>
      </c>
      <c r="AN1133" s="822">
        <v>33975.773542116745</v>
      </c>
      <c r="AO1133" s="822">
        <v>38427.115646670674</v>
      </c>
      <c r="AP1133" s="822">
        <v>72402.88918878742</v>
      </c>
    </row>
    <row r="1134" spans="1:42" s="392" customFormat="1" ht="14.5">
      <c r="A1134" s="1693">
        <v>1</v>
      </c>
      <c r="B1134" s="616">
        <v>1</v>
      </c>
      <c r="C1134" s="1693">
        <v>1</v>
      </c>
      <c r="D1134" s="616">
        <v>1</v>
      </c>
      <c r="E1134" s="1693">
        <v>1</v>
      </c>
      <c r="F1134" s="616">
        <v>1</v>
      </c>
      <c r="G1134" s="1693">
        <v>1117</v>
      </c>
      <c r="H1134" s="616">
        <v>1</v>
      </c>
      <c r="I1134" s="616"/>
      <c r="J1134" s="709" t="s">
        <v>512</v>
      </c>
      <c r="K1134" s="69"/>
      <c r="L1134" s="391"/>
      <c r="M1134" s="238"/>
      <c r="N1134" s="238"/>
      <c r="O1134" s="398"/>
      <c r="P1134" s="395"/>
      <c r="Q1134" s="411"/>
      <c r="R1134" s="1381"/>
      <c r="S1134" s="812"/>
      <c r="T1134" s="387" t="s">
        <v>2</v>
      </c>
      <c r="U1134" s="804"/>
      <c r="V1134" s="804"/>
      <c r="W1134" s="1829"/>
      <c r="X1134" s="1128"/>
      <c r="Y1134" s="1128"/>
      <c r="Z1134" s="1128"/>
      <c r="AA1134" s="1128"/>
      <c r="AB1134" s="1128"/>
      <c r="AC1134" s="1128"/>
      <c r="AD1134" s="1128"/>
      <c r="AE1134" s="1128"/>
      <c r="AF1134" s="1128"/>
      <c r="AG1134" s="1128"/>
      <c r="AH1134" s="1128"/>
      <c r="AI1134" s="1128"/>
      <c r="AJ1134" s="929">
        <v>0</v>
      </c>
      <c r="AK1134" s="820">
        <v>0</v>
      </c>
      <c r="AL1134" s="820">
        <v>0</v>
      </c>
      <c r="AM1134" s="820">
        <v>0</v>
      </c>
      <c r="AN1134" s="820">
        <v>0</v>
      </c>
      <c r="AO1134" s="820">
        <v>0</v>
      </c>
      <c r="AP1134" s="820">
        <v>0</v>
      </c>
    </row>
    <row r="1135" spans="1:42" s="392" customFormat="1" ht="14.5">
      <c r="A1135" s="1693">
        <v>1</v>
      </c>
      <c r="B1135" s="616">
        <v>1</v>
      </c>
      <c r="C1135" s="1693">
        <v>1</v>
      </c>
      <c r="D1135" s="616">
        <v>1</v>
      </c>
      <c r="E1135" s="1693">
        <v>1</v>
      </c>
      <c r="F1135" s="616">
        <v>1</v>
      </c>
      <c r="G1135" s="1693">
        <v>1118</v>
      </c>
      <c r="H1135" s="616">
        <v>1</v>
      </c>
      <c r="I1135" s="616"/>
      <c r="J1135" s="709" t="s">
        <v>512</v>
      </c>
      <c r="K1135" s="69"/>
      <c r="L1135" s="391"/>
      <c r="M1135" s="238"/>
      <c r="N1135" s="238"/>
      <c r="O1135" s="398"/>
      <c r="P1135" s="395"/>
      <c r="Q1135" s="411"/>
      <c r="R1135" s="1381"/>
      <c r="S1135" s="812"/>
      <c r="T1135" s="388" t="s">
        <v>1125</v>
      </c>
      <c r="U1135" s="805"/>
      <c r="V1135" s="805"/>
      <c r="W1135" s="1829"/>
      <c r="X1135" s="1129"/>
      <c r="Y1135" s="1129"/>
      <c r="Z1135" s="1129"/>
      <c r="AA1135" s="1129"/>
      <c r="AB1135" s="1129"/>
      <c r="AC1135" s="1129"/>
      <c r="AD1135" s="1129"/>
      <c r="AE1135" s="1129"/>
      <c r="AF1135" s="1129"/>
      <c r="AG1135" s="1129"/>
      <c r="AH1135" s="1129"/>
      <c r="AI1135" s="1129"/>
      <c r="AJ1135" s="930">
        <v>0</v>
      </c>
      <c r="AK1135" s="821">
        <v>0</v>
      </c>
      <c r="AL1135" s="821">
        <v>0</v>
      </c>
      <c r="AM1135" s="821">
        <v>0</v>
      </c>
      <c r="AN1135" s="821">
        <v>0</v>
      </c>
      <c r="AO1135" s="821">
        <v>0</v>
      </c>
      <c r="AP1135" s="821">
        <v>0</v>
      </c>
    </row>
    <row r="1136" spans="1:42" s="392" customFormat="1" ht="14.5">
      <c r="A1136" s="1693">
        <v>1</v>
      </c>
      <c r="B1136" s="616">
        <v>1</v>
      </c>
      <c r="C1136" s="1693">
        <v>1</v>
      </c>
      <c r="D1136" s="616">
        <v>1</v>
      </c>
      <c r="E1136" s="1693">
        <v>1</v>
      </c>
      <c r="F1136" s="616">
        <v>1</v>
      </c>
      <c r="G1136" s="1693">
        <v>1119</v>
      </c>
      <c r="H1136" s="616">
        <v>1</v>
      </c>
      <c r="I1136" s="616"/>
      <c r="J1136" s="709" t="s">
        <v>512</v>
      </c>
      <c r="K1136" s="69"/>
      <c r="L1136" s="391"/>
      <c r="M1136" s="238"/>
      <c r="N1136" s="238"/>
      <c r="O1136" s="398"/>
      <c r="P1136" s="395"/>
      <c r="Q1136" s="412"/>
      <c r="R1136" s="1382"/>
      <c r="S1136" s="814"/>
      <c r="T1136" s="390" t="s">
        <v>1087</v>
      </c>
      <c r="U1136" s="807"/>
      <c r="V1136" s="807"/>
      <c r="W1136" s="1829"/>
      <c r="X1136" s="1131">
        <v>9692.8112699999838</v>
      </c>
      <c r="Y1136" s="1131">
        <v>3281.854249999999</v>
      </c>
      <c r="Z1136" s="1131">
        <v>4160.5751527724142</v>
      </c>
      <c r="AA1136" s="1131">
        <v>4207.3249068117721</v>
      </c>
      <c r="AB1136" s="1131">
        <v>5611.4287634122938</v>
      </c>
      <c r="AC1136" s="1131">
        <v>7021.7791991202821</v>
      </c>
      <c r="AD1136" s="1131">
        <v>7918.8820728792598</v>
      </c>
      <c r="AE1136" s="1131">
        <v>7559.3438213081163</v>
      </c>
      <c r="AF1136" s="1131">
        <v>7890.5275885344508</v>
      </c>
      <c r="AG1136" s="1131">
        <v>4506.6011825635314</v>
      </c>
      <c r="AH1136" s="1131">
        <v>6614.0558358010012</v>
      </c>
      <c r="AI1136" s="1131">
        <v>3937.7051455843166</v>
      </c>
      <c r="AJ1136" s="932">
        <v>17135.240672772397</v>
      </c>
      <c r="AK1136" s="823">
        <v>16840.532869344348</v>
      </c>
      <c r="AL1136" s="823">
        <v>23368.753482721826</v>
      </c>
      <c r="AM1136" s="823">
        <v>15058.362163948848</v>
      </c>
      <c r="AN1136" s="823">
        <v>33975.773542116745</v>
      </c>
      <c r="AO1136" s="823">
        <v>38427.115646670674</v>
      </c>
      <c r="AP1136" s="823">
        <v>72402.88918878742</v>
      </c>
    </row>
    <row r="1137" spans="1:42" s="392" customFormat="1" ht="14.5">
      <c r="A1137" s="1693">
        <v>1</v>
      </c>
      <c r="B1137" s="616">
        <v>1</v>
      </c>
      <c r="C1137" s="1693">
        <v>1</v>
      </c>
      <c r="D1137" s="616">
        <v>1</v>
      </c>
      <c r="E1137" s="1693">
        <v>1</v>
      </c>
      <c r="F1137" s="616">
        <v>1</v>
      </c>
      <c r="G1137" s="1693">
        <v>1120</v>
      </c>
      <c r="H1137" s="616">
        <v>1</v>
      </c>
      <c r="I1137" s="616"/>
      <c r="J1137" s="709" t="s">
        <v>512</v>
      </c>
      <c r="K1137" s="69"/>
      <c r="L1137" s="391"/>
      <c r="M1137" s="391"/>
      <c r="N1137" s="391"/>
      <c r="O1137" s="399"/>
      <c r="P1137" s="396"/>
      <c r="Q1137" s="541" t="s">
        <v>1030</v>
      </c>
      <c r="R1137" s="416"/>
      <c r="S1137" s="417"/>
      <c r="T1137" s="417"/>
      <c r="U1137" s="417"/>
      <c r="V1137" s="417"/>
      <c r="W1137" s="1827"/>
      <c r="X1137" s="818">
        <v>427888.68943999993</v>
      </c>
      <c r="Y1137" s="818">
        <v>391711.05907000002</v>
      </c>
      <c r="Z1137" s="818">
        <v>301226.95221602963</v>
      </c>
      <c r="AA1137" s="818">
        <v>322476.29510280077</v>
      </c>
      <c r="AB1137" s="818">
        <v>312606.44079354254</v>
      </c>
      <c r="AC1137" s="818">
        <v>332852.76712559292</v>
      </c>
      <c r="AD1137" s="818">
        <v>340258.2978407566</v>
      </c>
      <c r="AE1137" s="818">
        <v>325036.22441106266</v>
      </c>
      <c r="AF1137" s="818">
        <v>341525.05968440464</v>
      </c>
      <c r="AG1137" s="818">
        <v>332761.58322487498</v>
      </c>
      <c r="AH1137" s="818">
        <v>346719.38440494856</v>
      </c>
      <c r="AI1137" s="818">
        <v>300927.21848353551</v>
      </c>
      <c r="AJ1137" s="927">
        <v>1120826.7007260297</v>
      </c>
      <c r="AK1137" s="818">
        <v>967935.50302193617</v>
      </c>
      <c r="AL1137" s="818">
        <v>1006819.5819362239</v>
      </c>
      <c r="AM1137" s="818">
        <v>980408.18611335906</v>
      </c>
      <c r="AN1137" s="818">
        <v>2088762.2037479659</v>
      </c>
      <c r="AO1137" s="818">
        <v>1987227.7680495828</v>
      </c>
      <c r="AP1137" s="818">
        <v>4075989.9717975492</v>
      </c>
    </row>
    <row r="1138" spans="1:42" s="392" customFormat="1" ht="14.5">
      <c r="A1138" s="1693">
        <v>1</v>
      </c>
      <c r="B1138" s="616">
        <v>1</v>
      </c>
      <c r="C1138" s="1693">
        <v>1</v>
      </c>
      <c r="D1138" s="616">
        <v>1</v>
      </c>
      <c r="E1138" s="1693">
        <v>1</v>
      </c>
      <c r="F1138" s="616">
        <v>1</v>
      </c>
      <c r="G1138" s="1693">
        <v>1121</v>
      </c>
      <c r="H1138" s="616">
        <v>1</v>
      </c>
      <c r="I1138" s="616"/>
      <c r="J1138" s="709" t="s">
        <v>512</v>
      </c>
      <c r="K1138" s="69"/>
      <c r="L1138" s="391"/>
      <c r="M1138" s="391"/>
      <c r="N1138" s="391"/>
      <c r="O1138" s="398"/>
      <c r="P1138" s="395"/>
      <c r="Q1138" s="411"/>
      <c r="R1138" s="385" t="s">
        <v>1124</v>
      </c>
      <c r="T1138" s="386"/>
      <c r="U1138" s="803"/>
      <c r="V1138" s="803"/>
      <c r="W1138" s="1828"/>
      <c r="X1138" s="819">
        <v>323291.25400000002</v>
      </c>
      <c r="Y1138" s="819">
        <v>345775.891</v>
      </c>
      <c r="Z1138" s="819">
        <v>269804.45584000001</v>
      </c>
      <c r="AA1138" s="819">
        <v>290701.72398999997</v>
      </c>
      <c r="AB1138" s="819">
        <v>270228.69417999999</v>
      </c>
      <c r="AC1138" s="819">
        <v>279821.19736999995</v>
      </c>
      <c r="AD1138" s="819">
        <v>280450.83071000001</v>
      </c>
      <c r="AE1138" s="819">
        <v>267944.72982000001</v>
      </c>
      <c r="AF1138" s="819">
        <v>281931.90121000004</v>
      </c>
      <c r="AG1138" s="819">
        <v>298725.74583999999</v>
      </c>
      <c r="AH1138" s="819">
        <v>296767.12109999999</v>
      </c>
      <c r="AI1138" s="819">
        <v>266614.29098717199</v>
      </c>
      <c r="AJ1138" s="928">
        <v>938871.60084000009</v>
      </c>
      <c r="AK1138" s="819">
        <v>840751.61553999991</v>
      </c>
      <c r="AL1138" s="819">
        <v>830327.46174000006</v>
      </c>
      <c r="AM1138" s="819">
        <v>862107.15792717191</v>
      </c>
      <c r="AN1138" s="819">
        <v>1779623.2163800001</v>
      </c>
      <c r="AO1138" s="819">
        <v>1692434.619667172</v>
      </c>
      <c r="AP1138" s="819">
        <v>3472057.8360471721</v>
      </c>
    </row>
    <row r="1139" spans="1:42" s="392" customFormat="1" ht="14.5">
      <c r="A1139" s="1693">
        <v>1</v>
      </c>
      <c r="B1139" s="616">
        <v>1</v>
      </c>
      <c r="C1139" s="1693">
        <v>1</v>
      </c>
      <c r="D1139" s="616">
        <v>1</v>
      </c>
      <c r="E1139" s="1693">
        <v>1</v>
      </c>
      <c r="F1139" s="616">
        <v>1</v>
      </c>
      <c r="G1139" s="1693">
        <v>1122</v>
      </c>
      <c r="H1139" s="616">
        <v>1</v>
      </c>
      <c r="I1139" s="616"/>
      <c r="J1139" s="709" t="s">
        <v>512</v>
      </c>
      <c r="K1139" s="69"/>
      <c r="L1139" s="391"/>
      <c r="M1139" s="238"/>
      <c r="N1139" s="238"/>
      <c r="O1139" s="398"/>
      <c r="P1139" s="395"/>
      <c r="Q1139" s="411"/>
      <c r="R1139" s="1381"/>
      <c r="S1139" s="812"/>
      <c r="T1139" s="387" t="s">
        <v>72</v>
      </c>
      <c r="U1139" s="804"/>
      <c r="V1139" s="804"/>
      <c r="W1139" s="1829"/>
      <c r="X1139" s="1128">
        <v>75341.009000000005</v>
      </c>
      <c r="Y1139" s="1128">
        <v>105597.13099999999</v>
      </c>
      <c r="Z1139" s="1128">
        <v>57967.622000000003</v>
      </c>
      <c r="AA1139" s="1128">
        <v>75425.343999999997</v>
      </c>
      <c r="AB1139" s="1128">
        <v>53259.68</v>
      </c>
      <c r="AC1139" s="1128">
        <v>51477.682999999997</v>
      </c>
      <c r="AD1139" s="1128">
        <v>71263.913</v>
      </c>
      <c r="AE1139" s="1128">
        <v>54042.392999999996</v>
      </c>
      <c r="AF1139" s="1128">
        <v>59851.048999999999</v>
      </c>
      <c r="AG1139" s="1128">
        <v>77258.236999999994</v>
      </c>
      <c r="AH1139" s="1128">
        <v>55216.911999999997</v>
      </c>
      <c r="AI1139" s="1128">
        <v>47990.811000000002</v>
      </c>
      <c r="AJ1139" s="929">
        <v>238905.76200000002</v>
      </c>
      <c r="AK1139" s="820">
        <v>180162.70699999999</v>
      </c>
      <c r="AL1139" s="820">
        <v>185157.35499999998</v>
      </c>
      <c r="AM1139" s="820">
        <v>180465.95999999996</v>
      </c>
      <c r="AN1139" s="820">
        <v>419068.46900000004</v>
      </c>
      <c r="AO1139" s="820">
        <v>365623.31499999994</v>
      </c>
      <c r="AP1139" s="820">
        <v>784691.78399999999</v>
      </c>
    </row>
    <row r="1140" spans="1:42" s="392" customFormat="1" ht="14.5">
      <c r="A1140" s="1693">
        <v>1</v>
      </c>
      <c r="B1140" s="616">
        <v>1</v>
      </c>
      <c r="C1140" s="1693">
        <v>1</v>
      </c>
      <c r="D1140" s="616">
        <v>1</v>
      </c>
      <c r="E1140" s="1693">
        <v>1</v>
      </c>
      <c r="F1140" s="616">
        <v>1</v>
      </c>
      <c r="G1140" s="1693">
        <v>1123</v>
      </c>
      <c r="H1140" s="616">
        <v>1</v>
      </c>
      <c r="I1140" s="616"/>
      <c r="J1140" s="709" t="s">
        <v>512</v>
      </c>
      <c r="K1140" s="69"/>
      <c r="L1140" s="391"/>
      <c r="M1140" s="238"/>
      <c r="N1140" s="238"/>
      <c r="O1140" s="398"/>
      <c r="P1140" s="395"/>
      <c r="Q1140" s="411"/>
      <c r="R1140" s="1381"/>
      <c r="S1140" s="812"/>
      <c r="T1140" s="388" t="s">
        <v>71</v>
      </c>
      <c r="U1140" s="805"/>
      <c r="V1140" s="805"/>
      <c r="W1140" s="1829"/>
      <c r="X1140" s="1129">
        <v>20947.05</v>
      </c>
      <c r="Y1140" s="1129">
        <v>38674.527000000002</v>
      </c>
      <c r="Z1140" s="1129">
        <v>14572.703</v>
      </c>
      <c r="AA1140" s="1129">
        <v>20016.97</v>
      </c>
      <c r="AB1140" s="1129">
        <v>25406.023000000001</v>
      </c>
      <c r="AC1140" s="1129">
        <v>15370.314</v>
      </c>
      <c r="AD1140" s="1129">
        <v>15728.84</v>
      </c>
      <c r="AE1140" s="1129">
        <v>24649.008000000002</v>
      </c>
      <c r="AF1140" s="1129">
        <v>15196.174000000001</v>
      </c>
      <c r="AG1140" s="1129">
        <v>19697.054</v>
      </c>
      <c r="AH1140" s="1129">
        <v>26922.928</v>
      </c>
      <c r="AI1140" s="1129">
        <v>13748.945</v>
      </c>
      <c r="AJ1140" s="930">
        <v>74194.28</v>
      </c>
      <c r="AK1140" s="821">
        <v>60793.307000000001</v>
      </c>
      <c r="AL1140" s="821">
        <v>55574.021999999997</v>
      </c>
      <c r="AM1140" s="821">
        <v>60368.927000000003</v>
      </c>
      <c r="AN1140" s="821">
        <v>134987.587</v>
      </c>
      <c r="AO1140" s="821">
        <v>115942.94899999999</v>
      </c>
      <c r="AP1140" s="821">
        <v>250930.53599999999</v>
      </c>
    </row>
    <row r="1141" spans="1:42" s="392" customFormat="1" ht="14.5">
      <c r="A1141" s="1693">
        <v>1</v>
      </c>
      <c r="B1141" s="616">
        <v>1</v>
      </c>
      <c r="C1141" s="1693">
        <v>1</v>
      </c>
      <c r="D1141" s="616">
        <v>1</v>
      </c>
      <c r="E1141" s="1693">
        <v>1</v>
      </c>
      <c r="F1141" s="616">
        <v>1</v>
      </c>
      <c r="G1141" s="1693">
        <v>1124</v>
      </c>
      <c r="H1141" s="616">
        <v>1</v>
      </c>
      <c r="I1141" s="616"/>
      <c r="J1141" s="709" t="s">
        <v>512</v>
      </c>
      <c r="K1141" s="69"/>
      <c r="L1141" s="391"/>
      <c r="M1141" s="238"/>
      <c r="N1141" s="238"/>
      <c r="O1141" s="398"/>
      <c r="P1141" s="395"/>
      <c r="Q1141" s="411"/>
      <c r="R1141" s="1382"/>
      <c r="S1141" s="813"/>
      <c r="T1141" s="389" t="s">
        <v>70</v>
      </c>
      <c r="U1141" s="806"/>
      <c r="V1141" s="806"/>
      <c r="W1141" s="1829"/>
      <c r="X1141" s="1130">
        <v>227003.19500000001</v>
      </c>
      <c r="Y1141" s="1130">
        <v>201504.23300000001</v>
      </c>
      <c r="Z1141" s="1130">
        <v>197264.13084</v>
      </c>
      <c r="AA1141" s="1130">
        <v>195259.40998999999</v>
      </c>
      <c r="AB1141" s="1130">
        <v>191562.99118000001</v>
      </c>
      <c r="AC1141" s="1130">
        <v>212973.20036999998</v>
      </c>
      <c r="AD1141" s="1130">
        <v>193458.07771000001</v>
      </c>
      <c r="AE1141" s="1130">
        <v>189253.32882</v>
      </c>
      <c r="AF1141" s="1130">
        <v>206884.67821000001</v>
      </c>
      <c r="AG1141" s="1130">
        <v>201770.45483999999</v>
      </c>
      <c r="AH1141" s="1130">
        <v>214627.28109999999</v>
      </c>
      <c r="AI1141" s="1130">
        <v>204874.53498717197</v>
      </c>
      <c r="AJ1141" s="931">
        <v>625771.55884000007</v>
      </c>
      <c r="AK1141" s="822">
        <v>599795.60153999995</v>
      </c>
      <c r="AL1141" s="822">
        <v>589596.08474000008</v>
      </c>
      <c r="AM1141" s="822">
        <v>621272.27092717192</v>
      </c>
      <c r="AN1141" s="822">
        <v>1225567.16038</v>
      </c>
      <c r="AO1141" s="822">
        <v>1210868.355667172</v>
      </c>
      <c r="AP1141" s="822">
        <v>2436435.5160471722</v>
      </c>
    </row>
    <row r="1142" spans="1:42" s="392" customFormat="1" ht="14.5">
      <c r="A1142" s="1693">
        <v>1</v>
      </c>
      <c r="B1142" s="616">
        <v>1</v>
      </c>
      <c r="C1142" s="1693">
        <v>1</v>
      </c>
      <c r="D1142" s="616">
        <v>1</v>
      </c>
      <c r="E1142" s="1693">
        <v>1</v>
      </c>
      <c r="F1142" s="616">
        <v>1</v>
      </c>
      <c r="G1142" s="1693">
        <v>1125</v>
      </c>
      <c r="H1142" s="616">
        <v>1</v>
      </c>
      <c r="I1142" s="616"/>
      <c r="J1142" s="709" t="s">
        <v>512</v>
      </c>
      <c r="K1142" s="69"/>
      <c r="L1142" s="391"/>
      <c r="M1142" s="238"/>
      <c r="N1142" s="238"/>
      <c r="O1142" s="398"/>
      <c r="P1142" s="395"/>
      <c r="Q1142" s="411"/>
      <c r="R1142" s="385" t="s">
        <v>194</v>
      </c>
      <c r="T1142" s="386"/>
      <c r="U1142" s="806"/>
      <c r="V1142" s="806"/>
      <c r="W1142" s="1828"/>
      <c r="X1142" s="822">
        <v>104597.43543999993</v>
      </c>
      <c r="Y1142" s="822">
        <v>45935.168070000022</v>
      </c>
      <c r="Z1142" s="822">
        <v>31422.496376029598</v>
      </c>
      <c r="AA1142" s="822">
        <v>31774.571112800801</v>
      </c>
      <c r="AB1142" s="822">
        <v>42377.746613542535</v>
      </c>
      <c r="AC1142" s="822">
        <v>53031.569755592951</v>
      </c>
      <c r="AD1142" s="822">
        <v>59807.467130756573</v>
      </c>
      <c r="AE1142" s="822">
        <v>57091.49459106267</v>
      </c>
      <c r="AF1142" s="822">
        <v>59593.15847440459</v>
      </c>
      <c r="AG1142" s="822">
        <v>34035.837384874976</v>
      </c>
      <c r="AH1142" s="822">
        <v>49952.263304948603</v>
      </c>
      <c r="AI1142" s="822">
        <v>34312.927496363547</v>
      </c>
      <c r="AJ1142" s="931">
        <v>181955.09988602955</v>
      </c>
      <c r="AK1142" s="822">
        <v>127183.88748193628</v>
      </c>
      <c r="AL1142" s="822">
        <v>176492.12019622384</v>
      </c>
      <c r="AM1142" s="822">
        <v>118301.02818618712</v>
      </c>
      <c r="AN1142" s="822">
        <v>309138.98736796586</v>
      </c>
      <c r="AO1142" s="822">
        <v>294793.14838241099</v>
      </c>
      <c r="AP1142" s="822">
        <v>603932.13575037685</v>
      </c>
    </row>
    <row r="1143" spans="1:42" s="392" customFormat="1" ht="14.5">
      <c r="A1143" s="1693">
        <v>1</v>
      </c>
      <c r="B1143" s="616">
        <v>1</v>
      </c>
      <c r="C1143" s="1693">
        <v>1</v>
      </c>
      <c r="D1143" s="616">
        <v>1</v>
      </c>
      <c r="E1143" s="1693">
        <v>1</v>
      </c>
      <c r="F1143" s="616">
        <v>1</v>
      </c>
      <c r="G1143" s="1693">
        <v>1126</v>
      </c>
      <c r="H1143" s="616">
        <v>1</v>
      </c>
      <c r="I1143" s="616"/>
      <c r="J1143" s="709" t="s">
        <v>512</v>
      </c>
      <c r="K1143" s="69"/>
      <c r="L1143" s="391"/>
      <c r="M1143" s="238"/>
      <c r="N1143" s="238"/>
      <c r="O1143" s="398"/>
      <c r="P1143" s="395"/>
      <c r="Q1143" s="411"/>
      <c r="R1143" s="1381"/>
      <c r="S1143" s="812"/>
      <c r="T1143" s="387" t="s">
        <v>2</v>
      </c>
      <c r="U1143" s="804"/>
      <c r="V1143" s="804"/>
      <c r="W1143" s="1829"/>
      <c r="X1143" s="1128"/>
      <c r="Y1143" s="1128"/>
      <c r="Z1143" s="1128"/>
      <c r="AA1143" s="1128"/>
      <c r="AB1143" s="1128"/>
      <c r="AC1143" s="1128"/>
      <c r="AD1143" s="1128"/>
      <c r="AE1143" s="1128"/>
      <c r="AF1143" s="1128"/>
      <c r="AG1143" s="1128"/>
      <c r="AH1143" s="1128"/>
      <c r="AI1143" s="1128"/>
      <c r="AJ1143" s="929">
        <v>0</v>
      </c>
      <c r="AK1143" s="820">
        <v>0</v>
      </c>
      <c r="AL1143" s="820">
        <v>0</v>
      </c>
      <c r="AM1143" s="820">
        <v>0</v>
      </c>
      <c r="AN1143" s="820">
        <v>0</v>
      </c>
      <c r="AO1143" s="820">
        <v>0</v>
      </c>
      <c r="AP1143" s="820">
        <v>0</v>
      </c>
    </row>
    <row r="1144" spans="1:42" s="392" customFormat="1" ht="14.5">
      <c r="A1144" s="1693">
        <v>1</v>
      </c>
      <c r="B1144" s="616">
        <v>1</v>
      </c>
      <c r="C1144" s="1693">
        <v>1</v>
      </c>
      <c r="D1144" s="616">
        <v>1</v>
      </c>
      <c r="E1144" s="1693">
        <v>1</v>
      </c>
      <c r="F1144" s="616">
        <v>1</v>
      </c>
      <c r="G1144" s="1693">
        <v>1127</v>
      </c>
      <c r="H1144" s="616">
        <v>1</v>
      </c>
      <c r="I1144" s="616"/>
      <c r="J1144" s="709" t="s">
        <v>512</v>
      </c>
      <c r="K1144" s="69"/>
      <c r="L1144" s="391"/>
      <c r="M1144" s="238"/>
      <c r="N1144" s="238"/>
      <c r="O1144" s="398"/>
      <c r="P1144" s="395"/>
      <c r="Q1144" s="411"/>
      <c r="R1144" s="1381"/>
      <c r="S1144" s="812"/>
      <c r="T1144" s="388" t="s">
        <v>1125</v>
      </c>
      <c r="U1144" s="805"/>
      <c r="V1144" s="805"/>
      <c r="W1144" s="1829"/>
      <c r="X1144" s="1129"/>
      <c r="Y1144" s="1129"/>
      <c r="Z1144" s="1129"/>
      <c r="AA1144" s="1129"/>
      <c r="AB1144" s="1129"/>
      <c r="AC1144" s="1129"/>
      <c r="AD1144" s="1129"/>
      <c r="AE1144" s="1129"/>
      <c r="AF1144" s="1129"/>
      <c r="AG1144" s="1129"/>
      <c r="AH1144" s="1129"/>
      <c r="AI1144" s="1129"/>
      <c r="AJ1144" s="930">
        <v>0</v>
      </c>
      <c r="AK1144" s="821">
        <v>0</v>
      </c>
      <c r="AL1144" s="821">
        <v>0</v>
      </c>
      <c r="AM1144" s="821">
        <v>0</v>
      </c>
      <c r="AN1144" s="821">
        <v>0</v>
      </c>
      <c r="AO1144" s="821">
        <v>0</v>
      </c>
      <c r="AP1144" s="821">
        <v>0</v>
      </c>
    </row>
    <row r="1145" spans="1:42" s="392" customFormat="1" ht="14.5">
      <c r="A1145" s="1693">
        <v>1</v>
      </c>
      <c r="B1145" s="616">
        <v>1</v>
      </c>
      <c r="C1145" s="1693">
        <v>1</v>
      </c>
      <c r="D1145" s="616">
        <v>1</v>
      </c>
      <c r="E1145" s="1693">
        <v>1</v>
      </c>
      <c r="F1145" s="616">
        <v>1</v>
      </c>
      <c r="G1145" s="1693">
        <v>1128</v>
      </c>
      <c r="H1145" s="616">
        <v>1</v>
      </c>
      <c r="I1145" s="616"/>
      <c r="J1145" s="709" t="s">
        <v>512</v>
      </c>
      <c r="K1145" s="69"/>
      <c r="L1145" s="391"/>
      <c r="M1145" s="238"/>
      <c r="N1145" s="238"/>
      <c r="O1145" s="398"/>
      <c r="P1145" s="395"/>
      <c r="Q1145" s="412"/>
      <c r="R1145" s="1382"/>
      <c r="S1145" s="814"/>
      <c r="T1145" s="390" t="s">
        <v>1087</v>
      </c>
      <c r="U1145" s="807"/>
      <c r="V1145" s="807"/>
      <c r="W1145" s="1829"/>
      <c r="X1145" s="1131">
        <v>104597.43543999993</v>
      </c>
      <c r="Y1145" s="1131">
        <v>45935.168070000022</v>
      </c>
      <c r="Z1145" s="1131">
        <v>31422.496376029598</v>
      </c>
      <c r="AA1145" s="1131">
        <v>31774.571112800801</v>
      </c>
      <c r="AB1145" s="1131">
        <v>42377.746613542535</v>
      </c>
      <c r="AC1145" s="1131">
        <v>53031.569755592951</v>
      </c>
      <c r="AD1145" s="1131">
        <v>59807.467130756573</v>
      </c>
      <c r="AE1145" s="1131">
        <v>57091.49459106267</v>
      </c>
      <c r="AF1145" s="1131">
        <v>59593.15847440459</v>
      </c>
      <c r="AG1145" s="1131">
        <v>34035.837384874976</v>
      </c>
      <c r="AH1145" s="1131">
        <v>49952.263304948603</v>
      </c>
      <c r="AI1145" s="1131">
        <v>34312.927496363547</v>
      </c>
      <c r="AJ1145" s="932">
        <v>181955.09988602955</v>
      </c>
      <c r="AK1145" s="823">
        <v>127183.88748193628</v>
      </c>
      <c r="AL1145" s="823">
        <v>176492.12019622384</v>
      </c>
      <c r="AM1145" s="823">
        <v>118301.02818618712</v>
      </c>
      <c r="AN1145" s="823">
        <v>309138.98736796586</v>
      </c>
      <c r="AO1145" s="823">
        <v>294793.14838241099</v>
      </c>
      <c r="AP1145" s="823">
        <v>603932.13575037685</v>
      </c>
    </row>
    <row r="1146" spans="1:42" s="392" customFormat="1" ht="14.5">
      <c r="A1146" s="1693">
        <v>1</v>
      </c>
      <c r="B1146" s="616">
        <v>1</v>
      </c>
      <c r="C1146" s="1693">
        <v>1</v>
      </c>
      <c r="D1146" s="616">
        <v>1</v>
      </c>
      <c r="E1146" s="1693">
        <v>1</v>
      </c>
      <c r="F1146" s="616">
        <v>1</v>
      </c>
      <c r="G1146" s="1693">
        <v>1129</v>
      </c>
      <c r="H1146" s="616">
        <v>1</v>
      </c>
      <c r="I1146" s="616"/>
      <c r="J1146" s="709" t="s">
        <v>512</v>
      </c>
      <c r="K1146" s="69"/>
      <c r="L1146" s="391"/>
      <c r="M1146" s="238"/>
      <c r="N1146" s="238"/>
      <c r="O1146" s="398"/>
      <c r="P1146" s="395"/>
      <c r="Q1146" s="541" t="s">
        <v>936</v>
      </c>
      <c r="R1146" s="416"/>
      <c r="S1146" s="418"/>
      <c r="T1146" s="418"/>
      <c r="U1146" s="418"/>
      <c r="V1146" s="418"/>
      <c r="W1146" s="1827"/>
      <c r="X1146" s="818">
        <v>7869.9855399999997</v>
      </c>
      <c r="Y1146" s="818">
        <v>5057.4134999999997</v>
      </c>
      <c r="Z1146" s="818">
        <v>6843.0030000000006</v>
      </c>
      <c r="AA1146" s="818">
        <v>928.2</v>
      </c>
      <c r="AB1146" s="818">
        <v>20596.844408600002</v>
      </c>
      <c r="AC1146" s="818">
        <v>5083.5030000000006</v>
      </c>
      <c r="AD1146" s="818">
        <v>60.417507000000001</v>
      </c>
      <c r="AE1146" s="818">
        <v>21332.743288400001</v>
      </c>
      <c r="AF1146" s="818">
        <v>478.08156839999998</v>
      </c>
      <c r="AG1146" s="818">
        <v>341.53272000000004</v>
      </c>
      <c r="AH1146" s="818">
        <v>4924.3829999999998</v>
      </c>
      <c r="AI1146" s="818">
        <v>20880.658760587758</v>
      </c>
      <c r="AJ1146" s="927">
        <v>19770.402040000001</v>
      </c>
      <c r="AK1146" s="818">
        <v>26608.547408599999</v>
      </c>
      <c r="AL1146" s="818">
        <v>21871.2423638</v>
      </c>
      <c r="AM1146" s="818">
        <v>26146.574480587758</v>
      </c>
      <c r="AN1146" s="818">
        <v>46378.949448600004</v>
      </c>
      <c r="AO1146" s="818">
        <v>48017.816844387758</v>
      </c>
      <c r="AP1146" s="818">
        <v>94396.76629298777</v>
      </c>
    </row>
    <row r="1147" spans="1:42" s="392" customFormat="1" ht="14.5">
      <c r="A1147" s="1693">
        <v>1</v>
      </c>
      <c r="B1147" s="616">
        <v>1</v>
      </c>
      <c r="C1147" s="1693">
        <v>1</v>
      </c>
      <c r="D1147" s="616">
        <v>1</v>
      </c>
      <c r="E1147" s="1693">
        <v>1</v>
      </c>
      <c r="F1147" s="616">
        <v>1</v>
      </c>
      <c r="G1147" s="1693">
        <v>1130</v>
      </c>
      <c r="H1147" s="616">
        <v>1</v>
      </c>
      <c r="I1147" s="616"/>
      <c r="J1147" s="709" t="s">
        <v>512</v>
      </c>
      <c r="K1147" s="69"/>
      <c r="L1147" s="391"/>
      <c r="M1147" s="238"/>
      <c r="N1147" s="238"/>
      <c r="O1147" s="398"/>
      <c r="P1147" s="395"/>
      <c r="Q1147" s="411"/>
      <c r="R1147" s="385" t="s">
        <v>1124</v>
      </c>
      <c r="T1147" s="385" t="s">
        <v>1034</v>
      </c>
      <c r="U1147" s="808"/>
      <c r="V1147" s="808"/>
      <c r="W1147" s="1829"/>
      <c r="X1147" s="1128">
        <v>0</v>
      </c>
      <c r="Y1147" s="1128">
        <v>3194.5940000000001</v>
      </c>
      <c r="Z1147" s="1128">
        <v>4036.9830000000002</v>
      </c>
      <c r="AA1147" s="1128">
        <v>0</v>
      </c>
      <c r="AB1147" s="1128">
        <v>19688</v>
      </c>
      <c r="AC1147" s="1128">
        <v>4036.9830000000002</v>
      </c>
      <c r="AD1147" s="1128">
        <v>0</v>
      </c>
      <c r="AE1147" s="1128">
        <v>19688</v>
      </c>
      <c r="AF1147" s="1128">
        <v>0</v>
      </c>
      <c r="AG1147" s="1128">
        <v>0</v>
      </c>
      <c r="AH1147" s="1128">
        <v>4036.9830000000002</v>
      </c>
      <c r="AI1147" s="1128">
        <v>19688</v>
      </c>
      <c r="AJ1147" s="929">
        <v>7231.5770000000002</v>
      </c>
      <c r="AK1147" s="820">
        <v>23724.983</v>
      </c>
      <c r="AL1147" s="820">
        <v>19688</v>
      </c>
      <c r="AM1147" s="820">
        <v>23724.983</v>
      </c>
      <c r="AN1147" s="820">
        <v>30956.560000000001</v>
      </c>
      <c r="AO1147" s="820">
        <v>43412.983</v>
      </c>
      <c r="AP1147" s="820">
        <v>74369.543000000005</v>
      </c>
    </row>
    <row r="1148" spans="1:42" s="392" customFormat="1" ht="14.5">
      <c r="A1148" s="1693">
        <v>1</v>
      </c>
      <c r="B1148" s="616">
        <v>1</v>
      </c>
      <c r="C1148" s="1693">
        <v>1</v>
      </c>
      <c r="D1148" s="616">
        <v>1</v>
      </c>
      <c r="E1148" s="1693">
        <v>1</v>
      </c>
      <c r="F1148" s="616">
        <v>1</v>
      </c>
      <c r="G1148" s="1693">
        <v>1131</v>
      </c>
      <c r="H1148" s="616">
        <v>1</v>
      </c>
      <c r="I1148" s="616"/>
      <c r="J1148" s="709" t="s">
        <v>512</v>
      </c>
      <c r="K1148" s="69"/>
      <c r="L1148" s="391"/>
      <c r="M1148" s="238"/>
      <c r="N1148" s="238"/>
      <c r="O1148" s="398"/>
      <c r="P1148" s="395"/>
      <c r="Q1148" s="412"/>
      <c r="R1148" s="1292" t="s">
        <v>194</v>
      </c>
      <c r="S1148" s="814"/>
      <c r="T1148" s="542" t="s">
        <v>1126</v>
      </c>
      <c r="U1148" s="809"/>
      <c r="V1148" s="809"/>
      <c r="W1148" s="1829"/>
      <c r="X1148" s="1131">
        <v>7869.9855399999997</v>
      </c>
      <c r="Y1148" s="1131">
        <v>1862.8194999999998</v>
      </c>
      <c r="Z1148" s="1131">
        <v>2806.02</v>
      </c>
      <c r="AA1148" s="1131">
        <v>928.2</v>
      </c>
      <c r="AB1148" s="1131">
        <v>908.84440859999995</v>
      </c>
      <c r="AC1148" s="1131">
        <v>1046.52</v>
      </c>
      <c r="AD1148" s="1131">
        <v>60.417507000000001</v>
      </c>
      <c r="AE1148" s="1131">
        <v>1644.7432884</v>
      </c>
      <c r="AF1148" s="1131">
        <v>478.08156839999998</v>
      </c>
      <c r="AG1148" s="1131">
        <v>341.53272000000004</v>
      </c>
      <c r="AH1148" s="1131">
        <v>887.4</v>
      </c>
      <c r="AI1148" s="1131">
        <v>1192.6587605877576</v>
      </c>
      <c r="AJ1148" s="932">
        <v>12538.82504</v>
      </c>
      <c r="AK1148" s="823">
        <v>2883.5644086000002</v>
      </c>
      <c r="AL1148" s="823">
        <v>2183.2423638</v>
      </c>
      <c r="AM1148" s="823">
        <v>2421.5914805877574</v>
      </c>
      <c r="AN1148" s="823">
        <v>15422.389448599999</v>
      </c>
      <c r="AO1148" s="823">
        <v>4604.8338443877574</v>
      </c>
      <c r="AP1148" s="823">
        <v>20027.223292987757</v>
      </c>
    </row>
    <row r="1149" spans="1:42" s="392" customFormat="1" ht="14.5">
      <c r="A1149" s="1693">
        <v>1</v>
      </c>
      <c r="B1149" s="616">
        <v>1</v>
      </c>
      <c r="C1149" s="1693">
        <v>1</v>
      </c>
      <c r="D1149" s="616">
        <v>1</v>
      </c>
      <c r="E1149" s="1693">
        <v>1</v>
      </c>
      <c r="F1149" s="616">
        <v>1</v>
      </c>
      <c r="G1149" s="1693">
        <v>1132</v>
      </c>
      <c r="H1149" s="616">
        <v>1</v>
      </c>
      <c r="I1149" s="616"/>
      <c r="J1149" s="709" t="s">
        <v>512</v>
      </c>
      <c r="K1149" s="69"/>
      <c r="L1149" s="391"/>
      <c r="M1149" s="238"/>
      <c r="N1149" s="238"/>
      <c r="O1149" s="398"/>
      <c r="P1149" s="395"/>
      <c r="Q1149" s="413" t="s">
        <v>1079</v>
      </c>
      <c r="R1149" s="415"/>
      <c r="S1149" s="419"/>
      <c r="T1149" s="420"/>
      <c r="U1149" s="420"/>
      <c r="V1149" s="420"/>
      <c r="W1149" s="1827"/>
      <c r="X1149" s="1132"/>
      <c r="Y1149" s="1132"/>
      <c r="Z1149" s="1132"/>
      <c r="AA1149" s="1132"/>
      <c r="AB1149" s="1132"/>
      <c r="AC1149" s="1132"/>
      <c r="AD1149" s="1132"/>
      <c r="AE1149" s="1132"/>
      <c r="AF1149" s="1132"/>
      <c r="AG1149" s="1132"/>
      <c r="AH1149" s="1132"/>
      <c r="AI1149" s="1132"/>
      <c r="AJ1149" s="2319">
        <v>0</v>
      </c>
      <c r="AK1149" s="2320">
        <v>0</v>
      </c>
      <c r="AL1149" s="2320">
        <v>0</v>
      </c>
      <c r="AM1149" s="2320">
        <v>0</v>
      </c>
      <c r="AN1149" s="2320">
        <v>0</v>
      </c>
      <c r="AO1149" s="2320">
        <v>0</v>
      </c>
      <c r="AP1149" s="2320">
        <v>0</v>
      </c>
    </row>
    <row r="1150" spans="1:42" s="392" customFormat="1" ht="14.5">
      <c r="A1150" s="1693">
        <v>1</v>
      </c>
      <c r="B1150" s="616">
        <v>1</v>
      </c>
      <c r="C1150" s="1693">
        <v>1</v>
      </c>
      <c r="D1150" s="616">
        <v>1</v>
      </c>
      <c r="E1150" s="1693">
        <v>1</v>
      </c>
      <c r="F1150" s="616">
        <v>1</v>
      </c>
      <c r="G1150" s="1693">
        <v>1133</v>
      </c>
      <c r="H1150" s="616">
        <v>1</v>
      </c>
      <c r="I1150" s="616"/>
      <c r="J1150" s="709" t="s">
        <v>512</v>
      </c>
      <c r="K1150" s="69"/>
      <c r="L1150" s="391"/>
      <c r="M1150" s="238"/>
      <c r="N1150" s="238"/>
      <c r="O1150" s="398"/>
      <c r="P1150" s="395"/>
      <c r="Q1150" s="2321" t="s">
        <v>1056</v>
      </c>
      <c r="R1150" s="2315"/>
      <c r="S1150" s="415"/>
      <c r="T1150" s="415"/>
      <c r="U1150" s="415"/>
      <c r="V1150" s="415"/>
      <c r="W1150" s="1827"/>
      <c r="X1150" s="1131"/>
      <c r="Y1150" s="1131"/>
      <c r="Z1150" s="1131"/>
      <c r="AA1150" s="1131"/>
      <c r="AB1150" s="1131"/>
      <c r="AC1150" s="1131"/>
      <c r="AD1150" s="1131"/>
      <c r="AE1150" s="1131"/>
      <c r="AF1150" s="1131"/>
      <c r="AG1150" s="1131"/>
      <c r="AH1150" s="1131"/>
      <c r="AI1150" s="1131"/>
      <c r="AJ1150" s="934">
        <v>0</v>
      </c>
      <c r="AK1150" s="825">
        <v>0</v>
      </c>
      <c r="AL1150" s="825">
        <v>0</v>
      </c>
      <c r="AM1150" s="825">
        <v>0</v>
      </c>
      <c r="AN1150" s="825">
        <v>0</v>
      </c>
      <c r="AO1150" s="825">
        <v>0</v>
      </c>
      <c r="AP1150" s="825">
        <v>0</v>
      </c>
    </row>
    <row r="1151" spans="1:42" s="392" customFormat="1" ht="14.5">
      <c r="A1151" s="1693">
        <v>1</v>
      </c>
      <c r="B1151" s="616">
        <v>1</v>
      </c>
      <c r="C1151" s="1693">
        <v>1</v>
      </c>
      <c r="D1151" s="616">
        <v>1</v>
      </c>
      <c r="E1151" s="1693">
        <v>1</v>
      </c>
      <c r="F1151" s="616">
        <v>1</v>
      </c>
      <c r="G1151" s="1693">
        <v>1134</v>
      </c>
      <c r="H1151" s="616">
        <v>1</v>
      </c>
      <c r="I1151" s="616"/>
      <c r="J1151" s="709" t="s">
        <v>512</v>
      </c>
      <c r="K1151" s="69"/>
      <c r="L1151" s="391"/>
      <c r="M1151" s="238"/>
      <c r="N1151" s="238"/>
      <c r="O1151" s="398"/>
      <c r="P1151" s="395"/>
      <c r="Q1151" s="2322" t="s">
        <v>252</v>
      </c>
      <c r="R1151" s="2323"/>
      <c r="S1151" s="2323"/>
      <c r="T1151" s="2324"/>
      <c r="U1151" s="810"/>
      <c r="V1151" s="810"/>
      <c r="W1151" s="1829"/>
      <c r="X1151" s="1132">
        <v>8996.6659999999993</v>
      </c>
      <c r="Y1151" s="1132">
        <v>0</v>
      </c>
      <c r="Z1151" s="1132">
        <v>8996.6659999999993</v>
      </c>
      <c r="AA1151" s="1132">
        <v>8997.6659999999993</v>
      </c>
      <c r="AB1151" s="1132">
        <v>15000</v>
      </c>
      <c r="AC1151" s="1132">
        <v>8996.6659999999993</v>
      </c>
      <c r="AD1151" s="1132">
        <v>0</v>
      </c>
      <c r="AE1151" s="1132">
        <v>8996.6659999999993</v>
      </c>
      <c r="AF1151" s="1132">
        <v>8996.6659999999993</v>
      </c>
      <c r="AG1151" s="1132">
        <v>23869.827469999997</v>
      </c>
      <c r="AH1151" s="1132">
        <v>8995.5197127743468</v>
      </c>
      <c r="AI1151" s="1132">
        <v>8996.6659999999993</v>
      </c>
      <c r="AJ1151" s="2325">
        <v>17993.331999999999</v>
      </c>
      <c r="AK1151" s="2326">
        <v>32994.331999999995</v>
      </c>
      <c r="AL1151" s="2326">
        <v>17993.331999999999</v>
      </c>
      <c r="AM1151" s="2326">
        <v>41862.013182774339</v>
      </c>
      <c r="AN1151" s="2326">
        <v>50987.66399999999</v>
      </c>
      <c r="AO1151" s="2326">
        <v>59855.345182774341</v>
      </c>
      <c r="AP1151" s="2326">
        <v>110843.00918277433</v>
      </c>
    </row>
    <row r="1152" spans="1:42" s="392" customFormat="1" ht="14.5">
      <c r="A1152" s="1693">
        <v>1</v>
      </c>
      <c r="B1152" s="616">
        <v>1</v>
      </c>
      <c r="C1152" s="1693">
        <v>1</v>
      </c>
      <c r="D1152" s="616">
        <v>1</v>
      </c>
      <c r="E1152" s="1693">
        <v>1</v>
      </c>
      <c r="F1152" s="616">
        <v>1</v>
      </c>
      <c r="G1152" s="1693">
        <v>1135</v>
      </c>
      <c r="H1152" s="616">
        <v>1</v>
      </c>
      <c r="I1152" s="616"/>
      <c r="J1152" s="709" t="s">
        <v>512</v>
      </c>
      <c r="K1152" s="69"/>
      <c r="L1152" s="391"/>
      <c r="M1152" s="238"/>
      <c r="N1152" s="238"/>
      <c r="O1152" s="400"/>
      <c r="P1152" s="404"/>
      <c r="Q1152" s="2327" t="s">
        <v>253</v>
      </c>
      <c r="R1152" s="2328"/>
      <c r="S1152" s="2329"/>
      <c r="T1152" s="2325"/>
      <c r="U1152" s="2329"/>
      <c r="V1152" s="2329"/>
      <c r="W1152" s="1829"/>
      <c r="X1152" s="2330">
        <v>4625.1413460000003</v>
      </c>
      <c r="Y1152" s="2330">
        <v>5101.9381223999999</v>
      </c>
      <c r="Z1152" s="2330">
        <v>439.56135</v>
      </c>
      <c r="AA1152" s="2330">
        <v>5828.4037871999999</v>
      </c>
      <c r="AB1152" s="2330">
        <v>4694.8043879999996</v>
      </c>
      <c r="AC1152" s="2330">
        <v>509.48479799999996</v>
      </c>
      <c r="AD1152" s="2330">
        <v>6277.5344256799999</v>
      </c>
      <c r="AE1152" s="2330">
        <v>99.035879999999992</v>
      </c>
      <c r="AF1152" s="2330">
        <v>4528.5978709999999</v>
      </c>
      <c r="AG1152" s="2330">
        <v>3995.085</v>
      </c>
      <c r="AH1152" s="2330">
        <v>4120.0349999999999</v>
      </c>
      <c r="AI1152" s="2330">
        <v>4554.0756000000001</v>
      </c>
      <c r="AJ1152" s="2325">
        <v>10166.640818399999</v>
      </c>
      <c r="AK1152" s="2326">
        <v>11032.692973199999</v>
      </c>
      <c r="AL1152" s="2326">
        <v>10905.168176679999</v>
      </c>
      <c r="AM1152" s="2326">
        <v>12669.195599999999</v>
      </c>
      <c r="AN1152" s="2326">
        <v>21199.333791599998</v>
      </c>
      <c r="AO1152" s="2326">
        <v>23574.363776679998</v>
      </c>
      <c r="AP1152" s="2326">
        <v>44773.697568279997</v>
      </c>
    </row>
    <row r="1153" spans="1:42" s="392" customFormat="1" ht="14.5">
      <c r="A1153" s="1693">
        <v>1</v>
      </c>
      <c r="B1153" s="616">
        <v>1</v>
      </c>
      <c r="C1153" s="1693">
        <v>1</v>
      </c>
      <c r="D1153" s="616">
        <v>1</v>
      </c>
      <c r="E1153" s="1693">
        <v>1</v>
      </c>
      <c r="F1153" s="616">
        <v>1</v>
      </c>
      <c r="G1153" s="1693">
        <v>1136</v>
      </c>
      <c r="H1153" s="616">
        <v>1</v>
      </c>
      <c r="I1153" s="616"/>
      <c r="J1153" s="709" t="s">
        <v>512</v>
      </c>
      <c r="K1153" s="69"/>
      <c r="L1153" s="391"/>
      <c r="M1153" s="238"/>
      <c r="N1153" s="238"/>
      <c r="O1153" s="401"/>
      <c r="P1153" s="2331" t="s">
        <v>1127</v>
      </c>
      <c r="Q1153" s="2332"/>
      <c r="R1153" s="2332"/>
      <c r="S1153" s="2323"/>
      <c r="T1153" s="2323"/>
      <c r="U1153" s="2323"/>
      <c r="V1153" s="2323"/>
      <c r="W1153" s="1829"/>
      <c r="X1153" s="2330">
        <v>2629.9610537999997</v>
      </c>
      <c r="Y1153" s="2330">
        <v>26175.9336</v>
      </c>
      <c r="Z1153" s="2330">
        <v>6014.4790175280004</v>
      </c>
      <c r="AA1153" s="2330">
        <v>11899.408770600001</v>
      </c>
      <c r="AB1153" s="2330">
        <v>4734.6800800000001</v>
      </c>
      <c r="AC1153" s="2330">
        <v>6549.3199912572009</v>
      </c>
      <c r="AD1153" s="2330">
        <v>1594.3929314999998</v>
      </c>
      <c r="AE1153" s="2330">
        <v>4133.7471034376213</v>
      </c>
      <c r="AF1153" s="2330">
        <v>2821.3821914400005</v>
      </c>
      <c r="AG1153" s="2330">
        <v>3182.4059999999999</v>
      </c>
      <c r="AH1153" s="2330">
        <v>2551.7849999999999</v>
      </c>
      <c r="AI1153" s="2330">
        <v>1468.0350000000001</v>
      </c>
      <c r="AJ1153" s="2325">
        <v>34820.373671328001</v>
      </c>
      <c r="AK1153" s="2326">
        <v>23183.408841857203</v>
      </c>
      <c r="AL1153" s="2326">
        <v>8549.5222263776213</v>
      </c>
      <c r="AM1153" s="2326">
        <v>7202.2259999999997</v>
      </c>
      <c r="AN1153" s="2326">
        <v>58003.782513185201</v>
      </c>
      <c r="AO1153" s="2326">
        <v>15751.748226377622</v>
      </c>
      <c r="AP1153" s="2326">
        <v>73755.530739562819</v>
      </c>
    </row>
    <row r="1154" spans="1:42" s="392" customFormat="1" ht="14.5">
      <c r="A1154" s="1693">
        <v>1</v>
      </c>
      <c r="B1154" s="616">
        <v>1</v>
      </c>
      <c r="C1154" s="1693">
        <v>1</v>
      </c>
      <c r="D1154" s="616">
        <v>1</v>
      </c>
      <c r="E1154" s="1693">
        <v>1</v>
      </c>
      <c r="F1154" s="616">
        <v>1</v>
      </c>
      <c r="G1154" s="1693">
        <v>1137</v>
      </c>
      <c r="H1154" s="616">
        <v>1</v>
      </c>
      <c r="I1154" s="616"/>
      <c r="J1154" s="709" t="s">
        <v>512</v>
      </c>
      <c r="K1154" s="69"/>
      <c r="L1154" s="391"/>
      <c r="M1154" s="238"/>
      <c r="N1154" s="238"/>
      <c r="O1154" s="8"/>
      <c r="P1154" s="8"/>
      <c r="Q1154" s="8"/>
      <c r="R1154" s="8"/>
      <c r="S1154" s="8"/>
      <c r="T1154" s="8"/>
      <c r="U1154" s="8"/>
      <c r="V1154" s="8"/>
      <c r="W1154" s="1772"/>
      <c r="X1154" s="223"/>
      <c r="Y1154" s="69"/>
      <c r="Z1154" s="69"/>
      <c r="AA1154" s="69"/>
      <c r="AB1154" s="69"/>
      <c r="AC1154" s="69"/>
      <c r="AD1154" s="69"/>
    </row>
    <row r="1155" spans="1:42" ht="14.5">
      <c r="A1155" s="1693">
        <v>1</v>
      </c>
      <c r="B1155" s="616">
        <v>1</v>
      </c>
      <c r="C1155" s="1693">
        <v>1</v>
      </c>
      <c r="D1155" s="616">
        <v>1</v>
      </c>
      <c r="E1155" s="1693">
        <v>1</v>
      </c>
      <c r="F1155" s="616">
        <v>1</v>
      </c>
      <c r="G1155" s="1693">
        <v>1138</v>
      </c>
      <c r="H1155" s="616">
        <v>1</v>
      </c>
      <c r="J1155" s="709" t="s">
        <v>512</v>
      </c>
      <c r="K1155" s="69"/>
      <c r="L1155" s="22"/>
      <c r="M1155" s="22" t="s">
        <v>944</v>
      </c>
      <c r="U1155" s="477"/>
      <c r="W1155" s="1772"/>
      <c r="X1155" s="1125"/>
      <c r="Y1155" s="1366"/>
      <c r="Z1155" s="1366"/>
      <c r="AA1155" s="1366"/>
      <c r="AB1155" s="1366"/>
      <c r="AC1155" s="1366"/>
      <c r="AD1155" s="1366"/>
      <c r="AE1155" s="1366"/>
      <c r="AF1155" s="1366"/>
      <c r="AG1155" s="1366"/>
      <c r="AH1155" s="69"/>
      <c r="AI1155" s="69"/>
      <c r="AJ1155" s="69"/>
      <c r="AK1155" s="69"/>
      <c r="AL1155" s="69"/>
      <c r="AM1155" s="69"/>
      <c r="AN1155" s="69"/>
      <c r="AO1155" s="69"/>
      <c r="AP1155" s="69"/>
    </row>
    <row r="1156" spans="1:42" s="517" customFormat="1" ht="14.5">
      <c r="A1156" s="1693">
        <v>1</v>
      </c>
      <c r="B1156" s="616">
        <v>1</v>
      </c>
      <c r="C1156" s="1693">
        <v>1</v>
      </c>
      <c r="D1156" s="616">
        <v>1</v>
      </c>
      <c r="E1156" s="1693">
        <v>1</v>
      </c>
      <c r="F1156" s="616">
        <v>1</v>
      </c>
      <c r="G1156" s="1693">
        <v>1139</v>
      </c>
      <c r="H1156" s="616">
        <v>1</v>
      </c>
      <c r="I1156" s="616"/>
      <c r="J1156" s="709" t="s">
        <v>512</v>
      </c>
      <c r="K1156" s="69"/>
      <c r="L1156" s="391"/>
      <c r="M1156" s="238"/>
      <c r="O1156" s="831" t="s">
        <v>1128</v>
      </c>
      <c r="P1156" s="181"/>
      <c r="Q1156" s="827"/>
      <c r="R1156" s="827"/>
      <c r="S1156" s="827"/>
      <c r="T1156" s="179"/>
      <c r="U1156" s="179"/>
      <c r="V1156" s="179"/>
      <c r="W1156" s="1772"/>
      <c r="X1156" s="223"/>
      <c r="Y1156" s="69"/>
      <c r="Z1156" s="69"/>
      <c r="AA1156" s="69"/>
      <c r="AB1156" s="69"/>
      <c r="AC1156" s="69"/>
      <c r="AD1156" s="69"/>
    </row>
    <row r="1157" spans="1:42" s="517" customFormat="1" ht="14.5">
      <c r="A1157" s="1693">
        <v>1</v>
      </c>
      <c r="B1157" s="616">
        <v>1</v>
      </c>
      <c r="C1157" s="1693">
        <v>1</v>
      </c>
      <c r="D1157" s="616">
        <v>1</v>
      </c>
      <c r="E1157" s="1693">
        <v>1</v>
      </c>
      <c r="F1157" s="616">
        <v>1</v>
      </c>
      <c r="G1157" s="1693">
        <v>1140</v>
      </c>
      <c r="H1157" s="616">
        <v>1</v>
      </c>
      <c r="I1157" s="616"/>
      <c r="J1157" s="709" t="s">
        <v>512</v>
      </c>
      <c r="K1157" s="69"/>
      <c r="L1157" s="391"/>
      <c r="M1157" s="238"/>
      <c r="O1157" s="543" t="s">
        <v>197</v>
      </c>
      <c r="P1157" s="378"/>
      <c r="Q1157" s="378"/>
      <c r="R1157" s="378"/>
      <c r="S1157" s="378"/>
      <c r="T1157" s="487"/>
      <c r="U1157" s="487"/>
      <c r="V1157" s="487"/>
      <c r="W1157" s="1772"/>
      <c r="X1157" s="1683">
        <v>592665.35324999993</v>
      </c>
      <c r="Y1157" s="1683">
        <v>526065.92281999998</v>
      </c>
      <c r="Z1157" s="1683">
        <v>443363.63305880211</v>
      </c>
      <c r="AA1157" s="1683">
        <v>480738.09734961257</v>
      </c>
      <c r="AB1157" s="1683">
        <v>478194.19118555484</v>
      </c>
      <c r="AC1157" s="1683">
        <v>476714.14885471319</v>
      </c>
      <c r="AD1157" s="1683">
        <v>495341.16562063585</v>
      </c>
      <c r="AE1157" s="1401">
        <v>499222.85331077082</v>
      </c>
      <c r="AF1157" s="1401">
        <v>491441.08004133916</v>
      </c>
      <c r="AG1157" s="1401">
        <v>487527.99329743854</v>
      </c>
      <c r="AH1157" s="1401">
        <v>501509.68684074952</v>
      </c>
      <c r="AI1157" s="1401">
        <v>456977.64136970759</v>
      </c>
      <c r="AJ1157" s="2333">
        <v>1562094.9091288021</v>
      </c>
      <c r="AK1157" s="1401">
        <v>1435646.4373898807</v>
      </c>
      <c r="AL1157" s="1401">
        <v>1486005.0989727459</v>
      </c>
      <c r="AM1157" s="1401">
        <v>1446015.3215078958</v>
      </c>
      <c r="AN1157" s="1401">
        <v>2997741.3465186828</v>
      </c>
      <c r="AO1157" s="1401">
        <v>2932020.4204806415</v>
      </c>
      <c r="AP1157" s="1401">
        <v>5929761.7669993239</v>
      </c>
    </row>
    <row r="1158" spans="1:42" s="517" customFormat="1" ht="14.5">
      <c r="A1158" s="1693">
        <v>1</v>
      </c>
      <c r="B1158" s="616">
        <v>1</v>
      </c>
      <c r="C1158" s="1693">
        <v>1</v>
      </c>
      <c r="D1158" s="616">
        <v>1</v>
      </c>
      <c r="E1158" s="1693">
        <v>1</v>
      </c>
      <c r="F1158" s="616">
        <v>1</v>
      </c>
      <c r="G1158" s="1693">
        <v>1141</v>
      </c>
      <c r="H1158" s="616">
        <v>1</v>
      </c>
      <c r="I1158" s="616"/>
      <c r="J1158" s="709" t="s">
        <v>512</v>
      </c>
      <c r="K1158" s="69"/>
      <c r="L1158" s="391"/>
      <c r="M1158" s="238"/>
      <c r="O1158" s="225"/>
      <c r="P1158" s="424"/>
      <c r="Q1158" s="425" t="s">
        <v>1129</v>
      </c>
      <c r="R1158" s="422"/>
      <c r="S1158" s="828"/>
      <c r="T1158" s="422"/>
      <c r="U1158" s="422"/>
      <c r="V1158" s="422"/>
      <c r="W1158" s="1830"/>
      <c r="X1158" s="2334">
        <v>592665.35324999993</v>
      </c>
      <c r="Y1158" s="2334">
        <v>526065.92281999998</v>
      </c>
      <c r="Z1158" s="2334">
        <v>443363.63305880211</v>
      </c>
      <c r="AA1158" s="2334">
        <v>480738.09734961257</v>
      </c>
      <c r="AB1158" s="2334">
        <v>478194.19118555484</v>
      </c>
      <c r="AC1158" s="2334">
        <v>476714.14885471319</v>
      </c>
      <c r="AD1158" s="2334">
        <v>495341.16562063585</v>
      </c>
      <c r="AE1158" s="2335">
        <v>499222.85331077082</v>
      </c>
      <c r="AF1158" s="2335">
        <v>491441.08004133916</v>
      </c>
      <c r="AG1158" s="2335">
        <v>487527.99329743854</v>
      </c>
      <c r="AH1158" s="2335">
        <v>501509.68684074952</v>
      </c>
      <c r="AI1158" s="2335">
        <v>456977.64136970759</v>
      </c>
      <c r="AJ1158" s="2336">
        <v>1562094.9091288019</v>
      </c>
      <c r="AK1158" s="2337">
        <v>1435646.4373898807</v>
      </c>
      <c r="AL1158" s="2337">
        <v>1486005.0989727457</v>
      </c>
      <c r="AM1158" s="2337">
        <v>1446015.3215078956</v>
      </c>
      <c r="AN1158" s="2337">
        <v>2997741.3465186823</v>
      </c>
      <c r="AO1158" s="2337">
        <v>2932020.4204806415</v>
      </c>
      <c r="AP1158" s="2337">
        <v>5929761.7669993239</v>
      </c>
    </row>
    <row r="1159" spans="1:42" s="517" customFormat="1" ht="14.5">
      <c r="A1159" s="1693">
        <v>1</v>
      </c>
      <c r="B1159" s="616">
        <v>1</v>
      </c>
      <c r="C1159" s="1693">
        <v>1</v>
      </c>
      <c r="D1159" s="616">
        <v>1</v>
      </c>
      <c r="E1159" s="1693">
        <v>1</v>
      </c>
      <c r="F1159" s="616">
        <v>1</v>
      </c>
      <c r="G1159" s="1693">
        <v>1142</v>
      </c>
      <c r="H1159" s="616">
        <v>1</v>
      </c>
      <c r="I1159" s="616"/>
      <c r="J1159" s="709" t="s">
        <v>512</v>
      </c>
      <c r="K1159" s="69"/>
      <c r="L1159" s="391"/>
      <c r="M1159" s="238"/>
      <c r="O1159" s="225"/>
      <c r="P1159" s="424"/>
      <c r="Q1159" s="426" t="s">
        <v>194</v>
      </c>
      <c r="R1159" s="423"/>
      <c r="S1159" s="829"/>
      <c r="T1159" s="423"/>
      <c r="U1159" s="423"/>
      <c r="V1159" s="423"/>
      <c r="W1159" s="1830"/>
      <c r="X1159" s="2338"/>
      <c r="Y1159" s="2338"/>
      <c r="Z1159" s="2338"/>
      <c r="AA1159" s="2338"/>
      <c r="AB1159" s="2338"/>
      <c r="AC1159" s="2338"/>
      <c r="AD1159" s="2338"/>
      <c r="AE1159" s="2339"/>
      <c r="AF1159" s="2339"/>
      <c r="AG1159" s="2339"/>
      <c r="AH1159" s="2339"/>
      <c r="AI1159" s="2339"/>
      <c r="AJ1159" s="2340">
        <v>0</v>
      </c>
      <c r="AK1159" s="2341">
        <v>0</v>
      </c>
      <c r="AL1159" s="2341">
        <v>0</v>
      </c>
      <c r="AM1159" s="2341">
        <v>0</v>
      </c>
      <c r="AN1159" s="2341">
        <v>0</v>
      </c>
      <c r="AO1159" s="2341">
        <v>0</v>
      </c>
      <c r="AP1159" s="2341">
        <v>0</v>
      </c>
    </row>
    <row r="1160" spans="1:42" s="517" customFormat="1" ht="14.5">
      <c r="A1160" s="1693">
        <v>1</v>
      </c>
      <c r="B1160" s="616">
        <v>1</v>
      </c>
      <c r="C1160" s="1693">
        <v>1</v>
      </c>
      <c r="D1160" s="616">
        <v>1</v>
      </c>
      <c r="E1160" s="1693">
        <v>1</v>
      </c>
      <c r="F1160" s="616">
        <v>1</v>
      </c>
      <c r="G1160" s="1693">
        <v>1143</v>
      </c>
      <c r="H1160" s="616">
        <v>1</v>
      </c>
      <c r="I1160" s="616"/>
      <c r="J1160" s="709" t="s">
        <v>512</v>
      </c>
      <c r="K1160" s="69"/>
      <c r="L1160" s="391"/>
      <c r="M1160" s="238"/>
      <c r="O1160" s="225"/>
      <c r="P1160" s="424"/>
      <c r="Q1160" s="427" t="s">
        <v>195</v>
      </c>
      <c r="R1160" s="383"/>
      <c r="T1160" s="383" t="s">
        <v>1130</v>
      </c>
      <c r="U1160" s="383"/>
      <c r="V1160" s="383"/>
      <c r="W1160" s="1830"/>
      <c r="X1160" s="1922"/>
      <c r="Y1160" s="1922"/>
      <c r="Z1160" s="1922"/>
      <c r="AA1160" s="1922"/>
      <c r="AB1160" s="1922"/>
      <c r="AC1160" s="1922"/>
      <c r="AD1160" s="1922"/>
      <c r="AE1160" s="2342"/>
      <c r="AF1160" s="2342"/>
      <c r="AG1160" s="2342"/>
      <c r="AH1160" s="2342"/>
      <c r="AI1160" s="2342"/>
      <c r="AJ1160" s="2343">
        <v>0</v>
      </c>
      <c r="AK1160" s="2344">
        <v>0</v>
      </c>
      <c r="AL1160" s="2344">
        <v>0</v>
      </c>
      <c r="AM1160" s="2344">
        <v>0</v>
      </c>
      <c r="AN1160" s="2344">
        <v>0</v>
      </c>
      <c r="AO1160" s="2344">
        <v>0</v>
      </c>
      <c r="AP1160" s="2344">
        <v>0</v>
      </c>
    </row>
    <row r="1161" spans="1:42" s="517" customFormat="1" ht="14.5">
      <c r="A1161" s="1693">
        <v>1</v>
      </c>
      <c r="B1161" s="616">
        <v>1</v>
      </c>
      <c r="C1161" s="1693">
        <v>1</v>
      </c>
      <c r="D1161" s="616">
        <v>1</v>
      </c>
      <c r="E1161" s="1693">
        <v>1</v>
      </c>
      <c r="F1161" s="616">
        <v>1</v>
      </c>
      <c r="G1161" s="1693">
        <v>1144</v>
      </c>
      <c r="H1161" s="616">
        <v>1</v>
      </c>
      <c r="I1161" s="616"/>
      <c r="J1161" s="709" t="s">
        <v>512</v>
      </c>
      <c r="K1161" s="69"/>
      <c r="L1161" s="391"/>
      <c r="M1161" s="238"/>
      <c r="O1161" s="225"/>
      <c r="P1161" s="424"/>
      <c r="Q1161" s="427" t="s">
        <v>196</v>
      </c>
      <c r="R1161" s="383"/>
      <c r="T1161" s="383" t="s">
        <v>1130</v>
      </c>
      <c r="U1161" s="383"/>
      <c r="V1161" s="383"/>
      <c r="W1161" s="1830"/>
      <c r="X1161" s="1922"/>
      <c r="Y1161" s="1922"/>
      <c r="Z1161" s="1922"/>
      <c r="AA1161" s="1922"/>
      <c r="AB1161" s="1922"/>
      <c r="AC1161" s="1922"/>
      <c r="AD1161" s="1922"/>
      <c r="AE1161" s="2342"/>
      <c r="AF1161" s="2342"/>
      <c r="AG1161" s="2342"/>
      <c r="AH1161" s="2342"/>
      <c r="AI1161" s="2342"/>
      <c r="AJ1161" s="2343">
        <v>0</v>
      </c>
      <c r="AK1161" s="2344">
        <v>0</v>
      </c>
      <c r="AL1161" s="2344">
        <v>0</v>
      </c>
      <c r="AM1161" s="2344">
        <v>0</v>
      </c>
      <c r="AN1161" s="2344">
        <v>0</v>
      </c>
      <c r="AO1161" s="2344">
        <v>0</v>
      </c>
      <c r="AP1161" s="2344">
        <v>0</v>
      </c>
    </row>
    <row r="1162" spans="1:42" s="517" customFormat="1" ht="14.5">
      <c r="A1162" s="1693">
        <v>1</v>
      </c>
      <c r="B1162" s="616">
        <v>1</v>
      </c>
      <c r="C1162" s="1693">
        <v>1</v>
      </c>
      <c r="D1162" s="616">
        <v>1</v>
      </c>
      <c r="E1162" s="1693">
        <v>1</v>
      </c>
      <c r="F1162" s="616">
        <v>1</v>
      </c>
      <c r="G1162" s="1693">
        <v>1145</v>
      </c>
      <c r="H1162" s="616">
        <v>1</v>
      </c>
      <c r="I1162" s="616"/>
      <c r="J1162" s="709" t="s">
        <v>512</v>
      </c>
      <c r="K1162" s="69"/>
      <c r="L1162" s="391"/>
      <c r="M1162" s="238"/>
      <c r="O1162" s="225"/>
      <c r="P1162" s="424"/>
      <c r="Q1162" s="427" t="s">
        <v>1131</v>
      </c>
      <c r="R1162" s="383"/>
      <c r="T1162" s="383" t="s">
        <v>1132</v>
      </c>
      <c r="U1162" s="383"/>
      <c r="V1162" s="383"/>
      <c r="W1162" s="1830"/>
      <c r="X1162" s="1922"/>
      <c r="Y1162" s="1922"/>
      <c r="Z1162" s="1922"/>
      <c r="AA1162" s="1922"/>
      <c r="AB1162" s="1922"/>
      <c r="AC1162" s="1922"/>
      <c r="AD1162" s="1922"/>
      <c r="AE1162" s="2342"/>
      <c r="AF1162" s="2342"/>
      <c r="AG1162" s="2342"/>
      <c r="AH1162" s="2342"/>
      <c r="AI1162" s="2342"/>
      <c r="AJ1162" s="2343">
        <v>0</v>
      </c>
      <c r="AK1162" s="2344">
        <v>0</v>
      </c>
      <c r="AL1162" s="2344">
        <v>0</v>
      </c>
      <c r="AM1162" s="2344">
        <v>0</v>
      </c>
      <c r="AN1162" s="2344">
        <v>0</v>
      </c>
      <c r="AO1162" s="2344">
        <v>0</v>
      </c>
      <c r="AP1162" s="2344">
        <v>0</v>
      </c>
    </row>
    <row r="1163" spans="1:42" s="517" customFormat="1" ht="14.5">
      <c r="A1163" s="1693">
        <v>1</v>
      </c>
      <c r="B1163" s="616">
        <v>1</v>
      </c>
      <c r="C1163" s="1693">
        <v>1</v>
      </c>
      <c r="D1163" s="616">
        <v>1</v>
      </c>
      <c r="E1163" s="1693">
        <v>1</v>
      </c>
      <c r="F1163" s="616">
        <v>1</v>
      </c>
      <c r="G1163" s="1693">
        <v>1146</v>
      </c>
      <c r="H1163" s="616">
        <v>1</v>
      </c>
      <c r="I1163" s="616"/>
      <c r="J1163" s="709" t="s">
        <v>512</v>
      </c>
      <c r="K1163" s="69"/>
      <c r="L1163" s="391"/>
      <c r="M1163" s="238"/>
      <c r="O1163" s="225"/>
      <c r="P1163" s="424"/>
      <c r="Q1163" s="427" t="s">
        <v>1133</v>
      </c>
      <c r="R1163" s="383"/>
      <c r="T1163" s="383" t="s">
        <v>1134</v>
      </c>
      <c r="U1163" s="383"/>
      <c r="V1163" s="383"/>
      <c r="W1163" s="1830"/>
      <c r="X1163" s="1922"/>
      <c r="Y1163" s="1922"/>
      <c r="Z1163" s="1922"/>
      <c r="AA1163" s="1922"/>
      <c r="AB1163" s="1922"/>
      <c r="AC1163" s="1922"/>
      <c r="AD1163" s="1922"/>
      <c r="AE1163" s="2342"/>
      <c r="AF1163" s="2342"/>
      <c r="AG1163" s="2342"/>
      <c r="AH1163" s="2342"/>
      <c r="AI1163" s="2342"/>
      <c r="AJ1163" s="2343">
        <v>0</v>
      </c>
      <c r="AK1163" s="2344">
        <v>0</v>
      </c>
      <c r="AL1163" s="2344">
        <v>0</v>
      </c>
      <c r="AM1163" s="2344">
        <v>0</v>
      </c>
      <c r="AN1163" s="2344">
        <v>0</v>
      </c>
      <c r="AO1163" s="2344">
        <v>0</v>
      </c>
      <c r="AP1163" s="2344">
        <v>0</v>
      </c>
    </row>
    <row r="1164" spans="1:42" s="517" customFormat="1" ht="14.5">
      <c r="A1164" s="1693">
        <v>1</v>
      </c>
      <c r="B1164" s="616">
        <v>1</v>
      </c>
      <c r="C1164" s="1693">
        <v>1</v>
      </c>
      <c r="D1164" s="616">
        <v>1</v>
      </c>
      <c r="E1164" s="1693">
        <v>1</v>
      </c>
      <c r="F1164" s="616">
        <v>1</v>
      </c>
      <c r="G1164" s="1693">
        <v>1147</v>
      </c>
      <c r="H1164" s="616">
        <v>1</v>
      </c>
      <c r="I1164" s="616"/>
      <c r="J1164" s="709" t="s">
        <v>512</v>
      </c>
      <c r="K1164" s="69"/>
      <c r="L1164" s="391"/>
      <c r="M1164" s="238"/>
      <c r="O1164" s="226"/>
      <c r="P1164" s="428"/>
      <c r="Q1164" s="429" t="s">
        <v>1125</v>
      </c>
      <c r="R1164" s="227"/>
      <c r="S1164" s="227"/>
      <c r="T1164" s="11" t="s">
        <v>1135</v>
      </c>
      <c r="U1164" s="11"/>
      <c r="V1164" s="11"/>
      <c r="W1164" s="1830"/>
      <c r="X1164" s="1932"/>
      <c r="Y1164" s="1932"/>
      <c r="Z1164" s="1932"/>
      <c r="AA1164" s="1932"/>
      <c r="AB1164" s="1932"/>
      <c r="AC1164" s="1932"/>
      <c r="AD1164" s="1932"/>
      <c r="AE1164" s="2345"/>
      <c r="AF1164" s="2345"/>
      <c r="AG1164" s="2345"/>
      <c r="AH1164" s="2345"/>
      <c r="AI1164" s="2345"/>
      <c r="AJ1164" s="2346">
        <v>0</v>
      </c>
      <c r="AK1164" s="2347">
        <v>0</v>
      </c>
      <c r="AL1164" s="2347">
        <v>0</v>
      </c>
      <c r="AM1164" s="2347">
        <v>0</v>
      </c>
      <c r="AN1164" s="2347">
        <v>0</v>
      </c>
      <c r="AO1164" s="2347">
        <v>0</v>
      </c>
      <c r="AP1164" s="2347">
        <v>0</v>
      </c>
    </row>
    <row r="1165" spans="1:42" s="392" customFormat="1" ht="14.5">
      <c r="A1165" s="1693">
        <v>1</v>
      </c>
      <c r="B1165" s="616">
        <v>1</v>
      </c>
      <c r="C1165" s="1693">
        <v>1</v>
      </c>
      <c r="D1165" s="616">
        <v>1</v>
      </c>
      <c r="E1165" s="1693">
        <v>1</v>
      </c>
      <c r="F1165" s="616">
        <v>1</v>
      </c>
      <c r="G1165" s="1693">
        <v>1148</v>
      </c>
      <c r="H1165" s="616">
        <v>1</v>
      </c>
      <c r="I1165" s="616"/>
      <c r="J1165" s="709" t="s">
        <v>512</v>
      </c>
      <c r="K1165" s="69"/>
      <c r="L1165" s="391"/>
      <c r="M1165" s="238"/>
      <c r="O1165" s="8"/>
      <c r="P1165" s="8"/>
      <c r="R1165" s="8"/>
      <c r="S1165" s="8"/>
      <c r="T1165" s="8"/>
      <c r="U1165" s="8"/>
      <c r="V1165" s="175" t="s">
        <v>1136</v>
      </c>
      <c r="W1165" s="1772"/>
      <c r="X1165" s="1641" t="s">
        <v>907</v>
      </c>
      <c r="Y1165" s="1642" t="s">
        <v>907</v>
      </c>
      <c r="Z1165" s="1642" t="s">
        <v>907</v>
      </c>
      <c r="AA1165" s="1642" t="s">
        <v>907</v>
      </c>
      <c r="AB1165" s="1642" t="s">
        <v>907</v>
      </c>
      <c r="AC1165" s="1642" t="s">
        <v>907</v>
      </c>
      <c r="AD1165" s="1642" t="s">
        <v>907</v>
      </c>
      <c r="AE1165" s="1642" t="s">
        <v>907</v>
      </c>
      <c r="AF1165" s="1642" t="s">
        <v>907</v>
      </c>
      <c r="AG1165" s="1642" t="s">
        <v>907</v>
      </c>
      <c r="AH1165" s="1642" t="s">
        <v>907</v>
      </c>
      <c r="AI1165" s="1643" t="s">
        <v>907</v>
      </c>
      <c r="AJ1165" s="1644"/>
    </row>
    <row r="1166" spans="1:42" ht="14.5">
      <c r="A1166" s="1693">
        <v>1</v>
      </c>
      <c r="B1166" s="616">
        <v>1</v>
      </c>
      <c r="C1166" s="1693">
        <v>1</v>
      </c>
      <c r="D1166" s="616">
        <v>1</v>
      </c>
      <c r="E1166" s="1693">
        <v>1</v>
      </c>
      <c r="F1166" s="616">
        <v>1</v>
      </c>
      <c r="G1166" s="1693">
        <v>1149</v>
      </c>
      <c r="H1166" s="616">
        <v>1</v>
      </c>
      <c r="J1166" s="709" t="s">
        <v>512</v>
      </c>
      <c r="K1166" s="69"/>
      <c r="L1166" s="22"/>
      <c r="M1166" s="22" t="s">
        <v>945</v>
      </c>
      <c r="U1166" s="477"/>
      <c r="W1166" s="1772"/>
      <c r="X1166" s="1125"/>
      <c r="Y1166" s="1366"/>
      <c r="Z1166" s="1366"/>
      <c r="AA1166" s="1366"/>
      <c r="AB1166" s="1366"/>
      <c r="AC1166" s="1366"/>
      <c r="AD1166" s="1366"/>
      <c r="AE1166" s="1366"/>
      <c r="AF1166" s="1366"/>
      <c r="AG1166" s="1366"/>
      <c r="AH1166" s="69"/>
      <c r="AI1166" s="69"/>
      <c r="AJ1166" s="69"/>
      <c r="AK1166" s="69"/>
      <c r="AL1166" s="69"/>
      <c r="AM1166" s="69"/>
      <c r="AN1166" s="69"/>
      <c r="AO1166" s="69"/>
      <c r="AP1166" s="69"/>
    </row>
    <row r="1167" spans="1:42" s="392" customFormat="1" ht="14.5">
      <c r="A1167" s="1693">
        <v>1</v>
      </c>
      <c r="B1167" s="616">
        <v>1</v>
      </c>
      <c r="C1167" s="1693">
        <v>1</v>
      </c>
      <c r="D1167" s="616">
        <v>1</v>
      </c>
      <c r="E1167" s="1693">
        <v>1</v>
      </c>
      <c r="F1167" s="616">
        <v>1</v>
      </c>
      <c r="G1167" s="1693">
        <v>1150</v>
      </c>
      <c r="H1167" s="616">
        <v>1</v>
      </c>
      <c r="I1167" s="616"/>
      <c r="J1167" s="709" t="s">
        <v>512</v>
      </c>
      <c r="K1167" s="69"/>
      <c r="L1167" s="391"/>
      <c r="M1167" s="238"/>
      <c r="O1167" s="831" t="s">
        <v>1137</v>
      </c>
      <c r="P1167" s="181"/>
      <c r="Q1167" s="180"/>
      <c r="R1167" s="180"/>
      <c r="S1167" s="180"/>
      <c r="T1167" s="179"/>
      <c r="U1167" s="179"/>
      <c r="V1167" s="179"/>
      <c r="W1167" s="1772"/>
      <c r="X1167" s="223"/>
      <c r="Y1167" s="69"/>
      <c r="Z1167" s="69"/>
      <c r="AA1167" s="69"/>
      <c r="AB1167" s="69"/>
      <c r="AC1167" s="69"/>
      <c r="AD1167" s="69"/>
    </row>
    <row r="1168" spans="1:42" s="392" customFormat="1" ht="14.5">
      <c r="A1168" s="1693">
        <v>1</v>
      </c>
      <c r="B1168" s="616">
        <v>1</v>
      </c>
      <c r="C1168" s="1693">
        <v>1</v>
      </c>
      <c r="D1168" s="616">
        <v>1</v>
      </c>
      <c r="E1168" s="1693">
        <v>1</v>
      </c>
      <c r="F1168" s="616">
        <v>1</v>
      </c>
      <c r="G1168" s="1693">
        <v>1151</v>
      </c>
      <c r="H1168" s="616">
        <v>1</v>
      </c>
      <c r="I1168" s="616"/>
      <c r="J1168" s="709" t="s">
        <v>512</v>
      </c>
      <c r="K1168" s="69"/>
      <c r="L1168" s="391"/>
      <c r="M1168" s="238"/>
      <c r="O1168" s="458" t="s">
        <v>946</v>
      </c>
      <c r="P1168" s="463"/>
      <c r="Q1168" s="463"/>
      <c r="R1168" s="463"/>
      <c r="S1168" s="464"/>
      <c r="T1168" s="464"/>
      <c r="U1168" s="464"/>
      <c r="V1168" s="464"/>
      <c r="W1168" s="1831"/>
      <c r="X1168" s="1275">
        <v>2399100.3545398</v>
      </c>
      <c r="Y1168" s="1276">
        <v>2404831.7945424002</v>
      </c>
      <c r="Z1168" s="1276">
        <v>2419102.3394263303</v>
      </c>
      <c r="AA1168" s="1276">
        <v>2442707.5759074125</v>
      </c>
      <c r="AB1168" s="1276">
        <v>2488927.675653555</v>
      </c>
      <c r="AC1168" s="1277">
        <v>2474551.6196439704</v>
      </c>
      <c r="AD1168" s="1277">
        <v>2465873.0929778158</v>
      </c>
      <c r="AE1168" s="1277">
        <v>2493798.3022942087</v>
      </c>
      <c r="AF1168" s="1277">
        <v>2531339.7261037789</v>
      </c>
      <c r="AG1168" s="1277">
        <v>2526710.3117674384</v>
      </c>
      <c r="AH1168" s="1277">
        <v>2554615.0265535237</v>
      </c>
      <c r="AI1168" s="1278">
        <v>2519323.4179697074</v>
      </c>
      <c r="AJ1168" s="177"/>
      <c r="AK1168" s="177"/>
      <c r="AL1168" s="177"/>
      <c r="AM1168" s="177"/>
      <c r="AN1168" s="177"/>
      <c r="AO1168" s="177"/>
      <c r="AP1168" s="177"/>
    </row>
    <row r="1169" spans="1:42" s="392" customFormat="1" ht="14.5">
      <c r="A1169" s="1693">
        <v>1</v>
      </c>
      <c r="B1169" s="616">
        <v>1</v>
      </c>
      <c r="C1169" s="1693">
        <v>1</v>
      </c>
      <c r="D1169" s="616">
        <v>1</v>
      </c>
      <c r="E1169" s="1693">
        <v>1</v>
      </c>
      <c r="F1169" s="616">
        <v>1</v>
      </c>
      <c r="G1169" s="1693">
        <v>1152</v>
      </c>
      <c r="H1169" s="616">
        <v>1</v>
      </c>
      <c r="I1169" s="616"/>
      <c r="J1169" s="709" t="s">
        <v>512</v>
      </c>
      <c r="K1169" s="69"/>
      <c r="L1169" s="391"/>
      <c r="M1169" s="238"/>
      <c r="O1169" s="466"/>
      <c r="P1169" s="283" t="s">
        <v>264</v>
      </c>
      <c r="Q1169" s="283"/>
      <c r="R1169" s="283"/>
      <c r="S1169" s="468"/>
      <c r="T1169" s="468"/>
      <c r="U1169" s="468"/>
      <c r="V1169" s="468"/>
      <c r="W1169" s="1832"/>
      <c r="X1169" s="1133">
        <v>1790183.2328900001</v>
      </c>
      <c r="Y1169" s="1134">
        <v>1847488</v>
      </c>
      <c r="Z1169" s="1134">
        <v>1960288</v>
      </c>
      <c r="AA1169" s="1134">
        <v>1935244</v>
      </c>
      <c r="AB1169" s="1134">
        <v>1986304</v>
      </c>
      <c r="AC1169" s="1135">
        <v>1981782</v>
      </c>
      <c r="AD1169" s="1135">
        <v>1962660</v>
      </c>
      <c r="AE1169" s="1135">
        <v>1981346</v>
      </c>
      <c r="AF1169" s="1135">
        <v>2023552</v>
      </c>
      <c r="AG1169" s="1135">
        <v>2008135</v>
      </c>
      <c r="AH1169" s="1135">
        <v>2037438</v>
      </c>
      <c r="AI1169" s="1136">
        <v>2047327</v>
      </c>
      <c r="AJ1169" s="176"/>
      <c r="AK1169" s="176"/>
      <c r="AL1169" s="176"/>
      <c r="AM1169" s="176"/>
      <c r="AN1169" s="176"/>
      <c r="AO1169" s="176"/>
      <c r="AP1169" s="176"/>
    </row>
    <row r="1170" spans="1:42" s="392" customFormat="1" ht="14.5">
      <c r="A1170" s="1693">
        <v>1</v>
      </c>
      <c r="B1170" s="616">
        <v>1</v>
      </c>
      <c r="C1170" s="1693">
        <v>1</v>
      </c>
      <c r="D1170" s="616">
        <v>1</v>
      </c>
      <c r="E1170" s="1693">
        <v>1</v>
      </c>
      <c r="F1170" s="616">
        <v>1</v>
      </c>
      <c r="G1170" s="1693">
        <v>1153</v>
      </c>
      <c r="H1170" s="616">
        <v>1</v>
      </c>
      <c r="I1170" s="616"/>
      <c r="J1170" s="709" t="s">
        <v>512</v>
      </c>
      <c r="K1170" s="69"/>
      <c r="L1170" s="391"/>
      <c r="M1170" s="238"/>
      <c r="O1170" s="466"/>
      <c r="P1170" s="283"/>
      <c r="Q1170" s="459" t="s">
        <v>262</v>
      </c>
      <c r="R1170" s="459"/>
      <c r="S1170" s="460"/>
      <c r="T1170" s="460"/>
      <c r="U1170" s="460"/>
      <c r="V1170" s="460"/>
      <c r="W1170" s="1833"/>
      <c r="X1170" s="1430">
        <v>1720236.2328900001</v>
      </c>
      <c r="Y1170" s="1137">
        <v>1766513</v>
      </c>
      <c r="Z1170" s="1137">
        <v>1874368</v>
      </c>
      <c r="AA1170" s="1137">
        <v>1850422</v>
      </c>
      <c r="AB1170" s="1381">
        <v>1899244</v>
      </c>
      <c r="AC1170" s="1381">
        <v>1894921</v>
      </c>
      <c r="AD1170" s="1381">
        <v>1876637</v>
      </c>
      <c r="AE1170" s="1381">
        <v>1894504</v>
      </c>
      <c r="AF1170" s="1381">
        <v>1934860</v>
      </c>
      <c r="AG1170" s="1381">
        <v>1920119</v>
      </c>
      <c r="AH1170" s="1381">
        <v>1948136</v>
      </c>
      <c r="AI1170" s="1138">
        <v>1957592</v>
      </c>
      <c r="AJ1170" s="176"/>
      <c r="AK1170" s="176"/>
      <c r="AL1170" s="176"/>
      <c r="AM1170" s="176"/>
      <c r="AN1170" s="176"/>
      <c r="AO1170" s="176"/>
      <c r="AP1170" s="176"/>
    </row>
    <row r="1171" spans="1:42" s="392" customFormat="1" ht="14.5">
      <c r="A1171" s="1693">
        <v>1</v>
      </c>
      <c r="B1171" s="616">
        <v>1</v>
      </c>
      <c r="C1171" s="1693">
        <v>1</v>
      </c>
      <c r="D1171" s="616">
        <v>1</v>
      </c>
      <c r="E1171" s="1693">
        <v>1</v>
      </c>
      <c r="F1171" s="616">
        <v>1</v>
      </c>
      <c r="G1171" s="1693">
        <v>1154</v>
      </c>
      <c r="H1171" s="616">
        <v>1</v>
      </c>
      <c r="I1171" s="616"/>
      <c r="J1171" s="709" t="s">
        <v>512</v>
      </c>
      <c r="K1171" s="69"/>
      <c r="L1171" s="391"/>
      <c r="M1171" s="238"/>
      <c r="O1171" s="466"/>
      <c r="P1171" s="457"/>
      <c r="Q1171" s="224" t="s">
        <v>1138</v>
      </c>
      <c r="R1171" s="224"/>
      <c r="S1171" s="178"/>
      <c r="T1171" s="178"/>
      <c r="U1171" s="178"/>
      <c r="V1171" s="178"/>
      <c r="W1171" s="1833"/>
      <c r="X1171" s="1431">
        <v>69947</v>
      </c>
      <c r="Y1171" s="1139">
        <v>80975</v>
      </c>
      <c r="Z1171" s="1139">
        <v>85920</v>
      </c>
      <c r="AA1171" s="1139">
        <v>84822</v>
      </c>
      <c r="AB1171" s="1292">
        <v>87060</v>
      </c>
      <c r="AC1171" s="1292">
        <v>86861</v>
      </c>
      <c r="AD1171" s="1292">
        <v>86023</v>
      </c>
      <c r="AE1171" s="1292">
        <v>86842</v>
      </c>
      <c r="AF1171" s="1292">
        <v>88692</v>
      </c>
      <c r="AG1171" s="1292">
        <v>88016</v>
      </c>
      <c r="AH1171" s="1292">
        <v>89302</v>
      </c>
      <c r="AI1171" s="1140">
        <v>89735</v>
      </c>
      <c r="AJ1171" s="176"/>
      <c r="AK1171" s="176"/>
      <c r="AL1171" s="176"/>
      <c r="AM1171" s="176"/>
      <c r="AN1171" s="176"/>
      <c r="AO1171" s="176"/>
      <c r="AP1171" s="176"/>
    </row>
    <row r="1172" spans="1:42" s="392" customFormat="1" ht="14.25" customHeight="1">
      <c r="A1172" s="1693">
        <v>1</v>
      </c>
      <c r="B1172" s="616">
        <v>1</v>
      </c>
      <c r="C1172" s="1693">
        <v>1</v>
      </c>
      <c r="D1172" s="616">
        <v>1</v>
      </c>
      <c r="E1172" s="1693">
        <v>1</v>
      </c>
      <c r="F1172" s="616">
        <v>1</v>
      </c>
      <c r="G1172" s="1693">
        <v>1155</v>
      </c>
      <c r="H1172" s="616">
        <v>1</v>
      </c>
      <c r="I1172" s="616"/>
      <c r="J1172" s="709" t="s">
        <v>512</v>
      </c>
      <c r="K1172" s="69"/>
      <c r="L1172" s="391"/>
      <c r="M1172" s="238"/>
      <c r="O1172" s="466"/>
      <c r="P1172" s="379" t="s">
        <v>265</v>
      </c>
      <c r="Q1172" s="379"/>
      <c r="R1172" s="379"/>
      <c r="S1172" s="430"/>
      <c r="T1172" s="430"/>
      <c r="U1172" s="430"/>
      <c r="V1172" s="430"/>
      <c r="W1172" s="1834"/>
      <c r="X1172" s="1270">
        <v>608917.12164979987</v>
      </c>
      <c r="Y1172" s="1271">
        <v>557343.79454239993</v>
      </c>
      <c r="Z1172" s="1271">
        <v>458814.33942633012</v>
      </c>
      <c r="AA1172" s="1271">
        <v>507463.57590741257</v>
      </c>
      <c r="AB1172" s="1271">
        <v>502623.67565355485</v>
      </c>
      <c r="AC1172" s="1272">
        <v>492769.61964397045</v>
      </c>
      <c r="AD1172" s="1272">
        <v>503213.09297781583</v>
      </c>
      <c r="AE1172" s="1271">
        <v>512452.30229420844</v>
      </c>
      <c r="AF1172" s="1272">
        <v>507787.72610377916</v>
      </c>
      <c r="AG1172" s="1272">
        <v>518575.3117674386</v>
      </c>
      <c r="AH1172" s="1272">
        <v>517177.02655352384</v>
      </c>
      <c r="AI1172" s="1274">
        <v>471996.41796970757</v>
      </c>
      <c r="AK1172" s="177"/>
      <c r="AL1172" s="177"/>
      <c r="AM1172" s="177"/>
      <c r="AN1172" s="177"/>
      <c r="AO1172" s="177"/>
      <c r="AP1172" s="177"/>
    </row>
    <row r="1173" spans="1:42" s="392" customFormat="1" ht="14.5">
      <c r="A1173" s="1693">
        <v>1</v>
      </c>
      <c r="B1173" s="616">
        <v>1</v>
      </c>
      <c r="C1173" s="1693">
        <v>1</v>
      </c>
      <c r="D1173" s="616">
        <v>1</v>
      </c>
      <c r="E1173" s="1693">
        <v>1</v>
      </c>
      <c r="F1173" s="616">
        <v>1</v>
      </c>
      <c r="G1173" s="1693">
        <v>1156</v>
      </c>
      <c r="H1173" s="616">
        <v>1</v>
      </c>
      <c r="I1173" s="616"/>
      <c r="J1173" s="709" t="s">
        <v>512</v>
      </c>
      <c r="K1173" s="69"/>
      <c r="L1173" s="391"/>
      <c r="M1173" s="238"/>
      <c r="O1173" s="466"/>
      <c r="P1173" s="380"/>
      <c r="Q1173" s="459" t="s">
        <v>262</v>
      </c>
      <c r="R1173" s="459"/>
      <c r="S1173" s="460"/>
      <c r="T1173" s="460"/>
      <c r="U1173" s="460"/>
      <c r="V1173" s="460"/>
      <c r="W1173" s="1835"/>
      <c r="X1173" s="1141">
        <v>606287.16059599991</v>
      </c>
      <c r="Y1173" s="1142">
        <v>531167.86094239994</v>
      </c>
      <c r="Z1173" s="1142">
        <v>452799.86040880211</v>
      </c>
      <c r="AA1173" s="1142">
        <v>495564.16713681258</v>
      </c>
      <c r="AB1173" s="1142">
        <v>497888.99557355483</v>
      </c>
      <c r="AC1173" s="1143">
        <v>486220.29965271323</v>
      </c>
      <c r="AD1173" s="1143">
        <v>501618.70004631585</v>
      </c>
      <c r="AE1173" s="1143">
        <v>508318.55519077083</v>
      </c>
      <c r="AF1173" s="1143">
        <v>504966.34391233919</v>
      </c>
      <c r="AG1173" s="1143">
        <v>515392.90576743858</v>
      </c>
      <c r="AH1173" s="1143">
        <v>514625.24155352387</v>
      </c>
      <c r="AI1173" s="1144">
        <v>470528.3829697076</v>
      </c>
      <c r="AK1173" s="176"/>
      <c r="AL1173" s="176"/>
      <c r="AM1173" s="176"/>
      <c r="AN1173" s="176"/>
      <c r="AO1173" s="176"/>
      <c r="AP1173" s="176"/>
    </row>
    <row r="1174" spans="1:42" s="392" customFormat="1" ht="14.5">
      <c r="A1174" s="1693">
        <v>1</v>
      </c>
      <c r="B1174" s="616">
        <v>1</v>
      </c>
      <c r="C1174" s="1693">
        <v>1</v>
      </c>
      <c r="D1174" s="616">
        <v>1</v>
      </c>
      <c r="E1174" s="1693">
        <v>1</v>
      </c>
      <c r="F1174" s="616">
        <v>1</v>
      </c>
      <c r="G1174" s="1693">
        <v>1157</v>
      </c>
      <c r="H1174" s="616">
        <v>1</v>
      </c>
      <c r="I1174" s="616"/>
      <c r="J1174" s="709" t="s">
        <v>512</v>
      </c>
      <c r="K1174" s="69"/>
      <c r="L1174" s="391"/>
      <c r="M1174" s="238"/>
      <c r="O1174" s="466"/>
      <c r="P1174" s="381"/>
      <c r="Q1174" s="224" t="s">
        <v>1138</v>
      </c>
      <c r="R1174" s="224"/>
      <c r="S1174" s="178"/>
      <c r="T1174" s="178"/>
      <c r="U1174" s="178"/>
      <c r="V1174" s="178"/>
      <c r="W1174" s="1835"/>
      <c r="X1174" s="1145">
        <v>2629.9610537999997</v>
      </c>
      <c r="Y1174" s="1146">
        <v>26175.9336</v>
      </c>
      <c r="Z1174" s="1146">
        <v>6014.4790175280004</v>
      </c>
      <c r="AA1174" s="1146">
        <v>11899.408770600001</v>
      </c>
      <c r="AB1174" s="1146">
        <v>4734.6800800000001</v>
      </c>
      <c r="AC1174" s="1147">
        <v>6549.3199912572009</v>
      </c>
      <c r="AD1174" s="1147">
        <v>1594.3929314999998</v>
      </c>
      <c r="AE1174" s="1147">
        <v>4133.7471034376213</v>
      </c>
      <c r="AF1174" s="1147">
        <v>2821.3821914400005</v>
      </c>
      <c r="AG1174" s="1147">
        <v>3182.4059999999999</v>
      </c>
      <c r="AH1174" s="1147">
        <v>2551.7849999999999</v>
      </c>
      <c r="AI1174" s="1148">
        <v>1468.0350000000001</v>
      </c>
      <c r="AJ1174" s="176"/>
      <c r="AK1174" s="176"/>
      <c r="AL1174" s="176"/>
      <c r="AM1174" s="176"/>
      <c r="AN1174" s="176"/>
      <c r="AO1174" s="176"/>
      <c r="AP1174" s="176"/>
    </row>
    <row r="1175" spans="1:42" s="392" customFormat="1" ht="14.25" customHeight="1">
      <c r="A1175" s="1693">
        <v>1</v>
      </c>
      <c r="B1175" s="616">
        <v>1</v>
      </c>
      <c r="C1175" s="1693">
        <v>1</v>
      </c>
      <c r="D1175" s="616">
        <v>1</v>
      </c>
      <c r="E1175" s="1693">
        <v>1</v>
      </c>
      <c r="F1175" s="616">
        <v>1</v>
      </c>
      <c r="G1175" s="1693">
        <v>1158</v>
      </c>
      <c r="H1175" s="616">
        <v>1</v>
      </c>
      <c r="I1175" s="616"/>
      <c r="J1175" s="709" t="s">
        <v>512</v>
      </c>
      <c r="K1175" s="69"/>
      <c r="L1175" s="391"/>
      <c r="M1175" s="238"/>
      <c r="O1175" s="466"/>
      <c r="P1175" s="379" t="s">
        <v>2</v>
      </c>
      <c r="Q1175" s="379"/>
      <c r="R1175" s="379"/>
      <c r="S1175" s="430"/>
      <c r="T1175" s="430"/>
      <c r="U1175" s="430"/>
      <c r="V1175" s="430"/>
      <c r="W1175" s="1834"/>
      <c r="X1175" s="1270">
        <v>0</v>
      </c>
      <c r="Y1175" s="1271">
        <v>0</v>
      </c>
      <c r="Z1175" s="1271">
        <v>0</v>
      </c>
      <c r="AA1175" s="1271">
        <v>0</v>
      </c>
      <c r="AB1175" s="1271">
        <v>0</v>
      </c>
      <c r="AC1175" s="1272">
        <v>0</v>
      </c>
      <c r="AD1175" s="1272">
        <v>0</v>
      </c>
      <c r="AE1175" s="1272">
        <v>0</v>
      </c>
      <c r="AF1175" s="1272">
        <v>0</v>
      </c>
      <c r="AG1175" s="1272">
        <v>0</v>
      </c>
      <c r="AH1175" s="1272">
        <v>0</v>
      </c>
      <c r="AI1175" s="1274">
        <v>0</v>
      </c>
      <c r="AJ1175" s="177"/>
      <c r="AK1175" s="177"/>
      <c r="AL1175" s="177"/>
      <c r="AM1175" s="177"/>
      <c r="AN1175" s="177"/>
      <c r="AO1175" s="177"/>
      <c r="AP1175" s="177"/>
    </row>
    <row r="1176" spans="1:42" s="392" customFormat="1" ht="14.5">
      <c r="A1176" s="1693">
        <v>1</v>
      </c>
      <c r="B1176" s="616">
        <v>1</v>
      </c>
      <c r="C1176" s="1693">
        <v>1</v>
      </c>
      <c r="D1176" s="616">
        <v>1</v>
      </c>
      <c r="E1176" s="1693">
        <v>1</v>
      </c>
      <c r="F1176" s="616">
        <v>1</v>
      </c>
      <c r="G1176" s="1693">
        <v>1159</v>
      </c>
      <c r="H1176" s="616">
        <v>1</v>
      </c>
      <c r="I1176" s="616"/>
      <c r="J1176" s="709" t="s">
        <v>512</v>
      </c>
      <c r="K1176" s="69"/>
      <c r="L1176" s="391"/>
      <c r="M1176" s="238"/>
      <c r="O1176" s="466"/>
      <c r="P1176" s="380"/>
      <c r="Q1176" s="459" t="s">
        <v>1139</v>
      </c>
      <c r="R1176" s="459"/>
      <c r="S1176" s="460"/>
      <c r="T1176" s="460"/>
      <c r="U1176" s="460"/>
      <c r="V1176" s="460"/>
      <c r="W1176" s="1833"/>
      <c r="X1176" s="1430"/>
      <c r="Y1176" s="1149"/>
      <c r="Z1176" s="1149"/>
      <c r="AA1176" s="1149"/>
      <c r="AB1176" s="1149"/>
      <c r="AC1176" s="1150"/>
      <c r="AD1176" s="1150"/>
      <c r="AE1176" s="1150"/>
      <c r="AF1176" s="1150"/>
      <c r="AG1176" s="1150"/>
      <c r="AH1176" s="1150"/>
      <c r="AI1176" s="1151"/>
      <c r="AJ1176" s="176"/>
      <c r="AK1176" s="176"/>
      <c r="AL1176" s="176"/>
      <c r="AM1176" s="176"/>
      <c r="AN1176" s="176"/>
      <c r="AO1176" s="176"/>
      <c r="AP1176" s="176"/>
    </row>
    <row r="1177" spans="1:42" s="392" customFormat="1" ht="14.5">
      <c r="A1177" s="1693">
        <v>1</v>
      </c>
      <c r="B1177" s="616">
        <v>1</v>
      </c>
      <c r="C1177" s="1693">
        <v>1</v>
      </c>
      <c r="D1177" s="616">
        <v>1</v>
      </c>
      <c r="E1177" s="1693">
        <v>1</v>
      </c>
      <c r="F1177" s="616">
        <v>1</v>
      </c>
      <c r="G1177" s="1693">
        <v>1160</v>
      </c>
      <c r="H1177" s="616">
        <v>1</v>
      </c>
      <c r="I1177" s="616"/>
      <c r="J1177" s="709" t="s">
        <v>512</v>
      </c>
      <c r="K1177" s="69"/>
      <c r="L1177" s="391"/>
      <c r="M1177" s="238"/>
      <c r="O1177" s="467"/>
      <c r="P1177" s="381"/>
      <c r="Q1177" s="1029" t="s">
        <v>1140</v>
      </c>
      <c r="R1177" s="211"/>
      <c r="S1177" s="308"/>
      <c r="T1177" s="308"/>
      <c r="U1177" s="308"/>
      <c r="V1177" s="308"/>
      <c r="W1177" s="1833"/>
      <c r="X1177" s="1431"/>
      <c r="Y1177" s="1152"/>
      <c r="Z1177" s="1152"/>
      <c r="AA1177" s="1152"/>
      <c r="AB1177" s="1152"/>
      <c r="AC1177" s="1153"/>
      <c r="AD1177" s="1153"/>
      <c r="AE1177" s="1153"/>
      <c r="AF1177" s="1153"/>
      <c r="AG1177" s="1153"/>
      <c r="AH1177" s="1153"/>
      <c r="AI1177" s="1154"/>
      <c r="AJ1177" s="176"/>
      <c r="AK1177" s="176"/>
      <c r="AL1177" s="176"/>
      <c r="AM1177" s="176"/>
      <c r="AN1177" s="176"/>
      <c r="AO1177" s="176"/>
      <c r="AP1177" s="176"/>
    </row>
    <row r="1178" spans="1:42" s="392" customFormat="1" ht="14.25" customHeight="1">
      <c r="A1178" s="1693">
        <v>1</v>
      </c>
      <c r="B1178" s="616">
        <v>1</v>
      </c>
      <c r="C1178" s="1693">
        <v>1</v>
      </c>
      <c r="D1178" s="616">
        <v>1</v>
      </c>
      <c r="E1178" s="1693">
        <v>1</v>
      </c>
      <c r="F1178" s="616">
        <v>1</v>
      </c>
      <c r="G1178" s="1693">
        <v>1161</v>
      </c>
      <c r="H1178" s="616">
        <v>1</v>
      </c>
      <c r="I1178" s="616"/>
      <c r="J1178" s="709" t="s">
        <v>512</v>
      </c>
      <c r="K1178" s="69"/>
      <c r="L1178" s="391"/>
      <c r="M1178" s="238"/>
      <c r="O1178" s="458" t="s">
        <v>947</v>
      </c>
      <c r="P1178" s="463"/>
      <c r="Q1178" s="463"/>
      <c r="R1178" s="463"/>
      <c r="S1178" s="464"/>
      <c r="T1178" s="464"/>
      <c r="U1178" s="464"/>
      <c r="V1178" s="464"/>
      <c r="W1178" s="1831"/>
      <c r="X1178" s="1275">
        <v>2399100.0230958797</v>
      </c>
      <c r="Y1178" s="1276">
        <v>2404831.5638368297</v>
      </c>
      <c r="Z1178" s="1276">
        <v>2419102.4506522943</v>
      </c>
      <c r="AA1178" s="1276">
        <v>2442708.4921714296</v>
      </c>
      <c r="AB1178" s="1276">
        <v>2488927.675653555</v>
      </c>
      <c r="AC1178" s="1277">
        <v>2474551.6196439704</v>
      </c>
      <c r="AD1178" s="1277">
        <v>2465873.0929778158</v>
      </c>
      <c r="AE1178" s="1277">
        <v>2493798.3022942087</v>
      </c>
      <c r="AF1178" s="1277">
        <v>2531339.7261037789</v>
      </c>
      <c r="AG1178" s="1277">
        <v>2526710.4949684306</v>
      </c>
      <c r="AH1178" s="1277">
        <v>2554615.0265535237</v>
      </c>
      <c r="AI1178" s="1278">
        <v>2519323.4179697074</v>
      </c>
      <c r="AJ1178" s="177"/>
      <c r="AK1178" s="177"/>
      <c r="AL1178" s="177"/>
      <c r="AM1178" s="177"/>
      <c r="AN1178" s="177"/>
      <c r="AO1178" s="177"/>
      <c r="AP1178" s="177"/>
    </row>
    <row r="1179" spans="1:42" s="392" customFormat="1" ht="14.5">
      <c r="A1179" s="1693">
        <v>1</v>
      </c>
      <c r="B1179" s="616">
        <v>1</v>
      </c>
      <c r="C1179" s="1693">
        <v>1</v>
      </c>
      <c r="D1179" s="616">
        <v>1</v>
      </c>
      <c r="E1179" s="1693">
        <v>1</v>
      </c>
      <c r="F1179" s="616">
        <v>1</v>
      </c>
      <c r="G1179" s="1693">
        <v>1162</v>
      </c>
      <c r="H1179" s="616">
        <v>1</v>
      </c>
      <c r="I1179" s="616"/>
      <c r="J1179" s="709" t="s">
        <v>512</v>
      </c>
      <c r="K1179" s="69"/>
      <c r="L1179" s="391"/>
      <c r="M1179" s="238"/>
      <c r="O1179" s="466"/>
      <c r="P1179" s="380" t="s">
        <v>1141</v>
      </c>
      <c r="Q1179" s="380"/>
      <c r="R1179" s="380"/>
      <c r="S1179" s="465"/>
      <c r="T1179" s="465"/>
      <c r="U1179" s="465"/>
      <c r="V1179" s="465"/>
      <c r="W1179" s="1836"/>
      <c r="X1179" s="1155">
        <v>549612.02309587947</v>
      </c>
      <c r="Y1179" s="1156">
        <v>442543.56383682991</v>
      </c>
      <c r="Z1179" s="1156">
        <v>481858.4506522945</v>
      </c>
      <c r="AA1179" s="1156">
        <v>454404.49217142945</v>
      </c>
      <c r="AB1179" s="1156">
        <v>505145.67565355496</v>
      </c>
      <c r="AC1179" s="1157">
        <v>509891.61964397028</v>
      </c>
      <c r="AD1179" s="1157">
        <v>482527.09297781577</v>
      </c>
      <c r="AE1179" s="1157">
        <v>468246.30229420884</v>
      </c>
      <c r="AF1179" s="1157">
        <v>521204.72610377881</v>
      </c>
      <c r="AG1179" s="1157">
        <v>487272.49496843078</v>
      </c>
      <c r="AH1179" s="1157">
        <v>505288.02655352355</v>
      </c>
      <c r="AI1179" s="1158">
        <v>547685.41796970717</v>
      </c>
      <c r="AJ1179" s="176"/>
      <c r="AK1179" s="176"/>
      <c r="AL1179" s="176"/>
      <c r="AM1179" s="176"/>
      <c r="AN1179" s="176"/>
      <c r="AO1179" s="176"/>
      <c r="AP1179" s="176"/>
    </row>
    <row r="1180" spans="1:42" s="392" customFormat="1" ht="14.25" customHeight="1">
      <c r="A1180" s="1693">
        <v>1</v>
      </c>
      <c r="B1180" s="616">
        <v>1</v>
      </c>
      <c r="C1180" s="1693">
        <v>1</v>
      </c>
      <c r="D1180" s="616">
        <v>1</v>
      </c>
      <c r="E1180" s="1693">
        <v>1</v>
      </c>
      <c r="F1180" s="616">
        <v>1</v>
      </c>
      <c r="G1180" s="1693">
        <v>1163</v>
      </c>
      <c r="H1180" s="616">
        <v>1</v>
      </c>
      <c r="I1180" s="616"/>
      <c r="J1180" s="709" t="s">
        <v>512</v>
      </c>
      <c r="K1180" s="69"/>
      <c r="L1180" s="391"/>
      <c r="M1180" s="238"/>
      <c r="O1180" s="466"/>
      <c r="P1180" s="380"/>
      <c r="Q1180" s="459" t="s">
        <v>262</v>
      </c>
      <c r="R1180" s="459"/>
      <c r="S1180" s="462"/>
      <c r="T1180" s="462"/>
      <c r="U1180" s="462"/>
      <c r="V1180" s="462"/>
      <c r="W1180" s="1824"/>
      <c r="X1180" s="1159">
        <v>549612.02309587947</v>
      </c>
      <c r="Y1180" s="1137">
        <v>442543.56383682991</v>
      </c>
      <c r="Z1180" s="1137">
        <v>481858.4506522945</v>
      </c>
      <c r="AA1180" s="1137">
        <v>454404.49217142945</v>
      </c>
      <c r="AB1180" s="1137">
        <v>505145.67565355496</v>
      </c>
      <c r="AC1180" s="1381">
        <v>509891.61964397028</v>
      </c>
      <c r="AD1180" s="1381">
        <v>482527.09297781577</v>
      </c>
      <c r="AE1180" s="1381">
        <v>468246.30229420884</v>
      </c>
      <c r="AF1180" s="1381">
        <v>521204.72610377881</v>
      </c>
      <c r="AG1180" s="1381">
        <v>487272.49496843078</v>
      </c>
      <c r="AH1180" s="1381">
        <v>505288.02655352355</v>
      </c>
      <c r="AI1180" s="1138">
        <v>547685.41796970717</v>
      </c>
      <c r="AJ1180" s="176"/>
      <c r="AK1180" s="176"/>
      <c r="AL1180" s="176"/>
      <c r="AM1180" s="176"/>
      <c r="AN1180" s="176"/>
      <c r="AO1180" s="176"/>
      <c r="AP1180" s="176"/>
    </row>
    <row r="1181" spans="1:42" s="392" customFormat="1" ht="14.25" customHeight="1">
      <c r="A1181" s="1693">
        <v>1</v>
      </c>
      <c r="B1181" s="616">
        <v>1</v>
      </c>
      <c r="C1181" s="1693">
        <v>1</v>
      </c>
      <c r="D1181" s="616">
        <v>1</v>
      </c>
      <c r="E1181" s="1693">
        <v>1</v>
      </c>
      <c r="F1181" s="616">
        <v>1</v>
      </c>
      <c r="G1181" s="1693">
        <v>1164</v>
      </c>
      <c r="H1181" s="616">
        <v>1</v>
      </c>
      <c r="I1181" s="616"/>
      <c r="J1181" s="709" t="s">
        <v>512</v>
      </c>
      <c r="K1181" s="69"/>
      <c r="L1181" s="391"/>
      <c r="M1181" s="238"/>
      <c r="O1181" s="466"/>
      <c r="P1181" s="380"/>
      <c r="Q1181" s="459"/>
      <c r="R1181" s="479" t="s">
        <v>1142</v>
      </c>
      <c r="S1181" s="480" t="s">
        <v>601</v>
      </c>
      <c r="T1181" s="480"/>
      <c r="U1181" s="480"/>
      <c r="V1181" s="480"/>
      <c r="W1181" s="1833"/>
      <c r="X1181" s="1160">
        <v>166771.03001349649</v>
      </c>
      <c r="Y1181" s="1161">
        <v>139261.99990837713</v>
      </c>
      <c r="Z1181" s="1161">
        <v>156889.33968614228</v>
      </c>
      <c r="AA1181" s="1161">
        <v>145925.57061527125</v>
      </c>
      <c r="AB1181" s="1161">
        <v>160899.41925102391</v>
      </c>
      <c r="AC1181" s="1162">
        <v>177106.5083508371</v>
      </c>
      <c r="AD1181" s="1162">
        <v>144301.20762397689</v>
      </c>
      <c r="AE1181" s="1162">
        <v>145741.94818640203</v>
      </c>
      <c r="AF1181" s="1162">
        <v>170083.38435436581</v>
      </c>
      <c r="AG1181" s="1162">
        <v>142426.86568871432</v>
      </c>
      <c r="AH1181" s="1162">
        <v>158176.64363850292</v>
      </c>
      <c r="AI1181" s="1163">
        <v>174157.42510266427</v>
      </c>
      <c r="AJ1181" s="176"/>
      <c r="AK1181" s="176"/>
      <c r="AL1181" s="176"/>
      <c r="AM1181" s="176"/>
      <c r="AN1181" s="176"/>
      <c r="AO1181" s="176"/>
      <c r="AP1181" s="176"/>
    </row>
    <row r="1182" spans="1:42" s="392" customFormat="1" ht="14.25" customHeight="1">
      <c r="A1182" s="1693">
        <v>1</v>
      </c>
      <c r="B1182" s="616">
        <v>1</v>
      </c>
      <c r="C1182" s="1693">
        <v>1</v>
      </c>
      <c r="D1182" s="616">
        <v>1</v>
      </c>
      <c r="E1182" s="1693">
        <v>1</v>
      </c>
      <c r="F1182" s="616">
        <v>1</v>
      </c>
      <c r="G1182" s="1693">
        <v>1165</v>
      </c>
      <c r="H1182" s="616">
        <v>1</v>
      </c>
      <c r="I1182" s="616"/>
      <c r="J1182" s="709" t="s">
        <v>512</v>
      </c>
      <c r="K1182" s="69"/>
      <c r="L1182" s="391"/>
      <c r="M1182" s="238"/>
      <c r="O1182" s="466"/>
      <c r="P1182" s="380"/>
      <c r="Q1182" s="459"/>
      <c r="R1182" s="459"/>
      <c r="S1182" s="462" t="s">
        <v>1143</v>
      </c>
      <c r="T1182" s="462"/>
      <c r="U1182" s="462"/>
      <c r="V1182" s="462"/>
      <c r="W1182" s="1824"/>
      <c r="X1182" s="1159">
        <v>166771.03001349649</v>
      </c>
      <c r="Y1182" s="1137">
        <v>139261.99990837713</v>
      </c>
      <c r="Z1182" s="1137">
        <v>156889.33968614228</v>
      </c>
      <c r="AA1182" s="1137">
        <v>145925.57061527125</v>
      </c>
      <c r="AB1182" s="1137">
        <v>160899.41925102391</v>
      </c>
      <c r="AC1182" s="1381">
        <v>177106.5083508371</v>
      </c>
      <c r="AD1182" s="1381">
        <v>144301.20762397689</v>
      </c>
      <c r="AE1182" s="1381">
        <v>145741.94818640203</v>
      </c>
      <c r="AF1182" s="1381">
        <v>170083.38435436581</v>
      </c>
      <c r="AG1182" s="1381">
        <v>142426.86568871432</v>
      </c>
      <c r="AH1182" s="1381">
        <v>158176.64363850292</v>
      </c>
      <c r="AI1182" s="1138">
        <v>174157.42510266427</v>
      </c>
      <c r="AJ1182" s="176"/>
      <c r="AK1182" s="176"/>
      <c r="AL1182" s="176"/>
      <c r="AM1182" s="176"/>
      <c r="AN1182" s="176"/>
      <c r="AO1182" s="176"/>
      <c r="AP1182" s="176"/>
    </row>
    <row r="1183" spans="1:42" s="392" customFormat="1" ht="14.25" customHeight="1">
      <c r="A1183" s="1693">
        <v>1</v>
      </c>
      <c r="B1183" s="616">
        <v>1</v>
      </c>
      <c r="C1183" s="1693">
        <v>1</v>
      </c>
      <c r="D1183" s="616">
        <v>1</v>
      </c>
      <c r="E1183" s="1693">
        <v>1</v>
      </c>
      <c r="F1183" s="616">
        <v>1</v>
      </c>
      <c r="G1183" s="1693">
        <v>1166</v>
      </c>
      <c r="H1183" s="616">
        <v>1</v>
      </c>
      <c r="I1183" s="616"/>
      <c r="J1183" s="709" t="s">
        <v>512</v>
      </c>
      <c r="K1183" s="69"/>
      <c r="L1183" s="391"/>
      <c r="M1183" s="238"/>
      <c r="O1183" s="466"/>
      <c r="P1183" s="380"/>
      <c r="Q1183" s="459"/>
      <c r="R1183" s="481"/>
      <c r="S1183" s="482" t="s">
        <v>1144</v>
      </c>
      <c r="T1183" s="482"/>
      <c r="U1183" s="482"/>
      <c r="V1183" s="482"/>
      <c r="W1183" s="1824"/>
      <c r="X1183" s="1164">
        <v>0</v>
      </c>
      <c r="Y1183" s="1165">
        <v>0</v>
      </c>
      <c r="Z1183" s="1165">
        <v>0</v>
      </c>
      <c r="AA1183" s="1165">
        <v>0</v>
      </c>
      <c r="AB1183" s="1165">
        <v>0</v>
      </c>
      <c r="AC1183" s="1382">
        <v>0</v>
      </c>
      <c r="AD1183" s="1382">
        <v>0</v>
      </c>
      <c r="AE1183" s="1382">
        <v>0</v>
      </c>
      <c r="AF1183" s="1382">
        <v>0</v>
      </c>
      <c r="AG1183" s="1382">
        <v>0</v>
      </c>
      <c r="AH1183" s="1382">
        <v>0</v>
      </c>
      <c r="AI1183" s="1166">
        <v>0</v>
      </c>
      <c r="AJ1183" s="176"/>
      <c r="AK1183" s="176"/>
      <c r="AL1183" s="176"/>
      <c r="AM1183" s="176"/>
      <c r="AN1183" s="176"/>
      <c r="AO1183" s="176"/>
      <c r="AP1183" s="176"/>
    </row>
    <row r="1184" spans="1:42" s="392" customFormat="1" ht="14.25" customHeight="1">
      <c r="A1184" s="1693">
        <v>1</v>
      </c>
      <c r="B1184" s="616">
        <v>1</v>
      </c>
      <c r="C1184" s="1693">
        <v>1</v>
      </c>
      <c r="D1184" s="616">
        <v>1</v>
      </c>
      <c r="E1184" s="1693">
        <v>1</v>
      </c>
      <c r="F1184" s="616">
        <v>1</v>
      </c>
      <c r="G1184" s="1693">
        <v>1167</v>
      </c>
      <c r="H1184" s="616">
        <v>1</v>
      </c>
      <c r="I1184" s="616"/>
      <c r="J1184" s="709" t="s">
        <v>512</v>
      </c>
      <c r="K1184" s="69"/>
      <c r="L1184" s="391"/>
      <c r="M1184" s="238"/>
      <c r="O1184" s="466"/>
      <c r="P1184" s="380"/>
      <c r="Q1184" s="459"/>
      <c r="R1184" s="459" t="s">
        <v>1145</v>
      </c>
      <c r="S1184" s="480" t="s">
        <v>601</v>
      </c>
      <c r="T1184" s="480"/>
      <c r="U1184" s="480"/>
      <c r="V1184" s="480"/>
      <c r="W1184" s="1833"/>
      <c r="X1184" s="1160">
        <v>304171.72708238289</v>
      </c>
      <c r="Y1184" s="1161">
        <v>298961.56392845279</v>
      </c>
      <c r="Z1184" s="1161">
        <v>307106.46196615224</v>
      </c>
      <c r="AA1184" s="1161">
        <v>295026.85555615823</v>
      </c>
      <c r="AB1184" s="1161">
        <v>305102.85640253103</v>
      </c>
      <c r="AC1184" s="1162">
        <v>314465.26229313319</v>
      </c>
      <c r="AD1184" s="1162">
        <v>313782.48535383889</v>
      </c>
      <c r="AE1184" s="1162">
        <v>308752.28810780682</v>
      </c>
      <c r="AF1184" s="1162">
        <v>336838.47574941302</v>
      </c>
      <c r="AG1184" s="1162">
        <v>316155.00180971646</v>
      </c>
      <c r="AH1184" s="1162">
        <v>329278.73391502065</v>
      </c>
      <c r="AI1184" s="1163">
        <v>339513.52686704294</v>
      </c>
      <c r="AJ1184" s="176"/>
      <c r="AK1184" s="176"/>
      <c r="AL1184" s="176"/>
      <c r="AM1184" s="176"/>
      <c r="AN1184" s="176"/>
      <c r="AO1184" s="176"/>
      <c r="AP1184" s="176"/>
    </row>
    <row r="1185" spans="1:42" s="392" customFormat="1" ht="14.25" customHeight="1">
      <c r="A1185" s="1693">
        <v>1</v>
      </c>
      <c r="B1185" s="616">
        <v>1</v>
      </c>
      <c r="C1185" s="1693">
        <v>1</v>
      </c>
      <c r="D1185" s="616">
        <v>1</v>
      </c>
      <c r="E1185" s="1693">
        <v>1</v>
      </c>
      <c r="F1185" s="616">
        <v>1</v>
      </c>
      <c r="G1185" s="1693">
        <v>1168</v>
      </c>
      <c r="H1185" s="616">
        <v>1</v>
      </c>
      <c r="I1185" s="616"/>
      <c r="J1185" s="709" t="s">
        <v>512</v>
      </c>
      <c r="K1185" s="69"/>
      <c r="L1185" s="391"/>
      <c r="M1185" s="238"/>
      <c r="O1185" s="466"/>
      <c r="P1185" s="380"/>
      <c r="Q1185" s="459"/>
      <c r="R1185" s="459"/>
      <c r="S1185" s="462" t="s">
        <v>1143</v>
      </c>
      <c r="T1185" s="462"/>
      <c r="U1185" s="462"/>
      <c r="V1185" s="462"/>
      <c r="W1185" s="1824"/>
      <c r="X1185" s="1159">
        <v>304171.72708238289</v>
      </c>
      <c r="Y1185" s="1137">
        <v>298961.56392845279</v>
      </c>
      <c r="Z1185" s="1137">
        <v>307106.46196615224</v>
      </c>
      <c r="AA1185" s="1137">
        <v>295026.85555615823</v>
      </c>
      <c r="AB1185" s="1137">
        <v>305102.85640253103</v>
      </c>
      <c r="AC1185" s="1381">
        <v>314465.26229313319</v>
      </c>
      <c r="AD1185" s="1381">
        <v>313782.48535383889</v>
      </c>
      <c r="AE1185" s="1381">
        <v>308752.28810780682</v>
      </c>
      <c r="AF1185" s="1381">
        <v>336838.47574941302</v>
      </c>
      <c r="AG1185" s="1381">
        <v>316155.00180971646</v>
      </c>
      <c r="AH1185" s="1381">
        <v>329278.73391502065</v>
      </c>
      <c r="AI1185" s="1138">
        <v>339513.52686704294</v>
      </c>
      <c r="AJ1185" s="176"/>
      <c r="AK1185" s="176"/>
      <c r="AL1185" s="176"/>
      <c r="AM1185" s="176"/>
      <c r="AN1185" s="176"/>
      <c r="AO1185" s="176"/>
      <c r="AP1185" s="176"/>
    </row>
    <row r="1186" spans="1:42" s="392" customFormat="1" ht="14.25" customHeight="1">
      <c r="A1186" s="1693">
        <v>1</v>
      </c>
      <c r="B1186" s="616">
        <v>1</v>
      </c>
      <c r="C1186" s="1693">
        <v>1</v>
      </c>
      <c r="D1186" s="616">
        <v>1</v>
      </c>
      <c r="E1186" s="1693">
        <v>1</v>
      </c>
      <c r="F1186" s="616">
        <v>1</v>
      </c>
      <c r="G1186" s="1693">
        <v>1169</v>
      </c>
      <c r="H1186" s="616">
        <v>1</v>
      </c>
      <c r="I1186" s="616"/>
      <c r="J1186" s="709" t="s">
        <v>512</v>
      </c>
      <c r="K1186" s="69"/>
      <c r="L1186" s="391"/>
      <c r="M1186" s="238"/>
      <c r="O1186" s="466"/>
      <c r="P1186" s="380"/>
      <c r="Q1186" s="459"/>
      <c r="R1186" s="481"/>
      <c r="S1186" s="482" t="s">
        <v>1144</v>
      </c>
      <c r="T1186" s="482"/>
      <c r="U1186" s="482"/>
      <c r="V1186" s="482"/>
      <c r="W1186" s="1824"/>
      <c r="X1186" s="1164">
        <v>0</v>
      </c>
      <c r="Y1186" s="1165">
        <v>0</v>
      </c>
      <c r="Z1186" s="1165">
        <v>0</v>
      </c>
      <c r="AA1186" s="1165">
        <v>0</v>
      </c>
      <c r="AB1186" s="1165">
        <v>0</v>
      </c>
      <c r="AC1186" s="1382">
        <v>0</v>
      </c>
      <c r="AD1186" s="1382">
        <v>0</v>
      </c>
      <c r="AE1186" s="1382">
        <v>0</v>
      </c>
      <c r="AF1186" s="1382">
        <v>0</v>
      </c>
      <c r="AG1186" s="1382">
        <v>0</v>
      </c>
      <c r="AH1186" s="1382">
        <v>0</v>
      </c>
      <c r="AI1186" s="1166">
        <v>0</v>
      </c>
      <c r="AJ1186" s="176"/>
      <c r="AK1186" s="176"/>
      <c r="AL1186" s="176"/>
      <c r="AM1186" s="176"/>
      <c r="AN1186" s="176"/>
      <c r="AO1186" s="176"/>
      <c r="AP1186" s="176"/>
    </row>
    <row r="1187" spans="1:42" s="392" customFormat="1" ht="14.25" customHeight="1">
      <c r="A1187" s="1693">
        <v>1</v>
      </c>
      <c r="B1187" s="616">
        <v>1</v>
      </c>
      <c r="C1187" s="1693">
        <v>1</v>
      </c>
      <c r="D1187" s="616">
        <v>1</v>
      </c>
      <c r="E1187" s="1693">
        <v>1</v>
      </c>
      <c r="F1187" s="616">
        <v>1</v>
      </c>
      <c r="G1187" s="1693">
        <v>1170</v>
      </c>
      <c r="H1187" s="616">
        <v>1</v>
      </c>
      <c r="I1187" s="616"/>
      <c r="J1187" s="709" t="s">
        <v>512</v>
      </c>
      <c r="K1187" s="69"/>
      <c r="L1187" s="391"/>
      <c r="M1187" s="238"/>
      <c r="O1187" s="466"/>
      <c r="P1187" s="380"/>
      <c r="Q1187" s="481"/>
      <c r="R1187" s="481" t="s">
        <v>2</v>
      </c>
      <c r="S1187" s="482" t="s">
        <v>1146</v>
      </c>
      <c r="T1187" s="482"/>
      <c r="U1187" s="482"/>
      <c r="V1187" s="482"/>
      <c r="W1187" s="1833"/>
      <c r="X1187" s="1167">
        <v>78669.266000000003</v>
      </c>
      <c r="Y1187" s="1168">
        <v>4320</v>
      </c>
      <c r="Z1187" s="1168">
        <v>17862.648999999998</v>
      </c>
      <c r="AA1187" s="1168">
        <v>13452.065999999999</v>
      </c>
      <c r="AB1187" s="1168">
        <v>39143.4</v>
      </c>
      <c r="AC1187" s="1169">
        <v>18319.848999999998</v>
      </c>
      <c r="AD1187" s="1169">
        <v>24443.4</v>
      </c>
      <c r="AE1187" s="1169">
        <v>13752.065999999999</v>
      </c>
      <c r="AF1187" s="1169">
        <v>14282.865999999998</v>
      </c>
      <c r="AG1187" s="1169">
        <v>28690.627469999996</v>
      </c>
      <c r="AH1187" s="1169">
        <v>17832.648999999998</v>
      </c>
      <c r="AI1187" s="1170">
        <v>34014.466</v>
      </c>
      <c r="AJ1187" s="176"/>
      <c r="AK1187" s="176"/>
      <c r="AL1187" s="176"/>
      <c r="AM1187" s="176"/>
      <c r="AN1187" s="176"/>
      <c r="AO1187" s="176"/>
      <c r="AP1187" s="176"/>
    </row>
    <row r="1188" spans="1:42" s="392" customFormat="1" ht="14.5">
      <c r="A1188" s="1693">
        <v>1</v>
      </c>
      <c r="B1188" s="616">
        <v>1</v>
      </c>
      <c r="C1188" s="1693">
        <v>1</v>
      </c>
      <c r="D1188" s="616">
        <v>1</v>
      </c>
      <c r="E1188" s="1693">
        <v>1</v>
      </c>
      <c r="F1188" s="616">
        <v>1</v>
      </c>
      <c r="G1188" s="1693">
        <v>1171</v>
      </c>
      <c r="H1188" s="616">
        <v>1</v>
      </c>
      <c r="I1188" s="616"/>
      <c r="J1188" s="709" t="s">
        <v>512</v>
      </c>
      <c r="K1188" s="69"/>
      <c r="L1188" s="391"/>
      <c r="M1188" s="238"/>
      <c r="O1188" s="466"/>
      <c r="P1188" s="380"/>
      <c r="Q1188" s="459" t="s">
        <v>1138</v>
      </c>
      <c r="R1188" s="459"/>
      <c r="S1188" s="462"/>
      <c r="T1188" s="462"/>
      <c r="U1188" s="462"/>
      <c r="V1188" s="462"/>
      <c r="W1188" s="1824"/>
      <c r="X1188" s="1159">
        <v>0</v>
      </c>
      <c r="Y1188" s="1137">
        <v>0</v>
      </c>
      <c r="Z1188" s="1137">
        <v>0</v>
      </c>
      <c r="AA1188" s="1137">
        <v>0</v>
      </c>
      <c r="AB1188" s="1137">
        <v>0</v>
      </c>
      <c r="AC1188" s="1381">
        <v>0</v>
      </c>
      <c r="AD1188" s="1381">
        <v>0</v>
      </c>
      <c r="AE1188" s="1381">
        <v>0</v>
      </c>
      <c r="AF1188" s="1381">
        <v>0</v>
      </c>
      <c r="AG1188" s="1381">
        <v>0</v>
      </c>
      <c r="AH1188" s="1381">
        <v>0</v>
      </c>
      <c r="AI1188" s="1138">
        <v>0</v>
      </c>
      <c r="AJ1188" s="176"/>
      <c r="AK1188" s="176"/>
      <c r="AL1188" s="176"/>
      <c r="AM1188" s="176"/>
      <c r="AN1188" s="176"/>
      <c r="AO1188" s="176"/>
      <c r="AP1188" s="176"/>
    </row>
    <row r="1189" spans="1:42" s="392" customFormat="1" ht="14.25" customHeight="1">
      <c r="A1189" s="1693">
        <v>1</v>
      </c>
      <c r="B1189" s="616">
        <v>1</v>
      </c>
      <c r="C1189" s="1693">
        <v>1</v>
      </c>
      <c r="D1189" s="616">
        <v>1</v>
      </c>
      <c r="E1189" s="1693">
        <v>1</v>
      </c>
      <c r="F1189" s="616">
        <v>1</v>
      </c>
      <c r="G1189" s="1693">
        <v>1172</v>
      </c>
      <c r="H1189" s="616">
        <v>1</v>
      </c>
      <c r="I1189" s="616"/>
      <c r="J1189" s="709" t="s">
        <v>512</v>
      </c>
      <c r="K1189" s="69"/>
      <c r="L1189" s="391"/>
      <c r="M1189" s="238"/>
      <c r="O1189" s="466"/>
      <c r="P1189" s="380"/>
      <c r="Q1189" s="459"/>
      <c r="R1189" s="459" t="s">
        <v>1142</v>
      </c>
      <c r="S1189" s="462"/>
      <c r="T1189" s="462"/>
      <c r="U1189" s="462"/>
      <c r="V1189" s="462"/>
      <c r="W1189" s="1833"/>
      <c r="X1189" s="1430"/>
      <c r="Y1189" s="1149"/>
      <c r="Z1189" s="1149"/>
      <c r="AA1189" s="1149"/>
      <c r="AB1189" s="1149"/>
      <c r="AC1189" s="1150"/>
      <c r="AD1189" s="1150"/>
      <c r="AE1189" s="1150"/>
      <c r="AF1189" s="1150"/>
      <c r="AG1189" s="1150"/>
      <c r="AH1189" s="1150"/>
      <c r="AI1189" s="1151"/>
      <c r="AJ1189" s="176"/>
      <c r="AK1189" s="176"/>
      <c r="AL1189" s="176"/>
      <c r="AM1189" s="176"/>
      <c r="AN1189" s="176"/>
      <c r="AO1189" s="176"/>
      <c r="AP1189" s="176"/>
    </row>
    <row r="1190" spans="1:42" s="392" customFormat="1" ht="14.25" customHeight="1">
      <c r="A1190" s="1693">
        <v>1</v>
      </c>
      <c r="B1190" s="616">
        <v>1</v>
      </c>
      <c r="C1190" s="1693">
        <v>1</v>
      </c>
      <c r="D1190" s="616">
        <v>1</v>
      </c>
      <c r="E1190" s="1693">
        <v>1</v>
      </c>
      <c r="F1190" s="616">
        <v>1</v>
      </c>
      <c r="G1190" s="1693">
        <v>1173</v>
      </c>
      <c r="H1190" s="616">
        <v>1</v>
      </c>
      <c r="I1190" s="616"/>
      <c r="J1190" s="709" t="s">
        <v>512</v>
      </c>
      <c r="K1190" s="69"/>
      <c r="L1190" s="391"/>
      <c r="M1190" s="238"/>
      <c r="O1190" s="466"/>
      <c r="P1190" s="380"/>
      <c r="Q1190" s="459"/>
      <c r="R1190" s="459" t="s">
        <v>1145</v>
      </c>
      <c r="S1190" s="462"/>
      <c r="T1190" s="462"/>
      <c r="U1190" s="462"/>
      <c r="V1190" s="462"/>
      <c r="W1190" s="1833"/>
      <c r="X1190" s="1430"/>
      <c r="Y1190" s="1149"/>
      <c r="Z1190" s="1149"/>
      <c r="AA1190" s="1149"/>
      <c r="AB1190" s="1149"/>
      <c r="AC1190" s="1150"/>
      <c r="AD1190" s="1150"/>
      <c r="AE1190" s="1150"/>
      <c r="AF1190" s="1150"/>
      <c r="AG1190" s="1150"/>
      <c r="AH1190" s="1150"/>
      <c r="AI1190" s="1151"/>
      <c r="AJ1190" s="176"/>
      <c r="AK1190" s="176"/>
      <c r="AL1190" s="176"/>
      <c r="AM1190" s="176"/>
      <c r="AN1190" s="176"/>
      <c r="AO1190" s="176"/>
      <c r="AP1190" s="176"/>
    </row>
    <row r="1191" spans="1:42" s="392" customFormat="1" ht="14.25" customHeight="1">
      <c r="A1191" s="1693">
        <v>1</v>
      </c>
      <c r="B1191" s="616">
        <v>1</v>
      </c>
      <c r="C1191" s="1693">
        <v>1</v>
      </c>
      <c r="D1191" s="616">
        <v>1</v>
      </c>
      <c r="E1191" s="1693">
        <v>1</v>
      </c>
      <c r="F1191" s="616">
        <v>1</v>
      </c>
      <c r="G1191" s="1693">
        <v>1174</v>
      </c>
      <c r="H1191" s="616">
        <v>1</v>
      </c>
      <c r="I1191" s="616"/>
      <c r="J1191" s="709" t="s">
        <v>512</v>
      </c>
      <c r="K1191" s="69"/>
      <c r="L1191" s="391"/>
      <c r="M1191" s="238"/>
      <c r="O1191" s="466"/>
      <c r="P1191" s="380"/>
      <c r="Q1191" s="459"/>
      <c r="R1191" s="459" t="s">
        <v>2</v>
      </c>
      <c r="S1191" s="482" t="s">
        <v>1146</v>
      </c>
      <c r="T1191" s="462"/>
      <c r="U1191" s="462"/>
      <c r="V1191" s="462"/>
      <c r="W1191" s="1833"/>
      <c r="X1191" s="1430"/>
      <c r="Y1191" s="1149"/>
      <c r="Z1191" s="1149"/>
      <c r="AA1191" s="1149"/>
      <c r="AB1191" s="1149"/>
      <c r="AC1191" s="1150"/>
      <c r="AD1191" s="1150"/>
      <c r="AE1191" s="1150"/>
      <c r="AF1191" s="1150"/>
      <c r="AG1191" s="1150"/>
      <c r="AH1191" s="1150"/>
      <c r="AI1191" s="1151"/>
      <c r="AJ1191" s="176"/>
      <c r="AK1191" s="176"/>
      <c r="AL1191" s="176"/>
      <c r="AM1191" s="176"/>
      <c r="AN1191" s="176"/>
      <c r="AO1191" s="176"/>
      <c r="AP1191" s="176"/>
    </row>
    <row r="1192" spans="1:42" s="392" customFormat="1" ht="14.5">
      <c r="A1192" s="1693">
        <v>1</v>
      </c>
      <c r="B1192" s="616">
        <v>1</v>
      </c>
      <c r="C1192" s="1693">
        <v>1</v>
      </c>
      <c r="D1192" s="616">
        <v>1</v>
      </c>
      <c r="E1192" s="1693">
        <v>1</v>
      </c>
      <c r="F1192" s="616">
        <v>1</v>
      </c>
      <c r="G1192" s="1693">
        <v>1175</v>
      </c>
      <c r="H1192" s="616">
        <v>1</v>
      </c>
      <c r="I1192" s="616"/>
      <c r="J1192" s="709" t="s">
        <v>512</v>
      </c>
      <c r="K1192" s="69"/>
      <c r="L1192" s="391"/>
      <c r="M1192" s="238"/>
      <c r="O1192" s="466"/>
      <c r="P1192" s="379" t="s">
        <v>266</v>
      </c>
      <c r="Q1192" s="379"/>
      <c r="R1192" s="379"/>
      <c r="S1192" s="430"/>
      <c r="T1192" s="430"/>
      <c r="U1192" s="430"/>
      <c r="V1192" s="430"/>
      <c r="W1192" s="1830"/>
      <c r="X1192" s="1432">
        <v>2000</v>
      </c>
      <c r="Y1192" s="1433">
        <v>2000</v>
      </c>
      <c r="Z1192" s="1433">
        <v>2000</v>
      </c>
      <c r="AA1192" s="1433">
        <v>2000</v>
      </c>
      <c r="AB1192" s="1433">
        <v>2000</v>
      </c>
      <c r="AC1192" s="1434">
        <v>2000</v>
      </c>
      <c r="AD1192" s="1434">
        <v>2000</v>
      </c>
      <c r="AE1192" s="1434">
        <v>2000</v>
      </c>
      <c r="AF1192" s="1434">
        <v>2000</v>
      </c>
      <c r="AG1192" s="1434">
        <v>2000</v>
      </c>
      <c r="AH1192" s="1434">
        <v>2000</v>
      </c>
      <c r="AI1192" s="1435">
        <v>2000</v>
      </c>
      <c r="AJ1192" s="177"/>
      <c r="AK1192" s="177"/>
      <c r="AL1192" s="177"/>
      <c r="AM1192" s="177"/>
      <c r="AN1192" s="177"/>
      <c r="AO1192" s="177"/>
      <c r="AP1192" s="177"/>
    </row>
    <row r="1193" spans="1:42" s="392" customFormat="1" ht="14.25" customHeight="1">
      <c r="A1193" s="1693">
        <v>1</v>
      </c>
      <c r="B1193" s="616">
        <v>1</v>
      </c>
      <c r="C1193" s="1693">
        <v>1</v>
      </c>
      <c r="D1193" s="616">
        <v>1</v>
      </c>
      <c r="E1193" s="1693">
        <v>1</v>
      </c>
      <c r="F1193" s="616">
        <v>1</v>
      </c>
      <c r="G1193" s="1693">
        <v>1176</v>
      </c>
      <c r="H1193" s="616">
        <v>1</v>
      </c>
      <c r="I1193" s="616"/>
      <c r="J1193" s="709" t="s">
        <v>512</v>
      </c>
      <c r="K1193" s="69"/>
      <c r="L1193" s="391"/>
      <c r="M1193" s="238"/>
      <c r="O1193" s="466"/>
      <c r="P1193" s="379" t="s">
        <v>2</v>
      </c>
      <c r="Q1193" s="379"/>
      <c r="R1193" s="379"/>
      <c r="S1193" s="430"/>
      <c r="T1193" s="430"/>
      <c r="U1193" s="430"/>
      <c r="V1193" s="430"/>
      <c r="W1193" s="1834"/>
      <c r="X1193" s="1270">
        <v>0</v>
      </c>
      <c r="Y1193" s="1271">
        <v>0</v>
      </c>
      <c r="Z1193" s="1271">
        <v>0</v>
      </c>
      <c r="AA1193" s="1271">
        <v>0</v>
      </c>
      <c r="AB1193" s="1271">
        <v>0</v>
      </c>
      <c r="AC1193" s="1272">
        <v>0</v>
      </c>
      <c r="AD1193" s="1272">
        <v>0</v>
      </c>
      <c r="AE1193" s="1272">
        <v>0</v>
      </c>
      <c r="AF1193" s="1272">
        <v>0</v>
      </c>
      <c r="AG1193" s="1272">
        <v>0</v>
      </c>
      <c r="AH1193" s="1272">
        <v>0</v>
      </c>
      <c r="AI1193" s="1274">
        <v>0</v>
      </c>
      <c r="AJ1193" s="177"/>
      <c r="AK1193" s="177"/>
      <c r="AL1193" s="177"/>
      <c r="AM1193" s="177"/>
      <c r="AN1193" s="177"/>
      <c r="AO1193" s="177"/>
      <c r="AP1193" s="177"/>
    </row>
    <row r="1194" spans="1:42" s="392" customFormat="1" ht="14.25" customHeight="1">
      <c r="A1194" s="1693">
        <v>1</v>
      </c>
      <c r="B1194" s="616">
        <v>1</v>
      </c>
      <c r="C1194" s="1693">
        <v>1</v>
      </c>
      <c r="D1194" s="616">
        <v>1</v>
      </c>
      <c r="E1194" s="1693">
        <v>1</v>
      </c>
      <c r="F1194" s="616">
        <v>1</v>
      </c>
      <c r="G1194" s="1693">
        <v>1177</v>
      </c>
      <c r="H1194" s="616">
        <v>1</v>
      </c>
      <c r="I1194" s="616"/>
      <c r="J1194" s="709" t="s">
        <v>512</v>
      </c>
      <c r="K1194" s="69"/>
      <c r="L1194" s="391"/>
      <c r="M1194" s="238"/>
      <c r="O1194" s="466"/>
      <c r="P1194" s="380"/>
      <c r="Q1194" s="1030" t="s">
        <v>1140</v>
      </c>
      <c r="R1194" s="69"/>
      <c r="S1194" s="1031"/>
      <c r="T1194" s="1031"/>
      <c r="U1194" s="1031"/>
      <c r="V1194" s="1031"/>
      <c r="W1194" s="1830"/>
      <c r="X1194" s="1436"/>
      <c r="Y1194" s="1437"/>
      <c r="Z1194" s="1437"/>
      <c r="AA1194" s="1437"/>
      <c r="AB1194" s="1437"/>
      <c r="AC1194" s="1438"/>
      <c r="AD1194" s="1438"/>
      <c r="AE1194" s="1438"/>
      <c r="AF1194" s="1438"/>
      <c r="AG1194" s="1438"/>
      <c r="AH1194" s="1438"/>
      <c r="AI1194" s="1439"/>
      <c r="AJ1194" s="177"/>
      <c r="AK1194" s="177"/>
      <c r="AL1194" s="177"/>
      <c r="AM1194" s="177"/>
      <c r="AN1194" s="177"/>
      <c r="AO1194" s="177"/>
      <c r="AP1194" s="177"/>
    </row>
    <row r="1195" spans="1:42" s="392" customFormat="1" ht="14.25" customHeight="1">
      <c r="A1195" s="1693">
        <v>1</v>
      </c>
      <c r="B1195" s="616">
        <v>1</v>
      </c>
      <c r="C1195" s="1693">
        <v>1</v>
      </c>
      <c r="D1195" s="616">
        <v>1</v>
      </c>
      <c r="E1195" s="1693">
        <v>1</v>
      </c>
      <c r="F1195" s="616">
        <v>1</v>
      </c>
      <c r="G1195" s="1693">
        <v>1178</v>
      </c>
      <c r="H1195" s="616">
        <v>1</v>
      </c>
      <c r="I1195" s="616"/>
      <c r="J1195" s="709" t="s">
        <v>512</v>
      </c>
      <c r="K1195" s="69"/>
      <c r="L1195" s="391"/>
      <c r="M1195" s="238"/>
      <c r="O1195" s="466"/>
      <c r="P1195" s="380"/>
      <c r="Q1195" s="1030" t="s">
        <v>1140</v>
      </c>
      <c r="R1195" s="69"/>
      <c r="S1195" s="1031"/>
      <c r="T1195" s="1031"/>
      <c r="U1195" s="1031"/>
      <c r="V1195" s="1031"/>
      <c r="W1195" s="1830"/>
      <c r="X1195" s="1436"/>
      <c r="Y1195" s="1437"/>
      <c r="Z1195" s="1437"/>
      <c r="AA1195" s="1437"/>
      <c r="AB1195" s="1437"/>
      <c r="AC1195" s="1438"/>
      <c r="AD1195" s="1438"/>
      <c r="AE1195" s="1438"/>
      <c r="AF1195" s="1438"/>
      <c r="AG1195" s="1438"/>
      <c r="AH1195" s="1438"/>
      <c r="AI1195" s="1439"/>
      <c r="AJ1195" s="177"/>
      <c r="AK1195" s="177"/>
      <c r="AL1195" s="177"/>
      <c r="AM1195" s="177"/>
      <c r="AN1195" s="177"/>
      <c r="AO1195" s="177"/>
      <c r="AP1195" s="177"/>
    </row>
    <row r="1196" spans="1:42" s="392" customFormat="1" ht="14.5">
      <c r="A1196" s="1693">
        <v>1</v>
      </c>
      <c r="B1196" s="616">
        <v>1</v>
      </c>
      <c r="C1196" s="1693">
        <v>1</v>
      </c>
      <c r="D1196" s="616">
        <v>1</v>
      </c>
      <c r="E1196" s="1693">
        <v>1</v>
      </c>
      <c r="F1196" s="616">
        <v>1</v>
      </c>
      <c r="G1196" s="1693">
        <v>1179</v>
      </c>
      <c r="H1196" s="616">
        <v>1</v>
      </c>
      <c r="I1196" s="616"/>
      <c r="J1196" s="709" t="s">
        <v>512</v>
      </c>
      <c r="K1196" s="69"/>
      <c r="L1196" s="391"/>
      <c r="M1196" s="238"/>
      <c r="O1196" s="466"/>
      <c r="P1196" s="381"/>
      <c r="Q1196" s="211" t="s">
        <v>2</v>
      </c>
      <c r="R1196" s="211"/>
      <c r="S1196" s="483"/>
      <c r="T1196" s="483"/>
      <c r="U1196" s="483"/>
      <c r="V1196" s="483"/>
      <c r="W1196" s="1830"/>
      <c r="X1196" s="1440"/>
      <c r="Y1196" s="1441"/>
      <c r="Z1196" s="1441"/>
      <c r="AA1196" s="1441"/>
      <c r="AB1196" s="1441"/>
      <c r="AC1196" s="1442"/>
      <c r="AD1196" s="1442"/>
      <c r="AE1196" s="1442"/>
      <c r="AF1196" s="1442"/>
      <c r="AG1196" s="1442"/>
      <c r="AH1196" s="1442"/>
      <c r="AI1196" s="1443"/>
      <c r="AJ1196" s="177"/>
      <c r="AK1196" s="177"/>
      <c r="AL1196" s="177"/>
      <c r="AM1196" s="177"/>
      <c r="AN1196" s="177"/>
      <c r="AO1196" s="177"/>
      <c r="AP1196" s="177"/>
    </row>
    <row r="1197" spans="1:42" s="392" customFormat="1" ht="14.5">
      <c r="A1197" s="1693">
        <v>1</v>
      </c>
      <c r="B1197" s="616">
        <v>1</v>
      </c>
      <c r="C1197" s="1693">
        <v>1</v>
      </c>
      <c r="D1197" s="616">
        <v>1</v>
      </c>
      <c r="E1197" s="1693">
        <v>1</v>
      </c>
      <c r="F1197" s="616">
        <v>1</v>
      </c>
      <c r="G1197" s="1693">
        <v>1180</v>
      </c>
      <c r="H1197" s="616">
        <v>1</v>
      </c>
      <c r="I1197" s="616"/>
      <c r="J1197" s="709" t="s">
        <v>512</v>
      </c>
      <c r="K1197" s="69"/>
      <c r="L1197" s="391"/>
      <c r="M1197" s="238"/>
      <c r="O1197" s="466"/>
      <c r="P1197" s="456" t="s">
        <v>267</v>
      </c>
      <c r="Q1197" s="456"/>
      <c r="R1197" s="456"/>
      <c r="S1197" s="461"/>
      <c r="T1197" s="461"/>
      <c r="U1197" s="461"/>
      <c r="V1197" s="461"/>
      <c r="W1197" s="1832"/>
      <c r="X1197" s="1179">
        <v>1847488</v>
      </c>
      <c r="Y1197" s="1180">
        <v>1960288</v>
      </c>
      <c r="Z1197" s="1180">
        <v>1935244</v>
      </c>
      <c r="AA1197" s="1180">
        <v>1986304</v>
      </c>
      <c r="AB1197" s="1180">
        <v>1981782</v>
      </c>
      <c r="AC1197" s="1204">
        <v>1962660</v>
      </c>
      <c r="AD1197" s="1204">
        <v>1981346</v>
      </c>
      <c r="AE1197" s="1204">
        <v>2023552</v>
      </c>
      <c r="AF1197" s="1204">
        <v>2008135</v>
      </c>
      <c r="AG1197" s="1204">
        <v>2037438</v>
      </c>
      <c r="AH1197" s="1204">
        <v>2047327</v>
      </c>
      <c r="AI1197" s="1181">
        <v>1969638</v>
      </c>
      <c r="AJ1197" s="176"/>
      <c r="AK1197" s="176"/>
      <c r="AL1197" s="176"/>
      <c r="AM1197" s="176"/>
      <c r="AN1197" s="176"/>
      <c r="AO1197" s="176"/>
      <c r="AP1197" s="176"/>
    </row>
    <row r="1198" spans="1:42" s="392" customFormat="1" ht="14.25" customHeight="1">
      <c r="A1198" s="1693">
        <v>1</v>
      </c>
      <c r="B1198" s="616">
        <v>1</v>
      </c>
      <c r="C1198" s="1693">
        <v>1</v>
      </c>
      <c r="D1198" s="616">
        <v>1</v>
      </c>
      <c r="E1198" s="1693">
        <v>1</v>
      </c>
      <c r="F1198" s="616">
        <v>1</v>
      </c>
      <c r="G1198" s="1693">
        <v>1181</v>
      </c>
      <c r="H1198" s="616">
        <v>1</v>
      </c>
      <c r="I1198" s="616"/>
      <c r="J1198" s="709" t="s">
        <v>512</v>
      </c>
      <c r="K1198" s="69"/>
      <c r="L1198" s="391"/>
      <c r="M1198" s="238"/>
      <c r="O1198" s="466"/>
      <c r="P1198" s="283"/>
      <c r="Q1198" s="459" t="s">
        <v>262</v>
      </c>
      <c r="R1198" s="459"/>
      <c r="S1198" s="462"/>
      <c r="T1198" s="462"/>
      <c r="U1198" s="462"/>
      <c r="V1198" s="462"/>
      <c r="W1198" s="1824"/>
      <c r="X1198" s="1159">
        <v>1766513</v>
      </c>
      <c r="Y1198" s="1137">
        <v>1874368</v>
      </c>
      <c r="Z1198" s="1137">
        <v>1850422</v>
      </c>
      <c r="AA1198" s="1137">
        <v>1899244</v>
      </c>
      <c r="AB1198" s="1137">
        <v>1894921</v>
      </c>
      <c r="AC1198" s="1137">
        <v>1876637</v>
      </c>
      <c r="AD1198" s="1137">
        <v>1894504</v>
      </c>
      <c r="AE1198" s="1137">
        <v>1934860</v>
      </c>
      <c r="AF1198" s="1137">
        <v>1920119</v>
      </c>
      <c r="AG1198" s="1137">
        <v>1948136</v>
      </c>
      <c r="AH1198" s="1137">
        <v>1957592</v>
      </c>
      <c r="AI1198" s="1138">
        <v>1883308</v>
      </c>
      <c r="AJ1198" s="176"/>
      <c r="AK1198" s="176"/>
      <c r="AL1198" s="176"/>
      <c r="AM1198" s="176"/>
      <c r="AN1198" s="176"/>
      <c r="AO1198" s="176"/>
      <c r="AP1198" s="176"/>
    </row>
    <row r="1199" spans="1:42" s="392" customFormat="1" ht="14.5">
      <c r="A1199" s="1693">
        <v>1</v>
      </c>
      <c r="B1199" s="616">
        <v>1</v>
      </c>
      <c r="C1199" s="1693">
        <v>1</v>
      </c>
      <c r="D1199" s="616">
        <v>1</v>
      </c>
      <c r="E1199" s="1693">
        <v>1</v>
      </c>
      <c r="F1199" s="616">
        <v>1</v>
      </c>
      <c r="G1199" s="1693">
        <v>1182</v>
      </c>
      <c r="H1199" s="616">
        <v>1</v>
      </c>
      <c r="I1199" s="616"/>
      <c r="J1199" s="709" t="s">
        <v>512</v>
      </c>
      <c r="K1199" s="69"/>
      <c r="L1199" s="1571"/>
      <c r="M1199" s="236"/>
      <c r="O1199" s="467"/>
      <c r="P1199" s="457"/>
      <c r="Q1199" s="211" t="s">
        <v>2</v>
      </c>
      <c r="R1199" s="211"/>
      <c r="S1199" s="308"/>
      <c r="T1199" s="308"/>
      <c r="U1199" s="308"/>
      <c r="V1199" s="308"/>
      <c r="W1199" s="1824"/>
      <c r="X1199" s="1171">
        <v>80975</v>
      </c>
      <c r="Y1199" s="1139">
        <v>85920</v>
      </c>
      <c r="Z1199" s="1139">
        <v>84822</v>
      </c>
      <c r="AA1199" s="1139">
        <v>87060</v>
      </c>
      <c r="AB1199" s="1139">
        <v>86861</v>
      </c>
      <c r="AC1199" s="1139">
        <v>86023</v>
      </c>
      <c r="AD1199" s="1139">
        <v>86842</v>
      </c>
      <c r="AE1199" s="1139">
        <v>88692</v>
      </c>
      <c r="AF1199" s="1139">
        <v>88016</v>
      </c>
      <c r="AG1199" s="1139">
        <v>89302</v>
      </c>
      <c r="AH1199" s="1139">
        <v>89735</v>
      </c>
      <c r="AI1199" s="1140">
        <v>86330</v>
      </c>
      <c r="AJ1199" s="176"/>
      <c r="AK1199" s="176"/>
      <c r="AL1199" s="176"/>
      <c r="AM1199" s="176"/>
      <c r="AN1199" s="176"/>
      <c r="AO1199" s="176"/>
      <c r="AP1199" s="176"/>
    </row>
    <row r="1200" spans="1:42" s="392" customFormat="1" ht="14.5">
      <c r="A1200" s="1693">
        <v>1</v>
      </c>
      <c r="B1200" s="616">
        <v>1</v>
      </c>
      <c r="C1200" s="1693">
        <v>1</v>
      </c>
      <c r="D1200" s="616">
        <v>1</v>
      </c>
      <c r="E1200" s="1693">
        <v>1</v>
      </c>
      <c r="F1200" s="616">
        <v>1</v>
      </c>
      <c r="G1200" s="1693">
        <v>1183</v>
      </c>
      <c r="H1200" s="616">
        <v>1</v>
      </c>
      <c r="I1200" s="616"/>
      <c r="J1200" s="709" t="s">
        <v>512</v>
      </c>
      <c r="K1200" s="69"/>
      <c r="M1200" s="1234"/>
      <c r="O1200" s="8"/>
      <c r="P1200" s="8"/>
      <c r="R1200" s="175"/>
      <c r="S1200" s="173"/>
      <c r="T1200" s="8"/>
      <c r="V1200" s="175" t="s">
        <v>1147</v>
      </c>
      <c r="W1200" s="1772"/>
      <c r="X1200" s="1641" t="s">
        <v>907</v>
      </c>
      <c r="Y1200" s="1642" t="s">
        <v>907</v>
      </c>
      <c r="Z1200" s="1642" t="s">
        <v>907</v>
      </c>
      <c r="AA1200" s="1642" t="s">
        <v>907</v>
      </c>
      <c r="AB1200" s="1642" t="s">
        <v>907</v>
      </c>
      <c r="AC1200" s="1642" t="s">
        <v>907</v>
      </c>
      <c r="AD1200" s="1642" t="s">
        <v>907</v>
      </c>
      <c r="AE1200" s="1642" t="s">
        <v>907</v>
      </c>
      <c r="AF1200" s="1642" t="s">
        <v>907</v>
      </c>
      <c r="AG1200" s="1642" t="s">
        <v>907</v>
      </c>
      <c r="AH1200" s="1642" t="s">
        <v>907</v>
      </c>
      <c r="AI1200" s="1642" t="s">
        <v>907</v>
      </c>
      <c r="AJ1200" s="174"/>
      <c r="AK1200" s="174"/>
      <c r="AL1200" s="174"/>
      <c r="AM1200" s="174"/>
      <c r="AN1200" s="174"/>
    </row>
    <row r="1201" spans="1:42" s="522" customFormat="1" ht="14.5" outlineLevel="1">
      <c r="A1201" s="1693">
        <v>1</v>
      </c>
      <c r="B1201" s="616">
        <v>1</v>
      </c>
      <c r="C1201" s="1693">
        <v>1</v>
      </c>
      <c r="D1201" s="616">
        <v>1</v>
      </c>
      <c r="E1201" s="1693">
        <v>1</v>
      </c>
      <c r="F1201" s="616">
        <v>1</v>
      </c>
      <c r="G1201" s="1693">
        <v>1184</v>
      </c>
      <c r="H1201" s="616">
        <v>1</v>
      </c>
      <c r="I1201" s="616"/>
      <c r="J1201" s="709" t="s">
        <v>512</v>
      </c>
      <c r="K1201" s="69"/>
      <c r="O1201" s="521" t="s">
        <v>948</v>
      </c>
      <c r="P1201" s="520"/>
      <c r="Q1201" s="520"/>
      <c r="R1201" s="520"/>
      <c r="S1201" s="520"/>
      <c r="T1201" s="520"/>
      <c r="U1201" s="520"/>
      <c r="V1201" s="520"/>
      <c r="W1201" s="1837"/>
      <c r="X1201" s="1645"/>
    </row>
    <row r="1202" spans="1:42" s="524" customFormat="1" ht="14.25" customHeight="1" outlineLevel="1">
      <c r="A1202" s="1693">
        <v>1</v>
      </c>
      <c r="B1202" s="616">
        <v>1</v>
      </c>
      <c r="C1202" s="1693">
        <v>1</v>
      </c>
      <c r="D1202" s="616">
        <v>1</v>
      </c>
      <c r="E1202" s="1693">
        <v>1</v>
      </c>
      <c r="F1202" s="616">
        <v>1</v>
      </c>
      <c r="G1202" s="1693">
        <v>1185</v>
      </c>
      <c r="H1202" s="616">
        <v>1</v>
      </c>
      <c r="I1202" s="616"/>
      <c r="J1202" s="709" t="s">
        <v>512</v>
      </c>
      <c r="K1202" s="69"/>
      <c r="O1202" s="544"/>
      <c r="P1202" s="523" t="s">
        <v>1148</v>
      </c>
      <c r="Q1202" s="523"/>
      <c r="R1202" s="523"/>
      <c r="S1202" s="523"/>
      <c r="T1202" s="523"/>
      <c r="U1202" s="523"/>
      <c r="V1202" s="523"/>
      <c r="W1202" s="1899"/>
      <c r="X1202" s="2348">
        <v>637024.03001349652</v>
      </c>
      <c r="Y1202" s="2349">
        <v>638226.99990837718</v>
      </c>
      <c r="Z1202" s="2349">
        <v>649479.33968614228</v>
      </c>
      <c r="AA1202" s="2349">
        <v>651512.57061527122</v>
      </c>
      <c r="AB1202" s="2349">
        <v>665335.41925102391</v>
      </c>
      <c r="AC1202" s="2349">
        <v>676675.50835083704</v>
      </c>
      <c r="AD1202" s="2349">
        <v>648626.20762397686</v>
      </c>
      <c r="AE1202" s="2349">
        <v>660809.94818640198</v>
      </c>
      <c r="AF1202" s="2349">
        <v>681227.38435436576</v>
      </c>
      <c r="AG1202" s="2349">
        <v>661029.86568871432</v>
      </c>
      <c r="AH1202" s="2349">
        <v>679296.64363850292</v>
      </c>
      <c r="AI1202" s="2350">
        <v>675502.42510266427</v>
      </c>
    </row>
    <row r="1203" spans="1:42" s="524" customFormat="1" ht="14.5" outlineLevel="1">
      <c r="A1203" s="1693">
        <v>1</v>
      </c>
      <c r="B1203" s="616">
        <v>1</v>
      </c>
      <c r="C1203" s="1693">
        <v>1</v>
      </c>
      <c r="D1203" s="616">
        <v>1</v>
      </c>
      <c r="E1203" s="1693">
        <v>1</v>
      </c>
      <c r="F1203" s="616">
        <v>1</v>
      </c>
      <c r="G1203" s="1693">
        <v>1186</v>
      </c>
      <c r="H1203" s="616">
        <v>1</v>
      </c>
      <c r="I1203" s="616"/>
      <c r="J1203" s="709" t="s">
        <v>512</v>
      </c>
      <c r="K1203" s="69"/>
      <c r="O1203" s="525"/>
      <c r="P1203" s="526" t="s">
        <v>1149</v>
      </c>
      <c r="Q1203" s="526"/>
      <c r="R1203" s="526"/>
      <c r="S1203" s="526"/>
      <c r="T1203" s="526"/>
      <c r="U1203" s="526"/>
      <c r="V1203" s="526"/>
      <c r="W1203" s="1899"/>
      <c r="X1203" s="2351">
        <v>1587909.7270823829</v>
      </c>
      <c r="Y1203" s="2352">
        <v>1661079.5639284528</v>
      </c>
      <c r="Z1203" s="2352">
        <v>1651822.4619661523</v>
      </c>
      <c r="AA1203" s="2352">
        <v>1675221.8555561583</v>
      </c>
      <c r="AB1203" s="2352">
        <v>1682156.856402531</v>
      </c>
      <c r="AC1203" s="2352">
        <v>1678231.2622931332</v>
      </c>
      <c r="AD1203" s="2352">
        <v>1690532.4853538389</v>
      </c>
      <c r="AE1203" s="2352">
        <v>1714829.2881078068</v>
      </c>
      <c r="AF1203" s="2352">
        <v>1732202.475749413</v>
      </c>
      <c r="AG1203" s="2352">
        <v>1731881.0018097165</v>
      </c>
      <c r="AH1203" s="2352">
        <v>1751876.7339150207</v>
      </c>
      <c r="AI1203" s="2353">
        <v>1708127.526867043</v>
      </c>
    </row>
    <row r="1204" spans="1:42" s="524" customFormat="1" ht="14.25" customHeight="1" outlineLevel="1">
      <c r="A1204" s="1693">
        <v>1</v>
      </c>
      <c r="B1204" s="616">
        <v>1</v>
      </c>
      <c r="C1204" s="1693">
        <v>1</v>
      </c>
      <c r="D1204" s="616">
        <v>1</v>
      </c>
      <c r="E1204" s="1693">
        <v>1</v>
      </c>
      <c r="F1204" s="616">
        <v>1</v>
      </c>
      <c r="G1204" s="1693">
        <v>1187</v>
      </c>
      <c r="H1204" s="616">
        <v>1</v>
      </c>
      <c r="I1204" s="616"/>
      <c r="J1204" s="709" t="s">
        <v>512</v>
      </c>
      <c r="K1204" s="69"/>
      <c r="O1204" s="525"/>
      <c r="P1204" s="526" t="s">
        <v>1150</v>
      </c>
      <c r="Q1204" s="526"/>
      <c r="R1204" s="526"/>
      <c r="S1204" s="526"/>
      <c r="T1204" s="526"/>
      <c r="U1204" s="526"/>
      <c r="V1204" s="526"/>
      <c r="W1204" s="1899"/>
      <c r="X1204" s="2351">
        <v>172166.266</v>
      </c>
      <c r="Y1204" s="2352">
        <v>103525</v>
      </c>
      <c r="Z1204" s="2352">
        <v>115800.649</v>
      </c>
      <c r="AA1204" s="2352">
        <v>113974.06599999999</v>
      </c>
      <c r="AB1204" s="2352">
        <v>139435.4</v>
      </c>
      <c r="AC1204" s="2352">
        <v>117644.849</v>
      </c>
      <c r="AD1204" s="2352">
        <v>124714.4</v>
      </c>
      <c r="AE1204" s="2352">
        <v>116159.06599999999</v>
      </c>
      <c r="AF1204" s="2352">
        <v>115909.86599999999</v>
      </c>
      <c r="AG1204" s="2352">
        <v>131799.62747000001</v>
      </c>
      <c r="AH1204" s="2352">
        <v>121441.649</v>
      </c>
      <c r="AI1204" s="2353">
        <v>133693.46600000001</v>
      </c>
    </row>
    <row r="1205" spans="1:42" s="524" customFormat="1" ht="14.5" outlineLevel="1">
      <c r="A1205" s="1693">
        <v>1</v>
      </c>
      <c r="B1205" s="616">
        <v>1</v>
      </c>
      <c r="C1205" s="1693">
        <v>1</v>
      </c>
      <c r="D1205" s="616">
        <v>1</v>
      </c>
      <c r="E1205" s="1693">
        <v>1</v>
      </c>
      <c r="F1205" s="616">
        <v>1</v>
      </c>
      <c r="G1205" s="1693">
        <v>1188</v>
      </c>
      <c r="H1205" s="616">
        <v>1</v>
      </c>
      <c r="I1205" s="616"/>
      <c r="J1205" s="709" t="s">
        <v>512</v>
      </c>
      <c r="K1205" s="69"/>
      <c r="O1205" s="525"/>
      <c r="P1205" s="524" t="s">
        <v>266</v>
      </c>
      <c r="Q1205" s="526"/>
      <c r="R1205" s="526"/>
      <c r="S1205" s="526"/>
      <c r="T1205" s="526"/>
      <c r="U1205" s="526"/>
      <c r="V1205" s="526"/>
      <c r="W1205" s="1899"/>
      <c r="X1205" s="2351">
        <v>2000</v>
      </c>
      <c r="Y1205" s="2352">
        <v>2000</v>
      </c>
      <c r="Z1205" s="2352">
        <v>2000</v>
      </c>
      <c r="AA1205" s="2352">
        <v>2000</v>
      </c>
      <c r="AB1205" s="2352">
        <v>2000</v>
      </c>
      <c r="AC1205" s="2352">
        <v>2000</v>
      </c>
      <c r="AD1205" s="2352">
        <v>2000</v>
      </c>
      <c r="AE1205" s="2352">
        <v>2000</v>
      </c>
      <c r="AF1205" s="2352">
        <v>2000</v>
      </c>
      <c r="AG1205" s="2352">
        <v>2000</v>
      </c>
      <c r="AH1205" s="2352">
        <v>2000</v>
      </c>
      <c r="AI1205" s="2353">
        <v>2000</v>
      </c>
    </row>
    <row r="1206" spans="1:42" s="524" customFormat="1" ht="14.5" outlineLevel="1">
      <c r="A1206" s="1693">
        <v>1</v>
      </c>
      <c r="B1206" s="616">
        <v>1</v>
      </c>
      <c r="C1206" s="1693">
        <v>1</v>
      </c>
      <c r="D1206" s="616">
        <v>1</v>
      </c>
      <c r="E1206" s="1693">
        <v>1</v>
      </c>
      <c r="F1206" s="616">
        <v>1</v>
      </c>
      <c r="G1206" s="1693">
        <v>1189</v>
      </c>
      <c r="H1206" s="616">
        <v>1</v>
      </c>
      <c r="I1206" s="616"/>
      <c r="J1206" s="709" t="s">
        <v>512</v>
      </c>
      <c r="K1206" s="69"/>
      <c r="O1206" s="527"/>
      <c r="P1206" s="528"/>
      <c r="Q1206" s="529" t="s">
        <v>1151</v>
      </c>
      <c r="R1206" s="529"/>
      <c r="S1206" s="530"/>
      <c r="T1206" s="530"/>
      <c r="U1206" s="530"/>
      <c r="V1206" s="530"/>
      <c r="W1206" s="1899"/>
      <c r="X1206" s="2354">
        <v>0</v>
      </c>
      <c r="Y1206" s="2355">
        <v>0</v>
      </c>
      <c r="Z1206" s="2355">
        <v>0</v>
      </c>
      <c r="AA1206" s="2355">
        <v>0</v>
      </c>
      <c r="AB1206" s="2355">
        <v>0</v>
      </c>
      <c r="AC1206" s="2355">
        <v>0</v>
      </c>
      <c r="AD1206" s="2355">
        <v>0</v>
      </c>
      <c r="AE1206" s="2355">
        <v>0</v>
      </c>
      <c r="AF1206" s="2355">
        <v>0</v>
      </c>
      <c r="AG1206" s="2355">
        <v>0</v>
      </c>
      <c r="AH1206" s="2355">
        <v>0</v>
      </c>
      <c r="AI1206" s="2356">
        <v>0</v>
      </c>
    </row>
    <row r="1207" spans="1:42" s="524" customFormat="1" ht="14.25" customHeight="1" outlineLevel="1">
      <c r="A1207" s="1693">
        <v>1</v>
      </c>
      <c r="B1207" s="616">
        <v>1</v>
      </c>
      <c r="C1207" s="1693">
        <v>1</v>
      </c>
      <c r="D1207" s="616">
        <v>1</v>
      </c>
      <c r="E1207" s="1693">
        <v>1</v>
      </c>
      <c r="F1207" s="616">
        <v>1</v>
      </c>
      <c r="G1207" s="1693">
        <v>1190</v>
      </c>
      <c r="H1207" s="616">
        <v>1</v>
      </c>
      <c r="I1207" s="616"/>
      <c r="J1207" s="709" t="s">
        <v>512</v>
      </c>
      <c r="K1207" s="69"/>
      <c r="O1207" s="2357" t="s">
        <v>947</v>
      </c>
      <c r="P1207" s="2358"/>
      <c r="Q1207" s="2358"/>
      <c r="R1207" s="2358"/>
      <c r="S1207" s="2358"/>
      <c r="T1207" s="2358"/>
      <c r="U1207" s="2358"/>
      <c r="V1207" s="2358"/>
      <c r="W1207" s="1899"/>
      <c r="X1207" s="2359">
        <v>2399100.0230958792</v>
      </c>
      <c r="Y1207" s="2360">
        <v>2404831.5638368297</v>
      </c>
      <c r="Z1207" s="2360">
        <v>2419102.4506522948</v>
      </c>
      <c r="AA1207" s="2360">
        <v>2442708.4921714296</v>
      </c>
      <c r="AB1207" s="2360">
        <v>2488927.675653555</v>
      </c>
      <c r="AC1207" s="2360">
        <v>2474551.6196439699</v>
      </c>
      <c r="AD1207" s="2360">
        <v>2465873.0929778158</v>
      </c>
      <c r="AE1207" s="2360">
        <v>2493798.3022942091</v>
      </c>
      <c r="AF1207" s="2360">
        <v>2531339.7261037785</v>
      </c>
      <c r="AG1207" s="2360">
        <v>2526710.4949684311</v>
      </c>
      <c r="AH1207" s="2360">
        <v>2554615.0265535237</v>
      </c>
      <c r="AI1207" s="2361">
        <v>2519323.4179697074</v>
      </c>
    </row>
    <row r="1208" spans="1:42" s="519" customFormat="1" ht="14.5" outlineLevel="1">
      <c r="A1208" s="1693">
        <v>1</v>
      </c>
      <c r="B1208" s="616">
        <v>1</v>
      </c>
      <c r="C1208" s="1693">
        <v>1</v>
      </c>
      <c r="D1208" s="616">
        <v>1</v>
      </c>
      <c r="E1208" s="1693">
        <v>1</v>
      </c>
      <c r="F1208" s="616">
        <v>1</v>
      </c>
      <c r="G1208" s="1693">
        <v>1191</v>
      </c>
      <c r="H1208" s="616">
        <v>1</v>
      </c>
      <c r="I1208" s="616"/>
      <c r="J1208" s="709" t="s">
        <v>512</v>
      </c>
      <c r="K1208" s="69"/>
      <c r="O1208" s="518"/>
      <c r="P1208" s="518"/>
      <c r="Q1208" s="518" t="s">
        <v>1152</v>
      </c>
      <c r="R1208" s="518"/>
      <c r="S1208" s="518"/>
      <c r="T1208" s="518"/>
      <c r="U1208" s="518"/>
      <c r="V1208" s="518"/>
      <c r="W1208" s="1899"/>
      <c r="X1208" s="2362">
        <v>0</v>
      </c>
      <c r="Y1208" s="2363">
        <v>0</v>
      </c>
      <c r="Z1208" s="2363">
        <v>0</v>
      </c>
      <c r="AA1208" s="2363">
        <v>0</v>
      </c>
      <c r="AB1208" s="2363">
        <v>0</v>
      </c>
      <c r="AC1208" s="2363">
        <v>0</v>
      </c>
      <c r="AD1208" s="2363">
        <v>0</v>
      </c>
      <c r="AE1208" s="2363">
        <v>0</v>
      </c>
      <c r="AF1208" s="2363">
        <v>0</v>
      </c>
      <c r="AG1208" s="2363">
        <v>0</v>
      </c>
      <c r="AH1208" s="2363">
        <v>0</v>
      </c>
      <c r="AI1208" s="2363">
        <v>0</v>
      </c>
    </row>
    <row r="1209" spans="1:42" s="517" customFormat="1" ht="14.25" customHeight="1">
      <c r="A1209" s="1693">
        <v>1</v>
      </c>
      <c r="B1209" s="616">
        <v>1</v>
      </c>
      <c r="C1209" s="1693">
        <v>1</v>
      </c>
      <c r="D1209" s="616">
        <v>1</v>
      </c>
      <c r="E1209" s="1693">
        <v>1</v>
      </c>
      <c r="F1209" s="616">
        <v>1</v>
      </c>
      <c r="G1209" s="1693">
        <v>1192</v>
      </c>
      <c r="H1209" s="616">
        <v>1</v>
      </c>
      <c r="I1209" s="616"/>
      <c r="J1209" s="709" t="s">
        <v>512</v>
      </c>
      <c r="K1209" s="69"/>
      <c r="L1209" s="519"/>
      <c r="M1209" s="242"/>
      <c r="N1209" s="22"/>
      <c r="O1209" s="9"/>
      <c r="P1209" s="516"/>
      <c r="Q1209" s="516"/>
      <c r="R1209" s="516"/>
      <c r="S1209" s="516"/>
      <c r="T1209" s="516"/>
      <c r="U1209" s="516"/>
      <c r="V1209" s="516"/>
      <c r="W1209" s="2364"/>
      <c r="X1209" s="2365"/>
      <c r="Y1209" s="2365"/>
      <c r="Z1209" s="2365"/>
      <c r="AA1209" s="2365"/>
      <c r="AB1209" s="2365"/>
      <c r="AC1209" s="2365"/>
      <c r="AD1209" s="2365"/>
      <c r="AE1209" s="2365"/>
      <c r="AF1209" s="2365"/>
      <c r="AG1209" s="2365"/>
      <c r="AH1209" s="2365"/>
      <c r="AI1209" s="2365"/>
    </row>
    <row r="1210" spans="1:42" s="517" customFormat="1" ht="14.25" customHeight="1">
      <c r="A1210" s="1693">
        <v>1</v>
      </c>
      <c r="B1210" s="616">
        <v>1</v>
      </c>
      <c r="C1210" s="1693">
        <v>1</v>
      </c>
      <c r="D1210" s="616">
        <v>1</v>
      </c>
      <c r="E1210" s="1693">
        <v>1</v>
      </c>
      <c r="F1210" s="616">
        <v>1</v>
      </c>
      <c r="G1210" s="1693">
        <v>1193</v>
      </c>
      <c r="H1210" s="616">
        <v>1</v>
      </c>
      <c r="I1210" s="616"/>
      <c r="J1210" s="1069"/>
      <c r="K1210" s="1069"/>
      <c r="L1210" s="242" t="s">
        <v>949</v>
      </c>
      <c r="M1210" s="242"/>
      <c r="N1210" s="22"/>
      <c r="O1210" s="9"/>
      <c r="P1210" s="516"/>
      <c r="Q1210" s="516"/>
      <c r="R1210" s="516"/>
      <c r="S1210" s="516"/>
      <c r="T1210" s="516"/>
      <c r="U1210" s="516"/>
      <c r="V1210" s="516"/>
      <c r="W1210" s="2364"/>
    </row>
    <row r="1211" spans="1:42" s="517" customFormat="1" ht="14.25" customHeight="1">
      <c r="A1211" s="1693">
        <v>1</v>
      </c>
      <c r="B1211" s="616">
        <v>1</v>
      </c>
      <c r="C1211" s="1693">
        <v>1</v>
      </c>
      <c r="D1211" s="616">
        <v>1</v>
      </c>
      <c r="E1211" s="1693">
        <v>1</v>
      </c>
      <c r="F1211" s="616">
        <v>1</v>
      </c>
      <c r="G1211" s="1693">
        <v>1194</v>
      </c>
      <c r="H1211" s="616">
        <v>1</v>
      </c>
      <c r="I1211" s="616"/>
      <c r="J1211" s="1069"/>
      <c r="K1211" s="1069"/>
      <c r="L1211" s="519"/>
      <c r="M1211" s="22"/>
      <c r="N1211" s="22"/>
      <c r="O1211" s="831" t="s">
        <v>950</v>
      </c>
      <c r="P1211" s="181"/>
      <c r="Q1211" s="180"/>
      <c r="R1211" s="180"/>
      <c r="S1211" s="180"/>
      <c r="T1211" s="179"/>
      <c r="U1211" s="179"/>
      <c r="V1211" s="179"/>
      <c r="W1211" s="1837"/>
      <c r="X1211" s="1660"/>
      <c r="AI1211" s="834"/>
      <c r="AJ1211" s="834"/>
    </row>
    <row r="1212" spans="1:42" s="517" customFormat="1" ht="14.25" customHeight="1">
      <c r="A1212" s="1693">
        <v>1</v>
      </c>
      <c r="B1212" s="616">
        <v>1</v>
      </c>
      <c r="C1212" s="1693">
        <v>1</v>
      </c>
      <c r="D1212" s="616">
        <v>1</v>
      </c>
      <c r="E1212" s="1693">
        <v>1</v>
      </c>
      <c r="F1212" s="616">
        <v>1</v>
      </c>
      <c r="G1212" s="1693">
        <v>1195</v>
      </c>
      <c r="H1212" s="616">
        <v>1</v>
      </c>
      <c r="I1212" s="616"/>
      <c r="J1212" s="1069"/>
      <c r="K1212" s="1069"/>
      <c r="L1212" s="519"/>
      <c r="O1212" s="2366"/>
      <c r="P1212" s="2367"/>
      <c r="Q1212" s="2367"/>
      <c r="R1212" s="2367"/>
      <c r="S1212" s="2367"/>
      <c r="T1212" s="2368"/>
      <c r="U1212" s="2368"/>
      <c r="V1212" s="2368"/>
      <c r="W1212" s="1838"/>
      <c r="X1212" s="1182">
        <v>45017</v>
      </c>
      <c r="Y1212" s="2369">
        <v>45047</v>
      </c>
      <c r="Z1212" s="2369">
        <v>45078</v>
      </c>
      <c r="AA1212" s="2369">
        <v>45108</v>
      </c>
      <c r="AB1212" s="2369">
        <v>45139</v>
      </c>
      <c r="AC1212" s="2369">
        <v>45170</v>
      </c>
      <c r="AD1212" s="2369">
        <v>45200</v>
      </c>
      <c r="AE1212" s="2369">
        <v>45231</v>
      </c>
      <c r="AF1212" s="2369">
        <v>45261</v>
      </c>
      <c r="AG1212" s="2369">
        <v>45292</v>
      </c>
      <c r="AH1212" s="2369">
        <v>45323</v>
      </c>
      <c r="AI1212" s="2369">
        <v>45352</v>
      </c>
      <c r="AJ1212" s="2370" t="s">
        <v>904</v>
      </c>
      <c r="AK1212" s="2371" t="s">
        <v>36</v>
      </c>
      <c r="AL1212" s="2371" t="s">
        <v>35</v>
      </c>
      <c r="AM1212" s="2371" t="s">
        <v>34</v>
      </c>
      <c r="AN1212" s="2371" t="s">
        <v>33</v>
      </c>
      <c r="AO1212" s="2371" t="s">
        <v>32</v>
      </c>
      <c r="AP1212" s="2371" t="s">
        <v>905</v>
      </c>
    </row>
    <row r="1213" spans="1:42" s="517" customFormat="1" ht="14.25" customHeight="1">
      <c r="A1213" s="1693">
        <v>1</v>
      </c>
      <c r="B1213" s="616">
        <v>1</v>
      </c>
      <c r="C1213" s="1693">
        <v>1</v>
      </c>
      <c r="D1213" s="616">
        <v>1</v>
      </c>
      <c r="E1213" s="1693">
        <v>1</v>
      </c>
      <c r="F1213" s="616">
        <v>1</v>
      </c>
      <c r="G1213" s="1693">
        <v>1196</v>
      </c>
      <c r="H1213" s="616">
        <v>1</v>
      </c>
      <c r="I1213" s="616"/>
      <c r="J1213" s="1069"/>
      <c r="K1213" s="1069"/>
      <c r="L1213" s="519"/>
      <c r="O1213" s="837" t="s">
        <v>1153</v>
      </c>
      <c r="P1213" s="833"/>
      <c r="Q1213" s="833"/>
      <c r="R1213" s="833"/>
      <c r="S1213" s="833"/>
      <c r="T1213" s="2372" t="s">
        <v>1154</v>
      </c>
      <c r="U1213" s="2373"/>
      <c r="V1213" s="2373"/>
      <c r="W1213" s="1920"/>
      <c r="X1213" s="2374"/>
      <c r="Y1213" s="2375"/>
      <c r="Z1213" s="2375"/>
      <c r="AA1213" s="2376"/>
      <c r="AB1213" s="2376"/>
      <c r="AC1213" s="2376"/>
      <c r="AD1213" s="2376"/>
      <c r="AE1213" s="2376"/>
      <c r="AF1213" s="2376"/>
      <c r="AG1213" s="2376"/>
      <c r="AH1213" s="2376"/>
      <c r="AI1213" s="2376"/>
      <c r="AJ1213" s="2377">
        <v>0</v>
      </c>
      <c r="AK1213" s="2378">
        <v>0</v>
      </c>
      <c r="AL1213" s="2378">
        <v>0</v>
      </c>
      <c r="AM1213" s="2378">
        <v>0</v>
      </c>
      <c r="AN1213" s="2378">
        <v>0</v>
      </c>
      <c r="AO1213" s="2378">
        <v>0</v>
      </c>
      <c r="AP1213" s="2379">
        <v>0</v>
      </c>
    </row>
    <row r="1214" spans="1:42" s="517" customFormat="1" ht="14.25" customHeight="1">
      <c r="A1214" s="1693">
        <v>1</v>
      </c>
      <c r="B1214" s="616">
        <v>1</v>
      </c>
      <c r="C1214" s="1693">
        <v>1</v>
      </c>
      <c r="D1214" s="616">
        <v>1</v>
      </c>
      <c r="E1214" s="1693">
        <v>1</v>
      </c>
      <c r="F1214" s="616">
        <v>1</v>
      </c>
      <c r="G1214" s="1693">
        <v>1197</v>
      </c>
      <c r="H1214" s="616">
        <v>1</v>
      </c>
      <c r="I1214" s="616"/>
      <c r="J1214" s="1069"/>
      <c r="K1214" s="1069"/>
      <c r="L1214" s="519"/>
      <c r="O1214" s="840"/>
      <c r="T1214" s="837" t="s">
        <v>926</v>
      </c>
      <c r="U1214" s="841" t="s">
        <v>1142</v>
      </c>
      <c r="V1214" s="841" t="s">
        <v>1155</v>
      </c>
      <c r="W1214" s="1920"/>
      <c r="X1214" s="2380"/>
      <c r="Y1214" s="2381"/>
      <c r="Z1214" s="2381"/>
      <c r="AA1214" s="2381"/>
      <c r="AB1214" s="2381"/>
      <c r="AC1214" s="2381"/>
      <c r="AD1214" s="2381"/>
      <c r="AE1214" s="2381"/>
      <c r="AF1214" s="2381"/>
      <c r="AG1214" s="2381"/>
      <c r="AH1214" s="2381"/>
      <c r="AI1214" s="2381"/>
      <c r="AJ1214" s="2382">
        <v>0</v>
      </c>
      <c r="AK1214" s="2383">
        <v>0</v>
      </c>
      <c r="AL1214" s="2383">
        <v>0</v>
      </c>
      <c r="AM1214" s="2383">
        <v>0</v>
      </c>
      <c r="AN1214" s="2383">
        <v>0</v>
      </c>
      <c r="AO1214" s="2383">
        <v>0</v>
      </c>
      <c r="AP1214" s="2384">
        <v>0</v>
      </c>
    </row>
    <row r="1215" spans="1:42" s="517" customFormat="1" ht="14.25" customHeight="1">
      <c r="A1215" s="1693">
        <v>1</v>
      </c>
      <c r="B1215" s="616">
        <v>1</v>
      </c>
      <c r="C1215" s="1693">
        <v>1</v>
      </c>
      <c r="D1215" s="616">
        <v>1</v>
      </c>
      <c r="E1215" s="1693">
        <v>1</v>
      </c>
      <c r="F1215" s="616">
        <v>1</v>
      </c>
      <c r="G1215" s="1693">
        <v>1198</v>
      </c>
      <c r="H1215" s="616">
        <v>1</v>
      </c>
      <c r="I1215" s="616"/>
      <c r="J1215" s="1069"/>
      <c r="K1215" s="1069"/>
      <c r="L1215" s="519"/>
      <c r="O1215" s="936" t="s">
        <v>1156</v>
      </c>
      <c r="T1215" s="840"/>
      <c r="U1215" s="842"/>
      <c r="V1215" s="842" t="s">
        <v>1157</v>
      </c>
      <c r="W1215" s="1920"/>
      <c r="X1215" s="2380"/>
      <c r="Y1215" s="2381"/>
      <c r="Z1215" s="2381"/>
      <c r="AA1215" s="2381"/>
      <c r="AB1215" s="2381"/>
      <c r="AC1215" s="2381"/>
      <c r="AD1215" s="2381"/>
      <c r="AE1215" s="2381"/>
      <c r="AF1215" s="2381"/>
      <c r="AG1215" s="2381"/>
      <c r="AH1215" s="2381"/>
      <c r="AI1215" s="2381"/>
      <c r="AJ1215" s="2382">
        <v>0</v>
      </c>
      <c r="AK1215" s="2383">
        <v>0</v>
      </c>
      <c r="AL1215" s="2383">
        <v>0</v>
      </c>
      <c r="AM1215" s="2383">
        <v>0</v>
      </c>
      <c r="AN1215" s="2383">
        <v>0</v>
      </c>
      <c r="AO1215" s="2383">
        <v>0</v>
      </c>
      <c r="AP1215" s="2384">
        <v>0</v>
      </c>
    </row>
    <row r="1216" spans="1:42" s="517" customFormat="1" ht="14.25" customHeight="1">
      <c r="A1216" s="1693">
        <v>1</v>
      </c>
      <c r="B1216" s="616">
        <v>1</v>
      </c>
      <c r="C1216" s="1693">
        <v>1</v>
      </c>
      <c r="D1216" s="616">
        <v>1</v>
      </c>
      <c r="E1216" s="1693">
        <v>1</v>
      </c>
      <c r="F1216" s="616">
        <v>1</v>
      </c>
      <c r="G1216" s="1693">
        <v>1199</v>
      </c>
      <c r="H1216" s="616">
        <v>1</v>
      </c>
      <c r="I1216" s="616"/>
      <c r="J1216" s="1069"/>
      <c r="K1216" s="1069"/>
      <c r="L1216" s="1568"/>
      <c r="O1216" s="936" t="s">
        <v>1158</v>
      </c>
      <c r="T1216" s="840"/>
      <c r="U1216" s="843"/>
      <c r="V1216" s="843" t="s">
        <v>175</v>
      </c>
      <c r="W1216" s="1920"/>
      <c r="X1216" s="2385"/>
      <c r="Y1216" s="2386"/>
      <c r="Z1216" s="2386"/>
      <c r="AA1216" s="2386"/>
      <c r="AB1216" s="2386"/>
      <c r="AC1216" s="2386"/>
      <c r="AD1216" s="2386"/>
      <c r="AE1216" s="2386"/>
      <c r="AF1216" s="2386"/>
      <c r="AG1216" s="2386"/>
      <c r="AH1216" s="2386"/>
      <c r="AI1216" s="2386"/>
      <c r="AJ1216" s="2387">
        <v>0</v>
      </c>
      <c r="AK1216" s="2388">
        <v>0</v>
      </c>
      <c r="AL1216" s="2388">
        <v>0</v>
      </c>
      <c r="AM1216" s="2388">
        <v>0</v>
      </c>
      <c r="AN1216" s="2388">
        <v>0</v>
      </c>
      <c r="AO1216" s="2388">
        <v>0</v>
      </c>
      <c r="AP1216" s="2389">
        <v>0</v>
      </c>
    </row>
    <row r="1217" spans="1:42" s="517" customFormat="1" ht="14.25" customHeight="1">
      <c r="A1217" s="1693">
        <v>1</v>
      </c>
      <c r="B1217" s="616">
        <v>1</v>
      </c>
      <c r="C1217" s="1693">
        <v>1</v>
      </c>
      <c r="D1217" s="616">
        <v>1</v>
      </c>
      <c r="E1217" s="1693">
        <v>1</v>
      </c>
      <c r="F1217" s="616">
        <v>1</v>
      </c>
      <c r="G1217" s="1693">
        <v>1200</v>
      </c>
      <c r="H1217" s="616">
        <v>1</v>
      </c>
      <c r="I1217" s="616"/>
      <c r="J1217" s="1069"/>
      <c r="K1217" s="1069"/>
      <c r="L1217" s="519"/>
      <c r="O1217" s="936" t="s">
        <v>1159</v>
      </c>
      <c r="T1217" s="840"/>
      <c r="U1217" s="843" t="s">
        <v>563</v>
      </c>
      <c r="V1217" s="843"/>
      <c r="W1217" s="1920"/>
      <c r="X1217" s="2385"/>
      <c r="Y1217" s="2386"/>
      <c r="Z1217" s="2386"/>
      <c r="AA1217" s="2386"/>
      <c r="AB1217" s="2386"/>
      <c r="AC1217" s="2386"/>
      <c r="AD1217" s="2386"/>
      <c r="AE1217" s="2386"/>
      <c r="AF1217" s="2386"/>
      <c r="AG1217" s="2386"/>
      <c r="AH1217" s="2386"/>
      <c r="AI1217" s="2386"/>
      <c r="AJ1217" s="2387">
        <v>0</v>
      </c>
      <c r="AK1217" s="2388">
        <v>0</v>
      </c>
      <c r="AL1217" s="2388">
        <v>0</v>
      </c>
      <c r="AM1217" s="2388">
        <v>0</v>
      </c>
      <c r="AN1217" s="2388">
        <v>0</v>
      </c>
      <c r="AO1217" s="2388">
        <v>0</v>
      </c>
      <c r="AP1217" s="2389">
        <v>0</v>
      </c>
    </row>
    <row r="1218" spans="1:42" s="517" customFormat="1" ht="14.25" customHeight="1">
      <c r="A1218" s="1693">
        <v>1</v>
      </c>
      <c r="B1218" s="616">
        <v>1</v>
      </c>
      <c r="C1218" s="1693">
        <v>1</v>
      </c>
      <c r="D1218" s="616">
        <v>1</v>
      </c>
      <c r="E1218" s="1693">
        <v>1</v>
      </c>
      <c r="F1218" s="616">
        <v>1</v>
      </c>
      <c r="G1218" s="1693">
        <v>1201</v>
      </c>
      <c r="H1218" s="616">
        <v>1</v>
      </c>
      <c r="I1218" s="616"/>
      <c r="J1218" s="1069"/>
      <c r="K1218" s="1069"/>
      <c r="L1218" s="519"/>
      <c r="O1218" s="936"/>
      <c r="T1218" s="844"/>
      <c r="U1218" s="845" t="s">
        <v>601</v>
      </c>
      <c r="V1218" s="845"/>
      <c r="W1218" s="2298"/>
      <c r="X1218" s="2390">
        <v>0</v>
      </c>
      <c r="Y1218" s="2391">
        <v>0</v>
      </c>
      <c r="Z1218" s="2391">
        <v>0</v>
      </c>
      <c r="AA1218" s="2391">
        <v>0</v>
      </c>
      <c r="AB1218" s="2391">
        <v>0</v>
      </c>
      <c r="AC1218" s="2391">
        <v>0</v>
      </c>
      <c r="AD1218" s="2391">
        <v>0</v>
      </c>
      <c r="AE1218" s="2391">
        <v>0</v>
      </c>
      <c r="AF1218" s="2391">
        <v>0</v>
      </c>
      <c r="AG1218" s="2391">
        <v>0</v>
      </c>
      <c r="AH1218" s="2391">
        <v>0</v>
      </c>
      <c r="AI1218" s="2391">
        <v>0</v>
      </c>
      <c r="AJ1218" s="2392">
        <v>0</v>
      </c>
      <c r="AK1218" s="2393">
        <v>0</v>
      </c>
      <c r="AL1218" s="2393">
        <v>0</v>
      </c>
      <c r="AM1218" s="2393">
        <v>0</v>
      </c>
      <c r="AN1218" s="2393">
        <v>0</v>
      </c>
      <c r="AO1218" s="2393">
        <v>0</v>
      </c>
      <c r="AP1218" s="2391">
        <v>0</v>
      </c>
    </row>
    <row r="1219" spans="1:42" s="517" customFormat="1" ht="14.25" customHeight="1">
      <c r="A1219" s="1693">
        <v>1</v>
      </c>
      <c r="B1219" s="616">
        <v>1</v>
      </c>
      <c r="C1219" s="1693">
        <v>1</v>
      </c>
      <c r="D1219" s="616">
        <v>1</v>
      </c>
      <c r="E1219" s="1693">
        <v>1</v>
      </c>
      <c r="F1219" s="616">
        <v>1</v>
      </c>
      <c r="G1219" s="1693">
        <v>1202</v>
      </c>
      <c r="H1219" s="616">
        <v>1</v>
      </c>
      <c r="I1219" s="616"/>
      <c r="J1219" s="1069"/>
      <c r="K1219" s="1069"/>
      <c r="L1219" s="519"/>
      <c r="O1219" s="840"/>
      <c r="T1219" s="840" t="s">
        <v>1160</v>
      </c>
      <c r="U1219" s="842" t="s">
        <v>1142</v>
      </c>
      <c r="V1219" s="842" t="s">
        <v>1155</v>
      </c>
      <c r="W1219" s="1920"/>
      <c r="X1219" s="2380"/>
      <c r="Y1219" s="2381"/>
      <c r="Z1219" s="2381"/>
      <c r="AA1219" s="2381"/>
      <c r="AB1219" s="2381"/>
      <c r="AC1219" s="2381"/>
      <c r="AD1219" s="2381"/>
      <c r="AE1219" s="2381"/>
      <c r="AF1219" s="2381"/>
      <c r="AG1219" s="2381"/>
      <c r="AH1219" s="2381"/>
      <c r="AI1219" s="2381"/>
      <c r="AJ1219" s="2382">
        <v>0</v>
      </c>
      <c r="AK1219" s="2383">
        <v>0</v>
      </c>
      <c r="AL1219" s="2383">
        <v>0</v>
      </c>
      <c r="AM1219" s="2383">
        <v>0</v>
      </c>
      <c r="AN1219" s="2383">
        <v>0</v>
      </c>
      <c r="AO1219" s="2383">
        <v>0</v>
      </c>
      <c r="AP1219" s="2384">
        <v>0</v>
      </c>
    </row>
    <row r="1220" spans="1:42" s="517" customFormat="1" ht="14.25" customHeight="1">
      <c r="A1220" s="1693">
        <v>1</v>
      </c>
      <c r="B1220" s="616">
        <v>1</v>
      </c>
      <c r="C1220" s="1693">
        <v>1</v>
      </c>
      <c r="D1220" s="616">
        <v>1</v>
      </c>
      <c r="E1220" s="1693">
        <v>1</v>
      </c>
      <c r="F1220" s="616">
        <v>1</v>
      </c>
      <c r="G1220" s="1693">
        <v>1203</v>
      </c>
      <c r="H1220" s="616">
        <v>1</v>
      </c>
      <c r="I1220" s="616"/>
      <c r="J1220" s="1069"/>
      <c r="K1220" s="1069"/>
      <c r="L1220" s="519"/>
      <c r="O1220" s="840"/>
      <c r="T1220" s="840"/>
      <c r="U1220" s="842"/>
      <c r="V1220" s="842" t="s">
        <v>1157</v>
      </c>
      <c r="W1220" s="1920"/>
      <c r="X1220" s="2380"/>
      <c r="Y1220" s="2381"/>
      <c r="Z1220" s="2381"/>
      <c r="AA1220" s="2381"/>
      <c r="AB1220" s="2381"/>
      <c r="AC1220" s="2381"/>
      <c r="AD1220" s="2381"/>
      <c r="AE1220" s="2381"/>
      <c r="AF1220" s="2381"/>
      <c r="AG1220" s="2381"/>
      <c r="AH1220" s="2381"/>
      <c r="AI1220" s="2381"/>
      <c r="AJ1220" s="2382">
        <v>0</v>
      </c>
      <c r="AK1220" s="2383">
        <v>0</v>
      </c>
      <c r="AL1220" s="2383">
        <v>0</v>
      </c>
      <c r="AM1220" s="2383">
        <v>0</v>
      </c>
      <c r="AN1220" s="2383">
        <v>0</v>
      </c>
      <c r="AO1220" s="2383">
        <v>0</v>
      </c>
      <c r="AP1220" s="2384">
        <v>0</v>
      </c>
    </row>
    <row r="1221" spans="1:42" s="517" customFormat="1" ht="14.25" customHeight="1">
      <c r="A1221" s="1693">
        <v>1</v>
      </c>
      <c r="B1221" s="616">
        <v>1</v>
      </c>
      <c r="C1221" s="1693">
        <v>1</v>
      </c>
      <c r="D1221" s="616">
        <v>1</v>
      </c>
      <c r="E1221" s="1693">
        <v>1</v>
      </c>
      <c r="F1221" s="616">
        <v>1</v>
      </c>
      <c r="G1221" s="1693">
        <v>1204</v>
      </c>
      <c r="H1221" s="616">
        <v>1</v>
      </c>
      <c r="I1221" s="616"/>
      <c r="J1221" s="1069"/>
      <c r="K1221" s="1069"/>
      <c r="L1221" s="1568"/>
      <c r="O1221" s="936"/>
      <c r="T1221" s="840"/>
      <c r="U1221" s="843"/>
      <c r="V1221" s="843" t="s">
        <v>175</v>
      </c>
      <c r="W1221" s="1920"/>
      <c r="X1221" s="2385"/>
      <c r="Y1221" s="2386"/>
      <c r="Z1221" s="2386"/>
      <c r="AA1221" s="2386"/>
      <c r="AB1221" s="2386"/>
      <c r="AC1221" s="2386"/>
      <c r="AD1221" s="2386"/>
      <c r="AE1221" s="2386"/>
      <c r="AF1221" s="2386"/>
      <c r="AG1221" s="2386"/>
      <c r="AH1221" s="2386"/>
      <c r="AI1221" s="2386"/>
      <c r="AJ1221" s="2387">
        <v>0</v>
      </c>
      <c r="AK1221" s="2388">
        <v>0</v>
      </c>
      <c r="AL1221" s="2388">
        <v>0</v>
      </c>
      <c r="AM1221" s="2388">
        <v>0</v>
      </c>
      <c r="AN1221" s="2388">
        <v>0</v>
      </c>
      <c r="AO1221" s="2388">
        <v>0</v>
      </c>
      <c r="AP1221" s="2389">
        <v>0</v>
      </c>
    </row>
    <row r="1222" spans="1:42" s="517" customFormat="1" ht="14.25" customHeight="1">
      <c r="A1222" s="1693">
        <v>1</v>
      </c>
      <c r="B1222" s="616">
        <v>1</v>
      </c>
      <c r="C1222" s="1693">
        <v>1</v>
      </c>
      <c r="D1222" s="616">
        <v>1</v>
      </c>
      <c r="E1222" s="1693">
        <v>1</v>
      </c>
      <c r="F1222" s="616">
        <v>1</v>
      </c>
      <c r="G1222" s="1693">
        <v>1205</v>
      </c>
      <c r="H1222" s="616">
        <v>1</v>
      </c>
      <c r="I1222" s="616"/>
      <c r="J1222" s="1069"/>
      <c r="K1222" s="1069"/>
      <c r="L1222" s="519"/>
      <c r="O1222" s="840"/>
      <c r="T1222" s="840"/>
      <c r="U1222" s="843" t="s">
        <v>563</v>
      </c>
      <c r="V1222" s="843"/>
      <c r="W1222" s="1920"/>
      <c r="X1222" s="2385"/>
      <c r="Y1222" s="2386"/>
      <c r="Z1222" s="2386"/>
      <c r="AA1222" s="2386"/>
      <c r="AB1222" s="2386"/>
      <c r="AC1222" s="2386"/>
      <c r="AD1222" s="2386"/>
      <c r="AE1222" s="2386"/>
      <c r="AF1222" s="2386"/>
      <c r="AG1222" s="2386"/>
      <c r="AH1222" s="2386"/>
      <c r="AI1222" s="2386"/>
      <c r="AJ1222" s="2387">
        <v>0</v>
      </c>
      <c r="AK1222" s="2388">
        <v>0</v>
      </c>
      <c r="AL1222" s="2388">
        <v>0</v>
      </c>
      <c r="AM1222" s="2388">
        <v>0</v>
      </c>
      <c r="AN1222" s="2388">
        <v>0</v>
      </c>
      <c r="AO1222" s="2388">
        <v>0</v>
      </c>
      <c r="AP1222" s="2389">
        <v>0</v>
      </c>
    </row>
    <row r="1223" spans="1:42" s="517" customFormat="1" ht="14.25" customHeight="1">
      <c r="A1223" s="1693">
        <v>1</v>
      </c>
      <c r="B1223" s="616">
        <v>1</v>
      </c>
      <c r="C1223" s="1693">
        <v>1</v>
      </c>
      <c r="D1223" s="616">
        <v>1</v>
      </c>
      <c r="E1223" s="1693">
        <v>1</v>
      </c>
      <c r="F1223" s="616">
        <v>1</v>
      </c>
      <c r="G1223" s="1693">
        <v>1206</v>
      </c>
      <c r="H1223" s="616">
        <v>1</v>
      </c>
      <c r="I1223" s="616"/>
      <c r="J1223" s="1069"/>
      <c r="K1223" s="1069"/>
      <c r="L1223" s="519"/>
      <c r="O1223" s="844"/>
      <c r="P1223" s="834"/>
      <c r="Q1223" s="834"/>
      <c r="R1223" s="834"/>
      <c r="S1223" s="834"/>
      <c r="T1223" s="844"/>
      <c r="U1223" s="845" t="s">
        <v>601</v>
      </c>
      <c r="V1223" s="845"/>
      <c r="W1223" s="2298"/>
      <c r="X1223" s="2390">
        <v>0</v>
      </c>
      <c r="Y1223" s="2391">
        <v>0</v>
      </c>
      <c r="Z1223" s="2391">
        <v>0</v>
      </c>
      <c r="AA1223" s="2391">
        <v>0</v>
      </c>
      <c r="AB1223" s="2391">
        <v>0</v>
      </c>
      <c r="AC1223" s="2391">
        <v>0</v>
      </c>
      <c r="AD1223" s="2391">
        <v>0</v>
      </c>
      <c r="AE1223" s="2391">
        <v>0</v>
      </c>
      <c r="AF1223" s="2391">
        <v>0</v>
      </c>
      <c r="AG1223" s="2391">
        <v>0</v>
      </c>
      <c r="AH1223" s="2391">
        <v>0</v>
      </c>
      <c r="AI1223" s="2391">
        <v>0</v>
      </c>
      <c r="AJ1223" s="2392">
        <v>0</v>
      </c>
      <c r="AK1223" s="2393">
        <v>0</v>
      </c>
      <c r="AL1223" s="2393">
        <v>0</v>
      </c>
      <c r="AM1223" s="2393">
        <v>0</v>
      </c>
      <c r="AN1223" s="2393">
        <v>0</v>
      </c>
      <c r="AO1223" s="2393">
        <v>0</v>
      </c>
      <c r="AP1223" s="2391">
        <v>0</v>
      </c>
    </row>
    <row r="1224" spans="1:42" s="517" customFormat="1" ht="14.25" customHeight="1">
      <c r="A1224" s="1693">
        <v>1</v>
      </c>
      <c r="B1224" s="616">
        <v>1</v>
      </c>
      <c r="C1224" s="1693">
        <v>1</v>
      </c>
      <c r="D1224" s="616">
        <v>1</v>
      </c>
      <c r="E1224" s="1693">
        <v>1</v>
      </c>
      <c r="F1224" s="616">
        <v>1</v>
      </c>
      <c r="G1224" s="1693">
        <v>1207</v>
      </c>
      <c r="H1224" s="616">
        <v>1</v>
      </c>
      <c r="I1224" s="616"/>
      <c r="J1224" s="1069"/>
      <c r="K1224" s="1069"/>
      <c r="L1224" s="519"/>
      <c r="O1224" s="837" t="s">
        <v>1161</v>
      </c>
      <c r="P1224" s="833"/>
      <c r="Q1224" s="833"/>
      <c r="R1224" s="833"/>
      <c r="S1224" s="833"/>
      <c r="T1224" s="2372" t="s">
        <v>1154</v>
      </c>
      <c r="U1224" s="2373"/>
      <c r="V1224" s="2373"/>
      <c r="W1224" s="1920"/>
      <c r="X1224" s="2374"/>
      <c r="Y1224" s="2375"/>
      <c r="Z1224" s="2375"/>
      <c r="AA1224" s="2376"/>
      <c r="AB1224" s="2376"/>
      <c r="AC1224" s="2376"/>
      <c r="AD1224" s="2376"/>
      <c r="AE1224" s="2376"/>
      <c r="AF1224" s="2376"/>
      <c r="AG1224" s="2376"/>
      <c r="AH1224" s="2376"/>
      <c r="AI1224" s="2376"/>
      <c r="AJ1224" s="2377">
        <v>0</v>
      </c>
      <c r="AK1224" s="2378">
        <v>0</v>
      </c>
      <c r="AL1224" s="2378">
        <v>0</v>
      </c>
      <c r="AM1224" s="2378">
        <v>0</v>
      </c>
      <c r="AN1224" s="2378">
        <v>0</v>
      </c>
      <c r="AO1224" s="2378">
        <v>0</v>
      </c>
      <c r="AP1224" s="2379">
        <v>0</v>
      </c>
    </row>
    <row r="1225" spans="1:42" s="517" customFormat="1" ht="14.25" customHeight="1">
      <c r="A1225" s="1693">
        <v>1</v>
      </c>
      <c r="B1225" s="616">
        <v>1</v>
      </c>
      <c r="C1225" s="1693">
        <v>1</v>
      </c>
      <c r="D1225" s="616">
        <v>1</v>
      </c>
      <c r="E1225" s="1693">
        <v>1</v>
      </c>
      <c r="F1225" s="616">
        <v>1</v>
      </c>
      <c r="G1225" s="1693">
        <v>1208</v>
      </c>
      <c r="H1225" s="616">
        <v>1</v>
      </c>
      <c r="I1225" s="616"/>
      <c r="J1225" s="1069"/>
      <c r="K1225" s="1069"/>
      <c r="L1225" s="519"/>
      <c r="O1225" s="840"/>
      <c r="T1225" s="837" t="s">
        <v>926</v>
      </c>
      <c r="U1225" s="841" t="s">
        <v>1142</v>
      </c>
      <c r="V1225" s="841" t="s">
        <v>1155</v>
      </c>
      <c r="W1225" s="1920"/>
      <c r="X1225" s="2380"/>
      <c r="Y1225" s="2381"/>
      <c r="Z1225" s="2381"/>
      <c r="AA1225" s="2381"/>
      <c r="AB1225" s="2381"/>
      <c r="AC1225" s="2381"/>
      <c r="AD1225" s="2381"/>
      <c r="AE1225" s="2381"/>
      <c r="AF1225" s="2381"/>
      <c r="AG1225" s="2381"/>
      <c r="AH1225" s="2381"/>
      <c r="AI1225" s="2381"/>
      <c r="AJ1225" s="2382">
        <v>0</v>
      </c>
      <c r="AK1225" s="2383">
        <v>0</v>
      </c>
      <c r="AL1225" s="2383">
        <v>0</v>
      </c>
      <c r="AM1225" s="2383">
        <v>0</v>
      </c>
      <c r="AN1225" s="2383">
        <v>0</v>
      </c>
      <c r="AO1225" s="2383">
        <v>0</v>
      </c>
      <c r="AP1225" s="2384">
        <v>0</v>
      </c>
    </row>
    <row r="1226" spans="1:42" s="517" customFormat="1" ht="14.25" customHeight="1">
      <c r="A1226" s="1693">
        <v>1</v>
      </c>
      <c r="B1226" s="616">
        <v>1</v>
      </c>
      <c r="C1226" s="1693">
        <v>1</v>
      </c>
      <c r="D1226" s="616">
        <v>1</v>
      </c>
      <c r="E1226" s="1693">
        <v>1</v>
      </c>
      <c r="F1226" s="616">
        <v>1</v>
      </c>
      <c r="G1226" s="1693">
        <v>1209</v>
      </c>
      <c r="H1226" s="616">
        <v>1</v>
      </c>
      <c r="I1226" s="616"/>
      <c r="J1226" s="1069"/>
      <c r="K1226" s="1069"/>
      <c r="L1226" s="519"/>
      <c r="O1226" s="936" t="s">
        <v>682</v>
      </c>
      <c r="T1226" s="840"/>
      <c r="U1226" s="842"/>
      <c r="V1226" s="842" t="s">
        <v>1157</v>
      </c>
      <c r="W1226" s="1920"/>
      <c r="X1226" s="2380"/>
      <c r="Y1226" s="2381"/>
      <c r="Z1226" s="2381"/>
      <c r="AA1226" s="2381"/>
      <c r="AB1226" s="2381"/>
      <c r="AC1226" s="2381"/>
      <c r="AD1226" s="2381"/>
      <c r="AE1226" s="2381"/>
      <c r="AF1226" s="2381"/>
      <c r="AG1226" s="2381"/>
      <c r="AH1226" s="2381"/>
      <c r="AI1226" s="2381"/>
      <c r="AJ1226" s="2382">
        <v>0</v>
      </c>
      <c r="AK1226" s="2383">
        <v>0</v>
      </c>
      <c r="AL1226" s="2383">
        <v>0</v>
      </c>
      <c r="AM1226" s="2383">
        <v>0</v>
      </c>
      <c r="AN1226" s="2383">
        <v>0</v>
      </c>
      <c r="AO1226" s="2383">
        <v>0</v>
      </c>
      <c r="AP1226" s="2384">
        <v>0</v>
      </c>
    </row>
    <row r="1227" spans="1:42" s="517" customFormat="1" ht="14.25" customHeight="1">
      <c r="A1227" s="1693">
        <v>1</v>
      </c>
      <c r="B1227" s="616">
        <v>1</v>
      </c>
      <c r="C1227" s="1693">
        <v>1</v>
      </c>
      <c r="D1227" s="616">
        <v>1</v>
      </c>
      <c r="E1227" s="1693">
        <v>1</v>
      </c>
      <c r="F1227" s="616">
        <v>1</v>
      </c>
      <c r="G1227" s="1693">
        <v>1210</v>
      </c>
      <c r="H1227" s="616">
        <v>1</v>
      </c>
      <c r="I1227" s="616"/>
      <c r="J1227" s="1069"/>
      <c r="K1227" s="1069"/>
      <c r="L1227" s="1568"/>
      <c r="O1227" s="936" t="s">
        <v>1162</v>
      </c>
      <c r="T1227" s="840"/>
      <c r="U1227" s="843"/>
      <c r="V1227" s="843" t="s">
        <v>175</v>
      </c>
      <c r="W1227" s="1920"/>
      <c r="X1227" s="2385"/>
      <c r="Y1227" s="2386"/>
      <c r="Z1227" s="2386"/>
      <c r="AA1227" s="2386"/>
      <c r="AB1227" s="2386"/>
      <c r="AC1227" s="2386"/>
      <c r="AD1227" s="2386"/>
      <c r="AE1227" s="2386"/>
      <c r="AF1227" s="2386"/>
      <c r="AG1227" s="2386"/>
      <c r="AH1227" s="2386"/>
      <c r="AI1227" s="2386"/>
      <c r="AJ1227" s="2387">
        <v>0</v>
      </c>
      <c r="AK1227" s="2388">
        <v>0</v>
      </c>
      <c r="AL1227" s="2388">
        <v>0</v>
      </c>
      <c r="AM1227" s="2388">
        <v>0</v>
      </c>
      <c r="AN1227" s="2388">
        <v>0</v>
      </c>
      <c r="AO1227" s="2388">
        <v>0</v>
      </c>
      <c r="AP1227" s="2389">
        <v>0</v>
      </c>
    </row>
    <row r="1228" spans="1:42" s="517" customFormat="1" ht="14.25" customHeight="1">
      <c r="A1228" s="1693">
        <v>1</v>
      </c>
      <c r="B1228" s="616">
        <v>1</v>
      </c>
      <c r="C1228" s="1693">
        <v>1</v>
      </c>
      <c r="D1228" s="616">
        <v>1</v>
      </c>
      <c r="E1228" s="1693">
        <v>1</v>
      </c>
      <c r="F1228" s="616">
        <v>1</v>
      </c>
      <c r="G1228" s="1693">
        <v>1211</v>
      </c>
      <c r="H1228" s="616">
        <v>1</v>
      </c>
      <c r="I1228" s="616"/>
      <c r="J1228" s="1069"/>
      <c r="K1228" s="1069"/>
      <c r="L1228" s="519"/>
      <c r="O1228" s="936" t="s">
        <v>1163</v>
      </c>
      <c r="T1228" s="840"/>
      <c r="U1228" s="843" t="s">
        <v>563</v>
      </c>
      <c r="V1228" s="843"/>
      <c r="W1228" s="1920"/>
      <c r="X1228" s="2385"/>
      <c r="Y1228" s="2386"/>
      <c r="Z1228" s="2386"/>
      <c r="AA1228" s="2386"/>
      <c r="AB1228" s="2386"/>
      <c r="AC1228" s="2386"/>
      <c r="AD1228" s="2386"/>
      <c r="AE1228" s="2386"/>
      <c r="AF1228" s="2386"/>
      <c r="AG1228" s="2386"/>
      <c r="AH1228" s="2386"/>
      <c r="AI1228" s="2386"/>
      <c r="AJ1228" s="2387">
        <v>0</v>
      </c>
      <c r="AK1228" s="2388">
        <v>0</v>
      </c>
      <c r="AL1228" s="2388">
        <v>0</v>
      </c>
      <c r="AM1228" s="2388">
        <v>0</v>
      </c>
      <c r="AN1228" s="2388">
        <v>0</v>
      </c>
      <c r="AO1228" s="2388">
        <v>0</v>
      </c>
      <c r="AP1228" s="2389">
        <v>0</v>
      </c>
    </row>
    <row r="1229" spans="1:42" s="517" customFormat="1" ht="14.25" customHeight="1">
      <c r="A1229" s="1693">
        <v>1</v>
      </c>
      <c r="B1229" s="616">
        <v>1</v>
      </c>
      <c r="C1229" s="1693">
        <v>1</v>
      </c>
      <c r="D1229" s="616">
        <v>1</v>
      </c>
      <c r="E1229" s="1693">
        <v>1</v>
      </c>
      <c r="F1229" s="616">
        <v>1</v>
      </c>
      <c r="G1229" s="1693">
        <v>1212</v>
      </c>
      <c r="H1229" s="616">
        <v>1</v>
      </c>
      <c r="I1229" s="616"/>
      <c r="J1229" s="1069"/>
      <c r="K1229" s="1069"/>
      <c r="L1229" s="519"/>
      <c r="O1229" s="936" t="s">
        <v>1164</v>
      </c>
      <c r="T1229" s="844"/>
      <c r="U1229" s="845" t="s">
        <v>601</v>
      </c>
      <c r="V1229" s="845"/>
      <c r="W1229" s="2298"/>
      <c r="X1229" s="2390">
        <v>0</v>
      </c>
      <c r="Y1229" s="2391">
        <v>0</v>
      </c>
      <c r="Z1229" s="2391">
        <v>0</v>
      </c>
      <c r="AA1229" s="2391">
        <v>0</v>
      </c>
      <c r="AB1229" s="2391">
        <v>0</v>
      </c>
      <c r="AC1229" s="2391">
        <v>0</v>
      </c>
      <c r="AD1229" s="2391">
        <v>0</v>
      </c>
      <c r="AE1229" s="2391">
        <v>0</v>
      </c>
      <c r="AF1229" s="2391">
        <v>0</v>
      </c>
      <c r="AG1229" s="2391">
        <v>0</v>
      </c>
      <c r="AH1229" s="2391">
        <v>0</v>
      </c>
      <c r="AI1229" s="2391">
        <v>0</v>
      </c>
      <c r="AJ1229" s="2392">
        <v>0</v>
      </c>
      <c r="AK1229" s="2393">
        <v>0</v>
      </c>
      <c r="AL1229" s="2393">
        <v>0</v>
      </c>
      <c r="AM1229" s="2393">
        <v>0</v>
      </c>
      <c r="AN1229" s="2393">
        <v>0</v>
      </c>
      <c r="AO1229" s="2393">
        <v>0</v>
      </c>
      <c r="AP1229" s="2391">
        <v>0</v>
      </c>
    </row>
    <row r="1230" spans="1:42" s="517" customFormat="1" ht="14.25" customHeight="1">
      <c r="A1230" s="1693">
        <v>1</v>
      </c>
      <c r="B1230" s="616">
        <v>1</v>
      </c>
      <c r="C1230" s="1693">
        <v>1</v>
      </c>
      <c r="D1230" s="616">
        <v>1</v>
      </c>
      <c r="E1230" s="1693">
        <v>1</v>
      </c>
      <c r="F1230" s="616">
        <v>1</v>
      </c>
      <c r="G1230" s="1693">
        <v>1213</v>
      </c>
      <c r="H1230" s="616">
        <v>1</v>
      </c>
      <c r="I1230" s="616"/>
      <c r="J1230" s="1069"/>
      <c r="K1230" s="1069"/>
      <c r="L1230" s="519"/>
      <c r="O1230" s="840"/>
      <c r="T1230" s="840" t="s">
        <v>1160</v>
      </c>
      <c r="U1230" s="842" t="s">
        <v>1142</v>
      </c>
      <c r="V1230" s="842" t="s">
        <v>1155</v>
      </c>
      <c r="W1230" s="1920"/>
      <c r="X1230" s="2380"/>
      <c r="Y1230" s="2381"/>
      <c r="Z1230" s="2381"/>
      <c r="AA1230" s="2381"/>
      <c r="AB1230" s="2381"/>
      <c r="AC1230" s="2381"/>
      <c r="AD1230" s="2381"/>
      <c r="AE1230" s="2381"/>
      <c r="AF1230" s="2381"/>
      <c r="AG1230" s="2381"/>
      <c r="AH1230" s="2381"/>
      <c r="AI1230" s="2381"/>
      <c r="AJ1230" s="2382">
        <v>0</v>
      </c>
      <c r="AK1230" s="2383">
        <v>0</v>
      </c>
      <c r="AL1230" s="2383">
        <v>0</v>
      </c>
      <c r="AM1230" s="2383">
        <v>0</v>
      </c>
      <c r="AN1230" s="2383">
        <v>0</v>
      </c>
      <c r="AO1230" s="2383">
        <v>0</v>
      </c>
      <c r="AP1230" s="2384">
        <v>0</v>
      </c>
    </row>
    <row r="1231" spans="1:42" s="517" customFormat="1" ht="14.25" customHeight="1">
      <c r="A1231" s="1693">
        <v>1</v>
      </c>
      <c r="B1231" s="616">
        <v>1</v>
      </c>
      <c r="C1231" s="1693">
        <v>1</v>
      </c>
      <c r="D1231" s="616">
        <v>1</v>
      </c>
      <c r="E1231" s="1693">
        <v>1</v>
      </c>
      <c r="F1231" s="616">
        <v>1</v>
      </c>
      <c r="G1231" s="1693">
        <v>1214</v>
      </c>
      <c r="H1231" s="616">
        <v>1</v>
      </c>
      <c r="I1231" s="616"/>
      <c r="J1231" s="1069"/>
      <c r="K1231" s="1069"/>
      <c r="L1231" s="519"/>
      <c r="O1231" s="840"/>
      <c r="T1231" s="840"/>
      <c r="U1231" s="842"/>
      <c r="V1231" s="842" t="s">
        <v>1157</v>
      </c>
      <c r="W1231" s="1920"/>
      <c r="X1231" s="2380"/>
      <c r="Y1231" s="2381"/>
      <c r="Z1231" s="2381"/>
      <c r="AA1231" s="2381"/>
      <c r="AB1231" s="2381"/>
      <c r="AC1231" s="2381"/>
      <c r="AD1231" s="2381"/>
      <c r="AE1231" s="2381"/>
      <c r="AF1231" s="2381"/>
      <c r="AG1231" s="2381"/>
      <c r="AH1231" s="2381"/>
      <c r="AI1231" s="2381"/>
      <c r="AJ1231" s="2382">
        <v>0</v>
      </c>
      <c r="AK1231" s="2383">
        <v>0</v>
      </c>
      <c r="AL1231" s="2383">
        <v>0</v>
      </c>
      <c r="AM1231" s="2383">
        <v>0</v>
      </c>
      <c r="AN1231" s="2383">
        <v>0</v>
      </c>
      <c r="AO1231" s="2383">
        <v>0</v>
      </c>
      <c r="AP1231" s="2384">
        <v>0</v>
      </c>
    </row>
    <row r="1232" spans="1:42" s="517" customFormat="1" ht="14.25" customHeight="1">
      <c r="A1232" s="1693">
        <v>1</v>
      </c>
      <c r="B1232" s="616">
        <v>1</v>
      </c>
      <c r="C1232" s="1693">
        <v>1</v>
      </c>
      <c r="D1232" s="616">
        <v>1</v>
      </c>
      <c r="E1232" s="1693">
        <v>1</v>
      </c>
      <c r="F1232" s="616">
        <v>1</v>
      </c>
      <c r="G1232" s="1693">
        <v>1215</v>
      </c>
      <c r="H1232" s="616">
        <v>1</v>
      </c>
      <c r="I1232" s="616"/>
      <c r="J1232" s="1069"/>
      <c r="K1232" s="1069"/>
      <c r="L1232" s="1568"/>
      <c r="O1232" s="936"/>
      <c r="T1232" s="840"/>
      <c r="U1232" s="843"/>
      <c r="V1232" s="843" t="s">
        <v>175</v>
      </c>
      <c r="W1232" s="1920"/>
      <c r="X1232" s="2385"/>
      <c r="Y1232" s="2386"/>
      <c r="Z1232" s="2386"/>
      <c r="AA1232" s="2386"/>
      <c r="AB1232" s="2386"/>
      <c r="AC1232" s="2386"/>
      <c r="AD1232" s="2386"/>
      <c r="AE1232" s="2386"/>
      <c r="AF1232" s="2386"/>
      <c r="AG1232" s="2386"/>
      <c r="AH1232" s="2386"/>
      <c r="AI1232" s="2386"/>
      <c r="AJ1232" s="2387">
        <v>0</v>
      </c>
      <c r="AK1232" s="2388">
        <v>0</v>
      </c>
      <c r="AL1232" s="2388">
        <v>0</v>
      </c>
      <c r="AM1232" s="2388">
        <v>0</v>
      </c>
      <c r="AN1232" s="2388">
        <v>0</v>
      </c>
      <c r="AO1232" s="2388">
        <v>0</v>
      </c>
      <c r="AP1232" s="2389">
        <v>0</v>
      </c>
    </row>
    <row r="1233" spans="1:42" s="517" customFormat="1" ht="14.25" customHeight="1">
      <c r="A1233" s="1693">
        <v>1</v>
      </c>
      <c r="B1233" s="616">
        <v>1</v>
      </c>
      <c r="C1233" s="1693">
        <v>1</v>
      </c>
      <c r="D1233" s="616">
        <v>1</v>
      </c>
      <c r="E1233" s="1693">
        <v>1</v>
      </c>
      <c r="F1233" s="616">
        <v>1</v>
      </c>
      <c r="G1233" s="1693">
        <v>1216</v>
      </c>
      <c r="H1233" s="616">
        <v>1</v>
      </c>
      <c r="I1233" s="616"/>
      <c r="J1233" s="1069"/>
      <c r="K1233" s="1069"/>
      <c r="L1233" s="519"/>
      <c r="O1233" s="840"/>
      <c r="T1233" s="840"/>
      <c r="U1233" s="843" t="s">
        <v>563</v>
      </c>
      <c r="V1233" s="843"/>
      <c r="W1233" s="1920"/>
      <c r="X1233" s="2385"/>
      <c r="Y1233" s="2386"/>
      <c r="Z1233" s="2386"/>
      <c r="AA1233" s="2386"/>
      <c r="AB1233" s="2386"/>
      <c r="AC1233" s="2386"/>
      <c r="AD1233" s="2386"/>
      <c r="AE1233" s="2386"/>
      <c r="AF1233" s="2386"/>
      <c r="AG1233" s="2386"/>
      <c r="AH1233" s="2386"/>
      <c r="AI1233" s="2386"/>
      <c r="AJ1233" s="2387">
        <v>0</v>
      </c>
      <c r="AK1233" s="2388">
        <v>0</v>
      </c>
      <c r="AL1233" s="2388">
        <v>0</v>
      </c>
      <c r="AM1233" s="2388">
        <v>0</v>
      </c>
      <c r="AN1233" s="2388">
        <v>0</v>
      </c>
      <c r="AO1233" s="2388">
        <v>0</v>
      </c>
      <c r="AP1233" s="2389">
        <v>0</v>
      </c>
    </row>
    <row r="1234" spans="1:42" s="517" customFormat="1" ht="14.25" customHeight="1">
      <c r="A1234" s="1693">
        <v>1</v>
      </c>
      <c r="B1234" s="616">
        <v>1</v>
      </c>
      <c r="C1234" s="1693">
        <v>1</v>
      </c>
      <c r="D1234" s="616">
        <v>1</v>
      </c>
      <c r="E1234" s="1693">
        <v>1</v>
      </c>
      <c r="F1234" s="616">
        <v>1</v>
      </c>
      <c r="G1234" s="1693">
        <v>1217</v>
      </c>
      <c r="H1234" s="616">
        <v>1</v>
      </c>
      <c r="I1234" s="616"/>
      <c r="J1234" s="1069"/>
      <c r="K1234" s="1069"/>
      <c r="L1234" s="519"/>
      <c r="O1234" s="844"/>
      <c r="P1234" s="834"/>
      <c r="Q1234" s="834"/>
      <c r="R1234" s="834"/>
      <c r="S1234" s="834"/>
      <c r="T1234" s="844"/>
      <c r="U1234" s="845" t="s">
        <v>601</v>
      </c>
      <c r="V1234" s="845"/>
      <c r="W1234" s="2298"/>
      <c r="X1234" s="2394">
        <v>0</v>
      </c>
      <c r="Y1234" s="2384">
        <v>0</v>
      </c>
      <c r="Z1234" s="2384">
        <v>0</v>
      </c>
      <c r="AA1234" s="2384">
        <v>0</v>
      </c>
      <c r="AB1234" s="2384">
        <v>0</v>
      </c>
      <c r="AC1234" s="2384">
        <v>0</v>
      </c>
      <c r="AD1234" s="2384">
        <v>0</v>
      </c>
      <c r="AE1234" s="2384">
        <v>0</v>
      </c>
      <c r="AF1234" s="2384">
        <v>0</v>
      </c>
      <c r="AG1234" s="2384">
        <v>0</v>
      </c>
      <c r="AH1234" s="2384">
        <v>0</v>
      </c>
      <c r="AI1234" s="2384">
        <v>0</v>
      </c>
      <c r="AJ1234" s="2392">
        <v>0</v>
      </c>
      <c r="AK1234" s="2393">
        <v>0</v>
      </c>
      <c r="AL1234" s="2393">
        <v>0</v>
      </c>
      <c r="AM1234" s="2393">
        <v>0</v>
      </c>
      <c r="AN1234" s="2393">
        <v>0</v>
      </c>
      <c r="AO1234" s="2393">
        <v>0</v>
      </c>
      <c r="AP1234" s="2391">
        <v>0</v>
      </c>
    </row>
    <row r="1235" spans="1:42" s="517" customFormat="1" ht="14.25" customHeight="1">
      <c r="A1235" s="1693">
        <v>1</v>
      </c>
      <c r="B1235" s="616">
        <v>1</v>
      </c>
      <c r="C1235" s="1693">
        <v>1</v>
      </c>
      <c r="D1235" s="616">
        <v>1</v>
      </c>
      <c r="E1235" s="1693">
        <v>1</v>
      </c>
      <c r="F1235" s="616">
        <v>1</v>
      </c>
      <c r="G1235" s="1693">
        <v>1218</v>
      </c>
      <c r="H1235" s="616">
        <v>1</v>
      </c>
      <c r="I1235" s="616"/>
      <c r="J1235" s="1069"/>
      <c r="K1235" s="1069"/>
      <c r="L1235" s="519"/>
      <c r="O1235" s="837" t="s">
        <v>601</v>
      </c>
      <c r="P1235" s="833"/>
      <c r="Q1235" s="833"/>
      <c r="R1235" s="833"/>
      <c r="S1235" s="833"/>
      <c r="T1235" s="2372" t="s">
        <v>1154</v>
      </c>
      <c r="U1235" s="2373"/>
      <c r="V1235" s="2373"/>
      <c r="W1235" s="2298"/>
      <c r="X1235" s="2395">
        <v>0</v>
      </c>
      <c r="Y1235" s="2379">
        <v>0</v>
      </c>
      <c r="Z1235" s="2379">
        <v>0</v>
      </c>
      <c r="AA1235" s="2379">
        <v>0</v>
      </c>
      <c r="AB1235" s="2379">
        <v>0</v>
      </c>
      <c r="AC1235" s="2379">
        <v>0</v>
      </c>
      <c r="AD1235" s="2379">
        <v>0</v>
      </c>
      <c r="AE1235" s="2379">
        <v>0</v>
      </c>
      <c r="AF1235" s="2379">
        <v>0</v>
      </c>
      <c r="AG1235" s="2379">
        <v>0</v>
      </c>
      <c r="AH1235" s="2379">
        <v>0</v>
      </c>
      <c r="AI1235" s="2379">
        <v>0</v>
      </c>
      <c r="AJ1235" s="2377">
        <v>0</v>
      </c>
      <c r="AK1235" s="2378">
        <v>0</v>
      </c>
      <c r="AL1235" s="2378">
        <v>0</v>
      </c>
      <c r="AM1235" s="2396">
        <v>0</v>
      </c>
      <c r="AN1235" s="2396">
        <v>0</v>
      </c>
      <c r="AO1235" s="2378">
        <v>0</v>
      </c>
      <c r="AP1235" s="2397">
        <v>0</v>
      </c>
    </row>
    <row r="1236" spans="1:42" s="517" customFormat="1" ht="14.25" customHeight="1">
      <c r="A1236" s="1693">
        <v>1</v>
      </c>
      <c r="B1236" s="616">
        <v>1</v>
      </c>
      <c r="C1236" s="1693">
        <v>1</v>
      </c>
      <c r="D1236" s="616">
        <v>1</v>
      </c>
      <c r="E1236" s="1693">
        <v>1</v>
      </c>
      <c r="F1236" s="616">
        <v>1</v>
      </c>
      <c r="G1236" s="1693">
        <v>1219</v>
      </c>
      <c r="H1236" s="616">
        <v>1</v>
      </c>
      <c r="I1236" s="616"/>
      <c r="J1236" s="1069"/>
      <c r="K1236" s="1069"/>
      <c r="L1236" s="519"/>
      <c r="O1236" s="840"/>
      <c r="T1236" s="837" t="s">
        <v>926</v>
      </c>
      <c r="U1236" s="841" t="s">
        <v>1142</v>
      </c>
      <c r="V1236" s="841" t="s">
        <v>1155</v>
      </c>
      <c r="W1236" s="2298"/>
      <c r="X1236" s="2394">
        <v>0</v>
      </c>
      <c r="Y1236" s="2384">
        <v>0</v>
      </c>
      <c r="Z1236" s="2384">
        <v>0</v>
      </c>
      <c r="AA1236" s="2384">
        <v>0</v>
      </c>
      <c r="AB1236" s="2384">
        <v>0</v>
      </c>
      <c r="AC1236" s="2384">
        <v>0</v>
      </c>
      <c r="AD1236" s="2384">
        <v>0</v>
      </c>
      <c r="AE1236" s="2384">
        <v>0</v>
      </c>
      <c r="AF1236" s="2384">
        <v>0</v>
      </c>
      <c r="AG1236" s="2384">
        <v>0</v>
      </c>
      <c r="AH1236" s="2384">
        <v>0</v>
      </c>
      <c r="AI1236" s="2384">
        <v>0</v>
      </c>
      <c r="AJ1236" s="2382">
        <v>0</v>
      </c>
      <c r="AK1236" s="2383">
        <v>0</v>
      </c>
      <c r="AL1236" s="2383">
        <v>0</v>
      </c>
      <c r="AM1236" s="2398">
        <v>0</v>
      </c>
      <c r="AN1236" s="2398">
        <v>0</v>
      </c>
      <c r="AO1236" s="2383">
        <v>0</v>
      </c>
      <c r="AP1236" s="2399">
        <v>0</v>
      </c>
    </row>
    <row r="1237" spans="1:42" s="517" customFormat="1" ht="14.25" customHeight="1">
      <c r="A1237" s="1693">
        <v>1</v>
      </c>
      <c r="B1237" s="616">
        <v>1</v>
      </c>
      <c r="C1237" s="1693">
        <v>1</v>
      </c>
      <c r="D1237" s="616">
        <v>1</v>
      </c>
      <c r="E1237" s="1693">
        <v>1</v>
      </c>
      <c r="F1237" s="616">
        <v>1</v>
      </c>
      <c r="G1237" s="1693">
        <v>1220</v>
      </c>
      <c r="H1237" s="616">
        <v>1</v>
      </c>
      <c r="I1237" s="616"/>
      <c r="J1237" s="1069"/>
      <c r="K1237" s="1069"/>
      <c r="L1237" s="519"/>
      <c r="O1237" s="840"/>
      <c r="T1237" s="840"/>
      <c r="U1237" s="842"/>
      <c r="V1237" s="842" t="s">
        <v>1157</v>
      </c>
      <c r="W1237" s="2298"/>
      <c r="X1237" s="2394">
        <v>0</v>
      </c>
      <c r="Y1237" s="2384">
        <v>0</v>
      </c>
      <c r="Z1237" s="2384">
        <v>0</v>
      </c>
      <c r="AA1237" s="2384">
        <v>0</v>
      </c>
      <c r="AB1237" s="2384">
        <v>0</v>
      </c>
      <c r="AC1237" s="2384">
        <v>0</v>
      </c>
      <c r="AD1237" s="2384">
        <v>0</v>
      </c>
      <c r="AE1237" s="2384">
        <v>0</v>
      </c>
      <c r="AF1237" s="2384">
        <v>0</v>
      </c>
      <c r="AG1237" s="2384">
        <v>0</v>
      </c>
      <c r="AH1237" s="2384">
        <v>0</v>
      </c>
      <c r="AI1237" s="2384">
        <v>0</v>
      </c>
      <c r="AJ1237" s="2382">
        <v>0</v>
      </c>
      <c r="AK1237" s="2383">
        <v>0</v>
      </c>
      <c r="AL1237" s="2383">
        <v>0</v>
      </c>
      <c r="AM1237" s="2398">
        <v>0</v>
      </c>
      <c r="AN1237" s="2398">
        <v>0</v>
      </c>
      <c r="AO1237" s="2383">
        <v>0</v>
      </c>
      <c r="AP1237" s="2399">
        <v>0</v>
      </c>
    </row>
    <row r="1238" spans="1:42" s="517" customFormat="1" ht="14.25" customHeight="1">
      <c r="A1238" s="1693">
        <v>1</v>
      </c>
      <c r="B1238" s="616">
        <v>1</v>
      </c>
      <c r="C1238" s="1693">
        <v>1</v>
      </c>
      <c r="D1238" s="616">
        <v>1</v>
      </c>
      <c r="E1238" s="1693">
        <v>1</v>
      </c>
      <c r="F1238" s="616">
        <v>1</v>
      </c>
      <c r="G1238" s="1693">
        <v>1221</v>
      </c>
      <c r="H1238" s="616">
        <v>1</v>
      </c>
      <c r="I1238" s="616"/>
      <c r="J1238" s="1069"/>
      <c r="K1238" s="1069"/>
      <c r="L1238" s="1568"/>
      <c r="O1238" s="840"/>
      <c r="T1238" s="840"/>
      <c r="U1238" s="843"/>
      <c r="V1238" s="843" t="s">
        <v>175</v>
      </c>
      <c r="W1238" s="2298"/>
      <c r="X1238" s="2400">
        <v>0</v>
      </c>
      <c r="Y1238" s="2389">
        <v>0</v>
      </c>
      <c r="Z1238" s="2389">
        <v>0</v>
      </c>
      <c r="AA1238" s="2389">
        <v>0</v>
      </c>
      <c r="AB1238" s="2389">
        <v>0</v>
      </c>
      <c r="AC1238" s="2389">
        <v>0</v>
      </c>
      <c r="AD1238" s="2389">
        <v>0</v>
      </c>
      <c r="AE1238" s="2389">
        <v>0</v>
      </c>
      <c r="AF1238" s="2389">
        <v>0</v>
      </c>
      <c r="AG1238" s="2389">
        <v>0</v>
      </c>
      <c r="AH1238" s="2389">
        <v>0</v>
      </c>
      <c r="AI1238" s="2389">
        <v>0</v>
      </c>
      <c r="AJ1238" s="2387">
        <v>0</v>
      </c>
      <c r="AK1238" s="2388">
        <v>0</v>
      </c>
      <c r="AL1238" s="2388">
        <v>0</v>
      </c>
      <c r="AM1238" s="2401">
        <v>0</v>
      </c>
      <c r="AN1238" s="2401">
        <v>0</v>
      </c>
      <c r="AO1238" s="2388">
        <v>0</v>
      </c>
      <c r="AP1238" s="2402">
        <v>0</v>
      </c>
    </row>
    <row r="1239" spans="1:42" s="517" customFormat="1" ht="14.25" customHeight="1">
      <c r="A1239" s="1693">
        <v>1</v>
      </c>
      <c r="B1239" s="616">
        <v>1</v>
      </c>
      <c r="C1239" s="1693">
        <v>1</v>
      </c>
      <c r="D1239" s="616">
        <v>1</v>
      </c>
      <c r="E1239" s="1693">
        <v>1</v>
      </c>
      <c r="F1239" s="616">
        <v>1</v>
      </c>
      <c r="G1239" s="1693">
        <v>1222</v>
      </c>
      <c r="H1239" s="616">
        <v>1</v>
      </c>
      <c r="I1239" s="616"/>
      <c r="J1239" s="1069"/>
      <c r="K1239" s="1069"/>
      <c r="L1239" s="519"/>
      <c r="O1239" s="840"/>
      <c r="T1239" s="840"/>
      <c r="U1239" s="843" t="s">
        <v>563</v>
      </c>
      <c r="V1239" s="843"/>
      <c r="W1239" s="2298"/>
      <c r="X1239" s="2400">
        <v>0</v>
      </c>
      <c r="Y1239" s="2389">
        <v>0</v>
      </c>
      <c r="Z1239" s="2389">
        <v>0</v>
      </c>
      <c r="AA1239" s="2389">
        <v>0</v>
      </c>
      <c r="AB1239" s="2389">
        <v>0</v>
      </c>
      <c r="AC1239" s="2389">
        <v>0</v>
      </c>
      <c r="AD1239" s="2389">
        <v>0</v>
      </c>
      <c r="AE1239" s="2389">
        <v>0</v>
      </c>
      <c r="AF1239" s="2389">
        <v>0</v>
      </c>
      <c r="AG1239" s="2389">
        <v>0</v>
      </c>
      <c r="AH1239" s="2389">
        <v>0</v>
      </c>
      <c r="AI1239" s="2389">
        <v>0</v>
      </c>
      <c r="AJ1239" s="2387">
        <v>0</v>
      </c>
      <c r="AK1239" s="2388">
        <v>0</v>
      </c>
      <c r="AL1239" s="2388">
        <v>0</v>
      </c>
      <c r="AM1239" s="2401">
        <v>0</v>
      </c>
      <c r="AN1239" s="2401">
        <v>0</v>
      </c>
      <c r="AO1239" s="2388">
        <v>0</v>
      </c>
      <c r="AP1239" s="2402">
        <v>0</v>
      </c>
    </row>
    <row r="1240" spans="1:42" s="517" customFormat="1" ht="14.25" customHeight="1">
      <c r="A1240" s="1693">
        <v>1</v>
      </c>
      <c r="B1240" s="616">
        <v>1</v>
      </c>
      <c r="C1240" s="1693">
        <v>1</v>
      </c>
      <c r="D1240" s="616">
        <v>1</v>
      </c>
      <c r="E1240" s="1693">
        <v>1</v>
      </c>
      <c r="F1240" s="616">
        <v>1</v>
      </c>
      <c r="G1240" s="1693">
        <v>1223</v>
      </c>
      <c r="H1240" s="616">
        <v>1</v>
      </c>
      <c r="I1240" s="616"/>
      <c r="J1240" s="1069"/>
      <c r="K1240" s="1069"/>
      <c r="L1240" s="519"/>
      <c r="O1240" s="840"/>
      <c r="T1240" s="844"/>
      <c r="U1240" s="845" t="s">
        <v>601</v>
      </c>
      <c r="V1240" s="845"/>
      <c r="W1240" s="2298"/>
      <c r="X1240" s="2403">
        <v>0</v>
      </c>
      <c r="Y1240" s="2404">
        <v>0</v>
      </c>
      <c r="Z1240" s="2404">
        <v>0</v>
      </c>
      <c r="AA1240" s="2404">
        <v>0</v>
      </c>
      <c r="AB1240" s="2404">
        <v>0</v>
      </c>
      <c r="AC1240" s="2404">
        <v>0</v>
      </c>
      <c r="AD1240" s="2404">
        <v>0</v>
      </c>
      <c r="AE1240" s="2404">
        <v>0</v>
      </c>
      <c r="AF1240" s="2404">
        <v>0</v>
      </c>
      <c r="AG1240" s="2404">
        <v>0</v>
      </c>
      <c r="AH1240" s="2404">
        <v>0</v>
      </c>
      <c r="AI1240" s="2404">
        <v>0</v>
      </c>
      <c r="AJ1240" s="2392">
        <v>0</v>
      </c>
      <c r="AK1240" s="2393">
        <v>0</v>
      </c>
      <c r="AL1240" s="2393">
        <v>0</v>
      </c>
      <c r="AM1240" s="2393">
        <v>0</v>
      </c>
      <c r="AN1240" s="2393">
        <v>0</v>
      </c>
      <c r="AO1240" s="2393">
        <v>0</v>
      </c>
      <c r="AP1240" s="2391">
        <v>0</v>
      </c>
    </row>
    <row r="1241" spans="1:42" s="517" customFormat="1" ht="14.25" customHeight="1">
      <c r="A1241" s="1693">
        <v>1</v>
      </c>
      <c r="B1241" s="616">
        <v>1</v>
      </c>
      <c r="C1241" s="1693">
        <v>1</v>
      </c>
      <c r="D1241" s="616">
        <v>1</v>
      </c>
      <c r="E1241" s="1693">
        <v>1</v>
      </c>
      <c r="F1241" s="616">
        <v>1</v>
      </c>
      <c r="G1241" s="1693">
        <v>1224</v>
      </c>
      <c r="H1241" s="616">
        <v>1</v>
      </c>
      <c r="I1241" s="616"/>
      <c r="J1241" s="1069"/>
      <c r="K1241" s="1069"/>
      <c r="L1241" s="519"/>
      <c r="O1241" s="840"/>
      <c r="T1241" s="840" t="s">
        <v>1160</v>
      </c>
      <c r="U1241" s="842" t="s">
        <v>1142</v>
      </c>
      <c r="V1241" s="842" t="s">
        <v>1155</v>
      </c>
      <c r="W1241" s="2298"/>
      <c r="X1241" s="2394">
        <v>0</v>
      </c>
      <c r="Y1241" s="2384">
        <v>0</v>
      </c>
      <c r="Z1241" s="2384">
        <v>0</v>
      </c>
      <c r="AA1241" s="2384">
        <v>0</v>
      </c>
      <c r="AB1241" s="2384">
        <v>0</v>
      </c>
      <c r="AC1241" s="2384">
        <v>0</v>
      </c>
      <c r="AD1241" s="2384">
        <v>0</v>
      </c>
      <c r="AE1241" s="2384">
        <v>0</v>
      </c>
      <c r="AF1241" s="2384">
        <v>0</v>
      </c>
      <c r="AG1241" s="2384">
        <v>0</v>
      </c>
      <c r="AH1241" s="2384">
        <v>0</v>
      </c>
      <c r="AI1241" s="2384">
        <v>0</v>
      </c>
      <c r="AJ1241" s="2382">
        <v>0</v>
      </c>
      <c r="AK1241" s="2383">
        <v>0</v>
      </c>
      <c r="AL1241" s="2383">
        <v>0</v>
      </c>
      <c r="AM1241" s="2398">
        <v>0</v>
      </c>
      <c r="AN1241" s="2398">
        <v>0</v>
      </c>
      <c r="AO1241" s="2383">
        <v>0</v>
      </c>
      <c r="AP1241" s="2399">
        <v>0</v>
      </c>
    </row>
    <row r="1242" spans="1:42" s="517" customFormat="1" ht="14.25" customHeight="1">
      <c r="A1242" s="1693">
        <v>1</v>
      </c>
      <c r="B1242" s="616">
        <v>1</v>
      </c>
      <c r="C1242" s="1693">
        <v>1</v>
      </c>
      <c r="D1242" s="616">
        <v>1</v>
      </c>
      <c r="E1242" s="1693">
        <v>1</v>
      </c>
      <c r="F1242" s="616">
        <v>1</v>
      </c>
      <c r="G1242" s="1693">
        <v>1225</v>
      </c>
      <c r="H1242" s="616">
        <v>1</v>
      </c>
      <c r="I1242" s="616"/>
      <c r="J1242" s="1069"/>
      <c r="K1242" s="1069"/>
      <c r="L1242" s="519"/>
      <c r="O1242" s="840"/>
      <c r="T1242" s="840"/>
      <c r="U1242" s="842"/>
      <c r="V1242" s="842" t="s">
        <v>1157</v>
      </c>
      <c r="W1242" s="2298"/>
      <c r="X1242" s="2394">
        <v>0</v>
      </c>
      <c r="Y1242" s="2384">
        <v>0</v>
      </c>
      <c r="Z1242" s="2384">
        <v>0</v>
      </c>
      <c r="AA1242" s="2384">
        <v>0</v>
      </c>
      <c r="AB1242" s="2384">
        <v>0</v>
      </c>
      <c r="AC1242" s="2384">
        <v>0</v>
      </c>
      <c r="AD1242" s="2384">
        <v>0</v>
      </c>
      <c r="AE1242" s="2384">
        <v>0</v>
      </c>
      <c r="AF1242" s="2384">
        <v>0</v>
      </c>
      <c r="AG1242" s="2384">
        <v>0</v>
      </c>
      <c r="AH1242" s="2384">
        <v>0</v>
      </c>
      <c r="AI1242" s="2384">
        <v>0</v>
      </c>
      <c r="AJ1242" s="2382">
        <v>0</v>
      </c>
      <c r="AK1242" s="2383">
        <v>0</v>
      </c>
      <c r="AL1242" s="2383">
        <v>0</v>
      </c>
      <c r="AM1242" s="2398">
        <v>0</v>
      </c>
      <c r="AN1242" s="2398">
        <v>0</v>
      </c>
      <c r="AO1242" s="2383">
        <v>0</v>
      </c>
      <c r="AP1242" s="2399">
        <v>0</v>
      </c>
    </row>
    <row r="1243" spans="1:42" s="517" customFormat="1" ht="14.25" customHeight="1">
      <c r="A1243" s="1693">
        <v>1</v>
      </c>
      <c r="B1243" s="616">
        <v>1</v>
      </c>
      <c r="C1243" s="1693">
        <v>1</v>
      </c>
      <c r="D1243" s="616">
        <v>1</v>
      </c>
      <c r="E1243" s="1693">
        <v>1</v>
      </c>
      <c r="F1243" s="616">
        <v>1</v>
      </c>
      <c r="G1243" s="1693">
        <v>1226</v>
      </c>
      <c r="H1243" s="616">
        <v>1</v>
      </c>
      <c r="I1243" s="616"/>
      <c r="J1243" s="1069"/>
      <c r="K1243" s="1069"/>
      <c r="L1243" s="1568"/>
      <c r="O1243" s="840"/>
      <c r="T1243" s="840"/>
      <c r="U1243" s="843"/>
      <c r="V1243" s="843" t="s">
        <v>175</v>
      </c>
      <c r="W1243" s="2298"/>
      <c r="X1243" s="2400">
        <v>0</v>
      </c>
      <c r="Y1243" s="2389">
        <v>0</v>
      </c>
      <c r="Z1243" s="2389">
        <v>0</v>
      </c>
      <c r="AA1243" s="2389">
        <v>0</v>
      </c>
      <c r="AB1243" s="2389">
        <v>0</v>
      </c>
      <c r="AC1243" s="2389">
        <v>0</v>
      </c>
      <c r="AD1243" s="2389">
        <v>0</v>
      </c>
      <c r="AE1243" s="2389">
        <v>0</v>
      </c>
      <c r="AF1243" s="2389">
        <v>0</v>
      </c>
      <c r="AG1243" s="2389">
        <v>0</v>
      </c>
      <c r="AH1243" s="2389">
        <v>0</v>
      </c>
      <c r="AI1243" s="2389">
        <v>0</v>
      </c>
      <c r="AJ1243" s="2387">
        <v>0</v>
      </c>
      <c r="AK1243" s="2388">
        <v>0</v>
      </c>
      <c r="AL1243" s="2388">
        <v>0</v>
      </c>
      <c r="AM1243" s="2401">
        <v>0</v>
      </c>
      <c r="AN1243" s="2401">
        <v>0</v>
      </c>
      <c r="AO1243" s="2388">
        <v>0</v>
      </c>
      <c r="AP1243" s="2402">
        <v>0</v>
      </c>
    </row>
    <row r="1244" spans="1:42" s="517" customFormat="1" ht="14.25" customHeight="1">
      <c r="A1244" s="1693">
        <v>1</v>
      </c>
      <c r="B1244" s="616">
        <v>1</v>
      </c>
      <c r="C1244" s="1693">
        <v>1</v>
      </c>
      <c r="D1244" s="616">
        <v>1</v>
      </c>
      <c r="E1244" s="1693">
        <v>1</v>
      </c>
      <c r="F1244" s="616">
        <v>1</v>
      </c>
      <c r="G1244" s="1693">
        <v>1227</v>
      </c>
      <c r="H1244" s="616">
        <v>1</v>
      </c>
      <c r="I1244" s="616"/>
      <c r="J1244" s="1069"/>
      <c r="K1244" s="1069"/>
      <c r="L1244" s="519"/>
      <c r="O1244" s="840"/>
      <c r="T1244" s="840"/>
      <c r="U1244" s="843" t="s">
        <v>563</v>
      </c>
      <c r="V1244" s="843"/>
      <c r="W1244" s="2298"/>
      <c r="X1244" s="2400">
        <v>0</v>
      </c>
      <c r="Y1244" s="2389">
        <v>0</v>
      </c>
      <c r="Z1244" s="2389">
        <v>0</v>
      </c>
      <c r="AA1244" s="2389">
        <v>0</v>
      </c>
      <c r="AB1244" s="2389">
        <v>0</v>
      </c>
      <c r="AC1244" s="2389">
        <v>0</v>
      </c>
      <c r="AD1244" s="2389">
        <v>0</v>
      </c>
      <c r="AE1244" s="2389">
        <v>0</v>
      </c>
      <c r="AF1244" s="2389">
        <v>0</v>
      </c>
      <c r="AG1244" s="2389">
        <v>0</v>
      </c>
      <c r="AH1244" s="2389">
        <v>0</v>
      </c>
      <c r="AI1244" s="2389">
        <v>0</v>
      </c>
      <c r="AJ1244" s="2387">
        <v>0</v>
      </c>
      <c r="AK1244" s="2388">
        <v>0</v>
      </c>
      <c r="AL1244" s="2388">
        <v>0</v>
      </c>
      <c r="AM1244" s="2401">
        <v>0</v>
      </c>
      <c r="AN1244" s="2401">
        <v>0</v>
      </c>
      <c r="AO1244" s="2388">
        <v>0</v>
      </c>
      <c r="AP1244" s="2402">
        <v>0</v>
      </c>
    </row>
    <row r="1245" spans="1:42" s="517" customFormat="1" ht="14.25" customHeight="1">
      <c r="A1245" s="1693">
        <v>1</v>
      </c>
      <c r="B1245" s="616">
        <v>1</v>
      </c>
      <c r="C1245" s="1693">
        <v>1</v>
      </c>
      <c r="D1245" s="616">
        <v>1</v>
      </c>
      <c r="E1245" s="1693">
        <v>1</v>
      </c>
      <c r="F1245" s="616">
        <v>1</v>
      </c>
      <c r="G1245" s="1693">
        <v>1228</v>
      </c>
      <c r="H1245" s="616">
        <v>1</v>
      </c>
      <c r="I1245" s="616"/>
      <c r="J1245" s="1069"/>
      <c r="K1245" s="1069"/>
      <c r="L1245" s="519"/>
      <c r="O1245" s="844"/>
      <c r="P1245" s="834"/>
      <c r="Q1245" s="834"/>
      <c r="R1245" s="834"/>
      <c r="S1245" s="834"/>
      <c r="T1245" s="844"/>
      <c r="U1245" s="845" t="s">
        <v>601</v>
      </c>
      <c r="V1245" s="845"/>
      <c r="W1245" s="2298"/>
      <c r="X1245" s="2390">
        <v>0</v>
      </c>
      <c r="Y1245" s="2391">
        <v>0</v>
      </c>
      <c r="Z1245" s="2391">
        <v>0</v>
      </c>
      <c r="AA1245" s="2391">
        <v>0</v>
      </c>
      <c r="AB1245" s="2391">
        <v>0</v>
      </c>
      <c r="AC1245" s="2391">
        <v>0</v>
      </c>
      <c r="AD1245" s="2391">
        <v>0</v>
      </c>
      <c r="AE1245" s="2391">
        <v>0</v>
      </c>
      <c r="AF1245" s="2391">
        <v>0</v>
      </c>
      <c r="AG1245" s="2391">
        <v>0</v>
      </c>
      <c r="AH1245" s="2391">
        <v>0</v>
      </c>
      <c r="AI1245" s="2391">
        <v>0</v>
      </c>
      <c r="AJ1245" s="2392">
        <v>0</v>
      </c>
      <c r="AK1245" s="2393">
        <v>0</v>
      </c>
      <c r="AL1245" s="2393">
        <v>0</v>
      </c>
      <c r="AM1245" s="2393">
        <v>0</v>
      </c>
      <c r="AN1245" s="2393">
        <v>0</v>
      </c>
      <c r="AO1245" s="2393">
        <v>0</v>
      </c>
      <c r="AP1245" s="2391">
        <v>0</v>
      </c>
    </row>
    <row r="1246" spans="1:42" s="517" customFormat="1" ht="14.25" customHeight="1">
      <c r="A1246" s="1693">
        <v>1</v>
      </c>
      <c r="B1246" s="616">
        <v>1</v>
      </c>
      <c r="C1246" s="1693">
        <v>1</v>
      </c>
      <c r="D1246" s="616">
        <v>1</v>
      </c>
      <c r="E1246" s="1693">
        <v>1</v>
      </c>
      <c r="F1246" s="616">
        <v>1</v>
      </c>
      <c r="G1246" s="1693">
        <v>1229</v>
      </c>
      <c r="H1246" s="616">
        <v>1</v>
      </c>
      <c r="I1246" s="616"/>
      <c r="J1246" s="1069"/>
      <c r="K1246" s="1069"/>
      <c r="L1246" s="519"/>
      <c r="O1246" s="837" t="s">
        <v>668</v>
      </c>
      <c r="P1246" s="833"/>
      <c r="Q1246" s="833"/>
      <c r="R1246" s="833"/>
      <c r="S1246" s="833"/>
      <c r="T1246" s="841"/>
      <c r="U1246" s="841" t="s">
        <v>28</v>
      </c>
      <c r="V1246" s="841"/>
      <c r="W1246" s="1920"/>
      <c r="X1246" s="2380"/>
      <c r="Y1246" s="2381"/>
      <c r="Z1246" s="2381"/>
      <c r="AA1246" s="2381"/>
      <c r="AB1246" s="2381"/>
      <c r="AC1246" s="2381"/>
      <c r="AD1246" s="2381"/>
      <c r="AE1246" s="2381"/>
      <c r="AF1246" s="2381"/>
      <c r="AG1246" s="2381"/>
      <c r="AH1246" s="2381"/>
      <c r="AI1246" s="2381"/>
      <c r="AJ1246" s="2405">
        <v>0</v>
      </c>
      <c r="AK1246" s="2406">
        <v>0</v>
      </c>
      <c r="AL1246" s="2406">
        <v>0</v>
      </c>
      <c r="AM1246" s="2407">
        <v>0</v>
      </c>
      <c r="AN1246" s="2407">
        <v>0</v>
      </c>
      <c r="AO1246" s="2406">
        <v>0</v>
      </c>
      <c r="AP1246" s="2405">
        <v>0</v>
      </c>
    </row>
    <row r="1247" spans="1:42" s="517" customFormat="1" ht="14.25" customHeight="1">
      <c r="A1247" s="1693">
        <v>1</v>
      </c>
      <c r="B1247" s="616">
        <v>1</v>
      </c>
      <c r="C1247" s="1693">
        <v>1</v>
      </c>
      <c r="D1247" s="616">
        <v>1</v>
      </c>
      <c r="E1247" s="1693">
        <v>1</v>
      </c>
      <c r="F1247" s="616">
        <v>1</v>
      </c>
      <c r="G1247" s="1693">
        <v>1230</v>
      </c>
      <c r="H1247" s="616">
        <v>1</v>
      </c>
      <c r="I1247" s="616"/>
      <c r="J1247" s="1069"/>
      <c r="K1247" s="1069"/>
      <c r="L1247" s="519"/>
      <c r="O1247" s="840"/>
      <c r="T1247" s="842"/>
      <c r="U1247" s="842" t="s">
        <v>63</v>
      </c>
      <c r="V1247" s="842"/>
      <c r="W1247" s="1920"/>
      <c r="X1247" s="2380"/>
      <c r="Y1247" s="2381"/>
      <c r="Z1247" s="2381"/>
      <c r="AA1247" s="2381"/>
      <c r="AB1247" s="2381"/>
      <c r="AC1247" s="2381"/>
      <c r="AD1247" s="2381"/>
      <c r="AE1247" s="2381"/>
      <c r="AF1247" s="2381"/>
      <c r="AG1247" s="2381"/>
      <c r="AH1247" s="2381"/>
      <c r="AI1247" s="2381"/>
      <c r="AJ1247" s="2382">
        <v>0</v>
      </c>
      <c r="AK1247" s="2383">
        <v>0</v>
      </c>
      <c r="AL1247" s="2383">
        <v>0</v>
      </c>
      <c r="AM1247" s="2398">
        <v>0</v>
      </c>
      <c r="AN1247" s="2398">
        <v>0</v>
      </c>
      <c r="AO1247" s="2383">
        <v>0</v>
      </c>
      <c r="AP1247" s="2382">
        <v>0</v>
      </c>
    </row>
    <row r="1248" spans="1:42" s="517" customFormat="1" ht="14.25" customHeight="1">
      <c r="A1248" s="1693">
        <v>1</v>
      </c>
      <c r="B1248" s="616">
        <v>1</v>
      </c>
      <c r="C1248" s="1693">
        <v>1</v>
      </c>
      <c r="D1248" s="616">
        <v>1</v>
      </c>
      <c r="E1248" s="1693">
        <v>1</v>
      </c>
      <c r="F1248" s="616">
        <v>1</v>
      </c>
      <c r="G1248" s="1693">
        <v>1231</v>
      </c>
      <c r="H1248" s="616">
        <v>1</v>
      </c>
      <c r="I1248" s="616"/>
      <c r="J1248" s="1069"/>
      <c r="K1248" s="1069"/>
      <c r="L1248" s="519"/>
      <c r="O1248" s="840"/>
      <c r="T1248" s="842"/>
      <c r="U1248" s="843" t="s">
        <v>62</v>
      </c>
      <c r="V1248" s="843"/>
      <c r="W1248" s="1920"/>
      <c r="X1248" s="2385"/>
      <c r="Y1248" s="2386"/>
      <c r="Z1248" s="2386"/>
      <c r="AA1248" s="2386"/>
      <c r="AB1248" s="2386"/>
      <c r="AC1248" s="2386"/>
      <c r="AD1248" s="2386"/>
      <c r="AE1248" s="2386"/>
      <c r="AF1248" s="2386"/>
      <c r="AG1248" s="2386"/>
      <c r="AH1248" s="2386"/>
      <c r="AI1248" s="2386"/>
      <c r="AJ1248" s="2387">
        <v>0</v>
      </c>
      <c r="AK1248" s="2388">
        <v>0</v>
      </c>
      <c r="AL1248" s="2388">
        <v>0</v>
      </c>
      <c r="AM1248" s="2401">
        <v>0</v>
      </c>
      <c r="AN1248" s="2401">
        <v>0</v>
      </c>
      <c r="AO1248" s="2388">
        <v>0</v>
      </c>
      <c r="AP1248" s="2387">
        <v>0</v>
      </c>
    </row>
    <row r="1249" spans="1:42" s="517" customFormat="1" ht="14.25" customHeight="1">
      <c r="A1249" s="1693">
        <v>1</v>
      </c>
      <c r="B1249" s="616">
        <v>1</v>
      </c>
      <c r="C1249" s="1693">
        <v>1</v>
      </c>
      <c r="D1249" s="616">
        <v>1</v>
      </c>
      <c r="E1249" s="1693">
        <v>1</v>
      </c>
      <c r="F1249" s="616">
        <v>1</v>
      </c>
      <c r="G1249" s="1693">
        <v>1232</v>
      </c>
      <c r="H1249" s="616">
        <v>1</v>
      </c>
      <c r="I1249" s="616"/>
      <c r="J1249" s="1069"/>
      <c r="K1249" s="1069"/>
      <c r="L1249" s="519"/>
      <c r="O1249" s="844"/>
      <c r="P1249" s="834"/>
      <c r="Q1249" s="834"/>
      <c r="R1249" s="834"/>
      <c r="S1249" s="834"/>
      <c r="T1249" s="845"/>
      <c r="U1249" s="845" t="s">
        <v>601</v>
      </c>
      <c r="V1249" s="845"/>
      <c r="W1249" s="1851"/>
      <c r="X1249" s="2408">
        <v>0</v>
      </c>
      <c r="Y1249" s="2393">
        <v>0</v>
      </c>
      <c r="Z1249" s="2393">
        <v>0</v>
      </c>
      <c r="AA1249" s="2393">
        <v>0</v>
      </c>
      <c r="AB1249" s="2393">
        <v>0</v>
      </c>
      <c r="AC1249" s="2393">
        <v>0</v>
      </c>
      <c r="AD1249" s="2393">
        <v>0</v>
      </c>
      <c r="AE1249" s="2393">
        <v>0</v>
      </c>
      <c r="AF1249" s="2393">
        <v>0</v>
      </c>
      <c r="AG1249" s="2393">
        <v>0</v>
      </c>
      <c r="AH1249" s="2393">
        <v>0</v>
      </c>
      <c r="AI1249" s="2393">
        <v>0</v>
      </c>
      <c r="AJ1249" s="2392">
        <v>0</v>
      </c>
      <c r="AK1249" s="2393">
        <v>0</v>
      </c>
      <c r="AL1249" s="2393">
        <v>0</v>
      </c>
      <c r="AM1249" s="2408">
        <v>0</v>
      </c>
      <c r="AN1249" s="2408">
        <v>0</v>
      </c>
      <c r="AO1249" s="2393">
        <v>0</v>
      </c>
      <c r="AP1249" s="2392">
        <v>0</v>
      </c>
    </row>
    <row r="1250" spans="1:42" s="517" customFormat="1" ht="14.25" customHeight="1">
      <c r="A1250" s="1693">
        <v>1</v>
      </c>
      <c r="B1250" s="616">
        <v>1</v>
      </c>
      <c r="C1250" s="1693">
        <v>1</v>
      </c>
      <c r="D1250" s="616">
        <v>1</v>
      </c>
      <c r="E1250" s="1693">
        <v>1</v>
      </c>
      <c r="F1250" s="616">
        <v>1</v>
      </c>
      <c r="G1250" s="1693">
        <v>1233</v>
      </c>
      <c r="H1250" s="616">
        <v>1</v>
      </c>
      <c r="I1250" s="616"/>
      <c r="J1250" s="1069"/>
      <c r="K1250" s="1069"/>
      <c r="L1250" s="519"/>
      <c r="O1250" s="516"/>
      <c r="P1250" s="516"/>
      <c r="Q1250" s="516"/>
      <c r="R1250" s="516"/>
      <c r="S1250" s="516"/>
      <c r="T1250" s="516"/>
      <c r="U1250" s="516"/>
      <c r="V1250" s="516"/>
      <c r="W1250" s="1837"/>
    </row>
    <row r="1251" spans="1:42" s="621" customFormat="1" ht="18" outlineLevel="1">
      <c r="A1251" s="1693">
        <v>2</v>
      </c>
      <c r="B1251" s="653"/>
      <c r="C1251" s="1693">
        <v>2</v>
      </c>
      <c r="D1251" s="653"/>
      <c r="E1251" s="1693">
        <v>1018</v>
      </c>
      <c r="F1251" s="653"/>
      <c r="G1251" s="1693">
        <v>1234</v>
      </c>
      <c r="H1251" s="653"/>
      <c r="I1251" s="653"/>
      <c r="J1251" s="709" t="s">
        <v>512</v>
      </c>
      <c r="K1251" s="1069"/>
      <c r="L1251" s="654" t="s">
        <v>693</v>
      </c>
      <c r="M1251" s="654"/>
      <c r="N1251" s="623"/>
      <c r="O1251" s="622"/>
      <c r="Q1251" s="622"/>
      <c r="R1251" s="622"/>
      <c r="W1251" s="1772"/>
      <c r="X1251" s="1661"/>
      <c r="Y1251" s="1661"/>
      <c r="Z1251" s="1661"/>
      <c r="AA1251" s="1661"/>
      <c r="AB1251" s="1661"/>
      <c r="AC1251" s="1661"/>
      <c r="AD1251" s="1661"/>
      <c r="AE1251" s="1661"/>
      <c r="AF1251" s="1661"/>
      <c r="AG1251" s="1661"/>
      <c r="AH1251" s="624"/>
      <c r="AI1251" s="624"/>
      <c r="AJ1251" s="624"/>
      <c r="AK1251" s="624"/>
      <c r="AL1251" s="624"/>
      <c r="AM1251" s="624"/>
      <c r="AN1251" s="624"/>
      <c r="AO1251" s="624"/>
      <c r="AP1251" s="624"/>
    </row>
    <row r="1252" spans="1:42" s="621" customFormat="1" ht="14.5" outlineLevel="1">
      <c r="A1252" s="1693">
        <v>3</v>
      </c>
      <c r="B1252" s="653"/>
      <c r="C1252" s="1693">
        <v>3</v>
      </c>
      <c r="D1252" s="653"/>
      <c r="E1252" s="1693">
        <v>1019</v>
      </c>
      <c r="F1252" s="653"/>
      <c r="G1252" s="1693">
        <v>1235</v>
      </c>
      <c r="H1252" s="653"/>
      <c r="I1252" s="653"/>
      <c r="J1252" s="709" t="s">
        <v>512</v>
      </c>
      <c r="K1252" s="1069"/>
      <c r="L1252" s="622"/>
      <c r="M1252" s="623" t="s">
        <v>952</v>
      </c>
      <c r="N1252" s="622"/>
      <c r="O1252" s="622"/>
      <c r="Q1252" s="622"/>
      <c r="R1252" s="622"/>
      <c r="V1252" s="622"/>
      <c r="W1252" s="1772"/>
      <c r="X1252" s="1661"/>
      <c r="Y1252" s="1661"/>
      <c r="Z1252" s="1661"/>
      <c r="AA1252" s="1661"/>
      <c r="AB1252" s="1661"/>
      <c r="AC1252" s="1661"/>
      <c r="AD1252" s="1661"/>
      <c r="AE1252" s="1661"/>
      <c r="AF1252" s="1661"/>
      <c r="AG1252" s="1661"/>
      <c r="AH1252" s="624"/>
      <c r="AI1252" s="624"/>
      <c r="AJ1252" s="624"/>
      <c r="AK1252" s="624"/>
      <c r="AL1252" s="624"/>
      <c r="AM1252" s="624"/>
      <c r="AN1252" s="624"/>
      <c r="AO1252" s="624"/>
      <c r="AP1252" s="624"/>
    </row>
    <row r="1253" spans="1:42" s="621" customFormat="1" ht="14.5" outlineLevel="1">
      <c r="A1253" s="1693">
        <v>4</v>
      </c>
      <c r="B1253" s="653"/>
      <c r="C1253" s="1693">
        <v>4</v>
      </c>
      <c r="D1253" s="653"/>
      <c r="E1253" s="1693">
        <v>1020</v>
      </c>
      <c r="F1253" s="653"/>
      <c r="G1253" s="1693">
        <v>1236</v>
      </c>
      <c r="H1253" s="653"/>
      <c r="I1253" s="653"/>
      <c r="J1253" s="709" t="s">
        <v>512</v>
      </c>
      <c r="K1253" s="1069"/>
      <c r="L1253" s="622"/>
      <c r="M1253" s="623"/>
      <c r="N1253" s="622"/>
      <c r="O1253" s="655" t="s">
        <v>601</v>
      </c>
      <c r="P1253" s="656"/>
      <c r="Q1253" s="657"/>
      <c r="R1253" s="657"/>
      <c r="S1253" s="656"/>
      <c r="T1253" s="656"/>
      <c r="U1253" s="656"/>
      <c r="V1253" s="658"/>
      <c r="W1253" s="2409"/>
      <c r="X1253" s="2410">
        <v>0</v>
      </c>
      <c r="Y1253" s="2410">
        <v>0</v>
      </c>
      <c r="Z1253" s="2410">
        <v>0</v>
      </c>
      <c r="AA1253" s="2410">
        <v>0</v>
      </c>
      <c r="AB1253" s="2410">
        <v>0</v>
      </c>
      <c r="AC1253" s="2410">
        <v>0</v>
      </c>
      <c r="AD1253" s="2410">
        <v>0</v>
      </c>
      <c r="AE1253" s="2410">
        <v>0</v>
      </c>
      <c r="AF1253" s="2410">
        <v>0</v>
      </c>
      <c r="AG1253" s="2410">
        <v>0</v>
      </c>
      <c r="AH1253" s="2410">
        <v>0</v>
      </c>
      <c r="AI1253" s="2410">
        <v>0</v>
      </c>
      <c r="AJ1253" s="2411">
        <v>0</v>
      </c>
      <c r="AK1253" s="2411">
        <v>0</v>
      </c>
      <c r="AL1253" s="2411">
        <v>0</v>
      </c>
      <c r="AM1253" s="2411">
        <v>0</v>
      </c>
      <c r="AN1253" s="2411">
        <v>0</v>
      </c>
      <c r="AO1253" s="2411">
        <v>0</v>
      </c>
      <c r="AP1253" s="2411">
        <v>0</v>
      </c>
    </row>
    <row r="1254" spans="1:42" s="621" customFormat="1" ht="14.5" outlineLevel="1">
      <c r="A1254" s="1693">
        <v>5</v>
      </c>
      <c r="B1254" s="653"/>
      <c r="C1254" s="1693">
        <v>5</v>
      </c>
      <c r="D1254" s="653"/>
      <c r="E1254" s="1693">
        <v>1021</v>
      </c>
      <c r="F1254" s="653"/>
      <c r="G1254" s="1693">
        <v>1237</v>
      </c>
      <c r="H1254" s="653"/>
      <c r="I1254" s="653"/>
      <c r="J1254" s="709" t="s">
        <v>512</v>
      </c>
      <c r="K1254" s="1069"/>
      <c r="L1254" s="622"/>
      <c r="M1254" s="623"/>
      <c r="N1254" s="622"/>
      <c r="O1254" s="660"/>
      <c r="P1254" s="661" t="s">
        <v>1165</v>
      </c>
      <c r="Q1254" s="662"/>
      <c r="R1254" s="662"/>
      <c r="S1254" s="663"/>
      <c r="T1254" s="663"/>
      <c r="U1254" s="663"/>
      <c r="V1254" s="664"/>
      <c r="W1254" s="1850"/>
      <c r="X1254" s="2412">
        <v>0</v>
      </c>
      <c r="Y1254" s="2412">
        <v>0</v>
      </c>
      <c r="Z1254" s="2412">
        <v>0</v>
      </c>
      <c r="AA1254" s="2412">
        <v>0</v>
      </c>
      <c r="AB1254" s="2412">
        <v>0</v>
      </c>
      <c r="AC1254" s="2412">
        <v>0</v>
      </c>
      <c r="AD1254" s="2412">
        <v>0</v>
      </c>
      <c r="AE1254" s="2412">
        <v>0</v>
      </c>
      <c r="AF1254" s="2412">
        <v>0</v>
      </c>
      <c r="AG1254" s="2412">
        <v>0</v>
      </c>
      <c r="AH1254" s="2412">
        <v>0</v>
      </c>
      <c r="AI1254" s="2412">
        <v>0</v>
      </c>
      <c r="AJ1254" s="2413">
        <v>0</v>
      </c>
      <c r="AK1254" s="2413">
        <v>0</v>
      </c>
      <c r="AL1254" s="2413">
        <v>0</v>
      </c>
      <c r="AM1254" s="2413">
        <v>0</v>
      </c>
      <c r="AN1254" s="2413">
        <v>0</v>
      </c>
      <c r="AO1254" s="2413">
        <v>0</v>
      </c>
      <c r="AP1254" s="2413">
        <v>0</v>
      </c>
    </row>
    <row r="1255" spans="1:42" s="621" customFormat="1" ht="14.5" outlineLevel="1">
      <c r="A1255" s="1693">
        <v>6</v>
      </c>
      <c r="B1255" s="653"/>
      <c r="C1255" s="1693">
        <v>6</v>
      </c>
      <c r="D1255" s="653"/>
      <c r="E1255" s="1693">
        <v>1022</v>
      </c>
      <c r="F1255" s="653"/>
      <c r="G1255" s="1693">
        <v>1238</v>
      </c>
      <c r="H1255" s="653"/>
      <c r="I1255" s="653"/>
      <c r="J1255" s="709" t="s">
        <v>512</v>
      </c>
      <c r="K1255" s="1069"/>
      <c r="L1255" s="622"/>
      <c r="M1255" s="623"/>
      <c r="N1255" s="623"/>
      <c r="O1255" s="666"/>
      <c r="P1255" s="667" t="s">
        <v>1166</v>
      </c>
      <c r="Q1255" s="668"/>
      <c r="R1255" s="668"/>
      <c r="S1255" s="669"/>
      <c r="T1255" s="669"/>
      <c r="U1255" s="669"/>
      <c r="V1255" s="670"/>
      <c r="W1255" s="1850"/>
      <c r="X1255" s="2414">
        <v>0</v>
      </c>
      <c r="Y1255" s="2414">
        <v>0</v>
      </c>
      <c r="Z1255" s="2414">
        <v>0</v>
      </c>
      <c r="AA1255" s="2414">
        <v>0</v>
      </c>
      <c r="AB1255" s="2414">
        <v>0</v>
      </c>
      <c r="AC1255" s="2414">
        <v>0</v>
      </c>
      <c r="AD1255" s="2414">
        <v>0</v>
      </c>
      <c r="AE1255" s="2414">
        <v>0</v>
      </c>
      <c r="AF1255" s="2414">
        <v>0</v>
      </c>
      <c r="AG1255" s="2414">
        <v>0</v>
      </c>
      <c r="AH1255" s="2414">
        <v>0</v>
      </c>
      <c r="AI1255" s="2414">
        <v>0</v>
      </c>
      <c r="AJ1255" s="2415">
        <v>0</v>
      </c>
      <c r="AK1255" s="2415">
        <v>0</v>
      </c>
      <c r="AL1255" s="2415">
        <v>0</v>
      </c>
      <c r="AM1255" s="2415">
        <v>0</v>
      </c>
      <c r="AN1255" s="2415">
        <v>0</v>
      </c>
      <c r="AO1255" s="2415">
        <v>0</v>
      </c>
      <c r="AP1255" s="2415">
        <v>0</v>
      </c>
    </row>
    <row r="1256" spans="1:42" s="621" customFormat="1" ht="14.5" outlineLevel="1">
      <c r="A1256" s="1693">
        <v>7</v>
      </c>
      <c r="B1256" s="653"/>
      <c r="C1256" s="1693">
        <v>7</v>
      </c>
      <c r="D1256" s="653"/>
      <c r="E1256" s="1693">
        <v>1023</v>
      </c>
      <c r="F1256" s="653"/>
      <c r="G1256" s="1693">
        <v>1239</v>
      </c>
      <c r="H1256" s="653"/>
      <c r="I1256" s="653"/>
      <c r="J1256" s="709" t="s">
        <v>512</v>
      </c>
      <c r="K1256" s="1069"/>
      <c r="L1256" s="622"/>
      <c r="M1256" s="622"/>
      <c r="N1256" s="623"/>
      <c r="O1256" s="622"/>
      <c r="Q1256" s="622"/>
      <c r="R1256" s="622"/>
      <c r="W1256" s="1772"/>
      <c r="X1256" s="1661"/>
      <c r="Y1256" s="1661"/>
      <c r="Z1256" s="1661"/>
      <c r="AA1256" s="1661"/>
      <c r="AB1256" s="1661"/>
      <c r="AC1256" s="1661"/>
      <c r="AD1256" s="1661"/>
      <c r="AE1256" s="1661"/>
      <c r="AF1256" s="1661"/>
      <c r="AG1256" s="1661"/>
      <c r="AH1256" s="624"/>
      <c r="AI1256" s="624"/>
      <c r="AJ1256" s="624"/>
      <c r="AK1256" s="624"/>
      <c r="AL1256" s="624"/>
      <c r="AM1256" s="624"/>
      <c r="AN1256" s="624"/>
      <c r="AO1256" s="624"/>
      <c r="AP1256" s="624"/>
    </row>
    <row r="1257" spans="1:42" s="621" customFormat="1" ht="15.5" outlineLevel="1">
      <c r="A1257" s="1693">
        <v>8</v>
      </c>
      <c r="B1257" s="653"/>
      <c r="C1257" s="1693">
        <v>8</v>
      </c>
      <c r="D1257" s="653"/>
      <c r="E1257" s="1693">
        <v>1024</v>
      </c>
      <c r="F1257" s="653"/>
      <c r="G1257" s="1693">
        <v>1240</v>
      </c>
      <c r="H1257" s="653"/>
      <c r="I1257" s="653"/>
      <c r="J1257" s="709" t="s">
        <v>512</v>
      </c>
      <c r="K1257" s="1069"/>
      <c r="L1257" s="622"/>
      <c r="M1257" s="672" t="s">
        <v>953</v>
      </c>
      <c r="N1257" s="623"/>
      <c r="O1257" s="622"/>
      <c r="P1257" s="673"/>
      <c r="Q1257" s="674"/>
      <c r="R1257" s="673"/>
      <c r="S1257" s="673"/>
      <c r="T1257" s="674"/>
      <c r="U1257" s="674"/>
      <c r="V1257" s="674"/>
      <c r="W1257" s="1773"/>
      <c r="X1257" s="1662"/>
      <c r="Y1257" s="1662"/>
      <c r="Z1257" s="1662"/>
      <c r="AA1257" s="1662"/>
      <c r="AB1257" s="1662"/>
      <c r="AC1257" s="1662"/>
      <c r="AD1257" s="1663"/>
      <c r="AE1257" s="1663"/>
      <c r="AF1257" s="1663"/>
      <c r="AG1257" s="1663"/>
      <c r="AH1257" s="1663"/>
      <c r="AI1257" s="1663"/>
      <c r="AJ1257" s="1663"/>
      <c r="AK1257" s="1663"/>
      <c r="AL1257" s="1663"/>
      <c r="AM1257" s="1663"/>
      <c r="AN1257" s="1663"/>
      <c r="AO1257" s="1663"/>
      <c r="AP1257" s="1663"/>
    </row>
    <row r="1258" spans="1:42" s="621" customFormat="1" ht="14.5" outlineLevel="1">
      <c r="A1258" s="1693">
        <v>9</v>
      </c>
      <c r="B1258" s="653"/>
      <c r="C1258" s="1693">
        <v>9</v>
      </c>
      <c r="D1258" s="653"/>
      <c r="E1258" s="1693">
        <v>1025</v>
      </c>
      <c r="F1258" s="653"/>
      <c r="G1258" s="1693">
        <v>1241</v>
      </c>
      <c r="H1258" s="653"/>
      <c r="I1258" s="653"/>
      <c r="J1258" s="709" t="s">
        <v>512</v>
      </c>
      <c r="K1258" s="1069"/>
      <c r="L1258" s="622"/>
      <c r="M1258" s="623"/>
      <c r="N1258" s="623"/>
      <c r="O1258" s="2416" t="s">
        <v>601</v>
      </c>
      <c r="P1258" s="2417"/>
      <c r="Q1258" s="2418"/>
      <c r="R1258" s="2419"/>
      <c r="S1258" s="2419"/>
      <c r="T1258" s="2418"/>
      <c r="U1258" s="2418"/>
      <c r="V1258" s="2418"/>
      <c r="W1258" s="1849"/>
      <c r="X1258" s="2420">
        <v>0</v>
      </c>
      <c r="Y1258" s="2420">
        <v>0</v>
      </c>
      <c r="Z1258" s="2420">
        <v>0</v>
      </c>
      <c r="AA1258" s="2420">
        <v>0</v>
      </c>
      <c r="AB1258" s="2420">
        <v>0</v>
      </c>
      <c r="AC1258" s="2420">
        <v>0</v>
      </c>
      <c r="AD1258" s="2420">
        <v>0</v>
      </c>
      <c r="AE1258" s="2420">
        <v>0</v>
      </c>
      <c r="AF1258" s="2420">
        <v>0</v>
      </c>
      <c r="AG1258" s="2420">
        <v>0</v>
      </c>
      <c r="AH1258" s="2420">
        <v>0</v>
      </c>
      <c r="AI1258" s="2420">
        <v>0</v>
      </c>
      <c r="AJ1258" s="2420">
        <v>0</v>
      </c>
      <c r="AK1258" s="2420">
        <v>0</v>
      </c>
      <c r="AL1258" s="2420">
        <v>0</v>
      </c>
      <c r="AM1258" s="2420">
        <v>0</v>
      </c>
      <c r="AN1258" s="2420">
        <v>0</v>
      </c>
      <c r="AO1258" s="2420">
        <v>0</v>
      </c>
      <c r="AP1258" s="2420">
        <v>0</v>
      </c>
    </row>
    <row r="1259" spans="1:42" s="621" customFormat="1" ht="14.5" outlineLevel="1">
      <c r="A1259" s="1693">
        <v>10</v>
      </c>
      <c r="B1259" s="653"/>
      <c r="C1259" s="1693">
        <v>10</v>
      </c>
      <c r="D1259" s="653"/>
      <c r="E1259" s="1693">
        <v>1026</v>
      </c>
      <c r="F1259" s="653"/>
      <c r="G1259" s="1693">
        <v>1242</v>
      </c>
      <c r="H1259" s="653"/>
      <c r="I1259" s="653"/>
      <c r="J1259" s="709" t="s">
        <v>512</v>
      </c>
      <c r="K1259" s="1069"/>
      <c r="L1259" s="622"/>
      <c r="M1259" s="623"/>
      <c r="N1259" s="623"/>
      <c r="O1259" s="679"/>
      <c r="P1259" s="679"/>
      <c r="Q1259" s="674"/>
      <c r="R1259" s="673"/>
      <c r="S1259" s="674" t="s">
        <v>1167</v>
      </c>
      <c r="T1259" s="674"/>
      <c r="U1259" s="674"/>
      <c r="V1259" s="674"/>
      <c r="W1259" s="2409"/>
      <c r="X1259" s="2421">
        <v>0</v>
      </c>
      <c r="Y1259" s="2421">
        <v>0</v>
      </c>
      <c r="Z1259" s="2421">
        <v>0</v>
      </c>
      <c r="AA1259" s="2421">
        <v>0</v>
      </c>
      <c r="AB1259" s="2421">
        <v>0</v>
      </c>
      <c r="AC1259" s="2421">
        <v>0</v>
      </c>
      <c r="AD1259" s="2421">
        <v>0</v>
      </c>
      <c r="AE1259" s="2421">
        <v>0</v>
      </c>
      <c r="AF1259" s="2421">
        <v>0</v>
      </c>
      <c r="AG1259" s="2421">
        <v>0</v>
      </c>
      <c r="AH1259" s="2422">
        <v>0</v>
      </c>
      <c r="AI1259" s="2422">
        <v>0</v>
      </c>
      <c r="AJ1259" s="2423">
        <v>0</v>
      </c>
      <c r="AK1259" s="2423">
        <v>0</v>
      </c>
      <c r="AL1259" s="2423">
        <v>0</v>
      </c>
      <c r="AM1259" s="2423">
        <v>0</v>
      </c>
      <c r="AN1259" s="2423">
        <v>0</v>
      </c>
      <c r="AO1259" s="2423">
        <v>0</v>
      </c>
      <c r="AP1259" s="2423">
        <v>0</v>
      </c>
    </row>
    <row r="1260" spans="1:42" s="621" customFormat="1" ht="14.5" outlineLevel="1">
      <c r="A1260" s="1693">
        <v>11</v>
      </c>
      <c r="B1260" s="653"/>
      <c r="C1260" s="1693">
        <v>11</v>
      </c>
      <c r="D1260" s="653"/>
      <c r="E1260" s="1693">
        <v>1027</v>
      </c>
      <c r="F1260" s="653"/>
      <c r="G1260" s="1693">
        <v>1243</v>
      </c>
      <c r="H1260" s="653"/>
      <c r="I1260" s="653"/>
      <c r="J1260" s="709" t="s">
        <v>512</v>
      </c>
      <c r="K1260" s="1069"/>
      <c r="L1260" s="622"/>
      <c r="M1260" s="623"/>
      <c r="N1260" s="623"/>
      <c r="O1260" s="681"/>
      <c r="P1260" s="682"/>
      <c r="Q1260" s="683"/>
      <c r="R1260" s="684"/>
      <c r="S1260" s="683" t="s">
        <v>1168</v>
      </c>
      <c r="T1260" s="683"/>
      <c r="U1260" s="683"/>
      <c r="V1260" s="683"/>
      <c r="W1260" s="2409"/>
      <c r="X1260" s="2424">
        <v>0</v>
      </c>
      <c r="Y1260" s="2424">
        <v>0</v>
      </c>
      <c r="Z1260" s="2424">
        <v>0</v>
      </c>
      <c r="AA1260" s="2424">
        <v>0</v>
      </c>
      <c r="AB1260" s="2424">
        <v>0</v>
      </c>
      <c r="AC1260" s="2424">
        <v>0</v>
      </c>
      <c r="AD1260" s="2424">
        <v>0</v>
      </c>
      <c r="AE1260" s="2424">
        <v>0</v>
      </c>
      <c r="AF1260" s="2424">
        <v>0</v>
      </c>
      <c r="AG1260" s="2424">
        <v>0</v>
      </c>
      <c r="AH1260" s="2424">
        <v>0</v>
      </c>
      <c r="AI1260" s="2424">
        <v>0</v>
      </c>
      <c r="AJ1260" s="2425">
        <v>0</v>
      </c>
      <c r="AK1260" s="2425">
        <v>0</v>
      </c>
      <c r="AL1260" s="2425">
        <v>0</v>
      </c>
      <c r="AM1260" s="2425">
        <v>0</v>
      </c>
      <c r="AN1260" s="2425">
        <v>0</v>
      </c>
      <c r="AO1260" s="2425">
        <v>0</v>
      </c>
      <c r="AP1260" s="2425">
        <v>0</v>
      </c>
    </row>
    <row r="1261" spans="1:42" s="621" customFormat="1" ht="14.5" outlineLevel="1">
      <c r="A1261" s="1693">
        <v>12</v>
      </c>
      <c r="B1261" s="653"/>
      <c r="C1261" s="1693">
        <v>12</v>
      </c>
      <c r="D1261" s="653"/>
      <c r="E1261" s="1693">
        <v>1028</v>
      </c>
      <c r="F1261" s="653"/>
      <c r="G1261" s="1693">
        <v>1244</v>
      </c>
      <c r="H1261" s="653"/>
      <c r="I1261" s="653"/>
      <c r="J1261" s="709" t="s">
        <v>512</v>
      </c>
      <c r="K1261" s="1069"/>
      <c r="L1261" s="622"/>
      <c r="M1261" s="623"/>
      <c r="N1261" s="623"/>
      <c r="O1261" s="673"/>
      <c r="P1261" s="673"/>
      <c r="Q1261" s="674"/>
      <c r="R1261" s="673"/>
      <c r="S1261" s="674"/>
      <c r="T1261" s="674"/>
      <c r="U1261" s="674"/>
      <c r="V1261" s="674"/>
      <c r="W1261" s="1849"/>
      <c r="X1261" s="2426"/>
      <c r="Y1261" s="2426"/>
      <c r="Z1261" s="2426"/>
      <c r="AA1261" s="2426"/>
      <c r="AB1261" s="2426"/>
      <c r="AC1261" s="2426"/>
      <c r="AD1261" s="2427"/>
      <c r="AE1261" s="2427"/>
      <c r="AF1261" s="2427"/>
      <c r="AG1261" s="2427"/>
      <c r="AH1261" s="2427"/>
      <c r="AI1261" s="2427"/>
      <c r="AJ1261" s="2427"/>
      <c r="AK1261" s="2427"/>
      <c r="AL1261" s="2427"/>
      <c r="AM1261" s="2427"/>
      <c r="AN1261" s="2427"/>
      <c r="AO1261" s="2427"/>
      <c r="AP1261" s="2427"/>
    </row>
    <row r="1262" spans="1:42" s="621" customFormat="1" ht="15.5" outlineLevel="1">
      <c r="A1262" s="1693">
        <v>13</v>
      </c>
      <c r="B1262" s="653"/>
      <c r="C1262" s="1693">
        <v>13</v>
      </c>
      <c r="D1262" s="653"/>
      <c r="E1262" s="1693">
        <v>1029</v>
      </c>
      <c r="F1262" s="653"/>
      <c r="G1262" s="1693">
        <v>1245</v>
      </c>
      <c r="H1262" s="653"/>
      <c r="I1262" s="653"/>
      <c r="J1262" s="709" t="s">
        <v>512</v>
      </c>
      <c r="K1262" s="1069"/>
      <c r="L1262" s="622"/>
      <c r="M1262" s="672" t="s">
        <v>954</v>
      </c>
      <c r="N1262" s="624"/>
      <c r="O1262" s="622"/>
      <c r="P1262" s="673"/>
      <c r="Q1262" s="674"/>
      <c r="R1262" s="673"/>
      <c r="S1262" s="674"/>
      <c r="T1262" s="674"/>
      <c r="U1262" s="674"/>
      <c r="V1262" s="674"/>
      <c r="W1262" s="1849"/>
      <c r="X1262" s="2426"/>
      <c r="Y1262" s="2426"/>
      <c r="Z1262" s="2426"/>
      <c r="AA1262" s="2426"/>
      <c r="AB1262" s="2426"/>
      <c r="AC1262" s="2426"/>
      <c r="AD1262" s="2427"/>
      <c r="AE1262" s="2427"/>
      <c r="AF1262" s="2427"/>
      <c r="AG1262" s="2427"/>
      <c r="AH1262" s="2427"/>
      <c r="AI1262" s="2427"/>
      <c r="AJ1262" s="2427"/>
      <c r="AK1262" s="2427"/>
      <c r="AL1262" s="2427"/>
      <c r="AM1262" s="2427"/>
      <c r="AN1262" s="2427"/>
      <c r="AO1262" s="2427"/>
      <c r="AP1262" s="2427"/>
    </row>
    <row r="1263" spans="1:42" s="621" customFormat="1" ht="14.5" outlineLevel="1">
      <c r="A1263" s="1693">
        <v>14</v>
      </c>
      <c r="B1263" s="653"/>
      <c r="C1263" s="1693">
        <v>14</v>
      </c>
      <c r="D1263" s="653"/>
      <c r="E1263" s="1693">
        <v>1030</v>
      </c>
      <c r="F1263" s="653"/>
      <c r="G1263" s="1693">
        <v>1246</v>
      </c>
      <c r="H1263" s="653"/>
      <c r="I1263" s="653"/>
      <c r="J1263" s="709" t="s">
        <v>512</v>
      </c>
      <c r="K1263" s="1069"/>
      <c r="L1263" s="622"/>
      <c r="M1263" s="623"/>
      <c r="N1263" s="623"/>
      <c r="O1263" s="2416" t="s">
        <v>601</v>
      </c>
      <c r="P1263" s="2417"/>
      <c r="Q1263" s="2418"/>
      <c r="R1263" s="2419"/>
      <c r="S1263" s="2419"/>
      <c r="T1263" s="2418"/>
      <c r="U1263" s="2418"/>
      <c r="V1263" s="2418"/>
      <c r="W1263" s="1849"/>
      <c r="X1263" s="2420">
        <v>0</v>
      </c>
      <c r="Y1263" s="2420">
        <v>0</v>
      </c>
      <c r="Z1263" s="2420">
        <v>0</v>
      </c>
      <c r="AA1263" s="2420">
        <v>0</v>
      </c>
      <c r="AB1263" s="2420">
        <v>0</v>
      </c>
      <c r="AC1263" s="2420">
        <v>0</v>
      </c>
      <c r="AD1263" s="2420">
        <v>0</v>
      </c>
      <c r="AE1263" s="2420">
        <v>0</v>
      </c>
      <c r="AF1263" s="2420">
        <v>0</v>
      </c>
      <c r="AG1263" s="2420">
        <v>0</v>
      </c>
      <c r="AH1263" s="2420">
        <v>0</v>
      </c>
      <c r="AI1263" s="2420">
        <v>0</v>
      </c>
      <c r="AJ1263" s="2420">
        <v>0</v>
      </c>
      <c r="AK1263" s="2420">
        <v>0</v>
      </c>
      <c r="AL1263" s="2420">
        <v>0</v>
      </c>
      <c r="AM1263" s="2420">
        <v>0</v>
      </c>
      <c r="AN1263" s="2420">
        <v>0</v>
      </c>
      <c r="AO1263" s="2420">
        <v>0</v>
      </c>
      <c r="AP1263" s="2420">
        <v>0</v>
      </c>
    </row>
    <row r="1264" spans="1:42" s="621" customFormat="1" ht="14.5" outlineLevel="1">
      <c r="A1264" s="1693">
        <v>15</v>
      </c>
      <c r="B1264" s="653"/>
      <c r="C1264" s="1693">
        <v>15</v>
      </c>
      <c r="D1264" s="653"/>
      <c r="E1264" s="1693">
        <v>1031</v>
      </c>
      <c r="F1264" s="653"/>
      <c r="G1264" s="1693">
        <v>1247</v>
      </c>
      <c r="H1264" s="653"/>
      <c r="I1264" s="653"/>
      <c r="J1264" s="709" t="s">
        <v>512</v>
      </c>
      <c r="K1264" s="1069"/>
      <c r="L1264" s="622"/>
      <c r="M1264" s="623"/>
      <c r="N1264" s="623"/>
      <c r="O1264" s="679"/>
      <c r="P1264" s="679"/>
      <c r="Q1264" s="674"/>
      <c r="R1264" s="673"/>
      <c r="S1264" s="674" t="s">
        <v>1167</v>
      </c>
      <c r="T1264" s="674"/>
      <c r="U1264" s="674"/>
      <c r="V1264" s="674"/>
      <c r="W1264" s="2409"/>
      <c r="X1264" s="2421">
        <v>0</v>
      </c>
      <c r="Y1264" s="2421">
        <v>0</v>
      </c>
      <c r="Z1264" s="2421">
        <v>0</v>
      </c>
      <c r="AA1264" s="2421">
        <v>0</v>
      </c>
      <c r="AB1264" s="2421">
        <v>0</v>
      </c>
      <c r="AC1264" s="2421">
        <v>0</v>
      </c>
      <c r="AD1264" s="2421">
        <v>0</v>
      </c>
      <c r="AE1264" s="2421">
        <v>0</v>
      </c>
      <c r="AF1264" s="2421">
        <v>0</v>
      </c>
      <c r="AG1264" s="2421">
        <v>0</v>
      </c>
      <c r="AH1264" s="2428">
        <v>0</v>
      </c>
      <c r="AI1264" s="2428">
        <v>0</v>
      </c>
      <c r="AJ1264" s="2429">
        <v>0</v>
      </c>
      <c r="AK1264" s="2429">
        <v>0</v>
      </c>
      <c r="AL1264" s="2429">
        <v>0</v>
      </c>
      <c r="AM1264" s="2429">
        <v>0</v>
      </c>
      <c r="AN1264" s="2429">
        <v>0</v>
      </c>
      <c r="AO1264" s="2429">
        <v>0</v>
      </c>
      <c r="AP1264" s="2429">
        <v>0</v>
      </c>
    </row>
    <row r="1265" spans="1:42" s="621" customFormat="1" ht="14.5" outlineLevel="1">
      <c r="A1265" s="1693">
        <v>16</v>
      </c>
      <c r="B1265" s="653"/>
      <c r="C1265" s="1693">
        <v>16</v>
      </c>
      <c r="D1265" s="653"/>
      <c r="E1265" s="1693">
        <v>1032</v>
      </c>
      <c r="F1265" s="653"/>
      <c r="G1265" s="1693">
        <v>1248</v>
      </c>
      <c r="H1265" s="653"/>
      <c r="I1265" s="653"/>
      <c r="J1265" s="709" t="s">
        <v>512</v>
      </c>
      <c r="K1265" s="1069"/>
      <c r="L1265" s="622"/>
      <c r="M1265" s="623"/>
      <c r="N1265" s="623"/>
      <c r="O1265" s="681"/>
      <c r="P1265" s="682"/>
      <c r="Q1265" s="683"/>
      <c r="R1265" s="684"/>
      <c r="S1265" s="683" t="s">
        <v>1168</v>
      </c>
      <c r="T1265" s="683"/>
      <c r="U1265" s="683"/>
      <c r="V1265" s="683"/>
      <c r="W1265" s="2409"/>
      <c r="X1265" s="2424">
        <v>0</v>
      </c>
      <c r="Y1265" s="2424">
        <v>0</v>
      </c>
      <c r="Z1265" s="2424">
        <v>0</v>
      </c>
      <c r="AA1265" s="2424">
        <v>0</v>
      </c>
      <c r="AB1265" s="2424">
        <v>0</v>
      </c>
      <c r="AC1265" s="2424">
        <v>0</v>
      </c>
      <c r="AD1265" s="2424">
        <v>0</v>
      </c>
      <c r="AE1265" s="2424">
        <v>0</v>
      </c>
      <c r="AF1265" s="2424">
        <v>0</v>
      </c>
      <c r="AG1265" s="2424">
        <v>0</v>
      </c>
      <c r="AH1265" s="2430">
        <v>0</v>
      </c>
      <c r="AI1265" s="2430">
        <v>0</v>
      </c>
      <c r="AJ1265" s="2425">
        <v>0</v>
      </c>
      <c r="AK1265" s="2425">
        <v>0</v>
      </c>
      <c r="AL1265" s="2425">
        <v>0</v>
      </c>
      <c r="AM1265" s="2425">
        <v>0</v>
      </c>
      <c r="AN1265" s="2425">
        <v>0</v>
      </c>
      <c r="AO1265" s="2425">
        <v>0</v>
      </c>
      <c r="AP1265" s="2425">
        <v>0</v>
      </c>
    </row>
    <row r="1266" spans="1:42" s="621" customFormat="1" ht="14.5" outlineLevel="1">
      <c r="A1266" s="1693">
        <v>17</v>
      </c>
      <c r="B1266" s="653"/>
      <c r="C1266" s="1693">
        <v>17</v>
      </c>
      <c r="D1266" s="653"/>
      <c r="E1266" s="1693">
        <v>1033</v>
      </c>
      <c r="F1266" s="653"/>
      <c r="G1266" s="1693">
        <v>1249</v>
      </c>
      <c r="H1266" s="653"/>
      <c r="I1266" s="653"/>
      <c r="J1266" s="709" t="s">
        <v>512</v>
      </c>
      <c r="K1266" s="1069"/>
      <c r="L1266" s="622"/>
      <c r="M1266" s="623"/>
      <c r="N1266" s="623"/>
      <c r="O1266" s="622"/>
      <c r="Q1266" s="622"/>
      <c r="R1266" s="622"/>
      <c r="W1266" s="1772"/>
      <c r="X1266" s="1661"/>
      <c r="Y1266" s="1661"/>
      <c r="Z1266" s="1661"/>
      <c r="AA1266" s="1661"/>
      <c r="AB1266" s="1661"/>
      <c r="AC1266" s="1661"/>
      <c r="AD1266" s="1661"/>
      <c r="AE1266" s="1661"/>
      <c r="AF1266" s="1661"/>
      <c r="AG1266" s="1661"/>
      <c r="AH1266" s="624"/>
      <c r="AI1266" s="624"/>
      <c r="AJ1266" s="624"/>
      <c r="AK1266" s="624"/>
      <c r="AL1266" s="624"/>
      <c r="AM1266" s="624"/>
      <c r="AN1266" s="624"/>
      <c r="AO1266" s="624"/>
      <c r="AP1266" s="624"/>
    </row>
    <row r="1267" spans="1:42" s="621" customFormat="1" ht="15.5" outlineLevel="1">
      <c r="A1267" s="1693">
        <v>18</v>
      </c>
      <c r="B1267" s="653"/>
      <c r="C1267" s="1693">
        <v>18</v>
      </c>
      <c r="D1267" s="653"/>
      <c r="E1267" s="1693">
        <v>1034</v>
      </c>
      <c r="F1267" s="653"/>
      <c r="G1267" s="1693">
        <v>1250</v>
      </c>
      <c r="H1267" s="653"/>
      <c r="I1267" s="653"/>
      <c r="J1267" s="709" t="s">
        <v>512</v>
      </c>
      <c r="K1267" s="1069"/>
      <c r="L1267" s="622"/>
      <c r="M1267" s="672" t="s">
        <v>955</v>
      </c>
      <c r="N1267" s="623"/>
      <c r="O1267" s="622"/>
      <c r="Q1267" s="622"/>
      <c r="R1267" s="622"/>
      <c r="S1267" s="622"/>
      <c r="W1267" s="1772"/>
      <c r="X1267" s="1661"/>
      <c r="Y1267" s="1661"/>
      <c r="Z1267" s="1661"/>
      <c r="AA1267" s="1661"/>
      <c r="AB1267" s="1661"/>
      <c r="AC1267" s="1661"/>
      <c r="AD1267" s="1661"/>
      <c r="AE1267" s="1661"/>
      <c r="AF1267" s="1661"/>
      <c r="AG1267" s="1661"/>
      <c r="AH1267" s="624"/>
      <c r="AI1267" s="624"/>
      <c r="AJ1267" s="624"/>
      <c r="AK1267" s="624"/>
      <c r="AL1267" s="624"/>
      <c r="AM1267" s="624"/>
      <c r="AN1267" s="624"/>
      <c r="AO1267" s="624"/>
      <c r="AP1267" s="624"/>
    </row>
    <row r="1268" spans="1:42" s="621" customFormat="1" ht="14.5" outlineLevel="1">
      <c r="A1268" s="1693">
        <v>19</v>
      </c>
      <c r="B1268" s="653"/>
      <c r="C1268" s="1693">
        <v>19</v>
      </c>
      <c r="D1268" s="653"/>
      <c r="E1268" s="1693">
        <v>1035</v>
      </c>
      <c r="F1268" s="653"/>
      <c r="G1268" s="1693">
        <v>1251</v>
      </c>
      <c r="H1268" s="653"/>
      <c r="I1268" s="653"/>
      <c r="J1268" s="709" t="s">
        <v>512</v>
      </c>
      <c r="K1268" s="1069"/>
      <c r="L1268" s="622"/>
      <c r="M1268" s="623"/>
      <c r="N1268" s="623"/>
      <c r="O1268" s="687" t="s">
        <v>1169</v>
      </c>
      <c r="P1268" s="2431"/>
      <c r="Q1268" s="2431"/>
      <c r="R1268" s="2431"/>
      <c r="S1268" s="2432" t="s">
        <v>449</v>
      </c>
      <c r="T1268" s="2433"/>
      <c r="U1268" s="2433"/>
      <c r="V1268" s="2432" t="s">
        <v>450</v>
      </c>
      <c r="W1268" s="1840"/>
      <c r="X1268" s="2434">
        <v>45017</v>
      </c>
      <c r="Y1268" s="2434">
        <v>45047</v>
      </c>
      <c r="Z1268" s="2434">
        <v>45078</v>
      </c>
      <c r="AA1268" s="2434">
        <v>45108</v>
      </c>
      <c r="AB1268" s="2434">
        <v>45139</v>
      </c>
      <c r="AC1268" s="2434">
        <v>45170</v>
      </c>
      <c r="AD1268" s="2434">
        <v>45200</v>
      </c>
      <c r="AE1268" s="2434">
        <v>45231</v>
      </c>
      <c r="AF1268" s="2434">
        <v>45261</v>
      </c>
      <c r="AG1268" s="2434">
        <v>45292</v>
      </c>
      <c r="AH1268" s="2434">
        <v>45323</v>
      </c>
      <c r="AI1268" s="2434">
        <v>45352</v>
      </c>
      <c r="AJ1268" s="2434" t="s">
        <v>904</v>
      </c>
      <c r="AK1268" s="2434" t="s">
        <v>36</v>
      </c>
      <c r="AL1268" s="2434" t="s">
        <v>35</v>
      </c>
      <c r="AM1268" s="2434" t="s">
        <v>34</v>
      </c>
      <c r="AN1268" s="2434" t="s">
        <v>33</v>
      </c>
      <c r="AO1268" s="2434" t="s">
        <v>32</v>
      </c>
      <c r="AP1268" s="2434" t="s">
        <v>905</v>
      </c>
    </row>
    <row r="1269" spans="1:42" s="621" customFormat="1" ht="14.5" outlineLevel="1">
      <c r="A1269" s="1693">
        <v>20</v>
      </c>
      <c r="B1269" s="653"/>
      <c r="C1269" s="1693">
        <v>20</v>
      </c>
      <c r="D1269" s="653"/>
      <c r="E1269" s="1693">
        <v>1036</v>
      </c>
      <c r="F1269" s="653"/>
      <c r="G1269" s="1693">
        <v>1252</v>
      </c>
      <c r="H1269" s="653"/>
      <c r="I1269" s="653"/>
      <c r="J1269" s="709" t="s">
        <v>512</v>
      </c>
      <c r="K1269" s="1069"/>
      <c r="L1269" s="622"/>
      <c r="M1269" s="623"/>
      <c r="N1269" s="623"/>
      <c r="O1269" s="690"/>
      <c r="P1269" s="662" t="s">
        <v>587</v>
      </c>
      <c r="Q1269" s="663"/>
      <c r="R1269" s="663"/>
      <c r="S1269" s="663" t="s">
        <v>451</v>
      </c>
      <c r="T1269" s="663"/>
      <c r="U1269" s="663"/>
      <c r="V1269" s="663" t="s">
        <v>10</v>
      </c>
      <c r="W1269" s="2435"/>
      <c r="X1269" s="2436">
        <v>0</v>
      </c>
      <c r="Y1269" s="2436">
        <v>0</v>
      </c>
      <c r="Z1269" s="2436">
        <v>0</v>
      </c>
      <c r="AA1269" s="2436">
        <v>0</v>
      </c>
      <c r="AB1269" s="2436">
        <v>0</v>
      </c>
      <c r="AC1269" s="2436">
        <v>0</v>
      </c>
      <c r="AD1269" s="2436">
        <v>0</v>
      </c>
      <c r="AE1269" s="2436">
        <v>0</v>
      </c>
      <c r="AF1269" s="2436">
        <v>0</v>
      </c>
      <c r="AG1269" s="2436">
        <v>0</v>
      </c>
      <c r="AH1269" s="2436">
        <v>0</v>
      </c>
      <c r="AI1269" s="2436">
        <v>0</v>
      </c>
      <c r="AJ1269" s="2437">
        <v>0</v>
      </c>
      <c r="AK1269" s="2437">
        <v>0</v>
      </c>
      <c r="AL1269" s="2437">
        <v>0</v>
      </c>
      <c r="AM1269" s="2437">
        <v>0</v>
      </c>
      <c r="AN1269" s="2437">
        <v>0</v>
      </c>
      <c r="AO1269" s="2437">
        <v>0</v>
      </c>
      <c r="AP1269" s="2437">
        <v>0</v>
      </c>
    </row>
    <row r="1270" spans="1:42" s="621" customFormat="1" ht="14.5" outlineLevel="1">
      <c r="A1270" s="1693">
        <v>21</v>
      </c>
      <c r="B1270" s="653"/>
      <c r="C1270" s="1693">
        <v>21</v>
      </c>
      <c r="D1270" s="653"/>
      <c r="E1270" s="1693">
        <v>1037</v>
      </c>
      <c r="F1270" s="653"/>
      <c r="G1270" s="1693">
        <v>1253</v>
      </c>
      <c r="H1270" s="653"/>
      <c r="I1270" s="653"/>
      <c r="J1270" s="709" t="s">
        <v>512</v>
      </c>
      <c r="K1270" s="1069"/>
      <c r="L1270" s="622"/>
      <c r="M1270" s="623"/>
      <c r="N1270" s="622"/>
      <c r="O1270" s="692"/>
      <c r="P1270" s="693"/>
      <c r="Q1270" s="693"/>
      <c r="R1270" s="693"/>
      <c r="S1270" s="693" t="s">
        <v>452</v>
      </c>
      <c r="T1270" s="693"/>
      <c r="U1270" s="693"/>
      <c r="V1270" s="694" t="s">
        <v>453</v>
      </c>
      <c r="W1270" s="2435"/>
      <c r="X1270" s="2438">
        <v>0</v>
      </c>
      <c r="Y1270" s="2438">
        <v>0</v>
      </c>
      <c r="Z1270" s="2438">
        <v>0</v>
      </c>
      <c r="AA1270" s="2438">
        <v>0</v>
      </c>
      <c r="AB1270" s="2438">
        <v>0</v>
      </c>
      <c r="AC1270" s="2438">
        <v>0</v>
      </c>
      <c r="AD1270" s="2438">
        <v>0</v>
      </c>
      <c r="AE1270" s="2438">
        <v>0</v>
      </c>
      <c r="AF1270" s="2438">
        <v>0</v>
      </c>
      <c r="AG1270" s="2438">
        <v>0</v>
      </c>
      <c r="AH1270" s="2438">
        <v>0</v>
      </c>
      <c r="AI1270" s="2438">
        <v>0</v>
      </c>
      <c r="AJ1270" s="2439">
        <v>0</v>
      </c>
      <c r="AK1270" s="2439">
        <v>0</v>
      </c>
      <c r="AL1270" s="2439">
        <v>0</v>
      </c>
      <c r="AM1270" s="2439">
        <v>0</v>
      </c>
      <c r="AN1270" s="2439">
        <v>0</v>
      </c>
      <c r="AO1270" s="2439">
        <v>0</v>
      </c>
      <c r="AP1270" s="2439">
        <v>0</v>
      </c>
    </row>
    <row r="1271" spans="1:42" s="621" customFormat="1" ht="14.5" outlineLevel="1">
      <c r="A1271" s="1693">
        <v>22</v>
      </c>
      <c r="B1271" s="653"/>
      <c r="C1271" s="1693">
        <v>22</v>
      </c>
      <c r="D1271" s="653"/>
      <c r="E1271" s="1693">
        <v>1038</v>
      </c>
      <c r="F1271" s="653"/>
      <c r="G1271" s="1693">
        <v>1254</v>
      </c>
      <c r="H1271" s="653"/>
      <c r="I1271" s="653"/>
      <c r="J1271" s="709" t="s">
        <v>512</v>
      </c>
      <c r="K1271" s="1069"/>
      <c r="L1271" s="622"/>
      <c r="M1271" s="623"/>
      <c r="N1271" s="622"/>
      <c r="O1271" s="690"/>
      <c r="P1271" s="696" t="s">
        <v>1034</v>
      </c>
      <c r="Q1271" s="697"/>
      <c r="R1271" s="697"/>
      <c r="S1271" s="698" t="s">
        <v>1170</v>
      </c>
      <c r="T1271" s="697"/>
      <c r="U1271" s="697"/>
      <c r="V1271" s="697" t="s">
        <v>455</v>
      </c>
      <c r="W1271" s="2435"/>
      <c r="X1271" s="2440">
        <v>0</v>
      </c>
      <c r="Y1271" s="2440">
        <v>0</v>
      </c>
      <c r="Z1271" s="2440">
        <v>0</v>
      </c>
      <c r="AA1271" s="2440">
        <v>0</v>
      </c>
      <c r="AB1271" s="2440">
        <v>0</v>
      </c>
      <c r="AC1271" s="2440">
        <v>0</v>
      </c>
      <c r="AD1271" s="2440">
        <v>0</v>
      </c>
      <c r="AE1271" s="2440">
        <v>0</v>
      </c>
      <c r="AF1271" s="2440">
        <v>0</v>
      </c>
      <c r="AG1271" s="2440">
        <v>0</v>
      </c>
      <c r="AH1271" s="2440">
        <v>0</v>
      </c>
      <c r="AI1271" s="2440">
        <v>0</v>
      </c>
      <c r="AJ1271" s="2441">
        <v>0</v>
      </c>
      <c r="AK1271" s="2441">
        <v>0</v>
      </c>
      <c r="AL1271" s="2441">
        <v>0</v>
      </c>
      <c r="AM1271" s="2441">
        <v>0</v>
      </c>
      <c r="AN1271" s="2441">
        <v>0</v>
      </c>
      <c r="AO1271" s="2441">
        <v>0</v>
      </c>
      <c r="AP1271" s="2441">
        <v>0</v>
      </c>
    </row>
    <row r="1272" spans="1:42" s="621" customFormat="1" ht="14.5" outlineLevel="1">
      <c r="A1272" s="1693">
        <v>23</v>
      </c>
      <c r="B1272" s="653"/>
      <c r="C1272" s="1693">
        <v>23</v>
      </c>
      <c r="D1272" s="653"/>
      <c r="E1272" s="1693">
        <v>1039</v>
      </c>
      <c r="F1272" s="653"/>
      <c r="G1272" s="1693">
        <v>1255</v>
      </c>
      <c r="H1272" s="653"/>
      <c r="I1272" s="653"/>
      <c r="J1272" s="709" t="s">
        <v>512</v>
      </c>
      <c r="K1272" s="1069"/>
      <c r="L1272" s="622"/>
      <c r="M1272" s="623"/>
      <c r="N1272" s="622"/>
      <c r="O1272" s="692"/>
      <c r="P1272" s="693"/>
      <c r="Q1272" s="693"/>
      <c r="R1272" s="693"/>
      <c r="S1272" s="693" t="s">
        <v>456</v>
      </c>
      <c r="T1272" s="693"/>
      <c r="U1272" s="693"/>
      <c r="V1272" s="693" t="s">
        <v>457</v>
      </c>
      <c r="W1272" s="2435"/>
      <c r="X1272" s="2438">
        <v>0</v>
      </c>
      <c r="Y1272" s="2438">
        <v>0</v>
      </c>
      <c r="Z1272" s="2438">
        <v>0</v>
      </c>
      <c r="AA1272" s="2438">
        <v>0</v>
      </c>
      <c r="AB1272" s="2442">
        <v>0</v>
      </c>
      <c r="AC1272" s="2438">
        <v>0</v>
      </c>
      <c r="AD1272" s="2438">
        <v>0</v>
      </c>
      <c r="AE1272" s="2438">
        <v>0</v>
      </c>
      <c r="AF1272" s="2438">
        <v>0</v>
      </c>
      <c r="AG1272" s="2438">
        <v>0</v>
      </c>
      <c r="AH1272" s="2438">
        <v>0</v>
      </c>
      <c r="AI1272" s="2438">
        <v>0</v>
      </c>
      <c r="AJ1272" s="2439">
        <v>0</v>
      </c>
      <c r="AK1272" s="2439">
        <v>0</v>
      </c>
      <c r="AL1272" s="2439">
        <v>0</v>
      </c>
      <c r="AM1272" s="2439">
        <v>0</v>
      </c>
      <c r="AN1272" s="2439">
        <v>0</v>
      </c>
      <c r="AO1272" s="2439">
        <v>0</v>
      </c>
      <c r="AP1272" s="2439">
        <v>0</v>
      </c>
    </row>
    <row r="1273" spans="1:42" s="621" customFormat="1" ht="14.5" outlineLevel="1">
      <c r="A1273" s="1693">
        <v>24</v>
      </c>
      <c r="B1273" s="653"/>
      <c r="C1273" s="1693">
        <v>24</v>
      </c>
      <c r="D1273" s="653"/>
      <c r="E1273" s="1693">
        <v>1040</v>
      </c>
      <c r="F1273" s="653"/>
      <c r="G1273" s="1693">
        <v>1256</v>
      </c>
      <c r="H1273" s="653"/>
      <c r="I1273" s="653"/>
      <c r="J1273" s="709" t="s">
        <v>512</v>
      </c>
      <c r="K1273" s="1069"/>
      <c r="L1273" s="622"/>
      <c r="M1273" s="623"/>
      <c r="N1273" s="622"/>
      <c r="O1273" s="690"/>
      <c r="P1273" s="696" t="s">
        <v>1035</v>
      </c>
      <c r="Q1273" s="697"/>
      <c r="R1273" s="697"/>
      <c r="S1273" s="697" t="s">
        <v>458</v>
      </c>
      <c r="T1273" s="697"/>
      <c r="U1273" s="697"/>
      <c r="V1273" s="700" t="s">
        <v>459</v>
      </c>
      <c r="W1273" s="2435"/>
      <c r="X1273" s="2440">
        <v>0</v>
      </c>
      <c r="Y1273" s="2440">
        <v>0</v>
      </c>
      <c r="Z1273" s="2440">
        <v>0</v>
      </c>
      <c r="AA1273" s="2440">
        <v>0</v>
      </c>
      <c r="AB1273" s="2440">
        <v>0</v>
      </c>
      <c r="AC1273" s="2440">
        <v>0</v>
      </c>
      <c r="AD1273" s="2440">
        <v>0</v>
      </c>
      <c r="AE1273" s="2440">
        <v>0</v>
      </c>
      <c r="AF1273" s="2440">
        <v>0</v>
      </c>
      <c r="AG1273" s="2440">
        <v>0</v>
      </c>
      <c r="AH1273" s="2440">
        <v>0</v>
      </c>
      <c r="AI1273" s="2440">
        <v>0</v>
      </c>
      <c r="AJ1273" s="2441">
        <v>0</v>
      </c>
      <c r="AK1273" s="2441">
        <v>0</v>
      </c>
      <c r="AL1273" s="2441">
        <v>0</v>
      </c>
      <c r="AM1273" s="2441">
        <v>0</v>
      </c>
      <c r="AN1273" s="2441">
        <v>0</v>
      </c>
      <c r="AO1273" s="2441">
        <v>0</v>
      </c>
      <c r="AP1273" s="2441">
        <v>0</v>
      </c>
    </row>
    <row r="1274" spans="1:42" s="621" customFormat="1" ht="14.5" outlineLevel="1">
      <c r="A1274" s="1693">
        <v>25</v>
      </c>
      <c r="B1274" s="653"/>
      <c r="C1274" s="1693">
        <v>25</v>
      </c>
      <c r="D1274" s="653"/>
      <c r="E1274" s="1693">
        <v>1041</v>
      </c>
      <c r="F1274" s="653"/>
      <c r="G1274" s="1693">
        <v>1257</v>
      </c>
      <c r="H1274" s="653"/>
      <c r="I1274" s="653"/>
      <c r="J1274" s="709" t="s">
        <v>512</v>
      </c>
      <c r="K1274" s="1069"/>
      <c r="L1274" s="622"/>
      <c r="M1274" s="623"/>
      <c r="N1274" s="622"/>
      <c r="O1274" s="690"/>
      <c r="S1274" s="621" t="s">
        <v>460</v>
      </c>
      <c r="V1274" s="701" t="s">
        <v>461</v>
      </c>
      <c r="W1274" s="2435"/>
      <c r="X1274" s="2443">
        <v>0</v>
      </c>
      <c r="Y1274" s="2443">
        <v>0</v>
      </c>
      <c r="Z1274" s="2443">
        <v>0</v>
      </c>
      <c r="AA1274" s="2443">
        <v>0</v>
      </c>
      <c r="AB1274" s="2443">
        <v>0</v>
      </c>
      <c r="AC1274" s="2443">
        <v>0</v>
      </c>
      <c r="AD1274" s="2443">
        <v>0</v>
      </c>
      <c r="AE1274" s="2443">
        <v>0</v>
      </c>
      <c r="AF1274" s="2443">
        <v>0</v>
      </c>
      <c r="AG1274" s="2443">
        <v>0</v>
      </c>
      <c r="AH1274" s="2443">
        <v>0</v>
      </c>
      <c r="AI1274" s="2443">
        <v>0</v>
      </c>
      <c r="AJ1274" s="2444">
        <v>0</v>
      </c>
      <c r="AK1274" s="2444">
        <v>0</v>
      </c>
      <c r="AL1274" s="2444">
        <v>0</v>
      </c>
      <c r="AM1274" s="2444">
        <v>0</v>
      </c>
      <c r="AN1274" s="2444">
        <v>0</v>
      </c>
      <c r="AO1274" s="2444">
        <v>0</v>
      </c>
      <c r="AP1274" s="2444">
        <v>0</v>
      </c>
    </row>
    <row r="1275" spans="1:42" s="621" customFormat="1" ht="14.5" outlineLevel="1">
      <c r="A1275" s="1693">
        <v>26</v>
      </c>
      <c r="B1275" s="653"/>
      <c r="C1275" s="1693">
        <v>26</v>
      </c>
      <c r="D1275" s="653"/>
      <c r="E1275" s="1693">
        <v>1042</v>
      </c>
      <c r="F1275" s="653"/>
      <c r="G1275" s="1693">
        <v>1258</v>
      </c>
      <c r="H1275" s="653"/>
      <c r="I1275" s="653"/>
      <c r="J1275" s="709" t="s">
        <v>512</v>
      </c>
      <c r="K1275" s="1069"/>
      <c r="L1275" s="622"/>
      <c r="M1275" s="623"/>
      <c r="N1275" s="622"/>
      <c r="O1275" s="692"/>
      <c r="S1275" s="621" t="s">
        <v>462</v>
      </c>
      <c r="V1275" s="701" t="s">
        <v>463</v>
      </c>
      <c r="W1275" s="2435"/>
      <c r="X1275" s="2443">
        <v>0</v>
      </c>
      <c r="Y1275" s="2443">
        <v>0</v>
      </c>
      <c r="Z1275" s="2443">
        <v>0</v>
      </c>
      <c r="AA1275" s="2443">
        <v>0</v>
      </c>
      <c r="AB1275" s="2443">
        <v>0</v>
      </c>
      <c r="AC1275" s="2443">
        <v>0</v>
      </c>
      <c r="AD1275" s="2443">
        <v>0</v>
      </c>
      <c r="AE1275" s="2443">
        <v>0</v>
      </c>
      <c r="AF1275" s="2443">
        <v>0</v>
      </c>
      <c r="AG1275" s="2443">
        <v>0</v>
      </c>
      <c r="AH1275" s="2443">
        <v>0</v>
      </c>
      <c r="AI1275" s="2443">
        <v>0</v>
      </c>
      <c r="AJ1275" s="2444">
        <v>0</v>
      </c>
      <c r="AK1275" s="2444">
        <v>0</v>
      </c>
      <c r="AL1275" s="2444">
        <v>0</v>
      </c>
      <c r="AM1275" s="2444">
        <v>0</v>
      </c>
      <c r="AN1275" s="2444">
        <v>0</v>
      </c>
      <c r="AO1275" s="2444">
        <v>0</v>
      </c>
      <c r="AP1275" s="2444">
        <v>0</v>
      </c>
    </row>
    <row r="1276" spans="1:42" s="621" customFormat="1" ht="14.5" outlineLevel="1">
      <c r="A1276" s="1693">
        <v>27</v>
      </c>
      <c r="B1276" s="653"/>
      <c r="C1276" s="1693">
        <v>27</v>
      </c>
      <c r="D1276" s="653"/>
      <c r="E1276" s="1693">
        <v>1043</v>
      </c>
      <c r="F1276" s="653"/>
      <c r="G1276" s="1693">
        <v>1259</v>
      </c>
      <c r="H1276" s="653"/>
      <c r="I1276" s="653"/>
      <c r="J1276" s="709" t="s">
        <v>512</v>
      </c>
      <c r="K1276" s="1069"/>
      <c r="L1276" s="622"/>
      <c r="M1276" s="623"/>
      <c r="N1276" s="622"/>
      <c r="O1276" s="692"/>
      <c r="S1276" s="621" t="s">
        <v>464</v>
      </c>
      <c r="V1276" s="701" t="s">
        <v>465</v>
      </c>
      <c r="W1276" s="2435"/>
      <c r="X1276" s="2443">
        <v>0</v>
      </c>
      <c r="Y1276" s="2443">
        <v>0</v>
      </c>
      <c r="Z1276" s="2443">
        <v>0</v>
      </c>
      <c r="AA1276" s="2443">
        <v>0</v>
      </c>
      <c r="AB1276" s="2443">
        <v>0</v>
      </c>
      <c r="AC1276" s="2443">
        <v>0</v>
      </c>
      <c r="AD1276" s="2443">
        <v>0</v>
      </c>
      <c r="AE1276" s="2443">
        <v>0</v>
      </c>
      <c r="AF1276" s="2443">
        <v>0</v>
      </c>
      <c r="AG1276" s="2443">
        <v>0</v>
      </c>
      <c r="AH1276" s="2443">
        <v>0</v>
      </c>
      <c r="AI1276" s="2443">
        <v>0</v>
      </c>
      <c r="AJ1276" s="2444">
        <v>0</v>
      </c>
      <c r="AK1276" s="2444">
        <v>0</v>
      </c>
      <c r="AL1276" s="2444">
        <v>0</v>
      </c>
      <c r="AM1276" s="2444">
        <v>0</v>
      </c>
      <c r="AN1276" s="2444">
        <v>0</v>
      </c>
      <c r="AO1276" s="2444">
        <v>0</v>
      </c>
      <c r="AP1276" s="2444">
        <v>0</v>
      </c>
    </row>
    <row r="1277" spans="1:42" s="621" customFormat="1" ht="14.5" outlineLevel="1">
      <c r="A1277" s="1693">
        <v>28</v>
      </c>
      <c r="B1277" s="653"/>
      <c r="C1277" s="1693">
        <v>28</v>
      </c>
      <c r="D1277" s="653"/>
      <c r="E1277" s="1693">
        <v>1044</v>
      </c>
      <c r="F1277" s="653"/>
      <c r="G1277" s="1693">
        <v>1260</v>
      </c>
      <c r="H1277" s="653"/>
      <c r="I1277" s="653"/>
      <c r="J1277" s="709" t="s">
        <v>512</v>
      </c>
      <c r="K1277" s="1069"/>
      <c r="L1277" s="622"/>
      <c r="M1277" s="623"/>
      <c r="N1277" s="622"/>
      <c r="O1277" s="692"/>
      <c r="S1277" s="621" t="s">
        <v>466</v>
      </c>
      <c r="V1277" s="701" t="s">
        <v>467</v>
      </c>
      <c r="W1277" s="2435"/>
      <c r="X1277" s="2443">
        <v>0</v>
      </c>
      <c r="Y1277" s="2443">
        <v>0</v>
      </c>
      <c r="Z1277" s="2443">
        <v>0</v>
      </c>
      <c r="AA1277" s="2443">
        <v>0</v>
      </c>
      <c r="AB1277" s="2443">
        <v>0</v>
      </c>
      <c r="AC1277" s="2443">
        <v>0</v>
      </c>
      <c r="AD1277" s="2443">
        <v>0</v>
      </c>
      <c r="AE1277" s="2443">
        <v>0</v>
      </c>
      <c r="AF1277" s="2443">
        <v>0</v>
      </c>
      <c r="AG1277" s="2443">
        <v>0</v>
      </c>
      <c r="AH1277" s="2443">
        <v>0</v>
      </c>
      <c r="AI1277" s="2443">
        <v>0</v>
      </c>
      <c r="AJ1277" s="2444">
        <v>0</v>
      </c>
      <c r="AK1277" s="2444">
        <v>0</v>
      </c>
      <c r="AL1277" s="2444">
        <v>0</v>
      </c>
      <c r="AM1277" s="2444">
        <v>0</v>
      </c>
      <c r="AN1277" s="2444">
        <v>0</v>
      </c>
      <c r="AO1277" s="2444">
        <v>0</v>
      </c>
      <c r="AP1277" s="2444">
        <v>0</v>
      </c>
    </row>
    <row r="1278" spans="1:42" s="621" customFormat="1" ht="14.5" outlineLevel="1">
      <c r="A1278" s="1693">
        <v>29</v>
      </c>
      <c r="B1278" s="653"/>
      <c r="C1278" s="1693">
        <v>29</v>
      </c>
      <c r="D1278" s="653"/>
      <c r="E1278" s="1693">
        <v>1045</v>
      </c>
      <c r="F1278" s="653"/>
      <c r="G1278" s="1693">
        <v>1261</v>
      </c>
      <c r="H1278" s="653"/>
      <c r="I1278" s="653"/>
      <c r="J1278" s="709" t="s">
        <v>512</v>
      </c>
      <c r="K1278" s="1069"/>
      <c r="L1278" s="622"/>
      <c r="M1278" s="623"/>
      <c r="N1278" s="622"/>
      <c r="O1278" s="692"/>
      <c r="S1278" s="621" t="s">
        <v>468</v>
      </c>
      <c r="V1278" s="701" t="s">
        <v>469</v>
      </c>
      <c r="W1278" s="2435"/>
      <c r="X1278" s="2443">
        <v>0</v>
      </c>
      <c r="Y1278" s="2443">
        <v>0</v>
      </c>
      <c r="Z1278" s="2443">
        <v>0</v>
      </c>
      <c r="AA1278" s="2443">
        <v>0</v>
      </c>
      <c r="AB1278" s="2443">
        <v>0</v>
      </c>
      <c r="AC1278" s="2443">
        <v>0</v>
      </c>
      <c r="AD1278" s="2443">
        <v>0</v>
      </c>
      <c r="AE1278" s="2443">
        <v>0</v>
      </c>
      <c r="AF1278" s="2443">
        <v>0</v>
      </c>
      <c r="AG1278" s="2443">
        <v>0</v>
      </c>
      <c r="AH1278" s="2443">
        <v>0</v>
      </c>
      <c r="AI1278" s="2443">
        <v>0</v>
      </c>
      <c r="AJ1278" s="2444">
        <v>0</v>
      </c>
      <c r="AK1278" s="2444">
        <v>0</v>
      </c>
      <c r="AL1278" s="2444">
        <v>0</v>
      </c>
      <c r="AM1278" s="2444">
        <v>0</v>
      </c>
      <c r="AN1278" s="2444">
        <v>0</v>
      </c>
      <c r="AO1278" s="2444">
        <v>0</v>
      </c>
      <c r="AP1278" s="2444">
        <v>0</v>
      </c>
    </row>
    <row r="1279" spans="1:42" s="621" customFormat="1" ht="14.5" outlineLevel="1">
      <c r="A1279" s="1693">
        <v>30</v>
      </c>
      <c r="B1279" s="653"/>
      <c r="C1279" s="1693">
        <v>30</v>
      </c>
      <c r="D1279" s="653"/>
      <c r="E1279" s="1693">
        <v>1046</v>
      </c>
      <c r="F1279" s="653"/>
      <c r="G1279" s="1693">
        <v>1262</v>
      </c>
      <c r="H1279" s="653"/>
      <c r="I1279" s="653"/>
      <c r="J1279" s="709" t="s">
        <v>512</v>
      </c>
      <c r="K1279" s="1069"/>
      <c r="L1279" s="622"/>
      <c r="M1279" s="623"/>
      <c r="N1279" s="622"/>
      <c r="O1279" s="690"/>
      <c r="S1279" s="621" t="s">
        <v>470</v>
      </c>
      <c r="V1279" s="701" t="s">
        <v>471</v>
      </c>
      <c r="W1279" s="2435"/>
      <c r="X1279" s="2443">
        <v>0</v>
      </c>
      <c r="Y1279" s="2443">
        <v>0</v>
      </c>
      <c r="Z1279" s="2443">
        <v>0</v>
      </c>
      <c r="AA1279" s="2443">
        <v>0</v>
      </c>
      <c r="AB1279" s="2443">
        <v>0</v>
      </c>
      <c r="AC1279" s="2443">
        <v>0</v>
      </c>
      <c r="AD1279" s="2443">
        <v>0</v>
      </c>
      <c r="AE1279" s="2443">
        <v>0</v>
      </c>
      <c r="AF1279" s="2443">
        <v>0</v>
      </c>
      <c r="AG1279" s="2443">
        <v>0</v>
      </c>
      <c r="AH1279" s="2443">
        <v>0</v>
      </c>
      <c r="AI1279" s="2443">
        <v>0</v>
      </c>
      <c r="AJ1279" s="2444">
        <v>0</v>
      </c>
      <c r="AK1279" s="2444">
        <v>0</v>
      </c>
      <c r="AL1279" s="2444">
        <v>0</v>
      </c>
      <c r="AM1279" s="2444">
        <v>0</v>
      </c>
      <c r="AN1279" s="2444">
        <v>0</v>
      </c>
      <c r="AO1279" s="2444">
        <v>0</v>
      </c>
      <c r="AP1279" s="2444">
        <v>0</v>
      </c>
    </row>
    <row r="1280" spans="1:42" s="621" customFormat="1" ht="14.5" outlineLevel="1">
      <c r="A1280" s="1693">
        <v>31</v>
      </c>
      <c r="B1280" s="653"/>
      <c r="C1280" s="1693">
        <v>31</v>
      </c>
      <c r="D1280" s="653"/>
      <c r="E1280" s="1693">
        <v>1047</v>
      </c>
      <c r="F1280" s="653"/>
      <c r="G1280" s="1693">
        <v>1263</v>
      </c>
      <c r="H1280" s="653"/>
      <c r="I1280" s="653"/>
      <c r="J1280" s="709" t="s">
        <v>512</v>
      </c>
      <c r="K1280" s="1069"/>
      <c r="L1280" s="622"/>
      <c r="M1280" s="623"/>
      <c r="N1280" s="622"/>
      <c r="O1280" s="690"/>
      <c r="S1280" s="621" t="s">
        <v>472</v>
      </c>
      <c r="V1280" s="701" t="s">
        <v>473</v>
      </c>
      <c r="W1280" s="2435"/>
      <c r="X1280" s="2443">
        <v>0</v>
      </c>
      <c r="Y1280" s="2443">
        <v>0</v>
      </c>
      <c r="Z1280" s="2443">
        <v>0</v>
      </c>
      <c r="AA1280" s="2443">
        <v>0</v>
      </c>
      <c r="AB1280" s="2443">
        <v>0</v>
      </c>
      <c r="AC1280" s="2443">
        <v>0</v>
      </c>
      <c r="AD1280" s="2443">
        <v>0</v>
      </c>
      <c r="AE1280" s="2443">
        <v>0</v>
      </c>
      <c r="AF1280" s="2443">
        <v>0</v>
      </c>
      <c r="AG1280" s="2443">
        <v>0</v>
      </c>
      <c r="AH1280" s="2443">
        <v>0</v>
      </c>
      <c r="AI1280" s="2443">
        <v>0</v>
      </c>
      <c r="AJ1280" s="2444">
        <v>0</v>
      </c>
      <c r="AK1280" s="2444">
        <v>0</v>
      </c>
      <c r="AL1280" s="2444">
        <v>0</v>
      </c>
      <c r="AM1280" s="2444">
        <v>0</v>
      </c>
      <c r="AN1280" s="2444">
        <v>0</v>
      </c>
      <c r="AO1280" s="2444">
        <v>0</v>
      </c>
      <c r="AP1280" s="2444">
        <v>0</v>
      </c>
    </row>
    <row r="1281" spans="1:42" s="621" customFormat="1" ht="14.5" outlineLevel="1">
      <c r="A1281" s="1693">
        <v>32</v>
      </c>
      <c r="B1281" s="653"/>
      <c r="C1281" s="1693">
        <v>32</v>
      </c>
      <c r="D1281" s="653"/>
      <c r="E1281" s="1693">
        <v>1048</v>
      </c>
      <c r="F1281" s="653"/>
      <c r="G1281" s="1693">
        <v>1264</v>
      </c>
      <c r="H1281" s="653"/>
      <c r="I1281" s="653"/>
      <c r="J1281" s="709" t="s">
        <v>512</v>
      </c>
      <c r="K1281" s="1069"/>
      <c r="L1281" s="622"/>
      <c r="M1281" s="623"/>
      <c r="N1281" s="622"/>
      <c r="O1281" s="690"/>
      <c r="P1281" s="696" t="s">
        <v>1036</v>
      </c>
      <c r="Q1281" s="697"/>
      <c r="R1281" s="697"/>
      <c r="S1281" s="697" t="s">
        <v>474</v>
      </c>
      <c r="T1281" s="697"/>
      <c r="U1281" s="697"/>
      <c r="V1281" s="697" t="s">
        <v>474</v>
      </c>
      <c r="W1281" s="2435"/>
      <c r="X1281" s="2440">
        <v>0</v>
      </c>
      <c r="Y1281" s="2440">
        <v>0</v>
      </c>
      <c r="Z1281" s="2440">
        <v>0</v>
      </c>
      <c r="AA1281" s="2440">
        <v>0</v>
      </c>
      <c r="AB1281" s="2440">
        <v>0</v>
      </c>
      <c r="AC1281" s="2440">
        <v>0</v>
      </c>
      <c r="AD1281" s="2440">
        <v>0</v>
      </c>
      <c r="AE1281" s="2440">
        <v>0</v>
      </c>
      <c r="AF1281" s="2440">
        <v>0</v>
      </c>
      <c r="AG1281" s="2440">
        <v>0</v>
      </c>
      <c r="AH1281" s="2440">
        <v>0</v>
      </c>
      <c r="AI1281" s="2440">
        <v>0</v>
      </c>
      <c r="AJ1281" s="2441">
        <v>0</v>
      </c>
      <c r="AK1281" s="2441">
        <v>0</v>
      </c>
      <c r="AL1281" s="2441">
        <v>0</v>
      </c>
      <c r="AM1281" s="2441">
        <v>0</v>
      </c>
      <c r="AN1281" s="2441">
        <v>0</v>
      </c>
      <c r="AO1281" s="2441">
        <v>0</v>
      </c>
      <c r="AP1281" s="2441">
        <v>0</v>
      </c>
    </row>
    <row r="1282" spans="1:42" s="621" customFormat="1" ht="14.5" outlineLevel="1">
      <c r="A1282" s="1693">
        <v>33</v>
      </c>
      <c r="B1282" s="653"/>
      <c r="C1282" s="1693">
        <v>33</v>
      </c>
      <c r="D1282" s="653"/>
      <c r="E1282" s="1693">
        <v>1049</v>
      </c>
      <c r="F1282" s="653"/>
      <c r="G1282" s="1693">
        <v>1265</v>
      </c>
      <c r="H1282" s="653"/>
      <c r="I1282" s="653"/>
      <c r="J1282" s="709" t="s">
        <v>512</v>
      </c>
      <c r="K1282" s="1069"/>
      <c r="L1282" s="622"/>
      <c r="M1282" s="623"/>
      <c r="N1282" s="622"/>
      <c r="O1282" s="692"/>
      <c r="S1282" s="621" t="s">
        <v>475</v>
      </c>
      <c r="V1282" s="701" t="s">
        <v>476</v>
      </c>
      <c r="W1282" s="2435"/>
      <c r="X1282" s="2443">
        <v>0</v>
      </c>
      <c r="Y1282" s="2443">
        <v>0</v>
      </c>
      <c r="Z1282" s="2443">
        <v>0</v>
      </c>
      <c r="AA1282" s="2443">
        <v>0</v>
      </c>
      <c r="AB1282" s="2443">
        <v>0</v>
      </c>
      <c r="AC1282" s="2443">
        <v>0</v>
      </c>
      <c r="AD1282" s="2443">
        <v>0</v>
      </c>
      <c r="AE1282" s="2443">
        <v>0</v>
      </c>
      <c r="AF1282" s="2443">
        <v>0</v>
      </c>
      <c r="AG1282" s="2443">
        <v>0</v>
      </c>
      <c r="AH1282" s="2443">
        <v>0</v>
      </c>
      <c r="AI1282" s="2443">
        <v>0</v>
      </c>
      <c r="AJ1282" s="2444">
        <v>0</v>
      </c>
      <c r="AK1282" s="2444">
        <v>0</v>
      </c>
      <c r="AL1282" s="2444">
        <v>0</v>
      </c>
      <c r="AM1282" s="2444">
        <v>0</v>
      </c>
      <c r="AN1282" s="2444">
        <v>0</v>
      </c>
      <c r="AO1282" s="2444">
        <v>0</v>
      </c>
      <c r="AP1282" s="2444">
        <v>0</v>
      </c>
    </row>
    <row r="1283" spans="1:42" s="621" customFormat="1" ht="14.5" outlineLevel="1">
      <c r="A1283" s="1693">
        <v>34</v>
      </c>
      <c r="B1283" s="653"/>
      <c r="C1283" s="1693">
        <v>34</v>
      </c>
      <c r="D1283" s="653"/>
      <c r="E1283" s="1693">
        <v>1050</v>
      </c>
      <c r="F1283" s="653"/>
      <c r="G1283" s="1693">
        <v>1266</v>
      </c>
      <c r="H1283" s="653"/>
      <c r="I1283" s="653"/>
      <c r="J1283" s="709" t="s">
        <v>512</v>
      </c>
      <c r="K1283" s="1069"/>
      <c r="L1283" s="622"/>
      <c r="M1283" s="623"/>
      <c r="N1283" s="622"/>
      <c r="O1283" s="692"/>
      <c r="P1283" s="693"/>
      <c r="Q1283" s="693"/>
      <c r="R1283" s="693"/>
      <c r="S1283" s="693" t="s">
        <v>477</v>
      </c>
      <c r="T1283" s="693"/>
      <c r="U1283" s="693"/>
      <c r="V1283" s="694" t="s">
        <v>478</v>
      </c>
      <c r="W1283" s="2435"/>
      <c r="X1283" s="2438">
        <v>0</v>
      </c>
      <c r="Y1283" s="2438">
        <v>0</v>
      </c>
      <c r="Z1283" s="2438">
        <v>0</v>
      </c>
      <c r="AA1283" s="2438">
        <v>0</v>
      </c>
      <c r="AB1283" s="2438">
        <v>0</v>
      </c>
      <c r="AC1283" s="2438">
        <v>0</v>
      </c>
      <c r="AD1283" s="2438">
        <v>0</v>
      </c>
      <c r="AE1283" s="2438">
        <v>0</v>
      </c>
      <c r="AF1283" s="2438">
        <v>0</v>
      </c>
      <c r="AG1283" s="2438">
        <v>0</v>
      </c>
      <c r="AH1283" s="2438">
        <v>0</v>
      </c>
      <c r="AI1283" s="2438">
        <v>0</v>
      </c>
      <c r="AJ1283" s="2439">
        <v>0</v>
      </c>
      <c r="AK1283" s="2439">
        <v>0</v>
      </c>
      <c r="AL1283" s="2439">
        <v>0</v>
      </c>
      <c r="AM1283" s="2439">
        <v>0</v>
      </c>
      <c r="AN1283" s="2439">
        <v>0</v>
      </c>
      <c r="AO1283" s="2439">
        <v>0</v>
      </c>
      <c r="AP1283" s="2439">
        <v>0</v>
      </c>
    </row>
    <row r="1284" spans="1:42" s="621" customFormat="1" ht="14.5" outlineLevel="1">
      <c r="A1284" s="1693">
        <v>35</v>
      </c>
      <c r="B1284" s="653"/>
      <c r="C1284" s="1693">
        <v>35</v>
      </c>
      <c r="D1284" s="653"/>
      <c r="E1284" s="1693">
        <v>1051</v>
      </c>
      <c r="F1284" s="653"/>
      <c r="G1284" s="1693">
        <v>1267</v>
      </c>
      <c r="H1284" s="653"/>
      <c r="I1284" s="653"/>
      <c r="J1284" s="709" t="s">
        <v>512</v>
      </c>
      <c r="K1284" s="1069"/>
      <c r="L1284" s="622"/>
      <c r="M1284" s="623"/>
      <c r="N1284" s="622"/>
      <c r="O1284" s="690"/>
      <c r="P1284" s="622" t="s">
        <v>479</v>
      </c>
      <c r="S1284" s="701" t="s">
        <v>480</v>
      </c>
      <c r="V1284" s="701" t="s">
        <v>481</v>
      </c>
      <c r="W1284" s="2435"/>
      <c r="X1284" s="2443">
        <v>0</v>
      </c>
      <c r="Y1284" s="2443">
        <v>0</v>
      </c>
      <c r="Z1284" s="2443">
        <v>0</v>
      </c>
      <c r="AA1284" s="2443">
        <v>0</v>
      </c>
      <c r="AB1284" s="2443">
        <v>0</v>
      </c>
      <c r="AC1284" s="2443">
        <v>0</v>
      </c>
      <c r="AD1284" s="2443">
        <v>0</v>
      </c>
      <c r="AE1284" s="2443">
        <v>0</v>
      </c>
      <c r="AF1284" s="2443">
        <v>0</v>
      </c>
      <c r="AG1284" s="2443">
        <v>0</v>
      </c>
      <c r="AH1284" s="2443">
        <v>0</v>
      </c>
      <c r="AI1284" s="2443">
        <v>0</v>
      </c>
      <c r="AJ1284" s="2444">
        <v>0</v>
      </c>
      <c r="AK1284" s="2444">
        <v>0</v>
      </c>
      <c r="AL1284" s="2444">
        <v>0</v>
      </c>
      <c r="AM1284" s="2444">
        <v>0</v>
      </c>
      <c r="AN1284" s="2444">
        <v>0</v>
      </c>
      <c r="AO1284" s="2444">
        <v>0</v>
      </c>
      <c r="AP1284" s="2444">
        <v>0</v>
      </c>
    </row>
    <row r="1285" spans="1:42" s="621" customFormat="1" ht="14.5" outlineLevel="1">
      <c r="A1285" s="1693">
        <v>36</v>
      </c>
      <c r="B1285" s="653"/>
      <c r="C1285" s="1693">
        <v>36</v>
      </c>
      <c r="D1285" s="653"/>
      <c r="E1285" s="1693">
        <v>1052</v>
      </c>
      <c r="F1285" s="653"/>
      <c r="G1285" s="1693">
        <v>1268</v>
      </c>
      <c r="H1285" s="653"/>
      <c r="I1285" s="653"/>
      <c r="J1285" s="709" t="s">
        <v>512</v>
      </c>
      <c r="K1285" s="1069"/>
      <c r="L1285" s="622"/>
      <c r="M1285" s="623"/>
      <c r="N1285" s="622"/>
      <c r="O1285" s="690"/>
      <c r="S1285" s="701" t="s">
        <v>482</v>
      </c>
      <c r="V1285" s="701" t="s">
        <v>483</v>
      </c>
      <c r="W1285" s="2435"/>
      <c r="X1285" s="2443">
        <v>0</v>
      </c>
      <c r="Y1285" s="2443">
        <v>0</v>
      </c>
      <c r="Z1285" s="2443">
        <v>0</v>
      </c>
      <c r="AA1285" s="2443">
        <v>0</v>
      </c>
      <c r="AB1285" s="2443">
        <v>0</v>
      </c>
      <c r="AC1285" s="2443">
        <v>0</v>
      </c>
      <c r="AD1285" s="2443">
        <v>0</v>
      </c>
      <c r="AE1285" s="2443">
        <v>0</v>
      </c>
      <c r="AF1285" s="2443">
        <v>0</v>
      </c>
      <c r="AG1285" s="2443">
        <v>0</v>
      </c>
      <c r="AH1285" s="2443">
        <v>0</v>
      </c>
      <c r="AI1285" s="2443">
        <v>0</v>
      </c>
      <c r="AJ1285" s="2444">
        <v>0</v>
      </c>
      <c r="AK1285" s="2444">
        <v>0</v>
      </c>
      <c r="AL1285" s="2444">
        <v>0</v>
      </c>
      <c r="AM1285" s="2444">
        <v>0</v>
      </c>
      <c r="AN1285" s="2444">
        <v>0</v>
      </c>
      <c r="AO1285" s="2444">
        <v>0</v>
      </c>
      <c r="AP1285" s="2444">
        <v>0</v>
      </c>
    </row>
    <row r="1286" spans="1:42" s="621" customFormat="1" ht="14.5" outlineLevel="1">
      <c r="A1286" s="1693">
        <v>37</v>
      </c>
      <c r="B1286" s="653"/>
      <c r="C1286" s="1693">
        <v>37</v>
      </c>
      <c r="D1286" s="653"/>
      <c r="E1286" s="1693">
        <v>1053</v>
      </c>
      <c r="F1286" s="653"/>
      <c r="G1286" s="1693">
        <v>1269</v>
      </c>
      <c r="H1286" s="653"/>
      <c r="I1286" s="653"/>
      <c r="J1286" s="709" t="s">
        <v>512</v>
      </c>
      <c r="K1286" s="1069"/>
      <c r="L1286" s="622"/>
      <c r="M1286" s="623"/>
      <c r="N1286" s="622"/>
      <c r="O1286" s="690"/>
      <c r="S1286" s="701" t="s">
        <v>484</v>
      </c>
      <c r="V1286" s="701" t="s">
        <v>485</v>
      </c>
      <c r="W1286" s="2435"/>
      <c r="X1286" s="2443">
        <v>0</v>
      </c>
      <c r="Y1286" s="2443">
        <v>0</v>
      </c>
      <c r="Z1286" s="2443">
        <v>0</v>
      </c>
      <c r="AA1286" s="2443">
        <v>0</v>
      </c>
      <c r="AB1286" s="2443">
        <v>0</v>
      </c>
      <c r="AC1286" s="2443">
        <v>0</v>
      </c>
      <c r="AD1286" s="2443">
        <v>0</v>
      </c>
      <c r="AE1286" s="2443">
        <v>0</v>
      </c>
      <c r="AF1286" s="2443">
        <v>0</v>
      </c>
      <c r="AG1286" s="2443">
        <v>0</v>
      </c>
      <c r="AH1286" s="2443">
        <v>0</v>
      </c>
      <c r="AI1286" s="2443">
        <v>0</v>
      </c>
      <c r="AJ1286" s="2444">
        <v>0</v>
      </c>
      <c r="AK1286" s="2444">
        <v>0</v>
      </c>
      <c r="AL1286" s="2444">
        <v>0</v>
      </c>
      <c r="AM1286" s="2444">
        <v>0</v>
      </c>
      <c r="AN1286" s="2444">
        <v>0</v>
      </c>
      <c r="AO1286" s="2444">
        <v>0</v>
      </c>
      <c r="AP1286" s="2444">
        <v>0</v>
      </c>
    </row>
    <row r="1287" spans="1:42" s="621" customFormat="1" ht="14.5" outlineLevel="1">
      <c r="A1287" s="1693">
        <v>38</v>
      </c>
      <c r="B1287" s="653"/>
      <c r="C1287" s="1693">
        <v>38</v>
      </c>
      <c r="D1287" s="653"/>
      <c r="E1287" s="1693">
        <v>1054</v>
      </c>
      <c r="F1287" s="653"/>
      <c r="G1287" s="1693">
        <v>1270</v>
      </c>
      <c r="H1287" s="653"/>
      <c r="I1287" s="653"/>
      <c r="J1287" s="709" t="s">
        <v>512</v>
      </c>
      <c r="K1287" s="1069"/>
      <c r="L1287" s="622"/>
      <c r="M1287" s="623"/>
      <c r="N1287" s="622"/>
      <c r="O1287" s="690"/>
      <c r="S1287" s="701" t="s">
        <v>486</v>
      </c>
      <c r="V1287" s="701" t="s">
        <v>487</v>
      </c>
      <c r="W1287" s="2435"/>
      <c r="X1287" s="2443">
        <v>0</v>
      </c>
      <c r="Y1287" s="2443">
        <v>0</v>
      </c>
      <c r="Z1287" s="2443">
        <v>0</v>
      </c>
      <c r="AA1287" s="2443">
        <v>0</v>
      </c>
      <c r="AB1287" s="2443">
        <v>0</v>
      </c>
      <c r="AC1287" s="2443">
        <v>0</v>
      </c>
      <c r="AD1287" s="2443">
        <v>0</v>
      </c>
      <c r="AE1287" s="2443">
        <v>0</v>
      </c>
      <c r="AF1287" s="2443">
        <v>0</v>
      </c>
      <c r="AG1287" s="2443">
        <v>0</v>
      </c>
      <c r="AH1287" s="2443">
        <v>0</v>
      </c>
      <c r="AI1287" s="2443">
        <v>0</v>
      </c>
      <c r="AJ1287" s="2444">
        <v>0</v>
      </c>
      <c r="AK1287" s="2444">
        <v>0</v>
      </c>
      <c r="AL1287" s="2444">
        <v>0</v>
      </c>
      <c r="AM1287" s="2444">
        <v>0</v>
      </c>
      <c r="AN1287" s="2444">
        <v>0</v>
      </c>
      <c r="AO1287" s="2444">
        <v>0</v>
      </c>
      <c r="AP1287" s="2444">
        <v>0</v>
      </c>
    </row>
    <row r="1288" spans="1:42" s="621" customFormat="1" ht="14.5" outlineLevel="1">
      <c r="A1288" s="1693">
        <v>39</v>
      </c>
      <c r="B1288" s="653"/>
      <c r="C1288" s="1693">
        <v>39</v>
      </c>
      <c r="D1288" s="653"/>
      <c r="E1288" s="1693">
        <v>1055</v>
      </c>
      <c r="F1288" s="653"/>
      <c r="G1288" s="1693">
        <v>1271</v>
      </c>
      <c r="H1288" s="653"/>
      <c r="I1288" s="653"/>
      <c r="J1288" s="709" t="s">
        <v>512</v>
      </c>
      <c r="K1288" s="1069"/>
      <c r="L1288" s="622"/>
      <c r="M1288" s="623"/>
      <c r="N1288" s="622"/>
      <c r="O1288" s="690"/>
      <c r="S1288" s="701" t="s">
        <v>488</v>
      </c>
      <c r="V1288" s="701" t="s">
        <v>489</v>
      </c>
      <c r="W1288" s="2435"/>
      <c r="X1288" s="2443">
        <v>0</v>
      </c>
      <c r="Y1288" s="2443">
        <v>0</v>
      </c>
      <c r="Z1288" s="2443">
        <v>0</v>
      </c>
      <c r="AA1288" s="2443">
        <v>0</v>
      </c>
      <c r="AB1288" s="2443">
        <v>0</v>
      </c>
      <c r="AC1288" s="2443">
        <v>0</v>
      </c>
      <c r="AD1288" s="2443">
        <v>0</v>
      </c>
      <c r="AE1288" s="2443">
        <v>0</v>
      </c>
      <c r="AF1288" s="2443">
        <v>0</v>
      </c>
      <c r="AG1288" s="2443">
        <v>0</v>
      </c>
      <c r="AH1288" s="2443">
        <v>0</v>
      </c>
      <c r="AI1288" s="2443">
        <v>0</v>
      </c>
      <c r="AJ1288" s="2444">
        <v>0</v>
      </c>
      <c r="AK1288" s="2444">
        <v>0</v>
      </c>
      <c r="AL1288" s="2444">
        <v>0</v>
      </c>
      <c r="AM1288" s="2444">
        <v>0</v>
      </c>
      <c r="AN1288" s="2444">
        <v>0</v>
      </c>
      <c r="AO1288" s="2444">
        <v>0</v>
      </c>
      <c r="AP1288" s="2444">
        <v>0</v>
      </c>
    </row>
    <row r="1289" spans="1:42" s="621" customFormat="1" ht="14.5" outlineLevel="1">
      <c r="A1289" s="1693">
        <v>40</v>
      </c>
      <c r="B1289" s="653"/>
      <c r="C1289" s="1693">
        <v>40</v>
      </c>
      <c r="D1289" s="653"/>
      <c r="E1289" s="1693">
        <v>1056</v>
      </c>
      <c r="F1289" s="653"/>
      <c r="G1289" s="1693">
        <v>1272</v>
      </c>
      <c r="H1289" s="653"/>
      <c r="I1289" s="653"/>
      <c r="J1289" s="709" t="s">
        <v>512</v>
      </c>
      <c r="K1289" s="1069"/>
      <c r="L1289" s="622"/>
      <c r="M1289" s="623"/>
      <c r="N1289" s="622"/>
      <c r="O1289" s="690"/>
      <c r="P1289" s="693"/>
      <c r="Q1289" s="693"/>
      <c r="R1289" s="693"/>
      <c r="S1289" s="693" t="s">
        <v>2</v>
      </c>
      <c r="T1289" s="693"/>
      <c r="U1289" s="693"/>
      <c r="V1289" s="694"/>
      <c r="W1289" s="2435"/>
      <c r="X1289" s="2438">
        <v>0</v>
      </c>
      <c r="Y1289" s="2438">
        <v>0</v>
      </c>
      <c r="Z1289" s="2438">
        <v>0</v>
      </c>
      <c r="AA1289" s="2438">
        <v>0</v>
      </c>
      <c r="AB1289" s="2438">
        <v>0</v>
      </c>
      <c r="AC1289" s="2438">
        <v>0</v>
      </c>
      <c r="AD1289" s="2438">
        <v>0</v>
      </c>
      <c r="AE1289" s="2438">
        <v>0</v>
      </c>
      <c r="AF1289" s="2438">
        <v>0</v>
      </c>
      <c r="AG1289" s="2438">
        <v>0</v>
      </c>
      <c r="AH1289" s="2438">
        <v>0</v>
      </c>
      <c r="AI1289" s="2438">
        <v>0</v>
      </c>
      <c r="AJ1289" s="2439">
        <v>0</v>
      </c>
      <c r="AK1289" s="2439">
        <v>0</v>
      </c>
      <c r="AL1289" s="2439">
        <v>0</v>
      </c>
      <c r="AM1289" s="2439">
        <v>0</v>
      </c>
      <c r="AN1289" s="2439">
        <v>0</v>
      </c>
      <c r="AO1289" s="2439">
        <v>0</v>
      </c>
      <c r="AP1289" s="2439">
        <v>0</v>
      </c>
    </row>
    <row r="1290" spans="1:42" s="621" customFormat="1" ht="14.5" outlineLevel="1">
      <c r="A1290" s="1693">
        <v>41</v>
      </c>
      <c r="B1290" s="653"/>
      <c r="C1290" s="1693">
        <v>41</v>
      </c>
      <c r="D1290" s="653"/>
      <c r="E1290" s="1693">
        <v>1057</v>
      </c>
      <c r="F1290" s="653"/>
      <c r="G1290" s="1693">
        <v>1273</v>
      </c>
      <c r="H1290" s="653"/>
      <c r="I1290" s="653"/>
      <c r="J1290" s="709" t="s">
        <v>512</v>
      </c>
      <c r="K1290" s="1069"/>
      <c r="L1290" s="622"/>
      <c r="M1290" s="623"/>
      <c r="N1290" s="622"/>
      <c r="O1290" s="702"/>
      <c r="P1290" s="703" t="s">
        <v>2</v>
      </c>
      <c r="Q1290" s="703"/>
      <c r="R1290" s="703"/>
      <c r="S1290" s="703"/>
      <c r="T1290" s="703"/>
      <c r="U1290" s="703"/>
      <c r="V1290" s="704"/>
      <c r="W1290" s="2435"/>
      <c r="X1290" s="2445">
        <v>0</v>
      </c>
      <c r="Y1290" s="2445">
        <v>0</v>
      </c>
      <c r="Z1290" s="2445">
        <v>0</v>
      </c>
      <c r="AA1290" s="2445">
        <v>0</v>
      </c>
      <c r="AB1290" s="2445">
        <v>0</v>
      </c>
      <c r="AC1290" s="2445">
        <v>0</v>
      </c>
      <c r="AD1290" s="2445">
        <v>0</v>
      </c>
      <c r="AE1290" s="2445">
        <v>0</v>
      </c>
      <c r="AF1290" s="2445">
        <v>0</v>
      </c>
      <c r="AG1290" s="2445">
        <v>0</v>
      </c>
      <c r="AH1290" s="2445">
        <v>0</v>
      </c>
      <c r="AI1290" s="2445">
        <v>0</v>
      </c>
      <c r="AJ1290" s="2446">
        <v>0</v>
      </c>
      <c r="AK1290" s="2446">
        <v>0</v>
      </c>
      <c r="AL1290" s="2446">
        <v>0</v>
      </c>
      <c r="AM1290" s="2446">
        <v>0</v>
      </c>
      <c r="AN1290" s="2446">
        <v>0</v>
      </c>
      <c r="AO1290" s="2446">
        <v>0</v>
      </c>
      <c r="AP1290" s="2446">
        <v>0</v>
      </c>
    </row>
    <row r="1291" spans="1:42" ht="14.5" outlineLevel="1" collapsed="1">
      <c r="A1291" s="1693">
        <v>42</v>
      </c>
      <c r="C1291" s="1693">
        <v>42</v>
      </c>
      <c r="E1291" s="1693">
        <v>1058</v>
      </c>
      <c r="G1291" s="1693">
        <v>1274</v>
      </c>
      <c r="J1291" s="709" t="s">
        <v>512</v>
      </c>
      <c r="K1291" s="1069"/>
      <c r="W1291" s="1772"/>
      <c r="X1291" s="1366"/>
      <c r="Y1291" s="1366"/>
      <c r="Z1291" s="1366"/>
      <c r="AA1291" s="1366"/>
      <c r="AB1291" s="1366"/>
      <c r="AC1291" s="1366"/>
      <c r="AD1291" s="1366"/>
      <c r="AE1291" s="1366"/>
      <c r="AF1291" s="1366"/>
      <c r="AG1291" s="1366"/>
      <c r="AH1291" s="69"/>
      <c r="AI1291" s="69"/>
      <c r="AJ1291" s="69"/>
      <c r="AK1291" s="69"/>
      <c r="AL1291" s="69"/>
      <c r="AM1291" s="69"/>
      <c r="AN1291" s="69"/>
      <c r="AO1291" s="69"/>
      <c r="AP1291" s="69"/>
    </row>
    <row r="1292" spans="1:42" ht="15.5">
      <c r="A1292" s="1693">
        <v>1</v>
      </c>
      <c r="B1292" s="616">
        <v>1</v>
      </c>
      <c r="C1292" s="1693">
        <v>1</v>
      </c>
      <c r="D1292" s="616">
        <v>1</v>
      </c>
      <c r="E1292" s="1693">
        <v>1</v>
      </c>
      <c r="F1292" s="616">
        <v>1</v>
      </c>
      <c r="G1292" s="1693">
        <v>1275</v>
      </c>
      <c r="H1292" s="616">
        <v>1</v>
      </c>
      <c r="J1292" s="709" t="s">
        <v>512</v>
      </c>
      <c r="K1292" s="1069"/>
      <c r="L1292" s="2447" t="s">
        <v>1227</v>
      </c>
      <c r="M1292" s="672" t="s">
        <v>729</v>
      </c>
      <c r="O1292" s="937"/>
      <c r="P1292" s="937"/>
      <c r="Q1292" s="937"/>
      <c r="V1292" s="947"/>
      <c r="W1292" s="1772"/>
      <c r="X1292" s="1366"/>
      <c r="Y1292" s="1366"/>
      <c r="Z1292" s="1366"/>
      <c r="AA1292" s="1366"/>
      <c r="AB1292" s="1366"/>
      <c r="AC1292" s="1366"/>
      <c r="AD1292" s="1366"/>
      <c r="AE1292" s="1366"/>
      <c r="AF1292" s="1366"/>
      <c r="AG1292" s="1366"/>
      <c r="AH1292" s="69"/>
      <c r="AI1292" s="69"/>
      <c r="AJ1292" s="69"/>
      <c r="AK1292" s="69"/>
      <c r="AL1292" s="69"/>
      <c r="AM1292" s="69"/>
      <c r="AN1292" s="69"/>
      <c r="AO1292" s="69"/>
      <c r="AP1292" s="69"/>
    </row>
    <row r="1293" spans="1:42" ht="14.5">
      <c r="A1293" s="1693">
        <v>1</v>
      </c>
      <c r="B1293" s="616">
        <v>1</v>
      </c>
      <c r="C1293" s="1693">
        <v>1</v>
      </c>
      <c r="D1293" s="616">
        <v>1</v>
      </c>
      <c r="E1293" s="1693">
        <v>1</v>
      </c>
      <c r="F1293" s="616">
        <v>1</v>
      </c>
      <c r="G1293" s="1693">
        <v>1276</v>
      </c>
      <c r="H1293" s="616">
        <v>1</v>
      </c>
      <c r="J1293" s="709" t="s">
        <v>512</v>
      </c>
      <c r="K1293" s="1069"/>
      <c r="L1293" s="2447" t="s">
        <v>1227</v>
      </c>
      <c r="O1293" s="2448"/>
      <c r="P1293" s="2449"/>
      <c r="Q1293" s="2449"/>
      <c r="R1293" s="2449"/>
      <c r="S1293" s="2449"/>
      <c r="T1293" s="2449"/>
      <c r="U1293" s="2449"/>
      <c r="V1293" s="2449"/>
      <c r="W1293" s="1838"/>
      <c r="X1293" s="2450" t="s">
        <v>908</v>
      </c>
      <c r="Y1293" s="2450" t="s">
        <v>909</v>
      </c>
      <c r="Z1293" s="2450" t="s">
        <v>910</v>
      </c>
      <c r="AA1293" s="2450" t="s">
        <v>911</v>
      </c>
      <c r="AB1293" s="2450" t="s">
        <v>912</v>
      </c>
      <c r="AC1293" s="2451" t="s">
        <v>913</v>
      </c>
      <c r="AD1293" s="2450" t="s">
        <v>914</v>
      </c>
      <c r="AE1293" s="2450" t="s">
        <v>915</v>
      </c>
      <c r="AF1293" s="2450" t="s">
        <v>916</v>
      </c>
      <c r="AG1293" s="2450" t="s">
        <v>917</v>
      </c>
      <c r="AH1293" s="2450" t="s">
        <v>918</v>
      </c>
      <c r="AI1293" s="2450" t="s">
        <v>919</v>
      </c>
    </row>
    <row r="1294" spans="1:42" ht="14.5">
      <c r="A1294" s="1693">
        <v>1</v>
      </c>
      <c r="B1294" s="616">
        <v>1</v>
      </c>
      <c r="C1294" s="1693">
        <v>1</v>
      </c>
      <c r="D1294" s="616">
        <v>1</v>
      </c>
      <c r="E1294" s="1693">
        <v>1</v>
      </c>
      <c r="F1294" s="616">
        <v>1</v>
      </c>
      <c r="G1294" s="1693">
        <v>1277</v>
      </c>
      <c r="H1294" s="616">
        <v>1</v>
      </c>
      <c r="J1294" s="709" t="s">
        <v>512</v>
      </c>
      <c r="K1294" s="1069"/>
      <c r="L1294" s="2447" t="s">
        <v>1227</v>
      </c>
      <c r="O1294" s="940" t="s">
        <v>1171</v>
      </c>
      <c r="P1294" s="946"/>
      <c r="Q1294" s="946"/>
      <c r="R1294" s="946"/>
      <c r="S1294" s="941" t="s">
        <v>601</v>
      </c>
      <c r="T1294" s="941"/>
      <c r="U1294" s="941"/>
      <c r="V1294" s="941"/>
      <c r="W1294" s="2452"/>
      <c r="X1294" s="2453">
        <v>405105.88315312576</v>
      </c>
      <c r="Y1294" s="2453">
        <v>319938.33595940046</v>
      </c>
      <c r="Z1294" s="2453">
        <v>178552.98931525214</v>
      </c>
      <c r="AA1294" s="2453">
        <v>433245.58178274427</v>
      </c>
      <c r="AB1294" s="2453">
        <v>352199.7792034006</v>
      </c>
      <c r="AC1294" s="2453">
        <v>200909.12291458607</v>
      </c>
      <c r="AD1294" s="2453">
        <v>446970.99071916705</v>
      </c>
      <c r="AE1294" s="2453">
        <v>314946.15245581936</v>
      </c>
      <c r="AF1294" s="2453">
        <v>200338.18399596843</v>
      </c>
      <c r="AG1294" s="2453">
        <v>447653.56302760652</v>
      </c>
      <c r="AH1294" s="2453">
        <v>364836.73099853366</v>
      </c>
      <c r="AI1294" s="2453">
        <v>206506.6558276506</v>
      </c>
    </row>
    <row r="1295" spans="1:42" ht="14.5">
      <c r="A1295" s="1693">
        <v>1</v>
      </c>
      <c r="B1295" s="616">
        <v>1</v>
      </c>
      <c r="C1295" s="1693">
        <v>1</v>
      </c>
      <c r="D1295" s="616">
        <v>1</v>
      </c>
      <c r="E1295" s="1693">
        <v>1</v>
      </c>
      <c r="F1295" s="616">
        <v>1</v>
      </c>
      <c r="G1295" s="1693">
        <v>1278</v>
      </c>
      <c r="H1295" s="616">
        <v>1</v>
      </c>
      <c r="J1295" s="709" t="s">
        <v>512</v>
      </c>
      <c r="K1295" s="1069"/>
      <c r="L1295" s="2447" t="s">
        <v>1227</v>
      </c>
      <c r="O1295" s="940"/>
      <c r="P1295" s="942"/>
      <c r="Q1295" s="942"/>
      <c r="R1295" s="942"/>
      <c r="S1295" s="942" t="s">
        <v>57</v>
      </c>
      <c r="T1295" s="942"/>
      <c r="U1295" s="942"/>
      <c r="V1295" s="942"/>
      <c r="W1295" s="1794"/>
      <c r="X1295" s="1399">
        <v>277264.9983206258</v>
      </c>
      <c r="Y1295" s="1396">
        <v>217539.13396940049</v>
      </c>
      <c r="Z1295" s="1396">
        <v>105941.16241150216</v>
      </c>
      <c r="AA1295" s="1396">
        <v>302512.38883774431</v>
      </c>
      <c r="AB1295" s="1396">
        <v>247631.34612902559</v>
      </c>
      <c r="AC1295" s="1396">
        <v>126271.71632208608</v>
      </c>
      <c r="AD1295" s="1396">
        <v>310082.45009166707</v>
      </c>
      <c r="AE1295" s="1396">
        <v>204457.50094644437</v>
      </c>
      <c r="AF1295" s="1396">
        <v>122912.81637846841</v>
      </c>
      <c r="AG1295" s="1396">
        <v>308369.70078510651</v>
      </c>
      <c r="AH1295" s="1396">
        <v>253855.29595103371</v>
      </c>
      <c r="AI1295" s="1396">
        <v>127883.6274026506</v>
      </c>
    </row>
    <row r="1296" spans="1:42" ht="14.5">
      <c r="A1296" s="1693">
        <v>1</v>
      </c>
      <c r="B1296" s="616">
        <v>1</v>
      </c>
      <c r="C1296" s="1693">
        <v>1</v>
      </c>
      <c r="D1296" s="616">
        <v>1</v>
      </c>
      <c r="E1296" s="1693">
        <v>1</v>
      </c>
      <c r="F1296" s="616">
        <v>1</v>
      </c>
      <c r="G1296" s="1693">
        <v>1279</v>
      </c>
      <c r="H1296" s="616">
        <v>1</v>
      </c>
      <c r="J1296" s="709" t="s">
        <v>512</v>
      </c>
      <c r="K1296" s="1069"/>
      <c r="L1296" s="2447" t="s">
        <v>1227</v>
      </c>
      <c r="O1296" s="940"/>
      <c r="P1296" s="942"/>
      <c r="Q1296" s="942"/>
      <c r="R1296" s="942"/>
      <c r="S1296" s="942" t="s">
        <v>27</v>
      </c>
      <c r="T1296" s="942"/>
      <c r="U1296" s="942"/>
      <c r="V1296" s="942"/>
      <c r="W1296" s="1794"/>
      <c r="X1296" s="1399">
        <v>127840.88483249999</v>
      </c>
      <c r="Y1296" s="1396">
        <v>102399.20198999999</v>
      </c>
      <c r="Z1296" s="1396">
        <v>72611.826903749985</v>
      </c>
      <c r="AA1296" s="1396">
        <v>130733.19294499999</v>
      </c>
      <c r="AB1296" s="1396">
        <v>104568.43307437499</v>
      </c>
      <c r="AC1296" s="1396">
        <v>74637.406592499989</v>
      </c>
      <c r="AD1296" s="1396">
        <v>136888.54062749998</v>
      </c>
      <c r="AE1296" s="1396">
        <v>110488.65150937499</v>
      </c>
      <c r="AF1296" s="1396">
        <v>77425.3676175</v>
      </c>
      <c r="AG1296" s="1396">
        <v>139283.86224250001</v>
      </c>
      <c r="AH1296" s="1396">
        <v>110981.43504749998</v>
      </c>
      <c r="AI1296" s="1396">
        <v>78623.028424999997</v>
      </c>
    </row>
    <row r="1297" spans="1:42" ht="14.5">
      <c r="A1297" s="1693">
        <v>1</v>
      </c>
      <c r="B1297" s="616">
        <v>1</v>
      </c>
      <c r="C1297" s="1693">
        <v>1</v>
      </c>
      <c r="D1297" s="616">
        <v>1</v>
      </c>
      <c r="E1297" s="1693">
        <v>1</v>
      </c>
      <c r="F1297" s="616">
        <v>1</v>
      </c>
      <c r="G1297" s="1693">
        <v>1280</v>
      </c>
      <c r="H1297" s="616">
        <v>1</v>
      </c>
      <c r="J1297" s="709" t="s">
        <v>512</v>
      </c>
      <c r="K1297" s="1069"/>
      <c r="L1297" s="2447" t="s">
        <v>1227</v>
      </c>
      <c r="O1297" s="943"/>
      <c r="P1297" s="944"/>
      <c r="Q1297" s="944"/>
      <c r="R1297" s="944"/>
      <c r="S1297" s="944" t="s">
        <v>2</v>
      </c>
      <c r="T1297" s="942"/>
      <c r="U1297" s="942"/>
      <c r="V1297" s="942"/>
      <c r="W1297" s="1794"/>
      <c r="X1297" s="1399">
        <v>0</v>
      </c>
      <c r="Y1297" s="1396">
        <v>0</v>
      </c>
      <c r="Z1297" s="1396">
        <v>0</v>
      </c>
      <c r="AA1297" s="1396">
        <v>0</v>
      </c>
      <c r="AB1297" s="1396">
        <v>0</v>
      </c>
      <c r="AC1297" s="1396">
        <v>0</v>
      </c>
      <c r="AD1297" s="1396">
        <v>0</v>
      </c>
      <c r="AE1297" s="1396">
        <v>0</v>
      </c>
      <c r="AF1297" s="1396">
        <v>0</v>
      </c>
      <c r="AG1297" s="1396">
        <v>0</v>
      </c>
      <c r="AH1297" s="1396">
        <v>0</v>
      </c>
      <c r="AI1297" s="1396">
        <v>0</v>
      </c>
    </row>
    <row r="1298" spans="1:42" ht="14.5">
      <c r="A1298" s="1693">
        <v>1</v>
      </c>
      <c r="B1298" s="616">
        <v>1</v>
      </c>
      <c r="C1298" s="1693">
        <v>1</v>
      </c>
      <c r="D1298" s="616">
        <v>1</v>
      </c>
      <c r="E1298" s="1693">
        <v>1</v>
      </c>
      <c r="F1298" s="616">
        <v>1</v>
      </c>
      <c r="G1298" s="1693">
        <v>1281</v>
      </c>
      <c r="H1298" s="616">
        <v>1</v>
      </c>
      <c r="J1298" s="709" t="s">
        <v>512</v>
      </c>
      <c r="K1298" s="1069"/>
      <c r="L1298" s="2447" t="s">
        <v>1227</v>
      </c>
      <c r="O1298" s="940" t="s">
        <v>1142</v>
      </c>
      <c r="P1298" s="946"/>
      <c r="Q1298" s="946"/>
      <c r="R1298" s="946"/>
      <c r="S1298" s="941" t="s">
        <v>601</v>
      </c>
      <c r="T1298" s="941"/>
      <c r="U1298" s="941"/>
      <c r="V1298" s="941"/>
      <c r="W1298" s="2454"/>
      <c r="X1298" s="2455">
        <v>278133.40163028979</v>
      </c>
      <c r="Y1298" s="2455">
        <v>214671.51216741998</v>
      </c>
      <c r="Z1298" s="2455">
        <v>107165.83175084587</v>
      </c>
      <c r="AA1298" s="2455">
        <v>302177.6030676121</v>
      </c>
      <c r="AB1298" s="2455">
        <v>238048.5928503068</v>
      </c>
      <c r="AC1298" s="2455">
        <v>123225.60971954028</v>
      </c>
      <c r="AD1298" s="2455">
        <v>308363.96792284632</v>
      </c>
      <c r="AE1298" s="2455">
        <v>211304.71904483507</v>
      </c>
      <c r="AF1298" s="2455">
        <v>120525.14748245219</v>
      </c>
      <c r="AG1298" s="2455">
        <v>311076.2763636373</v>
      </c>
      <c r="AH1298" s="2455">
        <v>243383.28012377923</v>
      </c>
      <c r="AI1298" s="2455">
        <v>125337.06633787439</v>
      </c>
    </row>
    <row r="1299" spans="1:42" ht="14.5">
      <c r="A1299" s="1693">
        <v>1</v>
      </c>
      <c r="B1299" s="616">
        <v>1</v>
      </c>
      <c r="C1299" s="1693">
        <v>1</v>
      </c>
      <c r="D1299" s="616">
        <v>1</v>
      </c>
      <c r="E1299" s="1693">
        <v>1</v>
      </c>
      <c r="F1299" s="616">
        <v>1</v>
      </c>
      <c r="G1299" s="1693">
        <v>1282</v>
      </c>
      <c r="H1299" s="616">
        <v>1</v>
      </c>
      <c r="J1299" s="709" t="s">
        <v>512</v>
      </c>
      <c r="K1299" s="1069"/>
      <c r="L1299" s="2447" t="s">
        <v>1227</v>
      </c>
      <c r="O1299" s="940"/>
      <c r="P1299" s="942"/>
      <c r="Q1299" s="942"/>
      <c r="R1299" s="942"/>
      <c r="S1299" s="942" t="s">
        <v>57</v>
      </c>
      <c r="T1299" s="942"/>
      <c r="U1299" s="942"/>
      <c r="V1299" s="942"/>
      <c r="W1299" s="2456"/>
      <c r="X1299" s="2457">
        <v>220205.17551778982</v>
      </c>
      <c r="Y1299" s="2458">
        <v>164706.80421741999</v>
      </c>
      <c r="Z1299" s="2458">
        <v>69510.334207095875</v>
      </c>
      <c r="AA1299" s="2458">
        <v>240853.84879261209</v>
      </c>
      <c r="AB1299" s="2458">
        <v>185537.23877843181</v>
      </c>
      <c r="AC1299" s="2458">
        <v>83292.922462040297</v>
      </c>
      <c r="AD1299" s="2458">
        <v>247971.25054534635</v>
      </c>
      <c r="AE1299" s="2458">
        <v>158187.93497296009</v>
      </c>
      <c r="AF1299" s="2458">
        <v>81347.69148995218</v>
      </c>
      <c r="AG1299" s="2458">
        <v>248446.14772113733</v>
      </c>
      <c r="AH1299" s="2458">
        <v>189892.14527627925</v>
      </c>
      <c r="AI1299" s="2458">
        <v>85040.904712874399</v>
      </c>
    </row>
    <row r="1300" spans="1:42" ht="14.5">
      <c r="A1300" s="1693">
        <v>1</v>
      </c>
      <c r="B1300" s="616">
        <v>1</v>
      </c>
      <c r="C1300" s="1693">
        <v>1</v>
      </c>
      <c r="D1300" s="616">
        <v>1</v>
      </c>
      <c r="E1300" s="1693">
        <v>1</v>
      </c>
      <c r="F1300" s="616">
        <v>1</v>
      </c>
      <c r="G1300" s="1693">
        <v>1283</v>
      </c>
      <c r="H1300" s="616">
        <v>1</v>
      </c>
      <c r="J1300" s="709" t="s">
        <v>512</v>
      </c>
      <c r="K1300" s="1069"/>
      <c r="L1300" s="2447" t="s">
        <v>1227</v>
      </c>
      <c r="O1300" s="940"/>
      <c r="P1300" s="942"/>
      <c r="Q1300" s="942"/>
      <c r="R1300" s="942"/>
      <c r="S1300" s="942" t="s">
        <v>27</v>
      </c>
      <c r="T1300" s="942"/>
      <c r="U1300" s="942"/>
      <c r="V1300" s="942"/>
      <c r="W1300" s="2456"/>
      <c r="X1300" s="2457">
        <v>57928.2261125</v>
      </c>
      <c r="Y1300" s="2458">
        <v>49964.707949999989</v>
      </c>
      <c r="Z1300" s="2458">
        <v>37655.497543749996</v>
      </c>
      <c r="AA1300" s="2458">
        <v>61323.754275000007</v>
      </c>
      <c r="AB1300" s="2458">
        <v>52511.354071874994</v>
      </c>
      <c r="AC1300" s="2458">
        <v>39932.687257499994</v>
      </c>
      <c r="AD1300" s="2458">
        <v>60392.717377499997</v>
      </c>
      <c r="AE1300" s="2458">
        <v>53116.784071874987</v>
      </c>
      <c r="AF1300" s="2458">
        <v>39177.455992499999</v>
      </c>
      <c r="AG1300" s="2458">
        <v>62630.1286425</v>
      </c>
      <c r="AH1300" s="2458">
        <v>53491.13484749999</v>
      </c>
      <c r="AI1300" s="2458">
        <v>40296.161624999993</v>
      </c>
    </row>
    <row r="1301" spans="1:42" ht="14.5">
      <c r="A1301" s="1693">
        <v>1</v>
      </c>
      <c r="B1301" s="616">
        <v>1</v>
      </c>
      <c r="C1301" s="1693">
        <v>1</v>
      </c>
      <c r="D1301" s="616">
        <v>1</v>
      </c>
      <c r="E1301" s="1693">
        <v>1</v>
      </c>
      <c r="F1301" s="616">
        <v>1</v>
      </c>
      <c r="G1301" s="1693">
        <v>1284</v>
      </c>
      <c r="H1301" s="616">
        <v>1</v>
      </c>
      <c r="J1301" s="709" t="s">
        <v>512</v>
      </c>
      <c r="K1301" s="1069"/>
      <c r="L1301" s="2447" t="s">
        <v>1227</v>
      </c>
      <c r="O1301" s="943"/>
      <c r="P1301" s="944"/>
      <c r="Q1301" s="944"/>
      <c r="R1301" s="944"/>
      <c r="S1301" s="944" t="s">
        <v>2</v>
      </c>
      <c r="T1301" s="942"/>
      <c r="U1301" s="942"/>
      <c r="V1301" s="942"/>
      <c r="W1301" s="2456"/>
      <c r="X1301" s="2457">
        <v>0</v>
      </c>
      <c r="Y1301" s="2458">
        <v>0</v>
      </c>
      <c r="Z1301" s="2458">
        <v>0</v>
      </c>
      <c r="AA1301" s="2458">
        <v>0</v>
      </c>
      <c r="AB1301" s="2458">
        <v>0</v>
      </c>
      <c r="AC1301" s="2458">
        <v>0</v>
      </c>
      <c r="AD1301" s="2458">
        <v>0</v>
      </c>
      <c r="AE1301" s="2458">
        <v>0</v>
      </c>
      <c r="AF1301" s="2458">
        <v>0</v>
      </c>
      <c r="AG1301" s="2458">
        <v>0</v>
      </c>
      <c r="AH1301" s="2458">
        <v>0</v>
      </c>
      <c r="AI1301" s="2458">
        <v>0</v>
      </c>
    </row>
    <row r="1302" spans="1:42" ht="14.5">
      <c r="A1302" s="1693">
        <v>1</v>
      </c>
      <c r="B1302" s="616">
        <v>1</v>
      </c>
      <c r="C1302" s="1693">
        <v>1</v>
      </c>
      <c r="D1302" s="616">
        <v>1</v>
      </c>
      <c r="E1302" s="1693">
        <v>1</v>
      </c>
      <c r="F1302" s="616">
        <v>1</v>
      </c>
      <c r="G1302" s="1693">
        <v>1285</v>
      </c>
      <c r="H1302" s="616">
        <v>1</v>
      </c>
      <c r="J1302" s="709" t="s">
        <v>512</v>
      </c>
      <c r="K1302" s="1069"/>
      <c r="L1302" s="2447" t="s">
        <v>1227</v>
      </c>
      <c r="O1302" s="940" t="s">
        <v>1145</v>
      </c>
      <c r="P1302" s="946"/>
      <c r="Q1302" s="946"/>
      <c r="R1302" s="946"/>
      <c r="S1302" s="941" t="s">
        <v>601</v>
      </c>
      <c r="T1302" s="941"/>
      <c r="U1302" s="941"/>
      <c r="V1302" s="941"/>
      <c r="W1302" s="2454"/>
      <c r="X1302" s="2459">
        <v>126972.48152283597</v>
      </c>
      <c r="Y1302" s="2459">
        <v>105266.82379198051</v>
      </c>
      <c r="Z1302" s="2459">
        <v>71387.157564406283</v>
      </c>
      <c r="AA1302" s="2459">
        <v>131067.97871513222</v>
      </c>
      <c r="AB1302" s="2459">
        <v>114151.18635309378</v>
      </c>
      <c r="AC1302" s="2459">
        <v>77683.513195045787</v>
      </c>
      <c r="AD1302" s="2459">
        <v>138607.0227963207</v>
      </c>
      <c r="AE1302" s="2459">
        <v>103641.43341098429</v>
      </c>
      <c r="AF1302" s="2459">
        <v>79813.036513516228</v>
      </c>
      <c r="AG1302" s="2459">
        <v>136577.28666396922</v>
      </c>
      <c r="AH1302" s="2459">
        <v>121453.45087475446</v>
      </c>
      <c r="AI1302" s="2459">
        <v>81169.589489776205</v>
      </c>
    </row>
    <row r="1303" spans="1:42" ht="14.5">
      <c r="A1303" s="1693">
        <v>1</v>
      </c>
      <c r="B1303" s="616">
        <v>1</v>
      </c>
      <c r="C1303" s="1693">
        <v>1</v>
      </c>
      <c r="D1303" s="616">
        <v>1</v>
      </c>
      <c r="E1303" s="1693">
        <v>1</v>
      </c>
      <c r="F1303" s="616">
        <v>1</v>
      </c>
      <c r="G1303" s="1693">
        <v>1286</v>
      </c>
      <c r="H1303" s="616">
        <v>1</v>
      </c>
      <c r="J1303" s="709" t="s">
        <v>512</v>
      </c>
      <c r="K1303" s="1069"/>
      <c r="L1303" s="2447" t="s">
        <v>1227</v>
      </c>
      <c r="O1303" s="940"/>
      <c r="P1303" s="942"/>
      <c r="Q1303" s="942"/>
      <c r="R1303" s="942"/>
      <c r="S1303" s="942" t="s">
        <v>57</v>
      </c>
      <c r="T1303" s="942"/>
      <c r="U1303" s="942"/>
      <c r="V1303" s="942"/>
      <c r="W1303" s="2456"/>
      <c r="X1303" s="2457">
        <v>57059.822802835981</v>
      </c>
      <c r="Y1303" s="2458">
        <v>52832.329751980506</v>
      </c>
      <c r="Z1303" s="2458">
        <v>36430.82820440628</v>
      </c>
      <c r="AA1303" s="2458">
        <v>61658.540045132235</v>
      </c>
      <c r="AB1303" s="2458">
        <v>62094.107350593789</v>
      </c>
      <c r="AC1303" s="2458">
        <v>42978.793860045793</v>
      </c>
      <c r="AD1303" s="2458">
        <v>62111.199546320699</v>
      </c>
      <c r="AE1303" s="2458">
        <v>46269.565973484277</v>
      </c>
      <c r="AF1303" s="2458">
        <v>41565.124888516228</v>
      </c>
      <c r="AG1303" s="2458">
        <v>59923.553063969208</v>
      </c>
      <c r="AH1303" s="2458">
        <v>63963.150674754455</v>
      </c>
      <c r="AI1303" s="2458">
        <v>42842.722689776201</v>
      </c>
    </row>
    <row r="1304" spans="1:42" ht="14.5">
      <c r="A1304" s="1693">
        <v>1</v>
      </c>
      <c r="B1304" s="616">
        <v>1</v>
      </c>
      <c r="C1304" s="1693">
        <v>1</v>
      </c>
      <c r="D1304" s="616">
        <v>1</v>
      </c>
      <c r="E1304" s="1693">
        <v>1</v>
      </c>
      <c r="F1304" s="616">
        <v>1</v>
      </c>
      <c r="G1304" s="1693">
        <v>1287</v>
      </c>
      <c r="H1304" s="616">
        <v>1</v>
      </c>
      <c r="J1304" s="709" t="s">
        <v>512</v>
      </c>
      <c r="K1304" s="1069"/>
      <c r="L1304" s="2447" t="s">
        <v>1227</v>
      </c>
      <c r="O1304" s="940"/>
      <c r="P1304" s="942"/>
      <c r="Q1304" s="942"/>
      <c r="R1304" s="942"/>
      <c r="S1304" s="942" t="s">
        <v>27</v>
      </c>
      <c r="T1304" s="942"/>
      <c r="U1304" s="942"/>
      <c r="V1304" s="942"/>
      <c r="W1304" s="2456"/>
      <c r="X1304" s="2457">
        <v>69912.658719999992</v>
      </c>
      <c r="Y1304" s="2458">
        <v>52434.494039999998</v>
      </c>
      <c r="Z1304" s="2458">
        <v>34956.329359999996</v>
      </c>
      <c r="AA1304" s="2458">
        <v>69409.438669999989</v>
      </c>
      <c r="AB1304" s="2458">
        <v>52057.079002499995</v>
      </c>
      <c r="AC1304" s="2458">
        <v>34704.719334999994</v>
      </c>
      <c r="AD1304" s="2458">
        <v>76495.823250000001</v>
      </c>
      <c r="AE1304" s="2458">
        <v>57371.867437500005</v>
      </c>
      <c r="AF1304" s="2458">
        <v>38247.911625000001</v>
      </c>
      <c r="AG1304" s="2458">
        <v>76653.733600000007</v>
      </c>
      <c r="AH1304" s="2458">
        <v>57490.300199999998</v>
      </c>
      <c r="AI1304" s="2458">
        <v>38326.866800000003</v>
      </c>
    </row>
    <row r="1305" spans="1:42" ht="14.5">
      <c r="A1305" s="1693">
        <v>1</v>
      </c>
      <c r="B1305" s="616">
        <v>1</v>
      </c>
      <c r="C1305" s="1693">
        <v>1</v>
      </c>
      <c r="D1305" s="616">
        <v>1</v>
      </c>
      <c r="E1305" s="1693">
        <v>1</v>
      </c>
      <c r="F1305" s="616">
        <v>1</v>
      </c>
      <c r="G1305" s="1693">
        <v>1288</v>
      </c>
      <c r="H1305" s="616">
        <v>1</v>
      </c>
      <c r="J1305" s="709" t="s">
        <v>512</v>
      </c>
      <c r="K1305" s="1069"/>
      <c r="L1305" s="2447" t="s">
        <v>1227</v>
      </c>
      <c r="O1305" s="943"/>
      <c r="P1305" s="944"/>
      <c r="Q1305" s="944"/>
      <c r="R1305" s="944"/>
      <c r="S1305" s="944" t="s">
        <v>2</v>
      </c>
      <c r="T1305" s="944"/>
      <c r="U1305" s="944"/>
      <c r="V1305" s="944"/>
      <c r="W1305" s="2456"/>
      <c r="X1305" s="2457">
        <v>0</v>
      </c>
      <c r="Y1305" s="2458">
        <v>0</v>
      </c>
      <c r="Z1305" s="2458">
        <v>0</v>
      </c>
      <c r="AA1305" s="2458">
        <v>0</v>
      </c>
      <c r="AB1305" s="2458">
        <v>0</v>
      </c>
      <c r="AC1305" s="2458">
        <v>0</v>
      </c>
      <c r="AD1305" s="2458">
        <v>0</v>
      </c>
      <c r="AE1305" s="2458">
        <v>0</v>
      </c>
      <c r="AF1305" s="2458">
        <v>0</v>
      </c>
      <c r="AG1305" s="2458">
        <v>0</v>
      </c>
      <c r="AH1305" s="2458">
        <v>0</v>
      </c>
      <c r="AI1305" s="2458">
        <v>0</v>
      </c>
    </row>
    <row r="1306" spans="1:42" ht="14.5">
      <c r="A1306" s="1693">
        <v>1</v>
      </c>
      <c r="B1306" s="616">
        <v>1</v>
      </c>
      <c r="C1306" s="1693">
        <v>1</v>
      </c>
      <c r="D1306" s="616">
        <v>1</v>
      </c>
      <c r="E1306" s="1693">
        <v>1</v>
      </c>
      <c r="F1306" s="616">
        <v>1</v>
      </c>
      <c r="G1306" s="1693">
        <v>1289</v>
      </c>
      <c r="H1306" s="616">
        <v>1</v>
      </c>
      <c r="J1306" s="709" t="s">
        <v>512</v>
      </c>
      <c r="K1306" s="1069"/>
      <c r="L1306" s="2447" t="s">
        <v>1227</v>
      </c>
      <c r="O1306" s="943" t="s">
        <v>563</v>
      </c>
      <c r="P1306" s="945"/>
      <c r="Q1306" s="945"/>
      <c r="R1306" s="945"/>
      <c r="S1306" s="945" t="s">
        <v>601</v>
      </c>
      <c r="T1306" s="945"/>
      <c r="U1306" s="945"/>
      <c r="V1306" s="945"/>
      <c r="W1306" s="2456"/>
      <c r="X1306" s="2460">
        <v>0</v>
      </c>
      <c r="Y1306" s="2461">
        <v>0</v>
      </c>
      <c r="Z1306" s="2461">
        <v>0</v>
      </c>
      <c r="AA1306" s="2461">
        <v>0</v>
      </c>
      <c r="AB1306" s="2461">
        <v>0</v>
      </c>
      <c r="AC1306" s="2461">
        <v>0</v>
      </c>
      <c r="AD1306" s="2461">
        <v>0</v>
      </c>
      <c r="AE1306" s="2461">
        <v>0</v>
      </c>
      <c r="AF1306" s="2461">
        <v>0</v>
      </c>
      <c r="AG1306" s="2461">
        <v>0</v>
      </c>
      <c r="AH1306" s="2461">
        <v>0</v>
      </c>
      <c r="AI1306" s="2461">
        <v>0</v>
      </c>
    </row>
    <row r="1307" spans="1:42" ht="14.5">
      <c r="A1307" s="1693">
        <v>1</v>
      </c>
      <c r="B1307" s="616">
        <v>1</v>
      </c>
      <c r="C1307" s="1693">
        <v>1</v>
      </c>
      <c r="D1307" s="616">
        <v>1</v>
      </c>
      <c r="E1307" s="1693">
        <v>1</v>
      </c>
      <c r="F1307" s="616">
        <v>1</v>
      </c>
      <c r="G1307" s="1693">
        <v>1290</v>
      </c>
      <c r="H1307" s="616">
        <v>1</v>
      </c>
      <c r="J1307" s="709" t="s">
        <v>512</v>
      </c>
      <c r="K1307" s="1069"/>
      <c r="L1307" s="2447" t="s">
        <v>1227</v>
      </c>
      <c r="O1307" s="943" t="s">
        <v>1169</v>
      </c>
      <c r="P1307" s="945"/>
      <c r="Q1307" s="945"/>
      <c r="R1307" s="945"/>
      <c r="S1307" s="945" t="s">
        <v>601</v>
      </c>
      <c r="T1307" s="945"/>
      <c r="U1307" s="945"/>
      <c r="V1307" s="945"/>
      <c r="W1307" s="2456"/>
      <c r="X1307" s="2462">
        <v>0</v>
      </c>
      <c r="Y1307" s="2463">
        <v>0</v>
      </c>
      <c r="Z1307" s="2463">
        <v>0</v>
      </c>
      <c r="AA1307" s="2463">
        <v>0</v>
      </c>
      <c r="AB1307" s="2463">
        <v>0</v>
      </c>
      <c r="AC1307" s="2463">
        <v>0</v>
      </c>
      <c r="AD1307" s="2463">
        <v>0</v>
      </c>
      <c r="AE1307" s="2463">
        <v>0</v>
      </c>
      <c r="AF1307" s="2463">
        <v>0</v>
      </c>
      <c r="AG1307" s="2463">
        <v>0</v>
      </c>
      <c r="AH1307" s="2463">
        <v>0</v>
      </c>
      <c r="AI1307" s="2463">
        <v>0</v>
      </c>
    </row>
    <row r="1308" spans="1:42" ht="14.5">
      <c r="A1308" s="1693">
        <v>1</v>
      </c>
      <c r="B1308" s="616">
        <v>1</v>
      </c>
      <c r="C1308" s="1693">
        <v>1</v>
      </c>
      <c r="D1308" s="616">
        <v>1</v>
      </c>
      <c r="E1308" s="1693">
        <v>1</v>
      </c>
      <c r="F1308" s="616">
        <v>1</v>
      </c>
      <c r="G1308" s="1693">
        <v>1291</v>
      </c>
      <c r="H1308" s="616">
        <v>1</v>
      </c>
      <c r="J1308" s="709" t="s">
        <v>512</v>
      </c>
      <c r="K1308" s="1069"/>
      <c r="W1308" s="1772"/>
      <c r="X1308" s="1366"/>
      <c r="Y1308" s="1366"/>
      <c r="Z1308" s="1366"/>
      <c r="AA1308" s="1366"/>
      <c r="AB1308" s="1366"/>
      <c r="AC1308" s="1366"/>
      <c r="AD1308" s="1366"/>
      <c r="AE1308" s="1366"/>
      <c r="AF1308" s="1366"/>
      <c r="AG1308" s="1366"/>
      <c r="AH1308" s="69"/>
      <c r="AI1308" s="69"/>
      <c r="AJ1308" s="69"/>
      <c r="AK1308" s="69"/>
      <c r="AL1308" s="69"/>
      <c r="AM1308" s="69"/>
      <c r="AN1308" s="69"/>
      <c r="AO1308" s="69"/>
      <c r="AP1308" s="69"/>
    </row>
    <row r="1309" spans="1:42" ht="25">
      <c r="A1309" s="1693">
        <v>1</v>
      </c>
      <c r="B1309" s="616">
        <v>1</v>
      </c>
      <c r="C1309" s="1693">
        <v>1</v>
      </c>
      <c r="D1309" s="616">
        <v>1</v>
      </c>
      <c r="E1309" s="1693">
        <v>1</v>
      </c>
      <c r="F1309" s="616">
        <v>1</v>
      </c>
      <c r="G1309" s="1693">
        <v>1292</v>
      </c>
      <c r="H1309" s="616">
        <v>1</v>
      </c>
      <c r="J1309" s="709" t="s">
        <v>512</v>
      </c>
      <c r="K1309" s="1764" t="s">
        <v>1216</v>
      </c>
      <c r="L1309" s="55" t="s">
        <v>956</v>
      </c>
      <c r="M1309" s="55"/>
      <c r="N1309" s="54"/>
      <c r="O1309" s="4"/>
      <c r="P1309" s="3"/>
      <c r="Q1309" s="35"/>
      <c r="R1309" s="35"/>
      <c r="S1309" s="36"/>
      <c r="T1309" s="36"/>
      <c r="U1309" s="36"/>
      <c r="V1309" s="36"/>
      <c r="W1309" s="2464"/>
      <c r="X1309" s="2465"/>
      <c r="Y1309" s="1366"/>
      <c r="Z1309" s="1366"/>
      <c r="AA1309" s="1366"/>
      <c r="AB1309" s="1366"/>
      <c r="AC1309" s="1366"/>
      <c r="AD1309" s="1366"/>
      <c r="AE1309" s="1366"/>
      <c r="AF1309" s="1366"/>
      <c r="AG1309" s="1366"/>
      <c r="AH1309" s="69"/>
      <c r="AI1309" s="69"/>
      <c r="AJ1309" s="1669"/>
      <c r="AK1309" s="69"/>
      <c r="AL1309" s="69"/>
      <c r="AM1309" s="69"/>
      <c r="AN1309" s="69"/>
      <c r="AO1309" s="69"/>
      <c r="AP1309" s="69"/>
    </row>
    <row r="1310" spans="1:42" ht="14.5">
      <c r="A1310" s="1693">
        <v>1</v>
      </c>
      <c r="B1310" s="616">
        <v>1</v>
      </c>
      <c r="C1310" s="1693">
        <v>1</v>
      </c>
      <c r="D1310" s="616">
        <v>1</v>
      </c>
      <c r="E1310" s="1693">
        <v>1</v>
      </c>
      <c r="F1310" s="616">
        <v>1</v>
      </c>
      <c r="G1310" s="1693">
        <v>1293</v>
      </c>
      <c r="H1310" s="616">
        <v>1</v>
      </c>
      <c r="J1310" s="709" t="s">
        <v>512</v>
      </c>
      <c r="K1310" s="1764" t="s">
        <v>1216</v>
      </c>
      <c r="L1310" s="519"/>
      <c r="M1310" s="81" t="s">
        <v>957</v>
      </c>
      <c r="N1310" s="81"/>
      <c r="O1310" s="35"/>
      <c r="P1310" s="36"/>
      <c r="Q1310" s="35"/>
      <c r="R1310" s="35"/>
      <c r="S1310" s="36"/>
      <c r="T1310" s="36"/>
      <c r="U1310" s="36"/>
      <c r="V1310" s="36"/>
      <c r="W1310" s="1773"/>
      <c r="X1310" s="1955">
        <v>45017</v>
      </c>
      <c r="Y1310" s="1955">
        <v>45047</v>
      </c>
      <c r="Z1310" s="1955">
        <v>45078</v>
      </c>
      <c r="AA1310" s="1955">
        <v>45108</v>
      </c>
      <c r="AB1310" s="1955">
        <v>45139</v>
      </c>
      <c r="AC1310" s="1955">
        <v>45170</v>
      </c>
      <c r="AD1310" s="1955">
        <v>45200</v>
      </c>
      <c r="AE1310" s="1955">
        <v>45231</v>
      </c>
      <c r="AF1310" s="1955">
        <v>45261</v>
      </c>
      <c r="AG1310" s="1955">
        <v>45292</v>
      </c>
      <c r="AH1310" s="1955">
        <v>45323</v>
      </c>
      <c r="AI1310" s="1955">
        <v>45352</v>
      </c>
      <c r="AJ1310" s="2133" t="s">
        <v>904</v>
      </c>
      <c r="AK1310" s="2133" t="s">
        <v>36</v>
      </c>
      <c r="AL1310" s="2133" t="s">
        <v>35</v>
      </c>
      <c r="AM1310" s="2133" t="s">
        <v>34</v>
      </c>
      <c r="AN1310" s="2133" t="s">
        <v>33</v>
      </c>
      <c r="AO1310" s="2133" t="s">
        <v>32</v>
      </c>
      <c r="AP1310" s="2133" t="s">
        <v>905</v>
      </c>
    </row>
    <row r="1311" spans="1:42" ht="14.5">
      <c r="A1311" s="1693">
        <v>1</v>
      </c>
      <c r="B1311" s="616">
        <v>1</v>
      </c>
      <c r="C1311" s="1693">
        <v>1</v>
      </c>
      <c r="D1311" s="616">
        <v>1</v>
      </c>
      <c r="E1311" s="1693">
        <v>1</v>
      </c>
      <c r="F1311" s="616">
        <v>1</v>
      </c>
      <c r="G1311" s="1693">
        <v>1294</v>
      </c>
      <c r="H1311" s="616">
        <v>1</v>
      </c>
      <c r="J1311" s="709" t="s">
        <v>512</v>
      </c>
      <c r="K1311" s="1764" t="s">
        <v>1216</v>
      </c>
      <c r="L1311" s="519"/>
      <c r="M1311" s="197" t="s">
        <v>26</v>
      </c>
      <c r="N1311" s="197" t="s">
        <v>31</v>
      </c>
      <c r="O1311" s="1881" t="s">
        <v>0</v>
      </c>
      <c r="P1311" s="1882"/>
      <c r="Q1311" s="1882"/>
      <c r="R1311" s="1882"/>
      <c r="S1311" s="1882"/>
      <c r="T1311" s="1882"/>
      <c r="U1311" s="1882"/>
      <c r="V1311" s="1885"/>
      <c r="W1311" s="1883"/>
      <c r="X1311" s="1884">
        <v>942149.21058490593</v>
      </c>
      <c r="Y1311" s="1884">
        <v>676691.67248327355</v>
      </c>
      <c r="Z1311" s="1884">
        <v>735135.06397991278</v>
      </c>
      <c r="AA1311" s="1884">
        <v>686750.62405384192</v>
      </c>
      <c r="AB1311" s="1884">
        <v>756365.94014036213</v>
      </c>
      <c r="AC1311" s="1884">
        <v>775172.56438615767</v>
      </c>
      <c r="AD1311" s="1884">
        <v>710486.80954572745</v>
      </c>
      <c r="AE1311" s="1884">
        <v>692899.95033590356</v>
      </c>
      <c r="AF1311" s="1884">
        <v>769786.49047424528</v>
      </c>
      <c r="AG1311" s="1884">
        <v>723674.70795102231</v>
      </c>
      <c r="AH1311" s="1884">
        <v>750110.34105824702</v>
      </c>
      <c r="AI1311" s="1884">
        <v>806249.4430559841</v>
      </c>
      <c r="AJ1311" s="1884">
        <v>2353975.9470480923</v>
      </c>
      <c r="AK1311" s="1884">
        <v>2218289.1285803616</v>
      </c>
      <c r="AL1311" s="1884">
        <v>2173173.2503558761</v>
      </c>
      <c r="AM1311" s="1884">
        <v>2280034.4920652537</v>
      </c>
      <c r="AN1311" s="1884">
        <v>4572265.0756284539</v>
      </c>
      <c r="AO1311" s="1884">
        <v>4453207.7424211297</v>
      </c>
      <c r="AP1311" s="1884">
        <v>9025472.8180495836</v>
      </c>
    </row>
    <row r="1312" spans="1:42" ht="14.5">
      <c r="A1312" s="1693">
        <v>1</v>
      </c>
      <c r="B1312" s="616">
        <v>1</v>
      </c>
      <c r="C1312" s="1693">
        <v>1</v>
      </c>
      <c r="D1312" s="616">
        <v>1</v>
      </c>
      <c r="E1312" s="1693">
        <v>1</v>
      </c>
      <c r="F1312" s="616">
        <v>1</v>
      </c>
      <c r="G1312" s="1693">
        <v>1295</v>
      </c>
      <c r="H1312" s="616">
        <v>1</v>
      </c>
      <c r="J1312" s="709" t="s">
        <v>512</v>
      </c>
      <c r="K1312" s="1764" t="s">
        <v>1216</v>
      </c>
      <c r="L1312" s="519"/>
      <c r="M1312" s="197" t="s">
        <v>26</v>
      </c>
      <c r="N1312" s="197" t="s">
        <v>31</v>
      </c>
      <c r="O1312" s="1881" t="s">
        <v>371</v>
      </c>
      <c r="P1312" s="1882"/>
      <c r="Q1312" s="1882"/>
      <c r="R1312" s="1882"/>
      <c r="S1312" s="2466" t="s">
        <v>370</v>
      </c>
      <c r="T1312" s="1882"/>
      <c r="U1312" s="1882"/>
      <c r="V1312" s="1885"/>
      <c r="W1312" s="1883"/>
      <c r="X1312" s="1884">
        <v>942149.21058490593</v>
      </c>
      <c r="Y1312" s="1884">
        <v>676691.67248327355</v>
      </c>
      <c r="Z1312" s="1884">
        <v>735135.06397991278</v>
      </c>
      <c r="AA1312" s="1884">
        <v>686750.62405384192</v>
      </c>
      <c r="AB1312" s="1884">
        <v>756365.94014036213</v>
      </c>
      <c r="AC1312" s="1884">
        <v>775172.56438615767</v>
      </c>
      <c r="AD1312" s="1884">
        <v>710486.80954572745</v>
      </c>
      <c r="AE1312" s="1884">
        <v>692899.95033590356</v>
      </c>
      <c r="AF1312" s="1884">
        <v>769786.49047424528</v>
      </c>
      <c r="AG1312" s="1884">
        <v>723674.70795102231</v>
      </c>
      <c r="AH1312" s="1884">
        <v>750110.34105824702</v>
      </c>
      <c r="AI1312" s="1884">
        <v>806249.44305598421</v>
      </c>
      <c r="AJ1312" s="1884">
        <v>2353975.9470480923</v>
      </c>
      <c r="AK1312" s="1884">
        <v>2218289.1285803616</v>
      </c>
      <c r="AL1312" s="1884">
        <v>2173173.2503558761</v>
      </c>
      <c r="AM1312" s="1884">
        <v>2280034.4920652537</v>
      </c>
      <c r="AN1312" s="1884">
        <v>4572265.0756284539</v>
      </c>
      <c r="AO1312" s="1884">
        <v>4453207.7424211297</v>
      </c>
      <c r="AP1312" s="1884">
        <v>9025472.8180495836</v>
      </c>
    </row>
    <row r="1313" spans="1:42" ht="14.5">
      <c r="A1313" s="1693">
        <v>1</v>
      </c>
      <c r="B1313" s="616">
        <v>1</v>
      </c>
      <c r="C1313" s="1693">
        <v>1</v>
      </c>
      <c r="D1313" s="616">
        <v>1</v>
      </c>
      <c r="E1313" s="1693">
        <v>1</v>
      </c>
      <c r="F1313" s="616">
        <v>1</v>
      </c>
      <c r="G1313" s="1693">
        <v>1296</v>
      </c>
      <c r="H1313" s="616">
        <v>1</v>
      </c>
      <c r="J1313" s="709" t="s">
        <v>512</v>
      </c>
      <c r="K1313" s="1764" t="s">
        <v>1216</v>
      </c>
      <c r="L1313" s="519"/>
      <c r="M1313" s="197" t="s">
        <v>26</v>
      </c>
      <c r="N1313" s="197" t="s">
        <v>31</v>
      </c>
      <c r="O1313" s="198" t="s">
        <v>37</v>
      </c>
      <c r="P1313" s="447"/>
      <c r="Q1313" s="514"/>
      <c r="R1313" s="514"/>
      <c r="S1313" s="447"/>
      <c r="T1313" s="447"/>
      <c r="U1313" s="447"/>
      <c r="V1313" s="2467"/>
      <c r="W1313" s="1849"/>
      <c r="X1313" s="1400">
        <v>603450.6842851832</v>
      </c>
      <c r="Y1313" s="1400">
        <v>472162.55504391377</v>
      </c>
      <c r="Z1313" s="1400">
        <v>512296.03398562782</v>
      </c>
      <c r="AA1313" s="1400">
        <v>484414.79217142949</v>
      </c>
      <c r="AB1313" s="1400">
        <v>535879.22565355501</v>
      </c>
      <c r="AC1313" s="1400">
        <v>541271.16964397021</v>
      </c>
      <c r="AD1313" s="1400">
        <v>508170.05120995152</v>
      </c>
      <c r="AE1313" s="1400">
        <v>494122.26052634441</v>
      </c>
      <c r="AF1313" s="1400">
        <v>547603.68433591456</v>
      </c>
      <c r="AG1313" s="1400">
        <v>513480.27720056649</v>
      </c>
      <c r="AH1313" s="1400">
        <v>531698.80878565914</v>
      </c>
      <c r="AI1313" s="1400">
        <v>575117.45020184293</v>
      </c>
      <c r="AJ1313" s="1400">
        <v>1587909.2733147247</v>
      </c>
      <c r="AK1313" s="1400">
        <v>1561565.1874689548</v>
      </c>
      <c r="AL1313" s="1400">
        <v>1549895.9960722104</v>
      </c>
      <c r="AM1313" s="1400">
        <v>1620296.5361880686</v>
      </c>
      <c r="AN1313" s="1400">
        <v>3149474.4607836795</v>
      </c>
      <c r="AO1313" s="1400">
        <v>3170192.5322602792</v>
      </c>
      <c r="AP1313" s="1400">
        <v>6319666.9930439591</v>
      </c>
    </row>
    <row r="1314" spans="1:42" ht="14.5">
      <c r="A1314" s="1693">
        <v>1</v>
      </c>
      <c r="B1314" s="616">
        <v>1</v>
      </c>
      <c r="C1314" s="1693">
        <v>1</v>
      </c>
      <c r="D1314" s="616">
        <v>1</v>
      </c>
      <c r="E1314" s="1693">
        <v>1</v>
      </c>
      <c r="F1314" s="616">
        <v>1</v>
      </c>
      <c r="G1314" s="1693">
        <v>1297</v>
      </c>
      <c r="H1314" s="616">
        <v>1</v>
      </c>
      <c r="J1314" s="709" t="s">
        <v>512</v>
      </c>
      <c r="K1314" s="1764" t="s">
        <v>1216</v>
      </c>
      <c r="L1314" s="519"/>
      <c r="M1314" s="197" t="s">
        <v>26</v>
      </c>
      <c r="N1314" s="197" t="s">
        <v>31</v>
      </c>
      <c r="O1314" s="1891" t="s">
        <v>54</v>
      </c>
      <c r="P1314" s="1892"/>
      <c r="Q1314" s="1892"/>
      <c r="R1314" s="1892"/>
      <c r="S1314" s="1892"/>
      <c r="T1314" s="1892"/>
      <c r="U1314" s="1892"/>
      <c r="V1314" s="1894"/>
      <c r="W1314" s="1883"/>
      <c r="X1314" s="1893">
        <v>338698.52629972278</v>
      </c>
      <c r="Y1314" s="1893">
        <v>204529.11743935978</v>
      </c>
      <c r="Z1314" s="1893">
        <v>222839.02999428497</v>
      </c>
      <c r="AA1314" s="1893">
        <v>202335.83188241246</v>
      </c>
      <c r="AB1314" s="1893">
        <v>220486.71448680715</v>
      </c>
      <c r="AC1314" s="1893">
        <v>233901.3947421874</v>
      </c>
      <c r="AD1314" s="1893">
        <v>202316.75833577596</v>
      </c>
      <c r="AE1314" s="1893">
        <v>198777.68980955915</v>
      </c>
      <c r="AF1314" s="1893">
        <v>222182.80613833075</v>
      </c>
      <c r="AG1314" s="1893">
        <v>210194.43075045585</v>
      </c>
      <c r="AH1314" s="1893">
        <v>218411.53227258788</v>
      </c>
      <c r="AI1314" s="1893">
        <v>231131.99285414122</v>
      </c>
      <c r="AJ1314" s="1893">
        <v>766066.67373336758</v>
      </c>
      <c r="AK1314" s="1893">
        <v>656723.94111140701</v>
      </c>
      <c r="AL1314" s="1893">
        <v>623277.2542836658</v>
      </c>
      <c r="AM1314" s="1893">
        <v>659737.95587718487</v>
      </c>
      <c r="AN1314" s="1893">
        <v>1422790.6148447746</v>
      </c>
      <c r="AO1314" s="1893">
        <v>1283015.2101608505</v>
      </c>
      <c r="AP1314" s="1893">
        <v>2705805.8250056254</v>
      </c>
    </row>
    <row r="1315" spans="1:42" ht="14.5">
      <c r="A1315" s="1693">
        <v>1</v>
      </c>
      <c r="B1315" s="616">
        <v>1</v>
      </c>
      <c r="C1315" s="1693">
        <v>1</v>
      </c>
      <c r="D1315" s="616">
        <v>1</v>
      </c>
      <c r="E1315" s="1693">
        <v>1</v>
      </c>
      <c r="F1315" s="616">
        <v>1</v>
      </c>
      <c r="G1315" s="1693">
        <v>1298</v>
      </c>
      <c r="H1315" s="616">
        <v>1</v>
      </c>
      <c r="J1315" s="709" t="s">
        <v>512</v>
      </c>
      <c r="K1315" s="1764" t="s">
        <v>1216</v>
      </c>
      <c r="L1315" s="519"/>
      <c r="M1315" s="197" t="s">
        <v>26</v>
      </c>
      <c r="N1315" s="197" t="s">
        <v>31</v>
      </c>
      <c r="O1315" s="200" t="s">
        <v>54</v>
      </c>
      <c r="P1315" s="104"/>
      <c r="Q1315" s="105"/>
      <c r="R1315" s="105"/>
      <c r="S1315" s="104"/>
      <c r="T1315" s="104"/>
      <c r="U1315" s="104"/>
      <c r="V1315" s="149" t="s">
        <v>55</v>
      </c>
      <c r="W1315" s="1776"/>
      <c r="X1315" s="1671">
        <v>0.3594956324268973</v>
      </c>
      <c r="Y1315" s="1671">
        <v>0.30224861004834563</v>
      </c>
      <c r="Z1315" s="1671">
        <v>0.30312665102364639</v>
      </c>
      <c r="AA1315" s="1671">
        <v>0.29462780927382037</v>
      </c>
      <c r="AB1315" s="1671">
        <v>0.29150798943417583</v>
      </c>
      <c r="AC1315" s="1671">
        <v>0.30174106449111604</v>
      </c>
      <c r="AD1315" s="1671">
        <v>0.28475793725872783</v>
      </c>
      <c r="AE1315" s="1671">
        <v>0.28687791031475157</v>
      </c>
      <c r="AF1315" s="1671">
        <v>0.28862913143805596</v>
      </c>
      <c r="AG1315" s="1671">
        <v>0.29045430003432099</v>
      </c>
      <c r="AH1315" s="1671">
        <v>0.29117253864872122</v>
      </c>
      <c r="AI1315" s="1671">
        <v>0.28667553800479578</v>
      </c>
      <c r="AJ1315" s="1671">
        <v>0.32543521725191044</v>
      </c>
      <c r="AK1315" s="1671">
        <v>0.29604974962469865</v>
      </c>
      <c r="AL1315" s="1671">
        <v>0.28680513814607222</v>
      </c>
      <c r="AM1315" s="1671">
        <v>0.28935437519613777</v>
      </c>
      <c r="AN1315" s="1671">
        <v>0.31117850590699037</v>
      </c>
      <c r="AO1315" s="1671">
        <v>0.28811034300935129</v>
      </c>
      <c r="AP1315" s="1671">
        <v>0.29979657349301658</v>
      </c>
    </row>
    <row r="1316" spans="1:42" ht="14.5">
      <c r="A1316" s="1693">
        <v>1</v>
      </c>
      <c r="B1316" s="616">
        <v>1</v>
      </c>
      <c r="C1316" s="1693">
        <v>1</v>
      </c>
      <c r="D1316" s="616">
        <v>1</v>
      </c>
      <c r="E1316" s="1693">
        <v>1</v>
      </c>
      <c r="F1316" s="616">
        <v>1</v>
      </c>
      <c r="G1316" s="1693">
        <v>1299</v>
      </c>
      <c r="H1316" s="616">
        <v>1</v>
      </c>
      <c r="J1316" s="709" t="s">
        <v>512</v>
      </c>
      <c r="K1316" s="1764" t="s">
        <v>1216</v>
      </c>
      <c r="L1316" s="519"/>
      <c r="M1316" s="197" t="s">
        <v>26</v>
      </c>
      <c r="N1316" s="197" t="s">
        <v>31</v>
      </c>
      <c r="O1316" s="1891" t="s">
        <v>29</v>
      </c>
      <c r="P1316" s="1892"/>
      <c r="Q1316" s="1892"/>
      <c r="R1316" s="1892"/>
      <c r="S1316" s="1892"/>
      <c r="T1316" s="1892"/>
      <c r="U1316" s="1892"/>
      <c r="V1316" s="1894"/>
      <c r="W1316" s="1883"/>
      <c r="X1316" s="1893">
        <v>196252.53522784228</v>
      </c>
      <c r="Y1316" s="1893">
        <v>163759.67757492847</v>
      </c>
      <c r="Z1316" s="1893">
        <v>168551.55306478357</v>
      </c>
      <c r="AA1316" s="1893">
        <v>165442.55658408499</v>
      </c>
      <c r="AB1316" s="1893">
        <v>170934.67016879702</v>
      </c>
      <c r="AC1316" s="1893">
        <v>178627.85742453631</v>
      </c>
      <c r="AD1316" s="1893">
        <v>163203.25481668569</v>
      </c>
      <c r="AE1316" s="1893">
        <v>161989.59083694208</v>
      </c>
      <c r="AF1316" s="1893">
        <v>167880.72492022382</v>
      </c>
      <c r="AG1316" s="1893">
        <v>162562.97495953212</v>
      </c>
      <c r="AH1316" s="1893">
        <v>162647.65432555039</v>
      </c>
      <c r="AI1316" s="1893">
        <v>163878.308326812</v>
      </c>
      <c r="AJ1316" s="1893">
        <v>528563.76586755435</v>
      </c>
      <c r="AK1316" s="1893">
        <v>515005.08417741832</v>
      </c>
      <c r="AL1316" s="1893">
        <v>493073.57057385158</v>
      </c>
      <c r="AM1316" s="1893">
        <v>489088.93761189451</v>
      </c>
      <c r="AN1316" s="1893">
        <v>1043568.8500449727</v>
      </c>
      <c r="AO1316" s="1893">
        <v>982162.50818574615</v>
      </c>
      <c r="AP1316" s="1893">
        <v>2025731.3582307189</v>
      </c>
    </row>
    <row r="1317" spans="1:42" ht="14.5">
      <c r="A1317" s="1693">
        <v>1</v>
      </c>
      <c r="B1317" s="616">
        <v>1</v>
      </c>
      <c r="C1317" s="1693">
        <v>1</v>
      </c>
      <c r="D1317" s="616">
        <v>1</v>
      </c>
      <c r="E1317" s="1693">
        <v>1</v>
      </c>
      <c r="F1317" s="616">
        <v>1</v>
      </c>
      <c r="G1317" s="1693">
        <v>1300</v>
      </c>
      <c r="H1317" s="616">
        <v>1</v>
      </c>
      <c r="J1317" s="709" t="s">
        <v>512</v>
      </c>
      <c r="K1317" s="1764" t="s">
        <v>1216</v>
      </c>
      <c r="L1317" s="519"/>
      <c r="M1317" s="197" t="s">
        <v>26</v>
      </c>
      <c r="N1317" s="197" t="s">
        <v>31</v>
      </c>
      <c r="O1317" s="201" t="s">
        <v>29</v>
      </c>
      <c r="P1317" s="36"/>
      <c r="Q1317" s="35"/>
      <c r="R1317" s="35"/>
      <c r="S1317" s="36"/>
      <c r="T1317" s="36"/>
      <c r="U1317" s="36"/>
      <c r="V1317" s="157" t="s">
        <v>55</v>
      </c>
      <c r="W1317" s="1776"/>
      <c r="X1317" s="1672">
        <v>0.2083030299478833</v>
      </c>
      <c r="Y1317" s="1672">
        <v>0.24200043274357907</v>
      </c>
      <c r="Z1317" s="1672">
        <v>0.22927970834674968</v>
      </c>
      <c r="AA1317" s="1672">
        <v>0.24090630687379488</v>
      </c>
      <c r="AB1317" s="1672">
        <v>0.2259946688465056</v>
      </c>
      <c r="AC1317" s="1672">
        <v>0.23043624817396349</v>
      </c>
      <c r="AD1317" s="1672">
        <v>0.22970624172605672</v>
      </c>
      <c r="AE1317" s="1672">
        <v>0.23378496528743128</v>
      </c>
      <c r="AF1317" s="1672">
        <v>0.21808738786360995</v>
      </c>
      <c r="AG1317" s="1672">
        <v>0.22463542413939697</v>
      </c>
      <c r="AH1317" s="1672">
        <v>0.2168316385241256</v>
      </c>
      <c r="AI1317" s="1672">
        <v>0.20326005771322148</v>
      </c>
      <c r="AJ1317" s="1672">
        <v>0.22454085247998318</v>
      </c>
      <c r="AK1317" s="1672">
        <v>0.23216319168773375</v>
      </c>
      <c r="AL1317" s="1672">
        <v>0.22689105458716027</v>
      </c>
      <c r="AM1317" s="1672">
        <v>0.21450944681493747</v>
      </c>
      <c r="AN1317" s="1672">
        <v>0.22823892158123293</v>
      </c>
      <c r="AO1317" s="1672">
        <v>0.22055169329508123</v>
      </c>
      <c r="AP1317" s="1672">
        <v>0.22444600954085883</v>
      </c>
    </row>
    <row r="1318" spans="1:42" ht="14.5">
      <c r="A1318" s="1693">
        <v>1</v>
      </c>
      <c r="B1318" s="616">
        <v>1</v>
      </c>
      <c r="C1318" s="1693">
        <v>1</v>
      </c>
      <c r="D1318" s="616">
        <v>1</v>
      </c>
      <c r="E1318" s="1693">
        <v>1</v>
      </c>
      <c r="F1318" s="616">
        <v>1</v>
      </c>
      <c r="G1318" s="1693">
        <v>1301</v>
      </c>
      <c r="H1318" s="616">
        <v>1</v>
      </c>
      <c r="J1318" s="709" t="s">
        <v>512</v>
      </c>
      <c r="K1318" s="1764" t="s">
        <v>1216</v>
      </c>
      <c r="L1318" s="519"/>
      <c r="M1318" s="197" t="s">
        <v>26</v>
      </c>
      <c r="N1318" s="197" t="s">
        <v>31</v>
      </c>
      <c r="O1318" s="201" t="s">
        <v>29</v>
      </c>
      <c r="P1318" s="108" t="s">
        <v>63</v>
      </c>
      <c r="Q1318" s="108"/>
      <c r="R1318" s="156"/>
      <c r="S1318" s="108"/>
      <c r="T1318" s="108"/>
      <c r="U1318" s="108"/>
      <c r="V1318" s="162"/>
      <c r="W1318" s="1849"/>
      <c r="X1318" s="1378">
        <v>78834.736297724594</v>
      </c>
      <c r="Y1318" s="1378">
        <v>47924.716706734602</v>
      </c>
      <c r="Z1318" s="1378">
        <v>51863.45365629132</v>
      </c>
      <c r="AA1318" s="1378">
        <v>48607.286594961486</v>
      </c>
      <c r="AB1318" s="1378">
        <v>53335.878649526909</v>
      </c>
      <c r="AC1318" s="1378">
        <v>60581.508584336385</v>
      </c>
      <c r="AD1318" s="1378">
        <v>45226.60821241184</v>
      </c>
      <c r="AE1318" s="1378">
        <v>44030.043290026239</v>
      </c>
      <c r="AF1318" s="1378">
        <v>49228.571654046187</v>
      </c>
      <c r="AG1318" s="1378">
        <v>44115.851516210088</v>
      </c>
      <c r="AH1318" s="1378">
        <v>43924.513795801198</v>
      </c>
      <c r="AI1318" s="1378">
        <v>44776.71447656925</v>
      </c>
      <c r="AJ1318" s="2468">
        <v>178622.90666075051</v>
      </c>
      <c r="AK1318" s="2468">
        <v>162524.67382882477</v>
      </c>
      <c r="AL1318" s="2468">
        <v>138485.22315648425</v>
      </c>
      <c r="AM1318" s="2468">
        <v>132817.07978858054</v>
      </c>
      <c r="AN1318" s="2468">
        <v>341147.58048957528</v>
      </c>
      <c r="AO1318" s="2468">
        <v>271302.30294506479</v>
      </c>
      <c r="AP1318" s="2468">
        <v>612449.88343464001</v>
      </c>
    </row>
    <row r="1319" spans="1:42" ht="14.5">
      <c r="A1319" s="1693">
        <v>1</v>
      </c>
      <c r="B1319" s="616">
        <v>1</v>
      </c>
      <c r="C1319" s="1693">
        <v>1</v>
      </c>
      <c r="D1319" s="616">
        <v>1</v>
      </c>
      <c r="E1319" s="1693">
        <v>1</v>
      </c>
      <c r="F1319" s="616">
        <v>1</v>
      </c>
      <c r="G1319" s="1693">
        <v>1302</v>
      </c>
      <c r="H1319" s="616">
        <v>1</v>
      </c>
      <c r="J1319" s="709" t="s">
        <v>512</v>
      </c>
      <c r="K1319" s="1764" t="s">
        <v>1216</v>
      </c>
      <c r="L1319" s="519"/>
      <c r="M1319" s="197" t="s">
        <v>26</v>
      </c>
      <c r="N1319" s="197" t="s">
        <v>31</v>
      </c>
      <c r="O1319" s="201" t="s">
        <v>29</v>
      </c>
      <c r="P1319" s="36" t="s">
        <v>28</v>
      </c>
      <c r="Q1319" s="36"/>
      <c r="R1319" s="35"/>
      <c r="S1319" s="36"/>
      <c r="T1319" s="36"/>
      <c r="U1319" s="36"/>
      <c r="V1319" s="157"/>
      <c r="W1319" s="1849"/>
      <c r="X1319" s="1378">
        <v>66139.966916666672</v>
      </c>
      <c r="Y1319" s="1378">
        <v>66323.300250000015</v>
      </c>
      <c r="Z1319" s="1378">
        <v>66789.966916666672</v>
      </c>
      <c r="AA1319" s="1378">
        <v>67256.633583333329</v>
      </c>
      <c r="AB1319" s="1378">
        <v>67556.633583333329</v>
      </c>
      <c r="AC1319" s="1378">
        <v>67881.633583333329</v>
      </c>
      <c r="AD1319" s="1378">
        <v>68239.966916666672</v>
      </c>
      <c r="AE1319" s="1378">
        <v>68339.966916666672</v>
      </c>
      <c r="AF1319" s="1378">
        <v>68523.30025</v>
      </c>
      <c r="AG1319" s="1378">
        <v>68623.30025</v>
      </c>
      <c r="AH1319" s="1378">
        <v>68723.30025</v>
      </c>
      <c r="AI1319" s="1378">
        <v>68723.30025</v>
      </c>
      <c r="AJ1319" s="1378">
        <v>199253.23408333334</v>
      </c>
      <c r="AK1319" s="1378">
        <v>202694.90074999997</v>
      </c>
      <c r="AL1319" s="1378">
        <v>205103.23408333334</v>
      </c>
      <c r="AM1319" s="1378">
        <v>206069.90075</v>
      </c>
      <c r="AN1319" s="1378">
        <v>401948.13483333332</v>
      </c>
      <c r="AO1319" s="1378">
        <v>411173.13483333332</v>
      </c>
      <c r="AP1319" s="1378">
        <v>813121.26966666663</v>
      </c>
    </row>
    <row r="1320" spans="1:42" ht="14.5">
      <c r="A1320" s="1693">
        <v>1</v>
      </c>
      <c r="B1320" s="616">
        <v>1</v>
      </c>
      <c r="C1320" s="1693">
        <v>1</v>
      </c>
      <c r="D1320" s="616">
        <v>1</v>
      </c>
      <c r="E1320" s="1693">
        <v>1</v>
      </c>
      <c r="F1320" s="616">
        <v>1</v>
      </c>
      <c r="G1320" s="1693">
        <v>1303</v>
      </c>
      <c r="H1320" s="616">
        <v>1</v>
      </c>
      <c r="J1320" s="709" t="s">
        <v>512</v>
      </c>
      <c r="K1320" s="1764" t="s">
        <v>1216</v>
      </c>
      <c r="L1320" s="519"/>
      <c r="M1320" s="197" t="s">
        <v>26</v>
      </c>
      <c r="N1320" s="197" t="s">
        <v>31</v>
      </c>
      <c r="O1320" s="201" t="s">
        <v>29</v>
      </c>
      <c r="P1320" s="36" t="s">
        <v>62</v>
      </c>
      <c r="Q1320" s="36"/>
      <c r="R1320" s="35"/>
      <c r="S1320" s="36"/>
      <c r="T1320" s="36"/>
      <c r="U1320" s="36"/>
      <c r="V1320" s="157"/>
      <c r="W1320" s="1849"/>
      <c r="X1320" s="1378">
        <v>51277.832013451043</v>
      </c>
      <c r="Y1320" s="1378">
        <v>49511.660618193848</v>
      </c>
      <c r="Z1320" s="1378">
        <v>49898.132491825578</v>
      </c>
      <c r="AA1320" s="1378">
        <v>49578.636405790159</v>
      </c>
      <c r="AB1320" s="1378">
        <v>50042.157935936797</v>
      </c>
      <c r="AC1320" s="1378">
        <v>50164.715256866599</v>
      </c>
      <c r="AD1320" s="1378">
        <v>49736.679687607182</v>
      </c>
      <c r="AE1320" s="1378">
        <v>49619.580630249176</v>
      </c>
      <c r="AF1320" s="1378">
        <v>50128.853016177643</v>
      </c>
      <c r="AG1320" s="1378">
        <v>49823.823193322016</v>
      </c>
      <c r="AH1320" s="1378">
        <v>49999.840279749194</v>
      </c>
      <c r="AI1320" s="1378">
        <v>50378.293600242752</v>
      </c>
      <c r="AJ1320" s="1378">
        <v>150687.62512347047</v>
      </c>
      <c r="AK1320" s="1378">
        <v>149785.50959859355</v>
      </c>
      <c r="AL1320" s="1378">
        <v>149485.11333403399</v>
      </c>
      <c r="AM1320" s="1378">
        <v>150201.95707331397</v>
      </c>
      <c r="AN1320" s="1378">
        <v>300473.13472206402</v>
      </c>
      <c r="AO1320" s="1378">
        <v>299687.07040734799</v>
      </c>
      <c r="AP1320" s="1378">
        <v>600160.205129412</v>
      </c>
    </row>
    <row r="1321" spans="1:42" ht="14.5">
      <c r="A1321" s="1693">
        <v>1</v>
      </c>
      <c r="B1321" s="616">
        <v>1</v>
      </c>
      <c r="C1321" s="1693">
        <v>1</v>
      </c>
      <c r="D1321" s="616">
        <v>1</v>
      </c>
      <c r="E1321" s="1693">
        <v>1</v>
      </c>
      <c r="F1321" s="616">
        <v>1</v>
      </c>
      <c r="G1321" s="1693">
        <v>1304</v>
      </c>
      <c r="H1321" s="616">
        <v>1</v>
      </c>
      <c r="J1321" s="709" t="s">
        <v>512</v>
      </c>
      <c r="K1321" s="1764" t="s">
        <v>1216</v>
      </c>
      <c r="L1321" s="519"/>
      <c r="M1321" s="197" t="s">
        <v>26</v>
      </c>
      <c r="N1321" s="197" t="s">
        <v>31</v>
      </c>
      <c r="O1321" s="1891" t="s">
        <v>56</v>
      </c>
      <c r="P1321" s="1892"/>
      <c r="Q1321" s="1892"/>
      <c r="R1321" s="1892"/>
      <c r="S1321" s="1892"/>
      <c r="T1321" s="1892"/>
      <c r="U1321" s="1892"/>
      <c r="V1321" s="1894"/>
      <c r="W1321" s="1883"/>
      <c r="X1321" s="1893">
        <v>142445.9910718805</v>
      </c>
      <c r="Y1321" s="1893">
        <v>40769.439864431304</v>
      </c>
      <c r="Z1321" s="1893">
        <v>54287.476929501398</v>
      </c>
      <c r="AA1321" s="1893">
        <v>36893.275298327469</v>
      </c>
      <c r="AB1321" s="1893">
        <v>49552.044318010128</v>
      </c>
      <c r="AC1321" s="1893">
        <v>55273.537317651091</v>
      </c>
      <c r="AD1321" s="1893">
        <v>39113.503519090271</v>
      </c>
      <c r="AE1321" s="1893">
        <v>36788.098972617066</v>
      </c>
      <c r="AF1321" s="1893">
        <v>54302.081218106934</v>
      </c>
      <c r="AG1321" s="1893">
        <v>47631.455790923734</v>
      </c>
      <c r="AH1321" s="1893">
        <v>55763.877947037487</v>
      </c>
      <c r="AI1321" s="1893">
        <v>67253.684527329227</v>
      </c>
      <c r="AJ1321" s="1893">
        <v>237502.90786581321</v>
      </c>
      <c r="AK1321" s="1893">
        <v>141718.85693398869</v>
      </c>
      <c r="AL1321" s="1893">
        <v>130203.68370981427</v>
      </c>
      <c r="AM1321" s="1893">
        <v>170649.01826529045</v>
      </c>
      <c r="AN1321" s="1893">
        <v>379221.76479980187</v>
      </c>
      <c r="AO1321" s="1893">
        <v>300852.70197510475</v>
      </c>
      <c r="AP1321" s="1893">
        <v>680074.46677490661</v>
      </c>
    </row>
    <row r="1322" spans="1:42" ht="14.5">
      <c r="A1322" s="1693">
        <v>1</v>
      </c>
      <c r="B1322" s="616">
        <v>1</v>
      </c>
      <c r="C1322" s="1693">
        <v>1</v>
      </c>
      <c r="D1322" s="616">
        <v>1</v>
      </c>
      <c r="E1322" s="1693">
        <v>1</v>
      </c>
      <c r="F1322" s="616">
        <v>1</v>
      </c>
      <c r="G1322" s="1693">
        <v>1305</v>
      </c>
      <c r="H1322" s="616">
        <v>1</v>
      </c>
      <c r="J1322" s="709" t="s">
        <v>512</v>
      </c>
      <c r="K1322" s="1764" t="s">
        <v>1216</v>
      </c>
      <c r="L1322" s="519"/>
      <c r="M1322" s="197" t="s">
        <v>26</v>
      </c>
      <c r="N1322" s="197" t="s">
        <v>31</v>
      </c>
      <c r="O1322" s="201" t="s">
        <v>56</v>
      </c>
      <c r="P1322" s="36"/>
      <c r="Q1322" s="35"/>
      <c r="R1322" s="35"/>
      <c r="S1322" s="36"/>
      <c r="T1322" s="36"/>
      <c r="U1322" s="36"/>
      <c r="V1322" s="157" t="s">
        <v>55</v>
      </c>
      <c r="W1322" s="1776"/>
      <c r="X1322" s="1674">
        <v>0.15119260247901398</v>
      </c>
      <c r="Y1322" s="1674">
        <v>6.0248177304766587E-2</v>
      </c>
      <c r="Z1322" s="1674">
        <v>7.384694267689669E-2</v>
      </c>
      <c r="AA1322" s="1674">
        <v>5.3721502400025489E-2</v>
      </c>
      <c r="AB1322" s="1674">
        <v>6.5513320587670218E-2</v>
      </c>
      <c r="AC1322" s="1674">
        <v>7.1304816317152561E-2</v>
      </c>
      <c r="AD1322" s="1674">
        <v>5.5051695532671106E-2</v>
      </c>
      <c r="AE1322" s="1674">
        <v>5.309294502732026E-2</v>
      </c>
      <c r="AF1322" s="1674">
        <v>7.0541743574446009E-2</v>
      </c>
      <c r="AG1322" s="1674">
        <v>6.5818875894924037E-2</v>
      </c>
      <c r="AH1322" s="1674">
        <v>7.4340900124595599E-2</v>
      </c>
      <c r="AI1322" s="1674">
        <v>8.3415480291574334E-2</v>
      </c>
      <c r="AJ1322" s="1674">
        <v>0.10089436477192729</v>
      </c>
      <c r="AK1322" s="1674">
        <v>6.3886557936964919E-2</v>
      </c>
      <c r="AL1322" s="1674">
        <v>5.9914083558911965E-2</v>
      </c>
      <c r="AM1322" s="1674">
        <v>7.4844928381200354E-2</v>
      </c>
      <c r="AN1322" s="1674">
        <v>8.2939584325757446E-2</v>
      </c>
      <c r="AO1322" s="1674">
        <v>6.7558649714270128E-2</v>
      </c>
      <c r="AP1322" s="1674">
        <v>7.5350563952157751E-2</v>
      </c>
    </row>
    <row r="1323" spans="1:42" ht="14.5">
      <c r="A1323" s="1693">
        <v>1</v>
      </c>
      <c r="B1323" s="616">
        <v>1</v>
      </c>
      <c r="C1323" s="1693">
        <v>1</v>
      </c>
      <c r="D1323" s="616">
        <v>1</v>
      </c>
      <c r="E1323" s="1693">
        <v>1</v>
      </c>
      <c r="F1323" s="616">
        <v>1</v>
      </c>
      <c r="G1323" s="1693">
        <v>1306</v>
      </c>
      <c r="H1323" s="616">
        <v>1</v>
      </c>
      <c r="J1323" s="709" t="s">
        <v>512</v>
      </c>
      <c r="K1323" s="1764" t="s">
        <v>1216</v>
      </c>
      <c r="L1323" s="519"/>
      <c r="M1323" s="203" t="s">
        <v>26</v>
      </c>
      <c r="N1323" s="203" t="s">
        <v>31</v>
      </c>
      <c r="O1323" s="153" t="s">
        <v>994</v>
      </c>
      <c r="P1323" s="36"/>
      <c r="Q1323" s="35"/>
      <c r="R1323" s="35"/>
      <c r="S1323" s="36"/>
      <c r="T1323" s="36"/>
      <c r="U1323" s="36"/>
      <c r="V1323" s="152"/>
      <c r="W1323" s="1849"/>
      <c r="X1323" s="1378">
        <v>0</v>
      </c>
      <c r="Y1323" s="1378">
        <v>0</v>
      </c>
      <c r="Z1323" s="1378">
        <v>0</v>
      </c>
      <c r="AA1323" s="1378">
        <v>0</v>
      </c>
      <c r="AB1323" s="1378">
        <v>0</v>
      </c>
      <c r="AC1323" s="1378">
        <v>0</v>
      </c>
      <c r="AD1323" s="1378">
        <v>0</v>
      </c>
      <c r="AE1323" s="1378">
        <v>0</v>
      </c>
      <c r="AF1323" s="1378">
        <v>0</v>
      </c>
      <c r="AG1323" s="1378">
        <v>0</v>
      </c>
      <c r="AH1323" s="1378">
        <v>0</v>
      </c>
      <c r="AI1323" s="1378">
        <v>0</v>
      </c>
      <c r="AJ1323" s="1378">
        <v>0</v>
      </c>
      <c r="AK1323" s="1378">
        <v>0</v>
      </c>
      <c r="AL1323" s="1378">
        <v>0</v>
      </c>
      <c r="AM1323" s="1378">
        <v>0</v>
      </c>
      <c r="AN1323" s="1378">
        <v>0</v>
      </c>
      <c r="AO1323" s="1378">
        <v>0</v>
      </c>
      <c r="AP1323" s="1378">
        <v>0</v>
      </c>
    </row>
    <row r="1324" spans="1:42" ht="14.5">
      <c r="A1324" s="1693">
        <v>1</v>
      </c>
      <c r="B1324" s="616">
        <v>1</v>
      </c>
      <c r="C1324" s="1693">
        <v>1</v>
      </c>
      <c r="D1324" s="616">
        <v>1</v>
      </c>
      <c r="E1324" s="1693">
        <v>1</v>
      </c>
      <c r="F1324" s="616">
        <v>1</v>
      </c>
      <c r="G1324" s="1693">
        <v>1307</v>
      </c>
      <c r="H1324" s="616">
        <v>1</v>
      </c>
      <c r="J1324" s="709" t="s">
        <v>512</v>
      </c>
      <c r="K1324" s="1764" t="s">
        <v>1216</v>
      </c>
      <c r="L1324" s="519"/>
      <c r="M1324" s="203" t="s">
        <v>26</v>
      </c>
      <c r="N1324" s="203" t="s">
        <v>31</v>
      </c>
      <c r="O1324" s="106" t="s">
        <v>995</v>
      </c>
      <c r="P1324" s="104"/>
      <c r="Q1324" s="105"/>
      <c r="R1324" s="105"/>
      <c r="S1324" s="104"/>
      <c r="T1324" s="104"/>
      <c r="U1324" s="104"/>
      <c r="V1324" s="103"/>
      <c r="W1324" s="1849"/>
      <c r="X1324" s="1379">
        <v>0</v>
      </c>
      <c r="Y1324" s="1379">
        <v>0</v>
      </c>
      <c r="Z1324" s="1379">
        <v>0</v>
      </c>
      <c r="AA1324" s="1379">
        <v>0</v>
      </c>
      <c r="AB1324" s="1379">
        <v>0</v>
      </c>
      <c r="AC1324" s="1379">
        <v>0</v>
      </c>
      <c r="AD1324" s="1379">
        <v>0</v>
      </c>
      <c r="AE1324" s="1379">
        <v>0</v>
      </c>
      <c r="AF1324" s="1379">
        <v>0</v>
      </c>
      <c r="AG1324" s="1379">
        <v>0</v>
      </c>
      <c r="AH1324" s="1379">
        <v>0</v>
      </c>
      <c r="AI1324" s="1379">
        <v>0</v>
      </c>
      <c r="AJ1324" s="1379">
        <v>0</v>
      </c>
      <c r="AK1324" s="1379">
        <v>0</v>
      </c>
      <c r="AL1324" s="1379">
        <v>0</v>
      </c>
      <c r="AM1324" s="1379">
        <v>0</v>
      </c>
      <c r="AN1324" s="1379">
        <v>0</v>
      </c>
      <c r="AO1324" s="1379">
        <v>0</v>
      </c>
      <c r="AP1324" s="1379">
        <v>0</v>
      </c>
    </row>
    <row r="1325" spans="1:42" ht="14.5">
      <c r="A1325" s="1693">
        <v>1</v>
      </c>
      <c r="B1325" s="616">
        <v>1</v>
      </c>
      <c r="C1325" s="1693">
        <v>1</v>
      </c>
      <c r="D1325" s="616">
        <v>1</v>
      </c>
      <c r="E1325" s="1693">
        <v>1</v>
      </c>
      <c r="F1325" s="616">
        <v>1</v>
      </c>
      <c r="G1325" s="1693">
        <v>1308</v>
      </c>
      <c r="H1325" s="616">
        <v>1</v>
      </c>
      <c r="J1325" s="709" t="s">
        <v>512</v>
      </c>
      <c r="K1325" s="1764" t="s">
        <v>1216</v>
      </c>
      <c r="L1325" s="519"/>
      <c r="M1325" s="203" t="s">
        <v>26</v>
      </c>
      <c r="N1325" s="203" t="s">
        <v>31</v>
      </c>
      <c r="O1325" s="1891" t="s">
        <v>1</v>
      </c>
      <c r="P1325" s="1892"/>
      <c r="Q1325" s="1892"/>
      <c r="R1325" s="1892"/>
      <c r="S1325" s="1892"/>
      <c r="T1325" s="1892"/>
      <c r="U1325" s="1892"/>
      <c r="V1325" s="1894"/>
      <c r="W1325" s="1883"/>
      <c r="X1325" s="1893">
        <v>142445.9910718805</v>
      </c>
      <c r="Y1325" s="1893">
        <v>40769.439864431304</v>
      </c>
      <c r="Z1325" s="1893">
        <v>54287.476929501398</v>
      </c>
      <c r="AA1325" s="1893">
        <v>36893.275298327469</v>
      </c>
      <c r="AB1325" s="1893">
        <v>49552.044318010128</v>
      </c>
      <c r="AC1325" s="1893">
        <v>55273.537317651091</v>
      </c>
      <c r="AD1325" s="1893">
        <v>39113.503519090271</v>
      </c>
      <c r="AE1325" s="1893">
        <v>36788.098972617066</v>
      </c>
      <c r="AF1325" s="1893">
        <v>54302.081218106934</v>
      </c>
      <c r="AG1325" s="1893">
        <v>47631.455790923734</v>
      </c>
      <c r="AH1325" s="1893">
        <v>55763.877947037487</v>
      </c>
      <c r="AI1325" s="1893">
        <v>67253.684527329227</v>
      </c>
      <c r="AJ1325" s="1893">
        <v>237502.90786581321</v>
      </c>
      <c r="AK1325" s="1893">
        <v>141718.85693398869</v>
      </c>
      <c r="AL1325" s="1893">
        <v>130203.68370981427</v>
      </c>
      <c r="AM1325" s="1893">
        <v>170649.01826529045</v>
      </c>
      <c r="AN1325" s="1893">
        <v>379221.76479980187</v>
      </c>
      <c r="AO1325" s="1893">
        <v>300852.70197510475</v>
      </c>
      <c r="AP1325" s="1893">
        <v>680074.46677490661</v>
      </c>
    </row>
    <row r="1326" spans="1:42" ht="14.5">
      <c r="A1326" s="1693">
        <v>1</v>
      </c>
      <c r="B1326" s="616">
        <v>1</v>
      </c>
      <c r="C1326" s="1693">
        <v>1</v>
      </c>
      <c r="D1326" s="616">
        <v>1</v>
      </c>
      <c r="E1326" s="1693">
        <v>1</v>
      </c>
      <c r="F1326" s="616">
        <v>1</v>
      </c>
      <c r="G1326" s="1693">
        <v>1309</v>
      </c>
      <c r="H1326" s="616">
        <v>1</v>
      </c>
      <c r="J1326" s="709" t="s">
        <v>512</v>
      </c>
      <c r="K1326" s="1764" t="s">
        <v>1216</v>
      </c>
      <c r="L1326" s="519"/>
      <c r="M1326" s="203" t="s">
        <v>26</v>
      </c>
      <c r="N1326" s="203" t="s">
        <v>31</v>
      </c>
      <c r="O1326" s="200" t="s">
        <v>1</v>
      </c>
      <c r="P1326" s="104"/>
      <c r="Q1326" s="105"/>
      <c r="R1326" s="105"/>
      <c r="S1326" s="104"/>
      <c r="T1326" s="104"/>
      <c r="U1326" s="104"/>
      <c r="V1326" s="149" t="s">
        <v>55</v>
      </c>
      <c r="W1326" s="1776"/>
      <c r="X1326" s="1671">
        <v>0.15119260247901398</v>
      </c>
      <c r="Y1326" s="1671">
        <v>6.0248177304766587E-2</v>
      </c>
      <c r="Z1326" s="1671">
        <v>7.384694267689669E-2</v>
      </c>
      <c r="AA1326" s="1671">
        <v>5.3721502400025489E-2</v>
      </c>
      <c r="AB1326" s="1671">
        <v>6.5513320587670218E-2</v>
      </c>
      <c r="AC1326" s="1671">
        <v>7.1304816317152561E-2</v>
      </c>
      <c r="AD1326" s="1671">
        <v>5.5051695532671106E-2</v>
      </c>
      <c r="AE1326" s="1671">
        <v>5.309294502732026E-2</v>
      </c>
      <c r="AF1326" s="1671">
        <v>7.0541743574446009E-2</v>
      </c>
      <c r="AG1326" s="1671">
        <v>6.5818875894924037E-2</v>
      </c>
      <c r="AH1326" s="1671">
        <v>7.4340900124595599E-2</v>
      </c>
      <c r="AI1326" s="1671">
        <v>8.3415480291574334E-2</v>
      </c>
      <c r="AJ1326" s="1671">
        <v>0.10089436477192729</v>
      </c>
      <c r="AK1326" s="1671">
        <v>6.3886557936964919E-2</v>
      </c>
      <c r="AL1326" s="1671">
        <v>5.9914083558911965E-2</v>
      </c>
      <c r="AM1326" s="1671">
        <v>7.4844928381200354E-2</v>
      </c>
      <c r="AN1326" s="1671">
        <v>8.2939584325757446E-2</v>
      </c>
      <c r="AO1326" s="1671">
        <v>6.7558649714270128E-2</v>
      </c>
      <c r="AP1326" s="1671">
        <v>7.5350563952157751E-2</v>
      </c>
    </row>
    <row r="1327" spans="1:42" ht="14.5">
      <c r="A1327" s="1693">
        <v>1</v>
      </c>
      <c r="B1327" s="616">
        <v>1</v>
      </c>
      <c r="C1327" s="1693">
        <v>1</v>
      </c>
      <c r="D1327" s="616">
        <v>1</v>
      </c>
      <c r="E1327" s="1693">
        <v>1</v>
      </c>
      <c r="F1327" s="616">
        <v>1</v>
      </c>
      <c r="G1327" s="1693">
        <v>1310</v>
      </c>
      <c r="H1327" s="616">
        <v>1</v>
      </c>
      <c r="J1327" s="709" t="s">
        <v>512</v>
      </c>
      <c r="K1327" s="1764" t="s">
        <v>1216</v>
      </c>
      <c r="L1327" s="519"/>
      <c r="M1327" s="203" t="s">
        <v>26</v>
      </c>
      <c r="N1327" s="203" t="s">
        <v>31</v>
      </c>
      <c r="O1327" s="153" t="s">
        <v>996</v>
      </c>
      <c r="P1327" s="36"/>
      <c r="Q1327" s="35"/>
      <c r="R1327" s="35"/>
      <c r="S1327" s="36"/>
      <c r="T1327" s="36"/>
      <c r="U1327" s="36"/>
      <c r="V1327" s="157"/>
      <c r="W1327" s="1849"/>
      <c r="X1327" s="1378">
        <v>0</v>
      </c>
      <c r="Y1327" s="1378">
        <v>0</v>
      </c>
      <c r="Z1327" s="1378">
        <v>0</v>
      </c>
      <c r="AA1327" s="1378">
        <v>0</v>
      </c>
      <c r="AB1327" s="1378">
        <v>0</v>
      </c>
      <c r="AC1327" s="1378">
        <v>0</v>
      </c>
      <c r="AD1327" s="1378">
        <v>0</v>
      </c>
      <c r="AE1327" s="1378">
        <v>0</v>
      </c>
      <c r="AF1327" s="1378">
        <v>0</v>
      </c>
      <c r="AG1327" s="1378">
        <v>0</v>
      </c>
      <c r="AH1327" s="1378">
        <v>0</v>
      </c>
      <c r="AI1327" s="1378">
        <v>0</v>
      </c>
      <c r="AJ1327" s="1378">
        <v>0</v>
      </c>
      <c r="AK1327" s="1378">
        <v>0</v>
      </c>
      <c r="AL1327" s="1378">
        <v>0</v>
      </c>
      <c r="AM1327" s="1378">
        <v>0</v>
      </c>
      <c r="AN1327" s="1378">
        <v>0</v>
      </c>
      <c r="AO1327" s="1378">
        <v>0</v>
      </c>
      <c r="AP1327" s="1378">
        <v>0</v>
      </c>
    </row>
    <row r="1328" spans="1:42" ht="14.5">
      <c r="A1328" s="1693">
        <v>1</v>
      </c>
      <c r="B1328" s="616">
        <v>1</v>
      </c>
      <c r="C1328" s="1693">
        <v>1</v>
      </c>
      <c r="D1328" s="616">
        <v>1</v>
      </c>
      <c r="E1328" s="1693">
        <v>1</v>
      </c>
      <c r="F1328" s="616">
        <v>1</v>
      </c>
      <c r="G1328" s="1693">
        <v>1311</v>
      </c>
      <c r="H1328" s="616">
        <v>1</v>
      </c>
      <c r="J1328" s="709" t="s">
        <v>512</v>
      </c>
      <c r="K1328" s="1764" t="s">
        <v>1216</v>
      </c>
      <c r="L1328" s="519"/>
      <c r="M1328" s="197" t="s">
        <v>26</v>
      </c>
      <c r="N1328" s="197" t="s">
        <v>31</v>
      </c>
      <c r="O1328" s="204" t="s">
        <v>177</v>
      </c>
      <c r="P1328" s="108" t="s">
        <v>177</v>
      </c>
      <c r="Q1328" s="108"/>
      <c r="R1328" s="156"/>
      <c r="S1328" s="108"/>
      <c r="T1328" s="108"/>
      <c r="U1328" s="108"/>
      <c r="V1328" s="155"/>
      <c r="W1328" s="2245"/>
      <c r="X1328" s="1897">
        <v>0</v>
      </c>
      <c r="Y1328" s="1897">
        <v>0</v>
      </c>
      <c r="Z1328" s="1897">
        <v>0</v>
      </c>
      <c r="AA1328" s="1897">
        <v>0</v>
      </c>
      <c r="AB1328" s="1897">
        <v>0</v>
      </c>
      <c r="AC1328" s="1897">
        <v>0</v>
      </c>
      <c r="AD1328" s="1897">
        <v>0</v>
      </c>
      <c r="AE1328" s="1897">
        <v>0</v>
      </c>
      <c r="AF1328" s="1897">
        <v>0</v>
      </c>
      <c r="AG1328" s="1897">
        <v>0</v>
      </c>
      <c r="AH1328" s="1897">
        <v>0</v>
      </c>
      <c r="AI1328" s="1897">
        <v>0</v>
      </c>
      <c r="AJ1328" s="2469">
        <v>0</v>
      </c>
      <c r="AK1328" s="2469">
        <v>0</v>
      </c>
      <c r="AL1328" s="2469">
        <v>0</v>
      </c>
      <c r="AM1328" s="2469">
        <v>0</v>
      </c>
      <c r="AN1328" s="2469">
        <v>0</v>
      </c>
      <c r="AO1328" s="2469">
        <v>0</v>
      </c>
      <c r="AP1328" s="2469">
        <v>0</v>
      </c>
    </row>
    <row r="1329" spans="1:42" ht="14.5">
      <c r="A1329" s="1693">
        <v>1</v>
      </c>
      <c r="B1329" s="616">
        <v>1</v>
      </c>
      <c r="C1329" s="1693">
        <v>1</v>
      </c>
      <c r="D1329" s="616">
        <v>1</v>
      </c>
      <c r="E1329" s="1693">
        <v>1</v>
      </c>
      <c r="F1329" s="616">
        <v>1</v>
      </c>
      <c r="G1329" s="1693">
        <v>1312</v>
      </c>
      <c r="H1329" s="616">
        <v>1</v>
      </c>
      <c r="J1329" s="709" t="s">
        <v>512</v>
      </c>
      <c r="K1329" s="1764" t="s">
        <v>1216</v>
      </c>
      <c r="L1329" s="519"/>
      <c r="M1329" s="197" t="s">
        <v>26</v>
      </c>
      <c r="N1329" s="197" t="s">
        <v>31</v>
      </c>
      <c r="O1329" s="204" t="s">
        <v>178</v>
      </c>
      <c r="P1329" s="36" t="s">
        <v>178</v>
      </c>
      <c r="Q1329" s="36"/>
      <c r="R1329" s="35"/>
      <c r="S1329" s="36"/>
      <c r="T1329" s="36"/>
      <c r="U1329" s="36"/>
      <c r="V1329" s="152"/>
      <c r="W1329" s="2245"/>
      <c r="X1329" s="1895">
        <v>0</v>
      </c>
      <c r="Y1329" s="1895">
        <v>0</v>
      </c>
      <c r="Z1329" s="1895">
        <v>0</v>
      </c>
      <c r="AA1329" s="1895">
        <v>0</v>
      </c>
      <c r="AB1329" s="1895">
        <v>0</v>
      </c>
      <c r="AC1329" s="1895">
        <v>0</v>
      </c>
      <c r="AD1329" s="1895">
        <v>0</v>
      </c>
      <c r="AE1329" s="1895">
        <v>0</v>
      </c>
      <c r="AF1329" s="1895">
        <v>0</v>
      </c>
      <c r="AG1329" s="1895">
        <v>0</v>
      </c>
      <c r="AH1329" s="1895">
        <v>0</v>
      </c>
      <c r="AI1329" s="1895">
        <v>0</v>
      </c>
      <c r="AJ1329" s="2470">
        <v>0</v>
      </c>
      <c r="AK1329" s="2470">
        <v>0</v>
      </c>
      <c r="AL1329" s="2470">
        <v>0</v>
      </c>
      <c r="AM1329" s="2470">
        <v>0</v>
      </c>
      <c r="AN1329" s="2470">
        <v>0</v>
      </c>
      <c r="AO1329" s="2470">
        <v>0</v>
      </c>
      <c r="AP1329" s="2470">
        <v>0</v>
      </c>
    </row>
    <row r="1330" spans="1:42" ht="14.5">
      <c r="A1330" s="1693">
        <v>1</v>
      </c>
      <c r="B1330" s="616">
        <v>1</v>
      </c>
      <c r="C1330" s="1693">
        <v>1</v>
      </c>
      <c r="D1330" s="616">
        <v>1</v>
      </c>
      <c r="E1330" s="1693">
        <v>1</v>
      </c>
      <c r="F1330" s="616">
        <v>1</v>
      </c>
      <c r="G1330" s="1693">
        <v>1313</v>
      </c>
      <c r="H1330" s="616">
        <v>1</v>
      </c>
      <c r="J1330" s="709" t="s">
        <v>512</v>
      </c>
      <c r="K1330" s="1764" t="s">
        <v>1216</v>
      </c>
      <c r="L1330" s="519"/>
      <c r="M1330" s="203" t="s">
        <v>26</v>
      </c>
      <c r="N1330" s="203" t="s">
        <v>31</v>
      </c>
      <c r="O1330" s="1881" t="s">
        <v>64</v>
      </c>
      <c r="P1330" s="1882"/>
      <c r="Q1330" s="1882"/>
      <c r="R1330" s="1882"/>
      <c r="S1330" s="1882"/>
      <c r="T1330" s="1882"/>
      <c r="U1330" s="1882"/>
      <c r="V1330" s="1885"/>
      <c r="W1330" s="1883"/>
      <c r="X1330" s="1884">
        <v>142445.9910718805</v>
      </c>
      <c r="Y1330" s="1884">
        <v>40769.439864431304</v>
      </c>
      <c r="Z1330" s="1884">
        <v>54287.476929501398</v>
      </c>
      <c r="AA1330" s="1884">
        <v>36893.275298327469</v>
      </c>
      <c r="AB1330" s="1884">
        <v>49552.044318010128</v>
      </c>
      <c r="AC1330" s="1884">
        <v>55273.537317651091</v>
      </c>
      <c r="AD1330" s="1884">
        <v>39113.503519090271</v>
      </c>
      <c r="AE1330" s="1884">
        <v>36788.098972617066</v>
      </c>
      <c r="AF1330" s="1884">
        <v>54302.081218106934</v>
      </c>
      <c r="AG1330" s="1884">
        <v>47631.455790923734</v>
      </c>
      <c r="AH1330" s="1884">
        <v>55763.877947037487</v>
      </c>
      <c r="AI1330" s="1884">
        <v>67253.684527329227</v>
      </c>
      <c r="AJ1330" s="1884">
        <v>237502.90786581321</v>
      </c>
      <c r="AK1330" s="1884">
        <v>141718.85693398869</v>
      </c>
      <c r="AL1330" s="1884">
        <v>130203.68370981427</v>
      </c>
      <c r="AM1330" s="1884">
        <v>170649.01826529045</v>
      </c>
      <c r="AN1330" s="1884">
        <v>379221.76479980187</v>
      </c>
      <c r="AO1330" s="1884">
        <v>300852.70197510475</v>
      </c>
      <c r="AP1330" s="1884">
        <v>680074.46677490661</v>
      </c>
    </row>
    <row r="1331" spans="1:42" ht="14.5">
      <c r="A1331" s="1693">
        <v>1</v>
      </c>
      <c r="B1331" s="616">
        <v>1</v>
      </c>
      <c r="C1331" s="1693">
        <v>1</v>
      </c>
      <c r="D1331" s="616">
        <v>1</v>
      </c>
      <c r="E1331" s="1693">
        <v>1</v>
      </c>
      <c r="F1331" s="616">
        <v>1</v>
      </c>
      <c r="G1331" s="1693">
        <v>1314</v>
      </c>
      <c r="H1331" s="616">
        <v>1</v>
      </c>
      <c r="J1331" s="709" t="s">
        <v>512</v>
      </c>
      <c r="K1331" s="1764" t="s">
        <v>1216</v>
      </c>
      <c r="L1331" s="519"/>
      <c r="M1331" s="203" t="s">
        <v>26</v>
      </c>
      <c r="N1331" s="203" t="s">
        <v>31</v>
      </c>
      <c r="O1331" s="198" t="s">
        <v>997</v>
      </c>
      <c r="P1331" s="447"/>
      <c r="Q1331" s="514"/>
      <c r="R1331" s="514"/>
      <c r="S1331" s="447"/>
      <c r="T1331" s="447"/>
      <c r="U1331" s="447"/>
      <c r="V1331" s="2467"/>
      <c r="W1331" s="2245"/>
      <c r="X1331" s="1889">
        <v>35619.747767970126</v>
      </c>
      <c r="Y1331" s="1889">
        <v>10200.609966107826</v>
      </c>
      <c r="Z1331" s="1889">
        <v>13555.119232375349</v>
      </c>
      <c r="AA1331" s="1889">
        <v>9231.5688245818674</v>
      </c>
      <c r="AB1331" s="1889">
        <v>12396.261079502532</v>
      </c>
      <c r="AC1331" s="1889">
        <v>13801.634329412773</v>
      </c>
      <c r="AD1331" s="1889">
        <v>9786.6258797725677</v>
      </c>
      <c r="AE1331" s="1889">
        <v>9205.2747431542666</v>
      </c>
      <c r="AF1331" s="1889">
        <v>13558.770304526734</v>
      </c>
      <c r="AG1331" s="1889">
        <v>11909.863947730933</v>
      </c>
      <c r="AH1331" s="1889">
        <v>13942.969486759372</v>
      </c>
      <c r="AI1331" s="1889">
        <v>16796.671131832307</v>
      </c>
      <c r="AJ1331" s="2471">
        <v>59375.476966453301</v>
      </c>
      <c r="AK1331" s="2471">
        <v>35429.464233497172</v>
      </c>
      <c r="AL1331" s="2471">
        <v>32550.670927453568</v>
      </c>
      <c r="AM1331" s="2471">
        <v>42649.504566322612</v>
      </c>
      <c r="AN1331" s="2471">
        <v>94804.941199950466</v>
      </c>
      <c r="AO1331" s="2471">
        <v>75200.175493776187</v>
      </c>
      <c r="AP1331" s="2471">
        <v>170005.11669372665</v>
      </c>
    </row>
    <row r="1332" spans="1:42" ht="14.5">
      <c r="A1332" s="1693">
        <v>1</v>
      </c>
      <c r="B1332" s="616">
        <v>1</v>
      </c>
      <c r="C1332" s="1693">
        <v>1</v>
      </c>
      <c r="D1332" s="616">
        <v>1</v>
      </c>
      <c r="E1332" s="1693">
        <v>1</v>
      </c>
      <c r="F1332" s="616">
        <v>1</v>
      </c>
      <c r="G1332" s="1693">
        <v>1315</v>
      </c>
      <c r="H1332" s="616">
        <v>1</v>
      </c>
      <c r="J1332" s="709" t="s">
        <v>512</v>
      </c>
      <c r="K1332" s="1764" t="s">
        <v>1216</v>
      </c>
      <c r="L1332" s="519"/>
      <c r="M1332" s="203" t="s">
        <v>26</v>
      </c>
      <c r="N1332" s="203" t="s">
        <v>31</v>
      </c>
      <c r="O1332" s="1881" t="s">
        <v>179</v>
      </c>
      <c r="P1332" s="1882"/>
      <c r="Q1332" s="1882"/>
      <c r="R1332" s="1882"/>
      <c r="S1332" s="1882"/>
      <c r="T1332" s="1882"/>
      <c r="U1332" s="1882"/>
      <c r="V1332" s="1885"/>
      <c r="W1332" s="1883"/>
      <c r="X1332" s="1884">
        <v>106826.24330391038</v>
      </c>
      <c r="Y1332" s="1884">
        <v>30568.829898323478</v>
      </c>
      <c r="Z1332" s="1884">
        <v>40732.357697126048</v>
      </c>
      <c r="AA1332" s="1884">
        <v>27661.706473745602</v>
      </c>
      <c r="AB1332" s="1884">
        <v>37155.783238507596</v>
      </c>
      <c r="AC1332" s="1884">
        <v>41471.902988238318</v>
      </c>
      <c r="AD1332" s="1884">
        <v>29326.877639317703</v>
      </c>
      <c r="AE1332" s="1884">
        <v>27582.8242294628</v>
      </c>
      <c r="AF1332" s="1884">
        <v>40743.310913580201</v>
      </c>
      <c r="AG1332" s="1884">
        <v>35721.5918431928</v>
      </c>
      <c r="AH1332" s="1884">
        <v>41820.908460278115</v>
      </c>
      <c r="AI1332" s="1884">
        <v>50457.013395496921</v>
      </c>
      <c r="AJ1332" s="1884">
        <v>178127.4308993599</v>
      </c>
      <c r="AK1332" s="1884">
        <v>106289.39270049152</v>
      </c>
      <c r="AL1332" s="1884">
        <v>97653.012782360704</v>
      </c>
      <c r="AM1332" s="1884">
        <v>127999.51369896783</v>
      </c>
      <c r="AN1332" s="1884">
        <v>284416.8235998514</v>
      </c>
      <c r="AO1332" s="1884">
        <v>225652.52648132853</v>
      </c>
      <c r="AP1332" s="1884">
        <v>510069.35008117993</v>
      </c>
    </row>
    <row r="1333" spans="1:42" ht="14.5">
      <c r="A1333" s="1693">
        <v>1</v>
      </c>
      <c r="B1333" s="616">
        <v>1</v>
      </c>
      <c r="C1333" s="1693">
        <v>1</v>
      </c>
      <c r="D1333" s="616">
        <v>1</v>
      </c>
      <c r="E1333" s="1693">
        <v>1</v>
      </c>
      <c r="F1333" s="616">
        <v>1</v>
      </c>
      <c r="G1333" s="1693">
        <v>1316</v>
      </c>
      <c r="H1333" s="616">
        <v>1</v>
      </c>
      <c r="J1333" s="709" t="s">
        <v>512</v>
      </c>
      <c r="K1333" s="1764" t="s">
        <v>1216</v>
      </c>
      <c r="L1333" s="519"/>
      <c r="M1333" s="203" t="s">
        <v>26</v>
      </c>
      <c r="N1333" s="203" t="s">
        <v>31</v>
      </c>
      <c r="O1333" s="200" t="s">
        <v>179</v>
      </c>
      <c r="P1333" s="104"/>
      <c r="Q1333" s="105"/>
      <c r="R1333" s="105"/>
      <c r="S1333" s="104"/>
      <c r="T1333" s="104"/>
      <c r="U1333" s="104"/>
      <c r="V1333" s="149" t="s">
        <v>55</v>
      </c>
      <c r="W1333" s="1776"/>
      <c r="X1333" s="1671">
        <v>0.11338569528449789</v>
      </c>
      <c r="Y1333" s="1671">
        <v>4.5173941310884209E-2</v>
      </c>
      <c r="Z1333" s="1671">
        <v>5.5407991936348502E-2</v>
      </c>
      <c r="AA1333" s="1671">
        <v>4.0279113705729806E-2</v>
      </c>
      <c r="AB1333" s="1671">
        <v>4.9124083022052047E-2</v>
      </c>
      <c r="AC1333" s="1671">
        <v>5.3500220329752018E-2</v>
      </c>
      <c r="AD1333" s="1671">
        <v>4.1277159892762517E-2</v>
      </c>
      <c r="AE1333" s="1671">
        <v>3.9807802289625244E-2</v>
      </c>
      <c r="AF1333" s="1671">
        <v>5.2928066961111922E-2</v>
      </c>
      <c r="AG1333" s="1671">
        <v>4.9361393248540074E-2</v>
      </c>
      <c r="AH1333" s="1671">
        <v>5.5753008819046088E-2</v>
      </c>
      <c r="AI1333" s="1671">
        <v>6.2582385426830367E-2</v>
      </c>
      <c r="AJ1333" s="1675">
        <v>7.5670879782239645E-2</v>
      </c>
      <c r="AK1333" s="1675">
        <v>4.7915031152189584E-2</v>
      </c>
      <c r="AL1333" s="1675">
        <v>4.4935677708332351E-2</v>
      </c>
      <c r="AM1333" s="1675">
        <v>5.6139288306566781E-2</v>
      </c>
      <c r="AN1333" s="1675">
        <v>6.2204797599307728E-2</v>
      </c>
      <c r="AO1333" s="1675">
        <v>5.0671906529706441E-2</v>
      </c>
      <c r="AP1333" s="1675">
        <v>5.6514418730630733E-2</v>
      </c>
    </row>
    <row r="1334" spans="1:42" ht="14.5">
      <c r="A1334" s="1693">
        <v>1</v>
      </c>
      <c r="B1334" s="616">
        <v>1</v>
      </c>
      <c r="C1334" s="1693">
        <v>1</v>
      </c>
      <c r="D1334" s="616">
        <v>1</v>
      </c>
      <c r="E1334" s="1693">
        <v>1</v>
      </c>
      <c r="F1334" s="616">
        <v>1</v>
      </c>
      <c r="G1334" s="1693">
        <v>1317</v>
      </c>
      <c r="H1334" s="616">
        <v>1</v>
      </c>
      <c r="J1334" s="709" t="s">
        <v>512</v>
      </c>
      <c r="K1334" s="1764" t="s">
        <v>1216</v>
      </c>
      <c r="L1334" s="519"/>
      <c r="M1334" s="205" t="s">
        <v>26</v>
      </c>
      <c r="N1334" s="205" t="s">
        <v>31</v>
      </c>
      <c r="W1334" s="1849"/>
      <c r="X1334" s="2472"/>
      <c r="Y1334" s="2472"/>
      <c r="Z1334" s="2472"/>
      <c r="AA1334" s="2472"/>
      <c r="AB1334" s="2472"/>
      <c r="AC1334" s="2472"/>
      <c r="AD1334" s="2472"/>
      <c r="AE1334" s="2472"/>
      <c r="AF1334" s="2472"/>
      <c r="AG1334" s="2473"/>
      <c r="AH1334" s="2473"/>
      <c r="AI1334" s="2473"/>
      <c r="AJ1334" s="2473"/>
      <c r="AK1334" s="2473"/>
      <c r="AL1334" s="2473"/>
      <c r="AM1334" s="2473"/>
      <c r="AN1334" s="2473"/>
      <c r="AO1334" s="2473"/>
      <c r="AP1334" s="2473"/>
    </row>
    <row r="1335" spans="1:42" ht="14.5">
      <c r="A1335" s="1693">
        <v>1</v>
      </c>
      <c r="B1335" s="616">
        <v>1</v>
      </c>
      <c r="C1335" s="1693">
        <v>1</v>
      </c>
      <c r="D1335" s="616">
        <v>1</v>
      </c>
      <c r="E1335" s="1693">
        <v>1</v>
      </c>
      <c r="F1335" s="616">
        <v>1</v>
      </c>
      <c r="G1335" s="1693">
        <v>1318</v>
      </c>
      <c r="H1335" s="616">
        <v>1</v>
      </c>
      <c r="J1335" s="709" t="s">
        <v>512</v>
      </c>
      <c r="K1335" s="1764" t="s">
        <v>1216</v>
      </c>
      <c r="L1335" s="519"/>
      <c r="M1335" s="81" t="s">
        <v>958</v>
      </c>
      <c r="N1335"/>
      <c r="O1335"/>
      <c r="P1335"/>
      <c r="Q1335"/>
      <c r="R1335"/>
      <c r="S1335"/>
      <c r="T1335"/>
      <c r="U1335"/>
      <c r="V1335"/>
      <c r="W1335" s="1845"/>
      <c r="X1335"/>
      <c r="Y1335"/>
      <c r="Z1335"/>
      <c r="AA1335"/>
      <c r="AB1335"/>
      <c r="AC1335"/>
      <c r="AD1335"/>
      <c r="AE1335"/>
      <c r="AF1335"/>
      <c r="AG1335"/>
      <c r="AH1335"/>
      <c r="AI1335"/>
      <c r="AJ1335"/>
      <c r="AK1335"/>
      <c r="AL1335"/>
      <c r="AM1335"/>
      <c r="AN1335"/>
      <c r="AO1335"/>
      <c r="AP1335"/>
    </row>
    <row r="1336" spans="1:42" ht="14.5">
      <c r="A1336" s="1693">
        <v>1</v>
      </c>
      <c r="B1336" s="616">
        <v>1</v>
      </c>
      <c r="C1336" s="1693">
        <v>1</v>
      </c>
      <c r="D1336" s="616">
        <v>1</v>
      </c>
      <c r="E1336" s="1693">
        <v>1</v>
      </c>
      <c r="F1336" s="616">
        <v>1</v>
      </c>
      <c r="G1336" s="1693">
        <v>1319</v>
      </c>
      <c r="H1336" s="616">
        <v>1</v>
      </c>
      <c r="J1336" s="709" t="s">
        <v>512</v>
      </c>
      <c r="K1336" s="1764" t="s">
        <v>1216</v>
      </c>
      <c r="L1336" s="519"/>
      <c r="M1336"/>
      <c r="N1336" s="4" t="s">
        <v>961</v>
      </c>
      <c r="O1336" s="4"/>
      <c r="P1336" s="3"/>
      <c r="Q1336" s="4"/>
      <c r="R1336" s="4"/>
      <c r="S1336" s="3"/>
      <c r="T1336" s="3"/>
      <c r="U1336" s="3"/>
      <c r="V1336" s="3"/>
      <c r="W1336" s="1773"/>
      <c r="X1336" s="1609"/>
      <c r="Y1336" s="1609"/>
      <c r="Z1336" s="1609"/>
      <c r="AA1336" s="1609"/>
      <c r="AB1336" s="1609"/>
      <c r="AC1336" s="1609"/>
      <c r="AD1336" s="1366"/>
      <c r="AE1336" s="1366"/>
      <c r="AF1336" s="1366"/>
      <c r="AG1336" s="1366"/>
      <c r="AH1336" s="69"/>
      <c r="AI1336" s="69"/>
      <c r="AJ1336" s="69"/>
      <c r="AK1336" s="69"/>
      <c r="AL1336" s="69"/>
      <c r="AM1336" s="69"/>
      <c r="AN1336" s="69"/>
      <c r="AO1336" s="69"/>
      <c r="AP1336" s="69"/>
    </row>
    <row r="1337" spans="1:42" ht="14.5">
      <c r="A1337" s="1693">
        <v>1</v>
      </c>
      <c r="B1337" s="616">
        <v>1</v>
      </c>
      <c r="C1337" s="1693">
        <v>1</v>
      </c>
      <c r="D1337" s="616">
        <v>1</v>
      </c>
      <c r="E1337" s="1693">
        <v>1</v>
      </c>
      <c r="F1337" s="616">
        <v>1</v>
      </c>
      <c r="G1337" s="1693">
        <v>1320</v>
      </c>
      <c r="H1337" s="616">
        <v>1</v>
      </c>
      <c r="J1337" s="709" t="s">
        <v>512</v>
      </c>
      <c r="K1337" s="1764" t="s">
        <v>1216</v>
      </c>
      <c r="L1337" s="519"/>
      <c r="M1337"/>
      <c r="N1337" s="4"/>
      <c r="O1337" s="1096" t="s">
        <v>0</v>
      </c>
      <c r="P1337" s="1091"/>
      <c r="Q1337" s="1092"/>
      <c r="R1337" s="1092"/>
      <c r="S1337" s="1092"/>
      <c r="T1337" s="1092"/>
      <c r="U1337" s="1092"/>
      <c r="V1337" s="1107"/>
      <c r="W1337" s="1852"/>
      <c r="X1337" s="2474"/>
      <c r="Y1337" s="2474"/>
      <c r="Z1337" s="2474"/>
      <c r="AA1337" s="2474"/>
      <c r="AB1337" s="2474"/>
      <c r="AC1337" s="2474"/>
      <c r="AD1337" s="2474"/>
      <c r="AE1337" s="2474"/>
      <c r="AF1337" s="2474"/>
      <c r="AG1337" s="2474"/>
      <c r="AH1337" s="2474"/>
      <c r="AI1337" s="2474"/>
      <c r="AJ1337" s="2475">
        <v>0</v>
      </c>
      <c r="AK1337" s="2475">
        <v>0</v>
      </c>
      <c r="AL1337" s="2475">
        <v>0</v>
      </c>
      <c r="AM1337" s="2475">
        <v>0</v>
      </c>
      <c r="AN1337" s="2475">
        <v>0</v>
      </c>
      <c r="AO1337" s="2475">
        <v>0</v>
      </c>
      <c r="AP1337" s="2475">
        <v>0</v>
      </c>
    </row>
    <row r="1338" spans="1:42" ht="14.5">
      <c r="A1338" s="1693">
        <v>1</v>
      </c>
      <c r="B1338" s="616">
        <v>1</v>
      </c>
      <c r="C1338" s="1693">
        <v>1</v>
      </c>
      <c r="D1338" s="616">
        <v>1</v>
      </c>
      <c r="E1338" s="1693">
        <v>1</v>
      </c>
      <c r="F1338" s="616">
        <v>1</v>
      </c>
      <c r="G1338" s="1693">
        <v>1321</v>
      </c>
      <c r="H1338" s="616">
        <v>1</v>
      </c>
      <c r="J1338" s="709" t="s">
        <v>512</v>
      </c>
      <c r="K1338" s="1764" t="s">
        <v>1216</v>
      </c>
      <c r="L1338" s="519"/>
      <c r="M1338"/>
      <c r="N1338" s="4"/>
      <c r="O1338" s="1096" t="s">
        <v>371</v>
      </c>
      <c r="P1338" s="1091"/>
      <c r="Q1338" s="1092"/>
      <c r="R1338" s="1092"/>
      <c r="S1338" s="1097" t="s">
        <v>370</v>
      </c>
      <c r="T1338" s="1092"/>
      <c r="U1338" s="1092"/>
      <c r="V1338" s="1107"/>
      <c r="W1338" s="1852"/>
      <c r="X1338" s="2474"/>
      <c r="Y1338" s="2474"/>
      <c r="Z1338" s="2474"/>
      <c r="AA1338" s="2474"/>
      <c r="AB1338" s="2474"/>
      <c r="AC1338" s="2474"/>
      <c r="AD1338" s="2474"/>
      <c r="AE1338" s="2474"/>
      <c r="AF1338" s="2474"/>
      <c r="AG1338" s="2474"/>
      <c r="AH1338" s="2474"/>
      <c r="AI1338" s="2474"/>
      <c r="AJ1338" s="2475">
        <v>0</v>
      </c>
      <c r="AK1338" s="2475">
        <v>0</v>
      </c>
      <c r="AL1338" s="2475">
        <v>0</v>
      </c>
      <c r="AM1338" s="2475">
        <v>0</v>
      </c>
      <c r="AN1338" s="2475">
        <v>0</v>
      </c>
      <c r="AO1338" s="2475">
        <v>0</v>
      </c>
      <c r="AP1338" s="2475">
        <v>0</v>
      </c>
    </row>
    <row r="1339" spans="1:42" ht="14.5">
      <c r="A1339" s="1693">
        <v>1</v>
      </c>
      <c r="B1339" s="616">
        <v>1</v>
      </c>
      <c r="C1339" s="1693">
        <v>1</v>
      </c>
      <c r="D1339" s="616">
        <v>1</v>
      </c>
      <c r="E1339" s="1693">
        <v>1</v>
      </c>
      <c r="F1339" s="616">
        <v>1</v>
      </c>
      <c r="G1339" s="1693">
        <v>1322</v>
      </c>
      <c r="H1339" s="616">
        <v>1</v>
      </c>
      <c r="J1339" s="709" t="s">
        <v>512</v>
      </c>
      <c r="K1339" s="1764" t="s">
        <v>1216</v>
      </c>
      <c r="L1339" s="519"/>
      <c r="M1339"/>
      <c r="N1339" s="4"/>
      <c r="O1339" s="1096" t="s">
        <v>54</v>
      </c>
      <c r="P1339" s="1091"/>
      <c r="Q1339" s="1092"/>
      <c r="R1339" s="1092"/>
      <c r="S1339" s="1092"/>
      <c r="T1339" s="1092"/>
      <c r="U1339" s="1092"/>
      <c r="V1339" s="1107"/>
      <c r="W1339" s="1852"/>
      <c r="X1339" s="2474"/>
      <c r="Y1339" s="2474"/>
      <c r="Z1339" s="2474"/>
      <c r="AA1339" s="2474"/>
      <c r="AB1339" s="2474"/>
      <c r="AC1339" s="2474"/>
      <c r="AD1339" s="2474"/>
      <c r="AE1339" s="2474"/>
      <c r="AF1339" s="2474"/>
      <c r="AG1339" s="2474"/>
      <c r="AH1339" s="2474"/>
      <c r="AI1339" s="2474"/>
      <c r="AJ1339" s="2475">
        <v>0</v>
      </c>
      <c r="AK1339" s="2475">
        <v>0</v>
      </c>
      <c r="AL1339" s="2475">
        <v>0</v>
      </c>
      <c r="AM1339" s="2475">
        <v>0</v>
      </c>
      <c r="AN1339" s="2475">
        <v>0</v>
      </c>
      <c r="AO1339" s="2475">
        <v>0</v>
      </c>
      <c r="AP1339" s="2475">
        <v>0</v>
      </c>
    </row>
    <row r="1340" spans="1:42" ht="14.5">
      <c r="A1340" s="1693">
        <v>1</v>
      </c>
      <c r="B1340" s="616">
        <v>1</v>
      </c>
      <c r="C1340" s="1693">
        <v>1</v>
      </c>
      <c r="D1340" s="616">
        <v>1</v>
      </c>
      <c r="E1340" s="1693">
        <v>1</v>
      </c>
      <c r="F1340" s="616">
        <v>1</v>
      </c>
      <c r="G1340" s="1693">
        <v>1323</v>
      </c>
      <c r="H1340" s="616">
        <v>1</v>
      </c>
      <c r="J1340" s="709" t="s">
        <v>512</v>
      </c>
      <c r="K1340" s="1764" t="s">
        <v>1216</v>
      </c>
      <c r="L1340" s="519"/>
      <c r="M1340"/>
      <c r="N1340" s="4"/>
      <c r="O1340" s="27"/>
      <c r="P1340" s="3" t="s">
        <v>55</v>
      </c>
      <c r="Q1340" s="4"/>
      <c r="R1340" s="4"/>
      <c r="S1340" s="4"/>
      <c r="T1340" s="4"/>
      <c r="U1340" s="4"/>
      <c r="V1340" s="79"/>
      <c r="W1340" s="1785"/>
      <c r="X1340" s="1223">
        <v>0</v>
      </c>
      <c r="Y1340" s="1223">
        <v>0</v>
      </c>
      <c r="Z1340" s="1223">
        <v>0</v>
      </c>
      <c r="AA1340" s="1223">
        <v>0</v>
      </c>
      <c r="AB1340" s="1223">
        <v>0</v>
      </c>
      <c r="AC1340" s="1223">
        <v>0</v>
      </c>
      <c r="AD1340" s="1223">
        <v>0</v>
      </c>
      <c r="AE1340" s="1223">
        <v>0</v>
      </c>
      <c r="AF1340" s="1223">
        <v>0</v>
      </c>
      <c r="AG1340" s="1223">
        <v>0</v>
      </c>
      <c r="AH1340" s="1223">
        <v>0</v>
      </c>
      <c r="AI1340" s="1223">
        <v>0</v>
      </c>
      <c r="AJ1340" s="1223">
        <v>0</v>
      </c>
      <c r="AK1340" s="1223">
        <v>0</v>
      </c>
      <c r="AL1340" s="1223">
        <v>0</v>
      </c>
      <c r="AM1340" s="1223">
        <v>0</v>
      </c>
      <c r="AN1340" s="1223">
        <v>0</v>
      </c>
      <c r="AO1340" s="1223">
        <v>0</v>
      </c>
      <c r="AP1340" s="1223">
        <v>0</v>
      </c>
    </row>
    <row r="1341" spans="1:42" ht="14.5">
      <c r="A1341" s="1693">
        <v>1</v>
      </c>
      <c r="B1341" s="616">
        <v>1</v>
      </c>
      <c r="C1341" s="1693">
        <v>1</v>
      </c>
      <c r="D1341" s="616">
        <v>1</v>
      </c>
      <c r="E1341" s="1693">
        <v>1</v>
      </c>
      <c r="F1341" s="616">
        <v>1</v>
      </c>
      <c r="G1341" s="1693">
        <v>1324</v>
      </c>
      <c r="H1341" s="616">
        <v>1</v>
      </c>
      <c r="J1341" s="709" t="s">
        <v>512</v>
      </c>
      <c r="K1341" s="1764" t="s">
        <v>1216</v>
      </c>
      <c r="L1341" s="519"/>
      <c r="M1341"/>
      <c r="N1341" s="4"/>
      <c r="O1341" s="1098" t="s">
        <v>29</v>
      </c>
      <c r="P1341" s="1099"/>
      <c r="Q1341" s="1100"/>
      <c r="R1341" s="1100"/>
      <c r="S1341" s="1100"/>
      <c r="T1341" s="1100"/>
      <c r="U1341" s="1100"/>
      <c r="V1341" s="1101"/>
      <c r="W1341" s="1852"/>
      <c r="X1341" s="2476">
        <v>0</v>
      </c>
      <c r="Y1341" s="2476">
        <v>0</v>
      </c>
      <c r="Z1341" s="2476">
        <v>0</v>
      </c>
      <c r="AA1341" s="2476">
        <v>0</v>
      </c>
      <c r="AB1341" s="2476">
        <v>0</v>
      </c>
      <c r="AC1341" s="2476">
        <v>0</v>
      </c>
      <c r="AD1341" s="2476">
        <v>0</v>
      </c>
      <c r="AE1341" s="2476">
        <v>0</v>
      </c>
      <c r="AF1341" s="2476">
        <v>0</v>
      </c>
      <c r="AG1341" s="2476">
        <v>0</v>
      </c>
      <c r="AH1341" s="2476">
        <v>0</v>
      </c>
      <c r="AI1341" s="2476">
        <v>0</v>
      </c>
      <c r="AJ1341" s="2476">
        <v>0</v>
      </c>
      <c r="AK1341" s="2476">
        <v>0</v>
      </c>
      <c r="AL1341" s="2476">
        <v>0</v>
      </c>
      <c r="AM1341" s="2476">
        <v>0</v>
      </c>
      <c r="AN1341" s="2476">
        <v>0</v>
      </c>
      <c r="AO1341" s="2476">
        <v>0</v>
      </c>
      <c r="AP1341" s="2476">
        <v>0</v>
      </c>
    </row>
    <row r="1342" spans="1:42" ht="14.5">
      <c r="A1342" s="1693">
        <v>1</v>
      </c>
      <c r="B1342" s="616">
        <v>1</v>
      </c>
      <c r="C1342" s="1693">
        <v>1</v>
      </c>
      <c r="D1342" s="616">
        <v>1</v>
      </c>
      <c r="E1342" s="1693">
        <v>1</v>
      </c>
      <c r="F1342" s="616">
        <v>1</v>
      </c>
      <c r="G1342" s="1693">
        <v>1325</v>
      </c>
      <c r="H1342" s="616">
        <v>1</v>
      </c>
      <c r="J1342" s="709" t="s">
        <v>512</v>
      </c>
      <c r="K1342" s="1764" t="s">
        <v>1216</v>
      </c>
      <c r="L1342" s="519"/>
      <c r="M1342"/>
      <c r="N1342" s="4"/>
      <c r="O1342" s="27"/>
      <c r="P1342" s="36" t="s">
        <v>63</v>
      </c>
      <c r="Q1342" s="4"/>
      <c r="R1342" s="4"/>
      <c r="S1342" s="3"/>
      <c r="T1342" s="3"/>
      <c r="U1342" s="3"/>
      <c r="V1342" s="26"/>
      <c r="W1342" s="1853"/>
      <c r="X1342" s="2004"/>
      <c r="Y1342" s="2004"/>
      <c r="Z1342" s="2004"/>
      <c r="AA1342" s="2004"/>
      <c r="AB1342" s="2004"/>
      <c r="AC1342" s="2004"/>
      <c r="AD1342" s="2004"/>
      <c r="AE1342" s="2004"/>
      <c r="AF1342" s="2004"/>
      <c r="AG1342" s="2004"/>
      <c r="AH1342" s="2004"/>
      <c r="AI1342" s="2004"/>
      <c r="AJ1342" s="2002">
        <v>0</v>
      </c>
      <c r="AK1342" s="2002">
        <v>0</v>
      </c>
      <c r="AL1342" s="2002">
        <v>0</v>
      </c>
      <c r="AM1342" s="2002">
        <v>0</v>
      </c>
      <c r="AN1342" s="2002">
        <v>0</v>
      </c>
      <c r="AO1342" s="2002">
        <v>0</v>
      </c>
      <c r="AP1342" s="2002">
        <v>0</v>
      </c>
    </row>
    <row r="1343" spans="1:42" ht="14.5">
      <c r="A1343" s="1693">
        <v>1</v>
      </c>
      <c r="B1343" s="616">
        <v>1</v>
      </c>
      <c r="C1343" s="1693">
        <v>1</v>
      </c>
      <c r="D1343" s="616">
        <v>1</v>
      </c>
      <c r="E1343" s="1693">
        <v>1</v>
      </c>
      <c r="F1343" s="616">
        <v>1</v>
      </c>
      <c r="G1343" s="1693">
        <v>1326</v>
      </c>
      <c r="H1343" s="616">
        <v>1</v>
      </c>
      <c r="J1343" s="709" t="s">
        <v>512</v>
      </c>
      <c r="K1343" s="1764" t="s">
        <v>1216</v>
      </c>
      <c r="L1343" s="519"/>
      <c r="M1343"/>
      <c r="N1343" s="4"/>
      <c r="O1343" s="27"/>
      <c r="P1343" s="36" t="s">
        <v>28</v>
      </c>
      <c r="Q1343" s="4"/>
      <c r="R1343" s="4"/>
      <c r="S1343" s="3"/>
      <c r="T1343" s="3"/>
      <c r="U1343" s="3"/>
      <c r="V1343" s="26"/>
      <c r="W1343" s="1853"/>
      <c r="X1343" s="2004"/>
      <c r="Y1343" s="2004"/>
      <c r="Z1343" s="2004"/>
      <c r="AA1343" s="2004"/>
      <c r="AB1343" s="2004"/>
      <c r="AC1343" s="2004"/>
      <c r="AD1343" s="2004"/>
      <c r="AE1343" s="2004"/>
      <c r="AF1343" s="2004"/>
      <c r="AG1343" s="2004"/>
      <c r="AH1343" s="2004"/>
      <c r="AI1343" s="2004"/>
      <c r="AJ1343" s="2002">
        <v>0</v>
      </c>
      <c r="AK1343" s="2002">
        <v>0</v>
      </c>
      <c r="AL1343" s="2002">
        <v>0</v>
      </c>
      <c r="AM1343" s="2002">
        <v>0</v>
      </c>
      <c r="AN1343" s="2002">
        <v>0</v>
      </c>
      <c r="AO1343" s="2002">
        <v>0</v>
      </c>
      <c r="AP1343" s="2002">
        <v>0</v>
      </c>
    </row>
    <row r="1344" spans="1:42" ht="14.5">
      <c r="A1344" s="1693">
        <v>1</v>
      </c>
      <c r="B1344" s="616">
        <v>1</v>
      </c>
      <c r="C1344" s="1693">
        <v>1</v>
      </c>
      <c r="D1344" s="616">
        <v>1</v>
      </c>
      <c r="E1344" s="1693">
        <v>1</v>
      </c>
      <c r="F1344" s="616">
        <v>1</v>
      </c>
      <c r="G1344" s="1693">
        <v>1327</v>
      </c>
      <c r="H1344" s="616">
        <v>1</v>
      </c>
      <c r="J1344" s="709" t="s">
        <v>512</v>
      </c>
      <c r="K1344" s="1764" t="s">
        <v>1216</v>
      </c>
      <c r="L1344" s="519"/>
      <c r="M1344"/>
      <c r="N1344" s="4"/>
      <c r="O1344" s="27"/>
      <c r="P1344" s="36" t="s">
        <v>62</v>
      </c>
      <c r="Q1344" s="48"/>
      <c r="R1344" s="48"/>
      <c r="S1344" s="47"/>
      <c r="T1344" s="47"/>
      <c r="U1344" s="47"/>
      <c r="V1344" s="46"/>
      <c r="W1344" s="1853"/>
      <c r="X1344" s="2014"/>
      <c r="Y1344" s="2014"/>
      <c r="Z1344" s="2014"/>
      <c r="AA1344" s="2014"/>
      <c r="AB1344" s="2014"/>
      <c r="AC1344" s="2014"/>
      <c r="AD1344" s="2014"/>
      <c r="AE1344" s="2014"/>
      <c r="AF1344" s="2014"/>
      <c r="AG1344" s="2014"/>
      <c r="AH1344" s="2014"/>
      <c r="AI1344" s="2014"/>
      <c r="AJ1344" s="2012">
        <v>0</v>
      </c>
      <c r="AK1344" s="2012">
        <v>0</v>
      </c>
      <c r="AL1344" s="2012">
        <v>0</v>
      </c>
      <c r="AM1344" s="2012">
        <v>0</v>
      </c>
      <c r="AN1344" s="2012">
        <v>0</v>
      </c>
      <c r="AO1344" s="2012">
        <v>0</v>
      </c>
      <c r="AP1344" s="2012">
        <v>0</v>
      </c>
    </row>
    <row r="1345" spans="1:42" ht="14.5">
      <c r="A1345" s="1693">
        <v>1</v>
      </c>
      <c r="B1345" s="616">
        <v>1</v>
      </c>
      <c r="C1345" s="1693">
        <v>1</v>
      </c>
      <c r="D1345" s="616">
        <v>1</v>
      </c>
      <c r="E1345" s="1693">
        <v>1</v>
      </c>
      <c r="F1345" s="616">
        <v>1</v>
      </c>
      <c r="G1345" s="1693">
        <v>1328</v>
      </c>
      <c r="H1345" s="616">
        <v>1</v>
      </c>
      <c r="J1345" s="709" t="s">
        <v>512</v>
      </c>
      <c r="K1345" s="1764" t="s">
        <v>1216</v>
      </c>
      <c r="L1345" s="519"/>
      <c r="M1345"/>
      <c r="N1345" s="4"/>
      <c r="O1345" s="2477" t="s">
        <v>56</v>
      </c>
      <c r="P1345" s="1103"/>
      <c r="Q1345" s="1104"/>
      <c r="R1345" s="1104"/>
      <c r="S1345" s="1104"/>
      <c r="T1345" s="1104"/>
      <c r="U1345" s="1104"/>
      <c r="V1345" s="2478"/>
      <c r="W1345" s="1883"/>
      <c r="X1345" s="1894">
        <v>0</v>
      </c>
      <c r="Y1345" s="1894">
        <v>0</v>
      </c>
      <c r="Z1345" s="1894">
        <v>0</v>
      </c>
      <c r="AA1345" s="1894">
        <v>0</v>
      </c>
      <c r="AB1345" s="1894">
        <v>0</v>
      </c>
      <c r="AC1345" s="1894">
        <v>0</v>
      </c>
      <c r="AD1345" s="1894">
        <v>0</v>
      </c>
      <c r="AE1345" s="1894">
        <v>0</v>
      </c>
      <c r="AF1345" s="1894">
        <v>0</v>
      </c>
      <c r="AG1345" s="1894">
        <v>0</v>
      </c>
      <c r="AH1345" s="1894">
        <v>0</v>
      </c>
      <c r="AI1345" s="1894">
        <v>0</v>
      </c>
      <c r="AJ1345" s="1894">
        <v>0</v>
      </c>
      <c r="AK1345" s="1894">
        <v>0</v>
      </c>
      <c r="AL1345" s="1894">
        <v>0</v>
      </c>
      <c r="AM1345" s="1894">
        <v>0</v>
      </c>
      <c r="AN1345" s="1894">
        <v>0</v>
      </c>
      <c r="AO1345" s="1894">
        <v>0</v>
      </c>
      <c r="AP1345" s="1894">
        <v>0</v>
      </c>
    </row>
    <row r="1346" spans="1:42" ht="14.5">
      <c r="A1346" s="1693">
        <v>1</v>
      </c>
      <c r="B1346" s="616">
        <v>1</v>
      </c>
      <c r="C1346" s="1693">
        <v>1</v>
      </c>
      <c r="D1346" s="616">
        <v>1</v>
      </c>
      <c r="E1346" s="1693">
        <v>1</v>
      </c>
      <c r="F1346" s="616">
        <v>1</v>
      </c>
      <c r="G1346" s="1693">
        <v>1329</v>
      </c>
      <c r="H1346" s="616">
        <v>1</v>
      </c>
      <c r="J1346" s="709" t="s">
        <v>512</v>
      </c>
      <c r="K1346" s="1764" t="s">
        <v>1216</v>
      </c>
      <c r="L1346" s="519"/>
      <c r="M1346"/>
      <c r="N1346" s="4"/>
      <c r="O1346" s="25"/>
      <c r="P1346" s="1" t="s">
        <v>55</v>
      </c>
      <c r="Q1346" s="2"/>
      <c r="R1346" s="2"/>
      <c r="S1346" s="1"/>
      <c r="T1346" s="1"/>
      <c r="U1346" s="1"/>
      <c r="V1346" s="24"/>
      <c r="W1346" s="1792"/>
      <c r="X1346" s="1229">
        <v>0</v>
      </c>
      <c r="Y1346" s="1229">
        <v>0</v>
      </c>
      <c r="Z1346" s="1229">
        <v>0</v>
      </c>
      <c r="AA1346" s="1229">
        <v>0</v>
      </c>
      <c r="AB1346" s="1229">
        <v>0</v>
      </c>
      <c r="AC1346" s="1229">
        <v>0</v>
      </c>
      <c r="AD1346" s="1229">
        <v>0</v>
      </c>
      <c r="AE1346" s="1229">
        <v>0</v>
      </c>
      <c r="AF1346" s="1229">
        <v>0</v>
      </c>
      <c r="AG1346" s="1229">
        <v>0</v>
      </c>
      <c r="AH1346" s="1229">
        <v>0</v>
      </c>
      <c r="AI1346" s="1229">
        <v>0</v>
      </c>
      <c r="AJ1346" s="1229">
        <v>0</v>
      </c>
      <c r="AK1346" s="1229">
        <v>0</v>
      </c>
      <c r="AL1346" s="1229">
        <v>0</v>
      </c>
      <c r="AM1346" s="1229">
        <v>0</v>
      </c>
      <c r="AN1346" s="1229">
        <v>0</v>
      </c>
      <c r="AO1346" s="1229">
        <v>0</v>
      </c>
      <c r="AP1346" s="1229">
        <v>0</v>
      </c>
    </row>
    <row r="1347" spans="1:42" ht="14.5">
      <c r="A1347" s="1693">
        <v>1</v>
      </c>
      <c r="B1347" s="616">
        <v>1</v>
      </c>
      <c r="C1347" s="1693">
        <v>1</v>
      </c>
      <c r="D1347" s="616">
        <v>1</v>
      </c>
      <c r="E1347" s="1693">
        <v>1</v>
      </c>
      <c r="F1347" s="616">
        <v>1</v>
      </c>
      <c r="G1347" s="1693">
        <v>1330</v>
      </c>
      <c r="H1347" s="616">
        <v>1</v>
      </c>
      <c r="J1347" s="709" t="s">
        <v>512</v>
      </c>
      <c r="K1347" s="1764" t="s">
        <v>1216</v>
      </c>
      <c r="L1347" s="519"/>
      <c r="M1347"/>
      <c r="N1347" s="4"/>
      <c r="O1347" s="198" t="s">
        <v>994</v>
      </c>
      <c r="P1347" s="447"/>
      <c r="Q1347" s="514"/>
      <c r="R1347" s="514"/>
      <c r="S1347" s="447"/>
      <c r="T1347" s="447"/>
      <c r="U1347" s="447"/>
      <c r="V1347" s="2467"/>
      <c r="W1347" s="1853"/>
      <c r="X1347" s="2016"/>
      <c r="Y1347" s="2479"/>
      <c r="Z1347" s="2479"/>
      <c r="AA1347" s="2479"/>
      <c r="AB1347" s="2479"/>
      <c r="AC1347" s="2479"/>
      <c r="AD1347" s="2479"/>
      <c r="AE1347" s="2479"/>
      <c r="AF1347" s="2479"/>
      <c r="AG1347" s="2479"/>
      <c r="AH1347" s="2479"/>
      <c r="AI1347" s="2479"/>
      <c r="AJ1347" s="1978">
        <v>0</v>
      </c>
      <c r="AK1347" s="1978">
        <v>0</v>
      </c>
      <c r="AL1347" s="1978">
        <v>0</v>
      </c>
      <c r="AM1347" s="1978">
        <v>0</v>
      </c>
      <c r="AN1347" s="1978">
        <v>0</v>
      </c>
      <c r="AO1347" s="1978">
        <v>0</v>
      </c>
      <c r="AP1347" s="1978">
        <v>0</v>
      </c>
    </row>
    <row r="1348" spans="1:42" ht="14.5">
      <c r="A1348" s="1693">
        <v>1</v>
      </c>
      <c r="B1348" s="616">
        <v>1</v>
      </c>
      <c r="C1348" s="1693">
        <v>1</v>
      </c>
      <c r="D1348" s="616">
        <v>1</v>
      </c>
      <c r="E1348" s="1693">
        <v>1</v>
      </c>
      <c r="F1348" s="616">
        <v>1</v>
      </c>
      <c r="G1348" s="1693">
        <v>1331</v>
      </c>
      <c r="H1348" s="616">
        <v>1</v>
      </c>
      <c r="J1348" s="709" t="s">
        <v>512</v>
      </c>
      <c r="K1348" s="1764" t="s">
        <v>1216</v>
      </c>
      <c r="L1348" s="519"/>
      <c r="M1348"/>
      <c r="N1348" s="4"/>
      <c r="O1348" s="106" t="s">
        <v>995</v>
      </c>
      <c r="P1348" s="104"/>
      <c r="Q1348" s="105"/>
      <c r="R1348" s="105"/>
      <c r="S1348" s="104"/>
      <c r="T1348" s="104"/>
      <c r="U1348" s="104"/>
      <c r="V1348" s="103"/>
      <c r="W1348" s="1853"/>
      <c r="X1348" s="2018"/>
      <c r="Y1348" s="2480"/>
      <c r="Z1348" s="2480"/>
      <c r="AA1348" s="2480"/>
      <c r="AB1348" s="2480"/>
      <c r="AC1348" s="2480"/>
      <c r="AD1348" s="2480"/>
      <c r="AE1348" s="2480"/>
      <c r="AF1348" s="2480"/>
      <c r="AG1348" s="2480"/>
      <c r="AH1348" s="2480"/>
      <c r="AI1348" s="2480"/>
      <c r="AJ1348" s="1980">
        <v>0</v>
      </c>
      <c r="AK1348" s="1980">
        <v>0</v>
      </c>
      <c r="AL1348" s="1980">
        <v>0</v>
      </c>
      <c r="AM1348" s="1980">
        <v>0</v>
      </c>
      <c r="AN1348" s="1980">
        <v>0</v>
      </c>
      <c r="AO1348" s="1980">
        <v>0</v>
      </c>
      <c r="AP1348" s="1980">
        <v>0</v>
      </c>
    </row>
    <row r="1349" spans="1:42" ht="14.5">
      <c r="A1349" s="1693">
        <v>1</v>
      </c>
      <c r="B1349" s="616">
        <v>1</v>
      </c>
      <c r="C1349" s="1693">
        <v>1</v>
      </c>
      <c r="D1349" s="616">
        <v>1</v>
      </c>
      <c r="E1349" s="1693">
        <v>1</v>
      </c>
      <c r="F1349" s="616">
        <v>1</v>
      </c>
      <c r="G1349" s="1693">
        <v>1332</v>
      </c>
      <c r="H1349" s="616">
        <v>1</v>
      </c>
      <c r="J1349" s="709" t="s">
        <v>512</v>
      </c>
      <c r="K1349" s="1764" t="s">
        <v>1216</v>
      </c>
      <c r="L1349" s="519"/>
      <c r="M1349"/>
      <c r="N1349" s="4"/>
      <c r="O1349" s="2477" t="s">
        <v>1</v>
      </c>
      <c r="P1349" s="1103"/>
      <c r="Q1349" s="1104"/>
      <c r="R1349" s="1104"/>
      <c r="S1349" s="1104"/>
      <c r="T1349" s="1104"/>
      <c r="U1349" s="1104"/>
      <c r="V1349" s="2478"/>
      <c r="W1349" s="1883"/>
      <c r="X1349" s="1894">
        <v>0</v>
      </c>
      <c r="Y1349" s="2478">
        <v>0</v>
      </c>
      <c r="Z1349" s="2478">
        <v>0</v>
      </c>
      <c r="AA1349" s="2478">
        <v>0</v>
      </c>
      <c r="AB1349" s="2478">
        <v>0</v>
      </c>
      <c r="AC1349" s="2478">
        <v>0</v>
      </c>
      <c r="AD1349" s="2478">
        <v>0</v>
      </c>
      <c r="AE1349" s="2478">
        <v>0</v>
      </c>
      <c r="AF1349" s="2478">
        <v>0</v>
      </c>
      <c r="AG1349" s="2478">
        <v>0</v>
      </c>
      <c r="AH1349" s="2478">
        <v>0</v>
      </c>
      <c r="AI1349" s="2478">
        <v>0</v>
      </c>
      <c r="AJ1349" s="2478">
        <v>0</v>
      </c>
      <c r="AK1349" s="2478">
        <v>0</v>
      </c>
      <c r="AL1349" s="2478">
        <v>0</v>
      </c>
      <c r="AM1349" s="2478">
        <v>0</v>
      </c>
      <c r="AN1349" s="2478">
        <v>0</v>
      </c>
      <c r="AO1349" s="2478">
        <v>0</v>
      </c>
      <c r="AP1349" s="2478">
        <v>0</v>
      </c>
    </row>
    <row r="1350" spans="1:42" ht="14.5">
      <c r="A1350" s="1693">
        <v>1</v>
      </c>
      <c r="B1350" s="616">
        <v>1</v>
      </c>
      <c r="C1350" s="1693">
        <v>1</v>
      </c>
      <c r="D1350" s="616">
        <v>1</v>
      </c>
      <c r="E1350" s="1693">
        <v>1</v>
      </c>
      <c r="F1350" s="616">
        <v>1</v>
      </c>
      <c r="G1350" s="1693">
        <v>1333</v>
      </c>
      <c r="H1350" s="616">
        <v>1</v>
      </c>
      <c r="J1350" s="709" t="s">
        <v>512</v>
      </c>
      <c r="K1350" s="1764" t="s">
        <v>1216</v>
      </c>
      <c r="L1350" s="519"/>
      <c r="M1350"/>
      <c r="N1350" s="4"/>
      <c r="O1350" s="25"/>
      <c r="P1350" s="1" t="s">
        <v>55</v>
      </c>
      <c r="Q1350" s="2"/>
      <c r="R1350" s="2"/>
      <c r="S1350" s="1"/>
      <c r="T1350" s="1"/>
      <c r="U1350" s="1"/>
      <c r="V1350" s="24"/>
      <c r="W1350" s="1792"/>
      <c r="X1350" s="1229">
        <v>0</v>
      </c>
      <c r="Y1350" s="1229">
        <v>0</v>
      </c>
      <c r="Z1350" s="1229">
        <v>0</v>
      </c>
      <c r="AA1350" s="1229">
        <v>0</v>
      </c>
      <c r="AB1350" s="1229">
        <v>0</v>
      </c>
      <c r="AC1350" s="1229">
        <v>0</v>
      </c>
      <c r="AD1350" s="1229">
        <v>0</v>
      </c>
      <c r="AE1350" s="1229">
        <v>0</v>
      </c>
      <c r="AF1350" s="1229">
        <v>0</v>
      </c>
      <c r="AG1350" s="1229">
        <v>0</v>
      </c>
      <c r="AH1350" s="1229">
        <v>0</v>
      </c>
      <c r="AI1350" s="1229">
        <v>0</v>
      </c>
      <c r="AJ1350" s="1229">
        <v>0</v>
      </c>
      <c r="AK1350" s="1229">
        <v>0</v>
      </c>
      <c r="AL1350" s="1229">
        <v>0</v>
      </c>
      <c r="AM1350" s="1229">
        <v>0</v>
      </c>
      <c r="AN1350" s="1229">
        <v>0</v>
      </c>
      <c r="AO1350" s="1229">
        <v>0</v>
      </c>
      <c r="AP1350" s="1229">
        <v>0</v>
      </c>
    </row>
    <row r="1351" spans="1:42" ht="14.5">
      <c r="A1351" s="1693">
        <v>1</v>
      </c>
      <c r="B1351" s="616">
        <v>1</v>
      </c>
      <c r="C1351" s="1693">
        <v>1</v>
      </c>
      <c r="D1351" s="616">
        <v>1</v>
      </c>
      <c r="E1351" s="1693">
        <v>1</v>
      </c>
      <c r="F1351" s="616">
        <v>1</v>
      </c>
      <c r="G1351" s="1693">
        <v>1334</v>
      </c>
      <c r="H1351" s="616">
        <v>1</v>
      </c>
      <c r="J1351" s="709" t="s">
        <v>512</v>
      </c>
      <c r="K1351" s="1764" t="s">
        <v>1216</v>
      </c>
      <c r="L1351" s="519"/>
      <c r="M1351"/>
      <c r="N1351" s="4"/>
      <c r="O1351" s="4"/>
      <c r="P1351" s="3"/>
      <c r="Q1351" s="4"/>
      <c r="R1351" s="4"/>
      <c r="S1351" s="3"/>
      <c r="T1351" s="3"/>
      <c r="U1351" s="3"/>
      <c r="V1351" s="3"/>
      <c r="W1351" s="1847"/>
      <c r="X1351" s="1678"/>
      <c r="Y1351" s="1678"/>
      <c r="Z1351" s="1678"/>
      <c r="AA1351" s="1678"/>
      <c r="AB1351" s="1678"/>
      <c r="AC1351" s="1678"/>
      <c r="AD1351" s="1678"/>
      <c r="AE1351" s="1678"/>
      <c r="AF1351" s="1678"/>
      <c r="AG1351" s="1678"/>
      <c r="AH1351" s="1678"/>
      <c r="AI1351" s="1678"/>
      <c r="AJ1351" s="1678"/>
      <c r="AK1351" s="1678"/>
      <c r="AL1351" s="1678"/>
      <c r="AM1351" s="1678"/>
      <c r="AN1351" s="1678"/>
      <c r="AO1351" s="1678"/>
      <c r="AP1351" s="1678"/>
    </row>
    <row r="1352" spans="1:42" ht="14.5">
      <c r="A1352" s="1693">
        <v>1</v>
      </c>
      <c r="B1352" s="616">
        <v>1</v>
      </c>
      <c r="C1352" s="1693">
        <v>1</v>
      </c>
      <c r="D1352" s="616">
        <v>1</v>
      </c>
      <c r="E1352" s="1693">
        <v>1</v>
      </c>
      <c r="F1352" s="616">
        <v>1</v>
      </c>
      <c r="G1352" s="1693">
        <v>1335</v>
      </c>
      <c r="H1352" s="616">
        <v>1</v>
      </c>
      <c r="J1352" s="709" t="s">
        <v>512</v>
      </c>
      <c r="K1352" s="1764" t="s">
        <v>1216</v>
      </c>
      <c r="L1352" s="519"/>
      <c r="M1352"/>
      <c r="N1352" s="4" t="s">
        <v>962</v>
      </c>
      <c r="O1352" s="746"/>
      <c r="P1352" s="3"/>
      <c r="Q1352" s="4"/>
      <c r="R1352" s="4"/>
      <c r="S1352" s="3"/>
      <c r="T1352" s="3" t="s">
        <v>1172</v>
      </c>
      <c r="U1352" s="3"/>
      <c r="V1352" s="3"/>
      <c r="W1352" s="1773"/>
      <c r="X1352" s="1679"/>
      <c r="Y1352" s="1609"/>
      <c r="Z1352" s="1609"/>
      <c r="AA1352" s="1609"/>
      <c r="AB1352" s="1609"/>
      <c r="AC1352" s="1609"/>
      <c r="AD1352" s="1366"/>
      <c r="AE1352" s="1366"/>
      <c r="AF1352" s="1366"/>
      <c r="AG1352" s="1366"/>
      <c r="AH1352" s="69"/>
      <c r="AI1352" s="69"/>
      <c r="AJ1352" s="69"/>
      <c r="AK1352" s="69"/>
      <c r="AL1352" s="69"/>
      <c r="AM1352" s="69"/>
      <c r="AN1352" s="69"/>
      <c r="AO1352" s="69"/>
      <c r="AP1352" s="69"/>
    </row>
    <row r="1353" spans="1:42" ht="14.5">
      <c r="A1353" s="1693">
        <v>1</v>
      </c>
      <c r="B1353" s="616">
        <v>1</v>
      </c>
      <c r="C1353" s="1693">
        <v>1</v>
      </c>
      <c r="D1353" s="616">
        <v>1</v>
      </c>
      <c r="E1353" s="1693">
        <v>1</v>
      </c>
      <c r="F1353" s="616">
        <v>1</v>
      </c>
      <c r="G1353" s="1693">
        <v>1336</v>
      </c>
      <c r="H1353" s="616">
        <v>1</v>
      </c>
      <c r="J1353" s="709" t="s">
        <v>512</v>
      </c>
      <c r="K1353" s="1764" t="s">
        <v>1216</v>
      </c>
      <c r="L1353" s="519"/>
      <c r="M1353"/>
      <c r="N1353" s="4"/>
      <c r="O1353" s="1096" t="s">
        <v>0</v>
      </c>
      <c r="P1353" s="1091"/>
      <c r="Q1353" s="1092"/>
      <c r="R1353" s="1092"/>
      <c r="S1353" s="1092"/>
      <c r="T1353" s="1092"/>
      <c r="U1353" s="1092"/>
      <c r="V1353" s="1107"/>
      <c r="W1353" s="1852"/>
      <c r="X1353" s="2475">
        <v>1100</v>
      </c>
      <c r="Y1353" s="2475">
        <v>1100</v>
      </c>
      <c r="Z1353" s="2475">
        <v>1500</v>
      </c>
      <c r="AA1353" s="2475">
        <v>1100</v>
      </c>
      <c r="AB1353" s="2475">
        <v>1100</v>
      </c>
      <c r="AC1353" s="2475">
        <v>1500</v>
      </c>
      <c r="AD1353" s="2475">
        <v>1100</v>
      </c>
      <c r="AE1353" s="2475">
        <v>1100</v>
      </c>
      <c r="AF1353" s="2475">
        <v>1500</v>
      </c>
      <c r="AG1353" s="2475">
        <v>1200</v>
      </c>
      <c r="AH1353" s="2475">
        <v>1200</v>
      </c>
      <c r="AI1353" s="2475">
        <v>1500</v>
      </c>
      <c r="AJ1353" s="2475">
        <v>3700</v>
      </c>
      <c r="AK1353" s="2475">
        <v>3700</v>
      </c>
      <c r="AL1353" s="2475">
        <v>3700</v>
      </c>
      <c r="AM1353" s="2475">
        <v>3900</v>
      </c>
      <c r="AN1353" s="2475">
        <v>7400</v>
      </c>
      <c r="AO1353" s="2475">
        <v>7600</v>
      </c>
      <c r="AP1353" s="2475">
        <v>15000</v>
      </c>
    </row>
    <row r="1354" spans="1:42" ht="14.5">
      <c r="A1354" s="1693">
        <v>1</v>
      </c>
      <c r="B1354" s="616">
        <v>1</v>
      </c>
      <c r="C1354" s="1693">
        <v>1</v>
      </c>
      <c r="D1354" s="616">
        <v>1</v>
      </c>
      <c r="E1354" s="1693">
        <v>1</v>
      </c>
      <c r="F1354" s="616">
        <v>1</v>
      </c>
      <c r="G1354" s="1693">
        <v>1337</v>
      </c>
      <c r="H1354" s="616">
        <v>1</v>
      </c>
      <c r="J1354" s="709" t="s">
        <v>512</v>
      </c>
      <c r="K1354" s="1764" t="s">
        <v>1216</v>
      </c>
      <c r="L1354" s="519"/>
      <c r="M1354"/>
      <c r="N1354" s="4"/>
      <c r="O1354" s="1098"/>
      <c r="P1354" s="1116" t="s">
        <v>1173</v>
      </c>
      <c r="Q1354" s="1117"/>
      <c r="R1354" s="1117"/>
      <c r="S1354" s="1117"/>
      <c r="T1354" s="1117"/>
      <c r="U1354" s="1117"/>
      <c r="V1354" s="1118"/>
      <c r="W1354" s="2481"/>
      <c r="X1354" s="2482">
        <v>1100</v>
      </c>
      <c r="Y1354" s="2482">
        <v>1100</v>
      </c>
      <c r="Z1354" s="2482">
        <v>1500</v>
      </c>
      <c r="AA1354" s="2482">
        <v>1100</v>
      </c>
      <c r="AB1354" s="2482">
        <v>1100</v>
      </c>
      <c r="AC1354" s="2482">
        <v>1500</v>
      </c>
      <c r="AD1354" s="2482">
        <v>1100</v>
      </c>
      <c r="AE1354" s="2482">
        <v>1100</v>
      </c>
      <c r="AF1354" s="2482">
        <v>1500</v>
      </c>
      <c r="AG1354" s="2482">
        <v>1200</v>
      </c>
      <c r="AH1354" s="2482">
        <v>1200</v>
      </c>
      <c r="AI1354" s="2482">
        <v>1500</v>
      </c>
      <c r="AJ1354" s="2482">
        <v>3700</v>
      </c>
      <c r="AK1354" s="2482">
        <v>3700</v>
      </c>
      <c r="AL1354" s="2482">
        <v>3700</v>
      </c>
      <c r="AM1354" s="2482">
        <v>3900</v>
      </c>
      <c r="AN1354" s="2482">
        <v>7400</v>
      </c>
      <c r="AO1354" s="2482">
        <v>7600</v>
      </c>
      <c r="AP1354" s="2482">
        <v>15000</v>
      </c>
    </row>
    <row r="1355" spans="1:42" ht="14.5">
      <c r="A1355" s="1693">
        <v>1</v>
      </c>
      <c r="B1355" s="616">
        <v>1</v>
      </c>
      <c r="C1355" s="1693">
        <v>1</v>
      </c>
      <c r="D1355" s="616">
        <v>1</v>
      </c>
      <c r="E1355" s="1693">
        <v>1</v>
      </c>
      <c r="F1355" s="616">
        <v>1</v>
      </c>
      <c r="G1355" s="1693">
        <v>1338</v>
      </c>
      <c r="H1355" s="616">
        <v>1</v>
      </c>
      <c r="J1355" s="709" t="s">
        <v>512</v>
      </c>
      <c r="K1355" s="1764" t="s">
        <v>1216</v>
      </c>
      <c r="L1355" s="519"/>
      <c r="M1355"/>
      <c r="N1355" s="4"/>
      <c r="O1355" s="1098"/>
      <c r="P1355" s="1119"/>
      <c r="Q1355" s="761" t="s">
        <v>1018</v>
      </c>
      <c r="R1355" s="758"/>
      <c r="S1355" s="759"/>
      <c r="T1355" s="758"/>
      <c r="U1355" s="758"/>
      <c r="V1355" s="760"/>
      <c r="W1355" s="1851"/>
      <c r="X1355" s="2483">
        <v>0</v>
      </c>
      <c r="Y1355" s="2483">
        <v>0</v>
      </c>
      <c r="Z1355" s="2483">
        <v>0</v>
      </c>
      <c r="AA1355" s="2483">
        <v>0</v>
      </c>
      <c r="AB1355" s="2483">
        <v>0</v>
      </c>
      <c r="AC1355" s="2483">
        <v>0</v>
      </c>
      <c r="AD1355" s="2483">
        <v>0</v>
      </c>
      <c r="AE1355" s="2483">
        <v>0</v>
      </c>
      <c r="AF1355" s="2483">
        <v>0</v>
      </c>
      <c r="AG1355" s="2483">
        <v>0</v>
      </c>
      <c r="AH1355" s="2483">
        <v>0</v>
      </c>
      <c r="AI1355" s="2483">
        <v>0</v>
      </c>
      <c r="AJ1355" s="2483">
        <v>0</v>
      </c>
      <c r="AK1355" s="2483">
        <v>0</v>
      </c>
      <c r="AL1355" s="2483">
        <v>0</v>
      </c>
      <c r="AM1355" s="2483">
        <v>0</v>
      </c>
      <c r="AN1355" s="2483">
        <v>0</v>
      </c>
      <c r="AO1355" s="2483">
        <v>0</v>
      </c>
      <c r="AP1355" s="2483">
        <v>0</v>
      </c>
    </row>
    <row r="1356" spans="1:42" ht="14.5">
      <c r="A1356" s="1693">
        <v>1</v>
      </c>
      <c r="B1356" s="616">
        <v>1</v>
      </c>
      <c r="C1356" s="1693">
        <v>1</v>
      </c>
      <c r="D1356" s="616">
        <v>1</v>
      </c>
      <c r="E1356" s="1693">
        <v>1</v>
      </c>
      <c r="F1356" s="616">
        <v>1</v>
      </c>
      <c r="G1356" s="1693">
        <v>1339</v>
      </c>
      <c r="H1356" s="616">
        <v>1</v>
      </c>
      <c r="J1356" s="709" t="s">
        <v>512</v>
      </c>
      <c r="K1356" s="1764" t="s">
        <v>1216</v>
      </c>
      <c r="L1356" s="519"/>
      <c r="M1356"/>
      <c r="N1356" s="4"/>
      <c r="O1356" s="1098"/>
      <c r="P1356" s="1119"/>
      <c r="Q1356" s="29"/>
      <c r="R1356" s="12" t="s">
        <v>1174</v>
      </c>
      <c r="S1356" s="768"/>
      <c r="T1356" s="769"/>
      <c r="U1356" s="769"/>
      <c r="V1356" s="770"/>
      <c r="W1356" s="1851"/>
      <c r="X1356" s="2484">
        <v>0</v>
      </c>
      <c r="Y1356" s="2484">
        <v>0</v>
      </c>
      <c r="Z1356" s="2484">
        <v>0</v>
      </c>
      <c r="AA1356" s="2484">
        <v>0</v>
      </c>
      <c r="AB1356" s="2484">
        <v>0</v>
      </c>
      <c r="AC1356" s="2484">
        <v>0</v>
      </c>
      <c r="AD1356" s="2484">
        <v>0</v>
      </c>
      <c r="AE1356" s="2484">
        <v>0</v>
      </c>
      <c r="AF1356" s="2484">
        <v>0</v>
      </c>
      <c r="AG1356" s="2484">
        <v>0</v>
      </c>
      <c r="AH1356" s="2484">
        <v>0</v>
      </c>
      <c r="AI1356" s="2484">
        <v>0</v>
      </c>
      <c r="AJ1356" s="2484">
        <v>0</v>
      </c>
      <c r="AK1356" s="2484">
        <v>0</v>
      </c>
      <c r="AL1356" s="2484">
        <v>0</v>
      </c>
      <c r="AM1356" s="2484">
        <v>0</v>
      </c>
      <c r="AN1356" s="2484">
        <v>0</v>
      </c>
      <c r="AO1356" s="2484">
        <v>0</v>
      </c>
      <c r="AP1356" s="2484">
        <v>0</v>
      </c>
    </row>
    <row r="1357" spans="1:42" ht="14.5">
      <c r="A1357" s="1693">
        <v>1</v>
      </c>
      <c r="B1357" s="616">
        <v>1</v>
      </c>
      <c r="C1357" s="1693">
        <v>1</v>
      </c>
      <c r="D1357" s="616">
        <v>1</v>
      </c>
      <c r="E1357" s="1693">
        <v>1</v>
      </c>
      <c r="F1357" s="616">
        <v>1</v>
      </c>
      <c r="G1357" s="1693">
        <v>1340</v>
      </c>
      <c r="H1357" s="616">
        <v>1</v>
      </c>
      <c r="J1357" s="709" t="s">
        <v>512</v>
      </c>
      <c r="K1357" s="1764" t="s">
        <v>1216</v>
      </c>
      <c r="L1357" s="519"/>
      <c r="M1357"/>
      <c r="N1357" s="4"/>
      <c r="O1357" s="1098"/>
      <c r="P1357" s="1119"/>
      <c r="Q1357" s="762"/>
      <c r="R1357" s="28"/>
      <c r="S1357" s="12" t="s">
        <v>57</v>
      </c>
      <c r="T1357" s="12"/>
      <c r="U1357" s="12"/>
      <c r="V1357" s="754"/>
      <c r="W1357" s="1851"/>
      <c r="X1357" s="2343">
        <v>0</v>
      </c>
      <c r="Y1357" s="2343">
        <v>0</v>
      </c>
      <c r="Z1357" s="2343">
        <v>0</v>
      </c>
      <c r="AA1357" s="2343">
        <v>0</v>
      </c>
      <c r="AB1357" s="2343">
        <v>0</v>
      </c>
      <c r="AC1357" s="2343">
        <v>0</v>
      </c>
      <c r="AD1357" s="2343">
        <v>0</v>
      </c>
      <c r="AE1357" s="2343">
        <v>0</v>
      </c>
      <c r="AF1357" s="2343">
        <v>0</v>
      </c>
      <c r="AG1357" s="2343">
        <v>0</v>
      </c>
      <c r="AH1357" s="2343">
        <v>0</v>
      </c>
      <c r="AI1357" s="2343">
        <v>0</v>
      </c>
      <c r="AJ1357" s="2343">
        <v>0</v>
      </c>
      <c r="AK1357" s="2343">
        <v>0</v>
      </c>
      <c r="AL1357" s="2343">
        <v>0</v>
      </c>
      <c r="AM1357" s="2343">
        <v>0</v>
      </c>
      <c r="AN1357" s="2343">
        <v>0</v>
      </c>
      <c r="AO1357" s="2343">
        <v>0</v>
      </c>
      <c r="AP1357" s="2343">
        <v>0</v>
      </c>
    </row>
    <row r="1358" spans="1:42" ht="14.5">
      <c r="A1358" s="1693">
        <v>1</v>
      </c>
      <c r="B1358" s="616">
        <v>1</v>
      </c>
      <c r="C1358" s="1693">
        <v>1</v>
      </c>
      <c r="D1358" s="616">
        <v>1</v>
      </c>
      <c r="E1358" s="1693">
        <v>1</v>
      </c>
      <c r="F1358" s="616">
        <v>1</v>
      </c>
      <c r="G1358" s="1693">
        <v>1341</v>
      </c>
      <c r="H1358" s="616">
        <v>1</v>
      </c>
      <c r="J1358" s="709" t="s">
        <v>512</v>
      </c>
      <c r="K1358" s="1069"/>
      <c r="L1358" s="519"/>
      <c r="M1358"/>
      <c r="N1358" s="4"/>
      <c r="O1358" s="1098"/>
      <c r="P1358" s="1119"/>
      <c r="Q1358" s="762"/>
      <c r="R1358" s="28"/>
      <c r="S1358" s="28"/>
      <c r="T1358" s="28" t="s">
        <v>1175</v>
      </c>
      <c r="U1358" s="12"/>
      <c r="V1358" s="754"/>
      <c r="W1358" s="1911"/>
      <c r="X1358" s="2485">
        <v>0</v>
      </c>
      <c r="Y1358" s="2485">
        <v>0</v>
      </c>
      <c r="Z1358" s="2485">
        <v>0</v>
      </c>
      <c r="AA1358" s="2485">
        <v>0</v>
      </c>
      <c r="AB1358" s="2485">
        <v>0</v>
      </c>
      <c r="AC1358" s="2485">
        <v>0</v>
      </c>
      <c r="AD1358" s="2485">
        <v>0</v>
      </c>
      <c r="AE1358" s="2485">
        <v>0</v>
      </c>
      <c r="AF1358" s="2485">
        <v>0</v>
      </c>
      <c r="AG1358" s="2485">
        <v>0</v>
      </c>
      <c r="AH1358" s="2485">
        <v>0</v>
      </c>
      <c r="AI1358" s="2485">
        <v>0</v>
      </c>
      <c r="AJ1358" s="2343">
        <v>0</v>
      </c>
      <c r="AK1358" s="2343">
        <v>0</v>
      </c>
      <c r="AL1358" s="2343">
        <v>0</v>
      </c>
      <c r="AM1358" s="2343">
        <v>0</v>
      </c>
      <c r="AN1358" s="2343">
        <v>0</v>
      </c>
      <c r="AO1358" s="2343">
        <v>0</v>
      </c>
      <c r="AP1358" s="2343">
        <v>0</v>
      </c>
    </row>
    <row r="1359" spans="1:42" ht="14.5">
      <c r="A1359" s="1693">
        <v>1</v>
      </c>
      <c r="B1359" s="616">
        <v>1</v>
      </c>
      <c r="C1359" s="1693">
        <v>1</v>
      </c>
      <c r="D1359" s="616">
        <v>1</v>
      </c>
      <c r="E1359" s="1693">
        <v>1</v>
      </c>
      <c r="F1359" s="616">
        <v>1</v>
      </c>
      <c r="G1359" s="1693">
        <v>1342</v>
      </c>
      <c r="H1359" s="616">
        <v>1</v>
      </c>
      <c r="J1359" s="709" t="s">
        <v>512</v>
      </c>
      <c r="K1359" s="1069"/>
      <c r="L1359" s="519"/>
      <c r="M1359"/>
      <c r="N1359" s="4"/>
      <c r="O1359" s="1098"/>
      <c r="P1359" s="1119"/>
      <c r="Q1359" s="762"/>
      <c r="R1359" s="28"/>
      <c r="S1359" s="765"/>
      <c r="T1359" s="765" t="s">
        <v>2</v>
      </c>
      <c r="U1359" s="766"/>
      <c r="V1359" s="767"/>
      <c r="W1359" s="1911"/>
      <c r="X1359" s="2486"/>
      <c r="Y1359" s="2486"/>
      <c r="Z1359" s="2486"/>
      <c r="AA1359" s="2486"/>
      <c r="AB1359" s="2486"/>
      <c r="AC1359" s="2486"/>
      <c r="AD1359" s="2486"/>
      <c r="AE1359" s="2486"/>
      <c r="AF1359" s="2486"/>
      <c r="AG1359" s="2486"/>
      <c r="AH1359" s="2486"/>
      <c r="AI1359" s="2486"/>
      <c r="AJ1359" s="2340">
        <v>0</v>
      </c>
      <c r="AK1359" s="2340">
        <v>0</v>
      </c>
      <c r="AL1359" s="2340">
        <v>0</v>
      </c>
      <c r="AM1359" s="2340">
        <v>0</v>
      </c>
      <c r="AN1359" s="2340">
        <v>0</v>
      </c>
      <c r="AO1359" s="2340">
        <v>0</v>
      </c>
      <c r="AP1359" s="2340">
        <v>0</v>
      </c>
    </row>
    <row r="1360" spans="1:42" ht="14.5">
      <c r="A1360" s="1693">
        <v>1</v>
      </c>
      <c r="B1360" s="616">
        <v>1</v>
      </c>
      <c r="C1360" s="1693">
        <v>1</v>
      </c>
      <c r="D1360" s="616">
        <v>1</v>
      </c>
      <c r="E1360" s="1693">
        <v>1</v>
      </c>
      <c r="F1360" s="616">
        <v>1</v>
      </c>
      <c r="G1360" s="1693">
        <v>1343</v>
      </c>
      <c r="H1360" s="616">
        <v>1</v>
      </c>
      <c r="J1360" s="709" t="s">
        <v>512</v>
      </c>
      <c r="K1360" s="1764" t="s">
        <v>1216</v>
      </c>
      <c r="L1360" s="519"/>
      <c r="M1360"/>
      <c r="N1360" s="4"/>
      <c r="O1360" s="1098"/>
      <c r="P1360" s="1119"/>
      <c r="Q1360" s="762"/>
      <c r="R1360" s="28"/>
      <c r="S1360" s="12" t="s">
        <v>27</v>
      </c>
      <c r="T1360" s="12"/>
      <c r="U1360" s="12"/>
      <c r="V1360" s="754"/>
      <c r="W1360" s="1851"/>
      <c r="X1360" s="2343">
        <v>0</v>
      </c>
      <c r="Y1360" s="2343">
        <v>0</v>
      </c>
      <c r="Z1360" s="2343">
        <v>0</v>
      </c>
      <c r="AA1360" s="2343">
        <v>0</v>
      </c>
      <c r="AB1360" s="2343">
        <v>0</v>
      </c>
      <c r="AC1360" s="2343">
        <v>0</v>
      </c>
      <c r="AD1360" s="2343">
        <v>0</v>
      </c>
      <c r="AE1360" s="2343">
        <v>0</v>
      </c>
      <c r="AF1360" s="2343">
        <v>0</v>
      </c>
      <c r="AG1360" s="2343">
        <v>0</v>
      </c>
      <c r="AH1360" s="2343">
        <v>0</v>
      </c>
      <c r="AI1360" s="2343">
        <v>0</v>
      </c>
      <c r="AJ1360" s="2343">
        <v>0</v>
      </c>
      <c r="AK1360" s="2343">
        <v>0</v>
      </c>
      <c r="AL1360" s="2343">
        <v>0</v>
      </c>
      <c r="AM1360" s="2343">
        <v>0</v>
      </c>
      <c r="AN1360" s="2343">
        <v>0</v>
      </c>
      <c r="AO1360" s="2343">
        <v>0</v>
      </c>
      <c r="AP1360" s="2343">
        <v>0</v>
      </c>
    </row>
    <row r="1361" spans="1:42" ht="14.5">
      <c r="A1361" s="1693">
        <v>1</v>
      </c>
      <c r="B1361" s="616">
        <v>1</v>
      </c>
      <c r="C1361" s="1693">
        <v>1</v>
      </c>
      <c r="D1361" s="616">
        <v>1</v>
      </c>
      <c r="E1361" s="1693">
        <v>1</v>
      </c>
      <c r="F1361" s="616">
        <v>1</v>
      </c>
      <c r="G1361" s="1693">
        <v>1344</v>
      </c>
      <c r="H1361" s="616">
        <v>1</v>
      </c>
      <c r="J1361" s="709" t="s">
        <v>512</v>
      </c>
      <c r="K1361" s="1069"/>
      <c r="L1361" s="519"/>
      <c r="M1361"/>
      <c r="N1361" s="4"/>
      <c r="O1361" s="1098"/>
      <c r="P1361" s="1119"/>
      <c r="Q1361" s="762"/>
      <c r="R1361" s="765"/>
      <c r="S1361" s="765"/>
      <c r="T1361" s="765" t="s">
        <v>1176</v>
      </c>
      <c r="U1361" s="766"/>
      <c r="V1361" s="767"/>
      <c r="W1361" s="1911"/>
      <c r="X1361" s="2486"/>
      <c r="Y1361" s="2486"/>
      <c r="Z1361" s="2486"/>
      <c r="AA1361" s="2486"/>
      <c r="AB1361" s="2486"/>
      <c r="AC1361" s="2486"/>
      <c r="AD1361" s="2486"/>
      <c r="AE1361" s="2486"/>
      <c r="AF1361" s="2486"/>
      <c r="AG1361" s="2486"/>
      <c r="AH1361" s="2486"/>
      <c r="AI1361" s="2486"/>
      <c r="AJ1361" s="2340">
        <v>0</v>
      </c>
      <c r="AK1361" s="2340">
        <v>0</v>
      </c>
      <c r="AL1361" s="2340">
        <v>0</v>
      </c>
      <c r="AM1361" s="2340">
        <v>0</v>
      </c>
      <c r="AN1361" s="2340">
        <v>0</v>
      </c>
      <c r="AO1361" s="2340">
        <v>0</v>
      </c>
      <c r="AP1361" s="2340">
        <v>0</v>
      </c>
    </row>
    <row r="1362" spans="1:42" ht="14.5">
      <c r="A1362" s="1693">
        <v>1</v>
      </c>
      <c r="B1362" s="616">
        <v>1</v>
      </c>
      <c r="C1362" s="1693">
        <v>1</v>
      </c>
      <c r="D1362" s="616">
        <v>1</v>
      </c>
      <c r="E1362" s="1693">
        <v>1</v>
      </c>
      <c r="F1362" s="616">
        <v>1</v>
      </c>
      <c r="G1362" s="1693">
        <v>1345</v>
      </c>
      <c r="H1362" s="616">
        <v>1</v>
      </c>
      <c r="J1362" s="709" t="s">
        <v>512</v>
      </c>
      <c r="K1362" s="1764" t="s">
        <v>1216</v>
      </c>
      <c r="L1362" s="519"/>
      <c r="M1362"/>
      <c r="N1362" s="4"/>
      <c r="O1362" s="1098"/>
      <c r="P1362" s="1119"/>
      <c r="Q1362" s="762"/>
      <c r="R1362" s="12" t="s">
        <v>1177</v>
      </c>
      <c r="S1362" s="28"/>
      <c r="T1362" s="12"/>
      <c r="U1362" s="12"/>
      <c r="V1362" s="754"/>
      <c r="W1362" s="1851"/>
      <c r="X1362" s="2343">
        <v>0</v>
      </c>
      <c r="Y1362" s="2343">
        <v>0</v>
      </c>
      <c r="Z1362" s="2343">
        <v>0</v>
      </c>
      <c r="AA1362" s="2343">
        <v>0</v>
      </c>
      <c r="AB1362" s="2343">
        <v>0</v>
      </c>
      <c r="AC1362" s="2343">
        <v>0</v>
      </c>
      <c r="AD1362" s="2343">
        <v>0</v>
      </c>
      <c r="AE1362" s="2343">
        <v>0</v>
      </c>
      <c r="AF1362" s="2343">
        <v>0</v>
      </c>
      <c r="AG1362" s="2343">
        <v>0</v>
      </c>
      <c r="AH1362" s="2343">
        <v>0</v>
      </c>
      <c r="AI1362" s="2343">
        <v>0</v>
      </c>
      <c r="AJ1362" s="2343">
        <v>0</v>
      </c>
      <c r="AK1362" s="2343">
        <v>0</v>
      </c>
      <c r="AL1362" s="2343">
        <v>0</v>
      </c>
      <c r="AM1362" s="2343">
        <v>0</v>
      </c>
      <c r="AN1362" s="2343">
        <v>0</v>
      </c>
      <c r="AO1362" s="2343">
        <v>0</v>
      </c>
      <c r="AP1362" s="2343">
        <v>0</v>
      </c>
    </row>
    <row r="1363" spans="1:42" ht="14.5">
      <c r="A1363" s="1693">
        <v>1</v>
      </c>
      <c r="B1363" s="616">
        <v>1</v>
      </c>
      <c r="C1363" s="1693">
        <v>1</v>
      </c>
      <c r="D1363" s="616">
        <v>1</v>
      </c>
      <c r="E1363" s="1693">
        <v>1</v>
      </c>
      <c r="F1363" s="616">
        <v>1</v>
      </c>
      <c r="G1363" s="1693">
        <v>1346</v>
      </c>
      <c r="H1363" s="616">
        <v>1</v>
      </c>
      <c r="J1363" s="709" t="s">
        <v>512</v>
      </c>
      <c r="K1363" s="1069"/>
      <c r="L1363" s="519"/>
      <c r="M1363"/>
      <c r="N1363" s="4"/>
      <c r="O1363" s="1098"/>
      <c r="P1363" s="1119"/>
      <c r="Q1363" s="762"/>
      <c r="R1363" s="28"/>
      <c r="S1363" s="28" t="s">
        <v>1178</v>
      </c>
      <c r="T1363" s="12"/>
      <c r="U1363" s="12"/>
      <c r="V1363" s="754"/>
      <c r="W1363" s="1911"/>
      <c r="X1363" s="2485"/>
      <c r="Y1363" s="2485"/>
      <c r="Z1363" s="2485"/>
      <c r="AA1363" s="2485"/>
      <c r="AB1363" s="2485"/>
      <c r="AC1363" s="2485"/>
      <c r="AD1363" s="2485"/>
      <c r="AE1363" s="2485"/>
      <c r="AF1363" s="2485"/>
      <c r="AG1363" s="2485"/>
      <c r="AH1363" s="2485"/>
      <c r="AI1363" s="2485"/>
      <c r="AJ1363" s="2343">
        <v>0</v>
      </c>
      <c r="AK1363" s="2343">
        <v>0</v>
      </c>
      <c r="AL1363" s="2343">
        <v>0</v>
      </c>
      <c r="AM1363" s="2343">
        <v>0</v>
      </c>
      <c r="AN1363" s="2343">
        <v>0</v>
      </c>
      <c r="AO1363" s="2343">
        <v>0</v>
      </c>
      <c r="AP1363" s="2343">
        <v>0</v>
      </c>
    </row>
    <row r="1364" spans="1:42" ht="14.5">
      <c r="A1364" s="1693">
        <v>1</v>
      </c>
      <c r="B1364" s="616">
        <v>1</v>
      </c>
      <c r="C1364" s="1693">
        <v>1</v>
      </c>
      <c r="D1364" s="616">
        <v>1</v>
      </c>
      <c r="E1364" s="1693">
        <v>1</v>
      </c>
      <c r="F1364" s="616">
        <v>1</v>
      </c>
      <c r="G1364" s="1693">
        <v>1347</v>
      </c>
      <c r="H1364" s="616">
        <v>1</v>
      </c>
      <c r="J1364" s="709" t="s">
        <v>512</v>
      </c>
      <c r="K1364" s="1069"/>
      <c r="L1364" s="519"/>
      <c r="M1364"/>
      <c r="N1364" s="4"/>
      <c r="O1364" s="1098"/>
      <c r="P1364" s="1119"/>
      <c r="Q1364" s="763"/>
      <c r="R1364" s="757"/>
      <c r="S1364" s="757" t="s">
        <v>1179</v>
      </c>
      <c r="T1364" s="755"/>
      <c r="U1364" s="755"/>
      <c r="V1364" s="756"/>
      <c r="W1364" s="1911"/>
      <c r="X1364" s="2487"/>
      <c r="Y1364" s="2487"/>
      <c r="Z1364" s="2487"/>
      <c r="AA1364" s="2487"/>
      <c r="AB1364" s="2487"/>
      <c r="AC1364" s="2487"/>
      <c r="AD1364" s="2487"/>
      <c r="AE1364" s="2487"/>
      <c r="AF1364" s="2487"/>
      <c r="AG1364" s="2487"/>
      <c r="AH1364" s="2487"/>
      <c r="AI1364" s="2487"/>
      <c r="AJ1364" s="2346">
        <v>0</v>
      </c>
      <c r="AK1364" s="2346">
        <v>0</v>
      </c>
      <c r="AL1364" s="2346">
        <v>0</v>
      </c>
      <c r="AM1364" s="2346">
        <v>0</v>
      </c>
      <c r="AN1364" s="2346">
        <v>0</v>
      </c>
      <c r="AO1364" s="2346">
        <v>0</v>
      </c>
      <c r="AP1364" s="2346">
        <v>0</v>
      </c>
    </row>
    <row r="1365" spans="1:42" ht="14.5">
      <c r="A1365" s="1693">
        <v>1</v>
      </c>
      <c r="B1365" s="616">
        <v>1</v>
      </c>
      <c r="C1365" s="1693">
        <v>1</v>
      </c>
      <c r="D1365" s="616">
        <v>1</v>
      </c>
      <c r="E1365" s="1693">
        <v>1</v>
      </c>
      <c r="F1365" s="616">
        <v>1</v>
      </c>
      <c r="G1365" s="1693">
        <v>1348</v>
      </c>
      <c r="H1365" s="616">
        <v>1</v>
      </c>
      <c r="J1365" s="709" t="s">
        <v>512</v>
      </c>
      <c r="K1365" s="1764" t="s">
        <v>1216</v>
      </c>
      <c r="L1365" s="519"/>
      <c r="M1365"/>
      <c r="N1365" s="4"/>
      <c r="O1365" s="1098"/>
      <c r="P1365" s="1120"/>
      <c r="Q1365" s="2206" t="s">
        <v>1019</v>
      </c>
      <c r="R1365" s="2207"/>
      <c r="S1365" s="2207"/>
      <c r="T1365" s="2208"/>
      <c r="U1365" s="2208"/>
      <c r="V1365" s="2488"/>
      <c r="W1365" s="1911"/>
      <c r="X1365" s="2489">
        <v>1100</v>
      </c>
      <c r="Y1365" s="2489">
        <v>1100</v>
      </c>
      <c r="Z1365" s="2489">
        <v>1500</v>
      </c>
      <c r="AA1365" s="2489">
        <v>1100</v>
      </c>
      <c r="AB1365" s="2489">
        <v>1100</v>
      </c>
      <c r="AC1365" s="2489">
        <v>1500</v>
      </c>
      <c r="AD1365" s="2489">
        <v>1100</v>
      </c>
      <c r="AE1365" s="2489">
        <v>1100</v>
      </c>
      <c r="AF1365" s="2489">
        <v>1500</v>
      </c>
      <c r="AG1365" s="2489">
        <v>1200</v>
      </c>
      <c r="AH1365" s="2489">
        <v>1200</v>
      </c>
      <c r="AI1365" s="2489">
        <v>1500</v>
      </c>
      <c r="AJ1365" s="2490">
        <v>3700</v>
      </c>
      <c r="AK1365" s="2490">
        <v>3700</v>
      </c>
      <c r="AL1365" s="2490">
        <v>3700</v>
      </c>
      <c r="AM1365" s="2490">
        <v>3900</v>
      </c>
      <c r="AN1365" s="2490">
        <v>7400</v>
      </c>
      <c r="AO1365" s="2490">
        <v>7600</v>
      </c>
      <c r="AP1365" s="2490">
        <v>15000</v>
      </c>
    </row>
    <row r="1366" spans="1:42" ht="14.5">
      <c r="A1366" s="1693">
        <v>1</v>
      </c>
      <c r="B1366" s="616">
        <v>1</v>
      </c>
      <c r="C1366" s="1693">
        <v>1</v>
      </c>
      <c r="D1366" s="616">
        <v>1</v>
      </c>
      <c r="E1366" s="1693">
        <v>1</v>
      </c>
      <c r="F1366" s="616">
        <v>1</v>
      </c>
      <c r="G1366" s="1693">
        <v>1349</v>
      </c>
      <c r="H1366" s="616">
        <v>1</v>
      </c>
      <c r="J1366" s="709" t="s">
        <v>512</v>
      </c>
      <c r="K1366" s="1764" t="s">
        <v>1216</v>
      </c>
      <c r="L1366" s="519"/>
      <c r="M1366"/>
      <c r="N1366" s="4"/>
      <c r="O1366" s="1098"/>
      <c r="P1366" s="2491" t="s">
        <v>1180</v>
      </c>
      <c r="Q1366" s="1120"/>
      <c r="R1366" s="1120"/>
      <c r="S1366" s="1120"/>
      <c r="T1366" s="1117"/>
      <c r="U1366" s="1117"/>
      <c r="V1366" s="1118"/>
      <c r="W1366" s="2481"/>
      <c r="X1366" s="2482">
        <v>0</v>
      </c>
      <c r="Y1366" s="2482">
        <v>0</v>
      </c>
      <c r="Z1366" s="2482">
        <v>0</v>
      </c>
      <c r="AA1366" s="2482">
        <v>0</v>
      </c>
      <c r="AB1366" s="2482">
        <v>0</v>
      </c>
      <c r="AC1366" s="2482">
        <v>0</v>
      </c>
      <c r="AD1366" s="2482">
        <v>0</v>
      </c>
      <c r="AE1366" s="2482">
        <v>0</v>
      </c>
      <c r="AF1366" s="2482">
        <v>0</v>
      </c>
      <c r="AG1366" s="2482">
        <v>0</v>
      </c>
      <c r="AH1366" s="2482">
        <v>0</v>
      </c>
      <c r="AI1366" s="2482">
        <v>0</v>
      </c>
      <c r="AJ1366" s="2482">
        <v>0</v>
      </c>
      <c r="AK1366" s="2482">
        <v>0</v>
      </c>
      <c r="AL1366" s="2482">
        <v>0</v>
      </c>
      <c r="AM1366" s="2482">
        <v>0</v>
      </c>
      <c r="AN1366" s="2482">
        <v>0</v>
      </c>
      <c r="AO1366" s="2482">
        <v>0</v>
      </c>
      <c r="AP1366" s="2482">
        <v>0</v>
      </c>
    </row>
    <row r="1367" spans="1:42" ht="14.5">
      <c r="A1367" s="1693">
        <v>1</v>
      </c>
      <c r="B1367" s="616">
        <v>1</v>
      </c>
      <c r="C1367" s="1693">
        <v>1</v>
      </c>
      <c r="D1367" s="616">
        <v>1</v>
      </c>
      <c r="E1367" s="1693">
        <v>1</v>
      </c>
      <c r="F1367" s="616">
        <v>1</v>
      </c>
      <c r="G1367" s="1693">
        <v>1350</v>
      </c>
      <c r="H1367" s="616">
        <v>1</v>
      </c>
      <c r="J1367" s="709" t="s">
        <v>512</v>
      </c>
      <c r="K1367" s="1764" t="s">
        <v>1216</v>
      </c>
      <c r="L1367" s="519"/>
      <c r="M1367"/>
      <c r="N1367" s="4"/>
      <c r="O1367" s="1098"/>
      <c r="P1367" s="1116" t="s">
        <v>1181</v>
      </c>
      <c r="Q1367" s="1119"/>
      <c r="R1367" s="1119"/>
      <c r="S1367" s="1119"/>
      <c r="T1367" s="1116"/>
      <c r="U1367" s="1116"/>
      <c r="V1367" s="1122"/>
      <c r="W1367" s="2481"/>
      <c r="X1367" s="2492">
        <v>0</v>
      </c>
      <c r="Y1367" s="2492">
        <v>0</v>
      </c>
      <c r="Z1367" s="2492">
        <v>0</v>
      </c>
      <c r="AA1367" s="2492">
        <v>0</v>
      </c>
      <c r="AB1367" s="2492">
        <v>0</v>
      </c>
      <c r="AC1367" s="2492">
        <v>0</v>
      </c>
      <c r="AD1367" s="2492">
        <v>0</v>
      </c>
      <c r="AE1367" s="2492">
        <v>0</v>
      </c>
      <c r="AF1367" s="2492">
        <v>0</v>
      </c>
      <c r="AG1367" s="2492">
        <v>0</v>
      </c>
      <c r="AH1367" s="2492">
        <v>0</v>
      </c>
      <c r="AI1367" s="2492">
        <v>0</v>
      </c>
      <c r="AJ1367" s="2492">
        <v>0</v>
      </c>
      <c r="AK1367" s="2492">
        <v>0</v>
      </c>
      <c r="AL1367" s="2492">
        <v>0</v>
      </c>
      <c r="AM1367" s="2492">
        <v>0</v>
      </c>
      <c r="AN1367" s="2492">
        <v>0</v>
      </c>
      <c r="AO1367" s="2492">
        <v>0</v>
      </c>
      <c r="AP1367" s="2492">
        <v>0</v>
      </c>
    </row>
    <row r="1368" spans="1:42" ht="14.5">
      <c r="A1368" s="1693">
        <v>1</v>
      </c>
      <c r="B1368" s="616">
        <v>1</v>
      </c>
      <c r="C1368" s="1693">
        <v>1</v>
      </c>
      <c r="D1368" s="616">
        <v>1</v>
      </c>
      <c r="E1368" s="1693">
        <v>1</v>
      </c>
      <c r="F1368" s="616">
        <v>1</v>
      </c>
      <c r="G1368" s="1693">
        <v>1351</v>
      </c>
      <c r="H1368" s="616">
        <v>1</v>
      </c>
      <c r="J1368" s="709" t="s">
        <v>512</v>
      </c>
      <c r="K1368" s="1764" t="s">
        <v>1216</v>
      </c>
      <c r="L1368" s="519"/>
      <c r="M1368"/>
      <c r="N1368" s="4"/>
      <c r="O1368" s="1096" t="s">
        <v>371</v>
      </c>
      <c r="P1368" s="1091"/>
      <c r="Q1368" s="1092"/>
      <c r="R1368" s="1092"/>
      <c r="S1368" s="1097"/>
      <c r="T1368" s="1097" t="s">
        <v>1182</v>
      </c>
      <c r="U1368" s="1092"/>
      <c r="V1368" s="1107"/>
      <c r="W1368" s="1852"/>
      <c r="X1368" s="2475">
        <v>1100</v>
      </c>
      <c r="Y1368" s="2475">
        <v>1100</v>
      </c>
      <c r="Z1368" s="2475">
        <v>1500</v>
      </c>
      <c r="AA1368" s="2475">
        <v>1100</v>
      </c>
      <c r="AB1368" s="2475">
        <v>1100</v>
      </c>
      <c r="AC1368" s="2475">
        <v>1500</v>
      </c>
      <c r="AD1368" s="2475">
        <v>1100</v>
      </c>
      <c r="AE1368" s="2475">
        <v>1100</v>
      </c>
      <c r="AF1368" s="2475">
        <v>1500</v>
      </c>
      <c r="AG1368" s="2475">
        <v>1200</v>
      </c>
      <c r="AH1368" s="2475">
        <v>1200</v>
      </c>
      <c r="AI1368" s="2475">
        <v>1500</v>
      </c>
      <c r="AJ1368" s="2475">
        <v>3700</v>
      </c>
      <c r="AK1368" s="2475">
        <v>3700</v>
      </c>
      <c r="AL1368" s="2475">
        <v>3700</v>
      </c>
      <c r="AM1368" s="2475">
        <v>3900</v>
      </c>
      <c r="AN1368" s="2475">
        <v>7400</v>
      </c>
      <c r="AO1368" s="2475">
        <v>7600</v>
      </c>
      <c r="AP1368" s="2475">
        <v>15000</v>
      </c>
    </row>
    <row r="1369" spans="1:42" ht="14.5">
      <c r="A1369" s="1693">
        <v>1</v>
      </c>
      <c r="B1369" s="616">
        <v>1</v>
      </c>
      <c r="C1369" s="1693">
        <v>1</v>
      </c>
      <c r="D1369" s="616">
        <v>1</v>
      </c>
      <c r="E1369" s="1693">
        <v>1</v>
      </c>
      <c r="F1369" s="616">
        <v>1</v>
      </c>
      <c r="G1369" s="1693">
        <v>1352</v>
      </c>
      <c r="H1369" s="616">
        <v>1</v>
      </c>
      <c r="J1369" s="709" t="s">
        <v>512</v>
      </c>
      <c r="K1369" s="1764" t="s">
        <v>1216</v>
      </c>
      <c r="L1369" s="519"/>
      <c r="M1369"/>
      <c r="N1369" s="4"/>
      <c r="O1369" s="1098"/>
      <c r="P1369" s="1116" t="s">
        <v>1173</v>
      </c>
      <c r="Q1369" s="1117"/>
      <c r="R1369" s="1117"/>
      <c r="S1369" s="1117"/>
      <c r="T1369" s="1117"/>
      <c r="U1369" s="1117"/>
      <c r="V1369" s="1118"/>
      <c r="W1369" s="2481"/>
      <c r="X1369" s="2482">
        <v>1100</v>
      </c>
      <c r="Y1369" s="2482">
        <v>1100</v>
      </c>
      <c r="Z1369" s="2482">
        <v>1500</v>
      </c>
      <c r="AA1369" s="2482">
        <v>1100</v>
      </c>
      <c r="AB1369" s="2482">
        <v>1100</v>
      </c>
      <c r="AC1369" s="2482">
        <v>1500</v>
      </c>
      <c r="AD1369" s="2482">
        <v>1100</v>
      </c>
      <c r="AE1369" s="2482">
        <v>1100</v>
      </c>
      <c r="AF1369" s="2482">
        <v>1500</v>
      </c>
      <c r="AG1369" s="2482">
        <v>1200</v>
      </c>
      <c r="AH1369" s="2482">
        <v>1200</v>
      </c>
      <c r="AI1369" s="2482">
        <v>1500</v>
      </c>
      <c r="AJ1369" s="2482">
        <v>3700</v>
      </c>
      <c r="AK1369" s="2482">
        <v>3700</v>
      </c>
      <c r="AL1369" s="2482">
        <v>3700</v>
      </c>
      <c r="AM1369" s="2482">
        <v>3900</v>
      </c>
      <c r="AN1369" s="2482">
        <v>7400</v>
      </c>
      <c r="AO1369" s="2482">
        <v>7600</v>
      </c>
      <c r="AP1369" s="2482">
        <v>15000</v>
      </c>
    </row>
    <row r="1370" spans="1:42" ht="14.5">
      <c r="A1370" s="1693">
        <v>1</v>
      </c>
      <c r="B1370" s="616">
        <v>1</v>
      </c>
      <c r="C1370" s="1693">
        <v>1</v>
      </c>
      <c r="D1370" s="616">
        <v>1</v>
      </c>
      <c r="E1370" s="1693">
        <v>1</v>
      </c>
      <c r="F1370" s="616">
        <v>1</v>
      </c>
      <c r="G1370" s="1693">
        <v>1353</v>
      </c>
      <c r="H1370" s="616">
        <v>1</v>
      </c>
      <c r="J1370" s="709" t="s">
        <v>512</v>
      </c>
      <c r="K1370" s="1764" t="s">
        <v>1216</v>
      </c>
      <c r="L1370" s="519"/>
      <c r="M1370"/>
      <c r="N1370" s="4"/>
      <c r="O1370" s="1098"/>
      <c r="P1370" s="1119"/>
      <c r="Q1370" s="761" t="s">
        <v>1018</v>
      </c>
      <c r="R1370" s="758"/>
      <c r="S1370" s="759"/>
      <c r="T1370" s="758"/>
      <c r="U1370" s="758"/>
      <c r="V1370" s="760"/>
      <c r="W1370" s="1851"/>
      <c r="X1370" s="2483">
        <v>0</v>
      </c>
      <c r="Y1370" s="2483">
        <v>0</v>
      </c>
      <c r="Z1370" s="2483">
        <v>0</v>
      </c>
      <c r="AA1370" s="2483">
        <v>0</v>
      </c>
      <c r="AB1370" s="2483">
        <v>0</v>
      </c>
      <c r="AC1370" s="2483">
        <v>0</v>
      </c>
      <c r="AD1370" s="2483">
        <v>0</v>
      </c>
      <c r="AE1370" s="2483">
        <v>0</v>
      </c>
      <c r="AF1370" s="2483">
        <v>0</v>
      </c>
      <c r="AG1370" s="2483">
        <v>0</v>
      </c>
      <c r="AH1370" s="2483">
        <v>0</v>
      </c>
      <c r="AI1370" s="2483">
        <v>0</v>
      </c>
      <c r="AJ1370" s="2483">
        <v>0</v>
      </c>
      <c r="AK1370" s="2483">
        <v>0</v>
      </c>
      <c r="AL1370" s="2483">
        <v>0</v>
      </c>
      <c r="AM1370" s="2483">
        <v>0</v>
      </c>
      <c r="AN1370" s="2483">
        <v>0</v>
      </c>
      <c r="AO1370" s="2483">
        <v>0</v>
      </c>
      <c r="AP1370" s="2483">
        <v>0</v>
      </c>
    </row>
    <row r="1371" spans="1:42" ht="14.5">
      <c r="A1371" s="1693">
        <v>1</v>
      </c>
      <c r="B1371" s="616">
        <v>1</v>
      </c>
      <c r="C1371" s="1693">
        <v>1</v>
      </c>
      <c r="D1371" s="616">
        <v>1</v>
      </c>
      <c r="E1371" s="1693">
        <v>1</v>
      </c>
      <c r="F1371" s="616">
        <v>1</v>
      </c>
      <c r="G1371" s="1693">
        <v>1354</v>
      </c>
      <c r="H1371" s="616">
        <v>1</v>
      </c>
      <c r="J1371" s="709" t="s">
        <v>512</v>
      </c>
      <c r="K1371" s="1764" t="s">
        <v>1216</v>
      </c>
      <c r="L1371" s="519"/>
      <c r="M1371"/>
      <c r="N1371" s="4"/>
      <c r="O1371" s="1098"/>
      <c r="P1371" s="1119"/>
      <c r="Q1371" s="29"/>
      <c r="R1371" s="12" t="s">
        <v>1174</v>
      </c>
      <c r="S1371" s="768"/>
      <c r="T1371" s="769"/>
      <c r="U1371" s="769"/>
      <c r="V1371" s="770"/>
      <c r="W1371" s="1851"/>
      <c r="X1371" s="2484">
        <v>0</v>
      </c>
      <c r="Y1371" s="2484">
        <v>0</v>
      </c>
      <c r="Z1371" s="2484">
        <v>0</v>
      </c>
      <c r="AA1371" s="2484">
        <v>0</v>
      </c>
      <c r="AB1371" s="2484">
        <v>0</v>
      </c>
      <c r="AC1371" s="2484">
        <v>0</v>
      </c>
      <c r="AD1371" s="2484">
        <v>0</v>
      </c>
      <c r="AE1371" s="2484">
        <v>0</v>
      </c>
      <c r="AF1371" s="2484">
        <v>0</v>
      </c>
      <c r="AG1371" s="2484">
        <v>0</v>
      </c>
      <c r="AH1371" s="2484">
        <v>0</v>
      </c>
      <c r="AI1371" s="2484">
        <v>0</v>
      </c>
      <c r="AJ1371" s="2484">
        <v>0</v>
      </c>
      <c r="AK1371" s="2484">
        <v>0</v>
      </c>
      <c r="AL1371" s="2484">
        <v>0</v>
      </c>
      <c r="AM1371" s="2484">
        <v>0</v>
      </c>
      <c r="AN1371" s="2484">
        <v>0</v>
      </c>
      <c r="AO1371" s="2484">
        <v>0</v>
      </c>
      <c r="AP1371" s="2484">
        <v>0</v>
      </c>
    </row>
    <row r="1372" spans="1:42" ht="14.5">
      <c r="A1372" s="1693">
        <v>1</v>
      </c>
      <c r="B1372" s="616">
        <v>1</v>
      </c>
      <c r="C1372" s="1693">
        <v>1</v>
      </c>
      <c r="D1372" s="616">
        <v>1</v>
      </c>
      <c r="E1372" s="1693">
        <v>1</v>
      </c>
      <c r="F1372" s="616">
        <v>1</v>
      </c>
      <c r="G1372" s="1693">
        <v>1355</v>
      </c>
      <c r="H1372" s="616">
        <v>1</v>
      </c>
      <c r="J1372" s="709" t="s">
        <v>512</v>
      </c>
      <c r="K1372" s="1764" t="s">
        <v>1216</v>
      </c>
      <c r="L1372" s="519"/>
      <c r="M1372"/>
      <c r="N1372" s="4"/>
      <c r="O1372" s="1098"/>
      <c r="P1372" s="1119"/>
      <c r="Q1372" s="762"/>
      <c r="R1372" s="28"/>
      <c r="S1372" s="12" t="s">
        <v>57</v>
      </c>
      <c r="T1372" s="12"/>
      <c r="U1372" s="12"/>
      <c r="V1372" s="754"/>
      <c r="W1372" s="1851"/>
      <c r="X1372" s="2343">
        <v>0</v>
      </c>
      <c r="Y1372" s="2343">
        <v>0</v>
      </c>
      <c r="Z1372" s="2343">
        <v>0</v>
      </c>
      <c r="AA1372" s="2343">
        <v>0</v>
      </c>
      <c r="AB1372" s="2343">
        <v>0</v>
      </c>
      <c r="AC1372" s="2343">
        <v>0</v>
      </c>
      <c r="AD1372" s="2343">
        <v>0</v>
      </c>
      <c r="AE1372" s="2343">
        <v>0</v>
      </c>
      <c r="AF1372" s="2343">
        <v>0</v>
      </c>
      <c r="AG1372" s="2343">
        <v>0</v>
      </c>
      <c r="AH1372" s="2343">
        <v>0</v>
      </c>
      <c r="AI1372" s="2343">
        <v>0</v>
      </c>
      <c r="AJ1372" s="2343">
        <v>0</v>
      </c>
      <c r="AK1372" s="2343">
        <v>0</v>
      </c>
      <c r="AL1372" s="2343">
        <v>0</v>
      </c>
      <c r="AM1372" s="2343">
        <v>0</v>
      </c>
      <c r="AN1372" s="2343">
        <v>0</v>
      </c>
      <c r="AO1372" s="2343">
        <v>0</v>
      </c>
      <c r="AP1372" s="2343">
        <v>0</v>
      </c>
    </row>
    <row r="1373" spans="1:42" ht="14.5">
      <c r="A1373" s="1693">
        <v>1</v>
      </c>
      <c r="B1373" s="616">
        <v>1</v>
      </c>
      <c r="C1373" s="1693">
        <v>1</v>
      </c>
      <c r="D1373" s="616">
        <v>1</v>
      </c>
      <c r="E1373" s="1693">
        <v>1</v>
      </c>
      <c r="F1373" s="616">
        <v>1</v>
      </c>
      <c r="G1373" s="1693">
        <v>1356</v>
      </c>
      <c r="H1373" s="616">
        <v>1</v>
      </c>
      <c r="J1373" s="709" t="s">
        <v>512</v>
      </c>
      <c r="K1373" s="1069"/>
      <c r="L1373" s="519"/>
      <c r="M1373"/>
      <c r="N1373" s="4"/>
      <c r="O1373" s="1098"/>
      <c r="P1373" s="1119"/>
      <c r="Q1373" s="762"/>
      <c r="R1373" s="28"/>
      <c r="S1373" s="28"/>
      <c r="T1373" s="28" t="s">
        <v>1175</v>
      </c>
      <c r="U1373" s="12"/>
      <c r="V1373" s="754"/>
      <c r="W1373" s="1911"/>
      <c r="X1373" s="2485">
        <v>0</v>
      </c>
      <c r="Y1373" s="2485">
        <v>0</v>
      </c>
      <c r="Z1373" s="2485">
        <v>0</v>
      </c>
      <c r="AA1373" s="2485">
        <v>0</v>
      </c>
      <c r="AB1373" s="2485">
        <v>0</v>
      </c>
      <c r="AC1373" s="2485">
        <v>0</v>
      </c>
      <c r="AD1373" s="2485">
        <v>0</v>
      </c>
      <c r="AE1373" s="2485">
        <v>0</v>
      </c>
      <c r="AF1373" s="2485">
        <v>0</v>
      </c>
      <c r="AG1373" s="2485">
        <v>0</v>
      </c>
      <c r="AH1373" s="2485">
        <v>0</v>
      </c>
      <c r="AI1373" s="2485">
        <v>0</v>
      </c>
      <c r="AJ1373" s="2343">
        <v>0</v>
      </c>
      <c r="AK1373" s="2343">
        <v>0</v>
      </c>
      <c r="AL1373" s="2343">
        <v>0</v>
      </c>
      <c r="AM1373" s="2343">
        <v>0</v>
      </c>
      <c r="AN1373" s="2343">
        <v>0</v>
      </c>
      <c r="AO1373" s="2343">
        <v>0</v>
      </c>
      <c r="AP1373" s="2343">
        <v>0</v>
      </c>
    </row>
    <row r="1374" spans="1:42" ht="14.5">
      <c r="A1374" s="1693">
        <v>1</v>
      </c>
      <c r="B1374" s="616">
        <v>1</v>
      </c>
      <c r="C1374" s="1693">
        <v>1</v>
      </c>
      <c r="D1374" s="616">
        <v>1</v>
      </c>
      <c r="E1374" s="1693">
        <v>1</v>
      </c>
      <c r="F1374" s="616">
        <v>1</v>
      </c>
      <c r="G1374" s="1693">
        <v>1357</v>
      </c>
      <c r="H1374" s="616">
        <v>1</v>
      </c>
      <c r="J1374" s="709" t="s">
        <v>512</v>
      </c>
      <c r="K1374" s="1069"/>
      <c r="L1374" s="519"/>
      <c r="M1374"/>
      <c r="N1374" s="4"/>
      <c r="O1374" s="1098"/>
      <c r="P1374" s="1119"/>
      <c r="Q1374" s="762"/>
      <c r="R1374" s="28"/>
      <c r="S1374" s="765"/>
      <c r="T1374" s="765" t="s">
        <v>2</v>
      </c>
      <c r="U1374" s="766"/>
      <c r="V1374" s="767"/>
      <c r="W1374" s="1911"/>
      <c r="X1374" s="2486"/>
      <c r="Y1374" s="2486"/>
      <c r="Z1374" s="2486"/>
      <c r="AA1374" s="2486"/>
      <c r="AB1374" s="2486"/>
      <c r="AC1374" s="2486"/>
      <c r="AD1374" s="2486"/>
      <c r="AE1374" s="2486"/>
      <c r="AF1374" s="2486"/>
      <c r="AG1374" s="2486"/>
      <c r="AH1374" s="2486"/>
      <c r="AI1374" s="2486"/>
      <c r="AJ1374" s="2340">
        <v>0</v>
      </c>
      <c r="AK1374" s="2340">
        <v>0</v>
      </c>
      <c r="AL1374" s="2340">
        <v>0</v>
      </c>
      <c r="AM1374" s="2340">
        <v>0</v>
      </c>
      <c r="AN1374" s="2340">
        <v>0</v>
      </c>
      <c r="AO1374" s="2340">
        <v>0</v>
      </c>
      <c r="AP1374" s="2340">
        <v>0</v>
      </c>
    </row>
    <row r="1375" spans="1:42" ht="14.5">
      <c r="A1375" s="1693">
        <v>1</v>
      </c>
      <c r="B1375" s="616">
        <v>1</v>
      </c>
      <c r="C1375" s="1693">
        <v>1</v>
      </c>
      <c r="D1375" s="616">
        <v>1</v>
      </c>
      <c r="E1375" s="1693">
        <v>1</v>
      </c>
      <c r="F1375" s="616">
        <v>1</v>
      </c>
      <c r="G1375" s="1693">
        <v>1358</v>
      </c>
      <c r="H1375" s="616">
        <v>1</v>
      </c>
      <c r="J1375" s="709" t="s">
        <v>512</v>
      </c>
      <c r="K1375" s="1764" t="s">
        <v>1216</v>
      </c>
      <c r="L1375" s="519"/>
      <c r="M1375"/>
      <c r="N1375" s="4"/>
      <c r="O1375" s="1098"/>
      <c r="P1375" s="1119"/>
      <c r="Q1375" s="762"/>
      <c r="R1375" s="28"/>
      <c r="S1375" s="12" t="s">
        <v>27</v>
      </c>
      <c r="T1375" s="12"/>
      <c r="U1375" s="12"/>
      <c r="V1375" s="754"/>
      <c r="W1375" s="1851"/>
      <c r="X1375" s="2343">
        <v>0</v>
      </c>
      <c r="Y1375" s="2343">
        <v>0</v>
      </c>
      <c r="Z1375" s="2343">
        <v>0</v>
      </c>
      <c r="AA1375" s="2343">
        <v>0</v>
      </c>
      <c r="AB1375" s="2343">
        <v>0</v>
      </c>
      <c r="AC1375" s="2343">
        <v>0</v>
      </c>
      <c r="AD1375" s="2343">
        <v>0</v>
      </c>
      <c r="AE1375" s="2343">
        <v>0</v>
      </c>
      <c r="AF1375" s="2343">
        <v>0</v>
      </c>
      <c r="AG1375" s="2343">
        <v>0</v>
      </c>
      <c r="AH1375" s="2343">
        <v>0</v>
      </c>
      <c r="AI1375" s="2343">
        <v>0</v>
      </c>
      <c r="AJ1375" s="2343">
        <v>0</v>
      </c>
      <c r="AK1375" s="2343">
        <v>0</v>
      </c>
      <c r="AL1375" s="2343">
        <v>0</v>
      </c>
      <c r="AM1375" s="2343">
        <v>0</v>
      </c>
      <c r="AN1375" s="2343">
        <v>0</v>
      </c>
      <c r="AO1375" s="2343">
        <v>0</v>
      </c>
      <c r="AP1375" s="2343">
        <v>0</v>
      </c>
    </row>
    <row r="1376" spans="1:42" ht="14.5">
      <c r="A1376" s="1693">
        <v>1</v>
      </c>
      <c r="B1376" s="616">
        <v>1</v>
      </c>
      <c r="C1376" s="1693">
        <v>1</v>
      </c>
      <c r="D1376" s="616">
        <v>1</v>
      </c>
      <c r="E1376" s="1693">
        <v>1</v>
      </c>
      <c r="F1376" s="616">
        <v>1</v>
      </c>
      <c r="G1376" s="1693">
        <v>1359</v>
      </c>
      <c r="H1376" s="616">
        <v>1</v>
      </c>
      <c r="J1376" s="709" t="s">
        <v>512</v>
      </c>
      <c r="K1376" s="1069"/>
      <c r="L1376" s="519"/>
      <c r="M1376"/>
      <c r="N1376" s="4"/>
      <c r="O1376" s="1098"/>
      <c r="P1376" s="1119"/>
      <c r="Q1376" s="762"/>
      <c r="R1376" s="765"/>
      <c r="S1376" s="765"/>
      <c r="T1376" s="765" t="s">
        <v>1176</v>
      </c>
      <c r="U1376" s="766"/>
      <c r="V1376" s="767"/>
      <c r="W1376" s="1911"/>
      <c r="X1376" s="2486"/>
      <c r="Y1376" s="2486"/>
      <c r="Z1376" s="2486"/>
      <c r="AA1376" s="2486"/>
      <c r="AB1376" s="2486"/>
      <c r="AC1376" s="2486"/>
      <c r="AD1376" s="2486"/>
      <c r="AE1376" s="2486"/>
      <c r="AF1376" s="2486"/>
      <c r="AG1376" s="2486"/>
      <c r="AH1376" s="2486"/>
      <c r="AI1376" s="2486"/>
      <c r="AJ1376" s="2340">
        <v>0</v>
      </c>
      <c r="AK1376" s="2340">
        <v>0</v>
      </c>
      <c r="AL1376" s="2340">
        <v>0</v>
      </c>
      <c r="AM1376" s="2340">
        <v>0</v>
      </c>
      <c r="AN1376" s="2340">
        <v>0</v>
      </c>
      <c r="AO1376" s="2340">
        <v>0</v>
      </c>
      <c r="AP1376" s="2340">
        <v>0</v>
      </c>
    </row>
    <row r="1377" spans="1:42" ht="14.5">
      <c r="A1377" s="1693">
        <v>1</v>
      </c>
      <c r="B1377" s="616">
        <v>1</v>
      </c>
      <c r="C1377" s="1693">
        <v>1</v>
      </c>
      <c r="D1377" s="616">
        <v>1</v>
      </c>
      <c r="E1377" s="1693">
        <v>1</v>
      </c>
      <c r="F1377" s="616">
        <v>1</v>
      </c>
      <c r="G1377" s="1693">
        <v>1360</v>
      </c>
      <c r="H1377" s="616">
        <v>1</v>
      </c>
      <c r="J1377" s="709" t="s">
        <v>512</v>
      </c>
      <c r="K1377" s="1764" t="s">
        <v>1216</v>
      </c>
      <c r="L1377" s="519"/>
      <c r="M1377"/>
      <c r="N1377" s="4"/>
      <c r="O1377" s="1098"/>
      <c r="P1377" s="1119"/>
      <c r="Q1377" s="762"/>
      <c r="R1377" s="12" t="s">
        <v>1177</v>
      </c>
      <c r="S1377" s="28"/>
      <c r="T1377" s="12"/>
      <c r="U1377" s="12"/>
      <c r="V1377" s="754"/>
      <c r="W1377" s="1851"/>
      <c r="X1377" s="2343">
        <v>0</v>
      </c>
      <c r="Y1377" s="2343">
        <v>0</v>
      </c>
      <c r="Z1377" s="2343">
        <v>0</v>
      </c>
      <c r="AA1377" s="2343">
        <v>0</v>
      </c>
      <c r="AB1377" s="2343">
        <v>0</v>
      </c>
      <c r="AC1377" s="2343">
        <v>0</v>
      </c>
      <c r="AD1377" s="2343">
        <v>0</v>
      </c>
      <c r="AE1377" s="2343">
        <v>0</v>
      </c>
      <c r="AF1377" s="2343">
        <v>0</v>
      </c>
      <c r="AG1377" s="2343">
        <v>0</v>
      </c>
      <c r="AH1377" s="2343">
        <v>0</v>
      </c>
      <c r="AI1377" s="2343">
        <v>0</v>
      </c>
      <c r="AJ1377" s="2343">
        <v>0</v>
      </c>
      <c r="AK1377" s="2343">
        <v>0</v>
      </c>
      <c r="AL1377" s="2343">
        <v>0</v>
      </c>
      <c r="AM1377" s="2343">
        <v>0</v>
      </c>
      <c r="AN1377" s="2343">
        <v>0</v>
      </c>
      <c r="AO1377" s="2343">
        <v>0</v>
      </c>
      <c r="AP1377" s="2343">
        <v>0</v>
      </c>
    </row>
    <row r="1378" spans="1:42" ht="14.5">
      <c r="A1378" s="1693">
        <v>1</v>
      </c>
      <c r="B1378" s="616">
        <v>1</v>
      </c>
      <c r="C1378" s="1693">
        <v>1</v>
      </c>
      <c r="D1378" s="616">
        <v>1</v>
      </c>
      <c r="E1378" s="1693">
        <v>1</v>
      </c>
      <c r="F1378" s="616">
        <v>1</v>
      </c>
      <c r="G1378" s="1693">
        <v>1361</v>
      </c>
      <c r="H1378" s="616">
        <v>1</v>
      </c>
      <c r="J1378" s="709" t="s">
        <v>512</v>
      </c>
      <c r="K1378" s="1069"/>
      <c r="L1378" s="519"/>
      <c r="M1378"/>
      <c r="N1378" s="4"/>
      <c r="O1378" s="1098"/>
      <c r="P1378" s="1119"/>
      <c r="Q1378" s="762"/>
      <c r="R1378" s="28"/>
      <c r="S1378" s="28" t="s">
        <v>1178</v>
      </c>
      <c r="T1378" s="12"/>
      <c r="U1378" s="12"/>
      <c r="V1378" s="754"/>
      <c r="W1378" s="1911"/>
      <c r="X1378" s="2485"/>
      <c r="Y1378" s="2485"/>
      <c r="Z1378" s="2485"/>
      <c r="AA1378" s="2485"/>
      <c r="AB1378" s="2485"/>
      <c r="AC1378" s="2485"/>
      <c r="AD1378" s="2485"/>
      <c r="AE1378" s="2485"/>
      <c r="AF1378" s="2485"/>
      <c r="AG1378" s="2485"/>
      <c r="AH1378" s="2485"/>
      <c r="AI1378" s="2485"/>
      <c r="AJ1378" s="2343">
        <v>0</v>
      </c>
      <c r="AK1378" s="2343">
        <v>0</v>
      </c>
      <c r="AL1378" s="2343">
        <v>0</v>
      </c>
      <c r="AM1378" s="2343">
        <v>0</v>
      </c>
      <c r="AN1378" s="2343">
        <v>0</v>
      </c>
      <c r="AO1378" s="2343">
        <v>0</v>
      </c>
      <c r="AP1378" s="2343">
        <v>0</v>
      </c>
    </row>
    <row r="1379" spans="1:42" ht="14.5">
      <c r="A1379" s="1693">
        <v>1</v>
      </c>
      <c r="B1379" s="616">
        <v>1</v>
      </c>
      <c r="C1379" s="1693">
        <v>1</v>
      </c>
      <c r="D1379" s="616">
        <v>1</v>
      </c>
      <c r="E1379" s="1693">
        <v>1</v>
      </c>
      <c r="F1379" s="616">
        <v>1</v>
      </c>
      <c r="G1379" s="1693">
        <v>1362</v>
      </c>
      <c r="H1379" s="616">
        <v>1</v>
      </c>
      <c r="J1379" s="709" t="s">
        <v>512</v>
      </c>
      <c r="K1379" s="1069"/>
      <c r="L1379" s="519"/>
      <c r="M1379"/>
      <c r="N1379" s="4"/>
      <c r="O1379" s="1098"/>
      <c r="P1379" s="1119"/>
      <c r="Q1379" s="763"/>
      <c r="R1379" s="757"/>
      <c r="S1379" s="757" t="s">
        <v>1179</v>
      </c>
      <c r="T1379" s="755"/>
      <c r="U1379" s="755"/>
      <c r="V1379" s="756"/>
      <c r="W1379" s="1911"/>
      <c r="X1379" s="2487"/>
      <c r="Y1379" s="2487"/>
      <c r="Z1379" s="2487"/>
      <c r="AA1379" s="2487"/>
      <c r="AB1379" s="2487"/>
      <c r="AC1379" s="2487"/>
      <c r="AD1379" s="2487"/>
      <c r="AE1379" s="2487"/>
      <c r="AF1379" s="2487"/>
      <c r="AG1379" s="2487"/>
      <c r="AH1379" s="2487"/>
      <c r="AI1379" s="2487"/>
      <c r="AJ1379" s="2346">
        <v>0</v>
      </c>
      <c r="AK1379" s="2346">
        <v>0</v>
      </c>
      <c r="AL1379" s="2346">
        <v>0</v>
      </c>
      <c r="AM1379" s="2346">
        <v>0</v>
      </c>
      <c r="AN1379" s="2346">
        <v>0</v>
      </c>
      <c r="AO1379" s="2346">
        <v>0</v>
      </c>
      <c r="AP1379" s="2346">
        <v>0</v>
      </c>
    </row>
    <row r="1380" spans="1:42" ht="14.5">
      <c r="A1380" s="1693">
        <v>1</v>
      </c>
      <c r="B1380" s="616">
        <v>1</v>
      </c>
      <c r="C1380" s="1693">
        <v>1</v>
      </c>
      <c r="D1380" s="616">
        <v>1</v>
      </c>
      <c r="E1380" s="1693">
        <v>1</v>
      </c>
      <c r="F1380" s="616">
        <v>1</v>
      </c>
      <c r="G1380" s="1693">
        <v>1363</v>
      </c>
      <c r="H1380" s="616">
        <v>1</v>
      </c>
      <c r="J1380" s="709" t="s">
        <v>512</v>
      </c>
      <c r="K1380" s="1764" t="s">
        <v>1216</v>
      </c>
      <c r="L1380" s="519"/>
      <c r="M1380"/>
      <c r="N1380" s="4"/>
      <c r="O1380" s="1098"/>
      <c r="P1380" s="1120"/>
      <c r="Q1380" s="2206" t="s">
        <v>1019</v>
      </c>
      <c r="R1380" s="2207"/>
      <c r="S1380" s="2207"/>
      <c r="T1380" s="2208"/>
      <c r="U1380" s="2208"/>
      <c r="V1380" s="2488"/>
      <c r="W1380" s="1911"/>
      <c r="X1380" s="2489">
        <v>1100</v>
      </c>
      <c r="Y1380" s="2489">
        <v>1100</v>
      </c>
      <c r="Z1380" s="2489">
        <v>1500</v>
      </c>
      <c r="AA1380" s="2489">
        <v>1100</v>
      </c>
      <c r="AB1380" s="2489">
        <v>1100</v>
      </c>
      <c r="AC1380" s="2489">
        <v>1500</v>
      </c>
      <c r="AD1380" s="2489">
        <v>1100</v>
      </c>
      <c r="AE1380" s="2489">
        <v>1100</v>
      </c>
      <c r="AF1380" s="2489">
        <v>1500</v>
      </c>
      <c r="AG1380" s="2489">
        <v>1200</v>
      </c>
      <c r="AH1380" s="2489">
        <v>1200</v>
      </c>
      <c r="AI1380" s="2489">
        <v>1500</v>
      </c>
      <c r="AJ1380" s="2490">
        <v>3700</v>
      </c>
      <c r="AK1380" s="2490">
        <v>3700</v>
      </c>
      <c r="AL1380" s="2490">
        <v>3700</v>
      </c>
      <c r="AM1380" s="2490">
        <v>3900</v>
      </c>
      <c r="AN1380" s="2490">
        <v>7400</v>
      </c>
      <c r="AO1380" s="2490">
        <v>7600</v>
      </c>
      <c r="AP1380" s="2490">
        <v>15000</v>
      </c>
    </row>
    <row r="1381" spans="1:42" ht="14.5">
      <c r="A1381" s="1693">
        <v>1</v>
      </c>
      <c r="B1381" s="616">
        <v>1</v>
      </c>
      <c r="C1381" s="1693">
        <v>1</v>
      </c>
      <c r="D1381" s="616">
        <v>1</v>
      </c>
      <c r="E1381" s="1693">
        <v>1</v>
      </c>
      <c r="F1381" s="616">
        <v>1</v>
      </c>
      <c r="G1381" s="1693">
        <v>1364</v>
      </c>
      <c r="H1381" s="616">
        <v>1</v>
      </c>
      <c r="J1381" s="709" t="s">
        <v>512</v>
      </c>
      <c r="K1381" s="1764" t="s">
        <v>1216</v>
      </c>
      <c r="L1381" s="519"/>
      <c r="M1381"/>
      <c r="N1381" s="4"/>
      <c r="O1381" s="1098"/>
      <c r="P1381" s="2491" t="s">
        <v>1180</v>
      </c>
      <c r="Q1381" s="1120"/>
      <c r="R1381" s="1120"/>
      <c r="S1381" s="1120"/>
      <c r="T1381" s="1117"/>
      <c r="U1381" s="1117"/>
      <c r="V1381" s="1118"/>
      <c r="W1381" s="2481"/>
      <c r="X1381" s="2482">
        <v>0</v>
      </c>
      <c r="Y1381" s="2482">
        <v>0</v>
      </c>
      <c r="Z1381" s="2482">
        <v>0</v>
      </c>
      <c r="AA1381" s="2482">
        <v>0</v>
      </c>
      <c r="AB1381" s="2482">
        <v>0</v>
      </c>
      <c r="AC1381" s="2482">
        <v>0</v>
      </c>
      <c r="AD1381" s="2482">
        <v>0</v>
      </c>
      <c r="AE1381" s="2482">
        <v>0</v>
      </c>
      <c r="AF1381" s="2482">
        <v>0</v>
      </c>
      <c r="AG1381" s="2482">
        <v>0</v>
      </c>
      <c r="AH1381" s="2482">
        <v>0</v>
      </c>
      <c r="AI1381" s="2482">
        <v>0</v>
      </c>
      <c r="AJ1381" s="2482">
        <v>0</v>
      </c>
      <c r="AK1381" s="2482">
        <v>0</v>
      </c>
      <c r="AL1381" s="2482">
        <v>0</v>
      </c>
      <c r="AM1381" s="2482">
        <v>0</v>
      </c>
      <c r="AN1381" s="2482">
        <v>0</v>
      </c>
      <c r="AO1381" s="2482">
        <v>0</v>
      </c>
      <c r="AP1381" s="2482">
        <v>0</v>
      </c>
    </row>
    <row r="1382" spans="1:42" ht="14.5">
      <c r="A1382" s="1693">
        <v>1</v>
      </c>
      <c r="B1382" s="616">
        <v>1</v>
      </c>
      <c r="C1382" s="1693">
        <v>1</v>
      </c>
      <c r="D1382" s="616">
        <v>1</v>
      </c>
      <c r="E1382" s="1693">
        <v>1</v>
      </c>
      <c r="F1382" s="616">
        <v>1</v>
      </c>
      <c r="G1382" s="1693">
        <v>1365</v>
      </c>
      <c r="H1382" s="616">
        <v>1</v>
      </c>
      <c r="J1382" s="709" t="s">
        <v>512</v>
      </c>
      <c r="K1382" s="1764" t="s">
        <v>1216</v>
      </c>
      <c r="L1382" s="519"/>
      <c r="M1382"/>
      <c r="N1382" s="4"/>
      <c r="O1382" s="1098"/>
      <c r="P1382" s="1116" t="s">
        <v>1181</v>
      </c>
      <c r="Q1382" s="1119"/>
      <c r="R1382" s="1119"/>
      <c r="S1382" s="1119"/>
      <c r="T1382" s="1116"/>
      <c r="U1382" s="1116"/>
      <c r="V1382" s="1122"/>
      <c r="W1382" s="2481"/>
      <c r="X1382" s="2492">
        <v>0</v>
      </c>
      <c r="Y1382" s="2492">
        <v>0</v>
      </c>
      <c r="Z1382" s="2492">
        <v>0</v>
      </c>
      <c r="AA1382" s="2492">
        <v>0</v>
      </c>
      <c r="AB1382" s="2492">
        <v>0</v>
      </c>
      <c r="AC1382" s="2492">
        <v>0</v>
      </c>
      <c r="AD1382" s="2492">
        <v>0</v>
      </c>
      <c r="AE1382" s="2492">
        <v>0</v>
      </c>
      <c r="AF1382" s="2492">
        <v>0</v>
      </c>
      <c r="AG1382" s="2492">
        <v>0</v>
      </c>
      <c r="AH1382" s="2492">
        <v>0</v>
      </c>
      <c r="AI1382" s="2492">
        <v>0</v>
      </c>
      <c r="AJ1382" s="2492">
        <v>0</v>
      </c>
      <c r="AK1382" s="2492">
        <v>0</v>
      </c>
      <c r="AL1382" s="2492">
        <v>0</v>
      </c>
      <c r="AM1382" s="2492">
        <v>0</v>
      </c>
      <c r="AN1382" s="2492">
        <v>0</v>
      </c>
      <c r="AO1382" s="2492">
        <v>0</v>
      </c>
      <c r="AP1382" s="2492">
        <v>0</v>
      </c>
    </row>
    <row r="1383" spans="1:42" ht="14.5">
      <c r="A1383" s="1693">
        <v>1</v>
      </c>
      <c r="B1383" s="616">
        <v>1</v>
      </c>
      <c r="C1383" s="1693">
        <v>1</v>
      </c>
      <c r="D1383" s="616">
        <v>1</v>
      </c>
      <c r="E1383" s="1693">
        <v>1</v>
      </c>
      <c r="F1383" s="616">
        <v>1</v>
      </c>
      <c r="G1383" s="1693">
        <v>1366</v>
      </c>
      <c r="H1383" s="616">
        <v>1</v>
      </c>
      <c r="J1383" s="709" t="s">
        <v>512</v>
      </c>
      <c r="K1383" s="1764" t="s">
        <v>1216</v>
      </c>
      <c r="L1383" s="519"/>
      <c r="M1383"/>
      <c r="N1383" s="4"/>
      <c r="O1383" s="1096" t="s">
        <v>54</v>
      </c>
      <c r="P1383" s="1091"/>
      <c r="Q1383" s="1092"/>
      <c r="R1383" s="1092"/>
      <c r="S1383" s="1092"/>
      <c r="T1383" s="1092"/>
      <c r="U1383" s="1092"/>
      <c r="V1383" s="1107"/>
      <c r="W1383" s="1852"/>
      <c r="X1383" s="2475">
        <v>275</v>
      </c>
      <c r="Y1383" s="2475">
        <v>275</v>
      </c>
      <c r="Z1383" s="2475">
        <v>375</v>
      </c>
      <c r="AA1383" s="2475">
        <v>275</v>
      </c>
      <c r="AB1383" s="2475">
        <v>275</v>
      </c>
      <c r="AC1383" s="2475">
        <v>375</v>
      </c>
      <c r="AD1383" s="2475">
        <v>275</v>
      </c>
      <c r="AE1383" s="2475">
        <v>275</v>
      </c>
      <c r="AF1383" s="2475">
        <v>375</v>
      </c>
      <c r="AG1383" s="2475">
        <v>300</v>
      </c>
      <c r="AH1383" s="2475">
        <v>300</v>
      </c>
      <c r="AI1383" s="2475">
        <v>375</v>
      </c>
      <c r="AJ1383" s="2475">
        <v>925</v>
      </c>
      <c r="AK1383" s="2475">
        <v>925</v>
      </c>
      <c r="AL1383" s="2475">
        <v>925</v>
      </c>
      <c r="AM1383" s="2475">
        <v>975</v>
      </c>
      <c r="AN1383" s="2475">
        <v>1850</v>
      </c>
      <c r="AO1383" s="2475">
        <v>1900</v>
      </c>
      <c r="AP1383" s="2475">
        <v>3750</v>
      </c>
    </row>
    <row r="1384" spans="1:42" ht="14.5">
      <c r="A1384" s="1693">
        <v>1</v>
      </c>
      <c r="B1384" s="616">
        <v>1</v>
      </c>
      <c r="C1384" s="1693">
        <v>1</v>
      </c>
      <c r="D1384" s="616">
        <v>1</v>
      </c>
      <c r="E1384" s="1693">
        <v>1</v>
      </c>
      <c r="F1384" s="616">
        <v>1</v>
      </c>
      <c r="G1384" s="1693">
        <v>1367</v>
      </c>
      <c r="H1384" s="616">
        <v>1</v>
      </c>
      <c r="J1384" s="709" t="s">
        <v>512</v>
      </c>
      <c r="K1384" s="1764" t="s">
        <v>1216</v>
      </c>
      <c r="L1384" s="519"/>
      <c r="M1384"/>
      <c r="N1384" s="4"/>
      <c r="O1384" s="1098"/>
      <c r="P1384" s="1116" t="s">
        <v>1173</v>
      </c>
      <c r="Q1384" s="1117"/>
      <c r="R1384" s="1117"/>
      <c r="S1384" s="1117"/>
      <c r="T1384" s="1117"/>
      <c r="U1384" s="1117"/>
      <c r="V1384" s="1118"/>
      <c r="W1384" s="2481"/>
      <c r="X1384" s="2482">
        <v>275</v>
      </c>
      <c r="Y1384" s="2482">
        <v>275</v>
      </c>
      <c r="Z1384" s="2482">
        <v>375</v>
      </c>
      <c r="AA1384" s="2482">
        <v>275</v>
      </c>
      <c r="AB1384" s="2482">
        <v>275</v>
      </c>
      <c r="AC1384" s="2482">
        <v>375</v>
      </c>
      <c r="AD1384" s="2482">
        <v>275</v>
      </c>
      <c r="AE1384" s="2482">
        <v>275</v>
      </c>
      <c r="AF1384" s="2482">
        <v>375</v>
      </c>
      <c r="AG1384" s="2482">
        <v>300</v>
      </c>
      <c r="AH1384" s="2482">
        <v>300</v>
      </c>
      <c r="AI1384" s="2482">
        <v>375</v>
      </c>
      <c r="AJ1384" s="2482">
        <v>925</v>
      </c>
      <c r="AK1384" s="2482">
        <v>925</v>
      </c>
      <c r="AL1384" s="2482">
        <v>925</v>
      </c>
      <c r="AM1384" s="2482">
        <v>975</v>
      </c>
      <c r="AN1384" s="2482">
        <v>1850</v>
      </c>
      <c r="AO1384" s="2482">
        <v>1900</v>
      </c>
      <c r="AP1384" s="2482">
        <v>3750</v>
      </c>
    </row>
    <row r="1385" spans="1:42" ht="14.5">
      <c r="A1385" s="1693">
        <v>1</v>
      </c>
      <c r="B1385" s="616">
        <v>1</v>
      </c>
      <c r="C1385" s="1693">
        <v>1</v>
      </c>
      <c r="D1385" s="616">
        <v>1</v>
      </c>
      <c r="E1385" s="1693">
        <v>1</v>
      </c>
      <c r="F1385" s="616">
        <v>1</v>
      </c>
      <c r="G1385" s="1693">
        <v>1368</v>
      </c>
      <c r="H1385" s="616">
        <v>1</v>
      </c>
      <c r="J1385" s="709" t="s">
        <v>512</v>
      </c>
      <c r="K1385" s="1764" t="s">
        <v>1216</v>
      </c>
      <c r="L1385" s="519"/>
      <c r="M1385"/>
      <c r="N1385" s="4"/>
      <c r="O1385" s="1098"/>
      <c r="P1385" s="1119"/>
      <c r="Q1385" s="761" t="s">
        <v>1018</v>
      </c>
      <c r="R1385" s="758"/>
      <c r="S1385" s="759"/>
      <c r="T1385" s="758"/>
      <c r="U1385" s="758"/>
      <c r="V1385" s="760"/>
      <c r="W1385" s="1851"/>
      <c r="X1385" s="2483">
        <v>0</v>
      </c>
      <c r="Y1385" s="2483">
        <v>0</v>
      </c>
      <c r="Z1385" s="2483">
        <v>0</v>
      </c>
      <c r="AA1385" s="2483">
        <v>0</v>
      </c>
      <c r="AB1385" s="2483">
        <v>0</v>
      </c>
      <c r="AC1385" s="2483">
        <v>0</v>
      </c>
      <c r="AD1385" s="2483">
        <v>0</v>
      </c>
      <c r="AE1385" s="2483">
        <v>0</v>
      </c>
      <c r="AF1385" s="2483">
        <v>0</v>
      </c>
      <c r="AG1385" s="2483">
        <v>0</v>
      </c>
      <c r="AH1385" s="2483">
        <v>0</v>
      </c>
      <c r="AI1385" s="2483">
        <v>0</v>
      </c>
      <c r="AJ1385" s="2483">
        <v>0</v>
      </c>
      <c r="AK1385" s="2483">
        <v>0</v>
      </c>
      <c r="AL1385" s="2483">
        <v>0</v>
      </c>
      <c r="AM1385" s="2483">
        <v>0</v>
      </c>
      <c r="AN1385" s="2483">
        <v>0</v>
      </c>
      <c r="AO1385" s="2483">
        <v>0</v>
      </c>
      <c r="AP1385" s="2483">
        <v>0</v>
      </c>
    </row>
    <row r="1386" spans="1:42" ht="14.5">
      <c r="A1386" s="1693">
        <v>1</v>
      </c>
      <c r="B1386" s="616">
        <v>1</v>
      </c>
      <c r="C1386" s="1693">
        <v>1</v>
      </c>
      <c r="D1386" s="616">
        <v>1</v>
      </c>
      <c r="E1386" s="1693">
        <v>1</v>
      </c>
      <c r="F1386" s="616">
        <v>1</v>
      </c>
      <c r="G1386" s="1693">
        <v>1369</v>
      </c>
      <c r="H1386" s="616">
        <v>1</v>
      </c>
      <c r="J1386" s="709" t="s">
        <v>512</v>
      </c>
      <c r="K1386" s="1764" t="s">
        <v>1216</v>
      </c>
      <c r="L1386" s="519"/>
      <c r="M1386"/>
      <c r="N1386" s="4"/>
      <c r="O1386" s="1098"/>
      <c r="P1386" s="1119"/>
      <c r="Q1386" s="29"/>
      <c r="R1386" s="12" t="s">
        <v>1174</v>
      </c>
      <c r="S1386" s="768"/>
      <c r="T1386" s="769"/>
      <c r="U1386" s="769"/>
      <c r="V1386" s="770"/>
      <c r="W1386" s="1851"/>
      <c r="X1386" s="2484">
        <v>0</v>
      </c>
      <c r="Y1386" s="2484">
        <v>0</v>
      </c>
      <c r="Z1386" s="2484">
        <v>0</v>
      </c>
      <c r="AA1386" s="2484">
        <v>0</v>
      </c>
      <c r="AB1386" s="2484">
        <v>0</v>
      </c>
      <c r="AC1386" s="2484">
        <v>0</v>
      </c>
      <c r="AD1386" s="2484">
        <v>0</v>
      </c>
      <c r="AE1386" s="2484">
        <v>0</v>
      </c>
      <c r="AF1386" s="2484">
        <v>0</v>
      </c>
      <c r="AG1386" s="2484">
        <v>0</v>
      </c>
      <c r="AH1386" s="2484">
        <v>0</v>
      </c>
      <c r="AI1386" s="2484">
        <v>0</v>
      </c>
      <c r="AJ1386" s="2484">
        <v>0</v>
      </c>
      <c r="AK1386" s="2484">
        <v>0</v>
      </c>
      <c r="AL1386" s="2484">
        <v>0</v>
      </c>
      <c r="AM1386" s="2484">
        <v>0</v>
      </c>
      <c r="AN1386" s="2484">
        <v>0</v>
      </c>
      <c r="AO1386" s="2484">
        <v>0</v>
      </c>
      <c r="AP1386" s="2484">
        <v>0</v>
      </c>
    </row>
    <row r="1387" spans="1:42" ht="14.5">
      <c r="A1387" s="1693">
        <v>1</v>
      </c>
      <c r="B1387" s="616">
        <v>1</v>
      </c>
      <c r="C1387" s="1693">
        <v>1</v>
      </c>
      <c r="D1387" s="616">
        <v>1</v>
      </c>
      <c r="E1387" s="1693">
        <v>1</v>
      </c>
      <c r="F1387" s="616">
        <v>1</v>
      </c>
      <c r="G1387" s="1693">
        <v>1370</v>
      </c>
      <c r="H1387" s="616">
        <v>1</v>
      </c>
      <c r="J1387" s="709" t="s">
        <v>512</v>
      </c>
      <c r="K1387" s="1764" t="s">
        <v>1216</v>
      </c>
      <c r="L1387" s="519"/>
      <c r="M1387"/>
      <c r="N1387" s="4"/>
      <c r="O1387" s="1098"/>
      <c r="P1387" s="1119"/>
      <c r="Q1387" s="762"/>
      <c r="R1387" s="28"/>
      <c r="S1387" s="12" t="s">
        <v>57</v>
      </c>
      <c r="T1387" s="12"/>
      <c r="U1387" s="12"/>
      <c r="V1387" s="754"/>
      <c r="W1387" s="1851"/>
      <c r="X1387" s="2343">
        <v>0</v>
      </c>
      <c r="Y1387" s="2343">
        <v>0</v>
      </c>
      <c r="Z1387" s="2343">
        <v>0</v>
      </c>
      <c r="AA1387" s="2343">
        <v>0</v>
      </c>
      <c r="AB1387" s="2343">
        <v>0</v>
      </c>
      <c r="AC1387" s="2343">
        <v>0</v>
      </c>
      <c r="AD1387" s="2343">
        <v>0</v>
      </c>
      <c r="AE1387" s="2343">
        <v>0</v>
      </c>
      <c r="AF1387" s="2343">
        <v>0</v>
      </c>
      <c r="AG1387" s="2343">
        <v>0</v>
      </c>
      <c r="AH1387" s="2343">
        <v>0</v>
      </c>
      <c r="AI1387" s="2343">
        <v>0</v>
      </c>
      <c r="AJ1387" s="2343">
        <v>0</v>
      </c>
      <c r="AK1387" s="2343">
        <v>0</v>
      </c>
      <c r="AL1387" s="2343">
        <v>0</v>
      </c>
      <c r="AM1387" s="2343">
        <v>0</v>
      </c>
      <c r="AN1387" s="2343">
        <v>0</v>
      </c>
      <c r="AO1387" s="2343">
        <v>0</v>
      </c>
      <c r="AP1387" s="2343">
        <v>0</v>
      </c>
    </row>
    <row r="1388" spans="1:42" ht="14.5">
      <c r="A1388" s="1693">
        <v>1</v>
      </c>
      <c r="B1388" s="616">
        <v>1</v>
      </c>
      <c r="C1388" s="1693">
        <v>1</v>
      </c>
      <c r="D1388" s="616">
        <v>1</v>
      </c>
      <c r="E1388" s="1693">
        <v>1</v>
      </c>
      <c r="F1388" s="616">
        <v>1</v>
      </c>
      <c r="G1388" s="1693">
        <v>1371</v>
      </c>
      <c r="H1388" s="616">
        <v>1</v>
      </c>
      <c r="J1388" s="709" t="s">
        <v>512</v>
      </c>
      <c r="K1388" s="1069"/>
      <c r="L1388" s="519"/>
      <c r="M1388"/>
      <c r="N1388" s="4"/>
      <c r="O1388" s="1098"/>
      <c r="P1388" s="1119"/>
      <c r="Q1388" s="762"/>
      <c r="R1388" s="28"/>
      <c r="S1388" s="28"/>
      <c r="T1388" s="28" t="s">
        <v>1175</v>
      </c>
      <c r="U1388" s="12"/>
      <c r="V1388" s="754"/>
      <c r="W1388" s="1911"/>
      <c r="X1388" s="2485">
        <v>0</v>
      </c>
      <c r="Y1388" s="2485">
        <v>0</v>
      </c>
      <c r="Z1388" s="2485">
        <v>0</v>
      </c>
      <c r="AA1388" s="2485">
        <v>0</v>
      </c>
      <c r="AB1388" s="2485">
        <v>0</v>
      </c>
      <c r="AC1388" s="2485">
        <v>0</v>
      </c>
      <c r="AD1388" s="2485">
        <v>0</v>
      </c>
      <c r="AE1388" s="2485">
        <v>0</v>
      </c>
      <c r="AF1388" s="2485">
        <v>0</v>
      </c>
      <c r="AG1388" s="2485">
        <v>0</v>
      </c>
      <c r="AH1388" s="2485">
        <v>0</v>
      </c>
      <c r="AI1388" s="2485">
        <v>0</v>
      </c>
      <c r="AJ1388" s="2343">
        <v>0</v>
      </c>
      <c r="AK1388" s="2343">
        <v>0</v>
      </c>
      <c r="AL1388" s="2343">
        <v>0</v>
      </c>
      <c r="AM1388" s="2343">
        <v>0</v>
      </c>
      <c r="AN1388" s="2343">
        <v>0</v>
      </c>
      <c r="AO1388" s="2343">
        <v>0</v>
      </c>
      <c r="AP1388" s="2343">
        <v>0</v>
      </c>
    </row>
    <row r="1389" spans="1:42" ht="14.5">
      <c r="A1389" s="1693">
        <v>1</v>
      </c>
      <c r="B1389" s="616">
        <v>1</v>
      </c>
      <c r="C1389" s="1693">
        <v>1</v>
      </c>
      <c r="D1389" s="616">
        <v>1</v>
      </c>
      <c r="E1389" s="1693">
        <v>1</v>
      </c>
      <c r="F1389" s="616">
        <v>1</v>
      </c>
      <c r="G1389" s="1693">
        <v>1372</v>
      </c>
      <c r="H1389" s="616">
        <v>1</v>
      </c>
      <c r="J1389" s="709" t="s">
        <v>512</v>
      </c>
      <c r="K1389" s="1069"/>
      <c r="L1389" s="519"/>
      <c r="M1389"/>
      <c r="N1389" s="4"/>
      <c r="O1389" s="1098"/>
      <c r="P1389" s="1119"/>
      <c r="Q1389" s="762"/>
      <c r="R1389" s="28"/>
      <c r="S1389" s="765"/>
      <c r="T1389" s="765" t="s">
        <v>2</v>
      </c>
      <c r="U1389" s="766"/>
      <c r="V1389" s="767"/>
      <c r="W1389" s="1911"/>
      <c r="X1389" s="2486"/>
      <c r="Y1389" s="2486"/>
      <c r="Z1389" s="2486"/>
      <c r="AA1389" s="2486"/>
      <c r="AB1389" s="2486"/>
      <c r="AC1389" s="2486"/>
      <c r="AD1389" s="2486"/>
      <c r="AE1389" s="2486"/>
      <c r="AF1389" s="2486"/>
      <c r="AG1389" s="2486"/>
      <c r="AH1389" s="2486"/>
      <c r="AI1389" s="2486"/>
      <c r="AJ1389" s="2340">
        <v>0</v>
      </c>
      <c r="AK1389" s="2340">
        <v>0</v>
      </c>
      <c r="AL1389" s="2340">
        <v>0</v>
      </c>
      <c r="AM1389" s="2340">
        <v>0</v>
      </c>
      <c r="AN1389" s="2340">
        <v>0</v>
      </c>
      <c r="AO1389" s="2340">
        <v>0</v>
      </c>
      <c r="AP1389" s="2340">
        <v>0</v>
      </c>
    </row>
    <row r="1390" spans="1:42" ht="14.5">
      <c r="A1390" s="1693">
        <v>1</v>
      </c>
      <c r="B1390" s="616">
        <v>1</v>
      </c>
      <c r="C1390" s="1693">
        <v>1</v>
      </c>
      <c r="D1390" s="616">
        <v>1</v>
      </c>
      <c r="E1390" s="1693">
        <v>1</v>
      </c>
      <c r="F1390" s="616">
        <v>1</v>
      </c>
      <c r="G1390" s="1693">
        <v>1373</v>
      </c>
      <c r="H1390" s="616">
        <v>1</v>
      </c>
      <c r="J1390" s="709" t="s">
        <v>512</v>
      </c>
      <c r="K1390" s="1764" t="s">
        <v>1216</v>
      </c>
      <c r="L1390" s="519"/>
      <c r="M1390"/>
      <c r="N1390" s="4"/>
      <c r="O1390" s="1098"/>
      <c r="P1390" s="1119"/>
      <c r="Q1390" s="762"/>
      <c r="R1390" s="28"/>
      <c r="S1390" s="12" t="s">
        <v>27</v>
      </c>
      <c r="T1390" s="12"/>
      <c r="U1390" s="12"/>
      <c r="V1390" s="754"/>
      <c r="W1390" s="1851"/>
      <c r="X1390" s="2343">
        <v>0</v>
      </c>
      <c r="Y1390" s="2343">
        <v>0</v>
      </c>
      <c r="Z1390" s="2343">
        <v>0</v>
      </c>
      <c r="AA1390" s="2343">
        <v>0</v>
      </c>
      <c r="AB1390" s="2343">
        <v>0</v>
      </c>
      <c r="AC1390" s="2343">
        <v>0</v>
      </c>
      <c r="AD1390" s="2343">
        <v>0</v>
      </c>
      <c r="AE1390" s="2343">
        <v>0</v>
      </c>
      <c r="AF1390" s="2343">
        <v>0</v>
      </c>
      <c r="AG1390" s="2343">
        <v>0</v>
      </c>
      <c r="AH1390" s="2343">
        <v>0</v>
      </c>
      <c r="AI1390" s="2343">
        <v>0</v>
      </c>
      <c r="AJ1390" s="2343">
        <v>0</v>
      </c>
      <c r="AK1390" s="2343">
        <v>0</v>
      </c>
      <c r="AL1390" s="2343">
        <v>0</v>
      </c>
      <c r="AM1390" s="2343">
        <v>0</v>
      </c>
      <c r="AN1390" s="2343">
        <v>0</v>
      </c>
      <c r="AO1390" s="2343">
        <v>0</v>
      </c>
      <c r="AP1390" s="2343">
        <v>0</v>
      </c>
    </row>
    <row r="1391" spans="1:42" ht="14.5">
      <c r="A1391" s="1693">
        <v>1</v>
      </c>
      <c r="B1391" s="616">
        <v>1</v>
      </c>
      <c r="C1391" s="1693">
        <v>1</v>
      </c>
      <c r="D1391" s="616">
        <v>1</v>
      </c>
      <c r="E1391" s="1693">
        <v>1</v>
      </c>
      <c r="F1391" s="616">
        <v>1</v>
      </c>
      <c r="G1391" s="1693">
        <v>1374</v>
      </c>
      <c r="H1391" s="616">
        <v>1</v>
      </c>
      <c r="J1391" s="709" t="s">
        <v>512</v>
      </c>
      <c r="K1391" s="1069"/>
      <c r="L1391" s="519"/>
      <c r="M1391"/>
      <c r="N1391" s="4"/>
      <c r="O1391" s="1098"/>
      <c r="P1391" s="1119"/>
      <c r="Q1391" s="762"/>
      <c r="R1391" s="765"/>
      <c r="S1391" s="765"/>
      <c r="T1391" s="765" t="s">
        <v>1176</v>
      </c>
      <c r="U1391" s="766"/>
      <c r="V1391" s="767"/>
      <c r="W1391" s="1911"/>
      <c r="X1391" s="2486"/>
      <c r="Y1391" s="2486"/>
      <c r="Z1391" s="2486"/>
      <c r="AA1391" s="2486"/>
      <c r="AB1391" s="2486"/>
      <c r="AC1391" s="2486"/>
      <c r="AD1391" s="2486"/>
      <c r="AE1391" s="2486"/>
      <c r="AF1391" s="2486"/>
      <c r="AG1391" s="2486"/>
      <c r="AH1391" s="2486"/>
      <c r="AI1391" s="2486"/>
      <c r="AJ1391" s="2340">
        <v>0</v>
      </c>
      <c r="AK1391" s="2340">
        <v>0</v>
      </c>
      <c r="AL1391" s="2340">
        <v>0</v>
      </c>
      <c r="AM1391" s="2340">
        <v>0</v>
      </c>
      <c r="AN1391" s="2340">
        <v>0</v>
      </c>
      <c r="AO1391" s="2340">
        <v>0</v>
      </c>
      <c r="AP1391" s="2340">
        <v>0</v>
      </c>
    </row>
    <row r="1392" spans="1:42" ht="14.5">
      <c r="A1392" s="1693">
        <v>1</v>
      </c>
      <c r="B1392" s="616">
        <v>1</v>
      </c>
      <c r="C1392" s="1693">
        <v>1</v>
      </c>
      <c r="D1392" s="616">
        <v>1</v>
      </c>
      <c r="E1392" s="1693">
        <v>1</v>
      </c>
      <c r="F1392" s="616">
        <v>1</v>
      </c>
      <c r="G1392" s="1693">
        <v>1375</v>
      </c>
      <c r="H1392" s="616">
        <v>1</v>
      </c>
      <c r="J1392" s="709" t="s">
        <v>512</v>
      </c>
      <c r="K1392" s="1764" t="s">
        <v>1216</v>
      </c>
      <c r="L1392" s="519"/>
      <c r="M1392"/>
      <c r="N1392" s="4"/>
      <c r="O1392" s="1098"/>
      <c r="P1392" s="1119"/>
      <c r="Q1392" s="762"/>
      <c r="R1392" s="12" t="s">
        <v>1177</v>
      </c>
      <c r="S1392" s="28"/>
      <c r="T1392" s="12"/>
      <c r="U1392" s="12"/>
      <c r="V1392" s="754"/>
      <c r="W1392" s="1851"/>
      <c r="X1392" s="2343">
        <v>0</v>
      </c>
      <c r="Y1392" s="2343">
        <v>0</v>
      </c>
      <c r="Z1392" s="2343">
        <v>0</v>
      </c>
      <c r="AA1392" s="2343">
        <v>0</v>
      </c>
      <c r="AB1392" s="2343">
        <v>0</v>
      </c>
      <c r="AC1392" s="2343">
        <v>0</v>
      </c>
      <c r="AD1392" s="2343">
        <v>0</v>
      </c>
      <c r="AE1392" s="2343">
        <v>0</v>
      </c>
      <c r="AF1392" s="2343">
        <v>0</v>
      </c>
      <c r="AG1392" s="2343">
        <v>0</v>
      </c>
      <c r="AH1392" s="2343">
        <v>0</v>
      </c>
      <c r="AI1392" s="2343">
        <v>0</v>
      </c>
      <c r="AJ1392" s="2343">
        <v>0</v>
      </c>
      <c r="AK1392" s="2343">
        <v>0</v>
      </c>
      <c r="AL1392" s="2343">
        <v>0</v>
      </c>
      <c r="AM1392" s="2343">
        <v>0</v>
      </c>
      <c r="AN1392" s="2343">
        <v>0</v>
      </c>
      <c r="AO1392" s="2343">
        <v>0</v>
      </c>
      <c r="AP1392" s="2343">
        <v>0</v>
      </c>
    </row>
    <row r="1393" spans="1:42" ht="14.5">
      <c r="A1393" s="1693">
        <v>1</v>
      </c>
      <c r="B1393" s="616">
        <v>1</v>
      </c>
      <c r="C1393" s="1693">
        <v>1</v>
      </c>
      <c r="D1393" s="616">
        <v>1</v>
      </c>
      <c r="E1393" s="1693">
        <v>1</v>
      </c>
      <c r="F1393" s="616">
        <v>1</v>
      </c>
      <c r="G1393" s="1693">
        <v>1376</v>
      </c>
      <c r="H1393" s="616">
        <v>1</v>
      </c>
      <c r="J1393" s="709" t="s">
        <v>512</v>
      </c>
      <c r="K1393" s="1069"/>
      <c r="L1393" s="519"/>
      <c r="M1393"/>
      <c r="N1393" s="4"/>
      <c r="O1393" s="1098"/>
      <c r="P1393" s="1119"/>
      <c r="Q1393" s="762"/>
      <c r="R1393" s="28"/>
      <c r="S1393" s="28" t="s">
        <v>1178</v>
      </c>
      <c r="T1393" s="12"/>
      <c r="U1393" s="12"/>
      <c r="V1393" s="754"/>
      <c r="W1393" s="1911"/>
      <c r="X1393" s="2485"/>
      <c r="Y1393" s="2485"/>
      <c r="Z1393" s="2485"/>
      <c r="AA1393" s="2485"/>
      <c r="AB1393" s="2485"/>
      <c r="AC1393" s="2485"/>
      <c r="AD1393" s="2485"/>
      <c r="AE1393" s="2485"/>
      <c r="AF1393" s="2485"/>
      <c r="AG1393" s="2485"/>
      <c r="AH1393" s="2485"/>
      <c r="AI1393" s="2485"/>
      <c r="AJ1393" s="2343">
        <v>0</v>
      </c>
      <c r="AK1393" s="2343">
        <v>0</v>
      </c>
      <c r="AL1393" s="2343">
        <v>0</v>
      </c>
      <c r="AM1393" s="2343">
        <v>0</v>
      </c>
      <c r="AN1393" s="2343">
        <v>0</v>
      </c>
      <c r="AO1393" s="2343">
        <v>0</v>
      </c>
      <c r="AP1393" s="2343">
        <v>0</v>
      </c>
    </row>
    <row r="1394" spans="1:42" ht="14.5">
      <c r="A1394" s="1693">
        <v>1</v>
      </c>
      <c r="B1394" s="616">
        <v>1</v>
      </c>
      <c r="C1394" s="1693">
        <v>1</v>
      </c>
      <c r="D1394" s="616">
        <v>1</v>
      </c>
      <c r="E1394" s="1693">
        <v>1</v>
      </c>
      <c r="F1394" s="616">
        <v>1</v>
      </c>
      <c r="G1394" s="1693">
        <v>1377</v>
      </c>
      <c r="H1394" s="616">
        <v>1</v>
      </c>
      <c r="J1394" s="709" t="s">
        <v>512</v>
      </c>
      <c r="K1394" s="1069"/>
      <c r="L1394" s="519"/>
      <c r="M1394"/>
      <c r="N1394" s="4"/>
      <c r="O1394" s="1098"/>
      <c r="P1394" s="1119"/>
      <c r="Q1394" s="763"/>
      <c r="R1394" s="757"/>
      <c r="S1394" s="757" t="s">
        <v>1179</v>
      </c>
      <c r="T1394" s="755"/>
      <c r="U1394" s="755"/>
      <c r="V1394" s="756"/>
      <c r="W1394" s="1911"/>
      <c r="X1394" s="2487"/>
      <c r="Y1394" s="2487"/>
      <c r="Z1394" s="2487"/>
      <c r="AA1394" s="2487"/>
      <c r="AB1394" s="2487"/>
      <c r="AC1394" s="2487"/>
      <c r="AD1394" s="2487"/>
      <c r="AE1394" s="2487"/>
      <c r="AF1394" s="2487"/>
      <c r="AG1394" s="2487"/>
      <c r="AH1394" s="2487"/>
      <c r="AI1394" s="2487"/>
      <c r="AJ1394" s="2346">
        <v>0</v>
      </c>
      <c r="AK1394" s="2346">
        <v>0</v>
      </c>
      <c r="AL1394" s="2346">
        <v>0</v>
      </c>
      <c r="AM1394" s="2346">
        <v>0</v>
      </c>
      <c r="AN1394" s="2346">
        <v>0</v>
      </c>
      <c r="AO1394" s="2346">
        <v>0</v>
      </c>
      <c r="AP1394" s="2346">
        <v>0</v>
      </c>
    </row>
    <row r="1395" spans="1:42" ht="14.5">
      <c r="A1395" s="1693">
        <v>1</v>
      </c>
      <c r="B1395" s="616">
        <v>1</v>
      </c>
      <c r="C1395" s="1693">
        <v>1</v>
      </c>
      <c r="D1395" s="616">
        <v>1</v>
      </c>
      <c r="E1395" s="1693">
        <v>1</v>
      </c>
      <c r="F1395" s="616">
        <v>1</v>
      </c>
      <c r="G1395" s="1693">
        <v>1378</v>
      </c>
      <c r="H1395" s="616">
        <v>1</v>
      </c>
      <c r="J1395" s="709" t="s">
        <v>512</v>
      </c>
      <c r="K1395" s="1764" t="s">
        <v>1216</v>
      </c>
      <c r="L1395" s="519"/>
      <c r="M1395"/>
      <c r="N1395" s="4"/>
      <c r="O1395" s="1098"/>
      <c r="P1395" s="1120"/>
      <c r="Q1395" s="2206" t="s">
        <v>1019</v>
      </c>
      <c r="R1395" s="2207"/>
      <c r="S1395" s="2207"/>
      <c r="T1395" s="2208"/>
      <c r="U1395" s="2208"/>
      <c r="V1395" s="2488"/>
      <c r="W1395" s="1911"/>
      <c r="X1395" s="2489">
        <v>275</v>
      </c>
      <c r="Y1395" s="2489">
        <v>275</v>
      </c>
      <c r="Z1395" s="2489">
        <v>375</v>
      </c>
      <c r="AA1395" s="2489">
        <v>275</v>
      </c>
      <c r="AB1395" s="2489">
        <v>275</v>
      </c>
      <c r="AC1395" s="2489">
        <v>375</v>
      </c>
      <c r="AD1395" s="2489">
        <v>275</v>
      </c>
      <c r="AE1395" s="2489">
        <v>275</v>
      </c>
      <c r="AF1395" s="2489">
        <v>375</v>
      </c>
      <c r="AG1395" s="2489">
        <v>300</v>
      </c>
      <c r="AH1395" s="2489">
        <v>300</v>
      </c>
      <c r="AI1395" s="2489">
        <v>375</v>
      </c>
      <c r="AJ1395" s="2490">
        <v>925</v>
      </c>
      <c r="AK1395" s="2490">
        <v>925</v>
      </c>
      <c r="AL1395" s="2490">
        <v>925</v>
      </c>
      <c r="AM1395" s="2490">
        <v>975</v>
      </c>
      <c r="AN1395" s="2490">
        <v>1850</v>
      </c>
      <c r="AO1395" s="2490">
        <v>1900</v>
      </c>
      <c r="AP1395" s="2490">
        <v>3750</v>
      </c>
    </row>
    <row r="1396" spans="1:42" ht="14.5">
      <c r="A1396" s="1693">
        <v>1</v>
      </c>
      <c r="B1396" s="616">
        <v>1</v>
      </c>
      <c r="C1396" s="1693">
        <v>1</v>
      </c>
      <c r="D1396" s="616">
        <v>1</v>
      </c>
      <c r="E1396" s="1693">
        <v>1</v>
      </c>
      <c r="F1396" s="616">
        <v>1</v>
      </c>
      <c r="G1396" s="1693">
        <v>1379</v>
      </c>
      <c r="H1396" s="616">
        <v>1</v>
      </c>
      <c r="J1396" s="709" t="s">
        <v>512</v>
      </c>
      <c r="K1396" s="1764" t="s">
        <v>1216</v>
      </c>
      <c r="L1396" s="519"/>
      <c r="M1396"/>
      <c r="N1396" s="4"/>
      <c r="O1396" s="1098"/>
      <c r="P1396" s="2491" t="s">
        <v>1180</v>
      </c>
      <c r="Q1396" s="1120"/>
      <c r="R1396" s="1120"/>
      <c r="S1396" s="1120"/>
      <c r="T1396" s="1117"/>
      <c r="U1396" s="1117"/>
      <c r="V1396" s="1118"/>
      <c r="W1396" s="2481"/>
      <c r="X1396" s="2482">
        <v>0</v>
      </c>
      <c r="Y1396" s="2482">
        <v>0</v>
      </c>
      <c r="Z1396" s="2482">
        <v>0</v>
      </c>
      <c r="AA1396" s="2482">
        <v>0</v>
      </c>
      <c r="AB1396" s="2482">
        <v>0</v>
      </c>
      <c r="AC1396" s="2482">
        <v>0</v>
      </c>
      <c r="AD1396" s="2482">
        <v>0</v>
      </c>
      <c r="AE1396" s="2482">
        <v>0</v>
      </c>
      <c r="AF1396" s="2482">
        <v>0</v>
      </c>
      <c r="AG1396" s="2482">
        <v>0</v>
      </c>
      <c r="AH1396" s="2482">
        <v>0</v>
      </c>
      <c r="AI1396" s="2482">
        <v>0</v>
      </c>
      <c r="AJ1396" s="2482">
        <v>0</v>
      </c>
      <c r="AK1396" s="2482">
        <v>0</v>
      </c>
      <c r="AL1396" s="2482">
        <v>0</v>
      </c>
      <c r="AM1396" s="2482">
        <v>0</v>
      </c>
      <c r="AN1396" s="2482">
        <v>0</v>
      </c>
      <c r="AO1396" s="2482">
        <v>0</v>
      </c>
      <c r="AP1396" s="2482">
        <v>0</v>
      </c>
    </row>
    <row r="1397" spans="1:42" ht="14.5">
      <c r="A1397" s="1693">
        <v>1</v>
      </c>
      <c r="B1397" s="616">
        <v>1</v>
      </c>
      <c r="C1397" s="1693">
        <v>1</v>
      </c>
      <c r="D1397" s="616">
        <v>1</v>
      </c>
      <c r="E1397" s="1693">
        <v>1</v>
      </c>
      <c r="F1397" s="616">
        <v>1</v>
      </c>
      <c r="G1397" s="1693">
        <v>1380</v>
      </c>
      <c r="H1397" s="616">
        <v>1</v>
      </c>
      <c r="J1397" s="709" t="s">
        <v>512</v>
      </c>
      <c r="K1397" s="1764" t="s">
        <v>1216</v>
      </c>
      <c r="L1397" s="519"/>
      <c r="M1397"/>
      <c r="N1397" s="4"/>
      <c r="O1397" s="1098"/>
      <c r="P1397" s="1116" t="s">
        <v>1181</v>
      </c>
      <c r="Q1397" s="1119"/>
      <c r="R1397" s="1119"/>
      <c r="S1397" s="1119"/>
      <c r="T1397" s="1116"/>
      <c r="U1397" s="1116"/>
      <c r="V1397" s="1122"/>
      <c r="W1397" s="2481"/>
      <c r="X1397" s="2492">
        <v>0</v>
      </c>
      <c r="Y1397" s="2492">
        <v>0</v>
      </c>
      <c r="Z1397" s="2492">
        <v>0</v>
      </c>
      <c r="AA1397" s="2492">
        <v>0</v>
      </c>
      <c r="AB1397" s="2492">
        <v>0</v>
      </c>
      <c r="AC1397" s="2492">
        <v>0</v>
      </c>
      <c r="AD1397" s="2492">
        <v>0</v>
      </c>
      <c r="AE1397" s="2492">
        <v>0</v>
      </c>
      <c r="AF1397" s="2492">
        <v>0</v>
      </c>
      <c r="AG1397" s="2492">
        <v>0</v>
      </c>
      <c r="AH1397" s="2492">
        <v>0</v>
      </c>
      <c r="AI1397" s="2492">
        <v>0</v>
      </c>
      <c r="AJ1397" s="2492">
        <v>0</v>
      </c>
      <c r="AK1397" s="2492">
        <v>0</v>
      </c>
      <c r="AL1397" s="2492">
        <v>0</v>
      </c>
      <c r="AM1397" s="2492">
        <v>0</v>
      </c>
      <c r="AN1397" s="2492">
        <v>0</v>
      </c>
      <c r="AO1397" s="2492">
        <v>0</v>
      </c>
      <c r="AP1397" s="2492">
        <v>0</v>
      </c>
    </row>
    <row r="1398" spans="1:42" ht="14.5">
      <c r="A1398" s="1693">
        <v>1</v>
      </c>
      <c r="B1398" s="616">
        <v>1</v>
      </c>
      <c r="C1398" s="1693">
        <v>1</v>
      </c>
      <c r="D1398" s="616">
        <v>1</v>
      </c>
      <c r="E1398" s="1693">
        <v>1</v>
      </c>
      <c r="F1398" s="616">
        <v>1</v>
      </c>
      <c r="G1398" s="1693">
        <v>1381</v>
      </c>
      <c r="H1398" s="616">
        <v>1</v>
      </c>
      <c r="J1398" s="709" t="s">
        <v>512</v>
      </c>
      <c r="K1398" s="1764" t="s">
        <v>1216</v>
      </c>
      <c r="L1398" s="519"/>
      <c r="M1398"/>
      <c r="N1398" s="4"/>
      <c r="O1398" s="1109"/>
      <c r="P1398" s="3" t="s">
        <v>55</v>
      </c>
      <c r="Q1398" s="4"/>
      <c r="R1398" s="4"/>
      <c r="S1398" s="4"/>
      <c r="T1398" s="4"/>
      <c r="U1398" s="4"/>
      <c r="V1398" s="79"/>
      <c r="W1398" s="1785"/>
      <c r="X1398" s="1223">
        <v>0.25</v>
      </c>
      <c r="Y1398" s="1223">
        <v>0.25</v>
      </c>
      <c r="Z1398" s="1223">
        <v>0.25</v>
      </c>
      <c r="AA1398" s="1223">
        <v>0.25</v>
      </c>
      <c r="AB1398" s="1223">
        <v>0.25</v>
      </c>
      <c r="AC1398" s="1223">
        <v>0.25</v>
      </c>
      <c r="AD1398" s="1223">
        <v>0.25</v>
      </c>
      <c r="AE1398" s="1223">
        <v>0.25</v>
      </c>
      <c r="AF1398" s="1223">
        <v>0.25</v>
      </c>
      <c r="AG1398" s="1223">
        <v>0.25</v>
      </c>
      <c r="AH1398" s="1223">
        <v>0.25</v>
      </c>
      <c r="AI1398" s="1223">
        <v>0.25</v>
      </c>
      <c r="AJ1398" s="1223">
        <v>0.25</v>
      </c>
      <c r="AK1398" s="1223">
        <v>0.25</v>
      </c>
      <c r="AL1398" s="1223">
        <v>0.25</v>
      </c>
      <c r="AM1398" s="1223">
        <v>0.25</v>
      </c>
      <c r="AN1398" s="1223">
        <v>0.25</v>
      </c>
      <c r="AO1398" s="1223">
        <v>0.25</v>
      </c>
      <c r="AP1398" s="1223">
        <v>0.25</v>
      </c>
    </row>
    <row r="1399" spans="1:42" ht="14.5">
      <c r="A1399" s="1693">
        <v>1</v>
      </c>
      <c r="B1399" s="616">
        <v>1</v>
      </c>
      <c r="C1399" s="1693">
        <v>1</v>
      </c>
      <c r="D1399" s="616">
        <v>1</v>
      </c>
      <c r="E1399" s="1693">
        <v>1</v>
      </c>
      <c r="F1399" s="616">
        <v>1</v>
      </c>
      <c r="G1399" s="1693">
        <v>1382</v>
      </c>
      <c r="H1399" s="616">
        <v>1</v>
      </c>
      <c r="J1399" s="709" t="s">
        <v>512</v>
      </c>
      <c r="K1399" s="1764" t="s">
        <v>1216</v>
      </c>
      <c r="L1399" s="519"/>
      <c r="M1399"/>
      <c r="N1399" s="4"/>
      <c r="O1399" s="1098" t="s">
        <v>29</v>
      </c>
      <c r="P1399" s="1099"/>
      <c r="Q1399" s="1100"/>
      <c r="R1399" s="1100"/>
      <c r="S1399" s="1100"/>
      <c r="T1399" s="1100"/>
      <c r="U1399" s="1100"/>
      <c r="V1399" s="1101"/>
      <c r="W1399" s="1852"/>
      <c r="X1399" s="2476">
        <v>308</v>
      </c>
      <c r="Y1399" s="2476">
        <v>308</v>
      </c>
      <c r="Z1399" s="2476">
        <v>308</v>
      </c>
      <c r="AA1399" s="2476">
        <v>308</v>
      </c>
      <c r="AB1399" s="2476">
        <v>308</v>
      </c>
      <c r="AC1399" s="2476">
        <v>308</v>
      </c>
      <c r="AD1399" s="2476">
        <v>308</v>
      </c>
      <c r="AE1399" s="2476">
        <v>308</v>
      </c>
      <c r="AF1399" s="2476">
        <v>308</v>
      </c>
      <c r="AG1399" s="2476">
        <v>308</v>
      </c>
      <c r="AH1399" s="2476">
        <v>308</v>
      </c>
      <c r="AI1399" s="2476">
        <v>308</v>
      </c>
      <c r="AJ1399" s="2476">
        <v>924</v>
      </c>
      <c r="AK1399" s="2476">
        <v>924</v>
      </c>
      <c r="AL1399" s="2476">
        <v>924</v>
      </c>
      <c r="AM1399" s="2476">
        <v>924</v>
      </c>
      <c r="AN1399" s="2476">
        <v>1848</v>
      </c>
      <c r="AO1399" s="2476">
        <v>1848</v>
      </c>
      <c r="AP1399" s="2476">
        <v>3696</v>
      </c>
    </row>
    <row r="1400" spans="1:42" ht="14.5">
      <c r="A1400" s="1693">
        <v>1</v>
      </c>
      <c r="B1400" s="616">
        <v>1</v>
      </c>
      <c r="C1400" s="1693">
        <v>1</v>
      </c>
      <c r="D1400" s="616">
        <v>1</v>
      </c>
      <c r="E1400" s="1693">
        <v>1</v>
      </c>
      <c r="F1400" s="616">
        <v>1</v>
      </c>
      <c r="G1400" s="1693">
        <v>1383</v>
      </c>
      <c r="H1400" s="616">
        <v>1</v>
      </c>
      <c r="J1400" s="709" t="s">
        <v>512</v>
      </c>
      <c r="K1400" s="1764" t="s">
        <v>1216</v>
      </c>
      <c r="L1400" s="519"/>
      <c r="M1400"/>
      <c r="N1400" s="4"/>
      <c r="O1400" s="27"/>
      <c r="P1400" s="36" t="s">
        <v>63</v>
      </c>
      <c r="Q1400" s="4"/>
      <c r="R1400" s="4"/>
      <c r="S1400" s="3"/>
      <c r="T1400" s="3"/>
      <c r="U1400" s="3"/>
      <c r="V1400" s="26"/>
      <c r="W1400" s="1853"/>
      <c r="X1400" s="2004">
        <v>80</v>
      </c>
      <c r="Y1400" s="2004">
        <v>80</v>
      </c>
      <c r="Z1400" s="2004">
        <v>80</v>
      </c>
      <c r="AA1400" s="2004">
        <v>80</v>
      </c>
      <c r="AB1400" s="2004">
        <v>80</v>
      </c>
      <c r="AC1400" s="2004">
        <v>80</v>
      </c>
      <c r="AD1400" s="2004">
        <v>80</v>
      </c>
      <c r="AE1400" s="2004">
        <v>80</v>
      </c>
      <c r="AF1400" s="2004">
        <v>80</v>
      </c>
      <c r="AG1400" s="2004">
        <v>80</v>
      </c>
      <c r="AH1400" s="2004">
        <v>80</v>
      </c>
      <c r="AI1400" s="2004">
        <v>80</v>
      </c>
      <c r="AJ1400" s="2002">
        <v>240</v>
      </c>
      <c r="AK1400" s="2002">
        <v>240</v>
      </c>
      <c r="AL1400" s="2002">
        <v>240</v>
      </c>
      <c r="AM1400" s="2002">
        <v>240</v>
      </c>
      <c r="AN1400" s="2002">
        <v>480</v>
      </c>
      <c r="AO1400" s="2002">
        <v>480</v>
      </c>
      <c r="AP1400" s="2002">
        <v>960</v>
      </c>
    </row>
    <row r="1401" spans="1:42" ht="14.5">
      <c r="A1401" s="1693">
        <v>1</v>
      </c>
      <c r="B1401" s="616">
        <v>1</v>
      </c>
      <c r="C1401" s="1693">
        <v>1</v>
      </c>
      <c r="D1401" s="616">
        <v>1</v>
      </c>
      <c r="E1401" s="1693">
        <v>1</v>
      </c>
      <c r="F1401" s="616">
        <v>1</v>
      </c>
      <c r="G1401" s="1693">
        <v>1384</v>
      </c>
      <c r="H1401" s="616">
        <v>1</v>
      </c>
      <c r="J1401" s="709" t="s">
        <v>512</v>
      </c>
      <c r="K1401" s="1764" t="s">
        <v>1216</v>
      </c>
      <c r="L1401" s="519"/>
      <c r="M1401"/>
      <c r="N1401" s="4"/>
      <c r="O1401" s="27"/>
      <c r="P1401" s="36" t="s">
        <v>28</v>
      </c>
      <c r="Q1401" s="4"/>
      <c r="R1401" s="4"/>
      <c r="S1401" s="3"/>
      <c r="T1401" s="3"/>
      <c r="U1401" s="3"/>
      <c r="V1401" s="26"/>
      <c r="W1401" s="1853"/>
      <c r="X1401" s="2004">
        <v>208</v>
      </c>
      <c r="Y1401" s="2004">
        <v>208</v>
      </c>
      <c r="Z1401" s="2004">
        <v>208</v>
      </c>
      <c r="AA1401" s="2004">
        <v>208</v>
      </c>
      <c r="AB1401" s="2004">
        <v>208</v>
      </c>
      <c r="AC1401" s="2004">
        <v>208</v>
      </c>
      <c r="AD1401" s="2004">
        <v>208</v>
      </c>
      <c r="AE1401" s="2004">
        <v>208</v>
      </c>
      <c r="AF1401" s="2004">
        <v>208</v>
      </c>
      <c r="AG1401" s="2004">
        <v>208</v>
      </c>
      <c r="AH1401" s="2004">
        <v>208</v>
      </c>
      <c r="AI1401" s="2004">
        <v>208</v>
      </c>
      <c r="AJ1401" s="2002">
        <v>624</v>
      </c>
      <c r="AK1401" s="2002">
        <v>624</v>
      </c>
      <c r="AL1401" s="2002">
        <v>624</v>
      </c>
      <c r="AM1401" s="2002">
        <v>624</v>
      </c>
      <c r="AN1401" s="2002">
        <v>1248</v>
      </c>
      <c r="AO1401" s="2002">
        <v>1248</v>
      </c>
      <c r="AP1401" s="2002">
        <v>2496</v>
      </c>
    </row>
    <row r="1402" spans="1:42" ht="14.5">
      <c r="A1402" s="1693">
        <v>1</v>
      </c>
      <c r="B1402" s="616">
        <v>1</v>
      </c>
      <c r="C1402" s="1693">
        <v>1</v>
      </c>
      <c r="D1402" s="616">
        <v>1</v>
      </c>
      <c r="E1402" s="1693">
        <v>1</v>
      </c>
      <c r="F1402" s="616">
        <v>1</v>
      </c>
      <c r="G1402" s="1693">
        <v>1385</v>
      </c>
      <c r="H1402" s="616">
        <v>1</v>
      </c>
      <c r="J1402" s="709" t="s">
        <v>512</v>
      </c>
      <c r="K1402" s="1764" t="s">
        <v>1216</v>
      </c>
      <c r="L1402" s="519"/>
      <c r="M1402"/>
      <c r="N1402" s="4"/>
      <c r="O1402" s="27"/>
      <c r="P1402" s="36" t="s">
        <v>62</v>
      </c>
      <c r="Q1402" s="48"/>
      <c r="R1402" s="48"/>
      <c r="S1402" s="47"/>
      <c r="T1402" s="47"/>
      <c r="U1402" s="47"/>
      <c r="V1402" s="46"/>
      <c r="W1402" s="1853"/>
      <c r="X1402" s="2014">
        <v>20</v>
      </c>
      <c r="Y1402" s="2014">
        <v>20</v>
      </c>
      <c r="Z1402" s="2014">
        <v>20</v>
      </c>
      <c r="AA1402" s="2014">
        <v>20</v>
      </c>
      <c r="AB1402" s="2014">
        <v>20</v>
      </c>
      <c r="AC1402" s="2014">
        <v>20</v>
      </c>
      <c r="AD1402" s="2014">
        <v>20</v>
      </c>
      <c r="AE1402" s="2014">
        <v>20</v>
      </c>
      <c r="AF1402" s="2014">
        <v>20</v>
      </c>
      <c r="AG1402" s="2014">
        <v>20</v>
      </c>
      <c r="AH1402" s="2014">
        <v>20</v>
      </c>
      <c r="AI1402" s="2014">
        <v>20</v>
      </c>
      <c r="AJ1402" s="2012">
        <v>60</v>
      </c>
      <c r="AK1402" s="2012">
        <v>60</v>
      </c>
      <c r="AL1402" s="2012">
        <v>60</v>
      </c>
      <c r="AM1402" s="2012">
        <v>60</v>
      </c>
      <c r="AN1402" s="2012">
        <v>120</v>
      </c>
      <c r="AO1402" s="2012">
        <v>120</v>
      </c>
      <c r="AP1402" s="2012">
        <v>240</v>
      </c>
    </row>
    <row r="1403" spans="1:42" ht="14.5">
      <c r="A1403" s="1693">
        <v>1</v>
      </c>
      <c r="B1403" s="616">
        <v>1</v>
      </c>
      <c r="C1403" s="1693">
        <v>1</v>
      </c>
      <c r="D1403" s="616">
        <v>1</v>
      </c>
      <c r="E1403" s="1693">
        <v>1</v>
      </c>
      <c r="F1403" s="616">
        <v>1</v>
      </c>
      <c r="G1403" s="1693">
        <v>1386</v>
      </c>
      <c r="H1403" s="616">
        <v>1</v>
      </c>
      <c r="J1403" s="709" t="s">
        <v>512</v>
      </c>
      <c r="K1403" s="1764" t="s">
        <v>1216</v>
      </c>
      <c r="L1403" s="519"/>
      <c r="M1403"/>
      <c r="N1403" s="4"/>
      <c r="O1403" s="2477" t="s">
        <v>56</v>
      </c>
      <c r="P1403" s="1103"/>
      <c r="Q1403" s="1104"/>
      <c r="R1403" s="1104"/>
      <c r="S1403" s="1104"/>
      <c r="T1403" s="1104"/>
      <c r="U1403" s="1104"/>
      <c r="V1403" s="2478"/>
      <c r="W1403" s="1883"/>
      <c r="X1403" s="1894">
        <v>-33</v>
      </c>
      <c r="Y1403" s="1894">
        <v>-33</v>
      </c>
      <c r="Z1403" s="1894">
        <v>67</v>
      </c>
      <c r="AA1403" s="1894">
        <v>-33</v>
      </c>
      <c r="AB1403" s="1894">
        <v>-33</v>
      </c>
      <c r="AC1403" s="1894">
        <v>67</v>
      </c>
      <c r="AD1403" s="1894">
        <v>-33</v>
      </c>
      <c r="AE1403" s="1894">
        <v>-33</v>
      </c>
      <c r="AF1403" s="1894">
        <v>67</v>
      </c>
      <c r="AG1403" s="1894">
        <v>-8</v>
      </c>
      <c r="AH1403" s="1894">
        <v>-8</v>
      </c>
      <c r="AI1403" s="1894">
        <v>67</v>
      </c>
      <c r="AJ1403" s="1894">
        <v>1</v>
      </c>
      <c r="AK1403" s="1894">
        <v>1</v>
      </c>
      <c r="AL1403" s="1894">
        <v>1</v>
      </c>
      <c r="AM1403" s="1894">
        <v>51</v>
      </c>
      <c r="AN1403" s="1894">
        <v>2</v>
      </c>
      <c r="AO1403" s="1894">
        <v>52</v>
      </c>
      <c r="AP1403" s="1894">
        <v>54</v>
      </c>
    </row>
    <row r="1404" spans="1:42" ht="14.5">
      <c r="A1404" s="1693">
        <v>1</v>
      </c>
      <c r="B1404" s="616">
        <v>1</v>
      </c>
      <c r="C1404" s="1693">
        <v>1</v>
      </c>
      <c r="D1404" s="616">
        <v>1</v>
      </c>
      <c r="E1404" s="1693">
        <v>1</v>
      </c>
      <c r="F1404" s="616">
        <v>1</v>
      </c>
      <c r="G1404" s="1693">
        <v>1387</v>
      </c>
      <c r="H1404" s="616">
        <v>1</v>
      </c>
      <c r="J1404" s="709" t="s">
        <v>512</v>
      </c>
      <c r="K1404" s="1764" t="s">
        <v>1216</v>
      </c>
      <c r="L1404" s="519"/>
      <c r="M1404"/>
      <c r="N1404" s="4"/>
      <c r="O1404" s="25"/>
      <c r="P1404" s="1" t="s">
        <v>55</v>
      </c>
      <c r="Q1404" s="2"/>
      <c r="R1404" s="2"/>
      <c r="S1404" s="1"/>
      <c r="T1404" s="1"/>
      <c r="U1404" s="1"/>
      <c r="V1404" s="24"/>
      <c r="W1404" s="1792"/>
      <c r="X1404" s="1229">
        <v>-0.03</v>
      </c>
      <c r="Y1404" s="1229">
        <v>-0.03</v>
      </c>
      <c r="Z1404" s="1229">
        <v>4.4666666666666667E-2</v>
      </c>
      <c r="AA1404" s="1229">
        <v>-0.03</v>
      </c>
      <c r="AB1404" s="1229">
        <v>-0.03</v>
      </c>
      <c r="AC1404" s="1229">
        <v>4.4666666666666667E-2</v>
      </c>
      <c r="AD1404" s="1229">
        <v>-0.03</v>
      </c>
      <c r="AE1404" s="1229">
        <v>-0.03</v>
      </c>
      <c r="AF1404" s="1229">
        <v>4.4666666666666667E-2</v>
      </c>
      <c r="AG1404" s="1229">
        <v>-6.6666666666666671E-3</v>
      </c>
      <c r="AH1404" s="1229">
        <v>-6.6666666666666671E-3</v>
      </c>
      <c r="AI1404" s="1229">
        <v>4.4666666666666667E-2</v>
      </c>
      <c r="AJ1404" s="1229">
        <v>2.7027027027027027E-4</v>
      </c>
      <c r="AK1404" s="1229">
        <v>2.7027027027027027E-4</v>
      </c>
      <c r="AL1404" s="1229">
        <v>2.7027027027027027E-4</v>
      </c>
      <c r="AM1404" s="1229">
        <v>1.3076923076923076E-2</v>
      </c>
      <c r="AN1404" s="1229">
        <v>2.7027027027027027E-4</v>
      </c>
      <c r="AO1404" s="1229">
        <v>6.842105263157895E-3</v>
      </c>
      <c r="AP1404" s="1229">
        <v>3.5999999999999999E-3</v>
      </c>
    </row>
    <row r="1405" spans="1:42" ht="14.5">
      <c r="A1405" s="1693">
        <v>1</v>
      </c>
      <c r="B1405" s="616">
        <v>1</v>
      </c>
      <c r="C1405" s="1693">
        <v>1</v>
      </c>
      <c r="D1405" s="616">
        <v>1</v>
      </c>
      <c r="E1405" s="1693">
        <v>1</v>
      </c>
      <c r="F1405" s="616">
        <v>1</v>
      </c>
      <c r="G1405" s="1693">
        <v>1388</v>
      </c>
      <c r="H1405" s="616">
        <v>1</v>
      </c>
      <c r="J1405" s="709" t="s">
        <v>512</v>
      </c>
      <c r="K1405" s="1764" t="s">
        <v>1216</v>
      </c>
      <c r="L1405" s="519"/>
      <c r="M1405"/>
      <c r="N1405" s="4"/>
      <c r="O1405" s="198" t="s">
        <v>994</v>
      </c>
      <c r="P1405" s="447"/>
      <c r="Q1405" s="514"/>
      <c r="R1405" s="514"/>
      <c r="S1405" s="447"/>
      <c r="T1405" s="447"/>
      <c r="U1405" s="447"/>
      <c r="V1405" s="2467"/>
      <c r="W1405" s="1853"/>
      <c r="X1405" s="2016"/>
      <c r="Y1405" s="2479"/>
      <c r="Z1405" s="2479"/>
      <c r="AA1405" s="2479"/>
      <c r="AB1405" s="2479"/>
      <c r="AC1405" s="2479"/>
      <c r="AD1405" s="2479"/>
      <c r="AE1405" s="2479"/>
      <c r="AF1405" s="2479"/>
      <c r="AG1405" s="2479"/>
      <c r="AH1405" s="2479"/>
      <c r="AI1405" s="2479"/>
      <c r="AJ1405" s="1978">
        <v>0</v>
      </c>
      <c r="AK1405" s="1978">
        <v>0</v>
      </c>
      <c r="AL1405" s="1978">
        <v>0</v>
      </c>
      <c r="AM1405" s="1978">
        <v>0</v>
      </c>
      <c r="AN1405" s="1978">
        <v>0</v>
      </c>
      <c r="AO1405" s="1978">
        <v>0</v>
      </c>
      <c r="AP1405" s="1978">
        <v>0</v>
      </c>
    </row>
    <row r="1406" spans="1:42" ht="14.5">
      <c r="A1406" s="1693">
        <v>1</v>
      </c>
      <c r="B1406" s="616">
        <v>1</v>
      </c>
      <c r="C1406" s="1693">
        <v>1</v>
      </c>
      <c r="D1406" s="616">
        <v>1</v>
      </c>
      <c r="E1406" s="1693">
        <v>1</v>
      </c>
      <c r="F1406" s="616">
        <v>1</v>
      </c>
      <c r="G1406" s="1693">
        <v>1389</v>
      </c>
      <c r="H1406" s="616">
        <v>1</v>
      </c>
      <c r="J1406" s="709" t="s">
        <v>512</v>
      </c>
      <c r="K1406" s="1764" t="s">
        <v>1216</v>
      </c>
      <c r="L1406" s="519"/>
      <c r="M1406"/>
      <c r="N1406" s="4"/>
      <c r="O1406" s="106" t="s">
        <v>995</v>
      </c>
      <c r="P1406" s="104"/>
      <c r="Q1406" s="105"/>
      <c r="R1406" s="105"/>
      <c r="S1406" s="104"/>
      <c r="T1406" s="104"/>
      <c r="U1406" s="104"/>
      <c r="V1406" s="103"/>
      <c r="W1406" s="1853"/>
      <c r="X1406" s="2018"/>
      <c r="Y1406" s="2480"/>
      <c r="Z1406" s="2480"/>
      <c r="AA1406" s="2480"/>
      <c r="AB1406" s="2480"/>
      <c r="AC1406" s="2480"/>
      <c r="AD1406" s="2480"/>
      <c r="AE1406" s="2480"/>
      <c r="AF1406" s="2480"/>
      <c r="AG1406" s="2480"/>
      <c r="AH1406" s="2480"/>
      <c r="AI1406" s="2480"/>
      <c r="AJ1406" s="1980">
        <v>0</v>
      </c>
      <c r="AK1406" s="1980">
        <v>0</v>
      </c>
      <c r="AL1406" s="1980">
        <v>0</v>
      </c>
      <c r="AM1406" s="1980">
        <v>0</v>
      </c>
      <c r="AN1406" s="1980">
        <v>0</v>
      </c>
      <c r="AO1406" s="1980">
        <v>0</v>
      </c>
      <c r="AP1406" s="1980">
        <v>0</v>
      </c>
    </row>
    <row r="1407" spans="1:42" ht="14.5">
      <c r="A1407" s="1693">
        <v>1</v>
      </c>
      <c r="B1407" s="616">
        <v>1</v>
      </c>
      <c r="C1407" s="1693">
        <v>1</v>
      </c>
      <c r="D1407" s="616">
        <v>1</v>
      </c>
      <c r="E1407" s="1693">
        <v>1</v>
      </c>
      <c r="F1407" s="616">
        <v>1</v>
      </c>
      <c r="G1407" s="1693">
        <v>1390</v>
      </c>
      <c r="H1407" s="616">
        <v>1</v>
      </c>
      <c r="J1407" s="709" t="s">
        <v>512</v>
      </c>
      <c r="K1407" s="1764" t="s">
        <v>1216</v>
      </c>
      <c r="L1407" s="519"/>
      <c r="M1407"/>
      <c r="N1407" s="4"/>
      <c r="O1407" s="2477" t="s">
        <v>1</v>
      </c>
      <c r="P1407" s="1103"/>
      <c r="Q1407" s="1104"/>
      <c r="R1407" s="1104"/>
      <c r="S1407" s="1104"/>
      <c r="T1407" s="1104"/>
      <c r="U1407" s="1104"/>
      <c r="V1407" s="2478"/>
      <c r="W1407" s="1883"/>
      <c r="X1407" s="1894">
        <v>-33</v>
      </c>
      <c r="Y1407" s="2478">
        <v>-33</v>
      </c>
      <c r="Z1407" s="2478">
        <v>67</v>
      </c>
      <c r="AA1407" s="2478">
        <v>-33</v>
      </c>
      <c r="AB1407" s="2478">
        <v>-33</v>
      </c>
      <c r="AC1407" s="2478">
        <v>67</v>
      </c>
      <c r="AD1407" s="2478">
        <v>-33</v>
      </c>
      <c r="AE1407" s="2478">
        <v>-33</v>
      </c>
      <c r="AF1407" s="2478">
        <v>67</v>
      </c>
      <c r="AG1407" s="2478">
        <v>-8</v>
      </c>
      <c r="AH1407" s="2478">
        <v>-8</v>
      </c>
      <c r="AI1407" s="2478">
        <v>67</v>
      </c>
      <c r="AJ1407" s="2478">
        <v>1</v>
      </c>
      <c r="AK1407" s="2478">
        <v>1</v>
      </c>
      <c r="AL1407" s="2478">
        <v>1</v>
      </c>
      <c r="AM1407" s="2478">
        <v>51</v>
      </c>
      <c r="AN1407" s="2478">
        <v>2</v>
      </c>
      <c r="AO1407" s="2478">
        <v>52</v>
      </c>
      <c r="AP1407" s="2478">
        <v>54</v>
      </c>
    </row>
    <row r="1408" spans="1:42" ht="14.5">
      <c r="A1408" s="1693">
        <v>1</v>
      </c>
      <c r="B1408" s="616">
        <v>1</v>
      </c>
      <c r="C1408" s="1693">
        <v>1</v>
      </c>
      <c r="D1408" s="616">
        <v>1</v>
      </c>
      <c r="E1408" s="1693">
        <v>1</v>
      </c>
      <c r="F1408" s="616">
        <v>1</v>
      </c>
      <c r="G1408" s="1693">
        <v>1391</v>
      </c>
      <c r="H1408" s="616">
        <v>1</v>
      </c>
      <c r="J1408" s="709" t="s">
        <v>512</v>
      </c>
      <c r="K1408" s="1764" t="s">
        <v>1216</v>
      </c>
      <c r="L1408" s="519"/>
      <c r="M1408"/>
      <c r="N1408" s="4"/>
      <c r="O1408" s="25"/>
      <c r="P1408" s="1" t="s">
        <v>55</v>
      </c>
      <c r="Q1408" s="2"/>
      <c r="R1408" s="2"/>
      <c r="S1408" s="1"/>
      <c r="T1408" s="1"/>
      <c r="U1408" s="1"/>
      <c r="V1408" s="24"/>
      <c r="W1408" s="1792"/>
      <c r="X1408" s="1229">
        <v>-0.03</v>
      </c>
      <c r="Y1408" s="1229">
        <v>-0.03</v>
      </c>
      <c r="Z1408" s="1229">
        <v>4.4666666666666667E-2</v>
      </c>
      <c r="AA1408" s="1229">
        <v>-0.03</v>
      </c>
      <c r="AB1408" s="1229">
        <v>-0.03</v>
      </c>
      <c r="AC1408" s="1229">
        <v>4.4666666666666667E-2</v>
      </c>
      <c r="AD1408" s="1229">
        <v>-0.03</v>
      </c>
      <c r="AE1408" s="1229">
        <v>-0.03</v>
      </c>
      <c r="AF1408" s="1229">
        <v>4.4666666666666667E-2</v>
      </c>
      <c r="AG1408" s="1229">
        <v>-6.6666666666666671E-3</v>
      </c>
      <c r="AH1408" s="1229">
        <v>-6.6666666666666671E-3</v>
      </c>
      <c r="AI1408" s="1229">
        <v>4.4666666666666667E-2</v>
      </c>
      <c r="AJ1408" s="1229">
        <v>2.7027027027027027E-4</v>
      </c>
      <c r="AK1408" s="1229">
        <v>2.7027027027027027E-4</v>
      </c>
      <c r="AL1408" s="1229">
        <v>2.7027027027027027E-4</v>
      </c>
      <c r="AM1408" s="1229">
        <v>1.3076923076923076E-2</v>
      </c>
      <c r="AN1408" s="1229">
        <v>2.7027027027027027E-4</v>
      </c>
      <c r="AO1408" s="1229">
        <v>6.842105263157895E-3</v>
      </c>
      <c r="AP1408" s="1229">
        <v>3.5999999999999999E-3</v>
      </c>
    </row>
    <row r="1409" spans="1:42" ht="14.5">
      <c r="A1409" s="1693">
        <v>1</v>
      </c>
      <c r="B1409" s="616">
        <v>1</v>
      </c>
      <c r="C1409" s="1693">
        <v>1</v>
      </c>
      <c r="D1409" s="616">
        <v>1</v>
      </c>
      <c r="E1409" s="1693">
        <v>1</v>
      </c>
      <c r="F1409" s="616">
        <v>1</v>
      </c>
      <c r="G1409" s="1693">
        <v>1392</v>
      </c>
      <c r="H1409" s="616">
        <v>1</v>
      </c>
      <c r="J1409" s="709" t="s">
        <v>512</v>
      </c>
      <c r="K1409" s="1764" t="s">
        <v>1216</v>
      </c>
      <c r="L1409" s="519"/>
      <c r="M1409"/>
      <c r="N1409" s="4"/>
      <c r="O1409" s="4"/>
      <c r="P1409" s="3"/>
      <c r="Q1409" s="4"/>
      <c r="R1409" s="4"/>
      <c r="S1409" s="3"/>
      <c r="T1409" s="3"/>
      <c r="U1409" s="3"/>
      <c r="V1409" s="3"/>
      <c r="W1409" s="1847"/>
      <c r="X1409" s="1678"/>
      <c r="Y1409" s="1678"/>
      <c r="Z1409" s="1678"/>
      <c r="AA1409" s="1678"/>
      <c r="AB1409" s="1678"/>
      <c r="AC1409" s="1678"/>
      <c r="AD1409" s="1678"/>
      <c r="AE1409" s="1678"/>
      <c r="AF1409" s="1678"/>
      <c r="AG1409" s="1678"/>
      <c r="AH1409" s="1678"/>
      <c r="AI1409" s="1678"/>
      <c r="AJ1409" s="1678"/>
      <c r="AK1409" s="1678"/>
      <c r="AL1409" s="1678"/>
      <c r="AM1409" s="1678"/>
      <c r="AN1409" s="1678"/>
      <c r="AO1409" s="1678"/>
      <c r="AP1409" s="1678"/>
    </row>
    <row r="1410" spans="1:42" ht="14.5">
      <c r="A1410" s="1693">
        <v>1</v>
      </c>
      <c r="B1410" s="616">
        <v>1</v>
      </c>
      <c r="C1410" s="1693">
        <v>1</v>
      </c>
      <c r="D1410" s="616">
        <v>1</v>
      </c>
      <c r="E1410" s="1693">
        <v>1</v>
      </c>
      <c r="F1410" s="616">
        <v>1</v>
      </c>
      <c r="G1410" s="1693">
        <v>1393</v>
      </c>
      <c r="H1410" s="616">
        <v>1</v>
      </c>
      <c r="J1410" s="709" t="s">
        <v>512</v>
      </c>
      <c r="K1410" s="1764" t="s">
        <v>1216</v>
      </c>
      <c r="L1410" s="519"/>
      <c r="M1410" s="35" t="s">
        <v>959</v>
      </c>
      <c r="N1410" s="9"/>
      <c r="P1410"/>
      <c r="Q1410"/>
      <c r="R1410"/>
      <c r="S1410"/>
      <c r="T1410"/>
      <c r="U1410"/>
      <c r="V1410"/>
      <c r="W1410" s="1845"/>
      <c r="X1410"/>
      <c r="Y1410"/>
      <c r="Z1410"/>
      <c r="AA1410"/>
      <c r="AB1410"/>
      <c r="AC1410"/>
      <c r="AD1410"/>
      <c r="AE1410"/>
      <c r="AF1410"/>
      <c r="AG1410"/>
      <c r="AH1410"/>
      <c r="AI1410"/>
      <c r="AJ1410"/>
      <c r="AK1410"/>
      <c r="AL1410"/>
      <c r="AM1410"/>
      <c r="AN1410"/>
      <c r="AO1410"/>
      <c r="AP1410"/>
    </row>
    <row r="1411" spans="1:42" ht="14.5">
      <c r="A1411" s="1693">
        <v>1</v>
      </c>
      <c r="B1411" s="616">
        <v>1</v>
      </c>
      <c r="C1411" s="1693">
        <v>1</v>
      </c>
      <c r="D1411" s="616">
        <v>1</v>
      </c>
      <c r="E1411" s="1693">
        <v>1</v>
      </c>
      <c r="F1411" s="616">
        <v>1</v>
      </c>
      <c r="G1411" s="1693">
        <v>1394</v>
      </c>
      <c r="H1411" s="616">
        <v>1</v>
      </c>
      <c r="J1411" s="709" t="s">
        <v>512</v>
      </c>
      <c r="K1411" s="1764" t="s">
        <v>1216</v>
      </c>
      <c r="L1411" s="519"/>
      <c r="M1411" s="206"/>
      <c r="N1411" s="4" t="s">
        <v>960</v>
      </c>
      <c r="O1411" s="4"/>
      <c r="P1411" s="3"/>
      <c r="Q1411" s="4"/>
      <c r="R1411" s="4"/>
      <c r="S1411" s="3"/>
      <c r="T1411" s="3"/>
      <c r="U1411" s="3"/>
      <c r="V1411" s="3"/>
      <c r="W1411" s="1773"/>
      <c r="X1411" s="1609"/>
      <c r="Y1411" s="1609"/>
      <c r="Z1411" s="1609"/>
      <c r="AA1411" s="1609"/>
      <c r="AB1411" s="1609"/>
      <c r="AC1411" s="1609"/>
      <c r="AD1411" s="1627"/>
      <c r="AE1411" s="1627"/>
      <c r="AF1411" s="1627"/>
      <c r="AG1411" s="1627"/>
      <c r="AH1411" s="454"/>
      <c r="AI1411" s="454"/>
      <c r="AJ1411" s="454"/>
      <c r="AK1411" s="454"/>
      <c r="AL1411" s="454"/>
      <c r="AM1411" s="454"/>
      <c r="AN1411" s="454"/>
      <c r="AO1411" s="454"/>
      <c r="AP1411" s="454"/>
    </row>
    <row r="1412" spans="1:42" ht="14.5">
      <c r="A1412" s="1693">
        <v>1</v>
      </c>
      <c r="B1412" s="616">
        <v>1</v>
      </c>
      <c r="C1412" s="1693">
        <v>1</v>
      </c>
      <c r="D1412" s="616">
        <v>1</v>
      </c>
      <c r="E1412" s="1693">
        <v>1</v>
      </c>
      <c r="F1412" s="616">
        <v>1</v>
      </c>
      <c r="G1412" s="1693">
        <v>1395</v>
      </c>
      <c r="H1412" s="616">
        <v>1</v>
      </c>
      <c r="J1412" s="709" t="s">
        <v>512</v>
      </c>
      <c r="K1412" s="1764" t="s">
        <v>1216</v>
      </c>
      <c r="L1412" s="519"/>
      <c r="M1412" s="206"/>
      <c r="N1412" s="206" t="s">
        <v>31</v>
      </c>
      <c r="O1412" s="198"/>
      <c r="P1412" s="447"/>
      <c r="Q1412" s="514"/>
      <c r="R1412" s="514"/>
      <c r="S1412" s="447"/>
      <c r="T1412" s="447"/>
      <c r="U1412" s="447"/>
      <c r="V1412" s="447"/>
      <c r="W1412" s="1773"/>
      <c r="X1412" s="1955">
        <v>45017</v>
      </c>
      <c r="Y1412" s="1955">
        <v>45047</v>
      </c>
      <c r="Z1412" s="1955">
        <v>45078</v>
      </c>
      <c r="AA1412" s="1955">
        <v>45108</v>
      </c>
      <c r="AB1412" s="1955">
        <v>45139</v>
      </c>
      <c r="AC1412" s="1955">
        <v>45170</v>
      </c>
      <c r="AD1412" s="1955">
        <v>45200</v>
      </c>
      <c r="AE1412" s="1955">
        <v>45231</v>
      </c>
      <c r="AF1412" s="1955">
        <v>45261</v>
      </c>
      <c r="AG1412" s="1955">
        <v>45292</v>
      </c>
      <c r="AH1412" s="1955">
        <v>45323</v>
      </c>
      <c r="AI1412" s="1955">
        <v>45352</v>
      </c>
      <c r="AJ1412" s="1955" t="s">
        <v>904</v>
      </c>
      <c r="AK1412" s="1955" t="s">
        <v>36</v>
      </c>
      <c r="AL1412" s="1955" t="s">
        <v>35</v>
      </c>
      <c r="AM1412" s="1955" t="s">
        <v>34</v>
      </c>
      <c r="AN1412" s="1955" t="s">
        <v>33</v>
      </c>
      <c r="AO1412" s="1955" t="s">
        <v>32</v>
      </c>
      <c r="AP1412" s="1955" t="s">
        <v>905</v>
      </c>
    </row>
    <row r="1413" spans="1:42" ht="14.5">
      <c r="A1413" s="1693">
        <v>1</v>
      </c>
      <c r="B1413" s="616">
        <v>1</v>
      </c>
      <c r="C1413" s="1693">
        <v>1</v>
      </c>
      <c r="D1413" s="616">
        <v>1</v>
      </c>
      <c r="E1413" s="1693">
        <v>1</v>
      </c>
      <c r="F1413" s="616">
        <v>1</v>
      </c>
      <c r="G1413" s="1693">
        <v>1396</v>
      </c>
      <c r="H1413" s="616">
        <v>1</v>
      </c>
      <c r="J1413" s="709" t="s">
        <v>512</v>
      </c>
      <c r="K1413" s="1764" t="s">
        <v>1216</v>
      </c>
      <c r="L1413" s="519"/>
      <c r="M1413" s="206"/>
      <c r="N1413" s="206" t="s">
        <v>31</v>
      </c>
      <c r="O1413" s="1891" t="s">
        <v>202</v>
      </c>
      <c r="P1413" s="2493"/>
      <c r="Q1413" s="1892"/>
      <c r="R1413" s="1892"/>
      <c r="S1413" s="1892"/>
      <c r="T1413" s="1892"/>
      <c r="U1413" s="1892"/>
      <c r="V1413" s="1892"/>
      <c r="W1413" s="1883"/>
      <c r="X1413" s="1894">
        <v>764</v>
      </c>
      <c r="Y1413" s="1894">
        <v>768</v>
      </c>
      <c r="Z1413" s="1894">
        <v>776</v>
      </c>
      <c r="AA1413" s="1894">
        <v>783</v>
      </c>
      <c r="AB1413" s="1894">
        <v>787</v>
      </c>
      <c r="AC1413" s="1894">
        <v>792</v>
      </c>
      <c r="AD1413" s="1894">
        <v>799</v>
      </c>
      <c r="AE1413" s="1894">
        <v>805</v>
      </c>
      <c r="AF1413" s="1894">
        <v>811</v>
      </c>
      <c r="AG1413" s="1894">
        <v>815</v>
      </c>
      <c r="AH1413" s="1894">
        <v>819</v>
      </c>
      <c r="AI1413" s="1894">
        <v>822</v>
      </c>
      <c r="AJ1413" s="1894">
        <v>776</v>
      </c>
      <c r="AK1413" s="1894">
        <v>792</v>
      </c>
      <c r="AL1413" s="1894">
        <v>811</v>
      </c>
      <c r="AM1413" s="1894">
        <v>822</v>
      </c>
      <c r="AN1413" s="1894">
        <v>792</v>
      </c>
      <c r="AO1413" s="1894">
        <v>822</v>
      </c>
      <c r="AP1413" s="1894">
        <v>822</v>
      </c>
    </row>
    <row r="1414" spans="1:42" ht="14.5">
      <c r="A1414" s="1693">
        <v>1</v>
      </c>
      <c r="B1414" s="616">
        <v>1</v>
      </c>
      <c r="C1414" s="1693">
        <v>1</v>
      </c>
      <c r="D1414" s="616">
        <v>1</v>
      </c>
      <c r="E1414" s="1693">
        <v>1</v>
      </c>
      <c r="F1414" s="616">
        <v>1</v>
      </c>
      <c r="G1414" s="1693">
        <v>1397</v>
      </c>
      <c r="H1414" s="616">
        <v>1</v>
      </c>
      <c r="J1414" s="709" t="s">
        <v>512</v>
      </c>
      <c r="K1414" s="1764" t="s">
        <v>1216</v>
      </c>
      <c r="L1414" s="519"/>
      <c r="M1414" s="206"/>
      <c r="N1414" s="206" t="s">
        <v>31</v>
      </c>
      <c r="O1414" s="1112"/>
      <c r="P1414" s="4" t="s">
        <v>14</v>
      </c>
      <c r="Q1414" s="4"/>
      <c r="R1414" s="4"/>
      <c r="S1414" s="3"/>
      <c r="T1414" s="3"/>
      <c r="U1414" s="3"/>
      <c r="V1414" s="26"/>
      <c r="W1414" s="1849"/>
      <c r="X1414" s="1378">
        <v>187</v>
      </c>
      <c r="Y1414" s="1378">
        <v>190</v>
      </c>
      <c r="Z1414" s="1378">
        <v>194</v>
      </c>
      <c r="AA1414" s="1378">
        <v>197</v>
      </c>
      <c r="AB1414" s="1378">
        <v>198</v>
      </c>
      <c r="AC1414" s="1378">
        <v>200</v>
      </c>
      <c r="AD1414" s="1378">
        <v>201</v>
      </c>
      <c r="AE1414" s="1378">
        <v>203</v>
      </c>
      <c r="AF1414" s="1378">
        <v>205</v>
      </c>
      <c r="AG1414" s="1378">
        <v>206</v>
      </c>
      <c r="AH1414" s="1378">
        <v>207</v>
      </c>
      <c r="AI1414" s="1378">
        <v>207</v>
      </c>
      <c r="AJ1414" s="1378">
        <v>194</v>
      </c>
      <c r="AK1414" s="1378">
        <v>200</v>
      </c>
      <c r="AL1414" s="1378">
        <v>205</v>
      </c>
      <c r="AM1414" s="1378">
        <v>207</v>
      </c>
      <c r="AN1414" s="1378">
        <v>200</v>
      </c>
      <c r="AO1414" s="1378">
        <v>207</v>
      </c>
      <c r="AP1414" s="1378">
        <v>207</v>
      </c>
    </row>
    <row r="1415" spans="1:42" ht="14.5">
      <c r="A1415" s="1693">
        <v>1</v>
      </c>
      <c r="B1415" s="616">
        <v>1</v>
      </c>
      <c r="C1415" s="1693">
        <v>1</v>
      </c>
      <c r="D1415" s="616">
        <v>1</v>
      </c>
      <c r="E1415" s="1693">
        <v>1</v>
      </c>
      <c r="F1415" s="616">
        <v>1</v>
      </c>
      <c r="G1415" s="1693">
        <v>1398</v>
      </c>
      <c r="H1415" s="616">
        <v>1</v>
      </c>
      <c r="J1415" s="709" t="s">
        <v>512</v>
      </c>
      <c r="K1415" s="1764" t="s">
        <v>1216</v>
      </c>
      <c r="L1415" s="519"/>
      <c r="M1415" s="206"/>
      <c r="N1415" s="206" t="s">
        <v>31</v>
      </c>
      <c r="O1415" s="1112"/>
      <c r="P1415" s="4" t="s">
        <v>204</v>
      </c>
      <c r="Q1415" s="4"/>
      <c r="R1415" s="4"/>
      <c r="S1415" s="3"/>
      <c r="T1415" s="3"/>
      <c r="U1415" s="3"/>
      <c r="V1415" s="26"/>
      <c r="W1415" s="1850"/>
      <c r="X1415" s="1378">
        <v>437</v>
      </c>
      <c r="Y1415" s="1378">
        <v>438</v>
      </c>
      <c r="Z1415" s="1378">
        <v>440</v>
      </c>
      <c r="AA1415" s="1378">
        <v>442</v>
      </c>
      <c r="AB1415" s="1378">
        <v>444</v>
      </c>
      <c r="AC1415" s="1378">
        <v>446</v>
      </c>
      <c r="AD1415" s="1378">
        <v>450</v>
      </c>
      <c r="AE1415" s="1378">
        <v>454</v>
      </c>
      <c r="AF1415" s="1378">
        <v>458</v>
      </c>
      <c r="AG1415" s="1378">
        <v>461</v>
      </c>
      <c r="AH1415" s="1378">
        <v>464</v>
      </c>
      <c r="AI1415" s="1378">
        <v>467</v>
      </c>
      <c r="AJ1415" s="2470">
        <v>440</v>
      </c>
      <c r="AK1415" s="2470">
        <v>446</v>
      </c>
      <c r="AL1415" s="2470">
        <v>458</v>
      </c>
      <c r="AM1415" s="2470">
        <v>467</v>
      </c>
      <c r="AN1415" s="2470">
        <v>446</v>
      </c>
      <c r="AO1415" s="2470">
        <v>467</v>
      </c>
      <c r="AP1415" s="2470">
        <v>467</v>
      </c>
    </row>
    <row r="1416" spans="1:42" ht="14.5">
      <c r="A1416" s="1693">
        <v>1</v>
      </c>
      <c r="B1416" s="616">
        <v>1</v>
      </c>
      <c r="C1416" s="1693">
        <v>1</v>
      </c>
      <c r="D1416" s="616">
        <v>1</v>
      </c>
      <c r="E1416" s="1693">
        <v>1</v>
      </c>
      <c r="F1416" s="616">
        <v>1</v>
      </c>
      <c r="G1416" s="1693">
        <v>1399</v>
      </c>
      <c r="H1416" s="616">
        <v>1</v>
      </c>
      <c r="J1416" s="709" t="s">
        <v>512</v>
      </c>
      <c r="K1416" s="1764" t="s">
        <v>1216</v>
      </c>
      <c r="L1416" s="519"/>
      <c r="M1416" s="206"/>
      <c r="N1416" s="206" t="s">
        <v>31</v>
      </c>
      <c r="O1416" s="1112"/>
      <c r="P1416" s="4" t="s">
        <v>205</v>
      </c>
      <c r="Q1416" s="4"/>
      <c r="R1416" s="4"/>
      <c r="S1416" s="3"/>
      <c r="T1416" s="3"/>
      <c r="U1416" s="3"/>
      <c r="V1416" s="26"/>
      <c r="W1416" s="1850"/>
      <c r="X1416" s="1378">
        <v>20</v>
      </c>
      <c r="Y1416" s="1378">
        <v>20</v>
      </c>
      <c r="Z1416" s="1378">
        <v>20</v>
      </c>
      <c r="AA1416" s="1378">
        <v>20</v>
      </c>
      <c r="AB1416" s="1378">
        <v>20</v>
      </c>
      <c r="AC1416" s="1378">
        <v>21</v>
      </c>
      <c r="AD1416" s="1378">
        <v>21</v>
      </c>
      <c r="AE1416" s="1378">
        <v>21</v>
      </c>
      <c r="AF1416" s="1378">
        <v>21</v>
      </c>
      <c r="AG1416" s="1378">
        <v>21</v>
      </c>
      <c r="AH1416" s="1378">
        <v>21</v>
      </c>
      <c r="AI1416" s="1378">
        <v>21</v>
      </c>
      <c r="AJ1416" s="2470">
        <v>20</v>
      </c>
      <c r="AK1416" s="2470">
        <v>21</v>
      </c>
      <c r="AL1416" s="2470">
        <v>21</v>
      </c>
      <c r="AM1416" s="2470">
        <v>21</v>
      </c>
      <c r="AN1416" s="2470">
        <v>21</v>
      </c>
      <c r="AO1416" s="2470">
        <v>21</v>
      </c>
      <c r="AP1416" s="2470">
        <v>21</v>
      </c>
    </row>
    <row r="1417" spans="1:42" ht="14.5">
      <c r="A1417" s="1693">
        <v>1</v>
      </c>
      <c r="B1417" s="616">
        <v>1</v>
      </c>
      <c r="C1417" s="1693">
        <v>1</v>
      </c>
      <c r="D1417" s="616">
        <v>1</v>
      </c>
      <c r="E1417" s="1693">
        <v>1</v>
      </c>
      <c r="F1417" s="616">
        <v>1</v>
      </c>
      <c r="G1417" s="1693">
        <v>1400</v>
      </c>
      <c r="H1417" s="616">
        <v>1</v>
      </c>
      <c r="J1417" s="709" t="s">
        <v>512</v>
      </c>
      <c r="K1417" s="1764" t="s">
        <v>1216</v>
      </c>
      <c r="L1417" s="519"/>
      <c r="M1417" s="206"/>
      <c r="N1417" s="206" t="s">
        <v>31</v>
      </c>
      <c r="O1417" s="1112"/>
      <c r="P1417" s="4" t="s">
        <v>17</v>
      </c>
      <c r="Q1417" s="4"/>
      <c r="R1417" s="4"/>
      <c r="S1417" s="3"/>
      <c r="T1417" s="3"/>
      <c r="U1417" s="3"/>
      <c r="V1417" s="26"/>
      <c r="W1417" s="1850"/>
      <c r="X1417" s="1378">
        <v>81</v>
      </c>
      <c r="Y1417" s="1378">
        <v>81</v>
      </c>
      <c r="Z1417" s="1378">
        <v>82</v>
      </c>
      <c r="AA1417" s="1378">
        <v>84</v>
      </c>
      <c r="AB1417" s="1378">
        <v>85</v>
      </c>
      <c r="AC1417" s="1378">
        <v>85</v>
      </c>
      <c r="AD1417" s="1378">
        <v>87</v>
      </c>
      <c r="AE1417" s="1378">
        <v>87</v>
      </c>
      <c r="AF1417" s="1378">
        <v>87</v>
      </c>
      <c r="AG1417" s="1378">
        <v>87</v>
      </c>
      <c r="AH1417" s="1378">
        <v>87</v>
      </c>
      <c r="AI1417" s="1378">
        <v>87</v>
      </c>
      <c r="AJ1417" s="2470">
        <v>82</v>
      </c>
      <c r="AK1417" s="2470">
        <v>85</v>
      </c>
      <c r="AL1417" s="2470">
        <v>87</v>
      </c>
      <c r="AM1417" s="2470">
        <v>87</v>
      </c>
      <c r="AN1417" s="2470">
        <v>85</v>
      </c>
      <c r="AO1417" s="2470">
        <v>87</v>
      </c>
      <c r="AP1417" s="2470">
        <v>87</v>
      </c>
    </row>
    <row r="1418" spans="1:42" ht="14.5">
      <c r="A1418" s="1693">
        <v>1</v>
      </c>
      <c r="B1418" s="616">
        <v>1</v>
      </c>
      <c r="C1418" s="1693">
        <v>1</v>
      </c>
      <c r="D1418" s="616">
        <v>1</v>
      </c>
      <c r="E1418" s="1693">
        <v>1</v>
      </c>
      <c r="F1418" s="616">
        <v>1</v>
      </c>
      <c r="G1418" s="1693">
        <v>1401</v>
      </c>
      <c r="H1418" s="616">
        <v>1</v>
      </c>
      <c r="J1418" s="709" t="s">
        <v>512</v>
      </c>
      <c r="K1418" s="1764" t="s">
        <v>1216</v>
      </c>
      <c r="L1418" s="519"/>
      <c r="M1418" s="206"/>
      <c r="N1418" s="206" t="s">
        <v>31</v>
      </c>
      <c r="O1418" s="1112"/>
      <c r="P1418" s="2" t="s">
        <v>206</v>
      </c>
      <c r="Q1418" s="2"/>
      <c r="R1418" s="2"/>
      <c r="S1418" s="1"/>
      <c r="T1418" s="1"/>
      <c r="U1418" s="1"/>
      <c r="V1418" s="24"/>
      <c r="W1418" s="1850"/>
      <c r="X1418" s="1379">
        <v>39</v>
      </c>
      <c r="Y1418" s="1379">
        <v>39</v>
      </c>
      <c r="Z1418" s="1379">
        <v>40</v>
      </c>
      <c r="AA1418" s="1379">
        <v>40</v>
      </c>
      <c r="AB1418" s="1379">
        <v>40</v>
      </c>
      <c r="AC1418" s="1379">
        <v>40</v>
      </c>
      <c r="AD1418" s="1379">
        <v>40</v>
      </c>
      <c r="AE1418" s="1379">
        <v>40</v>
      </c>
      <c r="AF1418" s="1379">
        <v>40</v>
      </c>
      <c r="AG1418" s="1379">
        <v>40</v>
      </c>
      <c r="AH1418" s="1379">
        <v>40</v>
      </c>
      <c r="AI1418" s="1379">
        <v>40</v>
      </c>
      <c r="AJ1418" s="2494">
        <v>40</v>
      </c>
      <c r="AK1418" s="2494">
        <v>40</v>
      </c>
      <c r="AL1418" s="2494">
        <v>40</v>
      </c>
      <c r="AM1418" s="2494">
        <v>40</v>
      </c>
      <c r="AN1418" s="2494">
        <v>40</v>
      </c>
      <c r="AO1418" s="2494">
        <v>40</v>
      </c>
      <c r="AP1418" s="2494">
        <v>40</v>
      </c>
    </row>
    <row r="1419" spans="1:42" ht="14.5">
      <c r="A1419" s="1693">
        <v>1</v>
      </c>
      <c r="B1419" s="616">
        <v>1</v>
      </c>
      <c r="C1419" s="1693">
        <v>1</v>
      </c>
      <c r="D1419" s="616">
        <v>1</v>
      </c>
      <c r="E1419" s="1693">
        <v>1</v>
      </c>
      <c r="F1419" s="616">
        <v>1</v>
      </c>
      <c r="G1419" s="1693">
        <v>1402</v>
      </c>
      <c r="H1419" s="616">
        <v>1</v>
      </c>
      <c r="J1419" s="709" t="s">
        <v>512</v>
      </c>
      <c r="K1419" s="1764" t="s">
        <v>1216</v>
      </c>
      <c r="L1419" s="519"/>
      <c r="M1419" s="206"/>
      <c r="N1419" s="206" t="s">
        <v>31</v>
      </c>
      <c r="O1419" s="2253" t="s">
        <v>1110</v>
      </c>
      <c r="P1419" s="1523"/>
      <c r="Q1419" s="1509"/>
      <c r="R1419" s="1509"/>
      <c r="S1419" s="1523"/>
      <c r="T1419" s="1523"/>
      <c r="U1419" s="1523"/>
      <c r="V1419" s="2495"/>
      <c r="W1419" s="1850"/>
      <c r="X1419" s="2254">
        <v>27</v>
      </c>
      <c r="Y1419" s="2254">
        <v>27</v>
      </c>
      <c r="Z1419" s="2254">
        <v>27</v>
      </c>
      <c r="AA1419" s="2254">
        <v>27</v>
      </c>
      <c r="AB1419" s="2254">
        <v>27</v>
      </c>
      <c r="AC1419" s="2254">
        <v>27</v>
      </c>
      <c r="AD1419" s="2254">
        <v>27</v>
      </c>
      <c r="AE1419" s="2254">
        <v>27</v>
      </c>
      <c r="AF1419" s="2254">
        <v>27</v>
      </c>
      <c r="AG1419" s="2254">
        <v>27</v>
      </c>
      <c r="AH1419" s="2254">
        <v>27</v>
      </c>
      <c r="AI1419" s="2254">
        <v>27</v>
      </c>
      <c r="AJ1419" s="2256">
        <v>27</v>
      </c>
      <c r="AK1419" s="2256">
        <v>27</v>
      </c>
      <c r="AL1419" s="2256">
        <v>27</v>
      </c>
      <c r="AM1419" s="2256">
        <v>27</v>
      </c>
      <c r="AN1419" s="2256">
        <v>27</v>
      </c>
      <c r="AO1419" s="2256">
        <v>27</v>
      </c>
      <c r="AP1419" s="2256">
        <v>27</v>
      </c>
    </row>
    <row r="1420" spans="1:42" ht="14.5">
      <c r="A1420" s="1693">
        <v>1</v>
      </c>
      <c r="B1420" s="616">
        <v>1</v>
      </c>
      <c r="C1420" s="1693">
        <v>1</v>
      </c>
      <c r="D1420" s="616">
        <v>1</v>
      </c>
      <c r="E1420" s="1693">
        <v>1</v>
      </c>
      <c r="F1420" s="616">
        <v>1</v>
      </c>
      <c r="G1420" s="1693">
        <v>1403</v>
      </c>
      <c r="H1420" s="616">
        <v>1</v>
      </c>
      <c r="J1420" s="709" t="s">
        <v>512</v>
      </c>
      <c r="K1420" s="1764" t="s">
        <v>1216</v>
      </c>
      <c r="L1420" s="519"/>
      <c r="M1420" s="206"/>
      <c r="N1420" s="4"/>
      <c r="O1420" s="4"/>
      <c r="P1420" s="3"/>
      <c r="Q1420" s="4"/>
      <c r="R1420" s="4"/>
      <c r="S1420" s="3"/>
      <c r="T1420" s="3"/>
      <c r="U1420" s="3"/>
      <c r="V1420" s="3"/>
      <c r="W1420" s="1773"/>
      <c r="X1420" s="1629"/>
      <c r="Y1420" s="1629"/>
      <c r="Z1420" s="1629"/>
      <c r="AA1420" s="1629"/>
      <c r="AB1420" s="1629"/>
      <c r="AC1420" s="1629"/>
      <c r="AD1420" s="1629"/>
      <c r="AE1420" s="1629"/>
      <c r="AF1420" s="1629"/>
      <c r="AG1420" s="1629"/>
      <c r="AH1420" s="454"/>
      <c r="AI1420" s="454"/>
      <c r="AJ1420" s="454"/>
      <c r="AK1420" s="454"/>
      <c r="AL1420" s="454"/>
      <c r="AM1420" s="454"/>
      <c r="AN1420" s="454"/>
      <c r="AO1420" s="454"/>
      <c r="AP1420" s="454"/>
    </row>
    <row r="1421" spans="1:42" ht="14.5">
      <c r="A1421" s="1693">
        <v>1</v>
      </c>
      <c r="B1421" s="616">
        <v>1</v>
      </c>
      <c r="C1421" s="1693">
        <v>1</v>
      </c>
      <c r="D1421" s="616">
        <v>1</v>
      </c>
      <c r="E1421" s="1693">
        <v>1</v>
      </c>
      <c r="F1421" s="616">
        <v>1</v>
      </c>
      <c r="G1421" s="1693">
        <v>1404</v>
      </c>
      <c r="H1421" s="616">
        <v>1</v>
      </c>
      <c r="J1421" s="709" t="s">
        <v>512</v>
      </c>
      <c r="K1421" s="1764" t="s">
        <v>1216</v>
      </c>
      <c r="L1421" s="519"/>
      <c r="M1421" s="4"/>
      <c r="N1421" s="4" t="s">
        <v>961</v>
      </c>
      <c r="O1421" s="4"/>
      <c r="P1421" s="3"/>
      <c r="Q1421" s="4"/>
      <c r="R1421" s="4"/>
      <c r="S1421" s="34"/>
      <c r="T1421" s="3"/>
      <c r="U1421" s="3"/>
      <c r="V1421" s="3"/>
      <c r="W1421" s="1773"/>
      <c r="X1421" s="1609"/>
      <c r="Y1421" s="1609"/>
      <c r="Z1421" s="1609"/>
      <c r="AA1421" s="1609"/>
      <c r="AB1421" s="1609"/>
      <c r="AC1421" s="1609"/>
      <c r="AD1421" s="1609"/>
      <c r="AE1421" s="1609"/>
      <c r="AF1421" s="1609"/>
      <c r="AG1421" s="1609"/>
      <c r="AH1421" s="454"/>
      <c r="AI1421" s="454"/>
      <c r="AJ1421" s="454"/>
      <c r="AK1421" s="454"/>
      <c r="AL1421" s="454"/>
      <c r="AM1421" s="454"/>
      <c r="AN1421" s="454"/>
      <c r="AO1421" s="454"/>
      <c r="AP1421" s="454"/>
    </row>
    <row r="1422" spans="1:42" ht="14.5">
      <c r="A1422" s="1693">
        <v>1</v>
      </c>
      <c r="B1422" s="616">
        <v>1</v>
      </c>
      <c r="C1422" s="1693">
        <v>1</v>
      </c>
      <c r="D1422" s="616">
        <v>1</v>
      </c>
      <c r="E1422" s="1693">
        <v>1</v>
      </c>
      <c r="F1422" s="616">
        <v>1</v>
      </c>
      <c r="G1422" s="1693">
        <v>1405</v>
      </c>
      <c r="H1422" s="616">
        <v>1</v>
      </c>
      <c r="J1422" s="709" t="s">
        <v>512</v>
      </c>
      <c r="K1422" s="1764" t="s">
        <v>1216</v>
      </c>
      <c r="L1422" s="519"/>
      <c r="M1422" s="206"/>
      <c r="N1422" s="206" t="s">
        <v>31</v>
      </c>
      <c r="O1422" s="1891" t="s">
        <v>202</v>
      </c>
      <c r="P1422" s="2493"/>
      <c r="Q1422" s="1892"/>
      <c r="R1422" s="1892"/>
      <c r="S1422" s="1892"/>
      <c r="T1422" s="1892"/>
      <c r="U1422" s="1892"/>
      <c r="V1422" s="1892"/>
      <c r="W1422" s="1883"/>
      <c r="X1422" s="1894">
        <v>0</v>
      </c>
      <c r="Y1422" s="1894">
        <v>0</v>
      </c>
      <c r="Z1422" s="1894">
        <v>0</v>
      </c>
      <c r="AA1422" s="1894">
        <v>0</v>
      </c>
      <c r="AB1422" s="1894">
        <v>0</v>
      </c>
      <c r="AC1422" s="1894">
        <v>0</v>
      </c>
      <c r="AD1422" s="1894">
        <v>0</v>
      </c>
      <c r="AE1422" s="1894">
        <v>0</v>
      </c>
      <c r="AF1422" s="1894">
        <v>0</v>
      </c>
      <c r="AG1422" s="1894">
        <v>0</v>
      </c>
      <c r="AH1422" s="1894">
        <v>0</v>
      </c>
      <c r="AI1422" s="1894">
        <v>0</v>
      </c>
      <c r="AJ1422" s="1894">
        <v>0</v>
      </c>
      <c r="AK1422" s="1894">
        <v>0</v>
      </c>
      <c r="AL1422" s="1894">
        <v>0</v>
      </c>
      <c r="AM1422" s="1894">
        <v>0</v>
      </c>
      <c r="AN1422" s="1894">
        <v>0</v>
      </c>
      <c r="AO1422" s="1894">
        <v>0</v>
      </c>
      <c r="AP1422" s="1894">
        <v>0</v>
      </c>
    </row>
    <row r="1423" spans="1:42" ht="14.5">
      <c r="A1423" s="1693">
        <v>1</v>
      </c>
      <c r="B1423" s="616">
        <v>1</v>
      </c>
      <c r="C1423" s="1693">
        <v>1</v>
      </c>
      <c r="D1423" s="616">
        <v>1</v>
      </c>
      <c r="E1423" s="1693">
        <v>1</v>
      </c>
      <c r="F1423" s="616">
        <v>1</v>
      </c>
      <c r="G1423" s="1693">
        <v>1406</v>
      </c>
      <c r="H1423" s="616">
        <v>1</v>
      </c>
      <c r="J1423" s="709" t="s">
        <v>512</v>
      </c>
      <c r="K1423" s="1764" t="s">
        <v>1216</v>
      </c>
      <c r="L1423" s="519"/>
      <c r="M1423" s="4"/>
      <c r="N1423" s="4"/>
      <c r="O1423" s="1112"/>
      <c r="P1423" s="207" t="s">
        <v>14</v>
      </c>
      <c r="Q1423" s="707"/>
      <c r="R1423" s="707"/>
      <c r="S1423" s="586"/>
      <c r="T1423" s="586"/>
      <c r="U1423" s="586"/>
      <c r="V1423" s="2496"/>
      <c r="W1423" s="1800"/>
      <c r="X1423" s="2479"/>
      <c r="Y1423" s="2479"/>
      <c r="Z1423" s="2479"/>
      <c r="AA1423" s="2479"/>
      <c r="AB1423" s="2479"/>
      <c r="AC1423" s="2479"/>
      <c r="AD1423" s="2479"/>
      <c r="AE1423" s="2479"/>
      <c r="AF1423" s="2479"/>
      <c r="AG1423" s="2479"/>
      <c r="AH1423" s="2479"/>
      <c r="AI1423" s="2479"/>
      <c r="AJ1423" s="2497">
        <v>0</v>
      </c>
      <c r="AK1423" s="2497">
        <v>0</v>
      </c>
      <c r="AL1423" s="2497">
        <v>0</v>
      </c>
      <c r="AM1423" s="2497">
        <v>0</v>
      </c>
      <c r="AN1423" s="2497">
        <v>0</v>
      </c>
      <c r="AO1423" s="2497">
        <v>0</v>
      </c>
      <c r="AP1423" s="2497">
        <v>0</v>
      </c>
    </row>
    <row r="1424" spans="1:42" ht="14.5">
      <c r="A1424" s="1693">
        <v>1</v>
      </c>
      <c r="B1424" s="616">
        <v>1</v>
      </c>
      <c r="C1424" s="1693">
        <v>1</v>
      </c>
      <c r="D1424" s="616">
        <v>1</v>
      </c>
      <c r="E1424" s="1693">
        <v>1</v>
      </c>
      <c r="F1424" s="616">
        <v>1</v>
      </c>
      <c r="G1424" s="1693">
        <v>1407</v>
      </c>
      <c r="H1424" s="616">
        <v>1</v>
      </c>
      <c r="J1424" s="709" t="s">
        <v>512</v>
      </c>
      <c r="K1424" s="1764" t="s">
        <v>1216</v>
      </c>
      <c r="L1424" s="519"/>
      <c r="M1424" s="4"/>
      <c r="N1424" s="4"/>
      <c r="O1424" s="1112"/>
      <c r="P1424" s="27" t="s">
        <v>204</v>
      </c>
      <c r="Q1424" s="4"/>
      <c r="R1424" s="4"/>
      <c r="S1424" s="3"/>
      <c r="T1424" s="3"/>
      <c r="U1424" s="3"/>
      <c r="V1424" s="26"/>
      <c r="W1424" s="1800"/>
      <c r="X1424" s="2498"/>
      <c r="Y1424" s="2498"/>
      <c r="Z1424" s="2498"/>
      <c r="AA1424" s="2498"/>
      <c r="AB1424" s="2498"/>
      <c r="AC1424" s="2498"/>
      <c r="AD1424" s="2498"/>
      <c r="AE1424" s="2498"/>
      <c r="AF1424" s="2498"/>
      <c r="AG1424" s="2498"/>
      <c r="AH1424" s="2498"/>
      <c r="AI1424" s="2498"/>
      <c r="AJ1424" s="437">
        <v>0</v>
      </c>
      <c r="AK1424" s="437">
        <v>0</v>
      </c>
      <c r="AL1424" s="437">
        <v>0</v>
      </c>
      <c r="AM1424" s="437">
        <v>0</v>
      </c>
      <c r="AN1424" s="437">
        <v>0</v>
      </c>
      <c r="AO1424" s="437">
        <v>0</v>
      </c>
      <c r="AP1424" s="437">
        <v>0</v>
      </c>
    </row>
    <row r="1425" spans="1:42" ht="14.5">
      <c r="A1425" s="1693">
        <v>1</v>
      </c>
      <c r="B1425" s="616">
        <v>1</v>
      </c>
      <c r="C1425" s="1693">
        <v>1</v>
      </c>
      <c r="D1425" s="616">
        <v>1</v>
      </c>
      <c r="E1425" s="1693">
        <v>1</v>
      </c>
      <c r="F1425" s="616">
        <v>1</v>
      </c>
      <c r="G1425" s="1693">
        <v>1408</v>
      </c>
      <c r="H1425" s="616">
        <v>1</v>
      </c>
      <c r="J1425" s="709" t="s">
        <v>512</v>
      </c>
      <c r="K1425" s="1764" t="s">
        <v>1216</v>
      </c>
      <c r="L1425" s="519"/>
      <c r="M1425" s="4"/>
      <c r="N1425" s="4"/>
      <c r="O1425" s="1112"/>
      <c r="P1425" s="27" t="s">
        <v>1183</v>
      </c>
      <c r="Q1425" s="4"/>
      <c r="R1425" s="4"/>
      <c r="S1425" s="3"/>
      <c r="T1425" s="3"/>
      <c r="U1425" s="3"/>
      <c r="V1425" s="26"/>
      <c r="W1425" s="1800"/>
      <c r="X1425" s="2498"/>
      <c r="Y1425" s="2498"/>
      <c r="Z1425" s="2498"/>
      <c r="AA1425" s="2498"/>
      <c r="AB1425" s="2498"/>
      <c r="AC1425" s="2498"/>
      <c r="AD1425" s="2498"/>
      <c r="AE1425" s="2498"/>
      <c r="AF1425" s="2498"/>
      <c r="AG1425" s="2498"/>
      <c r="AH1425" s="2498"/>
      <c r="AI1425" s="2498"/>
      <c r="AJ1425" s="437">
        <v>0</v>
      </c>
      <c r="AK1425" s="437">
        <v>0</v>
      </c>
      <c r="AL1425" s="437">
        <v>0</v>
      </c>
      <c r="AM1425" s="437">
        <v>0</v>
      </c>
      <c r="AN1425" s="437">
        <v>0</v>
      </c>
      <c r="AO1425" s="437">
        <v>0</v>
      </c>
      <c r="AP1425" s="437">
        <v>0</v>
      </c>
    </row>
    <row r="1426" spans="1:42" ht="14.5">
      <c r="A1426" s="1693">
        <v>1</v>
      </c>
      <c r="B1426" s="616">
        <v>1</v>
      </c>
      <c r="C1426" s="1693">
        <v>1</v>
      </c>
      <c r="D1426" s="616">
        <v>1</v>
      </c>
      <c r="E1426" s="1693">
        <v>1</v>
      </c>
      <c r="F1426" s="616">
        <v>1</v>
      </c>
      <c r="G1426" s="1693">
        <v>1409</v>
      </c>
      <c r="H1426" s="616">
        <v>1</v>
      </c>
      <c r="J1426" s="709" t="s">
        <v>512</v>
      </c>
      <c r="K1426" s="1764" t="s">
        <v>1216</v>
      </c>
      <c r="L1426" s="519"/>
      <c r="M1426" s="4"/>
      <c r="N1426" s="4"/>
      <c r="O1426" s="1112"/>
      <c r="P1426" s="27" t="s">
        <v>17</v>
      </c>
      <c r="Q1426" s="4"/>
      <c r="R1426" s="4"/>
      <c r="S1426" s="3"/>
      <c r="T1426" s="3"/>
      <c r="U1426" s="3"/>
      <c r="V1426" s="26"/>
      <c r="W1426" s="1800"/>
      <c r="X1426" s="2498"/>
      <c r="Y1426" s="2498"/>
      <c r="Z1426" s="2498"/>
      <c r="AA1426" s="2498"/>
      <c r="AB1426" s="2498"/>
      <c r="AC1426" s="2498"/>
      <c r="AD1426" s="2498"/>
      <c r="AE1426" s="2498"/>
      <c r="AF1426" s="2498"/>
      <c r="AG1426" s="2498"/>
      <c r="AH1426" s="2498"/>
      <c r="AI1426" s="2498"/>
      <c r="AJ1426" s="437">
        <v>0</v>
      </c>
      <c r="AK1426" s="437">
        <v>0</v>
      </c>
      <c r="AL1426" s="437">
        <v>0</v>
      </c>
      <c r="AM1426" s="437">
        <v>0</v>
      </c>
      <c r="AN1426" s="437">
        <v>0</v>
      </c>
      <c r="AO1426" s="437">
        <v>0</v>
      </c>
      <c r="AP1426" s="437">
        <v>0</v>
      </c>
    </row>
    <row r="1427" spans="1:42" ht="14.5">
      <c r="A1427" s="1693">
        <v>1</v>
      </c>
      <c r="B1427" s="616">
        <v>1</v>
      </c>
      <c r="C1427" s="1693">
        <v>1</v>
      </c>
      <c r="D1427" s="616">
        <v>1</v>
      </c>
      <c r="E1427" s="1693">
        <v>1</v>
      </c>
      <c r="F1427" s="616">
        <v>1</v>
      </c>
      <c r="G1427" s="1693">
        <v>1410</v>
      </c>
      <c r="H1427" s="616">
        <v>1</v>
      </c>
      <c r="J1427" s="709" t="s">
        <v>512</v>
      </c>
      <c r="K1427" s="1764" t="s">
        <v>1216</v>
      </c>
      <c r="L1427" s="519"/>
      <c r="M1427" s="4"/>
      <c r="N1427" s="4"/>
      <c r="O1427" s="1113"/>
      <c r="P1427" s="49" t="s">
        <v>206</v>
      </c>
      <c r="Q1427" s="48"/>
      <c r="R1427" s="48"/>
      <c r="S1427" s="47"/>
      <c r="T1427" s="47"/>
      <c r="U1427" s="47"/>
      <c r="V1427" s="46"/>
      <c r="W1427" s="1800"/>
      <c r="X1427" s="2499"/>
      <c r="Y1427" s="2499"/>
      <c r="Z1427" s="2499"/>
      <c r="AA1427" s="2499"/>
      <c r="AB1427" s="2499"/>
      <c r="AC1427" s="2499"/>
      <c r="AD1427" s="2499"/>
      <c r="AE1427" s="2499"/>
      <c r="AF1427" s="2499"/>
      <c r="AG1427" s="2499"/>
      <c r="AH1427" s="2499"/>
      <c r="AI1427" s="2499"/>
      <c r="AJ1427" s="438">
        <v>0</v>
      </c>
      <c r="AK1427" s="438">
        <v>0</v>
      </c>
      <c r="AL1427" s="438">
        <v>0</v>
      </c>
      <c r="AM1427" s="438">
        <v>0</v>
      </c>
      <c r="AN1427" s="438">
        <v>0</v>
      </c>
      <c r="AO1427" s="438">
        <v>0</v>
      </c>
      <c r="AP1427" s="438">
        <v>0</v>
      </c>
    </row>
    <row r="1428" spans="1:42" ht="14.5">
      <c r="A1428" s="1693">
        <v>1</v>
      </c>
      <c r="B1428" s="616">
        <v>1</v>
      </c>
      <c r="C1428" s="1693">
        <v>1</v>
      </c>
      <c r="D1428" s="616">
        <v>1</v>
      </c>
      <c r="E1428" s="1693">
        <v>1</v>
      </c>
      <c r="F1428" s="616">
        <v>1</v>
      </c>
      <c r="G1428" s="1693">
        <v>1411</v>
      </c>
      <c r="H1428" s="616">
        <v>1</v>
      </c>
      <c r="J1428" s="709" t="s">
        <v>512</v>
      </c>
      <c r="K1428" s="1764" t="s">
        <v>1216</v>
      </c>
      <c r="L1428" s="519"/>
      <c r="M1428" s="206" t="s">
        <v>1184</v>
      </c>
      <c r="N1428" s="206" t="s">
        <v>31</v>
      </c>
      <c r="O1428" s="2253" t="s">
        <v>1110</v>
      </c>
      <c r="P1428" s="1523"/>
      <c r="Q1428" s="1509"/>
      <c r="R1428" s="1509"/>
      <c r="S1428" s="1523"/>
      <c r="T1428" s="1523"/>
      <c r="U1428" s="1523"/>
      <c r="V1428" s="2495"/>
      <c r="W1428" s="1853"/>
      <c r="X1428" s="2263"/>
      <c r="Y1428" s="2263"/>
      <c r="Z1428" s="2263"/>
      <c r="AA1428" s="2263"/>
      <c r="AB1428" s="2263"/>
      <c r="AC1428" s="2263"/>
      <c r="AD1428" s="2263"/>
      <c r="AE1428" s="2263"/>
      <c r="AF1428" s="2263"/>
      <c r="AG1428" s="2263"/>
      <c r="AH1428" s="2263"/>
      <c r="AI1428" s="2263"/>
      <c r="AJ1428" s="2256">
        <v>0</v>
      </c>
      <c r="AK1428" s="2256">
        <v>0</v>
      </c>
      <c r="AL1428" s="2256">
        <v>0</v>
      </c>
      <c r="AM1428" s="2256">
        <v>0</v>
      </c>
      <c r="AN1428" s="2256">
        <v>0</v>
      </c>
      <c r="AO1428" s="2256">
        <v>0</v>
      </c>
      <c r="AP1428" s="2256">
        <v>0</v>
      </c>
    </row>
    <row r="1429" spans="1:42" ht="14.5">
      <c r="A1429" s="1693">
        <v>1</v>
      </c>
      <c r="B1429" s="616">
        <v>1</v>
      </c>
      <c r="C1429" s="1693">
        <v>1</v>
      </c>
      <c r="D1429" s="616">
        <v>1</v>
      </c>
      <c r="E1429" s="1693">
        <v>1</v>
      </c>
      <c r="F1429" s="616">
        <v>1</v>
      </c>
      <c r="G1429" s="1693">
        <v>1412</v>
      </c>
      <c r="H1429" s="616">
        <v>1</v>
      </c>
      <c r="J1429" s="709" t="s">
        <v>512</v>
      </c>
      <c r="K1429" s="1764" t="s">
        <v>1216</v>
      </c>
      <c r="L1429" s="519"/>
      <c r="M1429" s="4"/>
      <c r="N1429" s="4"/>
      <c r="O1429" s="4"/>
      <c r="P1429" s="3"/>
      <c r="Q1429" s="4"/>
      <c r="R1429" s="4"/>
      <c r="S1429" s="3"/>
      <c r="T1429" s="3"/>
      <c r="U1429" s="3"/>
      <c r="V1429" s="3"/>
      <c r="W1429" s="1773"/>
      <c r="X1429" s="1609"/>
      <c r="Y1429" s="1609"/>
      <c r="Z1429" s="1609"/>
      <c r="AA1429" s="1609"/>
      <c r="AB1429" s="1609"/>
      <c r="AC1429" s="1609"/>
      <c r="AD1429" s="1609"/>
      <c r="AE1429" s="1609"/>
      <c r="AF1429" s="1609"/>
      <c r="AG1429" s="1609"/>
      <c r="AH1429" s="454"/>
      <c r="AI1429" s="454"/>
      <c r="AJ1429" s="454"/>
      <c r="AK1429" s="454"/>
      <c r="AL1429" s="454"/>
      <c r="AM1429" s="454"/>
      <c r="AN1429" s="454"/>
      <c r="AO1429" s="454"/>
      <c r="AP1429" s="454"/>
    </row>
    <row r="1430" spans="1:42" ht="14.5">
      <c r="A1430" s="1693">
        <v>1</v>
      </c>
      <c r="B1430" s="616">
        <v>1</v>
      </c>
      <c r="C1430" s="1693">
        <v>1</v>
      </c>
      <c r="D1430" s="616">
        <v>1</v>
      </c>
      <c r="E1430" s="1693">
        <v>1</v>
      </c>
      <c r="F1430" s="616">
        <v>1</v>
      </c>
      <c r="G1430" s="1693">
        <v>1413</v>
      </c>
      <c r="H1430" s="616">
        <v>1</v>
      </c>
      <c r="J1430" s="709" t="s">
        <v>512</v>
      </c>
      <c r="K1430" s="1764" t="s">
        <v>1216</v>
      </c>
      <c r="L1430" s="519"/>
      <c r="M1430" s="4"/>
      <c r="N1430" s="4" t="s">
        <v>962</v>
      </c>
      <c r="O1430" s="746"/>
      <c r="P1430" s="3"/>
      <c r="Q1430" s="4"/>
      <c r="R1430" s="4"/>
      <c r="S1430" s="3"/>
      <c r="T1430" s="3" t="s">
        <v>1172</v>
      </c>
      <c r="U1430" s="3"/>
      <c r="V1430" s="3"/>
      <c r="W1430" s="1773"/>
      <c r="X1430" s="1609"/>
      <c r="Y1430" s="1609"/>
      <c r="Z1430" s="1609"/>
      <c r="AA1430" s="1609"/>
      <c r="AB1430" s="1609"/>
      <c r="AC1430" s="1609"/>
      <c r="AD1430" s="1609"/>
      <c r="AE1430" s="1609"/>
      <c r="AF1430" s="1609"/>
      <c r="AG1430" s="1609"/>
      <c r="AH1430" s="454"/>
      <c r="AI1430" s="454"/>
      <c r="AJ1430" s="454"/>
      <c r="AK1430" s="454"/>
      <c r="AL1430" s="454"/>
      <c r="AM1430" s="454"/>
      <c r="AN1430" s="454"/>
      <c r="AO1430" s="454"/>
      <c r="AP1430" s="454"/>
    </row>
    <row r="1431" spans="1:42" ht="14.5">
      <c r="A1431" s="1693">
        <v>1</v>
      </c>
      <c r="B1431" s="616">
        <v>1</v>
      </c>
      <c r="C1431" s="1693">
        <v>1</v>
      </c>
      <c r="D1431" s="616">
        <v>1</v>
      </c>
      <c r="E1431" s="1693">
        <v>1</v>
      </c>
      <c r="F1431" s="616">
        <v>1</v>
      </c>
      <c r="G1431" s="1693">
        <v>1414</v>
      </c>
      <c r="H1431" s="616">
        <v>1</v>
      </c>
      <c r="J1431" s="709" t="s">
        <v>512</v>
      </c>
      <c r="K1431" s="1764" t="s">
        <v>1216</v>
      </c>
      <c r="L1431" s="519"/>
      <c r="M1431" s="206"/>
      <c r="N1431" s="206" t="s">
        <v>31</v>
      </c>
      <c r="O1431" s="1891" t="s">
        <v>202</v>
      </c>
      <c r="P1431" s="2493"/>
      <c r="Q1431" s="1892"/>
      <c r="R1431" s="1892"/>
      <c r="S1431" s="1892"/>
      <c r="T1431" s="1892"/>
      <c r="U1431" s="1892"/>
      <c r="V1431" s="1892"/>
      <c r="W1431" s="1883"/>
      <c r="X1431" s="1894">
        <v>2</v>
      </c>
      <c r="Y1431" s="1894">
        <v>2</v>
      </c>
      <c r="Z1431" s="1894">
        <v>2</v>
      </c>
      <c r="AA1431" s="1894">
        <v>2</v>
      </c>
      <c r="AB1431" s="1894">
        <v>2</v>
      </c>
      <c r="AC1431" s="1894">
        <v>2</v>
      </c>
      <c r="AD1431" s="1894">
        <v>2</v>
      </c>
      <c r="AE1431" s="1894">
        <v>2</v>
      </c>
      <c r="AF1431" s="1894">
        <v>2</v>
      </c>
      <c r="AG1431" s="1894">
        <v>2</v>
      </c>
      <c r="AH1431" s="1894">
        <v>2</v>
      </c>
      <c r="AI1431" s="1894">
        <v>2</v>
      </c>
      <c r="AJ1431" s="1894">
        <v>2</v>
      </c>
      <c r="AK1431" s="1894">
        <v>2</v>
      </c>
      <c r="AL1431" s="1894">
        <v>2</v>
      </c>
      <c r="AM1431" s="1894">
        <v>2</v>
      </c>
      <c r="AN1431" s="1894">
        <v>2</v>
      </c>
      <c r="AO1431" s="1894">
        <v>2</v>
      </c>
      <c r="AP1431" s="1894">
        <v>2</v>
      </c>
    </row>
    <row r="1432" spans="1:42" ht="14.5">
      <c r="A1432" s="1693">
        <v>1</v>
      </c>
      <c r="B1432" s="616">
        <v>1</v>
      </c>
      <c r="C1432" s="1693">
        <v>1</v>
      </c>
      <c r="D1432" s="616">
        <v>1</v>
      </c>
      <c r="E1432" s="1693">
        <v>1</v>
      </c>
      <c r="F1432" s="616">
        <v>1</v>
      </c>
      <c r="G1432" s="1693">
        <v>1415</v>
      </c>
      <c r="H1432" s="616">
        <v>1</v>
      </c>
      <c r="J1432" s="709" t="s">
        <v>512</v>
      </c>
      <c r="K1432" s="1764" t="s">
        <v>1216</v>
      </c>
      <c r="L1432" s="519"/>
      <c r="M1432" s="439"/>
      <c r="N1432" s="439"/>
      <c r="O1432" s="1112"/>
      <c r="P1432" s="207" t="s">
        <v>14</v>
      </c>
      <c r="Q1432" s="707"/>
      <c r="R1432" s="2500"/>
      <c r="S1432" s="2501"/>
      <c r="T1432" s="2501"/>
      <c r="U1432" s="2501"/>
      <c r="V1432" s="2497"/>
      <c r="W1432" s="1800"/>
      <c r="X1432" s="2479">
        <v>2</v>
      </c>
      <c r="Y1432" s="2479">
        <v>2</v>
      </c>
      <c r="Z1432" s="2479">
        <v>2</v>
      </c>
      <c r="AA1432" s="2479">
        <v>2</v>
      </c>
      <c r="AB1432" s="2479">
        <v>2</v>
      </c>
      <c r="AC1432" s="2479">
        <v>2</v>
      </c>
      <c r="AD1432" s="2479">
        <v>2</v>
      </c>
      <c r="AE1432" s="2479">
        <v>2</v>
      </c>
      <c r="AF1432" s="2479">
        <v>2</v>
      </c>
      <c r="AG1432" s="2479">
        <v>2</v>
      </c>
      <c r="AH1432" s="2479">
        <v>2</v>
      </c>
      <c r="AI1432" s="2479">
        <v>2</v>
      </c>
      <c r="AJ1432" s="2497">
        <v>2</v>
      </c>
      <c r="AK1432" s="2497">
        <v>2</v>
      </c>
      <c r="AL1432" s="2497">
        <v>2</v>
      </c>
      <c r="AM1432" s="2497">
        <v>2</v>
      </c>
      <c r="AN1432" s="2497">
        <v>2</v>
      </c>
      <c r="AO1432" s="2497">
        <v>2</v>
      </c>
      <c r="AP1432" s="2497">
        <v>2</v>
      </c>
    </row>
    <row r="1433" spans="1:42" ht="14.5">
      <c r="A1433" s="1693">
        <v>1</v>
      </c>
      <c r="B1433" s="616">
        <v>1</v>
      </c>
      <c r="C1433" s="1693">
        <v>1</v>
      </c>
      <c r="D1433" s="616">
        <v>1</v>
      </c>
      <c r="E1433" s="1693">
        <v>1</v>
      </c>
      <c r="F1433" s="616">
        <v>1</v>
      </c>
      <c r="G1433" s="1693">
        <v>1416</v>
      </c>
      <c r="H1433" s="616">
        <v>1</v>
      </c>
      <c r="J1433" s="709" t="s">
        <v>512</v>
      </c>
      <c r="K1433" s="1764" t="s">
        <v>1216</v>
      </c>
      <c r="L1433" s="519"/>
      <c r="M1433" s="439"/>
      <c r="N1433" s="439"/>
      <c r="O1433" s="1112"/>
      <c r="P1433" s="27" t="s">
        <v>204</v>
      </c>
      <c r="Q1433" s="4"/>
      <c r="R1433" s="439"/>
      <c r="S1433" s="442"/>
      <c r="T1433" s="442"/>
      <c r="U1433" s="442"/>
      <c r="V1433" s="437"/>
      <c r="W1433" s="1800"/>
      <c r="X1433" s="2498">
        <v>0</v>
      </c>
      <c r="Y1433" s="2498">
        <v>0</v>
      </c>
      <c r="Z1433" s="2498">
        <v>0</v>
      </c>
      <c r="AA1433" s="2498">
        <v>0</v>
      </c>
      <c r="AB1433" s="2498">
        <v>0</v>
      </c>
      <c r="AC1433" s="2498">
        <v>0</v>
      </c>
      <c r="AD1433" s="2498">
        <v>0</v>
      </c>
      <c r="AE1433" s="2498">
        <v>0</v>
      </c>
      <c r="AF1433" s="2498">
        <v>0</v>
      </c>
      <c r="AG1433" s="2498">
        <v>0</v>
      </c>
      <c r="AH1433" s="2498">
        <v>0</v>
      </c>
      <c r="AI1433" s="2498">
        <v>0</v>
      </c>
      <c r="AJ1433" s="437">
        <v>0</v>
      </c>
      <c r="AK1433" s="437">
        <v>0</v>
      </c>
      <c r="AL1433" s="437">
        <v>0</v>
      </c>
      <c r="AM1433" s="437">
        <v>0</v>
      </c>
      <c r="AN1433" s="437">
        <v>0</v>
      </c>
      <c r="AO1433" s="437">
        <v>0</v>
      </c>
      <c r="AP1433" s="437">
        <v>0</v>
      </c>
    </row>
    <row r="1434" spans="1:42" ht="14.5">
      <c r="A1434" s="1693">
        <v>1</v>
      </c>
      <c r="B1434" s="616">
        <v>1</v>
      </c>
      <c r="C1434" s="1693">
        <v>1</v>
      </c>
      <c r="D1434" s="616">
        <v>1</v>
      </c>
      <c r="E1434" s="1693">
        <v>1</v>
      </c>
      <c r="F1434" s="616">
        <v>1</v>
      </c>
      <c r="G1434" s="1693">
        <v>1417</v>
      </c>
      <c r="H1434" s="616">
        <v>1</v>
      </c>
      <c r="J1434" s="709" t="s">
        <v>512</v>
      </c>
      <c r="K1434" s="1764" t="s">
        <v>1216</v>
      </c>
      <c r="L1434" s="519"/>
      <c r="M1434" s="439"/>
      <c r="N1434" s="439"/>
      <c r="O1434" s="1112"/>
      <c r="P1434" s="27" t="s">
        <v>1183</v>
      </c>
      <c r="Q1434" s="4"/>
      <c r="R1434" s="439"/>
      <c r="S1434" s="442"/>
      <c r="T1434" s="442"/>
      <c r="U1434" s="442"/>
      <c r="V1434" s="437"/>
      <c r="W1434" s="1800"/>
      <c r="X1434" s="2498">
        <v>0</v>
      </c>
      <c r="Y1434" s="2498">
        <v>0</v>
      </c>
      <c r="Z1434" s="2498">
        <v>0</v>
      </c>
      <c r="AA1434" s="2498">
        <v>0</v>
      </c>
      <c r="AB1434" s="2498">
        <v>0</v>
      </c>
      <c r="AC1434" s="2498">
        <v>0</v>
      </c>
      <c r="AD1434" s="2498">
        <v>0</v>
      </c>
      <c r="AE1434" s="2498">
        <v>0</v>
      </c>
      <c r="AF1434" s="2498">
        <v>0</v>
      </c>
      <c r="AG1434" s="2498">
        <v>0</v>
      </c>
      <c r="AH1434" s="2498">
        <v>0</v>
      </c>
      <c r="AI1434" s="2498">
        <v>0</v>
      </c>
      <c r="AJ1434" s="437">
        <v>0</v>
      </c>
      <c r="AK1434" s="437">
        <v>0</v>
      </c>
      <c r="AL1434" s="437">
        <v>0</v>
      </c>
      <c r="AM1434" s="437">
        <v>0</v>
      </c>
      <c r="AN1434" s="437">
        <v>0</v>
      </c>
      <c r="AO1434" s="437">
        <v>0</v>
      </c>
      <c r="AP1434" s="437">
        <v>0</v>
      </c>
    </row>
    <row r="1435" spans="1:42" ht="14.5">
      <c r="A1435" s="1693">
        <v>1</v>
      </c>
      <c r="B1435" s="616">
        <v>1</v>
      </c>
      <c r="C1435" s="1693">
        <v>1</v>
      </c>
      <c r="D1435" s="616">
        <v>1</v>
      </c>
      <c r="E1435" s="1693">
        <v>1</v>
      </c>
      <c r="F1435" s="616">
        <v>1</v>
      </c>
      <c r="G1435" s="1693">
        <v>1418</v>
      </c>
      <c r="H1435" s="616">
        <v>1</v>
      </c>
      <c r="J1435" s="709" t="s">
        <v>512</v>
      </c>
      <c r="K1435" s="1764" t="s">
        <v>1216</v>
      </c>
      <c r="L1435" s="519"/>
      <c r="M1435" s="4"/>
      <c r="N1435" s="4"/>
      <c r="O1435" s="1112"/>
      <c r="P1435" s="27" t="s">
        <v>17</v>
      </c>
      <c r="Q1435" s="4"/>
      <c r="R1435" s="4"/>
      <c r="S1435" s="3"/>
      <c r="T1435" s="3"/>
      <c r="U1435" s="3"/>
      <c r="V1435" s="26"/>
      <c r="W1435" s="1800"/>
      <c r="X1435" s="2498">
        <v>0</v>
      </c>
      <c r="Y1435" s="2498">
        <v>0</v>
      </c>
      <c r="Z1435" s="2498">
        <v>0</v>
      </c>
      <c r="AA1435" s="2498">
        <v>0</v>
      </c>
      <c r="AB1435" s="2498">
        <v>0</v>
      </c>
      <c r="AC1435" s="2498">
        <v>0</v>
      </c>
      <c r="AD1435" s="2498">
        <v>0</v>
      </c>
      <c r="AE1435" s="2498">
        <v>0</v>
      </c>
      <c r="AF1435" s="2498">
        <v>0</v>
      </c>
      <c r="AG1435" s="2498">
        <v>0</v>
      </c>
      <c r="AH1435" s="2498">
        <v>0</v>
      </c>
      <c r="AI1435" s="2498">
        <v>0</v>
      </c>
      <c r="AJ1435" s="437">
        <v>0</v>
      </c>
      <c r="AK1435" s="437">
        <v>0</v>
      </c>
      <c r="AL1435" s="437">
        <v>0</v>
      </c>
      <c r="AM1435" s="437">
        <v>0</v>
      </c>
      <c r="AN1435" s="437">
        <v>0</v>
      </c>
      <c r="AO1435" s="437">
        <v>0</v>
      </c>
      <c r="AP1435" s="437">
        <v>0</v>
      </c>
    </row>
    <row r="1436" spans="1:42" ht="14.5">
      <c r="A1436" s="1693">
        <v>1</v>
      </c>
      <c r="B1436" s="616">
        <v>1</v>
      </c>
      <c r="C1436" s="1693">
        <v>1</v>
      </c>
      <c r="D1436" s="616">
        <v>1</v>
      </c>
      <c r="E1436" s="1693">
        <v>1</v>
      </c>
      <c r="F1436" s="616">
        <v>1</v>
      </c>
      <c r="G1436" s="1693">
        <v>1419</v>
      </c>
      <c r="H1436" s="616">
        <v>1</v>
      </c>
      <c r="J1436" s="709" t="s">
        <v>512</v>
      </c>
      <c r="K1436" s="1764" t="s">
        <v>1216</v>
      </c>
      <c r="L1436" s="519"/>
      <c r="M1436" s="439"/>
      <c r="N1436" s="439"/>
      <c r="O1436" s="1113"/>
      <c r="P1436" s="49" t="s">
        <v>206</v>
      </c>
      <c r="Q1436" s="48"/>
      <c r="R1436" s="444"/>
      <c r="S1436" s="443"/>
      <c r="T1436" s="443"/>
      <c r="U1436" s="443"/>
      <c r="V1436" s="438"/>
      <c r="W1436" s="1800"/>
      <c r="X1436" s="2499">
        <v>0</v>
      </c>
      <c r="Y1436" s="2499">
        <v>0</v>
      </c>
      <c r="Z1436" s="2499">
        <v>0</v>
      </c>
      <c r="AA1436" s="2499">
        <v>0</v>
      </c>
      <c r="AB1436" s="2499">
        <v>0</v>
      </c>
      <c r="AC1436" s="2499">
        <v>0</v>
      </c>
      <c r="AD1436" s="2499">
        <v>0</v>
      </c>
      <c r="AE1436" s="2499">
        <v>0</v>
      </c>
      <c r="AF1436" s="2499">
        <v>0</v>
      </c>
      <c r="AG1436" s="2499">
        <v>0</v>
      </c>
      <c r="AH1436" s="2499">
        <v>0</v>
      </c>
      <c r="AI1436" s="2499">
        <v>0</v>
      </c>
      <c r="AJ1436" s="438">
        <v>0</v>
      </c>
      <c r="AK1436" s="438">
        <v>0</v>
      </c>
      <c r="AL1436" s="438">
        <v>0</v>
      </c>
      <c r="AM1436" s="438">
        <v>0</v>
      </c>
      <c r="AN1436" s="438">
        <v>0</v>
      </c>
      <c r="AO1436" s="438">
        <v>0</v>
      </c>
      <c r="AP1436" s="438">
        <v>0</v>
      </c>
    </row>
    <row r="1437" spans="1:42" ht="14.5">
      <c r="A1437" s="1693">
        <v>1</v>
      </c>
      <c r="B1437" s="616">
        <v>1</v>
      </c>
      <c r="C1437" s="1693">
        <v>1</v>
      </c>
      <c r="D1437" s="616">
        <v>1</v>
      </c>
      <c r="E1437" s="1693">
        <v>1</v>
      </c>
      <c r="F1437" s="616">
        <v>1</v>
      </c>
      <c r="G1437" s="1693">
        <v>1420</v>
      </c>
      <c r="H1437" s="616">
        <v>1</v>
      </c>
      <c r="J1437" s="709" t="s">
        <v>512</v>
      </c>
      <c r="K1437" s="1764" t="s">
        <v>1216</v>
      </c>
      <c r="L1437" s="519"/>
      <c r="M1437" s="439"/>
      <c r="N1437" s="206" t="s">
        <v>31</v>
      </c>
      <c r="O1437" s="2253" t="s">
        <v>1110</v>
      </c>
      <c r="P1437" s="1523"/>
      <c r="Q1437" s="1509"/>
      <c r="R1437" s="1509"/>
      <c r="S1437" s="1523"/>
      <c r="T1437" s="1523"/>
      <c r="U1437" s="1523"/>
      <c r="V1437" s="2495"/>
      <c r="W1437" s="1853"/>
      <c r="X1437" s="2263">
        <v>0</v>
      </c>
      <c r="Y1437" s="2263">
        <v>0</v>
      </c>
      <c r="Z1437" s="2263">
        <v>0</v>
      </c>
      <c r="AA1437" s="2263">
        <v>0</v>
      </c>
      <c r="AB1437" s="2263">
        <v>0</v>
      </c>
      <c r="AC1437" s="2263">
        <v>0</v>
      </c>
      <c r="AD1437" s="2263">
        <v>0</v>
      </c>
      <c r="AE1437" s="2263">
        <v>0</v>
      </c>
      <c r="AF1437" s="2263">
        <v>0</v>
      </c>
      <c r="AG1437" s="2263">
        <v>0</v>
      </c>
      <c r="AH1437" s="2263">
        <v>0</v>
      </c>
      <c r="AI1437" s="2263">
        <v>0</v>
      </c>
      <c r="AJ1437" s="2256">
        <v>0</v>
      </c>
      <c r="AK1437" s="2256">
        <v>0</v>
      </c>
      <c r="AL1437" s="2256">
        <v>0</v>
      </c>
      <c r="AM1437" s="2256">
        <v>0</v>
      </c>
      <c r="AN1437" s="2256">
        <v>0</v>
      </c>
      <c r="AO1437" s="2256">
        <v>0</v>
      </c>
      <c r="AP1437" s="2256">
        <v>0</v>
      </c>
    </row>
    <row r="1438" spans="1:42" ht="14.5">
      <c r="A1438" s="1693">
        <v>1</v>
      </c>
      <c r="B1438" s="616">
        <v>1</v>
      </c>
      <c r="C1438" s="1693">
        <v>1</v>
      </c>
      <c r="D1438" s="616">
        <v>1</v>
      </c>
      <c r="E1438" s="1693">
        <v>1</v>
      </c>
      <c r="F1438" s="616">
        <v>1</v>
      </c>
      <c r="G1438" s="1693">
        <v>1421</v>
      </c>
      <c r="H1438" s="616">
        <v>1</v>
      </c>
      <c r="J1438" s="709" t="s">
        <v>512</v>
      </c>
      <c r="K1438" s="1764" t="s">
        <v>1216</v>
      </c>
      <c r="L1438" s="519"/>
      <c r="M1438" s="439"/>
      <c r="N1438"/>
      <c r="O1438"/>
      <c r="P1438"/>
      <c r="Q1438"/>
      <c r="R1438"/>
      <c r="S1438"/>
      <c r="T1438"/>
      <c r="U1438"/>
      <c r="V1438"/>
      <c r="W1438" s="1845"/>
      <c r="X1438"/>
      <c r="Y1438"/>
      <c r="Z1438"/>
      <c r="AA1438"/>
      <c r="AB1438"/>
      <c r="AC1438"/>
      <c r="AD1438"/>
      <c r="AE1438"/>
      <c r="AF1438"/>
      <c r="AG1438"/>
      <c r="AH1438"/>
      <c r="AI1438"/>
      <c r="AJ1438"/>
      <c r="AK1438"/>
      <c r="AL1438"/>
      <c r="AM1438"/>
      <c r="AN1438"/>
      <c r="AO1438"/>
      <c r="AP1438"/>
    </row>
    <row r="1439" spans="1:42" ht="14.5">
      <c r="A1439" s="1693">
        <v>1</v>
      </c>
      <c r="B1439" s="616">
        <v>1</v>
      </c>
      <c r="C1439" s="1693">
        <v>1</v>
      </c>
      <c r="D1439" s="616">
        <v>1</v>
      </c>
      <c r="E1439" s="1693">
        <v>1</v>
      </c>
      <c r="F1439" s="616">
        <v>1</v>
      </c>
      <c r="G1439" s="1693">
        <v>1422</v>
      </c>
      <c r="H1439" s="616">
        <v>1</v>
      </c>
      <c r="J1439" s="709" t="s">
        <v>512</v>
      </c>
      <c r="K1439" s="1764" t="s">
        <v>1216</v>
      </c>
      <c r="L1439"/>
      <c r="M1439" s="4" t="s">
        <v>963</v>
      </c>
      <c r="O1439" s="22"/>
      <c r="P1439" s="22"/>
      <c r="Q1439" s="4"/>
      <c r="R1439" s="3"/>
      <c r="S1439" s="4"/>
      <c r="T1439" s="4"/>
      <c r="U1439" s="3"/>
      <c r="V1439" s="3"/>
      <c r="W1439" s="1845"/>
      <c r="X1439"/>
      <c r="Y1439"/>
      <c r="Z1439"/>
      <c r="AA1439"/>
      <c r="AB1439"/>
      <c r="AC1439"/>
      <c r="AD1439"/>
      <c r="AE1439"/>
      <c r="AF1439"/>
      <c r="AG1439"/>
      <c r="AH1439"/>
      <c r="AI1439"/>
      <c r="AJ1439"/>
      <c r="AK1439"/>
      <c r="AL1439"/>
      <c r="AM1439"/>
      <c r="AN1439"/>
      <c r="AO1439"/>
      <c r="AP1439"/>
    </row>
    <row r="1440" spans="1:42" ht="14.5">
      <c r="A1440" s="1693">
        <v>1</v>
      </c>
      <c r="B1440" s="616">
        <v>1</v>
      </c>
      <c r="C1440" s="1693">
        <v>1</v>
      </c>
      <c r="D1440" s="616">
        <v>1</v>
      </c>
      <c r="E1440" s="1693">
        <v>1</v>
      </c>
      <c r="F1440" s="616">
        <v>1</v>
      </c>
      <c r="G1440" s="1693">
        <v>1423</v>
      </c>
      <c r="H1440" s="616">
        <v>1</v>
      </c>
      <c r="J1440" s="709" t="s">
        <v>512</v>
      </c>
      <c r="K1440" s="1764" t="s">
        <v>1216</v>
      </c>
      <c r="L1440"/>
      <c r="M1440" s="8"/>
      <c r="N1440" s="4"/>
      <c r="O1440" s="198"/>
      <c r="P1440" s="447"/>
      <c r="Q1440" s="514"/>
      <c r="R1440" s="514"/>
      <c r="S1440" s="447"/>
      <c r="T1440" s="447"/>
      <c r="U1440" s="447"/>
      <c r="V1440" s="447"/>
      <c r="W1440" s="1773"/>
      <c r="X1440" s="1955">
        <v>45017</v>
      </c>
      <c r="Y1440" s="1955">
        <v>45047</v>
      </c>
      <c r="Z1440" s="1955">
        <v>45078</v>
      </c>
      <c r="AA1440" s="1955">
        <v>45108</v>
      </c>
      <c r="AB1440" s="1955">
        <v>45139</v>
      </c>
      <c r="AC1440" s="1955">
        <v>45170</v>
      </c>
      <c r="AD1440" s="1955">
        <v>45200</v>
      </c>
      <c r="AE1440" s="1955">
        <v>45231</v>
      </c>
      <c r="AF1440" s="1955">
        <v>45261</v>
      </c>
      <c r="AG1440" s="1955">
        <v>45292</v>
      </c>
      <c r="AH1440" s="1955">
        <v>45323</v>
      </c>
      <c r="AI1440" s="1955">
        <v>45352</v>
      </c>
      <c r="AJ1440" s="1955" t="s">
        <v>904</v>
      </c>
      <c r="AK1440" s="1955" t="s">
        <v>36</v>
      </c>
      <c r="AL1440" s="1955" t="s">
        <v>35</v>
      </c>
      <c r="AM1440" s="1955" t="s">
        <v>34</v>
      </c>
      <c r="AN1440" s="1955" t="s">
        <v>33</v>
      </c>
      <c r="AO1440" s="1955" t="s">
        <v>32</v>
      </c>
      <c r="AP1440" s="1955" t="s">
        <v>905</v>
      </c>
    </row>
    <row r="1441" spans="1:42" ht="14.5">
      <c r="A1441" s="1693">
        <v>1</v>
      </c>
      <c r="B1441" s="616">
        <v>1</v>
      </c>
      <c r="C1441" s="1693">
        <v>1</v>
      </c>
      <c r="D1441" s="616">
        <v>1</v>
      </c>
      <c r="E1441" s="1693">
        <v>1</v>
      </c>
      <c r="F1441" s="616">
        <v>1</v>
      </c>
      <c r="G1441" s="1693">
        <v>1424</v>
      </c>
      <c r="H1441" s="616">
        <v>1</v>
      </c>
      <c r="J1441" s="709" t="s">
        <v>512</v>
      </c>
      <c r="K1441" s="1764" t="s">
        <v>1216</v>
      </c>
      <c r="L1441"/>
      <c r="M1441" s="8"/>
      <c r="N1441" s="4"/>
      <c r="O1441" s="2253" t="s">
        <v>1185</v>
      </c>
      <c r="P1441" s="1509"/>
      <c r="Q1441" s="1509"/>
      <c r="R1441" s="1509"/>
      <c r="S1441" s="1523"/>
      <c r="T1441" s="1523"/>
      <c r="U1441" s="1523"/>
      <c r="V1441" s="1523"/>
      <c r="W1441" s="1849"/>
      <c r="X1441" s="2502">
        <v>1847488</v>
      </c>
      <c r="Y1441" s="2502">
        <v>1960288</v>
      </c>
      <c r="Z1441" s="2502">
        <v>1935244</v>
      </c>
      <c r="AA1441" s="2502">
        <v>1986304</v>
      </c>
      <c r="AB1441" s="2502">
        <v>1981782</v>
      </c>
      <c r="AC1441" s="2502">
        <v>1962660</v>
      </c>
      <c r="AD1441" s="2502">
        <v>1981346</v>
      </c>
      <c r="AE1441" s="2502">
        <v>2023552</v>
      </c>
      <c r="AF1441" s="2502">
        <v>2008135</v>
      </c>
      <c r="AG1441" s="2502">
        <v>2037438</v>
      </c>
      <c r="AH1441" s="2502">
        <v>2047327</v>
      </c>
      <c r="AI1441" s="2502">
        <v>1969638</v>
      </c>
      <c r="AJ1441" s="2502">
        <v>1935244</v>
      </c>
      <c r="AK1441" s="2502">
        <v>1962660</v>
      </c>
      <c r="AL1441" s="2502">
        <v>2008135</v>
      </c>
      <c r="AM1441" s="2502">
        <v>1969638</v>
      </c>
      <c r="AN1441" s="2502">
        <v>1962660</v>
      </c>
      <c r="AO1441" s="2502">
        <v>1969638</v>
      </c>
      <c r="AP1441" s="2502">
        <v>1969638</v>
      </c>
    </row>
    <row r="1442" spans="1:42" ht="14.5">
      <c r="A1442" s="1693">
        <v>1</v>
      </c>
      <c r="B1442" s="616">
        <v>1</v>
      </c>
      <c r="C1442" s="1693">
        <v>1</v>
      </c>
      <c r="D1442" s="616">
        <v>1</v>
      </c>
      <c r="E1442" s="1693">
        <v>1</v>
      </c>
      <c r="F1442" s="616">
        <v>1</v>
      </c>
      <c r="G1442" s="1693">
        <v>1425</v>
      </c>
      <c r="H1442" s="616">
        <v>1</v>
      </c>
      <c r="J1442" s="709" t="s">
        <v>512</v>
      </c>
      <c r="K1442" s="1764" t="s">
        <v>1216</v>
      </c>
      <c r="L1442"/>
      <c r="M1442" s="8"/>
      <c r="N1442" s="4"/>
      <c r="O1442" s="27"/>
      <c r="P1442" s="3" t="s">
        <v>718</v>
      </c>
      <c r="Q1442" s="3"/>
      <c r="R1442" s="3"/>
      <c r="S1442" s="4"/>
      <c r="T1442" s="3"/>
      <c r="U1442" s="3"/>
      <c r="V1442" s="3"/>
      <c r="W1442" s="1849"/>
      <c r="X1442" s="1682">
        <v>1746556</v>
      </c>
      <c r="Y1442" s="1682">
        <v>1853193</v>
      </c>
      <c r="Z1442" s="1682">
        <v>1829517</v>
      </c>
      <c r="AA1442" s="1682">
        <v>1877788</v>
      </c>
      <c r="AB1442" s="1682">
        <v>1873514</v>
      </c>
      <c r="AC1442" s="1682">
        <v>1855436</v>
      </c>
      <c r="AD1442" s="1682">
        <v>1873101</v>
      </c>
      <c r="AE1442" s="1682">
        <v>1913002</v>
      </c>
      <c r="AF1442" s="1682">
        <v>1898427</v>
      </c>
      <c r="AG1442" s="1682">
        <v>1926128</v>
      </c>
      <c r="AH1442" s="1683">
        <v>1935477</v>
      </c>
      <c r="AI1442" s="1683">
        <v>1862032</v>
      </c>
      <c r="AJ1442" s="579">
        <v>1829517</v>
      </c>
      <c r="AK1442" s="579">
        <v>1855436</v>
      </c>
      <c r="AL1442" s="579">
        <v>1898427</v>
      </c>
      <c r="AM1442" s="579">
        <v>1862032</v>
      </c>
      <c r="AN1442" s="579">
        <v>1855436</v>
      </c>
      <c r="AO1442" s="579">
        <v>1862032</v>
      </c>
      <c r="AP1442" s="579">
        <v>1862032</v>
      </c>
    </row>
    <row r="1443" spans="1:42" ht="14.5">
      <c r="A1443" s="1693">
        <v>1</v>
      </c>
      <c r="B1443" s="616">
        <v>1</v>
      </c>
      <c r="C1443" s="1693">
        <v>1</v>
      </c>
      <c r="D1443" s="616">
        <v>1</v>
      </c>
      <c r="E1443" s="1693">
        <v>1</v>
      </c>
      <c r="F1443" s="616">
        <v>1</v>
      </c>
      <c r="G1443" s="1693">
        <v>1426</v>
      </c>
      <c r="H1443" s="616">
        <v>1</v>
      </c>
      <c r="J1443" s="709" t="s">
        <v>512</v>
      </c>
      <c r="K1443" s="1764" t="s">
        <v>1216</v>
      </c>
      <c r="L1443"/>
      <c r="M1443" s="8"/>
      <c r="N1443" s="8"/>
      <c r="O1443" s="27"/>
      <c r="P1443" s="3" t="s">
        <v>600</v>
      </c>
      <c r="Q1443" s="3"/>
      <c r="R1443" s="3"/>
      <c r="S1443" s="4"/>
      <c r="T1443" s="3"/>
      <c r="U1443" s="3"/>
      <c r="V1443" s="3"/>
      <c r="W1443" s="1849"/>
      <c r="X1443" s="1684">
        <v>19957</v>
      </c>
      <c r="Y1443" s="1684">
        <v>21175</v>
      </c>
      <c r="Z1443" s="1684">
        <v>20905</v>
      </c>
      <c r="AA1443" s="1684">
        <v>21456</v>
      </c>
      <c r="AB1443" s="1684">
        <v>21407</v>
      </c>
      <c r="AC1443" s="1684">
        <v>21201</v>
      </c>
      <c r="AD1443" s="1684">
        <v>21403</v>
      </c>
      <c r="AE1443" s="1684">
        <v>21858</v>
      </c>
      <c r="AF1443" s="1684">
        <v>21692</v>
      </c>
      <c r="AG1443" s="1684">
        <v>22008</v>
      </c>
      <c r="AH1443" s="579">
        <v>22115</v>
      </c>
      <c r="AI1443" s="579">
        <v>21276</v>
      </c>
      <c r="AJ1443" s="579">
        <v>20905</v>
      </c>
      <c r="AK1443" s="579">
        <v>21201</v>
      </c>
      <c r="AL1443" s="579">
        <v>21692</v>
      </c>
      <c r="AM1443" s="579">
        <v>21276</v>
      </c>
      <c r="AN1443" s="579">
        <v>21201</v>
      </c>
      <c r="AO1443" s="579">
        <v>21276</v>
      </c>
      <c r="AP1443" s="579">
        <v>21276</v>
      </c>
    </row>
    <row r="1444" spans="1:42" ht="14.5">
      <c r="A1444" s="1693">
        <v>1</v>
      </c>
      <c r="B1444" s="616">
        <v>1</v>
      </c>
      <c r="C1444" s="1693">
        <v>1</v>
      </c>
      <c r="D1444" s="616">
        <v>1</v>
      </c>
      <c r="E1444" s="1693">
        <v>1</v>
      </c>
      <c r="F1444" s="616">
        <v>1</v>
      </c>
      <c r="G1444" s="1693">
        <v>1427</v>
      </c>
      <c r="H1444" s="616">
        <v>1</v>
      </c>
      <c r="J1444" s="709" t="s">
        <v>512</v>
      </c>
      <c r="K1444" s="1764" t="s">
        <v>1216</v>
      </c>
      <c r="L1444"/>
      <c r="M1444" s="8"/>
      <c r="N1444" s="4"/>
      <c r="O1444" s="25"/>
      <c r="P1444" s="3" t="s">
        <v>66</v>
      </c>
      <c r="Q1444" s="3"/>
      <c r="R1444" s="3"/>
      <c r="S1444" s="4"/>
      <c r="T1444" s="3"/>
      <c r="U1444" s="3"/>
      <c r="V1444" s="3"/>
      <c r="W1444" s="1849"/>
      <c r="X1444" s="1685">
        <v>80975</v>
      </c>
      <c r="Y1444" s="1685">
        <v>85920</v>
      </c>
      <c r="Z1444" s="1685">
        <v>84822</v>
      </c>
      <c r="AA1444" s="1685">
        <v>87060</v>
      </c>
      <c r="AB1444" s="1685">
        <v>86861</v>
      </c>
      <c r="AC1444" s="1685">
        <v>86023</v>
      </c>
      <c r="AD1444" s="1685">
        <v>86842</v>
      </c>
      <c r="AE1444" s="1685">
        <v>88692</v>
      </c>
      <c r="AF1444" s="1685">
        <v>88016</v>
      </c>
      <c r="AG1444" s="1685">
        <v>89302</v>
      </c>
      <c r="AH1444" s="584">
        <v>89735</v>
      </c>
      <c r="AI1444" s="584">
        <v>86330</v>
      </c>
      <c r="AJ1444" s="579">
        <v>84822</v>
      </c>
      <c r="AK1444" s="579">
        <v>86023</v>
      </c>
      <c r="AL1444" s="579">
        <v>88016</v>
      </c>
      <c r="AM1444" s="579">
        <v>86330</v>
      </c>
      <c r="AN1444" s="579">
        <v>86023</v>
      </c>
      <c r="AO1444" s="579">
        <v>86330</v>
      </c>
      <c r="AP1444" s="579">
        <v>86330</v>
      </c>
    </row>
    <row r="1445" spans="1:42" ht="14.5">
      <c r="A1445" s="1693">
        <v>1</v>
      </c>
      <c r="B1445" s="616">
        <v>1</v>
      </c>
      <c r="C1445" s="1693">
        <v>1</v>
      </c>
      <c r="D1445" s="616">
        <v>1</v>
      </c>
      <c r="E1445" s="1693">
        <v>1</v>
      </c>
      <c r="F1445" s="616">
        <v>1</v>
      </c>
      <c r="G1445" s="1693">
        <v>1428</v>
      </c>
      <c r="H1445" s="616">
        <v>1</v>
      </c>
      <c r="J1445" s="709" t="s">
        <v>512</v>
      </c>
      <c r="K1445" s="1764" t="s">
        <v>1216</v>
      </c>
      <c r="L1445"/>
      <c r="M1445" s="8"/>
      <c r="N1445" s="4"/>
      <c r="O1445" s="498" t="s">
        <v>30</v>
      </c>
      <c r="P1445" s="586"/>
      <c r="Q1445" s="586"/>
      <c r="R1445" s="586"/>
      <c r="S1445" s="707"/>
      <c r="T1445" s="586"/>
      <c r="U1445" s="586"/>
      <c r="V1445" s="586"/>
      <c r="W1445" s="1850"/>
      <c r="X1445" s="1400">
        <v>470253</v>
      </c>
      <c r="Y1445" s="1400">
        <v>498965</v>
      </c>
      <c r="Z1445" s="1400">
        <v>492590</v>
      </c>
      <c r="AA1445" s="1400">
        <v>505587</v>
      </c>
      <c r="AB1445" s="1400">
        <v>504436</v>
      </c>
      <c r="AC1445" s="1400">
        <v>499569</v>
      </c>
      <c r="AD1445" s="1400">
        <v>504325</v>
      </c>
      <c r="AE1445" s="1400">
        <v>515068</v>
      </c>
      <c r="AF1445" s="1400">
        <v>511144</v>
      </c>
      <c r="AG1445" s="1400">
        <v>518603</v>
      </c>
      <c r="AH1445" s="1400">
        <v>521120</v>
      </c>
      <c r="AI1445" s="1400">
        <v>501345</v>
      </c>
      <c r="AJ1445" s="1400">
        <v>492590</v>
      </c>
      <c r="AK1445" s="1400">
        <v>499569</v>
      </c>
      <c r="AL1445" s="1400">
        <v>511144</v>
      </c>
      <c r="AM1445" s="1400">
        <v>501345</v>
      </c>
      <c r="AN1445" s="1400">
        <v>499569</v>
      </c>
      <c r="AO1445" s="1400">
        <v>501345</v>
      </c>
      <c r="AP1445" s="1400">
        <v>501345</v>
      </c>
    </row>
    <row r="1446" spans="1:42" ht="14.5">
      <c r="A1446" s="1693">
        <v>1</v>
      </c>
      <c r="B1446" s="616">
        <v>1</v>
      </c>
      <c r="C1446" s="1693">
        <v>1</v>
      </c>
      <c r="D1446" s="616">
        <v>1</v>
      </c>
      <c r="E1446" s="1693">
        <v>1</v>
      </c>
      <c r="F1446" s="616">
        <v>1</v>
      </c>
      <c r="G1446" s="1693">
        <v>1429</v>
      </c>
      <c r="H1446" s="616">
        <v>1</v>
      </c>
      <c r="J1446" s="709" t="s">
        <v>512</v>
      </c>
      <c r="K1446" s="1764" t="s">
        <v>1216</v>
      </c>
      <c r="L1446"/>
      <c r="M1446" s="8"/>
      <c r="N1446" s="4"/>
      <c r="O1446" s="498"/>
      <c r="P1446" s="3" t="s">
        <v>586</v>
      </c>
      <c r="Q1446" s="3"/>
      <c r="R1446" s="3"/>
      <c r="S1446" s="4"/>
      <c r="T1446" s="3"/>
      <c r="U1446" s="3"/>
      <c r="V1446" s="3"/>
      <c r="W1446" s="1850"/>
      <c r="X1446" s="1378">
        <v>465482</v>
      </c>
      <c r="Y1446" s="1378">
        <v>493902</v>
      </c>
      <c r="Z1446" s="1378">
        <v>487592</v>
      </c>
      <c r="AA1446" s="1378">
        <v>500457</v>
      </c>
      <c r="AB1446" s="1378">
        <v>499318</v>
      </c>
      <c r="AC1446" s="1378">
        <v>494500</v>
      </c>
      <c r="AD1446" s="1378">
        <v>499208</v>
      </c>
      <c r="AE1446" s="1378">
        <v>509842</v>
      </c>
      <c r="AF1446" s="1378">
        <v>505958</v>
      </c>
      <c r="AG1446" s="1378">
        <v>513341</v>
      </c>
      <c r="AH1446" s="1378">
        <v>515832</v>
      </c>
      <c r="AI1446" s="1378">
        <v>496258</v>
      </c>
      <c r="AJ1446" s="1378">
        <v>487592</v>
      </c>
      <c r="AK1446" s="1378">
        <v>494500</v>
      </c>
      <c r="AL1446" s="1378">
        <v>505958</v>
      </c>
      <c r="AM1446" s="1378">
        <v>496258</v>
      </c>
      <c r="AN1446" s="1378">
        <v>494500</v>
      </c>
      <c r="AO1446" s="1378">
        <v>496258</v>
      </c>
      <c r="AP1446" s="1378">
        <v>496258</v>
      </c>
    </row>
    <row r="1447" spans="1:42" ht="14.5">
      <c r="A1447" s="1693">
        <v>1</v>
      </c>
      <c r="B1447" s="616">
        <v>1</v>
      </c>
      <c r="C1447" s="1693">
        <v>1</v>
      </c>
      <c r="D1447" s="616">
        <v>1</v>
      </c>
      <c r="E1447" s="1693">
        <v>1</v>
      </c>
      <c r="F1447" s="616">
        <v>1</v>
      </c>
      <c r="G1447" s="1693">
        <v>1430</v>
      </c>
      <c r="H1447" s="616">
        <v>1</v>
      </c>
      <c r="J1447" s="709" t="s">
        <v>512</v>
      </c>
      <c r="K1447" s="1764" t="s">
        <v>1216</v>
      </c>
      <c r="L1447"/>
      <c r="M1447" s="8"/>
      <c r="N1447" s="4"/>
      <c r="O1447" s="788"/>
      <c r="P1447" s="3" t="s">
        <v>66</v>
      </c>
      <c r="Q1447" s="3"/>
      <c r="R1447" s="3"/>
      <c r="S1447" s="4"/>
      <c r="T1447" s="3"/>
      <c r="U1447" s="3"/>
      <c r="V1447" s="3"/>
      <c r="W1447" s="1850"/>
      <c r="X1447" s="1378">
        <v>4771</v>
      </c>
      <c r="Y1447" s="1378">
        <v>5063</v>
      </c>
      <c r="Z1447" s="1378">
        <v>4998</v>
      </c>
      <c r="AA1447" s="1378">
        <v>5130</v>
      </c>
      <c r="AB1447" s="1378">
        <v>5118</v>
      </c>
      <c r="AC1447" s="1378">
        <v>5069</v>
      </c>
      <c r="AD1447" s="1378">
        <v>5117</v>
      </c>
      <c r="AE1447" s="1378">
        <v>5226</v>
      </c>
      <c r="AF1447" s="1378">
        <v>5186</v>
      </c>
      <c r="AG1447" s="1378">
        <v>5262</v>
      </c>
      <c r="AH1447" s="1378">
        <v>5288</v>
      </c>
      <c r="AI1447" s="1378">
        <v>5087</v>
      </c>
      <c r="AJ1447" s="1378">
        <v>4998</v>
      </c>
      <c r="AK1447" s="1378">
        <v>5069</v>
      </c>
      <c r="AL1447" s="1378">
        <v>5186</v>
      </c>
      <c r="AM1447" s="1378">
        <v>5087</v>
      </c>
      <c r="AN1447" s="1378">
        <v>5069</v>
      </c>
      <c r="AO1447" s="1378">
        <v>5087</v>
      </c>
      <c r="AP1447" s="1378">
        <v>5087</v>
      </c>
    </row>
    <row r="1448" spans="1:42" ht="14.5">
      <c r="A1448" s="1693">
        <v>1</v>
      </c>
      <c r="B1448" s="616">
        <v>1</v>
      </c>
      <c r="C1448" s="1693">
        <v>1</v>
      </c>
      <c r="D1448" s="616">
        <v>1</v>
      </c>
      <c r="E1448" s="1693">
        <v>1</v>
      </c>
      <c r="F1448" s="616">
        <v>1</v>
      </c>
      <c r="G1448" s="1693">
        <v>1431</v>
      </c>
      <c r="H1448" s="616">
        <v>1</v>
      </c>
      <c r="J1448" s="709" t="s">
        <v>512</v>
      </c>
      <c r="K1448" s="1764" t="s">
        <v>1216</v>
      </c>
      <c r="L1448"/>
      <c r="M1448" s="8"/>
      <c r="N1448" s="4"/>
      <c r="O1448" s="498" t="s">
        <v>1030</v>
      </c>
      <c r="P1448" s="586"/>
      <c r="Q1448" s="586"/>
      <c r="R1448" s="586"/>
      <c r="S1448" s="707"/>
      <c r="T1448" s="586"/>
      <c r="U1448" s="586"/>
      <c r="V1448" s="586"/>
      <c r="W1448" s="1850"/>
      <c r="X1448" s="1400">
        <v>1283738</v>
      </c>
      <c r="Y1448" s="1400">
        <v>1362118</v>
      </c>
      <c r="Z1448" s="1400">
        <v>1344716</v>
      </c>
      <c r="AA1448" s="1400">
        <v>1380195</v>
      </c>
      <c r="AB1448" s="1400">
        <v>1377054</v>
      </c>
      <c r="AC1448" s="1400">
        <v>1363766</v>
      </c>
      <c r="AD1448" s="1400">
        <v>1376750</v>
      </c>
      <c r="AE1448" s="1400">
        <v>1406077</v>
      </c>
      <c r="AF1448" s="1400">
        <v>1395364</v>
      </c>
      <c r="AG1448" s="1400">
        <v>1415726</v>
      </c>
      <c r="AH1448" s="1400">
        <v>1422598</v>
      </c>
      <c r="AI1448" s="1400">
        <v>1368614</v>
      </c>
      <c r="AJ1448" s="1400">
        <v>1344716</v>
      </c>
      <c r="AK1448" s="1400">
        <v>1363766</v>
      </c>
      <c r="AL1448" s="1400">
        <v>1395364</v>
      </c>
      <c r="AM1448" s="1400">
        <v>1368614</v>
      </c>
      <c r="AN1448" s="1400">
        <v>1363766</v>
      </c>
      <c r="AO1448" s="1400">
        <v>1368614</v>
      </c>
      <c r="AP1448" s="1400">
        <v>1368614</v>
      </c>
    </row>
    <row r="1449" spans="1:42" ht="14.5">
      <c r="A1449" s="1693">
        <v>1</v>
      </c>
      <c r="B1449" s="616">
        <v>1</v>
      </c>
      <c r="C1449" s="1693">
        <v>1</v>
      </c>
      <c r="D1449" s="616">
        <v>1</v>
      </c>
      <c r="E1449" s="1693">
        <v>1</v>
      </c>
      <c r="F1449" s="616">
        <v>1</v>
      </c>
      <c r="G1449" s="1693">
        <v>1432</v>
      </c>
      <c r="H1449" s="616">
        <v>1</v>
      </c>
      <c r="J1449" s="709" t="s">
        <v>512</v>
      </c>
      <c r="K1449" s="1764" t="s">
        <v>1216</v>
      </c>
      <c r="L1449"/>
      <c r="M1449" s="8"/>
      <c r="N1449" s="4"/>
      <c r="O1449" s="498"/>
      <c r="P1449" s="3" t="s">
        <v>586</v>
      </c>
      <c r="Q1449" s="3"/>
      <c r="R1449" s="3"/>
      <c r="S1449" s="4"/>
      <c r="T1449" s="3"/>
      <c r="U1449" s="3"/>
      <c r="V1449" s="3"/>
      <c r="W1449" s="1850"/>
      <c r="X1449" s="1378">
        <v>1221171</v>
      </c>
      <c r="Y1449" s="1378">
        <v>1295731</v>
      </c>
      <c r="Z1449" s="1378">
        <v>1279177</v>
      </c>
      <c r="AA1449" s="1378">
        <v>1312927</v>
      </c>
      <c r="AB1449" s="1378">
        <v>1309939</v>
      </c>
      <c r="AC1449" s="1378">
        <v>1297299</v>
      </c>
      <c r="AD1449" s="1378">
        <v>1309650</v>
      </c>
      <c r="AE1449" s="1378">
        <v>1337548</v>
      </c>
      <c r="AF1449" s="1378">
        <v>1327357</v>
      </c>
      <c r="AG1449" s="1378">
        <v>1346726</v>
      </c>
      <c r="AH1449" s="1378">
        <v>1353263</v>
      </c>
      <c r="AI1449" s="1378">
        <v>1301910</v>
      </c>
      <c r="AJ1449" s="1378">
        <v>1279177</v>
      </c>
      <c r="AK1449" s="1378">
        <v>1297299</v>
      </c>
      <c r="AL1449" s="1378">
        <v>1327357</v>
      </c>
      <c r="AM1449" s="1378">
        <v>1301910</v>
      </c>
      <c r="AN1449" s="1378">
        <v>1297299</v>
      </c>
      <c r="AO1449" s="1378">
        <v>1301910</v>
      </c>
      <c r="AP1449" s="1378">
        <v>1301910</v>
      </c>
    </row>
    <row r="1450" spans="1:42" ht="14.5">
      <c r="A1450" s="1693">
        <v>1</v>
      </c>
      <c r="B1450" s="616">
        <v>1</v>
      </c>
      <c r="C1450" s="1693">
        <v>1</v>
      </c>
      <c r="D1450" s="616">
        <v>1</v>
      </c>
      <c r="E1450" s="1693">
        <v>1</v>
      </c>
      <c r="F1450" s="616">
        <v>1</v>
      </c>
      <c r="G1450" s="1693">
        <v>1433</v>
      </c>
      <c r="H1450" s="616">
        <v>1</v>
      </c>
      <c r="J1450" s="709" t="s">
        <v>512</v>
      </c>
      <c r="K1450" s="1764" t="s">
        <v>1216</v>
      </c>
      <c r="L1450"/>
      <c r="M1450" s="8"/>
      <c r="N1450" s="4"/>
      <c r="O1450" s="788"/>
      <c r="P1450" s="3" t="s">
        <v>66</v>
      </c>
      <c r="Q1450" s="3"/>
      <c r="R1450" s="3"/>
      <c r="S1450" s="4"/>
      <c r="T1450" s="3"/>
      <c r="U1450" s="3"/>
      <c r="V1450" s="3"/>
      <c r="W1450" s="1850"/>
      <c r="X1450" s="1378">
        <v>62567</v>
      </c>
      <c r="Y1450" s="1378">
        <v>66387</v>
      </c>
      <c r="Z1450" s="1378">
        <v>65539</v>
      </c>
      <c r="AA1450" s="1378">
        <v>67268</v>
      </c>
      <c r="AB1450" s="1378">
        <v>67115</v>
      </c>
      <c r="AC1450" s="1378">
        <v>66467</v>
      </c>
      <c r="AD1450" s="1378">
        <v>67100</v>
      </c>
      <c r="AE1450" s="1378">
        <v>68529</v>
      </c>
      <c r="AF1450" s="1378">
        <v>68007</v>
      </c>
      <c r="AG1450" s="1378">
        <v>69000</v>
      </c>
      <c r="AH1450" s="1378">
        <v>69335</v>
      </c>
      <c r="AI1450" s="1378">
        <v>66704</v>
      </c>
      <c r="AJ1450" s="1378">
        <v>65539</v>
      </c>
      <c r="AK1450" s="1378">
        <v>66467</v>
      </c>
      <c r="AL1450" s="1378">
        <v>68007</v>
      </c>
      <c r="AM1450" s="1378">
        <v>66704</v>
      </c>
      <c r="AN1450" s="1378">
        <v>66467</v>
      </c>
      <c r="AO1450" s="1378">
        <v>66704</v>
      </c>
      <c r="AP1450" s="1378">
        <v>66704</v>
      </c>
    </row>
    <row r="1451" spans="1:42" ht="14.5">
      <c r="A1451" s="1693">
        <v>1</v>
      </c>
      <c r="B1451" s="616">
        <v>1</v>
      </c>
      <c r="C1451" s="1693">
        <v>1</v>
      </c>
      <c r="D1451" s="616">
        <v>1</v>
      </c>
      <c r="E1451" s="1693">
        <v>1</v>
      </c>
      <c r="F1451" s="616">
        <v>1</v>
      </c>
      <c r="G1451" s="1693">
        <v>1434</v>
      </c>
      <c r="H1451" s="616">
        <v>1</v>
      </c>
      <c r="J1451" s="709" t="s">
        <v>512</v>
      </c>
      <c r="K1451" s="1764" t="s">
        <v>1216</v>
      </c>
      <c r="L1451"/>
      <c r="M1451" s="8"/>
      <c r="N1451" s="4"/>
      <c r="O1451" s="572" t="s">
        <v>936</v>
      </c>
      <c r="P1451" s="586"/>
      <c r="Q1451" s="586"/>
      <c r="R1451" s="586"/>
      <c r="S1451" s="707"/>
      <c r="T1451" s="586"/>
      <c r="U1451" s="586"/>
      <c r="V1451" s="586"/>
      <c r="W1451" s="1850"/>
      <c r="X1451" s="1400">
        <v>91578</v>
      </c>
      <c r="Y1451" s="1400">
        <v>97169</v>
      </c>
      <c r="Z1451" s="1400">
        <v>95928</v>
      </c>
      <c r="AA1451" s="1400">
        <v>98459</v>
      </c>
      <c r="AB1451" s="1400">
        <v>98234</v>
      </c>
      <c r="AC1451" s="1400">
        <v>97287</v>
      </c>
      <c r="AD1451" s="1400">
        <v>98213</v>
      </c>
      <c r="AE1451" s="1400">
        <v>100305</v>
      </c>
      <c r="AF1451" s="1400">
        <v>99541</v>
      </c>
      <c r="AG1451" s="1400">
        <v>100993</v>
      </c>
      <c r="AH1451" s="1400">
        <v>101483</v>
      </c>
      <c r="AI1451" s="1400">
        <v>97633</v>
      </c>
      <c r="AJ1451" s="1400">
        <v>95928</v>
      </c>
      <c r="AK1451" s="1400">
        <v>97287</v>
      </c>
      <c r="AL1451" s="1400">
        <v>99541</v>
      </c>
      <c r="AM1451" s="1400">
        <v>97633</v>
      </c>
      <c r="AN1451" s="1400">
        <v>97287</v>
      </c>
      <c r="AO1451" s="1400">
        <v>97633</v>
      </c>
      <c r="AP1451" s="1400">
        <v>97633</v>
      </c>
    </row>
    <row r="1452" spans="1:42" ht="14.5">
      <c r="A1452" s="1693">
        <v>1</v>
      </c>
      <c r="B1452" s="616">
        <v>1</v>
      </c>
      <c r="C1452" s="1693">
        <v>1</v>
      </c>
      <c r="D1452" s="616">
        <v>1</v>
      </c>
      <c r="E1452" s="1693">
        <v>1</v>
      </c>
      <c r="F1452" s="616">
        <v>1</v>
      </c>
      <c r="G1452" s="1693">
        <v>1435</v>
      </c>
      <c r="H1452" s="616">
        <v>1</v>
      </c>
      <c r="J1452" s="709" t="s">
        <v>512</v>
      </c>
      <c r="K1452" s="1764" t="s">
        <v>1216</v>
      </c>
      <c r="L1452"/>
      <c r="M1452" s="8"/>
      <c r="N1452" s="4"/>
      <c r="O1452" s="498"/>
      <c r="P1452" s="3" t="s">
        <v>599</v>
      </c>
      <c r="Q1452" s="3"/>
      <c r="R1452" s="3"/>
      <c r="S1452" s="4"/>
      <c r="T1452" s="3"/>
      <c r="U1452" s="3"/>
      <c r="V1452" s="3"/>
      <c r="W1452" s="1850"/>
      <c r="X1452" s="1378">
        <v>59555</v>
      </c>
      <c r="Y1452" s="1378">
        <v>63191</v>
      </c>
      <c r="Z1452" s="1378">
        <v>62384</v>
      </c>
      <c r="AA1452" s="1378">
        <v>64030</v>
      </c>
      <c r="AB1452" s="1378">
        <v>63884</v>
      </c>
      <c r="AC1452" s="1378">
        <v>63268</v>
      </c>
      <c r="AD1452" s="1378">
        <v>63870</v>
      </c>
      <c r="AE1452" s="1378">
        <v>65231</v>
      </c>
      <c r="AF1452" s="1378">
        <v>64734</v>
      </c>
      <c r="AG1452" s="1378">
        <v>65678</v>
      </c>
      <c r="AH1452" s="1378">
        <v>65997</v>
      </c>
      <c r="AI1452" s="1378">
        <v>63493</v>
      </c>
      <c r="AJ1452" s="1378">
        <v>62384</v>
      </c>
      <c r="AK1452" s="1378">
        <v>63268</v>
      </c>
      <c r="AL1452" s="1378">
        <v>64734</v>
      </c>
      <c r="AM1452" s="1378">
        <v>63493</v>
      </c>
      <c r="AN1452" s="1378">
        <v>63268</v>
      </c>
      <c r="AO1452" s="1378">
        <v>63493</v>
      </c>
      <c r="AP1452" s="1378">
        <v>63493</v>
      </c>
    </row>
    <row r="1453" spans="1:42" ht="14.5">
      <c r="A1453" s="1693">
        <v>1</v>
      </c>
      <c r="B1453" s="616">
        <v>1</v>
      </c>
      <c r="C1453" s="1693">
        <v>1</v>
      </c>
      <c r="D1453" s="616">
        <v>1</v>
      </c>
      <c r="E1453" s="1693">
        <v>1</v>
      </c>
      <c r="F1453" s="616">
        <v>1</v>
      </c>
      <c r="G1453" s="1693">
        <v>1436</v>
      </c>
      <c r="H1453" s="616">
        <v>1</v>
      </c>
      <c r="J1453" s="709" t="s">
        <v>512</v>
      </c>
      <c r="K1453" s="1764" t="s">
        <v>1216</v>
      </c>
      <c r="L1453"/>
      <c r="M1453" s="8"/>
      <c r="N1453" s="8"/>
      <c r="O1453" s="498"/>
      <c r="P1453" s="3" t="s">
        <v>600</v>
      </c>
      <c r="Q1453" s="3"/>
      <c r="R1453" s="3"/>
      <c r="S1453" s="4"/>
      <c r="T1453" s="3"/>
      <c r="U1453" s="3"/>
      <c r="V1453" s="3"/>
      <c r="W1453" s="1850"/>
      <c r="X1453" s="1378">
        <v>19957</v>
      </c>
      <c r="Y1453" s="1378">
        <v>21175</v>
      </c>
      <c r="Z1453" s="1378">
        <v>20905</v>
      </c>
      <c r="AA1453" s="1378">
        <v>21456</v>
      </c>
      <c r="AB1453" s="1378">
        <v>21407</v>
      </c>
      <c r="AC1453" s="1378">
        <v>21201</v>
      </c>
      <c r="AD1453" s="1378">
        <v>21403</v>
      </c>
      <c r="AE1453" s="1378">
        <v>21858</v>
      </c>
      <c r="AF1453" s="1378">
        <v>21692</v>
      </c>
      <c r="AG1453" s="1378">
        <v>22008</v>
      </c>
      <c r="AH1453" s="1378">
        <v>22115</v>
      </c>
      <c r="AI1453" s="1378">
        <v>21276</v>
      </c>
      <c r="AJ1453" s="1378">
        <v>20905</v>
      </c>
      <c r="AK1453" s="1378">
        <v>21201</v>
      </c>
      <c r="AL1453" s="1378">
        <v>21692</v>
      </c>
      <c r="AM1453" s="1378">
        <v>21276</v>
      </c>
      <c r="AN1453" s="1378">
        <v>21201</v>
      </c>
      <c r="AO1453" s="1378">
        <v>21276</v>
      </c>
      <c r="AP1453" s="1378">
        <v>21276</v>
      </c>
    </row>
    <row r="1454" spans="1:42" ht="14.5">
      <c r="A1454" s="1693">
        <v>1</v>
      </c>
      <c r="B1454" s="616">
        <v>1</v>
      </c>
      <c r="C1454" s="1693">
        <v>1</v>
      </c>
      <c r="D1454" s="616">
        <v>1</v>
      </c>
      <c r="E1454" s="1693">
        <v>1</v>
      </c>
      <c r="F1454" s="616">
        <v>1</v>
      </c>
      <c r="G1454" s="1693">
        <v>1437</v>
      </c>
      <c r="H1454" s="616">
        <v>1</v>
      </c>
      <c r="J1454" s="709" t="s">
        <v>512</v>
      </c>
      <c r="K1454" s="1764" t="s">
        <v>1216</v>
      </c>
      <c r="L1454"/>
      <c r="M1454" s="8"/>
      <c r="N1454" s="4"/>
      <c r="O1454" s="788"/>
      <c r="P1454" s="1" t="s">
        <v>66</v>
      </c>
      <c r="Q1454" s="1"/>
      <c r="R1454" s="1"/>
      <c r="S1454" s="2"/>
      <c r="T1454" s="1"/>
      <c r="U1454" s="1"/>
      <c r="V1454" s="1"/>
      <c r="W1454" s="1850"/>
      <c r="X1454" s="1378">
        <v>12066</v>
      </c>
      <c r="Y1454" s="1378">
        <v>12803</v>
      </c>
      <c r="Z1454" s="1378">
        <v>12639</v>
      </c>
      <c r="AA1454" s="1378">
        <v>12973</v>
      </c>
      <c r="AB1454" s="1378">
        <v>12943</v>
      </c>
      <c r="AC1454" s="1378">
        <v>12818</v>
      </c>
      <c r="AD1454" s="1378">
        <v>12940</v>
      </c>
      <c r="AE1454" s="1378">
        <v>13216</v>
      </c>
      <c r="AF1454" s="1378">
        <v>13115</v>
      </c>
      <c r="AG1454" s="1378">
        <v>13307</v>
      </c>
      <c r="AH1454" s="1378">
        <v>13371</v>
      </c>
      <c r="AI1454" s="1378">
        <v>12864</v>
      </c>
      <c r="AJ1454" s="1378">
        <v>12639</v>
      </c>
      <c r="AK1454" s="1378">
        <v>12818</v>
      </c>
      <c r="AL1454" s="1378">
        <v>13115</v>
      </c>
      <c r="AM1454" s="1378">
        <v>12864</v>
      </c>
      <c r="AN1454" s="1378">
        <v>12818</v>
      </c>
      <c r="AO1454" s="1378">
        <v>12864</v>
      </c>
      <c r="AP1454" s="1378">
        <v>12864</v>
      </c>
    </row>
    <row r="1455" spans="1:42" ht="14.5">
      <c r="A1455" s="1693">
        <v>1</v>
      </c>
      <c r="B1455" s="616">
        <v>1</v>
      </c>
      <c r="C1455" s="1693">
        <v>1</v>
      </c>
      <c r="D1455" s="616">
        <v>1</v>
      </c>
      <c r="E1455" s="1693">
        <v>1</v>
      </c>
      <c r="F1455" s="616">
        <v>1</v>
      </c>
      <c r="G1455" s="1693">
        <v>1438</v>
      </c>
      <c r="H1455" s="616">
        <v>1</v>
      </c>
      <c r="J1455" s="709" t="s">
        <v>512</v>
      </c>
      <c r="K1455" s="1764" t="s">
        <v>1216</v>
      </c>
      <c r="L1455"/>
      <c r="M1455" s="8"/>
      <c r="N1455" s="4"/>
      <c r="O1455" s="498" t="s">
        <v>1079</v>
      </c>
      <c r="P1455" s="586"/>
      <c r="Q1455" s="586"/>
      <c r="R1455" s="586"/>
      <c r="S1455" s="707"/>
      <c r="T1455" s="586"/>
      <c r="U1455" s="586"/>
      <c r="V1455" s="586"/>
      <c r="W1455" s="1850"/>
      <c r="X1455" s="1400">
        <v>0</v>
      </c>
      <c r="Y1455" s="1400">
        <v>0</v>
      </c>
      <c r="Z1455" s="1400">
        <v>0</v>
      </c>
      <c r="AA1455" s="1400">
        <v>0</v>
      </c>
      <c r="AB1455" s="1400">
        <v>0</v>
      </c>
      <c r="AC1455" s="1400">
        <v>0</v>
      </c>
      <c r="AD1455" s="1400">
        <v>0</v>
      </c>
      <c r="AE1455" s="1400">
        <v>0</v>
      </c>
      <c r="AF1455" s="1400">
        <v>0</v>
      </c>
      <c r="AG1455" s="1400">
        <v>0</v>
      </c>
      <c r="AH1455" s="1400">
        <v>0</v>
      </c>
      <c r="AI1455" s="1400">
        <v>0</v>
      </c>
      <c r="AJ1455" s="1400">
        <v>0</v>
      </c>
      <c r="AK1455" s="1400">
        <v>0</v>
      </c>
      <c r="AL1455" s="1400">
        <v>0</v>
      </c>
      <c r="AM1455" s="1400">
        <v>0</v>
      </c>
      <c r="AN1455" s="1400">
        <v>0</v>
      </c>
      <c r="AO1455" s="1400">
        <v>0</v>
      </c>
      <c r="AP1455" s="1400">
        <v>0</v>
      </c>
    </row>
    <row r="1456" spans="1:42" ht="14.5">
      <c r="A1456" s="1693">
        <v>1</v>
      </c>
      <c r="B1456" s="616">
        <v>1</v>
      </c>
      <c r="C1456" s="1693">
        <v>1</v>
      </c>
      <c r="D1456" s="616">
        <v>1</v>
      </c>
      <c r="E1456" s="1693">
        <v>1</v>
      </c>
      <c r="F1456" s="616">
        <v>1</v>
      </c>
      <c r="G1456" s="1693">
        <v>1439</v>
      </c>
      <c r="H1456" s="616">
        <v>1</v>
      </c>
      <c r="J1456" s="709" t="s">
        <v>512</v>
      </c>
      <c r="K1456" s="1764" t="s">
        <v>1216</v>
      </c>
      <c r="L1456"/>
      <c r="M1456" s="8"/>
      <c r="N1456" s="4"/>
      <c r="O1456" s="498"/>
      <c r="P1456" s="3" t="s">
        <v>586</v>
      </c>
      <c r="Q1456" s="3"/>
      <c r="R1456" s="3"/>
      <c r="S1456" s="4"/>
      <c r="T1456" s="3"/>
      <c r="U1456" s="3"/>
      <c r="V1456" s="3"/>
      <c r="W1456" s="1850"/>
      <c r="X1456" s="1378">
        <v>0</v>
      </c>
      <c r="Y1456" s="1378">
        <v>0</v>
      </c>
      <c r="Z1456" s="1378">
        <v>0</v>
      </c>
      <c r="AA1456" s="1378">
        <v>0</v>
      </c>
      <c r="AB1456" s="1378">
        <v>0</v>
      </c>
      <c r="AC1456" s="1378">
        <v>0</v>
      </c>
      <c r="AD1456" s="1378">
        <v>0</v>
      </c>
      <c r="AE1456" s="1378">
        <v>0</v>
      </c>
      <c r="AF1456" s="1378">
        <v>0</v>
      </c>
      <c r="AG1456" s="1378">
        <v>0</v>
      </c>
      <c r="AH1456" s="1378">
        <v>0</v>
      </c>
      <c r="AI1456" s="1378">
        <v>0</v>
      </c>
      <c r="AJ1456" s="1378">
        <v>0</v>
      </c>
      <c r="AK1456" s="1378">
        <v>0</v>
      </c>
      <c r="AL1456" s="1378">
        <v>0</v>
      </c>
      <c r="AM1456" s="1378">
        <v>0</v>
      </c>
      <c r="AN1456" s="1378">
        <v>0</v>
      </c>
      <c r="AO1456" s="1378">
        <v>0</v>
      </c>
      <c r="AP1456" s="1378">
        <v>0</v>
      </c>
    </row>
    <row r="1457" spans="1:42" ht="14.5">
      <c r="A1457" s="1693">
        <v>1</v>
      </c>
      <c r="B1457" s="616">
        <v>1</v>
      </c>
      <c r="C1457" s="1693">
        <v>1</v>
      </c>
      <c r="D1457" s="616">
        <v>1</v>
      </c>
      <c r="E1457" s="1693">
        <v>1</v>
      </c>
      <c r="F1457" s="616">
        <v>1</v>
      </c>
      <c r="G1457" s="1693">
        <v>1440</v>
      </c>
      <c r="H1457" s="616">
        <v>1</v>
      </c>
      <c r="J1457" s="709" t="s">
        <v>512</v>
      </c>
      <c r="K1457" s="1764" t="s">
        <v>1216</v>
      </c>
      <c r="L1457"/>
      <c r="M1457" s="8"/>
      <c r="N1457" s="4"/>
      <c r="O1457" s="788"/>
      <c r="P1457" s="1" t="s">
        <v>66</v>
      </c>
      <c r="Q1457" s="1"/>
      <c r="R1457" s="1"/>
      <c r="S1457" s="2"/>
      <c r="T1457" s="1"/>
      <c r="U1457" s="1"/>
      <c r="V1457" s="1"/>
      <c r="W1457" s="1850"/>
      <c r="X1457" s="1379">
        <v>0</v>
      </c>
      <c r="Y1457" s="1379">
        <v>0</v>
      </c>
      <c r="Z1457" s="1379">
        <v>0</v>
      </c>
      <c r="AA1457" s="1379">
        <v>0</v>
      </c>
      <c r="AB1457" s="1379">
        <v>0</v>
      </c>
      <c r="AC1457" s="1379">
        <v>0</v>
      </c>
      <c r="AD1457" s="1379">
        <v>0</v>
      </c>
      <c r="AE1457" s="1379">
        <v>0</v>
      </c>
      <c r="AF1457" s="1379">
        <v>0</v>
      </c>
      <c r="AG1457" s="1379">
        <v>0</v>
      </c>
      <c r="AH1457" s="1379">
        <v>0</v>
      </c>
      <c r="AI1457" s="1379">
        <v>0</v>
      </c>
      <c r="AJ1457" s="1379">
        <v>0</v>
      </c>
      <c r="AK1457" s="1379">
        <v>0</v>
      </c>
      <c r="AL1457" s="1379">
        <v>0</v>
      </c>
      <c r="AM1457" s="1379">
        <v>0</v>
      </c>
      <c r="AN1457" s="1379">
        <v>0</v>
      </c>
      <c r="AO1457" s="1379">
        <v>0</v>
      </c>
      <c r="AP1457" s="1379">
        <v>0</v>
      </c>
    </row>
    <row r="1458" spans="1:42" ht="14.5">
      <c r="A1458" s="1693">
        <v>1</v>
      </c>
      <c r="B1458" s="616">
        <v>1</v>
      </c>
      <c r="C1458" s="1693">
        <v>1</v>
      </c>
      <c r="D1458" s="616">
        <v>1</v>
      </c>
      <c r="E1458" s="1693">
        <v>1</v>
      </c>
      <c r="F1458" s="616">
        <v>1</v>
      </c>
      <c r="G1458" s="1693">
        <v>1441</v>
      </c>
      <c r="H1458" s="616">
        <v>1</v>
      </c>
      <c r="J1458" s="709" t="s">
        <v>512</v>
      </c>
      <c r="K1458" s="1764" t="s">
        <v>1216</v>
      </c>
      <c r="L1458"/>
      <c r="M1458" s="8"/>
      <c r="N1458" s="4"/>
      <c r="O1458" s="963" t="s">
        <v>1056</v>
      </c>
      <c r="P1458" s="964"/>
      <c r="Q1458" s="964"/>
      <c r="R1458" s="964"/>
      <c r="S1458" s="965"/>
      <c r="T1458" s="965"/>
      <c r="U1458" s="965"/>
      <c r="V1458" s="965"/>
      <c r="W1458" s="1851"/>
      <c r="X1458" s="1401">
        <v>1919</v>
      </c>
      <c r="Y1458" s="1401">
        <v>2036</v>
      </c>
      <c r="Z1458" s="1401">
        <v>2010</v>
      </c>
      <c r="AA1458" s="1401">
        <v>2063</v>
      </c>
      <c r="AB1458" s="1401">
        <v>2058</v>
      </c>
      <c r="AC1458" s="1401">
        <v>2038</v>
      </c>
      <c r="AD1458" s="1401">
        <v>2058</v>
      </c>
      <c r="AE1458" s="1401">
        <v>2102</v>
      </c>
      <c r="AF1458" s="1401">
        <v>2086</v>
      </c>
      <c r="AG1458" s="1401">
        <v>2116</v>
      </c>
      <c r="AH1458" s="1401">
        <v>2126</v>
      </c>
      <c r="AI1458" s="1401">
        <v>2046</v>
      </c>
      <c r="AJ1458" s="1401">
        <v>2010</v>
      </c>
      <c r="AK1458" s="1401">
        <v>2038</v>
      </c>
      <c r="AL1458" s="1401">
        <v>2086</v>
      </c>
      <c r="AM1458" s="1401">
        <v>2046</v>
      </c>
      <c r="AN1458" s="1401">
        <v>2038</v>
      </c>
      <c r="AO1458" s="1401">
        <v>2046</v>
      </c>
      <c r="AP1458" s="1401">
        <v>2046</v>
      </c>
    </row>
    <row r="1459" spans="1:42" ht="14.5">
      <c r="A1459" s="1693">
        <v>1</v>
      </c>
      <c r="B1459" s="616">
        <v>1</v>
      </c>
      <c r="C1459" s="1693">
        <v>1</v>
      </c>
      <c r="D1459" s="616">
        <v>1</v>
      </c>
      <c r="E1459" s="1693">
        <v>1</v>
      </c>
      <c r="F1459" s="616">
        <v>1</v>
      </c>
      <c r="G1459" s="1693">
        <v>1442</v>
      </c>
      <c r="H1459" s="616">
        <v>1</v>
      </c>
      <c r="J1459" s="709" t="s">
        <v>512</v>
      </c>
      <c r="K1459" s="1764" t="s">
        <v>1216</v>
      </c>
      <c r="L1459"/>
      <c r="M1459" s="8"/>
      <c r="N1459" s="4"/>
      <c r="O1459" s="29"/>
      <c r="P1459" s="3" t="s">
        <v>586</v>
      </c>
      <c r="Q1459" s="3"/>
      <c r="R1459" s="3"/>
      <c r="S1459" s="4"/>
      <c r="T1459" s="3"/>
      <c r="U1459" s="3"/>
      <c r="V1459" s="3"/>
      <c r="W1459" s="1850"/>
      <c r="X1459" s="1378">
        <v>348</v>
      </c>
      <c r="Y1459" s="1378">
        <v>369</v>
      </c>
      <c r="Z1459" s="1378">
        <v>364</v>
      </c>
      <c r="AA1459" s="1378">
        <v>374</v>
      </c>
      <c r="AB1459" s="1378">
        <v>373</v>
      </c>
      <c r="AC1459" s="1378">
        <v>369</v>
      </c>
      <c r="AD1459" s="1378">
        <v>373</v>
      </c>
      <c r="AE1459" s="1378">
        <v>381</v>
      </c>
      <c r="AF1459" s="1378">
        <v>378</v>
      </c>
      <c r="AG1459" s="1378">
        <v>383</v>
      </c>
      <c r="AH1459" s="1378">
        <v>385</v>
      </c>
      <c r="AI1459" s="1378">
        <v>371</v>
      </c>
      <c r="AJ1459" s="596">
        <v>364</v>
      </c>
      <c r="AK1459" s="596">
        <v>369</v>
      </c>
      <c r="AL1459" s="596">
        <v>378</v>
      </c>
      <c r="AM1459" s="596">
        <v>371</v>
      </c>
      <c r="AN1459" s="596">
        <v>369</v>
      </c>
      <c r="AO1459" s="596">
        <v>371</v>
      </c>
      <c r="AP1459" s="596">
        <v>371</v>
      </c>
    </row>
    <row r="1460" spans="1:42" ht="14.5">
      <c r="A1460" s="1693">
        <v>1</v>
      </c>
      <c r="B1460" s="616">
        <v>1</v>
      </c>
      <c r="C1460" s="1693">
        <v>1</v>
      </c>
      <c r="D1460" s="616">
        <v>1</v>
      </c>
      <c r="E1460" s="1693">
        <v>1</v>
      </c>
      <c r="F1460" s="616">
        <v>1</v>
      </c>
      <c r="G1460" s="1693">
        <v>1443</v>
      </c>
      <c r="H1460" s="616">
        <v>1</v>
      </c>
      <c r="J1460" s="709" t="s">
        <v>512</v>
      </c>
      <c r="K1460" s="1764" t="s">
        <v>1216</v>
      </c>
      <c r="L1460"/>
      <c r="M1460" s="8"/>
      <c r="N1460" s="4"/>
      <c r="O1460" s="366"/>
      <c r="P1460" s="1" t="s">
        <v>66</v>
      </c>
      <c r="Q1460" s="1"/>
      <c r="R1460" s="1"/>
      <c r="S1460" s="2"/>
      <c r="T1460" s="1"/>
      <c r="U1460" s="1"/>
      <c r="V1460" s="1"/>
      <c r="W1460" s="1850"/>
      <c r="X1460" s="1379">
        <v>1571</v>
      </c>
      <c r="Y1460" s="1379">
        <v>1667</v>
      </c>
      <c r="Z1460" s="1379">
        <v>1646</v>
      </c>
      <c r="AA1460" s="1379">
        <v>1689</v>
      </c>
      <c r="AB1460" s="1379">
        <v>1685</v>
      </c>
      <c r="AC1460" s="1379">
        <v>1669</v>
      </c>
      <c r="AD1460" s="1379">
        <v>1685</v>
      </c>
      <c r="AE1460" s="1379">
        <v>1721</v>
      </c>
      <c r="AF1460" s="1379">
        <v>1708</v>
      </c>
      <c r="AG1460" s="1379">
        <v>1733</v>
      </c>
      <c r="AH1460" s="1379">
        <v>1741</v>
      </c>
      <c r="AI1460" s="1379">
        <v>1675</v>
      </c>
      <c r="AJ1460" s="585">
        <v>1646</v>
      </c>
      <c r="AK1460" s="585">
        <v>1669</v>
      </c>
      <c r="AL1460" s="585">
        <v>1708</v>
      </c>
      <c r="AM1460" s="585">
        <v>1675</v>
      </c>
      <c r="AN1460" s="585">
        <v>1669</v>
      </c>
      <c r="AO1460" s="585">
        <v>1675</v>
      </c>
      <c r="AP1460" s="585">
        <v>1675</v>
      </c>
    </row>
    <row r="1461" spans="1:42" ht="14.5">
      <c r="A1461" s="1693">
        <v>1</v>
      </c>
      <c r="B1461" s="616">
        <v>1</v>
      </c>
      <c r="C1461" s="1693">
        <v>1</v>
      </c>
      <c r="D1461" s="616">
        <v>1</v>
      </c>
      <c r="E1461" s="1693">
        <v>1</v>
      </c>
      <c r="F1461" s="616">
        <v>1</v>
      </c>
      <c r="G1461" s="1693">
        <v>1444</v>
      </c>
      <c r="H1461" s="616">
        <v>1</v>
      </c>
      <c r="J1461" s="709" t="s">
        <v>512</v>
      </c>
      <c r="K1461" s="1764" t="s">
        <v>1216</v>
      </c>
      <c r="L1461"/>
      <c r="M1461" s="8"/>
      <c r="N1461"/>
      <c r="O1461" s="1096" t="s">
        <v>1186</v>
      </c>
      <c r="P1461" s="1091"/>
      <c r="Q1461" s="1091"/>
      <c r="R1461" s="1091"/>
      <c r="S1461" s="1092"/>
      <c r="T1461" s="1092"/>
      <c r="U1461" s="1092"/>
      <c r="V1461" s="1092"/>
      <c r="W1461" s="1852"/>
      <c r="X1461" s="1462">
        <v>0</v>
      </c>
      <c r="Y1461" s="1462">
        <v>0</v>
      </c>
      <c r="Z1461" s="1462">
        <v>0</v>
      </c>
      <c r="AA1461" s="1462">
        <v>0</v>
      </c>
      <c r="AB1461" s="1462">
        <v>0</v>
      </c>
      <c r="AC1461" s="1462">
        <v>0</v>
      </c>
      <c r="AD1461" s="1462">
        <v>0</v>
      </c>
      <c r="AE1461" s="1462">
        <v>0</v>
      </c>
      <c r="AF1461" s="1462">
        <v>0</v>
      </c>
      <c r="AG1461" s="1462">
        <v>0</v>
      </c>
      <c r="AH1461" s="1462">
        <v>0</v>
      </c>
      <c r="AI1461" s="1462">
        <v>0</v>
      </c>
      <c r="AJ1461" s="1462">
        <v>0</v>
      </c>
      <c r="AK1461" s="1462">
        <v>0</v>
      </c>
      <c r="AL1461" s="1462">
        <v>0</v>
      </c>
      <c r="AM1461" s="1462">
        <v>0</v>
      </c>
      <c r="AN1461" s="1462">
        <v>0</v>
      </c>
      <c r="AO1461" s="1462">
        <v>0</v>
      </c>
      <c r="AP1461" s="1462">
        <v>0</v>
      </c>
    </row>
    <row r="1462" spans="1:42" ht="14.5">
      <c r="A1462" s="1693">
        <v>1</v>
      </c>
      <c r="B1462" s="616">
        <v>1</v>
      </c>
      <c r="C1462" s="1693">
        <v>1</v>
      </c>
      <c r="D1462" s="616">
        <v>1</v>
      </c>
      <c r="E1462" s="1693">
        <v>1</v>
      </c>
      <c r="F1462" s="616">
        <v>1</v>
      </c>
      <c r="G1462" s="1693">
        <v>1445</v>
      </c>
      <c r="H1462" s="616">
        <v>1</v>
      </c>
      <c r="J1462" s="709" t="s">
        <v>512</v>
      </c>
      <c r="K1462" s="1764" t="s">
        <v>1216</v>
      </c>
      <c r="L1462"/>
      <c r="M1462" s="8"/>
      <c r="N1462"/>
      <c r="O1462" s="29"/>
      <c r="P1462" s="3" t="s">
        <v>718</v>
      </c>
      <c r="Q1462" s="3"/>
      <c r="R1462" s="3"/>
      <c r="S1462" s="4"/>
      <c r="T1462" s="3"/>
      <c r="U1462" s="3"/>
      <c r="V1462" s="3"/>
      <c r="W1462" s="1853"/>
      <c r="X1462" s="2003"/>
      <c r="Y1462" s="2003"/>
      <c r="Z1462" s="2003"/>
      <c r="AA1462" s="2003"/>
      <c r="AB1462" s="2003"/>
      <c r="AC1462" s="2003"/>
      <c r="AD1462" s="2003"/>
      <c r="AE1462" s="2003"/>
      <c r="AF1462" s="2003"/>
      <c r="AG1462" s="2003"/>
      <c r="AH1462" s="2003"/>
      <c r="AI1462" s="2003"/>
      <c r="AJ1462" s="596">
        <v>0</v>
      </c>
      <c r="AK1462" s="596">
        <v>0</v>
      </c>
      <c r="AL1462" s="596">
        <v>0</v>
      </c>
      <c r="AM1462" s="596">
        <v>0</v>
      </c>
      <c r="AN1462" s="596">
        <v>0</v>
      </c>
      <c r="AO1462" s="596">
        <v>0</v>
      </c>
      <c r="AP1462" s="596">
        <v>0</v>
      </c>
    </row>
    <row r="1463" spans="1:42" ht="14.5">
      <c r="A1463" s="1693">
        <v>1</v>
      </c>
      <c r="B1463" s="616">
        <v>1</v>
      </c>
      <c r="C1463" s="1693">
        <v>1</v>
      </c>
      <c r="D1463" s="616">
        <v>1</v>
      </c>
      <c r="E1463" s="1693">
        <v>1</v>
      </c>
      <c r="F1463" s="616">
        <v>1</v>
      </c>
      <c r="G1463" s="1693">
        <v>1446</v>
      </c>
      <c r="H1463" s="616">
        <v>1</v>
      </c>
      <c r="J1463" s="709" t="s">
        <v>512</v>
      </c>
      <c r="K1463" s="1764" t="s">
        <v>1216</v>
      </c>
      <c r="L1463"/>
      <c r="M1463" s="8"/>
      <c r="N1463"/>
      <c r="O1463" s="366"/>
      <c r="P1463" s="1" t="s">
        <v>66</v>
      </c>
      <c r="Q1463" s="1"/>
      <c r="R1463" s="1"/>
      <c r="S1463" s="2"/>
      <c r="T1463" s="1"/>
      <c r="U1463" s="1"/>
      <c r="V1463" s="1"/>
      <c r="W1463" s="1853"/>
      <c r="X1463" s="2017"/>
      <c r="Y1463" s="2017"/>
      <c r="Z1463" s="2017"/>
      <c r="AA1463" s="2017"/>
      <c r="AB1463" s="2017"/>
      <c r="AC1463" s="2017"/>
      <c r="AD1463" s="2017"/>
      <c r="AE1463" s="2017"/>
      <c r="AF1463" s="2017"/>
      <c r="AG1463" s="2017"/>
      <c r="AH1463" s="2017"/>
      <c r="AI1463" s="2017"/>
      <c r="AJ1463" s="585">
        <v>0</v>
      </c>
      <c r="AK1463" s="585">
        <v>0</v>
      </c>
      <c r="AL1463" s="585">
        <v>0</v>
      </c>
      <c r="AM1463" s="585">
        <v>0</v>
      </c>
      <c r="AN1463" s="585">
        <v>0</v>
      </c>
      <c r="AO1463" s="585">
        <v>0</v>
      </c>
      <c r="AP1463" s="585">
        <v>0</v>
      </c>
    </row>
    <row r="1464" spans="1:42" ht="14.5">
      <c r="A1464" s="1693">
        <v>1</v>
      </c>
      <c r="B1464" s="616">
        <v>1</v>
      </c>
      <c r="C1464" s="1693">
        <v>1</v>
      </c>
      <c r="D1464" s="616">
        <v>1</v>
      </c>
      <c r="E1464" s="1693">
        <v>1</v>
      </c>
      <c r="F1464" s="616">
        <v>1</v>
      </c>
      <c r="G1464" s="1693">
        <v>1447</v>
      </c>
      <c r="H1464" s="616">
        <v>1</v>
      </c>
      <c r="J1464" s="709" t="s">
        <v>512</v>
      </c>
      <c r="K1464" s="1764" t="s">
        <v>1216</v>
      </c>
      <c r="L1464"/>
      <c r="M1464" s="8"/>
      <c r="N1464"/>
      <c r="O1464" s="1096" t="s">
        <v>1187</v>
      </c>
      <c r="P1464" s="1091"/>
      <c r="Q1464" s="1091"/>
      <c r="R1464" s="1091"/>
      <c r="S1464" s="1092"/>
      <c r="T1464" s="1092"/>
      <c r="U1464" s="1092"/>
      <c r="V1464" s="1092"/>
      <c r="W1464" s="1852"/>
      <c r="X1464" s="1462">
        <v>0</v>
      </c>
      <c r="Y1464" s="1462">
        <v>0</v>
      </c>
      <c r="Z1464" s="1462">
        <v>0</v>
      </c>
      <c r="AA1464" s="1462">
        <v>0</v>
      </c>
      <c r="AB1464" s="1462">
        <v>0</v>
      </c>
      <c r="AC1464" s="1462">
        <v>0</v>
      </c>
      <c r="AD1464" s="1462">
        <v>0</v>
      </c>
      <c r="AE1464" s="1462">
        <v>0</v>
      </c>
      <c r="AF1464" s="1462">
        <v>0</v>
      </c>
      <c r="AG1464" s="1462">
        <v>0</v>
      </c>
      <c r="AH1464" s="1462">
        <v>0</v>
      </c>
      <c r="AI1464" s="1462">
        <v>0</v>
      </c>
      <c r="AJ1464" s="1462">
        <v>0</v>
      </c>
      <c r="AK1464" s="1462">
        <v>0</v>
      </c>
      <c r="AL1464" s="1462">
        <v>0</v>
      </c>
      <c r="AM1464" s="1462">
        <v>0</v>
      </c>
      <c r="AN1464" s="1462">
        <v>0</v>
      </c>
      <c r="AO1464" s="1462">
        <v>0</v>
      </c>
      <c r="AP1464" s="1462">
        <v>0</v>
      </c>
    </row>
    <row r="1465" spans="1:42" ht="14.5">
      <c r="A1465" s="1693">
        <v>1</v>
      </c>
      <c r="B1465" s="616">
        <v>1</v>
      </c>
      <c r="C1465" s="1693">
        <v>1</v>
      </c>
      <c r="D1465" s="616">
        <v>1</v>
      </c>
      <c r="E1465" s="1693">
        <v>1</v>
      </c>
      <c r="F1465" s="616">
        <v>1</v>
      </c>
      <c r="G1465" s="1693">
        <v>1448</v>
      </c>
      <c r="H1465" s="616">
        <v>1</v>
      </c>
      <c r="J1465" s="709" t="s">
        <v>512</v>
      </c>
      <c r="K1465" s="1764" t="s">
        <v>1216</v>
      </c>
      <c r="L1465"/>
      <c r="M1465" s="8"/>
      <c r="N1465"/>
      <c r="O1465" s="29"/>
      <c r="P1465" s="3" t="s">
        <v>721</v>
      </c>
      <c r="Q1465" s="3"/>
      <c r="R1465" s="3"/>
      <c r="S1465" s="4"/>
      <c r="T1465" s="3"/>
      <c r="U1465" s="3"/>
      <c r="V1465" s="3"/>
      <c r="W1465" s="1853"/>
      <c r="X1465" s="2003"/>
      <c r="Y1465" s="2003"/>
      <c r="Z1465" s="2003"/>
      <c r="AA1465" s="2003"/>
      <c r="AB1465" s="2003"/>
      <c r="AC1465" s="2003"/>
      <c r="AD1465" s="2003"/>
      <c r="AE1465" s="2003"/>
      <c r="AF1465" s="2003"/>
      <c r="AG1465" s="2003"/>
      <c r="AH1465" s="2003"/>
      <c r="AI1465" s="2003"/>
      <c r="AJ1465" s="596">
        <v>0</v>
      </c>
      <c r="AK1465" s="596">
        <v>0</v>
      </c>
      <c r="AL1465" s="596">
        <v>0</v>
      </c>
      <c r="AM1465" s="596">
        <v>0</v>
      </c>
      <c r="AN1465" s="596">
        <v>0</v>
      </c>
      <c r="AO1465" s="596">
        <v>0</v>
      </c>
      <c r="AP1465" s="596">
        <v>0</v>
      </c>
    </row>
    <row r="1466" spans="1:42" ht="14.5">
      <c r="A1466" s="1693">
        <v>1</v>
      </c>
      <c r="B1466" s="616">
        <v>1</v>
      </c>
      <c r="C1466" s="1693">
        <v>1</v>
      </c>
      <c r="D1466" s="616">
        <v>1</v>
      </c>
      <c r="E1466" s="1693">
        <v>1</v>
      </c>
      <c r="F1466" s="616">
        <v>1</v>
      </c>
      <c r="G1466" s="1693">
        <v>1449</v>
      </c>
      <c r="H1466" s="616">
        <v>1</v>
      </c>
      <c r="J1466" s="709" t="s">
        <v>512</v>
      </c>
      <c r="K1466" s="1764" t="s">
        <v>1216</v>
      </c>
      <c r="L1466"/>
      <c r="M1466" s="8"/>
      <c r="N1466"/>
      <c r="O1466" s="29"/>
      <c r="P1466" s="3" t="s">
        <v>1188</v>
      </c>
      <c r="Q1466" s="3"/>
      <c r="R1466" s="3"/>
      <c r="S1466" s="4"/>
      <c r="T1466" s="3"/>
      <c r="U1466" s="3"/>
      <c r="V1466" s="3"/>
      <c r="W1466" s="1853"/>
      <c r="X1466" s="2003"/>
      <c r="Y1466" s="2003"/>
      <c r="Z1466" s="2003"/>
      <c r="AA1466" s="2003"/>
      <c r="AB1466" s="2003"/>
      <c r="AC1466" s="2003"/>
      <c r="AD1466" s="2003"/>
      <c r="AE1466" s="2003"/>
      <c r="AF1466" s="2003"/>
      <c r="AG1466" s="2003"/>
      <c r="AH1466" s="2003"/>
      <c r="AI1466" s="2003"/>
      <c r="AJ1466" s="596">
        <v>0</v>
      </c>
      <c r="AK1466" s="596">
        <v>0</v>
      </c>
      <c r="AL1466" s="596">
        <v>0</v>
      </c>
      <c r="AM1466" s="596">
        <v>0</v>
      </c>
      <c r="AN1466" s="596">
        <v>0</v>
      </c>
      <c r="AO1466" s="596">
        <v>0</v>
      </c>
      <c r="AP1466" s="596">
        <v>0</v>
      </c>
    </row>
    <row r="1467" spans="1:42" ht="14.5">
      <c r="A1467" s="1693">
        <v>1</v>
      </c>
      <c r="B1467" s="616">
        <v>1</v>
      </c>
      <c r="C1467" s="1693">
        <v>1</v>
      </c>
      <c r="D1467" s="616">
        <v>1</v>
      </c>
      <c r="E1467" s="1693">
        <v>1</v>
      </c>
      <c r="F1467" s="616">
        <v>1</v>
      </c>
      <c r="G1467" s="1693">
        <v>1450</v>
      </c>
      <c r="H1467" s="616">
        <v>1</v>
      </c>
      <c r="J1467" s="709" t="s">
        <v>512</v>
      </c>
      <c r="K1467" s="1764" t="s">
        <v>1216</v>
      </c>
      <c r="L1467"/>
      <c r="M1467" s="8"/>
      <c r="N1467"/>
      <c r="O1467" s="366"/>
      <c r="P1467" s="1" t="s">
        <v>66</v>
      </c>
      <c r="Q1467" s="1"/>
      <c r="R1467" s="1"/>
      <c r="S1467" s="2"/>
      <c r="T1467" s="1"/>
      <c r="U1467" s="1"/>
      <c r="V1467" s="1"/>
      <c r="W1467" s="1853"/>
      <c r="X1467" s="2017"/>
      <c r="Y1467" s="2017"/>
      <c r="Z1467" s="2017"/>
      <c r="AA1467" s="2017"/>
      <c r="AB1467" s="2017"/>
      <c r="AC1467" s="2017"/>
      <c r="AD1467" s="2017"/>
      <c r="AE1467" s="2017"/>
      <c r="AF1467" s="2017"/>
      <c r="AG1467" s="2017"/>
      <c r="AH1467" s="2017"/>
      <c r="AI1467" s="2017"/>
      <c r="AJ1467" s="585">
        <v>0</v>
      </c>
      <c r="AK1467" s="585">
        <v>0</v>
      </c>
      <c r="AL1467" s="585">
        <v>0</v>
      </c>
      <c r="AM1467" s="585">
        <v>0</v>
      </c>
      <c r="AN1467" s="585">
        <v>0</v>
      </c>
      <c r="AO1467" s="585">
        <v>0</v>
      </c>
      <c r="AP1467" s="585">
        <v>0</v>
      </c>
    </row>
    <row r="1468" spans="1:42" ht="14.5">
      <c r="A1468" s="1693">
        <v>1</v>
      </c>
      <c r="B1468" s="616">
        <v>1</v>
      </c>
      <c r="C1468" s="1693">
        <v>1</v>
      </c>
      <c r="D1468" s="616">
        <v>1</v>
      </c>
      <c r="E1468" s="1693">
        <v>1</v>
      </c>
      <c r="F1468" s="616">
        <v>1</v>
      </c>
      <c r="G1468" s="1693">
        <v>1451</v>
      </c>
      <c r="H1468" s="616">
        <v>1</v>
      </c>
      <c r="J1468" s="709" t="s">
        <v>512</v>
      </c>
      <c r="K1468" s="1764" t="s">
        <v>1216</v>
      </c>
      <c r="M1468" s="22"/>
      <c r="N1468" s="9"/>
      <c r="O1468" s="8"/>
      <c r="P1468" s="9"/>
      <c r="R1468" s="8"/>
      <c r="V1468" s="1210"/>
      <c r="W1468" s="1772"/>
      <c r="X1468" s="1366"/>
      <c r="Y1468" s="1366"/>
      <c r="Z1468" s="1366"/>
      <c r="AA1468" s="1366"/>
      <c r="AB1468" s="1366"/>
      <c r="AC1468" s="1366"/>
      <c r="AD1468" s="1366"/>
      <c r="AE1468" s="1366"/>
      <c r="AF1468" s="1366"/>
      <c r="AG1468" s="69"/>
      <c r="AH1468" s="69"/>
      <c r="AI1468" s="69"/>
      <c r="AJ1468" s="69"/>
      <c r="AK1468" s="69"/>
      <c r="AL1468" s="69"/>
      <c r="AM1468" s="69"/>
      <c r="AN1468" s="69"/>
      <c r="AO1468" s="69"/>
      <c r="AP1468" s="69"/>
    </row>
    <row r="1469" spans="1:42" ht="18">
      <c r="A1469" s="1693">
        <v>1</v>
      </c>
      <c r="B1469" s="616">
        <v>1</v>
      </c>
      <c r="C1469" s="1693">
        <v>1</v>
      </c>
      <c r="D1469" s="616">
        <v>1</v>
      </c>
      <c r="E1469" s="1693">
        <v>1</v>
      </c>
      <c r="F1469" s="616">
        <v>1</v>
      </c>
      <c r="G1469" s="1693">
        <v>1452</v>
      </c>
      <c r="H1469" s="616">
        <v>1</v>
      </c>
      <c r="J1469" s="709" t="s">
        <v>512</v>
      </c>
      <c r="K1469" s="1764" t="s">
        <v>1216</v>
      </c>
      <c r="L1469" s="242" t="s">
        <v>964</v>
      </c>
      <c r="M1469" s="242"/>
      <c r="W1469" s="1772"/>
      <c r="X1469" s="1366"/>
      <c r="Y1469" s="1366"/>
      <c r="Z1469" s="1366"/>
      <c r="AA1469" s="1366"/>
      <c r="AB1469" s="1366"/>
      <c r="AC1469" s="1366"/>
      <c r="AD1469" s="1366"/>
      <c r="AE1469" s="1366"/>
      <c r="AF1469" s="1366"/>
      <c r="AG1469" s="1366"/>
      <c r="AH1469" s="69"/>
      <c r="AI1469" s="69"/>
      <c r="AJ1469" s="69"/>
      <c r="AK1469" s="69"/>
      <c r="AL1469" s="69"/>
      <c r="AM1469" s="69"/>
      <c r="AN1469" s="69"/>
      <c r="AO1469" s="69"/>
      <c r="AP1469" s="69"/>
    </row>
    <row r="1470" spans="1:42" ht="14.5">
      <c r="A1470" s="1693">
        <v>1</v>
      </c>
      <c r="B1470" s="616">
        <v>1</v>
      </c>
      <c r="C1470" s="1693">
        <v>1</v>
      </c>
      <c r="D1470" s="616">
        <v>1</v>
      </c>
      <c r="E1470" s="1693">
        <v>1</v>
      </c>
      <c r="F1470" s="616">
        <v>1</v>
      </c>
      <c r="G1470" s="1693">
        <v>1453</v>
      </c>
      <c r="H1470" s="616">
        <v>1</v>
      </c>
      <c r="J1470" s="709" t="s">
        <v>512</v>
      </c>
      <c r="K1470" s="1764" t="s">
        <v>1216</v>
      </c>
      <c r="M1470" s="4" t="s">
        <v>965</v>
      </c>
      <c r="W1470" s="1772"/>
      <c r="X1470" s="1366"/>
      <c r="Y1470" s="1366"/>
      <c r="Z1470" s="1366"/>
      <c r="AA1470" s="1366"/>
      <c r="AB1470" s="1366"/>
      <c r="AC1470" s="1366"/>
      <c r="AD1470" s="1366"/>
      <c r="AE1470" s="1366"/>
      <c r="AF1470" s="1366"/>
      <c r="AG1470" s="1366"/>
      <c r="AH1470" s="69"/>
      <c r="AI1470" s="69"/>
      <c r="AJ1470" s="69"/>
      <c r="AK1470" s="69"/>
      <c r="AL1470" s="69"/>
      <c r="AM1470" s="69"/>
      <c r="AN1470" s="69"/>
      <c r="AO1470" s="69"/>
      <c r="AP1470" s="69"/>
    </row>
    <row r="1471" spans="1:42" ht="14.5">
      <c r="A1471" s="1693">
        <v>1</v>
      </c>
      <c r="B1471" s="616">
        <v>1</v>
      </c>
      <c r="C1471" s="1693">
        <v>1</v>
      </c>
      <c r="D1471" s="616">
        <v>1</v>
      </c>
      <c r="E1471" s="1693">
        <v>1</v>
      </c>
      <c r="F1471" s="616">
        <v>1</v>
      </c>
      <c r="G1471" s="1693">
        <v>1454</v>
      </c>
      <c r="H1471" s="616">
        <v>1</v>
      </c>
      <c r="J1471" s="709" t="s">
        <v>512</v>
      </c>
      <c r="K1471" s="1764" t="s">
        <v>1216</v>
      </c>
      <c r="O1471" s="612"/>
      <c r="P1471" s="613"/>
      <c r="Q1471" s="614"/>
      <c r="R1471" s="614"/>
      <c r="S1471" s="613"/>
      <c r="T1471" s="613"/>
      <c r="U1471" s="613"/>
      <c r="V1471" s="615"/>
      <c r="W1471" s="1773"/>
      <c r="X1471" s="2503">
        <v>45017</v>
      </c>
      <c r="Y1471" s="2503">
        <v>45047</v>
      </c>
      <c r="Z1471" s="2503">
        <v>45078</v>
      </c>
      <c r="AA1471" s="2503">
        <v>45108</v>
      </c>
      <c r="AB1471" s="2503">
        <v>45139</v>
      </c>
      <c r="AC1471" s="2503">
        <v>45170</v>
      </c>
      <c r="AD1471" s="2503">
        <v>45200</v>
      </c>
      <c r="AE1471" s="2503">
        <v>45231</v>
      </c>
      <c r="AF1471" s="2503">
        <v>45261</v>
      </c>
      <c r="AG1471" s="2503">
        <v>45292</v>
      </c>
      <c r="AH1471" s="2503">
        <v>45323</v>
      </c>
      <c r="AI1471" s="2503">
        <v>45352</v>
      </c>
      <c r="AJ1471" s="2504" t="s">
        <v>904</v>
      </c>
      <c r="AK1471" s="2504" t="s">
        <v>36</v>
      </c>
      <c r="AL1471" s="2504" t="s">
        <v>35</v>
      </c>
      <c r="AM1471" s="2504" t="s">
        <v>34</v>
      </c>
      <c r="AN1471" s="2504" t="s">
        <v>33</v>
      </c>
      <c r="AO1471" s="2504" t="s">
        <v>32</v>
      </c>
      <c r="AP1471" s="2504" t="s">
        <v>905</v>
      </c>
    </row>
    <row r="1472" spans="1:42" s="621" customFormat="1" ht="14.5">
      <c r="A1472" s="1693">
        <v>1</v>
      </c>
      <c r="B1472" s="616">
        <v>1</v>
      </c>
      <c r="C1472" s="1693">
        <v>1</v>
      </c>
      <c r="D1472" s="616">
        <v>1</v>
      </c>
      <c r="E1472" s="1693">
        <v>1</v>
      </c>
      <c r="F1472" s="616">
        <v>1</v>
      </c>
      <c r="G1472" s="1693">
        <v>1455</v>
      </c>
      <c r="H1472" s="616">
        <v>1</v>
      </c>
      <c r="I1472" s="616"/>
      <c r="J1472" s="709" t="s">
        <v>512</v>
      </c>
      <c r="K1472" s="1764" t="s">
        <v>1216</v>
      </c>
      <c r="L1472" s="622"/>
      <c r="M1472" s="622"/>
      <c r="N1472" s="623"/>
      <c r="O1472" s="2505" t="s">
        <v>0</v>
      </c>
      <c r="P1472" s="2506"/>
      <c r="Q1472" s="2506"/>
      <c r="R1472" s="2506"/>
      <c r="S1472" s="2506"/>
      <c r="T1472" s="2506"/>
      <c r="U1472" s="2506"/>
      <c r="V1472" s="2507" t="s">
        <v>1189</v>
      </c>
      <c r="W1472" s="1850"/>
      <c r="X1472" s="2508">
        <v>941049.21058490593</v>
      </c>
      <c r="Y1472" s="2508">
        <v>675591.67248327355</v>
      </c>
      <c r="Z1472" s="2508">
        <v>733635.06397991278</v>
      </c>
      <c r="AA1472" s="2508">
        <v>685650.62405384192</v>
      </c>
      <c r="AB1472" s="2508">
        <v>755265.94014036213</v>
      </c>
      <c r="AC1472" s="2508">
        <v>773672.56438615767</v>
      </c>
      <c r="AD1472" s="2508">
        <v>709386.80954572745</v>
      </c>
      <c r="AE1472" s="2508">
        <v>691799.95033590356</v>
      </c>
      <c r="AF1472" s="2508">
        <v>768286.49047424528</v>
      </c>
      <c r="AG1472" s="2508">
        <v>722474.70795102231</v>
      </c>
      <c r="AH1472" s="2508">
        <v>748910.34105824702</v>
      </c>
      <c r="AI1472" s="2508">
        <v>804749.4430559841</v>
      </c>
      <c r="AJ1472" s="2508">
        <v>2350275.9470480923</v>
      </c>
      <c r="AK1472" s="2508">
        <v>2214589.1285803616</v>
      </c>
      <c r="AL1472" s="2508">
        <v>2169473.2503558761</v>
      </c>
      <c r="AM1472" s="2508">
        <v>2276134.4920652537</v>
      </c>
      <c r="AN1472" s="2508">
        <v>4564865.0756284539</v>
      </c>
      <c r="AO1472" s="2508">
        <v>4445607.7424211297</v>
      </c>
      <c r="AP1472" s="2508">
        <v>9010472.8180495836</v>
      </c>
    </row>
    <row r="1473" spans="1:42" s="621" customFormat="1" ht="14.5">
      <c r="A1473" s="1693">
        <v>1</v>
      </c>
      <c r="B1473" s="616">
        <v>1</v>
      </c>
      <c r="C1473" s="1693">
        <v>1</v>
      </c>
      <c r="D1473" s="616">
        <v>1</v>
      </c>
      <c r="E1473" s="1693">
        <v>1</v>
      </c>
      <c r="F1473" s="616">
        <v>1</v>
      </c>
      <c r="G1473" s="1693">
        <v>1456</v>
      </c>
      <c r="H1473" s="616">
        <v>1</v>
      </c>
      <c r="I1473" s="616"/>
      <c r="J1473" s="709" t="s">
        <v>512</v>
      </c>
      <c r="K1473" s="1764" t="s">
        <v>1216</v>
      </c>
      <c r="L1473" s="622"/>
      <c r="M1473" s="622"/>
      <c r="N1473" s="623"/>
      <c r="O1473" s="2509" t="s">
        <v>1190</v>
      </c>
      <c r="P1473" s="2510"/>
      <c r="Q1473" s="2510"/>
      <c r="R1473" s="2511"/>
      <c r="S1473" s="749"/>
      <c r="T1473" s="749"/>
      <c r="U1473" s="749"/>
      <c r="V1473" s="2512" t="s">
        <v>1191</v>
      </c>
      <c r="W1473" s="1850"/>
      <c r="X1473" s="2513">
        <v>662482.84999957448</v>
      </c>
      <c r="Y1473" s="2513">
        <v>500468.03450064844</v>
      </c>
      <c r="Z1473" s="2513">
        <v>544706.91705858579</v>
      </c>
      <c r="AA1473" s="2513">
        <v>513547.20818305766</v>
      </c>
      <c r="AB1473" s="2513">
        <v>570040.23371974856</v>
      </c>
      <c r="AC1473" s="2513">
        <v>582702.80764497328</v>
      </c>
      <c r="AD1473" s="2513">
        <v>535635.9421723634</v>
      </c>
      <c r="AE1473" s="2513">
        <v>520491.58656637068</v>
      </c>
      <c r="AF1473" s="2513">
        <v>579054.87207329413</v>
      </c>
      <c r="AG1473" s="2513">
        <v>539763.92080010986</v>
      </c>
      <c r="AH1473" s="2513">
        <v>557891.1146647936</v>
      </c>
      <c r="AI1473" s="2513">
        <v>601936.9567617455</v>
      </c>
      <c r="AJ1473" s="2513">
        <v>1707657.8015588084</v>
      </c>
      <c r="AK1473" s="2513">
        <v>1666290.2495477796</v>
      </c>
      <c r="AL1473" s="2513">
        <v>1635182.400812028</v>
      </c>
      <c r="AM1473" s="2513">
        <v>1699591.9922266491</v>
      </c>
      <c r="AN1473" s="2513">
        <v>3373948.0511065884</v>
      </c>
      <c r="AO1473" s="2513">
        <v>3334774.3930386775</v>
      </c>
      <c r="AP1473" s="2513">
        <v>6708722.444145266</v>
      </c>
    </row>
    <row r="1474" spans="1:42" s="641" customFormat="1" ht="14.5">
      <c r="A1474" s="1693">
        <v>1</v>
      </c>
      <c r="B1474" s="616">
        <v>1</v>
      </c>
      <c r="C1474" s="1693">
        <v>1</v>
      </c>
      <c r="D1474" s="616">
        <v>1</v>
      </c>
      <c r="E1474" s="1693">
        <v>1</v>
      </c>
      <c r="F1474" s="616">
        <v>1</v>
      </c>
      <c r="G1474" s="1693">
        <v>1457</v>
      </c>
      <c r="H1474" s="616">
        <v>1</v>
      </c>
      <c r="I1474" s="616"/>
      <c r="J1474" s="709" t="s">
        <v>512</v>
      </c>
      <c r="K1474" s="1764" t="s">
        <v>1216</v>
      </c>
      <c r="L1474" s="637"/>
      <c r="M1474" s="637"/>
      <c r="N1474" s="637"/>
      <c r="O1474" s="2514"/>
      <c r="P1474" s="2515" t="s">
        <v>55</v>
      </c>
      <c r="Q1474" s="2515"/>
      <c r="R1474" s="2515"/>
      <c r="S1474" s="2516"/>
      <c r="T1474" s="2516"/>
      <c r="U1474" s="2516"/>
      <c r="V1474" s="2517"/>
      <c r="W1474" s="1785"/>
      <c r="X1474" s="1332">
        <v>0.70398321633765626</v>
      </c>
      <c r="Y1474" s="1332">
        <v>0.74078478892594568</v>
      </c>
      <c r="Z1474" s="1332">
        <v>0.74247666694608816</v>
      </c>
      <c r="AA1474" s="1332">
        <v>0.74899254834300344</v>
      </c>
      <c r="AB1474" s="1332">
        <v>0.75475432350863014</v>
      </c>
      <c r="AC1474" s="1332">
        <v>0.7531646260550775</v>
      </c>
      <c r="AD1474" s="1332">
        <v>0.7550689341339325</v>
      </c>
      <c r="AE1474" s="1332">
        <v>0.7523729747503537</v>
      </c>
      <c r="AF1474" s="1332">
        <v>0.75369654322029933</v>
      </c>
      <c r="AG1474" s="1332">
        <v>0.74710424442526135</v>
      </c>
      <c r="AH1474" s="1332">
        <v>0.74493712274885415</v>
      </c>
      <c r="AI1474" s="1332">
        <v>0.74798058197583672</v>
      </c>
      <c r="AJ1474" s="1332">
        <v>0.72657757643463028</v>
      </c>
      <c r="AK1474" s="1332">
        <v>0.75241507692938825</v>
      </c>
      <c r="AL1474" s="1332">
        <v>0.75372323698565813</v>
      </c>
      <c r="AM1474" s="1332">
        <v>0.74670103992164449</v>
      </c>
      <c r="AN1474" s="1332">
        <v>0.73911232757346945</v>
      </c>
      <c r="AO1474" s="1332">
        <v>0.75012789842374183</v>
      </c>
      <c r="AP1474" s="1332">
        <v>0.74454721518126099</v>
      </c>
    </row>
    <row r="1475" spans="1:42" s="624" customFormat="1" ht="14.5">
      <c r="A1475" s="1693">
        <v>1</v>
      </c>
      <c r="B1475" s="616">
        <v>1</v>
      </c>
      <c r="C1475" s="1693">
        <v>1</v>
      </c>
      <c r="D1475" s="616">
        <v>1</v>
      </c>
      <c r="E1475" s="1693">
        <v>1</v>
      </c>
      <c r="F1475" s="616">
        <v>1</v>
      </c>
      <c r="G1475" s="1693">
        <v>1458</v>
      </c>
      <c r="H1475" s="616">
        <v>1</v>
      </c>
      <c r="I1475" s="616"/>
      <c r="J1475" s="709" t="s">
        <v>512</v>
      </c>
      <c r="K1475" s="1764" t="s">
        <v>1216</v>
      </c>
      <c r="L1475" s="623"/>
      <c r="M1475" s="623"/>
      <c r="N1475" s="623"/>
      <c r="O1475" s="750"/>
      <c r="P1475" s="749" t="s">
        <v>1192</v>
      </c>
      <c r="Q1475" s="749"/>
      <c r="R1475" s="749"/>
      <c r="S1475" s="749"/>
      <c r="T1475" s="749"/>
      <c r="U1475" s="749"/>
      <c r="V1475" s="2512"/>
      <c r="W1475" s="1850"/>
      <c r="X1475" s="2510">
        <v>574579.35095184983</v>
      </c>
      <c r="Y1475" s="2510">
        <v>443291.22171058046</v>
      </c>
      <c r="Z1475" s="2510">
        <v>483124.7006522945</v>
      </c>
      <c r="AA1475" s="2510">
        <v>454754.49217142951</v>
      </c>
      <c r="AB1475" s="2510">
        <v>506218.92565355502</v>
      </c>
      <c r="AC1475" s="2510">
        <v>511310.86964397022</v>
      </c>
      <c r="AD1475" s="2510">
        <v>479240.57120995154</v>
      </c>
      <c r="AE1475" s="2510">
        <v>465192.78052634443</v>
      </c>
      <c r="AF1475" s="2510">
        <v>518374.20433591458</v>
      </c>
      <c r="AG1475" s="2510">
        <v>484095.97320056648</v>
      </c>
      <c r="AH1475" s="2510">
        <v>502314.50478565914</v>
      </c>
      <c r="AI1475" s="2510">
        <v>545508.14620184293</v>
      </c>
      <c r="AJ1475" s="2510">
        <v>1500995.2733147247</v>
      </c>
      <c r="AK1475" s="2510">
        <v>1472284.2874689549</v>
      </c>
      <c r="AL1475" s="2510">
        <v>1462807.5560722104</v>
      </c>
      <c r="AM1475" s="2510">
        <v>1531918.6241880686</v>
      </c>
      <c r="AN1475" s="2510">
        <v>2973279.5607836796</v>
      </c>
      <c r="AO1475" s="2510">
        <v>2994726.1802602792</v>
      </c>
      <c r="AP1475" s="2510">
        <v>5968005.7410439588</v>
      </c>
    </row>
    <row r="1476" spans="1:42" s="624" customFormat="1" ht="14.5">
      <c r="A1476" s="1693">
        <v>1</v>
      </c>
      <c r="B1476" s="616">
        <v>1</v>
      </c>
      <c r="C1476" s="1693">
        <v>1</v>
      </c>
      <c r="D1476" s="616">
        <v>1</v>
      </c>
      <c r="E1476" s="1693">
        <v>1</v>
      </c>
      <c r="F1476" s="616">
        <v>1</v>
      </c>
      <c r="G1476" s="1693">
        <v>1459</v>
      </c>
      <c r="H1476" s="616">
        <v>1</v>
      </c>
      <c r="I1476" s="616"/>
      <c r="J1476" s="709" t="s">
        <v>512</v>
      </c>
      <c r="K1476" s="1764" t="s">
        <v>1216</v>
      </c>
      <c r="L1476" s="623"/>
      <c r="M1476" s="623"/>
      <c r="N1476" s="623"/>
      <c r="O1476" s="750"/>
      <c r="P1476" s="749" t="s">
        <v>1193</v>
      </c>
      <c r="Q1476" s="749"/>
      <c r="R1476" s="749"/>
      <c r="S1476" s="749"/>
      <c r="T1476" s="749"/>
      <c r="U1476" s="749"/>
      <c r="V1476" s="2512"/>
      <c r="W1476" s="1850"/>
      <c r="X1476" s="2510">
        <v>9148.7627500000017</v>
      </c>
      <c r="Y1476" s="2510">
        <v>9332.0960833333447</v>
      </c>
      <c r="Z1476" s="2510">
        <v>9798.7627500000017</v>
      </c>
      <c r="AA1476" s="2510">
        <v>10265.429416666659</v>
      </c>
      <c r="AB1476" s="2510">
        <v>10565.429416666659</v>
      </c>
      <c r="AC1476" s="2510">
        <v>10890.429416666659</v>
      </c>
      <c r="AD1476" s="2510">
        <v>11248.762750000002</v>
      </c>
      <c r="AE1476" s="2510">
        <v>11348.762750000002</v>
      </c>
      <c r="AF1476" s="2510">
        <v>11532.09608333333</v>
      </c>
      <c r="AG1476" s="2510">
        <v>11632.09608333333</v>
      </c>
      <c r="AH1476" s="2510">
        <v>11732.09608333333</v>
      </c>
      <c r="AI1476" s="2510">
        <v>11732.09608333333</v>
      </c>
      <c r="AJ1476" s="2510">
        <v>28279.621583333326</v>
      </c>
      <c r="AK1476" s="2510">
        <v>31721.288249999954</v>
      </c>
      <c r="AL1476" s="2510">
        <v>34129.621583333326</v>
      </c>
      <c r="AM1476" s="2510">
        <v>35096.288249999983</v>
      </c>
      <c r="AN1476" s="2510">
        <v>60000.90983333328</v>
      </c>
      <c r="AO1476" s="2510">
        <v>69225.90983333328</v>
      </c>
      <c r="AP1476" s="2510">
        <v>129226.81966666656</v>
      </c>
    </row>
    <row r="1477" spans="1:42" s="624" customFormat="1" ht="14.5">
      <c r="A1477" s="1693">
        <v>1</v>
      </c>
      <c r="B1477" s="616">
        <v>1</v>
      </c>
      <c r="C1477" s="1693">
        <v>1</v>
      </c>
      <c r="D1477" s="616">
        <v>1</v>
      </c>
      <c r="E1477" s="1693">
        <v>1</v>
      </c>
      <c r="F1477" s="616">
        <v>1</v>
      </c>
      <c r="G1477" s="1693">
        <v>1460</v>
      </c>
      <c r="H1477" s="616">
        <v>1</v>
      </c>
      <c r="I1477" s="616"/>
      <c r="J1477" s="709" t="s">
        <v>512</v>
      </c>
      <c r="K1477" s="1764" t="s">
        <v>1216</v>
      </c>
      <c r="L1477" s="623"/>
      <c r="M1477" s="623"/>
      <c r="N1477" s="623"/>
      <c r="O1477" s="2518"/>
      <c r="P1477" s="2519" t="s">
        <v>1194</v>
      </c>
      <c r="Q1477" s="2519"/>
      <c r="R1477" s="2519"/>
      <c r="S1477" s="2519"/>
      <c r="T1477" s="2519"/>
      <c r="U1477" s="2519"/>
      <c r="V1477" s="2520"/>
      <c r="W1477" s="1850"/>
      <c r="X1477" s="2090">
        <v>78754.736297724594</v>
      </c>
      <c r="Y1477" s="2090">
        <v>47844.716706734602</v>
      </c>
      <c r="Z1477" s="2090">
        <v>51783.45365629132</v>
      </c>
      <c r="AA1477" s="2090">
        <v>48527.286594961486</v>
      </c>
      <c r="AB1477" s="2090">
        <v>53255.878649526909</v>
      </c>
      <c r="AC1477" s="2090">
        <v>60501.508584336385</v>
      </c>
      <c r="AD1477" s="2090">
        <v>45146.60821241184</v>
      </c>
      <c r="AE1477" s="2090">
        <v>43950.043290026239</v>
      </c>
      <c r="AF1477" s="2090">
        <v>49148.571654046187</v>
      </c>
      <c r="AG1477" s="2090">
        <v>44035.851516210088</v>
      </c>
      <c r="AH1477" s="2090">
        <v>43844.513795801198</v>
      </c>
      <c r="AI1477" s="2090">
        <v>44696.71447656925</v>
      </c>
      <c r="AJ1477" s="2090">
        <v>178382.90666075051</v>
      </c>
      <c r="AK1477" s="2090">
        <v>162284.67382882477</v>
      </c>
      <c r="AL1477" s="2090">
        <v>138245.22315648425</v>
      </c>
      <c r="AM1477" s="2090">
        <v>132577.07978858054</v>
      </c>
      <c r="AN1477" s="2090">
        <v>340667.58048957528</v>
      </c>
      <c r="AO1477" s="2090">
        <v>270822.30294506479</v>
      </c>
      <c r="AP1477" s="2090">
        <v>611489.88343464001</v>
      </c>
    </row>
    <row r="1478" spans="1:42" s="621" customFormat="1" ht="14.5">
      <c r="A1478" s="1693">
        <v>1</v>
      </c>
      <c r="B1478" s="616">
        <v>1</v>
      </c>
      <c r="C1478" s="1693">
        <v>1</v>
      </c>
      <c r="D1478" s="616">
        <v>1</v>
      </c>
      <c r="E1478" s="1693">
        <v>1</v>
      </c>
      <c r="F1478" s="616">
        <v>1</v>
      </c>
      <c r="G1478" s="1693">
        <v>1461</v>
      </c>
      <c r="H1478" s="616">
        <v>1</v>
      </c>
      <c r="I1478" s="616"/>
      <c r="J1478" s="709" t="s">
        <v>512</v>
      </c>
      <c r="K1478" s="1764" t="s">
        <v>1216</v>
      </c>
      <c r="L1478" s="622"/>
      <c r="M1478" s="622"/>
      <c r="N1478" s="623"/>
      <c r="O1478" s="2521" t="s">
        <v>1195</v>
      </c>
      <c r="P1478" s="2522"/>
      <c r="Q1478" s="2522"/>
      <c r="R1478" s="2522"/>
      <c r="S1478" s="2522"/>
      <c r="T1478" s="2522"/>
      <c r="U1478" s="2522"/>
      <c r="V1478" s="2523" t="s">
        <v>1196</v>
      </c>
      <c r="W1478" s="1883"/>
      <c r="X1478" s="2524">
        <v>278566.36058533145</v>
      </c>
      <c r="Y1478" s="2524">
        <v>175123.63798262511</v>
      </c>
      <c r="Z1478" s="2524">
        <v>188928.14692132699</v>
      </c>
      <c r="AA1478" s="2524">
        <v>172103.41587078426</v>
      </c>
      <c r="AB1478" s="2524">
        <v>185225.70642061357</v>
      </c>
      <c r="AC1478" s="2524">
        <v>190969.75674118439</v>
      </c>
      <c r="AD1478" s="2524">
        <v>173750.86737336405</v>
      </c>
      <c r="AE1478" s="2524">
        <v>171308.36376953288</v>
      </c>
      <c r="AF1478" s="2524">
        <v>189231.61840095115</v>
      </c>
      <c r="AG1478" s="2524">
        <v>182710.78715091245</v>
      </c>
      <c r="AH1478" s="2524">
        <v>191019.22639345343</v>
      </c>
      <c r="AI1478" s="2524">
        <v>202812.4862942386</v>
      </c>
      <c r="AJ1478" s="2524">
        <v>642618.14548928384</v>
      </c>
      <c r="AK1478" s="2524">
        <v>548298.87903258204</v>
      </c>
      <c r="AL1478" s="2524">
        <v>534290.84954384807</v>
      </c>
      <c r="AM1478" s="2524">
        <v>576542.49983860459</v>
      </c>
      <c r="AN1478" s="2524">
        <v>1190917.0245218654</v>
      </c>
      <c r="AO1478" s="2524">
        <v>1110833.3493824522</v>
      </c>
      <c r="AP1478" s="2524">
        <v>2301750.3739043176</v>
      </c>
    </row>
    <row r="1479" spans="1:42" s="641" customFormat="1" ht="14.5">
      <c r="A1479" s="1693">
        <v>1</v>
      </c>
      <c r="B1479" s="616">
        <v>1</v>
      </c>
      <c r="C1479" s="1693">
        <v>1</v>
      </c>
      <c r="D1479" s="616">
        <v>1</v>
      </c>
      <c r="E1479" s="1693">
        <v>1</v>
      </c>
      <c r="F1479" s="616">
        <v>1</v>
      </c>
      <c r="G1479" s="1693">
        <v>1462</v>
      </c>
      <c r="H1479" s="616">
        <v>1</v>
      </c>
      <c r="I1479" s="616"/>
      <c r="J1479" s="709" t="s">
        <v>512</v>
      </c>
      <c r="K1479" s="1764" t="s">
        <v>1216</v>
      </c>
      <c r="L1479" s="637"/>
      <c r="M1479" s="637"/>
      <c r="N1479" s="637"/>
      <c r="O1479" s="2514"/>
      <c r="P1479" s="2525" t="s">
        <v>55</v>
      </c>
      <c r="Q1479" s="2526"/>
      <c r="R1479" s="2526"/>
      <c r="S1479" s="2526"/>
      <c r="T1479" s="2526"/>
      <c r="U1479" s="2526"/>
      <c r="V1479" s="2512" t="s">
        <v>1197</v>
      </c>
      <c r="W1479" s="1785"/>
      <c r="X1479" s="1333">
        <v>0.29601678366234374</v>
      </c>
      <c r="Y1479" s="1333">
        <v>0.25921521107405426</v>
      </c>
      <c r="Z1479" s="1333">
        <v>0.25752333305391184</v>
      </c>
      <c r="AA1479" s="1333">
        <v>0.25100745165699656</v>
      </c>
      <c r="AB1479" s="1333">
        <v>0.24524567649136986</v>
      </c>
      <c r="AC1479" s="1333">
        <v>0.24683537394492255</v>
      </c>
      <c r="AD1479" s="1333">
        <v>0.2449310658660675</v>
      </c>
      <c r="AE1479" s="1333">
        <v>0.24762702524964636</v>
      </c>
      <c r="AF1479" s="1333">
        <v>0.24630345677970061</v>
      </c>
      <c r="AG1479" s="1333">
        <v>0.2528957555747387</v>
      </c>
      <c r="AH1479" s="1333">
        <v>0.25506287725114585</v>
      </c>
      <c r="AI1479" s="1333">
        <v>0.25201941802416322</v>
      </c>
      <c r="AJ1479" s="1333">
        <v>0.27342242356536967</v>
      </c>
      <c r="AK1479" s="1333">
        <v>0.24758492307061181</v>
      </c>
      <c r="AL1479" s="1333">
        <v>0.24627676301434187</v>
      </c>
      <c r="AM1479" s="1333">
        <v>0.25329896007835545</v>
      </c>
      <c r="AN1479" s="1333">
        <v>0.26088767242653049</v>
      </c>
      <c r="AO1479" s="1333">
        <v>0.24987210157625814</v>
      </c>
      <c r="AP1479" s="1333">
        <v>0.25545278481873906</v>
      </c>
    </row>
    <row r="1480" spans="1:42" s="621" customFormat="1" ht="14.5">
      <c r="A1480" s="1693">
        <v>1</v>
      </c>
      <c r="B1480" s="616">
        <v>1</v>
      </c>
      <c r="C1480" s="1693">
        <v>1</v>
      </c>
      <c r="D1480" s="616">
        <v>1</v>
      </c>
      <c r="E1480" s="1693">
        <v>1</v>
      </c>
      <c r="F1480" s="616">
        <v>1</v>
      </c>
      <c r="G1480" s="1693">
        <v>1463</v>
      </c>
      <c r="H1480" s="616">
        <v>1</v>
      </c>
      <c r="I1480" s="616"/>
      <c r="J1480" s="709" t="s">
        <v>512</v>
      </c>
      <c r="K1480" s="1764" t="s">
        <v>1216</v>
      </c>
      <c r="L1480" s="622"/>
      <c r="M1480" s="622"/>
      <c r="N1480" s="623"/>
      <c r="O1480" s="750" t="s">
        <v>1198</v>
      </c>
      <c r="P1480" s="749"/>
      <c r="Q1480" s="749"/>
      <c r="R1480" s="749"/>
      <c r="S1480" s="749"/>
      <c r="T1480" s="749"/>
      <c r="U1480" s="749"/>
      <c r="V1480" s="2512" t="s">
        <v>1199</v>
      </c>
      <c r="W1480" s="1850"/>
      <c r="X1480" s="2509">
        <v>136087.36951345106</v>
      </c>
      <c r="Y1480" s="2509">
        <v>134321.19811819386</v>
      </c>
      <c r="Z1480" s="2509">
        <v>134707.66999182559</v>
      </c>
      <c r="AA1480" s="2509">
        <v>135177.14057245685</v>
      </c>
      <c r="AB1480" s="2509">
        <v>135640.66210260347</v>
      </c>
      <c r="AC1480" s="2509">
        <v>135763.21942353327</v>
      </c>
      <c r="AD1480" s="2509">
        <v>134604.36385427386</v>
      </c>
      <c r="AE1480" s="2509">
        <v>134487.26479691584</v>
      </c>
      <c r="AF1480" s="2509">
        <v>134996.5371828443</v>
      </c>
      <c r="AG1480" s="2509">
        <v>135071.33135998869</v>
      </c>
      <c r="AH1480" s="2509">
        <v>135247.34844641585</v>
      </c>
      <c r="AI1480" s="2509">
        <v>135625.80176690943</v>
      </c>
      <c r="AJ1480" s="2509">
        <v>405116.23762347049</v>
      </c>
      <c r="AK1480" s="2509">
        <v>406581.02209859353</v>
      </c>
      <c r="AL1480" s="2509">
        <v>404088.16583403398</v>
      </c>
      <c r="AM1480" s="2509">
        <v>405944.481573314</v>
      </c>
      <c r="AN1480" s="2509">
        <v>811697.25972206402</v>
      </c>
      <c r="AO1480" s="2509">
        <v>810032.64740734803</v>
      </c>
      <c r="AP1480" s="2509">
        <v>1621729.9071294121</v>
      </c>
    </row>
    <row r="1481" spans="1:42" s="641" customFormat="1" ht="14.5">
      <c r="A1481" s="1693">
        <v>1</v>
      </c>
      <c r="B1481" s="616">
        <v>1</v>
      </c>
      <c r="C1481" s="1693">
        <v>1</v>
      </c>
      <c r="D1481" s="616">
        <v>1</v>
      </c>
      <c r="E1481" s="1693">
        <v>1</v>
      </c>
      <c r="F1481" s="616">
        <v>1</v>
      </c>
      <c r="G1481" s="1693">
        <v>1464</v>
      </c>
      <c r="H1481" s="616">
        <v>1</v>
      </c>
      <c r="I1481" s="616"/>
      <c r="J1481" s="709" t="s">
        <v>512</v>
      </c>
      <c r="K1481" s="1764" t="s">
        <v>1216</v>
      </c>
      <c r="L1481" s="637"/>
      <c r="M1481" s="637"/>
      <c r="N1481" s="637"/>
      <c r="O1481" s="2514"/>
      <c r="P1481" s="2515" t="s">
        <v>55</v>
      </c>
      <c r="Q1481" s="2516"/>
      <c r="R1481" s="2516"/>
      <c r="S1481" s="2516"/>
      <c r="T1481" s="2516"/>
      <c r="U1481" s="2516"/>
      <c r="V1481" s="2517"/>
      <c r="W1481" s="1785"/>
      <c r="X1481" s="1334">
        <v>0.14461238369124865</v>
      </c>
      <c r="Y1481" s="1334">
        <v>0.19882009146807447</v>
      </c>
      <c r="Z1481" s="1334">
        <v>0.18361672799695128</v>
      </c>
      <c r="AA1481" s="1334">
        <v>0.19715163354367751</v>
      </c>
      <c r="AB1481" s="1334">
        <v>0.17959324642310148</v>
      </c>
      <c r="AC1481" s="1334">
        <v>0.17547891145816921</v>
      </c>
      <c r="AD1481" s="1334">
        <v>0.18974748619934298</v>
      </c>
      <c r="AE1481" s="1334">
        <v>0.19440195786602113</v>
      </c>
      <c r="AF1481" s="1334">
        <v>0.17571119479077929</v>
      </c>
      <c r="AG1481" s="1334">
        <v>0.1869564842526576</v>
      </c>
      <c r="AH1481" s="1334">
        <v>0.18059217643503855</v>
      </c>
      <c r="AI1481" s="1334">
        <v>0.16853171249411394</v>
      </c>
      <c r="AJ1481" s="1334">
        <v>0.17236964796933305</v>
      </c>
      <c r="AK1481" s="1334">
        <v>0.18359207893304699</v>
      </c>
      <c r="AL1481" s="1334">
        <v>0.18626095793886749</v>
      </c>
      <c r="AM1481" s="1334">
        <v>0.17834819646574562</v>
      </c>
      <c r="AN1481" s="1334">
        <v>0.17781407473698793</v>
      </c>
      <c r="AO1481" s="1334">
        <v>0.18220965373930964</v>
      </c>
      <c r="AP1481" s="1334">
        <v>0.17998277558540524</v>
      </c>
    </row>
    <row r="1482" spans="1:42" s="624" customFormat="1" ht="14.5">
      <c r="A1482" s="1693">
        <v>1</v>
      </c>
      <c r="B1482" s="616">
        <v>1</v>
      </c>
      <c r="C1482" s="1693">
        <v>1</v>
      </c>
      <c r="D1482" s="616">
        <v>1</v>
      </c>
      <c r="E1482" s="1693">
        <v>1</v>
      </c>
      <c r="F1482" s="616">
        <v>1</v>
      </c>
      <c r="G1482" s="1693">
        <v>1465</v>
      </c>
      <c r="H1482" s="616">
        <v>1</v>
      </c>
      <c r="I1482" s="616"/>
      <c r="J1482" s="709" t="s">
        <v>512</v>
      </c>
      <c r="K1482" s="1764" t="s">
        <v>1216</v>
      </c>
      <c r="L1482" s="623"/>
      <c r="M1482" s="623"/>
      <c r="N1482" s="623"/>
      <c r="O1482" s="750"/>
      <c r="P1482" s="749" t="s">
        <v>1200</v>
      </c>
      <c r="Q1482" s="749"/>
      <c r="R1482" s="749"/>
      <c r="S1482" s="749"/>
      <c r="T1482" s="749"/>
      <c r="U1482" s="749"/>
      <c r="V1482" s="2512"/>
      <c r="W1482" s="1850"/>
      <c r="X1482" s="2510">
        <v>28046.333333333332</v>
      </c>
      <c r="Y1482" s="2510">
        <v>28046.333333333332</v>
      </c>
      <c r="Z1482" s="2510">
        <v>28046.333333333332</v>
      </c>
      <c r="AA1482" s="2510">
        <v>28835.300000000003</v>
      </c>
      <c r="AB1482" s="2510">
        <v>28835.300000000003</v>
      </c>
      <c r="AC1482" s="2510">
        <v>28835.300000000003</v>
      </c>
      <c r="AD1482" s="2510">
        <v>28104.480000000003</v>
      </c>
      <c r="AE1482" s="2510">
        <v>28104.480000000003</v>
      </c>
      <c r="AF1482" s="2510">
        <v>28104.480000000003</v>
      </c>
      <c r="AG1482" s="2510">
        <v>28484.304</v>
      </c>
      <c r="AH1482" s="2510">
        <v>28484.304</v>
      </c>
      <c r="AI1482" s="2510">
        <v>28484.304</v>
      </c>
      <c r="AJ1482" s="2510">
        <v>84139</v>
      </c>
      <c r="AK1482" s="2510">
        <v>86505.900000000009</v>
      </c>
      <c r="AL1482" s="2510">
        <v>84313.44</v>
      </c>
      <c r="AM1482" s="2510">
        <v>85452.912000000011</v>
      </c>
      <c r="AN1482" s="2510">
        <v>170644.90000000002</v>
      </c>
      <c r="AO1482" s="2510">
        <v>169766.35200000001</v>
      </c>
      <c r="AP1482" s="2510">
        <v>340411.25200000004</v>
      </c>
    </row>
    <row r="1483" spans="1:42" s="624" customFormat="1" ht="14.5">
      <c r="A1483" s="1693">
        <v>1</v>
      </c>
      <c r="B1483" s="616">
        <v>1</v>
      </c>
      <c r="C1483" s="1693">
        <v>1</v>
      </c>
      <c r="D1483" s="616">
        <v>1</v>
      </c>
      <c r="E1483" s="1693">
        <v>1</v>
      </c>
      <c r="F1483" s="616">
        <v>1</v>
      </c>
      <c r="G1483" s="1693">
        <v>1466</v>
      </c>
      <c r="H1483" s="616">
        <v>1</v>
      </c>
      <c r="I1483" s="616"/>
      <c r="J1483" s="709" t="s">
        <v>512</v>
      </c>
      <c r="K1483" s="1764" t="s">
        <v>1216</v>
      </c>
      <c r="L1483" s="623"/>
      <c r="M1483" s="623"/>
      <c r="N1483" s="623"/>
      <c r="O1483" s="750"/>
      <c r="P1483" s="749" t="s">
        <v>1201</v>
      </c>
      <c r="Q1483" s="749"/>
      <c r="R1483" s="749"/>
      <c r="S1483" s="749"/>
      <c r="T1483" s="749"/>
      <c r="U1483" s="749"/>
      <c r="V1483" s="2512"/>
      <c r="W1483" s="1850"/>
      <c r="X1483" s="2510">
        <v>56783.20416666667</v>
      </c>
      <c r="Y1483" s="2510">
        <v>56783.20416666667</v>
      </c>
      <c r="Z1483" s="2510">
        <v>56783.20416666667</v>
      </c>
      <c r="AA1483" s="2510">
        <v>56783.20416666667</v>
      </c>
      <c r="AB1483" s="2510">
        <v>56783.20416666667</v>
      </c>
      <c r="AC1483" s="2510">
        <v>56783.20416666667</v>
      </c>
      <c r="AD1483" s="2510">
        <v>56783.20416666667</v>
      </c>
      <c r="AE1483" s="2510">
        <v>56783.20416666667</v>
      </c>
      <c r="AF1483" s="2510">
        <v>56783.20416666667</v>
      </c>
      <c r="AG1483" s="2510">
        <v>56783.20416666667</v>
      </c>
      <c r="AH1483" s="2510">
        <v>56783.20416666667</v>
      </c>
      <c r="AI1483" s="2510">
        <v>56783.20416666667</v>
      </c>
      <c r="AJ1483" s="2510">
        <v>170349.61250000002</v>
      </c>
      <c r="AK1483" s="2510">
        <v>170349.61250000002</v>
      </c>
      <c r="AL1483" s="2510">
        <v>170349.61250000002</v>
      </c>
      <c r="AM1483" s="2510">
        <v>170349.61250000002</v>
      </c>
      <c r="AN1483" s="2510">
        <v>340699.22500000003</v>
      </c>
      <c r="AO1483" s="2510">
        <v>340699.22500000003</v>
      </c>
      <c r="AP1483" s="2510">
        <v>681398.45000000007</v>
      </c>
    </row>
    <row r="1484" spans="1:42" s="624" customFormat="1" ht="14.5">
      <c r="A1484" s="1693">
        <v>1</v>
      </c>
      <c r="B1484" s="616">
        <v>1</v>
      </c>
      <c r="C1484" s="1693">
        <v>1</v>
      </c>
      <c r="D1484" s="616">
        <v>1</v>
      </c>
      <c r="E1484" s="1693">
        <v>1</v>
      </c>
      <c r="F1484" s="616">
        <v>1</v>
      </c>
      <c r="G1484" s="1693">
        <v>1467</v>
      </c>
      <c r="H1484" s="616">
        <v>1</v>
      </c>
      <c r="I1484" s="616"/>
      <c r="J1484" s="709" t="s">
        <v>512</v>
      </c>
      <c r="K1484" s="1764" t="s">
        <v>1216</v>
      </c>
      <c r="L1484" s="623"/>
      <c r="M1484" s="623"/>
      <c r="N1484" s="623"/>
      <c r="O1484" s="2518"/>
      <c r="P1484" s="2519" t="s">
        <v>1202</v>
      </c>
      <c r="Q1484" s="2519"/>
      <c r="R1484" s="2519"/>
      <c r="S1484" s="2519"/>
      <c r="T1484" s="2519"/>
      <c r="U1484" s="2519"/>
      <c r="V1484" s="2520"/>
      <c r="W1484" s="1850"/>
      <c r="X1484" s="2090">
        <v>51257.832013451043</v>
      </c>
      <c r="Y1484" s="2090">
        <v>49491.660618193848</v>
      </c>
      <c r="Z1484" s="2090">
        <v>49878.132491825578</v>
      </c>
      <c r="AA1484" s="2090">
        <v>49558.636405790159</v>
      </c>
      <c r="AB1484" s="2090">
        <v>50022.157935936797</v>
      </c>
      <c r="AC1484" s="2090">
        <v>50144.715256866599</v>
      </c>
      <c r="AD1484" s="2090">
        <v>49716.679687607182</v>
      </c>
      <c r="AE1484" s="2090">
        <v>49599.580630249176</v>
      </c>
      <c r="AF1484" s="2090">
        <v>50108.853016177643</v>
      </c>
      <c r="AG1484" s="2090">
        <v>49803.823193322016</v>
      </c>
      <c r="AH1484" s="2090">
        <v>49979.840279749194</v>
      </c>
      <c r="AI1484" s="2090">
        <v>50358.293600242752</v>
      </c>
      <c r="AJ1484" s="2090">
        <v>150627.62512347047</v>
      </c>
      <c r="AK1484" s="2090">
        <v>149725.50959859355</v>
      </c>
      <c r="AL1484" s="2090">
        <v>149425.11333403399</v>
      </c>
      <c r="AM1484" s="2090">
        <v>150141.95707331397</v>
      </c>
      <c r="AN1484" s="2090">
        <v>300353.13472206402</v>
      </c>
      <c r="AO1484" s="2090">
        <v>299567.07040734799</v>
      </c>
      <c r="AP1484" s="2090">
        <v>599920.205129412</v>
      </c>
    </row>
    <row r="1485" spans="1:42" s="621" customFormat="1" ht="14.5">
      <c r="A1485" s="1693">
        <v>1</v>
      </c>
      <c r="B1485" s="616">
        <v>1</v>
      </c>
      <c r="C1485" s="1693">
        <v>1</v>
      </c>
      <c r="D1485" s="616">
        <v>1</v>
      </c>
      <c r="E1485" s="1693">
        <v>1</v>
      </c>
      <c r="F1485" s="616">
        <v>1</v>
      </c>
      <c r="G1485" s="1693">
        <v>1468</v>
      </c>
      <c r="H1485" s="616">
        <v>1</v>
      </c>
      <c r="I1485" s="616"/>
      <c r="J1485" s="709" t="s">
        <v>512</v>
      </c>
      <c r="K1485" s="1764" t="s">
        <v>1216</v>
      </c>
      <c r="L1485" s="622"/>
      <c r="M1485" s="622"/>
      <c r="N1485" s="623"/>
      <c r="O1485" s="2521" t="s">
        <v>1203</v>
      </c>
      <c r="P1485" s="2522"/>
      <c r="Q1485" s="2522"/>
      <c r="R1485" s="2522"/>
      <c r="S1485" s="2522"/>
      <c r="T1485" s="2522"/>
      <c r="U1485" s="2522"/>
      <c r="V1485" s="2523" t="s">
        <v>1204</v>
      </c>
      <c r="W1485" s="1883"/>
      <c r="X1485" s="2524">
        <v>459728.55940723041</v>
      </c>
      <c r="Y1485" s="2524">
        <v>518184.08943532297</v>
      </c>
      <c r="Z1485" s="2524">
        <v>523089.18339304382</v>
      </c>
      <c r="AA1485" s="2524">
        <v>538538.35684996855</v>
      </c>
      <c r="AB1485" s="2524">
        <v>553080.74761259509</v>
      </c>
      <c r="AC1485" s="2524">
        <v>550015.2480325884</v>
      </c>
      <c r="AD1485" s="2524">
        <v>549560.19310297631</v>
      </c>
      <c r="AE1485" s="2524">
        <v>543104.14891642728</v>
      </c>
      <c r="AF1485" s="2524">
        <v>548090.30676166376</v>
      </c>
      <c r="AG1485" s="2524">
        <v>534098.84659005608</v>
      </c>
      <c r="AH1485" s="2524">
        <v>530251.01066842244</v>
      </c>
      <c r="AI1485" s="2524">
        <v>538156.15808582585</v>
      </c>
      <c r="AJ1485" s="2524">
        <v>1481649.647972693</v>
      </c>
      <c r="AK1485" s="2524">
        <v>1642188.1310706292</v>
      </c>
      <c r="AL1485" s="2524">
        <v>1640788.8462075572</v>
      </c>
      <c r="AM1485" s="2524">
        <v>1602629.8783371998</v>
      </c>
      <c r="AN1485" s="2524">
        <v>3111290.2046019402</v>
      </c>
      <c r="AO1485" s="2524">
        <v>3241789.0684772395</v>
      </c>
      <c r="AP1485" s="2524">
        <v>6348452.6437248997</v>
      </c>
    </row>
    <row r="1486" spans="1:42" s="641" customFormat="1" ht="14.5">
      <c r="A1486" s="1693">
        <v>1</v>
      </c>
      <c r="B1486" s="616">
        <v>1</v>
      </c>
      <c r="C1486" s="1693">
        <v>1</v>
      </c>
      <c r="D1486" s="616">
        <v>1</v>
      </c>
      <c r="E1486" s="1693">
        <v>1</v>
      </c>
      <c r="F1486" s="616">
        <v>1</v>
      </c>
      <c r="G1486" s="1693">
        <v>1469</v>
      </c>
      <c r="H1486" s="616">
        <v>1</v>
      </c>
      <c r="I1486" s="616"/>
      <c r="J1486" s="709" t="s">
        <v>512</v>
      </c>
      <c r="K1486" s="1764" t="s">
        <v>1216</v>
      </c>
      <c r="L1486" s="637"/>
      <c r="M1486" s="637"/>
      <c r="N1486" s="637"/>
      <c r="O1486" s="751"/>
      <c r="P1486" s="752" t="s">
        <v>55</v>
      </c>
      <c r="Q1486" s="753"/>
      <c r="R1486" s="753"/>
      <c r="S1486" s="753"/>
      <c r="T1486" s="753"/>
      <c r="U1486" s="753"/>
      <c r="V1486" s="2520" t="s">
        <v>1205</v>
      </c>
      <c r="W1486" s="1785"/>
      <c r="X1486" s="1335">
        <v>0.48852765002744936</v>
      </c>
      <c r="Y1486" s="1335">
        <v>0.76700781039919097</v>
      </c>
      <c r="Z1486" s="1335">
        <v>0.71301006328040806</v>
      </c>
      <c r="AA1486" s="1335">
        <v>0.7854413573868182</v>
      </c>
      <c r="AB1486" s="1335">
        <v>0.73229933751521747</v>
      </c>
      <c r="AC1486" s="1335">
        <v>0.71091476336501347</v>
      </c>
      <c r="AD1486" s="1335">
        <v>0.77469750735131393</v>
      </c>
      <c r="AE1486" s="1335">
        <v>0.78505953730225475</v>
      </c>
      <c r="AF1486" s="1335">
        <v>0.71339313336531585</v>
      </c>
      <c r="AG1486" s="1335">
        <v>0.73926303677091976</v>
      </c>
      <c r="AH1486" s="1335">
        <v>0.70803002922773339</v>
      </c>
      <c r="AI1486" s="1335">
        <v>0.66872510783258521</v>
      </c>
      <c r="AJ1486" s="1335">
        <v>0.63041518585663114</v>
      </c>
      <c r="AK1486" s="1335">
        <v>0.74153174052802118</v>
      </c>
      <c r="AL1486" s="1335">
        <v>0.75630747967895229</v>
      </c>
      <c r="AM1486" s="1335">
        <v>0.70410157392898665</v>
      </c>
      <c r="AN1486" s="1335">
        <v>0.68157331116157971</v>
      </c>
      <c r="AO1486" s="1335">
        <v>0.72921167505249196</v>
      </c>
      <c r="AP1486" s="1335">
        <v>0.70456376395784881</v>
      </c>
    </row>
    <row r="1487" spans="1:42" s="621" customFormat="1" ht="14.5">
      <c r="A1487" s="1693">
        <v>1</v>
      </c>
      <c r="B1487" s="616">
        <v>1</v>
      </c>
      <c r="C1487" s="1693">
        <v>1</v>
      </c>
      <c r="D1487" s="616">
        <v>1</v>
      </c>
      <c r="E1487" s="1693">
        <v>1</v>
      </c>
      <c r="F1487" s="616">
        <v>1</v>
      </c>
      <c r="G1487" s="1693">
        <v>1470</v>
      </c>
      <c r="H1487" s="616">
        <v>1</v>
      </c>
      <c r="I1487" s="616"/>
      <c r="J1487" s="709" t="s">
        <v>512</v>
      </c>
      <c r="K1487" s="1764" t="s">
        <v>1216</v>
      </c>
      <c r="L1487" s="622"/>
      <c r="M1487" s="622"/>
      <c r="N1487" s="623"/>
      <c r="O1487" s="750" t="s">
        <v>1206</v>
      </c>
      <c r="P1487" s="749"/>
      <c r="Q1487" s="749"/>
      <c r="R1487" s="749"/>
      <c r="S1487" s="749"/>
      <c r="T1487" s="749"/>
      <c r="U1487" s="749"/>
      <c r="V1487" s="2512" t="s">
        <v>1207</v>
      </c>
      <c r="W1487" s="1850"/>
      <c r="X1487" s="2509">
        <v>142478.99107188039</v>
      </c>
      <c r="Y1487" s="2509">
        <v>40802.439864431246</v>
      </c>
      <c r="Z1487" s="2509">
        <v>54220.476929501398</v>
      </c>
      <c r="AA1487" s="2509">
        <v>36926.275298327411</v>
      </c>
      <c r="AB1487" s="2509">
        <v>49585.044318010099</v>
      </c>
      <c r="AC1487" s="2509">
        <v>55206.53731765112</v>
      </c>
      <c r="AD1487" s="2509">
        <v>39146.503519090184</v>
      </c>
      <c r="AE1487" s="2509">
        <v>36821.098972617037</v>
      </c>
      <c r="AF1487" s="2509">
        <v>54235.081218106847</v>
      </c>
      <c r="AG1487" s="2509">
        <v>47639.455790923763</v>
      </c>
      <c r="AH1487" s="2509">
        <v>55771.877947037574</v>
      </c>
      <c r="AI1487" s="2509">
        <v>67186.684527329169</v>
      </c>
      <c r="AJ1487" s="2509">
        <v>237501.90786581335</v>
      </c>
      <c r="AK1487" s="2509">
        <v>141717.85693398851</v>
      </c>
      <c r="AL1487" s="2509">
        <v>130202.6837098141</v>
      </c>
      <c r="AM1487" s="2509">
        <v>170598.01826529059</v>
      </c>
      <c r="AN1487" s="2509">
        <v>379219.7647998014</v>
      </c>
      <c r="AO1487" s="2509">
        <v>300800.70197510417</v>
      </c>
      <c r="AP1487" s="2509">
        <v>680020.46677490557</v>
      </c>
    </row>
    <row r="1488" spans="1:42" s="641" customFormat="1" ht="14.5">
      <c r="A1488" s="1693">
        <v>1</v>
      </c>
      <c r="B1488" s="616">
        <v>1</v>
      </c>
      <c r="C1488" s="1693">
        <v>1</v>
      </c>
      <c r="D1488" s="616">
        <v>1</v>
      </c>
      <c r="E1488" s="1693">
        <v>1</v>
      </c>
      <c r="F1488" s="616">
        <v>1</v>
      </c>
      <c r="G1488" s="1693">
        <v>1471</v>
      </c>
      <c r="H1488" s="616">
        <v>1</v>
      </c>
      <c r="I1488" s="616"/>
      <c r="J1488" s="709" t="s">
        <v>512</v>
      </c>
      <c r="K1488" s="1764" t="s">
        <v>1216</v>
      </c>
      <c r="L1488" s="637"/>
      <c r="M1488" s="637"/>
      <c r="N1488" s="637"/>
      <c r="O1488" s="751"/>
      <c r="P1488" s="752" t="s">
        <v>55</v>
      </c>
      <c r="Q1488" s="753"/>
      <c r="R1488" s="753"/>
      <c r="S1488" s="753"/>
      <c r="T1488" s="753"/>
      <c r="U1488" s="753"/>
      <c r="V1488" s="2527"/>
      <c r="W1488" s="1785"/>
      <c r="X1488" s="1335">
        <v>0.15140439997109509</v>
      </c>
      <c r="Y1488" s="1335">
        <v>6.0395119605979812E-2</v>
      </c>
      <c r="Z1488" s="1335">
        <v>7.3906605056960548E-2</v>
      </c>
      <c r="AA1488" s="1335">
        <v>5.3855818113319048E-2</v>
      </c>
      <c r="AB1488" s="1335">
        <v>6.5652430068268389E-2</v>
      </c>
      <c r="AC1488" s="1335">
        <v>7.1356462486753341E-2</v>
      </c>
      <c r="AD1488" s="1335">
        <v>5.5183579666724519E-2</v>
      </c>
      <c r="AE1488" s="1335">
        <v>5.3225067383625202E-2</v>
      </c>
      <c r="AF1488" s="1335">
        <v>7.0592261988921351E-2</v>
      </c>
      <c r="AG1488" s="1335">
        <v>6.5939271322081106E-2</v>
      </c>
      <c r="AH1488" s="1335">
        <v>7.447070081610728E-2</v>
      </c>
      <c r="AI1488" s="1335">
        <v>8.3487705530049292E-2</v>
      </c>
      <c r="AJ1488" s="1335">
        <v>0.10105277559603663</v>
      </c>
      <c r="AK1488" s="1335">
        <v>6.3992844137564786E-2</v>
      </c>
      <c r="AL1488" s="1335">
        <v>6.0015805075474382E-2</v>
      </c>
      <c r="AM1488" s="1335">
        <v>7.4950763612609841E-2</v>
      </c>
      <c r="AN1488" s="1335">
        <v>8.3073597689542547E-2</v>
      </c>
      <c r="AO1488" s="1335">
        <v>6.7662447836948525E-2</v>
      </c>
      <c r="AP1488" s="1335">
        <v>7.5470009233333829E-2</v>
      </c>
    </row>
    <row r="1489" spans="1:42" ht="14.5">
      <c r="A1489" s="1693">
        <v>1</v>
      </c>
      <c r="B1489" s="616">
        <v>1</v>
      </c>
      <c r="C1489" s="1693">
        <v>1</v>
      </c>
      <c r="D1489" s="616">
        <v>1</v>
      </c>
      <c r="E1489" s="1693">
        <v>1</v>
      </c>
      <c r="F1489" s="616">
        <v>1</v>
      </c>
      <c r="G1489" s="1693">
        <v>1472</v>
      </c>
      <c r="H1489" s="616">
        <v>1</v>
      </c>
      <c r="K1489" s="69"/>
      <c r="L1489"/>
      <c r="W1489" s="1772"/>
      <c r="X1489" s="1366"/>
      <c r="Y1489" s="1366"/>
      <c r="Z1489" s="1366"/>
      <c r="AA1489" s="1366"/>
      <c r="AB1489" s="1366"/>
      <c r="AC1489" s="1366"/>
      <c r="AD1489" s="1366"/>
      <c r="AE1489" s="1366"/>
      <c r="AF1489" s="1366"/>
      <c r="AG1489" s="1366"/>
      <c r="AH1489" s="69"/>
      <c r="AI1489" s="69"/>
      <c r="AJ1489" s="69"/>
      <c r="AK1489" s="69"/>
      <c r="AL1489" s="69"/>
      <c r="AM1489" s="69"/>
      <c r="AN1489" s="69"/>
      <c r="AO1489" s="69"/>
      <c r="AP1489" s="69"/>
    </row>
    <row r="1490" spans="1:42" ht="14.5">
      <c r="A1490" s="1693">
        <v>1</v>
      </c>
      <c r="B1490" s="616">
        <v>1</v>
      </c>
      <c r="C1490" s="1693">
        <v>1</v>
      </c>
      <c r="D1490" s="616">
        <v>1</v>
      </c>
      <c r="E1490" s="1693">
        <v>1</v>
      </c>
      <c r="F1490" s="616">
        <v>1</v>
      </c>
      <c r="G1490" s="1693">
        <v>1473</v>
      </c>
      <c r="H1490" s="616">
        <v>1</v>
      </c>
      <c r="K1490" s="69"/>
      <c r="L1490"/>
      <c r="N1490" s="4" t="s">
        <v>30</v>
      </c>
      <c r="W1490" s="1772"/>
      <c r="X1490" s="1366"/>
      <c r="Y1490" s="1366"/>
      <c r="Z1490" s="1366"/>
      <c r="AA1490" s="1366"/>
      <c r="AB1490" s="1366"/>
      <c r="AC1490" s="1366"/>
      <c r="AD1490" s="1366"/>
      <c r="AE1490" s="1366"/>
      <c r="AF1490" s="1366"/>
      <c r="AG1490" s="1366"/>
      <c r="AH1490" s="69"/>
      <c r="AI1490" s="69"/>
      <c r="AJ1490" s="69"/>
      <c r="AK1490" s="69"/>
      <c r="AL1490" s="69"/>
      <c r="AM1490" s="69"/>
      <c r="AN1490" s="69"/>
      <c r="AO1490" s="69"/>
      <c r="AP1490" s="69"/>
    </row>
    <row r="1491" spans="1:42" ht="14.5">
      <c r="A1491" s="1693">
        <v>1</v>
      </c>
      <c r="B1491" s="616">
        <v>1</v>
      </c>
      <c r="C1491" s="1693">
        <v>1</v>
      </c>
      <c r="D1491" s="616">
        <v>1</v>
      </c>
      <c r="E1491" s="1693">
        <v>1</v>
      </c>
      <c r="F1491" s="616">
        <v>1</v>
      </c>
      <c r="G1491" s="1693">
        <v>1474</v>
      </c>
      <c r="H1491" s="616">
        <v>1</v>
      </c>
      <c r="K1491" s="69"/>
      <c r="L1491"/>
      <c r="M1491" s="1050"/>
      <c r="N1491" s="1051"/>
      <c r="O1491" s="747" t="s">
        <v>0</v>
      </c>
      <c r="P1491" s="748"/>
      <c r="Q1491" s="748"/>
      <c r="R1491" s="1052"/>
      <c r="S1491" s="1053"/>
      <c r="T1491" s="1053"/>
      <c r="U1491" s="1053"/>
      <c r="V1491" s="1053"/>
      <c r="W1491" s="1852"/>
      <c r="X1491" s="2528">
        <v>250909.45789114243</v>
      </c>
      <c r="Y1491" s="2528">
        <v>208780.92717306258</v>
      </c>
      <c r="Z1491" s="2528">
        <v>234780.57166040916</v>
      </c>
      <c r="AA1491" s="2528">
        <v>216919.24277147866</v>
      </c>
      <c r="AB1491" s="2528">
        <v>238704.56693899591</v>
      </c>
      <c r="AC1491" s="2528">
        <v>262658.74058821797</v>
      </c>
      <c r="AD1491" s="2528">
        <v>214812.77941711602</v>
      </c>
      <c r="AE1491" s="2528">
        <v>219545.41642464936</v>
      </c>
      <c r="AF1491" s="2528">
        <v>253998.45610123008</v>
      </c>
      <c r="AG1491" s="2528">
        <v>214273.43541542144</v>
      </c>
      <c r="AH1491" s="2528">
        <v>237238.95788258669</v>
      </c>
      <c r="AI1491" s="2528">
        <v>259791.72011073522</v>
      </c>
      <c r="AJ1491" s="2528">
        <v>694470.95672461414</v>
      </c>
      <c r="AK1491" s="2528">
        <v>718282.55029869254</v>
      </c>
      <c r="AL1491" s="2528">
        <v>688356.65194299549</v>
      </c>
      <c r="AM1491" s="2528">
        <v>711304.1134087434</v>
      </c>
      <c r="AN1491" s="2528">
        <v>1412753.5070233066</v>
      </c>
      <c r="AO1491" s="2528">
        <v>1399660.7653517388</v>
      </c>
      <c r="AP1491" s="2528">
        <v>2812414.2723750453</v>
      </c>
    </row>
    <row r="1492" spans="1:42" ht="14.5">
      <c r="A1492" s="1693">
        <v>1</v>
      </c>
      <c r="B1492" s="616">
        <v>1</v>
      </c>
      <c r="C1492" s="1693">
        <v>1</v>
      </c>
      <c r="D1492" s="616">
        <v>1</v>
      </c>
      <c r="E1492" s="1693">
        <v>1</v>
      </c>
      <c r="F1492" s="616">
        <v>1</v>
      </c>
      <c r="G1492" s="1693">
        <v>1475</v>
      </c>
      <c r="H1492" s="616">
        <v>1</v>
      </c>
      <c r="K1492" s="69"/>
      <c r="L1492"/>
      <c r="M1492" s="1050"/>
      <c r="N1492" s="1051"/>
      <c r="O1492" s="750"/>
      <c r="P1492" s="1055" t="s">
        <v>1155</v>
      </c>
      <c r="Q1492" s="1055"/>
      <c r="R1492" s="1056"/>
      <c r="S1492" s="213"/>
      <c r="T1492" s="213"/>
      <c r="U1492" s="213"/>
      <c r="V1492" s="213"/>
      <c r="W1492" s="2481"/>
      <c r="X1492" s="2529">
        <v>147770.71403176745</v>
      </c>
      <c r="Y1492" s="2529">
        <v>130949.23432931256</v>
      </c>
      <c r="Z1492" s="2529">
        <v>142163.23800415915</v>
      </c>
      <c r="AA1492" s="2529">
        <v>138564.54992772866</v>
      </c>
      <c r="AB1492" s="2529">
        <v>149185.64348587091</v>
      </c>
      <c r="AC1492" s="2529">
        <v>165496.99672884302</v>
      </c>
      <c r="AD1492" s="2529">
        <v>137621.88269524102</v>
      </c>
      <c r="AE1492" s="2529">
        <v>130517.44297152438</v>
      </c>
      <c r="AF1492" s="2529">
        <v>155254.8161199801</v>
      </c>
      <c r="AG1492" s="2529">
        <v>135585.77461229643</v>
      </c>
      <c r="AH1492" s="2529">
        <v>147437.06647008669</v>
      </c>
      <c r="AI1492" s="2529">
        <v>163895.57237323525</v>
      </c>
      <c r="AJ1492" s="2529">
        <v>420883.18636523921</v>
      </c>
      <c r="AK1492" s="2529">
        <v>453247.19014244259</v>
      </c>
      <c r="AL1492" s="2529">
        <v>423394.14178674552</v>
      </c>
      <c r="AM1492" s="2529">
        <v>446918.41345561837</v>
      </c>
      <c r="AN1492" s="2529">
        <v>874130.37650768179</v>
      </c>
      <c r="AO1492" s="2529">
        <v>870312.55524236383</v>
      </c>
      <c r="AP1492" s="2529">
        <v>1744442.9317500456</v>
      </c>
    </row>
    <row r="1493" spans="1:42" ht="14.5">
      <c r="A1493" s="1693">
        <v>1</v>
      </c>
      <c r="B1493" s="616">
        <v>1</v>
      </c>
      <c r="C1493" s="1693">
        <v>1</v>
      </c>
      <c r="D1493" s="616">
        <v>1</v>
      </c>
      <c r="E1493" s="1693">
        <v>1</v>
      </c>
      <c r="F1493" s="616">
        <v>1</v>
      </c>
      <c r="G1493" s="1693">
        <v>1476</v>
      </c>
      <c r="H1493" s="616">
        <v>1</v>
      </c>
      <c r="K1493" s="69"/>
      <c r="L1493"/>
      <c r="M1493" s="1050"/>
      <c r="N1493" s="1051"/>
      <c r="O1493" s="750"/>
      <c r="P1493" s="749"/>
      <c r="Q1493" s="749" t="s">
        <v>1018</v>
      </c>
      <c r="W1493" s="1899"/>
      <c r="X1493" s="579">
        <v>34842.073540568716</v>
      </c>
      <c r="Y1493" s="579">
        <v>29286.351921743557</v>
      </c>
      <c r="Z1493" s="579">
        <v>32717.824863874743</v>
      </c>
      <c r="AA1493" s="579">
        <v>28268.012003772968</v>
      </c>
      <c r="AB1493" s="579">
        <v>31093.982703830756</v>
      </c>
      <c r="AC1493" s="579">
        <v>37387.683043194935</v>
      </c>
      <c r="AD1493" s="579">
        <v>28009.975972473301</v>
      </c>
      <c r="AE1493" s="579">
        <v>30852.327817664773</v>
      </c>
      <c r="AF1493" s="579">
        <v>35014.451500399889</v>
      </c>
      <c r="AG1493" s="579">
        <v>29860.460370208166</v>
      </c>
      <c r="AH1493" s="579">
        <v>33052.919111840944</v>
      </c>
      <c r="AI1493" s="579">
        <v>36737.878048402163</v>
      </c>
      <c r="AJ1493" s="579">
        <v>96846.250326187015</v>
      </c>
      <c r="AK1493" s="579">
        <v>96749.677750798655</v>
      </c>
      <c r="AL1493" s="579">
        <v>93876.755290537956</v>
      </c>
      <c r="AM1493" s="579">
        <v>99651.257530451272</v>
      </c>
      <c r="AN1493" s="579">
        <v>193595.92807698567</v>
      </c>
      <c r="AO1493" s="579">
        <v>193528.01282098924</v>
      </c>
      <c r="AP1493" s="579">
        <v>387123.94089797488</v>
      </c>
    </row>
    <row r="1494" spans="1:42" ht="14.5">
      <c r="A1494" s="1693">
        <v>1</v>
      </c>
      <c r="B1494" s="616">
        <v>1</v>
      </c>
      <c r="C1494" s="1693">
        <v>1</v>
      </c>
      <c r="D1494" s="616">
        <v>1</v>
      </c>
      <c r="E1494" s="1693">
        <v>1</v>
      </c>
      <c r="F1494" s="616">
        <v>1</v>
      </c>
      <c r="G1494" s="1693">
        <v>1477</v>
      </c>
      <c r="H1494" s="616">
        <v>1</v>
      </c>
      <c r="K1494" s="69"/>
      <c r="L1494"/>
      <c r="M1494" s="1050"/>
      <c r="N1494" s="1051"/>
      <c r="O1494" s="750"/>
      <c r="P1494" s="749"/>
      <c r="Q1494" s="749" t="s">
        <v>1019</v>
      </c>
      <c r="W1494" s="1899"/>
      <c r="X1494" s="579">
        <v>112928.64049119875</v>
      </c>
      <c r="Y1494" s="579">
        <v>101662.88240756901</v>
      </c>
      <c r="Z1494" s="579">
        <v>109445.41314028442</v>
      </c>
      <c r="AA1494" s="579">
        <v>110296.53792395569</v>
      </c>
      <c r="AB1494" s="579">
        <v>118091.66078204017</v>
      </c>
      <c r="AC1494" s="579">
        <v>128109.31368564809</v>
      </c>
      <c r="AD1494" s="579">
        <v>109611.90672276772</v>
      </c>
      <c r="AE1494" s="579">
        <v>99665.115153859602</v>
      </c>
      <c r="AF1494" s="579">
        <v>120240.36461958021</v>
      </c>
      <c r="AG1494" s="579">
        <v>105725.31424208827</v>
      </c>
      <c r="AH1494" s="579">
        <v>114384.14735824575</v>
      </c>
      <c r="AI1494" s="579">
        <v>127157.69432483309</v>
      </c>
      <c r="AJ1494" s="579">
        <v>324036.93603905221</v>
      </c>
      <c r="AK1494" s="579">
        <v>356497.51239164395</v>
      </c>
      <c r="AL1494" s="579">
        <v>329517.38649620756</v>
      </c>
      <c r="AM1494" s="579">
        <v>347267.15592516714</v>
      </c>
      <c r="AN1494" s="579">
        <v>680534.44843069615</v>
      </c>
      <c r="AO1494" s="579">
        <v>676784.5424213747</v>
      </c>
      <c r="AP1494" s="579">
        <v>1357318.990852071</v>
      </c>
    </row>
    <row r="1495" spans="1:42" ht="14.5">
      <c r="A1495" s="1693">
        <v>1</v>
      </c>
      <c r="B1495" s="616">
        <v>1</v>
      </c>
      <c r="C1495" s="1693">
        <v>1</v>
      </c>
      <c r="D1495" s="616">
        <v>1</v>
      </c>
      <c r="E1495" s="1693">
        <v>1</v>
      </c>
      <c r="F1495" s="616">
        <v>1</v>
      </c>
      <c r="G1495" s="1693">
        <v>1478</v>
      </c>
      <c r="H1495" s="616">
        <v>1</v>
      </c>
      <c r="K1495" s="69"/>
      <c r="L1495"/>
      <c r="M1495" s="1050"/>
      <c r="N1495" s="1051"/>
      <c r="O1495" s="750"/>
      <c r="P1495" s="1055" t="s">
        <v>1157</v>
      </c>
      <c r="Q1495" s="1055"/>
      <c r="R1495" s="1056"/>
      <c r="S1495" s="213"/>
      <c r="T1495" s="213"/>
      <c r="U1495" s="213"/>
      <c r="V1495" s="213"/>
      <c r="W1495" s="2481"/>
      <c r="X1495" s="2529">
        <v>101638.74385937498</v>
      </c>
      <c r="Y1495" s="2529">
        <v>76031.692843750003</v>
      </c>
      <c r="Z1495" s="2529">
        <v>90517.33365624999</v>
      </c>
      <c r="AA1495" s="2529">
        <v>76654.692843750003</v>
      </c>
      <c r="AB1495" s="2529">
        <v>87518.923453124997</v>
      </c>
      <c r="AC1495" s="2529">
        <v>94761.743859374983</v>
      </c>
      <c r="AD1495" s="2529">
        <v>75490.896721874989</v>
      </c>
      <c r="AE1495" s="2529">
        <v>87027.973453124985</v>
      </c>
      <c r="AF1495" s="2529">
        <v>96443.639981249988</v>
      </c>
      <c r="AG1495" s="2529">
        <v>76787.660803124993</v>
      </c>
      <c r="AH1495" s="2529">
        <v>87651.891412499986</v>
      </c>
      <c r="AI1495" s="2529">
        <v>93446.147737499981</v>
      </c>
      <c r="AJ1495" s="2529">
        <v>268187.77035937499</v>
      </c>
      <c r="AK1495" s="2529">
        <v>258935.36015624998</v>
      </c>
      <c r="AL1495" s="2529">
        <v>258962.51015624998</v>
      </c>
      <c r="AM1495" s="2529">
        <v>257885.69995312497</v>
      </c>
      <c r="AN1495" s="2529">
        <v>527123.130515625</v>
      </c>
      <c r="AO1495" s="2529">
        <v>516848.21010937495</v>
      </c>
      <c r="AP1495" s="2529">
        <v>1043971.340625</v>
      </c>
    </row>
    <row r="1496" spans="1:42" ht="14.5">
      <c r="A1496" s="1693">
        <v>1</v>
      </c>
      <c r="B1496" s="616">
        <v>1</v>
      </c>
      <c r="C1496" s="1693">
        <v>1</v>
      </c>
      <c r="D1496" s="616">
        <v>1</v>
      </c>
      <c r="E1496" s="1693">
        <v>1</v>
      </c>
      <c r="F1496" s="616">
        <v>1</v>
      </c>
      <c r="G1496" s="1693">
        <v>1479</v>
      </c>
      <c r="H1496" s="616">
        <v>1</v>
      </c>
      <c r="K1496" s="69"/>
      <c r="L1496"/>
      <c r="M1496" s="1050"/>
      <c r="N1496" s="1051"/>
      <c r="O1496" s="750"/>
      <c r="P1496" s="749"/>
      <c r="Q1496" s="749" t="s">
        <v>1018</v>
      </c>
      <c r="W1496" s="1899"/>
      <c r="X1496" s="579">
        <v>32831.949999999997</v>
      </c>
      <c r="Y1496" s="579">
        <v>25331.949999999997</v>
      </c>
      <c r="Z1496" s="579">
        <v>25331.949999999997</v>
      </c>
      <c r="AA1496" s="579">
        <v>25954.95</v>
      </c>
      <c r="AB1496" s="579">
        <v>25954.95</v>
      </c>
      <c r="AC1496" s="579">
        <v>25954.95</v>
      </c>
      <c r="AD1496" s="579">
        <v>26964</v>
      </c>
      <c r="AE1496" s="579">
        <v>25464</v>
      </c>
      <c r="AF1496" s="579">
        <v>25464</v>
      </c>
      <c r="AG1496" s="579">
        <v>26812.199999999997</v>
      </c>
      <c r="AH1496" s="579">
        <v>26812.199999999997</v>
      </c>
      <c r="AI1496" s="579">
        <v>26812.199999999997</v>
      </c>
      <c r="AJ1496" s="579">
        <v>83495.849999999991</v>
      </c>
      <c r="AK1496" s="579">
        <v>77864.850000000006</v>
      </c>
      <c r="AL1496" s="579">
        <v>77892</v>
      </c>
      <c r="AM1496" s="579">
        <v>80436.599999999991</v>
      </c>
      <c r="AN1496" s="579">
        <v>161360.70000000001</v>
      </c>
      <c r="AO1496" s="579">
        <v>158328.59999999998</v>
      </c>
      <c r="AP1496" s="579">
        <v>319689.3</v>
      </c>
    </row>
    <row r="1497" spans="1:42" ht="14.5">
      <c r="A1497" s="1693">
        <v>1</v>
      </c>
      <c r="B1497" s="616">
        <v>1</v>
      </c>
      <c r="C1497" s="1693">
        <v>1</v>
      </c>
      <c r="D1497" s="616">
        <v>1</v>
      </c>
      <c r="E1497" s="1693">
        <v>1</v>
      </c>
      <c r="F1497" s="616">
        <v>1</v>
      </c>
      <c r="G1497" s="1693">
        <v>1480</v>
      </c>
      <c r="H1497" s="616">
        <v>1</v>
      </c>
      <c r="K1497" s="69"/>
      <c r="L1497"/>
      <c r="M1497" s="1050"/>
      <c r="N1497" s="1051"/>
      <c r="O1497" s="750"/>
      <c r="P1497" s="749"/>
      <c r="Q1497" s="749" t="s">
        <v>1019</v>
      </c>
      <c r="W1497" s="1899"/>
      <c r="X1497" s="579">
        <v>68806.793859374986</v>
      </c>
      <c r="Y1497" s="579">
        <v>50699.742843749998</v>
      </c>
      <c r="Z1497" s="579">
        <v>65185.383656249993</v>
      </c>
      <c r="AA1497" s="579">
        <v>50699.742843749998</v>
      </c>
      <c r="AB1497" s="579">
        <v>61563.973453124992</v>
      </c>
      <c r="AC1497" s="579">
        <v>68806.793859374986</v>
      </c>
      <c r="AD1497" s="579">
        <v>48526.896721874989</v>
      </c>
      <c r="AE1497" s="579">
        <v>61563.973453124992</v>
      </c>
      <c r="AF1497" s="579">
        <v>70979.639981249988</v>
      </c>
      <c r="AG1497" s="579">
        <v>49975.460803124995</v>
      </c>
      <c r="AH1497" s="579">
        <v>60839.691412499989</v>
      </c>
      <c r="AI1497" s="579">
        <v>66633.947737499984</v>
      </c>
      <c r="AJ1497" s="579">
        <v>184691.92035937498</v>
      </c>
      <c r="AK1497" s="579">
        <v>181070.51015624998</v>
      </c>
      <c r="AL1497" s="579">
        <v>181070.51015624998</v>
      </c>
      <c r="AM1497" s="579">
        <v>177449.09995312497</v>
      </c>
      <c r="AN1497" s="579">
        <v>365762.43051562493</v>
      </c>
      <c r="AO1497" s="579">
        <v>358519.61010937497</v>
      </c>
      <c r="AP1497" s="579">
        <v>724282.04062499991</v>
      </c>
    </row>
    <row r="1498" spans="1:42" ht="14.5">
      <c r="A1498" s="1693">
        <v>1</v>
      </c>
      <c r="B1498" s="616">
        <v>1</v>
      </c>
      <c r="C1498" s="1693">
        <v>1</v>
      </c>
      <c r="D1498" s="616">
        <v>1</v>
      </c>
      <c r="E1498" s="1693">
        <v>1</v>
      </c>
      <c r="F1498" s="616">
        <v>1</v>
      </c>
      <c r="G1498" s="1693">
        <v>1481</v>
      </c>
      <c r="H1498" s="616">
        <v>1</v>
      </c>
      <c r="K1498" s="69"/>
      <c r="L1498"/>
      <c r="M1498" s="1050"/>
      <c r="N1498" s="1051"/>
      <c r="O1498" s="750"/>
      <c r="P1498" s="1055" t="s">
        <v>175</v>
      </c>
      <c r="Q1498" s="1055"/>
      <c r="R1498" s="1056"/>
      <c r="S1498" s="213"/>
      <c r="T1498" s="213"/>
      <c r="U1498" s="213"/>
      <c r="V1498" s="213"/>
      <c r="W1498" s="2481"/>
      <c r="X1498" s="2529">
        <v>1500</v>
      </c>
      <c r="Y1498" s="2529">
        <v>1800</v>
      </c>
      <c r="Z1498" s="2529">
        <v>2100</v>
      </c>
      <c r="AA1498" s="2529">
        <v>1700</v>
      </c>
      <c r="AB1498" s="2529">
        <v>2000</v>
      </c>
      <c r="AC1498" s="2529">
        <v>2400</v>
      </c>
      <c r="AD1498" s="2529">
        <v>1700</v>
      </c>
      <c r="AE1498" s="2529">
        <v>2000</v>
      </c>
      <c r="AF1498" s="2529">
        <v>2300</v>
      </c>
      <c r="AG1498" s="2529">
        <v>1900</v>
      </c>
      <c r="AH1498" s="2529">
        <v>2150</v>
      </c>
      <c r="AI1498" s="2529">
        <v>2450</v>
      </c>
      <c r="AJ1498" s="2529">
        <v>5400</v>
      </c>
      <c r="AK1498" s="2529">
        <v>6100</v>
      </c>
      <c r="AL1498" s="2529">
        <v>6000</v>
      </c>
      <c r="AM1498" s="2529">
        <v>6500</v>
      </c>
      <c r="AN1498" s="2529">
        <v>11500</v>
      </c>
      <c r="AO1498" s="2529">
        <v>12500</v>
      </c>
      <c r="AP1498" s="2529">
        <v>24000</v>
      </c>
    </row>
    <row r="1499" spans="1:42" ht="14.5">
      <c r="A1499" s="1693">
        <v>1</v>
      </c>
      <c r="B1499" s="616">
        <v>1</v>
      </c>
      <c r="C1499" s="1693">
        <v>1</v>
      </c>
      <c r="D1499" s="616">
        <v>1</v>
      </c>
      <c r="E1499" s="1693">
        <v>1</v>
      </c>
      <c r="F1499" s="616">
        <v>1</v>
      </c>
      <c r="G1499" s="1693">
        <v>1482</v>
      </c>
      <c r="H1499" s="616">
        <v>1</v>
      </c>
      <c r="K1499" s="69"/>
      <c r="L1499"/>
      <c r="M1499" s="1050"/>
      <c r="N1499" s="1051"/>
      <c r="O1499" s="750"/>
      <c r="P1499" s="1055" t="s">
        <v>2</v>
      </c>
      <c r="Q1499" s="1055"/>
      <c r="R1499" s="1056"/>
      <c r="S1499" s="213"/>
      <c r="T1499" s="213"/>
      <c r="U1499" s="213"/>
      <c r="V1499" s="213"/>
      <c r="W1499" s="2481"/>
      <c r="X1499" s="2529">
        <v>0</v>
      </c>
      <c r="Y1499" s="2529">
        <v>0</v>
      </c>
      <c r="Z1499" s="2529">
        <v>0</v>
      </c>
      <c r="AA1499" s="2529">
        <v>0</v>
      </c>
      <c r="AB1499" s="2529">
        <v>0</v>
      </c>
      <c r="AC1499" s="2529">
        <v>0</v>
      </c>
      <c r="AD1499" s="2529">
        <v>0</v>
      </c>
      <c r="AE1499" s="2529">
        <v>0</v>
      </c>
      <c r="AF1499" s="2529">
        <v>0</v>
      </c>
      <c r="AG1499" s="2529">
        <v>0</v>
      </c>
      <c r="AH1499" s="2529">
        <v>0</v>
      </c>
      <c r="AI1499" s="2529">
        <v>0</v>
      </c>
      <c r="AJ1499" s="2529">
        <v>0</v>
      </c>
      <c r="AK1499" s="2529">
        <v>0</v>
      </c>
      <c r="AL1499" s="2529">
        <v>0</v>
      </c>
      <c r="AM1499" s="2529">
        <v>0</v>
      </c>
      <c r="AN1499" s="2529">
        <v>0</v>
      </c>
      <c r="AO1499" s="2529">
        <v>0</v>
      </c>
      <c r="AP1499" s="2529">
        <v>0</v>
      </c>
    </row>
    <row r="1500" spans="1:42" ht="14.5">
      <c r="A1500" s="1693">
        <v>1</v>
      </c>
      <c r="B1500" s="616">
        <v>1</v>
      </c>
      <c r="C1500" s="1693">
        <v>1</v>
      </c>
      <c r="D1500" s="616">
        <v>1</v>
      </c>
      <c r="E1500" s="1693">
        <v>1</v>
      </c>
      <c r="F1500" s="616">
        <v>1</v>
      </c>
      <c r="G1500" s="1693">
        <v>1483</v>
      </c>
      <c r="H1500" s="616">
        <v>1</v>
      </c>
      <c r="K1500" s="69"/>
      <c r="L1500"/>
      <c r="M1500" s="1050"/>
      <c r="N1500" s="1051"/>
      <c r="O1500" s="747" t="s">
        <v>1208</v>
      </c>
      <c r="P1500" s="748"/>
      <c r="Q1500" s="748"/>
      <c r="R1500" s="1052"/>
      <c r="S1500" s="1053"/>
      <c r="T1500" s="1053"/>
      <c r="U1500" s="1053"/>
      <c r="V1500" s="1053"/>
      <c r="W1500" s="1852"/>
      <c r="X1500" s="2528">
        <v>193041.46619700032</v>
      </c>
      <c r="Y1500" s="2528">
        <v>155964.86248217354</v>
      </c>
      <c r="Z1500" s="2528">
        <v>175169.47078997799</v>
      </c>
      <c r="AA1500" s="2528">
        <v>162925.25892723026</v>
      </c>
      <c r="AB1500" s="2528">
        <v>179597.58670876245</v>
      </c>
      <c r="AC1500" s="2528">
        <v>199431.45709088939</v>
      </c>
      <c r="AD1500" s="2528">
        <v>159815.45904119039</v>
      </c>
      <c r="AE1500" s="2528">
        <v>161037.53490085894</v>
      </c>
      <c r="AF1500" s="2528">
        <v>187229.30235726252</v>
      </c>
      <c r="AG1500" s="2528">
        <v>158340.35602475432</v>
      </c>
      <c r="AH1500" s="2528">
        <v>171814.35412216673</v>
      </c>
      <c r="AI1500" s="2528">
        <v>188221.26395008748</v>
      </c>
      <c r="AJ1500" s="2528">
        <v>524175.79946915183</v>
      </c>
      <c r="AK1500" s="2528">
        <v>541954.30272688204</v>
      </c>
      <c r="AL1500" s="2528">
        <v>508082.29629931186</v>
      </c>
      <c r="AM1500" s="2528">
        <v>518375.97409700853</v>
      </c>
      <c r="AN1500" s="2528">
        <v>1066130.1021960338</v>
      </c>
      <c r="AO1500" s="2528">
        <v>1026458.2703963204</v>
      </c>
      <c r="AP1500" s="2528">
        <v>2092588.3725923542</v>
      </c>
    </row>
    <row r="1501" spans="1:42" ht="14.5">
      <c r="A1501" s="1693">
        <v>1</v>
      </c>
      <c r="B1501" s="616">
        <v>1</v>
      </c>
      <c r="C1501" s="1693">
        <v>1</v>
      </c>
      <c r="D1501" s="616">
        <v>1</v>
      </c>
      <c r="E1501" s="1693">
        <v>1</v>
      </c>
      <c r="F1501" s="616">
        <v>1</v>
      </c>
      <c r="G1501" s="1693">
        <v>1484</v>
      </c>
      <c r="H1501" s="616">
        <v>1</v>
      </c>
      <c r="K1501" s="69"/>
      <c r="L1501"/>
      <c r="M1501" s="1050"/>
      <c r="N1501" s="1051"/>
      <c r="O1501" s="750"/>
      <c r="P1501" s="1055" t="s">
        <v>1155</v>
      </c>
      <c r="Q1501" s="1055"/>
      <c r="R1501" s="1056"/>
      <c r="S1501" s="213"/>
      <c r="T1501" s="213"/>
      <c r="U1501" s="213"/>
      <c r="V1501" s="213"/>
      <c r="W1501" s="2481"/>
      <c r="X1501" s="2529">
        <v>109641.53632337369</v>
      </c>
      <c r="Y1501" s="2529">
        <v>98822.856703708763</v>
      </c>
      <c r="Z1501" s="2529">
        <v>106832.25537966144</v>
      </c>
      <c r="AA1501" s="2529">
        <v>105320.58519774498</v>
      </c>
      <c r="AB1501" s="2529">
        <v>113080.97800713828</v>
      </c>
      <c r="AC1501" s="2529">
        <v>124479.09655604519</v>
      </c>
      <c r="AD1501" s="2529">
        <v>104870.30488876216</v>
      </c>
      <c r="AE1501" s="2529">
        <v>98588.48328119381</v>
      </c>
      <c r="AF1501" s="2529">
        <v>116678.25773297949</v>
      </c>
      <c r="AG1501" s="2529">
        <v>102608.86366274898</v>
      </c>
      <c r="AH1501" s="2529">
        <v>111145.1857861782</v>
      </c>
      <c r="AI1501" s="2529">
        <v>123278.79080961455</v>
      </c>
      <c r="AJ1501" s="2529">
        <v>315296.64840674389</v>
      </c>
      <c r="AK1501" s="2529">
        <v>342880.65976092842</v>
      </c>
      <c r="AL1501" s="2529">
        <v>320137.04590293544</v>
      </c>
      <c r="AM1501" s="2529">
        <v>337032.84025854175</v>
      </c>
      <c r="AN1501" s="2529">
        <v>658177.30816767225</v>
      </c>
      <c r="AO1501" s="2529">
        <v>657169.88616147719</v>
      </c>
      <c r="AP1501" s="2529">
        <v>1315347.1943291496</v>
      </c>
    </row>
    <row r="1502" spans="1:42" ht="14.5">
      <c r="A1502" s="1693">
        <v>1</v>
      </c>
      <c r="B1502" s="616">
        <v>1</v>
      </c>
      <c r="C1502" s="1693">
        <v>1</v>
      </c>
      <c r="D1502" s="616">
        <v>1</v>
      </c>
      <c r="E1502" s="1693">
        <v>1</v>
      </c>
      <c r="F1502" s="616">
        <v>1</v>
      </c>
      <c r="G1502" s="1693">
        <v>1485</v>
      </c>
      <c r="H1502" s="616">
        <v>1</v>
      </c>
      <c r="K1502" s="69"/>
      <c r="L1502"/>
      <c r="M1502" s="1050"/>
      <c r="N1502" s="1051"/>
      <c r="O1502" s="750"/>
      <c r="P1502" s="749"/>
      <c r="Q1502" s="749" t="s">
        <v>1018</v>
      </c>
      <c r="W1502" s="1899"/>
      <c r="X1502" s="579">
        <v>21602.085595152603</v>
      </c>
      <c r="Y1502" s="579">
        <v>18157.538191481006</v>
      </c>
      <c r="Z1502" s="579">
        <v>20285.051415602342</v>
      </c>
      <c r="AA1502" s="579">
        <v>17526.16744233924</v>
      </c>
      <c r="AB1502" s="579">
        <v>19278.269276375067</v>
      </c>
      <c r="AC1502" s="579">
        <v>23180.363486780858</v>
      </c>
      <c r="AD1502" s="579">
        <v>17366.185102933447</v>
      </c>
      <c r="AE1502" s="579">
        <v>19128.44324695216</v>
      </c>
      <c r="AF1502" s="579">
        <v>21708.959930247933</v>
      </c>
      <c r="AG1502" s="579">
        <v>18513.485429529064</v>
      </c>
      <c r="AH1502" s="579">
        <v>20492.809849341385</v>
      </c>
      <c r="AI1502" s="579">
        <v>22777.48439000934</v>
      </c>
      <c r="AJ1502" s="579">
        <v>60044.675202235951</v>
      </c>
      <c r="AK1502" s="579">
        <v>59984.800205495165</v>
      </c>
      <c r="AL1502" s="579">
        <v>58203.588280133539</v>
      </c>
      <c r="AM1502" s="579">
        <v>61783.77966887979</v>
      </c>
      <c r="AN1502" s="579">
        <v>120029.47540773111</v>
      </c>
      <c r="AO1502" s="579">
        <v>119987.36794901334</v>
      </c>
      <c r="AP1502" s="579">
        <v>240016.84335674444</v>
      </c>
    </row>
    <row r="1503" spans="1:42" ht="14.5">
      <c r="A1503" s="1693">
        <v>1</v>
      </c>
      <c r="B1503" s="616">
        <v>1</v>
      </c>
      <c r="C1503" s="1693">
        <v>1</v>
      </c>
      <c r="D1503" s="616">
        <v>1</v>
      </c>
      <c r="E1503" s="1693">
        <v>1</v>
      </c>
      <c r="F1503" s="616">
        <v>1</v>
      </c>
      <c r="G1503" s="1693">
        <v>1486</v>
      </c>
      <c r="H1503" s="616">
        <v>1</v>
      </c>
      <c r="K1503" s="69"/>
      <c r="L1503"/>
      <c r="M1503" s="1050"/>
      <c r="N1503" s="1051"/>
      <c r="O1503" s="750"/>
      <c r="P1503" s="749"/>
      <c r="Q1503" s="749" t="s">
        <v>1019</v>
      </c>
      <c r="W1503" s="1899"/>
      <c r="X1503" s="579">
        <v>88039.450728221083</v>
      </c>
      <c r="Y1503" s="579">
        <v>80665.318512227765</v>
      </c>
      <c r="Z1503" s="579">
        <v>86547.203964059096</v>
      </c>
      <c r="AA1503" s="579">
        <v>87794.417755405739</v>
      </c>
      <c r="AB1503" s="579">
        <v>93802.708730763217</v>
      </c>
      <c r="AC1503" s="579">
        <v>101298.73306926433</v>
      </c>
      <c r="AD1503" s="579">
        <v>87504.119785828705</v>
      </c>
      <c r="AE1503" s="579">
        <v>79460.040034241654</v>
      </c>
      <c r="AF1503" s="579">
        <v>94969.297802731555</v>
      </c>
      <c r="AG1503" s="579">
        <v>84095.378233219904</v>
      </c>
      <c r="AH1503" s="579">
        <v>90652.375936836819</v>
      </c>
      <c r="AI1503" s="579">
        <v>100501.30641960521</v>
      </c>
      <c r="AJ1503" s="579">
        <v>255251.97320450793</v>
      </c>
      <c r="AK1503" s="579">
        <v>282895.85955543327</v>
      </c>
      <c r="AL1503" s="579">
        <v>261933.45762280194</v>
      </c>
      <c r="AM1503" s="579">
        <v>275249.06058966194</v>
      </c>
      <c r="AN1503" s="579">
        <v>538147.83275994123</v>
      </c>
      <c r="AO1503" s="579">
        <v>537182.51821246394</v>
      </c>
      <c r="AP1503" s="579">
        <v>1075330.3509724052</v>
      </c>
    </row>
    <row r="1504" spans="1:42" ht="14.5">
      <c r="A1504" s="1693">
        <v>1</v>
      </c>
      <c r="B1504" s="616">
        <v>1</v>
      </c>
      <c r="C1504" s="1693">
        <v>1</v>
      </c>
      <c r="D1504" s="616">
        <v>1</v>
      </c>
      <c r="E1504" s="1693">
        <v>1</v>
      </c>
      <c r="F1504" s="616">
        <v>1</v>
      </c>
      <c r="G1504" s="1693">
        <v>1487</v>
      </c>
      <c r="H1504" s="616">
        <v>1</v>
      </c>
      <c r="K1504" s="69"/>
      <c r="L1504"/>
      <c r="M1504" s="1050"/>
      <c r="N1504" s="1051"/>
      <c r="O1504" s="750"/>
      <c r="P1504" s="1055" t="s">
        <v>1157</v>
      </c>
      <c r="Q1504" s="1055"/>
      <c r="R1504" s="1056"/>
      <c r="S1504" s="213"/>
      <c r="T1504" s="213"/>
      <c r="U1504" s="213"/>
      <c r="V1504" s="213"/>
      <c r="W1504" s="2481"/>
      <c r="X1504" s="2529">
        <v>56827.423695689831</v>
      </c>
      <c r="Y1504" s="2529">
        <v>40271.617501752189</v>
      </c>
      <c r="Z1504" s="2529">
        <v>50024.084306480858</v>
      </c>
      <c r="AA1504" s="2529">
        <v>40571.985417526281</v>
      </c>
      <c r="AB1504" s="2529">
        <v>47785.441243885653</v>
      </c>
      <c r="AC1504" s="2529">
        <v>52594.4117947919</v>
      </c>
      <c r="AD1504" s="2529">
        <v>39397.902735214739</v>
      </c>
      <c r="AE1504" s="2529">
        <v>47120.46490520821</v>
      </c>
      <c r="AF1504" s="2529">
        <v>53372.126621386342</v>
      </c>
      <c r="AG1504" s="2529">
        <v>39785.002025965354</v>
      </c>
      <c r="AH1504" s="2529">
        <v>46998.457852324718</v>
      </c>
      <c r="AI1504" s="2529">
        <v>50845.634293049719</v>
      </c>
      <c r="AJ1504" s="2529">
        <v>147123.12550392287</v>
      </c>
      <c r="AK1504" s="2529">
        <v>140951.83845620384</v>
      </c>
      <c r="AL1504" s="2529">
        <v>139890.49426180928</v>
      </c>
      <c r="AM1504" s="2529">
        <v>137629.09417133979</v>
      </c>
      <c r="AN1504" s="2529">
        <v>288074.96396012674</v>
      </c>
      <c r="AO1504" s="2529">
        <v>277519.58843314904</v>
      </c>
      <c r="AP1504" s="2529">
        <v>565594.55239327578</v>
      </c>
    </row>
    <row r="1505" spans="1:42" ht="14.5">
      <c r="A1505" s="1693">
        <v>1</v>
      </c>
      <c r="B1505" s="616">
        <v>1</v>
      </c>
      <c r="C1505" s="1693">
        <v>1</v>
      </c>
      <c r="D1505" s="616">
        <v>1</v>
      </c>
      <c r="E1505" s="1693">
        <v>1</v>
      </c>
      <c r="F1505" s="616">
        <v>1</v>
      </c>
      <c r="G1505" s="1693">
        <v>1488</v>
      </c>
      <c r="H1505" s="616">
        <v>1</v>
      </c>
      <c r="K1505" s="69"/>
      <c r="L1505"/>
      <c r="M1505" s="1050"/>
      <c r="N1505" s="1051"/>
      <c r="O1505" s="750"/>
      <c r="P1505" s="749"/>
      <c r="Q1505" s="749" t="s">
        <v>1018</v>
      </c>
      <c r="W1505" s="1899"/>
      <c r="X1505" s="579">
        <v>11142.203462080461</v>
      </c>
      <c r="Y1505" s="579">
        <v>6608.8236454084363</v>
      </c>
      <c r="Z1505" s="579">
        <v>6743.3493483246093</v>
      </c>
      <c r="AA1505" s="579">
        <v>6909.1915611825316</v>
      </c>
      <c r="AB1505" s="579">
        <v>6909.1915611825316</v>
      </c>
      <c r="AC1505" s="579">
        <v>6909.1915611825316</v>
      </c>
      <c r="AD1505" s="579">
        <v>7177.800044142863</v>
      </c>
      <c r="AE1505" s="579">
        <v>6244.2152225050922</v>
      </c>
      <c r="AF1505" s="579">
        <v>6244.2152225050922</v>
      </c>
      <c r="AG1505" s="579">
        <v>6603.1052247122316</v>
      </c>
      <c r="AH1505" s="579">
        <v>6603.1052247122316</v>
      </c>
      <c r="AI1505" s="579">
        <v>6603.1052247122316</v>
      </c>
      <c r="AJ1505" s="579">
        <v>24494.376455813504</v>
      </c>
      <c r="AK1505" s="579">
        <v>20727.574683547595</v>
      </c>
      <c r="AL1505" s="579">
        <v>19666.230489153048</v>
      </c>
      <c r="AM1505" s="579">
        <v>19809.315674136695</v>
      </c>
      <c r="AN1505" s="579">
        <v>45221.951139361103</v>
      </c>
      <c r="AO1505" s="579">
        <v>39475.546163289742</v>
      </c>
      <c r="AP1505" s="579">
        <v>84697.497302650852</v>
      </c>
    </row>
    <row r="1506" spans="1:42" ht="14.5">
      <c r="A1506" s="1693">
        <v>1</v>
      </c>
      <c r="B1506" s="616">
        <v>1</v>
      </c>
      <c r="C1506" s="1693">
        <v>1</v>
      </c>
      <c r="D1506" s="616">
        <v>1</v>
      </c>
      <c r="E1506" s="1693">
        <v>1</v>
      </c>
      <c r="F1506" s="616">
        <v>1</v>
      </c>
      <c r="G1506" s="1693">
        <v>1489</v>
      </c>
      <c r="H1506" s="616">
        <v>1</v>
      </c>
      <c r="K1506" s="69"/>
      <c r="L1506"/>
      <c r="M1506" s="1050"/>
      <c r="N1506" s="1051"/>
      <c r="O1506" s="750"/>
      <c r="P1506" s="749"/>
      <c r="Q1506" s="749" t="s">
        <v>1019</v>
      </c>
      <c r="W1506" s="1899"/>
      <c r="X1506" s="579">
        <v>45685.220233609369</v>
      </c>
      <c r="Y1506" s="579">
        <v>33662.793856343749</v>
      </c>
      <c r="Z1506" s="579">
        <v>43280.734958156245</v>
      </c>
      <c r="AA1506" s="579">
        <v>33662.793856343749</v>
      </c>
      <c r="AB1506" s="579">
        <v>40876.249682703121</v>
      </c>
      <c r="AC1506" s="579">
        <v>45685.220233609369</v>
      </c>
      <c r="AD1506" s="579">
        <v>32220.102691071872</v>
      </c>
      <c r="AE1506" s="579">
        <v>40876.249682703121</v>
      </c>
      <c r="AF1506" s="579">
        <v>47127.911398881246</v>
      </c>
      <c r="AG1506" s="579">
        <v>33181.896801253126</v>
      </c>
      <c r="AH1506" s="579">
        <v>40395.35262761249</v>
      </c>
      <c r="AI1506" s="579">
        <v>44242.529068337491</v>
      </c>
      <c r="AJ1506" s="579">
        <v>122628.74904810937</v>
      </c>
      <c r="AK1506" s="579">
        <v>120224.26377265624</v>
      </c>
      <c r="AL1506" s="579">
        <v>120224.26377265624</v>
      </c>
      <c r="AM1506" s="579">
        <v>117819.77849720311</v>
      </c>
      <c r="AN1506" s="579">
        <v>242853.01282076561</v>
      </c>
      <c r="AO1506" s="579">
        <v>238044.04226985935</v>
      </c>
      <c r="AP1506" s="579">
        <v>480897.05509062496</v>
      </c>
    </row>
    <row r="1507" spans="1:42" ht="14.5">
      <c r="A1507" s="1693">
        <v>1</v>
      </c>
      <c r="B1507" s="616">
        <v>1</v>
      </c>
      <c r="C1507" s="1693">
        <v>1</v>
      </c>
      <c r="D1507" s="616">
        <v>1</v>
      </c>
      <c r="E1507" s="1693">
        <v>1</v>
      </c>
      <c r="F1507" s="616">
        <v>1</v>
      </c>
      <c r="G1507" s="1693">
        <v>1490</v>
      </c>
      <c r="H1507" s="616">
        <v>1</v>
      </c>
      <c r="K1507" s="69"/>
      <c r="L1507"/>
      <c r="M1507" s="1050"/>
      <c r="N1507" s="1051"/>
      <c r="O1507" s="750"/>
      <c r="P1507" s="1055" t="s">
        <v>175</v>
      </c>
      <c r="Q1507" s="1055"/>
      <c r="R1507" s="1056"/>
      <c r="S1507" s="213"/>
      <c r="T1507" s="213"/>
      <c r="U1507" s="213"/>
      <c r="V1507" s="213"/>
      <c r="W1507" s="2481"/>
      <c r="X1507" s="2529">
        <v>780</v>
      </c>
      <c r="Y1507" s="2529">
        <v>940</v>
      </c>
      <c r="Z1507" s="2529">
        <v>1100</v>
      </c>
      <c r="AA1507" s="2529">
        <v>880</v>
      </c>
      <c r="AB1507" s="2529">
        <v>1040</v>
      </c>
      <c r="AC1507" s="2529">
        <v>1260</v>
      </c>
      <c r="AD1507" s="2529">
        <v>870</v>
      </c>
      <c r="AE1507" s="2529">
        <v>1040</v>
      </c>
      <c r="AF1507" s="2529">
        <v>1200</v>
      </c>
      <c r="AG1507" s="2529">
        <v>980</v>
      </c>
      <c r="AH1507" s="2529">
        <v>1120</v>
      </c>
      <c r="AI1507" s="2529">
        <v>1290</v>
      </c>
      <c r="AJ1507" s="2529">
        <v>2820</v>
      </c>
      <c r="AK1507" s="2529">
        <v>3180</v>
      </c>
      <c r="AL1507" s="2529">
        <v>3110</v>
      </c>
      <c r="AM1507" s="2529">
        <v>3390</v>
      </c>
      <c r="AN1507" s="2529">
        <v>6000</v>
      </c>
      <c r="AO1507" s="2529">
        <v>6500</v>
      </c>
      <c r="AP1507" s="2529">
        <v>12500</v>
      </c>
    </row>
    <row r="1508" spans="1:42" ht="14.5">
      <c r="A1508" s="1693">
        <v>1</v>
      </c>
      <c r="B1508" s="616">
        <v>1</v>
      </c>
      <c r="C1508" s="1693">
        <v>1</v>
      </c>
      <c r="D1508" s="616">
        <v>1</v>
      </c>
      <c r="E1508" s="1693">
        <v>1</v>
      </c>
      <c r="F1508" s="616">
        <v>1</v>
      </c>
      <c r="G1508" s="1693">
        <v>1491</v>
      </c>
      <c r="H1508" s="616">
        <v>1</v>
      </c>
      <c r="K1508" s="69"/>
      <c r="L1508"/>
      <c r="M1508" s="1050"/>
      <c r="N1508" s="1051"/>
      <c r="O1508" s="750"/>
      <c r="P1508" s="1055" t="s">
        <v>1209</v>
      </c>
      <c r="Q1508" s="1055"/>
      <c r="R1508" s="1056"/>
      <c r="S1508" s="213"/>
      <c r="T1508" s="213"/>
      <c r="U1508" s="213"/>
      <c r="V1508" s="213"/>
      <c r="W1508" s="2481"/>
      <c r="X1508" s="2529">
        <v>25792.506177936801</v>
      </c>
      <c r="Y1508" s="2529">
        <v>15930.3882767126</v>
      </c>
      <c r="Z1508" s="2529">
        <v>17213.131103835702</v>
      </c>
      <c r="AA1508" s="2529">
        <v>16152.688311959</v>
      </c>
      <c r="AB1508" s="2529">
        <v>17691.167457738498</v>
      </c>
      <c r="AC1508" s="2529">
        <v>21097.948740052299</v>
      </c>
      <c r="AD1508" s="2529">
        <v>14677.2514172135</v>
      </c>
      <c r="AE1508" s="2529">
        <v>14288.5867144569</v>
      </c>
      <c r="AF1508" s="2529">
        <v>15978.9180028967</v>
      </c>
      <c r="AG1508" s="2529">
        <v>14966.49033604</v>
      </c>
      <c r="AH1508" s="2529">
        <v>12550.710483663799</v>
      </c>
      <c r="AI1508" s="2529">
        <v>12806.838847423202</v>
      </c>
      <c r="AJ1508" s="2529">
        <v>58936.025558485104</v>
      </c>
      <c r="AK1508" s="2529">
        <v>54941.804509749796</v>
      </c>
      <c r="AL1508" s="2529">
        <v>44944.756134567098</v>
      </c>
      <c r="AM1508" s="2529">
        <v>40324.039667126999</v>
      </c>
      <c r="AN1508" s="2529">
        <v>113877.83006823491</v>
      </c>
      <c r="AO1508" s="2529">
        <v>85268.795801694097</v>
      </c>
      <c r="AP1508" s="2529">
        <v>199146.625869929</v>
      </c>
    </row>
    <row r="1509" spans="1:42" ht="14.5">
      <c r="A1509" s="1693">
        <v>1</v>
      </c>
      <c r="B1509" s="616">
        <v>1</v>
      </c>
      <c r="C1509" s="1693">
        <v>1</v>
      </c>
      <c r="D1509" s="616">
        <v>1</v>
      </c>
      <c r="E1509" s="1693">
        <v>1</v>
      </c>
      <c r="F1509" s="616">
        <v>1</v>
      </c>
      <c r="G1509" s="1693">
        <v>1492</v>
      </c>
      <c r="H1509" s="616">
        <v>1</v>
      </c>
      <c r="K1509" s="69"/>
      <c r="L1509"/>
      <c r="M1509" s="1050"/>
      <c r="N1509" s="1051"/>
      <c r="O1509" s="747" t="s">
        <v>1195</v>
      </c>
      <c r="P1509" s="748"/>
      <c r="Q1509" s="748"/>
      <c r="R1509" s="1052"/>
      <c r="S1509" s="1053"/>
      <c r="T1509" s="1053"/>
      <c r="U1509" s="1053"/>
      <c r="V1509" s="1053"/>
      <c r="W1509" s="1852"/>
      <c r="X1509" s="2528">
        <v>57867.991694142111</v>
      </c>
      <c r="Y1509" s="2528">
        <v>52816.064690889034</v>
      </c>
      <c r="Z1509" s="2528">
        <v>59611.100870431168</v>
      </c>
      <c r="AA1509" s="2528">
        <v>53993.983844248403</v>
      </c>
      <c r="AB1509" s="2528">
        <v>59106.980230233457</v>
      </c>
      <c r="AC1509" s="2528">
        <v>63227.283497328579</v>
      </c>
      <c r="AD1509" s="2528">
        <v>54997.320375925628</v>
      </c>
      <c r="AE1509" s="2528">
        <v>58507.88152379042</v>
      </c>
      <c r="AF1509" s="2528">
        <v>66769.153743967559</v>
      </c>
      <c r="AG1509" s="2528">
        <v>55933.079390667117</v>
      </c>
      <c r="AH1509" s="2528">
        <v>65424.603760419966</v>
      </c>
      <c r="AI1509" s="2528">
        <v>71570.456160647736</v>
      </c>
      <c r="AJ1509" s="2528">
        <v>170295.15725546231</v>
      </c>
      <c r="AK1509" s="2528">
        <v>176328.24757181044</v>
      </c>
      <c r="AL1509" s="2528">
        <v>180274.35564368361</v>
      </c>
      <c r="AM1509" s="2528">
        <v>192928.13931173482</v>
      </c>
      <c r="AN1509" s="2528">
        <v>346623.40482727275</v>
      </c>
      <c r="AO1509" s="2528">
        <v>373202.4949554184</v>
      </c>
      <c r="AP1509" s="2528">
        <v>719825.89978269115</v>
      </c>
    </row>
    <row r="1510" spans="1:42" ht="14.5">
      <c r="A1510" s="1693">
        <v>1</v>
      </c>
      <c r="B1510" s="616">
        <v>1</v>
      </c>
      <c r="C1510" s="1693">
        <v>1</v>
      </c>
      <c r="D1510" s="616">
        <v>1</v>
      </c>
      <c r="E1510" s="1693">
        <v>1</v>
      </c>
      <c r="F1510" s="616">
        <v>1</v>
      </c>
      <c r="G1510" s="1693">
        <v>1493</v>
      </c>
      <c r="H1510" s="616">
        <v>1</v>
      </c>
      <c r="K1510" s="69"/>
      <c r="L1510"/>
      <c r="M1510" s="1050"/>
      <c r="N1510" s="1051"/>
      <c r="O1510" s="750"/>
      <c r="P1510" s="1055" t="s">
        <v>1155</v>
      </c>
      <c r="Q1510" s="1055"/>
      <c r="R1510" s="1056"/>
      <c r="S1510" s="213"/>
      <c r="T1510" s="213"/>
      <c r="U1510" s="213"/>
      <c r="V1510" s="213"/>
      <c r="W1510" s="2481"/>
      <c r="X1510" s="2529">
        <v>38129.177708393763</v>
      </c>
      <c r="Y1510" s="2529">
        <v>32126.377625603796</v>
      </c>
      <c r="Z1510" s="2529">
        <v>35330.982624497716</v>
      </c>
      <c r="AA1510" s="2529">
        <v>33243.96472998368</v>
      </c>
      <c r="AB1510" s="2529">
        <v>36104.665478732626</v>
      </c>
      <c r="AC1510" s="2529">
        <v>41017.900172797832</v>
      </c>
      <c r="AD1510" s="2529">
        <v>32751.577806478861</v>
      </c>
      <c r="AE1510" s="2529">
        <v>31928.959690330565</v>
      </c>
      <c r="AF1510" s="2529">
        <v>38576.558387000608</v>
      </c>
      <c r="AG1510" s="2529">
        <v>32976.910949547455</v>
      </c>
      <c r="AH1510" s="2529">
        <v>36291.880683908486</v>
      </c>
      <c r="AI1510" s="2529">
        <v>40616.781563620694</v>
      </c>
      <c r="AJ1510" s="2529">
        <v>105586.53795849528</v>
      </c>
      <c r="AK1510" s="2529">
        <v>110366.53038151414</v>
      </c>
      <c r="AL1510" s="2529">
        <v>103257.09588381003</v>
      </c>
      <c r="AM1510" s="2529">
        <v>109885.57319707664</v>
      </c>
      <c r="AN1510" s="2529">
        <v>215953.06834000943</v>
      </c>
      <c r="AO1510" s="2529">
        <v>213142.66908088667</v>
      </c>
      <c r="AP1510" s="2529">
        <v>429095.73742089607</v>
      </c>
    </row>
    <row r="1511" spans="1:42" ht="14.5">
      <c r="A1511" s="1693">
        <v>1</v>
      </c>
      <c r="B1511" s="616">
        <v>1</v>
      </c>
      <c r="C1511" s="1693">
        <v>1</v>
      </c>
      <c r="D1511" s="616">
        <v>1</v>
      </c>
      <c r="E1511" s="1693">
        <v>1</v>
      </c>
      <c r="F1511" s="616">
        <v>1</v>
      </c>
      <c r="G1511" s="1693">
        <v>1494</v>
      </c>
      <c r="H1511" s="616">
        <v>1</v>
      </c>
      <c r="K1511" s="69"/>
      <c r="L1511"/>
      <c r="M1511" s="1050"/>
      <c r="N1511" s="1051"/>
      <c r="O1511" s="750"/>
      <c r="P1511" s="749"/>
      <c r="Q1511" s="749" t="s">
        <v>1018</v>
      </c>
      <c r="W1511" s="1899"/>
      <c r="X1511" s="579">
        <v>13239.987945416113</v>
      </c>
      <c r="Y1511" s="579">
        <v>11128.813730262551</v>
      </c>
      <c r="Z1511" s="579">
        <v>12432.773448272401</v>
      </c>
      <c r="AA1511" s="579">
        <v>10741.844561433729</v>
      </c>
      <c r="AB1511" s="579">
        <v>11815.713427455688</v>
      </c>
      <c r="AC1511" s="579">
        <v>14207.319556414077</v>
      </c>
      <c r="AD1511" s="579">
        <v>10643.790869539855</v>
      </c>
      <c r="AE1511" s="579">
        <v>11723.884570712613</v>
      </c>
      <c r="AF1511" s="579">
        <v>13305.491570151957</v>
      </c>
      <c r="AG1511" s="579">
        <v>11346.974940679102</v>
      </c>
      <c r="AH1511" s="579">
        <v>12560.109262499558</v>
      </c>
      <c r="AI1511" s="579">
        <v>13960.393658392823</v>
      </c>
      <c r="AJ1511" s="579">
        <v>36801.575123951065</v>
      </c>
      <c r="AK1511" s="579">
        <v>36764.87754530349</v>
      </c>
      <c r="AL1511" s="579">
        <v>35673.167010404424</v>
      </c>
      <c r="AM1511" s="579">
        <v>37867.477861571482</v>
      </c>
      <c r="AN1511" s="579">
        <v>73566.452669254562</v>
      </c>
      <c r="AO1511" s="579">
        <v>73540.644871975906</v>
      </c>
      <c r="AP1511" s="579">
        <v>147107.09754123047</v>
      </c>
    </row>
    <row r="1512" spans="1:42" ht="14.5">
      <c r="A1512" s="1693">
        <v>1</v>
      </c>
      <c r="B1512" s="616">
        <v>1</v>
      </c>
      <c r="C1512" s="1693">
        <v>1</v>
      </c>
      <c r="D1512" s="616">
        <v>1</v>
      </c>
      <c r="E1512" s="1693">
        <v>1</v>
      </c>
      <c r="F1512" s="616">
        <v>1</v>
      </c>
      <c r="G1512" s="1693">
        <v>1495</v>
      </c>
      <c r="H1512" s="616">
        <v>1</v>
      </c>
      <c r="K1512" s="69"/>
      <c r="L1512"/>
      <c r="M1512" s="1050"/>
      <c r="N1512" s="1051"/>
      <c r="O1512" s="750"/>
      <c r="P1512" s="749"/>
      <c r="Q1512" s="749" t="s">
        <v>1019</v>
      </c>
      <c r="W1512" s="1899"/>
      <c r="X1512" s="579">
        <v>24889.189762977665</v>
      </c>
      <c r="Y1512" s="579">
        <v>20997.563895341242</v>
      </c>
      <c r="Z1512" s="579">
        <v>22898.209176225326</v>
      </c>
      <c r="AA1512" s="579">
        <v>22502.120168549955</v>
      </c>
      <c r="AB1512" s="579">
        <v>24288.952051276952</v>
      </c>
      <c r="AC1512" s="579">
        <v>26810.580616383755</v>
      </c>
      <c r="AD1512" s="579">
        <v>22107.78693693901</v>
      </c>
      <c r="AE1512" s="579">
        <v>20205.075119617948</v>
      </c>
      <c r="AF1512" s="579">
        <v>25271.066816848659</v>
      </c>
      <c r="AG1512" s="579">
        <v>21629.936008868361</v>
      </c>
      <c r="AH1512" s="579">
        <v>23731.771421408936</v>
      </c>
      <c r="AI1512" s="579">
        <v>26656.387905227879</v>
      </c>
      <c r="AJ1512" s="579">
        <v>68784.962834544232</v>
      </c>
      <c r="AK1512" s="579">
        <v>73601.652836210662</v>
      </c>
      <c r="AL1512" s="579">
        <v>67583.928873405617</v>
      </c>
      <c r="AM1512" s="579">
        <v>72018.095335505175</v>
      </c>
      <c r="AN1512" s="579">
        <v>142386.61567075489</v>
      </c>
      <c r="AO1512" s="579">
        <v>139602.02420891079</v>
      </c>
      <c r="AP1512" s="579">
        <v>281988.63987966569</v>
      </c>
    </row>
    <row r="1513" spans="1:42" ht="14.5">
      <c r="A1513" s="1693">
        <v>1</v>
      </c>
      <c r="B1513" s="616">
        <v>1</v>
      </c>
      <c r="C1513" s="1693">
        <v>1</v>
      </c>
      <c r="D1513" s="616">
        <v>1</v>
      </c>
      <c r="E1513" s="1693">
        <v>1</v>
      </c>
      <c r="F1513" s="616">
        <v>1</v>
      </c>
      <c r="G1513" s="1693">
        <v>1496</v>
      </c>
      <c r="H1513" s="616">
        <v>1</v>
      </c>
      <c r="K1513" s="69"/>
      <c r="L1513"/>
      <c r="M1513" s="1050"/>
      <c r="N1513" s="1051"/>
      <c r="O1513" s="750"/>
      <c r="P1513" s="1055" t="s">
        <v>1157</v>
      </c>
      <c r="Q1513" s="1055"/>
      <c r="R1513" s="1056"/>
      <c r="S1513" s="213"/>
      <c r="T1513" s="213"/>
      <c r="U1513" s="213"/>
      <c r="V1513" s="213"/>
      <c r="W1513" s="2481"/>
      <c r="X1513" s="2529">
        <v>44811.320163685152</v>
      </c>
      <c r="Y1513" s="2529">
        <v>35760.075341997814</v>
      </c>
      <c r="Z1513" s="2529">
        <v>40493.249349769132</v>
      </c>
      <c r="AA1513" s="2529">
        <v>36082.707426223722</v>
      </c>
      <c r="AB1513" s="2529">
        <v>39733.482209239344</v>
      </c>
      <c r="AC1513" s="2529">
        <v>42167.332064583083</v>
      </c>
      <c r="AD1513" s="2529">
        <v>36092.993986660251</v>
      </c>
      <c r="AE1513" s="2529">
        <v>39907.508547916776</v>
      </c>
      <c r="AF1513" s="2529">
        <v>43071.513359863646</v>
      </c>
      <c r="AG1513" s="2529">
        <v>37002.658777159639</v>
      </c>
      <c r="AH1513" s="2529">
        <v>40653.433560175268</v>
      </c>
      <c r="AI1513" s="2529">
        <v>42600.513444450262</v>
      </c>
      <c r="AJ1513" s="2529">
        <v>121064.6448554521</v>
      </c>
      <c r="AK1513" s="2529">
        <v>117983.52170004614</v>
      </c>
      <c r="AL1513" s="2529">
        <v>119072.01589444067</v>
      </c>
      <c r="AM1513" s="2529">
        <v>120256.60578178517</v>
      </c>
      <c r="AN1513" s="2529">
        <v>239048.16655549826</v>
      </c>
      <c r="AO1513" s="2529">
        <v>239328.62167622586</v>
      </c>
      <c r="AP1513" s="2529">
        <v>478376.78823172412</v>
      </c>
    </row>
    <row r="1514" spans="1:42" ht="14.5">
      <c r="A1514" s="1693">
        <v>1</v>
      </c>
      <c r="B1514" s="616">
        <v>1</v>
      </c>
      <c r="C1514" s="1693">
        <v>1</v>
      </c>
      <c r="D1514" s="616">
        <v>1</v>
      </c>
      <c r="E1514" s="1693">
        <v>1</v>
      </c>
      <c r="F1514" s="616">
        <v>1</v>
      </c>
      <c r="G1514" s="1693">
        <v>1497</v>
      </c>
      <c r="H1514" s="616">
        <v>1</v>
      </c>
      <c r="K1514" s="69"/>
      <c r="L1514"/>
      <c r="M1514" s="1050"/>
      <c r="N1514" s="1051"/>
      <c r="O1514" s="750"/>
      <c r="P1514" s="749"/>
      <c r="Q1514" s="749" t="s">
        <v>1018</v>
      </c>
      <c r="W1514" s="1899"/>
      <c r="X1514" s="579">
        <v>21689.746537919535</v>
      </c>
      <c r="Y1514" s="579">
        <v>18723.126354591561</v>
      </c>
      <c r="Z1514" s="579">
        <v>18588.600651675388</v>
      </c>
      <c r="AA1514" s="579">
        <v>19045.758438817469</v>
      </c>
      <c r="AB1514" s="579">
        <v>19045.758438817469</v>
      </c>
      <c r="AC1514" s="579">
        <v>19045.758438817469</v>
      </c>
      <c r="AD1514" s="579">
        <v>19786.199955857137</v>
      </c>
      <c r="AE1514" s="579">
        <v>19219.784777494908</v>
      </c>
      <c r="AF1514" s="579">
        <v>19219.784777494908</v>
      </c>
      <c r="AG1514" s="579">
        <v>20209.094775287766</v>
      </c>
      <c r="AH1514" s="579">
        <v>20209.094775287766</v>
      </c>
      <c r="AI1514" s="579">
        <v>20209.094775287766</v>
      </c>
      <c r="AJ1514" s="579">
        <v>59001.473544186476</v>
      </c>
      <c r="AK1514" s="579">
        <v>57137.275316452404</v>
      </c>
      <c r="AL1514" s="579">
        <v>58225.769510846949</v>
      </c>
      <c r="AM1514" s="579">
        <v>60627.284325863293</v>
      </c>
      <c r="AN1514" s="579">
        <v>116138.74886063888</v>
      </c>
      <c r="AO1514" s="579">
        <v>118853.05383671024</v>
      </c>
      <c r="AP1514" s="579">
        <v>234991.80269734911</v>
      </c>
    </row>
    <row r="1515" spans="1:42" ht="14.5">
      <c r="A1515" s="1693">
        <v>1</v>
      </c>
      <c r="B1515" s="616">
        <v>1</v>
      </c>
      <c r="C1515" s="1693">
        <v>1</v>
      </c>
      <c r="D1515" s="616">
        <v>1</v>
      </c>
      <c r="E1515" s="1693">
        <v>1</v>
      </c>
      <c r="F1515" s="616">
        <v>1</v>
      </c>
      <c r="G1515" s="1693">
        <v>1498</v>
      </c>
      <c r="H1515" s="616">
        <v>1</v>
      </c>
      <c r="K1515" s="69"/>
      <c r="L1515"/>
      <c r="M1515" s="1050"/>
      <c r="N1515" s="1051"/>
      <c r="O1515" s="750"/>
      <c r="P1515" s="749"/>
      <c r="Q1515" s="749" t="s">
        <v>1019</v>
      </c>
      <c r="W1515" s="1899"/>
      <c r="X1515" s="579">
        <v>23121.573625765617</v>
      </c>
      <c r="Y1515" s="579">
        <v>17036.948987406249</v>
      </c>
      <c r="Z1515" s="579">
        <v>21904.648698093748</v>
      </c>
      <c r="AA1515" s="579">
        <v>17036.948987406249</v>
      </c>
      <c r="AB1515" s="579">
        <v>20687.723770421871</v>
      </c>
      <c r="AC1515" s="579">
        <v>23121.573625765617</v>
      </c>
      <c r="AD1515" s="579">
        <v>16306.794030803117</v>
      </c>
      <c r="AE1515" s="579">
        <v>20687.723770421871</v>
      </c>
      <c r="AF1515" s="579">
        <v>23851.728582368742</v>
      </c>
      <c r="AG1515" s="579">
        <v>16793.56400187187</v>
      </c>
      <c r="AH1515" s="579">
        <v>20444.338784887499</v>
      </c>
      <c r="AI1515" s="579">
        <v>22391.418669162493</v>
      </c>
      <c r="AJ1515" s="579">
        <v>62063.171311265614</v>
      </c>
      <c r="AK1515" s="579">
        <v>60846.246383593738</v>
      </c>
      <c r="AL1515" s="579">
        <v>60846.246383593731</v>
      </c>
      <c r="AM1515" s="579">
        <v>59629.321455921861</v>
      </c>
      <c r="AN1515" s="579">
        <v>122909.41769485935</v>
      </c>
      <c r="AO1515" s="579">
        <v>120475.5678395156</v>
      </c>
      <c r="AP1515" s="579">
        <v>243384.98553437495</v>
      </c>
    </row>
    <row r="1516" spans="1:42" ht="14.5">
      <c r="A1516" s="1693">
        <v>1</v>
      </c>
      <c r="B1516" s="616">
        <v>1</v>
      </c>
      <c r="C1516" s="1693">
        <v>1</v>
      </c>
      <c r="D1516" s="616">
        <v>1</v>
      </c>
      <c r="E1516" s="1693">
        <v>1</v>
      </c>
      <c r="F1516" s="616">
        <v>1</v>
      </c>
      <c r="G1516" s="1693">
        <v>1499</v>
      </c>
      <c r="H1516" s="616">
        <v>1</v>
      </c>
      <c r="K1516" s="69"/>
      <c r="L1516"/>
      <c r="M1516" s="1050"/>
      <c r="N1516" s="1051"/>
      <c r="O1516" s="750"/>
      <c r="P1516" s="1055" t="s">
        <v>175</v>
      </c>
      <c r="Q1516" s="1055"/>
      <c r="R1516" s="1056"/>
      <c r="S1516" s="213"/>
      <c r="T1516" s="213"/>
      <c r="U1516" s="213"/>
      <c r="V1516" s="213"/>
      <c r="W1516" s="2481"/>
      <c r="X1516" s="2529">
        <v>720</v>
      </c>
      <c r="Y1516" s="2529">
        <v>860</v>
      </c>
      <c r="Z1516" s="2529">
        <v>1000</v>
      </c>
      <c r="AA1516" s="2529">
        <v>820</v>
      </c>
      <c r="AB1516" s="2529">
        <v>960</v>
      </c>
      <c r="AC1516" s="2529">
        <v>1140</v>
      </c>
      <c r="AD1516" s="2529">
        <v>830</v>
      </c>
      <c r="AE1516" s="2529">
        <v>960</v>
      </c>
      <c r="AF1516" s="2529">
        <v>1100</v>
      </c>
      <c r="AG1516" s="2529">
        <v>920</v>
      </c>
      <c r="AH1516" s="2529">
        <v>1030</v>
      </c>
      <c r="AI1516" s="2529">
        <v>1160</v>
      </c>
      <c r="AJ1516" s="2529">
        <v>2580</v>
      </c>
      <c r="AK1516" s="2529">
        <v>2920</v>
      </c>
      <c r="AL1516" s="2529">
        <v>2890</v>
      </c>
      <c r="AM1516" s="2529">
        <v>3110</v>
      </c>
      <c r="AN1516" s="2529">
        <v>5500</v>
      </c>
      <c r="AO1516" s="2529">
        <v>6000</v>
      </c>
      <c r="AP1516" s="2529">
        <v>11500</v>
      </c>
    </row>
    <row r="1517" spans="1:42" ht="14.5">
      <c r="A1517" s="1693">
        <v>1</v>
      </c>
      <c r="B1517" s="616">
        <v>1</v>
      </c>
      <c r="C1517" s="1693">
        <v>1</v>
      </c>
      <c r="D1517" s="616">
        <v>1</v>
      </c>
      <c r="E1517" s="1693">
        <v>1</v>
      </c>
      <c r="F1517" s="616">
        <v>1</v>
      </c>
      <c r="G1517" s="1693">
        <v>1500</v>
      </c>
      <c r="H1517" s="616">
        <v>1</v>
      </c>
      <c r="K1517" s="69"/>
      <c r="L1517"/>
      <c r="M1517" s="1050"/>
      <c r="N1517" s="1051"/>
      <c r="O1517" s="750"/>
      <c r="P1517" s="1055" t="s">
        <v>2</v>
      </c>
      <c r="Q1517" s="1055"/>
      <c r="R1517" s="1056"/>
      <c r="S1517" s="213"/>
      <c r="T1517" s="213"/>
      <c r="U1517" s="213"/>
      <c r="V1517" s="213"/>
      <c r="W1517" s="2481"/>
      <c r="X1517" s="2529">
        <v>-25792.506177936801</v>
      </c>
      <c r="Y1517" s="2529">
        <v>-15930.3882767126</v>
      </c>
      <c r="Z1517" s="2529">
        <v>-17213.131103835702</v>
      </c>
      <c r="AA1517" s="2529">
        <v>-16152.688311959</v>
      </c>
      <c r="AB1517" s="2529">
        <v>-17691.167457738498</v>
      </c>
      <c r="AC1517" s="2529">
        <v>-21097.948740052299</v>
      </c>
      <c r="AD1517" s="2529">
        <v>-14677.2514172135</v>
      </c>
      <c r="AE1517" s="2529">
        <v>-14288.5867144569</v>
      </c>
      <c r="AF1517" s="2529">
        <v>-15978.9180028967</v>
      </c>
      <c r="AG1517" s="2529">
        <v>-14966.49033604</v>
      </c>
      <c r="AH1517" s="2529">
        <v>-12550.710483663799</v>
      </c>
      <c r="AI1517" s="2529">
        <v>-12806.838847423202</v>
      </c>
      <c r="AJ1517" s="2529">
        <v>-58936.025558485104</v>
      </c>
      <c r="AK1517" s="2529">
        <v>-54941.804509749796</v>
      </c>
      <c r="AL1517" s="2529">
        <v>-44944.756134567098</v>
      </c>
      <c r="AM1517" s="2529">
        <v>-40324.039667126999</v>
      </c>
      <c r="AN1517" s="2529">
        <v>-113877.83006823491</v>
      </c>
      <c r="AO1517" s="2529">
        <v>-85268.795801694097</v>
      </c>
      <c r="AP1517" s="2529">
        <v>-199146.625869929</v>
      </c>
    </row>
    <row r="1518" spans="1:42" ht="14.5">
      <c r="A1518" s="1693">
        <v>1</v>
      </c>
      <c r="B1518" s="616">
        <v>1</v>
      </c>
      <c r="C1518" s="1693">
        <v>1</v>
      </c>
      <c r="D1518" s="616">
        <v>1</v>
      </c>
      <c r="E1518" s="1693">
        <v>1</v>
      </c>
      <c r="F1518" s="616">
        <v>1</v>
      </c>
      <c r="G1518" s="1693">
        <v>1501</v>
      </c>
      <c r="H1518" s="616">
        <v>1</v>
      </c>
      <c r="K1518" s="69"/>
      <c r="L1518"/>
      <c r="M1518" s="1050"/>
      <c r="N1518" s="1051"/>
      <c r="O1518" s="747" t="s">
        <v>1210</v>
      </c>
      <c r="P1518" s="748"/>
      <c r="Q1518" s="748"/>
      <c r="R1518" s="1052"/>
      <c r="S1518" s="1053"/>
      <c r="T1518" s="1053"/>
      <c r="U1518" s="1053"/>
      <c r="V1518" s="1053"/>
      <c r="W1518" s="1852"/>
      <c r="X1518" s="2530">
        <v>0.230632962904285</v>
      </c>
      <c r="Y1518" s="2530">
        <v>0.25297360925650442</v>
      </c>
      <c r="Z1518" s="2530">
        <v>0.25390133625133915</v>
      </c>
      <c r="AA1518" s="2530">
        <v>0.24891283573735457</v>
      </c>
      <c r="AB1518" s="2530">
        <v>0.24761562373182003</v>
      </c>
      <c r="AC1518" s="2530">
        <v>0.24072027207521282</v>
      </c>
      <c r="AD1518" s="2530">
        <v>0.25602443451063839</v>
      </c>
      <c r="AE1518" s="2530">
        <v>0.26649557288239278</v>
      </c>
      <c r="AF1518" s="2530">
        <v>0.26287228185889827</v>
      </c>
      <c r="AG1518" s="2530">
        <v>0.26103599488302021</v>
      </c>
      <c r="AH1518" s="2530">
        <v>0.27577512708852664</v>
      </c>
      <c r="AI1518" s="2530">
        <v>0.27549167513938128</v>
      </c>
      <c r="AJ1518" s="2530">
        <v>0.24521566468184391</v>
      </c>
      <c r="AK1518" s="2530">
        <v>0.24548591288829949</v>
      </c>
      <c r="AL1518" s="2530">
        <v>0.26189091822506649</v>
      </c>
      <c r="AM1518" s="2530">
        <v>0.27123158108446183</v>
      </c>
      <c r="AN1518" s="2530">
        <v>0.24535306626674996</v>
      </c>
      <c r="AO1518" s="2530">
        <v>0.2666378198160263</v>
      </c>
      <c r="AP1518" s="2530">
        <v>0.25594589917039784</v>
      </c>
    </row>
    <row r="1519" spans="1:42" ht="14.5">
      <c r="A1519" s="1693">
        <v>1</v>
      </c>
      <c r="B1519" s="616">
        <v>1</v>
      </c>
      <c r="C1519" s="1693">
        <v>1</v>
      </c>
      <c r="D1519" s="616">
        <v>1</v>
      </c>
      <c r="E1519" s="1693">
        <v>1</v>
      </c>
      <c r="F1519" s="616">
        <v>1</v>
      </c>
      <c r="G1519" s="1693">
        <v>1502</v>
      </c>
      <c r="H1519" s="616">
        <v>1</v>
      </c>
      <c r="K1519" s="69"/>
      <c r="L1519"/>
      <c r="M1519" s="1050"/>
      <c r="N1519" s="1051"/>
      <c r="O1519" s="750"/>
      <c r="P1519" s="1055" t="s">
        <v>1155</v>
      </c>
      <c r="Q1519" s="1055"/>
      <c r="R1519" s="1056"/>
      <c r="S1519" s="213"/>
      <c r="T1519" s="213"/>
      <c r="U1519" s="213"/>
      <c r="V1519" s="213"/>
      <c r="W1519" s="2481"/>
      <c r="X1519" s="2531">
        <v>0.25802932575799037</v>
      </c>
      <c r="Y1519" s="2531">
        <v>0.24533459695390072</v>
      </c>
      <c r="Z1519" s="2531">
        <v>0.24852404264641234</v>
      </c>
      <c r="AA1519" s="2531">
        <v>0.23991680951096647</v>
      </c>
      <c r="AB1519" s="2531">
        <v>0.24201166167944324</v>
      </c>
      <c r="AC1519" s="2531">
        <v>0.24784679470651194</v>
      </c>
      <c r="AD1519" s="2531">
        <v>0.23798234092616011</v>
      </c>
      <c r="AE1519" s="2531">
        <v>0.24463365940517745</v>
      </c>
      <c r="AF1519" s="2531">
        <v>0.24847253921700471</v>
      </c>
      <c r="AG1519" s="2531">
        <v>0.24321807390077588</v>
      </c>
      <c r="AH1519" s="2531">
        <v>0.24615167374665378</v>
      </c>
      <c r="AI1519" s="2531">
        <v>0.24782110325180184</v>
      </c>
      <c r="AJ1519" s="2531">
        <v>0.25086898545495256</v>
      </c>
      <c r="AK1519" s="2531">
        <v>0.24350185237073196</v>
      </c>
      <c r="AL1519" s="2531">
        <v>0.24387936840141355</v>
      </c>
      <c r="AM1519" s="2531">
        <v>0.24587389977385418</v>
      </c>
      <c r="AN1519" s="2531">
        <v>0.24704903769936845</v>
      </c>
      <c r="AO1519" s="2531">
        <v>0.24490358986207075</v>
      </c>
      <c r="AP1519" s="2531">
        <v>0.245978661503373</v>
      </c>
    </row>
    <row r="1520" spans="1:42" ht="14.5">
      <c r="A1520" s="1693">
        <v>1</v>
      </c>
      <c r="B1520" s="616">
        <v>1</v>
      </c>
      <c r="C1520" s="1693">
        <v>1</v>
      </c>
      <c r="D1520" s="616">
        <v>1</v>
      </c>
      <c r="E1520" s="1693">
        <v>1</v>
      </c>
      <c r="F1520" s="616">
        <v>1</v>
      </c>
      <c r="G1520" s="1693">
        <v>1503</v>
      </c>
      <c r="H1520" s="616">
        <v>1</v>
      </c>
      <c r="K1520" s="69"/>
      <c r="L1520"/>
      <c r="M1520" s="1050"/>
      <c r="N1520" s="1051"/>
      <c r="O1520" s="750"/>
      <c r="P1520" s="749"/>
      <c r="Q1520" s="749" t="s">
        <v>1018</v>
      </c>
      <c r="W1520" s="1899"/>
      <c r="X1520" s="2532">
        <v>0.38</v>
      </c>
      <c r="Y1520" s="2532">
        <v>0.38</v>
      </c>
      <c r="Z1520" s="2532">
        <v>0.37999999999999995</v>
      </c>
      <c r="AA1520" s="2532">
        <v>0.38</v>
      </c>
      <c r="AB1520" s="2532">
        <v>0.38000000000000006</v>
      </c>
      <c r="AC1520" s="2532">
        <v>0.38000000000000006</v>
      </c>
      <c r="AD1520" s="2532">
        <v>0.38</v>
      </c>
      <c r="AE1520" s="2532">
        <v>0.37999999999999995</v>
      </c>
      <c r="AF1520" s="2532">
        <v>0.37999999999999995</v>
      </c>
      <c r="AG1520" s="2532">
        <v>0.37999999999999995</v>
      </c>
      <c r="AH1520" s="2532">
        <v>0.38</v>
      </c>
      <c r="AI1520" s="2532">
        <v>0.38</v>
      </c>
      <c r="AJ1520" s="2532">
        <v>0.38</v>
      </c>
      <c r="AK1520" s="2532">
        <v>0.38</v>
      </c>
      <c r="AL1520" s="2532">
        <v>0.38</v>
      </c>
      <c r="AM1520" s="2532">
        <v>0.38</v>
      </c>
      <c r="AN1520" s="2532">
        <v>0.38000000000000006</v>
      </c>
      <c r="AO1520" s="2532">
        <v>0.37999999999999995</v>
      </c>
      <c r="AP1520" s="2532">
        <v>0.38000000000000006</v>
      </c>
    </row>
    <row r="1521" spans="1:42" ht="14.5">
      <c r="A1521" s="1693">
        <v>1</v>
      </c>
      <c r="B1521" s="616">
        <v>1</v>
      </c>
      <c r="C1521" s="1693">
        <v>1</v>
      </c>
      <c r="D1521" s="616">
        <v>1</v>
      </c>
      <c r="E1521" s="1693">
        <v>1</v>
      </c>
      <c r="F1521" s="616">
        <v>1</v>
      </c>
      <c r="G1521" s="1693">
        <v>1504</v>
      </c>
      <c r="H1521" s="616">
        <v>1</v>
      </c>
      <c r="K1521" s="69"/>
      <c r="L1521"/>
      <c r="M1521" s="1050"/>
      <c r="N1521" s="1051"/>
      <c r="O1521" s="750"/>
      <c r="P1521" s="749"/>
      <c r="Q1521" s="749" t="s">
        <v>1019</v>
      </c>
      <c r="W1521" s="1899"/>
      <c r="X1521" s="2532">
        <v>0.22039749752338017</v>
      </c>
      <c r="Y1521" s="2532">
        <v>0.20654110328252831</v>
      </c>
      <c r="Z1521" s="2532">
        <v>0.20922036400808289</v>
      </c>
      <c r="AA1521" s="2532">
        <v>0.20401474599378736</v>
      </c>
      <c r="AB1521" s="2532">
        <v>0.20567880822767554</v>
      </c>
      <c r="AC1521" s="2532">
        <v>0.20927893409975631</v>
      </c>
      <c r="AD1521" s="2532">
        <v>0.2016914731066069</v>
      </c>
      <c r="AE1521" s="2532">
        <v>0.20272966211322832</v>
      </c>
      <c r="AF1521" s="2532">
        <v>0.21017124238438528</v>
      </c>
      <c r="AG1521" s="2532">
        <v>0.20458615955815893</v>
      </c>
      <c r="AH1521" s="2532">
        <v>0.20747430452125631</v>
      </c>
      <c r="AI1521" s="2532">
        <v>0.20963252005130181</v>
      </c>
      <c r="AJ1521" s="2532">
        <v>0.21227506862444356</v>
      </c>
      <c r="AK1521" s="2532">
        <v>0.20645768982352045</v>
      </c>
      <c r="AL1521" s="2532">
        <v>0.20509973568324427</v>
      </c>
      <c r="AM1521" s="2532">
        <v>0.20738527703156703</v>
      </c>
      <c r="AN1521" s="2532">
        <v>0.20922763865825841</v>
      </c>
      <c r="AO1521" s="2532">
        <v>0.20627247736694435</v>
      </c>
      <c r="AP1521" s="2532">
        <v>0.20775414016910235</v>
      </c>
    </row>
    <row r="1522" spans="1:42" ht="14.5">
      <c r="A1522" s="1693">
        <v>1</v>
      </c>
      <c r="B1522" s="616">
        <v>1</v>
      </c>
      <c r="C1522" s="1693">
        <v>1</v>
      </c>
      <c r="D1522" s="616">
        <v>1</v>
      </c>
      <c r="E1522" s="1693">
        <v>1</v>
      </c>
      <c r="F1522" s="616">
        <v>1</v>
      </c>
      <c r="G1522" s="1693">
        <v>1505</v>
      </c>
      <c r="H1522" s="616">
        <v>1</v>
      </c>
      <c r="K1522" s="69"/>
      <c r="L1522"/>
      <c r="M1522" s="1050"/>
      <c r="N1522" s="1051"/>
      <c r="O1522" s="750"/>
      <c r="P1522" s="1055" t="s">
        <v>1157</v>
      </c>
      <c r="Q1522" s="1055"/>
      <c r="R1522" s="1056"/>
      <c r="S1522" s="213"/>
      <c r="T1522" s="213"/>
      <c r="U1522" s="213"/>
      <c r="V1522" s="213"/>
      <c r="W1522" s="2481"/>
      <c r="X1522" s="2531">
        <v>0.44088817376260631</v>
      </c>
      <c r="Y1522" s="2531">
        <v>0.47033117381046691</v>
      </c>
      <c r="Z1522" s="2531">
        <v>0.4473535367661946</v>
      </c>
      <c r="AA1522" s="2531">
        <v>0.4707175267112913</v>
      </c>
      <c r="AB1522" s="2531">
        <v>0.4539987541153947</v>
      </c>
      <c r="AC1522" s="2531">
        <v>0.4449826517245058</v>
      </c>
      <c r="AD1522" s="2531">
        <v>0.4781105478139272</v>
      </c>
      <c r="AE1522" s="2531">
        <v>0.4585595523422335</v>
      </c>
      <c r="AF1522" s="2531">
        <v>0.44659775769804372</v>
      </c>
      <c r="AG1522" s="2531">
        <v>0.4818828753232936</v>
      </c>
      <c r="AH1522" s="2531">
        <v>0.46380554834641829</v>
      </c>
      <c r="AI1522" s="2531">
        <v>0.45588303505158467</v>
      </c>
      <c r="AJ1522" s="2531">
        <v>0.45141747027921503</v>
      </c>
      <c r="AK1522" s="2531">
        <v>0.45564855116292757</v>
      </c>
      <c r="AL1522" s="2531">
        <v>0.45980406902372201</v>
      </c>
      <c r="AM1522" s="2531">
        <v>0.46631746468937135</v>
      </c>
      <c r="AN1522" s="2531">
        <v>0.45349587737055752</v>
      </c>
      <c r="AO1522" s="2531">
        <v>0.46305398179782675</v>
      </c>
      <c r="AP1522" s="2531">
        <v>0.45822789344517034</v>
      </c>
    </row>
    <row r="1523" spans="1:42" ht="14.5">
      <c r="A1523" s="1693">
        <v>1</v>
      </c>
      <c r="B1523" s="616">
        <v>1</v>
      </c>
      <c r="C1523" s="1693">
        <v>1</v>
      </c>
      <c r="D1523" s="616">
        <v>1</v>
      </c>
      <c r="E1523" s="1693">
        <v>1</v>
      </c>
      <c r="F1523" s="616">
        <v>1</v>
      </c>
      <c r="G1523" s="1693">
        <v>1506</v>
      </c>
      <c r="H1523" s="616">
        <v>1</v>
      </c>
      <c r="K1523" s="69"/>
      <c r="L1523"/>
      <c r="M1523" s="1050"/>
      <c r="N1523" s="1051"/>
      <c r="O1523" s="750"/>
      <c r="P1523" s="749"/>
      <c r="Q1523" s="749" t="s">
        <v>1018</v>
      </c>
      <c r="W1523" s="1899"/>
      <c r="X1523" s="2532">
        <v>0.66062925101675463</v>
      </c>
      <c r="Y1523" s="2532">
        <v>0.73911113651304239</v>
      </c>
      <c r="Z1523" s="2532">
        <v>0.73380062141585589</v>
      </c>
      <c r="AA1523" s="2532">
        <v>0.73380062141585589</v>
      </c>
      <c r="AB1523" s="2532">
        <v>0.73380062141585589</v>
      </c>
      <c r="AC1523" s="2532">
        <v>0.73380062141585589</v>
      </c>
      <c r="AD1523" s="2532">
        <v>0.73380062141585589</v>
      </c>
      <c r="AE1523" s="2532">
        <v>0.75478262556923137</v>
      </c>
      <c r="AF1523" s="2532">
        <v>0.75478262556923137</v>
      </c>
      <c r="AG1523" s="2532">
        <v>0.75372758577393006</v>
      </c>
      <c r="AH1523" s="2532">
        <v>0.75372758577393006</v>
      </c>
      <c r="AI1523" s="2532">
        <v>0.75372758577393006</v>
      </c>
      <c r="AJ1523" s="2532">
        <v>0.70663959399403065</v>
      </c>
      <c r="AK1523" s="2532">
        <v>0.73380062141585578</v>
      </c>
      <c r="AL1523" s="2532">
        <v>0.74751925115348106</v>
      </c>
      <c r="AM1523" s="2532">
        <v>0.75372758577393006</v>
      </c>
      <c r="AN1523" s="2532">
        <v>0.7197461888839034</v>
      </c>
      <c r="AO1523" s="2532">
        <v>0.75067330751810002</v>
      </c>
      <c r="AP1523" s="2532">
        <v>0.73506308374208684</v>
      </c>
    </row>
    <row r="1524" spans="1:42" ht="14.5">
      <c r="A1524" s="1693">
        <v>1</v>
      </c>
      <c r="B1524" s="616">
        <v>1</v>
      </c>
      <c r="C1524" s="1693">
        <v>1</v>
      </c>
      <c r="D1524" s="616">
        <v>1</v>
      </c>
      <c r="E1524" s="1693">
        <v>1</v>
      </c>
      <c r="F1524" s="616">
        <v>1</v>
      </c>
      <c r="G1524" s="1693">
        <v>1507</v>
      </c>
      <c r="H1524" s="616">
        <v>1</v>
      </c>
      <c r="K1524" s="69"/>
      <c r="L1524"/>
      <c r="M1524" s="1050"/>
      <c r="N1524" s="1051"/>
      <c r="O1524" s="750"/>
      <c r="P1524" s="749"/>
      <c r="Q1524" s="749" t="s">
        <v>1019</v>
      </c>
      <c r="W1524" s="1899"/>
      <c r="X1524" s="2532">
        <v>0.33603620120740857</v>
      </c>
      <c r="Y1524" s="2532">
        <v>0.33603620120740862</v>
      </c>
      <c r="Z1524" s="2532">
        <v>0.33603620120740862</v>
      </c>
      <c r="AA1524" s="2532">
        <v>0.33603620120740862</v>
      </c>
      <c r="AB1524" s="2532">
        <v>0.33603620120740862</v>
      </c>
      <c r="AC1524" s="2532">
        <v>0.33603620120740857</v>
      </c>
      <c r="AD1524" s="2532">
        <v>0.33603620120740851</v>
      </c>
      <c r="AE1524" s="2532">
        <v>0.33603620120740862</v>
      </c>
      <c r="AF1524" s="2532">
        <v>0.33603620120740857</v>
      </c>
      <c r="AG1524" s="2532">
        <v>0.33603620120740851</v>
      </c>
      <c r="AH1524" s="2532">
        <v>0.33603620120740868</v>
      </c>
      <c r="AI1524" s="2532">
        <v>0.33603620120740857</v>
      </c>
      <c r="AJ1524" s="2532">
        <v>0.33603620120740857</v>
      </c>
      <c r="AK1524" s="2532">
        <v>0.33603620120740857</v>
      </c>
      <c r="AL1524" s="2532">
        <v>0.33603620120740857</v>
      </c>
      <c r="AM1524" s="2532">
        <v>0.33603620120740857</v>
      </c>
      <c r="AN1524" s="2532">
        <v>0.33603620120740862</v>
      </c>
      <c r="AO1524" s="2532">
        <v>0.33603620120740857</v>
      </c>
      <c r="AP1524" s="2532">
        <v>0.33603620120740857</v>
      </c>
    </row>
    <row r="1525" spans="1:42" ht="14.5">
      <c r="A1525" s="1693">
        <v>1</v>
      </c>
      <c r="B1525" s="616">
        <v>1</v>
      </c>
      <c r="C1525" s="1693">
        <v>1</v>
      </c>
      <c r="D1525" s="616">
        <v>1</v>
      </c>
      <c r="E1525" s="1693">
        <v>1</v>
      </c>
      <c r="F1525" s="616">
        <v>1</v>
      </c>
      <c r="G1525" s="1693">
        <v>1508</v>
      </c>
      <c r="H1525" s="616">
        <v>1</v>
      </c>
      <c r="K1525" s="69"/>
      <c r="L1525"/>
      <c r="M1525" s="1050"/>
      <c r="N1525" s="1051"/>
      <c r="O1525" s="750"/>
      <c r="P1525" s="1055" t="s">
        <v>175</v>
      </c>
      <c r="Q1525" s="1055"/>
      <c r="R1525" s="1056"/>
      <c r="S1525" s="213"/>
      <c r="T1525" s="213"/>
      <c r="U1525" s="213"/>
      <c r="V1525" s="213"/>
      <c r="W1525" s="2481"/>
      <c r="X1525" s="2533">
        <v>0.48</v>
      </c>
      <c r="Y1525" s="2533">
        <v>0.4777777777777778</v>
      </c>
      <c r="Z1525" s="2533">
        <v>0.47619047619047616</v>
      </c>
      <c r="AA1525" s="2533">
        <v>0.4823529411764706</v>
      </c>
      <c r="AB1525" s="2533">
        <v>0.48</v>
      </c>
      <c r="AC1525" s="2533">
        <v>0.47499999999999998</v>
      </c>
      <c r="AD1525" s="2533">
        <v>0.48823529411764705</v>
      </c>
      <c r="AE1525" s="2533">
        <v>0.48</v>
      </c>
      <c r="AF1525" s="2533">
        <v>0.47826086956521741</v>
      </c>
      <c r="AG1525" s="2533">
        <v>0.48421052631578948</v>
      </c>
      <c r="AH1525" s="2533">
        <v>0.47906976744186047</v>
      </c>
      <c r="AI1525" s="2533">
        <v>0.47346938775510206</v>
      </c>
      <c r="AJ1525" s="2533">
        <v>0.4777777777777778</v>
      </c>
      <c r="AK1525" s="2533">
        <v>0.47868852459016392</v>
      </c>
      <c r="AL1525" s="2533">
        <v>0.48166666666666669</v>
      </c>
      <c r="AM1525" s="2533">
        <v>0.47846153846153844</v>
      </c>
      <c r="AN1525" s="2533">
        <v>0.47826086956521741</v>
      </c>
      <c r="AO1525" s="2533">
        <v>0.48</v>
      </c>
      <c r="AP1525" s="2533">
        <v>0.47916666666666669</v>
      </c>
    </row>
    <row r="1526" spans="1:42" ht="14.5">
      <c r="A1526" s="1693">
        <v>1</v>
      </c>
      <c r="B1526" s="616">
        <v>1</v>
      </c>
      <c r="C1526" s="1693">
        <v>1</v>
      </c>
      <c r="D1526" s="616">
        <v>1</v>
      </c>
      <c r="E1526" s="1693">
        <v>1</v>
      </c>
      <c r="F1526" s="616">
        <v>1</v>
      </c>
      <c r="G1526" s="1693">
        <v>1509</v>
      </c>
      <c r="H1526" s="616">
        <v>1</v>
      </c>
      <c r="K1526" s="69"/>
      <c r="L1526"/>
      <c r="M1526" s="1050"/>
      <c r="N1526" s="1051"/>
      <c r="O1526" s="750"/>
      <c r="P1526" s="1055" t="s">
        <v>2</v>
      </c>
      <c r="Q1526" s="1055"/>
      <c r="R1526" s="1056"/>
      <c r="S1526" s="213"/>
      <c r="T1526" s="213"/>
      <c r="U1526" s="213"/>
      <c r="V1526" s="213"/>
      <c r="W1526" s="2481"/>
      <c r="X1526" s="2533" t="s">
        <v>891</v>
      </c>
      <c r="Y1526" s="2533" t="s">
        <v>891</v>
      </c>
      <c r="Z1526" s="2533" t="s">
        <v>891</v>
      </c>
      <c r="AA1526" s="2533" t="s">
        <v>891</v>
      </c>
      <c r="AB1526" s="2533" t="s">
        <v>891</v>
      </c>
      <c r="AC1526" s="2533" t="s">
        <v>891</v>
      </c>
      <c r="AD1526" s="2533" t="s">
        <v>891</v>
      </c>
      <c r="AE1526" s="2533" t="s">
        <v>891</v>
      </c>
      <c r="AF1526" s="2533" t="s">
        <v>891</v>
      </c>
      <c r="AG1526" s="2533" t="s">
        <v>891</v>
      </c>
      <c r="AH1526" s="2533" t="s">
        <v>891</v>
      </c>
      <c r="AI1526" s="2533" t="s">
        <v>891</v>
      </c>
      <c r="AJ1526" s="2533" t="s">
        <v>891</v>
      </c>
      <c r="AK1526" s="2533" t="s">
        <v>891</v>
      </c>
      <c r="AL1526" s="2533" t="s">
        <v>891</v>
      </c>
      <c r="AM1526" s="2533" t="s">
        <v>891</v>
      </c>
      <c r="AN1526" s="2533" t="s">
        <v>891</v>
      </c>
      <c r="AO1526" s="2533" t="s">
        <v>891</v>
      </c>
      <c r="AP1526" s="2533" t="s">
        <v>891</v>
      </c>
    </row>
    <row r="1527" spans="1:42" ht="14.5">
      <c r="A1527" s="1693">
        <v>1</v>
      </c>
      <c r="B1527" s="616">
        <v>1</v>
      </c>
      <c r="C1527" s="1693">
        <v>1</v>
      </c>
      <c r="D1527" s="616">
        <v>1</v>
      </c>
      <c r="E1527" s="1693">
        <v>1</v>
      </c>
      <c r="F1527" s="616">
        <v>1</v>
      </c>
      <c r="G1527" s="1693">
        <v>1510</v>
      </c>
      <c r="H1527" s="616">
        <v>1</v>
      </c>
      <c r="K1527" s="69"/>
      <c r="L1527"/>
      <c r="M1527" s="1050"/>
      <c r="N1527" s="1051"/>
      <c r="O1527" s="747" t="s">
        <v>1198</v>
      </c>
      <c r="P1527" s="748"/>
      <c r="Q1527" s="748"/>
      <c r="R1527" s="1052"/>
      <c r="S1527" s="1053"/>
      <c r="T1527" s="1053"/>
      <c r="U1527" s="1053"/>
      <c r="V1527" s="1053"/>
      <c r="W1527" s="1852"/>
      <c r="X1527" s="2528">
        <v>51420.457515230562</v>
      </c>
      <c r="Y1527" s="2528">
        <v>51126.924571844451</v>
      </c>
      <c r="Z1527" s="2528">
        <v>51464.605311058353</v>
      </c>
      <c r="AA1527" s="2528">
        <v>51683.974701162122</v>
      </c>
      <c r="AB1527" s="2528">
        <v>51909.125514301712</v>
      </c>
      <c r="AC1527" s="2528">
        <v>52042.215990952762</v>
      </c>
      <c r="AD1527" s="2528">
        <v>52029.159720586045</v>
      </c>
      <c r="AE1527" s="2528">
        <v>52097.542975099394</v>
      </c>
      <c r="AF1527" s="2528">
        <v>52418.379852633414</v>
      </c>
      <c r="AG1527" s="2528">
        <v>52815.845800462397</v>
      </c>
      <c r="AH1527" s="2528">
        <v>52963.370413797733</v>
      </c>
      <c r="AI1527" s="2528">
        <v>53065.552810330992</v>
      </c>
      <c r="AJ1527" s="2528">
        <v>154011.98739813335</v>
      </c>
      <c r="AK1527" s="2528">
        <v>155635.31620641661</v>
      </c>
      <c r="AL1527" s="2528">
        <v>156545.08254831884</v>
      </c>
      <c r="AM1527" s="2528">
        <v>158844.76902459114</v>
      </c>
      <c r="AN1527" s="2528">
        <v>309647.30360454996</v>
      </c>
      <c r="AO1527" s="2528">
        <v>315389.85157290997</v>
      </c>
      <c r="AP1527" s="2528">
        <v>625037.15517745994</v>
      </c>
    </row>
    <row r="1528" spans="1:42" ht="14.5">
      <c r="A1528" s="1693">
        <v>1</v>
      </c>
      <c r="B1528" s="616">
        <v>1</v>
      </c>
      <c r="C1528" s="1693">
        <v>1</v>
      </c>
      <c r="D1528" s="616">
        <v>1</v>
      </c>
      <c r="E1528" s="1693">
        <v>1</v>
      </c>
      <c r="F1528" s="616">
        <v>1</v>
      </c>
      <c r="G1528" s="1693">
        <v>1511</v>
      </c>
      <c r="H1528" s="616">
        <v>1</v>
      </c>
      <c r="K1528" s="69"/>
      <c r="L1528"/>
      <c r="M1528" s="1050"/>
      <c r="N1528" s="1051"/>
      <c r="O1528" s="750"/>
      <c r="P1528" s="749" t="s">
        <v>1211</v>
      </c>
      <c r="Q1528" s="749"/>
      <c r="W1528" s="1899"/>
      <c r="X1528" s="579">
        <v>9023.0000000000018</v>
      </c>
      <c r="Y1528" s="579">
        <v>9023.0000000000018</v>
      </c>
      <c r="Z1528" s="579">
        <v>9023.0000000000018</v>
      </c>
      <c r="AA1528" s="579">
        <v>8861.9666666666672</v>
      </c>
      <c r="AB1528" s="579">
        <v>8861.9666666666672</v>
      </c>
      <c r="AC1528" s="579">
        <v>8861.9666666666672</v>
      </c>
      <c r="AD1528" s="579">
        <v>8864.48</v>
      </c>
      <c r="AE1528" s="579">
        <v>8864.48</v>
      </c>
      <c r="AF1528" s="579">
        <v>8864.48</v>
      </c>
      <c r="AG1528" s="579">
        <v>9244.3040000000019</v>
      </c>
      <c r="AH1528" s="579">
        <v>9244.3040000000019</v>
      </c>
      <c r="AI1528" s="579">
        <v>9244.3040000000019</v>
      </c>
      <c r="AJ1528" s="579">
        <v>27069.000000000007</v>
      </c>
      <c r="AK1528" s="579">
        <v>26585.9</v>
      </c>
      <c r="AL1528" s="579">
        <v>26593.439999999999</v>
      </c>
      <c r="AM1528" s="579">
        <v>27732.912000000004</v>
      </c>
      <c r="AN1528" s="579">
        <v>53654.900000000009</v>
      </c>
      <c r="AO1528" s="579">
        <v>54326.351999999999</v>
      </c>
      <c r="AP1528" s="579">
        <v>107981.25200000001</v>
      </c>
    </row>
    <row r="1529" spans="1:42" ht="14.5">
      <c r="A1529" s="1693">
        <v>1</v>
      </c>
      <c r="B1529" s="616">
        <v>1</v>
      </c>
      <c r="C1529" s="1693">
        <v>1</v>
      </c>
      <c r="D1529" s="616">
        <v>1</v>
      </c>
      <c r="E1529" s="1693">
        <v>1</v>
      </c>
      <c r="F1529" s="616">
        <v>1</v>
      </c>
      <c r="G1529" s="1693">
        <v>1512</v>
      </c>
      <c r="H1529" s="616">
        <v>1</v>
      </c>
      <c r="K1529" s="69"/>
      <c r="L1529"/>
      <c r="M1529" s="1050"/>
      <c r="N1529" s="1051"/>
      <c r="O1529" s="750"/>
      <c r="P1529" s="749" t="s">
        <v>1212</v>
      </c>
      <c r="Q1529" s="749"/>
      <c r="W1529" s="1899"/>
      <c r="X1529" s="579">
        <v>42397.457515230562</v>
      </c>
      <c r="Y1529" s="579">
        <v>42103.924571844451</v>
      </c>
      <c r="Z1529" s="579">
        <v>42441.605311058353</v>
      </c>
      <c r="AA1529" s="579">
        <v>42822.008034495455</v>
      </c>
      <c r="AB1529" s="579">
        <v>43047.158847635044</v>
      </c>
      <c r="AC1529" s="579">
        <v>43180.249324286095</v>
      </c>
      <c r="AD1529" s="579">
        <v>43164.679720586049</v>
      </c>
      <c r="AE1529" s="579">
        <v>43233.06297509939</v>
      </c>
      <c r="AF1529" s="579">
        <v>43553.899852633411</v>
      </c>
      <c r="AG1529" s="579">
        <v>43571.541800462393</v>
      </c>
      <c r="AH1529" s="579">
        <v>43719.066413797729</v>
      </c>
      <c r="AI1529" s="579">
        <v>43821.248810330988</v>
      </c>
      <c r="AJ1529" s="579">
        <v>126942.98739813335</v>
      </c>
      <c r="AK1529" s="579">
        <v>129049.41620641659</v>
      </c>
      <c r="AL1529" s="579">
        <v>129951.64254831887</v>
      </c>
      <c r="AM1529" s="579">
        <v>131111.85702459113</v>
      </c>
      <c r="AN1529" s="579">
        <v>255992.40360454994</v>
      </c>
      <c r="AO1529" s="579">
        <v>261063.49957290999</v>
      </c>
      <c r="AP1529" s="579">
        <v>517055.90317745996</v>
      </c>
    </row>
    <row r="1530" spans="1:42" ht="14.5">
      <c r="A1530" s="1693">
        <v>1</v>
      </c>
      <c r="B1530" s="616">
        <v>1</v>
      </c>
      <c r="C1530" s="1693">
        <v>1</v>
      </c>
      <c r="D1530" s="616">
        <v>1</v>
      </c>
      <c r="E1530" s="1693">
        <v>1</v>
      </c>
      <c r="F1530" s="616">
        <v>1</v>
      </c>
      <c r="G1530" s="1693">
        <v>1513</v>
      </c>
      <c r="H1530" s="616">
        <v>1</v>
      </c>
      <c r="K1530" s="69"/>
      <c r="L1530"/>
      <c r="M1530" s="1050"/>
      <c r="N1530" s="1051"/>
      <c r="O1530" s="747" t="s">
        <v>1206</v>
      </c>
      <c r="P1530" s="748"/>
      <c r="Q1530" s="748"/>
      <c r="R1530" s="1052"/>
      <c r="S1530" s="1053"/>
      <c r="T1530" s="1053"/>
      <c r="U1530" s="1053"/>
      <c r="V1530" s="1053"/>
      <c r="W1530" s="1852"/>
      <c r="X1530" s="2528">
        <v>6447.5341789115482</v>
      </c>
      <c r="Y1530" s="2528">
        <v>1689.1401190445831</v>
      </c>
      <c r="Z1530" s="2528">
        <v>8146.4955593728155</v>
      </c>
      <c r="AA1530" s="2528">
        <v>2310.0091430862813</v>
      </c>
      <c r="AB1530" s="2528">
        <v>7197.8547159317459</v>
      </c>
      <c r="AC1530" s="2528">
        <v>11185.067506375817</v>
      </c>
      <c r="AD1530" s="2528">
        <v>2968.1606553395832</v>
      </c>
      <c r="AE1530" s="2528">
        <v>6410.3385486910265</v>
      </c>
      <c r="AF1530" s="2528">
        <v>14350.773891334145</v>
      </c>
      <c r="AG1530" s="2528">
        <v>3117.2335902047198</v>
      </c>
      <c r="AH1530" s="2528">
        <v>12461.233346622234</v>
      </c>
      <c r="AI1530" s="2528">
        <v>18504.903350316745</v>
      </c>
      <c r="AJ1530" s="2528">
        <v>16283.169857328947</v>
      </c>
      <c r="AK1530" s="2528">
        <v>20692.931365393844</v>
      </c>
      <c r="AL1530" s="2528">
        <v>23729.273095364755</v>
      </c>
      <c r="AM1530" s="2528">
        <v>34083.370287143698</v>
      </c>
      <c r="AN1530" s="2528">
        <v>36976.101222722791</v>
      </c>
      <c r="AO1530" s="2528">
        <v>57812.643382508453</v>
      </c>
      <c r="AP1530" s="2528">
        <v>94788.744605231244</v>
      </c>
    </row>
    <row r="1531" spans="1:42" ht="14.5">
      <c r="A1531" s="1693">
        <v>1</v>
      </c>
      <c r="B1531" s="616">
        <v>1</v>
      </c>
      <c r="C1531" s="1693">
        <v>1</v>
      </c>
      <c r="D1531" s="616">
        <v>1</v>
      </c>
      <c r="E1531" s="1693">
        <v>1</v>
      </c>
      <c r="F1531" s="616">
        <v>1</v>
      </c>
      <c r="G1531" s="1693">
        <v>1514</v>
      </c>
      <c r="H1531" s="616">
        <v>1</v>
      </c>
      <c r="K1531" s="69"/>
      <c r="L1531"/>
      <c r="M1531" s="1050"/>
      <c r="N1531" s="1051"/>
      <c r="O1531" s="747" t="s">
        <v>1203</v>
      </c>
      <c r="P1531" s="748"/>
      <c r="Q1531" s="748"/>
      <c r="R1531" s="1052"/>
      <c r="S1531" s="1053"/>
      <c r="T1531" s="1053"/>
      <c r="U1531" s="1053"/>
      <c r="V1531" s="1053"/>
      <c r="W1531" s="1852"/>
      <c r="X1531" s="2528">
        <v>222953.63536811766</v>
      </c>
      <c r="Y1531" s="2528">
        <v>202103.78751407203</v>
      </c>
      <c r="Z1531" s="2528">
        <v>202695.29129265033</v>
      </c>
      <c r="AA1531" s="2528">
        <v>207638.84894910568</v>
      </c>
      <c r="AB1531" s="2528">
        <v>209635.90557000501</v>
      </c>
      <c r="AC1531" s="2528">
        <v>216193.74032068317</v>
      </c>
      <c r="AD1531" s="2528">
        <v>203219.50840369542</v>
      </c>
      <c r="AE1531" s="2528">
        <v>195491.21364988142</v>
      </c>
      <c r="AF1531" s="2528">
        <v>199406.26482928309</v>
      </c>
      <c r="AG1531" s="2528">
        <v>202331.65860566898</v>
      </c>
      <c r="AH1531" s="2528">
        <v>192052.74592003343</v>
      </c>
      <c r="AI1531" s="2528">
        <v>192621.25718856367</v>
      </c>
      <c r="AJ1531" s="2528">
        <v>628067.49151999259</v>
      </c>
      <c r="AK1531" s="2528">
        <v>633988.78728016256</v>
      </c>
      <c r="AL1531" s="2528">
        <v>597749.18355047936</v>
      </c>
      <c r="AM1531" s="2528">
        <v>585642.60249298438</v>
      </c>
      <c r="AN1531" s="2528">
        <v>1262047.8248594569</v>
      </c>
      <c r="AO1531" s="2528">
        <v>1182839.8979204127</v>
      </c>
      <c r="AP1531" s="2528">
        <v>2442067.4728659624</v>
      </c>
    </row>
    <row r="1532" spans="1:42" ht="14.5">
      <c r="A1532" s="1693">
        <v>1</v>
      </c>
      <c r="B1532" s="616">
        <v>1</v>
      </c>
      <c r="C1532" s="1693">
        <v>1</v>
      </c>
      <c r="D1532" s="616">
        <v>1</v>
      </c>
      <c r="E1532" s="1693">
        <v>1</v>
      </c>
      <c r="F1532" s="616">
        <v>1</v>
      </c>
      <c r="G1532" s="1693">
        <v>1515</v>
      </c>
      <c r="H1532" s="616">
        <v>1</v>
      </c>
      <c r="K1532" s="69"/>
      <c r="L1532"/>
      <c r="M1532" s="1050"/>
      <c r="N1532" s="1051"/>
      <c r="O1532" s="751"/>
      <c r="P1532" s="752" t="s">
        <v>55</v>
      </c>
      <c r="Q1532" s="753"/>
      <c r="R1532" s="16"/>
      <c r="S1532" s="11"/>
      <c r="T1532" s="11"/>
      <c r="U1532" s="11"/>
      <c r="V1532" s="11"/>
      <c r="W1532" s="1772"/>
      <c r="X1532" s="1689">
        <v>0.88858202971705647</v>
      </c>
      <c r="Y1532" s="1689">
        <v>0.96801844043227314</v>
      </c>
      <c r="Z1532" s="1689">
        <v>0.86333928680364769</v>
      </c>
      <c r="AA1532" s="1689">
        <v>0.95721728647121573</v>
      </c>
      <c r="AB1532" s="1689">
        <v>0.87822327095895159</v>
      </c>
      <c r="AC1532" s="1689">
        <v>0.82309745274999202</v>
      </c>
      <c r="AD1532" s="1689">
        <v>0.9460308132277867</v>
      </c>
      <c r="AE1532" s="1689">
        <v>0.89043632444486209</v>
      </c>
      <c r="AF1532" s="1689">
        <v>0.78506880667735435</v>
      </c>
      <c r="AG1532" s="1689">
        <v>0.9442685147293205</v>
      </c>
      <c r="AH1532" s="1689">
        <v>0.80953291834591246</v>
      </c>
      <c r="AI1532" s="1689">
        <v>0.74144494330481203</v>
      </c>
      <c r="AJ1532" s="1689">
        <v>0.90438266055386218</v>
      </c>
      <c r="AK1532" s="1689">
        <v>0.8826453977150398</v>
      </c>
      <c r="AL1532" s="1689">
        <v>0.86837133317915616</v>
      </c>
      <c r="AM1532" s="1689">
        <v>0.82333644843756304</v>
      </c>
      <c r="AN1532" s="1689">
        <v>0.89332485715686605</v>
      </c>
      <c r="AO1532" s="1689">
        <v>0.84509041562164644</v>
      </c>
      <c r="AP1532" s="1689">
        <v>0.86831712413536788</v>
      </c>
    </row>
    <row r="1533" spans="1:42" ht="14.5">
      <c r="A1533" s="1693">
        <v>1</v>
      </c>
      <c r="B1533" s="616">
        <v>1</v>
      </c>
      <c r="C1533" s="1693">
        <v>1</v>
      </c>
      <c r="D1533" s="616">
        <v>1</v>
      </c>
      <c r="E1533" s="1693">
        <v>1</v>
      </c>
      <c r="F1533" s="616">
        <v>1</v>
      </c>
      <c r="G1533" s="1693">
        <v>1516</v>
      </c>
      <c r="H1533" s="616">
        <v>1</v>
      </c>
      <c r="K1533" s="69"/>
      <c r="L1533"/>
      <c r="W1533" s="1772"/>
      <c r="X1533" s="1366"/>
      <c r="Y1533" s="1366"/>
      <c r="Z1533" s="1366"/>
      <c r="AA1533" s="1366"/>
      <c r="AB1533" s="1366"/>
      <c r="AC1533" s="1366"/>
      <c r="AD1533" s="1366"/>
      <c r="AE1533" s="1366"/>
      <c r="AF1533" s="1366"/>
      <c r="AG1533" s="1366"/>
      <c r="AH1533" s="69"/>
      <c r="AI1533" s="69"/>
      <c r="AJ1533" s="69"/>
      <c r="AK1533" s="69"/>
      <c r="AL1533" s="69"/>
      <c r="AM1533" s="69"/>
      <c r="AN1533" s="69"/>
      <c r="AO1533" s="69"/>
      <c r="AP1533" s="69"/>
    </row>
    <row r="1534" spans="1:42" ht="14.5">
      <c r="A1534" s="1693">
        <v>1</v>
      </c>
      <c r="B1534" s="616">
        <v>1</v>
      </c>
      <c r="C1534" s="1693">
        <v>1</v>
      </c>
      <c r="D1534" s="616">
        <v>1</v>
      </c>
      <c r="E1534" s="1693">
        <v>1</v>
      </c>
      <c r="F1534" s="616">
        <v>1</v>
      </c>
      <c r="G1534" s="1693">
        <v>1517</v>
      </c>
      <c r="H1534" s="616">
        <v>1</v>
      </c>
      <c r="K1534" s="69"/>
      <c r="L1534"/>
      <c r="N1534" s="4" t="s">
        <v>1030</v>
      </c>
      <c r="W1534" s="1772"/>
      <c r="X1534" s="1366"/>
      <c r="Y1534" s="1366"/>
      <c r="Z1534" s="1366"/>
      <c r="AA1534" s="1366"/>
      <c r="AB1534" s="1366"/>
      <c r="AC1534" s="1366"/>
      <c r="AD1534" s="1366"/>
      <c r="AE1534" s="1366"/>
      <c r="AF1534" s="1366"/>
      <c r="AG1534" s="1366"/>
      <c r="AH1534" s="69"/>
      <c r="AI1534" s="69"/>
      <c r="AJ1534" s="69"/>
      <c r="AK1534" s="69"/>
      <c r="AL1534" s="69"/>
      <c r="AM1534" s="69"/>
      <c r="AN1534" s="69"/>
      <c r="AO1534" s="69"/>
      <c r="AP1534" s="69"/>
    </row>
    <row r="1535" spans="1:42" ht="14.5">
      <c r="A1535" s="1693">
        <v>1</v>
      </c>
      <c r="B1535" s="616">
        <v>1</v>
      </c>
      <c r="C1535" s="1693">
        <v>1</v>
      </c>
      <c r="D1535" s="616">
        <v>1</v>
      </c>
      <c r="E1535" s="1693">
        <v>1</v>
      </c>
      <c r="F1535" s="616">
        <v>1</v>
      </c>
      <c r="G1535" s="1693">
        <v>1518</v>
      </c>
      <c r="H1535" s="616">
        <v>1</v>
      </c>
      <c r="K1535" s="69"/>
      <c r="L1535"/>
      <c r="M1535" s="1050"/>
      <c r="N1535" s="1051"/>
      <c r="O1535" s="1058" t="s">
        <v>0</v>
      </c>
      <c r="P1535" s="1059"/>
      <c r="Q1535" s="1059"/>
      <c r="R1535" s="1060"/>
      <c r="S1535" s="1061"/>
      <c r="T1535" s="1061"/>
      <c r="U1535" s="1061"/>
      <c r="V1535" s="1061"/>
      <c r="W1535" s="2534"/>
      <c r="X1535" s="2535">
        <v>597539.75269376347</v>
      </c>
      <c r="Y1535" s="2535">
        <v>459660.74531021097</v>
      </c>
      <c r="Z1535" s="2535">
        <v>471454.49231950368</v>
      </c>
      <c r="AA1535" s="2535">
        <v>451631.3812823632</v>
      </c>
      <c r="AB1535" s="2535">
        <v>467561.37320136616</v>
      </c>
      <c r="AC1535" s="2535">
        <v>482813.82379793969</v>
      </c>
      <c r="AD1535" s="2535">
        <v>461874.03012861137</v>
      </c>
      <c r="AE1535" s="2535">
        <v>454754.53391125426</v>
      </c>
      <c r="AF1535" s="2535">
        <v>495688.03437301517</v>
      </c>
      <c r="AG1535" s="2535">
        <v>465201.27253560082</v>
      </c>
      <c r="AH1535" s="2535">
        <v>484471.38317566039</v>
      </c>
      <c r="AI1535" s="2535">
        <v>501057.72294524882</v>
      </c>
      <c r="AJ1535" s="2535">
        <v>1528654.9903234784</v>
      </c>
      <c r="AK1535" s="2535">
        <v>1402006.5782816689</v>
      </c>
      <c r="AL1535" s="2535">
        <v>1412316.5984128807</v>
      </c>
      <c r="AM1535" s="2535">
        <v>1450730.37865651</v>
      </c>
      <c r="AN1535" s="2535">
        <v>2930661.5686051473</v>
      </c>
      <c r="AO1535" s="2535">
        <v>2863046.9770693909</v>
      </c>
      <c r="AP1535" s="2535">
        <v>5793708.5456745382</v>
      </c>
    </row>
    <row r="1536" spans="1:42" ht="14.5">
      <c r="A1536" s="1693">
        <v>1</v>
      </c>
      <c r="B1536" s="616">
        <v>1</v>
      </c>
      <c r="C1536" s="1693">
        <v>1</v>
      </c>
      <c r="D1536" s="616">
        <v>1</v>
      </c>
      <c r="E1536" s="1693">
        <v>1</v>
      </c>
      <c r="F1536" s="616">
        <v>1</v>
      </c>
      <c r="G1536" s="1693">
        <v>1519</v>
      </c>
      <c r="H1536" s="616">
        <v>1</v>
      </c>
      <c r="K1536" s="69"/>
      <c r="L1536"/>
      <c r="M1536" s="1050"/>
      <c r="N1536" s="1051"/>
      <c r="O1536" s="750"/>
      <c r="P1536" s="1055" t="s">
        <v>1155</v>
      </c>
      <c r="Q1536" s="1055"/>
      <c r="R1536" s="1056"/>
      <c r="S1536" s="213"/>
      <c r="T1536" s="213"/>
      <c r="U1536" s="213"/>
      <c r="V1536" s="213"/>
      <c r="W1536" s="2481"/>
      <c r="X1536" s="2529">
        <v>155526.45909376343</v>
      </c>
      <c r="Y1536" s="2529">
        <v>109347.451710211</v>
      </c>
      <c r="Z1536" s="2529">
        <v>121141.19871950368</v>
      </c>
      <c r="AA1536" s="2529">
        <v>104584.18793236327</v>
      </c>
      <c r="AB1536" s="2529">
        <v>119764.17985136624</v>
      </c>
      <c r="AC1536" s="2529">
        <v>135016.63044793974</v>
      </c>
      <c r="AD1536" s="2529">
        <v>93927.913878611347</v>
      </c>
      <c r="AE1536" s="2529">
        <v>86808.417661254265</v>
      </c>
      <c r="AF1536" s="2529">
        <v>127741.91812301514</v>
      </c>
      <c r="AG1536" s="2529">
        <v>96465.60453560084</v>
      </c>
      <c r="AH1536" s="2529">
        <v>115735.71517566041</v>
      </c>
      <c r="AI1536" s="2529">
        <v>131572.05494524882</v>
      </c>
      <c r="AJ1536" s="2529">
        <v>386015.10952347808</v>
      </c>
      <c r="AK1536" s="2529">
        <v>359364.99823166925</v>
      </c>
      <c r="AL1536" s="2529">
        <v>308478.24966288079</v>
      </c>
      <c r="AM1536" s="2529">
        <v>343773.37465651007</v>
      </c>
      <c r="AN1536" s="2529">
        <v>745380.10775514739</v>
      </c>
      <c r="AO1536" s="2529">
        <v>652251.62431939086</v>
      </c>
      <c r="AP1536" s="2529">
        <v>1397631.7320745382</v>
      </c>
    </row>
    <row r="1537" spans="1:42" ht="14.5">
      <c r="A1537" s="1693">
        <v>1</v>
      </c>
      <c r="B1537" s="616">
        <v>1</v>
      </c>
      <c r="C1537" s="1693">
        <v>1</v>
      </c>
      <c r="D1537" s="616">
        <v>1</v>
      </c>
      <c r="E1537" s="1693">
        <v>1</v>
      </c>
      <c r="F1537" s="616">
        <v>1</v>
      </c>
      <c r="G1537" s="1693">
        <v>1520</v>
      </c>
      <c r="H1537" s="616">
        <v>1</v>
      </c>
      <c r="K1537" s="69"/>
      <c r="L1537"/>
      <c r="M1537" s="1050"/>
      <c r="N1537" s="1051"/>
      <c r="O1537" s="750"/>
      <c r="P1537" s="749"/>
      <c r="Q1537" s="749" t="s">
        <v>1018</v>
      </c>
      <c r="W1537" s="1899"/>
      <c r="X1537" s="579">
        <v>136296.79177370094</v>
      </c>
      <c r="Y1537" s="579">
        <v>93901.223095961002</v>
      </c>
      <c r="Z1537" s="579">
        <v>106176.05949560784</v>
      </c>
      <c r="AA1537" s="579">
        <v>88024.850073529931</v>
      </c>
      <c r="AB1537" s="579">
        <v>105907.15038305374</v>
      </c>
      <c r="AC1537" s="579">
        <v>119108.4877460439</v>
      </c>
      <c r="AD1537" s="579">
        <v>85889.530417361355</v>
      </c>
      <c r="AE1537" s="579">
        <v>77863.394590441763</v>
      </c>
      <c r="AF1537" s="579">
        <v>103826.72595236932</v>
      </c>
      <c r="AG1537" s="579">
        <v>85771.829438850837</v>
      </c>
      <c r="AH1537" s="579">
        <v>94210.60909526459</v>
      </c>
      <c r="AI1537" s="579">
        <v>112585.637028353</v>
      </c>
      <c r="AJ1537" s="579">
        <v>336374.0743652698</v>
      </c>
      <c r="AK1537" s="579">
        <v>313040.48820262757</v>
      </c>
      <c r="AL1537" s="579">
        <v>267579.65096017247</v>
      </c>
      <c r="AM1537" s="579">
        <v>292568.07556246844</v>
      </c>
      <c r="AN1537" s="579">
        <v>649414.56256789737</v>
      </c>
      <c r="AO1537" s="579">
        <v>560147.72652264091</v>
      </c>
      <c r="AP1537" s="579">
        <v>1209562.2890905384</v>
      </c>
    </row>
    <row r="1538" spans="1:42" ht="14.5">
      <c r="A1538" s="1693">
        <v>1</v>
      </c>
      <c r="B1538" s="616">
        <v>1</v>
      </c>
      <c r="C1538" s="1693">
        <v>1</v>
      </c>
      <c r="D1538" s="616">
        <v>1</v>
      </c>
      <c r="E1538" s="1693">
        <v>1</v>
      </c>
      <c r="F1538" s="616">
        <v>1</v>
      </c>
      <c r="G1538" s="1693">
        <v>1521</v>
      </c>
      <c r="H1538" s="616">
        <v>1</v>
      </c>
      <c r="K1538" s="69"/>
      <c r="L1538"/>
      <c r="M1538" s="1050"/>
      <c r="N1538" s="1051"/>
      <c r="O1538" s="750"/>
      <c r="P1538" s="749"/>
      <c r="Q1538" s="749" t="s">
        <v>1019</v>
      </c>
      <c r="W1538" s="1899"/>
      <c r="X1538" s="579">
        <v>19229.667320062494</v>
      </c>
      <c r="Y1538" s="579">
        <v>15446.22861425</v>
      </c>
      <c r="Z1538" s="579">
        <v>14965.139223895832</v>
      </c>
      <c r="AA1538" s="579">
        <v>16559.337858833336</v>
      </c>
      <c r="AB1538" s="579">
        <v>13857.029468312501</v>
      </c>
      <c r="AC1538" s="579">
        <v>15908.142701895831</v>
      </c>
      <c r="AD1538" s="579">
        <v>8038.3834612499986</v>
      </c>
      <c r="AE1538" s="579">
        <v>8945.0230708124982</v>
      </c>
      <c r="AF1538" s="579">
        <v>23915.192170645831</v>
      </c>
      <c r="AG1538" s="579">
        <v>10693.775096749998</v>
      </c>
      <c r="AH1538" s="579">
        <v>21525.106080395832</v>
      </c>
      <c r="AI1538" s="579">
        <v>18986.417916895836</v>
      </c>
      <c r="AJ1538" s="579">
        <v>49641.035158208324</v>
      </c>
      <c r="AK1538" s="579">
        <v>46324.510029041674</v>
      </c>
      <c r="AL1538" s="579">
        <v>40898.598702708332</v>
      </c>
      <c r="AM1538" s="579">
        <v>51205.299094041664</v>
      </c>
      <c r="AN1538" s="579">
        <v>95965.545187249998</v>
      </c>
      <c r="AO1538" s="579">
        <v>92103.897796749996</v>
      </c>
      <c r="AP1538" s="579">
        <v>188069.44298399999</v>
      </c>
    </row>
    <row r="1539" spans="1:42" ht="14.5">
      <c r="A1539" s="1693">
        <v>1</v>
      </c>
      <c r="B1539" s="616">
        <v>1</v>
      </c>
      <c r="C1539" s="1693">
        <v>1</v>
      </c>
      <c r="D1539" s="616">
        <v>1</v>
      </c>
      <c r="E1539" s="1693">
        <v>1</v>
      </c>
      <c r="F1539" s="616">
        <v>1</v>
      </c>
      <c r="G1539" s="1693">
        <v>1522</v>
      </c>
      <c r="H1539" s="616">
        <v>1</v>
      </c>
      <c r="K1539" s="69"/>
      <c r="L1539"/>
      <c r="M1539" s="1050"/>
      <c r="N1539" s="1051"/>
      <c r="O1539" s="750"/>
      <c r="P1539" s="1055" t="s">
        <v>1157</v>
      </c>
      <c r="Q1539" s="1055"/>
      <c r="R1539" s="1056"/>
      <c r="S1539" s="213"/>
      <c r="T1539" s="213"/>
      <c r="U1539" s="213"/>
      <c r="V1539" s="213"/>
      <c r="W1539" s="2481"/>
      <c r="X1539" s="2529">
        <v>441263.29359999998</v>
      </c>
      <c r="Y1539" s="2529">
        <v>349563.29359999998</v>
      </c>
      <c r="Z1539" s="2529">
        <v>349563.29359999998</v>
      </c>
      <c r="AA1539" s="2529">
        <v>347047.19334999996</v>
      </c>
      <c r="AB1539" s="2529">
        <v>347047.19334999996</v>
      </c>
      <c r="AC1539" s="2529">
        <v>347047.19334999996</v>
      </c>
      <c r="AD1539" s="2529">
        <v>367196.11625000002</v>
      </c>
      <c r="AE1539" s="2529">
        <v>367196.11625000002</v>
      </c>
      <c r="AF1539" s="2529">
        <v>367196.11625000002</v>
      </c>
      <c r="AG1539" s="2529">
        <v>367985.66800000001</v>
      </c>
      <c r="AH1539" s="2529">
        <v>367985.66800000001</v>
      </c>
      <c r="AI1539" s="2529">
        <v>367985.66800000001</v>
      </c>
      <c r="AJ1539" s="2529">
        <v>1140389.8807999999</v>
      </c>
      <c r="AK1539" s="2529">
        <v>1041141.5800499999</v>
      </c>
      <c r="AL1539" s="2529">
        <v>1101588.3487500001</v>
      </c>
      <c r="AM1539" s="2529">
        <v>1103957.004</v>
      </c>
      <c r="AN1539" s="2529">
        <v>2181531.4608499999</v>
      </c>
      <c r="AO1539" s="2529">
        <v>2205545.3527500001</v>
      </c>
      <c r="AP1539" s="2529">
        <v>4387076.8136</v>
      </c>
    </row>
    <row r="1540" spans="1:42" ht="14.5">
      <c r="A1540" s="1693">
        <v>1</v>
      </c>
      <c r="B1540" s="616">
        <v>1</v>
      </c>
      <c r="C1540" s="1693">
        <v>1</v>
      </c>
      <c r="D1540" s="616">
        <v>1</v>
      </c>
      <c r="E1540" s="1693">
        <v>1</v>
      </c>
      <c r="F1540" s="616">
        <v>1</v>
      </c>
      <c r="G1540" s="1693">
        <v>1523</v>
      </c>
      <c r="H1540" s="616">
        <v>1</v>
      </c>
      <c r="K1540" s="69"/>
      <c r="L1540"/>
      <c r="M1540" s="1050"/>
      <c r="N1540" s="1051"/>
      <c r="O1540" s="750"/>
      <c r="P1540" s="749"/>
      <c r="Q1540" s="749" t="s">
        <v>1018</v>
      </c>
      <c r="W1540" s="1899"/>
      <c r="X1540" s="579">
        <v>391664.80959999998</v>
      </c>
      <c r="Y1540" s="579">
        <v>311664.80959999998</v>
      </c>
      <c r="Z1540" s="579">
        <v>311664.80959999998</v>
      </c>
      <c r="AA1540" s="579">
        <v>308359.15759999998</v>
      </c>
      <c r="AB1540" s="579">
        <v>308359.15759999998</v>
      </c>
      <c r="AC1540" s="579">
        <v>308359.15759999998</v>
      </c>
      <c r="AD1540" s="579">
        <v>328878.97700000001</v>
      </c>
      <c r="AE1540" s="579">
        <v>328878.97700000001</v>
      </c>
      <c r="AF1540" s="579">
        <v>328878.97700000001</v>
      </c>
      <c r="AG1540" s="579">
        <v>328878.97700000001</v>
      </c>
      <c r="AH1540" s="579">
        <v>328878.97700000001</v>
      </c>
      <c r="AI1540" s="579">
        <v>328878.97700000001</v>
      </c>
      <c r="AJ1540" s="579">
        <v>1014994.4287999999</v>
      </c>
      <c r="AK1540" s="579">
        <v>925077.47279999987</v>
      </c>
      <c r="AL1540" s="579">
        <v>986636.9310000001</v>
      </c>
      <c r="AM1540" s="579">
        <v>986636.9310000001</v>
      </c>
      <c r="AN1540" s="579">
        <v>1940071.9015999998</v>
      </c>
      <c r="AO1540" s="579">
        <v>1973273.8620000002</v>
      </c>
      <c r="AP1540" s="579">
        <v>3913345.7636000002</v>
      </c>
    </row>
    <row r="1541" spans="1:42" ht="14.5">
      <c r="A1541" s="1693">
        <v>1</v>
      </c>
      <c r="B1541" s="616">
        <v>1</v>
      </c>
      <c r="C1541" s="1693">
        <v>1</v>
      </c>
      <c r="D1541" s="616">
        <v>1</v>
      </c>
      <c r="E1541" s="1693">
        <v>1</v>
      </c>
      <c r="F1541" s="616">
        <v>1</v>
      </c>
      <c r="G1541" s="1693">
        <v>1524</v>
      </c>
      <c r="H1541" s="616">
        <v>1</v>
      </c>
      <c r="K1541" s="69"/>
      <c r="L1541"/>
      <c r="M1541" s="1050"/>
      <c r="N1541" s="1051"/>
      <c r="O1541" s="750"/>
      <c r="P1541" s="749"/>
      <c r="Q1541" s="749" t="s">
        <v>1019</v>
      </c>
      <c r="W1541" s="1899"/>
      <c r="X1541" s="579">
        <v>49598.483999999997</v>
      </c>
      <c r="Y1541" s="579">
        <v>37898.483999999997</v>
      </c>
      <c r="Z1541" s="579">
        <v>37898.483999999997</v>
      </c>
      <c r="AA1541" s="579">
        <v>38688.035750000003</v>
      </c>
      <c r="AB1541" s="579">
        <v>38688.035750000003</v>
      </c>
      <c r="AC1541" s="579">
        <v>38688.035750000003</v>
      </c>
      <c r="AD1541" s="579">
        <v>38317.13925</v>
      </c>
      <c r="AE1541" s="579">
        <v>38317.13925</v>
      </c>
      <c r="AF1541" s="579">
        <v>38317.13925</v>
      </c>
      <c r="AG1541" s="579">
        <v>39106.690999999999</v>
      </c>
      <c r="AH1541" s="579">
        <v>39106.690999999999</v>
      </c>
      <c r="AI1541" s="579">
        <v>39106.690999999999</v>
      </c>
      <c r="AJ1541" s="579">
        <v>125395.45199999999</v>
      </c>
      <c r="AK1541" s="579">
        <v>116064.10725</v>
      </c>
      <c r="AL1541" s="579">
        <v>114951.41774999999</v>
      </c>
      <c r="AM1541" s="579">
        <v>117320.073</v>
      </c>
      <c r="AN1541" s="579">
        <v>241459.55924999999</v>
      </c>
      <c r="AO1541" s="579">
        <v>232271.49075</v>
      </c>
      <c r="AP1541" s="579">
        <v>473731.05</v>
      </c>
    </row>
    <row r="1542" spans="1:42" ht="14.5">
      <c r="A1542" s="1693">
        <v>1</v>
      </c>
      <c r="B1542" s="616">
        <v>1</v>
      </c>
      <c r="C1542" s="1693">
        <v>1</v>
      </c>
      <c r="D1542" s="616">
        <v>1</v>
      </c>
      <c r="E1542" s="1693">
        <v>1</v>
      </c>
      <c r="F1542" s="616">
        <v>1</v>
      </c>
      <c r="G1542" s="1693">
        <v>1525</v>
      </c>
      <c r="H1542" s="616">
        <v>1</v>
      </c>
      <c r="K1542" s="69"/>
      <c r="L1542"/>
      <c r="M1542" s="1050"/>
      <c r="N1542" s="1051"/>
      <c r="O1542" s="750"/>
      <c r="P1542" s="1055" t="s">
        <v>24</v>
      </c>
      <c r="Q1542" s="1055"/>
      <c r="R1542" s="1056"/>
      <c r="S1542" s="213"/>
      <c r="T1542" s="213"/>
      <c r="U1542" s="213"/>
      <c r="V1542" s="213"/>
      <c r="W1542" s="2481"/>
      <c r="X1542" s="2529">
        <v>750</v>
      </c>
      <c r="Y1542" s="2529">
        <v>750</v>
      </c>
      <c r="Z1542" s="2529">
        <v>750</v>
      </c>
      <c r="AA1542" s="2529">
        <v>0</v>
      </c>
      <c r="AB1542" s="2529">
        <v>750</v>
      </c>
      <c r="AC1542" s="2529">
        <v>750</v>
      </c>
      <c r="AD1542" s="2529">
        <v>750</v>
      </c>
      <c r="AE1542" s="2529">
        <v>750</v>
      </c>
      <c r="AF1542" s="2529">
        <v>750</v>
      </c>
      <c r="AG1542" s="2529">
        <v>750</v>
      </c>
      <c r="AH1542" s="2529">
        <v>750</v>
      </c>
      <c r="AI1542" s="2529">
        <v>1500</v>
      </c>
      <c r="AJ1542" s="2529">
        <v>2250</v>
      </c>
      <c r="AK1542" s="2529">
        <v>1500</v>
      </c>
      <c r="AL1542" s="2529">
        <v>2250</v>
      </c>
      <c r="AM1542" s="2529">
        <v>3000</v>
      </c>
      <c r="AN1542" s="2529">
        <v>3750</v>
      </c>
      <c r="AO1542" s="2529">
        <v>5250</v>
      </c>
      <c r="AP1542" s="2529">
        <v>9000</v>
      </c>
    </row>
    <row r="1543" spans="1:42" ht="14.5">
      <c r="A1543" s="1693">
        <v>1</v>
      </c>
      <c r="B1543" s="616">
        <v>1</v>
      </c>
      <c r="C1543" s="1693">
        <v>1</v>
      </c>
      <c r="D1543" s="616">
        <v>1</v>
      </c>
      <c r="E1543" s="1693">
        <v>1</v>
      </c>
      <c r="F1543" s="616">
        <v>1</v>
      </c>
      <c r="G1543" s="1693">
        <v>1526</v>
      </c>
      <c r="H1543" s="616">
        <v>1</v>
      </c>
      <c r="K1543" s="69"/>
      <c r="L1543"/>
      <c r="M1543" s="1050"/>
      <c r="N1543" s="1051"/>
      <c r="O1543" s="750"/>
      <c r="P1543" s="1055" t="s">
        <v>2</v>
      </c>
      <c r="Q1543" s="1055"/>
      <c r="R1543" s="1056"/>
      <c r="S1543" s="213"/>
      <c r="T1543" s="213"/>
      <c r="U1543" s="213"/>
      <c r="V1543" s="213"/>
      <c r="W1543" s="2481"/>
      <c r="X1543" s="2529">
        <v>0</v>
      </c>
      <c r="Y1543" s="2529">
        <v>0</v>
      </c>
      <c r="Z1543" s="2529">
        <v>0</v>
      </c>
      <c r="AA1543" s="2529">
        <v>0</v>
      </c>
      <c r="AB1543" s="2529">
        <v>0</v>
      </c>
      <c r="AC1543" s="2529">
        <v>0</v>
      </c>
      <c r="AD1543" s="2529">
        <v>0</v>
      </c>
      <c r="AE1543" s="2529">
        <v>0</v>
      </c>
      <c r="AF1543" s="2529">
        <v>0</v>
      </c>
      <c r="AG1543" s="2529">
        <v>0</v>
      </c>
      <c r="AH1543" s="2529">
        <v>0</v>
      </c>
      <c r="AI1543" s="2529">
        <v>0</v>
      </c>
      <c r="AJ1543" s="2529">
        <v>0</v>
      </c>
      <c r="AK1543" s="2529">
        <v>0</v>
      </c>
      <c r="AL1543" s="2529">
        <v>0</v>
      </c>
      <c r="AM1543" s="2529">
        <v>0</v>
      </c>
      <c r="AN1543" s="2529">
        <v>0</v>
      </c>
      <c r="AO1543" s="2529">
        <v>0</v>
      </c>
      <c r="AP1543" s="2529">
        <v>0</v>
      </c>
    </row>
    <row r="1544" spans="1:42" ht="14.5">
      <c r="A1544" s="1693">
        <v>1</v>
      </c>
      <c r="B1544" s="616">
        <v>1</v>
      </c>
      <c r="C1544" s="1693">
        <v>1</v>
      </c>
      <c r="D1544" s="616">
        <v>1</v>
      </c>
      <c r="E1544" s="1693">
        <v>1</v>
      </c>
      <c r="F1544" s="616">
        <v>1</v>
      </c>
      <c r="G1544" s="1693">
        <v>1527</v>
      </c>
      <c r="H1544" s="616">
        <v>1</v>
      </c>
      <c r="K1544" s="69"/>
      <c r="L1544"/>
      <c r="M1544" s="1050"/>
      <c r="N1544" s="1051"/>
      <c r="O1544" s="1058" t="s">
        <v>1208</v>
      </c>
      <c r="P1544" s="1059"/>
      <c r="Q1544" s="1059"/>
      <c r="R1544" s="1060"/>
      <c r="S1544" s="1061"/>
      <c r="T1544" s="1061"/>
      <c r="U1544" s="1061"/>
      <c r="V1544" s="1061"/>
      <c r="W1544" s="2534"/>
      <c r="X1544" s="2535">
        <v>380131.42837893113</v>
      </c>
      <c r="Y1544" s="2535">
        <v>329758.80325132806</v>
      </c>
      <c r="Z1544" s="2535">
        <v>340561.44732904655</v>
      </c>
      <c r="AA1544" s="2535">
        <v>325891.54621609615</v>
      </c>
      <c r="AB1544" s="2535">
        <v>339500.01173154585</v>
      </c>
      <c r="AC1544" s="2535">
        <v>352664.1497578884</v>
      </c>
      <c r="AD1544" s="2535">
        <v>339054.52457621414</v>
      </c>
      <c r="AE1544" s="2535">
        <v>333258.30146867858</v>
      </c>
      <c r="AF1544" s="2535">
        <v>364675.99174551194</v>
      </c>
      <c r="AG1544" s="2535">
        <v>339997.1069279731</v>
      </c>
      <c r="AH1544" s="2535">
        <v>355272.28844125581</v>
      </c>
      <c r="AI1544" s="2535">
        <v>366483.05611225346</v>
      </c>
      <c r="AJ1544" s="2535">
        <v>1050451.6789593059</v>
      </c>
      <c r="AK1544" s="2535">
        <v>1018055.7077055303</v>
      </c>
      <c r="AL1544" s="2535">
        <v>1036988.8177904047</v>
      </c>
      <c r="AM1544" s="2535">
        <v>1061752.4514814825</v>
      </c>
      <c r="AN1544" s="2535">
        <v>2068507.3866648362</v>
      </c>
      <c r="AO1544" s="2535">
        <v>2098741.2692718869</v>
      </c>
      <c r="AP1544" s="2535">
        <v>4167248.6559367231</v>
      </c>
    </row>
    <row r="1545" spans="1:42" ht="14.5">
      <c r="A1545" s="1693">
        <v>1</v>
      </c>
      <c r="B1545" s="616">
        <v>1</v>
      </c>
      <c r="C1545" s="1693">
        <v>1</v>
      </c>
      <c r="D1545" s="616">
        <v>1</v>
      </c>
      <c r="E1545" s="1693">
        <v>1</v>
      </c>
      <c r="F1545" s="616">
        <v>1</v>
      </c>
      <c r="G1545" s="1693">
        <v>1528</v>
      </c>
      <c r="H1545" s="616">
        <v>1</v>
      </c>
      <c r="K1545" s="69"/>
      <c r="L1545"/>
      <c r="M1545" s="1050"/>
      <c r="N1545" s="1051"/>
      <c r="O1545" s="750"/>
      <c r="P1545" s="1055" t="s">
        <v>1155</v>
      </c>
      <c r="Q1545" s="1055"/>
      <c r="R1545" s="1056"/>
      <c r="S1545" s="213"/>
      <c r="T1545" s="213"/>
      <c r="U1545" s="213"/>
      <c r="V1545" s="213"/>
      <c r="W1545" s="2481"/>
      <c r="X1545" s="2529">
        <v>99213.664634261979</v>
      </c>
      <c r="Y1545" s="2529">
        <v>73441.899706848897</v>
      </c>
      <c r="Z1545" s="2529">
        <v>80817.197421436547</v>
      </c>
      <c r="AA1545" s="2529">
        <v>70272.227498386856</v>
      </c>
      <c r="AB1545" s="2529">
        <v>80348.228344759715</v>
      </c>
      <c r="AC1545" s="2529">
        <v>89710.634235361882</v>
      </c>
      <c r="AD1545" s="2529">
        <v>62997.644859304753</v>
      </c>
      <c r="AE1545" s="2529">
        <v>57967.447613272692</v>
      </c>
      <c r="AF1545" s="2529">
        <v>86053.635254878885</v>
      </c>
      <c r="AG1545" s="2529">
        <v>64796.653629507287</v>
      </c>
      <c r="AH1545" s="2529">
        <v>77920.385734811513</v>
      </c>
      <c r="AI1545" s="2529">
        <v>88155.178686833809</v>
      </c>
      <c r="AJ1545" s="2529">
        <v>253472.76176254742</v>
      </c>
      <c r="AK1545" s="2529">
        <v>240331.09007850845</v>
      </c>
      <c r="AL1545" s="2529">
        <v>207018.72772745631</v>
      </c>
      <c r="AM1545" s="2529">
        <v>230872.21805115259</v>
      </c>
      <c r="AN1545" s="2529">
        <v>493803.8518410559</v>
      </c>
      <c r="AO1545" s="2529">
        <v>437890.9457786089</v>
      </c>
      <c r="AP1545" s="2529">
        <v>931694.79761966481</v>
      </c>
    </row>
    <row r="1546" spans="1:42" ht="14.5">
      <c r="A1546" s="1693">
        <v>1</v>
      </c>
      <c r="B1546" s="616">
        <v>1</v>
      </c>
      <c r="C1546" s="1693">
        <v>1</v>
      </c>
      <c r="D1546" s="616">
        <v>1</v>
      </c>
      <c r="E1546" s="1693">
        <v>1</v>
      </c>
      <c r="F1546" s="616">
        <v>1</v>
      </c>
      <c r="G1546" s="1693">
        <v>1529</v>
      </c>
      <c r="H1546" s="616">
        <v>1</v>
      </c>
      <c r="K1546" s="69"/>
      <c r="L1546"/>
      <c r="M1546" s="1050"/>
      <c r="N1546" s="1051"/>
      <c r="O1546" s="750"/>
      <c r="P1546" s="749"/>
      <c r="Q1546" s="749" t="s">
        <v>1018</v>
      </c>
      <c r="W1546" s="1899"/>
      <c r="X1546" s="579">
        <v>85030.926563427551</v>
      </c>
      <c r="Y1546" s="579">
        <v>61505.145593049441</v>
      </c>
      <c r="Z1546" s="579">
        <v>69521.720752291702</v>
      </c>
      <c r="AA1546" s="579">
        <v>58103.736836265729</v>
      </c>
      <c r="AB1546" s="579">
        <v>69410.219587693777</v>
      </c>
      <c r="AC1546" s="579">
        <v>77707.381459571028</v>
      </c>
      <c r="AD1546" s="579">
        <v>56652.981905185756</v>
      </c>
      <c r="AE1546" s="579">
        <v>51092.820514653009</v>
      </c>
      <c r="AF1546" s="579">
        <v>68145.58264860732</v>
      </c>
      <c r="AG1546" s="579">
        <v>56495.472470519795</v>
      </c>
      <c r="AH1546" s="579">
        <v>61833.044568994803</v>
      </c>
      <c r="AI1546" s="579">
        <v>73742.185263870808</v>
      </c>
      <c r="AJ1546" s="579">
        <v>216057.79290876869</v>
      </c>
      <c r="AK1546" s="579">
        <v>205221.33788353053</v>
      </c>
      <c r="AL1546" s="579">
        <v>175891.38506844608</v>
      </c>
      <c r="AM1546" s="579">
        <v>192070.70230338542</v>
      </c>
      <c r="AN1546" s="579">
        <v>421279.13079229923</v>
      </c>
      <c r="AO1546" s="579">
        <v>367962.08737183153</v>
      </c>
      <c r="AP1546" s="579">
        <v>789241.21816413081</v>
      </c>
    </row>
    <row r="1547" spans="1:42" ht="14.5">
      <c r="A1547" s="1693">
        <v>1</v>
      </c>
      <c r="B1547" s="616">
        <v>1</v>
      </c>
      <c r="C1547" s="1693">
        <v>1</v>
      </c>
      <c r="D1547" s="616">
        <v>1</v>
      </c>
      <c r="E1547" s="1693">
        <v>1</v>
      </c>
      <c r="F1547" s="616">
        <v>1</v>
      </c>
      <c r="G1547" s="1693">
        <v>1530</v>
      </c>
      <c r="H1547" s="616">
        <v>1</v>
      </c>
      <c r="K1547" s="69"/>
      <c r="L1547"/>
      <c r="M1547" s="1050"/>
      <c r="N1547" s="1051"/>
      <c r="O1547" s="750"/>
      <c r="P1547" s="749"/>
      <c r="Q1547" s="749" t="s">
        <v>1019</v>
      </c>
      <c r="W1547" s="1899"/>
      <c r="X1547" s="579">
        <v>14182.738070834432</v>
      </c>
      <c r="Y1547" s="579">
        <v>11936.754113799461</v>
      </c>
      <c r="Z1547" s="579">
        <v>11295.476669144853</v>
      </c>
      <c r="AA1547" s="579">
        <v>12168.49066212113</v>
      </c>
      <c r="AB1547" s="579">
        <v>10938.008757065938</v>
      </c>
      <c r="AC1547" s="579">
        <v>12003.252775790852</v>
      </c>
      <c r="AD1547" s="579">
        <v>6344.6629541189977</v>
      </c>
      <c r="AE1547" s="579">
        <v>6874.6270986196851</v>
      </c>
      <c r="AF1547" s="579">
        <v>17908.052606271565</v>
      </c>
      <c r="AG1547" s="579">
        <v>8301.181158987496</v>
      </c>
      <c r="AH1547" s="579">
        <v>16087.341165816706</v>
      </c>
      <c r="AI1547" s="579">
        <v>14412.993422963002</v>
      </c>
      <c r="AJ1547" s="579">
        <v>37414.968853778744</v>
      </c>
      <c r="AK1547" s="579">
        <v>35109.752194977918</v>
      </c>
      <c r="AL1547" s="579">
        <v>31127.342659010246</v>
      </c>
      <c r="AM1547" s="579">
        <v>38801.515747767204</v>
      </c>
      <c r="AN1547" s="579">
        <v>72524.721048756663</v>
      </c>
      <c r="AO1547" s="579">
        <v>69928.85840677745</v>
      </c>
      <c r="AP1547" s="579">
        <v>142453.57945553411</v>
      </c>
    </row>
    <row r="1548" spans="1:42" ht="14.5">
      <c r="A1548" s="1693">
        <v>1</v>
      </c>
      <c r="B1548" s="616">
        <v>1</v>
      </c>
      <c r="C1548" s="1693">
        <v>1</v>
      </c>
      <c r="D1548" s="616">
        <v>1</v>
      </c>
      <c r="E1548" s="1693">
        <v>1</v>
      </c>
      <c r="F1548" s="616">
        <v>1</v>
      </c>
      <c r="G1548" s="1693">
        <v>1531</v>
      </c>
      <c r="H1548" s="616">
        <v>1</v>
      </c>
      <c r="K1548" s="69"/>
      <c r="L1548"/>
      <c r="M1548" s="1050"/>
      <c r="N1548" s="1051"/>
      <c r="O1548" s="750"/>
      <c r="P1548" s="1055" t="s">
        <v>1157</v>
      </c>
      <c r="Q1548" s="1055"/>
      <c r="R1548" s="1056"/>
      <c r="S1548" s="213"/>
      <c r="T1548" s="213"/>
      <c r="U1548" s="213"/>
      <c r="V1548" s="213"/>
      <c r="W1548" s="2481"/>
      <c r="X1548" s="2529">
        <v>229437.21029852424</v>
      </c>
      <c r="Y1548" s="2529">
        <v>225390.09779827058</v>
      </c>
      <c r="Z1548" s="2529">
        <v>226289.26454471567</v>
      </c>
      <c r="AA1548" s="2529">
        <v>224754.62805777133</v>
      </c>
      <c r="AB1548" s="2529">
        <v>224754.62805777133</v>
      </c>
      <c r="AC1548" s="2529">
        <v>224754.62805777133</v>
      </c>
      <c r="AD1548" s="2529">
        <v>246658.06872666979</v>
      </c>
      <c r="AE1548" s="2529">
        <v>246658.06872666979</v>
      </c>
      <c r="AF1548" s="2529">
        <v>246658.06872666979</v>
      </c>
      <c r="AG1548" s="2529">
        <v>247231.57641234479</v>
      </c>
      <c r="AH1548" s="2529">
        <v>247231.57641234479</v>
      </c>
      <c r="AI1548" s="2529">
        <v>247231.57641234479</v>
      </c>
      <c r="AJ1548" s="2529">
        <v>681116.57264151052</v>
      </c>
      <c r="AK1548" s="2529">
        <v>674263.88417331397</v>
      </c>
      <c r="AL1548" s="2529">
        <v>739974.20618000941</v>
      </c>
      <c r="AM1548" s="2529">
        <v>741694.72923703433</v>
      </c>
      <c r="AN1548" s="2529">
        <v>1355380.4568148246</v>
      </c>
      <c r="AO1548" s="2529">
        <v>1481668.9354170437</v>
      </c>
      <c r="AP1548" s="2529">
        <v>2837049.3922318686</v>
      </c>
    </row>
    <row r="1549" spans="1:42" ht="14.5">
      <c r="A1549" s="1693">
        <v>1</v>
      </c>
      <c r="B1549" s="616">
        <v>1</v>
      </c>
      <c r="C1549" s="1693">
        <v>1</v>
      </c>
      <c r="D1549" s="616">
        <v>1</v>
      </c>
      <c r="E1549" s="1693">
        <v>1</v>
      </c>
      <c r="F1549" s="616">
        <v>1</v>
      </c>
      <c r="G1549" s="1693">
        <v>1532</v>
      </c>
      <c r="H1549" s="616">
        <v>1</v>
      </c>
      <c r="K1549" s="69"/>
      <c r="L1549"/>
      <c r="M1549" s="1050"/>
      <c r="N1549" s="1051"/>
      <c r="O1549" s="750"/>
      <c r="P1549" s="749"/>
      <c r="Q1549" s="749" t="s">
        <v>1018</v>
      </c>
      <c r="W1549" s="1899"/>
      <c r="X1549" s="579">
        <v>197126.61147763344</v>
      </c>
      <c r="Y1549" s="579">
        <v>197943.81000693154</v>
      </c>
      <c r="Z1549" s="579">
        <v>198760.89563231566</v>
      </c>
      <c r="AA1549" s="579">
        <v>196652.75145969633</v>
      </c>
      <c r="AB1549" s="579">
        <v>196652.75145969633</v>
      </c>
      <c r="AC1549" s="579">
        <v>196652.75145969633</v>
      </c>
      <c r="AD1549" s="579">
        <v>218242.02460304147</v>
      </c>
      <c r="AE1549" s="579">
        <v>218242.02460304147</v>
      </c>
      <c r="AF1549" s="579">
        <v>218242.02460304147</v>
      </c>
      <c r="AG1549" s="579">
        <v>218242.02460304147</v>
      </c>
      <c r="AH1549" s="579">
        <v>218242.02460304147</v>
      </c>
      <c r="AI1549" s="579">
        <v>218242.02460304147</v>
      </c>
      <c r="AJ1549" s="579">
        <v>593831.31711688067</v>
      </c>
      <c r="AK1549" s="579">
        <v>589958.25437908899</v>
      </c>
      <c r="AL1549" s="579">
        <v>654726.07380912441</v>
      </c>
      <c r="AM1549" s="579">
        <v>654726.07380912441</v>
      </c>
      <c r="AN1549" s="579">
        <v>1183789.5714959698</v>
      </c>
      <c r="AO1549" s="579">
        <v>1309452.1476182488</v>
      </c>
      <c r="AP1549" s="579">
        <v>2493241.7191142188</v>
      </c>
    </row>
    <row r="1550" spans="1:42" ht="14.5">
      <c r="A1550" s="1693">
        <v>1</v>
      </c>
      <c r="B1550" s="616">
        <v>1</v>
      </c>
      <c r="C1550" s="1693">
        <v>1</v>
      </c>
      <c r="D1550" s="616">
        <v>1</v>
      </c>
      <c r="E1550" s="1693">
        <v>1</v>
      </c>
      <c r="F1550" s="616">
        <v>1</v>
      </c>
      <c r="G1550" s="1693">
        <v>1533</v>
      </c>
      <c r="H1550" s="616">
        <v>1</v>
      </c>
      <c r="K1550" s="69"/>
      <c r="L1550"/>
      <c r="M1550" s="1050"/>
      <c r="N1550" s="1051"/>
      <c r="O1550" s="750"/>
      <c r="P1550" s="749"/>
      <c r="Q1550" s="749" t="s">
        <v>1019</v>
      </c>
      <c r="W1550" s="1899"/>
      <c r="X1550" s="579">
        <v>32310.598820890802</v>
      </c>
      <c r="Y1550" s="579">
        <v>27446.28779133904</v>
      </c>
      <c r="Z1550" s="579">
        <v>27528.368912400001</v>
      </c>
      <c r="AA1550" s="579">
        <v>28101.876598075003</v>
      </c>
      <c r="AB1550" s="579">
        <v>28101.876598075003</v>
      </c>
      <c r="AC1550" s="579">
        <v>28101.876598075003</v>
      </c>
      <c r="AD1550" s="579">
        <v>28416.044123628322</v>
      </c>
      <c r="AE1550" s="579">
        <v>28416.044123628322</v>
      </c>
      <c r="AF1550" s="579">
        <v>28416.044123628322</v>
      </c>
      <c r="AG1550" s="579">
        <v>28989.551809303321</v>
      </c>
      <c r="AH1550" s="579">
        <v>28989.551809303321</v>
      </c>
      <c r="AI1550" s="579">
        <v>28989.551809303321</v>
      </c>
      <c r="AJ1550" s="579">
        <v>87285.255524629843</v>
      </c>
      <c r="AK1550" s="579">
        <v>84305.629794225009</v>
      </c>
      <c r="AL1550" s="579">
        <v>85248.132370884967</v>
      </c>
      <c r="AM1550" s="579">
        <v>86968.655427909966</v>
      </c>
      <c r="AN1550" s="579">
        <v>171590.88531885485</v>
      </c>
      <c r="AO1550" s="579">
        <v>172216.78779879492</v>
      </c>
      <c r="AP1550" s="579">
        <v>343807.67311764974</v>
      </c>
    </row>
    <row r="1551" spans="1:42" ht="14.5">
      <c r="A1551" s="1693">
        <v>1</v>
      </c>
      <c r="B1551" s="616">
        <v>1</v>
      </c>
      <c r="C1551" s="1693">
        <v>1</v>
      </c>
      <c r="D1551" s="616">
        <v>1</v>
      </c>
      <c r="E1551" s="1693">
        <v>1</v>
      </c>
      <c r="F1551" s="616">
        <v>1</v>
      </c>
      <c r="G1551" s="1693">
        <v>1534</v>
      </c>
      <c r="H1551" s="616">
        <v>1</v>
      </c>
      <c r="K1551" s="69"/>
      <c r="L1551"/>
      <c r="M1551" s="1050"/>
      <c r="N1551" s="1051"/>
      <c r="O1551" s="750"/>
      <c r="P1551" s="1055" t="s">
        <v>175</v>
      </c>
      <c r="Q1551" s="1055"/>
      <c r="R1551" s="1056"/>
      <c r="S1551" s="213"/>
      <c r="T1551" s="213"/>
      <c r="U1551" s="213"/>
      <c r="V1551" s="213"/>
      <c r="W1551" s="2481"/>
      <c r="X1551" s="2529">
        <v>500.25</v>
      </c>
      <c r="Y1551" s="2529">
        <v>500.25</v>
      </c>
      <c r="Z1551" s="2529">
        <v>500.25</v>
      </c>
      <c r="AA1551" s="2529">
        <v>0</v>
      </c>
      <c r="AB1551" s="2529">
        <v>500.25</v>
      </c>
      <c r="AC1551" s="2529">
        <v>500.25</v>
      </c>
      <c r="AD1551" s="2529">
        <v>500.25</v>
      </c>
      <c r="AE1551" s="2529">
        <v>500.25</v>
      </c>
      <c r="AF1551" s="2529">
        <v>500.25</v>
      </c>
      <c r="AG1551" s="2529">
        <v>500.25</v>
      </c>
      <c r="AH1551" s="2529">
        <v>500.25</v>
      </c>
      <c r="AI1551" s="2529">
        <v>1000.5</v>
      </c>
      <c r="AJ1551" s="2529">
        <v>1500.75</v>
      </c>
      <c r="AK1551" s="2529">
        <v>1000.5</v>
      </c>
      <c r="AL1551" s="2529">
        <v>1500.75</v>
      </c>
      <c r="AM1551" s="2529">
        <v>2001</v>
      </c>
      <c r="AN1551" s="2529">
        <v>2501.25</v>
      </c>
      <c r="AO1551" s="2529">
        <v>3501.75</v>
      </c>
      <c r="AP1551" s="2529">
        <v>6003</v>
      </c>
    </row>
    <row r="1552" spans="1:42" ht="14.5">
      <c r="A1552" s="1693">
        <v>1</v>
      </c>
      <c r="B1552" s="616">
        <v>1</v>
      </c>
      <c r="C1552" s="1693">
        <v>1</v>
      </c>
      <c r="D1552" s="616">
        <v>1</v>
      </c>
      <c r="E1552" s="1693">
        <v>1</v>
      </c>
      <c r="F1552" s="616">
        <v>1</v>
      </c>
      <c r="G1552" s="1693">
        <v>1535</v>
      </c>
      <c r="H1552" s="616">
        <v>1</v>
      </c>
      <c r="K1552" s="69"/>
      <c r="L1552"/>
      <c r="M1552" s="1050"/>
      <c r="N1552" s="1051"/>
      <c r="O1552" s="750"/>
      <c r="P1552" s="1055" t="s">
        <v>1209</v>
      </c>
      <c r="Q1552" s="1055"/>
      <c r="R1552" s="1056"/>
      <c r="S1552" s="213"/>
      <c r="T1552" s="213"/>
      <c r="U1552" s="213"/>
      <c r="V1552" s="213"/>
      <c r="W1552" s="2481"/>
      <c r="X1552" s="2529">
        <v>50980.303446144899</v>
      </c>
      <c r="Y1552" s="2529">
        <v>30426.5557462086</v>
      </c>
      <c r="Z1552" s="2529">
        <v>32954.735362894397</v>
      </c>
      <c r="AA1552" s="2529">
        <v>30864.690659938002</v>
      </c>
      <c r="AB1552" s="2529">
        <v>33896.9053290148</v>
      </c>
      <c r="AC1552" s="2529">
        <v>37698.6374647552</v>
      </c>
      <c r="AD1552" s="2529">
        <v>28898.560990239599</v>
      </c>
      <c r="AE1552" s="2529">
        <v>28132.535128736101</v>
      </c>
      <c r="AF1552" s="2529">
        <v>31464.037763963301</v>
      </c>
      <c r="AG1552" s="2529">
        <v>27468.626886121001</v>
      </c>
      <c r="AH1552" s="2529">
        <v>29620.076294099501</v>
      </c>
      <c r="AI1552" s="2529">
        <v>30095.801013074903</v>
      </c>
      <c r="AJ1552" s="2529">
        <v>114361.5945552479</v>
      </c>
      <c r="AK1552" s="2529">
        <v>102460.233453708</v>
      </c>
      <c r="AL1552" s="2529">
        <v>88495.133882939001</v>
      </c>
      <c r="AM1552" s="2529">
        <v>87184.504193295405</v>
      </c>
      <c r="AN1552" s="2529">
        <v>216821.8280089559</v>
      </c>
      <c r="AO1552" s="2529">
        <v>175679.63807623441</v>
      </c>
      <c r="AP1552" s="2529">
        <v>392501.4660851903</v>
      </c>
    </row>
    <row r="1553" spans="1:42" ht="14.5">
      <c r="A1553" s="1693">
        <v>1</v>
      </c>
      <c r="B1553" s="616">
        <v>1</v>
      </c>
      <c r="C1553" s="1693">
        <v>1</v>
      </c>
      <c r="D1553" s="616">
        <v>1</v>
      </c>
      <c r="E1553" s="1693">
        <v>1</v>
      </c>
      <c r="F1553" s="616">
        <v>1</v>
      </c>
      <c r="G1553" s="1693">
        <v>1536</v>
      </c>
      <c r="H1553" s="616">
        <v>1</v>
      </c>
      <c r="K1553" s="69"/>
      <c r="L1553"/>
      <c r="M1553" s="1050"/>
      <c r="N1553" s="1051"/>
      <c r="O1553" s="1058" t="s">
        <v>1195</v>
      </c>
      <c r="P1553" s="1059"/>
      <c r="Q1553" s="1059"/>
      <c r="R1553" s="1060"/>
      <c r="S1553" s="1061"/>
      <c r="T1553" s="1061"/>
      <c r="U1553" s="1061"/>
      <c r="V1553" s="1061"/>
      <c r="W1553" s="2534"/>
      <c r="X1553" s="2535">
        <v>217408.32431483234</v>
      </c>
      <c r="Y1553" s="2535">
        <v>129901.94205888291</v>
      </c>
      <c r="Z1553" s="2535">
        <v>130893.04499045713</v>
      </c>
      <c r="AA1553" s="2535">
        <v>125739.83506626706</v>
      </c>
      <c r="AB1553" s="2535">
        <v>128061.36146982032</v>
      </c>
      <c r="AC1553" s="2535">
        <v>130149.67404005129</v>
      </c>
      <c r="AD1553" s="2535">
        <v>122819.50555239723</v>
      </c>
      <c r="AE1553" s="2535">
        <v>121496.23244257568</v>
      </c>
      <c r="AF1553" s="2535">
        <v>131012.04262750322</v>
      </c>
      <c r="AG1553" s="2535">
        <v>125204.16560762771</v>
      </c>
      <c r="AH1553" s="2535">
        <v>129199.09473440459</v>
      </c>
      <c r="AI1553" s="2535">
        <v>134574.66683299537</v>
      </c>
      <c r="AJ1553" s="2535">
        <v>478203.31136417238</v>
      </c>
      <c r="AK1553" s="2535">
        <v>383950.87057613867</v>
      </c>
      <c r="AL1553" s="2535">
        <v>375327.78062247613</v>
      </c>
      <c r="AM1553" s="2535">
        <v>388977.92717502767</v>
      </c>
      <c r="AN1553" s="2535">
        <v>862154.1819403111</v>
      </c>
      <c r="AO1553" s="2535">
        <v>764305.7077975038</v>
      </c>
      <c r="AP1553" s="2535">
        <v>1626459.8897378149</v>
      </c>
    </row>
    <row r="1554" spans="1:42" ht="14.5">
      <c r="A1554" s="1693">
        <v>1</v>
      </c>
      <c r="B1554" s="616">
        <v>1</v>
      </c>
      <c r="C1554" s="1693">
        <v>1</v>
      </c>
      <c r="D1554" s="616">
        <v>1</v>
      </c>
      <c r="E1554" s="1693">
        <v>1</v>
      </c>
      <c r="F1554" s="616">
        <v>1</v>
      </c>
      <c r="G1554" s="1693">
        <v>1537</v>
      </c>
      <c r="H1554" s="616">
        <v>1</v>
      </c>
      <c r="K1554" s="69"/>
      <c r="L1554"/>
      <c r="M1554" s="1050"/>
      <c r="N1554" s="1051"/>
      <c r="O1554" s="750"/>
      <c r="P1554" s="1055" t="s">
        <v>1155</v>
      </c>
      <c r="Q1554" s="1055"/>
      <c r="R1554" s="1056"/>
      <c r="S1554" s="213"/>
      <c r="T1554" s="213"/>
      <c r="U1554" s="213"/>
      <c r="V1554" s="213"/>
      <c r="W1554" s="2481"/>
      <c r="X1554" s="2529">
        <v>56312.794459501456</v>
      </c>
      <c r="Y1554" s="2529">
        <v>35905.5520033621</v>
      </c>
      <c r="Z1554" s="2529">
        <v>40324.001298067131</v>
      </c>
      <c r="AA1554" s="2529">
        <v>34311.960433976419</v>
      </c>
      <c r="AB1554" s="2529">
        <v>39415.951506606521</v>
      </c>
      <c r="AC1554" s="2529">
        <v>45305.996212577855</v>
      </c>
      <c r="AD1554" s="2529">
        <v>30930.269019306594</v>
      </c>
      <c r="AE1554" s="2529">
        <v>28840.970047981573</v>
      </c>
      <c r="AF1554" s="2529">
        <v>41688.282868136259</v>
      </c>
      <c r="AG1554" s="2529">
        <v>31668.950906093552</v>
      </c>
      <c r="AH1554" s="2529">
        <v>37815.329440848902</v>
      </c>
      <c r="AI1554" s="2529">
        <v>43416.87625841501</v>
      </c>
      <c r="AJ1554" s="2529">
        <v>132542.34776093069</v>
      </c>
      <c r="AK1554" s="2529">
        <v>119033.9081531608</v>
      </c>
      <c r="AL1554" s="2529">
        <v>101459.52193542442</v>
      </c>
      <c r="AM1554" s="2529">
        <v>112901.15660535746</v>
      </c>
      <c r="AN1554" s="2529">
        <v>251576.25591409148</v>
      </c>
      <c r="AO1554" s="2529">
        <v>214360.6785407819</v>
      </c>
      <c r="AP1554" s="2529">
        <v>465936.93445487338</v>
      </c>
    </row>
    <row r="1555" spans="1:42" ht="14.5">
      <c r="A1555" s="1693">
        <v>1</v>
      </c>
      <c r="B1555" s="616">
        <v>1</v>
      </c>
      <c r="C1555" s="1693">
        <v>1</v>
      </c>
      <c r="D1555" s="616">
        <v>1</v>
      </c>
      <c r="E1555" s="1693">
        <v>1</v>
      </c>
      <c r="F1555" s="616">
        <v>1</v>
      </c>
      <c r="G1555" s="1693">
        <v>1538</v>
      </c>
      <c r="H1555" s="616">
        <v>1</v>
      </c>
      <c r="K1555" s="69"/>
      <c r="L1555"/>
      <c r="M1555" s="1050"/>
      <c r="N1555" s="1051"/>
      <c r="O1555" s="750"/>
      <c r="P1555" s="749"/>
      <c r="Q1555" s="749" t="s">
        <v>1018</v>
      </c>
      <c r="W1555" s="1899"/>
      <c r="X1555" s="579">
        <v>51265.86521027339</v>
      </c>
      <c r="Y1555" s="579">
        <v>32396.077502911561</v>
      </c>
      <c r="Z1555" s="579">
        <v>36654.338743316141</v>
      </c>
      <c r="AA1555" s="579">
        <v>29921.113237264202</v>
      </c>
      <c r="AB1555" s="579">
        <v>36496.930795359964</v>
      </c>
      <c r="AC1555" s="579">
        <v>41401.106286472874</v>
      </c>
      <c r="AD1555" s="579">
        <v>29236.548512175599</v>
      </c>
      <c r="AE1555" s="579">
        <v>26770.574075788754</v>
      </c>
      <c r="AF1555" s="579">
        <v>35681.143303762001</v>
      </c>
      <c r="AG1555" s="579">
        <v>29276.356968331042</v>
      </c>
      <c r="AH1555" s="579">
        <v>32377.564526269787</v>
      </c>
      <c r="AI1555" s="579">
        <v>38843.45176448219</v>
      </c>
      <c r="AJ1555" s="579">
        <v>120316.28145650109</v>
      </c>
      <c r="AK1555" s="579">
        <v>107819.15031909704</v>
      </c>
      <c r="AL1555" s="579">
        <v>91688.265891726362</v>
      </c>
      <c r="AM1555" s="579">
        <v>100497.37325908302</v>
      </c>
      <c r="AN1555" s="579">
        <v>228135.43177559815</v>
      </c>
      <c r="AO1555" s="579">
        <v>192185.63915080938</v>
      </c>
      <c r="AP1555" s="579">
        <v>420321.07092640753</v>
      </c>
    </row>
    <row r="1556" spans="1:42" ht="14.5">
      <c r="A1556" s="1693">
        <v>1</v>
      </c>
      <c r="B1556" s="616">
        <v>1</v>
      </c>
      <c r="C1556" s="1693">
        <v>1</v>
      </c>
      <c r="D1556" s="616">
        <v>1</v>
      </c>
      <c r="E1556" s="1693">
        <v>1</v>
      </c>
      <c r="F1556" s="616">
        <v>1</v>
      </c>
      <c r="G1556" s="1693">
        <v>1539</v>
      </c>
      <c r="H1556" s="616">
        <v>1</v>
      </c>
      <c r="K1556" s="69"/>
      <c r="L1556"/>
      <c r="M1556" s="1050"/>
      <c r="N1556" s="1051"/>
      <c r="O1556" s="750"/>
      <c r="P1556" s="749"/>
      <c r="Q1556" s="749" t="s">
        <v>1019</v>
      </c>
      <c r="W1556" s="1899"/>
      <c r="X1556" s="579">
        <v>5046.929249228062</v>
      </c>
      <c r="Y1556" s="579">
        <v>3509.4745004505385</v>
      </c>
      <c r="Z1556" s="579">
        <v>3669.6625547509793</v>
      </c>
      <c r="AA1556" s="579">
        <v>4390.8471967122059</v>
      </c>
      <c r="AB1556" s="579">
        <v>2919.0207112465632</v>
      </c>
      <c r="AC1556" s="579">
        <v>3904.8899261049792</v>
      </c>
      <c r="AD1556" s="579">
        <v>1693.7205071310009</v>
      </c>
      <c r="AE1556" s="579">
        <v>2070.3959721928131</v>
      </c>
      <c r="AF1556" s="579">
        <v>6007.1395643742653</v>
      </c>
      <c r="AG1556" s="579">
        <v>2392.5939377625018</v>
      </c>
      <c r="AH1556" s="579">
        <v>5437.7649145791256</v>
      </c>
      <c r="AI1556" s="579">
        <v>4573.4244939328346</v>
      </c>
      <c r="AJ1556" s="579">
        <v>12226.06630442958</v>
      </c>
      <c r="AK1556" s="579">
        <v>11214.757834063748</v>
      </c>
      <c r="AL1556" s="579">
        <v>9771.2560436980784</v>
      </c>
      <c r="AM1556" s="579">
        <v>12403.783346274462</v>
      </c>
      <c r="AN1556" s="579">
        <v>23440.824138493328</v>
      </c>
      <c r="AO1556" s="579">
        <v>22175.039389972539</v>
      </c>
      <c r="AP1556" s="579">
        <v>45615.863528465867</v>
      </c>
    </row>
    <row r="1557" spans="1:42" ht="14.5">
      <c r="A1557" s="1693">
        <v>1</v>
      </c>
      <c r="B1557" s="616">
        <v>1</v>
      </c>
      <c r="C1557" s="1693">
        <v>1</v>
      </c>
      <c r="D1557" s="616">
        <v>1</v>
      </c>
      <c r="E1557" s="1693">
        <v>1</v>
      </c>
      <c r="F1557" s="616">
        <v>1</v>
      </c>
      <c r="G1557" s="1693">
        <v>1540</v>
      </c>
      <c r="H1557" s="616">
        <v>1</v>
      </c>
      <c r="K1557" s="69"/>
      <c r="L1557"/>
      <c r="M1557" s="1050"/>
      <c r="N1557" s="1051"/>
      <c r="O1557" s="750"/>
      <c r="P1557" s="1055" t="s">
        <v>1157</v>
      </c>
      <c r="Q1557" s="1055"/>
      <c r="R1557" s="1056"/>
      <c r="S1557" s="213"/>
      <c r="T1557" s="213"/>
      <c r="U1557" s="213"/>
      <c r="V1557" s="213"/>
      <c r="W1557" s="2481"/>
      <c r="X1557" s="2529">
        <v>211826.08330147574</v>
      </c>
      <c r="Y1557" s="2529">
        <v>124173.19580172939</v>
      </c>
      <c r="Z1557" s="2529">
        <v>123274.02905528431</v>
      </c>
      <c r="AA1557" s="2529">
        <v>122292.56529222862</v>
      </c>
      <c r="AB1557" s="2529">
        <v>122292.56529222862</v>
      </c>
      <c r="AC1557" s="2529">
        <v>122292.56529222862</v>
      </c>
      <c r="AD1557" s="2529">
        <v>120538.04752333023</v>
      </c>
      <c r="AE1557" s="2529">
        <v>120538.04752333023</v>
      </c>
      <c r="AF1557" s="2529">
        <v>120538.04752333023</v>
      </c>
      <c r="AG1557" s="2529">
        <v>120754.09158765522</v>
      </c>
      <c r="AH1557" s="2529">
        <v>120754.09158765522</v>
      </c>
      <c r="AI1557" s="2529">
        <v>120754.09158765522</v>
      </c>
      <c r="AJ1557" s="2529">
        <v>459273.30815848941</v>
      </c>
      <c r="AK1557" s="2529">
        <v>366877.6958766859</v>
      </c>
      <c r="AL1557" s="2529">
        <v>361614.14256999071</v>
      </c>
      <c r="AM1557" s="2529">
        <v>362262.27476296562</v>
      </c>
      <c r="AN1557" s="2529">
        <v>826151.00403517531</v>
      </c>
      <c r="AO1557" s="2529">
        <v>723876.41733295633</v>
      </c>
      <c r="AP1557" s="2529">
        <v>1550027.4213681316</v>
      </c>
    </row>
    <row r="1558" spans="1:42" ht="14.5">
      <c r="A1558" s="1693">
        <v>1</v>
      </c>
      <c r="B1558" s="616">
        <v>1</v>
      </c>
      <c r="C1558" s="1693">
        <v>1</v>
      </c>
      <c r="D1558" s="616">
        <v>1</v>
      </c>
      <c r="E1558" s="1693">
        <v>1</v>
      </c>
      <c r="F1558" s="616">
        <v>1</v>
      </c>
      <c r="G1558" s="1693">
        <v>1541</v>
      </c>
      <c r="H1558" s="616">
        <v>1</v>
      </c>
      <c r="K1558" s="69"/>
      <c r="L1558"/>
      <c r="M1558" s="1050"/>
      <c r="N1558" s="1051"/>
      <c r="O1558" s="750"/>
      <c r="P1558" s="749"/>
      <c r="Q1558" s="749" t="s">
        <v>1018</v>
      </c>
      <c r="W1558" s="1899"/>
      <c r="X1558" s="579">
        <v>194538.19812236654</v>
      </c>
      <c r="Y1558" s="579">
        <v>113720.99959306844</v>
      </c>
      <c r="Z1558" s="579">
        <v>112903.91396768432</v>
      </c>
      <c r="AA1558" s="579">
        <v>111706.40614030365</v>
      </c>
      <c r="AB1558" s="579">
        <v>111706.40614030365</v>
      </c>
      <c r="AC1558" s="579">
        <v>111706.40614030365</v>
      </c>
      <c r="AD1558" s="579">
        <v>110636.95239695854</v>
      </c>
      <c r="AE1558" s="579">
        <v>110636.95239695854</v>
      </c>
      <c r="AF1558" s="579">
        <v>110636.95239695854</v>
      </c>
      <c r="AG1558" s="579">
        <v>110636.95239695854</v>
      </c>
      <c r="AH1558" s="579">
        <v>110636.95239695854</v>
      </c>
      <c r="AI1558" s="579">
        <v>110636.95239695854</v>
      </c>
      <c r="AJ1558" s="579">
        <v>421163.11168311926</v>
      </c>
      <c r="AK1558" s="579">
        <v>335119.21842091094</v>
      </c>
      <c r="AL1558" s="579">
        <v>331910.85719087563</v>
      </c>
      <c r="AM1558" s="579">
        <v>331910.85719087563</v>
      </c>
      <c r="AN1558" s="579">
        <v>756282.3301040302</v>
      </c>
      <c r="AO1558" s="579">
        <v>663821.71438175126</v>
      </c>
      <c r="AP1558" s="579">
        <v>1420104.0444857813</v>
      </c>
    </row>
    <row r="1559" spans="1:42" ht="14.5">
      <c r="A1559" s="1693">
        <v>1</v>
      </c>
      <c r="B1559" s="616">
        <v>1</v>
      </c>
      <c r="C1559" s="1693">
        <v>1</v>
      </c>
      <c r="D1559" s="616">
        <v>1</v>
      </c>
      <c r="E1559" s="1693">
        <v>1</v>
      </c>
      <c r="F1559" s="616">
        <v>1</v>
      </c>
      <c r="G1559" s="1693">
        <v>1542</v>
      </c>
      <c r="H1559" s="616">
        <v>1</v>
      </c>
      <c r="K1559" s="69"/>
      <c r="L1559"/>
      <c r="M1559" s="1050"/>
      <c r="N1559" s="1051"/>
      <c r="O1559" s="750"/>
      <c r="P1559" s="749"/>
      <c r="Q1559" s="749" t="s">
        <v>1019</v>
      </c>
      <c r="W1559" s="1899"/>
      <c r="X1559" s="579">
        <v>17287.885179109195</v>
      </c>
      <c r="Y1559" s="579">
        <v>10452.196208660956</v>
      </c>
      <c r="Z1559" s="579">
        <v>10370.115087599996</v>
      </c>
      <c r="AA1559" s="579">
        <v>10586.159151925</v>
      </c>
      <c r="AB1559" s="579">
        <v>10586.159151925</v>
      </c>
      <c r="AC1559" s="579">
        <v>10586.159151925</v>
      </c>
      <c r="AD1559" s="579">
        <v>9901.0951263716779</v>
      </c>
      <c r="AE1559" s="579">
        <v>9901.0951263716779</v>
      </c>
      <c r="AF1559" s="579">
        <v>9901.0951263716779</v>
      </c>
      <c r="AG1559" s="579">
        <v>10117.139190696678</v>
      </c>
      <c r="AH1559" s="579">
        <v>10117.139190696678</v>
      </c>
      <c r="AI1559" s="579">
        <v>10117.139190696678</v>
      </c>
      <c r="AJ1559" s="579">
        <v>38110.196475370147</v>
      </c>
      <c r="AK1559" s="579">
        <v>31758.477455774999</v>
      </c>
      <c r="AL1559" s="579">
        <v>29703.285379115034</v>
      </c>
      <c r="AM1559" s="579">
        <v>30351.417572090035</v>
      </c>
      <c r="AN1559" s="579">
        <v>69868.673931145138</v>
      </c>
      <c r="AO1559" s="579">
        <v>60054.702951205065</v>
      </c>
      <c r="AP1559" s="579">
        <v>129923.3768823502</v>
      </c>
    </row>
    <row r="1560" spans="1:42" ht="14.5">
      <c r="A1560" s="1693">
        <v>1</v>
      </c>
      <c r="B1560" s="616">
        <v>1</v>
      </c>
      <c r="C1560" s="1693">
        <v>1</v>
      </c>
      <c r="D1560" s="616">
        <v>1</v>
      </c>
      <c r="E1560" s="1693">
        <v>1</v>
      </c>
      <c r="F1560" s="616">
        <v>1</v>
      </c>
      <c r="G1560" s="1693">
        <v>1543</v>
      </c>
      <c r="H1560" s="616">
        <v>1</v>
      </c>
      <c r="K1560" s="69"/>
      <c r="L1560"/>
      <c r="M1560" s="1050"/>
      <c r="N1560" s="1051"/>
      <c r="O1560" s="750"/>
      <c r="P1560" s="1055" t="s">
        <v>175</v>
      </c>
      <c r="Q1560" s="1055"/>
      <c r="R1560" s="1056"/>
      <c r="S1560" s="213"/>
      <c r="T1560" s="213"/>
      <c r="U1560" s="213"/>
      <c r="V1560" s="213"/>
      <c r="W1560" s="2481"/>
      <c r="X1560" s="2529">
        <v>249.75</v>
      </c>
      <c r="Y1560" s="2529">
        <v>249.75</v>
      </c>
      <c r="Z1560" s="2529">
        <v>249.75</v>
      </c>
      <c r="AA1560" s="2529">
        <v>0</v>
      </c>
      <c r="AB1560" s="2529">
        <v>249.75</v>
      </c>
      <c r="AC1560" s="2529">
        <v>249.75</v>
      </c>
      <c r="AD1560" s="2529">
        <v>249.75</v>
      </c>
      <c r="AE1560" s="2529">
        <v>249.75</v>
      </c>
      <c r="AF1560" s="2529">
        <v>249.75</v>
      </c>
      <c r="AG1560" s="2529">
        <v>249.75</v>
      </c>
      <c r="AH1560" s="2529">
        <v>249.75</v>
      </c>
      <c r="AI1560" s="2529">
        <v>499.5</v>
      </c>
      <c r="AJ1560" s="2529">
        <v>749.25</v>
      </c>
      <c r="AK1560" s="2529">
        <v>499.5</v>
      </c>
      <c r="AL1560" s="2529">
        <v>749.25</v>
      </c>
      <c r="AM1560" s="2529">
        <v>999</v>
      </c>
      <c r="AN1560" s="2529">
        <v>1248.75</v>
      </c>
      <c r="AO1560" s="2529">
        <v>1748.25</v>
      </c>
      <c r="AP1560" s="2529">
        <v>2997</v>
      </c>
    </row>
    <row r="1561" spans="1:42" ht="14.5">
      <c r="A1561" s="1693">
        <v>1</v>
      </c>
      <c r="B1561" s="616">
        <v>1</v>
      </c>
      <c r="C1561" s="1693">
        <v>1</v>
      </c>
      <c r="D1561" s="616">
        <v>1</v>
      </c>
      <c r="E1561" s="1693">
        <v>1</v>
      </c>
      <c r="F1561" s="616">
        <v>1</v>
      </c>
      <c r="G1561" s="1693">
        <v>1544</v>
      </c>
      <c r="H1561" s="616">
        <v>1</v>
      </c>
      <c r="K1561" s="69"/>
      <c r="L1561"/>
      <c r="M1561" s="1050"/>
      <c r="N1561" s="1051"/>
      <c r="O1561" s="750"/>
      <c r="P1561" s="1055" t="s">
        <v>2</v>
      </c>
      <c r="Q1561" s="1055"/>
      <c r="R1561" s="1056"/>
      <c r="S1561" s="213"/>
      <c r="T1561" s="213"/>
      <c r="U1561" s="213"/>
      <c r="V1561" s="213"/>
      <c r="W1561" s="2481"/>
      <c r="X1561" s="2529">
        <v>-50980.303446144899</v>
      </c>
      <c r="Y1561" s="2529">
        <v>-30426.5557462086</v>
      </c>
      <c r="Z1561" s="2529">
        <v>-32954.735362894397</v>
      </c>
      <c r="AA1561" s="2529">
        <v>-30864.690659938002</v>
      </c>
      <c r="AB1561" s="2529">
        <v>-33896.9053290148</v>
      </c>
      <c r="AC1561" s="2529">
        <v>-37698.6374647552</v>
      </c>
      <c r="AD1561" s="2529">
        <v>-28898.560990239599</v>
      </c>
      <c r="AE1561" s="2529">
        <v>-28132.535128736101</v>
      </c>
      <c r="AF1561" s="2529">
        <v>-31464.037763963301</v>
      </c>
      <c r="AG1561" s="2529">
        <v>-27468.626886121001</v>
      </c>
      <c r="AH1561" s="2529">
        <v>-29620.076294099501</v>
      </c>
      <c r="AI1561" s="2529">
        <v>-30095.801013074903</v>
      </c>
      <c r="AJ1561" s="2529">
        <v>-114361.5945552479</v>
      </c>
      <c r="AK1561" s="2529">
        <v>-102460.233453708</v>
      </c>
      <c r="AL1561" s="2529">
        <v>-88495.133882939001</v>
      </c>
      <c r="AM1561" s="2529">
        <v>-87184.504193295405</v>
      </c>
      <c r="AN1561" s="2529">
        <v>-216821.8280089559</v>
      </c>
      <c r="AO1561" s="2529">
        <v>-175679.63807623441</v>
      </c>
      <c r="AP1561" s="2529">
        <v>-392501.4660851903</v>
      </c>
    </row>
    <row r="1562" spans="1:42" ht="14.5">
      <c r="A1562" s="1693">
        <v>1</v>
      </c>
      <c r="B1562" s="616">
        <v>1</v>
      </c>
      <c r="C1562" s="1693">
        <v>1</v>
      </c>
      <c r="D1562" s="616">
        <v>1</v>
      </c>
      <c r="E1562" s="1693">
        <v>1</v>
      </c>
      <c r="F1562" s="616">
        <v>1</v>
      </c>
      <c r="G1562" s="1693">
        <v>1545</v>
      </c>
      <c r="H1562" s="616">
        <v>1</v>
      </c>
      <c r="K1562" s="69"/>
      <c r="L1562"/>
      <c r="M1562" s="1050"/>
      <c r="N1562" s="1051"/>
      <c r="O1562" s="1058" t="s">
        <v>1210</v>
      </c>
      <c r="P1562" s="1059"/>
      <c r="Q1562" s="1059"/>
      <c r="R1562" s="1060"/>
      <c r="S1562" s="1061"/>
      <c r="T1562" s="1061"/>
      <c r="U1562" s="1061"/>
      <c r="V1562" s="1061"/>
      <c r="W1562" s="2534"/>
      <c r="X1562" s="2536">
        <v>0.36383909745709114</v>
      </c>
      <c r="Y1562" s="2536">
        <v>0.28260394950892764</v>
      </c>
      <c r="Z1562" s="2536">
        <v>0.27763664812372008</v>
      </c>
      <c r="AA1562" s="2536">
        <v>0.27841252906129127</v>
      </c>
      <c r="AB1562" s="2536">
        <v>0.27389208948761412</v>
      </c>
      <c r="AC1562" s="2536">
        <v>0.26956492880891425</v>
      </c>
      <c r="AD1562" s="2536">
        <v>0.2659155907038061</v>
      </c>
      <c r="AE1562" s="2536">
        <v>0.26716882050105251</v>
      </c>
      <c r="AF1562" s="2536">
        <v>0.26430341977735544</v>
      </c>
      <c r="AG1562" s="2536">
        <v>0.26913977454360061</v>
      </c>
      <c r="AH1562" s="2536">
        <v>0.26668054960752835</v>
      </c>
      <c r="AI1562" s="2536">
        <v>0.26858116474476634</v>
      </c>
      <c r="AJ1562" s="2536">
        <v>0.31282618667471845</v>
      </c>
      <c r="AK1562" s="2536">
        <v>0.27385810917286674</v>
      </c>
      <c r="AL1562" s="2536">
        <v>0.26575328863532321</v>
      </c>
      <c r="AM1562" s="2536">
        <v>0.2681255820500924</v>
      </c>
      <c r="AN1562" s="2536">
        <v>0.2941841498097833</v>
      </c>
      <c r="AO1562" s="2536">
        <v>0.26695534998864934</v>
      </c>
      <c r="AP1562" s="2536">
        <v>0.28072863467598763</v>
      </c>
    </row>
    <row r="1563" spans="1:42" ht="14.5">
      <c r="A1563" s="1693">
        <v>1</v>
      </c>
      <c r="B1563" s="616">
        <v>1</v>
      </c>
      <c r="C1563" s="1693">
        <v>1</v>
      </c>
      <c r="D1563" s="616">
        <v>1</v>
      </c>
      <c r="E1563" s="1693">
        <v>1</v>
      </c>
      <c r="F1563" s="616">
        <v>1</v>
      </c>
      <c r="G1563" s="1693">
        <v>1546</v>
      </c>
      <c r="H1563" s="616">
        <v>1</v>
      </c>
      <c r="K1563" s="69"/>
      <c r="L1563"/>
      <c r="M1563" s="1050"/>
      <c r="N1563" s="1051"/>
      <c r="O1563" s="750"/>
      <c r="P1563" s="1055" t="s">
        <v>1155</v>
      </c>
      <c r="Q1563" s="1055"/>
      <c r="R1563" s="1056"/>
      <c r="S1563" s="213"/>
      <c r="T1563" s="213"/>
      <c r="U1563" s="213"/>
      <c r="V1563" s="213"/>
      <c r="W1563" s="2481"/>
      <c r="X1563" s="2531">
        <v>0.36207854784086435</v>
      </c>
      <c r="Y1563" s="2531">
        <v>0.32836203717410634</v>
      </c>
      <c r="Z1563" s="2531">
        <v>0.33286777516074706</v>
      </c>
      <c r="AA1563" s="2531">
        <v>0.32807980931272962</v>
      </c>
      <c r="AB1563" s="2531">
        <v>0.32911302490881522</v>
      </c>
      <c r="AC1563" s="2531">
        <v>0.335558634979023</v>
      </c>
      <c r="AD1563" s="2531">
        <v>0.32929794501003851</v>
      </c>
      <c r="AE1563" s="2531">
        <v>0.3322370206138931</v>
      </c>
      <c r="AF1563" s="2531">
        <v>0.32634771326973927</v>
      </c>
      <c r="AG1563" s="2531">
        <v>0.32829267031033904</v>
      </c>
      <c r="AH1563" s="2531">
        <v>0.3267386336486871</v>
      </c>
      <c r="AI1563" s="2531">
        <v>0.32998554500408245</v>
      </c>
      <c r="AJ1563" s="2531">
        <v>0.34336051747961238</v>
      </c>
      <c r="AK1563" s="2531">
        <v>0.33123400648057566</v>
      </c>
      <c r="AL1563" s="2531">
        <v>0.32890332477671941</v>
      </c>
      <c r="AM1563" s="2531">
        <v>0.32841739625171823</v>
      </c>
      <c r="AN1563" s="2531">
        <v>0.33751404591646639</v>
      </c>
      <c r="AO1563" s="2531">
        <v>0.32864721305134686</v>
      </c>
      <c r="AP1563" s="2531">
        <v>0.33337604160093876</v>
      </c>
    </row>
    <row r="1564" spans="1:42" ht="14.5">
      <c r="A1564" s="1693">
        <v>1</v>
      </c>
      <c r="B1564" s="616">
        <v>1</v>
      </c>
      <c r="C1564" s="1693">
        <v>1</v>
      </c>
      <c r="D1564" s="616">
        <v>1</v>
      </c>
      <c r="E1564" s="1693">
        <v>1</v>
      </c>
      <c r="F1564" s="616">
        <v>1</v>
      </c>
      <c r="G1564" s="1693">
        <v>1547</v>
      </c>
      <c r="H1564" s="616">
        <v>1</v>
      </c>
      <c r="K1564" s="69"/>
      <c r="L1564"/>
      <c r="M1564" s="1050"/>
      <c r="N1564" s="1051"/>
      <c r="O1564" s="750"/>
      <c r="P1564" s="749"/>
      <c r="Q1564" s="749" t="s">
        <v>1018</v>
      </c>
      <c r="W1564" s="1899"/>
      <c r="X1564" s="2532">
        <v>0.37613405673841666</v>
      </c>
      <c r="Y1564" s="2532">
        <v>0.34500165636612484</v>
      </c>
      <c r="Z1564" s="2532">
        <v>0.34522225553899383</v>
      </c>
      <c r="AA1564" s="2532">
        <v>0.33991666230922463</v>
      </c>
      <c r="AB1564" s="2532">
        <v>0.34461252770332168</v>
      </c>
      <c r="AC1564" s="2532">
        <v>0.34759157025606668</v>
      </c>
      <c r="AD1564" s="2532">
        <v>0.34039711673945588</v>
      </c>
      <c r="AE1564" s="2532">
        <v>0.34381462838347682</v>
      </c>
      <c r="AF1564" s="2532">
        <v>0.34366048795693299</v>
      </c>
      <c r="AG1564" s="2532">
        <v>0.3413283494110731</v>
      </c>
      <c r="AH1564" s="2532">
        <v>0.34367217065256417</v>
      </c>
      <c r="AI1564" s="2532">
        <v>0.34501249706212572</v>
      </c>
      <c r="AJ1564" s="2532">
        <v>0.35768595330521585</v>
      </c>
      <c r="AK1564" s="2532">
        <v>0.34442557554825598</v>
      </c>
      <c r="AL1564" s="2532">
        <v>0.34265784248808062</v>
      </c>
      <c r="AM1564" s="2532">
        <v>0.34350081794083187</v>
      </c>
      <c r="AN1564" s="2532">
        <v>0.35129398834776854</v>
      </c>
      <c r="AO1564" s="2532">
        <v>0.34309813295839792</v>
      </c>
      <c r="AP1564" s="2532">
        <v>0.34749849157619161</v>
      </c>
    </row>
    <row r="1565" spans="1:42" ht="14.5">
      <c r="A1565" s="1693">
        <v>1</v>
      </c>
      <c r="B1565" s="616">
        <v>1</v>
      </c>
      <c r="C1565" s="1693">
        <v>1</v>
      </c>
      <c r="D1565" s="616">
        <v>1</v>
      </c>
      <c r="E1565" s="1693">
        <v>1</v>
      </c>
      <c r="F1565" s="616">
        <v>1</v>
      </c>
      <c r="G1565" s="1693">
        <v>1548</v>
      </c>
      <c r="H1565" s="616">
        <v>1</v>
      </c>
      <c r="K1565" s="69"/>
      <c r="L1565"/>
      <c r="M1565" s="1050"/>
      <c r="N1565" s="1051"/>
      <c r="O1565" s="750"/>
      <c r="P1565" s="749"/>
      <c r="Q1565" s="749" t="s">
        <v>1019</v>
      </c>
      <c r="W1565" s="1899"/>
      <c r="X1565" s="2532">
        <v>0.26245535948313325</v>
      </c>
      <c r="Y1565" s="2532">
        <v>0.22720591466662965</v>
      </c>
      <c r="Z1565" s="2532">
        <v>0.2452140604807328</v>
      </c>
      <c r="AA1565" s="2532">
        <v>0.26515837976999623</v>
      </c>
      <c r="AB1565" s="2532">
        <v>0.21065270286980486</v>
      </c>
      <c r="AC1565" s="2532">
        <v>0.24546485402344417</v>
      </c>
      <c r="AD1565" s="2532">
        <v>0.21070411921697763</v>
      </c>
      <c r="AE1565" s="2532">
        <v>0.23145786833669441</v>
      </c>
      <c r="AF1565" s="2532">
        <v>0.25118508442292992</v>
      </c>
      <c r="AG1565" s="2532">
        <v>0.22373707284059563</v>
      </c>
      <c r="AH1565" s="2532">
        <v>0.25262430272209507</v>
      </c>
      <c r="AI1565" s="2532">
        <v>0.24087874363404729</v>
      </c>
      <c r="AJ1565" s="2532">
        <v>0.24628951159991988</v>
      </c>
      <c r="AK1565" s="2532">
        <v>0.24209123479197112</v>
      </c>
      <c r="AL1565" s="2532">
        <v>0.23891420130858956</v>
      </c>
      <c r="AM1565" s="2532">
        <v>0.24223632252384963</v>
      </c>
      <c r="AN1565" s="2532">
        <v>0.24426291845427542</v>
      </c>
      <c r="AO1565" s="2532">
        <v>0.24076113954381434</v>
      </c>
      <c r="AP1565" s="2532">
        <v>0.24254798017531554</v>
      </c>
    </row>
    <row r="1566" spans="1:42" ht="14.5">
      <c r="A1566" s="1693">
        <v>1</v>
      </c>
      <c r="B1566" s="616">
        <v>1</v>
      </c>
      <c r="C1566" s="1693">
        <v>1</v>
      </c>
      <c r="D1566" s="616">
        <v>1</v>
      </c>
      <c r="E1566" s="1693">
        <v>1</v>
      </c>
      <c r="F1566" s="616">
        <v>1</v>
      </c>
      <c r="G1566" s="1693">
        <v>1549</v>
      </c>
      <c r="H1566" s="616">
        <v>1</v>
      </c>
      <c r="K1566" s="69"/>
      <c r="L1566"/>
      <c r="M1566" s="1050"/>
      <c r="N1566" s="1051"/>
      <c r="O1566" s="750"/>
      <c r="P1566" s="1055" t="s">
        <v>1157</v>
      </c>
      <c r="Q1566" s="1055"/>
      <c r="R1566" s="1056"/>
      <c r="S1566" s="213"/>
      <c r="T1566" s="213"/>
      <c r="U1566" s="213"/>
      <c r="V1566" s="213"/>
      <c r="W1566" s="2481"/>
      <c r="X1566" s="2531">
        <v>0.48004464992615864</v>
      </c>
      <c r="Y1566" s="2531">
        <v>0.35522378371860436</v>
      </c>
      <c r="Z1566" s="2531">
        <v>0.35265152638235786</v>
      </c>
      <c r="AA1566" s="2531">
        <v>0.35238021697209221</v>
      </c>
      <c r="AB1566" s="2531">
        <v>0.35238021697209221</v>
      </c>
      <c r="AC1566" s="2531">
        <v>0.35238021697209221</v>
      </c>
      <c r="AD1566" s="2531">
        <v>0.32826612861358179</v>
      </c>
      <c r="AE1566" s="2531">
        <v>0.32826612861358179</v>
      </c>
      <c r="AF1566" s="2531">
        <v>0.32826612861358179</v>
      </c>
      <c r="AG1566" s="2531">
        <v>0.32814889841757428</v>
      </c>
      <c r="AH1566" s="2531">
        <v>0.32814889841757428</v>
      </c>
      <c r="AI1566" s="2531">
        <v>0.32814889841757428</v>
      </c>
      <c r="AJ1566" s="2531">
        <v>0.40273358777640378</v>
      </c>
      <c r="AK1566" s="2531">
        <v>0.35238021697209226</v>
      </c>
      <c r="AL1566" s="2531">
        <v>0.32826612861358179</v>
      </c>
      <c r="AM1566" s="2531">
        <v>0.32814889841757428</v>
      </c>
      <c r="AN1566" s="2531">
        <v>0.37870231021709783</v>
      </c>
      <c r="AO1566" s="2531">
        <v>0.32820745056563261</v>
      </c>
      <c r="AP1566" s="2531">
        <v>0.35331668152311008</v>
      </c>
    </row>
    <row r="1567" spans="1:42" ht="14.5">
      <c r="A1567" s="1693">
        <v>1</v>
      </c>
      <c r="B1567" s="616">
        <v>1</v>
      </c>
      <c r="C1567" s="1693">
        <v>1</v>
      </c>
      <c r="D1567" s="616">
        <v>1</v>
      </c>
      <c r="E1567" s="1693">
        <v>1</v>
      </c>
      <c r="F1567" s="616">
        <v>1</v>
      </c>
      <c r="G1567" s="1693">
        <v>1550</v>
      </c>
      <c r="H1567" s="616">
        <v>1</v>
      </c>
      <c r="K1567" s="69"/>
      <c r="L1567"/>
      <c r="M1567" s="1050"/>
      <c r="N1567" s="1051"/>
      <c r="O1567" s="750"/>
      <c r="P1567" s="749"/>
      <c r="Q1567" s="749" t="s">
        <v>1018</v>
      </c>
      <c r="W1567" s="1899"/>
      <c r="X1567" s="2532">
        <v>0.4966956268576817</v>
      </c>
      <c r="Y1567" s="2532">
        <v>0.36488238675075763</v>
      </c>
      <c r="Z1567" s="2532">
        <v>0.36226070602128169</v>
      </c>
      <c r="AA1567" s="2532">
        <v>0.36226070602128163</v>
      </c>
      <c r="AB1567" s="2532">
        <v>0.36226070602128163</v>
      </c>
      <c r="AC1567" s="2532">
        <v>0.36226070602128163</v>
      </c>
      <c r="AD1567" s="2532">
        <v>0.33640627748899421</v>
      </c>
      <c r="AE1567" s="2532">
        <v>0.33640627748899421</v>
      </c>
      <c r="AF1567" s="2532">
        <v>0.33640627748899421</v>
      </c>
      <c r="AG1567" s="2532">
        <v>0.33640627748899421</v>
      </c>
      <c r="AH1567" s="2532">
        <v>0.33640627748899421</v>
      </c>
      <c r="AI1567" s="2532">
        <v>0.33640627748899421</v>
      </c>
      <c r="AJ1567" s="2532">
        <v>0.41494130384641509</v>
      </c>
      <c r="AK1567" s="2532">
        <v>0.36226070602128169</v>
      </c>
      <c r="AL1567" s="2532">
        <v>0.33640627748899415</v>
      </c>
      <c r="AM1567" s="2532">
        <v>0.33640627748899415</v>
      </c>
      <c r="AN1567" s="2532">
        <v>0.38982180478997475</v>
      </c>
      <c r="AO1567" s="2532">
        <v>0.33640627748899415</v>
      </c>
      <c r="AP1567" s="2532">
        <v>0.36288744472693524</v>
      </c>
    </row>
    <row r="1568" spans="1:42" ht="14.5">
      <c r="A1568" s="1693">
        <v>1</v>
      </c>
      <c r="B1568" s="616">
        <v>1</v>
      </c>
      <c r="C1568" s="1693">
        <v>1</v>
      </c>
      <c r="D1568" s="616">
        <v>1</v>
      </c>
      <c r="E1568" s="1693">
        <v>1</v>
      </c>
      <c r="F1568" s="616">
        <v>1</v>
      </c>
      <c r="G1568" s="1693">
        <v>1551</v>
      </c>
      <c r="H1568" s="616">
        <v>1</v>
      </c>
      <c r="K1568" s="69"/>
      <c r="L1568"/>
      <c r="M1568" s="1050"/>
      <c r="N1568" s="1051"/>
      <c r="O1568" s="750"/>
      <c r="P1568" s="749"/>
      <c r="Q1568" s="749" t="s">
        <v>1019</v>
      </c>
      <c r="W1568" s="1899"/>
      <c r="X1568" s="2532">
        <v>0.34855672562712192</v>
      </c>
      <c r="Y1568" s="2532">
        <v>0.27579457290853526</v>
      </c>
      <c r="Z1568" s="2532">
        <v>0.27362875748803028</v>
      </c>
      <c r="AA1568" s="2532">
        <v>0.27362875748803034</v>
      </c>
      <c r="AB1568" s="2532">
        <v>0.27362875748803034</v>
      </c>
      <c r="AC1568" s="2532">
        <v>0.27362875748803034</v>
      </c>
      <c r="AD1568" s="2532">
        <v>0.25839859969117285</v>
      </c>
      <c r="AE1568" s="2532">
        <v>0.25839859969117285</v>
      </c>
      <c r="AF1568" s="2532">
        <v>0.25839859969117285</v>
      </c>
      <c r="AG1568" s="2532">
        <v>0.25870609177075804</v>
      </c>
      <c r="AH1568" s="2532">
        <v>0.25870609177075804</v>
      </c>
      <c r="AI1568" s="2532">
        <v>0.25870609177075804</v>
      </c>
      <c r="AJ1568" s="2532">
        <v>0.30392008535820064</v>
      </c>
      <c r="AK1568" s="2532">
        <v>0.27362875748803039</v>
      </c>
      <c r="AL1568" s="2532">
        <v>0.2583985996911729</v>
      </c>
      <c r="AM1568" s="2532">
        <v>0.25870609177075804</v>
      </c>
      <c r="AN1568" s="2532">
        <v>0.28935973439264506</v>
      </c>
      <c r="AO1568" s="2532">
        <v>0.25855391360037183</v>
      </c>
      <c r="AP1568" s="2532">
        <v>0.27425556522493133</v>
      </c>
    </row>
    <row r="1569" spans="1:42" ht="14.5">
      <c r="A1569" s="1693">
        <v>1</v>
      </c>
      <c r="B1569" s="616">
        <v>1</v>
      </c>
      <c r="C1569" s="1693">
        <v>1</v>
      </c>
      <c r="D1569" s="616">
        <v>1</v>
      </c>
      <c r="E1569" s="1693">
        <v>1</v>
      </c>
      <c r="F1569" s="616">
        <v>1</v>
      </c>
      <c r="G1569" s="1693">
        <v>1552</v>
      </c>
      <c r="H1569" s="616">
        <v>1</v>
      </c>
      <c r="K1569" s="69"/>
      <c r="L1569"/>
      <c r="M1569" s="1050"/>
      <c r="N1569" s="1051"/>
      <c r="O1569" s="750"/>
      <c r="P1569" s="1055" t="s">
        <v>175</v>
      </c>
      <c r="Q1569" s="1055"/>
      <c r="R1569" s="1056"/>
      <c r="S1569" s="213"/>
      <c r="T1569" s="213"/>
      <c r="U1569" s="213"/>
      <c r="V1569" s="213"/>
      <c r="W1569" s="2481"/>
      <c r="X1569" s="2533">
        <v>0.33300000000000002</v>
      </c>
      <c r="Y1569" s="2533">
        <v>0.33300000000000002</v>
      </c>
      <c r="Z1569" s="2533">
        <v>0.33300000000000002</v>
      </c>
      <c r="AA1569" s="2533" t="s">
        <v>891</v>
      </c>
      <c r="AB1569" s="2533">
        <v>0.33300000000000002</v>
      </c>
      <c r="AC1569" s="2533">
        <v>0.33300000000000002</v>
      </c>
      <c r="AD1569" s="2533">
        <v>0.33300000000000002</v>
      </c>
      <c r="AE1569" s="2533">
        <v>0.33300000000000002</v>
      </c>
      <c r="AF1569" s="2533">
        <v>0.33300000000000002</v>
      </c>
      <c r="AG1569" s="2533">
        <v>0.33300000000000002</v>
      </c>
      <c r="AH1569" s="2533">
        <v>0.33300000000000002</v>
      </c>
      <c r="AI1569" s="2533">
        <v>0.33300000000000002</v>
      </c>
      <c r="AJ1569" s="2533">
        <v>0.33300000000000002</v>
      </c>
      <c r="AK1569" s="2533">
        <v>0.33300000000000002</v>
      </c>
      <c r="AL1569" s="2533">
        <v>0.33300000000000002</v>
      </c>
      <c r="AM1569" s="2533">
        <v>0.33300000000000002</v>
      </c>
      <c r="AN1569" s="2533">
        <v>0.33300000000000002</v>
      </c>
      <c r="AO1569" s="2533">
        <v>0.33300000000000002</v>
      </c>
      <c r="AP1569" s="2533">
        <v>0.33300000000000002</v>
      </c>
    </row>
    <row r="1570" spans="1:42" ht="14.5">
      <c r="A1570" s="1693">
        <v>1</v>
      </c>
      <c r="B1570" s="616">
        <v>1</v>
      </c>
      <c r="C1570" s="1693">
        <v>1</v>
      </c>
      <c r="D1570" s="616">
        <v>1</v>
      </c>
      <c r="E1570" s="1693">
        <v>1</v>
      </c>
      <c r="F1570" s="616">
        <v>1</v>
      </c>
      <c r="G1570" s="1693">
        <v>1553</v>
      </c>
      <c r="H1570" s="616">
        <v>1</v>
      </c>
      <c r="K1570" s="69"/>
      <c r="L1570"/>
      <c r="M1570" s="1050"/>
      <c r="N1570" s="1051"/>
      <c r="O1570" s="750"/>
      <c r="P1570" s="1055" t="s">
        <v>2</v>
      </c>
      <c r="Q1570" s="1055"/>
      <c r="R1570" s="1056"/>
      <c r="S1570" s="213"/>
      <c r="T1570" s="213"/>
      <c r="U1570" s="213"/>
      <c r="V1570" s="213"/>
      <c r="W1570" s="2481"/>
      <c r="X1570" s="2533" t="s">
        <v>891</v>
      </c>
      <c r="Y1570" s="2533" t="s">
        <v>891</v>
      </c>
      <c r="Z1570" s="2533" t="s">
        <v>891</v>
      </c>
      <c r="AA1570" s="2533" t="s">
        <v>891</v>
      </c>
      <c r="AB1570" s="2533" t="s">
        <v>891</v>
      </c>
      <c r="AC1570" s="2533" t="s">
        <v>891</v>
      </c>
      <c r="AD1570" s="2533" t="s">
        <v>891</v>
      </c>
      <c r="AE1570" s="2533" t="s">
        <v>891</v>
      </c>
      <c r="AF1570" s="2533" t="s">
        <v>891</v>
      </c>
      <c r="AG1570" s="2533" t="s">
        <v>891</v>
      </c>
      <c r="AH1570" s="2533" t="s">
        <v>891</v>
      </c>
      <c r="AI1570" s="2533" t="s">
        <v>891</v>
      </c>
      <c r="AJ1570" s="2533" t="s">
        <v>891</v>
      </c>
      <c r="AK1570" s="2533" t="s">
        <v>891</v>
      </c>
      <c r="AL1570" s="2533" t="s">
        <v>891</v>
      </c>
      <c r="AM1570" s="2533" t="s">
        <v>891</v>
      </c>
      <c r="AN1570" s="2533" t="s">
        <v>891</v>
      </c>
      <c r="AO1570" s="2533" t="s">
        <v>891</v>
      </c>
      <c r="AP1570" s="2533" t="s">
        <v>891</v>
      </c>
    </row>
    <row r="1571" spans="1:42" ht="14.5">
      <c r="A1571" s="1693">
        <v>1</v>
      </c>
      <c r="B1571" s="616">
        <v>1</v>
      </c>
      <c r="C1571" s="1693">
        <v>1</v>
      </c>
      <c r="D1571" s="616">
        <v>1</v>
      </c>
      <c r="E1571" s="1693">
        <v>1</v>
      </c>
      <c r="F1571" s="616">
        <v>1</v>
      </c>
      <c r="G1571" s="1693">
        <v>1554</v>
      </c>
      <c r="H1571" s="616">
        <v>1</v>
      </c>
      <c r="K1571" s="69"/>
      <c r="L1571"/>
      <c r="M1571" s="1050"/>
      <c r="N1571" s="1051"/>
      <c r="O1571" s="1058" t="s">
        <v>1198</v>
      </c>
      <c r="P1571" s="1059"/>
      <c r="Q1571" s="1059"/>
      <c r="R1571" s="1060"/>
      <c r="S1571" s="1061"/>
      <c r="T1571" s="1061"/>
      <c r="U1571" s="1061"/>
      <c r="V1571" s="1061"/>
      <c r="W1571" s="2534"/>
      <c r="X1571" s="2535">
        <v>89975.544745149469</v>
      </c>
      <c r="Y1571" s="2535">
        <v>88686.239626611714</v>
      </c>
      <c r="Z1571" s="2535">
        <v>89201.697427696214</v>
      </c>
      <c r="AA1571" s="2535">
        <v>89848.465284890379</v>
      </c>
      <c r="AB1571" s="2535">
        <v>90386.836001897405</v>
      </c>
      <c r="AC1571" s="2535">
        <v>90701.302846176171</v>
      </c>
      <c r="AD1571" s="2535">
        <v>89913.836880616785</v>
      </c>
      <c r="AE1571" s="2535">
        <v>89828.354568745446</v>
      </c>
      <c r="AF1571" s="2535">
        <v>90200.123410473228</v>
      </c>
      <c r="AG1571" s="2535">
        <v>89977.451639788633</v>
      </c>
      <c r="AH1571" s="2535">
        <v>90105.944112880461</v>
      </c>
      <c r="AI1571" s="2535">
        <v>90382.21503684076</v>
      </c>
      <c r="AJ1571" s="2535">
        <v>267863.4817994574</v>
      </c>
      <c r="AK1571" s="2535">
        <v>270936.60413296393</v>
      </c>
      <c r="AL1571" s="2535">
        <v>269942.31485983543</v>
      </c>
      <c r="AM1571" s="2535">
        <v>270465.61078950984</v>
      </c>
      <c r="AN1571" s="2535">
        <v>538800.08593242127</v>
      </c>
      <c r="AO1571" s="2535">
        <v>540407.92564934527</v>
      </c>
      <c r="AP1571" s="2535">
        <v>1079208.0115817664</v>
      </c>
    </row>
    <row r="1572" spans="1:42" ht="14.5">
      <c r="A1572" s="1693">
        <v>1</v>
      </c>
      <c r="B1572" s="616">
        <v>1</v>
      </c>
      <c r="C1572" s="1693">
        <v>1</v>
      </c>
      <c r="D1572" s="616">
        <v>1</v>
      </c>
      <c r="E1572" s="1693">
        <v>1</v>
      </c>
      <c r="F1572" s="616">
        <v>1</v>
      </c>
      <c r="G1572" s="1693">
        <v>1555</v>
      </c>
      <c r="H1572" s="616">
        <v>1</v>
      </c>
      <c r="K1572" s="69"/>
      <c r="L1572"/>
      <c r="M1572" s="1050"/>
      <c r="N1572" s="1051"/>
      <c r="O1572" s="750"/>
      <c r="P1572" s="749" t="s">
        <v>1211</v>
      </c>
      <c r="Q1572" s="749"/>
      <c r="W1572" s="1899"/>
      <c r="X1572" s="579">
        <v>17903.333333333332</v>
      </c>
      <c r="Y1572" s="579">
        <v>17903.333333333332</v>
      </c>
      <c r="Z1572" s="579">
        <v>17903.333333333332</v>
      </c>
      <c r="AA1572" s="579">
        <v>18783.333333333336</v>
      </c>
      <c r="AB1572" s="579">
        <v>18783.333333333336</v>
      </c>
      <c r="AC1572" s="579">
        <v>18783.333333333336</v>
      </c>
      <c r="AD1572" s="579">
        <v>18050</v>
      </c>
      <c r="AE1572" s="579">
        <v>18050</v>
      </c>
      <c r="AF1572" s="579">
        <v>18050</v>
      </c>
      <c r="AG1572" s="579">
        <v>18050</v>
      </c>
      <c r="AH1572" s="579">
        <v>18050</v>
      </c>
      <c r="AI1572" s="579">
        <v>18050</v>
      </c>
      <c r="AJ1572" s="579">
        <v>53710</v>
      </c>
      <c r="AK1572" s="579">
        <v>56350.000000000007</v>
      </c>
      <c r="AL1572" s="579">
        <v>54150</v>
      </c>
      <c r="AM1572" s="579">
        <v>54150</v>
      </c>
      <c r="AN1572" s="579">
        <v>110060</v>
      </c>
      <c r="AO1572" s="579">
        <v>108300</v>
      </c>
      <c r="AP1572" s="579">
        <v>218360</v>
      </c>
    </row>
    <row r="1573" spans="1:42" ht="14.5">
      <c r="A1573" s="1693">
        <v>1</v>
      </c>
      <c r="B1573" s="616">
        <v>1</v>
      </c>
      <c r="C1573" s="1693">
        <v>1</v>
      </c>
      <c r="D1573" s="616">
        <v>1</v>
      </c>
      <c r="E1573" s="1693">
        <v>1</v>
      </c>
      <c r="F1573" s="616">
        <v>1</v>
      </c>
      <c r="G1573" s="1693">
        <v>1556</v>
      </c>
      <c r="H1573" s="616">
        <v>1</v>
      </c>
      <c r="K1573" s="69"/>
      <c r="L1573"/>
      <c r="M1573" s="1050"/>
      <c r="N1573" s="1051"/>
      <c r="O1573" s="750"/>
      <c r="P1573" s="749" t="s">
        <v>1212</v>
      </c>
      <c r="Q1573" s="749"/>
      <c r="W1573" s="1899"/>
      <c r="X1573" s="579">
        <v>72072.211411816141</v>
      </c>
      <c r="Y1573" s="579">
        <v>70782.906293278385</v>
      </c>
      <c r="Z1573" s="579">
        <v>71298.364094362885</v>
      </c>
      <c r="AA1573" s="579">
        <v>71065.131951557036</v>
      </c>
      <c r="AB1573" s="579">
        <v>71603.502668564077</v>
      </c>
      <c r="AC1573" s="579">
        <v>71917.969512842828</v>
      </c>
      <c r="AD1573" s="579">
        <v>71863.836880616785</v>
      </c>
      <c r="AE1573" s="579">
        <v>71778.354568745446</v>
      </c>
      <c r="AF1573" s="579">
        <v>72150.123410473228</v>
      </c>
      <c r="AG1573" s="579">
        <v>71927.451639788633</v>
      </c>
      <c r="AH1573" s="579">
        <v>72055.944112880461</v>
      </c>
      <c r="AI1573" s="579">
        <v>72332.21503684076</v>
      </c>
      <c r="AJ1573" s="579">
        <v>214153.4817994574</v>
      </c>
      <c r="AK1573" s="579">
        <v>214586.60413296393</v>
      </c>
      <c r="AL1573" s="579">
        <v>215792.31485983546</v>
      </c>
      <c r="AM1573" s="579">
        <v>216315.61078950984</v>
      </c>
      <c r="AN1573" s="579">
        <v>428740.08593242132</v>
      </c>
      <c r="AO1573" s="579">
        <v>432107.92564934527</v>
      </c>
      <c r="AP1573" s="579">
        <v>860848.01158176665</v>
      </c>
    </row>
    <row r="1574" spans="1:42" ht="14.5">
      <c r="A1574" s="1693">
        <v>1</v>
      </c>
      <c r="B1574" s="616">
        <v>1</v>
      </c>
      <c r="C1574" s="1693">
        <v>1</v>
      </c>
      <c r="D1574" s="616">
        <v>1</v>
      </c>
      <c r="E1574" s="1693">
        <v>1</v>
      </c>
      <c r="F1574" s="616">
        <v>1</v>
      </c>
      <c r="G1574" s="1693">
        <v>1557</v>
      </c>
      <c r="H1574" s="616">
        <v>1</v>
      </c>
      <c r="K1574" s="69"/>
      <c r="L1574"/>
      <c r="M1574" s="1050"/>
      <c r="N1574" s="1051"/>
      <c r="O1574" s="1058" t="s">
        <v>1206</v>
      </c>
      <c r="P1574" s="1059"/>
      <c r="Q1574" s="1059"/>
      <c r="R1574" s="1060"/>
      <c r="S1574" s="1061"/>
      <c r="T1574" s="1061"/>
      <c r="U1574" s="1061"/>
      <c r="V1574" s="1061"/>
      <c r="W1574" s="2534"/>
      <c r="X1574" s="2535">
        <v>127432.77956968287</v>
      </c>
      <c r="Y1574" s="2535">
        <v>41215.702432271195</v>
      </c>
      <c r="Z1574" s="2535">
        <v>41691.347562760915</v>
      </c>
      <c r="AA1574" s="2535">
        <v>35891.369781376678</v>
      </c>
      <c r="AB1574" s="2535">
        <v>37674.525467922911</v>
      </c>
      <c r="AC1574" s="2535">
        <v>39448.371193875122</v>
      </c>
      <c r="AD1574" s="2535">
        <v>32905.66867178044</v>
      </c>
      <c r="AE1574" s="2535">
        <v>31667.877873830235</v>
      </c>
      <c r="AF1574" s="2535">
        <v>40811.919217029994</v>
      </c>
      <c r="AG1574" s="2535">
        <v>35226.713967839081</v>
      </c>
      <c r="AH1574" s="2535">
        <v>39093.150621524124</v>
      </c>
      <c r="AI1574" s="2535">
        <v>44192.451796154608</v>
      </c>
      <c r="AJ1574" s="2535">
        <v>210339.82956471498</v>
      </c>
      <c r="AK1574" s="2535">
        <v>113014.26644317471</v>
      </c>
      <c r="AL1574" s="2535">
        <v>105385.46576264067</v>
      </c>
      <c r="AM1574" s="2535">
        <v>118512.31638551781</v>
      </c>
      <c r="AN1574" s="2535">
        <v>323354.09600788972</v>
      </c>
      <c r="AO1574" s="2535">
        <v>223897.78214815847</v>
      </c>
      <c r="AP1574" s="2535">
        <v>547251.87815604825</v>
      </c>
    </row>
    <row r="1575" spans="1:42" ht="14.5">
      <c r="A1575" s="1693">
        <v>1</v>
      </c>
      <c r="B1575" s="616">
        <v>1</v>
      </c>
      <c r="C1575" s="1693">
        <v>1</v>
      </c>
      <c r="D1575" s="616">
        <v>1</v>
      </c>
      <c r="E1575" s="1693">
        <v>1</v>
      </c>
      <c r="F1575" s="616">
        <v>1</v>
      </c>
      <c r="G1575" s="1693">
        <v>1558</v>
      </c>
      <c r="H1575" s="616">
        <v>1</v>
      </c>
      <c r="K1575" s="69"/>
      <c r="L1575"/>
      <c r="M1575" s="1050"/>
      <c r="N1575" s="1051"/>
      <c r="O1575" s="1058" t="s">
        <v>1203</v>
      </c>
      <c r="P1575" s="1059"/>
      <c r="Q1575" s="1059"/>
      <c r="R1575" s="1060"/>
      <c r="S1575" s="1061"/>
      <c r="T1575" s="1061"/>
      <c r="U1575" s="1061"/>
      <c r="V1575" s="1061"/>
      <c r="W1575" s="2534"/>
      <c r="X1575" s="2535">
        <v>247294.87670236046</v>
      </c>
      <c r="Y1575" s="2535">
        <v>313818.11818525224</v>
      </c>
      <c r="Z1575" s="2535">
        <v>321289.3471756159</v>
      </c>
      <c r="AA1575" s="2535">
        <v>322717.03284269455</v>
      </c>
      <c r="AB1575" s="2535">
        <v>330008.93224404298</v>
      </c>
      <c r="AC1575" s="2535">
        <v>336472.93528480985</v>
      </c>
      <c r="AD1575" s="2535">
        <v>338129.24109729467</v>
      </c>
      <c r="AE1575" s="2535">
        <v>336223.19550717023</v>
      </c>
      <c r="AF1575" s="2535">
        <v>341274.90096971212</v>
      </c>
      <c r="AG1575" s="2535">
        <v>334314.9550911595</v>
      </c>
      <c r="AH1575" s="2535">
        <v>337879.70005869819</v>
      </c>
      <c r="AI1575" s="2535">
        <v>336517.32474513358</v>
      </c>
      <c r="AJ1575" s="2535">
        <v>856269.37005112693</v>
      </c>
      <c r="AK1575" s="2535">
        <v>989332.04845119745</v>
      </c>
      <c r="AL1575" s="2535">
        <v>1015762.8387066192</v>
      </c>
      <c r="AM1575" s="2535">
        <v>1008727.3609684147</v>
      </c>
      <c r="AN1575" s="2535">
        <v>1831506.1714942981</v>
      </c>
      <c r="AO1575" s="2535">
        <v>2024338.2485959651</v>
      </c>
      <c r="AP1575" s="2535">
        <v>3844310.4061235883</v>
      </c>
    </row>
    <row r="1576" spans="1:42" ht="14.5">
      <c r="A1576" s="1693">
        <v>1</v>
      </c>
      <c r="B1576" s="616">
        <v>1</v>
      </c>
      <c r="C1576" s="1693">
        <v>1</v>
      </c>
      <c r="D1576" s="616">
        <v>1</v>
      </c>
      <c r="E1576" s="1693">
        <v>1</v>
      </c>
      <c r="F1576" s="616">
        <v>1</v>
      </c>
      <c r="G1576" s="1693">
        <v>1559</v>
      </c>
      <c r="H1576" s="616">
        <v>1</v>
      </c>
      <c r="K1576" s="69"/>
      <c r="L1576"/>
      <c r="M1576" s="1050"/>
      <c r="N1576" s="1051"/>
      <c r="O1576" s="751"/>
      <c r="P1576" s="752" t="s">
        <v>55</v>
      </c>
      <c r="Q1576" s="753"/>
      <c r="R1576" s="16"/>
      <c r="S1576" s="11"/>
      <c r="T1576" s="11"/>
      <c r="U1576" s="11"/>
      <c r="V1576" s="11"/>
      <c r="W1576" s="1772"/>
      <c r="X1576" s="1689">
        <v>0.41385510434666933</v>
      </c>
      <c r="Y1576" s="1689">
        <v>0.68271681101127313</v>
      </c>
      <c r="Z1576" s="1689">
        <v>0.68148538705169193</v>
      </c>
      <c r="AA1576" s="1689">
        <v>0.71455847892228186</v>
      </c>
      <c r="AB1576" s="1689">
        <v>0.70580880106603028</v>
      </c>
      <c r="AC1576" s="1689">
        <v>0.6968999616415823</v>
      </c>
      <c r="AD1576" s="1689">
        <v>0.73208108497275914</v>
      </c>
      <c r="AE1576" s="1689">
        <v>0.73935094745593999</v>
      </c>
      <c r="AF1576" s="1689">
        <v>0.6884872688149174</v>
      </c>
      <c r="AG1576" s="1689">
        <v>0.71864583101624069</v>
      </c>
      <c r="AH1576" s="1689">
        <v>0.69741931472594165</v>
      </c>
      <c r="AI1576" s="1689">
        <v>0.67161388665374433</v>
      </c>
      <c r="AJ1576" s="1689">
        <v>0.56014560216097675</v>
      </c>
      <c r="AK1576" s="1689">
        <v>0.7056543555335848</v>
      </c>
      <c r="AL1576" s="1689">
        <v>0.7192175181174697</v>
      </c>
      <c r="AM1576" s="1689">
        <v>0.69532380089991308</v>
      </c>
      <c r="AN1576" s="1689">
        <v>0.62494632308090292</v>
      </c>
      <c r="AO1576" s="1689">
        <v>0.70705729413775587</v>
      </c>
      <c r="AP1576" s="1689">
        <v>0.6635318942637648</v>
      </c>
    </row>
    <row r="1577" spans="1:42" ht="14.5">
      <c r="A1577" s="1693">
        <v>1</v>
      </c>
      <c r="B1577" s="616">
        <v>1</v>
      </c>
      <c r="C1577" s="1693">
        <v>1</v>
      </c>
      <c r="D1577" s="616">
        <v>1</v>
      </c>
      <c r="E1577" s="1693">
        <v>1</v>
      </c>
      <c r="F1577" s="616">
        <v>1</v>
      </c>
      <c r="G1577" s="1693">
        <v>1560</v>
      </c>
      <c r="H1577" s="616">
        <v>1</v>
      </c>
      <c r="K1577" s="69"/>
      <c r="L1577"/>
      <c r="W1577" s="1772"/>
      <c r="X1577" s="1366"/>
      <c r="Y1577" s="1366"/>
      <c r="Z1577" s="1366"/>
      <c r="AA1577" s="1366"/>
      <c r="AB1577" s="1366"/>
      <c r="AC1577" s="1366"/>
      <c r="AD1577" s="1366"/>
      <c r="AE1577" s="1366"/>
      <c r="AF1577" s="1366"/>
      <c r="AG1577" s="1366"/>
      <c r="AH1577" s="69"/>
      <c r="AI1577" s="69"/>
      <c r="AJ1577" s="69"/>
      <c r="AK1577" s="69"/>
      <c r="AL1577" s="69"/>
      <c r="AM1577" s="69"/>
      <c r="AN1577" s="69"/>
      <c r="AO1577" s="69"/>
      <c r="AP1577" s="69"/>
    </row>
    <row r="1578" spans="1:42" ht="14.5">
      <c r="A1578" s="1693">
        <v>1</v>
      </c>
      <c r="B1578" s="616">
        <v>1</v>
      </c>
      <c r="C1578" s="1693">
        <v>1</v>
      </c>
      <c r="D1578" s="616">
        <v>1</v>
      </c>
      <c r="E1578" s="1693">
        <v>1</v>
      </c>
      <c r="F1578" s="616">
        <v>1</v>
      </c>
      <c r="G1578" s="1693">
        <v>1561</v>
      </c>
      <c r="H1578" s="616">
        <v>1</v>
      </c>
      <c r="K1578" s="69"/>
      <c r="L1578"/>
      <c r="N1578" s="4" t="s">
        <v>936</v>
      </c>
      <c r="W1578" s="1772"/>
      <c r="X1578" s="1366"/>
      <c r="Y1578" s="1366"/>
      <c r="Z1578" s="1366"/>
      <c r="AA1578" s="1366"/>
      <c r="AB1578" s="1366"/>
      <c r="AC1578" s="1366"/>
      <c r="AD1578" s="1366"/>
      <c r="AE1578" s="1366"/>
      <c r="AF1578" s="1366"/>
      <c r="AG1578" s="1366"/>
      <c r="AH1578" s="69"/>
      <c r="AI1578" s="69"/>
      <c r="AJ1578" s="69"/>
      <c r="AK1578" s="69"/>
      <c r="AL1578" s="69"/>
      <c r="AM1578" s="69"/>
      <c r="AN1578" s="69"/>
      <c r="AO1578" s="69"/>
      <c r="AP1578" s="69"/>
    </row>
    <row r="1579" spans="1:42" ht="14.5">
      <c r="A1579" s="1693">
        <v>1</v>
      </c>
      <c r="B1579" s="616">
        <v>1</v>
      </c>
      <c r="C1579" s="1693">
        <v>1</v>
      </c>
      <c r="D1579" s="616">
        <v>1</v>
      </c>
      <c r="E1579" s="1693">
        <v>1</v>
      </c>
      <c r="F1579" s="616">
        <v>1</v>
      </c>
      <c r="G1579" s="1693">
        <v>1562</v>
      </c>
      <c r="H1579" s="616">
        <v>1</v>
      </c>
      <c r="K1579" s="69"/>
      <c r="L1579"/>
      <c r="M1579" s="1050"/>
      <c r="N1579" s="1051"/>
      <c r="O1579" s="1064" t="s">
        <v>0</v>
      </c>
      <c r="P1579" s="1065"/>
      <c r="Q1579" s="1065"/>
      <c r="R1579" s="1066"/>
      <c r="S1579" s="1067"/>
      <c r="T1579" s="1067"/>
      <c r="U1579" s="1067"/>
      <c r="V1579" s="1067"/>
      <c r="W1579" s="2225"/>
      <c r="X1579" s="2537">
        <v>91600</v>
      </c>
      <c r="Y1579" s="2537">
        <v>6000</v>
      </c>
      <c r="Z1579" s="2537">
        <v>26100</v>
      </c>
      <c r="AA1579" s="2537">
        <v>16000</v>
      </c>
      <c r="AB1579" s="2537">
        <v>47800</v>
      </c>
      <c r="AC1579" s="2537">
        <v>26800</v>
      </c>
      <c r="AD1579" s="2537">
        <v>31600</v>
      </c>
      <c r="AE1579" s="2537">
        <v>16300</v>
      </c>
      <c r="AF1579" s="2537">
        <v>17300</v>
      </c>
      <c r="AG1579" s="2537">
        <v>41900</v>
      </c>
      <c r="AH1579" s="2537">
        <v>26000</v>
      </c>
      <c r="AI1579" s="2537">
        <v>42500</v>
      </c>
      <c r="AJ1579" s="2537">
        <v>123700</v>
      </c>
      <c r="AK1579" s="2537">
        <v>90600</v>
      </c>
      <c r="AL1579" s="2537">
        <v>65200</v>
      </c>
      <c r="AM1579" s="2537">
        <v>110400</v>
      </c>
      <c r="AN1579" s="2537">
        <v>214300</v>
      </c>
      <c r="AO1579" s="2537">
        <v>175600</v>
      </c>
      <c r="AP1579" s="2537">
        <v>389900</v>
      </c>
    </row>
    <row r="1580" spans="1:42" ht="14.5">
      <c r="A1580" s="1693">
        <v>1</v>
      </c>
      <c r="B1580" s="616">
        <v>1</v>
      </c>
      <c r="C1580" s="1693">
        <v>1</v>
      </c>
      <c r="D1580" s="616">
        <v>1</v>
      </c>
      <c r="E1580" s="1693">
        <v>1</v>
      </c>
      <c r="F1580" s="616">
        <v>1</v>
      </c>
      <c r="G1580" s="1693">
        <v>1563</v>
      </c>
      <c r="H1580" s="616">
        <v>1</v>
      </c>
      <c r="K1580" s="69"/>
      <c r="L1580"/>
      <c r="M1580" s="1050"/>
      <c r="N1580" s="1051"/>
      <c r="O1580" s="750"/>
      <c r="P1580" s="1055" t="s">
        <v>1155</v>
      </c>
      <c r="Q1580" s="1055"/>
      <c r="R1580" s="1056"/>
      <c r="S1580" s="213"/>
      <c r="T1580" s="213"/>
      <c r="U1580" s="213"/>
      <c r="V1580" s="213"/>
      <c r="W1580" s="2481"/>
      <c r="X1580" s="2529">
        <v>84900</v>
      </c>
      <c r="Y1580" s="2529">
        <v>0</v>
      </c>
      <c r="Z1580" s="2529">
        <v>19200</v>
      </c>
      <c r="AA1580" s="2529">
        <v>9700</v>
      </c>
      <c r="AB1580" s="2529">
        <v>41500</v>
      </c>
      <c r="AC1580" s="2529">
        <v>19200</v>
      </c>
      <c r="AD1580" s="2529">
        <v>25000</v>
      </c>
      <c r="AE1580" s="2529">
        <v>9700</v>
      </c>
      <c r="AF1580" s="2529">
        <v>9700</v>
      </c>
      <c r="AG1580" s="2529">
        <v>35000</v>
      </c>
      <c r="AH1580" s="2529">
        <v>19200</v>
      </c>
      <c r="AI1580" s="2529">
        <v>34700</v>
      </c>
      <c r="AJ1580" s="2529">
        <v>104100</v>
      </c>
      <c r="AK1580" s="2529">
        <v>70400</v>
      </c>
      <c r="AL1580" s="2529">
        <v>44400</v>
      </c>
      <c r="AM1580" s="2529">
        <v>88900</v>
      </c>
      <c r="AN1580" s="2529">
        <v>174500</v>
      </c>
      <c r="AO1580" s="2529">
        <v>133300</v>
      </c>
      <c r="AP1580" s="2529">
        <v>307800</v>
      </c>
    </row>
    <row r="1581" spans="1:42" ht="14.5">
      <c r="A1581" s="1693">
        <v>1</v>
      </c>
      <c r="B1581" s="616">
        <v>1</v>
      </c>
      <c r="C1581" s="1693">
        <v>1</v>
      </c>
      <c r="D1581" s="616">
        <v>1</v>
      </c>
      <c r="E1581" s="1693">
        <v>1</v>
      </c>
      <c r="F1581" s="616">
        <v>1</v>
      </c>
      <c r="G1581" s="1693">
        <v>1564</v>
      </c>
      <c r="H1581" s="616">
        <v>1</v>
      </c>
      <c r="K1581" s="69"/>
      <c r="L1581"/>
      <c r="M1581" s="1050"/>
      <c r="N1581" s="1051"/>
      <c r="O1581" s="750"/>
      <c r="P1581" s="749"/>
      <c r="Q1581" s="749" t="s">
        <v>1018</v>
      </c>
      <c r="W1581" s="1899"/>
      <c r="X1581" s="579">
        <v>84900</v>
      </c>
      <c r="Y1581" s="579">
        <v>0</v>
      </c>
      <c r="Z1581" s="579">
        <v>19200</v>
      </c>
      <c r="AA1581" s="579">
        <v>9700</v>
      </c>
      <c r="AB1581" s="579">
        <v>41500</v>
      </c>
      <c r="AC1581" s="579">
        <v>19200</v>
      </c>
      <c r="AD1581" s="579">
        <v>25000</v>
      </c>
      <c r="AE1581" s="579">
        <v>9700</v>
      </c>
      <c r="AF1581" s="579">
        <v>9700</v>
      </c>
      <c r="AG1581" s="579">
        <v>35000</v>
      </c>
      <c r="AH1581" s="579">
        <v>19200</v>
      </c>
      <c r="AI1581" s="579">
        <v>34700</v>
      </c>
      <c r="AJ1581" s="579">
        <v>104100</v>
      </c>
      <c r="AK1581" s="579">
        <v>70400</v>
      </c>
      <c r="AL1581" s="579">
        <v>44400</v>
      </c>
      <c r="AM1581" s="579">
        <v>88900</v>
      </c>
      <c r="AN1581" s="579">
        <v>174500</v>
      </c>
      <c r="AO1581" s="579">
        <v>133300</v>
      </c>
      <c r="AP1581" s="579">
        <v>307800</v>
      </c>
    </row>
    <row r="1582" spans="1:42" ht="14.5">
      <c r="A1582" s="1693">
        <v>1</v>
      </c>
      <c r="B1582" s="616">
        <v>1</v>
      </c>
      <c r="C1582" s="1693">
        <v>1</v>
      </c>
      <c r="D1582" s="616">
        <v>1</v>
      </c>
      <c r="E1582" s="1693">
        <v>1</v>
      </c>
      <c r="F1582" s="616">
        <v>1</v>
      </c>
      <c r="G1582" s="1693">
        <v>1565</v>
      </c>
      <c r="H1582" s="616">
        <v>1</v>
      </c>
      <c r="K1582" s="69"/>
      <c r="L1582"/>
      <c r="M1582" s="1050"/>
      <c r="N1582" s="1051"/>
      <c r="O1582" s="750"/>
      <c r="P1582" s="749"/>
      <c r="Q1582" s="749" t="s">
        <v>1019</v>
      </c>
      <c r="W1582" s="1899"/>
      <c r="X1582" s="579">
        <v>0</v>
      </c>
      <c r="Y1582" s="579">
        <v>0</v>
      </c>
      <c r="Z1582" s="579">
        <v>0</v>
      </c>
      <c r="AA1582" s="579">
        <v>0</v>
      </c>
      <c r="AB1582" s="579">
        <v>0</v>
      </c>
      <c r="AC1582" s="579">
        <v>0</v>
      </c>
      <c r="AD1582" s="579">
        <v>0</v>
      </c>
      <c r="AE1582" s="579">
        <v>0</v>
      </c>
      <c r="AF1582" s="579">
        <v>0</v>
      </c>
      <c r="AG1582" s="579">
        <v>0</v>
      </c>
      <c r="AH1582" s="579">
        <v>0</v>
      </c>
      <c r="AI1582" s="579">
        <v>0</v>
      </c>
      <c r="AJ1582" s="579">
        <v>0</v>
      </c>
      <c r="AK1582" s="579">
        <v>0</v>
      </c>
      <c r="AL1582" s="579">
        <v>0</v>
      </c>
      <c r="AM1582" s="579">
        <v>0</v>
      </c>
      <c r="AN1582" s="579">
        <v>0</v>
      </c>
      <c r="AO1582" s="579">
        <v>0</v>
      </c>
      <c r="AP1582" s="579">
        <v>0</v>
      </c>
    </row>
    <row r="1583" spans="1:42" ht="14.5">
      <c r="A1583" s="1693">
        <v>1</v>
      </c>
      <c r="B1583" s="616">
        <v>1</v>
      </c>
      <c r="C1583" s="1693">
        <v>1</v>
      </c>
      <c r="D1583" s="616">
        <v>1</v>
      </c>
      <c r="E1583" s="1693">
        <v>1</v>
      </c>
      <c r="F1583" s="616">
        <v>1</v>
      </c>
      <c r="G1583" s="1693">
        <v>1566</v>
      </c>
      <c r="H1583" s="616">
        <v>1</v>
      </c>
      <c r="K1583" s="69"/>
      <c r="L1583"/>
      <c r="M1583" s="1050"/>
      <c r="N1583" s="1051"/>
      <c r="O1583" s="750"/>
      <c r="P1583" s="1055" t="s">
        <v>1157</v>
      </c>
      <c r="Q1583" s="1055"/>
      <c r="R1583" s="1056"/>
      <c r="S1583" s="213"/>
      <c r="T1583" s="213"/>
      <c r="U1583" s="213"/>
      <c r="V1583" s="213"/>
      <c r="W1583" s="2481"/>
      <c r="X1583" s="2529">
        <v>6700</v>
      </c>
      <c r="Y1583" s="2529">
        <v>6000</v>
      </c>
      <c r="Z1583" s="2529">
        <v>6900</v>
      </c>
      <c r="AA1583" s="2529">
        <v>6300</v>
      </c>
      <c r="AB1583" s="2529">
        <v>6300</v>
      </c>
      <c r="AC1583" s="2529">
        <v>7600</v>
      </c>
      <c r="AD1583" s="2529">
        <v>6600</v>
      </c>
      <c r="AE1583" s="2529">
        <v>6600</v>
      </c>
      <c r="AF1583" s="2529">
        <v>7600</v>
      </c>
      <c r="AG1583" s="2529">
        <v>6900</v>
      </c>
      <c r="AH1583" s="2529">
        <v>6800</v>
      </c>
      <c r="AI1583" s="2529">
        <v>7800</v>
      </c>
      <c r="AJ1583" s="2529">
        <v>19600</v>
      </c>
      <c r="AK1583" s="2529">
        <v>20200</v>
      </c>
      <c r="AL1583" s="2529">
        <v>20800</v>
      </c>
      <c r="AM1583" s="2529">
        <v>21500</v>
      </c>
      <c r="AN1583" s="2529">
        <v>39800</v>
      </c>
      <c r="AO1583" s="2529">
        <v>42300</v>
      </c>
      <c r="AP1583" s="2529">
        <v>82100</v>
      </c>
    </row>
    <row r="1584" spans="1:42" ht="14.5">
      <c r="A1584" s="1693">
        <v>1</v>
      </c>
      <c r="B1584" s="616">
        <v>1</v>
      </c>
      <c r="C1584" s="1693">
        <v>1</v>
      </c>
      <c r="D1584" s="616">
        <v>1</v>
      </c>
      <c r="E1584" s="1693">
        <v>1</v>
      </c>
      <c r="F1584" s="616">
        <v>1</v>
      </c>
      <c r="G1584" s="1693">
        <v>1567</v>
      </c>
      <c r="H1584" s="616">
        <v>1</v>
      </c>
      <c r="K1584" s="69"/>
      <c r="L1584"/>
      <c r="M1584" s="1050"/>
      <c r="N1584" s="1051"/>
      <c r="O1584" s="750"/>
      <c r="P1584" s="749"/>
      <c r="Q1584" s="749" t="s">
        <v>1018</v>
      </c>
      <c r="W1584" s="1899"/>
      <c r="X1584" s="579">
        <v>6700</v>
      </c>
      <c r="Y1584" s="579">
        <v>6000</v>
      </c>
      <c r="Z1584" s="579">
        <v>6900</v>
      </c>
      <c r="AA1584" s="579">
        <v>6300</v>
      </c>
      <c r="AB1584" s="579">
        <v>6300</v>
      </c>
      <c r="AC1584" s="579">
        <v>7600</v>
      </c>
      <c r="AD1584" s="579">
        <v>6600</v>
      </c>
      <c r="AE1584" s="579">
        <v>6600</v>
      </c>
      <c r="AF1584" s="579">
        <v>7600</v>
      </c>
      <c r="AG1584" s="579">
        <v>6900</v>
      </c>
      <c r="AH1584" s="579">
        <v>6800</v>
      </c>
      <c r="AI1584" s="579">
        <v>7800</v>
      </c>
      <c r="AJ1584" s="579">
        <v>19600</v>
      </c>
      <c r="AK1584" s="579">
        <v>20200</v>
      </c>
      <c r="AL1584" s="579">
        <v>20800</v>
      </c>
      <c r="AM1584" s="579">
        <v>21500</v>
      </c>
      <c r="AN1584" s="579">
        <v>39800</v>
      </c>
      <c r="AO1584" s="579">
        <v>42300</v>
      </c>
      <c r="AP1584" s="579">
        <v>82100</v>
      </c>
    </row>
    <row r="1585" spans="1:42" ht="14.5">
      <c r="A1585" s="1693">
        <v>1</v>
      </c>
      <c r="B1585" s="616">
        <v>1</v>
      </c>
      <c r="C1585" s="1693">
        <v>1</v>
      </c>
      <c r="D1585" s="616">
        <v>1</v>
      </c>
      <c r="E1585" s="1693">
        <v>1</v>
      </c>
      <c r="F1585" s="616">
        <v>1</v>
      </c>
      <c r="G1585" s="1693">
        <v>1568</v>
      </c>
      <c r="H1585" s="616">
        <v>1</v>
      </c>
      <c r="K1585" s="69"/>
      <c r="L1585"/>
      <c r="M1585" s="1050"/>
      <c r="N1585" s="1051"/>
      <c r="O1585" s="750"/>
      <c r="P1585" s="749"/>
      <c r="Q1585" s="749" t="s">
        <v>1019</v>
      </c>
      <c r="W1585" s="1899"/>
      <c r="X1585" s="579">
        <v>0</v>
      </c>
      <c r="Y1585" s="579">
        <v>0</v>
      </c>
      <c r="Z1585" s="579">
        <v>0</v>
      </c>
      <c r="AA1585" s="579">
        <v>0</v>
      </c>
      <c r="AB1585" s="579">
        <v>0</v>
      </c>
      <c r="AC1585" s="579">
        <v>0</v>
      </c>
      <c r="AD1585" s="579">
        <v>0</v>
      </c>
      <c r="AE1585" s="579">
        <v>0</v>
      </c>
      <c r="AF1585" s="579">
        <v>0</v>
      </c>
      <c r="AG1585" s="579">
        <v>0</v>
      </c>
      <c r="AH1585" s="579">
        <v>0</v>
      </c>
      <c r="AI1585" s="579">
        <v>0</v>
      </c>
      <c r="AJ1585" s="579">
        <v>0</v>
      </c>
      <c r="AK1585" s="579">
        <v>0</v>
      </c>
      <c r="AL1585" s="579">
        <v>0</v>
      </c>
      <c r="AM1585" s="579">
        <v>0</v>
      </c>
      <c r="AN1585" s="579">
        <v>0</v>
      </c>
      <c r="AO1585" s="579">
        <v>0</v>
      </c>
      <c r="AP1585" s="579">
        <v>0</v>
      </c>
    </row>
    <row r="1586" spans="1:42" ht="14.5">
      <c r="A1586" s="1693">
        <v>1</v>
      </c>
      <c r="B1586" s="616">
        <v>1</v>
      </c>
      <c r="C1586" s="1693">
        <v>1</v>
      </c>
      <c r="D1586" s="616">
        <v>1</v>
      </c>
      <c r="E1586" s="1693">
        <v>1</v>
      </c>
      <c r="F1586" s="616">
        <v>1</v>
      </c>
      <c r="G1586" s="1693">
        <v>1569</v>
      </c>
      <c r="H1586" s="616">
        <v>1</v>
      </c>
      <c r="K1586" s="69"/>
      <c r="L1586"/>
      <c r="M1586" s="1050"/>
      <c r="N1586" s="1051"/>
      <c r="O1586" s="1064" t="s">
        <v>1208</v>
      </c>
      <c r="P1586" s="1065"/>
      <c r="Q1586" s="1065"/>
      <c r="R1586" s="1066"/>
      <c r="S1586" s="1067"/>
      <c r="T1586" s="1067"/>
      <c r="U1586" s="1067"/>
      <c r="V1586" s="1067"/>
      <c r="W1586" s="2225"/>
      <c r="X1586" s="2537">
        <v>79086.388654649214</v>
      </c>
      <c r="Y1586" s="2537">
        <v>4353.8716985197061</v>
      </c>
      <c r="Z1586" s="2537">
        <v>17995.64978083668</v>
      </c>
      <c r="AA1586" s="2537">
        <v>13433.104890946441</v>
      </c>
      <c r="AB1586" s="2537">
        <v>39246.900011538768</v>
      </c>
      <c r="AC1586" s="2537">
        <v>18452.13546440049</v>
      </c>
      <c r="AD1586" s="2537">
        <v>24471.66193155371</v>
      </c>
      <c r="AE1586" s="2537">
        <v>13747.851440178123</v>
      </c>
      <c r="AF1586" s="2537">
        <v>14415.690328058805</v>
      </c>
      <c r="AG1586" s="2537">
        <v>28742.10879228028</v>
      </c>
      <c r="AH1586" s="2537">
        <v>17940.741281282888</v>
      </c>
      <c r="AI1586" s="2537">
        <v>34215.896254796055</v>
      </c>
      <c r="AJ1586" s="2537">
        <v>101435.91013400561</v>
      </c>
      <c r="AK1586" s="2537">
        <v>71132.140366885695</v>
      </c>
      <c r="AL1586" s="2537">
        <v>52635.20369979064</v>
      </c>
      <c r="AM1586" s="2537">
        <v>80898.746328359222</v>
      </c>
      <c r="AN1586" s="2537">
        <v>172568.05050089129</v>
      </c>
      <c r="AO1586" s="2537">
        <v>133533.95002814988</v>
      </c>
      <c r="AP1586" s="2537">
        <v>306102.00052904116</v>
      </c>
    </row>
    <row r="1587" spans="1:42" ht="14.5">
      <c r="A1587" s="1693">
        <v>1</v>
      </c>
      <c r="B1587" s="616">
        <v>1</v>
      </c>
      <c r="C1587" s="1693">
        <v>1</v>
      </c>
      <c r="D1587" s="616">
        <v>1</v>
      </c>
      <c r="E1587" s="1693">
        <v>1</v>
      </c>
      <c r="F1587" s="616">
        <v>1</v>
      </c>
      <c r="G1587" s="1693">
        <v>1570</v>
      </c>
      <c r="H1587" s="616">
        <v>1</v>
      </c>
      <c r="K1587" s="69"/>
      <c r="L1587"/>
      <c r="M1587" s="1050"/>
      <c r="N1587" s="1051"/>
      <c r="O1587" s="750"/>
      <c r="P1587" s="1055" t="s">
        <v>1155</v>
      </c>
      <c r="Q1587" s="1055"/>
      <c r="R1587" s="1056"/>
      <c r="S1587" s="213"/>
      <c r="T1587" s="213"/>
      <c r="U1587" s="213"/>
      <c r="V1587" s="213"/>
      <c r="W1587" s="2481"/>
      <c r="X1587" s="2529">
        <v>74196.665999999997</v>
      </c>
      <c r="Y1587" s="2529">
        <v>0</v>
      </c>
      <c r="Z1587" s="2529">
        <v>13033.649000000001</v>
      </c>
      <c r="AA1587" s="2529">
        <v>8996.6659999999993</v>
      </c>
      <c r="AB1587" s="2529">
        <v>34688</v>
      </c>
      <c r="AC1587" s="2529">
        <v>13033.649000000001</v>
      </c>
      <c r="AD1587" s="2529">
        <v>19688</v>
      </c>
      <c r="AE1587" s="2529">
        <v>8996.6659999999993</v>
      </c>
      <c r="AF1587" s="2529">
        <v>8996.6659999999993</v>
      </c>
      <c r="AG1587" s="2529">
        <v>23869.827469999997</v>
      </c>
      <c r="AH1587" s="2529">
        <v>13033.649000000001</v>
      </c>
      <c r="AI1587" s="2529">
        <v>28684.666000000001</v>
      </c>
      <c r="AJ1587" s="2529">
        <v>87230.315000000002</v>
      </c>
      <c r="AK1587" s="2529">
        <v>56718.315000000002</v>
      </c>
      <c r="AL1587" s="2529">
        <v>37681.331999999995</v>
      </c>
      <c r="AM1587" s="2529">
        <v>65588.142469999992</v>
      </c>
      <c r="AN1587" s="2529">
        <v>143948.63</v>
      </c>
      <c r="AO1587" s="2529">
        <v>103269.47446999999</v>
      </c>
      <c r="AP1587" s="2529">
        <v>247218.10446999999</v>
      </c>
    </row>
    <row r="1588" spans="1:42" ht="14.5">
      <c r="A1588" s="1693">
        <v>1</v>
      </c>
      <c r="B1588" s="616">
        <v>1</v>
      </c>
      <c r="C1588" s="1693">
        <v>1</v>
      </c>
      <c r="D1588" s="616">
        <v>1</v>
      </c>
      <c r="E1588" s="1693">
        <v>1</v>
      </c>
      <c r="F1588" s="616">
        <v>1</v>
      </c>
      <c r="G1588" s="1693">
        <v>1571</v>
      </c>
      <c r="H1588" s="616">
        <v>1</v>
      </c>
      <c r="K1588" s="69"/>
      <c r="L1588"/>
      <c r="M1588" s="1050"/>
      <c r="N1588" s="1051"/>
      <c r="O1588" s="750"/>
      <c r="P1588" s="749"/>
      <c r="Q1588" s="749" t="s">
        <v>1018</v>
      </c>
      <c r="W1588" s="1899"/>
      <c r="X1588" s="579">
        <v>74196.665999999997</v>
      </c>
      <c r="Y1588" s="579">
        <v>0</v>
      </c>
      <c r="Z1588" s="579">
        <v>13033.649000000001</v>
      </c>
      <c r="AA1588" s="579">
        <v>8996.6659999999993</v>
      </c>
      <c r="AB1588" s="579">
        <v>34688</v>
      </c>
      <c r="AC1588" s="579">
        <v>13033.649000000001</v>
      </c>
      <c r="AD1588" s="579">
        <v>19688</v>
      </c>
      <c r="AE1588" s="579">
        <v>8996.6659999999993</v>
      </c>
      <c r="AF1588" s="579">
        <v>8996.6659999999993</v>
      </c>
      <c r="AG1588" s="579">
        <v>23869.827469999997</v>
      </c>
      <c r="AH1588" s="579">
        <v>13033.649000000001</v>
      </c>
      <c r="AI1588" s="579">
        <v>28684.666000000001</v>
      </c>
      <c r="AJ1588" s="579">
        <v>87230.315000000002</v>
      </c>
      <c r="AK1588" s="579">
        <v>56718.315000000002</v>
      </c>
      <c r="AL1588" s="579">
        <v>37681.331999999995</v>
      </c>
      <c r="AM1588" s="579">
        <v>65588.142469999992</v>
      </c>
      <c r="AN1588" s="579">
        <v>143948.63</v>
      </c>
      <c r="AO1588" s="579">
        <v>103269.47446999999</v>
      </c>
      <c r="AP1588" s="579">
        <v>247218.10446999999</v>
      </c>
    </row>
    <row r="1589" spans="1:42" ht="14.5">
      <c r="A1589" s="1693">
        <v>1</v>
      </c>
      <c r="B1589" s="616">
        <v>1</v>
      </c>
      <c r="C1589" s="1693">
        <v>1</v>
      </c>
      <c r="D1589" s="616">
        <v>1</v>
      </c>
      <c r="E1589" s="1693">
        <v>1</v>
      </c>
      <c r="F1589" s="616">
        <v>1</v>
      </c>
      <c r="G1589" s="1693">
        <v>1572</v>
      </c>
      <c r="H1589" s="616">
        <v>1</v>
      </c>
      <c r="K1589" s="69"/>
      <c r="L1589"/>
      <c r="M1589" s="1050"/>
      <c r="N1589" s="1051"/>
      <c r="O1589" s="750"/>
      <c r="P1589" s="749"/>
      <c r="Q1589" s="749" t="s">
        <v>1019</v>
      </c>
      <c r="W1589" s="1899"/>
      <c r="X1589" s="579">
        <v>0</v>
      </c>
      <c r="Y1589" s="579">
        <v>0</v>
      </c>
      <c r="Z1589" s="579">
        <v>0</v>
      </c>
      <c r="AA1589" s="579">
        <v>0</v>
      </c>
      <c r="AB1589" s="579">
        <v>0</v>
      </c>
      <c r="AC1589" s="579">
        <v>0</v>
      </c>
      <c r="AD1589" s="579">
        <v>0</v>
      </c>
      <c r="AE1589" s="579">
        <v>0</v>
      </c>
      <c r="AF1589" s="579">
        <v>0</v>
      </c>
      <c r="AG1589" s="579">
        <v>0</v>
      </c>
      <c r="AH1589" s="579">
        <v>0</v>
      </c>
      <c r="AI1589" s="579">
        <v>0</v>
      </c>
      <c r="AJ1589" s="579">
        <v>0</v>
      </c>
      <c r="AK1589" s="579">
        <v>0</v>
      </c>
      <c r="AL1589" s="579">
        <v>0</v>
      </c>
      <c r="AM1589" s="579">
        <v>0</v>
      </c>
      <c r="AN1589" s="579">
        <v>0</v>
      </c>
      <c r="AO1589" s="579">
        <v>0</v>
      </c>
      <c r="AP1589" s="579">
        <v>0</v>
      </c>
    </row>
    <row r="1590" spans="1:42" ht="14.5">
      <c r="A1590" s="1693">
        <v>1</v>
      </c>
      <c r="B1590" s="616">
        <v>1</v>
      </c>
      <c r="C1590" s="1693">
        <v>1</v>
      </c>
      <c r="D1590" s="616">
        <v>1</v>
      </c>
      <c r="E1590" s="1693">
        <v>1</v>
      </c>
      <c r="F1590" s="616">
        <v>1</v>
      </c>
      <c r="G1590" s="1693">
        <v>1573</v>
      </c>
      <c r="H1590" s="616">
        <v>1</v>
      </c>
      <c r="K1590" s="69"/>
      <c r="L1590"/>
      <c r="M1590" s="1050"/>
      <c r="N1590" s="1051"/>
      <c r="O1590" s="750"/>
      <c r="P1590" s="1055" t="s">
        <v>1157</v>
      </c>
      <c r="Q1590" s="1055"/>
      <c r="R1590" s="1056"/>
      <c r="S1590" s="213"/>
      <c r="T1590" s="213"/>
      <c r="U1590" s="213"/>
      <c r="V1590" s="213"/>
      <c r="W1590" s="2481"/>
      <c r="X1590" s="2529">
        <v>3352.6000000000004</v>
      </c>
      <c r="Y1590" s="2529">
        <v>3200</v>
      </c>
      <c r="Z1590" s="2529">
        <v>3709</v>
      </c>
      <c r="AA1590" s="2529">
        <v>3265.3999999999996</v>
      </c>
      <c r="AB1590" s="2529">
        <v>3265.3999999999996</v>
      </c>
      <c r="AC1590" s="2529">
        <v>4096.2</v>
      </c>
      <c r="AD1590" s="2529">
        <v>3565.3999999999996</v>
      </c>
      <c r="AE1590" s="2529">
        <v>3565.3999999999996</v>
      </c>
      <c r="AF1590" s="2529">
        <v>4096.2</v>
      </c>
      <c r="AG1590" s="2529">
        <v>3630.7999999999993</v>
      </c>
      <c r="AH1590" s="2529">
        <v>3609</v>
      </c>
      <c r="AI1590" s="2529">
        <v>4139.7999999999993</v>
      </c>
      <c r="AJ1590" s="2529">
        <v>10261.6</v>
      </c>
      <c r="AK1590" s="2529">
        <v>10627</v>
      </c>
      <c r="AL1590" s="2529">
        <v>11227</v>
      </c>
      <c r="AM1590" s="2529">
        <v>11379.599999999999</v>
      </c>
      <c r="AN1590" s="2529">
        <v>20888.599999999999</v>
      </c>
      <c r="AO1590" s="2529">
        <v>22606.6</v>
      </c>
      <c r="AP1590" s="2529">
        <v>43495.199999999997</v>
      </c>
    </row>
    <row r="1591" spans="1:42" ht="14.5">
      <c r="A1591" s="1693">
        <v>1</v>
      </c>
      <c r="B1591" s="616">
        <v>1</v>
      </c>
      <c r="C1591" s="1693">
        <v>1</v>
      </c>
      <c r="D1591" s="616">
        <v>1</v>
      </c>
      <c r="E1591" s="1693">
        <v>1</v>
      </c>
      <c r="F1591" s="616">
        <v>1</v>
      </c>
      <c r="G1591" s="1693">
        <v>1574</v>
      </c>
      <c r="H1591" s="616">
        <v>1</v>
      </c>
      <c r="K1591" s="69"/>
      <c r="L1591"/>
      <c r="M1591" s="1050"/>
      <c r="N1591" s="1051"/>
      <c r="O1591" s="750"/>
      <c r="P1591" s="749"/>
      <c r="Q1591" s="749" t="s">
        <v>1018</v>
      </c>
      <c r="W1591" s="1899"/>
      <c r="X1591" s="579">
        <v>3352.6000000000004</v>
      </c>
      <c r="Y1591" s="579">
        <v>3200</v>
      </c>
      <c r="Z1591" s="579">
        <v>3709</v>
      </c>
      <c r="AA1591" s="579">
        <v>3265.3999999999996</v>
      </c>
      <c r="AB1591" s="579">
        <v>3265.3999999999996</v>
      </c>
      <c r="AC1591" s="579">
        <v>4096.2</v>
      </c>
      <c r="AD1591" s="579">
        <v>3565.3999999999996</v>
      </c>
      <c r="AE1591" s="579">
        <v>3565.3999999999996</v>
      </c>
      <c r="AF1591" s="579">
        <v>4096.2</v>
      </c>
      <c r="AG1591" s="579">
        <v>3630.7999999999993</v>
      </c>
      <c r="AH1591" s="579">
        <v>3609</v>
      </c>
      <c r="AI1591" s="579">
        <v>4139.7999999999993</v>
      </c>
      <c r="AJ1591" s="579">
        <v>10261.6</v>
      </c>
      <c r="AK1591" s="579">
        <v>10627</v>
      </c>
      <c r="AL1591" s="579">
        <v>11227</v>
      </c>
      <c r="AM1591" s="579">
        <v>11379.599999999999</v>
      </c>
      <c r="AN1591" s="579">
        <v>20888.599999999999</v>
      </c>
      <c r="AO1591" s="579">
        <v>22606.6</v>
      </c>
      <c r="AP1591" s="579">
        <v>43495.199999999997</v>
      </c>
    </row>
    <row r="1592" spans="1:42" ht="14.5">
      <c r="A1592" s="1693">
        <v>1</v>
      </c>
      <c r="B1592" s="616">
        <v>1</v>
      </c>
      <c r="C1592" s="1693">
        <v>1</v>
      </c>
      <c r="D1592" s="616">
        <v>1</v>
      </c>
      <c r="E1592" s="1693">
        <v>1</v>
      </c>
      <c r="F1592" s="616">
        <v>1</v>
      </c>
      <c r="G1592" s="1693">
        <v>1575</v>
      </c>
      <c r="H1592" s="616">
        <v>1</v>
      </c>
      <c r="K1592" s="69"/>
      <c r="L1592"/>
      <c r="M1592" s="1050"/>
      <c r="N1592" s="1051"/>
      <c r="O1592" s="750"/>
      <c r="P1592" s="749"/>
      <c r="Q1592" s="749" t="s">
        <v>1019</v>
      </c>
      <c r="W1592" s="1899"/>
      <c r="X1592" s="579">
        <v>0</v>
      </c>
      <c r="Y1592" s="579">
        <v>0</v>
      </c>
      <c r="Z1592" s="579">
        <v>0</v>
      </c>
      <c r="AA1592" s="579">
        <v>0</v>
      </c>
      <c r="AB1592" s="579">
        <v>0</v>
      </c>
      <c r="AC1592" s="579">
        <v>0</v>
      </c>
      <c r="AD1592" s="579">
        <v>0</v>
      </c>
      <c r="AE1592" s="579">
        <v>0</v>
      </c>
      <c r="AF1592" s="579">
        <v>0</v>
      </c>
      <c r="AG1592" s="579">
        <v>0</v>
      </c>
      <c r="AH1592" s="579">
        <v>0</v>
      </c>
      <c r="AI1592" s="579">
        <v>0</v>
      </c>
      <c r="AJ1592" s="579">
        <v>0</v>
      </c>
      <c r="AK1592" s="579">
        <v>0</v>
      </c>
      <c r="AL1592" s="579">
        <v>0</v>
      </c>
      <c r="AM1592" s="579">
        <v>0</v>
      </c>
      <c r="AN1592" s="579">
        <v>0</v>
      </c>
      <c r="AO1592" s="579">
        <v>0</v>
      </c>
      <c r="AP1592" s="579">
        <v>0</v>
      </c>
    </row>
    <row r="1593" spans="1:42" ht="14.5">
      <c r="A1593" s="1693">
        <v>1</v>
      </c>
      <c r="B1593" s="616">
        <v>1</v>
      </c>
      <c r="C1593" s="1693">
        <v>1</v>
      </c>
      <c r="D1593" s="616">
        <v>1</v>
      </c>
      <c r="E1593" s="1693">
        <v>1</v>
      </c>
      <c r="F1593" s="616">
        <v>1</v>
      </c>
      <c r="G1593" s="1693">
        <v>1576</v>
      </c>
      <c r="H1593" s="616">
        <v>1</v>
      </c>
      <c r="K1593" s="69"/>
      <c r="L1593"/>
      <c r="M1593" s="1050"/>
      <c r="N1593" s="1051"/>
      <c r="O1593" s="750"/>
      <c r="P1593" s="1055" t="s">
        <v>1213</v>
      </c>
      <c r="Q1593" s="1055"/>
      <c r="R1593" s="1056"/>
      <c r="S1593" s="213"/>
      <c r="T1593" s="213"/>
      <c r="U1593" s="213"/>
      <c r="V1593" s="213"/>
      <c r="W1593" s="2481"/>
      <c r="X1593" s="2529">
        <v>1537.1226546492157</v>
      </c>
      <c r="Y1593" s="2529">
        <v>1153.8716985197061</v>
      </c>
      <c r="Z1593" s="2529">
        <v>1253.000780836679</v>
      </c>
      <c r="AA1593" s="2529">
        <v>1171.0388909464423</v>
      </c>
      <c r="AB1593" s="2529">
        <v>1293.5000115387693</v>
      </c>
      <c r="AC1593" s="2529">
        <v>1322.2864644004865</v>
      </c>
      <c r="AD1593" s="2529">
        <v>1218.2619315537088</v>
      </c>
      <c r="AE1593" s="2529">
        <v>1185.7854401781244</v>
      </c>
      <c r="AF1593" s="2529">
        <v>1322.8243280588065</v>
      </c>
      <c r="AG1593" s="2529">
        <v>1241.4813222802829</v>
      </c>
      <c r="AH1593" s="2529">
        <v>1298.0922812828881</v>
      </c>
      <c r="AI1593" s="2529">
        <v>1391.4302547960551</v>
      </c>
      <c r="AJ1593" s="2529">
        <v>3943.9951340056009</v>
      </c>
      <c r="AK1593" s="2529">
        <v>3786.8253668856978</v>
      </c>
      <c r="AL1593" s="2529">
        <v>3726.8716997906395</v>
      </c>
      <c r="AM1593" s="2529">
        <v>3931.0038583592259</v>
      </c>
      <c r="AN1593" s="2529">
        <v>7730.8205008912992</v>
      </c>
      <c r="AO1593" s="2529">
        <v>7657.8755581498654</v>
      </c>
      <c r="AP1593" s="2529">
        <v>15388.696059041165</v>
      </c>
    </row>
    <row r="1594" spans="1:42" ht="14.5">
      <c r="A1594" s="1693">
        <v>1</v>
      </c>
      <c r="B1594" s="616">
        <v>1</v>
      </c>
      <c r="C1594" s="1693">
        <v>1</v>
      </c>
      <c r="D1594" s="616">
        <v>1</v>
      </c>
      <c r="E1594" s="1693">
        <v>1</v>
      </c>
      <c r="F1594" s="616">
        <v>1</v>
      </c>
      <c r="G1594" s="1693">
        <v>1577</v>
      </c>
      <c r="H1594" s="616">
        <v>1</v>
      </c>
      <c r="K1594" s="69"/>
      <c r="L1594"/>
      <c r="M1594" s="1050"/>
      <c r="N1594" s="1051"/>
      <c r="O1594" s="1064" t="s">
        <v>1195</v>
      </c>
      <c r="P1594" s="1065"/>
      <c r="Q1594" s="1065"/>
      <c r="R1594" s="1066"/>
      <c r="S1594" s="1067"/>
      <c r="T1594" s="1067"/>
      <c r="U1594" s="1067"/>
      <c r="V1594" s="1067"/>
      <c r="W1594" s="2225"/>
      <c r="X1594" s="2537">
        <v>12513.611345350786</v>
      </c>
      <c r="Y1594" s="2537">
        <v>1646.1283014802939</v>
      </c>
      <c r="Z1594" s="2537">
        <v>8104.3502191633197</v>
      </c>
      <c r="AA1594" s="2537">
        <v>2566.8951090535593</v>
      </c>
      <c r="AB1594" s="2537">
        <v>8553.099988461232</v>
      </c>
      <c r="AC1594" s="2537">
        <v>8347.8645355995104</v>
      </c>
      <c r="AD1594" s="2537">
        <v>7128.33806844629</v>
      </c>
      <c r="AE1594" s="2537">
        <v>2552.1485598218769</v>
      </c>
      <c r="AF1594" s="2537">
        <v>2884.3096719411951</v>
      </c>
      <c r="AG1594" s="2537">
        <v>13157.89120771972</v>
      </c>
      <c r="AH1594" s="2537">
        <v>8059.2587187171121</v>
      </c>
      <c r="AI1594" s="2537">
        <v>8284.1037452039454</v>
      </c>
      <c r="AJ1594" s="2537">
        <v>22264.0898659944</v>
      </c>
      <c r="AK1594" s="2537">
        <v>19467.859633114302</v>
      </c>
      <c r="AL1594" s="2537">
        <v>12564.796300209362</v>
      </c>
      <c r="AM1594" s="2537">
        <v>29501.253671640778</v>
      </c>
      <c r="AN1594" s="2537">
        <v>41731.949499108698</v>
      </c>
      <c r="AO1594" s="2537">
        <v>42066.049971850138</v>
      </c>
      <c r="AP1594" s="2537">
        <v>83797.999470958835</v>
      </c>
    </row>
    <row r="1595" spans="1:42" ht="14.5">
      <c r="A1595" s="1693">
        <v>1</v>
      </c>
      <c r="B1595" s="616">
        <v>1</v>
      </c>
      <c r="C1595" s="1693">
        <v>1</v>
      </c>
      <c r="D1595" s="616">
        <v>1</v>
      </c>
      <c r="E1595" s="1693">
        <v>1</v>
      </c>
      <c r="F1595" s="616">
        <v>1</v>
      </c>
      <c r="G1595" s="1693">
        <v>1578</v>
      </c>
      <c r="H1595" s="616">
        <v>1</v>
      </c>
      <c r="K1595" s="69"/>
      <c r="L1595"/>
      <c r="M1595" s="1050"/>
      <c r="N1595" s="1051"/>
      <c r="O1595" s="750"/>
      <c r="P1595" s="1055" t="s">
        <v>1155</v>
      </c>
      <c r="Q1595" s="1055"/>
      <c r="R1595" s="1056"/>
      <c r="S1595" s="213"/>
      <c r="T1595" s="213"/>
      <c r="U1595" s="213"/>
      <c r="V1595" s="213"/>
      <c r="W1595" s="2481"/>
      <c r="X1595" s="2529">
        <v>10703.334000000003</v>
      </c>
      <c r="Y1595" s="2529">
        <v>0</v>
      </c>
      <c r="Z1595" s="2529">
        <v>6166.3509999999987</v>
      </c>
      <c r="AA1595" s="2529">
        <v>703.33400000000074</v>
      </c>
      <c r="AB1595" s="2529">
        <v>6812</v>
      </c>
      <c r="AC1595" s="2529">
        <v>6166.3509999999987</v>
      </c>
      <c r="AD1595" s="2529">
        <v>5312</v>
      </c>
      <c r="AE1595" s="2529">
        <v>703.33400000000074</v>
      </c>
      <c r="AF1595" s="2529">
        <v>703.33400000000074</v>
      </c>
      <c r="AG1595" s="2529">
        <v>11130.172530000003</v>
      </c>
      <c r="AH1595" s="2529">
        <v>6166.3509999999987</v>
      </c>
      <c r="AI1595" s="2529">
        <v>6015.3339999999989</v>
      </c>
      <c r="AJ1595" s="2529">
        <v>16869.685000000001</v>
      </c>
      <c r="AK1595" s="2529">
        <v>13681.684999999999</v>
      </c>
      <c r="AL1595" s="2529">
        <v>6718.6680000000015</v>
      </c>
      <c r="AM1595" s="2529">
        <v>23311.857530000001</v>
      </c>
      <c r="AN1595" s="2529">
        <v>30551.370000000003</v>
      </c>
      <c r="AO1595" s="2529">
        <v>30030.525530000003</v>
      </c>
      <c r="AP1595" s="2529">
        <v>60581.895530000009</v>
      </c>
    </row>
    <row r="1596" spans="1:42" ht="14.5">
      <c r="A1596" s="1693">
        <v>1</v>
      </c>
      <c r="B1596" s="616">
        <v>1</v>
      </c>
      <c r="C1596" s="1693">
        <v>1</v>
      </c>
      <c r="D1596" s="616">
        <v>1</v>
      </c>
      <c r="E1596" s="1693">
        <v>1</v>
      </c>
      <c r="F1596" s="616">
        <v>1</v>
      </c>
      <c r="G1596" s="1693">
        <v>1579</v>
      </c>
      <c r="H1596" s="616">
        <v>1</v>
      </c>
      <c r="K1596" s="69"/>
      <c r="L1596"/>
      <c r="M1596" s="1050"/>
      <c r="N1596" s="1051"/>
      <c r="O1596" s="750"/>
      <c r="P1596" s="749"/>
      <c r="Q1596" s="749" t="s">
        <v>1018</v>
      </c>
      <c r="W1596" s="1899"/>
      <c r="X1596" s="579">
        <v>10703.334000000003</v>
      </c>
      <c r="Y1596" s="579">
        <v>0</v>
      </c>
      <c r="Z1596" s="579">
        <v>6166.3509999999987</v>
      </c>
      <c r="AA1596" s="579">
        <v>703.33400000000074</v>
      </c>
      <c r="AB1596" s="579">
        <v>6812</v>
      </c>
      <c r="AC1596" s="579">
        <v>6166.3509999999987</v>
      </c>
      <c r="AD1596" s="579">
        <v>5312</v>
      </c>
      <c r="AE1596" s="579">
        <v>703.33400000000074</v>
      </c>
      <c r="AF1596" s="579">
        <v>703.33400000000074</v>
      </c>
      <c r="AG1596" s="579">
        <v>11130.172530000003</v>
      </c>
      <c r="AH1596" s="579">
        <v>6166.3509999999987</v>
      </c>
      <c r="AI1596" s="579">
        <v>6015.3339999999989</v>
      </c>
      <c r="AJ1596" s="579">
        <v>16869.685000000001</v>
      </c>
      <c r="AK1596" s="579">
        <v>13681.684999999999</v>
      </c>
      <c r="AL1596" s="579">
        <v>6718.6680000000015</v>
      </c>
      <c r="AM1596" s="579">
        <v>23311.857530000001</v>
      </c>
      <c r="AN1596" s="579">
        <v>30551.370000000003</v>
      </c>
      <c r="AO1596" s="579">
        <v>30030.525530000003</v>
      </c>
      <c r="AP1596" s="579">
        <v>60581.895530000009</v>
      </c>
    </row>
    <row r="1597" spans="1:42" ht="14.5">
      <c r="A1597" s="1693">
        <v>1</v>
      </c>
      <c r="B1597" s="616">
        <v>1</v>
      </c>
      <c r="C1597" s="1693">
        <v>1</v>
      </c>
      <c r="D1597" s="616">
        <v>1</v>
      </c>
      <c r="E1597" s="1693">
        <v>1</v>
      </c>
      <c r="F1597" s="616">
        <v>1</v>
      </c>
      <c r="G1597" s="1693">
        <v>1580</v>
      </c>
      <c r="H1597" s="616">
        <v>1</v>
      </c>
      <c r="K1597" s="69"/>
      <c r="L1597"/>
      <c r="M1597" s="1050"/>
      <c r="N1597" s="1051"/>
      <c r="O1597" s="750"/>
      <c r="P1597" s="749"/>
      <c r="Q1597" s="749" t="s">
        <v>1019</v>
      </c>
      <c r="W1597" s="1899"/>
      <c r="X1597" s="579">
        <v>0</v>
      </c>
      <c r="Y1597" s="579">
        <v>0</v>
      </c>
      <c r="Z1597" s="579">
        <v>0</v>
      </c>
      <c r="AA1597" s="579">
        <v>0</v>
      </c>
      <c r="AB1597" s="579">
        <v>0</v>
      </c>
      <c r="AC1597" s="579">
        <v>0</v>
      </c>
      <c r="AD1597" s="579">
        <v>0</v>
      </c>
      <c r="AE1597" s="579">
        <v>0</v>
      </c>
      <c r="AF1597" s="579">
        <v>0</v>
      </c>
      <c r="AG1597" s="579">
        <v>0</v>
      </c>
      <c r="AH1597" s="579">
        <v>0</v>
      </c>
      <c r="AI1597" s="579">
        <v>0</v>
      </c>
      <c r="AJ1597" s="579">
        <v>0</v>
      </c>
      <c r="AK1597" s="579">
        <v>0</v>
      </c>
      <c r="AL1597" s="579">
        <v>0</v>
      </c>
      <c r="AM1597" s="579">
        <v>0</v>
      </c>
      <c r="AN1597" s="579">
        <v>0</v>
      </c>
      <c r="AO1597" s="579">
        <v>0</v>
      </c>
      <c r="AP1597" s="579">
        <v>0</v>
      </c>
    </row>
    <row r="1598" spans="1:42" ht="14.5">
      <c r="A1598" s="1693">
        <v>1</v>
      </c>
      <c r="B1598" s="616">
        <v>1</v>
      </c>
      <c r="C1598" s="1693">
        <v>1</v>
      </c>
      <c r="D1598" s="616">
        <v>1</v>
      </c>
      <c r="E1598" s="1693">
        <v>1</v>
      </c>
      <c r="F1598" s="616">
        <v>1</v>
      </c>
      <c r="G1598" s="1693">
        <v>1581</v>
      </c>
      <c r="H1598" s="616">
        <v>1</v>
      </c>
      <c r="K1598" s="69"/>
      <c r="L1598"/>
      <c r="M1598" s="1050"/>
      <c r="N1598" s="1051"/>
      <c r="O1598" s="750"/>
      <c r="P1598" s="1055" t="s">
        <v>1157</v>
      </c>
      <c r="Q1598" s="1055"/>
      <c r="R1598" s="1056"/>
      <c r="S1598" s="213"/>
      <c r="T1598" s="213"/>
      <c r="U1598" s="213"/>
      <c r="V1598" s="213"/>
      <c r="W1598" s="2481"/>
      <c r="X1598" s="2529">
        <v>3347.3999999999996</v>
      </c>
      <c r="Y1598" s="2529">
        <v>2800</v>
      </c>
      <c r="Z1598" s="2529">
        <v>3191</v>
      </c>
      <c r="AA1598" s="2529">
        <v>3034.6000000000004</v>
      </c>
      <c r="AB1598" s="2529">
        <v>3034.6000000000004</v>
      </c>
      <c r="AC1598" s="2529">
        <v>3503.8</v>
      </c>
      <c r="AD1598" s="2529">
        <v>3034.6000000000004</v>
      </c>
      <c r="AE1598" s="2529">
        <v>3034.6000000000004</v>
      </c>
      <c r="AF1598" s="2529">
        <v>3503.8</v>
      </c>
      <c r="AG1598" s="2529">
        <v>3269.2000000000007</v>
      </c>
      <c r="AH1598" s="2529">
        <v>3191</v>
      </c>
      <c r="AI1598" s="2529">
        <v>3660.2000000000007</v>
      </c>
      <c r="AJ1598" s="2529">
        <v>9338.4</v>
      </c>
      <c r="AK1598" s="2529">
        <v>9573</v>
      </c>
      <c r="AL1598" s="2529">
        <v>9573</v>
      </c>
      <c r="AM1598" s="2529">
        <v>10120.400000000001</v>
      </c>
      <c r="AN1598" s="2529">
        <v>18911.400000000001</v>
      </c>
      <c r="AO1598" s="2529">
        <v>19693.400000000001</v>
      </c>
      <c r="AP1598" s="2529">
        <v>38604.800000000003</v>
      </c>
    </row>
    <row r="1599" spans="1:42" ht="14.5">
      <c r="A1599" s="1693">
        <v>1</v>
      </c>
      <c r="B1599" s="616">
        <v>1</v>
      </c>
      <c r="C1599" s="1693">
        <v>1</v>
      </c>
      <c r="D1599" s="616">
        <v>1</v>
      </c>
      <c r="E1599" s="1693">
        <v>1</v>
      </c>
      <c r="F1599" s="616">
        <v>1</v>
      </c>
      <c r="G1599" s="1693">
        <v>1582</v>
      </c>
      <c r="H1599" s="616">
        <v>1</v>
      </c>
      <c r="K1599" s="69"/>
      <c r="L1599"/>
      <c r="M1599" s="1050"/>
      <c r="N1599" s="1051"/>
      <c r="O1599" s="750"/>
      <c r="P1599" s="749"/>
      <c r="Q1599" s="749" t="s">
        <v>1018</v>
      </c>
      <c r="W1599" s="1899"/>
      <c r="X1599" s="579">
        <v>3347.3999999999996</v>
      </c>
      <c r="Y1599" s="579">
        <v>2800</v>
      </c>
      <c r="Z1599" s="579">
        <v>3191</v>
      </c>
      <c r="AA1599" s="579">
        <v>3034.6000000000004</v>
      </c>
      <c r="AB1599" s="579">
        <v>3034.6000000000004</v>
      </c>
      <c r="AC1599" s="579">
        <v>3503.8</v>
      </c>
      <c r="AD1599" s="579">
        <v>3034.6000000000004</v>
      </c>
      <c r="AE1599" s="579">
        <v>3034.6000000000004</v>
      </c>
      <c r="AF1599" s="579">
        <v>3503.8</v>
      </c>
      <c r="AG1599" s="579">
        <v>3269.2000000000007</v>
      </c>
      <c r="AH1599" s="579">
        <v>3191</v>
      </c>
      <c r="AI1599" s="579">
        <v>3660.2000000000007</v>
      </c>
      <c r="AJ1599" s="579">
        <v>9338.4</v>
      </c>
      <c r="AK1599" s="579">
        <v>9573</v>
      </c>
      <c r="AL1599" s="579">
        <v>9573</v>
      </c>
      <c r="AM1599" s="579">
        <v>10120.400000000001</v>
      </c>
      <c r="AN1599" s="579">
        <v>18911.400000000001</v>
      </c>
      <c r="AO1599" s="579">
        <v>19693.400000000001</v>
      </c>
      <c r="AP1599" s="579">
        <v>38604.800000000003</v>
      </c>
    </row>
    <row r="1600" spans="1:42" ht="14.5">
      <c r="A1600" s="1693">
        <v>1</v>
      </c>
      <c r="B1600" s="616">
        <v>1</v>
      </c>
      <c r="C1600" s="1693">
        <v>1</v>
      </c>
      <c r="D1600" s="616">
        <v>1</v>
      </c>
      <c r="E1600" s="1693">
        <v>1</v>
      </c>
      <c r="F1600" s="616">
        <v>1</v>
      </c>
      <c r="G1600" s="1693">
        <v>1583</v>
      </c>
      <c r="H1600" s="616">
        <v>1</v>
      </c>
      <c r="K1600" s="69"/>
      <c r="L1600"/>
      <c r="M1600" s="1050"/>
      <c r="N1600" s="1051"/>
      <c r="O1600" s="750"/>
      <c r="P1600" s="749"/>
      <c r="Q1600" s="749" t="s">
        <v>1019</v>
      </c>
      <c r="W1600" s="1899"/>
      <c r="X1600" s="579">
        <v>0</v>
      </c>
      <c r="Y1600" s="579">
        <v>0</v>
      </c>
      <c r="Z1600" s="579">
        <v>0</v>
      </c>
      <c r="AA1600" s="579">
        <v>0</v>
      </c>
      <c r="AB1600" s="579">
        <v>0</v>
      </c>
      <c r="AC1600" s="579">
        <v>0</v>
      </c>
      <c r="AD1600" s="579">
        <v>0</v>
      </c>
      <c r="AE1600" s="579">
        <v>0</v>
      </c>
      <c r="AF1600" s="579">
        <v>0</v>
      </c>
      <c r="AG1600" s="579">
        <v>0</v>
      </c>
      <c r="AH1600" s="579">
        <v>0</v>
      </c>
      <c r="AI1600" s="579">
        <v>0</v>
      </c>
      <c r="AJ1600" s="579">
        <v>0</v>
      </c>
      <c r="AK1600" s="579">
        <v>0</v>
      </c>
      <c r="AL1600" s="579">
        <v>0</v>
      </c>
      <c r="AM1600" s="579">
        <v>0</v>
      </c>
      <c r="AN1600" s="579">
        <v>0</v>
      </c>
      <c r="AO1600" s="579">
        <v>0</v>
      </c>
      <c r="AP1600" s="579">
        <v>0</v>
      </c>
    </row>
    <row r="1601" spans="1:42" ht="14.5">
      <c r="A1601" s="1693">
        <v>1</v>
      </c>
      <c r="B1601" s="616">
        <v>1</v>
      </c>
      <c r="C1601" s="1693">
        <v>1</v>
      </c>
      <c r="D1601" s="616">
        <v>1</v>
      </c>
      <c r="E1601" s="1693">
        <v>1</v>
      </c>
      <c r="F1601" s="616">
        <v>1</v>
      </c>
      <c r="G1601" s="1693">
        <v>1584</v>
      </c>
      <c r="H1601" s="616">
        <v>1</v>
      </c>
      <c r="K1601" s="69"/>
      <c r="L1601"/>
      <c r="M1601" s="1050"/>
      <c r="N1601" s="1051"/>
      <c r="O1601" s="1064" t="s">
        <v>1210</v>
      </c>
      <c r="P1601" s="1065"/>
      <c r="Q1601" s="1065"/>
      <c r="R1601" s="1066"/>
      <c r="S1601" s="1067"/>
      <c r="T1601" s="1067"/>
      <c r="U1601" s="1067"/>
      <c r="V1601" s="1067"/>
      <c r="W1601" s="2225"/>
      <c r="X1601" s="2538">
        <v>0.13661147756933173</v>
      </c>
      <c r="Y1601" s="2538">
        <v>0.27435471691338231</v>
      </c>
      <c r="Z1601" s="2538">
        <v>0.3105115026499356</v>
      </c>
      <c r="AA1601" s="2538">
        <v>0.16043094431584745</v>
      </c>
      <c r="AB1601" s="2538">
        <v>0.17893514620211781</v>
      </c>
      <c r="AC1601" s="2538">
        <v>0.31148748267162352</v>
      </c>
      <c r="AD1601" s="2538">
        <v>0.22558031862171804</v>
      </c>
      <c r="AE1601" s="2538">
        <v>0.15657353127741577</v>
      </c>
      <c r="AF1601" s="2538">
        <v>0.16672310242434654</v>
      </c>
      <c r="AG1601" s="2538">
        <v>0.31403081641335845</v>
      </c>
      <c r="AH1601" s="2538">
        <v>0.30997148918142736</v>
      </c>
      <c r="AI1601" s="2538">
        <v>0.19492008812244577</v>
      </c>
      <c r="AJ1601" s="2538">
        <v>0.17998455833463539</v>
      </c>
      <c r="AK1601" s="2538">
        <v>0.21487703789309384</v>
      </c>
      <c r="AL1601" s="2538">
        <v>0.19271159969646262</v>
      </c>
      <c r="AM1601" s="2538">
        <v>0.26722150064892009</v>
      </c>
      <c r="AN1601" s="2538">
        <v>0.19473611525482359</v>
      </c>
      <c r="AO1601" s="2538">
        <v>0.23955609323377072</v>
      </c>
      <c r="AP1601" s="2538">
        <v>0.21492177345719116</v>
      </c>
    </row>
    <row r="1602" spans="1:42" ht="14.5">
      <c r="A1602" s="1693">
        <v>1</v>
      </c>
      <c r="B1602" s="616">
        <v>1</v>
      </c>
      <c r="C1602" s="1693">
        <v>1</v>
      </c>
      <c r="D1602" s="616">
        <v>1</v>
      </c>
      <c r="E1602" s="1693">
        <v>1</v>
      </c>
      <c r="F1602" s="616">
        <v>1</v>
      </c>
      <c r="G1602" s="1693">
        <v>1585</v>
      </c>
      <c r="H1602" s="616">
        <v>1</v>
      </c>
      <c r="K1602" s="69"/>
      <c r="L1602"/>
      <c r="M1602" s="1050"/>
      <c r="N1602" s="1051"/>
      <c r="O1602" s="750"/>
      <c r="P1602" s="1055" t="s">
        <v>1155</v>
      </c>
      <c r="Q1602" s="1055"/>
      <c r="R1602" s="1056"/>
      <c r="S1602" s="213"/>
      <c r="T1602" s="213"/>
      <c r="U1602" s="213"/>
      <c r="V1602" s="213"/>
      <c r="W1602" s="2481"/>
      <c r="X1602" s="2531">
        <v>0.12606989399293289</v>
      </c>
      <c r="Y1602" s="2531" t="s">
        <v>891</v>
      </c>
      <c r="Z1602" s="2531">
        <v>0.32116411458333327</v>
      </c>
      <c r="AA1602" s="2531">
        <v>7.2508659793814503E-2</v>
      </c>
      <c r="AB1602" s="2531">
        <v>0.16414457831325302</v>
      </c>
      <c r="AC1602" s="2531">
        <v>0.32116411458333327</v>
      </c>
      <c r="AD1602" s="2531">
        <v>0.21248</v>
      </c>
      <c r="AE1602" s="2531">
        <v>7.2508659793814503E-2</v>
      </c>
      <c r="AF1602" s="2531">
        <v>7.2508659793814503E-2</v>
      </c>
      <c r="AG1602" s="2531">
        <v>0.3180049294285715</v>
      </c>
      <c r="AH1602" s="2531">
        <v>0.32116411458333327</v>
      </c>
      <c r="AI1602" s="2531">
        <v>0.17335256484149852</v>
      </c>
      <c r="AJ1602" s="2531">
        <v>0.16205268972142173</v>
      </c>
      <c r="AK1602" s="2531">
        <v>0.19434211647727273</v>
      </c>
      <c r="AL1602" s="2531">
        <v>0.15132135135135139</v>
      </c>
      <c r="AM1602" s="2531">
        <v>0.26222561901012376</v>
      </c>
      <c r="AN1602" s="2531">
        <v>0.1750794842406877</v>
      </c>
      <c r="AO1602" s="2531">
        <v>0.22528526279069769</v>
      </c>
      <c r="AP1602" s="2531">
        <v>0.19682227267706306</v>
      </c>
    </row>
    <row r="1603" spans="1:42" ht="14.5">
      <c r="A1603" s="1693">
        <v>1</v>
      </c>
      <c r="B1603" s="616">
        <v>1</v>
      </c>
      <c r="C1603" s="1693">
        <v>1</v>
      </c>
      <c r="D1603" s="616">
        <v>1</v>
      </c>
      <c r="E1603" s="1693">
        <v>1</v>
      </c>
      <c r="F1603" s="616">
        <v>1</v>
      </c>
      <c r="G1603" s="1693">
        <v>1586</v>
      </c>
      <c r="H1603" s="616">
        <v>1</v>
      </c>
      <c r="K1603" s="69"/>
      <c r="L1603"/>
      <c r="M1603" s="1050"/>
      <c r="N1603" s="1051"/>
      <c r="O1603" s="750"/>
      <c r="P1603" s="749"/>
      <c r="Q1603" s="749" t="s">
        <v>1018</v>
      </c>
      <c r="W1603" s="1899"/>
      <c r="X1603" s="2532">
        <v>0.12606989399293289</v>
      </c>
      <c r="Y1603" s="2532" t="s">
        <v>891</v>
      </c>
      <c r="Z1603" s="2532">
        <v>0.32116411458333327</v>
      </c>
      <c r="AA1603" s="2532">
        <v>7.2508659793814503E-2</v>
      </c>
      <c r="AB1603" s="2532">
        <v>0.16414457831325302</v>
      </c>
      <c r="AC1603" s="2532">
        <v>0.32116411458333327</v>
      </c>
      <c r="AD1603" s="2532">
        <v>0.21248</v>
      </c>
      <c r="AE1603" s="2532">
        <v>7.2508659793814503E-2</v>
      </c>
      <c r="AF1603" s="2532">
        <v>7.2508659793814503E-2</v>
      </c>
      <c r="AG1603" s="2532">
        <v>0.3180049294285715</v>
      </c>
      <c r="AH1603" s="2532">
        <v>0.32116411458333327</v>
      </c>
      <c r="AI1603" s="2532">
        <v>0.17335256484149852</v>
      </c>
      <c r="AJ1603" s="2532">
        <v>0.16205268972142173</v>
      </c>
      <c r="AK1603" s="2532">
        <v>0.19434211647727273</v>
      </c>
      <c r="AL1603" s="2532">
        <v>0.15132135135135139</v>
      </c>
      <c r="AM1603" s="2532">
        <v>0.26222561901012376</v>
      </c>
      <c r="AN1603" s="2532">
        <v>0.1750794842406877</v>
      </c>
      <c r="AO1603" s="2532">
        <v>0.22528526279069769</v>
      </c>
      <c r="AP1603" s="2532">
        <v>0.19682227267706306</v>
      </c>
    </row>
    <row r="1604" spans="1:42" ht="14.5">
      <c r="A1604" s="1693">
        <v>1</v>
      </c>
      <c r="B1604" s="616">
        <v>1</v>
      </c>
      <c r="C1604" s="1693">
        <v>1</v>
      </c>
      <c r="D1604" s="616">
        <v>1</v>
      </c>
      <c r="E1604" s="1693">
        <v>1</v>
      </c>
      <c r="F1604" s="616">
        <v>1</v>
      </c>
      <c r="G1604" s="1693">
        <v>1587</v>
      </c>
      <c r="H1604" s="616">
        <v>1</v>
      </c>
      <c r="K1604" s="69"/>
      <c r="L1604"/>
      <c r="M1604" s="1050"/>
      <c r="N1604" s="1051"/>
      <c r="O1604" s="750"/>
      <c r="P1604" s="749"/>
      <c r="Q1604" s="749" t="s">
        <v>1019</v>
      </c>
      <c r="W1604" s="1899"/>
      <c r="X1604" s="2532" t="s">
        <v>891</v>
      </c>
      <c r="Y1604" s="2532" t="s">
        <v>891</v>
      </c>
      <c r="Z1604" s="2532" t="s">
        <v>891</v>
      </c>
      <c r="AA1604" s="2532" t="s">
        <v>891</v>
      </c>
      <c r="AB1604" s="2532" t="s">
        <v>891</v>
      </c>
      <c r="AC1604" s="2532" t="s">
        <v>891</v>
      </c>
      <c r="AD1604" s="2532" t="s">
        <v>891</v>
      </c>
      <c r="AE1604" s="2532" t="s">
        <v>891</v>
      </c>
      <c r="AF1604" s="2532" t="s">
        <v>891</v>
      </c>
      <c r="AG1604" s="2532" t="s">
        <v>891</v>
      </c>
      <c r="AH1604" s="2532" t="s">
        <v>891</v>
      </c>
      <c r="AI1604" s="2532" t="s">
        <v>891</v>
      </c>
      <c r="AJ1604" s="2532" t="s">
        <v>891</v>
      </c>
      <c r="AK1604" s="2532" t="s">
        <v>891</v>
      </c>
      <c r="AL1604" s="2532" t="s">
        <v>891</v>
      </c>
      <c r="AM1604" s="2532" t="s">
        <v>891</v>
      </c>
      <c r="AN1604" s="2532" t="s">
        <v>891</v>
      </c>
      <c r="AO1604" s="2532" t="s">
        <v>891</v>
      </c>
      <c r="AP1604" s="2532" t="s">
        <v>891</v>
      </c>
    </row>
    <row r="1605" spans="1:42" ht="14.5">
      <c r="A1605" s="1693">
        <v>1</v>
      </c>
      <c r="B1605" s="616">
        <v>1</v>
      </c>
      <c r="C1605" s="1693">
        <v>1</v>
      </c>
      <c r="D1605" s="616">
        <v>1</v>
      </c>
      <c r="E1605" s="1693">
        <v>1</v>
      </c>
      <c r="F1605" s="616">
        <v>1</v>
      </c>
      <c r="G1605" s="1693">
        <v>1588</v>
      </c>
      <c r="H1605" s="616">
        <v>1</v>
      </c>
      <c r="K1605" s="69"/>
      <c r="L1605"/>
      <c r="M1605" s="1050"/>
      <c r="N1605" s="1051"/>
      <c r="O1605" s="750"/>
      <c r="P1605" s="1055" t="s">
        <v>1157</v>
      </c>
      <c r="Q1605" s="1055"/>
      <c r="R1605" s="1056"/>
      <c r="S1605" s="213"/>
      <c r="T1605" s="213"/>
      <c r="U1605" s="213"/>
      <c r="V1605" s="213"/>
      <c r="W1605" s="2481"/>
      <c r="X1605" s="2531">
        <v>0.49961194029850742</v>
      </c>
      <c r="Y1605" s="2531">
        <v>0.46666666666666667</v>
      </c>
      <c r="Z1605" s="2531">
        <v>0.46246376811594203</v>
      </c>
      <c r="AA1605" s="2531">
        <v>0.48168253968253977</v>
      </c>
      <c r="AB1605" s="2531">
        <v>0.48168253968253977</v>
      </c>
      <c r="AC1605" s="2531">
        <v>0.46102631578947373</v>
      </c>
      <c r="AD1605" s="2531">
        <v>0.45978787878787886</v>
      </c>
      <c r="AE1605" s="2531">
        <v>0.45978787878787886</v>
      </c>
      <c r="AF1605" s="2531">
        <v>0.46102631578947373</v>
      </c>
      <c r="AG1605" s="2531">
        <v>0.47379710144927545</v>
      </c>
      <c r="AH1605" s="2531">
        <v>0.46926470588235292</v>
      </c>
      <c r="AI1605" s="2531">
        <v>0.46925641025641035</v>
      </c>
      <c r="AJ1605" s="2531">
        <v>0.47644897959183674</v>
      </c>
      <c r="AK1605" s="2531">
        <v>0.47391089108910889</v>
      </c>
      <c r="AL1605" s="2531">
        <v>0.46024038461538463</v>
      </c>
      <c r="AM1605" s="2531">
        <v>0.47071627906976748</v>
      </c>
      <c r="AN1605" s="2531">
        <v>0.47516080402010052</v>
      </c>
      <c r="AO1605" s="2531">
        <v>0.465565011820331</v>
      </c>
      <c r="AP1605" s="2531">
        <v>0.47021680876979299</v>
      </c>
    </row>
    <row r="1606" spans="1:42" ht="14.5">
      <c r="A1606" s="1693">
        <v>1</v>
      </c>
      <c r="B1606" s="616">
        <v>1</v>
      </c>
      <c r="C1606" s="1693">
        <v>1</v>
      </c>
      <c r="D1606" s="616">
        <v>1</v>
      </c>
      <c r="E1606" s="1693">
        <v>1</v>
      </c>
      <c r="F1606" s="616">
        <v>1</v>
      </c>
      <c r="G1606" s="1693">
        <v>1589</v>
      </c>
      <c r="H1606" s="616">
        <v>1</v>
      </c>
      <c r="K1606" s="69"/>
      <c r="L1606"/>
      <c r="M1606" s="1050"/>
      <c r="N1606" s="1051"/>
      <c r="O1606" s="750"/>
      <c r="P1606" s="749"/>
      <c r="Q1606" s="749" t="s">
        <v>1018</v>
      </c>
      <c r="W1606" s="1899"/>
      <c r="X1606" s="2532">
        <v>0.49961194029850742</v>
      </c>
      <c r="Y1606" s="2532">
        <v>0.46666666666666667</v>
      </c>
      <c r="Z1606" s="2532">
        <v>0.46246376811594203</v>
      </c>
      <c r="AA1606" s="2532">
        <v>0.48168253968253977</v>
      </c>
      <c r="AB1606" s="2532">
        <v>0.48168253968253977</v>
      </c>
      <c r="AC1606" s="2532">
        <v>0.46102631578947373</v>
      </c>
      <c r="AD1606" s="2532">
        <v>0.45978787878787886</v>
      </c>
      <c r="AE1606" s="2532">
        <v>0.45978787878787886</v>
      </c>
      <c r="AF1606" s="2532">
        <v>0.46102631578947373</v>
      </c>
      <c r="AG1606" s="2532">
        <v>0.47379710144927545</v>
      </c>
      <c r="AH1606" s="2532">
        <v>0.46926470588235292</v>
      </c>
      <c r="AI1606" s="2532">
        <v>0.46925641025641035</v>
      </c>
      <c r="AJ1606" s="2532">
        <v>0.47644897959183674</v>
      </c>
      <c r="AK1606" s="2532">
        <v>0.47391089108910889</v>
      </c>
      <c r="AL1606" s="2532">
        <v>0.46024038461538463</v>
      </c>
      <c r="AM1606" s="2532">
        <v>0.47071627906976748</v>
      </c>
      <c r="AN1606" s="2532">
        <v>0.47516080402010052</v>
      </c>
      <c r="AO1606" s="2532">
        <v>0.465565011820331</v>
      </c>
      <c r="AP1606" s="2532">
        <v>0.47021680876979299</v>
      </c>
    </row>
    <row r="1607" spans="1:42" ht="14.5">
      <c r="A1607" s="1693">
        <v>1</v>
      </c>
      <c r="B1607" s="616">
        <v>1</v>
      </c>
      <c r="C1607" s="1693">
        <v>1</v>
      </c>
      <c r="D1607" s="616">
        <v>1</v>
      </c>
      <c r="E1607" s="1693">
        <v>1</v>
      </c>
      <c r="F1607" s="616">
        <v>1</v>
      </c>
      <c r="G1607" s="1693">
        <v>1590</v>
      </c>
      <c r="H1607" s="616">
        <v>1</v>
      </c>
      <c r="K1607" s="69"/>
      <c r="L1607"/>
      <c r="M1607" s="1050"/>
      <c r="N1607" s="1051"/>
      <c r="O1607" s="750"/>
      <c r="P1607" s="749"/>
      <c r="Q1607" s="749" t="s">
        <v>1019</v>
      </c>
      <c r="W1607" s="1899"/>
      <c r="X1607" s="2532" t="s">
        <v>891</v>
      </c>
      <c r="Y1607" s="2532" t="s">
        <v>891</v>
      </c>
      <c r="Z1607" s="2532" t="s">
        <v>891</v>
      </c>
      <c r="AA1607" s="2532" t="s">
        <v>891</v>
      </c>
      <c r="AB1607" s="2532" t="s">
        <v>891</v>
      </c>
      <c r="AC1607" s="2532" t="s">
        <v>891</v>
      </c>
      <c r="AD1607" s="2532" t="s">
        <v>891</v>
      </c>
      <c r="AE1607" s="2532" t="s">
        <v>891</v>
      </c>
      <c r="AF1607" s="2532" t="s">
        <v>891</v>
      </c>
      <c r="AG1607" s="2532" t="s">
        <v>891</v>
      </c>
      <c r="AH1607" s="2532" t="s">
        <v>891</v>
      </c>
      <c r="AI1607" s="2532" t="s">
        <v>891</v>
      </c>
      <c r="AJ1607" s="2532" t="s">
        <v>891</v>
      </c>
      <c r="AK1607" s="2532" t="s">
        <v>891</v>
      </c>
      <c r="AL1607" s="2532" t="s">
        <v>891</v>
      </c>
      <c r="AM1607" s="2532" t="s">
        <v>891</v>
      </c>
      <c r="AN1607" s="2532" t="s">
        <v>891</v>
      </c>
      <c r="AO1607" s="2532" t="s">
        <v>891</v>
      </c>
      <c r="AP1607" s="2532" t="s">
        <v>891</v>
      </c>
    </row>
    <row r="1608" spans="1:42" ht="14.5">
      <c r="A1608" s="1693">
        <v>1</v>
      </c>
      <c r="B1608" s="616">
        <v>1</v>
      </c>
      <c r="C1608" s="1693">
        <v>1</v>
      </c>
      <c r="D1608" s="616">
        <v>1</v>
      </c>
      <c r="E1608" s="1693">
        <v>1</v>
      </c>
      <c r="F1608" s="616">
        <v>1</v>
      </c>
      <c r="G1608" s="1693">
        <v>1591</v>
      </c>
      <c r="H1608" s="616">
        <v>1</v>
      </c>
      <c r="K1608" s="69"/>
      <c r="L1608"/>
      <c r="M1608" s="1050"/>
      <c r="N1608" s="1051"/>
      <c r="O1608" s="1064" t="s">
        <v>1198</v>
      </c>
      <c r="P1608" s="1065"/>
      <c r="Q1608" s="1065"/>
      <c r="R1608" s="1066"/>
      <c r="S1608" s="1067"/>
      <c r="T1608" s="1067"/>
      <c r="U1608" s="1067"/>
      <c r="V1608" s="1067"/>
      <c r="W1608" s="2225"/>
      <c r="X1608" s="2537">
        <v>3214.8693072516262</v>
      </c>
      <c r="Y1608" s="2537">
        <v>3214.8693072516262</v>
      </c>
      <c r="Z1608" s="2537">
        <v>3214.8693072516262</v>
      </c>
      <c r="AA1608" s="2537">
        <v>3284.8693072516262</v>
      </c>
      <c r="AB1608" s="2537">
        <v>3284.8693072516262</v>
      </c>
      <c r="AC1608" s="2537">
        <v>3284.8693072516262</v>
      </c>
      <c r="AD1608" s="2537">
        <v>3284.8693072516262</v>
      </c>
      <c r="AE1608" s="2537">
        <v>3284.8693072516262</v>
      </c>
      <c r="AF1608" s="2537">
        <v>3284.8693072516262</v>
      </c>
      <c r="AG1608" s="2537">
        <v>3284.8693072516262</v>
      </c>
      <c r="AH1608" s="2537">
        <v>3284.8693072516262</v>
      </c>
      <c r="AI1608" s="2537">
        <v>3284.8693072516262</v>
      </c>
      <c r="AJ1608" s="2537">
        <v>9644.6079217548795</v>
      </c>
      <c r="AK1608" s="2537">
        <v>9854.6079217548795</v>
      </c>
      <c r="AL1608" s="2537">
        <v>9854.6079217548795</v>
      </c>
      <c r="AM1608" s="2537">
        <v>9854.6079217548795</v>
      </c>
      <c r="AN1608" s="2537">
        <v>19499.215843509759</v>
      </c>
      <c r="AO1608" s="2537">
        <v>19709.215843509759</v>
      </c>
      <c r="AP1608" s="2537">
        <v>39208.431687019518</v>
      </c>
    </row>
    <row r="1609" spans="1:42" ht="14.5">
      <c r="A1609" s="1693">
        <v>1</v>
      </c>
      <c r="B1609" s="616">
        <v>1</v>
      </c>
      <c r="C1609" s="1693">
        <v>1</v>
      </c>
      <c r="D1609" s="616">
        <v>1</v>
      </c>
      <c r="E1609" s="1693">
        <v>1</v>
      </c>
      <c r="F1609" s="616">
        <v>1</v>
      </c>
      <c r="G1609" s="1693">
        <v>1592</v>
      </c>
      <c r="H1609" s="616">
        <v>1</v>
      </c>
      <c r="K1609" s="69"/>
      <c r="L1609"/>
      <c r="M1609" s="1050"/>
      <c r="N1609" s="1051"/>
      <c r="O1609" s="750"/>
      <c r="P1609" s="749" t="s">
        <v>1211</v>
      </c>
      <c r="Q1609" s="749"/>
      <c r="W1609" s="1899"/>
      <c r="X1609" s="579">
        <v>1120</v>
      </c>
      <c r="Y1609" s="579">
        <v>1120</v>
      </c>
      <c r="Z1609" s="579">
        <v>1120</v>
      </c>
      <c r="AA1609" s="579">
        <v>1190</v>
      </c>
      <c r="AB1609" s="579">
        <v>1190</v>
      </c>
      <c r="AC1609" s="579">
        <v>1190</v>
      </c>
      <c r="AD1609" s="579">
        <v>1190</v>
      </c>
      <c r="AE1609" s="579">
        <v>1190</v>
      </c>
      <c r="AF1609" s="579">
        <v>1190</v>
      </c>
      <c r="AG1609" s="579">
        <v>1190</v>
      </c>
      <c r="AH1609" s="579">
        <v>1190</v>
      </c>
      <c r="AI1609" s="579">
        <v>1190</v>
      </c>
      <c r="AJ1609" s="579">
        <v>3360</v>
      </c>
      <c r="AK1609" s="579">
        <v>3570</v>
      </c>
      <c r="AL1609" s="579">
        <v>3570</v>
      </c>
      <c r="AM1609" s="579">
        <v>3570</v>
      </c>
      <c r="AN1609" s="579">
        <v>6930</v>
      </c>
      <c r="AO1609" s="579">
        <v>7140</v>
      </c>
      <c r="AP1609" s="579">
        <v>14070</v>
      </c>
    </row>
    <row r="1610" spans="1:42" ht="14.5">
      <c r="A1610" s="1693">
        <v>1</v>
      </c>
      <c r="B1610" s="616">
        <v>1</v>
      </c>
      <c r="C1610" s="1693">
        <v>1</v>
      </c>
      <c r="D1610" s="616">
        <v>1</v>
      </c>
      <c r="E1610" s="1693">
        <v>1</v>
      </c>
      <c r="F1610" s="616">
        <v>1</v>
      </c>
      <c r="G1610" s="1693">
        <v>1593</v>
      </c>
      <c r="H1610" s="616">
        <v>1</v>
      </c>
      <c r="K1610" s="69"/>
      <c r="L1610"/>
      <c r="M1610" s="1050"/>
      <c r="N1610" s="1051"/>
      <c r="O1610" s="750"/>
      <c r="P1610" s="749" t="s">
        <v>1212</v>
      </c>
      <c r="Q1610" s="749"/>
      <c r="W1610" s="1899"/>
      <c r="X1610" s="579">
        <v>2094.8693072516262</v>
      </c>
      <c r="Y1610" s="579">
        <v>2094.8693072516262</v>
      </c>
      <c r="Z1610" s="579">
        <v>2094.8693072516262</v>
      </c>
      <c r="AA1610" s="579">
        <v>2094.8693072516262</v>
      </c>
      <c r="AB1610" s="579">
        <v>2094.8693072516262</v>
      </c>
      <c r="AC1610" s="579">
        <v>2094.8693072516262</v>
      </c>
      <c r="AD1610" s="579">
        <v>2094.8693072516262</v>
      </c>
      <c r="AE1610" s="579">
        <v>2094.8693072516262</v>
      </c>
      <c r="AF1610" s="579">
        <v>2094.8693072516262</v>
      </c>
      <c r="AG1610" s="579">
        <v>2094.8693072516262</v>
      </c>
      <c r="AH1610" s="579">
        <v>2094.8693072516262</v>
      </c>
      <c r="AI1610" s="579">
        <v>2094.8693072516262</v>
      </c>
      <c r="AJ1610" s="579">
        <v>6284.6079217548786</v>
      </c>
      <c r="AK1610" s="579">
        <v>6284.6079217548786</v>
      </c>
      <c r="AL1610" s="579">
        <v>6284.6079217548786</v>
      </c>
      <c r="AM1610" s="579">
        <v>6284.6079217548786</v>
      </c>
      <c r="AN1610" s="579">
        <v>12569.215843509757</v>
      </c>
      <c r="AO1610" s="579">
        <v>12569.215843509757</v>
      </c>
      <c r="AP1610" s="579">
        <v>25138.431687019514</v>
      </c>
    </row>
    <row r="1611" spans="1:42" ht="14.5">
      <c r="A1611" s="1693">
        <v>1</v>
      </c>
      <c r="B1611" s="616">
        <v>1</v>
      </c>
      <c r="C1611" s="1693">
        <v>1</v>
      </c>
      <c r="D1611" s="616">
        <v>1</v>
      </c>
      <c r="E1611" s="1693">
        <v>1</v>
      </c>
      <c r="F1611" s="616">
        <v>1</v>
      </c>
      <c r="G1611" s="1693">
        <v>1594</v>
      </c>
      <c r="H1611" s="616">
        <v>1</v>
      </c>
      <c r="K1611" s="69"/>
      <c r="L1611"/>
      <c r="M1611" s="1050"/>
      <c r="N1611" s="1051"/>
      <c r="O1611" s="1064" t="s">
        <v>1206</v>
      </c>
      <c r="P1611" s="1065"/>
      <c r="Q1611" s="1065"/>
      <c r="R1611" s="1066"/>
      <c r="S1611" s="1067"/>
      <c r="T1611" s="1067"/>
      <c r="U1611" s="1067"/>
      <c r="V1611" s="1067"/>
      <c r="W1611" s="2225"/>
      <c r="X1611" s="2537">
        <v>9298.7420380991607</v>
      </c>
      <c r="Y1611" s="2537">
        <v>-1568.7410057713323</v>
      </c>
      <c r="Z1611" s="2537">
        <v>4889.4809119116935</v>
      </c>
      <c r="AA1611" s="2537">
        <v>-717.97419819806692</v>
      </c>
      <c r="AB1611" s="2537">
        <v>5268.2306812096058</v>
      </c>
      <c r="AC1611" s="2537">
        <v>5062.9952283478842</v>
      </c>
      <c r="AD1611" s="2537">
        <v>3843.4687611946638</v>
      </c>
      <c r="AE1611" s="2537">
        <v>-732.72074742974928</v>
      </c>
      <c r="AF1611" s="2537">
        <v>-400.55963531043108</v>
      </c>
      <c r="AG1611" s="2537">
        <v>9873.0219004680948</v>
      </c>
      <c r="AH1611" s="2537">
        <v>4774.3894114654859</v>
      </c>
      <c r="AI1611" s="2537">
        <v>4999.2344379523192</v>
      </c>
      <c r="AJ1611" s="2537">
        <v>12619.481944239522</v>
      </c>
      <c r="AK1611" s="2537">
        <v>9613.2517113594222</v>
      </c>
      <c r="AL1611" s="2537">
        <v>2710.1883784544834</v>
      </c>
      <c r="AM1611" s="2537">
        <v>19646.645749885902</v>
      </c>
      <c r="AN1611" s="2537">
        <v>22232.733655598946</v>
      </c>
      <c r="AO1611" s="2537">
        <v>22356.834128340386</v>
      </c>
      <c r="AP1611" s="2537">
        <v>44589.567783939332</v>
      </c>
    </row>
    <row r="1612" spans="1:42" ht="14.5">
      <c r="A1612" s="1693">
        <v>1</v>
      </c>
      <c r="B1612" s="616">
        <v>1</v>
      </c>
      <c r="C1612" s="1693">
        <v>1</v>
      </c>
      <c r="D1612" s="616">
        <v>1</v>
      </c>
      <c r="E1612" s="1693">
        <v>1</v>
      </c>
      <c r="F1612" s="616">
        <v>1</v>
      </c>
      <c r="G1612" s="1693">
        <v>1595</v>
      </c>
      <c r="H1612" s="616">
        <v>1</v>
      </c>
      <c r="K1612" s="69"/>
      <c r="L1612"/>
      <c r="M1612" s="1050"/>
      <c r="N1612" s="1051"/>
      <c r="O1612" s="1064" t="s">
        <v>1203</v>
      </c>
      <c r="P1612" s="1065"/>
      <c r="Q1612" s="1065"/>
      <c r="R1612" s="1066"/>
      <c r="S1612" s="1067"/>
      <c r="T1612" s="1067"/>
      <c r="U1612" s="1067"/>
      <c r="V1612" s="1067"/>
      <c r="W1612" s="2225"/>
      <c r="X1612" s="2537">
        <v>23532.937088833161</v>
      </c>
      <c r="Y1612" s="2537">
        <v>11717.929778720028</v>
      </c>
      <c r="Z1612" s="2537">
        <v>10353.462850218482</v>
      </c>
      <c r="AA1612" s="2537">
        <v>20475.28499729179</v>
      </c>
      <c r="AB1612" s="2537">
        <v>18357.876453970493</v>
      </c>
      <c r="AC1612" s="2537">
        <v>10545.7505999193</v>
      </c>
      <c r="AD1612" s="2537">
        <v>14561.861279928928</v>
      </c>
      <c r="AE1612" s="2537">
        <v>20979.722948392344</v>
      </c>
      <c r="AF1612" s="2537">
        <v>19702.54427542333</v>
      </c>
      <c r="AG1612" s="2537">
        <v>10460.340627614571</v>
      </c>
      <c r="AH1612" s="2537">
        <v>10597.327244277558</v>
      </c>
      <c r="AI1612" s="2537">
        <v>16852.389812116864</v>
      </c>
      <c r="AJ1612" s="2537">
        <v>53585.752083371452</v>
      </c>
      <c r="AK1612" s="2537">
        <v>45861.614709421716</v>
      </c>
      <c r="AL1612" s="2537">
        <v>51136.558138050517</v>
      </c>
      <c r="AM1612" s="2537">
        <v>36878.050223593433</v>
      </c>
      <c r="AN1612" s="2537">
        <v>100131.48212386745</v>
      </c>
      <c r="AO1612" s="2537">
        <v>82273.907448793325</v>
      </c>
      <c r="AP1612" s="2537">
        <v>182431.17510301573</v>
      </c>
    </row>
    <row r="1613" spans="1:42" ht="14.5">
      <c r="A1613" s="1693">
        <v>1</v>
      </c>
      <c r="B1613" s="616">
        <v>1</v>
      </c>
      <c r="C1613" s="1693">
        <v>1</v>
      </c>
      <c r="D1613" s="616">
        <v>1</v>
      </c>
      <c r="E1613" s="1693">
        <v>1</v>
      </c>
      <c r="F1613" s="616">
        <v>1</v>
      </c>
      <c r="G1613" s="1693">
        <v>1596</v>
      </c>
      <c r="H1613" s="616">
        <v>1</v>
      </c>
      <c r="K1613" s="69"/>
      <c r="L1613"/>
      <c r="M1613" s="1050"/>
      <c r="N1613" s="1051"/>
      <c r="O1613" s="751"/>
      <c r="P1613" s="752" t="s">
        <v>55</v>
      </c>
      <c r="Q1613" s="753"/>
      <c r="R1613" s="16"/>
      <c r="S1613" s="11"/>
      <c r="T1613" s="11"/>
      <c r="U1613" s="11"/>
      <c r="V1613" s="11"/>
      <c r="W1613" s="1772"/>
      <c r="X1613" s="1689">
        <v>3.8924168136864647</v>
      </c>
      <c r="Y1613" s="1689">
        <v>0.51203583852295376</v>
      </c>
      <c r="Z1613" s="1689">
        <v>2.5208957020065252</v>
      </c>
      <c r="AA1613" s="1689">
        <v>0.78142990449785077</v>
      </c>
      <c r="AB1613" s="1689">
        <v>2.6037869968158369</v>
      </c>
      <c r="AC1613" s="1689">
        <v>2.5413079653339312</v>
      </c>
      <c r="AD1613" s="1689">
        <v>2.1700522613517323</v>
      </c>
      <c r="AE1613" s="1689">
        <v>0.77694066981227961</v>
      </c>
      <c r="AF1613" s="1689">
        <v>0.87805918657824167</v>
      </c>
      <c r="AG1613" s="1689">
        <v>4.0056056959930082</v>
      </c>
      <c r="AH1613" s="1689">
        <v>2.4534488178648743</v>
      </c>
      <c r="AI1613" s="1689">
        <v>2.5218975156533889</v>
      </c>
      <c r="AJ1613" s="1689">
        <v>2.308449451405314</v>
      </c>
      <c r="AK1613" s="1689">
        <v>1.9755082888825395</v>
      </c>
      <c r="AL1613" s="1689">
        <v>1.2750173725807512</v>
      </c>
      <c r="AM1613" s="1689">
        <v>2.9936506765037567</v>
      </c>
      <c r="AN1613" s="1689">
        <v>2.1401860379425983</v>
      </c>
      <c r="AO1613" s="1689">
        <v>2.134334024542254</v>
      </c>
      <c r="AP1613" s="1689">
        <v>2.1372443595774144</v>
      </c>
    </row>
    <row r="1614" spans="1:42">
      <c r="X1614" s="1366"/>
      <c r="Y1614" s="1366"/>
      <c r="Z1614" s="1366"/>
      <c r="AA1614" s="1366"/>
      <c r="AB1614" s="1366"/>
      <c r="AC1614" s="1366"/>
      <c r="AD1614" s="1366"/>
      <c r="AE1614" s="1366"/>
      <c r="AF1614" s="1366"/>
      <c r="AG1614" s="1366"/>
      <c r="AH1614" s="69"/>
      <c r="AI1614" s="69"/>
      <c r="AJ1614" s="69"/>
      <c r="AK1614" s="69"/>
      <c r="AL1614" s="69"/>
      <c r="AM1614" s="69"/>
      <c r="AN1614" s="69"/>
      <c r="AO1614" s="69"/>
      <c r="AP1614" s="69"/>
    </row>
  </sheetData>
  <autoFilter ref="J13:AP1613" xr:uid="{00000000-0009-0000-0000-000002000000}"/>
  <phoneticPr fontId="7"/>
  <pageMargins left="0.35433070866141736" right="0.35433070866141736" top="0.74803149606299213" bottom="0.74803149606299213" header="0.31496062992125984" footer="0.31496062992125984"/>
  <pageSetup paperSize="8" scale="53" fitToHeight="0" orientation="portrait" r:id="rId1"/>
  <rowBreaks count="6" manualBreakCount="6">
    <brk id="456" min="10" max="31" man="1"/>
    <brk id="839" min="10" max="31" man="1"/>
    <brk id="637" max="16383" man="1"/>
    <brk id="759" min="10" max="31" man="1"/>
    <brk id="915" min="10" max="31" man="1"/>
    <brk id="1006" min="10" max="3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0411D-FD7D-498E-8859-E57ADE29A5FA}">
  <sheetPr>
    <tabColor rgb="FF580000"/>
  </sheetPr>
  <dimension ref="A1:BI1596"/>
  <sheetViews>
    <sheetView showGridLines="0" zoomScale="80" zoomScaleNormal="80" workbookViewId="0">
      <pane xSplit="16" ySplit="13" topLeftCell="AB1302" activePane="bottomRight" state="frozen"/>
      <selection pane="topRight" activeCell="Q1" sqref="Q1"/>
      <selection pane="bottomLeft" activeCell="A11" sqref="A11"/>
      <selection pane="bottomRight" activeCell="AD13" sqref="AD13"/>
    </sheetView>
  </sheetViews>
  <sheetFormatPr defaultColWidth="9" defaultRowHeight="14" outlineLevelRow="1" outlineLevelCol="1"/>
  <cols>
    <col min="1" max="1" width="5.54296875" style="616" hidden="1" customWidth="1" outlineLevel="1"/>
    <col min="2" max="2" width="4.54296875" style="616" hidden="1" customWidth="1" outlineLevel="1"/>
    <col min="3" max="3" width="5.1796875" style="616" hidden="1" customWidth="1" outlineLevel="1"/>
    <col min="4" max="4" width="3.453125" style="8" hidden="1" customWidth="1" outlineLevel="1" collapsed="1"/>
    <col min="5" max="5" width="3.453125" style="2544" customWidth="1" collapsed="1"/>
    <col min="6" max="6" width="1.453125" style="9" customWidth="1"/>
    <col min="7" max="7" width="1.81640625" style="9" customWidth="1"/>
    <col min="8" max="8" width="1.54296875" style="22" customWidth="1"/>
    <col min="9" max="9" width="4.54296875" style="9" customWidth="1"/>
    <col min="10" max="10" width="4" style="8" customWidth="1"/>
    <col min="11" max="11" width="3.1796875" style="9" customWidth="1"/>
    <col min="12" max="12" width="6.54296875" style="9" customWidth="1"/>
    <col min="13" max="13" width="5.81640625" style="8" customWidth="1"/>
    <col min="14" max="14" width="7.1796875" style="8" customWidth="1"/>
    <col min="15" max="15" width="11.453125" style="8" customWidth="1"/>
    <col min="16" max="16" width="25.81640625" style="8" customWidth="1"/>
    <col min="17" max="17" width="32.1796875" style="1210" hidden="1" customWidth="1" outlineLevel="1"/>
    <col min="18" max="18" width="11" style="1210" customWidth="1" collapsed="1"/>
    <col min="19" max="20" width="11" style="1210" customWidth="1"/>
    <col min="21" max="21" width="11.54296875" style="1210" bestFit="1" customWidth="1"/>
    <col min="22" max="27" width="11" style="1210" customWidth="1"/>
    <col min="28" max="33" width="11" style="8" customWidth="1"/>
    <col min="34" max="34" width="10.54296875" style="8" customWidth="1"/>
    <col min="35" max="36" width="10.81640625" style="8" customWidth="1"/>
    <col min="37" max="37" width="5.54296875" style="8" bestFit="1" customWidth="1"/>
    <col min="38" max="38" width="11.81640625" style="8" hidden="1" customWidth="1" outlineLevel="1"/>
    <col min="39" max="39" width="10.1796875" style="8" hidden="1" customWidth="1" outlineLevel="1"/>
    <col min="40" max="40" width="9.81640625" style="8" hidden="1" customWidth="1" outlineLevel="1"/>
    <col min="41" max="41" width="9.54296875" style="8" hidden="1" customWidth="1" outlineLevel="1"/>
    <col min="42" max="42" width="9.81640625" style="8" hidden="1" customWidth="1" outlineLevel="1"/>
    <col min="43" max="43" width="10.1796875" style="8" hidden="1" customWidth="1" outlineLevel="1"/>
    <col min="44" max="44" width="9.81640625" style="8" hidden="1" customWidth="1" outlineLevel="1"/>
    <col min="45" max="45" width="2.81640625" style="8" hidden="1" customWidth="1" outlineLevel="1"/>
    <col min="46" max="46" width="9.81640625" style="8" hidden="1" customWidth="1" outlineLevel="1"/>
    <col min="47" max="47" width="10.1796875" style="8" hidden="1" customWidth="1" outlineLevel="1"/>
    <col min="48" max="48" width="11" style="8" hidden="1" customWidth="1" outlineLevel="1"/>
    <col min="49" max="49" width="9.54296875" style="8" hidden="1" customWidth="1" outlineLevel="1"/>
    <col min="50" max="50" width="9.81640625" style="8" hidden="1" customWidth="1" outlineLevel="1"/>
    <col min="51" max="51" width="10.1796875" style="8" hidden="1" customWidth="1" outlineLevel="1"/>
    <col min="52" max="52" width="9.81640625" style="8" hidden="1" customWidth="1" outlineLevel="1"/>
    <col min="53" max="53" width="2.81640625" style="8" hidden="1" customWidth="1" outlineLevel="1"/>
    <col min="54" max="55" width="11.54296875" style="8" hidden="1" customWidth="1" outlineLevel="1"/>
    <col min="56" max="56" width="11" style="8" hidden="1" customWidth="1" outlineLevel="1"/>
    <col min="57" max="57" width="10.81640625" style="8" hidden="1" customWidth="1" outlineLevel="1"/>
    <col min="58" max="59" width="11.54296875" style="8" hidden="1" customWidth="1" outlineLevel="1"/>
    <col min="60" max="60" width="9.81640625" style="8" hidden="1" customWidth="1" outlineLevel="1"/>
    <col min="61" max="61" width="9" style="8" collapsed="1"/>
    <col min="62" max="16384" width="9" style="8"/>
  </cols>
  <sheetData>
    <row r="1" spans="1:60" s="617" customFormat="1" hidden="1" outlineLevel="1">
      <c r="A1" s="616"/>
      <c r="B1" s="616"/>
      <c r="C1" s="616"/>
      <c r="E1" s="2539"/>
      <c r="F1" s="618"/>
      <c r="G1" s="618"/>
      <c r="H1" s="618"/>
      <c r="I1" s="618"/>
      <c r="K1" s="618"/>
      <c r="L1" s="618"/>
      <c r="Q1" s="619"/>
      <c r="R1" s="619"/>
      <c r="S1" s="619"/>
      <c r="T1" s="619"/>
      <c r="U1" s="619"/>
      <c r="V1" s="619"/>
      <c r="W1" s="619"/>
      <c r="X1" s="619"/>
      <c r="Y1" s="619"/>
      <c r="Z1" s="619"/>
      <c r="AA1" s="619"/>
      <c r="AM1" s="2668" t="s">
        <v>1298</v>
      </c>
      <c r="AN1" s="2669"/>
      <c r="AO1" s="2669"/>
      <c r="AP1" s="2668" t="s">
        <v>1299</v>
      </c>
      <c r="AR1" s="2669"/>
      <c r="AU1" s="2668" t="str">
        <f>AM1</f>
        <v>'OP'!</v>
      </c>
      <c r="AV1" s="2669"/>
      <c r="AW1" s="2669"/>
      <c r="AX1" s="2668" t="str">
        <f>AP1</f>
        <v>'Previous'!</v>
      </c>
      <c r="AZ1" s="2669"/>
      <c r="BC1" s="2668" t="str">
        <f>AM1</f>
        <v>'OP'!</v>
      </c>
      <c r="BD1" s="2669"/>
      <c r="BE1" s="2669"/>
      <c r="BF1" s="2668" t="str">
        <f>AP1</f>
        <v>'Previous'!</v>
      </c>
      <c r="BH1" s="2669"/>
    </row>
    <row r="2" spans="1:60" s="617" customFormat="1" hidden="1" outlineLevel="1">
      <c r="A2" s="616"/>
      <c r="B2" s="616"/>
      <c r="C2" s="616"/>
      <c r="E2" s="2539"/>
      <c r="F2" s="618"/>
      <c r="G2" s="618"/>
      <c r="H2" s="618"/>
      <c r="I2" s="618"/>
      <c r="K2" s="618"/>
      <c r="L2" s="618"/>
      <c r="Q2" s="619"/>
      <c r="R2" s="619"/>
      <c r="S2" s="619"/>
      <c r="T2" s="619"/>
      <c r="U2" s="619"/>
      <c r="V2" s="619"/>
      <c r="W2" s="619"/>
      <c r="X2" s="619"/>
      <c r="Y2" s="619"/>
      <c r="Z2" s="619"/>
      <c r="AA2" s="619"/>
      <c r="AL2" s="2670" t="s">
        <v>966</v>
      </c>
      <c r="AM2" s="2670" t="s">
        <v>564</v>
      </c>
      <c r="AP2" s="2670" t="s">
        <v>564</v>
      </c>
      <c r="AT2" s="2670" t="s">
        <v>538</v>
      </c>
      <c r="AU2" s="2670" t="s">
        <v>537</v>
      </c>
      <c r="AX2" s="2670" t="s">
        <v>537</v>
      </c>
      <c r="BB2" s="2670" t="s">
        <v>532</v>
      </c>
      <c r="BC2" s="2670" t="s">
        <v>1692</v>
      </c>
      <c r="BF2" s="2670" t="s">
        <v>1692</v>
      </c>
    </row>
    <row r="3" spans="1:60" s="617" customFormat="1" hidden="1" outlineLevel="1">
      <c r="A3" s="616"/>
      <c r="B3" s="616"/>
      <c r="C3" s="616"/>
      <c r="E3" s="2539"/>
      <c r="F3" s="618"/>
      <c r="G3" s="618"/>
      <c r="H3" s="618"/>
      <c r="I3" s="618"/>
      <c r="K3" s="618"/>
      <c r="L3" s="618"/>
      <c r="Q3" s="619"/>
      <c r="R3" s="619"/>
      <c r="S3" s="619"/>
      <c r="T3" s="619"/>
      <c r="U3" s="619"/>
      <c r="V3" s="619"/>
      <c r="W3" s="619"/>
      <c r="X3" s="619"/>
      <c r="Y3" s="619"/>
      <c r="Z3" s="619"/>
      <c r="AA3" s="619"/>
      <c r="AL3" s="2670" t="str">
        <f>AL2</f>
        <v>AC</v>
      </c>
      <c r="AM3" s="2670" t="str">
        <f>AM2</f>
        <v>AB</v>
      </c>
      <c r="AP3" s="2670" t="str">
        <f>AP2</f>
        <v>AB</v>
      </c>
      <c r="AT3" s="2670" t="s">
        <v>966</v>
      </c>
      <c r="AU3" s="2670" t="s">
        <v>564</v>
      </c>
      <c r="AX3" s="2670" t="s">
        <v>564</v>
      </c>
      <c r="BB3" s="2670" t="s">
        <v>966</v>
      </c>
      <c r="BC3" s="2670" t="s">
        <v>564</v>
      </c>
      <c r="BF3" s="2670" t="s">
        <v>564</v>
      </c>
    </row>
    <row r="4" spans="1:60" s="168" customFormat="1" ht="20" collapsed="1">
      <c r="A4" s="620" t="s">
        <v>1300</v>
      </c>
      <c r="B4" s="620"/>
      <c r="C4" s="620" t="s">
        <v>1301</v>
      </c>
      <c r="E4" s="2540"/>
      <c r="F4" s="239" t="s">
        <v>1302</v>
      </c>
      <c r="G4" s="239"/>
      <c r="H4" s="451"/>
      <c r="I4" s="196"/>
      <c r="K4" s="170"/>
      <c r="L4" s="170"/>
      <c r="P4" s="2541" t="s">
        <v>157</v>
      </c>
      <c r="Q4" s="1123" t="s">
        <v>1303</v>
      </c>
      <c r="R4" s="190" t="s">
        <v>1304</v>
      </c>
      <c r="S4" s="1210"/>
      <c r="T4" s="2542"/>
      <c r="U4" s="2543" t="s">
        <v>1305</v>
      </c>
      <c r="V4" s="1863"/>
      <c r="W4" s="1863"/>
      <c r="X4" s="1863"/>
      <c r="Y4" s="1863"/>
      <c r="Z4" s="1863"/>
      <c r="AA4" s="1863"/>
      <c r="AB4" s="1566"/>
      <c r="AC4" s="1566"/>
      <c r="AD4" s="1566"/>
      <c r="AE4" s="1566"/>
      <c r="AF4" s="1566"/>
      <c r="AL4" s="2671" t="s">
        <v>1306</v>
      </c>
      <c r="AM4" s="2672"/>
      <c r="AN4" s="2672"/>
      <c r="AP4" s="2673" t="s">
        <v>1307</v>
      </c>
    </row>
    <row r="5" spans="1:60" s="168" customFormat="1" ht="8.5" customHeight="1">
      <c r="A5" s="620"/>
      <c r="B5" s="620"/>
      <c r="C5" s="620"/>
      <c r="E5" s="2540"/>
      <c r="H5" s="452"/>
      <c r="I5" s="731"/>
      <c r="J5" s="731"/>
      <c r="K5" s="170"/>
      <c r="L5" s="170"/>
      <c r="Q5" s="1123" t="s">
        <v>989</v>
      </c>
      <c r="R5" s="1210"/>
      <c r="S5" s="1210"/>
      <c r="T5" s="1028"/>
      <c r="U5" s="1028"/>
      <c r="V5" s="1210"/>
      <c r="W5" s="1210"/>
      <c r="X5" s="1210"/>
      <c r="Y5" s="1210"/>
      <c r="Z5" s="1210"/>
      <c r="AA5" s="1210"/>
    </row>
    <row r="6" spans="1:60" s="168" customFormat="1" ht="18">
      <c r="A6" s="620"/>
      <c r="B6" s="620"/>
      <c r="C6" s="620"/>
      <c r="D6" s="709" t="s">
        <v>1308</v>
      </c>
      <c r="E6" s="2540"/>
      <c r="F6" s="240"/>
      <c r="G6" s="240"/>
      <c r="H6" s="452"/>
      <c r="I6" s="1865" t="s">
        <v>1693</v>
      </c>
      <c r="J6" s="1866"/>
      <c r="K6" s="1867"/>
      <c r="L6" s="190" t="s">
        <v>1304</v>
      </c>
      <c r="M6" s="194"/>
      <c r="N6" s="194"/>
      <c r="P6" s="1868" t="s">
        <v>65</v>
      </c>
      <c r="Q6" s="1123" t="s">
        <v>990</v>
      </c>
      <c r="R6" s="8" t="str">
        <f>Q4</f>
        <v>Last Refresh: 11-05-2022 12:09:15</v>
      </c>
      <c r="S6" s="725"/>
      <c r="T6" s="1210"/>
      <c r="U6" s="1210"/>
      <c r="V6" s="1210"/>
      <c r="W6" s="1210"/>
      <c r="X6" s="1210"/>
      <c r="Y6" s="1210"/>
      <c r="Z6" s="1210"/>
      <c r="AA6" s="1210"/>
      <c r="AI6" s="970"/>
      <c r="AL6" s="170" t="s">
        <v>1309</v>
      </c>
    </row>
    <row r="7" spans="1:60" s="168" customFormat="1" ht="18">
      <c r="A7" s="620"/>
      <c r="B7" s="620"/>
      <c r="C7" s="620"/>
      <c r="D7" s="709"/>
      <c r="E7" s="2540"/>
      <c r="F7" s="240"/>
      <c r="G7" s="240"/>
      <c r="H7" s="452"/>
      <c r="L7" s="194"/>
      <c r="M7" s="194"/>
      <c r="N7" s="194"/>
      <c r="P7" s="1869" t="s">
        <v>1310</v>
      </c>
      <c r="Q7" s="1123" t="s">
        <v>992</v>
      </c>
      <c r="R7" s="8" t="str">
        <f>IF(R12="","","Last Send and Refresh:"&amp;TEXT(R12," YYYY/MM/DD HH:MM:SS"))</f>
        <v>Last Send and Refresh: 2022/05/10 15:33:48</v>
      </c>
      <c r="S7" s="725"/>
      <c r="T7" s="1210"/>
      <c r="U7" s="1210"/>
      <c r="V7" s="1210"/>
      <c r="W7" s="1210"/>
      <c r="X7" s="3040"/>
      <c r="Y7" s="1210"/>
      <c r="Z7" s="1210"/>
      <c r="AA7" s="1210"/>
      <c r="AI7" s="970"/>
      <c r="AL7" s="2674" t="s">
        <v>1311</v>
      </c>
      <c r="AM7" s="2675" t="s">
        <v>1312</v>
      </c>
      <c r="AN7" s="8"/>
      <c r="AO7" s="8"/>
      <c r="AP7" s="8"/>
      <c r="AQ7" s="8"/>
      <c r="AR7" s="8"/>
      <c r="AS7" s="8"/>
    </row>
    <row r="8" spans="1:60" s="168" customFormat="1" ht="25">
      <c r="A8" s="620"/>
      <c r="B8" s="620"/>
      <c r="C8" s="620"/>
      <c r="D8" s="709"/>
      <c r="E8" s="2540"/>
      <c r="F8" s="240"/>
      <c r="G8" s="55" t="s">
        <v>1313</v>
      </c>
      <c r="H8" s="55"/>
      <c r="I8" s="453"/>
      <c r="J8" s="4"/>
      <c r="L8" s="194"/>
      <c r="M8" s="194"/>
      <c r="N8" s="194"/>
      <c r="Q8" s="1123" t="s">
        <v>1314</v>
      </c>
      <c r="R8" s="1210"/>
      <c r="S8" s="725"/>
      <c r="T8" s="1210"/>
      <c r="U8" s="1210"/>
      <c r="V8" s="1210"/>
      <c r="W8" s="1210"/>
      <c r="X8" s="1210"/>
      <c r="Y8" s="1210"/>
      <c r="Z8" s="1210"/>
      <c r="AA8" s="1210"/>
      <c r="AI8" s="970"/>
      <c r="AL8" s="170"/>
    </row>
    <row r="9" spans="1:60" s="168" customFormat="1" ht="18">
      <c r="A9" s="620"/>
      <c r="B9" s="620"/>
      <c r="C9" s="620"/>
      <c r="D9" s="709"/>
      <c r="E9" s="2540"/>
      <c r="F9" s="240"/>
      <c r="G9" s="8"/>
      <c r="H9" s="367" t="s">
        <v>1315</v>
      </c>
      <c r="I9" s="22"/>
      <c r="J9" s="35"/>
      <c r="L9" s="194"/>
      <c r="M9" s="194"/>
      <c r="N9" s="194"/>
      <c r="Q9" s="1123" t="s">
        <v>993</v>
      </c>
      <c r="R9" s="1210"/>
      <c r="S9" s="725"/>
      <c r="T9" s="1210"/>
      <c r="U9" s="1210"/>
      <c r="V9" s="1210" t="s">
        <v>1316</v>
      </c>
      <c r="W9" s="1210"/>
      <c r="X9" s="1210"/>
      <c r="Y9" s="1210"/>
      <c r="Z9" s="1210"/>
      <c r="AA9" s="1210"/>
      <c r="AI9" s="970"/>
      <c r="AL9" s="2676" t="s">
        <v>1317</v>
      </c>
      <c r="AM9" s="2677"/>
      <c r="AN9" s="2677"/>
      <c r="AO9" s="2677"/>
      <c r="AP9" s="2677"/>
      <c r="AQ9" s="2678"/>
      <c r="AR9" s="2678"/>
      <c r="AS9" s="8"/>
      <c r="AT9" s="2676" t="s">
        <v>1318</v>
      </c>
      <c r="AU9" s="2677"/>
      <c r="AV9" s="2677"/>
      <c r="AW9" s="2677"/>
      <c r="AX9" s="2677"/>
      <c r="AY9" s="2678"/>
      <c r="AZ9" s="2678"/>
      <c r="BA9" s="8"/>
      <c r="BB9" s="2676" t="s">
        <v>1319</v>
      </c>
      <c r="BC9" s="2677"/>
      <c r="BD9" s="2677"/>
      <c r="BE9" s="2677"/>
      <c r="BF9" s="2677"/>
      <c r="BG9" s="2678"/>
      <c r="BH9" s="2678"/>
    </row>
    <row r="10" spans="1:60" ht="17.5" hidden="1" customHeight="1" outlineLevel="1">
      <c r="K10" s="195"/>
      <c r="L10" s="195"/>
      <c r="N10" s="167"/>
      <c r="O10" s="166"/>
      <c r="Q10" s="165"/>
      <c r="R10" s="1872" t="str">
        <f>CHOOSE(2, "5446510030", "Apr 22")</f>
        <v>Apr 22</v>
      </c>
      <c r="S10" s="1873" t="str">
        <f>CHOOSE(2, "5446810031", "May 22")</f>
        <v>May 22</v>
      </c>
      <c r="T10" s="1874" t="str">
        <f>CHOOSE(2, "5447120030", "Jun 22")</f>
        <v>Jun 22</v>
      </c>
      <c r="U10" s="1874" t="str">
        <f>CHOOSE(2, "5447420031", "Jul 22")</f>
        <v>Jul 22</v>
      </c>
      <c r="V10" s="1874" t="str">
        <f>CHOOSE(2, "5447730031", "Aug 22")</f>
        <v>Aug 22</v>
      </c>
      <c r="W10" s="1874" t="str">
        <f>CHOOSE(2, "5448040030", "Sep 22")</f>
        <v>Sep 22</v>
      </c>
      <c r="X10" s="1874" t="str">
        <f>CHOOSE(2, "5448340031", "Oct 22")</f>
        <v>Oct 22</v>
      </c>
      <c r="Y10" s="1874" t="str">
        <f>CHOOSE(2, "5448650030", "Nov 22")</f>
        <v>Nov 22</v>
      </c>
      <c r="Z10" s="1874" t="str">
        <f>CHOOSE(2, "5448950031", "Dec 22")</f>
        <v>Dec 22</v>
      </c>
      <c r="AA10" s="1874" t="str">
        <f>CHOOSE(2, "5449260031", "Jan 23")</f>
        <v>Jan 23</v>
      </c>
      <c r="AB10" s="1874" t="str">
        <f>CHOOSE(2, "5449570028", "Feb 23")</f>
        <v>Feb 23</v>
      </c>
      <c r="AC10" s="1874" t="str">
        <f>CHOOSE(2, "5449850031", "Mar 23")</f>
        <v>Mar 23</v>
      </c>
    </row>
    <row r="11" spans="1:60" ht="22.75" hidden="1" customHeight="1" outlineLevel="1">
      <c r="D11" s="709" t="s">
        <v>1308</v>
      </c>
      <c r="E11" s="2544">
        <v>1</v>
      </c>
      <c r="J11" s="3"/>
      <c r="K11" s="35"/>
      <c r="L11" s="35"/>
      <c r="M11" s="36"/>
      <c r="N11" s="36"/>
      <c r="O11" s="36"/>
      <c r="P11" s="36"/>
      <c r="Q11" s="1772" t="str">
        <f>CHOOSE(2, "6722000002631", "1. P/L (1) - Overview")</f>
        <v>1. P/L (1) - Overview</v>
      </c>
      <c r="R11" s="1875">
        <f ca="1">NOW()</f>
        <v>45391.854638657409</v>
      </c>
      <c r="S11" s="1124"/>
      <c r="T11" s="1124"/>
      <c r="U11" s="1124"/>
      <c r="V11" s="1124"/>
      <c r="W11" s="1124"/>
      <c r="X11" s="1124"/>
      <c r="Y11" s="1124"/>
      <c r="Z11" s="1124"/>
      <c r="AA11" s="1124"/>
      <c r="AB11" s="1124"/>
      <c r="AC11" s="1124"/>
      <c r="AD11" s="164"/>
    </row>
    <row r="12" spans="1:60" ht="14.5" hidden="1" outlineLevel="1" collapsed="1">
      <c r="D12" s="709" t="s">
        <v>1308</v>
      </c>
      <c r="E12" s="2544">
        <v>1</v>
      </c>
      <c r="J12" s="36"/>
      <c r="K12" s="35"/>
      <c r="L12" s="35"/>
      <c r="M12" s="36"/>
      <c r="N12" s="61"/>
      <c r="O12" s="36"/>
      <c r="P12" s="36"/>
      <c r="Q12" s="1773" t="str">
        <f>CHOOSE(2, "6722000002630", "1-1. P/L Statement")</f>
        <v>1-1. P/L Statement</v>
      </c>
      <c r="R12" s="1876" t="s">
        <v>1320</v>
      </c>
      <c r="S12" s="1877"/>
      <c r="T12" s="1877"/>
      <c r="U12" s="1877"/>
      <c r="V12" s="1877"/>
      <c r="W12" s="1877"/>
      <c r="X12" s="1124"/>
      <c r="Y12" s="1124"/>
      <c r="Z12" s="1124"/>
      <c r="AA12" s="1124"/>
      <c r="AB12" s="1124"/>
      <c r="AC12" s="1124"/>
      <c r="AH12" s="163"/>
      <c r="AI12" s="163"/>
      <c r="AJ12" s="163"/>
    </row>
    <row r="13" spans="1:60" ht="14.5" collapsed="1">
      <c r="D13" s="709" t="s">
        <v>1308</v>
      </c>
      <c r="E13" s="2544">
        <v>1</v>
      </c>
      <c r="F13" s="81"/>
      <c r="G13" s="81"/>
      <c r="H13" s="12"/>
      <c r="I13" s="3041"/>
      <c r="J13" s="447"/>
      <c r="K13" s="514"/>
      <c r="L13" s="514"/>
      <c r="M13" s="447"/>
      <c r="N13" s="447"/>
      <c r="O13" s="447"/>
      <c r="P13" s="447"/>
      <c r="Q13" s="1773" t="str">
        <f>CHOOSE(2, "6722000002629", "▷ Blank 0")</f>
        <v>▷ Blank 0</v>
      </c>
      <c r="R13" s="1878">
        <v>44652</v>
      </c>
      <c r="S13" s="1878">
        <f>DATE(YEAR(R13),MONTH(R13)+1,DAY(R13))</f>
        <v>44682</v>
      </c>
      <c r="T13" s="1878">
        <f t="shared" ref="T13:AB13" si="0">DATE(YEAR(S13),MONTH(S13)+1,DAY(S13))</f>
        <v>44713</v>
      </c>
      <c r="U13" s="1878">
        <f t="shared" si="0"/>
        <v>44743</v>
      </c>
      <c r="V13" s="1878">
        <f t="shared" si="0"/>
        <v>44774</v>
      </c>
      <c r="W13" s="1878">
        <f t="shared" si="0"/>
        <v>44805</v>
      </c>
      <c r="X13" s="1878">
        <f t="shared" si="0"/>
        <v>44835</v>
      </c>
      <c r="Y13" s="1878">
        <f t="shared" si="0"/>
        <v>44866</v>
      </c>
      <c r="Z13" s="1878">
        <f t="shared" si="0"/>
        <v>44896</v>
      </c>
      <c r="AA13" s="1878">
        <f t="shared" si="0"/>
        <v>44927</v>
      </c>
      <c r="AB13" s="1878">
        <f t="shared" si="0"/>
        <v>44958</v>
      </c>
      <c r="AC13" s="1878">
        <f>DATE(YEAR(AB13),MONTH(AB13)+1,DAY(AB13))</f>
        <v>44986</v>
      </c>
      <c r="AD13" s="2545" t="s">
        <v>1321</v>
      </c>
      <c r="AE13" s="2546" t="s">
        <v>36</v>
      </c>
      <c r="AF13" s="2546" t="s">
        <v>35</v>
      </c>
      <c r="AG13" s="2546" t="s">
        <v>34</v>
      </c>
      <c r="AH13" s="2546" t="s">
        <v>33</v>
      </c>
      <c r="AI13" s="2546" t="s">
        <v>32</v>
      </c>
      <c r="AJ13" s="2546" t="s">
        <v>921</v>
      </c>
      <c r="AL13" s="2679" t="s">
        <v>1322</v>
      </c>
      <c r="AM13" s="2680" t="s">
        <v>1301</v>
      </c>
      <c r="AN13" s="2680" t="s">
        <v>1323</v>
      </c>
      <c r="AO13" s="2680" t="s">
        <v>1324</v>
      </c>
      <c r="AP13" s="2680" t="s">
        <v>1325</v>
      </c>
      <c r="AQ13" s="2681" t="s">
        <v>1326</v>
      </c>
      <c r="AR13" s="2681" t="s">
        <v>1324</v>
      </c>
      <c r="AT13" s="2679" t="s">
        <v>1322</v>
      </c>
      <c r="AU13" s="2680" t="s">
        <v>1301</v>
      </c>
      <c r="AV13" s="2680" t="s">
        <v>1323</v>
      </c>
      <c r="AW13" s="2680" t="s">
        <v>1324</v>
      </c>
      <c r="AX13" s="2680" t="s">
        <v>1325</v>
      </c>
      <c r="AY13" s="2681" t="s">
        <v>1326</v>
      </c>
      <c r="AZ13" s="2681" t="s">
        <v>1324</v>
      </c>
      <c r="BB13" s="2679" t="s">
        <v>1322</v>
      </c>
      <c r="BC13" s="2680" t="s">
        <v>1301</v>
      </c>
      <c r="BD13" s="2680" t="s">
        <v>1323</v>
      </c>
      <c r="BE13" s="2680" t="s">
        <v>1324</v>
      </c>
      <c r="BF13" s="2680" t="s">
        <v>1325</v>
      </c>
      <c r="BG13" s="2681" t="s">
        <v>1326</v>
      </c>
      <c r="BH13" s="2681" t="s">
        <v>1324</v>
      </c>
    </row>
    <row r="14" spans="1:60" ht="14.5">
      <c r="A14" s="616">
        <f t="shared" ref="A14:A77" si="1">ROW()-3</f>
        <v>11</v>
      </c>
      <c r="B14" s="616">
        <v>1</v>
      </c>
      <c r="C14" s="616">
        <f t="shared" ref="C14:C77" si="2">ROW()-3</f>
        <v>11</v>
      </c>
      <c r="D14" s="709" t="s">
        <v>1308</v>
      </c>
      <c r="E14" s="2547">
        <v>1</v>
      </c>
      <c r="F14" s="81"/>
      <c r="G14" s="81"/>
      <c r="H14" s="12"/>
      <c r="I14" s="3042" t="s">
        <v>0</v>
      </c>
      <c r="J14" s="3043"/>
      <c r="K14" s="3043"/>
      <c r="L14" s="3043"/>
      <c r="M14" s="3043"/>
      <c r="N14" s="3043"/>
      <c r="O14" s="3043"/>
      <c r="P14" s="3043"/>
      <c r="Q14" s="1774" t="str">
        <f>CHOOSE(2, "6722000002628", "PL Statement Net Sales")</f>
        <v>PL Statement Net Sales</v>
      </c>
      <c r="R14" s="3044">
        <f t="shared" ref="R14:AC14" si="3">R79+R353+R154+R208+R290</f>
        <v>649255</v>
      </c>
      <c r="S14" s="3044">
        <f t="shared" si="3"/>
        <v>656821</v>
      </c>
      <c r="T14" s="3044">
        <f t="shared" si="3"/>
        <v>693011</v>
      </c>
      <c r="U14" s="3044">
        <f t="shared" si="3"/>
        <v>709342</v>
      </c>
      <c r="V14" s="3044">
        <f t="shared" si="3"/>
        <v>827652.59600999998</v>
      </c>
      <c r="W14" s="3044">
        <f t="shared" si="3"/>
        <v>711087</v>
      </c>
      <c r="X14" s="3044">
        <f t="shared" si="3"/>
        <v>873355</v>
      </c>
      <c r="Y14" s="3044">
        <f t="shared" si="3"/>
        <v>797664</v>
      </c>
      <c r="Z14" s="3044">
        <f t="shared" si="3"/>
        <v>852777</v>
      </c>
      <c r="AA14" s="3044">
        <f t="shared" si="3"/>
        <v>834597</v>
      </c>
      <c r="AB14" s="3044">
        <f t="shared" si="3"/>
        <v>871093.62631000008</v>
      </c>
      <c r="AC14" s="3044">
        <f t="shared" si="3"/>
        <v>764117</v>
      </c>
      <c r="AD14" s="1293">
        <f>SUM(R14,S14,T14)</f>
        <v>1999087</v>
      </c>
      <c r="AE14" s="3044">
        <f>SUM(U14,V14,W14)</f>
        <v>2248081.59601</v>
      </c>
      <c r="AF14" s="3044">
        <f>SUM(X14,Y14,Z14)</f>
        <v>2523796</v>
      </c>
      <c r="AG14" s="3044">
        <f>SUM(AA14,AB14,AC14)</f>
        <v>2469807.6263100002</v>
      </c>
      <c r="AH14" s="3044">
        <f>AD14+AE14</f>
        <v>4247168.5960099995</v>
      </c>
      <c r="AI14" s="3044">
        <f>AG14+AF14</f>
        <v>4993603.6263100002</v>
      </c>
      <c r="AJ14" s="3044">
        <f>AH14+AI14</f>
        <v>9240772.2223199997</v>
      </c>
      <c r="AL14" s="3044">
        <f ca="1">SUM((INDIRECT(AL$2&amp;(ROW())):INDIRECT(AL$3&amp;(ROW()))))</f>
        <v>764117</v>
      </c>
      <c r="AM14" s="3044">
        <f ca="1">SUM(INDIRECT(AM$1&amp;AM$2&amp;$C14):INDIRECT(AM$1&amp;AM$3&amp;$C14))</f>
        <v>0</v>
      </c>
      <c r="AN14" s="3045">
        <f t="shared" ref="AN14:AN36" ca="1" si="4">AL14-AM14</f>
        <v>764117</v>
      </c>
      <c r="AO14" s="2683">
        <f ca="1">IFERROR(AL14/AM14,0)</f>
        <v>0</v>
      </c>
      <c r="AP14" s="3044">
        <f ca="1">SUM(INDIRECT(AP$1&amp;AP$2&amp;$A14):INDIRECT(AP$1&amp;AP$3&amp;$A14))+SUM(INDIRECT(AP$1&amp;AP$2&amp;$B14):INDIRECT(AP$1&amp;AP$3&amp;$B14))</f>
        <v>0</v>
      </c>
      <c r="AQ14" s="3045">
        <f t="shared" ref="AQ14:AQ36" ca="1" si="5">AL14-AP14</f>
        <v>764117</v>
      </c>
      <c r="AR14" s="2683">
        <f ca="1">IFERROR(AL14/AP14,0)</f>
        <v>0</v>
      </c>
      <c r="AT14" s="3044">
        <f ca="1">SUM((INDIRECT(AT$2&amp;(ROW())):INDIRECT(AT$3&amp;(ROW()))))</f>
        <v>2469807.6263100002</v>
      </c>
      <c r="AU14" s="3044">
        <f ca="1">SUM(INDIRECT(AU$1&amp;AU$2&amp;$C14):INDIRECT(AU$1&amp;AU$3&amp;$C14))</f>
        <v>0</v>
      </c>
      <c r="AV14" s="3045">
        <f t="shared" ref="AV14:AV36" ca="1" si="6">AT14-AU14</f>
        <v>2469807.6263100002</v>
      </c>
      <c r="AW14" s="2683">
        <f ca="1">IFERROR(AT14/AU14,0)</f>
        <v>0</v>
      </c>
      <c r="AX14" s="3044">
        <f ca="1">SUM(INDIRECT(AX$1&amp;AX$2&amp;$A14):INDIRECT(AX$1&amp;AX$3&amp;$A14))+SUM(INDIRECT(AX$1&amp;AX$2&amp;$B14):INDIRECT(AX$1&amp;AX$3&amp;$B14))</f>
        <v>0</v>
      </c>
      <c r="AY14" s="3045">
        <f t="shared" ref="AY14:AY36" ca="1" si="7">AT14-AX14</f>
        <v>2469807.6263100002</v>
      </c>
      <c r="AZ14" s="2683">
        <f ca="1">IFERROR(AT14/AX14,0)</f>
        <v>0</v>
      </c>
      <c r="BB14" s="3044">
        <f ca="1">SUM((INDIRECT(BB$2&amp;(ROW())):INDIRECT(BB$3&amp;(ROW()))))</f>
        <v>9240772.2223199997</v>
      </c>
      <c r="BC14" s="3044">
        <f ca="1">SUM(INDIRECT(BC$1&amp;BC$2&amp;$C14):INDIRECT(BC$1&amp;BC$3&amp;$C14))</f>
        <v>45077.785299537034</v>
      </c>
      <c r="BD14" s="3045">
        <f t="shared" ref="BD14:BD36" ca="1" si="8">BB14-BC14</f>
        <v>9195694.437020462</v>
      </c>
      <c r="BE14" s="2683">
        <f ca="1">IFERROR(BB14/BC14,0)</f>
        <v>204.9961452390809</v>
      </c>
      <c r="BF14" s="3044">
        <f ca="1">SUM(INDIRECT(BF$1&amp;BF$2&amp;$A14):INDIRECT(BF$1&amp;BF$3&amp;$A14))+SUM(INDIRECT(BF$1&amp;BF$2&amp;$B14):INDIRECT(BF$1&amp;BF$3&amp;$B14))</f>
        <v>45391.854638657409</v>
      </c>
      <c r="BG14" s="3045">
        <f t="shared" ref="BG14:BG36" ca="1" si="9">BB14-BF14</f>
        <v>9195380.3676813431</v>
      </c>
      <c r="BH14" s="2683">
        <f ca="1">IFERROR(BB14/BF14,0)</f>
        <v>203.57776292423642</v>
      </c>
    </row>
    <row r="15" spans="1:60" ht="14.5">
      <c r="A15" s="616">
        <f t="shared" si="1"/>
        <v>12</v>
      </c>
      <c r="B15" s="616">
        <v>1</v>
      </c>
      <c r="C15" s="616">
        <f t="shared" si="2"/>
        <v>12</v>
      </c>
      <c r="D15" s="709" t="s">
        <v>1308</v>
      </c>
      <c r="E15" s="2547">
        <v>1</v>
      </c>
      <c r="F15" s="81"/>
      <c r="G15" s="81"/>
      <c r="I15" s="3044" t="s">
        <v>1327</v>
      </c>
      <c r="J15" s="3046"/>
      <c r="K15" s="3046"/>
      <c r="L15" s="3047"/>
      <c r="M15" s="3043"/>
      <c r="N15" s="3043"/>
      <c r="O15" s="3043"/>
      <c r="P15" s="3043"/>
      <c r="Q15" s="1774" t="str">
        <f>CHOOSE(2, "6722000002627", "PL Statement BT Cons. Sales")</f>
        <v>PL Statement BT Cons. Sales</v>
      </c>
      <c r="R15" s="3044">
        <f t="shared" ref="R15:AC15" si="10">R80+R362+R159+R223+R300</f>
        <v>648073</v>
      </c>
      <c r="S15" s="1293">
        <f t="shared" si="10"/>
        <v>656821</v>
      </c>
      <c r="T15" s="1293">
        <f t="shared" si="10"/>
        <v>693011</v>
      </c>
      <c r="U15" s="1293">
        <f t="shared" si="10"/>
        <v>706173</v>
      </c>
      <c r="V15" s="1293">
        <f t="shared" si="10"/>
        <v>827652.59600999998</v>
      </c>
      <c r="W15" s="1293">
        <f t="shared" si="10"/>
        <v>711087</v>
      </c>
      <c r="X15" s="1293">
        <f t="shared" si="10"/>
        <v>873355</v>
      </c>
      <c r="Y15" s="1293">
        <f t="shared" si="10"/>
        <v>797664</v>
      </c>
      <c r="Z15" s="1293">
        <f t="shared" si="10"/>
        <v>852777</v>
      </c>
      <c r="AA15" s="1293">
        <f t="shared" si="10"/>
        <v>834597</v>
      </c>
      <c r="AB15" s="1293">
        <f t="shared" si="10"/>
        <v>871093.62631000008</v>
      </c>
      <c r="AC15" s="1293">
        <f t="shared" si="10"/>
        <v>764117</v>
      </c>
      <c r="AD15" s="1293">
        <f>SUM(R15,S15,T15)</f>
        <v>1997905</v>
      </c>
      <c r="AE15" s="1293">
        <f t="shared" ref="AE15:AE17" si="11">SUM(U15,V15,W15)</f>
        <v>2244912.59601</v>
      </c>
      <c r="AF15" s="1293">
        <f t="shared" ref="AF15:AF17" si="12">SUM(X15,Y15,Z15)</f>
        <v>2523796</v>
      </c>
      <c r="AG15" s="1293">
        <f t="shared" ref="AG15:AG17" si="13">SUM(AA15,AB15,AC15)</f>
        <v>2469807.6263100002</v>
      </c>
      <c r="AH15" s="1293">
        <f>AD15+AE15</f>
        <v>4242817.5960099995</v>
      </c>
      <c r="AI15" s="1293">
        <f>AG15+AF15</f>
        <v>4993603.6263100002</v>
      </c>
      <c r="AJ15" s="1293">
        <f>AH15+AI15</f>
        <v>9236421.2223199997</v>
      </c>
      <c r="AL15" s="3044">
        <f ca="1">SUM((INDIRECT(AL$2&amp;(ROW())):INDIRECT(AL$3&amp;(ROW()))))</f>
        <v>764117</v>
      </c>
      <c r="AM15" s="1293">
        <f ca="1">SUM(INDIRECT(AM$1&amp;AM$2&amp;$C15):INDIRECT(AM$1&amp;AM$3&amp;$C15))</f>
        <v>0</v>
      </c>
      <c r="AN15" s="3048">
        <f t="shared" ca="1" si="4"/>
        <v>764117</v>
      </c>
      <c r="AO15" s="2685">
        <f ca="1">IFERROR(AL15/AM15,0)</f>
        <v>0</v>
      </c>
      <c r="AP15" s="1293">
        <f ca="1">SUM(INDIRECT(AP$1&amp;AP$2&amp;$A15):INDIRECT(AP$1&amp;AP$3&amp;$A15))+SUM(INDIRECT(AP$1&amp;AP$2&amp;$B15):INDIRECT(AP$1&amp;AP$3&amp;$B15))</f>
        <v>0</v>
      </c>
      <c r="AQ15" s="3048">
        <f t="shared" ca="1" si="5"/>
        <v>764117</v>
      </c>
      <c r="AR15" s="2685">
        <f ca="1">IFERROR(AL15/AP15,0)</f>
        <v>0</v>
      </c>
      <c r="AT15" s="3044">
        <f ca="1">SUM((INDIRECT(AT$2&amp;(ROW())):INDIRECT(AT$3&amp;(ROW()))))</f>
        <v>2469807.6263100002</v>
      </c>
      <c r="AU15" s="1293">
        <f ca="1">SUM(INDIRECT(AU$1&amp;AU$2&amp;$C15):INDIRECT(AU$1&amp;AU$3&amp;$C15))</f>
        <v>0</v>
      </c>
      <c r="AV15" s="3048">
        <f t="shared" ca="1" si="6"/>
        <v>2469807.6263100002</v>
      </c>
      <c r="AW15" s="2685">
        <f ca="1">IFERROR(AT15/AU15,0)</f>
        <v>0</v>
      </c>
      <c r="AX15" s="1293">
        <f ca="1">SUM(INDIRECT(AX$1&amp;AX$2&amp;$A15):INDIRECT(AX$1&amp;AX$3&amp;$A15))+SUM(INDIRECT(AX$1&amp;AX$2&amp;$B15):INDIRECT(AX$1&amp;AX$3&amp;$B15))</f>
        <v>0</v>
      </c>
      <c r="AY15" s="3048">
        <f t="shared" ca="1" si="7"/>
        <v>2469807.6263100002</v>
      </c>
      <c r="AZ15" s="2685">
        <f ca="1">IFERROR(AT15/AX15,0)</f>
        <v>0</v>
      </c>
      <c r="BB15" s="3044">
        <f ca="1">SUM((INDIRECT(BB$2&amp;(ROW())):INDIRECT(BB$3&amp;(ROW()))))</f>
        <v>9236421.2223199997</v>
      </c>
      <c r="BC15" s="1293">
        <f ca="1">SUM(INDIRECT(BC$1&amp;BC$2&amp;$C15):INDIRECT(BC$1&amp;BC$3&amp;$C15))</f>
        <v>0</v>
      </c>
      <c r="BD15" s="3048">
        <f t="shared" ca="1" si="8"/>
        <v>9236421.2223199997</v>
      </c>
      <c r="BE15" s="2685">
        <f ca="1">IFERROR(BB15/BC15,0)</f>
        <v>0</v>
      </c>
      <c r="BF15" s="1293">
        <f ca="1">SUM(INDIRECT(BF$1&amp;BF$2&amp;$A15):INDIRECT(BF$1&amp;BF$3&amp;$A15))+SUM(INDIRECT(BF$1&amp;BF$2&amp;$B15):INDIRECT(BF$1&amp;BF$3&amp;$B15))</f>
        <v>0</v>
      </c>
      <c r="BG15" s="3048">
        <f t="shared" ca="1" si="9"/>
        <v>9236421.2223199997</v>
      </c>
      <c r="BH15" s="2685">
        <f ca="1">IFERROR(BB15/BF15,0)</f>
        <v>0</v>
      </c>
    </row>
    <row r="16" spans="1:60" ht="14.5">
      <c r="A16" s="616">
        <f t="shared" si="1"/>
        <v>13</v>
      </c>
      <c r="B16" s="616">
        <v>1</v>
      </c>
      <c r="C16" s="616">
        <f t="shared" si="2"/>
        <v>13</v>
      </c>
      <c r="D16" s="709" t="s">
        <v>1308</v>
      </c>
      <c r="E16" s="2547">
        <v>1</v>
      </c>
      <c r="F16" s="81"/>
      <c r="G16" s="81"/>
      <c r="H16" s="12"/>
      <c r="I16" s="3041" t="s">
        <v>37</v>
      </c>
      <c r="J16" s="447"/>
      <c r="K16" s="514"/>
      <c r="L16" s="514"/>
      <c r="M16" s="447"/>
      <c r="N16" s="447"/>
      <c r="O16" s="447"/>
      <c r="P16" s="447"/>
      <c r="Q16" s="1775" t="str">
        <f>CHOOSE(2, "6722000002626", "PL Statement Cost of Sales")</f>
        <v>PL Statement Cost of Sales</v>
      </c>
      <c r="R16" s="3049">
        <f>R14-R17</f>
        <v>442381</v>
      </c>
      <c r="S16" s="3049">
        <f t="shared" ref="S16:AC16" si="14">S14-S17</f>
        <v>465153</v>
      </c>
      <c r="T16" s="3049">
        <f t="shared" si="14"/>
        <v>469842</v>
      </c>
      <c r="U16" s="3049">
        <f t="shared" si="14"/>
        <v>473701</v>
      </c>
      <c r="V16" s="3049">
        <f t="shared" si="14"/>
        <v>549586.86136775906</v>
      </c>
      <c r="W16" s="3049">
        <f t="shared" si="14"/>
        <v>520638.35098852334</v>
      </c>
      <c r="X16" s="3049">
        <f t="shared" si="14"/>
        <v>562611.74800000002</v>
      </c>
      <c r="Y16" s="3049">
        <f t="shared" si="14"/>
        <v>540330</v>
      </c>
      <c r="Z16" s="3049">
        <f t="shared" si="14"/>
        <v>596637</v>
      </c>
      <c r="AA16" s="3049">
        <f t="shared" si="14"/>
        <v>539797</v>
      </c>
      <c r="AB16" s="3049">
        <f t="shared" si="14"/>
        <v>611972.7667304168</v>
      </c>
      <c r="AC16" s="3049">
        <f t="shared" si="14"/>
        <v>590384</v>
      </c>
      <c r="AD16" s="3050">
        <f>SUM(R16,S16,T16)</f>
        <v>1377376</v>
      </c>
      <c r="AE16" s="3049">
        <f t="shared" si="11"/>
        <v>1543926.2123562824</v>
      </c>
      <c r="AF16" s="3049">
        <f t="shared" si="12"/>
        <v>1699578.7480000001</v>
      </c>
      <c r="AG16" s="3049">
        <f t="shared" si="13"/>
        <v>1742153.7667304168</v>
      </c>
      <c r="AH16" s="3049">
        <f>AD16+AE16</f>
        <v>2921302.2123562824</v>
      </c>
      <c r="AI16" s="3049">
        <f>AG16+AF16</f>
        <v>3441732.5147304172</v>
      </c>
      <c r="AJ16" s="3049">
        <f>AH16+AI16</f>
        <v>6363034.7270866996</v>
      </c>
      <c r="AL16" s="3049">
        <f ca="1">SUM((INDIRECT(AL$2&amp;(ROW())):INDIRECT(AL$3&amp;(ROW()))))</f>
        <v>590384</v>
      </c>
      <c r="AM16" s="3049">
        <f ca="1">SUM(INDIRECT(AM$1&amp;AM$2&amp;$C16):INDIRECT(AM$1&amp;AM$3&amp;$C16))</f>
        <v>45139</v>
      </c>
      <c r="AN16" s="3051">
        <f t="shared" ca="1" si="4"/>
        <v>545245</v>
      </c>
      <c r="AO16" s="2687">
        <f ca="1">IFERROR(AL16/AM16,0)</f>
        <v>13.079244112629876</v>
      </c>
      <c r="AP16" s="3049">
        <f ca="1">SUM(INDIRECT(AP$1&amp;AP$2&amp;$A16):INDIRECT(AP$1&amp;AP$3&amp;$A16))+SUM(INDIRECT(AP$1&amp;AP$2&amp;$B16):INDIRECT(AP$1&amp;AP$3&amp;$B16))</f>
        <v>44958</v>
      </c>
      <c r="AQ16" s="3051">
        <f t="shared" ca="1" si="5"/>
        <v>545426</v>
      </c>
      <c r="AR16" s="2687">
        <f ca="1">IFERROR(AL16/AP16,0)</f>
        <v>13.131900885270698</v>
      </c>
      <c r="AT16" s="3049">
        <f ca="1">SUM((INDIRECT(AT$2&amp;(ROW())):INDIRECT(AT$3&amp;(ROW()))))</f>
        <v>1742153.7667304168</v>
      </c>
      <c r="AU16" s="3049">
        <f ca="1">SUM(INDIRECT(AU$1&amp;AU$2&amp;$C16):INDIRECT(AU$1&amp;AU$3&amp;$C16))</f>
        <v>135325</v>
      </c>
      <c r="AV16" s="3051">
        <f t="shared" ca="1" si="6"/>
        <v>1606828.7667304168</v>
      </c>
      <c r="AW16" s="2687">
        <f ca="1">IFERROR(AT16/AU16,0)</f>
        <v>12.87385011439436</v>
      </c>
      <c r="AX16" s="3049">
        <f ca="1">SUM(INDIRECT(AX$1&amp;AX$2&amp;$A16):INDIRECT(AX$1&amp;AX$3&amp;$A16))+SUM(INDIRECT(AX$1&amp;AX$2&amp;$B16):INDIRECT(AX$1&amp;AX$3&amp;$B16))</f>
        <v>134781</v>
      </c>
      <c r="AY16" s="3051">
        <f t="shared" ca="1" si="7"/>
        <v>1607372.7667304168</v>
      </c>
      <c r="AZ16" s="2687">
        <f ca="1">IFERROR(AT16/AX16,0)</f>
        <v>12.92581125477936</v>
      </c>
      <c r="BB16" s="3049">
        <f ca="1">SUM((INDIRECT(BB$2&amp;(ROW())):INDIRECT(BB$3&amp;(ROW()))))</f>
        <v>6363034.7270866986</v>
      </c>
      <c r="BC16" s="3049">
        <f ca="1">SUM(INDIRECT(BC$1&amp;BC$2&amp;$C16):INDIRECT(BC$1&amp;BC$3&amp;$C16))</f>
        <v>225389</v>
      </c>
      <c r="BD16" s="3051">
        <f t="shared" ca="1" si="8"/>
        <v>6137645.7270866986</v>
      </c>
      <c r="BE16" s="2687">
        <f ca="1">IFERROR(BB16/BC16,0)</f>
        <v>28.231345483083462</v>
      </c>
      <c r="BF16" s="3049">
        <f ca="1">SUM(INDIRECT(BF$1&amp;BF$2&amp;$A16):INDIRECT(BF$1&amp;BF$3&amp;$A16))+SUM(INDIRECT(BF$1&amp;BF$2&amp;$B16):INDIRECT(BF$1&amp;BF$3&amp;$B16))</f>
        <v>492851</v>
      </c>
      <c r="BG16" s="3051">
        <f t="shared" ca="1" si="9"/>
        <v>5870183.7270866986</v>
      </c>
      <c r="BH16" s="2687">
        <f ca="1">IFERROR(BB16/BF16,0)</f>
        <v>12.910666158913543</v>
      </c>
    </row>
    <row r="17" spans="1:60" ht="14.5">
      <c r="A17" s="616">
        <f t="shared" si="1"/>
        <v>14</v>
      </c>
      <c r="B17" s="616">
        <v>1</v>
      </c>
      <c r="C17" s="616">
        <f t="shared" si="2"/>
        <v>14</v>
      </c>
      <c r="D17" s="709" t="s">
        <v>1308</v>
      </c>
      <c r="E17" s="2547">
        <v>1</v>
      </c>
      <c r="F17" s="81"/>
      <c r="G17" s="81"/>
      <c r="H17" s="12"/>
      <c r="I17" s="3052" t="s">
        <v>54</v>
      </c>
      <c r="J17" s="861"/>
      <c r="K17" s="861"/>
      <c r="L17" s="861"/>
      <c r="M17" s="861"/>
      <c r="N17" s="861"/>
      <c r="O17" s="861"/>
      <c r="P17" s="861"/>
      <c r="Q17" s="1774" t="str">
        <f>CHOOSE(2, "6722000002625", "PL Statement Gross Profit")</f>
        <v>PL Statement Gross Profit</v>
      </c>
      <c r="R17" s="1302">
        <f t="shared" ref="R17:AC17" si="15">R81+R371+R176+R238+R310</f>
        <v>206874</v>
      </c>
      <c r="S17" s="1302">
        <f t="shared" si="15"/>
        <v>191668</v>
      </c>
      <c r="T17" s="1302">
        <f t="shared" si="15"/>
        <v>223169</v>
      </c>
      <c r="U17" s="1302">
        <f t="shared" si="15"/>
        <v>235641</v>
      </c>
      <c r="V17" s="1302">
        <f t="shared" si="15"/>
        <v>278065.73464224086</v>
      </c>
      <c r="W17" s="1302">
        <f t="shared" si="15"/>
        <v>190448.64901147669</v>
      </c>
      <c r="X17" s="1302">
        <f t="shared" si="15"/>
        <v>310743.25199999998</v>
      </c>
      <c r="Y17" s="1302">
        <f t="shared" si="15"/>
        <v>257334</v>
      </c>
      <c r="Z17" s="1302">
        <f t="shared" si="15"/>
        <v>256140</v>
      </c>
      <c r="AA17" s="1302">
        <f t="shared" si="15"/>
        <v>294800</v>
      </c>
      <c r="AB17" s="1302">
        <f t="shared" si="15"/>
        <v>259120.85957958334</v>
      </c>
      <c r="AC17" s="1302">
        <f t="shared" si="15"/>
        <v>173733</v>
      </c>
      <c r="AD17" s="3053">
        <f>SUM(R17,S17,T17)</f>
        <v>621711</v>
      </c>
      <c r="AE17" s="1302">
        <f t="shared" si="11"/>
        <v>704155.38365371758</v>
      </c>
      <c r="AF17" s="1302">
        <f t="shared" si="12"/>
        <v>824217.25199999998</v>
      </c>
      <c r="AG17" s="1302">
        <f t="shared" si="13"/>
        <v>727653.8595795834</v>
      </c>
      <c r="AH17" s="1302">
        <f>AD17+AE17</f>
        <v>1325866.3836537176</v>
      </c>
      <c r="AI17" s="1302">
        <f>AG17+AF17</f>
        <v>1551871.1115795835</v>
      </c>
      <c r="AJ17" s="1302">
        <f>AH17+AI17</f>
        <v>2877737.4952333011</v>
      </c>
      <c r="AL17" s="1302">
        <f ca="1">SUM((INDIRECT(AL$2&amp;(ROW())):INDIRECT(AL$3&amp;(ROW()))))</f>
        <v>173733</v>
      </c>
      <c r="AM17" s="1302">
        <f ca="1">SUM(INDIRECT(AM$1&amp;AM$2&amp;$C17):INDIRECT(AM$1&amp;AM$3&amp;$C17))</f>
        <v>755265.94014036213</v>
      </c>
      <c r="AN17" s="3054">
        <f t="shared" ca="1" si="4"/>
        <v>-581532.94014036213</v>
      </c>
      <c r="AO17" s="2689">
        <f ca="1">IFERROR(AL17/AM17,0)</f>
        <v>0.23002890871487286</v>
      </c>
      <c r="AP17" s="1302">
        <f ca="1">SUM(INDIRECT(AP$1&amp;AP$2&amp;$A17):INDIRECT(AP$1&amp;AP$3&amp;$A17))+SUM(INDIRECT(AP$1&amp;AP$2&amp;$B17):INDIRECT(AP$1&amp;AP$3&amp;$B17))</f>
        <v>871093.62631000008</v>
      </c>
      <c r="AQ17" s="3054">
        <f t="shared" ca="1" si="5"/>
        <v>-697360.62631000008</v>
      </c>
      <c r="AR17" s="2689">
        <f ca="1">IFERROR(AL17/AP17,0)</f>
        <v>0.19944239603260838</v>
      </c>
      <c r="AT17" s="1302">
        <f ca="1">SUM((INDIRECT(AT$2&amp;(ROW())):INDIRECT(AT$3&amp;(ROW()))))</f>
        <v>727653.8595795834</v>
      </c>
      <c r="AU17" s="1302">
        <f ca="1">SUM(INDIRECT(AU$1&amp;AU$2&amp;$C17):INDIRECT(AU$1&amp;AU$3&amp;$C17))</f>
        <v>2174551.6281741168</v>
      </c>
      <c r="AV17" s="3054">
        <f t="shared" ca="1" si="6"/>
        <v>-1446897.7685945334</v>
      </c>
      <c r="AW17" s="2689">
        <f ca="1">IFERROR(AT17/AU17,0)</f>
        <v>0.33462248040096659</v>
      </c>
      <c r="AX17" s="1302">
        <f ca="1">SUM(INDIRECT(AX$1&amp;AX$2&amp;$A17):INDIRECT(AX$1&amp;AX$3&amp;$A17))+SUM(INDIRECT(AX$1&amp;AX$2&amp;$B17):INDIRECT(AX$1&amp;AX$3&amp;$B17))</f>
        <v>2558467.6263100002</v>
      </c>
      <c r="AY17" s="3054">
        <f t="shared" ca="1" si="7"/>
        <v>-1830813.7667304168</v>
      </c>
      <c r="AZ17" s="2689">
        <f ca="1">IFERROR(AT17/AX17,0)</f>
        <v>0.28441003204291326</v>
      </c>
      <c r="BB17" s="1302">
        <f ca="1">SUM((INDIRECT(BB$2&amp;(ROW())):INDIRECT(BB$3&amp;(ROW()))))</f>
        <v>2877737.4952333006</v>
      </c>
      <c r="BC17" s="1302">
        <f ca="1">SUM(INDIRECT(BC$1&amp;BC$2&amp;$C17):INDIRECT(BC$1&amp;BC$3&amp;$C17))</f>
        <v>3791192.5112422965</v>
      </c>
      <c r="BD17" s="3054">
        <f t="shared" ca="1" si="8"/>
        <v>-913455.01600899594</v>
      </c>
      <c r="BE17" s="2689">
        <f ca="1">IFERROR(BB17/BC17,0)</f>
        <v>0.75905865679459383</v>
      </c>
      <c r="BF17" s="1302">
        <f ca="1">SUM(INDIRECT(BF$1&amp;BF$2&amp;$A17):INDIRECT(BF$1&amp;BF$3&amp;$A17))+SUM(INDIRECT(BF$1&amp;BF$2&amp;$B17):INDIRECT(BF$1&amp;BF$3&amp;$B17))</f>
        <v>8476655.2223199997</v>
      </c>
      <c r="BG17" s="3054">
        <f t="shared" ca="1" si="9"/>
        <v>-5598917.7270866986</v>
      </c>
      <c r="BH17" s="2689">
        <f ca="1">IFERROR(BB17/BF17,0)</f>
        <v>0.33948974209259919</v>
      </c>
    </row>
    <row r="18" spans="1:60" ht="14.5">
      <c r="A18" s="616">
        <f t="shared" si="1"/>
        <v>15</v>
      </c>
      <c r="B18" s="616">
        <v>1</v>
      </c>
      <c r="C18" s="616">
        <f t="shared" si="2"/>
        <v>15</v>
      </c>
      <c r="D18" s="709" t="s">
        <v>1308</v>
      </c>
      <c r="E18" s="2547">
        <v>1</v>
      </c>
      <c r="F18" s="81"/>
      <c r="G18" s="81"/>
      <c r="H18" s="12"/>
      <c r="I18" s="106"/>
      <c r="J18" s="104"/>
      <c r="K18" s="105"/>
      <c r="L18" s="105"/>
      <c r="M18" s="104"/>
      <c r="N18" s="104"/>
      <c r="O18" s="104"/>
      <c r="P18" s="105" t="s">
        <v>55</v>
      </c>
      <c r="Q18" s="1776" t="str">
        <f>CHOOSE(2, "6722000002624", "PL Statement Gross Profit (%)")</f>
        <v>PL Statement Gross Profit (%)</v>
      </c>
      <c r="R18" s="2549">
        <f>IFERROR(R17/R14,0)</f>
        <v>0.3186328946253783</v>
      </c>
      <c r="S18" s="2549">
        <f t="shared" ref="S18:AJ18" si="16">IFERROR(S17/S14,0)</f>
        <v>0.29181161990862048</v>
      </c>
      <c r="T18" s="2549">
        <f t="shared" si="16"/>
        <v>0.32202807747640372</v>
      </c>
      <c r="U18" s="2549">
        <f t="shared" si="16"/>
        <v>0.33219659910170268</v>
      </c>
      <c r="V18" s="2549">
        <f t="shared" si="16"/>
        <v>0.33596914452121307</v>
      </c>
      <c r="W18" s="2549">
        <f t="shared" si="16"/>
        <v>0.2678274936983473</v>
      </c>
      <c r="X18" s="2549">
        <f t="shared" si="16"/>
        <v>0.35580405676958393</v>
      </c>
      <c r="Y18" s="2549">
        <f t="shared" si="16"/>
        <v>0.32260951979780961</v>
      </c>
      <c r="Z18" s="2549">
        <f t="shared" si="16"/>
        <v>0.30035988306438849</v>
      </c>
      <c r="AA18" s="2549">
        <f t="shared" si="16"/>
        <v>0.35322437056447603</v>
      </c>
      <c r="AB18" s="2549">
        <f t="shared" si="16"/>
        <v>0.29746614112794439</v>
      </c>
      <c r="AC18" s="2549">
        <f t="shared" si="16"/>
        <v>0.22736439576661691</v>
      </c>
      <c r="AD18" s="2550">
        <f t="shared" si="16"/>
        <v>0.31099747034521258</v>
      </c>
      <c r="AE18" s="2549">
        <f t="shared" si="16"/>
        <v>0.31322501145131271</v>
      </c>
      <c r="AF18" s="2549">
        <f t="shared" si="16"/>
        <v>0.32657839698612723</v>
      </c>
      <c r="AG18" s="2549">
        <f t="shared" si="16"/>
        <v>0.29461965046513761</v>
      </c>
      <c r="AH18" s="2549">
        <f t="shared" si="16"/>
        <v>0.31217653683428109</v>
      </c>
      <c r="AI18" s="2549">
        <f t="shared" si="16"/>
        <v>0.31077178480950668</v>
      </c>
      <c r="AJ18" s="2549">
        <f t="shared" si="16"/>
        <v>0.31141742551368856</v>
      </c>
      <c r="AK18" s="504"/>
      <c r="AL18" s="2549">
        <f ca="1">IFERROR(AL17/AL14,0)</f>
        <v>0.22736439576661691</v>
      </c>
      <c r="AM18" s="2549">
        <f ca="1">IFERROR(AM17/AM14,0)</f>
        <v>0</v>
      </c>
      <c r="AN18" s="2549">
        <f t="shared" ca="1" si="4"/>
        <v>0.22736439576661691</v>
      </c>
      <c r="AO18" s="2690"/>
      <c r="AP18" s="2549">
        <f ca="1">IFERROR(AP17/AP14,0)</f>
        <v>0</v>
      </c>
      <c r="AQ18" s="2549">
        <f t="shared" ca="1" si="5"/>
        <v>0.22736439576661691</v>
      </c>
      <c r="AR18" s="2690"/>
      <c r="AS18" s="504"/>
      <c r="AT18" s="2549">
        <f ca="1">IFERROR(AT17/AT14,0)</f>
        <v>0.29461965046513761</v>
      </c>
      <c r="AU18" s="2549">
        <f ca="1">IFERROR(AU17/AU14,0)</f>
        <v>0</v>
      </c>
      <c r="AV18" s="2549">
        <f t="shared" ca="1" si="6"/>
        <v>0.29461965046513761</v>
      </c>
      <c r="AW18" s="2690"/>
      <c r="AX18" s="2549">
        <f ca="1">IFERROR(AX17/AX14,0)</f>
        <v>0</v>
      </c>
      <c r="AY18" s="2549">
        <f t="shared" ca="1" si="7"/>
        <v>0.29461965046513761</v>
      </c>
      <c r="AZ18" s="2690"/>
      <c r="BA18" s="504"/>
      <c r="BB18" s="2549">
        <f ca="1">IFERROR(BB17/BB14,0)</f>
        <v>0.31141742551368856</v>
      </c>
      <c r="BC18" s="2549">
        <f ca="1">IFERROR(BC17/BC14,0)</f>
        <v>84.103344608663235</v>
      </c>
      <c r="BD18" s="2549">
        <f t="shared" ca="1" si="8"/>
        <v>-83.791927183149554</v>
      </c>
      <c r="BE18" s="2690"/>
      <c r="BF18" s="2549">
        <f ca="1">IFERROR(BF17/BF14,0)</f>
        <v>186.74397179402672</v>
      </c>
      <c r="BG18" s="2549">
        <f t="shared" ca="1" si="9"/>
        <v>-186.43255436851302</v>
      </c>
      <c r="BH18" s="2690"/>
    </row>
    <row r="19" spans="1:60" ht="14.5">
      <c r="A19" s="616">
        <f t="shared" si="1"/>
        <v>16</v>
      </c>
      <c r="B19" s="616">
        <v>1</v>
      </c>
      <c r="C19" s="616">
        <f t="shared" si="2"/>
        <v>16</v>
      </c>
      <c r="D19" s="709" t="s">
        <v>1308</v>
      </c>
      <c r="E19" s="2547">
        <v>1</v>
      </c>
      <c r="F19" s="81"/>
      <c r="G19" s="81"/>
      <c r="H19" s="12"/>
      <c r="I19" s="3052" t="s">
        <v>29</v>
      </c>
      <c r="J19" s="861"/>
      <c r="K19" s="861"/>
      <c r="L19" s="861"/>
      <c r="M19" s="861"/>
      <c r="N19" s="861"/>
      <c r="O19" s="861"/>
      <c r="P19" s="861"/>
      <c r="Q19" s="1774" t="str">
        <f>CHOOSE(2, "6722000002623", "PL Statement SGA")</f>
        <v>PL Statement SGA</v>
      </c>
      <c r="R19" s="1302">
        <f>R21+R22+R23</f>
        <v>162497</v>
      </c>
      <c r="S19" s="1302">
        <f t="shared" ref="S19:AC19" si="17">S21+S22+S23</f>
        <v>152600.9660869537</v>
      </c>
      <c r="T19" s="1302">
        <f t="shared" si="17"/>
        <v>168144.03008050972</v>
      </c>
      <c r="U19" s="1302">
        <f t="shared" si="17"/>
        <v>169225.99610131621</v>
      </c>
      <c r="V19" s="1302">
        <f t="shared" si="17"/>
        <v>192339.21737260476</v>
      </c>
      <c r="W19" s="1302">
        <f t="shared" si="17"/>
        <v>129717.21234383903</v>
      </c>
      <c r="X19" s="1302">
        <f t="shared" si="17"/>
        <v>216458.78050866287</v>
      </c>
      <c r="Y19" s="1302">
        <f t="shared" si="17"/>
        <v>174487.53378284161</v>
      </c>
      <c r="Z19" s="1302">
        <f t="shared" si="17"/>
        <v>188691.67658290401</v>
      </c>
      <c r="AA19" s="1302">
        <f t="shared" si="17"/>
        <v>221691.75387268787</v>
      </c>
      <c r="AB19" s="1302">
        <f t="shared" si="17"/>
        <v>172144.94107016726</v>
      </c>
      <c r="AC19" s="1302">
        <f t="shared" si="17"/>
        <v>121853.8830144987</v>
      </c>
      <c r="AD19" s="3053">
        <f>SUM(R19,S19,T19)</f>
        <v>483241.99616746343</v>
      </c>
      <c r="AE19" s="1302">
        <f>SUM(U19,V19,W19)</f>
        <v>491282.42581775994</v>
      </c>
      <c r="AF19" s="1302">
        <f>SUM(X19,Y19,Z19)</f>
        <v>579637.99087440851</v>
      </c>
      <c r="AG19" s="1302">
        <f>SUM(AA19,AB19,AC19)</f>
        <v>515690.57795735385</v>
      </c>
      <c r="AH19" s="1302">
        <f>AD19+AE19</f>
        <v>974524.42198522342</v>
      </c>
      <c r="AI19" s="1302">
        <f>AG19+AF19</f>
        <v>1095328.5688317623</v>
      </c>
      <c r="AJ19" s="1302">
        <f>AH19+AI19</f>
        <v>2069852.9908169857</v>
      </c>
      <c r="AL19" s="1302">
        <f ca="1">SUM((INDIRECT(AL$2&amp;(ROW())):INDIRECT(AL$3&amp;(ROW()))))</f>
        <v>121853.8830144987</v>
      </c>
      <c r="AM19" s="1302">
        <f ca="1">SUM(INDIRECT(AM$1&amp;AM$2&amp;$C19):INDIRECT(AM$1&amp;AM$3&amp;$C19))</f>
        <v>535054.22565355501</v>
      </c>
      <c r="AN19" s="3054">
        <f t="shared" ca="1" si="4"/>
        <v>-413200.34263905633</v>
      </c>
      <c r="AO19" s="2689">
        <f ca="1">IFERROR(AL19/AM19,0)</f>
        <v>0.22774118429895085</v>
      </c>
      <c r="AP19" s="1302">
        <f ca="1">SUM(INDIRECT(AP$1&amp;AP$2&amp;$A19):INDIRECT(AP$1&amp;AP$3&amp;$A19))+SUM(INDIRECT(AP$1&amp;AP$2&amp;$B19):INDIRECT(AP$1&amp;AP$3&amp;$B19))</f>
        <v>611972.7667304168</v>
      </c>
      <c r="AQ19" s="3054">
        <f t="shared" ca="1" si="5"/>
        <v>-490118.88371591811</v>
      </c>
      <c r="AR19" s="2689">
        <f ca="1">IFERROR(AL19/AP19,0)</f>
        <v>0.19911651243163433</v>
      </c>
      <c r="AT19" s="1302">
        <f ca="1">SUM((INDIRECT(AT$2&amp;(ROW())):INDIRECT(AT$3&amp;(ROW()))))</f>
        <v>515690.57795735385</v>
      </c>
      <c r="AU19" s="1302">
        <f ca="1">SUM(INDIRECT(AU$1&amp;AU$2&amp;$C19):INDIRECT(AU$1&amp;AU$3&amp;$C19))</f>
        <v>1529815.0518106124</v>
      </c>
      <c r="AV19" s="3054">
        <f t="shared" ca="1" si="6"/>
        <v>-1014124.4738532586</v>
      </c>
      <c r="AW19" s="2689">
        <f ca="1">IFERROR(AT19/AU19,0)</f>
        <v>0.33709341357767941</v>
      </c>
      <c r="AX19" s="1302">
        <f ca="1">SUM(INDIRECT(AX$1&amp;AX$2&amp;$A19):INDIRECT(AX$1&amp;AX$3&amp;$A19))+SUM(INDIRECT(AX$1&amp;AX$2&amp;$B19):INDIRECT(AX$1&amp;AX$3&amp;$B19))</f>
        <v>1748406.7667304168</v>
      </c>
      <c r="AY19" s="3054">
        <f t="shared" ca="1" si="7"/>
        <v>-1232716.188773063</v>
      </c>
      <c r="AZ19" s="2689">
        <f ca="1">IFERROR(AT19/AX19,0)</f>
        <v>0.29494885730836745</v>
      </c>
      <c r="BB19" s="1302">
        <f ca="1">SUM((INDIRECT(BB$2&amp;(ROW())):INDIRECT(BB$3&amp;(ROW()))))</f>
        <v>2069852.990816986</v>
      </c>
      <c r="BC19" s="1302">
        <f ca="1">SUM(INDIRECT(BC$1&amp;BC$2&amp;$C19):INDIRECT(BC$1&amp;BC$3&amp;$C19))</f>
        <v>2603778.2911397088</v>
      </c>
      <c r="BD19" s="3054">
        <f t="shared" ca="1" si="8"/>
        <v>-533925.30032272288</v>
      </c>
      <c r="BE19" s="2689">
        <f ca="1">IFERROR(BB19/BC19,0)</f>
        <v>0.79494210312007152</v>
      </c>
      <c r="BF19" s="1302">
        <f ca="1">SUM(INDIRECT(BF$1&amp;BF$2&amp;$A19):INDIRECT(BF$1&amp;BF$3&amp;$A19))+SUM(INDIRECT(BF$1&amp;BF$2&amp;$B19):INDIRECT(BF$1&amp;BF$3&amp;$B19))</f>
        <v>5772650.7270866986</v>
      </c>
      <c r="BG19" s="3054">
        <f t="shared" ca="1" si="9"/>
        <v>-3702797.7362697124</v>
      </c>
      <c r="BH19" s="2689">
        <f ca="1">IFERROR(BB19/BF19,0)</f>
        <v>0.35856196549441766</v>
      </c>
    </row>
    <row r="20" spans="1:60" ht="14.5">
      <c r="A20" s="616">
        <f t="shared" si="1"/>
        <v>17</v>
      </c>
      <c r="B20" s="616">
        <v>1</v>
      </c>
      <c r="C20" s="616">
        <f t="shared" si="2"/>
        <v>17</v>
      </c>
      <c r="D20" s="709" t="s">
        <v>1308</v>
      </c>
      <c r="E20" s="2547">
        <v>1</v>
      </c>
      <c r="F20" s="81"/>
      <c r="G20" s="81"/>
      <c r="H20" s="12"/>
      <c r="I20" s="153"/>
      <c r="J20" s="36"/>
      <c r="K20" s="35"/>
      <c r="L20" s="35"/>
      <c r="M20" s="36"/>
      <c r="N20" s="36"/>
      <c r="O20" s="36"/>
      <c r="P20" s="35" t="s">
        <v>1328</v>
      </c>
      <c r="Q20" s="1776" t="str">
        <f>CHOOSE(2, "6722000002622", "PL Statement SGA (%)")</f>
        <v>PL Statement SGA (%)</v>
      </c>
      <c r="R20" s="2551">
        <f>IFERROR(R19/R14,0)</f>
        <v>0.25028224657492049</v>
      </c>
      <c r="S20" s="2551">
        <f t="shared" ref="S20:AJ20" si="18">IFERROR(S19/S14,0)</f>
        <v>0.23233265392999569</v>
      </c>
      <c r="T20" s="2551">
        <f t="shared" si="18"/>
        <v>0.24262822679655838</v>
      </c>
      <c r="U20" s="2551">
        <f t="shared" si="18"/>
        <v>0.23856756839622667</v>
      </c>
      <c r="V20" s="2551">
        <f t="shared" si="18"/>
        <v>0.23239124519133492</v>
      </c>
      <c r="W20" s="2551">
        <f t="shared" si="18"/>
        <v>0.1824210150710659</v>
      </c>
      <c r="X20" s="2551">
        <f t="shared" si="18"/>
        <v>0.24784741658164533</v>
      </c>
      <c r="Y20" s="2551">
        <f t="shared" si="18"/>
        <v>0.21874816186118667</v>
      </c>
      <c r="Z20" s="2551">
        <f t="shared" si="18"/>
        <v>0.22126731441268235</v>
      </c>
      <c r="AA20" s="2551">
        <f t="shared" si="18"/>
        <v>0.26562730739828666</v>
      </c>
      <c r="AB20" s="2551">
        <f t="shared" si="18"/>
        <v>0.19761933260765846</v>
      </c>
      <c r="AC20" s="2551">
        <f t="shared" si="18"/>
        <v>0.15947018979357702</v>
      </c>
      <c r="AD20" s="2552">
        <f t="shared" si="18"/>
        <v>0.24173134844429653</v>
      </c>
      <c r="AE20" s="2551">
        <f t="shared" si="18"/>
        <v>0.21853407220169896</v>
      </c>
      <c r="AF20" s="2551">
        <f t="shared" si="18"/>
        <v>0.22966911385643235</v>
      </c>
      <c r="AG20" s="2551">
        <f t="shared" si="18"/>
        <v>0.2087978725403071</v>
      </c>
      <c r="AH20" s="2551">
        <f t="shared" si="18"/>
        <v>0.22945272831898877</v>
      </c>
      <c r="AI20" s="2551">
        <f t="shared" si="18"/>
        <v>0.21934631796980453</v>
      </c>
      <c r="AJ20" s="2551">
        <f t="shared" si="18"/>
        <v>0.22399134412354618</v>
      </c>
      <c r="AK20" s="504"/>
      <c r="AL20" s="2551">
        <f ca="1">INDIRECT(AL$2&amp;ROW())</f>
        <v>0.15947018979357702</v>
      </c>
      <c r="AM20" s="2551">
        <f ca="1">IFERROR(AM19/AM14,0)</f>
        <v>0</v>
      </c>
      <c r="AN20" s="2551">
        <f t="shared" ca="1" si="4"/>
        <v>0.15947018979357702</v>
      </c>
      <c r="AO20" s="2691"/>
      <c r="AP20" s="2551">
        <f ca="1">IFERROR(AP19/AP14,0)</f>
        <v>0</v>
      </c>
      <c r="AQ20" s="2551">
        <f t="shared" ca="1" si="5"/>
        <v>0.15947018979357702</v>
      </c>
      <c r="AR20" s="2691"/>
      <c r="AS20" s="504"/>
      <c r="AT20" s="2551">
        <f ca="1">INDIRECT(AT$2&amp;ROW())</f>
        <v>0.26562730739828666</v>
      </c>
      <c r="AU20" s="2551">
        <f ca="1">IFERROR(AU19/AU14,0)</f>
        <v>0</v>
      </c>
      <c r="AV20" s="2551">
        <f t="shared" ca="1" si="6"/>
        <v>0.26562730739828666</v>
      </c>
      <c r="AW20" s="2691"/>
      <c r="AX20" s="2551">
        <f ca="1">IFERROR(AX19/AX14,0)</f>
        <v>0</v>
      </c>
      <c r="AY20" s="2551">
        <f t="shared" ca="1" si="7"/>
        <v>0.26562730739828666</v>
      </c>
      <c r="AZ20" s="2691"/>
      <c r="BA20" s="504"/>
      <c r="BB20" s="2551">
        <f ca="1">IFERROR(BB19/BB14,0)</f>
        <v>0.22399134412354621</v>
      </c>
      <c r="BC20" s="2551">
        <f ca="1">IFERROR(BC19/BC14,0)</f>
        <v>57.761894774507716</v>
      </c>
      <c r="BD20" s="2551">
        <f t="shared" ca="1" si="8"/>
        <v>-57.537903430384169</v>
      </c>
      <c r="BE20" s="2691"/>
      <c r="BF20" s="2551">
        <f ca="1">IFERROR(BF19/BF14,0)</f>
        <v>127.17371372110652</v>
      </c>
      <c r="BG20" s="2551">
        <f t="shared" ca="1" si="9"/>
        <v>-126.94972237698298</v>
      </c>
      <c r="BH20" s="2691"/>
    </row>
    <row r="21" spans="1:60" ht="14.5">
      <c r="A21" s="616">
        <f t="shared" si="1"/>
        <v>18</v>
      </c>
      <c r="B21" s="616">
        <v>1</v>
      </c>
      <c r="C21" s="616">
        <f t="shared" si="2"/>
        <v>18</v>
      </c>
      <c r="D21" s="709" t="s">
        <v>1308</v>
      </c>
      <c r="E21" s="2547">
        <v>1</v>
      </c>
      <c r="F21" s="81"/>
      <c r="G21" s="81"/>
      <c r="H21" s="12"/>
      <c r="I21" s="153"/>
      <c r="J21" s="108" t="s">
        <v>1329</v>
      </c>
      <c r="K21" s="108"/>
      <c r="L21" s="156"/>
      <c r="M21" s="108"/>
      <c r="N21" s="108"/>
      <c r="O21" s="108"/>
      <c r="P21" s="156"/>
      <c r="Q21" s="1775" t="str">
        <f>CHOOSE(2, "6722000002621", "PL Statement SGA Variable Expenses")</f>
        <v>PL Statement SGA Variable Expenses</v>
      </c>
      <c r="R21" s="40">
        <f t="shared" ref="R21:AC22" si="19">R83+R187+R269+R332+R390</f>
        <v>61663.000000000007</v>
      </c>
      <c r="S21" s="40">
        <f t="shared" si="19"/>
        <v>49532.815859999893</v>
      </c>
      <c r="T21" s="40">
        <f t="shared" si="19"/>
        <v>47765.198640896393</v>
      </c>
      <c r="U21" s="40">
        <f t="shared" si="19"/>
        <v>67757.614665796646</v>
      </c>
      <c r="V21" s="40">
        <f t="shared" si="19"/>
        <v>73732.577379999973</v>
      </c>
      <c r="W21" s="40">
        <f t="shared" si="19"/>
        <v>50380.992796090977</v>
      </c>
      <c r="X21" s="40">
        <f t="shared" si="19"/>
        <v>42778.732098342494</v>
      </c>
      <c r="Y21" s="40">
        <f t="shared" si="19"/>
        <v>54978.632440000001</v>
      </c>
      <c r="Z21" s="40">
        <f t="shared" si="19"/>
        <v>73294.402940000014</v>
      </c>
      <c r="AA21" s="40">
        <f t="shared" si="19"/>
        <v>85193.170739999943</v>
      </c>
      <c r="AB21" s="40">
        <f t="shared" si="19"/>
        <v>80848.997169999988</v>
      </c>
      <c r="AC21" s="3055">
        <f t="shared" si="19"/>
        <v>-4031.786570000033</v>
      </c>
      <c r="AD21" s="876">
        <f>SUM(R21,S21,T21)</f>
        <v>158961.0145008963</v>
      </c>
      <c r="AE21" s="154">
        <f t="shared" ref="AE21:AE23" si="20">SUM(U21,V21,W21)</f>
        <v>191871.18484188759</v>
      </c>
      <c r="AF21" s="154">
        <f t="shared" ref="AF21:AF23" si="21">SUM(X21,Y21,Z21)</f>
        <v>171051.76747834252</v>
      </c>
      <c r="AG21" s="154">
        <f t="shared" ref="AG21:AG23" si="22">SUM(AA21,AB21,AC21)</f>
        <v>162010.38133999991</v>
      </c>
      <c r="AH21" s="154">
        <f>AD21+AE21</f>
        <v>350832.19934278389</v>
      </c>
      <c r="AI21" s="154">
        <f>AG21+AF21</f>
        <v>333062.14881834242</v>
      </c>
      <c r="AJ21" s="154">
        <f>AH21+AI21</f>
        <v>683894.34816112625</v>
      </c>
      <c r="AL21" s="154">
        <f ca="1">SUM((INDIRECT(AL$2&amp;(ROW())):INDIRECT(AL$3&amp;(ROW()))))</f>
        <v>-4031.786570000033</v>
      </c>
      <c r="AM21" s="154">
        <f ca="1">SUM(INDIRECT(AM$1&amp;AM$2&amp;$C21):INDIRECT(AM$1&amp;AM$3&amp;$C21))</f>
        <v>0.29156844335636528</v>
      </c>
      <c r="AN21" s="3056">
        <f t="shared" ca="1" si="4"/>
        <v>-4032.0781384433894</v>
      </c>
      <c r="AO21" s="2693">
        <f ca="1">IFERROR(AL21/AM21,0)</f>
        <v>-13827.925009951234</v>
      </c>
      <c r="AP21" s="154">
        <f ca="1">SUM(INDIRECT(AP$1&amp;AP$2&amp;$A21):INDIRECT(AP$1&amp;AP$3&amp;$A21))+SUM(INDIRECT(AP$1&amp;AP$2&amp;$B21):INDIRECT(AP$1&amp;AP$3&amp;$B21))</f>
        <v>0.29746614112794439</v>
      </c>
      <c r="AQ21" s="3056">
        <f t="shared" ca="1" si="5"/>
        <v>-4032.0840361411611</v>
      </c>
      <c r="AR21" s="2693">
        <f ca="1">IFERROR(AL21/AP21,0)</f>
        <v>-13553.766336942208</v>
      </c>
      <c r="AT21" s="154">
        <f ca="1">SUM((INDIRECT(AT$2&amp;(ROW())):INDIRECT(AT$3&amp;(ROW()))))</f>
        <v>162010.38133999991</v>
      </c>
      <c r="AU21" s="154">
        <f ca="1">SUM(INDIRECT(AU$1&amp;AU$2&amp;$C21):INDIRECT(AU$1&amp;AU$3&amp;$C21))</f>
        <v>0.88950312420154787</v>
      </c>
      <c r="AV21" s="3056">
        <f t="shared" ca="1" si="6"/>
        <v>162009.49183687571</v>
      </c>
      <c r="AW21" s="2693">
        <f ca="1">IFERROR(AT21/AU21,0)</f>
        <v>182135.82047328574</v>
      </c>
      <c r="AX21" s="154">
        <f ca="1">SUM(INDIRECT(AX$1&amp;AX$2&amp;$A21):INDIRECT(AX$1&amp;AX$3&amp;$A21))+SUM(INDIRECT(AX$1&amp;AX$2&amp;$B21):INDIRECT(AX$1&amp;AX$3&amp;$B21))</f>
        <v>0.95105039475680897</v>
      </c>
      <c r="AY21" s="3056">
        <f t="shared" ca="1" si="7"/>
        <v>162009.43028960514</v>
      </c>
      <c r="AZ21" s="2693">
        <f ca="1">IFERROR(AT21/AX21,0)</f>
        <v>170348.89237539007</v>
      </c>
      <c r="BB21" s="154">
        <f ca="1">SUM((INDIRECT(BB$2&amp;(ROW())):INDIRECT(BB$3&amp;(ROW()))))</f>
        <v>683894.34816112637</v>
      </c>
      <c r="BC21" s="154">
        <f ca="1">SUM(INDIRECT(BC$1&amp;BC$2&amp;$C21):INDIRECT(BC$1&amp;BC$3&amp;$C21))</f>
        <v>1.5514604283168685</v>
      </c>
      <c r="BD21" s="3056">
        <f t="shared" ca="1" si="8"/>
        <v>683892.79670069809</v>
      </c>
      <c r="BE21" s="2693">
        <f ca="1">IFERROR(BB21/BC21,0)</f>
        <v>440806.82670267153</v>
      </c>
      <c r="BF21" s="154">
        <f ca="1">SUM(INDIRECT(BF$1&amp;BF$2&amp;$A21):INDIRECT(BF$1&amp;BF$3&amp;$A21))+SUM(INDIRECT(BF$1&amp;BF$2&amp;$B21):INDIRECT(BF$1&amp;BF$3&amp;$B21))</f>
        <v>3.4979298006558679</v>
      </c>
      <c r="BG21" s="3056">
        <f t="shared" ca="1" si="9"/>
        <v>683890.85023132572</v>
      </c>
      <c r="BH21" s="2693">
        <f ca="1">IFERROR(BB21/BF21,0)</f>
        <v>195514.02890729683</v>
      </c>
    </row>
    <row r="22" spans="1:60" ht="14.5">
      <c r="A22" s="616">
        <f t="shared" si="1"/>
        <v>19</v>
      </c>
      <c r="B22" s="616">
        <v>1</v>
      </c>
      <c r="C22" s="616">
        <f t="shared" si="2"/>
        <v>19</v>
      </c>
      <c r="D22" s="709" t="s">
        <v>1308</v>
      </c>
      <c r="E22" s="2547">
        <v>1</v>
      </c>
      <c r="F22" s="81"/>
      <c r="G22" s="81"/>
      <c r="H22" s="12"/>
      <c r="I22" s="153"/>
      <c r="J22" s="36" t="s">
        <v>1330</v>
      </c>
      <c r="K22" s="36"/>
      <c r="L22" s="35"/>
      <c r="M22" s="36"/>
      <c r="N22" s="36"/>
      <c r="O22" s="36"/>
      <c r="P22" s="35"/>
      <c r="Q22" s="1775" t="str">
        <f>CHOOSE(2, "6722000002620", "PL Statement SGA Wages &amp; Salaries")</f>
        <v>PL Statement SGA Wages &amp; Salaries</v>
      </c>
      <c r="R22" s="40">
        <f t="shared" si="19"/>
        <v>57082</v>
      </c>
      <c r="S22" s="40">
        <f t="shared" si="19"/>
        <v>56006.376708586613</v>
      </c>
      <c r="T22" s="40">
        <f t="shared" si="19"/>
        <v>57211.481227186072</v>
      </c>
      <c r="U22" s="40">
        <f t="shared" si="19"/>
        <v>54312.125590049407</v>
      </c>
      <c r="V22" s="40">
        <f t="shared" si="19"/>
        <v>56583.331322798389</v>
      </c>
      <c r="W22" s="40">
        <f t="shared" si="19"/>
        <v>60614.824183015226</v>
      </c>
      <c r="X22" s="40">
        <f t="shared" si="19"/>
        <v>87502.546140362116</v>
      </c>
      <c r="Y22" s="40">
        <f t="shared" si="19"/>
        <v>65320.76113829614</v>
      </c>
      <c r="Z22" s="40">
        <f t="shared" si="19"/>
        <v>67354.405462903989</v>
      </c>
      <c r="AA22" s="40">
        <f t="shared" si="19"/>
        <v>65122.019852687888</v>
      </c>
      <c r="AB22" s="40">
        <f t="shared" si="19"/>
        <v>62847.99691016729</v>
      </c>
      <c r="AC22" s="40">
        <f t="shared" si="19"/>
        <v>55275.379555961212</v>
      </c>
      <c r="AD22" s="877">
        <f>SUM(R22,S22,T22)</f>
        <v>170299.85793577268</v>
      </c>
      <c r="AE22" s="40">
        <f t="shared" si="20"/>
        <v>171510.28109586303</v>
      </c>
      <c r="AF22" s="40">
        <f t="shared" si="21"/>
        <v>220177.71274156225</v>
      </c>
      <c r="AG22" s="40">
        <f t="shared" si="22"/>
        <v>183245.39631881638</v>
      </c>
      <c r="AH22" s="40">
        <f>AD22+AE22</f>
        <v>341810.13903163571</v>
      </c>
      <c r="AI22" s="40">
        <f>AG22+AF22</f>
        <v>403423.10906037863</v>
      </c>
      <c r="AJ22" s="40">
        <f>AH22+AI22</f>
        <v>745233.24809201434</v>
      </c>
      <c r="AL22" s="40">
        <f ca="1">SUM((INDIRECT(AL$2&amp;(ROW())):INDIRECT(AL$3&amp;(ROW()))))</f>
        <v>55275.379555961212</v>
      </c>
      <c r="AM22" s="40">
        <f ca="1">SUM(INDIRECT(AM$1&amp;AM$2&amp;$C22):INDIRECT(AM$1&amp;AM$3&amp;$C22))</f>
        <v>170626.67016879702</v>
      </c>
      <c r="AN22" s="3057">
        <f t="shared" ca="1" si="4"/>
        <v>-115351.29061283582</v>
      </c>
      <c r="AO22" s="2695">
        <f ca="1">IFERROR(AL22/AM22,0)</f>
        <v>0.32395509741401246</v>
      </c>
      <c r="AP22" s="40">
        <f ca="1">SUM(INDIRECT(AP$1&amp;AP$2&amp;$A22):INDIRECT(AP$1&amp;AP$3&amp;$A22))+SUM(INDIRECT(AP$1&amp;AP$2&amp;$B22):INDIRECT(AP$1&amp;AP$3&amp;$B22))</f>
        <v>172144.94107016726</v>
      </c>
      <c r="AQ22" s="3057">
        <f t="shared" ca="1" si="5"/>
        <v>-116869.56151420606</v>
      </c>
      <c r="AR22" s="2695">
        <f ca="1">IFERROR(AL22/AP22,0)</f>
        <v>0.32109790280407169</v>
      </c>
      <c r="AT22" s="40">
        <f ca="1">SUM((INDIRECT(AT$2&amp;(ROW())):INDIRECT(AT$3&amp;(ROW()))))</f>
        <v>183245.39631881638</v>
      </c>
      <c r="AU22" s="40">
        <f ca="1">SUM(INDIRECT(AU$1&amp;AU$2&amp;$C22):INDIRECT(AU$1&amp;AU$3&amp;$C22))</f>
        <v>504004.77981766558</v>
      </c>
      <c r="AV22" s="3057">
        <f t="shared" ca="1" si="6"/>
        <v>-320759.38349884923</v>
      </c>
      <c r="AW22" s="2695">
        <f ca="1">IFERROR(AT22/AU22,0)</f>
        <v>0.36357868745830008</v>
      </c>
      <c r="AX22" s="40">
        <f ca="1">SUM(INDIRECT(AX$1&amp;AX$2&amp;$A22):INDIRECT(AX$1&amp;AX$3&amp;$A22))+SUM(INDIRECT(AX$1&amp;AX$2&amp;$B22):INDIRECT(AX$1&amp;AX$3&amp;$B22))</f>
        <v>582528.37152575911</v>
      </c>
      <c r="AY22" s="3057">
        <f t="shared" ca="1" si="7"/>
        <v>-399282.97520694276</v>
      </c>
      <c r="AZ22" s="2695">
        <f ca="1">IFERROR(AT22/AX22,0)</f>
        <v>0.31456904981101569</v>
      </c>
      <c r="BB22" s="40">
        <f ca="1">SUM((INDIRECT(BB$2&amp;(ROW())):INDIRECT(BB$3&amp;(ROW()))))</f>
        <v>745233.24809201423</v>
      </c>
      <c r="BC22" s="40">
        <f ca="1">SUM(INDIRECT(BC$1&amp;BC$2&amp;$C22):INDIRECT(BC$1&amp;BC$3&amp;$C22))</f>
        <v>863400.99262043636</v>
      </c>
      <c r="BD22" s="3057">
        <f t="shared" ca="1" si="8"/>
        <v>-118167.74452842213</v>
      </c>
      <c r="BE22" s="2695">
        <f ca="1">IFERROR(BB22/BC22,0)</f>
        <v>0.86313689057759702</v>
      </c>
      <c r="BF22" s="40">
        <f ca="1">SUM(INDIRECT(BF$1&amp;BF$2&amp;$A22):INDIRECT(BF$1&amp;BF$3&amp;$A22))+SUM(INDIRECT(BF$1&amp;BF$2&amp;$B22):INDIRECT(BF$1&amp;BF$3&amp;$B22))</f>
        <v>1947999.1078024872</v>
      </c>
      <c r="BG22" s="3057">
        <f t="shared" ca="1" si="9"/>
        <v>-1202765.8597104731</v>
      </c>
      <c r="BH22" s="2695">
        <f ca="1">IFERROR(BB22/BF22,0)</f>
        <v>0.38256344425778627</v>
      </c>
    </row>
    <row r="23" spans="1:60" ht="14.5">
      <c r="A23" s="616">
        <f t="shared" si="1"/>
        <v>20</v>
      </c>
      <c r="B23" s="616">
        <v>1</v>
      </c>
      <c r="C23" s="616">
        <f t="shared" si="2"/>
        <v>20</v>
      </c>
      <c r="D23" s="709" t="s">
        <v>1308</v>
      </c>
      <c r="E23" s="2547">
        <v>1</v>
      </c>
      <c r="F23" s="81"/>
      <c r="G23" s="81"/>
      <c r="H23" s="12"/>
      <c r="I23" s="153"/>
      <c r="J23" s="36" t="s">
        <v>1331</v>
      </c>
      <c r="K23" s="36"/>
      <c r="L23" s="35"/>
      <c r="M23" s="36"/>
      <c r="N23" s="36"/>
      <c r="O23" s="36"/>
      <c r="P23" s="35"/>
      <c r="Q23" s="1775" t="str">
        <f>CHOOSE(2, "6722000002619", "PL Statement SGA Fixed Expenses")</f>
        <v>PL Statement SGA Fixed Expenses</v>
      </c>
      <c r="R23" s="40">
        <f t="shared" ref="R23:AC23" si="23">R85+R189+R271+R334+R396</f>
        <v>43752.000000000007</v>
      </c>
      <c r="S23" s="40">
        <f t="shared" si="23"/>
        <v>47061.773518367219</v>
      </c>
      <c r="T23" s="40">
        <f t="shared" si="23"/>
        <v>63167.350212427271</v>
      </c>
      <c r="U23" s="40">
        <f t="shared" si="23"/>
        <v>47156.25584547015</v>
      </c>
      <c r="V23" s="40">
        <f t="shared" si="23"/>
        <v>62023.308669806385</v>
      </c>
      <c r="W23" s="40">
        <f t="shared" si="23"/>
        <v>18721.395364732838</v>
      </c>
      <c r="X23" s="40">
        <f t="shared" si="23"/>
        <v>86177.502269958277</v>
      </c>
      <c r="Y23" s="40">
        <f t="shared" si="23"/>
        <v>54188.140204545452</v>
      </c>
      <c r="Z23" s="40">
        <f t="shared" si="23"/>
        <v>48042.868180000005</v>
      </c>
      <c r="AA23" s="40">
        <f t="shared" si="23"/>
        <v>71376.563280000017</v>
      </c>
      <c r="AB23" s="40">
        <f t="shared" si="23"/>
        <v>28447.946989999986</v>
      </c>
      <c r="AC23" s="40">
        <f t="shared" si="23"/>
        <v>70610.290028537522</v>
      </c>
      <c r="AD23" s="877">
        <f>SUM(R23,S23,T23)</f>
        <v>153981.1237307945</v>
      </c>
      <c r="AE23" s="40">
        <f t="shared" si="20"/>
        <v>127900.95988000938</v>
      </c>
      <c r="AF23" s="40">
        <f t="shared" si="21"/>
        <v>188408.51065450371</v>
      </c>
      <c r="AG23" s="40">
        <f t="shared" si="22"/>
        <v>170434.80029853754</v>
      </c>
      <c r="AH23" s="40">
        <f>AD23+AE23</f>
        <v>281882.08361080388</v>
      </c>
      <c r="AI23" s="40">
        <f>AG23+AF23</f>
        <v>358843.31095304125</v>
      </c>
      <c r="AJ23" s="40">
        <f>AH23+AI23</f>
        <v>640725.39456384513</v>
      </c>
      <c r="AL23" s="40">
        <f ca="1">SUM((INDIRECT(AL$2&amp;(ROW())):INDIRECT(AL$3&amp;(ROW()))))</f>
        <v>70610.290028537522</v>
      </c>
      <c r="AM23" s="40">
        <f ca="1">SUM(INDIRECT(AM$1&amp;AM$2&amp;$C23):INDIRECT(AM$1&amp;AM$3&amp;$C23))</f>
        <v>0.22591601328809685</v>
      </c>
      <c r="AN23" s="3057">
        <f t="shared" ca="1" si="4"/>
        <v>70610.06411252424</v>
      </c>
      <c r="AO23" s="2695">
        <f ca="1">IFERROR(AL23/AM23,0)</f>
        <v>312551.06267519225</v>
      </c>
      <c r="AP23" s="40">
        <f ca="1">SUM(INDIRECT(AP$1&amp;AP$2&amp;$A23):INDIRECT(AP$1&amp;AP$3&amp;$A23))+SUM(INDIRECT(AP$1&amp;AP$2&amp;$B23):INDIRECT(AP$1&amp;AP$3&amp;$B23))</f>
        <v>0.19761933260765846</v>
      </c>
      <c r="AQ23" s="3057">
        <f t="shared" ca="1" si="5"/>
        <v>70610.09240920491</v>
      </c>
      <c r="AR23" s="2695">
        <f ca="1">IFERROR(AL23/AP23,0)</f>
        <v>357304.56679925614</v>
      </c>
      <c r="AT23" s="40">
        <f ca="1">SUM((INDIRECT(AT$2&amp;(ROW())):INDIRECT(AT$3&amp;(ROW()))))</f>
        <v>170434.80029853754</v>
      </c>
      <c r="AU23" s="40">
        <f ca="1">SUM(INDIRECT(AU$1&amp;AU$2&amp;$C23):INDIRECT(AU$1&amp;AU$3&amp;$C23))</f>
        <v>0.69608827096299974</v>
      </c>
      <c r="AV23" s="3057">
        <f t="shared" ca="1" si="6"/>
        <v>170434.10421026658</v>
      </c>
      <c r="AW23" s="2695">
        <f ca="1">IFERROR(AT23/AU23,0)</f>
        <v>244846.53370577612</v>
      </c>
      <c r="AX23" s="40">
        <f ca="1">SUM(INDIRECT(AX$1&amp;AX$2&amp;$A23):INDIRECT(AX$1&amp;AX$3&amp;$A23))+SUM(INDIRECT(AX$1&amp;AX$2&amp;$B23):INDIRECT(AX$1&amp;AX$3&amp;$B23))</f>
        <v>0.68451395441862739</v>
      </c>
      <c r="AY23" s="3057">
        <f t="shared" ca="1" si="7"/>
        <v>170434.11578458312</v>
      </c>
      <c r="AZ23" s="2695">
        <f ca="1">IFERROR(AT23/AX23,0)</f>
        <v>248986.59727586055</v>
      </c>
      <c r="BB23" s="40">
        <f ca="1">SUM((INDIRECT(BB$2&amp;(ROW())):INDIRECT(BB$3&amp;(ROW()))))</f>
        <v>640725.39456384513</v>
      </c>
      <c r="BC23" s="40">
        <f ca="1">SUM(INDIRECT(BC$1&amp;BC$2&amp;$C23):INDIRECT(BC$1&amp;BC$3&amp;$C23))</f>
        <v>1.1462460555012455</v>
      </c>
      <c r="BD23" s="3057">
        <f t="shared" ca="1" si="8"/>
        <v>640724.24831778964</v>
      </c>
      <c r="BE23" s="2695">
        <f ca="1">IFERROR(BB23/BC23,0)</f>
        <v>558977.1859966492</v>
      </c>
      <c r="BF23" s="40">
        <f ca="1">SUM(INDIRECT(BF$1&amp;BF$2&amp;$A23):INDIRECT(BF$1&amp;BF$3&amp;$A23))+SUM(INDIRECT(BF$1&amp;BF$2&amp;$B23):INDIRECT(BF$1&amp;BF$3&amp;$B23))</f>
        <v>2.5297324888215615</v>
      </c>
      <c r="BG23" s="3057">
        <f t="shared" ca="1" si="9"/>
        <v>640722.86483135633</v>
      </c>
      <c r="BH23" s="2695">
        <f ca="1">IFERROR(BB23/BF23,0)</f>
        <v>253277.92460076188</v>
      </c>
    </row>
    <row r="24" spans="1:60" ht="14.5">
      <c r="A24" s="616">
        <f t="shared" si="1"/>
        <v>21</v>
      </c>
      <c r="B24" s="616">
        <v>1</v>
      </c>
      <c r="C24" s="616">
        <f t="shared" si="2"/>
        <v>21</v>
      </c>
      <c r="D24" s="709" t="s">
        <v>1308</v>
      </c>
      <c r="E24" s="2547">
        <v>1</v>
      </c>
      <c r="F24" s="81"/>
      <c r="G24" s="81"/>
      <c r="H24" s="12"/>
      <c r="I24" s="3052" t="s">
        <v>1332</v>
      </c>
      <c r="J24" s="861"/>
      <c r="K24" s="861"/>
      <c r="L24" s="861"/>
      <c r="M24" s="861"/>
      <c r="N24" s="861"/>
      <c r="O24" s="861"/>
      <c r="P24" s="861"/>
      <c r="Q24" s="1774" t="str">
        <f>CHOOSE(2, "6722000002618", "PL Statement BCP")</f>
        <v>PL Statement BCP</v>
      </c>
      <c r="R24" s="1302">
        <f>R17-R19</f>
        <v>44377</v>
      </c>
      <c r="S24" s="1302">
        <f t="shared" ref="S24:AC24" si="24">S17-S19</f>
        <v>39067.033913046296</v>
      </c>
      <c r="T24" s="1302">
        <f t="shared" si="24"/>
        <v>55024.969919490279</v>
      </c>
      <c r="U24" s="1302">
        <f t="shared" si="24"/>
        <v>66415.00389868379</v>
      </c>
      <c r="V24" s="1302">
        <f t="shared" si="24"/>
        <v>85726.517269636097</v>
      </c>
      <c r="W24" s="1302">
        <f t="shared" si="24"/>
        <v>60731.436667637667</v>
      </c>
      <c r="X24" s="1302">
        <f t="shared" si="24"/>
        <v>94284.471491337114</v>
      </c>
      <c r="Y24" s="1302">
        <f t="shared" si="24"/>
        <v>82846.466217158391</v>
      </c>
      <c r="Z24" s="1302">
        <f t="shared" si="24"/>
        <v>67448.323417095991</v>
      </c>
      <c r="AA24" s="1302">
        <f t="shared" si="24"/>
        <v>73108.24612731213</v>
      </c>
      <c r="AB24" s="1302">
        <f t="shared" si="24"/>
        <v>86975.918509416078</v>
      </c>
      <c r="AC24" s="1302">
        <f t="shared" si="24"/>
        <v>51879.116985501299</v>
      </c>
      <c r="AD24" s="3053">
        <f>SUM(R24,S24,T24)</f>
        <v>138469.00383253657</v>
      </c>
      <c r="AE24" s="1302">
        <f>SUM(U24,V24,W24)</f>
        <v>212872.95783595755</v>
      </c>
      <c r="AF24" s="1302">
        <f>SUM(X24,Y24,Z24)</f>
        <v>244579.2611255915</v>
      </c>
      <c r="AG24" s="1302">
        <f>SUM(AA24,AB24,AC24)</f>
        <v>211963.28162222949</v>
      </c>
      <c r="AH24" s="1302">
        <f>AD24+AE24</f>
        <v>351341.96166849416</v>
      </c>
      <c r="AI24" s="1302">
        <f>AG24+AF24</f>
        <v>456542.54274782096</v>
      </c>
      <c r="AJ24" s="1302">
        <f>AH24+AI24</f>
        <v>807884.50441631512</v>
      </c>
      <c r="AL24" s="1302">
        <f ca="1">SUM((INDIRECT(AL$2&amp;(ROW())):INDIRECT(AL$3&amp;(ROW()))))</f>
        <v>51879.116985501299</v>
      </c>
      <c r="AM24" s="1302">
        <f ca="1">SUM(INDIRECT(AM$1&amp;AM$2&amp;$C24):INDIRECT(AM$1&amp;AM$3&amp;$C24))</f>
        <v>53255.878649526909</v>
      </c>
      <c r="AN24" s="3054">
        <f t="shared" ca="1" si="4"/>
        <v>-1376.7616640256092</v>
      </c>
      <c r="AO24" s="2689">
        <f ca="1">IFERROR(AL24/AM24,0)</f>
        <v>0.97414817483181571</v>
      </c>
      <c r="AP24" s="1302">
        <f ca="1">SUM(INDIRECT(AP$1&amp;AP$2&amp;$A24):INDIRECT(AP$1&amp;AP$3&amp;$A24))+SUM(INDIRECT(AP$1&amp;AP$2&amp;$B24):INDIRECT(AP$1&amp;AP$3&amp;$B24))</f>
        <v>80848.997169999988</v>
      </c>
      <c r="AQ24" s="3054">
        <f t="shared" ca="1" si="5"/>
        <v>-28969.880184498688</v>
      </c>
      <c r="AR24" s="2689">
        <f ca="1">IFERROR(AL24/AP24,0)</f>
        <v>0.64167916488086862</v>
      </c>
      <c r="AT24" s="1302">
        <f ca="1">SUM((INDIRECT(AT$2&amp;(ROW())):INDIRECT(AT$3&amp;(ROW()))))</f>
        <v>211963.28162222949</v>
      </c>
      <c r="AU24" s="1302">
        <f ca="1">SUM(INDIRECT(AU$1&amp;AU$2&amp;$C24):INDIRECT(AU$1&amp;AU$3&amp;$C24))</f>
        <v>153566.61890077972</v>
      </c>
      <c r="AV24" s="3054">
        <f t="shared" ca="1" si="6"/>
        <v>58396.662721449771</v>
      </c>
      <c r="AW24" s="2689">
        <f ca="1">IFERROR(AT24/AU24,0)</f>
        <v>1.380269248222364</v>
      </c>
      <c r="AX24" s="1302">
        <f ca="1">SUM(INDIRECT(AX$1&amp;AX$2&amp;$A24):INDIRECT(AX$1&amp;AX$3&amp;$A24))+SUM(INDIRECT(AX$1&amp;AX$2&amp;$B24):INDIRECT(AX$1&amp;AX$3&amp;$B24))</f>
        <v>239336.57084999996</v>
      </c>
      <c r="AY24" s="3054">
        <f t="shared" ca="1" si="7"/>
        <v>-27373.289227770467</v>
      </c>
      <c r="AZ24" s="2689">
        <f ca="1">IFERROR(AT24/AX24,0)</f>
        <v>0.88562847236193498</v>
      </c>
      <c r="BB24" s="1302">
        <f ca="1">SUM((INDIRECT(BB$2&amp;(ROW())):INDIRECT(BB$3&amp;(ROW()))))</f>
        <v>807884.50441631512</v>
      </c>
      <c r="BC24" s="1302">
        <f ca="1">SUM(INDIRECT(BC$1&amp;BC$2&amp;$C24):INDIRECT(BC$1&amp;BC$3&amp;$C24))</f>
        <v>280166.0719052389</v>
      </c>
      <c r="BD24" s="3054">
        <f t="shared" ca="1" si="8"/>
        <v>527718.43251107621</v>
      </c>
      <c r="BE24" s="2689">
        <f ca="1">IFERROR(BB24/BC24,0)</f>
        <v>2.8835915031480592</v>
      </c>
      <c r="BF24" s="1302">
        <f ca="1">SUM(INDIRECT(BF$1&amp;BF$2&amp;$A24):INDIRECT(BF$1&amp;BF$3&amp;$A24))+SUM(INDIRECT(BF$1&amp;BF$2&amp;$B24):INDIRECT(BF$1&amp;BF$3&amp;$B24))</f>
        <v>687926.13473112637</v>
      </c>
      <c r="BG24" s="3054">
        <f t="shared" ca="1" si="9"/>
        <v>119958.36968518875</v>
      </c>
      <c r="BH24" s="2689">
        <f ca="1">IFERROR(BB24/BF24,0)</f>
        <v>1.1743768169704354</v>
      </c>
    </row>
    <row r="25" spans="1:60" ht="14.5">
      <c r="A25" s="616">
        <f t="shared" si="1"/>
        <v>22</v>
      </c>
      <c r="B25" s="616">
        <v>1</v>
      </c>
      <c r="C25" s="616">
        <f t="shared" si="2"/>
        <v>22</v>
      </c>
      <c r="D25" s="709" t="s">
        <v>1308</v>
      </c>
      <c r="E25" s="2547">
        <v>1</v>
      </c>
      <c r="F25" s="81"/>
      <c r="G25" s="81"/>
      <c r="H25" s="12"/>
      <c r="I25" s="153"/>
      <c r="J25" s="36"/>
      <c r="K25" s="35"/>
      <c r="L25" s="35"/>
      <c r="M25" s="36"/>
      <c r="N25" s="36"/>
      <c r="O25" s="36"/>
      <c r="P25" s="35" t="s">
        <v>55</v>
      </c>
      <c r="Q25" s="1776" t="str">
        <f>CHOOSE(2, "6722000002617", "PL Statement BCP (%)")</f>
        <v>PL Statement BCP (%)</v>
      </c>
      <c r="R25" s="2553">
        <f>IFERROR(R24/R14,0)</f>
        <v>6.8350648050457832E-2</v>
      </c>
      <c r="S25" s="2553">
        <f t="shared" ref="S25:AJ25" si="25">IFERROR(S24/S14,0)</f>
        <v>5.9478965978624766E-2</v>
      </c>
      <c r="T25" s="2553">
        <f t="shared" si="25"/>
        <v>7.9399850679845313E-2</v>
      </c>
      <c r="U25" s="2553">
        <f t="shared" si="25"/>
        <v>9.3629030705476041E-2</v>
      </c>
      <c r="V25" s="2553">
        <f t="shared" si="25"/>
        <v>0.10357789932987817</v>
      </c>
      <c r="W25" s="2553">
        <f t="shared" si="25"/>
        <v>8.5406478627281429E-2</v>
      </c>
      <c r="X25" s="2553">
        <f t="shared" si="25"/>
        <v>0.1079566401879386</v>
      </c>
      <c r="Y25" s="2553">
        <f t="shared" si="25"/>
        <v>0.10386135793662293</v>
      </c>
      <c r="Z25" s="2553">
        <f t="shared" si="25"/>
        <v>7.9092568651706122E-2</v>
      </c>
      <c r="AA25" s="2553">
        <f t="shared" si="25"/>
        <v>8.7597063166189343E-2</v>
      </c>
      <c r="AB25" s="2553">
        <f t="shared" si="25"/>
        <v>9.9846808520285921E-2</v>
      </c>
      <c r="AC25" s="2553">
        <f t="shared" si="25"/>
        <v>6.7894205973039856E-2</v>
      </c>
      <c r="AD25" s="2554">
        <f t="shared" si="25"/>
        <v>6.926612190091605E-2</v>
      </c>
      <c r="AE25" s="2553">
        <f t="shared" si="25"/>
        <v>9.469093924961372E-2</v>
      </c>
      <c r="AF25" s="2553">
        <f t="shared" si="25"/>
        <v>9.6909283129694906E-2</v>
      </c>
      <c r="AG25" s="2553">
        <f t="shared" si="25"/>
        <v>8.5821777924830464E-2</v>
      </c>
      <c r="AH25" s="2553">
        <f t="shared" si="25"/>
        <v>8.2723808515292332E-2</v>
      </c>
      <c r="AI25" s="2553">
        <f t="shared" si="25"/>
        <v>9.1425466839702083E-2</v>
      </c>
      <c r="AJ25" s="2553">
        <f t="shared" si="25"/>
        <v>8.7426081390142379E-2</v>
      </c>
      <c r="AK25" s="504"/>
      <c r="AL25" s="2553">
        <f ca="1">IFERROR(AL24/AL14,0)</f>
        <v>6.7894205973039856E-2</v>
      </c>
      <c r="AM25" s="2553">
        <f ca="1">IFERROR(AM24/AM14,0)</f>
        <v>0</v>
      </c>
      <c r="AN25" s="2553">
        <f t="shared" ca="1" si="4"/>
        <v>6.7894205973039856E-2</v>
      </c>
      <c r="AO25" s="2696"/>
      <c r="AP25" s="2553">
        <f ca="1">IFERROR(AP24/AP14,0)</f>
        <v>0</v>
      </c>
      <c r="AQ25" s="2553">
        <f t="shared" ca="1" si="5"/>
        <v>6.7894205973039856E-2</v>
      </c>
      <c r="AR25" s="2696"/>
      <c r="AS25" s="504"/>
      <c r="AT25" s="2553">
        <f ca="1">IFERROR(AT24/AT14,0)</f>
        <v>8.5821777924830464E-2</v>
      </c>
      <c r="AU25" s="2553">
        <f ca="1">IFERROR(AU24/AU14,0)</f>
        <v>0</v>
      </c>
      <c r="AV25" s="2553">
        <f t="shared" ca="1" si="6"/>
        <v>8.5821777924830464E-2</v>
      </c>
      <c r="AW25" s="2696"/>
      <c r="AX25" s="2553">
        <f ca="1">IFERROR(AX24/AX14,0)</f>
        <v>0</v>
      </c>
      <c r="AY25" s="2553">
        <f t="shared" ca="1" si="7"/>
        <v>8.5821777924830464E-2</v>
      </c>
      <c r="AZ25" s="2696"/>
      <c r="BA25" s="504"/>
      <c r="BB25" s="2553">
        <f ca="1">IFERROR(BB24/BB14,0)</f>
        <v>8.7426081390142379E-2</v>
      </c>
      <c r="BC25" s="2553">
        <f ca="1">IFERROR(BC24/BC14,0)</f>
        <v>6.2151694020361798</v>
      </c>
      <c r="BD25" s="2553">
        <f t="shared" ca="1" si="8"/>
        <v>-6.1277433206460374</v>
      </c>
      <c r="BE25" s="2696"/>
      <c r="BF25" s="2553">
        <f ca="1">IFERROR(BF24/BF14,0)</f>
        <v>15.155277091173591</v>
      </c>
      <c r="BG25" s="2553">
        <f t="shared" ca="1" si="9"/>
        <v>-15.06785100978345</v>
      </c>
      <c r="BH25" s="2696"/>
    </row>
    <row r="26" spans="1:60" ht="14.5">
      <c r="A26" s="616">
        <f t="shared" si="1"/>
        <v>23</v>
      </c>
      <c r="B26" s="616">
        <v>1</v>
      </c>
      <c r="C26" s="616">
        <f t="shared" si="2"/>
        <v>23</v>
      </c>
      <c r="D26" s="709" t="s">
        <v>1308</v>
      </c>
      <c r="E26" s="2547">
        <v>1</v>
      </c>
      <c r="F26" s="35"/>
      <c r="G26" s="35"/>
      <c r="H26" s="4"/>
      <c r="I26" s="153" t="s">
        <v>1333</v>
      </c>
      <c r="J26" s="36"/>
      <c r="K26" s="35"/>
      <c r="L26" s="35"/>
      <c r="M26" s="36"/>
      <c r="N26" s="36"/>
      <c r="O26" s="36"/>
      <c r="P26" s="36"/>
      <c r="Q26" s="1777" t="str">
        <f>CHOOSE(2, "6722000002616", "PL Statement Other Income")</f>
        <v>PL Statement Other Income</v>
      </c>
      <c r="R26" s="3058">
        <f t="shared" ref="R26:AC27" si="26">R87+R409+R192+R274+R337</f>
        <v>9951</v>
      </c>
      <c r="S26" s="3058">
        <f t="shared" si="26"/>
        <v>376</v>
      </c>
      <c r="T26" s="3058">
        <f t="shared" si="26"/>
        <v>21.466273979496748</v>
      </c>
      <c r="U26" s="3058">
        <f t="shared" si="26"/>
        <v>236</v>
      </c>
      <c r="V26" s="3058">
        <f t="shared" si="26"/>
        <v>440.28</v>
      </c>
      <c r="W26" s="3058">
        <f t="shared" si="26"/>
        <v>20</v>
      </c>
      <c r="X26" s="3058">
        <f t="shared" si="26"/>
        <v>0</v>
      </c>
      <c r="Y26" s="3058">
        <f t="shared" si="26"/>
        <v>277</v>
      </c>
      <c r="Z26" s="3058">
        <f t="shared" si="26"/>
        <v>90965.32</v>
      </c>
      <c r="AA26" s="3058">
        <f t="shared" si="26"/>
        <v>5293</v>
      </c>
      <c r="AB26" s="3058">
        <f t="shared" si="26"/>
        <v>1273.2400000000002</v>
      </c>
      <c r="AC26" s="3058">
        <f t="shared" si="26"/>
        <v>34895.301446465513</v>
      </c>
      <c r="AD26" s="3059">
        <f>SUM(R26,S26,T26)</f>
        <v>10348.466273979497</v>
      </c>
      <c r="AE26" s="3058">
        <f t="shared" ref="AE26:AE27" si="27">SUM(U26,V26,W26)</f>
        <v>696.28</v>
      </c>
      <c r="AF26" s="3058">
        <f t="shared" ref="AF26:AF27" si="28">SUM(X26,Y26,Z26)</f>
        <v>91242.32</v>
      </c>
      <c r="AG26" s="3058">
        <f t="shared" ref="AG26:AG27" si="29">SUM(AA26,AB26,AC26)</f>
        <v>41461.541446465511</v>
      </c>
      <c r="AH26" s="3058">
        <f>AD26+AE26</f>
        <v>11044.746273979497</v>
      </c>
      <c r="AI26" s="3058">
        <f>AG26+AF26</f>
        <v>132703.86144646551</v>
      </c>
      <c r="AJ26" s="3058">
        <f>AH26+AI26</f>
        <v>143748.607720445</v>
      </c>
      <c r="AL26" s="3058">
        <f ca="1">SUM((INDIRECT(AL$2&amp;(ROW())):INDIRECT(AL$3&amp;(ROW()))))</f>
        <v>34895.301446465513</v>
      </c>
      <c r="AM26" s="3058">
        <f ca="1">SUM(INDIRECT(AM$1&amp;AM$2&amp;$C26):INDIRECT(AM$1&amp;AM$3&amp;$C26))</f>
        <v>50022.157935936797</v>
      </c>
      <c r="AN26" s="3060">
        <f t="shared" ca="1" si="4"/>
        <v>-15126.856489471284</v>
      </c>
      <c r="AO26" s="2698">
        <f ca="1">IFERROR(AL26/AM26,0)</f>
        <v>0.69759688278853949</v>
      </c>
      <c r="AP26" s="3058">
        <f ca="1">SUM(INDIRECT(AP$1&amp;AP$2&amp;$A26):INDIRECT(AP$1&amp;AP$3&amp;$A26))+SUM(INDIRECT(AP$1&amp;AP$2&amp;$B26):INDIRECT(AP$1&amp;AP$3&amp;$B26))</f>
        <v>28447.946989999986</v>
      </c>
      <c r="AQ26" s="3060">
        <f t="shared" ca="1" si="5"/>
        <v>6447.3544564655276</v>
      </c>
      <c r="AR26" s="2698">
        <f ca="1">IFERROR(AL26/AP26,0)</f>
        <v>1.2266368978658424</v>
      </c>
      <c r="AT26" s="3058">
        <f ca="1">SUM((INDIRECT(AT$2&amp;(ROW())):INDIRECT(AT$3&amp;(ROW()))))</f>
        <v>41461.541446465511</v>
      </c>
      <c r="AU26" s="3058">
        <f ca="1">SUM(INDIRECT(AU$1&amp;AU$2&amp;$C26):INDIRECT(AU$1&amp;AU$3&amp;$C26))</f>
        <v>149458.92683355254</v>
      </c>
      <c r="AV26" s="3060">
        <f t="shared" ca="1" si="6"/>
        <v>-107997.38538708704</v>
      </c>
      <c r="AW26" s="2698">
        <f ca="1">IFERROR(AT26/AU26,0)</f>
        <v>0.27741094041602382</v>
      </c>
      <c r="AX26" s="3058">
        <f ca="1">SUM(INDIRECT(AX$1&amp;AX$2&amp;$A26):INDIRECT(AX$1&amp;AX$3&amp;$A26))+SUM(INDIRECT(AX$1&amp;AX$2&amp;$B26):INDIRECT(AX$1&amp;AX$3&amp;$B26))</f>
        <v>147867.37845000002</v>
      </c>
      <c r="AY26" s="3060">
        <f t="shared" ca="1" si="7"/>
        <v>-106405.83700353451</v>
      </c>
      <c r="AZ26" s="2698">
        <f ca="1">IFERROR(AT26/AX26,0)</f>
        <v>0.28039681152855056</v>
      </c>
      <c r="BB26" s="3058">
        <f ca="1">SUM((INDIRECT(BB$2&amp;(ROW())):INDIRECT(BB$3&amp;(ROW()))))</f>
        <v>143748.60772044503</v>
      </c>
      <c r="BC26" s="3058">
        <f ca="1">SUM(INDIRECT(BC$1&amp;BC$2&amp;$C26):INDIRECT(BC$1&amp;BC$3&amp;$C26))</f>
        <v>250208.41946519742</v>
      </c>
      <c r="BD26" s="3060">
        <f t="shared" ca="1" si="8"/>
        <v>-106459.8117447524</v>
      </c>
      <c r="BE26" s="2698">
        <f ca="1">IFERROR(BB26/BC26,0)</f>
        <v>0.57451547005371517</v>
      </c>
      <c r="BF26" s="3058">
        <f ca="1">SUM(INDIRECT(BF$1&amp;BF$2&amp;$A26):INDIRECT(BF$1&amp;BF$3&amp;$A26))+SUM(INDIRECT(BF$1&amp;BF$2&amp;$B26):INDIRECT(BF$1&amp;BF$3&amp;$B26))</f>
        <v>570115.10453530762</v>
      </c>
      <c r="BG26" s="3060">
        <f t="shared" ca="1" si="9"/>
        <v>-426366.49681486259</v>
      </c>
      <c r="BH26" s="2698">
        <f ca="1">IFERROR(BB26/BF26,0)</f>
        <v>0.25213962334432866</v>
      </c>
    </row>
    <row r="27" spans="1:60" ht="14.5">
      <c r="A27" s="616">
        <f t="shared" si="1"/>
        <v>24</v>
      </c>
      <c r="B27" s="616">
        <v>1</v>
      </c>
      <c r="C27" s="616">
        <f t="shared" si="2"/>
        <v>24</v>
      </c>
      <c r="D27" s="709" t="s">
        <v>1308</v>
      </c>
      <c r="E27" s="2547">
        <v>1</v>
      </c>
      <c r="F27" s="35"/>
      <c r="G27" s="35"/>
      <c r="H27" s="4"/>
      <c r="I27" s="106" t="s">
        <v>1334</v>
      </c>
      <c r="J27" s="104"/>
      <c r="K27" s="105"/>
      <c r="L27" s="105"/>
      <c r="M27" s="104"/>
      <c r="N27" s="104"/>
      <c r="O27" s="104"/>
      <c r="P27" s="104"/>
      <c r="Q27" s="1777" t="str">
        <f>CHOOSE(2, "6722000002615", "PL Statement Other Expenses")</f>
        <v>PL Statement Other Expenses</v>
      </c>
      <c r="R27" s="3061">
        <f t="shared" si="26"/>
        <v>0</v>
      </c>
      <c r="S27" s="3061">
        <f t="shared" si="26"/>
        <v>0</v>
      </c>
      <c r="T27" s="3061">
        <f t="shared" si="26"/>
        <v>0</v>
      </c>
      <c r="U27" s="3061">
        <f t="shared" si="26"/>
        <v>0</v>
      </c>
      <c r="V27" s="3061">
        <f t="shared" si="26"/>
        <v>0</v>
      </c>
      <c r="W27" s="3061">
        <f t="shared" si="26"/>
        <v>0</v>
      </c>
      <c r="X27" s="3061">
        <f t="shared" si="26"/>
        <v>0</v>
      </c>
      <c r="Y27" s="3061">
        <f t="shared" si="26"/>
        <v>0</v>
      </c>
      <c r="Z27" s="3061">
        <f t="shared" si="26"/>
        <v>0</v>
      </c>
      <c r="AA27" s="3061">
        <f t="shared" si="26"/>
        <v>0</v>
      </c>
      <c r="AB27" s="3061">
        <f t="shared" si="26"/>
        <v>0</v>
      </c>
      <c r="AC27" s="3061">
        <f t="shared" si="26"/>
        <v>0</v>
      </c>
      <c r="AD27" s="3062">
        <f>SUM(R27,S27,T27)</f>
        <v>0</v>
      </c>
      <c r="AE27" s="3061">
        <f t="shared" si="27"/>
        <v>0</v>
      </c>
      <c r="AF27" s="3061">
        <f t="shared" si="28"/>
        <v>0</v>
      </c>
      <c r="AG27" s="3061">
        <f t="shared" si="29"/>
        <v>0</v>
      </c>
      <c r="AH27" s="3061">
        <f>AD27+AE27</f>
        <v>0</v>
      </c>
      <c r="AI27" s="3061">
        <f>AG27+AF27</f>
        <v>0</v>
      </c>
      <c r="AJ27" s="3061">
        <f>AH27+AI27</f>
        <v>0</v>
      </c>
      <c r="AL27" s="3061">
        <f ca="1">SUM((INDIRECT(AL$2&amp;(ROW())):INDIRECT(AL$3&amp;(ROW()))))</f>
        <v>0</v>
      </c>
      <c r="AM27" s="3061">
        <f ca="1">SUM(INDIRECT(AM$1&amp;AM$2&amp;$C27):INDIRECT(AM$1&amp;AM$3&amp;$C27))</f>
        <v>49585.044318010128</v>
      </c>
      <c r="AN27" s="3063">
        <f t="shared" ca="1" si="4"/>
        <v>-49585.044318010128</v>
      </c>
      <c r="AO27" s="2700">
        <f ca="1">IFERROR(AL27/AM27,0)</f>
        <v>0</v>
      </c>
      <c r="AP27" s="3061">
        <f ca="1">SUM(INDIRECT(AP$1&amp;AP$2&amp;$A27):INDIRECT(AP$1&amp;AP$3&amp;$A27))+SUM(INDIRECT(AP$1&amp;AP$2&amp;$B27):INDIRECT(AP$1&amp;AP$3&amp;$B27))</f>
        <v>86975.918509416078</v>
      </c>
      <c r="AQ27" s="3063">
        <f t="shared" ca="1" si="5"/>
        <v>-86975.918509416078</v>
      </c>
      <c r="AR27" s="2700">
        <f ca="1">IFERROR(AL27/AP27,0)</f>
        <v>0</v>
      </c>
      <c r="AT27" s="3061">
        <f ca="1">SUM((INDIRECT(AT$2&amp;(ROW())):INDIRECT(AT$3&amp;(ROW()))))</f>
        <v>0</v>
      </c>
      <c r="AU27" s="3061">
        <f ca="1">SUM(INDIRECT(AU$1&amp;AU$2&amp;$C27):INDIRECT(AU$1&amp;AU$3&amp;$C27))</f>
        <v>140731.796545839</v>
      </c>
      <c r="AV27" s="3063">
        <f t="shared" ca="1" si="6"/>
        <v>-140731.796545839</v>
      </c>
      <c r="AW27" s="2700">
        <f ca="1">IFERROR(AT27/AU27,0)</f>
        <v>0</v>
      </c>
      <c r="AX27" s="3061">
        <f ca="1">SUM(INDIRECT(AX$1&amp;AX$2&amp;$A27):INDIRECT(AX$1&amp;AX$3&amp;$A27))+SUM(INDIRECT(AX$1&amp;AX$2&amp;$B27):INDIRECT(AX$1&amp;AX$3&amp;$B27))</f>
        <v>227532.4880538242</v>
      </c>
      <c r="AY27" s="3063">
        <f t="shared" ca="1" si="7"/>
        <v>-227532.4880538242</v>
      </c>
      <c r="AZ27" s="2700">
        <f ca="1">IFERROR(AT27/AX27,0)</f>
        <v>0</v>
      </c>
      <c r="BB27" s="3061">
        <f ca="1">SUM((INDIRECT(BB$2&amp;(ROW())):INDIRECT(BB$3&amp;(ROW()))))</f>
        <v>0</v>
      </c>
      <c r="BC27" s="3061">
        <f ca="1">SUM(INDIRECT(BC$1&amp;BC$2&amp;$C27):INDIRECT(BC$1&amp;BC$3&amp;$C27))</f>
        <v>324013.22748215077</v>
      </c>
      <c r="BD27" s="3063">
        <f t="shared" ca="1" si="8"/>
        <v>-324013.22748215077</v>
      </c>
      <c r="BE27" s="2700">
        <f ca="1">IFERROR(BB27/BC27,0)</f>
        <v>0</v>
      </c>
      <c r="BF27" s="3061">
        <f ca="1">SUM(INDIRECT(BF$1&amp;BF$2&amp;$A27):INDIRECT(BF$1&amp;BF$3&amp;$A27))+SUM(INDIRECT(BF$1&amp;BF$2&amp;$B27):INDIRECT(BF$1&amp;BF$3&amp;$B27))</f>
        <v>756005.38743081386</v>
      </c>
      <c r="BG27" s="3063">
        <f t="shared" ca="1" si="9"/>
        <v>-756005.38743081386</v>
      </c>
      <c r="BH27" s="2700">
        <f ca="1">IFERROR(BB27/BF27,0)</f>
        <v>0</v>
      </c>
    </row>
    <row r="28" spans="1:60" ht="14.5">
      <c r="A28" s="616">
        <f t="shared" si="1"/>
        <v>25</v>
      </c>
      <c r="B28" s="616">
        <v>1</v>
      </c>
      <c r="C28" s="616">
        <f t="shared" si="2"/>
        <v>25</v>
      </c>
      <c r="D28" s="709" t="s">
        <v>1308</v>
      </c>
      <c r="E28" s="2547">
        <v>1</v>
      </c>
      <c r="F28" s="35"/>
      <c r="G28" s="35"/>
      <c r="H28" s="4"/>
      <c r="I28" s="3052" t="s">
        <v>1335</v>
      </c>
      <c r="J28" s="861"/>
      <c r="K28" s="861"/>
      <c r="L28" s="861"/>
      <c r="M28" s="861"/>
      <c r="N28" s="861"/>
      <c r="O28" s="861"/>
      <c r="P28" s="861"/>
      <c r="Q28" s="1774" t="str">
        <f>CHOOSE(2, "6722000002614", "PL Statement Operating Profit")</f>
        <v>PL Statement Operating Profit</v>
      </c>
      <c r="R28" s="1302">
        <f>R24+R26-R27</f>
        <v>54328</v>
      </c>
      <c r="S28" s="1302">
        <f t="shared" ref="S28:AC28" si="30">S24+S26-S27</f>
        <v>39443.033913046296</v>
      </c>
      <c r="T28" s="1302">
        <f t="shared" si="30"/>
        <v>55046.436193469774</v>
      </c>
      <c r="U28" s="1302">
        <f t="shared" si="30"/>
        <v>66651.00389868379</v>
      </c>
      <c r="V28" s="1302">
        <f t="shared" si="30"/>
        <v>86166.797269636096</v>
      </c>
      <c r="W28" s="1302">
        <f t="shared" si="30"/>
        <v>60751.436667637667</v>
      </c>
      <c r="X28" s="1302">
        <f t="shared" si="30"/>
        <v>94284.471491337114</v>
      </c>
      <c r="Y28" s="1302">
        <f t="shared" si="30"/>
        <v>83123.466217158391</v>
      </c>
      <c r="Z28" s="1302">
        <f t="shared" si="30"/>
        <v>158413.643417096</v>
      </c>
      <c r="AA28" s="1302">
        <f t="shared" si="30"/>
        <v>78401.24612731213</v>
      </c>
      <c r="AB28" s="1302">
        <f t="shared" si="30"/>
        <v>88249.158509416084</v>
      </c>
      <c r="AC28" s="1302">
        <f t="shared" si="30"/>
        <v>86774.418431966813</v>
      </c>
      <c r="AD28" s="3053">
        <f>SUM(R28,S28,T28)</f>
        <v>148817.47010651606</v>
      </c>
      <c r="AE28" s="1302">
        <f>SUM(U28,V28,W28)</f>
        <v>213569.23783595755</v>
      </c>
      <c r="AF28" s="1302">
        <f>SUM(X28,Y28,Z28)</f>
        <v>335821.58112559153</v>
      </c>
      <c r="AG28" s="1302">
        <f>SUM(AA28,AB28,AC28)</f>
        <v>253424.82306869503</v>
      </c>
      <c r="AH28" s="1302">
        <f>AD28+AE28</f>
        <v>362386.70794247359</v>
      </c>
      <c r="AI28" s="1302">
        <f>AG28+AF28</f>
        <v>589246.40419428656</v>
      </c>
      <c r="AJ28" s="1302">
        <f>AH28+AI28</f>
        <v>951633.11213676014</v>
      </c>
      <c r="AL28" s="1302">
        <f ca="1">SUM((INDIRECT(AL$2&amp;(ROW())):INDIRECT(AL$3&amp;(ROW()))))</f>
        <v>86774.418431966813</v>
      </c>
      <c r="AM28" s="1302">
        <f ca="1">SUM(INDIRECT(AM$1&amp;AM$2&amp;$C28):INDIRECT(AM$1&amp;AM$3&amp;$C28))</f>
        <v>6.5652430068268416E-2</v>
      </c>
      <c r="AN28" s="3054">
        <f t="shared" ca="1" si="4"/>
        <v>86774.352779536741</v>
      </c>
      <c r="AO28" s="2689">
        <f ca="1">IFERROR(AL28/AM28,0)</f>
        <v>1321724.3953001401</v>
      </c>
      <c r="AP28" s="1302">
        <f ca="1">SUM(INDIRECT(AP$1&amp;AP$2&amp;$A28):INDIRECT(AP$1&amp;AP$3&amp;$A28))+SUM(INDIRECT(AP$1&amp;AP$2&amp;$B28):INDIRECT(AP$1&amp;AP$3&amp;$B28))</f>
        <v>9.9846808520285921E-2</v>
      </c>
      <c r="AQ28" s="3054">
        <f t="shared" ca="1" si="5"/>
        <v>86774.318585158297</v>
      </c>
      <c r="AR28" s="2689">
        <f ca="1">IFERROR(AL28/AP28,0)</f>
        <v>869075.53399002051</v>
      </c>
      <c r="AT28" s="1302">
        <f ca="1">SUM((INDIRECT(AT$2&amp;(ROW())):INDIRECT(AT$3&amp;(ROW()))))</f>
        <v>253424.82306869503</v>
      </c>
      <c r="AU28" s="1302">
        <f ca="1">SUM(INDIRECT(AU$1&amp;AU$2&amp;$C28):INDIRECT(AU$1&amp;AU$3&amp;$C28))</f>
        <v>0.19341485323854812</v>
      </c>
      <c r="AV28" s="3054">
        <f t="shared" ca="1" si="6"/>
        <v>253424.62965384178</v>
      </c>
      <c r="AW28" s="2689">
        <f ca="1">IFERROR(AT28/AU28,0)</f>
        <v>1310265.5707425615</v>
      </c>
      <c r="AX28" s="1302">
        <f ca="1">SUM(INDIRECT(AX$1&amp;AX$2&amp;$A28):INDIRECT(AX$1&amp;AX$3&amp;$A28))+SUM(INDIRECT(AX$1&amp;AX$2&amp;$B28):INDIRECT(AX$1&amp;AX$3&amp;$B28))</f>
        <v>0.26653644033818141</v>
      </c>
      <c r="AY28" s="3054">
        <f t="shared" ca="1" si="7"/>
        <v>253424.55653225468</v>
      </c>
      <c r="AZ28" s="2689">
        <f ca="1">IFERROR(AT28/AX28,0)</f>
        <v>950807.41210151091</v>
      </c>
      <c r="BB28" s="1302">
        <f ca="1">SUM((INDIRECT(BB$2&amp;(ROW())):INDIRECT(BB$3&amp;(ROW()))))</f>
        <v>951633.11213676003</v>
      </c>
      <c r="BC28" s="1302">
        <f ca="1">SUM(INDIRECT(BC$1&amp;BC$2&amp;$C28):INDIRECT(BC$1&amp;BC$3&amp;$C28))</f>
        <v>0.40521437281562322</v>
      </c>
      <c r="BD28" s="3054">
        <f t="shared" ca="1" si="8"/>
        <v>951632.70692238724</v>
      </c>
      <c r="BE28" s="2689">
        <f ca="1">IFERROR(BB28/BC28,0)</f>
        <v>2348468.3070947314</v>
      </c>
      <c r="BF28" s="1302">
        <f ca="1">SUM(INDIRECT(BF$1&amp;BF$2&amp;$A28):INDIRECT(BF$1&amp;BF$3&amp;$A28))+SUM(INDIRECT(BF$1&amp;BF$2&amp;$B28):INDIRECT(BF$1&amp;BF$3&amp;$B28))</f>
        <v>0.96819731183430635</v>
      </c>
      <c r="BG28" s="3054">
        <f t="shared" ca="1" si="9"/>
        <v>951632.14393944817</v>
      </c>
      <c r="BH28" s="2689">
        <f ca="1">IFERROR(BB28/BF28,0)</f>
        <v>982891.71071321762</v>
      </c>
    </row>
    <row r="29" spans="1:60" ht="14.5">
      <c r="A29" s="616">
        <f t="shared" si="1"/>
        <v>26</v>
      </c>
      <c r="B29" s="616">
        <v>1</v>
      </c>
      <c r="C29" s="616">
        <f t="shared" si="2"/>
        <v>26</v>
      </c>
      <c r="D29" s="709" t="s">
        <v>1308</v>
      </c>
      <c r="E29" s="2547">
        <v>1</v>
      </c>
      <c r="F29" s="35"/>
      <c r="G29" s="35"/>
      <c r="H29" s="4"/>
      <c r="I29" s="106"/>
      <c r="J29" s="104"/>
      <c r="K29" s="105"/>
      <c r="L29" s="105"/>
      <c r="M29" s="104"/>
      <c r="N29" s="104"/>
      <c r="O29" s="104"/>
      <c r="P29" s="105" t="s">
        <v>55</v>
      </c>
      <c r="Q29" s="1776" t="str">
        <f>CHOOSE(2, "6722000002613", "PL Statement Operating Profit (%)")</f>
        <v>PL Statement Operating Profit (%)</v>
      </c>
      <c r="R29" s="2549">
        <f>IFERROR(R28/R14,0)</f>
        <v>8.3677445687749805E-2</v>
      </c>
      <c r="S29" s="2549">
        <f t="shared" ref="S29:AJ29" si="31">IFERROR(S28/S14,0)</f>
        <v>6.0051420269824345E-2</v>
      </c>
      <c r="T29" s="2549">
        <f t="shared" si="31"/>
        <v>7.9430826052501E-2</v>
      </c>
      <c r="U29" s="2549">
        <f t="shared" si="31"/>
        <v>9.3961733407416717E-2</v>
      </c>
      <c r="V29" s="2549">
        <f t="shared" si="31"/>
        <v>0.10410986165576529</v>
      </c>
      <c r="W29" s="2549">
        <f t="shared" si="31"/>
        <v>8.543460458092704E-2</v>
      </c>
      <c r="X29" s="2549">
        <f t="shared" si="31"/>
        <v>0.1079566401879386</v>
      </c>
      <c r="Y29" s="2549">
        <f t="shared" si="31"/>
        <v>0.10420862194753479</v>
      </c>
      <c r="Z29" s="2549">
        <f t="shared" si="31"/>
        <v>0.18576209655876741</v>
      </c>
      <c r="AA29" s="2549">
        <f t="shared" si="31"/>
        <v>9.3939046183142444E-2</v>
      </c>
      <c r="AB29" s="2549">
        <f t="shared" si="31"/>
        <v>0.10130846540944664</v>
      </c>
      <c r="AC29" s="2549">
        <f t="shared" si="31"/>
        <v>0.11356169072532978</v>
      </c>
      <c r="AD29" s="2550">
        <f t="shared" si="31"/>
        <v>7.444271815409538E-2</v>
      </c>
      <c r="AE29" s="2549">
        <f t="shared" si="31"/>
        <v>9.5000661103676221E-2</v>
      </c>
      <c r="AF29" s="2549">
        <f t="shared" si="31"/>
        <v>0.13306209421268261</v>
      </c>
      <c r="AG29" s="2549">
        <f t="shared" si="31"/>
        <v>0.10260913456135153</v>
      </c>
      <c r="AH29" s="2549">
        <f t="shared" si="31"/>
        <v>8.5324304828143058E-2</v>
      </c>
      <c r="AI29" s="2549">
        <f t="shared" si="31"/>
        <v>0.11800023555928635</v>
      </c>
      <c r="AJ29" s="2549">
        <f t="shared" si="31"/>
        <v>0.10298198995081842</v>
      </c>
      <c r="AK29" s="504"/>
      <c r="AL29" s="2549">
        <f ca="1">IFERROR(AL28/AL14,0)</f>
        <v>0.11356169072532978</v>
      </c>
      <c r="AM29" s="2549">
        <f ca="1">IFERROR(AM28/AM14,0)</f>
        <v>0</v>
      </c>
      <c r="AN29" s="2549">
        <f t="shared" ca="1" si="4"/>
        <v>0.11356169072532978</v>
      </c>
      <c r="AO29" s="2690"/>
      <c r="AP29" s="2549">
        <f ca="1">IFERROR(AP28/AP14,0)</f>
        <v>0</v>
      </c>
      <c r="AQ29" s="2549">
        <f t="shared" ca="1" si="5"/>
        <v>0.11356169072532978</v>
      </c>
      <c r="AR29" s="2690"/>
      <c r="AS29" s="504"/>
      <c r="AT29" s="2549">
        <f ca="1">IFERROR(AT28/AT14,0)</f>
        <v>0.10260913456135153</v>
      </c>
      <c r="AU29" s="2549">
        <f ca="1">IFERROR(AU28/AU14,0)</f>
        <v>0</v>
      </c>
      <c r="AV29" s="2549">
        <f t="shared" ca="1" si="6"/>
        <v>0.10260913456135153</v>
      </c>
      <c r="AW29" s="2690"/>
      <c r="AX29" s="2549">
        <f ca="1">IFERROR(AX28/AX14,0)</f>
        <v>0</v>
      </c>
      <c r="AY29" s="2549">
        <f t="shared" ca="1" si="7"/>
        <v>0.10260913456135153</v>
      </c>
      <c r="AZ29" s="2690"/>
      <c r="BA29" s="504"/>
      <c r="BB29" s="2549">
        <f ca="1">IFERROR(BB28/BB14,0)</f>
        <v>0.10298198995081841</v>
      </c>
      <c r="BC29" s="2549">
        <f ca="1">IFERROR(BC28/BC14,0)</f>
        <v>8.9892254049975453E-6</v>
      </c>
      <c r="BD29" s="2549">
        <f t="shared" ca="1" si="8"/>
        <v>0.1029730007254134</v>
      </c>
      <c r="BE29" s="2690"/>
      <c r="BF29" s="2549">
        <f ca="1">IFERROR(BF28/BF14,0)</f>
        <v>2.1329758819983379E-5</v>
      </c>
      <c r="BG29" s="2549">
        <f t="shared" ca="1" si="9"/>
        <v>0.10296066019199843</v>
      </c>
      <c r="BH29" s="2690"/>
    </row>
    <row r="30" spans="1:60" ht="14.5">
      <c r="A30" s="616">
        <f t="shared" si="1"/>
        <v>27</v>
      </c>
      <c r="B30" s="616">
        <v>1</v>
      </c>
      <c r="C30" s="616">
        <f t="shared" si="2"/>
        <v>27</v>
      </c>
      <c r="D30" s="709" t="s">
        <v>1308</v>
      </c>
      <c r="E30" s="2547">
        <v>1</v>
      </c>
      <c r="F30" s="35"/>
      <c r="G30" s="35"/>
      <c r="H30" s="4"/>
      <c r="I30" s="153" t="s">
        <v>1336</v>
      </c>
      <c r="J30" s="36"/>
      <c r="K30" s="35"/>
      <c r="L30" s="35"/>
      <c r="M30" s="36"/>
      <c r="N30" s="36"/>
      <c r="O30" s="36"/>
      <c r="P30" s="35"/>
      <c r="Q30" s="1777" t="str">
        <f>CHOOSE(2, "6722000002612", "PL Statement Financial Income/Expenses")</f>
        <v>PL Statement Financial Income/Expenses</v>
      </c>
      <c r="R30" s="3058">
        <f>R31-R32</f>
        <v>13664</v>
      </c>
      <c r="S30" s="3058">
        <f t="shared" ref="S30:AC30" si="32">S31-S32</f>
        <v>9779</v>
      </c>
      <c r="T30" s="3058">
        <f t="shared" si="32"/>
        <v>6584</v>
      </c>
      <c r="U30" s="3058">
        <f t="shared" si="32"/>
        <v>9159</v>
      </c>
      <c r="V30" s="3058">
        <f t="shared" si="32"/>
        <v>11283</v>
      </c>
      <c r="W30" s="3058">
        <f t="shared" si="32"/>
        <v>7253</v>
      </c>
      <c r="X30" s="3058">
        <f t="shared" si="32"/>
        <v>99064</v>
      </c>
      <c r="Y30" s="3058">
        <f t="shared" si="32"/>
        <v>10743</v>
      </c>
      <c r="Z30" s="3058">
        <f t="shared" si="32"/>
        <v>-78979</v>
      </c>
      <c r="AA30" s="3058">
        <f t="shared" si="32"/>
        <v>12314</v>
      </c>
      <c r="AB30" s="3058">
        <f t="shared" si="32"/>
        <v>12686</v>
      </c>
      <c r="AC30" s="3058">
        <f t="shared" si="32"/>
        <v>4853</v>
      </c>
      <c r="AD30" s="3059">
        <f t="shared" ref="AD30:AD35" si="33">SUM(R30,S30,T30)</f>
        <v>30027</v>
      </c>
      <c r="AE30" s="3058">
        <f t="shared" ref="AE30:AE35" si="34">SUM(U30,V30,W30)</f>
        <v>27695</v>
      </c>
      <c r="AF30" s="3058">
        <f t="shared" ref="AF30:AF35" si="35">SUM(X30,Y30,Z30)</f>
        <v>30828</v>
      </c>
      <c r="AG30" s="3058">
        <f t="shared" ref="AG30:AG35" si="36">SUM(AA30,AB30,AC30)</f>
        <v>29853</v>
      </c>
      <c r="AH30" s="3058">
        <f t="shared" ref="AH30:AH35" si="37">AD30+AE30</f>
        <v>57722</v>
      </c>
      <c r="AI30" s="3058">
        <f t="shared" ref="AI30:AI35" si="38">AG30+AF30</f>
        <v>60681</v>
      </c>
      <c r="AJ30" s="3058">
        <f t="shared" ref="AJ30:AJ35" si="39">AH30+AI30</f>
        <v>118403</v>
      </c>
      <c r="AL30" s="3058">
        <f ca="1">SUM((INDIRECT(AL$2&amp;(ROW())):INDIRECT(AL$3&amp;(ROW()))))</f>
        <v>4853</v>
      </c>
      <c r="AM30" s="3058">
        <f ca="1">SUM(INDIRECT(AM$1&amp;AM$2&amp;$C30):INDIRECT(AM$1&amp;AM$3&amp;$C30))</f>
        <v>0</v>
      </c>
      <c r="AN30" s="3060">
        <f t="shared" ca="1" si="4"/>
        <v>4853</v>
      </c>
      <c r="AO30" s="2698">
        <f t="shared" ref="AO30:AO35" ca="1" si="40">IFERROR(AL30/AM30,0)</f>
        <v>0</v>
      </c>
      <c r="AP30" s="3058">
        <f ca="1">SUM(INDIRECT(AP$1&amp;AP$2&amp;$A30):INDIRECT(AP$1&amp;AP$3&amp;$A30))+SUM(INDIRECT(AP$1&amp;AP$2&amp;$B30):INDIRECT(AP$1&amp;AP$3&amp;$B30))</f>
        <v>0</v>
      </c>
      <c r="AQ30" s="3060">
        <f t="shared" ca="1" si="5"/>
        <v>4853</v>
      </c>
      <c r="AR30" s="2698">
        <f t="shared" ref="AR30:AR35" ca="1" si="41">IFERROR(AL30/AP30,0)</f>
        <v>0</v>
      </c>
      <c r="AT30" s="3058">
        <f ca="1">SUM((INDIRECT(AT$2&amp;(ROW())):INDIRECT(AT$3&amp;(ROW()))))</f>
        <v>29853</v>
      </c>
      <c r="AU30" s="3058">
        <f ca="1">SUM(INDIRECT(AU$1&amp;AU$2&amp;$C30):INDIRECT(AU$1&amp;AU$3&amp;$C30))</f>
        <v>0</v>
      </c>
      <c r="AV30" s="3060">
        <f t="shared" ca="1" si="6"/>
        <v>29853</v>
      </c>
      <c r="AW30" s="2698">
        <f t="shared" ref="AW30:AW35" ca="1" si="42">IFERROR(AT30/AU30,0)</f>
        <v>0</v>
      </c>
      <c r="AX30" s="3058">
        <f ca="1">SUM(INDIRECT(AX$1&amp;AX$2&amp;$A30):INDIRECT(AX$1&amp;AX$3&amp;$A30))+SUM(INDIRECT(AX$1&amp;AX$2&amp;$B30):INDIRECT(AX$1&amp;AX$3&amp;$B30))</f>
        <v>0</v>
      </c>
      <c r="AY30" s="3060">
        <f t="shared" ca="1" si="7"/>
        <v>29853</v>
      </c>
      <c r="AZ30" s="2698">
        <f t="shared" ref="AZ30:AZ35" ca="1" si="43">IFERROR(AT30/AX30,0)</f>
        <v>0</v>
      </c>
      <c r="BB30" s="3058">
        <f ca="1">SUM((INDIRECT(BB$2&amp;(ROW())):INDIRECT(BB$3&amp;(ROW()))))</f>
        <v>118403</v>
      </c>
      <c r="BC30" s="3058">
        <f ca="1">SUM(INDIRECT(BC$1&amp;BC$2&amp;$C30):INDIRECT(BC$1&amp;BC$3&amp;$C30))</f>
        <v>0</v>
      </c>
      <c r="BD30" s="3060">
        <f t="shared" ca="1" si="8"/>
        <v>118403</v>
      </c>
      <c r="BE30" s="2698">
        <f t="shared" ref="BE30:BE35" ca="1" si="44">IFERROR(BB30/BC30,0)</f>
        <v>0</v>
      </c>
      <c r="BF30" s="3058">
        <f ca="1">SUM(INDIRECT(BF$1&amp;BF$2&amp;$A30):INDIRECT(BF$1&amp;BF$3&amp;$A30))+SUM(INDIRECT(BF$1&amp;BF$2&amp;$B30):INDIRECT(BF$1&amp;BF$3&amp;$B30))</f>
        <v>0</v>
      </c>
      <c r="BG30" s="3060">
        <f t="shared" ca="1" si="9"/>
        <v>118403</v>
      </c>
      <c r="BH30" s="2698">
        <f t="shared" ref="BH30:BH35" ca="1" si="45">IFERROR(BB30/BF30,0)</f>
        <v>0</v>
      </c>
    </row>
    <row r="31" spans="1:60" ht="14.5">
      <c r="A31" s="616">
        <f t="shared" si="1"/>
        <v>28</v>
      </c>
      <c r="B31" s="616">
        <v>1</v>
      </c>
      <c r="C31" s="616">
        <f t="shared" si="2"/>
        <v>28</v>
      </c>
      <c r="D31" s="709" t="s">
        <v>1308</v>
      </c>
      <c r="E31" s="2547">
        <v>1</v>
      </c>
      <c r="F31" s="81"/>
      <c r="G31" s="81"/>
      <c r="H31" s="12"/>
      <c r="I31" s="153"/>
      <c r="J31" s="108" t="s">
        <v>1337</v>
      </c>
      <c r="K31" s="108"/>
      <c r="L31" s="156"/>
      <c r="M31" s="108"/>
      <c r="N31" s="108"/>
      <c r="O31" s="108"/>
      <c r="P31" s="108"/>
      <c r="Q31" s="1778" t="str">
        <f>CHOOSE(2, "6722000002611", "PL Statement Financial Income")</f>
        <v>PL Statement Financial Income</v>
      </c>
      <c r="R31" s="1233">
        <f>11840+1824</f>
        <v>13664</v>
      </c>
      <c r="S31" s="1233">
        <v>10055</v>
      </c>
      <c r="T31" s="1233">
        <v>11309</v>
      </c>
      <c r="U31" s="1233">
        <v>10773</v>
      </c>
      <c r="V31" s="1233">
        <f>10947+336</f>
        <v>11283</v>
      </c>
      <c r="W31" s="1233">
        <v>11160</v>
      </c>
      <c r="X31" s="1233">
        <f>11952+88147</f>
        <v>100099</v>
      </c>
      <c r="Y31" s="1233">
        <v>11100</v>
      </c>
      <c r="Z31" s="1233">
        <f>11796+4-88147</f>
        <v>-76347</v>
      </c>
      <c r="AA31" s="1233">
        <v>12512</v>
      </c>
      <c r="AB31" s="1233">
        <v>12769</v>
      </c>
      <c r="AC31" s="1233">
        <v>7492</v>
      </c>
      <c r="AD31" s="876">
        <f t="shared" si="33"/>
        <v>35028</v>
      </c>
      <c r="AE31" s="154">
        <f t="shared" si="34"/>
        <v>33216</v>
      </c>
      <c r="AF31" s="154">
        <f t="shared" si="35"/>
        <v>34852</v>
      </c>
      <c r="AG31" s="154">
        <f t="shared" si="36"/>
        <v>32773</v>
      </c>
      <c r="AH31" s="154">
        <f t="shared" si="37"/>
        <v>68244</v>
      </c>
      <c r="AI31" s="154">
        <f t="shared" si="38"/>
        <v>67625</v>
      </c>
      <c r="AJ31" s="154">
        <f t="shared" si="39"/>
        <v>135869</v>
      </c>
      <c r="AL31" s="154">
        <f ca="1">SUM((INDIRECT(AL$2&amp;(ROW())):INDIRECT(AL$3&amp;(ROW()))))</f>
        <v>7492</v>
      </c>
      <c r="AM31" s="154">
        <f ca="1">SUM(INDIRECT(AM$1&amp;AM$2&amp;$C31):INDIRECT(AM$1&amp;AM$3&amp;$C31))</f>
        <v>49585.044318010128</v>
      </c>
      <c r="AN31" s="3056">
        <f t="shared" ca="1" si="4"/>
        <v>-42093.044318010128</v>
      </c>
      <c r="AO31" s="2693">
        <f t="shared" ca="1" si="40"/>
        <v>0.15109394582670119</v>
      </c>
      <c r="AP31" s="154">
        <f ca="1">SUM(INDIRECT(AP$1&amp;AP$2&amp;$A31):INDIRECT(AP$1&amp;AP$3&amp;$A31))+SUM(INDIRECT(AP$1&amp;AP$2&amp;$B31):INDIRECT(AP$1&amp;AP$3&amp;$B31))</f>
        <v>88249.158509416084</v>
      </c>
      <c r="AQ31" s="3056">
        <f t="shared" ca="1" si="5"/>
        <v>-80757.158509416084</v>
      </c>
      <c r="AR31" s="2693">
        <f t="shared" ca="1" si="41"/>
        <v>8.4895993645090817E-2</v>
      </c>
      <c r="AT31" s="154">
        <f ca="1">SUM((INDIRECT(AT$2&amp;(ROW())):INDIRECT(AT$3&amp;(ROW()))))</f>
        <v>32773</v>
      </c>
      <c r="AU31" s="154">
        <f ca="1">SUM(INDIRECT(AU$1&amp;AU$2&amp;$C31):INDIRECT(AU$1&amp;AU$3&amp;$C31))</f>
        <v>140731.796545839</v>
      </c>
      <c r="AV31" s="3056">
        <f t="shared" ca="1" si="6"/>
        <v>-107958.796545839</v>
      </c>
      <c r="AW31" s="2693">
        <f t="shared" ca="1" si="42"/>
        <v>0.23287558891728649</v>
      </c>
      <c r="AX31" s="154">
        <f ca="1">SUM(INDIRECT(AX$1&amp;AX$2&amp;$A31):INDIRECT(AX$1&amp;AX$3&amp;$A31))+SUM(INDIRECT(AX$1&amp;AX$2&amp;$B31):INDIRECT(AX$1&amp;AX$3&amp;$B31))</f>
        <v>325064.04805382423</v>
      </c>
      <c r="AY31" s="3056">
        <f t="shared" ca="1" si="7"/>
        <v>-292291.04805382423</v>
      </c>
      <c r="AZ31" s="2693">
        <f t="shared" ca="1" si="43"/>
        <v>0.10082013128247709</v>
      </c>
      <c r="BB31" s="154">
        <f ca="1">SUM((INDIRECT(BB$2&amp;(ROW())):INDIRECT(BB$3&amp;(ROW()))))</f>
        <v>135869</v>
      </c>
      <c r="BC31" s="154">
        <f ca="1">SUM(INDIRECT(BC$1&amp;BC$2&amp;$C31):INDIRECT(BC$1&amp;BC$3&amp;$C31))</f>
        <v>324013.22748215077</v>
      </c>
      <c r="BD31" s="3056">
        <f t="shared" ca="1" si="8"/>
        <v>-188144.22748215077</v>
      </c>
      <c r="BE31" s="2693">
        <f t="shared" ca="1" si="44"/>
        <v>0.41933164598190592</v>
      </c>
      <c r="BF31" s="154">
        <f ca="1">SUM(INDIRECT(BF$1&amp;BF$2&amp;$A31):INDIRECT(BF$1&amp;BF$3&amp;$A31))+SUM(INDIRECT(BF$1&amp;BF$2&amp;$B31):INDIRECT(BF$1&amp;BF$3&amp;$B31))</f>
        <v>864858.69370479323</v>
      </c>
      <c r="BG31" s="3056">
        <f t="shared" ca="1" si="9"/>
        <v>-728989.69370479323</v>
      </c>
      <c r="BH31" s="2693">
        <f t="shared" ca="1" si="45"/>
        <v>0.15709965221946059</v>
      </c>
    </row>
    <row r="32" spans="1:60" ht="14.5">
      <c r="A32" s="616">
        <f t="shared" si="1"/>
        <v>29</v>
      </c>
      <c r="B32" s="616">
        <v>1</v>
      </c>
      <c r="C32" s="616">
        <f t="shared" si="2"/>
        <v>29</v>
      </c>
      <c r="D32" s="709" t="s">
        <v>1308</v>
      </c>
      <c r="E32" s="2547">
        <v>1</v>
      </c>
      <c r="F32" s="81"/>
      <c r="G32" s="81"/>
      <c r="H32" s="12"/>
      <c r="I32" s="153"/>
      <c r="J32" s="36" t="s">
        <v>1338</v>
      </c>
      <c r="K32" s="36"/>
      <c r="L32" s="35"/>
      <c r="M32" s="36"/>
      <c r="N32" s="36"/>
      <c r="O32" s="36"/>
      <c r="P32" s="36"/>
      <c r="Q32" s="1778" t="str">
        <f>CHOOSE(2, "6722000002610", "PL Statement Financial Expenses")</f>
        <v>PL Statement Financial Expenses</v>
      </c>
      <c r="R32" s="1212">
        <v>0</v>
      </c>
      <c r="S32" s="1212">
        <v>276</v>
      </c>
      <c r="T32" s="1212">
        <f>1530+3195</f>
        <v>4725</v>
      </c>
      <c r="U32" s="1212">
        <v>1614</v>
      </c>
      <c r="V32" s="1212">
        <v>0</v>
      </c>
      <c r="W32" s="1212">
        <f>1010+2897</f>
        <v>3907</v>
      </c>
      <c r="X32" s="1212">
        <v>1035</v>
      </c>
      <c r="Y32" s="1212">
        <v>357</v>
      </c>
      <c r="Z32" s="1212">
        <v>2632</v>
      </c>
      <c r="AA32" s="1212">
        <v>198</v>
      </c>
      <c r="AB32" s="1212">
        <v>83</v>
      </c>
      <c r="AC32" s="1212">
        <f>280+2359</f>
        <v>2639</v>
      </c>
      <c r="AD32" s="877">
        <f t="shared" si="33"/>
        <v>5001</v>
      </c>
      <c r="AE32" s="40">
        <f t="shared" si="34"/>
        <v>5521</v>
      </c>
      <c r="AF32" s="40">
        <f t="shared" si="35"/>
        <v>4024</v>
      </c>
      <c r="AG32" s="40">
        <f t="shared" si="36"/>
        <v>2920</v>
      </c>
      <c r="AH32" s="40">
        <f t="shared" si="37"/>
        <v>10522</v>
      </c>
      <c r="AI32" s="40">
        <f t="shared" si="38"/>
        <v>6944</v>
      </c>
      <c r="AJ32" s="40">
        <f t="shared" si="39"/>
        <v>17466</v>
      </c>
      <c r="AL32" s="40">
        <f ca="1">SUM((INDIRECT(AL$2&amp;(ROW())):INDIRECT(AL$3&amp;(ROW()))))</f>
        <v>2639</v>
      </c>
      <c r="AM32" s="40">
        <f ca="1">SUM(INDIRECT(AM$1&amp;AM$2&amp;$C32):INDIRECT(AM$1&amp;AM$3&amp;$C32))</f>
        <v>6.5652430068268416E-2</v>
      </c>
      <c r="AN32" s="3057">
        <f t="shared" ca="1" si="4"/>
        <v>2638.9343475699316</v>
      </c>
      <c r="AO32" s="2695">
        <f t="shared" ca="1" si="40"/>
        <v>40196.53190682883</v>
      </c>
      <c r="AP32" s="40">
        <f ca="1">SUM(INDIRECT(AP$1&amp;AP$2&amp;$A32):INDIRECT(AP$1&amp;AP$3&amp;$A32))+SUM(INDIRECT(AP$1&amp;AP$2&amp;$B32):INDIRECT(AP$1&amp;AP$3&amp;$B32))</f>
        <v>0.10130846540944664</v>
      </c>
      <c r="AQ32" s="3057">
        <f t="shared" ca="1" si="5"/>
        <v>2638.8986915345904</v>
      </c>
      <c r="AR32" s="2695">
        <f t="shared" ca="1" si="41"/>
        <v>26049.155806814964</v>
      </c>
      <c r="AT32" s="40">
        <f ca="1">SUM((INDIRECT(AT$2&amp;(ROW())):INDIRECT(AT$3&amp;(ROW()))))</f>
        <v>2920</v>
      </c>
      <c r="AU32" s="40">
        <f ca="1">SUM(INDIRECT(AU$1&amp;AU$2&amp;$C32):INDIRECT(AU$1&amp;AU$3&amp;$C32))</f>
        <v>0.19341485323854812</v>
      </c>
      <c r="AV32" s="3057">
        <f t="shared" ca="1" si="6"/>
        <v>2919.8065851467613</v>
      </c>
      <c r="AW32" s="2695">
        <f t="shared" ca="1" si="42"/>
        <v>15097.082520330636</v>
      </c>
      <c r="AX32" s="40">
        <f ca="1">SUM(INDIRECT(AX$1&amp;AX$2&amp;$A32):INDIRECT(AX$1&amp;AX$3&amp;$A32))+SUM(INDIRECT(AX$1&amp;AX$2&amp;$B32):INDIRECT(AX$1&amp;AX$3&amp;$B32))</f>
        <v>0.38100960815135648</v>
      </c>
      <c r="AY32" s="3057">
        <f t="shared" ca="1" si="7"/>
        <v>2919.6189903918485</v>
      </c>
      <c r="AZ32" s="2695">
        <f t="shared" ca="1" si="43"/>
        <v>7663.8487259356116</v>
      </c>
      <c r="BB32" s="40">
        <f ca="1">SUM((INDIRECT(BB$2&amp;(ROW())):INDIRECT(BB$3&amp;(ROW()))))</f>
        <v>17466</v>
      </c>
      <c r="BC32" s="40">
        <f ca="1">SUM(INDIRECT(BC$1&amp;BC$2&amp;$C32):INDIRECT(BC$1&amp;BC$3&amp;$C32))</f>
        <v>0.40521437281562322</v>
      </c>
      <c r="BD32" s="3057">
        <f t="shared" ca="1" si="8"/>
        <v>17465.594785627185</v>
      </c>
      <c r="BE32" s="2695">
        <f t="shared" ca="1" si="44"/>
        <v>43103.110777235961</v>
      </c>
      <c r="BF32" s="40">
        <f ca="1">SUM(INDIRECT(BF$1&amp;BF$2&amp;$A32):INDIRECT(BF$1&amp;BF$3&amp;$A32))+SUM(INDIRECT(BF$1&amp;BF$2&amp;$B32):INDIRECT(BF$1&amp;BF$3&amp;$B32))</f>
        <v>1.099840761941014</v>
      </c>
      <c r="BG32" s="3057">
        <f t="shared" ca="1" si="9"/>
        <v>17464.900159238059</v>
      </c>
      <c r="BH32" s="2695">
        <f t="shared" ca="1" si="45"/>
        <v>15880.480706294033</v>
      </c>
    </row>
    <row r="33" spans="1:60" ht="14.5">
      <c r="A33" s="616">
        <f t="shared" si="1"/>
        <v>30</v>
      </c>
      <c r="B33" s="616">
        <v>1</v>
      </c>
      <c r="C33" s="616">
        <f t="shared" si="2"/>
        <v>30</v>
      </c>
      <c r="D33" s="709" t="s">
        <v>1308</v>
      </c>
      <c r="E33" s="2547">
        <v>1</v>
      </c>
      <c r="F33" s="35"/>
      <c r="G33" s="35"/>
      <c r="H33" s="4"/>
      <c r="I33" s="3042" t="s">
        <v>64</v>
      </c>
      <c r="J33" s="3043"/>
      <c r="K33" s="3043"/>
      <c r="L33" s="3043"/>
      <c r="M33" s="3043"/>
      <c r="N33" s="3043"/>
      <c r="O33" s="3043"/>
      <c r="P33" s="3043"/>
      <c r="Q33" s="1774" t="str">
        <f>CHOOSE(2, "6722000002609", "PL Statement Profit before Taxes")</f>
        <v>PL Statement Profit before Taxes</v>
      </c>
      <c r="R33" s="3044">
        <f>R28+R30</f>
        <v>67992</v>
      </c>
      <c r="S33" s="3044">
        <f t="shared" ref="S33:AC33" si="46">S28+S30</f>
        <v>49222.033913046296</v>
      </c>
      <c r="T33" s="3044">
        <f t="shared" si="46"/>
        <v>61630.436193469774</v>
      </c>
      <c r="U33" s="3044">
        <f t="shared" si="46"/>
        <v>75810.00389868379</v>
      </c>
      <c r="V33" s="3044">
        <f t="shared" si="46"/>
        <v>97449.797269636096</v>
      </c>
      <c r="W33" s="3044">
        <f t="shared" si="46"/>
        <v>68004.436667637667</v>
      </c>
      <c r="X33" s="3044">
        <f t="shared" si="46"/>
        <v>193348.47149133711</v>
      </c>
      <c r="Y33" s="3044">
        <f t="shared" si="46"/>
        <v>93866.466217158391</v>
      </c>
      <c r="Z33" s="3044">
        <f t="shared" si="46"/>
        <v>79434.643417095998</v>
      </c>
      <c r="AA33" s="3044">
        <f t="shared" si="46"/>
        <v>90715.24612731213</v>
      </c>
      <c r="AB33" s="3044">
        <f t="shared" si="46"/>
        <v>100935.15850941608</v>
      </c>
      <c r="AC33" s="3044">
        <f t="shared" si="46"/>
        <v>91627.418431966813</v>
      </c>
      <c r="AD33" s="1293">
        <f t="shared" si="33"/>
        <v>178844.47010651606</v>
      </c>
      <c r="AE33" s="3044">
        <f t="shared" si="34"/>
        <v>241264.23783595755</v>
      </c>
      <c r="AF33" s="3044">
        <f t="shared" si="35"/>
        <v>366649.58112559153</v>
      </c>
      <c r="AG33" s="3044">
        <f t="shared" si="36"/>
        <v>283277.82306869503</v>
      </c>
      <c r="AH33" s="3044">
        <f t="shared" si="37"/>
        <v>420108.70794247359</v>
      </c>
      <c r="AI33" s="3044">
        <f t="shared" si="38"/>
        <v>649927.40419428656</v>
      </c>
      <c r="AJ33" s="3044">
        <f t="shared" si="39"/>
        <v>1070036.1121367603</v>
      </c>
      <c r="AL33" s="3044">
        <f ca="1">SUM((INDIRECT(AL$2&amp;(ROW())):INDIRECT(AL$3&amp;(ROW()))))</f>
        <v>91627.418431966813</v>
      </c>
      <c r="AM33" s="3044">
        <f ca="1">SUM(INDIRECT(AM$1&amp;AM$2&amp;$C33):INDIRECT(AM$1&amp;AM$3&amp;$C33))</f>
        <v>0</v>
      </c>
      <c r="AN33" s="3045">
        <f t="shared" ca="1" si="4"/>
        <v>91627.418431966813</v>
      </c>
      <c r="AO33" s="2683">
        <f t="shared" ca="1" si="40"/>
        <v>0</v>
      </c>
      <c r="AP33" s="3044">
        <f ca="1">SUM(INDIRECT(AP$1&amp;AP$2&amp;$A33):INDIRECT(AP$1&amp;AP$3&amp;$A33))+SUM(INDIRECT(AP$1&amp;AP$2&amp;$B33):INDIRECT(AP$1&amp;AP$3&amp;$B33))</f>
        <v>12686</v>
      </c>
      <c r="AQ33" s="3045">
        <f t="shared" ca="1" si="5"/>
        <v>78941.418431966813</v>
      </c>
      <c r="AR33" s="2683">
        <f t="shared" ca="1" si="41"/>
        <v>7.2227194097404075</v>
      </c>
      <c r="AT33" s="3044">
        <f ca="1">SUM((INDIRECT(AT$2&amp;(ROW())):INDIRECT(AT$3&amp;(ROW()))))</f>
        <v>283277.82306869503</v>
      </c>
      <c r="AU33" s="3044">
        <f ca="1">SUM(INDIRECT(AU$1&amp;AU$2&amp;$C33):INDIRECT(AU$1&amp;AU$3&amp;$C33))</f>
        <v>0</v>
      </c>
      <c r="AV33" s="3045">
        <f t="shared" ca="1" si="6"/>
        <v>283277.82306869503</v>
      </c>
      <c r="AW33" s="2683">
        <f t="shared" ca="1" si="42"/>
        <v>0</v>
      </c>
      <c r="AX33" s="3044">
        <f ca="1">SUM(INDIRECT(AX$1&amp;AX$2&amp;$A33):INDIRECT(AX$1&amp;AX$3&amp;$A33))+SUM(INDIRECT(AX$1&amp;AX$2&amp;$B33):INDIRECT(AX$1&amp;AX$3&amp;$B33))</f>
        <v>-53979</v>
      </c>
      <c r="AY33" s="3045">
        <f t="shared" ca="1" si="7"/>
        <v>337256.82306869503</v>
      </c>
      <c r="AZ33" s="2683">
        <f t="shared" ca="1" si="43"/>
        <v>-5.2479264726781718</v>
      </c>
      <c r="BB33" s="3044">
        <f ca="1">SUM((INDIRECT(BB$2&amp;(ROW())):INDIRECT(BB$3&amp;(ROW()))))</f>
        <v>1070036.11213676</v>
      </c>
      <c r="BC33" s="3044">
        <f ca="1">SUM(INDIRECT(BC$1&amp;BC$2&amp;$C33):INDIRECT(BC$1&amp;BC$3&amp;$C33))</f>
        <v>0</v>
      </c>
      <c r="BD33" s="3045">
        <f t="shared" ca="1" si="8"/>
        <v>1070036.11213676</v>
      </c>
      <c r="BE33" s="2683">
        <f t="shared" ca="1" si="44"/>
        <v>0</v>
      </c>
      <c r="BF33" s="3044">
        <f ca="1">SUM(INDIRECT(BF$1&amp;BF$2&amp;$A33):INDIRECT(BF$1&amp;BF$3&amp;$A33))+SUM(INDIRECT(BF$1&amp;BF$2&amp;$B33):INDIRECT(BF$1&amp;BF$3&amp;$B33))</f>
        <v>113550</v>
      </c>
      <c r="BG33" s="3045">
        <f t="shared" ca="1" si="9"/>
        <v>956486.11213676003</v>
      </c>
      <c r="BH33" s="2683">
        <f t="shared" ca="1" si="45"/>
        <v>9.4234796313232945</v>
      </c>
    </row>
    <row r="34" spans="1:60" ht="14.5">
      <c r="A34" s="616">
        <f t="shared" si="1"/>
        <v>31</v>
      </c>
      <c r="B34" s="616">
        <v>1</v>
      </c>
      <c r="C34" s="616">
        <f t="shared" si="2"/>
        <v>31</v>
      </c>
      <c r="D34" s="709" t="s">
        <v>1308</v>
      </c>
      <c r="E34" s="2547">
        <v>1</v>
      </c>
      <c r="F34" s="35"/>
      <c r="G34" s="35"/>
      <c r="H34" s="4"/>
      <c r="I34" s="3041" t="s">
        <v>1339</v>
      </c>
      <c r="J34" s="447"/>
      <c r="K34" s="514"/>
      <c r="L34" s="514"/>
      <c r="M34" s="447"/>
      <c r="N34" s="447"/>
      <c r="O34" s="447"/>
      <c r="P34" s="447"/>
      <c r="Q34" s="1779" t="str">
        <f>CHOOSE(2, "6722000002608", "PL Statement Tax Expenses &amp; Others")</f>
        <v>PL Statement Tax Expenses &amp; Others</v>
      </c>
      <c r="R34" s="1383">
        <v>16943.200433360998</v>
      </c>
      <c r="S34" s="1383">
        <v>12303.851100000002</v>
      </c>
      <c r="T34" s="1383">
        <v>15347</v>
      </c>
      <c r="U34" s="1383">
        <v>18988</v>
      </c>
      <c r="V34" s="1383">
        <v>24434</v>
      </c>
      <c r="W34" s="1383">
        <v>17073</v>
      </c>
      <c r="X34" s="1383">
        <v>48507</v>
      </c>
      <c r="Y34" s="1383">
        <v>23485</v>
      </c>
      <c r="Z34" s="1383">
        <v>19880</v>
      </c>
      <c r="AA34" s="1383">
        <v>22340</v>
      </c>
      <c r="AB34" s="1383">
        <v>25299</v>
      </c>
      <c r="AC34" s="1383">
        <v>22722</v>
      </c>
      <c r="AD34" s="3064">
        <f t="shared" si="33"/>
        <v>44594.051533361002</v>
      </c>
      <c r="AE34" s="3065">
        <f t="shared" si="34"/>
        <v>60495</v>
      </c>
      <c r="AF34" s="3065">
        <f t="shared" si="35"/>
        <v>91872</v>
      </c>
      <c r="AG34" s="3065">
        <f t="shared" si="36"/>
        <v>70361</v>
      </c>
      <c r="AH34" s="3065">
        <f t="shared" si="37"/>
        <v>105089.05153336099</v>
      </c>
      <c r="AI34" s="3065">
        <f t="shared" si="38"/>
        <v>162233</v>
      </c>
      <c r="AJ34" s="3065">
        <f t="shared" si="39"/>
        <v>267322.05153336097</v>
      </c>
      <c r="AL34" s="3065">
        <f ca="1">SUM((INDIRECT(AL$2&amp;(ROW())):INDIRECT(AL$3&amp;(ROW()))))</f>
        <v>22722</v>
      </c>
      <c r="AM34" s="3065">
        <f ca="1">SUM(INDIRECT(AM$1&amp;AM$2&amp;$C34):INDIRECT(AM$1&amp;AM$3&amp;$C34))</f>
        <v>0</v>
      </c>
      <c r="AN34" s="3066">
        <f t="shared" ca="1" si="4"/>
        <v>22722</v>
      </c>
      <c r="AO34" s="2702">
        <f t="shared" ca="1" si="40"/>
        <v>0</v>
      </c>
      <c r="AP34" s="3065">
        <f ca="1">SUM(INDIRECT(AP$1&amp;AP$2&amp;$A34):INDIRECT(AP$1&amp;AP$3&amp;$A34))+SUM(INDIRECT(AP$1&amp;AP$2&amp;$B34):INDIRECT(AP$1&amp;AP$3&amp;$B34))</f>
        <v>12769</v>
      </c>
      <c r="AQ34" s="3066">
        <f t="shared" ca="1" si="5"/>
        <v>9953</v>
      </c>
      <c r="AR34" s="2702">
        <f t="shared" ca="1" si="41"/>
        <v>1.779465893961939</v>
      </c>
      <c r="AT34" s="3065">
        <f ca="1">SUM((INDIRECT(AT$2&amp;(ROW())):INDIRECT(AT$3&amp;(ROW()))))</f>
        <v>70361</v>
      </c>
      <c r="AU34" s="3065">
        <f ca="1">SUM(INDIRECT(AU$1&amp;AU$2&amp;$C34):INDIRECT(AU$1&amp;AU$3&amp;$C34))</f>
        <v>0</v>
      </c>
      <c r="AV34" s="3066">
        <f t="shared" ca="1" si="6"/>
        <v>70361</v>
      </c>
      <c r="AW34" s="2702">
        <f t="shared" ca="1" si="42"/>
        <v>0</v>
      </c>
      <c r="AX34" s="3065">
        <f ca="1">SUM(INDIRECT(AX$1&amp;AX$2&amp;$A34):INDIRECT(AX$1&amp;AX$3&amp;$A34))+SUM(INDIRECT(AX$1&amp;AX$2&amp;$B34):INDIRECT(AX$1&amp;AX$3&amp;$B34))</f>
        <v>-51066</v>
      </c>
      <c r="AY34" s="3066">
        <f t="shared" ca="1" si="7"/>
        <v>121427</v>
      </c>
      <c r="AZ34" s="2702">
        <f t="shared" ca="1" si="43"/>
        <v>-1.3778443582814397</v>
      </c>
      <c r="BB34" s="3065">
        <f ca="1">SUM((INDIRECT(BB$2&amp;(ROW())):INDIRECT(BB$3&amp;(ROW()))))</f>
        <v>267322.05153336097</v>
      </c>
      <c r="BC34" s="3065">
        <f ca="1">SUM(INDIRECT(BC$1&amp;BC$2&amp;$C34):INDIRECT(BC$1&amp;BC$3&amp;$C34))</f>
        <v>0</v>
      </c>
      <c r="BD34" s="3066">
        <f t="shared" ca="1" si="8"/>
        <v>267322.05153336097</v>
      </c>
      <c r="BE34" s="2702">
        <f t="shared" ca="1" si="44"/>
        <v>0</v>
      </c>
      <c r="BF34" s="3065">
        <f ca="1">SUM(INDIRECT(BF$1&amp;BF$2&amp;$A34):INDIRECT(BF$1&amp;BF$3&amp;$A34))+SUM(INDIRECT(BF$1&amp;BF$2&amp;$B34):INDIRECT(BF$1&amp;BF$3&amp;$B34))</f>
        <v>128377</v>
      </c>
      <c r="BG34" s="3066">
        <f t="shared" ca="1" si="9"/>
        <v>138945.05153336097</v>
      </c>
      <c r="BH34" s="2702">
        <f t="shared" ca="1" si="45"/>
        <v>2.0823204431740963</v>
      </c>
    </row>
    <row r="35" spans="1:60" ht="14.5">
      <c r="A35" s="616">
        <f t="shared" si="1"/>
        <v>32</v>
      </c>
      <c r="B35" s="616">
        <v>1</v>
      </c>
      <c r="C35" s="616">
        <f t="shared" si="2"/>
        <v>32</v>
      </c>
      <c r="D35" s="709" t="s">
        <v>1308</v>
      </c>
      <c r="E35" s="2547">
        <v>1</v>
      </c>
      <c r="F35" s="35"/>
      <c r="G35" s="35"/>
      <c r="H35" s="4"/>
      <c r="I35" s="3042" t="s">
        <v>1340</v>
      </c>
      <c r="J35" s="3043"/>
      <c r="K35" s="3043"/>
      <c r="L35" s="3043"/>
      <c r="M35" s="3043"/>
      <c r="N35" s="3043"/>
      <c r="O35" s="3043"/>
      <c r="P35" s="3043"/>
      <c r="Q35" s="1774" t="str">
        <f>CHOOSE(2, "6722000002607", "PL Statement Net Profit")</f>
        <v>PL Statement Net Profit</v>
      </c>
      <c r="R35" s="3044">
        <f>R33-R34</f>
        <v>51048.799566639005</v>
      </c>
      <c r="S35" s="3044">
        <f t="shared" ref="S35:AC35" si="47">S33-S34</f>
        <v>36918.182813046296</v>
      </c>
      <c r="T35" s="3044">
        <f t="shared" si="47"/>
        <v>46283.436193469774</v>
      </c>
      <c r="U35" s="3044">
        <f t="shared" si="47"/>
        <v>56822.00389868379</v>
      </c>
      <c r="V35" s="3044">
        <f t="shared" si="47"/>
        <v>73015.797269636096</v>
      </c>
      <c r="W35" s="3044">
        <f t="shared" si="47"/>
        <v>50931.436667637667</v>
      </c>
      <c r="X35" s="3044">
        <f t="shared" si="47"/>
        <v>144841.47149133711</v>
      </c>
      <c r="Y35" s="3044">
        <f t="shared" si="47"/>
        <v>70381.466217158391</v>
      </c>
      <c r="Z35" s="3044">
        <f t="shared" si="47"/>
        <v>59554.643417095998</v>
      </c>
      <c r="AA35" s="3044">
        <f>AA33-AA34</f>
        <v>68375.24612731213</v>
      </c>
      <c r="AB35" s="3044">
        <f t="shared" si="47"/>
        <v>75636.158509416084</v>
      </c>
      <c r="AC35" s="3044">
        <f t="shared" si="47"/>
        <v>68905.418431966813</v>
      </c>
      <c r="AD35" s="1293">
        <f t="shared" si="33"/>
        <v>134250.41857315507</v>
      </c>
      <c r="AE35" s="3044">
        <f t="shared" si="34"/>
        <v>180769.23783595755</v>
      </c>
      <c r="AF35" s="3044">
        <f t="shared" si="35"/>
        <v>274777.58112559153</v>
      </c>
      <c r="AG35" s="3044">
        <f t="shared" si="36"/>
        <v>212916.82306869503</v>
      </c>
      <c r="AH35" s="3044">
        <f t="shared" si="37"/>
        <v>315019.65640911262</v>
      </c>
      <c r="AI35" s="3044">
        <f t="shared" si="38"/>
        <v>487694.40419428656</v>
      </c>
      <c r="AJ35" s="3044">
        <f t="shared" si="39"/>
        <v>802714.06060339918</v>
      </c>
      <c r="AL35" s="3044">
        <f ca="1">SUM((INDIRECT(AL$2&amp;(ROW())):INDIRECT(AL$3&amp;(ROW()))))</f>
        <v>68905.418431966813</v>
      </c>
      <c r="AM35" s="3044">
        <f ca="1">SUM(INDIRECT(AM$1&amp;AM$2&amp;$C35):INDIRECT(AM$1&amp;AM$3&amp;$C35))</f>
        <v>0</v>
      </c>
      <c r="AN35" s="3045">
        <f t="shared" ca="1" si="4"/>
        <v>68905.418431966813</v>
      </c>
      <c r="AO35" s="2683">
        <f t="shared" ca="1" si="40"/>
        <v>0</v>
      </c>
      <c r="AP35" s="3044">
        <f ca="1">SUM(INDIRECT(AP$1&amp;AP$2&amp;$A35):INDIRECT(AP$1&amp;AP$3&amp;$A35))+SUM(INDIRECT(AP$1&amp;AP$2&amp;$B35):INDIRECT(AP$1&amp;AP$3&amp;$B35))</f>
        <v>83</v>
      </c>
      <c r="AQ35" s="3045">
        <f t="shared" ca="1" si="5"/>
        <v>68822.418431966813</v>
      </c>
      <c r="AR35" s="2683">
        <f t="shared" ca="1" si="41"/>
        <v>830.18576424056403</v>
      </c>
      <c r="AT35" s="3044">
        <f ca="1">SUM((INDIRECT(AT$2&amp;(ROW())):INDIRECT(AT$3&amp;(ROW()))))</f>
        <v>212916.82306869503</v>
      </c>
      <c r="AU35" s="3044">
        <f ca="1">SUM(INDIRECT(AU$1&amp;AU$2&amp;$C35):INDIRECT(AU$1&amp;AU$3&amp;$C35))</f>
        <v>0</v>
      </c>
      <c r="AV35" s="3045">
        <f t="shared" ca="1" si="6"/>
        <v>212916.82306869503</v>
      </c>
      <c r="AW35" s="2683">
        <f t="shared" ca="1" si="42"/>
        <v>0</v>
      </c>
      <c r="AX35" s="3044">
        <f ca="1">SUM(INDIRECT(AX$1&amp;AX$2&amp;$A35):INDIRECT(AX$1&amp;AX$3&amp;$A35))+SUM(INDIRECT(AX$1&amp;AX$2&amp;$B35):INDIRECT(AX$1&amp;AX$3&amp;$B35))</f>
        <v>2913</v>
      </c>
      <c r="AY35" s="3045">
        <f t="shared" ca="1" si="7"/>
        <v>210003.82306869503</v>
      </c>
      <c r="AZ35" s="2683">
        <f t="shared" ca="1" si="43"/>
        <v>73.091940634636117</v>
      </c>
      <c r="BB35" s="3044">
        <f ca="1">SUM((INDIRECT(BB$2&amp;(ROW())):INDIRECT(BB$3&amp;(ROW()))))</f>
        <v>802714.06060339906</v>
      </c>
      <c r="BC35" s="3044">
        <f ca="1">SUM(INDIRECT(BC$1&amp;BC$2&amp;$C35):INDIRECT(BC$1&amp;BC$3&amp;$C35))</f>
        <v>0</v>
      </c>
      <c r="BD35" s="3045">
        <f t="shared" ca="1" si="8"/>
        <v>802714.06060339906</v>
      </c>
      <c r="BE35" s="2683">
        <f t="shared" ca="1" si="44"/>
        <v>0</v>
      </c>
      <c r="BF35" s="3044">
        <f ca="1">SUM(INDIRECT(BF$1&amp;BF$2&amp;$A35):INDIRECT(BF$1&amp;BF$3&amp;$A35))+SUM(INDIRECT(BF$1&amp;BF$2&amp;$B35):INDIRECT(BF$1&amp;BF$3&amp;$B35))</f>
        <v>14827</v>
      </c>
      <c r="BG35" s="3045">
        <f t="shared" ca="1" si="9"/>
        <v>787887.06060339906</v>
      </c>
      <c r="BH35" s="2683">
        <f t="shared" ca="1" si="45"/>
        <v>54.13867003462596</v>
      </c>
    </row>
    <row r="36" spans="1:60" ht="14.5">
      <c r="A36" s="616">
        <f t="shared" si="1"/>
        <v>33</v>
      </c>
      <c r="B36" s="616">
        <v>1</v>
      </c>
      <c r="C36" s="616">
        <f t="shared" si="2"/>
        <v>33</v>
      </c>
      <c r="D36" s="709" t="s">
        <v>1308</v>
      </c>
      <c r="E36" s="2547">
        <v>1</v>
      </c>
      <c r="F36" s="35"/>
      <c r="G36" s="35"/>
      <c r="H36" s="4"/>
      <c r="I36" s="106"/>
      <c r="J36" s="104"/>
      <c r="K36" s="105"/>
      <c r="L36" s="105"/>
      <c r="M36" s="104"/>
      <c r="N36" s="104"/>
      <c r="O36" s="104"/>
      <c r="P36" s="105" t="s">
        <v>55</v>
      </c>
      <c r="Q36" s="1776" t="str">
        <f>CHOOSE(2, "6722000002606", "PL Statement Net Profit (%)")</f>
        <v>PL Statement Net Profit (%)</v>
      </c>
      <c r="R36" s="2549">
        <f>IFERROR(R35/R14,0)</f>
        <v>7.8626733050402395E-2</v>
      </c>
      <c r="S36" s="2549">
        <f t="shared" ref="S36:AJ36" si="48">IFERROR(S35/S14,0)</f>
        <v>5.6207372804837688E-2</v>
      </c>
      <c r="T36" s="2549">
        <f t="shared" si="48"/>
        <v>6.6786005118922756E-2</v>
      </c>
      <c r="U36" s="2549">
        <f t="shared" si="48"/>
        <v>8.0105229774472389E-2</v>
      </c>
      <c r="V36" s="2549">
        <f t="shared" si="48"/>
        <v>8.8220344648993157E-2</v>
      </c>
      <c r="W36" s="2549">
        <f t="shared" si="48"/>
        <v>7.1624761340929682E-2</v>
      </c>
      <c r="X36" s="2549">
        <f t="shared" si="48"/>
        <v>0.1658448986853423</v>
      </c>
      <c r="Y36" s="2549">
        <f t="shared" si="48"/>
        <v>8.8234477445589113E-2</v>
      </c>
      <c r="Z36" s="2549">
        <f t="shared" si="48"/>
        <v>6.9836127636059606E-2</v>
      </c>
      <c r="AA36" s="2549">
        <f>IFERROR(AA35/AA14,0)</f>
        <v>8.1926062671339742E-2</v>
      </c>
      <c r="AB36" s="2549">
        <f t="shared" si="48"/>
        <v>8.682896559559844E-2</v>
      </c>
      <c r="AC36" s="2549">
        <f t="shared" si="48"/>
        <v>9.0176528505407957E-2</v>
      </c>
      <c r="AD36" s="2550">
        <f t="shared" si="48"/>
        <v>6.7155865939378862E-2</v>
      </c>
      <c r="AE36" s="2549">
        <f t="shared" si="48"/>
        <v>8.0410443356146513E-2</v>
      </c>
      <c r="AF36" s="2549">
        <f t="shared" si="48"/>
        <v>0.10887471932184357</v>
      </c>
      <c r="AG36" s="2549">
        <f t="shared" si="48"/>
        <v>8.620785716286819E-2</v>
      </c>
      <c r="AH36" s="2549">
        <f t="shared" si="48"/>
        <v>7.417168621586101E-2</v>
      </c>
      <c r="AI36" s="2549">
        <f t="shared" si="48"/>
        <v>9.7663819696211254E-2</v>
      </c>
      <c r="AJ36" s="2549">
        <f t="shared" si="48"/>
        <v>8.6866556310579504E-2</v>
      </c>
      <c r="AK36" s="504"/>
      <c r="AL36" s="2549">
        <f ca="1">IFERROR(AL35/AL14,0)</f>
        <v>9.0176528505407957E-2</v>
      </c>
      <c r="AM36" s="2549">
        <f ca="1">IFERROR(AM35/AM14,0)</f>
        <v>0</v>
      </c>
      <c r="AN36" s="2549">
        <f t="shared" ca="1" si="4"/>
        <v>9.0176528505407957E-2</v>
      </c>
      <c r="AO36" s="2690"/>
      <c r="AP36" s="2549">
        <f ca="1">IFERROR(AP35/AP14,0)</f>
        <v>0</v>
      </c>
      <c r="AQ36" s="2549">
        <f t="shared" ca="1" si="5"/>
        <v>9.0176528505407957E-2</v>
      </c>
      <c r="AR36" s="2690"/>
      <c r="AS36" s="504"/>
      <c r="AT36" s="2549">
        <f ca="1">IFERROR(AT35/AT14,0)</f>
        <v>8.620785716286819E-2</v>
      </c>
      <c r="AU36" s="2549">
        <f ca="1">IFERROR(AU35/AU14,0)</f>
        <v>0</v>
      </c>
      <c r="AV36" s="2549">
        <f t="shared" ca="1" si="6"/>
        <v>8.620785716286819E-2</v>
      </c>
      <c r="AW36" s="2690"/>
      <c r="AX36" s="2549">
        <f ca="1">IFERROR(AX35/AX14,0)</f>
        <v>0</v>
      </c>
      <c r="AY36" s="2549">
        <f t="shared" ca="1" si="7"/>
        <v>8.620785716286819E-2</v>
      </c>
      <c r="AZ36" s="2690"/>
      <c r="BA36" s="504"/>
      <c r="BB36" s="2549">
        <f ca="1">IFERROR(BB35/BB14,0)</f>
        <v>8.686655631057949E-2</v>
      </c>
      <c r="BC36" s="2549">
        <f ca="1">IFERROR(BC35/BC14,0)</f>
        <v>0</v>
      </c>
      <c r="BD36" s="2549">
        <f t="shared" ca="1" si="8"/>
        <v>8.686655631057949E-2</v>
      </c>
      <c r="BE36" s="2690"/>
      <c r="BF36" s="2549">
        <f ca="1">IFERROR(BF35/BF14,0)</f>
        <v>0.32664450743488171</v>
      </c>
      <c r="BG36" s="2549">
        <f t="shared" ca="1" si="9"/>
        <v>-0.23977795112430222</v>
      </c>
      <c r="BH36" s="2690"/>
    </row>
    <row r="37" spans="1:60" ht="14.5">
      <c r="A37" s="616">
        <f t="shared" si="1"/>
        <v>34</v>
      </c>
      <c r="B37" s="616">
        <v>1</v>
      </c>
      <c r="C37" s="616">
        <f t="shared" si="2"/>
        <v>34</v>
      </c>
      <c r="E37" s="2547">
        <v>1</v>
      </c>
      <c r="Q37" s="1772" t="str">
        <f>CHOOSE(2, "6722000002956", "▷ Blank 1")</f>
        <v>▷ Blank 1</v>
      </c>
      <c r="R37" s="2557"/>
      <c r="AA37" s="2558"/>
      <c r="AB37" s="2558"/>
      <c r="AC37" s="2558"/>
      <c r="AD37" s="2558"/>
      <c r="AE37" s="2558"/>
      <c r="AF37" s="2558"/>
      <c r="AG37" s="2558"/>
      <c r="AH37" s="2558"/>
      <c r="AI37" s="2558"/>
      <c r="AJ37" s="2559"/>
      <c r="AL37" s="2558"/>
      <c r="AM37" s="2558"/>
      <c r="AN37" s="2558"/>
      <c r="AO37" s="2558"/>
      <c r="AP37" s="2558"/>
      <c r="AQ37" s="2558"/>
      <c r="AR37" s="2558"/>
      <c r="AT37" s="2558"/>
      <c r="AU37" s="2558"/>
      <c r="AV37" s="2558"/>
      <c r="AW37" s="2558"/>
      <c r="AX37" s="2558"/>
      <c r="AY37" s="2558"/>
      <c r="AZ37" s="2558"/>
      <c r="BB37" s="2558"/>
      <c r="BC37" s="2558"/>
      <c r="BD37" s="2558"/>
      <c r="BE37" s="2558"/>
      <c r="BF37" s="2558"/>
      <c r="BG37" s="2558"/>
      <c r="BH37" s="2558"/>
    </row>
    <row r="38" spans="1:60" ht="14.5">
      <c r="A38" s="616">
        <f t="shared" si="1"/>
        <v>35</v>
      </c>
      <c r="B38" s="616">
        <v>1</v>
      </c>
      <c r="C38" s="616">
        <f t="shared" si="2"/>
        <v>35</v>
      </c>
      <c r="E38" s="2547">
        <v>1</v>
      </c>
      <c r="Q38" s="1772" t="str">
        <f>CHOOSE(2, "6722000002957", "▷ Blank 2")</f>
        <v>▷ Blank 2</v>
      </c>
      <c r="R38" s="2557"/>
      <c r="AA38" s="2558"/>
      <c r="AB38" s="2558"/>
      <c r="AC38" s="2558"/>
      <c r="AD38" s="2558"/>
      <c r="AE38" s="2558"/>
      <c r="AF38" s="2558"/>
      <c r="AG38" s="2558"/>
      <c r="AH38" s="2558"/>
      <c r="AI38" s="2558"/>
      <c r="AJ38" s="2559"/>
      <c r="AL38" s="2558"/>
      <c r="AM38" s="2558"/>
      <c r="AN38" s="2558"/>
      <c r="AO38" s="2558"/>
      <c r="AP38" s="2558"/>
      <c r="AQ38" s="2558"/>
      <c r="AR38" s="2558"/>
      <c r="AT38" s="2558"/>
      <c r="AU38" s="2558"/>
      <c r="AV38" s="2558"/>
      <c r="AW38" s="2558"/>
      <c r="AX38" s="2558"/>
      <c r="AY38" s="2558"/>
      <c r="AZ38" s="2558"/>
      <c r="BB38" s="2558"/>
      <c r="BC38" s="2558"/>
      <c r="BD38" s="2558"/>
      <c r="BE38" s="2558"/>
      <c r="BF38" s="2558"/>
      <c r="BG38" s="2558"/>
      <c r="BH38" s="2558"/>
    </row>
    <row r="39" spans="1:60" s="69" customFormat="1" ht="15.5">
      <c r="A39" s="616">
        <f t="shared" si="1"/>
        <v>36</v>
      </c>
      <c r="B39" s="616">
        <v>1</v>
      </c>
      <c r="C39" s="616">
        <f t="shared" si="2"/>
        <v>36</v>
      </c>
      <c r="E39" s="2547">
        <v>1</v>
      </c>
      <c r="G39" s="243" t="s">
        <v>25</v>
      </c>
      <c r="I39" s="27"/>
      <c r="K39" s="22"/>
      <c r="L39" s="22"/>
      <c r="Q39" s="1780" t="str">
        <f>CHOOSE(2, "6722000002958", "1-2.SGA Expenses Details")</f>
        <v>1-2.SGA Expenses Details</v>
      </c>
      <c r="R39" s="1125"/>
      <c r="S39" s="1366"/>
      <c r="T39" s="1366"/>
      <c r="U39" s="1366"/>
      <c r="V39" s="1366"/>
      <c r="W39" s="1366"/>
      <c r="X39" s="1366"/>
      <c r="Y39" s="1366"/>
      <c r="Z39" s="1366"/>
      <c r="AA39" s="1242"/>
      <c r="AB39" s="1242"/>
      <c r="AC39" s="1242"/>
      <c r="AD39" s="1242"/>
      <c r="AE39" s="1242"/>
      <c r="AF39" s="1242"/>
      <c r="AG39" s="1242"/>
      <c r="AH39" s="1242"/>
      <c r="AI39" s="1242"/>
      <c r="AJ39" s="608"/>
      <c r="AL39" s="1242"/>
      <c r="AM39" s="1242"/>
      <c r="AN39" s="1242"/>
      <c r="AO39" s="1242"/>
      <c r="AP39" s="1242"/>
      <c r="AQ39" s="1242"/>
      <c r="AR39" s="1242"/>
      <c r="AT39" s="1242"/>
      <c r="AU39" s="1242"/>
      <c r="AV39" s="1242"/>
      <c r="AW39" s="1242"/>
      <c r="AX39" s="1242"/>
      <c r="AY39" s="1242"/>
      <c r="AZ39" s="1242"/>
      <c r="BB39" s="1242"/>
      <c r="BC39" s="1242"/>
      <c r="BD39" s="1242"/>
      <c r="BE39" s="1242"/>
      <c r="BF39" s="1242"/>
      <c r="BG39" s="1242"/>
      <c r="BH39" s="1242"/>
    </row>
    <row r="40" spans="1:60" ht="14.5">
      <c r="A40" s="616">
        <f t="shared" si="1"/>
        <v>37</v>
      </c>
      <c r="B40" s="616">
        <v>1</v>
      </c>
      <c r="C40" s="616">
        <f t="shared" si="2"/>
        <v>37</v>
      </c>
      <c r="E40" s="2547">
        <v>1</v>
      </c>
      <c r="I40" s="1915" t="s">
        <v>63</v>
      </c>
      <c r="J40" s="1475"/>
      <c r="K40" s="1916"/>
      <c r="L40" s="1916"/>
      <c r="M40" s="1475"/>
      <c r="N40" s="1475"/>
      <c r="O40" s="1475"/>
      <c r="P40" s="1475"/>
      <c r="Q40" s="1777" t="str">
        <f>CHOOSE(2, "6722000002959", "SGA Variable Expenses")</f>
        <v>SGA Variable Expenses</v>
      </c>
      <c r="R40" s="3037">
        <f>SUM(R41:R43)</f>
        <v>61662</v>
      </c>
      <c r="S40" s="3037">
        <f t="shared" ref="S40:AJ40" si="49">SUM(S41:S43)</f>
        <v>49533</v>
      </c>
      <c r="T40" s="3037">
        <f t="shared" si="49"/>
        <v>47765</v>
      </c>
      <c r="U40" s="3037">
        <f t="shared" si="49"/>
        <v>67759</v>
      </c>
      <c r="V40" s="3037">
        <f t="shared" si="49"/>
        <v>73732.578139999998</v>
      </c>
      <c r="W40" s="3037">
        <f t="shared" si="49"/>
        <v>50381.11937</v>
      </c>
      <c r="X40" s="3037">
        <f t="shared" si="49"/>
        <v>42778.496050000002</v>
      </c>
      <c r="Y40" s="3037">
        <f t="shared" si="49"/>
        <v>54978.632440000001</v>
      </c>
      <c r="Z40" s="3037">
        <f t="shared" si="49"/>
        <v>73294.403699999995</v>
      </c>
      <c r="AA40" s="3037">
        <f t="shared" si="49"/>
        <v>85193.172939999989</v>
      </c>
      <c r="AB40" s="3037">
        <f t="shared" si="49"/>
        <v>80848.992889999994</v>
      </c>
      <c r="AC40" s="3038">
        <f t="shared" si="49"/>
        <v>-4031.786569999982</v>
      </c>
      <c r="AD40" s="3067">
        <f t="shared" si="49"/>
        <v>158960</v>
      </c>
      <c r="AE40" s="3038">
        <f t="shared" si="49"/>
        <v>191872.69750999997</v>
      </c>
      <c r="AF40" s="3038">
        <f t="shared" si="49"/>
        <v>171051.53219</v>
      </c>
      <c r="AG40" s="3038">
        <f t="shared" si="49"/>
        <v>162010.37925999999</v>
      </c>
      <c r="AH40" s="3038">
        <f t="shared" si="49"/>
        <v>350832.69750999997</v>
      </c>
      <c r="AI40" s="3038">
        <f t="shared" si="49"/>
        <v>333061.91145000001</v>
      </c>
      <c r="AJ40" s="3038">
        <f t="shared" si="49"/>
        <v>683894.60895999998</v>
      </c>
      <c r="AL40" s="3038">
        <f ca="1">SUM((INDIRECT(AL$2&amp;(ROW())):INDIRECT(AL$3&amp;(ROW()))))</f>
        <v>-4031.786569999982</v>
      </c>
      <c r="AM40" s="3038">
        <f ca="1">SUM(INDIRECT(AM$1&amp;AM$2&amp;$C40):INDIRECT(AM$1&amp;AM$3&amp;$C40))</f>
        <v>0</v>
      </c>
      <c r="AN40" s="3068">
        <f t="shared" ref="AN40:AN54" ca="1" si="50">AL40-AM40</f>
        <v>-4031.786569999982</v>
      </c>
      <c r="AO40" s="2704">
        <f t="shared" ref="AO40:AO54" ca="1" si="51">IFERROR(AL40/AM40,0)</f>
        <v>0</v>
      </c>
      <c r="AP40" s="3038">
        <f ca="1">SUM(INDIRECT(AP$1&amp;AP$2&amp;$A40):INDIRECT(AP$1&amp;AP$3&amp;$A40))+SUM(INDIRECT(AP$1&amp;AP$2&amp;$B40):INDIRECT(AP$1&amp;AP$3&amp;$B40))</f>
        <v>0</v>
      </c>
      <c r="AQ40" s="3068">
        <f t="shared" ref="AQ40:AQ54" ca="1" si="52">AL40-AP40</f>
        <v>-4031.786569999982</v>
      </c>
      <c r="AR40" s="2704">
        <f t="shared" ref="AR40:AR54" ca="1" si="53">IFERROR(AL40/AP40,0)</f>
        <v>0</v>
      </c>
      <c r="AT40" s="3038">
        <f ca="1">SUM((INDIRECT(AT$2&amp;(ROW())):INDIRECT(AT$3&amp;(ROW()))))</f>
        <v>162010.37926000002</v>
      </c>
      <c r="AU40" s="3038">
        <f ca="1">SUM(INDIRECT(AU$1&amp;AU$2&amp;$C40):INDIRECT(AU$1&amp;AU$3&amp;$C40))</f>
        <v>0</v>
      </c>
      <c r="AV40" s="3068">
        <f t="shared" ref="AV40:AV54" ca="1" si="54">AT40-AU40</f>
        <v>162010.37926000002</v>
      </c>
      <c r="AW40" s="2704">
        <f t="shared" ref="AW40:AW54" ca="1" si="55">IFERROR(AT40/AU40,0)</f>
        <v>0</v>
      </c>
      <c r="AX40" s="3038">
        <f ca="1">SUM(INDIRECT(AX$1&amp;AX$2&amp;$A40):INDIRECT(AX$1&amp;AX$3&amp;$A40))+SUM(INDIRECT(AX$1&amp;AX$2&amp;$B40):INDIRECT(AX$1&amp;AX$3&amp;$B40))</f>
        <v>0</v>
      </c>
      <c r="AY40" s="3068">
        <f t="shared" ref="AY40:AY54" ca="1" si="56">AT40-AX40</f>
        <v>162010.37926000002</v>
      </c>
      <c r="AZ40" s="2704">
        <f t="shared" ref="AZ40:AZ54" ca="1" si="57">IFERROR(AT40/AX40,0)</f>
        <v>0</v>
      </c>
      <c r="BB40" s="3038">
        <f ca="1">SUM((INDIRECT(BB$2&amp;(ROW())):INDIRECT(BB$3&amp;(ROW()))))</f>
        <v>683894.60895999998</v>
      </c>
      <c r="BC40" s="3038">
        <f ca="1">SUM(INDIRECT(BC$1&amp;BC$2&amp;$C40):INDIRECT(BC$1&amp;BC$3&amp;$C40))</f>
        <v>0</v>
      </c>
      <c r="BD40" s="3068">
        <f t="shared" ref="BD40:BD54" ca="1" si="58">BB40-BC40</f>
        <v>683894.60895999998</v>
      </c>
      <c r="BE40" s="2704">
        <f t="shared" ref="BE40:BE54" ca="1" si="59">IFERROR(BB40/BC40,0)</f>
        <v>0</v>
      </c>
      <c r="BF40" s="3038">
        <f ca="1">SUM(INDIRECT(BF$1&amp;BF$2&amp;$A40):INDIRECT(BF$1&amp;BF$3&amp;$A40))+SUM(INDIRECT(BF$1&amp;BF$2&amp;$B40):INDIRECT(BF$1&amp;BF$3&amp;$B40))</f>
        <v>0</v>
      </c>
      <c r="BG40" s="3068">
        <f t="shared" ref="BG40:BG54" ca="1" si="60">BB40-BF40</f>
        <v>683894.60895999998</v>
      </c>
      <c r="BH40" s="2704">
        <f t="shared" ref="BH40:BH54" ca="1" si="61">IFERROR(BB40/BF40,0)</f>
        <v>0</v>
      </c>
    </row>
    <row r="41" spans="1:60" ht="14.5">
      <c r="A41" s="616">
        <f t="shared" si="1"/>
        <v>38</v>
      </c>
      <c r="B41" s="616">
        <v>1</v>
      </c>
      <c r="C41" s="616">
        <f t="shared" si="2"/>
        <v>38</v>
      </c>
      <c r="E41" s="2547">
        <v>1</v>
      </c>
      <c r="I41" s="172"/>
      <c r="J41" s="8" t="s">
        <v>1341</v>
      </c>
      <c r="Q41" s="1781" t="str">
        <f>CHOOSE(2, "6722000002960", "SGA Variable Expenses Selling Expenses")</f>
        <v>SGA Variable Expenses Selling Expenses</v>
      </c>
      <c r="R41" s="1298">
        <v>29184</v>
      </c>
      <c r="S41" s="1298">
        <v>18272</v>
      </c>
      <c r="T41" s="1298">
        <v>11408</v>
      </c>
      <c r="U41" s="1298">
        <v>33576</v>
      </c>
      <c r="V41" s="1298">
        <v>38673.368139999999</v>
      </c>
      <c r="W41" s="1298">
        <v>12300.234039999999</v>
      </c>
      <c r="X41" s="1298">
        <v>10235.108050000001</v>
      </c>
      <c r="Y41" s="1298">
        <v>20877.246110000007</v>
      </c>
      <c r="Z41" s="1298">
        <v>34703.553420000004</v>
      </c>
      <c r="AA41" s="1298">
        <v>48987.030589999988</v>
      </c>
      <c r="AB41" s="1298">
        <v>44262.684480000004</v>
      </c>
      <c r="AC41" s="1281">
        <v>-82987.152269999977</v>
      </c>
      <c r="AD41" s="3069">
        <f>SUM(R41,S41,T41)</f>
        <v>58864</v>
      </c>
      <c r="AE41" s="3070">
        <f t="shared" ref="AE41:AE43" si="62">SUM(U41,V41,W41)</f>
        <v>84549.602180000002</v>
      </c>
      <c r="AF41" s="3070">
        <f t="shared" ref="AF41:AF43" si="63">SUM(X41,Y41,Z41)</f>
        <v>65815.907580000014</v>
      </c>
      <c r="AG41" s="3070">
        <f t="shared" ref="AG41:AG43" si="64">SUM(AA41,AB41,AC41)</f>
        <v>10262.562800000014</v>
      </c>
      <c r="AH41" s="3070">
        <f>AD41+AE41</f>
        <v>143413.60217999999</v>
      </c>
      <c r="AI41" s="3070">
        <f>AG41+AF41</f>
        <v>76078.470380000028</v>
      </c>
      <c r="AJ41" s="3070">
        <f>AH41+AI41</f>
        <v>219492.07256</v>
      </c>
      <c r="AL41" s="3070">
        <f ca="1">SUM((INDIRECT(AL$2&amp;(ROW())):INDIRECT(AL$3&amp;(ROW()))))</f>
        <v>-82987.152269999977</v>
      </c>
      <c r="AM41" s="3070">
        <f ca="1">SUM(INDIRECT(AM$1&amp;AM$2&amp;$C41):INDIRECT(AM$1&amp;AM$3&amp;$C41))</f>
        <v>0</v>
      </c>
      <c r="AN41" s="3071">
        <f t="shared" ca="1" si="50"/>
        <v>-82987.152269999977</v>
      </c>
      <c r="AO41" s="2706">
        <f t="shared" ca="1" si="51"/>
        <v>0</v>
      </c>
      <c r="AP41" s="3070">
        <f ca="1">SUM(INDIRECT(AP$1&amp;AP$2&amp;$A41):INDIRECT(AP$1&amp;AP$3&amp;$A41))+SUM(INDIRECT(AP$1&amp;AP$2&amp;$B41):INDIRECT(AP$1&amp;AP$3&amp;$B41))</f>
        <v>0</v>
      </c>
      <c r="AQ41" s="3071">
        <f t="shared" ca="1" si="52"/>
        <v>-82987.152269999977</v>
      </c>
      <c r="AR41" s="2706">
        <f t="shared" ca="1" si="53"/>
        <v>0</v>
      </c>
      <c r="AT41" s="3070">
        <f ca="1">SUM((INDIRECT(AT$2&amp;(ROW())):INDIRECT(AT$3&amp;(ROW()))))</f>
        <v>10262.562800000014</v>
      </c>
      <c r="AU41" s="3070">
        <f ca="1">SUM(INDIRECT(AU$1&amp;AU$2&amp;$C41):INDIRECT(AU$1&amp;AU$3&amp;$C41))</f>
        <v>0</v>
      </c>
      <c r="AV41" s="3071">
        <f t="shared" ca="1" si="54"/>
        <v>10262.562800000014</v>
      </c>
      <c r="AW41" s="2706">
        <f t="shared" ca="1" si="55"/>
        <v>0</v>
      </c>
      <c r="AX41" s="3070">
        <f ca="1">SUM(INDIRECT(AX$1&amp;AX$2&amp;$A41):INDIRECT(AX$1&amp;AX$3&amp;$A41))+SUM(INDIRECT(AX$1&amp;AX$2&amp;$B41):INDIRECT(AX$1&amp;AX$3&amp;$B41))</f>
        <v>0</v>
      </c>
      <c r="AY41" s="3071">
        <f t="shared" ca="1" si="56"/>
        <v>10262.562800000014</v>
      </c>
      <c r="AZ41" s="2706">
        <f t="shared" ca="1" si="57"/>
        <v>0</v>
      </c>
      <c r="BB41" s="3070">
        <f ca="1">SUM((INDIRECT(BB$2&amp;(ROW())):INDIRECT(BB$3&amp;(ROW()))))</f>
        <v>219492.07256000006</v>
      </c>
      <c r="BC41" s="3070">
        <f ca="1">SUM(INDIRECT(BC$1&amp;BC$2&amp;$C41):INDIRECT(BC$1&amp;BC$3&amp;$C41))</f>
        <v>0</v>
      </c>
      <c r="BD41" s="3071">
        <f t="shared" ca="1" si="58"/>
        <v>219492.07256000006</v>
      </c>
      <c r="BE41" s="2706">
        <f t="shared" ca="1" si="59"/>
        <v>0</v>
      </c>
      <c r="BF41" s="3070">
        <f ca="1">SUM(INDIRECT(BF$1&amp;BF$2&amp;$A41):INDIRECT(BF$1&amp;BF$3&amp;$A41))+SUM(INDIRECT(BF$1&amp;BF$2&amp;$B41):INDIRECT(BF$1&amp;BF$3&amp;$B41))</f>
        <v>0</v>
      </c>
      <c r="BG41" s="3071">
        <f t="shared" ca="1" si="60"/>
        <v>219492.07256000006</v>
      </c>
      <c r="BH41" s="2706">
        <f t="shared" ca="1" si="61"/>
        <v>0</v>
      </c>
    </row>
    <row r="42" spans="1:60" ht="14.5">
      <c r="A42" s="616">
        <f t="shared" si="1"/>
        <v>39</v>
      </c>
      <c r="B42" s="616">
        <v>1</v>
      </c>
      <c r="C42" s="616">
        <f t="shared" si="2"/>
        <v>39</v>
      </c>
      <c r="E42" s="2547">
        <v>1</v>
      </c>
      <c r="I42" s="172"/>
      <c r="J42" s="8" t="s">
        <v>1342</v>
      </c>
      <c r="Q42" s="1781" t="str">
        <f>CHOOSE(2, "6722000002961", "SGA Variable Expenses Adverting Expenses")</f>
        <v>SGA Variable Expenses Adverting Expenses</v>
      </c>
      <c r="R42" s="1298">
        <v>3470</v>
      </c>
      <c r="S42" s="1298">
        <v>492</v>
      </c>
      <c r="T42" s="1298">
        <v>3349</v>
      </c>
      <c r="U42" s="1298">
        <v>971</v>
      </c>
      <c r="V42" s="1298">
        <v>754.53</v>
      </c>
      <c r="W42" s="1298">
        <v>2837.98533</v>
      </c>
      <c r="X42" s="1298">
        <v>837.79718000000003</v>
      </c>
      <c r="Y42" s="1298">
        <v>808.55200000000002</v>
      </c>
      <c r="Z42" s="1298">
        <v>2908.43028</v>
      </c>
      <c r="AA42" s="1298">
        <v>1874.3023500000002</v>
      </c>
      <c r="AB42" s="1298">
        <v>849.59840999999994</v>
      </c>
      <c r="AC42" s="1281">
        <v>41904.019930000002</v>
      </c>
      <c r="AD42" s="88">
        <f>SUM(R42,S42,T42)</f>
        <v>7311</v>
      </c>
      <c r="AE42" s="17">
        <f t="shared" si="62"/>
        <v>4563.5153300000002</v>
      </c>
      <c r="AF42" s="17">
        <f t="shared" si="63"/>
        <v>4554.7794599999997</v>
      </c>
      <c r="AG42" s="17">
        <f t="shared" si="64"/>
        <v>44627.920689999999</v>
      </c>
      <c r="AH42" s="17">
        <f>AD42+AE42</f>
        <v>11874.51533</v>
      </c>
      <c r="AI42" s="17">
        <f>AG42+AF42</f>
        <v>49182.700149999997</v>
      </c>
      <c r="AJ42" s="17">
        <f>AH42+AI42</f>
        <v>61057.215479999999</v>
      </c>
      <c r="AL42" s="17">
        <f ca="1">SUM((INDIRECT(AL$2&amp;(ROW())):INDIRECT(AL$3&amp;(ROW()))))</f>
        <v>41904.019930000002</v>
      </c>
      <c r="AM42" s="17">
        <f ca="1">SUM(INDIRECT(AM$1&amp;AM$2&amp;$C42):INDIRECT(AM$1&amp;AM$3&amp;$C42))</f>
        <v>0</v>
      </c>
      <c r="AN42" s="3072">
        <f t="shared" ca="1" si="50"/>
        <v>41904.019930000002</v>
      </c>
      <c r="AO42" s="2708">
        <f t="shared" ca="1" si="51"/>
        <v>0</v>
      </c>
      <c r="AP42" s="17">
        <f ca="1">SUM(INDIRECT(AP$1&amp;AP$2&amp;$A42):INDIRECT(AP$1&amp;AP$3&amp;$A42))+SUM(INDIRECT(AP$1&amp;AP$2&amp;$B42):INDIRECT(AP$1&amp;AP$3&amp;$B42))</f>
        <v>0</v>
      </c>
      <c r="AQ42" s="3072">
        <f t="shared" ca="1" si="52"/>
        <v>41904.019930000002</v>
      </c>
      <c r="AR42" s="2708">
        <f t="shared" ca="1" si="53"/>
        <v>0</v>
      </c>
      <c r="AT42" s="17">
        <f ca="1">SUM((INDIRECT(AT$2&amp;(ROW())):INDIRECT(AT$3&amp;(ROW()))))</f>
        <v>44627.920689999999</v>
      </c>
      <c r="AU42" s="17">
        <f ca="1">SUM(INDIRECT(AU$1&amp;AU$2&amp;$C42):INDIRECT(AU$1&amp;AU$3&amp;$C42))</f>
        <v>0</v>
      </c>
      <c r="AV42" s="3072">
        <f t="shared" ca="1" si="54"/>
        <v>44627.920689999999</v>
      </c>
      <c r="AW42" s="2708">
        <f t="shared" ca="1" si="55"/>
        <v>0</v>
      </c>
      <c r="AX42" s="17">
        <f ca="1">SUM(INDIRECT(AX$1&amp;AX$2&amp;$A42):INDIRECT(AX$1&amp;AX$3&amp;$A42))+SUM(INDIRECT(AX$1&amp;AX$2&amp;$B42):INDIRECT(AX$1&amp;AX$3&amp;$B42))</f>
        <v>0</v>
      </c>
      <c r="AY42" s="3072">
        <f t="shared" ca="1" si="56"/>
        <v>44627.920689999999</v>
      </c>
      <c r="AZ42" s="2708">
        <f t="shared" ca="1" si="57"/>
        <v>0</v>
      </c>
      <c r="BB42" s="17">
        <f ca="1">SUM((INDIRECT(BB$2&amp;(ROW())):INDIRECT(BB$3&amp;(ROW()))))</f>
        <v>61057.215479999999</v>
      </c>
      <c r="BC42" s="17">
        <f ca="1">SUM(INDIRECT(BC$1&amp;BC$2&amp;$C42):INDIRECT(BC$1&amp;BC$3&amp;$C42))</f>
        <v>0</v>
      </c>
      <c r="BD42" s="3072">
        <f t="shared" ca="1" si="58"/>
        <v>61057.215479999999</v>
      </c>
      <c r="BE42" s="2708">
        <f t="shared" ca="1" si="59"/>
        <v>0</v>
      </c>
      <c r="BF42" s="17">
        <f ca="1">SUM(INDIRECT(BF$1&amp;BF$2&amp;$A42):INDIRECT(BF$1&amp;BF$3&amp;$A42))+SUM(INDIRECT(BF$1&amp;BF$2&amp;$B42):INDIRECT(BF$1&amp;BF$3&amp;$B42))</f>
        <v>0</v>
      </c>
      <c r="BG42" s="3072">
        <f t="shared" ca="1" si="60"/>
        <v>61057.215479999999</v>
      </c>
      <c r="BH42" s="2708">
        <f t="shared" ca="1" si="61"/>
        <v>0</v>
      </c>
    </row>
    <row r="43" spans="1:60" ht="14.5">
      <c r="A43" s="616">
        <f t="shared" si="1"/>
        <v>40</v>
      </c>
      <c r="B43" s="616">
        <v>1</v>
      </c>
      <c r="C43" s="616">
        <f t="shared" si="2"/>
        <v>40</v>
      </c>
      <c r="E43" s="2547">
        <v>1</v>
      </c>
      <c r="I43" s="172"/>
      <c r="J43" s="8" t="s">
        <v>1343</v>
      </c>
      <c r="Q43" s="1781" t="str">
        <f>CHOOSE(2, "6722000002962", "SGA Variable Expenses Logistics Expense")</f>
        <v>SGA Variable Expenses Logistics Expense</v>
      </c>
      <c r="R43" s="1298">
        <v>29008</v>
      </c>
      <c r="S43" s="1298">
        <v>30769</v>
      </c>
      <c r="T43" s="1298">
        <v>33008</v>
      </c>
      <c r="U43" s="1298">
        <v>33212</v>
      </c>
      <c r="V43" s="1298">
        <v>34304.68</v>
      </c>
      <c r="W43" s="1298">
        <v>35242.9</v>
      </c>
      <c r="X43" s="1298">
        <v>31705.590820000001</v>
      </c>
      <c r="Y43" s="1298">
        <v>33292.834329999991</v>
      </c>
      <c r="Z43" s="1298">
        <v>35682.42</v>
      </c>
      <c r="AA43" s="1298">
        <v>34331.839999999997</v>
      </c>
      <c r="AB43" s="1298">
        <v>35736.71</v>
      </c>
      <c r="AC43" s="1281">
        <v>37051.345769999993</v>
      </c>
      <c r="AD43" s="87">
        <f>SUM(R43,S43,T43)</f>
        <v>92785</v>
      </c>
      <c r="AE43" s="15">
        <f t="shared" si="62"/>
        <v>102759.57999999999</v>
      </c>
      <c r="AF43" s="15">
        <f t="shared" si="63"/>
        <v>100680.84514999999</v>
      </c>
      <c r="AG43" s="15">
        <f t="shared" si="64"/>
        <v>107119.89576999997</v>
      </c>
      <c r="AH43" s="15">
        <f>AD43+AE43</f>
        <v>195544.58</v>
      </c>
      <c r="AI43" s="15">
        <f>AG43+AF43</f>
        <v>207800.74091999995</v>
      </c>
      <c r="AJ43" s="15">
        <f>AH43+AI43</f>
        <v>403345.32091999997</v>
      </c>
      <c r="AL43" s="15">
        <f ca="1">SUM((INDIRECT(AL$2&amp;(ROW())):INDIRECT(AL$3&amp;(ROW()))))</f>
        <v>37051.345769999993</v>
      </c>
      <c r="AM43" s="15">
        <f ca="1">SUM(INDIRECT(AM$1&amp;AM$2&amp;$C43):INDIRECT(AM$1&amp;AM$3&amp;$C43))</f>
        <v>53255.878649526909</v>
      </c>
      <c r="AN43" s="3073">
        <f t="shared" ca="1" si="50"/>
        <v>-16204.532879526916</v>
      </c>
      <c r="AO43" s="2710">
        <f t="shared" ca="1" si="51"/>
        <v>0.69572311469748205</v>
      </c>
      <c r="AP43" s="15">
        <f ca="1">SUM(INDIRECT(AP$1&amp;AP$2&amp;$A43):INDIRECT(AP$1&amp;AP$3&amp;$A43))+SUM(INDIRECT(AP$1&amp;AP$2&amp;$B43):INDIRECT(AP$1&amp;AP$3&amp;$B43))</f>
        <v>80848.992889999994</v>
      </c>
      <c r="AQ43" s="3073">
        <f t="shared" ca="1" si="52"/>
        <v>-43797.647120000001</v>
      </c>
      <c r="AR43" s="2710">
        <f t="shared" ca="1" si="53"/>
        <v>0.45827838350949673</v>
      </c>
      <c r="AT43" s="15">
        <f ca="1">SUM((INDIRECT(AT$2&amp;(ROW())):INDIRECT(AT$3&amp;(ROW()))))</f>
        <v>107119.89576999997</v>
      </c>
      <c r="AU43" s="15">
        <f ca="1">SUM(INDIRECT(AU$1&amp;AU$2&amp;$C43):INDIRECT(AU$1&amp;AU$3&amp;$C43))</f>
        <v>153566.61890077972</v>
      </c>
      <c r="AV43" s="3073">
        <f t="shared" ca="1" si="54"/>
        <v>-46446.723130779748</v>
      </c>
      <c r="AW43" s="2710">
        <f t="shared" ca="1" si="55"/>
        <v>0.69754674900546421</v>
      </c>
      <c r="AX43" s="15">
        <f ca="1">SUM(INDIRECT(AX$1&amp;AX$2&amp;$A43):INDIRECT(AX$1&amp;AX$3&amp;$A43))+SUM(INDIRECT(AX$1&amp;AX$2&amp;$B43):INDIRECT(AX$1&amp;AX$3&amp;$B43))</f>
        <v>239336.56952999998</v>
      </c>
      <c r="AY43" s="3073">
        <f t="shared" ca="1" si="56"/>
        <v>-132216.67376000001</v>
      </c>
      <c r="AZ43" s="2710">
        <f t="shared" ca="1" si="57"/>
        <v>0.4475701142552429</v>
      </c>
      <c r="BB43" s="15">
        <f ca="1">SUM((INDIRECT(BB$2&amp;(ROW())):INDIRECT(BB$3&amp;(ROW()))))</f>
        <v>403345.32092000003</v>
      </c>
      <c r="BC43" s="15">
        <f ca="1">SUM(INDIRECT(BC$1&amp;BC$2&amp;$C43):INDIRECT(BC$1&amp;BC$3&amp;$C43))</f>
        <v>280166.0719052389</v>
      </c>
      <c r="BD43" s="3073">
        <f t="shared" ca="1" si="58"/>
        <v>123179.24901476112</v>
      </c>
      <c r="BE43" s="2710">
        <f t="shared" ca="1" si="59"/>
        <v>1.4396651178249174</v>
      </c>
      <c r="BF43" s="15">
        <f ca="1">SUM(INDIRECT(BF$1&amp;BF$2&amp;$A43):INDIRECT(BF$1&amp;BF$3&amp;$A43))+SUM(INDIRECT(BF$1&amp;BF$2&amp;$B43):INDIRECT(BF$1&amp;BF$3&amp;$B43))</f>
        <v>687926.39552999998</v>
      </c>
      <c r="BG43" s="3073">
        <f t="shared" ca="1" si="60"/>
        <v>-284581.07460999995</v>
      </c>
      <c r="BH43" s="2710">
        <f t="shared" ca="1" si="61"/>
        <v>0.58632046035862628</v>
      </c>
    </row>
    <row r="44" spans="1:60" ht="14.5">
      <c r="A44" s="616">
        <f t="shared" si="1"/>
        <v>41</v>
      </c>
      <c r="B44" s="616">
        <v>1</v>
      </c>
      <c r="C44" s="616">
        <f t="shared" si="2"/>
        <v>41</v>
      </c>
      <c r="E44" s="2547">
        <v>1</v>
      </c>
      <c r="I44" s="1929" t="s">
        <v>1330</v>
      </c>
      <c r="J44" s="1475"/>
      <c r="K44" s="1916"/>
      <c r="L44" s="1916"/>
      <c r="M44" s="1475"/>
      <c r="N44" s="1475"/>
      <c r="O44" s="1475"/>
      <c r="P44" s="1475"/>
      <c r="Q44" s="1777" t="str">
        <f>CHOOSE(2, "6722000002963", "SGA Wages &amp; Salaries")</f>
        <v>SGA Wages &amp; Salaries</v>
      </c>
      <c r="R44" s="3037">
        <f>SUM(R45:R47)</f>
        <v>57774</v>
      </c>
      <c r="S44" s="3037">
        <f t="shared" ref="S44:AJ44" si="65">SUM(S45:S47)</f>
        <v>56593</v>
      </c>
      <c r="T44" s="3037">
        <f t="shared" si="65"/>
        <v>57778.432999999997</v>
      </c>
      <c r="U44" s="3037">
        <f t="shared" si="65"/>
        <v>54815.107739999999</v>
      </c>
      <c r="V44" s="3037">
        <f t="shared" si="65"/>
        <v>57126.27</v>
      </c>
      <c r="W44" s="3037">
        <f t="shared" si="65"/>
        <v>61330.030000000006</v>
      </c>
      <c r="X44" s="3037">
        <f t="shared" si="65"/>
        <v>88176.45</v>
      </c>
      <c r="Y44" s="3037">
        <f t="shared" si="65"/>
        <v>66066.114000000001</v>
      </c>
      <c r="Z44" s="3037">
        <f t="shared" si="65"/>
        <v>68140.902099999992</v>
      </c>
      <c r="AA44" s="3037">
        <f t="shared" si="65"/>
        <v>65666.001000000004</v>
      </c>
      <c r="AB44" s="3037">
        <f t="shared" si="65"/>
        <v>63322.265999999996</v>
      </c>
      <c r="AC44" s="3038">
        <f t="shared" si="65"/>
        <v>55750.8968456277</v>
      </c>
      <c r="AD44" s="3067">
        <f t="shared" si="65"/>
        <v>172145.43299999999</v>
      </c>
      <c r="AE44" s="3038">
        <f t="shared" si="65"/>
        <v>173271.40774</v>
      </c>
      <c r="AF44" s="3038">
        <f t="shared" si="65"/>
        <v>222383.46609999999</v>
      </c>
      <c r="AG44" s="3038">
        <f t="shared" si="65"/>
        <v>184739.16384562771</v>
      </c>
      <c r="AH44" s="3038">
        <f t="shared" si="65"/>
        <v>345416.84074000001</v>
      </c>
      <c r="AI44" s="3038">
        <f t="shared" si="65"/>
        <v>407122.6299456277</v>
      </c>
      <c r="AJ44" s="3038">
        <f t="shared" si="65"/>
        <v>752539.47068562778</v>
      </c>
      <c r="AL44" s="3038">
        <f ca="1">SUM((INDIRECT(AL$2&amp;(ROW())):INDIRECT(AL$3&amp;(ROW()))))</f>
        <v>55750.8968456277</v>
      </c>
      <c r="AM44" s="3038">
        <f ca="1">SUM(INDIRECT(AM$1&amp;AM$2&amp;$C44):INDIRECT(AM$1&amp;AM$3&amp;$C44))</f>
        <v>16384.585716888112</v>
      </c>
      <c r="AN44" s="3068">
        <f t="shared" ca="1" si="50"/>
        <v>39366.311128739588</v>
      </c>
      <c r="AO44" s="2704">
        <f t="shared" ca="1" si="51"/>
        <v>3.4026430578689264</v>
      </c>
      <c r="AP44" s="3038">
        <f ca="1">SUM(INDIRECT(AP$1&amp;AP$2&amp;$A44):INDIRECT(AP$1&amp;AP$3&amp;$A44))+SUM(INDIRECT(AP$1&amp;AP$2&amp;$B44):INDIRECT(AP$1&amp;AP$3&amp;$B44))</f>
        <v>44262.684480000004</v>
      </c>
      <c r="AQ44" s="3068">
        <f t="shared" ca="1" si="52"/>
        <v>11488.212365627696</v>
      </c>
      <c r="AR44" s="2704">
        <f t="shared" ca="1" si="53"/>
        <v>1.2595462182330721</v>
      </c>
      <c r="AT44" s="3038">
        <f ca="1">SUM((INDIRECT(AT$2&amp;(ROW())):INDIRECT(AT$3&amp;(ROW()))))</f>
        <v>184739.16384562769</v>
      </c>
      <c r="AU44" s="3038">
        <f ca="1">SUM(INDIRECT(AU$1&amp;AU$2&amp;$C44):INDIRECT(AU$1&amp;AU$3&amp;$C44))</f>
        <v>47364.888475833453</v>
      </c>
      <c r="AV44" s="3068">
        <f t="shared" ca="1" si="54"/>
        <v>137374.27536979422</v>
      </c>
      <c r="AW44" s="2704">
        <f t="shared" ca="1" si="55"/>
        <v>3.9003398886896026</v>
      </c>
      <c r="AX44" s="3038">
        <f ca="1">SUM(INDIRECT(AX$1&amp;AX$2&amp;$A44):INDIRECT(AX$1&amp;AX$3&amp;$A44))+SUM(INDIRECT(AX$1&amp;AX$2&amp;$B44):INDIRECT(AX$1&amp;AX$3&amp;$B44))</f>
        <v>127953.26848999999</v>
      </c>
      <c r="AY44" s="3068">
        <f t="shared" ca="1" si="56"/>
        <v>56785.895355627697</v>
      </c>
      <c r="AZ44" s="2704">
        <f t="shared" ca="1" si="57"/>
        <v>1.4438018350431252</v>
      </c>
      <c r="BB44" s="3038">
        <f ca="1">SUM((INDIRECT(BB$2&amp;(ROW())):INDIRECT(BB$3&amp;(ROW()))))</f>
        <v>752539.47068562766</v>
      </c>
      <c r="BC44" s="3038">
        <f ca="1">SUM(INDIRECT(BC$1&amp;BC$2&amp;$C44):INDIRECT(BC$1&amp;BC$3&amp;$C44))</f>
        <v>92755.203087849135</v>
      </c>
      <c r="BD44" s="3068">
        <f t="shared" ca="1" si="58"/>
        <v>659784.26759777847</v>
      </c>
      <c r="BE44" s="2704">
        <f t="shared" ca="1" si="59"/>
        <v>8.1131779742090799</v>
      </c>
      <c r="BF44" s="3038">
        <f ca="1">SUM(INDIRECT(BF$1&amp;BF$2&amp;$A44):INDIRECT(BF$1&amp;BF$3&amp;$A44))+SUM(INDIRECT(BF$1&amp;BF$2&amp;$B44):INDIRECT(BF$1&amp;BF$3&amp;$B44))</f>
        <v>302479.22483000002</v>
      </c>
      <c r="BG44" s="3068">
        <f t="shared" ca="1" si="60"/>
        <v>450060.24585562764</v>
      </c>
      <c r="BH44" s="2704">
        <f t="shared" ca="1" si="61"/>
        <v>2.4879046523230528</v>
      </c>
    </row>
    <row r="45" spans="1:60" ht="14.5">
      <c r="A45" s="616">
        <f t="shared" si="1"/>
        <v>42</v>
      </c>
      <c r="B45" s="616">
        <v>1</v>
      </c>
      <c r="C45" s="616">
        <f t="shared" si="2"/>
        <v>42</v>
      </c>
      <c r="E45" s="2547">
        <v>1</v>
      </c>
      <c r="I45" s="56"/>
      <c r="J45" s="8" t="s">
        <v>1344</v>
      </c>
      <c r="Q45" s="1781" t="str">
        <f>CHOOSE(2, "6722000002964", "SGA Wages &amp; Salaries Variable Wages &amp; Salaries")</f>
        <v>SGA Wages &amp; Salaries Variable Wages &amp; Salaries</v>
      </c>
      <c r="R45" s="1298">
        <v>8793</v>
      </c>
      <c r="S45" s="1298">
        <v>6367</v>
      </c>
      <c r="T45" s="1298">
        <v>6645</v>
      </c>
      <c r="U45" s="1298">
        <v>5943</v>
      </c>
      <c r="V45" s="1298">
        <v>6480.5280000000002</v>
      </c>
      <c r="W45" s="1298">
        <v>6570.7890000000007</v>
      </c>
      <c r="X45" s="1298">
        <v>33442</v>
      </c>
      <c r="Y45" s="1298">
        <f>6637+8000</f>
        <v>14637</v>
      </c>
      <c r="Z45" s="1298">
        <v>12070.271999999999</v>
      </c>
      <c r="AA45" s="1298">
        <v>12883.630999999999</v>
      </c>
      <c r="AB45" s="1298">
        <v>10076.630999999999</v>
      </c>
      <c r="AC45" s="1281">
        <v>-1428.0319999999999</v>
      </c>
      <c r="AD45" s="3069">
        <f>SUM(R45,S45,T45)</f>
        <v>21805</v>
      </c>
      <c r="AE45" s="3070">
        <f t="shared" ref="AE45:AE47" si="66">SUM(U45,V45,W45)</f>
        <v>18994.317000000003</v>
      </c>
      <c r="AF45" s="3070">
        <f t="shared" ref="AF45:AF47" si="67">SUM(X45,Y45,Z45)</f>
        <v>60149.271999999997</v>
      </c>
      <c r="AG45" s="3070">
        <f t="shared" ref="AG45:AG47" si="68">SUM(AA45,AB45,AC45)</f>
        <v>21532.23</v>
      </c>
      <c r="AH45" s="3070">
        <f>AD45+AE45</f>
        <v>40799.317000000003</v>
      </c>
      <c r="AI45" s="3070">
        <f>AG45+AF45</f>
        <v>81681.501999999993</v>
      </c>
      <c r="AJ45" s="3070">
        <f>AH45+AI45</f>
        <v>122480.81899999999</v>
      </c>
      <c r="AL45" s="3070">
        <f ca="1">SUM((INDIRECT(AL$2&amp;(ROW())):INDIRECT(AL$3&amp;(ROW()))))</f>
        <v>-1428.0319999999999</v>
      </c>
      <c r="AM45" s="3070">
        <f ca="1">SUM(INDIRECT(AM$1&amp;AM$2&amp;$C45):INDIRECT(AM$1&amp;AM$3&amp;$C45))</f>
        <v>3644.2854549036347</v>
      </c>
      <c r="AN45" s="3071">
        <f t="shared" ca="1" si="50"/>
        <v>-5072.3174549036348</v>
      </c>
      <c r="AO45" s="2706">
        <f t="shared" ca="1" si="51"/>
        <v>-0.39185514353121964</v>
      </c>
      <c r="AP45" s="3070">
        <f ca="1">SUM(INDIRECT(AP$1&amp;AP$2&amp;$A45):INDIRECT(AP$1&amp;AP$3&amp;$A45))+SUM(INDIRECT(AP$1&amp;AP$2&amp;$B45):INDIRECT(AP$1&amp;AP$3&amp;$B45))</f>
        <v>849.59840999999994</v>
      </c>
      <c r="AQ45" s="3071">
        <f t="shared" ca="1" si="52"/>
        <v>-2277.6304099999998</v>
      </c>
      <c r="AR45" s="2706">
        <f t="shared" ca="1" si="53"/>
        <v>-1.6808317708598348</v>
      </c>
      <c r="AT45" s="3070">
        <f ca="1">SUM((INDIRECT(AT$2&amp;(ROW())):INDIRECT(AT$3&amp;(ROW()))))</f>
        <v>21532.23</v>
      </c>
      <c r="AU45" s="3070">
        <f ca="1">SUM(INDIRECT(AU$1&amp;AU$2&amp;$C45):INDIRECT(AU$1&amp;AU$3&amp;$C45))</f>
        <v>10534.973366320568</v>
      </c>
      <c r="AV45" s="3071">
        <f t="shared" ca="1" si="54"/>
        <v>10997.256633679432</v>
      </c>
      <c r="AW45" s="2706">
        <f t="shared" ca="1" si="55"/>
        <v>2.0438808197500284</v>
      </c>
      <c r="AX45" s="3070">
        <f ca="1">SUM(INDIRECT(AX$1&amp;AX$2&amp;$A45):INDIRECT(AX$1&amp;AX$3&amp;$A45))+SUM(INDIRECT(AX$1&amp;AX$2&amp;$B45):INDIRECT(AX$1&amp;AX$3&amp;$B45))</f>
        <v>5632.33104</v>
      </c>
      <c r="AY45" s="3071">
        <f t="shared" ca="1" si="56"/>
        <v>15899.898959999999</v>
      </c>
      <c r="AZ45" s="2706">
        <f t="shared" ca="1" si="57"/>
        <v>3.8229695390915799</v>
      </c>
      <c r="BB45" s="3070">
        <f ca="1">SUM((INDIRECT(BB$2&amp;(ROW())):INDIRECT(BB$3&amp;(ROW()))))</f>
        <v>122480.81899999997</v>
      </c>
      <c r="BC45" s="3070">
        <f ca="1">SUM(INDIRECT(BC$1&amp;BC$2&amp;$C45):INDIRECT(BC$1&amp;BC$3&amp;$C45))</f>
        <v>20630.758892564911</v>
      </c>
      <c r="BD45" s="3071">
        <f t="shared" ca="1" si="58"/>
        <v>101850.06010743507</v>
      </c>
      <c r="BE45" s="2706">
        <f t="shared" ca="1" si="59"/>
        <v>5.9368062822032526</v>
      </c>
      <c r="BF45" s="3070">
        <f ca="1">SUM(INDIRECT(BF$1&amp;BF$2&amp;$A45):INDIRECT(BF$1&amp;BF$3&amp;$A45))+SUM(INDIRECT(BF$1&amp;BF$2&amp;$B45):INDIRECT(BF$1&amp;BF$3&amp;$B45))</f>
        <v>19153.19555</v>
      </c>
      <c r="BG45" s="3071">
        <f t="shared" ca="1" si="60"/>
        <v>103327.62344999997</v>
      </c>
      <c r="BH45" s="2706">
        <f t="shared" ca="1" si="61"/>
        <v>6.3947981254752015</v>
      </c>
    </row>
    <row r="46" spans="1:60" ht="14.5">
      <c r="A46" s="616">
        <f t="shared" si="1"/>
        <v>43</v>
      </c>
      <c r="B46" s="616">
        <v>1</v>
      </c>
      <c r="C46" s="616">
        <f t="shared" si="2"/>
        <v>43</v>
      </c>
      <c r="E46" s="2547">
        <v>1</v>
      </c>
      <c r="I46" s="172"/>
      <c r="J46" s="8" t="s">
        <v>1345</v>
      </c>
      <c r="Q46" s="1781" t="str">
        <f>CHOOSE(2, "6722000002965", "SGA Wages &amp; Salaries Fixed Wages &amp; Salaries")</f>
        <v>SGA Wages &amp; Salaries Fixed Wages &amp; Salaries</v>
      </c>
      <c r="R46" s="1298">
        <v>45396</v>
      </c>
      <c r="S46" s="1298">
        <v>46738</v>
      </c>
      <c r="T46" s="1298">
        <v>47639.432999999997</v>
      </c>
      <c r="U46" s="1298">
        <v>47018.107739999999</v>
      </c>
      <c r="V46" s="1298">
        <v>47650.031999999999</v>
      </c>
      <c r="W46" s="1298">
        <v>51772.481</v>
      </c>
      <c r="X46" s="1298">
        <v>51362</v>
      </c>
      <c r="Y46" s="1298">
        <v>48339</v>
      </c>
      <c r="Z46" s="1298">
        <v>52987.470099999999</v>
      </c>
      <c r="AA46" s="1298">
        <v>49685</v>
      </c>
      <c r="AB46" s="1298">
        <v>50082.27</v>
      </c>
      <c r="AC46" s="1281">
        <v>57145.0748456277</v>
      </c>
      <c r="AD46" s="88">
        <f>SUM(R46,S46,T46)</f>
        <v>139773.43299999999</v>
      </c>
      <c r="AE46" s="17">
        <f t="shared" si="66"/>
        <v>146440.62073999998</v>
      </c>
      <c r="AF46" s="17">
        <f t="shared" si="67"/>
        <v>152688.47010000001</v>
      </c>
      <c r="AG46" s="17">
        <f t="shared" si="68"/>
        <v>156912.3448456277</v>
      </c>
      <c r="AH46" s="17">
        <f>AD46+AE46</f>
        <v>286214.05374</v>
      </c>
      <c r="AI46" s="17">
        <f>AG46+AF46</f>
        <v>309600.8149456277</v>
      </c>
      <c r="AJ46" s="17">
        <f>AH46+AI46</f>
        <v>595814.86868562771</v>
      </c>
      <c r="AL46" s="17">
        <f ca="1">SUM((INDIRECT(AL$2&amp;(ROW())):INDIRECT(AL$3&amp;(ROW()))))</f>
        <v>57145.0748456277</v>
      </c>
      <c r="AM46" s="17">
        <f ca="1">SUM(INDIRECT(AM$1&amp;AM$2&amp;$C46):INDIRECT(AM$1&amp;AM$3&amp;$C46))</f>
        <v>33227.007477735162</v>
      </c>
      <c r="AN46" s="3072">
        <f t="shared" ca="1" si="50"/>
        <v>23918.067367892538</v>
      </c>
      <c r="AO46" s="2708">
        <f t="shared" ca="1" si="51"/>
        <v>1.7198381432309129</v>
      </c>
      <c r="AP46" s="17">
        <f ca="1">SUM(INDIRECT(AP$1&amp;AP$2&amp;$A46):INDIRECT(AP$1&amp;AP$3&amp;$A46))+SUM(INDIRECT(AP$1&amp;AP$2&amp;$B46):INDIRECT(AP$1&amp;AP$3&amp;$B46))</f>
        <v>35736.71</v>
      </c>
      <c r="AQ46" s="3072">
        <f t="shared" ca="1" si="52"/>
        <v>21408.364845627701</v>
      </c>
      <c r="AR46" s="2708">
        <f t="shared" ca="1" si="53"/>
        <v>1.5990580790908762</v>
      </c>
      <c r="AT46" s="17">
        <f ca="1">SUM((INDIRECT(AT$2&amp;(ROW())):INDIRECT(AT$3&amp;(ROW()))))</f>
        <v>156912.3448456277</v>
      </c>
      <c r="AU46" s="17">
        <f ca="1">SUM(INDIRECT(AU$1&amp;AU$2&amp;$C46):INDIRECT(AU$1&amp;AU$3&amp;$C46))</f>
        <v>95666.757058625692</v>
      </c>
      <c r="AV46" s="3072">
        <f t="shared" ca="1" si="54"/>
        <v>61245.587787002005</v>
      </c>
      <c r="AW46" s="2708">
        <f t="shared" ca="1" si="55"/>
        <v>1.640197176846603</v>
      </c>
      <c r="AX46" s="17">
        <f ca="1">SUM(INDIRECT(AX$1&amp;AX$2&amp;$A46):INDIRECT(AX$1&amp;AX$3&amp;$A46))+SUM(INDIRECT(AX$1&amp;AX$2&amp;$B46):INDIRECT(AX$1&amp;AX$3&amp;$B46))</f>
        <v>105750.97</v>
      </c>
      <c r="AY46" s="3072">
        <f t="shared" ca="1" si="56"/>
        <v>51161.374845627695</v>
      </c>
      <c r="AZ46" s="2708">
        <f t="shared" ca="1" si="57"/>
        <v>1.4837910692036933</v>
      </c>
      <c r="BB46" s="17">
        <f ca="1">SUM((INDIRECT(BB$2&amp;(ROW())):INDIRECT(BB$3&amp;(ROW()))))</f>
        <v>595814.86868562759</v>
      </c>
      <c r="BC46" s="17">
        <f ca="1">SUM(INDIRECT(BC$1&amp;BC$2&amp;$C46):INDIRECT(BC$1&amp;BC$3&amp;$C46))</f>
        <v>166780.10992482488</v>
      </c>
      <c r="BD46" s="3072">
        <f t="shared" ca="1" si="58"/>
        <v>429034.75876080268</v>
      </c>
      <c r="BE46" s="2708">
        <f t="shared" ca="1" si="59"/>
        <v>3.5724575847454925</v>
      </c>
      <c r="BF46" s="17">
        <f ca="1">SUM(INDIRECT(BF$1&amp;BF$2&amp;$A46):INDIRECT(BF$1&amp;BF$3&amp;$A46))+SUM(INDIRECT(BF$1&amp;BF$2&amp;$B46):INDIRECT(BF$1&amp;BF$3&amp;$B46))</f>
        <v>366293.97515000001</v>
      </c>
      <c r="BG46" s="3072">
        <f t="shared" ca="1" si="60"/>
        <v>229520.89353562758</v>
      </c>
      <c r="BH46" s="2708">
        <f t="shared" ca="1" si="61"/>
        <v>1.6266029722209794</v>
      </c>
    </row>
    <row r="47" spans="1:60" ht="14.5">
      <c r="A47" s="616">
        <f t="shared" si="1"/>
        <v>44</v>
      </c>
      <c r="B47" s="616">
        <v>1</v>
      </c>
      <c r="C47" s="616">
        <f t="shared" si="2"/>
        <v>44</v>
      </c>
      <c r="E47" s="2547">
        <v>1</v>
      </c>
      <c r="I47" s="171"/>
      <c r="J47" s="11" t="s">
        <v>1346</v>
      </c>
      <c r="K47" s="16"/>
      <c r="L47" s="16"/>
      <c r="M47" s="11"/>
      <c r="N47" s="11"/>
      <c r="O47" s="11"/>
      <c r="P47" s="11"/>
      <c r="Q47" s="1781" t="str">
        <f>CHOOSE(2, "6722000002966", "SGA Wages &amp; Salaries Retirement Benefit Cost")</f>
        <v>SGA Wages &amp; Salaries Retirement Benefit Cost</v>
      </c>
      <c r="R47" s="1298">
        <v>3585</v>
      </c>
      <c r="S47" s="1298">
        <v>3488</v>
      </c>
      <c r="T47" s="1298">
        <v>3494</v>
      </c>
      <c r="U47" s="1298">
        <v>1854</v>
      </c>
      <c r="V47" s="1298">
        <v>2995.71</v>
      </c>
      <c r="W47" s="1298">
        <v>2986.76</v>
      </c>
      <c r="X47" s="1298">
        <v>3372.45</v>
      </c>
      <c r="Y47" s="1298">
        <v>3090.114</v>
      </c>
      <c r="Z47" s="1298">
        <v>3083.16</v>
      </c>
      <c r="AA47" s="1298">
        <v>3097.37</v>
      </c>
      <c r="AB47" s="1298">
        <v>3163.3649999999998</v>
      </c>
      <c r="AC47" s="1281">
        <v>33.854000000000042</v>
      </c>
      <c r="AD47" s="87">
        <f>SUM(R47,S47,T47)</f>
        <v>10567</v>
      </c>
      <c r="AE47" s="15">
        <f t="shared" si="66"/>
        <v>7836.47</v>
      </c>
      <c r="AF47" s="15">
        <f t="shared" si="67"/>
        <v>9545.7240000000002</v>
      </c>
      <c r="AG47" s="15">
        <f t="shared" si="68"/>
        <v>6294.5889999999999</v>
      </c>
      <c r="AH47" s="15">
        <f>AD47+AE47</f>
        <v>18403.47</v>
      </c>
      <c r="AI47" s="15">
        <f>AG47+AF47</f>
        <v>15840.313</v>
      </c>
      <c r="AJ47" s="15">
        <f>AH47+AI47</f>
        <v>34243.783000000003</v>
      </c>
      <c r="AL47" s="15">
        <f ca="1">SUM((INDIRECT(AL$2&amp;(ROW())):INDIRECT(AL$3&amp;(ROW()))))</f>
        <v>33.854000000000042</v>
      </c>
      <c r="AM47" s="15">
        <f ca="1">SUM(INDIRECT(AM$1&amp;AM$2&amp;$C47):INDIRECT(AM$1&amp;AM$3&amp;$C47))</f>
        <v>67552.120833333334</v>
      </c>
      <c r="AN47" s="3073">
        <f t="shared" ca="1" si="50"/>
        <v>-67518.266833333328</v>
      </c>
      <c r="AO47" s="2710">
        <f t="shared" ca="1" si="51"/>
        <v>5.0115376959852483E-4</v>
      </c>
      <c r="AP47" s="15">
        <f ca="1">SUM(INDIRECT(AP$1&amp;AP$2&amp;$A47):INDIRECT(AP$1&amp;AP$3&amp;$A47))+SUM(INDIRECT(AP$1&amp;AP$2&amp;$B47):INDIRECT(AP$1&amp;AP$3&amp;$B47))</f>
        <v>63322.265999999996</v>
      </c>
      <c r="AQ47" s="3073">
        <f t="shared" ca="1" si="52"/>
        <v>-63288.411999999997</v>
      </c>
      <c r="AR47" s="2710">
        <f t="shared" ca="1" si="53"/>
        <v>5.3463026733755934E-4</v>
      </c>
      <c r="AT47" s="15">
        <f ca="1">SUM((INDIRECT(AT$2&amp;(ROW())):INDIRECT(AT$3&amp;(ROW()))))</f>
        <v>6294.5889999999999</v>
      </c>
      <c r="AU47" s="15">
        <f ca="1">SUM(INDIRECT(AU$1&amp;AU$2&amp;$C47):INDIRECT(AU$1&amp;AU$3&amp;$C47))</f>
        <v>202656.36249999999</v>
      </c>
      <c r="AV47" s="3073">
        <f t="shared" ca="1" si="54"/>
        <v>-196361.77349999998</v>
      </c>
      <c r="AW47" s="2710">
        <f t="shared" ca="1" si="55"/>
        <v>3.1060406504631703E-2</v>
      </c>
      <c r="AX47" s="15">
        <f ca="1">SUM(INDIRECT(AX$1&amp;AX$2&amp;$A47):INDIRECT(AX$1&amp;AX$3&amp;$A47))+SUM(INDIRECT(AX$1&amp;AX$2&amp;$B47):INDIRECT(AX$1&amp;AX$3&amp;$B47))</f>
        <v>197129.1691</v>
      </c>
      <c r="AY47" s="3073">
        <f t="shared" ca="1" si="56"/>
        <v>-190834.58009999999</v>
      </c>
      <c r="AZ47" s="2710">
        <f t="shared" ca="1" si="57"/>
        <v>3.1931291694365489E-2</v>
      </c>
      <c r="BB47" s="15">
        <f ca="1">SUM((INDIRECT(BB$2&amp;(ROW())):INDIRECT(BB$3&amp;(ROW()))))</f>
        <v>34243.783000000003</v>
      </c>
      <c r="BC47" s="15">
        <f ca="1">SUM(INDIRECT(BC$1&amp;BC$2&amp;$C47):INDIRECT(BC$1&amp;BC$3&amp;$C47))</f>
        <v>337760.60416666669</v>
      </c>
      <c r="BD47" s="3073">
        <f t="shared" ca="1" si="58"/>
        <v>-303516.82116666669</v>
      </c>
      <c r="BE47" s="2710">
        <f t="shared" ca="1" si="59"/>
        <v>0.10138477542248396</v>
      </c>
      <c r="BF47" s="15">
        <f ca="1">SUM(INDIRECT(BF$1&amp;BF$2&amp;$A47):INDIRECT(BF$1&amp;BF$3&amp;$A47))+SUM(INDIRECT(BF$1&amp;BF$2&amp;$B47):INDIRECT(BF$1&amp;BF$3&amp;$B47))</f>
        <v>696788.57383999997</v>
      </c>
      <c r="BG47" s="3073">
        <f t="shared" ca="1" si="60"/>
        <v>-662544.79083999991</v>
      </c>
      <c r="BH47" s="2710">
        <f t="shared" ca="1" si="61"/>
        <v>4.9145155769823562E-2</v>
      </c>
    </row>
    <row r="48" spans="1:60" ht="14.5">
      <c r="A48" s="616">
        <f t="shared" si="1"/>
        <v>45</v>
      </c>
      <c r="B48" s="616">
        <v>1</v>
      </c>
      <c r="C48" s="616">
        <f t="shared" si="2"/>
        <v>45</v>
      </c>
      <c r="E48" s="2547">
        <v>1</v>
      </c>
      <c r="I48" s="1930" t="s">
        <v>62</v>
      </c>
      <c r="J48" s="1475"/>
      <c r="K48" s="1916"/>
      <c r="L48" s="1916"/>
      <c r="M48" s="1475"/>
      <c r="N48" s="1475"/>
      <c r="O48" s="1475"/>
      <c r="P48" s="1475"/>
      <c r="Q48" s="1777" t="str">
        <f>CHOOSE(2, "6722000002967", "SGA Fixed Expenses")</f>
        <v>SGA Fixed Expenses</v>
      </c>
      <c r="R48" s="3037">
        <f>SUM(R49:R54)</f>
        <v>43777</v>
      </c>
      <c r="S48" s="3037">
        <f t="shared" ref="S48:AJ48" si="69">SUM(S49:S54)</f>
        <v>47088</v>
      </c>
      <c r="T48" s="3037">
        <f t="shared" si="69"/>
        <v>63240</v>
      </c>
      <c r="U48" s="3037">
        <f t="shared" si="69"/>
        <v>47199</v>
      </c>
      <c r="V48" s="3037">
        <f t="shared" si="69"/>
        <v>62097.289520000013</v>
      </c>
      <c r="W48" s="3037">
        <f t="shared" si="69"/>
        <v>18762.187455808104</v>
      </c>
      <c r="X48" s="3037">
        <f t="shared" si="69"/>
        <v>86126.584520000004</v>
      </c>
      <c r="Y48" s="3037">
        <f t="shared" si="69"/>
        <v>54209.711240000019</v>
      </c>
      <c r="Z48" s="3037">
        <f t="shared" si="69"/>
        <v>48065.846520000006</v>
      </c>
      <c r="AA48" s="3037">
        <f t="shared" si="69"/>
        <v>71399.724520000018</v>
      </c>
      <c r="AB48" s="3037">
        <f t="shared" si="69"/>
        <v>28471.942510000066</v>
      </c>
      <c r="AC48" s="3038">
        <f t="shared" si="69"/>
        <v>70649.737239999973</v>
      </c>
      <c r="AD48" s="3067">
        <f t="shared" si="69"/>
        <v>154105</v>
      </c>
      <c r="AE48" s="3038">
        <f t="shared" si="69"/>
        <v>128058.47697580812</v>
      </c>
      <c r="AF48" s="3038">
        <f t="shared" si="69"/>
        <v>188402.14228000003</v>
      </c>
      <c r="AG48" s="3038">
        <f t="shared" si="69"/>
        <v>170521.40427000006</v>
      </c>
      <c r="AH48" s="3038">
        <f t="shared" si="69"/>
        <v>282163.47697580809</v>
      </c>
      <c r="AI48" s="3038">
        <f t="shared" si="69"/>
        <v>358923.54655000009</v>
      </c>
      <c r="AJ48" s="3038">
        <f t="shared" si="69"/>
        <v>641087.02352580824</v>
      </c>
      <c r="AL48" s="3038">
        <f ca="1">SUM((INDIRECT(AL$2&amp;(ROW())):INDIRECT(AL$3&amp;(ROW()))))</f>
        <v>70649.737239999973</v>
      </c>
      <c r="AM48" s="3038">
        <f ca="1">SUM(INDIRECT(AM$1&amp;AM$2&amp;$C48):INDIRECT(AM$1&amp;AM$3&amp;$C48))</f>
        <v>10768.916666666666</v>
      </c>
      <c r="AN48" s="3068">
        <f t="shared" ca="1" si="50"/>
        <v>59880.820573333309</v>
      </c>
      <c r="AO48" s="2704">
        <f t="shared" ca="1" si="51"/>
        <v>6.560524092333643</v>
      </c>
      <c r="AP48" s="3038">
        <f ca="1">SUM(INDIRECT(AP$1&amp;AP$2&amp;$A48):INDIRECT(AP$1&amp;AP$3&amp;$A48))+SUM(INDIRECT(AP$1&amp;AP$2&amp;$B48):INDIRECT(AP$1&amp;AP$3&amp;$B48))</f>
        <v>10076.630999999999</v>
      </c>
      <c r="AQ48" s="3068">
        <f t="shared" ca="1" si="52"/>
        <v>60573.106239999972</v>
      </c>
      <c r="AR48" s="2704">
        <f t="shared" ca="1" si="53"/>
        <v>7.0112458459578386</v>
      </c>
      <c r="AT48" s="3038">
        <f ca="1">SUM((INDIRECT(AT$2&amp;(ROW())):INDIRECT(AT$3&amp;(ROW()))))</f>
        <v>170521.40427000006</v>
      </c>
      <c r="AU48" s="3038">
        <f ca="1">SUM(INDIRECT(AU$1&amp;AU$2&amp;$C48):INDIRECT(AU$1&amp;AU$3&amp;$C48))</f>
        <v>32306.75</v>
      </c>
      <c r="AV48" s="3068">
        <f t="shared" ca="1" si="54"/>
        <v>138214.65427000006</v>
      </c>
      <c r="AW48" s="2704">
        <f t="shared" ca="1" si="55"/>
        <v>5.2781974129245457</v>
      </c>
      <c r="AX48" s="3038">
        <f ca="1">SUM(INDIRECT(AX$1&amp;AX$2&amp;$A48):INDIRECT(AX$1&amp;AX$3&amp;$A48))+SUM(INDIRECT(AX$1&amp;AX$2&amp;$B48):INDIRECT(AX$1&amp;AX$3&amp;$B48))</f>
        <v>35030.534</v>
      </c>
      <c r="AY48" s="3068">
        <f t="shared" ca="1" si="56"/>
        <v>135490.87027000007</v>
      </c>
      <c r="AZ48" s="2704">
        <f t="shared" ca="1" si="57"/>
        <v>4.867793458986382</v>
      </c>
      <c r="BB48" s="3038">
        <f ca="1">SUM((INDIRECT(BB$2&amp;(ROW())):INDIRECT(BB$3&amp;(ROW()))))</f>
        <v>641087.02352580812</v>
      </c>
      <c r="BC48" s="3038">
        <f ca="1">SUM(INDIRECT(BC$1&amp;BC$2&amp;$C48):INDIRECT(BC$1&amp;BC$3&amp;$C48))</f>
        <v>53844.583333333328</v>
      </c>
      <c r="BD48" s="3068">
        <f t="shared" ca="1" si="58"/>
        <v>587242.44019247475</v>
      </c>
      <c r="BE48" s="2704">
        <f t="shared" ca="1" si="59"/>
        <v>11.906249131078951</v>
      </c>
      <c r="BF48" s="3038">
        <f ca="1">SUM(INDIRECT(BF$1&amp;BF$2&amp;$A48):INDIRECT(BF$1&amp;BF$3&amp;$A48))+SUM(INDIRECT(BF$1&amp;BF$2&amp;$B48):INDIRECT(BF$1&amp;BF$3&amp;$B48))</f>
        <v>123908.85099999998</v>
      </c>
      <c r="BG48" s="3068">
        <f t="shared" ca="1" si="60"/>
        <v>517178.17252580816</v>
      </c>
      <c r="BH48" s="2704">
        <f t="shared" ca="1" si="61"/>
        <v>5.1738598038150494</v>
      </c>
    </row>
    <row r="49" spans="1:60" ht="14.5">
      <c r="A49" s="616">
        <f t="shared" si="1"/>
        <v>46</v>
      </c>
      <c r="B49" s="616">
        <v>1</v>
      </c>
      <c r="C49" s="616">
        <f t="shared" si="2"/>
        <v>46</v>
      </c>
      <c r="E49" s="2547">
        <v>1</v>
      </c>
      <c r="I49" s="172"/>
      <c r="J49" s="8" t="s">
        <v>1347</v>
      </c>
      <c r="Q49" s="1781" t="str">
        <f>CHOOSE(2, "6722000002968", "SGA Fixed Expenses Traveling Expenses")</f>
        <v>SGA Fixed Expenses Traveling Expenses</v>
      </c>
      <c r="R49" s="1298">
        <v>1570</v>
      </c>
      <c r="S49" s="1298">
        <v>3557</v>
      </c>
      <c r="T49" s="1298">
        <v>3976</v>
      </c>
      <c r="U49" s="1298">
        <v>4364</v>
      </c>
      <c r="V49" s="1298">
        <v>4496.3884399999997</v>
      </c>
      <c r="W49" s="1298">
        <v>4619.0248700000002</v>
      </c>
      <c r="X49" s="1298">
        <v>12323.040679999998</v>
      </c>
      <c r="Y49" s="1298">
        <v>2031.6005300000049</v>
      </c>
      <c r="Z49" s="1298">
        <v>5480.2983400000003</v>
      </c>
      <c r="AA49" s="1298">
        <v>11147.321520000023</v>
      </c>
      <c r="AB49" s="1298">
        <v>8785.6204500000586</v>
      </c>
      <c r="AC49" s="1281">
        <v>7713.8674500000698</v>
      </c>
      <c r="AD49" s="3069">
        <f t="shared" ref="AD49:AD54" si="70">SUM(R49,S49,T49)</f>
        <v>9103</v>
      </c>
      <c r="AE49" s="3070">
        <f t="shared" ref="AE49:AE54" si="71">SUM(U49,V49,W49)</f>
        <v>13479.41331</v>
      </c>
      <c r="AF49" s="3070">
        <f t="shared" ref="AF49:AF54" si="72">SUM(X49,Y49,Z49)</f>
        <v>19834.939550000003</v>
      </c>
      <c r="AG49" s="3070">
        <f t="shared" ref="AG49:AG54" si="73">SUM(AA49,AB49,AC49)</f>
        <v>27646.809420000151</v>
      </c>
      <c r="AH49" s="3070">
        <f t="shared" ref="AH49:AH54" si="74">AD49+AE49</f>
        <v>22582.41331</v>
      </c>
      <c r="AI49" s="3070">
        <f t="shared" ref="AI49:AI54" si="75">AG49+AF49</f>
        <v>47481.748970000153</v>
      </c>
      <c r="AJ49" s="3070">
        <f t="shared" ref="AJ49:AJ54" si="76">AH49+AI49</f>
        <v>70064.16228000015</v>
      </c>
      <c r="AL49" s="3070">
        <f ca="1">SUM((INDIRECT(AL$2&amp;(ROW())):INDIRECT(AL$3&amp;(ROW()))))</f>
        <v>7713.8674500000698</v>
      </c>
      <c r="AM49" s="3070">
        <f ca="1">SUM(INDIRECT(AM$1&amp;AM$2&amp;$C49):INDIRECT(AM$1&amp;AM$3&amp;$C49))</f>
        <v>53502.39166666667</v>
      </c>
      <c r="AN49" s="3071">
        <f t="shared" ca="1" si="50"/>
        <v>-45788.524216666599</v>
      </c>
      <c r="AO49" s="2706">
        <f t="shared" ca="1" si="51"/>
        <v>0.1441779929775738</v>
      </c>
      <c r="AP49" s="3070">
        <f ca="1">SUM(INDIRECT(AP$1&amp;AP$2&amp;$A49):INDIRECT(AP$1&amp;AP$3&amp;$A49))+SUM(INDIRECT(AP$1&amp;AP$2&amp;$B49):INDIRECT(AP$1&amp;AP$3&amp;$B49))</f>
        <v>50082.27</v>
      </c>
      <c r="AQ49" s="3071">
        <f t="shared" ca="1" si="52"/>
        <v>-42368.402549999926</v>
      </c>
      <c r="AR49" s="2706">
        <f t="shared" ca="1" si="53"/>
        <v>0.15402391804524976</v>
      </c>
      <c r="AT49" s="3070">
        <f ca="1">SUM((INDIRECT(AT$2&amp;(ROW())):INDIRECT(AT$3&amp;(ROW()))))</f>
        <v>27646.809420000151</v>
      </c>
      <c r="AU49" s="3070">
        <f ca="1">SUM(INDIRECT(AU$1&amp;AU$2&amp;$C49):INDIRECT(AU$1&amp;AU$3&amp;$C49))</f>
        <v>160507.17500000002</v>
      </c>
      <c r="AV49" s="3071">
        <f t="shared" ca="1" si="54"/>
        <v>-132860.36557999987</v>
      </c>
      <c r="AW49" s="2706">
        <f t="shared" ca="1" si="55"/>
        <v>0.17224656418007572</v>
      </c>
      <c r="AX49" s="3070">
        <f ca="1">SUM(INDIRECT(AX$1&amp;AX$2&amp;$A49):INDIRECT(AX$1&amp;AX$3&amp;$A49))+SUM(INDIRECT(AX$1&amp;AX$2&amp;$B49):INDIRECT(AX$1&amp;AX$3&amp;$B49))</f>
        <v>152754.7401</v>
      </c>
      <c r="AY49" s="3071">
        <f t="shared" ca="1" si="56"/>
        <v>-125107.93067999984</v>
      </c>
      <c r="AZ49" s="2706">
        <f t="shared" ca="1" si="57"/>
        <v>0.18098822597518957</v>
      </c>
      <c r="BB49" s="3070">
        <f ca="1">SUM((INDIRECT(BB$2&amp;(ROW())):INDIRECT(BB$3&amp;(ROW()))))</f>
        <v>70064.16228000015</v>
      </c>
      <c r="BC49" s="3070">
        <f ca="1">SUM(INDIRECT(BC$1&amp;BC$2&amp;$C49):INDIRECT(BC$1&amp;BC$3&amp;$C49))</f>
        <v>267511.95833333337</v>
      </c>
      <c r="BD49" s="3071">
        <f t="shared" ca="1" si="58"/>
        <v>-197447.79605333321</v>
      </c>
      <c r="BE49" s="2706">
        <f t="shared" ca="1" si="59"/>
        <v>0.26191039352602202</v>
      </c>
      <c r="BF49" s="3070">
        <f ca="1">SUM(INDIRECT(BF$1&amp;BF$2&amp;$A49):INDIRECT(BF$1&amp;BF$3&amp;$A49))+SUM(INDIRECT(BF$1&amp;BF$2&amp;$B49):INDIRECT(BF$1&amp;BF$3&amp;$B49))</f>
        <v>538669.79383999994</v>
      </c>
      <c r="BG49" s="3071">
        <f t="shared" ca="1" si="60"/>
        <v>-468605.63155999978</v>
      </c>
      <c r="BH49" s="2706">
        <f t="shared" ca="1" si="61"/>
        <v>0.13006885309186497</v>
      </c>
    </row>
    <row r="50" spans="1:60" ht="14.5">
      <c r="A50" s="616">
        <f t="shared" si="1"/>
        <v>47</v>
      </c>
      <c r="B50" s="616">
        <v>1</v>
      </c>
      <c r="C50" s="616">
        <f t="shared" si="2"/>
        <v>47</v>
      </c>
      <c r="E50" s="2547">
        <v>1</v>
      </c>
      <c r="I50" s="172"/>
      <c r="J50" s="8" t="s">
        <v>1348</v>
      </c>
      <c r="Q50" s="1781" t="str">
        <f>CHOOSE(2, "6722000002969", "SGA Fixed Expenses Depreciation &amp; Amortization")</f>
        <v>SGA Fixed Expenses Depreciation &amp; Amortization</v>
      </c>
      <c r="R50" s="1298">
        <v>1822</v>
      </c>
      <c r="S50" s="1298">
        <v>1408</v>
      </c>
      <c r="T50" s="1298">
        <v>19391</v>
      </c>
      <c r="U50" s="1298">
        <v>2521</v>
      </c>
      <c r="V50" s="1298">
        <v>262.18</v>
      </c>
      <c r="W50" s="1298">
        <v>18375.202606432402</v>
      </c>
      <c r="X50" s="1298">
        <v>1317.34</v>
      </c>
      <c r="Y50" s="1298">
        <v>1127.1558300000006</v>
      </c>
      <c r="Z50" s="1298">
        <v>12028.24072</v>
      </c>
      <c r="AA50" s="1298">
        <v>1554.34</v>
      </c>
      <c r="AB50" s="1298">
        <v>1203.76</v>
      </c>
      <c r="AC50" s="1281">
        <v>11904.312950000001</v>
      </c>
      <c r="AD50" s="88">
        <f t="shared" si="70"/>
        <v>22621</v>
      </c>
      <c r="AE50" s="17">
        <f t="shared" si="71"/>
        <v>21158.382606432402</v>
      </c>
      <c r="AF50" s="17">
        <f t="shared" si="72"/>
        <v>14472.736550000001</v>
      </c>
      <c r="AG50" s="17">
        <f t="shared" si="73"/>
        <v>14662.412950000002</v>
      </c>
      <c r="AH50" s="17">
        <f t="shared" si="74"/>
        <v>43779.382606432402</v>
      </c>
      <c r="AI50" s="17">
        <f t="shared" si="75"/>
        <v>29135.149500000003</v>
      </c>
      <c r="AJ50" s="17">
        <f t="shared" si="76"/>
        <v>72914.532106432409</v>
      </c>
      <c r="AL50" s="17">
        <f ca="1">SUM((INDIRECT(AL$2&amp;(ROW())):INDIRECT(AL$3&amp;(ROW()))))</f>
        <v>11904.312950000001</v>
      </c>
      <c r="AM50" s="17">
        <f ca="1">SUM(INDIRECT(AM$1&amp;AM$2&amp;$C50):INDIRECT(AM$1&amp;AM$3&amp;$C50))</f>
        <v>3280.8124999999995</v>
      </c>
      <c r="AN50" s="3072">
        <f t="shared" ca="1" si="50"/>
        <v>8623.5004500000014</v>
      </c>
      <c r="AO50" s="2708">
        <f t="shared" ca="1" si="51"/>
        <v>3.6284648848417893</v>
      </c>
      <c r="AP50" s="17">
        <f ca="1">SUM(INDIRECT(AP$1&amp;AP$2&amp;$A50):INDIRECT(AP$1&amp;AP$3&amp;$A50))+SUM(INDIRECT(AP$1&amp;AP$2&amp;$B50):INDIRECT(AP$1&amp;AP$3&amp;$B50))</f>
        <v>3163.3649999999998</v>
      </c>
      <c r="AQ50" s="3072">
        <f t="shared" ca="1" si="52"/>
        <v>8740.9479500000016</v>
      </c>
      <c r="AR50" s="2708">
        <f t="shared" ca="1" si="53"/>
        <v>3.7631803317037402</v>
      </c>
      <c r="AT50" s="17">
        <f ca="1">SUM((INDIRECT(AT$2&amp;(ROW())):INDIRECT(AT$3&amp;(ROW()))))</f>
        <v>14662.412950000002</v>
      </c>
      <c r="AU50" s="17">
        <f ca="1">SUM(INDIRECT(AU$1&amp;AU$2&amp;$C50):INDIRECT(AU$1&amp;AU$3&amp;$C50))</f>
        <v>9842.4374999999982</v>
      </c>
      <c r="AV50" s="3072">
        <f t="shared" ca="1" si="54"/>
        <v>4819.9754500000035</v>
      </c>
      <c r="AW50" s="2708">
        <f t="shared" ca="1" si="55"/>
        <v>1.4897135948285172</v>
      </c>
      <c r="AX50" s="17">
        <f ca="1">SUM(INDIRECT(AX$1&amp;AX$2&amp;$A50):INDIRECT(AX$1&amp;AX$3&amp;$A50))+SUM(INDIRECT(AX$1&amp;AX$2&amp;$B50):INDIRECT(AX$1&amp;AX$3&amp;$B50))</f>
        <v>9343.8950000000004</v>
      </c>
      <c r="AY50" s="3072">
        <f t="shared" ca="1" si="56"/>
        <v>5318.5179500000013</v>
      </c>
      <c r="AZ50" s="2708">
        <f t="shared" ca="1" si="57"/>
        <v>1.5691971014229078</v>
      </c>
      <c r="BB50" s="17">
        <f ca="1">SUM((INDIRECT(BB$2&amp;(ROW())):INDIRECT(BB$3&amp;(ROW()))))</f>
        <v>72914.532106432409</v>
      </c>
      <c r="BC50" s="17">
        <f ca="1">SUM(INDIRECT(BC$1&amp;BC$2&amp;$C50):INDIRECT(BC$1&amp;BC$3&amp;$C50))</f>
        <v>16404.062499999996</v>
      </c>
      <c r="BD50" s="3072">
        <f t="shared" ca="1" si="58"/>
        <v>56510.469606432409</v>
      </c>
      <c r="BE50" s="2708">
        <f t="shared" ca="1" si="59"/>
        <v>4.4449069921815054</v>
      </c>
      <c r="BF50" s="17">
        <f ca="1">SUM(INDIRECT(BF$1&amp;BF$2&amp;$A50):INDIRECT(BF$1&amp;BF$3&amp;$A50))+SUM(INDIRECT(BF$1&amp;BF$2&amp;$B50):INDIRECT(BF$1&amp;BF$3&amp;$B50))</f>
        <v>34209.929000000004</v>
      </c>
      <c r="BG50" s="3072">
        <f t="shared" ca="1" si="60"/>
        <v>38704.603106432405</v>
      </c>
      <c r="BH50" s="2708">
        <f t="shared" ca="1" si="61"/>
        <v>2.1313850755560586</v>
      </c>
    </row>
    <row r="51" spans="1:60" ht="14.5">
      <c r="A51" s="616">
        <f t="shared" si="1"/>
        <v>48</v>
      </c>
      <c r="B51" s="616">
        <v>1</v>
      </c>
      <c r="C51" s="616">
        <f t="shared" si="2"/>
        <v>48</v>
      </c>
      <c r="E51" s="2547">
        <v>1</v>
      </c>
      <c r="I51" s="172"/>
      <c r="J51" s="8" t="s">
        <v>1349</v>
      </c>
      <c r="Q51" s="1781" t="str">
        <f>CHOOSE(2, "6722000002970", "SGA Fixed Expenses Repair and Maintenance")</f>
        <v>SGA Fixed Expenses Repair and Maintenance</v>
      </c>
      <c r="R51" s="1298">
        <v>952</v>
      </c>
      <c r="S51" s="1298">
        <v>927.44159999999999</v>
      </c>
      <c r="T51" s="1298">
        <v>1355</v>
      </c>
      <c r="U51" s="1298">
        <v>896</v>
      </c>
      <c r="V51" s="1298">
        <v>918.75</v>
      </c>
      <c r="W51" s="1298">
        <v>928.26199999999994</v>
      </c>
      <c r="X51" s="1298">
        <v>887.06</v>
      </c>
      <c r="Y51" s="1298">
        <v>1200.67338</v>
      </c>
      <c r="Z51" s="1298">
        <v>1147.68</v>
      </c>
      <c r="AA51" s="1298">
        <v>947</v>
      </c>
      <c r="AB51" s="1298">
        <v>1500.08</v>
      </c>
      <c r="AC51" s="1281">
        <v>3005.2791400000006</v>
      </c>
      <c r="AD51" s="88">
        <f t="shared" si="70"/>
        <v>3234.4416000000001</v>
      </c>
      <c r="AE51" s="17">
        <f t="shared" si="71"/>
        <v>2743.0119999999997</v>
      </c>
      <c r="AF51" s="17">
        <f t="shared" si="72"/>
        <v>3235.41338</v>
      </c>
      <c r="AG51" s="17">
        <f t="shared" si="73"/>
        <v>5452.3591400000005</v>
      </c>
      <c r="AH51" s="17">
        <f t="shared" si="74"/>
        <v>5977.4535999999998</v>
      </c>
      <c r="AI51" s="17">
        <f t="shared" si="75"/>
        <v>8687.7725200000004</v>
      </c>
      <c r="AJ51" s="17">
        <f t="shared" si="76"/>
        <v>14665.226119999999</v>
      </c>
      <c r="AL51" s="17">
        <f ca="1">SUM((INDIRECT(AL$2&amp;(ROW())):INDIRECT(AL$3&amp;(ROW()))))</f>
        <v>3005.2791400000006</v>
      </c>
      <c r="AM51" s="17">
        <f ca="1">SUM(INDIRECT(AM$1&amp;AM$2&amp;$C51):INDIRECT(AM$1&amp;AM$3&amp;$C51))</f>
        <v>50022.161675152471</v>
      </c>
      <c r="AN51" s="3072">
        <f t="shared" ca="1" si="50"/>
        <v>-47016.882535152472</v>
      </c>
      <c r="AO51" s="2708">
        <f t="shared" ca="1" si="51"/>
        <v>6.0078953794849975E-2</v>
      </c>
      <c r="AP51" s="17">
        <f ca="1">SUM(INDIRECT(AP$1&amp;AP$2&amp;$A51):INDIRECT(AP$1&amp;AP$3&amp;$A51))+SUM(INDIRECT(AP$1&amp;AP$2&amp;$B51):INDIRECT(AP$1&amp;AP$3&amp;$B51))</f>
        <v>28471.942510000066</v>
      </c>
      <c r="AQ51" s="3072">
        <f t="shared" ca="1" si="52"/>
        <v>-25466.663370000068</v>
      </c>
      <c r="AR51" s="2708">
        <f t="shared" ca="1" si="53"/>
        <v>0.10555230430605395</v>
      </c>
      <c r="AT51" s="17">
        <f ca="1">SUM((INDIRECT(AT$2&amp;(ROW())):INDIRECT(AT$3&amp;(ROW()))))</f>
        <v>5452.3591400000005</v>
      </c>
      <c r="AU51" s="17">
        <f ca="1">SUM(INDIRECT(AU$1&amp;AU$2&amp;$C51):INDIRECT(AU$1&amp;AU$3&amp;$C51))</f>
        <v>149458.93805119954</v>
      </c>
      <c r="AV51" s="3072">
        <f t="shared" ca="1" si="54"/>
        <v>-144006.57891119953</v>
      </c>
      <c r="AW51" s="2708">
        <f t="shared" ca="1" si="55"/>
        <v>3.648064954223218E-2</v>
      </c>
      <c r="AX51" s="17">
        <f ca="1">SUM(INDIRECT(AX$1&amp;AX$2&amp;$A51):INDIRECT(AX$1&amp;AX$3&amp;$A51))+SUM(INDIRECT(AX$1&amp;AX$2&amp;$B51):INDIRECT(AX$1&amp;AX$3&amp;$B51))</f>
        <v>147937.51355000009</v>
      </c>
      <c r="AY51" s="3072">
        <f t="shared" ca="1" si="56"/>
        <v>-142485.15441000008</v>
      </c>
      <c r="AZ51" s="2708">
        <f t="shared" ca="1" si="57"/>
        <v>3.6855825200531073E-2</v>
      </c>
      <c r="BB51" s="17">
        <f ca="1">SUM((INDIRECT(BB$2&amp;(ROW())):INDIRECT(BB$3&amp;(ROW()))))</f>
        <v>14665.226120000001</v>
      </c>
      <c r="BC51" s="17">
        <f ca="1">SUM(INDIRECT(BC$1&amp;BC$2&amp;$C51):INDIRECT(BC$1&amp;BC$3&amp;$C51))</f>
        <v>250208.43816127582</v>
      </c>
      <c r="BD51" s="3072">
        <f t="shared" ca="1" si="58"/>
        <v>-235543.21204127581</v>
      </c>
      <c r="BE51" s="2708">
        <f t="shared" ca="1" si="59"/>
        <v>5.8612036539500305E-2</v>
      </c>
      <c r="BF51" s="17">
        <f ca="1">SUM(INDIRECT(BF$1&amp;BF$2&amp;$A51):INDIRECT(BF$1&amp;BF$3&amp;$A51))+SUM(INDIRECT(BF$1&amp;BF$2&amp;$B51):INDIRECT(BF$1&amp;BF$3&amp;$B51))</f>
        <v>570437.28628580819</v>
      </c>
      <c r="BG51" s="3072">
        <f t="shared" ca="1" si="60"/>
        <v>-555772.06016580819</v>
      </c>
      <c r="BH51" s="2708">
        <f t="shared" ca="1" si="61"/>
        <v>2.5708743927815813E-2</v>
      </c>
    </row>
    <row r="52" spans="1:60" ht="14.5">
      <c r="A52" s="616">
        <f t="shared" si="1"/>
        <v>49</v>
      </c>
      <c r="B52" s="616">
        <v>1</v>
      </c>
      <c r="C52" s="616">
        <f t="shared" si="2"/>
        <v>49</v>
      </c>
      <c r="E52" s="2547">
        <v>1</v>
      </c>
      <c r="I52" s="172"/>
      <c r="J52" s="8" t="s">
        <v>1350</v>
      </c>
      <c r="Q52" s="1781" t="str">
        <f>CHOOSE(2, "6722000002971", "SGA Fixed Expenses Rent Expenses")</f>
        <v>SGA Fixed Expenses Rent Expenses</v>
      </c>
      <c r="R52" s="1298">
        <v>9666</v>
      </c>
      <c r="S52" s="1298">
        <v>9819</v>
      </c>
      <c r="T52" s="1298">
        <v>-6006</v>
      </c>
      <c r="U52" s="1298">
        <v>9094</v>
      </c>
      <c r="V52" s="1298">
        <v>10386.624370000001</v>
      </c>
      <c r="W52" s="1298">
        <v>-4713.958740624299</v>
      </c>
      <c r="X52" s="1298">
        <v>16245.239740000001</v>
      </c>
      <c r="Y52" s="1298">
        <v>10549.3951</v>
      </c>
      <c r="Z52" s="1298">
        <v>2965</v>
      </c>
      <c r="AA52" s="1298">
        <v>11396</v>
      </c>
      <c r="AB52" s="1298">
        <v>11671</v>
      </c>
      <c r="AC52" s="1281">
        <v>17077.760577628433</v>
      </c>
      <c r="AD52" s="88">
        <f t="shared" si="70"/>
        <v>13479</v>
      </c>
      <c r="AE52" s="17">
        <f t="shared" si="71"/>
        <v>14766.665629375702</v>
      </c>
      <c r="AF52" s="17">
        <f t="shared" si="72"/>
        <v>29759.634839999999</v>
      </c>
      <c r="AG52" s="17">
        <f t="shared" si="73"/>
        <v>40144.760577628433</v>
      </c>
      <c r="AH52" s="17">
        <f t="shared" si="74"/>
        <v>28245.665629375704</v>
      </c>
      <c r="AI52" s="17">
        <f t="shared" si="75"/>
        <v>69904.395417628431</v>
      </c>
      <c r="AJ52" s="17">
        <f t="shared" si="76"/>
        <v>98150.061047004128</v>
      </c>
      <c r="AL52" s="17">
        <f ca="1">SUM((INDIRECT(AL$2&amp;(ROW())):INDIRECT(AL$3&amp;(ROW()))))</f>
        <v>17077.760577628433</v>
      </c>
      <c r="AM52" s="17">
        <f ca="1">SUM(INDIRECT(AM$1&amp;AM$2&amp;$C52):INDIRECT(AM$1&amp;AM$3&amp;$C52))</f>
        <v>5028.8075084857983</v>
      </c>
      <c r="AN52" s="3072">
        <f t="shared" ca="1" si="50"/>
        <v>12048.953069142633</v>
      </c>
      <c r="AO52" s="2708">
        <f t="shared" ca="1" si="51"/>
        <v>3.3959861356416563</v>
      </c>
      <c r="AP52" s="17">
        <f ca="1">SUM(INDIRECT(AP$1&amp;AP$2&amp;$A52):INDIRECT(AP$1&amp;AP$3&amp;$A52))+SUM(INDIRECT(AP$1&amp;AP$2&amp;$B52):INDIRECT(AP$1&amp;AP$3&amp;$B52))</f>
        <v>8785.6204500000586</v>
      </c>
      <c r="AQ52" s="3072">
        <f t="shared" ca="1" si="52"/>
        <v>8292.1401276283741</v>
      </c>
      <c r="AR52" s="2708">
        <f t="shared" ca="1" si="53"/>
        <v>1.9438309081094345</v>
      </c>
      <c r="AT52" s="17">
        <f ca="1">SUM((INDIRECT(AT$2&amp;(ROW())):INDIRECT(AT$3&amp;(ROW()))))</f>
        <v>40144.760577628433</v>
      </c>
      <c r="AU52" s="17">
        <f ca="1">SUM(INDIRECT(AU$1&amp;AU$2&amp;$C52):INDIRECT(AU$1&amp;AU$3&amp;$C52))</f>
        <v>14478.87555119953</v>
      </c>
      <c r="AV52" s="3072">
        <f t="shared" ca="1" si="54"/>
        <v>25665.885026428903</v>
      </c>
      <c r="AW52" s="2708">
        <f t="shared" ca="1" si="55"/>
        <v>2.7726435271627543</v>
      </c>
      <c r="AX52" s="17">
        <f ca="1">SUM(INDIRECT(AX$1&amp;AX$2&amp;$A52):INDIRECT(AX$1&amp;AX$3&amp;$A52))+SUM(INDIRECT(AX$1&amp;AX$2&amp;$B52):INDIRECT(AX$1&amp;AX$3&amp;$B52))</f>
        <v>25413.240310000081</v>
      </c>
      <c r="AY52" s="3072">
        <f t="shared" ca="1" si="56"/>
        <v>14731.520267628352</v>
      </c>
      <c r="AZ52" s="2708">
        <f t="shared" ca="1" si="57"/>
        <v>1.5796789424696667</v>
      </c>
      <c r="BB52" s="17">
        <f ca="1">SUM((INDIRECT(BB$2&amp;(ROW())):INDIRECT(BB$3&amp;(ROW()))))</f>
        <v>98150.061047004143</v>
      </c>
      <c r="BC52" s="17">
        <f ca="1">SUM(INDIRECT(BC$1&amp;BC$2&amp;$C52):INDIRECT(BC$1&amp;BC$3&amp;$C52))</f>
        <v>25241.667327942421</v>
      </c>
      <c r="BD52" s="3072">
        <f t="shared" ca="1" si="58"/>
        <v>72908.393719061714</v>
      </c>
      <c r="BE52" s="2708">
        <f t="shared" ca="1" si="59"/>
        <v>3.888414333800859</v>
      </c>
      <c r="BF52" s="17">
        <f ca="1">SUM(INDIRECT(BF$1&amp;BF$2&amp;$A52):INDIRECT(BF$1&amp;BF$3&amp;$A52))+SUM(INDIRECT(BF$1&amp;BF$2&amp;$B52):INDIRECT(BF$1&amp;BF$3&amp;$B52))</f>
        <v>62350.294830000086</v>
      </c>
      <c r="BG52" s="3072">
        <f t="shared" ca="1" si="60"/>
        <v>35799.766217004057</v>
      </c>
      <c r="BH52" s="2708">
        <f t="shared" ca="1" si="61"/>
        <v>1.5741715626945016</v>
      </c>
    </row>
    <row r="53" spans="1:60" ht="14.5">
      <c r="A53" s="616">
        <f t="shared" si="1"/>
        <v>50</v>
      </c>
      <c r="B53" s="616">
        <v>1</v>
      </c>
      <c r="C53" s="616">
        <f t="shared" si="2"/>
        <v>50</v>
      </c>
      <c r="E53" s="2547">
        <v>1</v>
      </c>
      <c r="I53" s="172"/>
      <c r="J53" s="8" t="s">
        <v>1351</v>
      </c>
      <c r="Q53" s="1781" t="str">
        <f>CHOOSE(2, "6722000002972", "SGA Fixed Expenses Service Charges and Fees")</f>
        <v>SGA Fixed Expenses Service Charges and Fees</v>
      </c>
      <c r="R53" s="1298">
        <v>132</v>
      </c>
      <c r="S53" s="1298">
        <v>132</v>
      </c>
      <c r="T53" s="1298">
        <v>73</v>
      </c>
      <c r="U53" s="1298">
        <v>151</v>
      </c>
      <c r="V53" s="1298">
        <v>99.403650000000013</v>
      </c>
      <c r="W53" s="1298">
        <v>122.20672</v>
      </c>
      <c r="X53" s="1298">
        <v>99</v>
      </c>
      <c r="Y53" s="1298">
        <v>152.63130000000001</v>
      </c>
      <c r="Z53" s="1298">
        <v>-198</v>
      </c>
      <c r="AA53" s="1298">
        <v>844.33299999999997</v>
      </c>
      <c r="AB53" s="1298">
        <v>325.05858000000001</v>
      </c>
      <c r="AC53" s="1281">
        <v>2158.64842</v>
      </c>
      <c r="AD53" s="88">
        <f t="shared" si="70"/>
        <v>337</v>
      </c>
      <c r="AE53" s="17">
        <f t="shared" si="71"/>
        <v>372.61037000000005</v>
      </c>
      <c r="AF53" s="17">
        <f t="shared" si="72"/>
        <v>53.63130000000001</v>
      </c>
      <c r="AG53" s="17">
        <f t="shared" si="73"/>
        <v>3328.04</v>
      </c>
      <c r="AH53" s="17">
        <f t="shared" si="74"/>
        <v>709.6103700000001</v>
      </c>
      <c r="AI53" s="17">
        <f t="shared" si="75"/>
        <v>3381.6713</v>
      </c>
      <c r="AJ53" s="17">
        <f t="shared" si="76"/>
        <v>4091.2816700000003</v>
      </c>
      <c r="AL53" s="17">
        <f ca="1">SUM((INDIRECT(AL$2&amp;(ROW())):INDIRECT(AL$3&amp;(ROW()))))</f>
        <v>2158.64842</v>
      </c>
      <c r="AM53" s="17">
        <f ca="1">SUM(INDIRECT(AM$1&amp;AM$2&amp;$C53):INDIRECT(AM$1&amp;AM$3&amp;$C53))</f>
        <v>6666.458333333333</v>
      </c>
      <c r="AN53" s="3072">
        <f t="shared" ca="1" si="50"/>
        <v>-4507.8099133333326</v>
      </c>
      <c r="AO53" s="2708">
        <f t="shared" ca="1" si="51"/>
        <v>0.32380738198068693</v>
      </c>
      <c r="AP53" s="17">
        <f ca="1">SUM(INDIRECT(AP$1&amp;AP$2&amp;$A53):INDIRECT(AP$1&amp;AP$3&amp;$A53))+SUM(INDIRECT(AP$1&amp;AP$2&amp;$B53):INDIRECT(AP$1&amp;AP$3&amp;$B53))</f>
        <v>1203.76</v>
      </c>
      <c r="AQ53" s="3072">
        <f t="shared" ca="1" si="52"/>
        <v>954.88842</v>
      </c>
      <c r="AR53" s="2708">
        <f t="shared" ca="1" si="53"/>
        <v>1.7932548182361934</v>
      </c>
      <c r="AT53" s="17">
        <f ca="1">SUM((INDIRECT(AT$2&amp;(ROW())):INDIRECT(AT$3&amp;(ROW()))))</f>
        <v>3328.04</v>
      </c>
      <c r="AU53" s="17">
        <f ca="1">SUM(INDIRECT(AU$1&amp;AU$2&amp;$C53):INDIRECT(AU$1&amp;AU$3&amp;$C53))</f>
        <v>19999.375</v>
      </c>
      <c r="AV53" s="3072">
        <f t="shared" ca="1" si="54"/>
        <v>-16671.334999999999</v>
      </c>
      <c r="AW53" s="2708">
        <f t="shared" ca="1" si="55"/>
        <v>0.16640720022500702</v>
      </c>
      <c r="AX53" s="17">
        <f ca="1">SUM(INDIRECT(AX$1&amp;AX$2&amp;$A53):INDIRECT(AX$1&amp;AX$3&amp;$A53))+SUM(INDIRECT(AX$1&amp;AX$2&amp;$B53):INDIRECT(AX$1&amp;AX$3&amp;$B53))</f>
        <v>14786.34072</v>
      </c>
      <c r="AY53" s="3072">
        <f t="shared" ca="1" si="56"/>
        <v>-11458.300719999999</v>
      </c>
      <c r="AZ53" s="2708">
        <f t="shared" ca="1" si="57"/>
        <v>0.2250752950321572</v>
      </c>
      <c r="BB53" s="17">
        <f ca="1">SUM((INDIRECT(BB$2&amp;(ROW())):INDIRECT(BB$3&amp;(ROW()))))</f>
        <v>4091.2816699999998</v>
      </c>
      <c r="BC53" s="17">
        <f ca="1">SUM(INDIRECT(BC$1&amp;BC$2&amp;$C53):INDIRECT(BC$1&amp;BC$3&amp;$C53))</f>
        <v>33332.291666666664</v>
      </c>
      <c r="BD53" s="3072">
        <f t="shared" ca="1" si="58"/>
        <v>-29241.009996666664</v>
      </c>
      <c r="BE53" s="2708">
        <f t="shared" ca="1" si="59"/>
        <v>0.12274228579643115</v>
      </c>
      <c r="BF53" s="17">
        <f ca="1">SUM(INDIRECT(BF$1&amp;BF$2&amp;$A53):INDIRECT(BF$1&amp;BF$3&amp;$A53))+SUM(INDIRECT(BF$1&amp;BF$2&amp;$B53):INDIRECT(BF$1&amp;BF$3&amp;$B53))</f>
        <v>61010.219156432402</v>
      </c>
      <c r="BG53" s="3072">
        <f t="shared" ca="1" si="60"/>
        <v>-56918.937486432405</v>
      </c>
      <c r="BH53" s="2708">
        <f t="shared" ca="1" si="61"/>
        <v>6.7058957115197479E-2</v>
      </c>
    </row>
    <row r="54" spans="1:60" ht="14.5">
      <c r="A54" s="616">
        <f t="shared" si="1"/>
        <v>51</v>
      </c>
      <c r="B54" s="616">
        <v>1</v>
      </c>
      <c r="C54" s="616">
        <f t="shared" si="2"/>
        <v>51</v>
      </c>
      <c r="E54" s="2547">
        <v>1</v>
      </c>
      <c r="I54" s="171"/>
      <c r="J54" s="11" t="s">
        <v>1352</v>
      </c>
      <c r="K54" s="16"/>
      <c r="L54" s="16"/>
      <c r="M54" s="11"/>
      <c r="N54" s="11"/>
      <c r="O54" s="11"/>
      <c r="P54" s="11"/>
      <c r="Q54" s="1781" t="str">
        <f>CHOOSE(2, "6722000002973", "SGA Fixed Expenses Other Expenses")</f>
        <v>SGA Fixed Expenses Other Expenses</v>
      </c>
      <c r="R54" s="1299">
        <v>29635</v>
      </c>
      <c r="S54" s="1299">
        <v>31244.558400000002</v>
      </c>
      <c r="T54" s="1299">
        <v>44451</v>
      </c>
      <c r="U54" s="1299">
        <v>30173</v>
      </c>
      <c r="V54" s="1299">
        <v>45933.943060000012</v>
      </c>
      <c r="W54" s="1299">
        <v>-568.54999999999995</v>
      </c>
      <c r="X54" s="1299">
        <v>55254.904100000007</v>
      </c>
      <c r="Y54" s="1299">
        <v>39148.255100000009</v>
      </c>
      <c r="Z54" s="1299">
        <v>26642.627460000003</v>
      </c>
      <c r="AA54" s="1299">
        <v>45510.73</v>
      </c>
      <c r="AB54" s="1299">
        <v>4986.4234800000086</v>
      </c>
      <c r="AC54" s="1282">
        <v>28789.86870237147</v>
      </c>
      <c r="AD54" s="87">
        <f t="shared" si="70"/>
        <v>105330.55840000001</v>
      </c>
      <c r="AE54" s="15">
        <f t="shared" si="71"/>
        <v>75538.393060000017</v>
      </c>
      <c r="AF54" s="15">
        <f t="shared" si="72"/>
        <v>121045.78666000003</v>
      </c>
      <c r="AG54" s="15">
        <f t="shared" si="73"/>
        <v>79287.022182371482</v>
      </c>
      <c r="AH54" s="15">
        <f t="shared" si="74"/>
        <v>180868.95146000001</v>
      </c>
      <c r="AI54" s="15">
        <f t="shared" si="75"/>
        <v>200332.80884237151</v>
      </c>
      <c r="AJ54" s="15">
        <f t="shared" si="76"/>
        <v>381201.76030237152</v>
      </c>
      <c r="AL54" s="15">
        <f ca="1">SUM((INDIRECT(AL$2&amp;(ROW())):INDIRECT(AL$3&amp;(ROW()))))</f>
        <v>28789.86870237147</v>
      </c>
      <c r="AM54" s="15">
        <f ca="1">SUM(INDIRECT(AM$1&amp;AM$2&amp;$C54):INDIRECT(AM$1&amp;AM$3&amp;$C54))</f>
        <v>1089.2</v>
      </c>
      <c r="AN54" s="3073">
        <f t="shared" ca="1" si="50"/>
        <v>27700.668702371469</v>
      </c>
      <c r="AO54" s="2710">
        <f t="shared" ca="1" si="51"/>
        <v>26.43212330368295</v>
      </c>
      <c r="AP54" s="15">
        <f ca="1">SUM(INDIRECT(AP$1&amp;AP$2&amp;$A54):INDIRECT(AP$1&amp;AP$3&amp;$A54))+SUM(INDIRECT(AP$1&amp;AP$2&amp;$B54):INDIRECT(AP$1&amp;AP$3&amp;$B54))</f>
        <v>1500.08</v>
      </c>
      <c r="AQ54" s="3073">
        <f t="shared" ca="1" si="52"/>
        <v>27289.788702371472</v>
      </c>
      <c r="AR54" s="2710">
        <f t="shared" ca="1" si="53"/>
        <v>19.192222216396107</v>
      </c>
      <c r="AT54" s="15">
        <f ca="1">SUM((INDIRECT(AT$2&amp;(ROW())):INDIRECT(AT$3&amp;(ROW()))))</f>
        <v>79287.022182371482</v>
      </c>
      <c r="AU54" s="15">
        <f ca="1">SUM(INDIRECT(AU$1&amp;AU$2&amp;$C54):INDIRECT(AU$1&amp;AU$3&amp;$C54))</f>
        <v>3267.6000000000004</v>
      </c>
      <c r="AV54" s="3073">
        <f t="shared" ca="1" si="54"/>
        <v>76019.422182371476</v>
      </c>
      <c r="AW54" s="2710">
        <f t="shared" ca="1" si="55"/>
        <v>24.264604658578612</v>
      </c>
      <c r="AX54" s="15">
        <f ca="1">SUM(INDIRECT(AX$1&amp;AX$2&amp;$A54):INDIRECT(AX$1&amp;AX$3&amp;$A54))+SUM(INDIRECT(AX$1&amp;AX$2&amp;$B54):INDIRECT(AX$1&amp;AX$3&amp;$B54))</f>
        <v>3594.76</v>
      </c>
      <c r="AY54" s="3073">
        <f t="shared" ca="1" si="56"/>
        <v>75692.262182371487</v>
      </c>
      <c r="AZ54" s="2710">
        <f t="shared" ca="1" si="57"/>
        <v>22.056276964907664</v>
      </c>
      <c r="BB54" s="15">
        <f ca="1">SUM((INDIRECT(BB$2&amp;(ROW())):INDIRECT(BB$3&amp;(ROW()))))</f>
        <v>381201.76030237152</v>
      </c>
      <c r="BC54" s="15">
        <f ca="1">SUM(INDIRECT(BC$1&amp;BC$2&amp;$C54):INDIRECT(BC$1&amp;BC$3&amp;$C54))</f>
        <v>5446</v>
      </c>
      <c r="BD54" s="3073">
        <f t="shared" ca="1" si="58"/>
        <v>375755.76030237152</v>
      </c>
      <c r="BE54" s="2710">
        <f t="shared" ca="1" si="59"/>
        <v>69.996650808367889</v>
      </c>
      <c r="BF54" s="15">
        <f ca="1">SUM(INDIRECT(BF$1&amp;BF$2&amp;$A54):INDIRECT(BF$1&amp;BF$3&amp;$A54))+SUM(INDIRECT(BF$1&amp;BF$2&amp;$B54):INDIRECT(BF$1&amp;BF$3&amp;$B54))</f>
        <v>11659.946980000001</v>
      </c>
      <c r="BG54" s="3073">
        <f t="shared" ca="1" si="60"/>
        <v>369541.81332237151</v>
      </c>
      <c r="BH54" s="2710">
        <f t="shared" ca="1" si="61"/>
        <v>32.693267041114069</v>
      </c>
    </row>
    <row r="55" spans="1:60" ht="14.5">
      <c r="A55" s="616">
        <f t="shared" si="1"/>
        <v>52</v>
      </c>
      <c r="B55" s="616">
        <v>1</v>
      </c>
      <c r="C55" s="616">
        <f t="shared" si="2"/>
        <v>52</v>
      </c>
      <c r="E55" s="2547">
        <v>1</v>
      </c>
      <c r="I55" s="220"/>
      <c r="Q55" s="1777" t="str">
        <f>CHOOSE(2, "6722000002974", "▷ Blank 3")</f>
        <v>▷ Blank 3</v>
      </c>
      <c r="R55" s="3074"/>
      <c r="S55" s="3075"/>
      <c r="T55" s="3075"/>
      <c r="U55" s="3075"/>
      <c r="V55" s="3075"/>
      <c r="W55" s="3075"/>
      <c r="X55" s="3075"/>
      <c r="Y55" s="3075"/>
      <c r="Z55" s="3075"/>
      <c r="AA55" s="3075"/>
      <c r="AB55" s="3075"/>
      <c r="AC55" s="3075"/>
      <c r="AD55" s="3075"/>
      <c r="AE55" s="2558"/>
      <c r="AF55" s="2558"/>
      <c r="AG55" s="2558"/>
      <c r="AH55" s="2558"/>
      <c r="AI55" s="2558"/>
      <c r="AJ55" s="2559"/>
      <c r="AL55" s="2558"/>
      <c r="AM55" s="2558"/>
      <c r="AN55" s="2558"/>
      <c r="AO55" s="2558"/>
      <c r="AP55" s="2558"/>
      <c r="AQ55" s="2558"/>
      <c r="AR55" s="2558"/>
      <c r="AT55" s="2558"/>
      <c r="AU55" s="2558"/>
      <c r="AV55" s="2558"/>
      <c r="AW55" s="2558"/>
      <c r="AX55" s="2558"/>
      <c r="AY55" s="2558"/>
      <c r="AZ55" s="2558"/>
      <c r="BB55" s="2558"/>
      <c r="BC55" s="2558"/>
      <c r="BD55" s="2558"/>
      <c r="BE55" s="2558"/>
      <c r="BF55" s="2558"/>
      <c r="BG55" s="2558"/>
      <c r="BH55" s="2558"/>
    </row>
    <row r="56" spans="1:60" ht="15.5">
      <c r="A56" s="616">
        <f t="shared" si="1"/>
        <v>53</v>
      </c>
      <c r="B56" s="616">
        <v>1</v>
      </c>
      <c r="C56" s="616">
        <f t="shared" si="2"/>
        <v>53</v>
      </c>
      <c r="D56" s="709" t="s">
        <v>1308</v>
      </c>
      <c r="E56" s="2547">
        <v>1</v>
      </c>
      <c r="G56" s="369" t="s">
        <v>1353</v>
      </c>
      <c r="I56" s="131"/>
      <c r="J56" s="131"/>
      <c r="Q56" s="1772" t="str">
        <f>CHOOSE(2, "6722000002975", "1-3.Total Personnel Costs")</f>
        <v>1-3.Total Personnel Costs</v>
      </c>
      <c r="R56" s="2557"/>
      <c r="AA56" s="2558"/>
      <c r="AB56" s="2558"/>
      <c r="AC56" s="2558"/>
      <c r="AD56" s="2558"/>
      <c r="AE56" s="2558"/>
      <c r="AF56" s="2558"/>
      <c r="AG56" s="2558"/>
      <c r="AH56" s="2558"/>
      <c r="AI56" s="2558"/>
      <c r="AJ56" s="2559"/>
      <c r="AL56" s="2558"/>
      <c r="AM56" s="2558"/>
      <c r="AN56" s="2558"/>
      <c r="AO56" s="2558"/>
      <c r="AP56" s="2558"/>
      <c r="AQ56" s="2558"/>
      <c r="AR56" s="2558"/>
      <c r="AT56" s="2558"/>
      <c r="AU56" s="2558"/>
      <c r="AV56" s="2558"/>
      <c r="AW56" s="2558"/>
      <c r="AX56" s="2558"/>
      <c r="AY56" s="2558"/>
      <c r="AZ56" s="2558"/>
      <c r="BB56" s="2558"/>
      <c r="BC56" s="2558"/>
      <c r="BD56" s="2558"/>
      <c r="BE56" s="2558"/>
      <c r="BF56" s="2558"/>
      <c r="BG56" s="2558"/>
      <c r="BH56" s="2558"/>
    </row>
    <row r="57" spans="1:60" ht="14.5">
      <c r="A57" s="616">
        <f t="shared" si="1"/>
        <v>54</v>
      </c>
      <c r="B57" s="616">
        <v>1</v>
      </c>
      <c r="C57" s="616">
        <f t="shared" si="2"/>
        <v>54</v>
      </c>
      <c r="D57" s="709" t="s">
        <v>1308</v>
      </c>
      <c r="E57" s="2547">
        <v>1</v>
      </c>
      <c r="I57" s="1935" t="s">
        <v>61</v>
      </c>
      <c r="J57" s="1936"/>
      <c r="K57" s="1916"/>
      <c r="L57" s="1916"/>
      <c r="M57" s="1475"/>
      <c r="N57" s="1475"/>
      <c r="O57" s="1475"/>
      <c r="P57" s="1475"/>
      <c r="Q57" s="1777" t="str">
        <f>CHOOSE(2, "6722000002976", "Total PC Personnel Costs Total")</f>
        <v>Total PC Personnel Costs Total</v>
      </c>
      <c r="R57" s="3038">
        <f t="shared" ref="R57:AC57" si="77">SUM(R58:R59)</f>
        <v>74516</v>
      </c>
      <c r="S57" s="3038">
        <f t="shared" si="77"/>
        <v>73638</v>
      </c>
      <c r="T57" s="3038">
        <f t="shared" si="77"/>
        <v>74787.43299999999</v>
      </c>
      <c r="U57" s="3038">
        <f t="shared" si="77"/>
        <v>73620.107740000007</v>
      </c>
      <c r="V57" s="3038">
        <f t="shared" si="77"/>
        <v>74471.545249999996</v>
      </c>
      <c r="W57" s="3038">
        <f t="shared" si="77"/>
        <v>77883.632988523314</v>
      </c>
      <c r="X57" s="3038">
        <f t="shared" si="77"/>
        <v>117139.45</v>
      </c>
      <c r="Y57" s="3038">
        <f t="shared" si="77"/>
        <v>82402.114000000001</v>
      </c>
      <c r="Z57" s="3038">
        <f t="shared" si="77"/>
        <v>84778.902099999992</v>
      </c>
      <c r="AA57" s="3076">
        <f t="shared" si="77"/>
        <v>81920.001000000004</v>
      </c>
      <c r="AB57" s="3076">
        <f t="shared" si="77"/>
        <v>89097.266000000003</v>
      </c>
      <c r="AC57" s="3076">
        <f t="shared" si="77"/>
        <v>69127.896845627693</v>
      </c>
      <c r="AD57" s="3077">
        <f>SUM(R57,S57,T57)</f>
        <v>222941.43299999999</v>
      </c>
      <c r="AE57" s="3076">
        <f t="shared" ref="AE57:AE59" si="78">SUM(U57,V57,W57)</f>
        <v>225975.28597852332</v>
      </c>
      <c r="AF57" s="3076">
        <f t="shared" ref="AF57:AF59" si="79">SUM(X57,Y57,Z57)</f>
        <v>284320.46610000002</v>
      </c>
      <c r="AG57" s="3076">
        <f t="shared" ref="AG57:AG59" si="80">SUM(AA57,AB57,AC57)</f>
        <v>240145.16384562769</v>
      </c>
      <c r="AH57" s="3076">
        <f>AD57+AE57</f>
        <v>448916.71897852328</v>
      </c>
      <c r="AI57" s="3076">
        <f>AG57+AF57</f>
        <v>524465.62994562765</v>
      </c>
      <c r="AJ57" s="3076">
        <f>AH57+AI57</f>
        <v>973382.34892415092</v>
      </c>
      <c r="AL57" s="3076">
        <f ca="1">SUM((INDIRECT(AL$2&amp;(ROW())):INDIRECT(AL$3&amp;(ROW()))))</f>
        <v>69127.896845627693</v>
      </c>
      <c r="AM57" s="3076">
        <f ca="1">SUM(INDIRECT(AM$1&amp;AM$2&amp;$C57):INDIRECT(AM$1&amp;AM$3&amp;$C57))</f>
        <v>30323.945833333342</v>
      </c>
      <c r="AN57" s="3078">
        <f ca="1">AL57-AM57</f>
        <v>38803.951012294347</v>
      </c>
      <c r="AO57" s="2712">
        <f ca="1">IFERROR(AL57/AM57,0)</f>
        <v>2.2796471549437816</v>
      </c>
      <c r="AP57" s="3076">
        <f ca="1">SUM(INDIRECT(AP$1&amp;AP$2&amp;$A57):INDIRECT(AP$1&amp;AP$3&amp;$A57))+SUM(INDIRECT(AP$1&amp;AP$2&amp;$B57):INDIRECT(AP$1&amp;AP$3&amp;$B57))</f>
        <v>4986.4234800000086</v>
      </c>
      <c r="AQ57" s="3078">
        <f ca="1">AL57-AP57</f>
        <v>64141.47336562768</v>
      </c>
      <c r="AR57" s="2712">
        <f ca="1">IFERROR(AL57/AP57,0)</f>
        <v>13.863222231904695</v>
      </c>
      <c r="AT57" s="3076">
        <f ca="1">SUM((INDIRECT(AT$2&amp;(ROW())):INDIRECT(AT$3&amp;(ROW()))))</f>
        <v>240145.16384562769</v>
      </c>
      <c r="AU57" s="3076">
        <f ca="1">SUM(INDIRECT(AU$1&amp;AU$2&amp;$C57):INDIRECT(AU$1&amp;AU$3&amp;$C57))</f>
        <v>90971.837500000023</v>
      </c>
      <c r="AV57" s="3078">
        <f ca="1">AT57-AU57</f>
        <v>149173.32634562766</v>
      </c>
      <c r="AW57" s="2712">
        <f ca="1">IFERROR(AT57/AU57,0)</f>
        <v>2.6397747967400091</v>
      </c>
      <c r="AX57" s="3076">
        <f ca="1">SUM(INDIRECT(AX$1&amp;AX$2&amp;$A57):INDIRECT(AX$1&amp;AX$3&amp;$A57))+SUM(INDIRECT(AX$1&amp;AX$2&amp;$B57):INDIRECT(AX$1&amp;AX$3&amp;$B57))</f>
        <v>77139.780940000011</v>
      </c>
      <c r="AY57" s="3078">
        <f ca="1">AT57-AX57</f>
        <v>163005.38290562766</v>
      </c>
      <c r="AZ57" s="2712">
        <f ca="1">IFERROR(AT57/AX57,0)</f>
        <v>3.1131170055099675</v>
      </c>
      <c r="BB57" s="3076">
        <f ca="1">SUM((INDIRECT(BB$2&amp;(ROW())):INDIRECT(BB$3&amp;(ROW()))))</f>
        <v>973382.34892415104</v>
      </c>
      <c r="BC57" s="3076">
        <f ca="1">SUM(INDIRECT(BC$1&amp;BC$2&amp;$C57):INDIRECT(BC$1&amp;BC$3&amp;$C57))</f>
        <v>151619.72916666672</v>
      </c>
      <c r="BD57" s="3078">
        <f ca="1">BB57-BC57</f>
        <v>821762.6197574843</v>
      </c>
      <c r="BE57" s="2712">
        <f ca="1">IFERROR(BB57/BC57,0)</f>
        <v>6.4198924129073509</v>
      </c>
      <c r="BF57" s="3076">
        <f ca="1">SUM(INDIRECT(BF$1&amp;BF$2&amp;$A57):INDIRECT(BF$1&amp;BF$3&amp;$A57))+SUM(INDIRECT(BF$1&amp;BF$2&amp;$B57):INDIRECT(BF$1&amp;BF$3&amp;$B57))</f>
        <v>352411.89160000003</v>
      </c>
      <c r="BG57" s="3078">
        <f ca="1">BB57-BF57</f>
        <v>620970.45732415095</v>
      </c>
      <c r="BH57" s="2712">
        <f ca="1">IFERROR(BB57/BF57,0)</f>
        <v>2.7620587503584426</v>
      </c>
    </row>
    <row r="58" spans="1:60" ht="14.5">
      <c r="A58" s="616">
        <f t="shared" si="1"/>
        <v>55</v>
      </c>
      <c r="B58" s="616">
        <v>1</v>
      </c>
      <c r="C58" s="616">
        <f t="shared" si="2"/>
        <v>55</v>
      </c>
      <c r="D58" s="709" t="s">
        <v>1308</v>
      </c>
      <c r="E58" s="2547">
        <v>1</v>
      </c>
      <c r="I58" s="139"/>
      <c r="J58" s="1939" t="s">
        <v>1354</v>
      </c>
      <c r="K58" s="1940"/>
      <c r="L58" s="1940"/>
      <c r="M58" s="487"/>
      <c r="N58" s="487"/>
      <c r="O58" s="487"/>
      <c r="P58" s="487"/>
      <c r="Q58" s="1782" t="str">
        <f>CHOOSE(2, "6722000002977", "Total PC Personnel Costs Total Included in COGS")</f>
        <v>Total PC Personnel Costs Total Included in COGS</v>
      </c>
      <c r="R58" s="1384">
        <f>R835</f>
        <v>16742</v>
      </c>
      <c r="S58" s="1384">
        <f t="shared" ref="S58:AC58" si="81">S835</f>
        <v>17045</v>
      </c>
      <c r="T58" s="1384">
        <f t="shared" si="81"/>
        <v>17009</v>
      </c>
      <c r="U58" s="1384">
        <f t="shared" si="81"/>
        <v>18805</v>
      </c>
      <c r="V58" s="1384">
        <f t="shared" si="81"/>
        <v>17345.275249999995</v>
      </c>
      <c r="W58" s="1384">
        <f t="shared" si="81"/>
        <v>16553.602988523315</v>
      </c>
      <c r="X58" s="1384">
        <f t="shared" si="81"/>
        <v>28963</v>
      </c>
      <c r="Y58" s="1384">
        <f t="shared" si="81"/>
        <v>16336</v>
      </c>
      <c r="Z58" s="1384">
        <f t="shared" si="81"/>
        <v>16638</v>
      </c>
      <c r="AA58" s="1385">
        <f t="shared" si="81"/>
        <v>16254</v>
      </c>
      <c r="AB58" s="1385">
        <f t="shared" si="81"/>
        <v>25775</v>
      </c>
      <c r="AC58" s="1385">
        <f t="shared" si="81"/>
        <v>13377</v>
      </c>
      <c r="AD58" s="3079">
        <f>SUM(R58,S58,T58)</f>
        <v>50796</v>
      </c>
      <c r="AE58" s="1385">
        <f t="shared" si="78"/>
        <v>52703.878238523306</v>
      </c>
      <c r="AF58" s="1385">
        <f t="shared" si="79"/>
        <v>61937</v>
      </c>
      <c r="AG58" s="1385">
        <f t="shared" si="80"/>
        <v>55406</v>
      </c>
      <c r="AH58" s="1385">
        <f>AD58+AE58</f>
        <v>103499.87823852331</v>
      </c>
      <c r="AI58" s="1385">
        <f>AG58+AF58</f>
        <v>117343</v>
      </c>
      <c r="AJ58" s="1385">
        <f>AH58+AI58</f>
        <v>220842.87823852332</v>
      </c>
      <c r="AL58" s="1385">
        <f ca="1">SUM((INDIRECT(AL$2&amp;(ROW())):INDIRECT(AL$3&amp;(ROW()))))</f>
        <v>13377</v>
      </c>
      <c r="AM58" s="1385">
        <f ca="1">SUM(INDIRECT(AM$1&amp;AM$2&amp;$C58):INDIRECT(AM$1&amp;AM$3&amp;$C58))</f>
        <v>0</v>
      </c>
      <c r="AN58" s="3080">
        <f ca="1">AL58-AM58</f>
        <v>13377</v>
      </c>
      <c r="AO58" s="2714">
        <f ca="1">IFERROR(AL58/AM58,0)</f>
        <v>0</v>
      </c>
      <c r="AP58" s="1385">
        <f ca="1">SUM(INDIRECT(AP$1&amp;AP$2&amp;$A58):INDIRECT(AP$1&amp;AP$3&amp;$A58))+SUM(INDIRECT(AP$1&amp;AP$2&amp;$B58):INDIRECT(AP$1&amp;AP$3&amp;$B58))</f>
        <v>0</v>
      </c>
      <c r="AQ58" s="3080">
        <f ca="1">AL58-AP58</f>
        <v>13377</v>
      </c>
      <c r="AR58" s="2714">
        <f ca="1">IFERROR(AL58/AP58,0)</f>
        <v>0</v>
      </c>
      <c r="AT58" s="1385">
        <f ca="1">SUM((INDIRECT(AT$2&amp;(ROW())):INDIRECT(AT$3&amp;(ROW()))))</f>
        <v>55406</v>
      </c>
      <c r="AU58" s="1385">
        <f ca="1">SUM(INDIRECT(AU$1&amp;AU$2&amp;$C58):INDIRECT(AU$1&amp;AU$3&amp;$C58))</f>
        <v>0</v>
      </c>
      <c r="AV58" s="3080">
        <f ca="1">AT58-AU58</f>
        <v>55406</v>
      </c>
      <c r="AW58" s="2714">
        <f ca="1">IFERROR(AT58/AU58,0)</f>
        <v>0</v>
      </c>
      <c r="AX58" s="1385">
        <f ca="1">SUM(INDIRECT(AX$1&amp;AX$2&amp;$A58):INDIRECT(AX$1&amp;AX$3&amp;$A58))+SUM(INDIRECT(AX$1&amp;AX$2&amp;$B58):INDIRECT(AX$1&amp;AX$3&amp;$B58))</f>
        <v>0</v>
      </c>
      <c r="AY58" s="3080">
        <f ca="1">AT58-AX58</f>
        <v>55406</v>
      </c>
      <c r="AZ58" s="2714">
        <f ca="1">IFERROR(AT58/AX58,0)</f>
        <v>0</v>
      </c>
      <c r="BB58" s="1385">
        <f ca="1">SUM((INDIRECT(BB$2&amp;(ROW())):INDIRECT(BB$3&amp;(ROW()))))</f>
        <v>220842.87823852332</v>
      </c>
      <c r="BC58" s="1385">
        <f ca="1">SUM(INDIRECT(BC$1&amp;BC$2&amp;$C58):INDIRECT(BC$1&amp;BC$3&amp;$C58))</f>
        <v>0</v>
      </c>
      <c r="BD58" s="3080">
        <f ca="1">BB58-BC58</f>
        <v>220842.87823852332</v>
      </c>
      <c r="BE58" s="2714">
        <f ca="1">IFERROR(BB58/BC58,0)</f>
        <v>0</v>
      </c>
      <c r="BF58" s="1385">
        <f ca="1">SUM(INDIRECT(BF$1&amp;BF$2&amp;$A58):INDIRECT(BF$1&amp;BF$3&amp;$A58))+SUM(INDIRECT(BF$1&amp;BF$2&amp;$B58):INDIRECT(BF$1&amp;BF$3&amp;$B58))</f>
        <v>0</v>
      </c>
      <c r="BG58" s="3080">
        <f ca="1">BB58-BF58</f>
        <v>220842.87823852332</v>
      </c>
      <c r="BH58" s="2714">
        <f ca="1">IFERROR(BB58/BF58,0)</f>
        <v>0</v>
      </c>
    </row>
    <row r="59" spans="1:60" ht="14.5">
      <c r="A59" s="616">
        <f t="shared" si="1"/>
        <v>56</v>
      </c>
      <c r="B59" s="616">
        <v>1</v>
      </c>
      <c r="C59" s="616">
        <f t="shared" si="2"/>
        <v>56</v>
      </c>
      <c r="D59" s="709" t="s">
        <v>1308</v>
      </c>
      <c r="E59" s="2547">
        <v>1</v>
      </c>
      <c r="I59" s="135"/>
      <c r="J59" s="134" t="s">
        <v>1355</v>
      </c>
      <c r="K59" s="16"/>
      <c r="L59" s="16"/>
      <c r="M59" s="11"/>
      <c r="N59" s="11"/>
      <c r="O59" s="11"/>
      <c r="P59" s="11"/>
      <c r="Q59" s="1777" t="str">
        <f>CHOOSE(2, "6722000002978", "Total PC Personnel Costs Total Included in SG&amp;A")</f>
        <v>Total PC Personnel Costs Total Included in SG&amp;A</v>
      </c>
      <c r="R59" s="15">
        <f t="shared" ref="R59:AC59" si="82">R44</f>
        <v>57774</v>
      </c>
      <c r="S59" s="15">
        <f t="shared" si="82"/>
        <v>56593</v>
      </c>
      <c r="T59" s="15">
        <f t="shared" si="82"/>
        <v>57778.432999999997</v>
      </c>
      <c r="U59" s="15">
        <f t="shared" si="82"/>
        <v>54815.107739999999</v>
      </c>
      <c r="V59" s="15">
        <f t="shared" si="82"/>
        <v>57126.27</v>
      </c>
      <c r="W59" s="15">
        <f t="shared" si="82"/>
        <v>61330.030000000006</v>
      </c>
      <c r="X59" s="15">
        <f t="shared" si="82"/>
        <v>88176.45</v>
      </c>
      <c r="Y59" s="15">
        <f t="shared" si="82"/>
        <v>66066.114000000001</v>
      </c>
      <c r="Z59" s="15">
        <f t="shared" si="82"/>
        <v>68140.902099999992</v>
      </c>
      <c r="AA59" s="123">
        <f t="shared" si="82"/>
        <v>65666.001000000004</v>
      </c>
      <c r="AB59" s="123">
        <f t="shared" si="82"/>
        <v>63322.265999999996</v>
      </c>
      <c r="AC59" s="123">
        <f t="shared" si="82"/>
        <v>55750.8968456277</v>
      </c>
      <c r="AD59" s="122">
        <f>SUM(R59,S59,T59)</f>
        <v>172145.43299999999</v>
      </c>
      <c r="AE59" s="123">
        <f t="shared" si="78"/>
        <v>173271.40774</v>
      </c>
      <c r="AF59" s="123">
        <f t="shared" si="79"/>
        <v>222383.46610000002</v>
      </c>
      <c r="AG59" s="123">
        <f t="shared" si="80"/>
        <v>184739.16384562769</v>
      </c>
      <c r="AH59" s="123">
        <f>AD59+AE59</f>
        <v>345416.84074000001</v>
      </c>
      <c r="AI59" s="123">
        <f>AG59+AF59</f>
        <v>407122.6299456277</v>
      </c>
      <c r="AJ59" s="123">
        <f>AH59+AI59</f>
        <v>752539.47068562778</v>
      </c>
      <c r="AL59" s="123">
        <f ca="1">SUM((INDIRECT(AL$2&amp;(ROW())):INDIRECT(AL$3&amp;(ROW()))))</f>
        <v>55750.8968456277</v>
      </c>
      <c r="AM59" s="123">
        <f ca="1">SUM(INDIRECT(AM$1&amp;AM$2&amp;$C59):INDIRECT(AM$1&amp;AM$3&amp;$C59))</f>
        <v>0</v>
      </c>
      <c r="AN59" s="3081">
        <f ca="1">AL59-AM59</f>
        <v>55750.8968456277</v>
      </c>
      <c r="AO59" s="2716">
        <f ca="1">IFERROR(AL59/AM59,0)</f>
        <v>0</v>
      </c>
      <c r="AP59" s="123">
        <f ca="1">SUM(INDIRECT(AP$1&amp;AP$2&amp;$A59):INDIRECT(AP$1&amp;AP$3&amp;$A59))+SUM(INDIRECT(AP$1&amp;AP$2&amp;$B59):INDIRECT(AP$1&amp;AP$3&amp;$B59))</f>
        <v>0</v>
      </c>
      <c r="AQ59" s="3081">
        <f ca="1">AL59-AP59</f>
        <v>55750.8968456277</v>
      </c>
      <c r="AR59" s="2716">
        <f ca="1">IFERROR(AL59/AP59,0)</f>
        <v>0</v>
      </c>
      <c r="AT59" s="123">
        <f ca="1">SUM((INDIRECT(AT$2&amp;(ROW())):INDIRECT(AT$3&amp;(ROW()))))</f>
        <v>184739.16384562769</v>
      </c>
      <c r="AU59" s="123">
        <f ca="1">SUM(INDIRECT(AU$1&amp;AU$2&amp;$C59):INDIRECT(AU$1&amp;AU$3&amp;$C59))</f>
        <v>0</v>
      </c>
      <c r="AV59" s="3081">
        <f ca="1">AT59-AU59</f>
        <v>184739.16384562769</v>
      </c>
      <c r="AW59" s="2716">
        <f ca="1">IFERROR(AT59/AU59,0)</f>
        <v>0</v>
      </c>
      <c r="AX59" s="123">
        <f ca="1">SUM(INDIRECT(AX$1&amp;AX$2&amp;$A59):INDIRECT(AX$1&amp;AX$3&amp;$A59))+SUM(INDIRECT(AX$1&amp;AX$2&amp;$B59):INDIRECT(AX$1&amp;AX$3&amp;$B59))</f>
        <v>0</v>
      </c>
      <c r="AY59" s="3081">
        <f ca="1">AT59-AX59</f>
        <v>184739.16384562769</v>
      </c>
      <c r="AZ59" s="2716">
        <f ca="1">IFERROR(AT59/AX59,0)</f>
        <v>0</v>
      </c>
      <c r="BB59" s="123">
        <f ca="1">SUM((INDIRECT(BB$2&amp;(ROW())):INDIRECT(BB$3&amp;(ROW()))))</f>
        <v>752539.47068562766</v>
      </c>
      <c r="BC59" s="123">
        <f ca="1">SUM(INDIRECT(BC$1&amp;BC$2&amp;$C59):INDIRECT(BC$1&amp;BC$3&amp;$C59))</f>
        <v>0</v>
      </c>
      <c r="BD59" s="3081">
        <f ca="1">BB59-BC59</f>
        <v>752539.47068562766</v>
      </c>
      <c r="BE59" s="2716">
        <f ca="1">IFERROR(BB59/BC59,0)</f>
        <v>0</v>
      </c>
      <c r="BF59" s="123">
        <f ca="1">SUM(INDIRECT(BF$1&amp;BF$2&amp;$A59):INDIRECT(BF$1&amp;BF$3&amp;$A59))+SUM(INDIRECT(BF$1&amp;BF$2&amp;$B59):INDIRECT(BF$1&amp;BF$3&amp;$B59))</f>
        <v>0</v>
      </c>
      <c r="BG59" s="3081">
        <f ca="1">BB59-BF59</f>
        <v>752539.47068562766</v>
      </c>
      <c r="BH59" s="2716">
        <f ca="1">IFERROR(BB59/BF59,0)</f>
        <v>0</v>
      </c>
    </row>
    <row r="60" spans="1:60" ht="14.5">
      <c r="A60" s="616">
        <f t="shared" si="1"/>
        <v>57</v>
      </c>
      <c r="B60" s="616">
        <v>1</v>
      </c>
      <c r="C60" s="616">
        <f t="shared" si="2"/>
        <v>57</v>
      </c>
      <c r="D60" s="709" t="s">
        <v>1308</v>
      </c>
      <c r="E60" s="2547">
        <v>1</v>
      </c>
      <c r="I60" s="220"/>
      <c r="Q60" s="1772" t="str">
        <f>CHOOSE(2, "6722000002979", "▷ Blank 4")</f>
        <v>▷ Blank 4</v>
      </c>
      <c r="R60" s="2557"/>
      <c r="AA60" s="2558"/>
      <c r="AB60" s="2558"/>
      <c r="AC60" s="2558"/>
      <c r="AD60" s="2558"/>
      <c r="AE60" s="2558"/>
      <c r="AF60" s="2558"/>
      <c r="AG60" s="2558"/>
      <c r="AH60" s="2558"/>
      <c r="AI60" s="2558"/>
      <c r="AJ60" s="2559"/>
      <c r="AL60" s="2558"/>
      <c r="AM60" s="2558"/>
      <c r="AN60" s="2558"/>
      <c r="AO60" s="2558"/>
      <c r="AP60" s="2558"/>
      <c r="AQ60" s="2558"/>
      <c r="AR60" s="2558"/>
      <c r="AT60" s="2558"/>
      <c r="AU60" s="2558"/>
      <c r="AV60" s="2558"/>
      <c r="AW60" s="2558"/>
      <c r="AX60" s="2558"/>
      <c r="AY60" s="2558"/>
      <c r="AZ60" s="2558"/>
      <c r="BB60" s="2558"/>
      <c r="BC60" s="2558"/>
      <c r="BD60" s="2558"/>
      <c r="BE60" s="2558"/>
      <c r="BF60" s="2558"/>
      <c r="BG60" s="2558"/>
      <c r="BH60" s="2558"/>
    </row>
    <row r="61" spans="1:60" ht="16.5" customHeight="1">
      <c r="A61" s="616">
        <f t="shared" si="1"/>
        <v>58</v>
      </c>
      <c r="B61" s="616">
        <v>1</v>
      </c>
      <c r="C61" s="616">
        <f t="shared" si="2"/>
        <v>58</v>
      </c>
      <c r="D61" s="709" t="s">
        <v>1308</v>
      </c>
      <c r="E61" s="2547">
        <v>1</v>
      </c>
      <c r="G61" s="369" t="s">
        <v>1356</v>
      </c>
      <c r="I61" s="131"/>
      <c r="J61" s="131"/>
      <c r="K61" s="131"/>
      <c r="L61" s="131"/>
      <c r="M61" s="131"/>
      <c r="N61" s="131"/>
      <c r="O61" s="131"/>
      <c r="P61" s="131"/>
      <c r="Q61" s="1777" t="str">
        <f>CHOOSE(2, "6722000002980", "1-4.Break-down of Other Income, Other Expense")</f>
        <v>1-4.Break-down of Other Income, Other Expense</v>
      </c>
      <c r="R61" s="3082"/>
      <c r="AA61" s="2558"/>
      <c r="AB61" s="2558"/>
      <c r="AC61" s="2558"/>
      <c r="AD61" s="2558"/>
      <c r="AE61" s="2558"/>
      <c r="AF61" s="2558"/>
      <c r="AG61" s="2558"/>
      <c r="AH61" s="2558"/>
      <c r="AI61" s="2558"/>
      <c r="AJ61" s="2559"/>
      <c r="AL61" s="2558"/>
      <c r="AM61" s="2558"/>
      <c r="AN61" s="2558"/>
      <c r="AO61" s="2558"/>
      <c r="AP61" s="2558"/>
      <c r="AQ61" s="2558"/>
      <c r="AR61" s="2558"/>
      <c r="AT61" s="2558"/>
      <c r="AU61" s="2558"/>
      <c r="AV61" s="2558"/>
      <c r="AW61" s="2558"/>
      <c r="AX61" s="2558"/>
      <c r="AY61" s="2558"/>
      <c r="AZ61" s="2558"/>
      <c r="BB61" s="2558"/>
      <c r="BC61" s="2558"/>
      <c r="BD61" s="2558"/>
      <c r="BE61" s="2558"/>
      <c r="BF61" s="2558"/>
      <c r="BG61" s="2558"/>
      <c r="BH61" s="2558"/>
    </row>
    <row r="62" spans="1:60" ht="14.5">
      <c r="A62" s="616">
        <f t="shared" si="1"/>
        <v>59</v>
      </c>
      <c r="B62" s="616">
        <v>1</v>
      </c>
      <c r="C62" s="616">
        <f t="shared" si="2"/>
        <v>59</v>
      </c>
      <c r="D62" s="709" t="s">
        <v>1308</v>
      </c>
      <c r="E62" s="2547">
        <v>1</v>
      </c>
      <c r="I62" s="1477" t="s">
        <v>1357</v>
      </c>
      <c r="J62" s="1946"/>
      <c r="K62" s="1946"/>
      <c r="L62" s="1946"/>
      <c r="M62" s="1946"/>
      <c r="N62" s="1946"/>
      <c r="O62" s="1946"/>
      <c r="P62" s="1946"/>
      <c r="Q62" s="1777" t="str">
        <f>CHOOSE(2, "6722000002981", "BO,OE Other income")</f>
        <v>BO,OE Other income</v>
      </c>
      <c r="R62" s="3038">
        <f t="shared" ref="R62:AJ62" si="83">R26</f>
        <v>9951</v>
      </c>
      <c r="S62" s="3038">
        <f t="shared" si="83"/>
        <v>376</v>
      </c>
      <c r="T62" s="3038">
        <f t="shared" si="83"/>
        <v>21.466273979496748</v>
      </c>
      <c r="U62" s="3038">
        <f t="shared" si="83"/>
        <v>236</v>
      </c>
      <c r="V62" s="3038">
        <f t="shared" si="83"/>
        <v>440.28</v>
      </c>
      <c r="W62" s="3038">
        <f t="shared" si="83"/>
        <v>20</v>
      </c>
      <c r="X62" s="3038">
        <f t="shared" si="83"/>
        <v>0</v>
      </c>
      <c r="Y62" s="3038">
        <f t="shared" si="83"/>
        <v>277</v>
      </c>
      <c r="Z62" s="3038">
        <f t="shared" si="83"/>
        <v>90965.32</v>
      </c>
      <c r="AA62" s="3038">
        <f t="shared" si="83"/>
        <v>5293</v>
      </c>
      <c r="AB62" s="3038">
        <f t="shared" si="83"/>
        <v>1273.2400000000002</v>
      </c>
      <c r="AC62" s="3038">
        <f t="shared" si="83"/>
        <v>34895.301446465513</v>
      </c>
      <c r="AD62" s="3077">
        <f t="shared" si="83"/>
        <v>10348.466273979497</v>
      </c>
      <c r="AE62" s="3076">
        <f t="shared" si="83"/>
        <v>696.28</v>
      </c>
      <c r="AF62" s="3076">
        <f t="shared" si="83"/>
        <v>91242.32</v>
      </c>
      <c r="AG62" s="3076">
        <f t="shared" si="83"/>
        <v>41461.541446465511</v>
      </c>
      <c r="AH62" s="3076">
        <f t="shared" si="83"/>
        <v>11044.746273979497</v>
      </c>
      <c r="AI62" s="3076">
        <f t="shared" si="83"/>
        <v>132703.86144646551</v>
      </c>
      <c r="AJ62" s="3077">
        <f t="shared" si="83"/>
        <v>143748.607720445</v>
      </c>
      <c r="AL62" s="3076">
        <f ca="1">SUM((INDIRECT(AL$2&amp;(ROW())):INDIRECT(AL$3&amp;(ROW()))))</f>
        <v>34895.301446465513</v>
      </c>
      <c r="AM62" s="3077">
        <f ca="1">SUM(INDIRECT(AM$1&amp;AM$2&amp;$C62):INDIRECT(AM$1&amp;AM$3&amp;$C62))</f>
        <v>67552.120833333334</v>
      </c>
      <c r="AN62" s="3083">
        <f t="shared" ref="AN62:AN73" ca="1" si="84">AL62-AM62</f>
        <v>-32656.819386867821</v>
      </c>
      <c r="AO62" s="2718">
        <f t="shared" ref="AO62:AO73" ca="1" si="85">IFERROR(AL62/AM62,0)</f>
        <v>0.51656855500599708</v>
      </c>
      <c r="AP62" s="3077">
        <f ca="1">SUM(INDIRECT(AP$1&amp;AP$2&amp;$A62):INDIRECT(AP$1&amp;AP$3&amp;$A62))+SUM(INDIRECT(AP$1&amp;AP$2&amp;$B62):INDIRECT(AP$1&amp;AP$3&amp;$B62))</f>
        <v>63322.265999999996</v>
      </c>
      <c r="AQ62" s="3083">
        <f t="shared" ref="AQ62:AQ73" ca="1" si="86">AL62-AP62</f>
        <v>-28426.964553534483</v>
      </c>
      <c r="AR62" s="2718">
        <f t="shared" ref="AR62:AR73" ca="1" si="87">IFERROR(AL62/AP62,0)</f>
        <v>0.55107474275266011</v>
      </c>
      <c r="AT62" s="3076">
        <f ca="1">SUM((INDIRECT(AT$2&amp;(ROW())):INDIRECT(AT$3&amp;(ROW()))))</f>
        <v>41461.541446465511</v>
      </c>
      <c r="AU62" s="3077">
        <f ca="1">SUM(INDIRECT(AU$1&amp;AU$2&amp;$C62):INDIRECT(AU$1&amp;AU$3&amp;$C62))</f>
        <v>202656.36249999999</v>
      </c>
      <c r="AV62" s="3083">
        <f t="shared" ref="AV62:AV73" ca="1" si="88">AT62-AU62</f>
        <v>-161194.82105353448</v>
      </c>
      <c r="AW62" s="2718">
        <f t="shared" ref="AW62:AW73" ca="1" si="89">IFERROR(AT62/AU62,0)</f>
        <v>0.20459037621612058</v>
      </c>
      <c r="AX62" s="3077">
        <f ca="1">SUM(INDIRECT(AX$1&amp;AX$2&amp;$A62):INDIRECT(AX$1&amp;AX$3&amp;$A62))+SUM(INDIRECT(AX$1&amp;AX$2&amp;$B62):INDIRECT(AX$1&amp;AX$3&amp;$B62))</f>
        <v>197129.1691</v>
      </c>
      <c r="AY62" s="3083">
        <f t="shared" ref="AY62:AY73" ca="1" si="90">AT62-AX62</f>
        <v>-155667.6276535345</v>
      </c>
      <c r="AZ62" s="2718">
        <f t="shared" ref="AZ62:AZ73" ca="1" si="91">IFERROR(AT62/AX62,0)</f>
        <v>0.21032677018707888</v>
      </c>
      <c r="BB62" s="3076">
        <f ca="1">SUM((INDIRECT(BB$2&amp;(ROW())):INDIRECT(BB$3&amp;(ROW()))))</f>
        <v>143748.60772044503</v>
      </c>
      <c r="BC62" s="3077">
        <f ca="1">SUM(INDIRECT(BC$1&amp;BC$2&amp;$C62):INDIRECT(BC$1&amp;BC$3&amp;$C62))</f>
        <v>337760.60416666669</v>
      </c>
      <c r="BD62" s="3083">
        <f t="shared" ref="BD62:BD73" ca="1" si="92">BB62-BC62</f>
        <v>-194011.99644622166</v>
      </c>
      <c r="BE62" s="2718">
        <f t="shared" ref="BE62:BE73" ca="1" si="93">IFERROR(BB62/BC62,0)</f>
        <v>0.42559317441744277</v>
      </c>
      <c r="BF62" s="3077">
        <f ca="1">SUM(INDIRECT(BF$1&amp;BF$2&amp;$A62):INDIRECT(BF$1&amp;BF$3&amp;$A62))+SUM(INDIRECT(BF$1&amp;BF$2&amp;$B62):INDIRECT(BF$1&amp;BF$3&amp;$B62))</f>
        <v>696788.57383999997</v>
      </c>
      <c r="BG62" s="3083">
        <f t="shared" ref="BG62:BG73" ca="1" si="94">BB62-BF62</f>
        <v>-553039.96611955494</v>
      </c>
      <c r="BH62" s="2718">
        <f t="shared" ref="BH62:BH73" ca="1" si="95">IFERROR(BB62/BF62,0)</f>
        <v>0.20630161445995998</v>
      </c>
    </row>
    <row r="63" spans="1:60" ht="14.5">
      <c r="A63" s="616">
        <f t="shared" si="1"/>
        <v>60</v>
      </c>
      <c r="B63" s="616">
        <v>1</v>
      </c>
      <c r="C63" s="616">
        <f t="shared" si="2"/>
        <v>60</v>
      </c>
      <c r="D63" s="709" t="s">
        <v>1308</v>
      </c>
      <c r="E63" s="2547">
        <v>1</v>
      </c>
      <c r="I63" s="132"/>
      <c r="J63" s="8" t="s">
        <v>1358</v>
      </c>
      <c r="K63" s="131"/>
      <c r="L63" s="131"/>
      <c r="M63" s="131"/>
      <c r="N63" s="131"/>
      <c r="O63" s="131"/>
      <c r="P63" s="131"/>
      <c r="Q63" s="1781" t="str">
        <f>CHOOSE(2, "6722000002982", "BO,OE Other income  RP,PE")</f>
        <v>BO,OE Other income  RP,PE</v>
      </c>
      <c r="R63" s="1281">
        <v>0</v>
      </c>
      <c r="S63" s="1281">
        <v>0</v>
      </c>
      <c r="T63" s="1281">
        <v>0</v>
      </c>
      <c r="U63" s="1281">
        <v>0</v>
      </c>
      <c r="V63" s="1281">
        <v>0</v>
      </c>
      <c r="W63" s="1281">
        <v>0</v>
      </c>
      <c r="X63" s="1281">
        <v>0</v>
      </c>
      <c r="Y63" s="1281">
        <v>0</v>
      </c>
      <c r="Z63" s="1281">
        <v>0</v>
      </c>
      <c r="AA63" s="1281">
        <v>0</v>
      </c>
      <c r="AB63" s="1281">
        <v>0</v>
      </c>
      <c r="AC63" s="1281">
        <v>0</v>
      </c>
      <c r="AD63" s="125">
        <f>SUM(R63,S63,T63)</f>
        <v>0</v>
      </c>
      <c r="AE63" s="126">
        <f t="shared" ref="AE63:AE66" si="96">SUM(U63,V63,W63)</f>
        <v>0</v>
      </c>
      <c r="AF63" s="126">
        <f t="shared" ref="AF63:AF66" si="97">SUM(X63,Y63,Z63)</f>
        <v>0</v>
      </c>
      <c r="AG63" s="126">
        <f t="shared" ref="AG63:AG66" si="98">SUM(AA63,AB63,AC63)</f>
        <v>0</v>
      </c>
      <c r="AH63" s="126">
        <f>AD63+AE63</f>
        <v>0</v>
      </c>
      <c r="AI63" s="126">
        <f>AG63+AF63</f>
        <v>0</v>
      </c>
      <c r="AJ63" s="125">
        <f>AH63+AI63</f>
        <v>0</v>
      </c>
      <c r="AL63" s="126">
        <f ca="1">SUM((INDIRECT(AL$2&amp;(ROW())):INDIRECT(AL$3&amp;(ROW()))))</f>
        <v>0</v>
      </c>
      <c r="AM63" s="125">
        <f ca="1">SUM(INDIRECT(AM$1&amp;AM$2&amp;$C63):INDIRECT(AM$1&amp;AM$3&amp;$C63))</f>
        <v>0</v>
      </c>
      <c r="AN63" s="3084">
        <f t="shared" ca="1" si="84"/>
        <v>0</v>
      </c>
      <c r="AO63" s="2720">
        <f t="shared" ca="1" si="85"/>
        <v>0</v>
      </c>
      <c r="AP63" s="125">
        <f ca="1">SUM(INDIRECT(AP$1&amp;AP$2&amp;$A63):INDIRECT(AP$1&amp;AP$3&amp;$A63))+SUM(INDIRECT(AP$1&amp;AP$2&amp;$B63):INDIRECT(AP$1&amp;AP$3&amp;$B63))</f>
        <v>0</v>
      </c>
      <c r="AQ63" s="3084">
        <f t="shared" ca="1" si="86"/>
        <v>0</v>
      </c>
      <c r="AR63" s="2720">
        <f t="shared" ca="1" si="87"/>
        <v>0</v>
      </c>
      <c r="AT63" s="126">
        <f ca="1">SUM((INDIRECT(AT$2&amp;(ROW())):INDIRECT(AT$3&amp;(ROW()))))</f>
        <v>0</v>
      </c>
      <c r="AU63" s="125">
        <f ca="1">SUM(INDIRECT(AU$1&amp;AU$2&amp;$C63):INDIRECT(AU$1&amp;AU$3&amp;$C63))</f>
        <v>0</v>
      </c>
      <c r="AV63" s="3084">
        <f t="shared" ca="1" si="88"/>
        <v>0</v>
      </c>
      <c r="AW63" s="2720">
        <f t="shared" ca="1" si="89"/>
        <v>0</v>
      </c>
      <c r="AX63" s="125">
        <f ca="1">SUM(INDIRECT(AX$1&amp;AX$2&amp;$A63):INDIRECT(AX$1&amp;AX$3&amp;$A63))+SUM(INDIRECT(AX$1&amp;AX$2&amp;$B63):INDIRECT(AX$1&amp;AX$3&amp;$B63))</f>
        <v>0</v>
      </c>
      <c r="AY63" s="3084">
        <f t="shared" ca="1" si="90"/>
        <v>0</v>
      </c>
      <c r="AZ63" s="2720">
        <f t="shared" ca="1" si="91"/>
        <v>0</v>
      </c>
      <c r="BB63" s="126">
        <f ca="1">SUM((INDIRECT(BB$2&amp;(ROW())):INDIRECT(BB$3&amp;(ROW()))))</f>
        <v>0</v>
      </c>
      <c r="BC63" s="125">
        <f ca="1">SUM(INDIRECT(BC$1&amp;BC$2&amp;$C63):INDIRECT(BC$1&amp;BC$3&amp;$C63))</f>
        <v>0</v>
      </c>
      <c r="BD63" s="3084">
        <f t="shared" ca="1" si="92"/>
        <v>0</v>
      </c>
      <c r="BE63" s="2720">
        <f t="shared" ca="1" si="93"/>
        <v>0</v>
      </c>
      <c r="BF63" s="125">
        <f ca="1">SUM(INDIRECT(BF$1&amp;BF$2&amp;$A63):INDIRECT(BF$1&amp;BF$3&amp;$A63))+SUM(INDIRECT(BF$1&amp;BF$2&amp;$B63):INDIRECT(BF$1&amp;BF$3&amp;$B63))</f>
        <v>0</v>
      </c>
      <c r="BG63" s="3084">
        <f t="shared" ca="1" si="94"/>
        <v>0</v>
      </c>
      <c r="BH63" s="2720">
        <f t="shared" ca="1" si="95"/>
        <v>0</v>
      </c>
    </row>
    <row r="64" spans="1:60" ht="14.5">
      <c r="A64" s="616">
        <f t="shared" si="1"/>
        <v>61</v>
      </c>
      <c r="B64" s="616">
        <v>1</v>
      </c>
      <c r="C64" s="616">
        <f t="shared" si="2"/>
        <v>61</v>
      </c>
      <c r="D64" s="709" t="s">
        <v>1308</v>
      </c>
      <c r="E64" s="2547">
        <v>1</v>
      </c>
      <c r="I64" s="132"/>
      <c r="J64" s="8" t="s">
        <v>1359</v>
      </c>
      <c r="K64" s="131"/>
      <c r="L64" s="131"/>
      <c r="M64" s="131"/>
      <c r="N64" s="131"/>
      <c r="O64" s="131"/>
      <c r="P64" s="131"/>
      <c r="Q64" s="1781" t="str">
        <f>CHOOSE(2, "6722000002983", "BO,OE Other income  Commissions and Fees Income")</f>
        <v>BO,OE Other income  Commissions and Fees Income</v>
      </c>
      <c r="R64" s="1281">
        <v>0</v>
      </c>
      <c r="S64" s="1281">
        <v>0</v>
      </c>
      <c r="T64" s="1281">
        <v>0</v>
      </c>
      <c r="U64" s="1281">
        <v>0</v>
      </c>
      <c r="V64" s="1281">
        <v>0</v>
      </c>
      <c r="W64" s="1281">
        <v>0</v>
      </c>
      <c r="X64" s="1281">
        <v>0</v>
      </c>
      <c r="Y64" s="1281">
        <v>0</v>
      </c>
      <c r="Z64" s="1281">
        <v>0</v>
      </c>
      <c r="AA64" s="1281">
        <v>0</v>
      </c>
      <c r="AB64" s="1281">
        <v>0</v>
      </c>
      <c r="AC64" s="1281">
        <v>0</v>
      </c>
      <c r="AD64" s="125">
        <f>SUM(R64,S64,T64)</f>
        <v>0</v>
      </c>
      <c r="AE64" s="126">
        <f t="shared" si="96"/>
        <v>0</v>
      </c>
      <c r="AF64" s="126">
        <f t="shared" si="97"/>
        <v>0</v>
      </c>
      <c r="AG64" s="126">
        <f t="shared" si="98"/>
        <v>0</v>
      </c>
      <c r="AH64" s="126">
        <f>AD64+AE64</f>
        <v>0</v>
      </c>
      <c r="AI64" s="126">
        <f>AG64+AF64</f>
        <v>0</v>
      </c>
      <c r="AJ64" s="125">
        <f>AH64+AI64</f>
        <v>0</v>
      </c>
      <c r="AL64" s="126">
        <f ca="1">SUM((INDIRECT(AL$2&amp;(ROW())):INDIRECT(AL$3&amp;(ROW()))))</f>
        <v>0</v>
      </c>
      <c r="AM64" s="125">
        <f ca="1">SUM(INDIRECT(AM$1&amp;AM$2&amp;$C64):INDIRECT(AM$1&amp;AM$3&amp;$C64))</f>
        <v>0</v>
      </c>
      <c r="AN64" s="3084">
        <f t="shared" ca="1" si="84"/>
        <v>0</v>
      </c>
      <c r="AO64" s="2720">
        <f t="shared" ca="1" si="85"/>
        <v>0</v>
      </c>
      <c r="AP64" s="125">
        <f ca="1">SUM(INDIRECT(AP$1&amp;AP$2&amp;$A64):INDIRECT(AP$1&amp;AP$3&amp;$A64))+SUM(INDIRECT(AP$1&amp;AP$2&amp;$B64):INDIRECT(AP$1&amp;AP$3&amp;$B64))</f>
        <v>0</v>
      </c>
      <c r="AQ64" s="3084">
        <f t="shared" ca="1" si="86"/>
        <v>0</v>
      </c>
      <c r="AR64" s="2720">
        <f t="shared" ca="1" si="87"/>
        <v>0</v>
      </c>
      <c r="AT64" s="126">
        <f ca="1">SUM((INDIRECT(AT$2&amp;(ROW())):INDIRECT(AT$3&amp;(ROW()))))</f>
        <v>0</v>
      </c>
      <c r="AU64" s="125">
        <f ca="1">SUM(INDIRECT(AU$1&amp;AU$2&amp;$C64):INDIRECT(AU$1&amp;AU$3&amp;$C64))</f>
        <v>0</v>
      </c>
      <c r="AV64" s="3084">
        <f t="shared" ca="1" si="88"/>
        <v>0</v>
      </c>
      <c r="AW64" s="2720">
        <f t="shared" ca="1" si="89"/>
        <v>0</v>
      </c>
      <c r="AX64" s="125">
        <f ca="1">SUM(INDIRECT(AX$1&amp;AX$2&amp;$A64):INDIRECT(AX$1&amp;AX$3&amp;$A64))+SUM(INDIRECT(AX$1&amp;AX$2&amp;$B64):INDIRECT(AX$1&amp;AX$3&amp;$B64))</f>
        <v>0</v>
      </c>
      <c r="AY64" s="3084">
        <f t="shared" ca="1" si="90"/>
        <v>0</v>
      </c>
      <c r="AZ64" s="2720">
        <f t="shared" ca="1" si="91"/>
        <v>0</v>
      </c>
      <c r="BB64" s="126">
        <f ca="1">SUM((INDIRECT(BB$2&amp;(ROW())):INDIRECT(BB$3&amp;(ROW()))))</f>
        <v>0</v>
      </c>
      <c r="BC64" s="125">
        <f ca="1">SUM(INDIRECT(BC$1&amp;BC$2&amp;$C64):INDIRECT(BC$1&amp;BC$3&amp;$C64))</f>
        <v>0</v>
      </c>
      <c r="BD64" s="3084">
        <f t="shared" ca="1" si="92"/>
        <v>0</v>
      </c>
      <c r="BE64" s="2720">
        <f t="shared" ca="1" si="93"/>
        <v>0</v>
      </c>
      <c r="BF64" s="125">
        <f ca="1">SUM(INDIRECT(BF$1&amp;BF$2&amp;$A64):INDIRECT(BF$1&amp;BF$3&amp;$A64))+SUM(INDIRECT(BF$1&amp;BF$2&amp;$B64):INDIRECT(BF$1&amp;BF$3&amp;$B64))</f>
        <v>0</v>
      </c>
      <c r="BG64" s="3084">
        <f t="shared" ca="1" si="94"/>
        <v>0</v>
      </c>
      <c r="BH64" s="2720">
        <f t="shared" ca="1" si="95"/>
        <v>0</v>
      </c>
    </row>
    <row r="65" spans="1:60" ht="14.5">
      <c r="A65" s="616">
        <f t="shared" si="1"/>
        <v>62</v>
      </c>
      <c r="B65" s="616">
        <v>1</v>
      </c>
      <c r="C65" s="616">
        <f t="shared" si="2"/>
        <v>62</v>
      </c>
      <c r="D65" s="709" t="s">
        <v>1308</v>
      </c>
      <c r="E65" s="2547">
        <v>1</v>
      </c>
      <c r="I65" s="132"/>
      <c r="J65" s="8" t="s">
        <v>1360</v>
      </c>
      <c r="K65" s="131"/>
      <c r="L65" s="131"/>
      <c r="M65" s="131"/>
      <c r="N65" s="131"/>
      <c r="O65" s="131"/>
      <c r="P65" s="131"/>
      <c r="Q65" s="1781" t="str">
        <f>CHOOSE(2, "6722000002984", "BO,OE Other income  Gains on Sales of Asset")</f>
        <v>BO,OE Other income  Gains on Sales of Asset</v>
      </c>
      <c r="R65" s="1281">
        <v>0</v>
      </c>
      <c r="S65" s="1281">
        <v>0</v>
      </c>
      <c r="T65" s="1281">
        <v>0</v>
      </c>
      <c r="U65" s="1281">
        <v>0</v>
      </c>
      <c r="V65" s="1281">
        <v>0</v>
      </c>
      <c r="W65" s="1281">
        <v>0</v>
      </c>
      <c r="X65" s="1281">
        <v>0</v>
      </c>
      <c r="Y65" s="1281">
        <v>0</v>
      </c>
      <c r="Z65" s="1281">
        <v>0</v>
      </c>
      <c r="AA65" s="1281">
        <v>0</v>
      </c>
      <c r="AB65" s="1281">
        <v>0</v>
      </c>
      <c r="AC65" s="1281">
        <v>0</v>
      </c>
      <c r="AD65" s="125">
        <f>SUM(R65,S65,T65)</f>
        <v>0</v>
      </c>
      <c r="AE65" s="126">
        <f t="shared" si="96"/>
        <v>0</v>
      </c>
      <c r="AF65" s="126">
        <f t="shared" si="97"/>
        <v>0</v>
      </c>
      <c r="AG65" s="126">
        <f t="shared" si="98"/>
        <v>0</v>
      </c>
      <c r="AH65" s="126">
        <f>AD65+AE65</f>
        <v>0</v>
      </c>
      <c r="AI65" s="126">
        <f>AG65+AF65</f>
        <v>0</v>
      </c>
      <c r="AJ65" s="125">
        <f>AH65+AI65</f>
        <v>0</v>
      </c>
      <c r="AL65" s="126">
        <f ca="1">SUM((INDIRECT(AL$2&amp;(ROW())):INDIRECT(AL$3&amp;(ROW()))))</f>
        <v>0</v>
      </c>
      <c r="AM65" s="125">
        <f ca="1">SUM(INDIRECT(AM$1&amp;AM$2&amp;$C65):INDIRECT(AM$1&amp;AM$3&amp;$C65))</f>
        <v>0</v>
      </c>
      <c r="AN65" s="3084">
        <f t="shared" ca="1" si="84"/>
        <v>0</v>
      </c>
      <c r="AO65" s="2720">
        <f t="shared" ca="1" si="85"/>
        <v>0</v>
      </c>
      <c r="AP65" s="125">
        <f ca="1">SUM(INDIRECT(AP$1&amp;AP$2&amp;$A65):INDIRECT(AP$1&amp;AP$3&amp;$A65))+SUM(INDIRECT(AP$1&amp;AP$2&amp;$B65):INDIRECT(AP$1&amp;AP$3&amp;$B65))</f>
        <v>1273.2400000000002</v>
      </c>
      <c r="AQ65" s="3084">
        <f t="shared" ca="1" si="86"/>
        <v>-1273.2400000000002</v>
      </c>
      <c r="AR65" s="2720">
        <f t="shared" ca="1" si="87"/>
        <v>0</v>
      </c>
      <c r="AT65" s="126">
        <f ca="1">SUM((INDIRECT(AT$2&amp;(ROW())):INDIRECT(AT$3&amp;(ROW()))))</f>
        <v>0</v>
      </c>
      <c r="AU65" s="125">
        <f ca="1">SUM(INDIRECT(AU$1&amp;AU$2&amp;$C65):INDIRECT(AU$1&amp;AU$3&amp;$C65))</f>
        <v>0</v>
      </c>
      <c r="AV65" s="3084">
        <f t="shared" ca="1" si="88"/>
        <v>0</v>
      </c>
      <c r="AW65" s="2720">
        <f t="shared" ca="1" si="89"/>
        <v>0</v>
      </c>
      <c r="AX65" s="125">
        <f ca="1">SUM(INDIRECT(AX$1&amp;AX$2&amp;$A65):INDIRECT(AX$1&amp;AX$3&amp;$A65))+SUM(INDIRECT(AX$1&amp;AX$2&amp;$B65):INDIRECT(AX$1&amp;AX$3&amp;$B65))</f>
        <v>97531.560000000012</v>
      </c>
      <c r="AY65" s="3084">
        <f t="shared" ca="1" si="90"/>
        <v>-97531.560000000012</v>
      </c>
      <c r="AZ65" s="2720">
        <f t="shared" ca="1" si="91"/>
        <v>0</v>
      </c>
      <c r="BB65" s="126">
        <f ca="1">SUM((INDIRECT(BB$2&amp;(ROW())):INDIRECT(BB$3&amp;(ROW()))))</f>
        <v>0</v>
      </c>
      <c r="BC65" s="125">
        <f ca="1">SUM(INDIRECT(BC$1&amp;BC$2&amp;$C65):INDIRECT(BC$1&amp;BC$3&amp;$C65))</f>
        <v>0</v>
      </c>
      <c r="BD65" s="3084">
        <f t="shared" ca="1" si="92"/>
        <v>0</v>
      </c>
      <c r="BE65" s="2720">
        <f t="shared" ca="1" si="93"/>
        <v>0</v>
      </c>
      <c r="BF65" s="125">
        <f ca="1">SUM(INDIRECT(BF$1&amp;BF$2&amp;$A65):INDIRECT(BF$1&amp;BF$3&amp;$A65))+SUM(INDIRECT(BF$1&amp;BF$2&amp;$B65):INDIRECT(BF$1&amp;BF$3&amp;$B65))</f>
        <v>108853.30627397951</v>
      </c>
      <c r="BG65" s="3084">
        <f t="shared" ca="1" si="94"/>
        <v>-108853.30627397951</v>
      </c>
      <c r="BH65" s="2720">
        <f t="shared" ca="1" si="95"/>
        <v>0</v>
      </c>
    </row>
    <row r="66" spans="1:60" ht="14.5">
      <c r="A66" s="616">
        <f t="shared" si="1"/>
        <v>63</v>
      </c>
      <c r="B66" s="616">
        <v>1</v>
      </c>
      <c r="C66" s="616">
        <f t="shared" si="2"/>
        <v>63</v>
      </c>
      <c r="D66" s="709" t="s">
        <v>1308</v>
      </c>
      <c r="E66" s="2544">
        <v>1</v>
      </c>
      <c r="F66" s="8"/>
      <c r="I66" s="132"/>
      <c r="J66" s="8" t="s">
        <v>1361</v>
      </c>
      <c r="K66" s="131"/>
      <c r="L66" s="131"/>
      <c r="M66" s="131"/>
      <c r="N66" s="131"/>
      <c r="O66" s="131"/>
      <c r="P66" s="131"/>
      <c r="Q66" s="1781" t="str">
        <f>CHOOSE(2, "6722000002985", "BO,OE Other income  Government support")</f>
        <v>BO,OE Other income  Government support</v>
      </c>
      <c r="R66" s="1281">
        <v>0</v>
      </c>
      <c r="S66" s="1281">
        <v>0</v>
      </c>
      <c r="T66" s="1281">
        <v>0</v>
      </c>
      <c r="U66" s="1281">
        <v>0</v>
      </c>
      <c r="V66" s="1281">
        <v>0</v>
      </c>
      <c r="W66" s="1281">
        <v>0</v>
      </c>
      <c r="X66" s="1281">
        <v>0</v>
      </c>
      <c r="Y66" s="1281">
        <v>0</v>
      </c>
      <c r="Z66" s="1281">
        <v>0</v>
      </c>
      <c r="AA66" s="1281">
        <v>0</v>
      </c>
      <c r="AB66" s="1281">
        <v>0</v>
      </c>
      <c r="AC66" s="1281">
        <v>0</v>
      </c>
      <c r="AD66" s="125">
        <f>SUM(R66,S66,T66)</f>
        <v>0</v>
      </c>
      <c r="AE66" s="126">
        <f t="shared" si="96"/>
        <v>0</v>
      </c>
      <c r="AF66" s="126">
        <f t="shared" si="97"/>
        <v>0</v>
      </c>
      <c r="AG66" s="126">
        <f t="shared" si="98"/>
        <v>0</v>
      </c>
      <c r="AH66" s="126">
        <f>AD66+AE66</f>
        <v>0</v>
      </c>
      <c r="AI66" s="126">
        <f>AG66+AF66</f>
        <v>0</v>
      </c>
      <c r="AJ66" s="125">
        <f>AH66+AI66</f>
        <v>0</v>
      </c>
      <c r="AL66" s="126">
        <f ca="1">SUM((INDIRECT(AL$2&amp;(ROW())):INDIRECT(AL$3&amp;(ROW()))))</f>
        <v>0</v>
      </c>
      <c r="AM66" s="125">
        <f ca="1">SUM(INDIRECT(AM$1&amp;AM$2&amp;$C66):INDIRECT(AM$1&amp;AM$3&amp;$C66))</f>
        <v>0</v>
      </c>
      <c r="AN66" s="3084">
        <f t="shared" ca="1" si="84"/>
        <v>0</v>
      </c>
      <c r="AO66" s="2720">
        <f t="shared" ca="1" si="85"/>
        <v>0</v>
      </c>
      <c r="AP66" s="125">
        <f ca="1">SUM(INDIRECT(AP$1&amp;AP$2&amp;$A66):INDIRECT(AP$1&amp;AP$3&amp;$A66))+SUM(INDIRECT(AP$1&amp;AP$2&amp;$B66):INDIRECT(AP$1&amp;AP$3&amp;$B66))</f>
        <v>0</v>
      </c>
      <c r="AQ66" s="3084">
        <f t="shared" ca="1" si="86"/>
        <v>0</v>
      </c>
      <c r="AR66" s="2720">
        <f t="shared" ca="1" si="87"/>
        <v>0</v>
      </c>
      <c r="AT66" s="126">
        <f ca="1">SUM((INDIRECT(AT$2&amp;(ROW())):INDIRECT(AT$3&amp;(ROW()))))</f>
        <v>0</v>
      </c>
      <c r="AU66" s="125">
        <f ca="1">SUM(INDIRECT(AU$1&amp;AU$2&amp;$C66):INDIRECT(AU$1&amp;AU$3&amp;$C66))</f>
        <v>0</v>
      </c>
      <c r="AV66" s="3084">
        <f t="shared" ca="1" si="88"/>
        <v>0</v>
      </c>
      <c r="AW66" s="2720">
        <f t="shared" ca="1" si="89"/>
        <v>0</v>
      </c>
      <c r="AX66" s="125">
        <f ca="1">SUM(INDIRECT(AX$1&amp;AX$2&amp;$A66):INDIRECT(AX$1&amp;AX$3&amp;$A66))+SUM(INDIRECT(AX$1&amp;AX$2&amp;$B66):INDIRECT(AX$1&amp;AX$3&amp;$B66))</f>
        <v>0</v>
      </c>
      <c r="AY66" s="3084">
        <f t="shared" ca="1" si="90"/>
        <v>0</v>
      </c>
      <c r="AZ66" s="2720">
        <f t="shared" ca="1" si="91"/>
        <v>0</v>
      </c>
      <c r="BB66" s="126">
        <f ca="1">SUM((INDIRECT(BB$2&amp;(ROW())):INDIRECT(BB$3&amp;(ROW()))))</f>
        <v>0</v>
      </c>
      <c r="BC66" s="125">
        <f ca="1">SUM(INDIRECT(BC$1&amp;BC$2&amp;$C66):INDIRECT(BC$1&amp;BC$3&amp;$C66))</f>
        <v>0</v>
      </c>
      <c r="BD66" s="3084">
        <f t="shared" ca="1" si="92"/>
        <v>0</v>
      </c>
      <c r="BE66" s="2720">
        <f t="shared" ca="1" si="93"/>
        <v>0</v>
      </c>
      <c r="BF66" s="125">
        <f ca="1">SUM(INDIRECT(BF$1&amp;BF$2&amp;$A66):INDIRECT(BF$1&amp;BF$3&amp;$A66))+SUM(INDIRECT(BF$1&amp;BF$2&amp;$B66):INDIRECT(BF$1&amp;BF$3&amp;$B66))</f>
        <v>0</v>
      </c>
      <c r="BG66" s="3084">
        <f t="shared" ca="1" si="94"/>
        <v>0</v>
      </c>
      <c r="BH66" s="2720">
        <f t="shared" ca="1" si="95"/>
        <v>0</v>
      </c>
    </row>
    <row r="67" spans="1:60" ht="14.5">
      <c r="A67" s="616">
        <f t="shared" si="1"/>
        <v>64</v>
      </c>
      <c r="B67" s="616">
        <v>1</v>
      </c>
      <c r="C67" s="616">
        <f t="shared" si="2"/>
        <v>64</v>
      </c>
      <c r="D67" s="709" t="s">
        <v>1308</v>
      </c>
      <c r="E67" s="2547">
        <v>1</v>
      </c>
      <c r="I67" s="130"/>
      <c r="J67" s="11" t="s">
        <v>1357</v>
      </c>
      <c r="K67" s="129"/>
      <c r="L67" s="129"/>
      <c r="M67" s="129"/>
      <c r="N67" s="129"/>
      <c r="O67" s="129"/>
      <c r="P67" s="129"/>
      <c r="Q67" s="1782" t="str">
        <f>CHOOSE(2, "6722000002986", "BO,OE Other income  Other income")</f>
        <v>BO,OE Other income  Other income</v>
      </c>
      <c r="R67" s="1226">
        <f>R62-SUM(R63:R66)</f>
        <v>9951</v>
      </c>
      <c r="S67" s="1226">
        <f t="shared" ref="S67:AC67" si="99">S62-SUM(S63:S66)</f>
        <v>376</v>
      </c>
      <c r="T67" s="1226">
        <f t="shared" si="99"/>
        <v>21.466273979496748</v>
      </c>
      <c r="U67" s="1226">
        <f t="shared" si="99"/>
        <v>236</v>
      </c>
      <c r="V67" s="1226">
        <f t="shared" si="99"/>
        <v>440.28</v>
      </c>
      <c r="W67" s="1226">
        <f t="shared" si="99"/>
        <v>20</v>
      </c>
      <c r="X67" s="1226">
        <f t="shared" si="99"/>
        <v>0</v>
      </c>
      <c r="Y67" s="1226">
        <f t="shared" si="99"/>
        <v>277</v>
      </c>
      <c r="Z67" s="1226">
        <f t="shared" si="99"/>
        <v>90965.32</v>
      </c>
      <c r="AA67" s="1226">
        <f t="shared" si="99"/>
        <v>5293</v>
      </c>
      <c r="AB67" s="1226">
        <f t="shared" si="99"/>
        <v>1273.2400000000002</v>
      </c>
      <c r="AC67" s="1226">
        <f t="shared" si="99"/>
        <v>34895.301446465513</v>
      </c>
      <c r="AD67" s="125">
        <f>AD62-SUM(AD63:AD66)</f>
        <v>10348.466273979497</v>
      </c>
      <c r="AE67" s="126">
        <f t="shared" ref="AE67" si="100">AE62-SUM(AE63:AE66)</f>
        <v>696.28</v>
      </c>
      <c r="AF67" s="126">
        <f>AF62-SUM(AF63:AF66)</f>
        <v>91242.32</v>
      </c>
      <c r="AG67" s="126">
        <f t="shared" ref="AG67:AJ67" si="101">AG62-SUM(AG63:AG66)</f>
        <v>41461.541446465511</v>
      </c>
      <c r="AH67" s="126">
        <f t="shared" si="101"/>
        <v>11044.746273979497</v>
      </c>
      <c r="AI67" s="126">
        <f t="shared" si="101"/>
        <v>132703.86144646551</v>
      </c>
      <c r="AJ67" s="125">
        <f t="shared" si="101"/>
        <v>143748.607720445</v>
      </c>
      <c r="AL67" s="126">
        <f ca="1">SUM((INDIRECT(AL$2&amp;(ROW())):INDIRECT(AL$3&amp;(ROW()))))</f>
        <v>34895.301446465513</v>
      </c>
      <c r="AM67" s="125">
        <f ca="1">SUM(INDIRECT(AM$1&amp;AM$2&amp;$C67):INDIRECT(AM$1&amp;AM$3&amp;$C67))</f>
        <v>0</v>
      </c>
      <c r="AN67" s="3084">
        <f t="shared" ca="1" si="84"/>
        <v>34895.301446465513</v>
      </c>
      <c r="AO67" s="2720">
        <f t="shared" ca="1" si="85"/>
        <v>0</v>
      </c>
      <c r="AP67" s="125">
        <f ca="1">SUM(INDIRECT(AP$1&amp;AP$2&amp;$A67):INDIRECT(AP$1&amp;AP$3&amp;$A67))+SUM(INDIRECT(AP$1&amp;AP$2&amp;$B67):INDIRECT(AP$1&amp;AP$3&amp;$B67))</f>
        <v>0</v>
      </c>
      <c r="AQ67" s="3084">
        <f t="shared" ca="1" si="86"/>
        <v>34895.301446465513</v>
      </c>
      <c r="AR67" s="2720">
        <f t="shared" ca="1" si="87"/>
        <v>0</v>
      </c>
      <c r="AT67" s="126">
        <f ca="1">SUM((INDIRECT(AT$2&amp;(ROW())):INDIRECT(AT$3&amp;(ROW()))))</f>
        <v>41461.541446465511</v>
      </c>
      <c r="AU67" s="125">
        <f ca="1">SUM(INDIRECT(AU$1&amp;AU$2&amp;$C67):INDIRECT(AU$1&amp;AU$3&amp;$C67))</f>
        <v>0</v>
      </c>
      <c r="AV67" s="3084">
        <f t="shared" ca="1" si="88"/>
        <v>41461.541446465511</v>
      </c>
      <c r="AW67" s="2720">
        <f t="shared" ca="1" si="89"/>
        <v>0</v>
      </c>
      <c r="AX67" s="125">
        <f ca="1">SUM(INDIRECT(AX$1&amp;AX$2&amp;$A67):INDIRECT(AX$1&amp;AX$3&amp;$A67))+SUM(INDIRECT(AX$1&amp;AX$2&amp;$B67):INDIRECT(AX$1&amp;AX$3&amp;$B67))</f>
        <v>0</v>
      </c>
      <c r="AY67" s="3084">
        <f t="shared" ca="1" si="90"/>
        <v>41461.541446465511</v>
      </c>
      <c r="AZ67" s="2720">
        <f t="shared" ca="1" si="91"/>
        <v>0</v>
      </c>
      <c r="BB67" s="126">
        <f ca="1">SUM((INDIRECT(BB$2&amp;(ROW())):INDIRECT(BB$3&amp;(ROW()))))</f>
        <v>143748.60772044503</v>
      </c>
      <c r="BC67" s="125">
        <f ca="1">SUM(INDIRECT(BC$1&amp;BC$2&amp;$C67):INDIRECT(BC$1&amp;BC$3&amp;$C67))</f>
        <v>0</v>
      </c>
      <c r="BD67" s="3084">
        <f t="shared" ca="1" si="92"/>
        <v>143748.60772044503</v>
      </c>
      <c r="BE67" s="2720">
        <f t="shared" ca="1" si="93"/>
        <v>0</v>
      </c>
      <c r="BF67" s="125">
        <f ca="1">SUM(INDIRECT(BF$1&amp;BF$2&amp;$A67):INDIRECT(BF$1&amp;BF$3&amp;$A67))+SUM(INDIRECT(BF$1&amp;BF$2&amp;$B67):INDIRECT(BF$1&amp;BF$3&amp;$B67))</f>
        <v>0</v>
      </c>
      <c r="BG67" s="3084">
        <f t="shared" ca="1" si="94"/>
        <v>143748.60772044503</v>
      </c>
      <c r="BH67" s="2720">
        <f t="shared" ca="1" si="95"/>
        <v>0</v>
      </c>
    </row>
    <row r="68" spans="1:60" ht="14.5">
      <c r="A68" s="616">
        <f t="shared" si="1"/>
        <v>65</v>
      </c>
      <c r="B68" s="616">
        <v>1</v>
      </c>
      <c r="C68" s="616">
        <f t="shared" si="2"/>
        <v>65</v>
      </c>
      <c r="D68" s="709" t="s">
        <v>1308</v>
      </c>
      <c r="E68" s="2547">
        <v>1</v>
      </c>
      <c r="I68" s="1477" t="s">
        <v>1362</v>
      </c>
      <c r="J68" s="1475"/>
      <c r="K68" s="1916"/>
      <c r="L68" s="1916"/>
      <c r="M68" s="1475"/>
      <c r="N68" s="1475"/>
      <c r="O68" s="1475"/>
      <c r="P68" s="1475"/>
      <c r="Q68" s="1777" t="str">
        <f>CHOOSE(2, "6722000002987", "BO,OE Other Expense")</f>
        <v>BO,OE Other Expense</v>
      </c>
      <c r="R68" s="3038">
        <f>R27</f>
        <v>0</v>
      </c>
      <c r="S68" s="3038">
        <f t="shared" ref="S68:AJ68" si="102">S27</f>
        <v>0</v>
      </c>
      <c r="T68" s="3038">
        <f t="shared" si="102"/>
        <v>0</v>
      </c>
      <c r="U68" s="3038">
        <f t="shared" si="102"/>
        <v>0</v>
      </c>
      <c r="V68" s="3038">
        <f t="shared" si="102"/>
        <v>0</v>
      </c>
      <c r="W68" s="3038">
        <f t="shared" si="102"/>
        <v>0</v>
      </c>
      <c r="X68" s="3038">
        <f t="shared" si="102"/>
        <v>0</v>
      </c>
      <c r="Y68" s="3038">
        <f t="shared" si="102"/>
        <v>0</v>
      </c>
      <c r="Z68" s="3038">
        <f t="shared" si="102"/>
        <v>0</v>
      </c>
      <c r="AA68" s="3038">
        <f t="shared" si="102"/>
        <v>0</v>
      </c>
      <c r="AB68" s="3038">
        <f t="shared" si="102"/>
        <v>0</v>
      </c>
      <c r="AC68" s="3038">
        <f t="shared" si="102"/>
        <v>0</v>
      </c>
      <c r="AD68" s="3077">
        <f t="shared" si="102"/>
        <v>0</v>
      </c>
      <c r="AE68" s="3076">
        <f t="shared" si="102"/>
        <v>0</v>
      </c>
      <c r="AF68" s="3076">
        <f t="shared" si="102"/>
        <v>0</v>
      </c>
      <c r="AG68" s="3076">
        <f t="shared" si="102"/>
        <v>0</v>
      </c>
      <c r="AH68" s="3076">
        <f t="shared" si="102"/>
        <v>0</v>
      </c>
      <c r="AI68" s="3076">
        <f t="shared" si="102"/>
        <v>0</v>
      </c>
      <c r="AJ68" s="3077">
        <f t="shared" si="102"/>
        <v>0</v>
      </c>
      <c r="AL68" s="3076">
        <f ca="1">SUM((INDIRECT(AL$2&amp;(ROW())):INDIRECT(AL$3&amp;(ROW()))))</f>
        <v>0</v>
      </c>
      <c r="AM68" s="3077">
        <f ca="1">SUM(INDIRECT(AM$1&amp;AM$2&amp;$C68):INDIRECT(AM$1&amp;AM$3&amp;$C68))</f>
        <v>0</v>
      </c>
      <c r="AN68" s="3083">
        <f t="shared" ca="1" si="84"/>
        <v>0</v>
      </c>
      <c r="AO68" s="2718">
        <f t="shared" ca="1" si="85"/>
        <v>0</v>
      </c>
      <c r="AP68" s="3077">
        <f ca="1">SUM(INDIRECT(AP$1&amp;AP$2&amp;$A68):INDIRECT(AP$1&amp;AP$3&amp;$A68))+SUM(INDIRECT(AP$1&amp;AP$2&amp;$B68):INDIRECT(AP$1&amp;AP$3&amp;$B68))</f>
        <v>0</v>
      </c>
      <c r="AQ68" s="3083">
        <f t="shared" ca="1" si="86"/>
        <v>0</v>
      </c>
      <c r="AR68" s="2718">
        <f t="shared" ca="1" si="87"/>
        <v>0</v>
      </c>
      <c r="AT68" s="3076">
        <f ca="1">SUM((INDIRECT(AT$2&amp;(ROW())):INDIRECT(AT$3&amp;(ROW()))))</f>
        <v>0</v>
      </c>
      <c r="AU68" s="3077">
        <f ca="1">SUM(INDIRECT(AU$1&amp;AU$2&amp;$C68):INDIRECT(AU$1&amp;AU$3&amp;$C68))</f>
        <v>0</v>
      </c>
      <c r="AV68" s="3083">
        <f t="shared" ca="1" si="88"/>
        <v>0</v>
      </c>
      <c r="AW68" s="2718">
        <f t="shared" ca="1" si="89"/>
        <v>0</v>
      </c>
      <c r="AX68" s="3077">
        <f ca="1">SUM(INDIRECT(AX$1&amp;AX$2&amp;$A68):INDIRECT(AX$1&amp;AX$3&amp;$A68))+SUM(INDIRECT(AX$1&amp;AX$2&amp;$B68):INDIRECT(AX$1&amp;AX$3&amp;$B68))</f>
        <v>0</v>
      </c>
      <c r="AY68" s="3083">
        <f t="shared" ca="1" si="90"/>
        <v>0</v>
      </c>
      <c r="AZ68" s="2718">
        <f t="shared" ca="1" si="91"/>
        <v>0</v>
      </c>
      <c r="BB68" s="3076">
        <f ca="1">SUM((INDIRECT(BB$2&amp;(ROW())):INDIRECT(BB$3&amp;(ROW()))))</f>
        <v>0</v>
      </c>
      <c r="BC68" s="3077">
        <f ca="1">SUM(INDIRECT(BC$1&amp;BC$2&amp;$C68):INDIRECT(BC$1&amp;BC$3&amp;$C68))</f>
        <v>0</v>
      </c>
      <c r="BD68" s="3083">
        <f t="shared" ca="1" si="92"/>
        <v>0</v>
      </c>
      <c r="BE68" s="2718">
        <f t="shared" ca="1" si="93"/>
        <v>0</v>
      </c>
      <c r="BF68" s="3077">
        <f ca="1">SUM(INDIRECT(BF$1&amp;BF$2&amp;$A68):INDIRECT(BF$1&amp;BF$3&amp;$A68))+SUM(INDIRECT(BF$1&amp;BF$2&amp;$B68):INDIRECT(BF$1&amp;BF$3&amp;$B68))</f>
        <v>0</v>
      </c>
      <c r="BG68" s="3083">
        <f t="shared" ca="1" si="94"/>
        <v>0</v>
      </c>
      <c r="BH68" s="2718">
        <f t="shared" ca="1" si="95"/>
        <v>0</v>
      </c>
    </row>
    <row r="69" spans="1:60" ht="14.5">
      <c r="A69" s="616">
        <f t="shared" si="1"/>
        <v>66</v>
      </c>
      <c r="B69" s="616">
        <v>1</v>
      </c>
      <c r="C69" s="616">
        <f t="shared" si="2"/>
        <v>66</v>
      </c>
      <c r="D69" s="709" t="s">
        <v>1308</v>
      </c>
      <c r="E69" s="2547">
        <v>1</v>
      </c>
      <c r="I69" s="127"/>
      <c r="J69" s="8" t="s">
        <v>1363</v>
      </c>
      <c r="Q69" s="1781" t="str">
        <f>CHOOSE(2, "6722000002988", "BO,OE Other Expense LSA, DA")</f>
        <v>BO,OE Other Expense LSA, DA</v>
      </c>
      <c r="R69" s="1281">
        <v>0</v>
      </c>
      <c r="S69" s="1281">
        <v>0</v>
      </c>
      <c r="T69" s="1281">
        <v>0</v>
      </c>
      <c r="U69" s="1281">
        <v>0</v>
      </c>
      <c r="V69" s="1281">
        <v>0</v>
      </c>
      <c r="W69" s="1281">
        <v>0</v>
      </c>
      <c r="X69" s="1281">
        <v>0</v>
      </c>
      <c r="Y69" s="1281">
        <v>0</v>
      </c>
      <c r="Z69" s="1281">
        <v>0</v>
      </c>
      <c r="AA69" s="1281">
        <v>0</v>
      </c>
      <c r="AB69" s="1281">
        <v>0</v>
      </c>
      <c r="AC69" s="1281">
        <v>0</v>
      </c>
      <c r="AD69" s="125">
        <f>SUM(R69,S69,T69)</f>
        <v>0</v>
      </c>
      <c r="AE69" s="126">
        <f t="shared" ref="AE69:AE72" si="103">SUM(U69,V69,W69)</f>
        <v>0</v>
      </c>
      <c r="AF69" s="126">
        <f t="shared" ref="AF69:AF72" si="104">SUM(X69,Y69,Z69)</f>
        <v>0</v>
      </c>
      <c r="AG69" s="126">
        <f t="shared" ref="AG69:AG72" si="105">SUM(AA69,AB69,AC69)</f>
        <v>0</v>
      </c>
      <c r="AH69" s="126">
        <f>AD69+AE69</f>
        <v>0</v>
      </c>
      <c r="AI69" s="126">
        <f>AG69+AF69</f>
        <v>0</v>
      </c>
      <c r="AJ69" s="125">
        <f>AH69+AI69</f>
        <v>0</v>
      </c>
      <c r="AL69" s="126">
        <f ca="1">SUM((INDIRECT(AL$2&amp;(ROW())):INDIRECT(AL$3&amp;(ROW()))))</f>
        <v>0</v>
      </c>
      <c r="AM69" s="125">
        <f ca="1">SUM(INDIRECT(AM$1&amp;AM$2&amp;$C69):INDIRECT(AM$1&amp;AM$3&amp;$C69))</f>
        <v>0</v>
      </c>
      <c r="AN69" s="3084">
        <f t="shared" ca="1" si="84"/>
        <v>0</v>
      </c>
      <c r="AO69" s="2720">
        <f t="shared" ca="1" si="85"/>
        <v>0</v>
      </c>
      <c r="AP69" s="125">
        <f ca="1">SUM(INDIRECT(AP$1&amp;AP$2&amp;$A69):INDIRECT(AP$1&amp;AP$3&amp;$A69))+SUM(INDIRECT(AP$1&amp;AP$2&amp;$B69):INDIRECT(AP$1&amp;AP$3&amp;$B69))</f>
        <v>0</v>
      </c>
      <c r="AQ69" s="3084">
        <f t="shared" ca="1" si="86"/>
        <v>0</v>
      </c>
      <c r="AR69" s="2720">
        <f t="shared" ca="1" si="87"/>
        <v>0</v>
      </c>
      <c r="AT69" s="126">
        <f ca="1">SUM((INDIRECT(AT$2&amp;(ROW())):INDIRECT(AT$3&amp;(ROW()))))</f>
        <v>0</v>
      </c>
      <c r="AU69" s="125">
        <f ca="1">SUM(INDIRECT(AU$1&amp;AU$2&amp;$C69):INDIRECT(AU$1&amp;AU$3&amp;$C69))</f>
        <v>0</v>
      </c>
      <c r="AV69" s="3084">
        <f t="shared" ca="1" si="88"/>
        <v>0</v>
      </c>
      <c r="AW69" s="2720">
        <f t="shared" ca="1" si="89"/>
        <v>0</v>
      </c>
      <c r="AX69" s="125">
        <f ca="1">SUM(INDIRECT(AX$1&amp;AX$2&amp;$A69):INDIRECT(AX$1&amp;AX$3&amp;$A69))+SUM(INDIRECT(AX$1&amp;AX$2&amp;$B69):INDIRECT(AX$1&amp;AX$3&amp;$B69))</f>
        <v>0</v>
      </c>
      <c r="AY69" s="3084">
        <f t="shared" ca="1" si="90"/>
        <v>0</v>
      </c>
      <c r="AZ69" s="2720">
        <f t="shared" ca="1" si="91"/>
        <v>0</v>
      </c>
      <c r="BB69" s="126">
        <f ca="1">SUM((INDIRECT(BB$2&amp;(ROW())):INDIRECT(BB$3&amp;(ROW()))))</f>
        <v>0</v>
      </c>
      <c r="BC69" s="125">
        <f ca="1">SUM(INDIRECT(BC$1&amp;BC$2&amp;$C69):INDIRECT(BC$1&amp;BC$3&amp;$C69))</f>
        <v>0</v>
      </c>
      <c r="BD69" s="3084">
        <f t="shared" ca="1" si="92"/>
        <v>0</v>
      </c>
      <c r="BE69" s="2720">
        <f t="shared" ca="1" si="93"/>
        <v>0</v>
      </c>
      <c r="BF69" s="125">
        <f ca="1">SUM(INDIRECT(BF$1&amp;BF$2&amp;$A69):INDIRECT(BF$1&amp;BF$3&amp;$A69))+SUM(INDIRECT(BF$1&amp;BF$2&amp;$B69):INDIRECT(BF$1&amp;BF$3&amp;$B69))</f>
        <v>0</v>
      </c>
      <c r="BG69" s="3084">
        <f t="shared" ca="1" si="94"/>
        <v>0</v>
      </c>
      <c r="BH69" s="2720">
        <f t="shared" ca="1" si="95"/>
        <v>0</v>
      </c>
    </row>
    <row r="70" spans="1:60" ht="14.5">
      <c r="A70" s="616">
        <f t="shared" si="1"/>
        <v>67</v>
      </c>
      <c r="B70" s="616">
        <v>1</v>
      </c>
      <c r="C70" s="616">
        <f t="shared" si="2"/>
        <v>67</v>
      </c>
      <c r="D70" s="709" t="s">
        <v>1308</v>
      </c>
      <c r="E70" s="2547">
        <v>1</v>
      </c>
      <c r="I70" s="127"/>
      <c r="J70" s="8" t="s">
        <v>1364</v>
      </c>
      <c r="Q70" s="1781" t="str">
        <f>CHOOSE(2, "6722000002989", "BO,OE Other Expense Impairment Loss")</f>
        <v>BO,OE Other Expense Impairment Loss</v>
      </c>
      <c r="R70" s="1281">
        <v>0</v>
      </c>
      <c r="S70" s="1281">
        <v>0</v>
      </c>
      <c r="T70" s="1281">
        <v>0</v>
      </c>
      <c r="U70" s="1281">
        <v>0</v>
      </c>
      <c r="V70" s="1281">
        <v>0</v>
      </c>
      <c r="W70" s="1281">
        <v>0</v>
      </c>
      <c r="X70" s="1281">
        <v>0</v>
      </c>
      <c r="Y70" s="1281">
        <v>0</v>
      </c>
      <c r="Z70" s="1281">
        <v>0</v>
      </c>
      <c r="AA70" s="1281">
        <v>0</v>
      </c>
      <c r="AB70" s="1281">
        <v>0</v>
      </c>
      <c r="AC70" s="1281">
        <v>0</v>
      </c>
      <c r="AD70" s="125">
        <f>SUM(R70,S70,T70)</f>
        <v>0</v>
      </c>
      <c r="AE70" s="126">
        <f t="shared" si="103"/>
        <v>0</v>
      </c>
      <c r="AF70" s="126">
        <f t="shared" si="104"/>
        <v>0</v>
      </c>
      <c r="AG70" s="126">
        <f t="shared" si="105"/>
        <v>0</v>
      </c>
      <c r="AH70" s="126">
        <f>AD70+AE70</f>
        <v>0</v>
      </c>
      <c r="AI70" s="126">
        <f>AG70+AF70</f>
        <v>0</v>
      </c>
      <c r="AJ70" s="125">
        <f>AH70+AI70</f>
        <v>0</v>
      </c>
      <c r="AL70" s="126">
        <f ca="1">SUM((INDIRECT(AL$2&amp;(ROW())):INDIRECT(AL$3&amp;(ROW()))))</f>
        <v>0</v>
      </c>
      <c r="AM70" s="125">
        <f ca="1">SUM(INDIRECT(AM$1&amp;AM$2&amp;$C70):INDIRECT(AM$1&amp;AM$3&amp;$C70))</f>
        <v>0</v>
      </c>
      <c r="AN70" s="3084">
        <f t="shared" ca="1" si="84"/>
        <v>0</v>
      </c>
      <c r="AO70" s="2720">
        <f t="shared" ca="1" si="85"/>
        <v>0</v>
      </c>
      <c r="AP70" s="125">
        <f ca="1">SUM(INDIRECT(AP$1&amp;AP$2&amp;$A70):INDIRECT(AP$1&amp;AP$3&amp;$A70))+SUM(INDIRECT(AP$1&amp;AP$2&amp;$B70):INDIRECT(AP$1&amp;AP$3&amp;$B70))</f>
        <v>1273.2400000000002</v>
      </c>
      <c r="AQ70" s="3084">
        <f t="shared" ca="1" si="86"/>
        <v>-1273.2400000000002</v>
      </c>
      <c r="AR70" s="2720">
        <f t="shared" ca="1" si="87"/>
        <v>0</v>
      </c>
      <c r="AT70" s="126">
        <f ca="1">SUM((INDIRECT(AT$2&amp;(ROW())):INDIRECT(AT$3&amp;(ROW()))))</f>
        <v>0</v>
      </c>
      <c r="AU70" s="125">
        <f ca="1">SUM(INDIRECT(AU$1&amp;AU$2&amp;$C70):INDIRECT(AU$1&amp;AU$3&amp;$C70))</f>
        <v>0</v>
      </c>
      <c r="AV70" s="3084">
        <f t="shared" ca="1" si="88"/>
        <v>0</v>
      </c>
      <c r="AW70" s="2720">
        <f t="shared" ca="1" si="89"/>
        <v>0</v>
      </c>
      <c r="AX70" s="125">
        <f ca="1">SUM(INDIRECT(AX$1&amp;AX$2&amp;$A70):INDIRECT(AX$1&amp;AX$3&amp;$A70))+SUM(INDIRECT(AX$1&amp;AX$2&amp;$B70):INDIRECT(AX$1&amp;AX$3&amp;$B70))</f>
        <v>97531.560000000012</v>
      </c>
      <c r="AY70" s="3084">
        <f t="shared" ca="1" si="90"/>
        <v>-97531.560000000012</v>
      </c>
      <c r="AZ70" s="2720">
        <f t="shared" ca="1" si="91"/>
        <v>0</v>
      </c>
      <c r="BB70" s="126">
        <f ca="1">SUM((INDIRECT(BB$2&amp;(ROW())):INDIRECT(BB$3&amp;(ROW()))))</f>
        <v>0</v>
      </c>
      <c r="BC70" s="125">
        <f ca="1">SUM(INDIRECT(BC$1&amp;BC$2&amp;$C70):INDIRECT(BC$1&amp;BC$3&amp;$C70))</f>
        <v>0</v>
      </c>
      <c r="BD70" s="3084">
        <f t="shared" ca="1" si="92"/>
        <v>0</v>
      </c>
      <c r="BE70" s="2720">
        <f t="shared" ca="1" si="93"/>
        <v>0</v>
      </c>
      <c r="BF70" s="125">
        <f ca="1">SUM(INDIRECT(BF$1&amp;BF$2&amp;$A70):INDIRECT(BF$1&amp;BF$3&amp;$A70))+SUM(INDIRECT(BF$1&amp;BF$2&amp;$B70):INDIRECT(BF$1&amp;BF$3&amp;$B70))</f>
        <v>108853.30627397951</v>
      </c>
      <c r="BG70" s="3084">
        <f t="shared" ca="1" si="94"/>
        <v>-108853.30627397951</v>
      </c>
      <c r="BH70" s="2720">
        <f t="shared" ca="1" si="95"/>
        <v>0</v>
      </c>
    </row>
    <row r="71" spans="1:60" ht="14.5">
      <c r="A71" s="616">
        <f t="shared" si="1"/>
        <v>68</v>
      </c>
      <c r="B71" s="616">
        <v>1</v>
      </c>
      <c r="C71" s="616">
        <f t="shared" si="2"/>
        <v>68</v>
      </c>
      <c r="D71" s="709" t="s">
        <v>1308</v>
      </c>
      <c r="E71" s="2547">
        <v>1</v>
      </c>
      <c r="I71" s="127"/>
      <c r="J71" s="8" t="s">
        <v>1365</v>
      </c>
      <c r="Q71" s="1781" t="str">
        <f>CHOOSE(2, "6722000002990", "BO,OE Other Expense Restructuring Expense")</f>
        <v>BO,OE Other Expense Restructuring Expense</v>
      </c>
      <c r="R71" s="1281">
        <v>0</v>
      </c>
      <c r="S71" s="1281">
        <v>0</v>
      </c>
      <c r="T71" s="1281">
        <v>0</v>
      </c>
      <c r="U71" s="1281">
        <v>0</v>
      </c>
      <c r="V71" s="1281">
        <v>0</v>
      </c>
      <c r="W71" s="1281">
        <v>0</v>
      </c>
      <c r="X71" s="1281">
        <v>0</v>
      </c>
      <c r="Y71" s="1281">
        <v>0</v>
      </c>
      <c r="Z71" s="1281">
        <v>0</v>
      </c>
      <c r="AA71" s="1281">
        <v>0</v>
      </c>
      <c r="AB71" s="1281">
        <v>0</v>
      </c>
      <c r="AC71" s="1281">
        <v>0</v>
      </c>
      <c r="AD71" s="125">
        <f>SUM(R71,S71,T71)</f>
        <v>0</v>
      </c>
      <c r="AE71" s="126">
        <f t="shared" si="103"/>
        <v>0</v>
      </c>
      <c r="AF71" s="126">
        <f t="shared" si="104"/>
        <v>0</v>
      </c>
      <c r="AG71" s="126">
        <f t="shared" si="105"/>
        <v>0</v>
      </c>
      <c r="AH71" s="126">
        <f>AD71+AE71</f>
        <v>0</v>
      </c>
      <c r="AI71" s="126">
        <f>AG71+AF71</f>
        <v>0</v>
      </c>
      <c r="AJ71" s="125">
        <f>AH71+AI71</f>
        <v>0</v>
      </c>
      <c r="AL71" s="126">
        <f ca="1">SUM((INDIRECT(AL$2&amp;(ROW())):INDIRECT(AL$3&amp;(ROW()))))</f>
        <v>0</v>
      </c>
      <c r="AM71" s="125">
        <f ca="1">SUM(INDIRECT(AM$1&amp;AM$2&amp;$C71):INDIRECT(AM$1&amp;AM$3&amp;$C71))</f>
        <v>0</v>
      </c>
      <c r="AN71" s="3084">
        <f t="shared" ca="1" si="84"/>
        <v>0</v>
      </c>
      <c r="AO71" s="2720">
        <f t="shared" ca="1" si="85"/>
        <v>0</v>
      </c>
      <c r="AP71" s="125">
        <f ca="1">SUM(INDIRECT(AP$1&amp;AP$2&amp;$A71):INDIRECT(AP$1&amp;AP$3&amp;$A71))+SUM(INDIRECT(AP$1&amp;AP$2&amp;$B71):INDIRECT(AP$1&amp;AP$3&amp;$B71))</f>
        <v>0</v>
      </c>
      <c r="AQ71" s="3084">
        <f t="shared" ca="1" si="86"/>
        <v>0</v>
      </c>
      <c r="AR71" s="2720">
        <f t="shared" ca="1" si="87"/>
        <v>0</v>
      </c>
      <c r="AT71" s="126">
        <f ca="1">SUM((INDIRECT(AT$2&amp;(ROW())):INDIRECT(AT$3&amp;(ROW()))))</f>
        <v>0</v>
      </c>
      <c r="AU71" s="125">
        <f ca="1">SUM(INDIRECT(AU$1&amp;AU$2&amp;$C71):INDIRECT(AU$1&amp;AU$3&amp;$C71))</f>
        <v>0</v>
      </c>
      <c r="AV71" s="3084">
        <f t="shared" ca="1" si="88"/>
        <v>0</v>
      </c>
      <c r="AW71" s="2720">
        <f t="shared" ca="1" si="89"/>
        <v>0</v>
      </c>
      <c r="AX71" s="125">
        <f ca="1">SUM(INDIRECT(AX$1&amp;AX$2&amp;$A71):INDIRECT(AX$1&amp;AX$3&amp;$A71))+SUM(INDIRECT(AX$1&amp;AX$2&amp;$B71):INDIRECT(AX$1&amp;AX$3&amp;$B71))</f>
        <v>0</v>
      </c>
      <c r="AY71" s="3084">
        <f t="shared" ca="1" si="90"/>
        <v>0</v>
      </c>
      <c r="AZ71" s="2720">
        <f t="shared" ca="1" si="91"/>
        <v>0</v>
      </c>
      <c r="BB71" s="126">
        <f ca="1">SUM((INDIRECT(BB$2&amp;(ROW())):INDIRECT(BB$3&amp;(ROW()))))</f>
        <v>0</v>
      </c>
      <c r="BC71" s="125">
        <f ca="1">SUM(INDIRECT(BC$1&amp;BC$2&amp;$C71):INDIRECT(BC$1&amp;BC$3&amp;$C71))</f>
        <v>0</v>
      </c>
      <c r="BD71" s="3084">
        <f t="shared" ca="1" si="92"/>
        <v>0</v>
      </c>
      <c r="BE71" s="2720">
        <f t="shared" ca="1" si="93"/>
        <v>0</v>
      </c>
      <c r="BF71" s="125">
        <f ca="1">SUM(INDIRECT(BF$1&amp;BF$2&amp;$A71):INDIRECT(BF$1&amp;BF$3&amp;$A71))+SUM(INDIRECT(BF$1&amp;BF$2&amp;$B71):INDIRECT(BF$1&amp;BF$3&amp;$B71))</f>
        <v>0</v>
      </c>
      <c r="BG71" s="3084">
        <f t="shared" ca="1" si="94"/>
        <v>0</v>
      </c>
      <c r="BH71" s="2720">
        <f t="shared" ca="1" si="95"/>
        <v>0</v>
      </c>
    </row>
    <row r="72" spans="1:60" ht="14.5">
      <c r="A72" s="616">
        <f t="shared" si="1"/>
        <v>69</v>
      </c>
      <c r="B72" s="616">
        <v>1</v>
      </c>
      <c r="C72" s="616">
        <f t="shared" si="2"/>
        <v>69</v>
      </c>
      <c r="D72" s="709" t="s">
        <v>1308</v>
      </c>
      <c r="E72" s="2544">
        <v>1</v>
      </c>
      <c r="F72" s="8"/>
      <c r="I72" s="127"/>
      <c r="J72" s="8" t="s">
        <v>1366</v>
      </c>
      <c r="Q72" s="1781" t="str">
        <f>CHOOSE(2, "6722000002991", "BO,OE Other Expense Expense for layoff benefit")</f>
        <v>BO,OE Other Expense Expense for layoff benefit</v>
      </c>
      <c r="R72" s="1281">
        <v>0</v>
      </c>
      <c r="S72" s="1281">
        <v>0</v>
      </c>
      <c r="T72" s="1281">
        <v>0</v>
      </c>
      <c r="U72" s="1281">
        <v>0</v>
      </c>
      <c r="V72" s="1281">
        <v>0</v>
      </c>
      <c r="W72" s="1281">
        <v>0</v>
      </c>
      <c r="X72" s="1281">
        <v>0</v>
      </c>
      <c r="Y72" s="1281">
        <v>0</v>
      </c>
      <c r="Z72" s="1281">
        <v>0</v>
      </c>
      <c r="AA72" s="1281">
        <v>0</v>
      </c>
      <c r="AB72" s="1281">
        <v>0</v>
      </c>
      <c r="AC72" s="1281">
        <v>0</v>
      </c>
      <c r="AD72" s="125">
        <f>SUM(R72,S72,T72)</f>
        <v>0</v>
      </c>
      <c r="AE72" s="126">
        <f t="shared" si="103"/>
        <v>0</v>
      </c>
      <c r="AF72" s="126">
        <f t="shared" si="104"/>
        <v>0</v>
      </c>
      <c r="AG72" s="126">
        <f t="shared" si="105"/>
        <v>0</v>
      </c>
      <c r="AH72" s="126">
        <f>AD72+AE72</f>
        <v>0</v>
      </c>
      <c r="AI72" s="126">
        <f>AG72+AF72</f>
        <v>0</v>
      </c>
      <c r="AJ72" s="125">
        <f>AH72+AI72</f>
        <v>0</v>
      </c>
      <c r="AL72" s="126">
        <f ca="1">SUM((INDIRECT(AL$2&amp;(ROW())):INDIRECT(AL$3&amp;(ROW()))))</f>
        <v>0</v>
      </c>
      <c r="AM72" s="125">
        <f ca="1">SUM(INDIRECT(AM$1&amp;AM$2&amp;$C72):INDIRECT(AM$1&amp;AM$3&amp;$C72))</f>
        <v>0</v>
      </c>
      <c r="AN72" s="3084">
        <f t="shared" ca="1" si="84"/>
        <v>0</v>
      </c>
      <c r="AO72" s="2720">
        <f t="shared" ca="1" si="85"/>
        <v>0</v>
      </c>
      <c r="AP72" s="125">
        <f ca="1">SUM(INDIRECT(AP$1&amp;AP$2&amp;$A72):INDIRECT(AP$1&amp;AP$3&amp;$A72))+SUM(INDIRECT(AP$1&amp;AP$2&amp;$B72):INDIRECT(AP$1&amp;AP$3&amp;$B72))</f>
        <v>0</v>
      </c>
      <c r="AQ72" s="3084">
        <f t="shared" ca="1" si="86"/>
        <v>0</v>
      </c>
      <c r="AR72" s="2720">
        <f t="shared" ca="1" si="87"/>
        <v>0</v>
      </c>
      <c r="AT72" s="126">
        <f ca="1">SUM((INDIRECT(AT$2&amp;(ROW())):INDIRECT(AT$3&amp;(ROW()))))</f>
        <v>0</v>
      </c>
      <c r="AU72" s="125">
        <f ca="1">SUM(INDIRECT(AU$1&amp;AU$2&amp;$C72):INDIRECT(AU$1&amp;AU$3&amp;$C72))</f>
        <v>0</v>
      </c>
      <c r="AV72" s="3084">
        <f t="shared" ca="1" si="88"/>
        <v>0</v>
      </c>
      <c r="AW72" s="2720">
        <f t="shared" ca="1" si="89"/>
        <v>0</v>
      </c>
      <c r="AX72" s="125">
        <f ca="1">SUM(INDIRECT(AX$1&amp;AX$2&amp;$A72):INDIRECT(AX$1&amp;AX$3&amp;$A72))+SUM(INDIRECT(AX$1&amp;AX$2&amp;$B72):INDIRECT(AX$1&amp;AX$3&amp;$B72))</f>
        <v>0</v>
      </c>
      <c r="AY72" s="3084">
        <f t="shared" ca="1" si="90"/>
        <v>0</v>
      </c>
      <c r="AZ72" s="2720">
        <f t="shared" ca="1" si="91"/>
        <v>0</v>
      </c>
      <c r="BB72" s="126">
        <f ca="1">SUM((INDIRECT(BB$2&amp;(ROW())):INDIRECT(BB$3&amp;(ROW()))))</f>
        <v>0</v>
      </c>
      <c r="BC72" s="125">
        <f ca="1">SUM(INDIRECT(BC$1&amp;BC$2&amp;$C72):INDIRECT(BC$1&amp;BC$3&amp;$C72))</f>
        <v>0</v>
      </c>
      <c r="BD72" s="3084">
        <f t="shared" ca="1" si="92"/>
        <v>0</v>
      </c>
      <c r="BE72" s="2720">
        <f t="shared" ca="1" si="93"/>
        <v>0</v>
      </c>
      <c r="BF72" s="125">
        <f ca="1">SUM(INDIRECT(BF$1&amp;BF$2&amp;$A72):INDIRECT(BF$1&amp;BF$3&amp;$A72))+SUM(INDIRECT(BF$1&amp;BF$2&amp;$B72):INDIRECT(BF$1&amp;BF$3&amp;$B72))</f>
        <v>0</v>
      </c>
      <c r="BG72" s="3084">
        <f t="shared" ca="1" si="94"/>
        <v>0</v>
      </c>
      <c r="BH72" s="2720">
        <f t="shared" ca="1" si="95"/>
        <v>0</v>
      </c>
    </row>
    <row r="73" spans="1:60" ht="14.5">
      <c r="A73" s="616">
        <f t="shared" si="1"/>
        <v>70</v>
      </c>
      <c r="B73" s="616">
        <v>1</v>
      </c>
      <c r="C73" s="616">
        <f t="shared" si="2"/>
        <v>70</v>
      </c>
      <c r="D73" s="709" t="s">
        <v>1308</v>
      </c>
      <c r="E73" s="2547">
        <v>1</v>
      </c>
      <c r="I73" s="124"/>
      <c r="J73" s="11" t="s">
        <v>1362</v>
      </c>
      <c r="K73" s="16"/>
      <c r="L73" s="16"/>
      <c r="M73" s="11"/>
      <c r="N73" s="11"/>
      <c r="O73" s="11"/>
      <c r="P73" s="11"/>
      <c r="Q73" s="1782" t="str">
        <f>CHOOSE(2, "6722000002992", "BO,OE Other Expense Other Expense")</f>
        <v>BO,OE Other Expense Other Expense</v>
      </c>
      <c r="R73" s="1228">
        <f>R68-SUM(R69:R72)</f>
        <v>0</v>
      </c>
      <c r="S73" s="1228">
        <f t="shared" ref="S73:AC73" si="106">S68-SUM(S69:S72)</f>
        <v>0</v>
      </c>
      <c r="T73" s="1228">
        <f t="shared" si="106"/>
        <v>0</v>
      </c>
      <c r="U73" s="1228">
        <f t="shared" si="106"/>
        <v>0</v>
      </c>
      <c r="V73" s="1228">
        <f t="shared" si="106"/>
        <v>0</v>
      </c>
      <c r="W73" s="1228">
        <f t="shared" si="106"/>
        <v>0</v>
      </c>
      <c r="X73" s="1228">
        <f t="shared" si="106"/>
        <v>0</v>
      </c>
      <c r="Y73" s="1228">
        <f t="shared" si="106"/>
        <v>0</v>
      </c>
      <c r="Z73" s="1228">
        <f t="shared" si="106"/>
        <v>0</v>
      </c>
      <c r="AA73" s="1228">
        <f t="shared" si="106"/>
        <v>0</v>
      </c>
      <c r="AB73" s="1228">
        <f t="shared" si="106"/>
        <v>0</v>
      </c>
      <c r="AC73" s="1228">
        <f t="shared" si="106"/>
        <v>0</v>
      </c>
      <c r="AD73" s="122">
        <f t="shared" ref="AD73:AJ73" si="107">AD68-SUM(AD69:AD72)</f>
        <v>0</v>
      </c>
      <c r="AE73" s="123">
        <f t="shared" si="107"/>
        <v>0</v>
      </c>
      <c r="AF73" s="123">
        <f t="shared" si="107"/>
        <v>0</v>
      </c>
      <c r="AG73" s="123">
        <f t="shared" si="107"/>
        <v>0</v>
      </c>
      <c r="AH73" s="123">
        <f t="shared" si="107"/>
        <v>0</v>
      </c>
      <c r="AI73" s="123">
        <f t="shared" si="107"/>
        <v>0</v>
      </c>
      <c r="AJ73" s="122">
        <f t="shared" si="107"/>
        <v>0</v>
      </c>
      <c r="AL73" s="123">
        <f ca="1">SUM((INDIRECT(AL$2&amp;(ROW())):INDIRECT(AL$3&amp;(ROW()))))</f>
        <v>0</v>
      </c>
      <c r="AM73" s="122">
        <f ca="1">SUM(INDIRECT(AM$1&amp;AM$2&amp;$C73):INDIRECT(AM$1&amp;AM$3&amp;$C73))</f>
        <v>0</v>
      </c>
      <c r="AN73" s="3085">
        <f t="shared" ca="1" si="84"/>
        <v>0</v>
      </c>
      <c r="AO73" s="2722">
        <f t="shared" ca="1" si="85"/>
        <v>0</v>
      </c>
      <c r="AP73" s="122">
        <f ca="1">SUM(INDIRECT(AP$1&amp;AP$2&amp;$A73):INDIRECT(AP$1&amp;AP$3&amp;$A73))+SUM(INDIRECT(AP$1&amp;AP$2&amp;$B73):INDIRECT(AP$1&amp;AP$3&amp;$B73))</f>
        <v>0</v>
      </c>
      <c r="AQ73" s="3085">
        <f t="shared" ca="1" si="86"/>
        <v>0</v>
      </c>
      <c r="AR73" s="2722">
        <f t="shared" ca="1" si="87"/>
        <v>0</v>
      </c>
      <c r="AT73" s="123">
        <f ca="1">SUM((INDIRECT(AT$2&amp;(ROW())):INDIRECT(AT$3&amp;(ROW()))))</f>
        <v>0</v>
      </c>
      <c r="AU73" s="122">
        <f ca="1">SUM(INDIRECT(AU$1&amp;AU$2&amp;$C73):INDIRECT(AU$1&amp;AU$3&amp;$C73))</f>
        <v>0</v>
      </c>
      <c r="AV73" s="3085">
        <f t="shared" ca="1" si="88"/>
        <v>0</v>
      </c>
      <c r="AW73" s="2722">
        <f t="shared" ca="1" si="89"/>
        <v>0</v>
      </c>
      <c r="AX73" s="122">
        <f ca="1">SUM(INDIRECT(AX$1&amp;AX$2&amp;$A73):INDIRECT(AX$1&amp;AX$3&amp;$A73))+SUM(INDIRECT(AX$1&amp;AX$2&amp;$B73):INDIRECT(AX$1&amp;AX$3&amp;$B73))</f>
        <v>0</v>
      </c>
      <c r="AY73" s="3085">
        <f t="shared" ca="1" si="90"/>
        <v>0</v>
      </c>
      <c r="AZ73" s="2722">
        <f t="shared" ca="1" si="91"/>
        <v>0</v>
      </c>
      <c r="BB73" s="123">
        <f ca="1">SUM((INDIRECT(BB$2&amp;(ROW())):INDIRECT(BB$3&amp;(ROW()))))</f>
        <v>0</v>
      </c>
      <c r="BC73" s="122">
        <f ca="1">SUM(INDIRECT(BC$1&amp;BC$2&amp;$C73):INDIRECT(BC$1&amp;BC$3&amp;$C73))</f>
        <v>0</v>
      </c>
      <c r="BD73" s="3085">
        <f t="shared" ca="1" si="92"/>
        <v>0</v>
      </c>
      <c r="BE73" s="2722">
        <f t="shared" ca="1" si="93"/>
        <v>0</v>
      </c>
      <c r="BF73" s="122">
        <f ca="1">SUM(INDIRECT(BF$1&amp;BF$2&amp;$A73):INDIRECT(BF$1&amp;BF$3&amp;$A73))+SUM(INDIRECT(BF$1&amp;BF$2&amp;$B73):INDIRECT(BF$1&amp;BF$3&amp;$B73))</f>
        <v>0</v>
      </c>
      <c r="BG73" s="3085">
        <f t="shared" ca="1" si="94"/>
        <v>0</v>
      </c>
      <c r="BH73" s="2722">
        <f t="shared" ca="1" si="95"/>
        <v>0</v>
      </c>
    </row>
    <row r="74" spans="1:60" ht="14.5">
      <c r="A74" s="616">
        <f t="shared" si="1"/>
        <v>71</v>
      </c>
      <c r="B74" s="616">
        <v>1</v>
      </c>
      <c r="C74" s="616">
        <f t="shared" si="2"/>
        <v>71</v>
      </c>
      <c r="D74" s="709" t="s">
        <v>1308</v>
      </c>
      <c r="E74" s="2547">
        <v>1</v>
      </c>
      <c r="J74" s="795"/>
      <c r="Q74" s="1772" t="str">
        <f>CHOOSE(2, "6722000002993", "▷ Blank 5")</f>
        <v>▷ Blank 5</v>
      </c>
      <c r="R74" s="2557"/>
      <c r="AA74" s="2558"/>
      <c r="AB74" s="2558"/>
      <c r="AC74" s="2558"/>
      <c r="AD74" s="2558"/>
      <c r="AE74" s="2558"/>
      <c r="AF74" s="2558"/>
      <c r="AG74" s="2558"/>
      <c r="AH74" s="2558"/>
      <c r="AI74" s="2558"/>
      <c r="AJ74" s="2559"/>
      <c r="AL74" s="2558"/>
      <c r="AM74" s="2558"/>
      <c r="AN74" s="2558"/>
      <c r="AO74" s="2558"/>
      <c r="AP74" s="2558"/>
      <c r="AQ74" s="2558"/>
      <c r="AR74" s="2558"/>
      <c r="AT74" s="2558"/>
      <c r="AU74" s="2558"/>
      <c r="AV74" s="2558"/>
      <c r="AW74" s="2558"/>
      <c r="AX74" s="2558"/>
      <c r="AY74" s="2558"/>
      <c r="AZ74" s="2558"/>
      <c r="BB74" s="2558"/>
      <c r="BC74" s="2558"/>
      <c r="BD74" s="2558"/>
      <c r="BE74" s="2558"/>
      <c r="BF74" s="2558"/>
      <c r="BG74" s="2558"/>
      <c r="BH74" s="2558"/>
    </row>
    <row r="75" spans="1:60" ht="18">
      <c r="A75" s="616">
        <f t="shared" si="1"/>
        <v>72</v>
      </c>
      <c r="B75" s="616">
        <v>1</v>
      </c>
      <c r="C75" s="616">
        <f t="shared" si="2"/>
        <v>72</v>
      </c>
      <c r="D75" s="709" t="s">
        <v>1308</v>
      </c>
      <c r="E75" s="2547">
        <v>1</v>
      </c>
      <c r="F75" s="241" t="s">
        <v>1367</v>
      </c>
      <c r="G75" s="241"/>
      <c r="H75" s="12"/>
      <c r="Q75" s="1772" t="str">
        <f>CHOOSE(2, "6722000002994", "2. P/L (2) - Overview by BU")</f>
        <v>2. P/L (2) - Overview by BU</v>
      </c>
      <c r="R75" s="2557"/>
      <c r="AB75" s="1210"/>
      <c r="AC75" s="1210"/>
      <c r="AD75" s="1210"/>
      <c r="AE75" s="1210"/>
      <c r="AF75" s="1210"/>
      <c r="AG75" s="1210"/>
      <c r="AH75" s="1210"/>
      <c r="AI75" s="1210"/>
      <c r="AJ75" s="1210"/>
      <c r="AL75" s="1210"/>
      <c r="AM75" s="1210"/>
      <c r="AN75" s="1210"/>
      <c r="AO75" s="1210"/>
      <c r="AP75" s="1210"/>
      <c r="AQ75" s="1210"/>
      <c r="AR75" s="1210"/>
      <c r="AT75" s="1210"/>
      <c r="AU75" s="1210"/>
      <c r="AV75" s="1210"/>
      <c r="AW75" s="1210"/>
      <c r="AX75" s="1210"/>
      <c r="AY75" s="1210"/>
      <c r="AZ75" s="1210"/>
      <c r="BB75" s="1210"/>
      <c r="BC75" s="1210"/>
      <c r="BD75" s="1210"/>
      <c r="BE75" s="1210"/>
      <c r="BF75" s="1210"/>
      <c r="BG75" s="1210"/>
      <c r="BH75" s="1210"/>
    </row>
    <row r="76" spans="1:60" ht="15.5">
      <c r="A76" s="616">
        <f t="shared" si="1"/>
        <v>73</v>
      </c>
      <c r="B76" s="616">
        <v>1</v>
      </c>
      <c r="C76" s="616">
        <f t="shared" si="2"/>
        <v>73</v>
      </c>
      <c r="D76" s="709" t="s">
        <v>1308</v>
      </c>
      <c r="E76" s="2547">
        <v>1</v>
      </c>
      <c r="F76" s="8"/>
      <c r="G76" s="367" t="s">
        <v>1368</v>
      </c>
      <c r="I76" s="35"/>
      <c r="J76" s="36"/>
      <c r="K76" s="35"/>
      <c r="L76" s="35"/>
      <c r="M76" s="36"/>
      <c r="N76" s="61"/>
      <c r="O76" s="36"/>
      <c r="P76" s="36"/>
      <c r="Q76" s="1773" t="str">
        <f>CHOOSE(2, "6722000002995", "2-1. P/L Statement by BU")</f>
        <v>2-1. P/L Statement by BU</v>
      </c>
      <c r="R76" s="2562"/>
      <c r="S76" s="2563"/>
      <c r="T76" s="2563"/>
      <c r="U76" s="2563"/>
      <c r="V76" s="2563"/>
      <c r="W76" s="2563"/>
      <c r="AH76" s="163"/>
      <c r="AI76" s="163"/>
      <c r="AJ76" s="163"/>
      <c r="AL76" s="163"/>
      <c r="AM76" s="163"/>
      <c r="AN76" s="163"/>
      <c r="AO76" s="163"/>
      <c r="AP76" s="163"/>
      <c r="AQ76" s="163"/>
      <c r="AR76" s="163"/>
      <c r="AT76" s="163"/>
      <c r="AU76" s="163"/>
      <c r="AV76" s="163"/>
      <c r="AW76" s="163"/>
      <c r="AX76" s="163"/>
      <c r="AY76" s="163"/>
      <c r="AZ76" s="163"/>
      <c r="BB76" s="163"/>
      <c r="BC76" s="163"/>
      <c r="BD76" s="163"/>
      <c r="BE76" s="163"/>
      <c r="BF76" s="163"/>
      <c r="BG76" s="163"/>
      <c r="BH76" s="163"/>
    </row>
    <row r="77" spans="1:60" ht="14.5">
      <c r="A77" s="616">
        <f t="shared" si="1"/>
        <v>74</v>
      </c>
      <c r="B77" s="616">
        <v>1</v>
      </c>
      <c r="C77" s="616">
        <f t="shared" si="2"/>
        <v>74</v>
      </c>
      <c r="D77" s="709" t="s">
        <v>1308</v>
      </c>
      <c r="E77" s="2547">
        <v>1</v>
      </c>
      <c r="F77" s="4"/>
      <c r="G77" s="4"/>
      <c r="H77" s="4" t="s">
        <v>30</v>
      </c>
      <c r="I77" s="4"/>
      <c r="J77" s="3"/>
      <c r="K77" s="4"/>
      <c r="L77" s="3"/>
      <c r="M77" s="3"/>
      <c r="N77" s="3"/>
      <c r="O77" s="3"/>
      <c r="P77" s="3"/>
      <c r="Q77" s="1773" t="str">
        <f>CHOOSE(2, "6722000002996", "PL (1) Office")</f>
        <v>PL (1) Office</v>
      </c>
      <c r="R77" s="2562"/>
      <c r="S77" s="2563"/>
      <c r="T77" s="2563"/>
      <c r="U77" s="2563"/>
      <c r="V77" s="2563"/>
      <c r="W77" s="2563"/>
      <c r="AB77" s="1210"/>
      <c r="AC77" s="1210"/>
      <c r="AD77" s="1210"/>
      <c r="AE77" s="1210"/>
      <c r="AF77" s="1210"/>
      <c r="AG77" s="1210"/>
      <c r="AH77" s="1210"/>
      <c r="AI77" s="1210"/>
      <c r="AJ77" s="1210"/>
      <c r="AL77" s="1210"/>
      <c r="AM77" s="1210"/>
      <c r="AN77" s="1210"/>
      <c r="AO77" s="1210"/>
      <c r="AP77" s="1210"/>
      <c r="AQ77" s="1210"/>
      <c r="AR77" s="1210"/>
      <c r="AT77" s="1210"/>
      <c r="AU77" s="1210"/>
      <c r="AV77" s="1210"/>
      <c r="AW77" s="1210"/>
      <c r="AX77" s="1210"/>
      <c r="AY77" s="1210"/>
      <c r="AZ77" s="1210"/>
      <c r="BB77" s="1210"/>
      <c r="BC77" s="1210"/>
      <c r="BD77" s="1210"/>
      <c r="BE77" s="1210"/>
      <c r="BF77" s="1210"/>
      <c r="BG77" s="1210"/>
      <c r="BH77" s="1210"/>
    </row>
    <row r="78" spans="1:60" ht="14.5">
      <c r="A78" s="616">
        <f t="shared" ref="A78" si="108">ROW()-3</f>
        <v>75</v>
      </c>
      <c r="B78" s="616">
        <v>1</v>
      </c>
      <c r="C78" s="616">
        <f t="shared" ref="C78:C141" si="109">ROW()-3</f>
        <v>75</v>
      </c>
      <c r="D78" s="709" t="s">
        <v>1308</v>
      </c>
      <c r="E78" s="2565" t="s">
        <v>1369</v>
      </c>
      <c r="F78" s="2566"/>
      <c r="G78" s="81"/>
      <c r="H78" s="12"/>
      <c r="I78" s="1951"/>
      <c r="J78" s="1952"/>
      <c r="K78" s="1953"/>
      <c r="L78" s="1953"/>
      <c r="M78" s="1952"/>
      <c r="N78" s="1952"/>
      <c r="O78" s="1952"/>
      <c r="P78" s="1954"/>
      <c r="Q78" s="1773" t="str">
        <f>CHOOSE(2, "6722000002997", "▷ Blank 6")</f>
        <v>▷ Blank 6</v>
      </c>
      <c r="R78" s="1878">
        <f>R13</f>
        <v>44652</v>
      </c>
      <c r="S78" s="1878">
        <f t="shared" ref="S78:AC78" si="110">S13</f>
        <v>44682</v>
      </c>
      <c r="T78" s="1878">
        <f t="shared" si="110"/>
        <v>44713</v>
      </c>
      <c r="U78" s="1878">
        <f t="shared" si="110"/>
        <v>44743</v>
      </c>
      <c r="V78" s="1878">
        <f t="shared" si="110"/>
        <v>44774</v>
      </c>
      <c r="W78" s="1878">
        <f t="shared" si="110"/>
        <v>44805</v>
      </c>
      <c r="X78" s="1878">
        <f t="shared" si="110"/>
        <v>44835</v>
      </c>
      <c r="Y78" s="1878">
        <f t="shared" si="110"/>
        <v>44866</v>
      </c>
      <c r="Z78" s="1878">
        <f t="shared" si="110"/>
        <v>44896</v>
      </c>
      <c r="AA78" s="1878">
        <f t="shared" si="110"/>
        <v>44927</v>
      </c>
      <c r="AB78" s="1878">
        <f t="shared" si="110"/>
        <v>44958</v>
      </c>
      <c r="AC78" s="1878">
        <f t="shared" si="110"/>
        <v>44986</v>
      </c>
      <c r="AD78" s="2545" t="str">
        <f t="shared" ref="AD78:AJ78" si="111">AD$13</f>
        <v>Q1</v>
      </c>
      <c r="AE78" s="2546" t="str">
        <f t="shared" si="111"/>
        <v>Q2</v>
      </c>
      <c r="AF78" s="2546" t="str">
        <f t="shared" si="111"/>
        <v>Q3</v>
      </c>
      <c r="AG78" s="2546" t="str">
        <f t="shared" si="111"/>
        <v>Q4</v>
      </c>
      <c r="AH78" s="2546" t="str">
        <f t="shared" si="111"/>
        <v>1st H</v>
      </c>
      <c r="AI78" s="2546" t="str">
        <f t="shared" si="111"/>
        <v>2nd H</v>
      </c>
      <c r="AJ78" s="2546" t="str">
        <f t="shared" si="111"/>
        <v>Yr.</v>
      </c>
      <c r="AL78" s="2723">
        <f>AL$10</f>
        <v>0</v>
      </c>
      <c r="AM78" s="2724">
        <f t="shared" ref="AM78:AR78" si="112">AM$10</f>
        <v>0</v>
      </c>
      <c r="AN78" s="2725">
        <f t="shared" si="112"/>
        <v>0</v>
      </c>
      <c r="AO78" s="2726">
        <f t="shared" si="112"/>
        <v>0</v>
      </c>
      <c r="AP78" s="2724">
        <f t="shared" si="112"/>
        <v>0</v>
      </c>
      <c r="AQ78" s="2725">
        <f t="shared" si="112"/>
        <v>0</v>
      </c>
      <c r="AR78" s="2727">
        <f t="shared" si="112"/>
        <v>0</v>
      </c>
      <c r="AT78" s="2723">
        <f>AT$10</f>
        <v>0</v>
      </c>
      <c r="AU78" s="2724">
        <f t="shared" ref="AU78:AZ78" si="113">AU$10</f>
        <v>0</v>
      </c>
      <c r="AV78" s="2725">
        <f t="shared" si="113"/>
        <v>0</v>
      </c>
      <c r="AW78" s="2726">
        <f t="shared" si="113"/>
        <v>0</v>
      </c>
      <c r="AX78" s="2724">
        <f t="shared" si="113"/>
        <v>0</v>
      </c>
      <c r="AY78" s="2725">
        <f t="shared" si="113"/>
        <v>0</v>
      </c>
      <c r="AZ78" s="2727">
        <f t="shared" si="113"/>
        <v>0</v>
      </c>
      <c r="BB78" s="2723">
        <f>BB$10</f>
        <v>0</v>
      </c>
      <c r="BC78" s="2724">
        <f t="shared" ref="BC78:BH78" si="114">BC$10</f>
        <v>0</v>
      </c>
      <c r="BD78" s="2725">
        <f t="shared" si="114"/>
        <v>0</v>
      </c>
      <c r="BE78" s="2726">
        <f t="shared" si="114"/>
        <v>0</v>
      </c>
      <c r="BF78" s="2724">
        <f t="shared" si="114"/>
        <v>0</v>
      </c>
      <c r="BG78" s="2725">
        <f t="shared" si="114"/>
        <v>0</v>
      </c>
      <c r="BH78" s="2727">
        <f t="shared" si="114"/>
        <v>0</v>
      </c>
    </row>
    <row r="79" spans="1:60" ht="14.5">
      <c r="A79" s="616">
        <v>1</v>
      </c>
      <c r="B79" s="616">
        <v>1</v>
      </c>
      <c r="C79" s="616">
        <f t="shared" si="109"/>
        <v>76</v>
      </c>
      <c r="D79" s="709" t="s">
        <v>1308</v>
      </c>
      <c r="E79" s="2565" t="s">
        <v>1369</v>
      </c>
      <c r="F79" s="2567"/>
      <c r="G79" s="4"/>
      <c r="H79" s="4"/>
      <c r="I79" s="3086" t="s">
        <v>0</v>
      </c>
      <c r="J79" s="988"/>
      <c r="K79" s="988"/>
      <c r="L79" s="988"/>
      <c r="M79" s="989"/>
      <c r="N79" s="989"/>
      <c r="O79" s="989"/>
      <c r="P79" s="3087"/>
      <c r="Q79" s="1783" t="str">
        <f>CHOOSE(2, "6722000002998", "PL Net Sales")</f>
        <v>PL Net Sales</v>
      </c>
      <c r="R79" s="1408">
        <f>R102+R143</f>
        <v>164198</v>
      </c>
      <c r="S79" s="1408">
        <f t="shared" ref="S79:AC79" si="115">S102+S143</f>
        <v>184650</v>
      </c>
      <c r="T79" s="1408">
        <f t="shared" si="115"/>
        <v>198667</v>
      </c>
      <c r="U79" s="1408">
        <f t="shared" si="115"/>
        <v>210290</v>
      </c>
      <c r="V79" s="1408">
        <f t="shared" si="115"/>
        <v>262526.24494</v>
      </c>
      <c r="W79" s="1408">
        <f t="shared" si="115"/>
        <v>271607</v>
      </c>
      <c r="X79" s="1411">
        <f t="shared" si="115"/>
        <v>234197</v>
      </c>
      <c r="Y79" s="1411">
        <f t="shared" si="115"/>
        <v>255561</v>
      </c>
      <c r="Z79" s="1411">
        <f t="shared" si="115"/>
        <v>330439</v>
      </c>
      <c r="AA79" s="1412">
        <f t="shared" si="115"/>
        <v>242787</v>
      </c>
      <c r="AB79" s="1412">
        <f t="shared" si="115"/>
        <v>263940.37031000003</v>
      </c>
      <c r="AC79" s="1412">
        <f t="shared" si="115"/>
        <v>282292</v>
      </c>
      <c r="AD79" s="1412">
        <f>SUM(R79,S79,T79)</f>
        <v>547515</v>
      </c>
      <c r="AE79" s="1412">
        <f t="shared" ref="AE79:AE81" si="116">SUM(U79,V79,W79)</f>
        <v>744423.24494</v>
      </c>
      <c r="AF79" s="1412">
        <f t="shared" ref="AF79:AF81" si="117">SUM(X79,Y79,Z79)</f>
        <v>820197</v>
      </c>
      <c r="AG79" s="1412">
        <f t="shared" ref="AG79:AG81" si="118">SUM(AA79,AB79,AC79)</f>
        <v>789019.37031000003</v>
      </c>
      <c r="AH79" s="1412">
        <f t="shared" ref="AH79:AH81" si="119">AD79+AE79</f>
        <v>1291938.2449400001</v>
      </c>
      <c r="AI79" s="1412">
        <f t="shared" ref="AI79:AI81" si="120">AG79+AF79</f>
        <v>1609216.3703100001</v>
      </c>
      <c r="AJ79" s="1412">
        <f t="shared" ref="AJ79:AJ81" si="121">AH79+AI79</f>
        <v>2901154.6152500003</v>
      </c>
      <c r="AL79" s="1412">
        <f ca="1">AL102+AL143</f>
        <v>282292</v>
      </c>
      <c r="AM79" s="1412">
        <f ca="1">AM102+AM143</f>
        <v>2886.8579204585335</v>
      </c>
      <c r="AN79" s="3088">
        <f t="shared" ref="AN79:AN99" ca="1" si="122">AL79-AM79</f>
        <v>279405.14207954146</v>
      </c>
      <c r="AO79" s="2729">
        <f t="shared" ref="AO79:AO89" ca="1" si="123">IFERROR(AL79/AM79,0)</f>
        <v>97.785207231522577</v>
      </c>
      <c r="AP79" s="1412">
        <f ca="1">AP102+AP143</f>
        <v>0</v>
      </c>
      <c r="AQ79" s="3088">
        <f t="shared" ref="AQ79:AQ95" ca="1" si="124">AL79-AP79</f>
        <v>282292</v>
      </c>
      <c r="AR79" s="2729">
        <f t="shared" ref="AR79:AR89" ca="1" si="125">IFERROR(AL79/AP79,0)</f>
        <v>0</v>
      </c>
      <c r="AT79" s="1412">
        <f ca="1">AT102+AT143</f>
        <v>789019.37031000003</v>
      </c>
      <c r="AU79" s="1412">
        <f ca="1">AU102+AU143</f>
        <v>8496.5216472981811</v>
      </c>
      <c r="AV79" s="3088">
        <f t="shared" ref="AV79:AV99" ca="1" si="126">AT79-AU79</f>
        <v>780522.8486627019</v>
      </c>
      <c r="AW79" s="2729">
        <f t="shared" ref="AW79:AW89" ca="1" si="127">IFERROR(AT79/AU79,0)</f>
        <v>92.863809811030279</v>
      </c>
      <c r="AX79" s="1412">
        <f ca="1">AX102+AX143</f>
        <v>0</v>
      </c>
      <c r="AY79" s="3088">
        <f t="shared" ref="AY79:AY95" ca="1" si="128">AT79-AX79</f>
        <v>789019.37031000003</v>
      </c>
      <c r="AZ79" s="2729">
        <f t="shared" ref="AZ79:AZ89" ca="1" si="129">IFERROR(AT79/AX79,0)</f>
        <v>0</v>
      </c>
      <c r="BB79" s="1412">
        <f ca="1">BB102+BB143</f>
        <v>2901154.6152499998</v>
      </c>
      <c r="BC79" s="1412">
        <f ca="1">BC102+BC143</f>
        <v>14460.609319959094</v>
      </c>
      <c r="BD79" s="3088">
        <f t="shared" ref="BD79:BD99" ca="1" si="130">BB79-BC79</f>
        <v>2886694.0059300405</v>
      </c>
      <c r="BE79" s="2729">
        <f t="shared" ref="BE79:BE89" ca="1" si="131">IFERROR(BB79/BC79,0)</f>
        <v>200.62464527312233</v>
      </c>
      <c r="BF79" s="1412">
        <f ca="1">BF102+BF143</f>
        <v>0</v>
      </c>
      <c r="BG79" s="3088">
        <f t="shared" ref="BG79:BG95" ca="1" si="132">BB79-BF79</f>
        <v>2901154.6152499998</v>
      </c>
      <c r="BH79" s="2729">
        <f t="shared" ref="BH79:BH89" ca="1" si="133">IFERROR(BB79/BF79,0)</f>
        <v>0</v>
      </c>
    </row>
    <row r="80" spans="1:60" ht="14.5">
      <c r="A80" s="616">
        <v>1</v>
      </c>
      <c r="B80" s="616">
        <v>1</v>
      </c>
      <c r="C80" s="616">
        <f t="shared" si="109"/>
        <v>77</v>
      </c>
      <c r="D80" s="709" t="s">
        <v>1308</v>
      </c>
      <c r="E80" s="2565" t="s">
        <v>1369</v>
      </c>
      <c r="F80" s="2567"/>
      <c r="G80" s="4"/>
      <c r="H80" s="4"/>
      <c r="I80" s="990" t="s">
        <v>48</v>
      </c>
      <c r="J80" s="991"/>
      <c r="K80" s="991"/>
      <c r="L80" s="991"/>
      <c r="M80" s="992"/>
      <c r="N80" s="992"/>
      <c r="O80" s="992"/>
      <c r="P80" s="1004"/>
      <c r="Q80" s="1783" t="str">
        <f>CHOOSE(2, "6722000002999", "PL BT Cons. Sales")</f>
        <v>PL BT Cons. Sales</v>
      </c>
      <c r="R80" s="1409">
        <f>R106+R144</f>
        <v>164198</v>
      </c>
      <c r="S80" s="1409">
        <f t="shared" ref="S80:AC80" si="134">S106+S144</f>
        <v>184650</v>
      </c>
      <c r="T80" s="1409">
        <f t="shared" si="134"/>
        <v>198667</v>
      </c>
      <c r="U80" s="1409">
        <f t="shared" si="134"/>
        <v>210290</v>
      </c>
      <c r="V80" s="1409">
        <f t="shared" si="134"/>
        <v>262526.24494</v>
      </c>
      <c r="W80" s="1409">
        <f t="shared" si="134"/>
        <v>271607</v>
      </c>
      <c r="X80" s="1413">
        <f t="shared" si="134"/>
        <v>234197</v>
      </c>
      <c r="Y80" s="1413">
        <f t="shared" si="134"/>
        <v>255561</v>
      </c>
      <c r="Z80" s="1413">
        <f t="shared" si="134"/>
        <v>330439</v>
      </c>
      <c r="AA80" s="1414">
        <f t="shared" si="134"/>
        <v>242787</v>
      </c>
      <c r="AB80" s="1414">
        <f t="shared" si="134"/>
        <v>263940.37031000003</v>
      </c>
      <c r="AC80" s="1414">
        <f t="shared" si="134"/>
        <v>282292</v>
      </c>
      <c r="AD80" s="1414">
        <f>SUM(R80,S80,T80)</f>
        <v>547515</v>
      </c>
      <c r="AE80" s="1414">
        <f t="shared" si="116"/>
        <v>744423.24494</v>
      </c>
      <c r="AF80" s="1414">
        <f t="shared" si="117"/>
        <v>820197</v>
      </c>
      <c r="AG80" s="1414">
        <f t="shared" si="118"/>
        <v>789019.37031000003</v>
      </c>
      <c r="AH80" s="1414">
        <f t="shared" si="119"/>
        <v>1291938.2449400001</v>
      </c>
      <c r="AI80" s="1414">
        <f t="shared" si="120"/>
        <v>1609216.3703100001</v>
      </c>
      <c r="AJ80" s="1414">
        <f t="shared" si="121"/>
        <v>2901154.6152500003</v>
      </c>
      <c r="AL80" s="1414">
        <f ca="1">AL106+AL144</f>
        <v>282292</v>
      </c>
      <c r="AM80" s="1414">
        <f ca="1">AM106+AM144</f>
        <v>149185.64348587091</v>
      </c>
      <c r="AN80" s="3089">
        <f t="shared" ca="1" si="122"/>
        <v>133106.35651412909</v>
      </c>
      <c r="AO80" s="2731">
        <f t="shared" ca="1" si="123"/>
        <v>1.8922196090988832</v>
      </c>
      <c r="AP80" s="1414">
        <f ca="1">AP106+AP144</f>
        <v>263940.37031000003</v>
      </c>
      <c r="AQ80" s="3089">
        <f t="shared" ca="1" si="124"/>
        <v>18351.629689999972</v>
      </c>
      <c r="AR80" s="2731">
        <f t="shared" ca="1" si="125"/>
        <v>1.0695294534460411</v>
      </c>
      <c r="AT80" s="1414">
        <f ca="1">AT106+AT144</f>
        <v>789019.37031000003</v>
      </c>
      <c r="AU80" s="1414">
        <f ca="1">AU106+AU144</f>
        <v>429913.43141775869</v>
      </c>
      <c r="AV80" s="3089">
        <f t="shared" ca="1" si="126"/>
        <v>359105.93889224133</v>
      </c>
      <c r="AW80" s="2731">
        <f t="shared" ca="1" si="127"/>
        <v>1.8352982545997458</v>
      </c>
      <c r="AX80" s="1414">
        <f ca="1">AX106+AX144</f>
        <v>837166.37031000003</v>
      </c>
      <c r="AY80" s="3089">
        <f t="shared" ca="1" si="128"/>
        <v>-48147</v>
      </c>
      <c r="AZ80" s="2731">
        <f t="shared" ca="1" si="129"/>
        <v>0.94248813413017141</v>
      </c>
      <c r="BB80" s="1414">
        <f ca="1">BB106+BB144</f>
        <v>2901154.6152499998</v>
      </c>
      <c r="BC80" s="1414">
        <f ca="1">BC106+BC144</f>
        <v>708633.37977883872</v>
      </c>
      <c r="BD80" s="3089">
        <f t="shared" ca="1" si="130"/>
        <v>2192521.2354711611</v>
      </c>
      <c r="BE80" s="2731">
        <f t="shared" ca="1" si="131"/>
        <v>4.0940134885481081</v>
      </c>
      <c r="BF80" s="1414">
        <f ca="1">BF106+BF144</f>
        <v>2618862.6152500003</v>
      </c>
      <c r="BG80" s="3089">
        <f t="shared" ca="1" si="132"/>
        <v>282291.99999999953</v>
      </c>
      <c r="BH80" s="2731">
        <f t="shared" ca="1" si="133"/>
        <v>1.1077918323611839</v>
      </c>
    </row>
    <row r="81" spans="1:60" ht="14.5">
      <c r="A81" s="616">
        <v>1</v>
      </c>
      <c r="B81" s="616">
        <v>1</v>
      </c>
      <c r="C81" s="616">
        <f t="shared" si="109"/>
        <v>78</v>
      </c>
      <c r="D81" s="709" t="s">
        <v>1308</v>
      </c>
      <c r="E81" s="2565" t="s">
        <v>1369</v>
      </c>
      <c r="F81" s="2567"/>
      <c r="G81" s="4"/>
      <c r="H81" s="4"/>
      <c r="I81" s="990" t="s">
        <v>54</v>
      </c>
      <c r="J81" s="991"/>
      <c r="K81" s="991"/>
      <c r="L81" s="991"/>
      <c r="M81" s="992"/>
      <c r="N81" s="992"/>
      <c r="O81" s="992"/>
      <c r="P81" s="1004"/>
      <c r="Q81" s="1783" t="str">
        <f>CHOOSE(2, "6722000003000", "PL Gross Profit")</f>
        <v>PL Gross Profit</v>
      </c>
      <c r="R81" s="1409">
        <f>R123+R145</f>
        <v>62999</v>
      </c>
      <c r="S81" s="1409">
        <f t="shared" ref="S81:AC81" si="135">S123+S145</f>
        <v>52860</v>
      </c>
      <c r="T81" s="1409">
        <f t="shared" si="135"/>
        <v>69205</v>
      </c>
      <c r="U81" s="1409">
        <f t="shared" si="135"/>
        <v>67825</v>
      </c>
      <c r="V81" s="1409">
        <f t="shared" si="135"/>
        <v>81997.624250359484</v>
      </c>
      <c r="W81" s="1409">
        <f t="shared" si="135"/>
        <v>87385</v>
      </c>
      <c r="X81" s="1413">
        <f t="shared" si="135"/>
        <v>87342</v>
      </c>
      <c r="Y81" s="1413">
        <f t="shared" si="135"/>
        <v>86003</v>
      </c>
      <c r="Z81" s="1413">
        <f t="shared" si="135"/>
        <v>97835</v>
      </c>
      <c r="AA81" s="1414">
        <f t="shared" si="135"/>
        <v>83248</v>
      </c>
      <c r="AB81" s="1414">
        <f t="shared" si="135"/>
        <v>67819.856589999996</v>
      </c>
      <c r="AC81" s="1414">
        <f t="shared" si="135"/>
        <v>76027</v>
      </c>
      <c r="AD81" s="1414">
        <f>SUM(R81,S81,T81)</f>
        <v>185064</v>
      </c>
      <c r="AE81" s="1414">
        <f t="shared" si="116"/>
        <v>237207.62425035948</v>
      </c>
      <c r="AF81" s="1414">
        <f t="shared" si="117"/>
        <v>271180</v>
      </c>
      <c r="AG81" s="1414">
        <f t="shared" si="118"/>
        <v>227094.85658999998</v>
      </c>
      <c r="AH81" s="1414">
        <f t="shared" si="119"/>
        <v>422271.62425035948</v>
      </c>
      <c r="AI81" s="1414">
        <f t="shared" si="120"/>
        <v>498274.85658999998</v>
      </c>
      <c r="AJ81" s="1414">
        <f t="shared" si="121"/>
        <v>920546.48084035947</v>
      </c>
      <c r="AL81" s="1414">
        <f ca="1">AL123+AL145</f>
        <v>76027</v>
      </c>
      <c r="AM81" s="1414">
        <f ca="1">AM123+AM145</f>
        <v>0</v>
      </c>
      <c r="AN81" s="3089">
        <f t="shared" ca="1" si="122"/>
        <v>76027</v>
      </c>
      <c r="AO81" s="2731">
        <f t="shared" ca="1" si="123"/>
        <v>0</v>
      </c>
      <c r="AP81" s="1414">
        <f ca="1">AP123+AP145</f>
        <v>5677.7108484891723</v>
      </c>
      <c r="AQ81" s="3089">
        <f t="shared" ca="1" si="124"/>
        <v>70349.289151510835</v>
      </c>
      <c r="AR81" s="2731">
        <f t="shared" ca="1" si="125"/>
        <v>13.390431818173804</v>
      </c>
      <c r="AT81" s="1414">
        <f ca="1">AT123+AT145</f>
        <v>227094.85659000001</v>
      </c>
      <c r="AU81" s="1414">
        <f ca="1">AU123+AU145</f>
        <v>0</v>
      </c>
      <c r="AV81" s="3089">
        <f t="shared" ca="1" si="126"/>
        <v>227094.85659000001</v>
      </c>
      <c r="AW81" s="2731">
        <f t="shared" ca="1" si="127"/>
        <v>0</v>
      </c>
      <c r="AX81" s="1414">
        <f ca="1">AX123+AX145</f>
        <v>46249.421327952536</v>
      </c>
      <c r="AY81" s="3089">
        <f t="shared" ca="1" si="128"/>
        <v>180845.43526204748</v>
      </c>
      <c r="AZ81" s="2731">
        <f t="shared" ca="1" si="129"/>
        <v>4.9102204972399708</v>
      </c>
      <c r="BB81" s="1414">
        <f ca="1">BB123+BB145</f>
        <v>920546.48084035947</v>
      </c>
      <c r="BC81" s="1414">
        <f ca="1">BC123+BC145</f>
        <v>0</v>
      </c>
      <c r="BD81" s="3089">
        <f t="shared" ca="1" si="130"/>
        <v>920546.48084035947</v>
      </c>
      <c r="BE81" s="2731">
        <f t="shared" ca="1" si="131"/>
        <v>0</v>
      </c>
      <c r="BF81" s="1414">
        <f ca="1">BF123+BF145</f>
        <v>139955.44381895187</v>
      </c>
      <c r="BG81" s="3089">
        <f t="shared" ca="1" si="132"/>
        <v>780591.03702140762</v>
      </c>
      <c r="BH81" s="2731">
        <f t="shared" ca="1" si="133"/>
        <v>6.5774253271004595</v>
      </c>
    </row>
    <row r="82" spans="1:60" ht="14.5">
      <c r="A82" s="616">
        <v>1</v>
      </c>
      <c r="B82" s="616">
        <v>1</v>
      </c>
      <c r="C82" s="616">
        <f t="shared" si="109"/>
        <v>79</v>
      </c>
      <c r="D82" s="709" t="s">
        <v>1308</v>
      </c>
      <c r="E82" s="2565" t="s">
        <v>1369</v>
      </c>
      <c r="F82" s="2567"/>
      <c r="G82" s="4"/>
      <c r="H82" s="4"/>
      <c r="I82" s="990" t="s">
        <v>29</v>
      </c>
      <c r="J82" s="993"/>
      <c r="K82" s="993"/>
      <c r="L82" s="993"/>
      <c r="M82" s="994"/>
      <c r="N82" s="994"/>
      <c r="O82" s="994"/>
      <c r="P82" s="1005"/>
      <c r="Q82" s="1783" t="str">
        <f>CHOOSE(2, "6722000003001", "PL SGA Expenses")</f>
        <v>PL SGA Expenses</v>
      </c>
      <c r="R82" s="1410">
        <f>SUM(R83:R85)</f>
        <v>55371.654876761728</v>
      </c>
      <c r="S82" s="1410">
        <f t="shared" ref="S82:AJ82" si="136">SUM(S83:S85)</f>
        <v>52157.793796559039</v>
      </c>
      <c r="T82" s="1410">
        <f t="shared" si="136"/>
        <v>58591.5778311959</v>
      </c>
      <c r="U82" s="1410">
        <f t="shared" si="136"/>
        <v>55458.902587087199</v>
      </c>
      <c r="V82" s="1410">
        <f t="shared" si="136"/>
        <v>62478.339588787901</v>
      </c>
      <c r="W82" s="1410">
        <f t="shared" si="136"/>
        <v>54871.735920402934</v>
      </c>
      <c r="X82" s="1415">
        <f t="shared" si="136"/>
        <v>71558.631602188849</v>
      </c>
      <c r="Y82" s="1415">
        <f t="shared" si="136"/>
        <v>55803.411853054764</v>
      </c>
      <c r="Z82" s="1415">
        <f t="shared" si="136"/>
        <v>79071.59049255529</v>
      </c>
      <c r="AA82" s="1416">
        <f t="shared" si="136"/>
        <v>73310.614334476399</v>
      </c>
      <c r="AB82" s="1416">
        <f t="shared" si="136"/>
        <v>64190.329965214056</v>
      </c>
      <c r="AC82" s="1416">
        <f t="shared" si="136"/>
        <v>76193.514538089483</v>
      </c>
      <c r="AD82" s="1416">
        <f t="shared" si="136"/>
        <v>166121.02650451669</v>
      </c>
      <c r="AE82" s="1416">
        <f t="shared" si="136"/>
        <v>172808.97809627804</v>
      </c>
      <c r="AF82" s="1416">
        <f t="shared" si="136"/>
        <v>206433.63394779889</v>
      </c>
      <c r="AG82" s="1416">
        <f t="shared" si="136"/>
        <v>213694.45883777994</v>
      </c>
      <c r="AH82" s="1416">
        <f t="shared" si="136"/>
        <v>338930.00460079469</v>
      </c>
      <c r="AI82" s="1416">
        <f t="shared" si="136"/>
        <v>420128.0927855788</v>
      </c>
      <c r="AJ82" s="1416">
        <f t="shared" si="136"/>
        <v>759058.09738637344</v>
      </c>
      <c r="AL82" s="1416">
        <f ca="1">SUM(AL83:AL85)</f>
        <v>76193.514538089483</v>
      </c>
      <c r="AM82" s="1416">
        <f ca="1">SUM(AM83:AM85)</f>
        <v>94569.841847946213</v>
      </c>
      <c r="AN82" s="3090">
        <f t="shared" ca="1" si="122"/>
        <v>-18376.32730985673</v>
      </c>
      <c r="AO82" s="2733">
        <f t="shared" ca="1" si="123"/>
        <v>0.80568512169658646</v>
      </c>
      <c r="AP82" s="1416">
        <f ca="1">SUM(AP83:AP85)</f>
        <v>522140.74062000006</v>
      </c>
      <c r="AQ82" s="3090">
        <f t="shared" ca="1" si="124"/>
        <v>-445947.22608191054</v>
      </c>
      <c r="AR82" s="2733">
        <f t="shared" ca="1" si="125"/>
        <v>0.14592524315880009</v>
      </c>
      <c r="AT82" s="1416">
        <f ca="1">SUM(AT83:AT85)</f>
        <v>213694.45883777994</v>
      </c>
      <c r="AU82" s="1416">
        <f ca="1">SUM(AU83:AU85)</f>
        <v>277510.26471862092</v>
      </c>
      <c r="AV82" s="3090">
        <f t="shared" ca="1" si="126"/>
        <v>-63815.805880840984</v>
      </c>
      <c r="AW82" s="2733">
        <f t="shared" ca="1" si="127"/>
        <v>0.77004163811545334</v>
      </c>
      <c r="AX82" s="1416">
        <f ca="1">SUM(AX83:AX85)</f>
        <v>1658478.7406200001</v>
      </c>
      <c r="AY82" s="3090">
        <f t="shared" ca="1" si="128"/>
        <v>-1444784.2817822201</v>
      </c>
      <c r="AZ82" s="2733">
        <f t="shared" ca="1" si="129"/>
        <v>0.12884968230457577</v>
      </c>
      <c r="BB82" s="1416">
        <f ca="1">SUM(BB83:BB85)</f>
        <v>759058.09738637344</v>
      </c>
      <c r="BC82" s="1416">
        <f ca="1">SUM(BC83:BC85)</f>
        <v>471139.93676602829</v>
      </c>
      <c r="BD82" s="3090">
        <f t="shared" ca="1" si="130"/>
        <v>287918.16062034515</v>
      </c>
      <c r="BE82" s="2733">
        <f t="shared" ca="1" si="131"/>
        <v>1.6111096473728304</v>
      </c>
      <c r="BF82" s="1416">
        <f ca="1">SUM(BF83:BF85)</f>
        <v>5191989.4605</v>
      </c>
      <c r="BG82" s="3090">
        <f t="shared" ca="1" si="132"/>
        <v>-4432931.3631136268</v>
      </c>
      <c r="BH82" s="2733">
        <f t="shared" ca="1" si="133"/>
        <v>0.14619792724180039</v>
      </c>
    </row>
    <row r="83" spans="1:60" ht="14.5">
      <c r="A83" s="616">
        <v>1</v>
      </c>
      <c r="B83" s="616">
        <v>1</v>
      </c>
      <c r="C83" s="616">
        <f t="shared" si="109"/>
        <v>80</v>
      </c>
      <c r="D83" s="709" t="s">
        <v>1308</v>
      </c>
      <c r="E83" s="2565" t="s">
        <v>1369</v>
      </c>
      <c r="F83" s="2567"/>
      <c r="G83" s="4"/>
      <c r="H83" s="4"/>
      <c r="I83" s="498"/>
      <c r="J83" s="3" t="s">
        <v>63</v>
      </c>
      <c r="K83" s="3"/>
      <c r="L83" s="3"/>
      <c r="M83" s="3"/>
      <c r="N83" s="3"/>
      <c r="O83" s="3"/>
      <c r="P83" s="26"/>
      <c r="Q83" s="1784" t="str">
        <f>CHOOSE(2, "6722000003002", "PL SGA Expenses Variable Expenses")</f>
        <v>PL SGA Expenses Variable Expenses</v>
      </c>
      <c r="R83" s="1289">
        <f t="shared" ref="R83:AC85" si="137">R132+R147</f>
        <v>18592.978492826012</v>
      </c>
      <c r="S83" s="1289">
        <f t="shared" si="137"/>
        <v>14058.431285831692</v>
      </c>
      <c r="T83" s="1289">
        <f t="shared" si="137"/>
        <v>15547.272797424426</v>
      </c>
      <c r="U83" s="1289">
        <f t="shared" si="137"/>
        <v>18483.014427324466</v>
      </c>
      <c r="V83" s="1289">
        <f t="shared" si="137"/>
        <v>19971.517369946348</v>
      </c>
      <c r="W83" s="1289">
        <f t="shared" si="137"/>
        <v>25256.466210752336</v>
      </c>
      <c r="X83" s="1226">
        <f t="shared" si="137"/>
        <v>12764.062763541016</v>
      </c>
      <c r="Y83" s="1226">
        <f t="shared" si="137"/>
        <v>13148.810395254335</v>
      </c>
      <c r="Z83" s="1226">
        <f t="shared" si="137"/>
        <v>37688.057048356502</v>
      </c>
      <c r="AA83" s="1419">
        <f t="shared" si="137"/>
        <v>26041.715238789289</v>
      </c>
      <c r="AB83" s="1419">
        <f t="shared" si="137"/>
        <v>27432.584783883085</v>
      </c>
      <c r="AC83" s="1419">
        <f t="shared" si="137"/>
        <v>17353.73228769144</v>
      </c>
      <c r="AD83" s="126">
        <f>SUM(R83,S83,T83)</f>
        <v>48198.68257608213</v>
      </c>
      <c r="AE83" s="126">
        <f t="shared" ref="AE83:AE85" si="138">SUM(U83,V83,W83)</f>
        <v>63710.998008023147</v>
      </c>
      <c r="AF83" s="126">
        <f t="shared" ref="AF83:AF85" si="139">SUM(X83,Y83,Z83)</f>
        <v>63600.930207151854</v>
      </c>
      <c r="AG83" s="126">
        <f t="shared" ref="AG83:AG85" si="140">SUM(AA83,AB83,AC83)</f>
        <v>70828.032310363807</v>
      </c>
      <c r="AH83" s="126">
        <f t="shared" ref="AH83:AH85" si="141">AD83+AE83</f>
        <v>111909.68058410528</v>
      </c>
      <c r="AI83" s="126">
        <f t="shared" ref="AI83:AI85" si="142">AG83+AF83</f>
        <v>134428.96251751567</v>
      </c>
      <c r="AJ83" s="126">
        <f t="shared" ref="AJ83:AJ85" si="143">AH83+AI83</f>
        <v>246338.64310162095</v>
      </c>
      <c r="AL83" s="1419">
        <f t="shared" ref="AL83:AM85" ca="1" si="144">AL132+AL147</f>
        <v>17353.73228769144</v>
      </c>
      <c r="AM83" s="1419">
        <f t="shared" ca="1" si="144"/>
        <v>32871.51554257267</v>
      </c>
      <c r="AN83" s="3091">
        <f t="shared" ca="1" si="122"/>
        <v>-15517.783254881229</v>
      </c>
      <c r="AO83" s="2735">
        <f t="shared" ca="1" si="123"/>
        <v>0.52792613912845654</v>
      </c>
      <c r="AP83" s="1419">
        <f ca="1">AP132+AP147</f>
        <v>261070.37031000003</v>
      </c>
      <c r="AQ83" s="3091">
        <f t="shared" ca="1" si="124"/>
        <v>-243716.63802230859</v>
      </c>
      <c r="AR83" s="2735">
        <f t="shared" ca="1" si="125"/>
        <v>6.6471473829394279E-2</v>
      </c>
      <c r="AT83" s="1419">
        <f t="shared" ref="AT83:AU85" ca="1" si="145">AT132+AT147</f>
        <v>70828.032310363822</v>
      </c>
      <c r="AU83" s="1419">
        <f t="shared" ca="1" si="145"/>
        <v>95362.505651898857</v>
      </c>
      <c r="AV83" s="3091">
        <f t="shared" ca="1" si="126"/>
        <v>-24534.473341535035</v>
      </c>
      <c r="AW83" s="2735">
        <f t="shared" ca="1" si="127"/>
        <v>0.74272411181085085</v>
      </c>
      <c r="AX83" s="1419">
        <f ca="1">AX132+AX147</f>
        <v>829239.37031000003</v>
      </c>
      <c r="AY83" s="3091">
        <f t="shared" ca="1" si="128"/>
        <v>-758411.33799963619</v>
      </c>
      <c r="AZ83" s="2735">
        <f t="shared" ca="1" si="129"/>
        <v>8.5413253212863874E-2</v>
      </c>
      <c r="BB83" s="1419">
        <f t="shared" ref="BB83:BC85" ca="1" si="146">BB132+BB147</f>
        <v>246338.64310162095</v>
      </c>
      <c r="BC83" s="1419">
        <f t="shared" ca="1" si="146"/>
        <v>161187.90115758183</v>
      </c>
      <c r="BD83" s="3091">
        <f t="shared" ca="1" si="130"/>
        <v>85150.741944039124</v>
      </c>
      <c r="BE83" s="2735">
        <f t="shared" ca="1" si="131"/>
        <v>1.5282700583140751</v>
      </c>
      <c r="BF83" s="1419">
        <f ca="1">BF132+BF147</f>
        <v>2595994.73025</v>
      </c>
      <c r="BG83" s="3091">
        <f t="shared" ca="1" si="132"/>
        <v>-2349656.0871483791</v>
      </c>
      <c r="BH83" s="2735">
        <f t="shared" ca="1" si="133"/>
        <v>9.4891811694046854E-2</v>
      </c>
    </row>
    <row r="84" spans="1:60" ht="14.5">
      <c r="A84" s="616">
        <v>1</v>
      </c>
      <c r="B84" s="616">
        <v>1</v>
      </c>
      <c r="C84" s="616">
        <f t="shared" si="109"/>
        <v>81</v>
      </c>
      <c r="D84" s="709" t="s">
        <v>1308</v>
      </c>
      <c r="E84" s="2565" t="s">
        <v>1369</v>
      </c>
      <c r="F84" s="2567"/>
      <c r="G84" s="4"/>
      <c r="H84" s="4"/>
      <c r="I84" s="498"/>
      <c r="J84" s="3" t="s">
        <v>28</v>
      </c>
      <c r="K84" s="3"/>
      <c r="L84" s="3"/>
      <c r="M84" s="3"/>
      <c r="N84" s="3"/>
      <c r="O84" s="3"/>
      <c r="P84" s="26"/>
      <c r="Q84" s="1784" t="str">
        <f>CHOOSE(2, "6722000003003", "PL SGA Expenses Wages &amp; Salaries")</f>
        <v>PL SGA Expenses Wages &amp; Salaries</v>
      </c>
      <c r="R84" s="1289">
        <f t="shared" si="137"/>
        <v>22847</v>
      </c>
      <c r="S84" s="1289">
        <f t="shared" si="137"/>
        <v>22453.8663966288</v>
      </c>
      <c r="T84" s="1289">
        <f t="shared" si="137"/>
        <v>23353.626969484001</v>
      </c>
      <c r="U84" s="1289">
        <f t="shared" si="137"/>
        <v>22175.008818655566</v>
      </c>
      <c r="V84" s="1289">
        <f t="shared" si="137"/>
        <v>22767.418176601943</v>
      </c>
      <c r="W84" s="1289">
        <f t="shared" si="137"/>
        <v>23771.478800583944</v>
      </c>
      <c r="X84" s="1226">
        <f t="shared" si="137"/>
        <v>31546.754196601556</v>
      </c>
      <c r="Y84" s="1226">
        <f t="shared" si="137"/>
        <v>25279.657007676753</v>
      </c>
      <c r="Z84" s="1226">
        <f t="shared" si="137"/>
        <v>27271.93337931775</v>
      </c>
      <c r="AA84" s="1419">
        <f t="shared" si="137"/>
        <v>24910.371068526183</v>
      </c>
      <c r="AB84" s="1419">
        <f t="shared" si="137"/>
        <v>27619.163973104827</v>
      </c>
      <c r="AC84" s="1419">
        <f t="shared" si="137"/>
        <v>22981.892605307599</v>
      </c>
      <c r="AD84" s="126">
        <f>SUM(R84,S84,T84)</f>
        <v>68654.493366112802</v>
      </c>
      <c r="AE84" s="126">
        <f t="shared" si="138"/>
        <v>68713.905795841449</v>
      </c>
      <c r="AF84" s="126">
        <f t="shared" si="139"/>
        <v>84098.344583596059</v>
      </c>
      <c r="AG84" s="126">
        <f t="shared" si="140"/>
        <v>75511.42764693861</v>
      </c>
      <c r="AH84" s="126">
        <f t="shared" si="141"/>
        <v>137368.39916195424</v>
      </c>
      <c r="AI84" s="126">
        <f t="shared" si="142"/>
        <v>159609.77223053467</v>
      </c>
      <c r="AJ84" s="126">
        <f t="shared" si="143"/>
        <v>296978.17139248888</v>
      </c>
      <c r="AL84" s="1419">
        <f t="shared" ca="1" si="144"/>
        <v>22981.892605307599</v>
      </c>
      <c r="AM84" s="1419">
        <f t="shared" ca="1" si="144"/>
        <v>960</v>
      </c>
      <c r="AN84" s="3091">
        <f t="shared" ca="1" si="122"/>
        <v>22021.892605307599</v>
      </c>
      <c r="AO84" s="2735">
        <f t="shared" ca="1" si="123"/>
        <v>23.939471463862084</v>
      </c>
      <c r="AP84" s="1419">
        <f ca="1">AP133+AP148</f>
        <v>179970.37031000003</v>
      </c>
      <c r="AQ84" s="3091">
        <f t="shared" ca="1" si="124"/>
        <v>-156988.47770469243</v>
      </c>
      <c r="AR84" s="2735">
        <f t="shared" ca="1" si="125"/>
        <v>0.12769820146350286</v>
      </c>
      <c r="AT84" s="1419">
        <f t="shared" ca="1" si="145"/>
        <v>75511.42764693861</v>
      </c>
      <c r="AU84" s="1419">
        <f t="shared" ca="1" si="145"/>
        <v>2780</v>
      </c>
      <c r="AV84" s="3091">
        <f t="shared" ca="1" si="126"/>
        <v>72731.42764693861</v>
      </c>
      <c r="AW84" s="2735">
        <f t="shared" ca="1" si="127"/>
        <v>27.162384045661369</v>
      </c>
      <c r="AX84" s="1419">
        <f ca="1">AX133+AX148</f>
        <v>578926.37031000003</v>
      </c>
      <c r="AY84" s="3091">
        <f t="shared" ca="1" si="128"/>
        <v>-503414.94266306143</v>
      </c>
      <c r="AZ84" s="2735">
        <f t="shared" ca="1" si="129"/>
        <v>0.13043356032737669</v>
      </c>
      <c r="BB84" s="1419">
        <f t="shared" ca="1" si="146"/>
        <v>296978.17139248888</v>
      </c>
      <c r="BC84" s="1419">
        <f t="shared" ca="1" si="146"/>
        <v>4360</v>
      </c>
      <c r="BD84" s="3091">
        <f t="shared" ca="1" si="130"/>
        <v>292618.17139248888</v>
      </c>
      <c r="BE84" s="2735">
        <f t="shared" ca="1" si="131"/>
        <v>68.114259493690113</v>
      </c>
      <c r="BF84" s="1419">
        <f ca="1">BF133+BF148</f>
        <v>1662811.5063100001</v>
      </c>
      <c r="BG84" s="3091">
        <f t="shared" ca="1" si="132"/>
        <v>-1365833.3349175113</v>
      </c>
      <c r="BH84" s="2735">
        <f t="shared" ca="1" si="133"/>
        <v>0.1786000218699009</v>
      </c>
    </row>
    <row r="85" spans="1:60" ht="14.5">
      <c r="A85" s="616">
        <v>1</v>
      </c>
      <c r="B85" s="616">
        <v>1</v>
      </c>
      <c r="C85" s="616">
        <f t="shared" si="109"/>
        <v>82</v>
      </c>
      <c r="D85" s="709" t="s">
        <v>1308</v>
      </c>
      <c r="E85" s="2565" t="s">
        <v>1369</v>
      </c>
      <c r="F85" s="2567"/>
      <c r="G85" s="4"/>
      <c r="H85" s="4"/>
      <c r="I85" s="976"/>
      <c r="J85" s="47" t="s">
        <v>62</v>
      </c>
      <c r="K85" s="47"/>
      <c r="L85" s="47"/>
      <c r="M85" s="47"/>
      <c r="N85" s="47"/>
      <c r="O85" s="47"/>
      <c r="P85" s="46"/>
      <c r="Q85" s="1784" t="str">
        <f>CHOOSE(2, "6722000003004", "PL SGA Expenses Fixed Expenses")</f>
        <v>PL SGA Expenses Fixed Expenses</v>
      </c>
      <c r="R85" s="1255">
        <f t="shared" si="137"/>
        <v>13931.676383935717</v>
      </c>
      <c r="S85" s="1255">
        <f t="shared" si="137"/>
        <v>15645.496114098551</v>
      </c>
      <c r="T85" s="1255">
        <f t="shared" si="137"/>
        <v>19690.678064287476</v>
      </c>
      <c r="U85" s="1255">
        <f t="shared" si="137"/>
        <v>14800.879341107169</v>
      </c>
      <c r="V85" s="1255">
        <f t="shared" si="137"/>
        <v>19739.40404223961</v>
      </c>
      <c r="W85" s="1255">
        <f t="shared" si="137"/>
        <v>5843.7909090666544</v>
      </c>
      <c r="X85" s="1248">
        <f t="shared" si="137"/>
        <v>27247.814642046273</v>
      </c>
      <c r="Y85" s="1248">
        <f t="shared" si="137"/>
        <v>17374.944450123679</v>
      </c>
      <c r="Z85" s="1248">
        <f t="shared" si="137"/>
        <v>14111.600064881033</v>
      </c>
      <c r="AA85" s="1420">
        <f t="shared" si="137"/>
        <v>22358.528027160923</v>
      </c>
      <c r="AB85" s="1420">
        <f t="shared" si="137"/>
        <v>9138.5812082261364</v>
      </c>
      <c r="AC85" s="1420">
        <f t="shared" si="137"/>
        <v>35857.88964509045</v>
      </c>
      <c r="AD85" s="975">
        <f>SUM(R85,S85,T85)</f>
        <v>49267.85056232175</v>
      </c>
      <c r="AE85" s="975">
        <f t="shared" si="138"/>
        <v>40384.074292413439</v>
      </c>
      <c r="AF85" s="975">
        <f t="shared" si="139"/>
        <v>58734.359157050989</v>
      </c>
      <c r="AG85" s="975">
        <f t="shared" si="140"/>
        <v>67354.998880477506</v>
      </c>
      <c r="AH85" s="975">
        <f t="shared" si="141"/>
        <v>89651.924854735189</v>
      </c>
      <c r="AI85" s="975">
        <f t="shared" si="142"/>
        <v>126089.35803752849</v>
      </c>
      <c r="AJ85" s="975">
        <f t="shared" si="143"/>
        <v>215741.28289226367</v>
      </c>
      <c r="AL85" s="1420">
        <f t="shared" ca="1" si="144"/>
        <v>35857.88964509045</v>
      </c>
      <c r="AM85" s="1420">
        <f t="shared" ca="1" si="144"/>
        <v>60738.326305373543</v>
      </c>
      <c r="AN85" s="3092">
        <f t="shared" ca="1" si="122"/>
        <v>-24880.436660283092</v>
      </c>
      <c r="AO85" s="2737">
        <f t="shared" ca="1" si="123"/>
        <v>0.59036677212355271</v>
      </c>
      <c r="AP85" s="1420">
        <f ca="1">AP134+AP149</f>
        <v>81100</v>
      </c>
      <c r="AQ85" s="3092">
        <f t="shared" ca="1" si="124"/>
        <v>-45242.11035490955</v>
      </c>
      <c r="AR85" s="2737">
        <f t="shared" ca="1" si="125"/>
        <v>0.44214413865709556</v>
      </c>
      <c r="AT85" s="1420">
        <f t="shared" ca="1" si="145"/>
        <v>67354.998880477506</v>
      </c>
      <c r="AU85" s="1420">
        <f t="shared" ca="1" si="145"/>
        <v>179367.75906672206</v>
      </c>
      <c r="AV85" s="3092">
        <f t="shared" ca="1" si="126"/>
        <v>-112012.76018624456</v>
      </c>
      <c r="AW85" s="2737">
        <f t="shared" ca="1" si="127"/>
        <v>0.37551341016320816</v>
      </c>
      <c r="AX85" s="1420">
        <f ca="1">AX134+AX149</f>
        <v>250313</v>
      </c>
      <c r="AY85" s="3092">
        <f t="shared" ca="1" si="128"/>
        <v>-182958.00111952249</v>
      </c>
      <c r="AZ85" s="2737">
        <f t="shared" ca="1" si="129"/>
        <v>0.26908310347635761</v>
      </c>
      <c r="BB85" s="1420">
        <f t="shared" ca="1" si="146"/>
        <v>215741.28289226367</v>
      </c>
      <c r="BC85" s="1420">
        <f t="shared" ca="1" si="146"/>
        <v>305592.03560844646</v>
      </c>
      <c r="BD85" s="3092">
        <f t="shared" ca="1" si="130"/>
        <v>-89850.752716182789</v>
      </c>
      <c r="BE85" s="2737">
        <f t="shared" ca="1" si="131"/>
        <v>0.70597809416961343</v>
      </c>
      <c r="BF85" s="1420">
        <f ca="1">BF134+BF149</f>
        <v>933183.22393999994</v>
      </c>
      <c r="BG85" s="3092">
        <f t="shared" ca="1" si="132"/>
        <v>-717441.94104773621</v>
      </c>
      <c r="BH85" s="2737">
        <f t="shared" ca="1" si="133"/>
        <v>0.23118855692816762</v>
      </c>
    </row>
    <row r="86" spans="1:60" ht="14.5">
      <c r="A86" s="616">
        <v>1</v>
      </c>
      <c r="B86" s="616">
        <v>1</v>
      </c>
      <c r="C86" s="616">
        <f t="shared" si="109"/>
        <v>83</v>
      </c>
      <c r="D86" s="709" t="s">
        <v>1308</v>
      </c>
      <c r="E86" s="2565" t="s">
        <v>1369</v>
      </c>
      <c r="F86" s="2567"/>
      <c r="G86" s="4"/>
      <c r="H86" s="4"/>
      <c r="I86" s="995" t="s">
        <v>56</v>
      </c>
      <c r="J86" s="996"/>
      <c r="K86" s="996"/>
      <c r="L86" s="996"/>
      <c r="M86" s="997"/>
      <c r="N86" s="997"/>
      <c r="O86" s="997"/>
      <c r="P86" s="1006"/>
      <c r="Q86" s="1783" t="str">
        <f>CHOOSE(2, "6722000003005", "PL Business Contribution Profit")</f>
        <v>PL Business Contribution Profit</v>
      </c>
      <c r="R86" s="1407">
        <f>R81-R82</f>
        <v>7627.3451232382722</v>
      </c>
      <c r="S86" s="1407">
        <f t="shared" ref="S86:AJ86" si="147">S81-S82</f>
        <v>702.20620344096096</v>
      </c>
      <c r="T86" s="1407">
        <f t="shared" si="147"/>
        <v>10613.4221688041</v>
      </c>
      <c r="U86" s="1407">
        <f t="shared" si="147"/>
        <v>12366.097412912801</v>
      </c>
      <c r="V86" s="1407">
        <f t="shared" si="147"/>
        <v>19519.284661571583</v>
      </c>
      <c r="W86" s="1407">
        <f t="shared" si="147"/>
        <v>32513.264079597066</v>
      </c>
      <c r="X86" s="1417">
        <f t="shared" si="147"/>
        <v>15783.368397811151</v>
      </c>
      <c r="Y86" s="1417">
        <f t="shared" si="147"/>
        <v>30199.588146945236</v>
      </c>
      <c r="Z86" s="1417">
        <f t="shared" si="147"/>
        <v>18763.40950744471</v>
      </c>
      <c r="AA86" s="1418">
        <f t="shared" si="147"/>
        <v>9937.3856655236013</v>
      </c>
      <c r="AB86" s="1418">
        <f t="shared" si="147"/>
        <v>3629.5266247859399</v>
      </c>
      <c r="AC86" s="1418">
        <f t="shared" si="147"/>
        <v>-166.51453808948281</v>
      </c>
      <c r="AD86" s="1418">
        <f t="shared" si="147"/>
        <v>18942.973495483311</v>
      </c>
      <c r="AE86" s="1418">
        <f t="shared" si="147"/>
        <v>64398.646154081449</v>
      </c>
      <c r="AF86" s="1418">
        <f t="shared" si="147"/>
        <v>64746.366052201105</v>
      </c>
      <c r="AG86" s="1418">
        <f t="shared" si="147"/>
        <v>13400.397752220044</v>
      </c>
      <c r="AH86" s="1418">
        <f t="shared" si="147"/>
        <v>83341.619649564789</v>
      </c>
      <c r="AI86" s="1418">
        <f t="shared" si="147"/>
        <v>78146.763804421178</v>
      </c>
      <c r="AJ86" s="1418">
        <f t="shared" si="147"/>
        <v>161488.38345398603</v>
      </c>
      <c r="AL86" s="1418">
        <f ca="1">AL81-AL82</f>
        <v>-166.51453808948281</v>
      </c>
      <c r="AM86" s="1418">
        <f ca="1">AM81-AM82</f>
        <v>-94569.841847946213</v>
      </c>
      <c r="AN86" s="3093">
        <f t="shared" ca="1" si="122"/>
        <v>94403.32730985673</v>
      </c>
      <c r="AO86" s="2739">
        <f t="shared" ca="1" si="123"/>
        <v>1.7607572862098325E-3</v>
      </c>
      <c r="AP86" s="1418">
        <f ca="1">AP81-AP82</f>
        <v>-516463.02977151086</v>
      </c>
      <c r="AQ86" s="3093">
        <f t="shared" ca="1" si="124"/>
        <v>516296.51523342135</v>
      </c>
      <c r="AR86" s="2739">
        <f t="shared" ca="1" si="125"/>
        <v>3.2241327740951904E-4</v>
      </c>
      <c r="AT86" s="1418">
        <f ca="1">AT81-AT82</f>
        <v>13400.397752220073</v>
      </c>
      <c r="AU86" s="1418">
        <f ca="1">AU81-AU82</f>
        <v>-277510.26471862092</v>
      </c>
      <c r="AV86" s="3093">
        <f t="shared" ca="1" si="126"/>
        <v>290910.66247084097</v>
      </c>
      <c r="AW86" s="2739">
        <f t="shared" ca="1" si="127"/>
        <v>-4.8287935459999244E-2</v>
      </c>
      <c r="AX86" s="1418">
        <f ca="1">AX81-AX82</f>
        <v>-1612229.3192920475</v>
      </c>
      <c r="AY86" s="3093">
        <f t="shared" ca="1" si="128"/>
        <v>1625629.7170442676</v>
      </c>
      <c r="AZ86" s="2739">
        <f t="shared" ca="1" si="129"/>
        <v>-8.3117194259340072E-3</v>
      </c>
      <c r="BB86" s="1418">
        <f ca="1">BB81-BB82</f>
        <v>161488.38345398603</v>
      </c>
      <c r="BC86" s="1418">
        <f ca="1">BC81-BC82</f>
        <v>-471139.93676602829</v>
      </c>
      <c r="BD86" s="3093">
        <f t="shared" ca="1" si="130"/>
        <v>632628.32022001431</v>
      </c>
      <c r="BE86" s="2739">
        <f t="shared" ca="1" si="131"/>
        <v>-0.34276097365565167</v>
      </c>
      <c r="BF86" s="1418">
        <f ca="1">BF81-BF82</f>
        <v>-5052034.0166810481</v>
      </c>
      <c r="BG86" s="3093">
        <f t="shared" ca="1" si="132"/>
        <v>5213522.4001350338</v>
      </c>
      <c r="BH86" s="2739">
        <f t="shared" ca="1" si="133"/>
        <v>-3.1965022982975953E-2</v>
      </c>
    </row>
    <row r="87" spans="1:60" ht="14.5">
      <c r="A87" s="616">
        <v>1</v>
      </c>
      <c r="B87" s="616">
        <v>1</v>
      </c>
      <c r="C87" s="616">
        <f t="shared" si="109"/>
        <v>84</v>
      </c>
      <c r="D87" s="709" t="s">
        <v>1308</v>
      </c>
      <c r="E87" s="2565" t="s">
        <v>1369</v>
      </c>
      <c r="F87" s="2567"/>
      <c r="G87" s="4"/>
      <c r="H87" s="4"/>
      <c r="I87" s="3041" t="s">
        <v>1333</v>
      </c>
      <c r="J87" s="447"/>
      <c r="K87" s="514"/>
      <c r="L87" s="514"/>
      <c r="M87" s="447"/>
      <c r="N87" s="447"/>
      <c r="O87" s="447"/>
      <c r="P87" s="447"/>
      <c r="Q87" s="1784" t="str">
        <f>CHOOSE(2, "6722000003006", "PL Other Income")</f>
        <v>PL Other Income</v>
      </c>
      <c r="R87" s="1421">
        <f>R137</f>
        <v>3064</v>
      </c>
      <c r="S87" s="3094">
        <f t="shared" ref="S87:AC88" si="148">S137</f>
        <v>116</v>
      </c>
      <c r="T87" s="3094">
        <f t="shared" si="148"/>
        <v>6.4662739794967461</v>
      </c>
      <c r="U87" s="3094">
        <f t="shared" si="148"/>
        <v>73</v>
      </c>
      <c r="V87" s="3094">
        <f t="shared" si="148"/>
        <v>135.57005274727749</v>
      </c>
      <c r="W87" s="3094">
        <f t="shared" si="148"/>
        <v>6</v>
      </c>
      <c r="X87" s="3094">
        <f t="shared" si="148"/>
        <v>0</v>
      </c>
      <c r="Y87" s="3094">
        <f t="shared" si="148"/>
        <v>85</v>
      </c>
      <c r="Z87" s="3094">
        <f t="shared" si="148"/>
        <v>28009.810918185489</v>
      </c>
      <c r="AA87" s="3094">
        <f t="shared" si="148"/>
        <v>1629.8089606417275</v>
      </c>
      <c r="AB87" s="3094">
        <f t="shared" si="148"/>
        <v>392.05327055497321</v>
      </c>
      <c r="AC87" s="3094">
        <f t="shared" si="148"/>
        <v>10745</v>
      </c>
      <c r="AD87" s="3095">
        <f>SUM(R87:T87)</f>
        <v>3186.4662739794967</v>
      </c>
      <c r="AE87" s="3095">
        <f>SUM(U87:W87)</f>
        <v>214.57005274727749</v>
      </c>
      <c r="AF87" s="3095">
        <f>SUM(X87:Z87)</f>
        <v>28094.810918185489</v>
      </c>
      <c r="AG87" s="3095">
        <f>SUM(AA87:AC87)</f>
        <v>12766.862231196701</v>
      </c>
      <c r="AH87" s="3095">
        <f>AD87+AE87</f>
        <v>3401.036326726774</v>
      </c>
      <c r="AI87" s="3095">
        <f>AG87+AF87</f>
        <v>40861.673149382186</v>
      </c>
      <c r="AJ87" s="3095">
        <f>AH87+AI87</f>
        <v>44262.709476108961</v>
      </c>
      <c r="AL87" s="3094">
        <f ca="1">AL137</f>
        <v>10745</v>
      </c>
      <c r="AM87" s="3094">
        <f ca="1">AM137</f>
        <v>13186.823652291168</v>
      </c>
      <c r="AN87" s="3096">
        <f t="shared" ca="1" si="122"/>
        <v>-2441.8236522911684</v>
      </c>
      <c r="AO87" s="3097">
        <f t="shared" ca="1" si="123"/>
        <v>0.8148285199926133</v>
      </c>
      <c r="AP87" s="3094">
        <f ca="1">AP137</f>
        <v>143595.37031000003</v>
      </c>
      <c r="AQ87" s="3096">
        <f t="shared" ca="1" si="124"/>
        <v>-132850.37031000003</v>
      </c>
      <c r="AR87" s="3097">
        <f t="shared" ca="1" si="125"/>
        <v>7.4828317770992331E-2</v>
      </c>
      <c r="AT87" s="3094">
        <f ca="1">AT137</f>
        <v>12766.862231196701</v>
      </c>
      <c r="AU87" s="3094">
        <f ca="1">AU137</f>
        <v>39416.433273823888</v>
      </c>
      <c r="AV87" s="3096">
        <f t="shared" ca="1" si="126"/>
        <v>-26649.571042627187</v>
      </c>
      <c r="AW87" s="3097">
        <f t="shared" ca="1" si="127"/>
        <v>0.32389694274228165</v>
      </c>
      <c r="AX87" s="3094">
        <f ca="1">AX137</f>
        <v>431160.37031000003</v>
      </c>
      <c r="AY87" s="3096">
        <f t="shared" ca="1" si="128"/>
        <v>-418393.50807880331</v>
      </c>
      <c r="AZ87" s="3097">
        <f t="shared" ca="1" si="129"/>
        <v>2.9610472367897482E-2</v>
      </c>
      <c r="BB87" s="3094">
        <f ca="1">BB137</f>
        <v>44262.709476108961</v>
      </c>
      <c r="BC87" s="3094">
        <f ca="1">BC137</f>
        <v>66050.478303544485</v>
      </c>
      <c r="BD87" s="3096">
        <f t="shared" ca="1" si="130"/>
        <v>-21787.768827435524</v>
      </c>
      <c r="BE87" s="3097">
        <f t="shared" ca="1" si="131"/>
        <v>0.67013457908197582</v>
      </c>
      <c r="BF87" s="3094">
        <f ca="1">BF137</f>
        <v>1205935.2690501842</v>
      </c>
      <c r="BG87" s="3096">
        <f t="shared" ca="1" si="132"/>
        <v>-1161672.5595740753</v>
      </c>
      <c r="BH87" s="3097">
        <f t="shared" ca="1" si="133"/>
        <v>3.6704050882408516E-2</v>
      </c>
    </row>
    <row r="88" spans="1:60" ht="14.5">
      <c r="A88" s="616">
        <v>1</v>
      </c>
      <c r="B88" s="616">
        <v>1</v>
      </c>
      <c r="C88" s="616">
        <f t="shared" si="109"/>
        <v>85</v>
      </c>
      <c r="D88" s="709" t="s">
        <v>1308</v>
      </c>
      <c r="E88" s="2565" t="s">
        <v>1369</v>
      </c>
      <c r="F88" s="2567"/>
      <c r="G88" s="4"/>
      <c r="H88" s="4"/>
      <c r="I88" s="106" t="s">
        <v>1334</v>
      </c>
      <c r="J88" s="104"/>
      <c r="K88" s="105"/>
      <c r="L88" s="105"/>
      <c r="M88" s="104"/>
      <c r="N88" s="104"/>
      <c r="O88" s="104"/>
      <c r="P88" s="104"/>
      <c r="Q88" s="1784" t="str">
        <f>CHOOSE(2, "6722000003007", "PL Other Expenses")</f>
        <v>PL Other Expenses</v>
      </c>
      <c r="R88" s="1290">
        <f>R138</f>
        <v>0</v>
      </c>
      <c r="S88" s="1241">
        <f t="shared" si="148"/>
        <v>0</v>
      </c>
      <c r="T88" s="1241">
        <f t="shared" si="148"/>
        <v>0</v>
      </c>
      <c r="U88" s="1241">
        <f t="shared" si="148"/>
        <v>0</v>
      </c>
      <c r="V88" s="1241">
        <f t="shared" si="148"/>
        <v>0</v>
      </c>
      <c r="W88" s="1241">
        <f t="shared" si="148"/>
        <v>0</v>
      </c>
      <c r="X88" s="1241">
        <f t="shared" si="148"/>
        <v>0</v>
      </c>
      <c r="Y88" s="1241">
        <f t="shared" si="148"/>
        <v>0</v>
      </c>
      <c r="Z88" s="1241">
        <f t="shared" si="148"/>
        <v>0</v>
      </c>
      <c r="AA88" s="1241">
        <f t="shared" si="148"/>
        <v>0</v>
      </c>
      <c r="AB88" s="1241">
        <f t="shared" si="148"/>
        <v>0</v>
      </c>
      <c r="AC88" s="1241">
        <f t="shared" si="148"/>
        <v>0</v>
      </c>
      <c r="AD88" s="80">
        <f>SUM(R88:T88)</f>
        <v>0</v>
      </c>
      <c r="AE88" s="80">
        <f>SUM(U88:W88)</f>
        <v>0</v>
      </c>
      <c r="AF88" s="80">
        <f>SUM(X88:Z88)</f>
        <v>0</v>
      </c>
      <c r="AG88" s="80">
        <f>SUM(AA88:AC88)</f>
        <v>0</v>
      </c>
      <c r="AH88" s="80">
        <f>AD88+AE88</f>
        <v>0</v>
      </c>
      <c r="AI88" s="80">
        <f>AG88+AF88</f>
        <v>0</v>
      </c>
      <c r="AJ88" s="80">
        <f>AH88+AI88</f>
        <v>0</v>
      </c>
      <c r="AL88" s="1241">
        <f ca="1">AL138</f>
        <v>0</v>
      </c>
      <c r="AM88" s="1241">
        <f ca="1">AM138</f>
        <v>8111.4317159317652</v>
      </c>
      <c r="AN88" s="3098">
        <f t="shared" ca="1" si="122"/>
        <v>-8111.4317159317652</v>
      </c>
      <c r="AO88" s="2743">
        <f t="shared" ca="1" si="123"/>
        <v>0</v>
      </c>
      <c r="AP88" s="1241">
        <f ca="1">AP138</f>
        <v>143595.37031000003</v>
      </c>
      <c r="AQ88" s="3098">
        <f t="shared" ca="1" si="124"/>
        <v>-143595.37031000003</v>
      </c>
      <c r="AR88" s="2743">
        <f t="shared" ca="1" si="125"/>
        <v>0</v>
      </c>
      <c r="AT88" s="1241">
        <f ca="1">AT138</f>
        <v>0</v>
      </c>
      <c r="AU88" s="1241">
        <f ca="1">AU138</f>
        <v>20435.090418390835</v>
      </c>
      <c r="AV88" s="3098">
        <f t="shared" ca="1" si="126"/>
        <v>-20435.090418390835</v>
      </c>
      <c r="AW88" s="2743">
        <f t="shared" ca="1" si="127"/>
        <v>0</v>
      </c>
      <c r="AX88" s="1241">
        <f ca="1">AX138</f>
        <v>431160.37031000003</v>
      </c>
      <c r="AY88" s="3098">
        <f t="shared" ca="1" si="128"/>
        <v>-431160.37031000003</v>
      </c>
      <c r="AZ88" s="2743">
        <f t="shared" ca="1" si="129"/>
        <v>0</v>
      </c>
      <c r="BB88" s="1241">
        <f ca="1">BB138</f>
        <v>0</v>
      </c>
      <c r="BC88" s="1241">
        <f ca="1">BC138</f>
        <v>30528.918716346983</v>
      </c>
      <c r="BD88" s="3098">
        <f t="shared" ca="1" si="130"/>
        <v>-30528.918716346983</v>
      </c>
      <c r="BE88" s="2743">
        <f t="shared" ca="1" si="131"/>
        <v>0</v>
      </c>
      <c r="BF88" s="1241">
        <f ca="1">BF138</f>
        <v>1205935.2690501842</v>
      </c>
      <c r="BG88" s="3098">
        <f t="shared" ca="1" si="132"/>
        <v>-1205935.2690501842</v>
      </c>
      <c r="BH88" s="2743">
        <f t="shared" ca="1" si="133"/>
        <v>0</v>
      </c>
    </row>
    <row r="89" spans="1:60" ht="14.5">
      <c r="A89" s="616">
        <v>1</v>
      </c>
      <c r="B89" s="616">
        <v>1</v>
      </c>
      <c r="C89" s="616">
        <f t="shared" si="109"/>
        <v>86</v>
      </c>
      <c r="D89" s="709" t="s">
        <v>1308</v>
      </c>
      <c r="E89" s="2565" t="s">
        <v>1369</v>
      </c>
      <c r="F89" s="2567"/>
      <c r="G89" s="4"/>
      <c r="H89" s="4"/>
      <c r="I89" s="1981" t="s">
        <v>1335</v>
      </c>
      <c r="J89" s="1982"/>
      <c r="K89" s="1983"/>
      <c r="L89" s="1983"/>
      <c r="M89" s="1983"/>
      <c r="N89" s="1983"/>
      <c r="O89" s="1983"/>
      <c r="P89" s="1983"/>
      <c r="Q89" s="1783" t="str">
        <f>CHOOSE(2, "6722000003008", "PL Operating Profit")</f>
        <v>PL Operating Profit</v>
      </c>
      <c r="R89" s="3099">
        <f>R86+R87-R88</f>
        <v>10691.345123238272</v>
      </c>
      <c r="S89" s="1406">
        <f t="shared" ref="S89:AC89" si="149">S86+S87-S88</f>
        <v>818.20620344096096</v>
      </c>
      <c r="T89" s="1406">
        <f t="shared" si="149"/>
        <v>10619.888442783596</v>
      </c>
      <c r="U89" s="1406">
        <f t="shared" si="149"/>
        <v>12439.097412912801</v>
      </c>
      <c r="V89" s="1406">
        <f t="shared" si="149"/>
        <v>19654.854714318859</v>
      </c>
      <c r="W89" s="1406">
        <f t="shared" si="149"/>
        <v>32519.264079597066</v>
      </c>
      <c r="X89" s="1406">
        <f t="shared" si="149"/>
        <v>15783.368397811151</v>
      </c>
      <c r="Y89" s="1406">
        <f t="shared" si="149"/>
        <v>30284.588146945236</v>
      </c>
      <c r="Z89" s="1406">
        <f t="shared" si="149"/>
        <v>46773.220425630199</v>
      </c>
      <c r="AA89" s="1406">
        <f t="shared" si="149"/>
        <v>11567.194626165328</v>
      </c>
      <c r="AB89" s="1406">
        <f t="shared" si="149"/>
        <v>4021.579895340913</v>
      </c>
      <c r="AC89" s="1406">
        <f t="shared" si="149"/>
        <v>10578.485461910517</v>
      </c>
      <c r="AD89" s="1406">
        <f>R89+S89+T89</f>
        <v>22129.439769462828</v>
      </c>
      <c r="AE89" s="1406">
        <f>U89+V89+W89</f>
        <v>64613.216206828729</v>
      </c>
      <c r="AF89" s="1406">
        <f>X89+Y89+Z89</f>
        <v>92841.176970386587</v>
      </c>
      <c r="AG89" s="1406">
        <f>AA89+AB89+AC89</f>
        <v>26167.259983416759</v>
      </c>
      <c r="AH89" s="1406">
        <f>AD89+AE89</f>
        <v>86742.655976291557</v>
      </c>
      <c r="AI89" s="1406">
        <f>AF89+AG89</f>
        <v>119008.43695380335</v>
      </c>
      <c r="AJ89" s="1406">
        <f>AH89+AI89</f>
        <v>205751.09293009492</v>
      </c>
      <c r="AL89" s="1406">
        <f ca="1">AL86+AL87-AL88</f>
        <v>10578.485461910517</v>
      </c>
      <c r="AM89" s="1406">
        <f ca="1">AM86+AM87-AM88</f>
        <v>-89494.449911586824</v>
      </c>
      <c r="AN89" s="3100">
        <f t="shared" ca="1" si="122"/>
        <v>100072.93537349734</v>
      </c>
      <c r="AO89" s="2745">
        <f t="shared" ca="1" si="123"/>
        <v>-0.11820269829426509</v>
      </c>
      <c r="AP89" s="1406">
        <f ca="1">AP86+AP87-AP88</f>
        <v>-516463.02977151086</v>
      </c>
      <c r="AQ89" s="3100">
        <f t="shared" ca="1" si="124"/>
        <v>527041.51523342135</v>
      </c>
      <c r="AR89" s="2745">
        <f t="shared" ca="1" si="125"/>
        <v>-2.0482560903905475E-2</v>
      </c>
      <c r="AT89" s="1406">
        <f ca="1">AT86+AT87-AT88</f>
        <v>26167.259983416774</v>
      </c>
      <c r="AU89" s="1406">
        <f ca="1">AU86+AU87-AU88</f>
        <v>-258528.92186318789</v>
      </c>
      <c r="AV89" s="3100">
        <f t="shared" ca="1" si="126"/>
        <v>284696.18184660468</v>
      </c>
      <c r="AW89" s="2745">
        <f t="shared" ca="1" si="127"/>
        <v>-0.10121598695740644</v>
      </c>
      <c r="AX89" s="1406">
        <f ca="1">AX86+AX87-AX88</f>
        <v>-1612229.3192920475</v>
      </c>
      <c r="AY89" s="3100">
        <f t="shared" ca="1" si="128"/>
        <v>1638396.5792754644</v>
      </c>
      <c r="AZ89" s="2745">
        <f t="shared" ca="1" si="129"/>
        <v>-1.6230482643069154E-2</v>
      </c>
      <c r="BB89" s="1406">
        <f ca="1">BB86+BB87-BB88</f>
        <v>205751.09293009498</v>
      </c>
      <c r="BC89" s="1406">
        <f ca="1">BC86+BC87-BC88</f>
        <v>-435618.37717883079</v>
      </c>
      <c r="BD89" s="3100">
        <f t="shared" ca="1" si="130"/>
        <v>641369.47010892583</v>
      </c>
      <c r="BE89" s="2745">
        <f t="shared" ca="1" si="131"/>
        <v>-0.47231958913806266</v>
      </c>
      <c r="BF89" s="1406">
        <f ca="1">BF86+BF87-BF88</f>
        <v>-5052034.0166810481</v>
      </c>
      <c r="BG89" s="3100">
        <f t="shared" ca="1" si="132"/>
        <v>5257785.1096111434</v>
      </c>
      <c r="BH89" s="2745">
        <f t="shared" ca="1" si="133"/>
        <v>-4.0726387085030735E-2</v>
      </c>
    </row>
    <row r="90" spans="1:60" ht="14.5">
      <c r="A90" s="616">
        <v>115</v>
      </c>
      <c r="B90" s="616">
        <v>1</v>
      </c>
      <c r="C90" s="616">
        <f t="shared" si="109"/>
        <v>87</v>
      </c>
      <c r="D90" s="709" t="s">
        <v>1308</v>
      </c>
      <c r="E90" s="2568" t="s">
        <v>1370</v>
      </c>
      <c r="F90" s="2569"/>
      <c r="G90" s="737"/>
      <c r="H90" s="4"/>
      <c r="I90" s="4"/>
      <c r="J90" s="3"/>
      <c r="K90" s="502" t="s">
        <v>1371</v>
      </c>
      <c r="L90" s="4"/>
      <c r="M90" s="3"/>
      <c r="N90" s="3"/>
      <c r="O90" s="3"/>
      <c r="P90" s="3"/>
      <c r="Q90" s="1785" t="str">
        <f>CHOOSE(2, "6722000003009", "PL Operating Profit CAR (%)")</f>
        <v>PL Operating Profit CAR (%)</v>
      </c>
      <c r="R90" s="1404">
        <f t="shared" ref="R90:AJ90" si="150">R431</f>
        <v>0.31133270804391594</v>
      </c>
      <c r="S90" s="1404">
        <f t="shared" si="150"/>
        <v>0.30025090598260118</v>
      </c>
      <c r="T90" s="1404">
        <f t="shared" si="150"/>
        <v>0.31141097852724886</v>
      </c>
      <c r="U90" s="1404">
        <f t="shared" si="150"/>
        <v>0.30879087962902235</v>
      </c>
      <c r="V90" s="1404">
        <f t="shared" si="150"/>
        <v>0.30791780854746414</v>
      </c>
      <c r="W90" s="1404">
        <f t="shared" si="150"/>
        <v>0.30791592898514969</v>
      </c>
      <c r="X90" s="1404">
        <f t="shared" si="150"/>
        <v>0.30791812411357894</v>
      </c>
      <c r="Y90" s="1404">
        <f t="shared" si="150"/>
        <v>0.30791439663539188</v>
      </c>
      <c r="Z90" s="1404">
        <f t="shared" si="150"/>
        <v>0.30791702034842688</v>
      </c>
      <c r="AA90" s="1404">
        <f t="shared" si="150"/>
        <v>0.37816569656021842</v>
      </c>
      <c r="AB90" s="1404">
        <f t="shared" si="150"/>
        <v>0.30791457759737079</v>
      </c>
      <c r="AC90" s="1404">
        <f t="shared" si="150"/>
        <v>0.49211546507267895</v>
      </c>
      <c r="AD90" s="609">
        <f t="shared" si="150"/>
        <v>0.30855265310020785</v>
      </c>
      <c r="AE90" s="1404">
        <f t="shared" si="150"/>
        <v>0.3082731463056691</v>
      </c>
      <c r="AF90" s="1404">
        <f t="shared" si="150"/>
        <v>0.30791668712096948</v>
      </c>
      <c r="AG90" s="1404">
        <f t="shared" si="150"/>
        <v>0.39420300970745104</v>
      </c>
      <c r="AH90" s="1404">
        <f t="shared" si="150"/>
        <v>0.30842356615705718</v>
      </c>
      <c r="AI90" s="1404">
        <f t="shared" si="150"/>
        <v>0.34302740324580477</v>
      </c>
      <c r="AJ90" s="1404">
        <f t="shared" si="150"/>
        <v>0.32676090217483339</v>
      </c>
      <c r="AL90" s="2746">
        <f ca="1">AL431</f>
        <v>0</v>
      </c>
      <c r="AM90" s="2746">
        <f ca="1">AM431</f>
        <v>0</v>
      </c>
      <c r="AN90" s="2746">
        <f t="shared" ca="1" si="122"/>
        <v>0</v>
      </c>
      <c r="AO90" s="2747"/>
      <c r="AP90" s="2746">
        <f ca="1">AP431</f>
        <v>0</v>
      </c>
      <c r="AQ90" s="2746">
        <f t="shared" ca="1" si="124"/>
        <v>0</v>
      </c>
      <c r="AR90" s="2748"/>
      <c r="AT90" s="2746">
        <f ca="1">AT431</f>
        <v>0</v>
      </c>
      <c r="AU90" s="2746">
        <f ca="1">AU431</f>
        <v>0</v>
      </c>
      <c r="AV90" s="2746">
        <f t="shared" ca="1" si="126"/>
        <v>0</v>
      </c>
      <c r="AW90" s="2747"/>
      <c r="AX90" s="2746">
        <f ca="1">AX431</f>
        <v>0</v>
      </c>
      <c r="AY90" s="2746">
        <f t="shared" ca="1" si="128"/>
        <v>0</v>
      </c>
      <c r="AZ90" s="2748"/>
      <c r="BA90" s="69"/>
      <c r="BB90" s="2746">
        <f ca="1">BB431</f>
        <v>0</v>
      </c>
      <c r="BC90" s="2746">
        <f ca="1">BC431</f>
        <v>0</v>
      </c>
      <c r="BD90" s="2746">
        <f t="shared" ca="1" si="130"/>
        <v>0</v>
      </c>
      <c r="BE90" s="2749"/>
      <c r="BF90" s="2746">
        <f ca="1">BF431</f>
        <v>0</v>
      </c>
      <c r="BG90" s="2746">
        <f t="shared" ca="1" si="132"/>
        <v>0</v>
      </c>
      <c r="BH90" s="2748"/>
    </row>
    <row r="91" spans="1:60" ht="14.5">
      <c r="A91" s="616">
        <f>A90+1</f>
        <v>116</v>
      </c>
      <c r="B91" s="616">
        <v>1</v>
      </c>
      <c r="C91" s="616">
        <f t="shared" si="109"/>
        <v>88</v>
      </c>
      <c r="D91" s="709" t="s">
        <v>1308</v>
      </c>
      <c r="E91" s="2568" t="s">
        <v>1370</v>
      </c>
      <c r="F91" s="2569"/>
      <c r="G91" s="737"/>
      <c r="H91" s="4"/>
      <c r="I91" s="4"/>
      <c r="J91" s="3"/>
      <c r="K91" s="27"/>
      <c r="L91" s="3101" t="s">
        <v>509</v>
      </c>
      <c r="M91" s="251"/>
      <c r="N91" s="251"/>
      <c r="O91" s="251"/>
      <c r="P91" s="251"/>
      <c r="Q91" s="1786" t="str">
        <f>CHOOSE(2, "6722000003010", "PL Operating Profit CAR Directly assigned")</f>
        <v>PL Operating Profit CAR Directly assigned</v>
      </c>
      <c r="R91" s="3102">
        <f>SUM(R92:R94)</f>
        <v>20047.31588891986</v>
      </c>
      <c r="S91" s="3102">
        <f t="shared" ref="S91:AC91" si="151">SUM(S92:S94)</f>
        <v>27988.396486893151</v>
      </c>
      <c r="T91" s="3102">
        <f t="shared" si="151"/>
        <v>22673.291865933039</v>
      </c>
      <c r="U91" s="3102">
        <f t="shared" si="151"/>
        <v>21997.591846306044</v>
      </c>
      <c r="V91" s="3102">
        <f t="shared" si="151"/>
        <v>28671.985463392237</v>
      </c>
      <c r="W91" s="3102">
        <f t="shared" si="151"/>
        <v>39348.655569556773</v>
      </c>
      <c r="X91" s="3103">
        <f t="shared" si="151"/>
        <v>22618.91875601247</v>
      </c>
      <c r="Y91" s="3103">
        <f t="shared" si="151"/>
        <v>20173.850332796337</v>
      </c>
      <c r="Z91" s="3103">
        <f t="shared" si="151"/>
        <v>44820.748372608461</v>
      </c>
      <c r="AA91" s="3104">
        <f t="shared" si="151"/>
        <v>19763.33526546248</v>
      </c>
      <c r="AB91" s="3104">
        <f t="shared" si="151"/>
        <v>46450.394075289638</v>
      </c>
      <c r="AC91" s="3104">
        <f t="shared" si="151"/>
        <v>42023.135441722596</v>
      </c>
      <c r="AD91" s="3105">
        <f>SUM(R91,S91,T91)</f>
        <v>70709.00424174605</v>
      </c>
      <c r="AE91" s="3104">
        <f t="shared" ref="AE91:AE95" si="152">SUM(U91,V91,W91)</f>
        <v>90018.232879255054</v>
      </c>
      <c r="AF91" s="3104">
        <f t="shared" ref="AF91:AF95" si="153">SUM(X91,Y91,Z91)</f>
        <v>87613.517461417272</v>
      </c>
      <c r="AG91" s="3104">
        <f t="shared" ref="AG91:AG95" si="154">SUM(AA91,AB91,AC91)</f>
        <v>108236.86478247472</v>
      </c>
      <c r="AH91" s="3104">
        <f t="shared" ref="AH91:AJ91" si="155">SUM(AH92:AH94)</f>
        <v>160727.23712100109</v>
      </c>
      <c r="AI91" s="3104">
        <f t="shared" si="155"/>
        <v>195850.382243892</v>
      </c>
      <c r="AJ91" s="3104">
        <f t="shared" si="155"/>
        <v>356577.61936489306</v>
      </c>
      <c r="AL91" s="3102">
        <f ca="1">SUM((INDIRECT(AL$2&amp;(ROW())):INDIRECT(AL$3&amp;(ROW()))))</f>
        <v>42023.135441722596</v>
      </c>
      <c r="AM91" s="745">
        <f ca="1">SUM(INDIRECT(AM$1&amp;AM$2&amp;$C91):INDIRECT(AM$1&amp;AM$3&amp;$C91))</f>
        <v>0</v>
      </c>
      <c r="AN91" s="3106">
        <f t="shared" ca="1" si="122"/>
        <v>42023.135441722596</v>
      </c>
      <c r="AO91" s="2751">
        <f ca="1">IFERROR(AL91/AM91,0)</f>
        <v>0</v>
      </c>
      <c r="AP91" s="782">
        <f ca="1">SUM(INDIRECT(AP$1&amp;AP$2&amp;$A91):INDIRECT(AP$1&amp;AP$3&amp;$A91))+SUM(INDIRECT(AP$1&amp;AP$2&amp;$B91):INDIRECT(AP$1&amp;AP$3&amp;$B91))</f>
        <v>7693</v>
      </c>
      <c r="AQ91" s="3107">
        <f t="shared" ca="1" si="124"/>
        <v>34330.135441722596</v>
      </c>
      <c r="AR91" s="2753">
        <f ca="1">IFERROR(AL91/AP91,0)</f>
        <v>5.4625159809856489</v>
      </c>
      <c r="AT91" s="3102">
        <f ca="1">SUM((INDIRECT(AT$2&amp;(ROW())):INDIRECT(AT$3&amp;(ROW()))))</f>
        <v>108236.86478247472</v>
      </c>
      <c r="AU91" s="745">
        <f ca="1">SUM(INDIRECT(AU$1&amp;AU$2&amp;$C91):INDIRECT(AU$1&amp;AU$3&amp;$C91))</f>
        <v>0</v>
      </c>
      <c r="AV91" s="3106">
        <f t="shared" ca="1" si="126"/>
        <v>108236.86478247472</v>
      </c>
      <c r="AW91" s="2751">
        <f ca="1">IFERROR(AT91/AU91,0)</f>
        <v>0</v>
      </c>
      <c r="AX91" s="782">
        <f ca="1">SUM(INDIRECT(AX$1&amp;AX$2&amp;$A91):INDIRECT(AX$1&amp;AX$3&amp;$A91))+SUM(INDIRECT(AX$1&amp;AX$2&amp;$B91):INDIRECT(AX$1&amp;AX$3&amp;$B91))</f>
        <v>20763</v>
      </c>
      <c r="AY91" s="3107">
        <f t="shared" ca="1" si="128"/>
        <v>87473.864782474717</v>
      </c>
      <c r="AZ91" s="2753">
        <f ca="1">IFERROR(AT91/AX91,0)</f>
        <v>5.2129684911850269</v>
      </c>
      <c r="BA91" s="69"/>
      <c r="BB91" s="1380">
        <f ca="1">SUM((INDIRECT(BB$2&amp;(ROW())):INDIRECT(BB$3&amp;(ROW()))))</f>
        <v>356577.61936489306</v>
      </c>
      <c r="BC91" s="782">
        <f ca="1">SUM(INDIRECT(BC$1&amp;BC$2&amp;$C91):INDIRECT(BC$1&amp;BC$3&amp;$C91))</f>
        <v>0</v>
      </c>
      <c r="BD91" s="3107">
        <f t="shared" ca="1" si="130"/>
        <v>356577.61936489306</v>
      </c>
      <c r="BE91" s="2753">
        <f ca="1">IFERROR(BB91/BC91,0)</f>
        <v>0</v>
      </c>
      <c r="BF91" s="782">
        <f ca="1">SUM(INDIRECT(BF$1&amp;BF$2&amp;$A91):INDIRECT(BF$1&amp;BF$3&amp;$A91))+SUM(INDIRECT(BF$1&amp;BF$2&amp;$B91):INDIRECT(BF$1&amp;BF$3&amp;$B91))</f>
        <v>69628.117708588601</v>
      </c>
      <c r="BG91" s="3107">
        <f t="shared" ca="1" si="132"/>
        <v>286949.50165630446</v>
      </c>
      <c r="BH91" s="2753">
        <f ca="1">IFERROR(BB91/BF91,0)</f>
        <v>5.1211727546227976</v>
      </c>
    </row>
    <row r="92" spans="1:60" ht="14.5">
      <c r="A92" s="616">
        <f t="shared" ref="A92:A99" si="156">A91+1</f>
        <v>117</v>
      </c>
      <c r="B92" s="616">
        <v>1</v>
      </c>
      <c r="C92" s="616">
        <f t="shared" si="109"/>
        <v>89</v>
      </c>
      <c r="D92" s="709" t="s">
        <v>1308</v>
      </c>
      <c r="E92" s="2568" t="s">
        <v>1370</v>
      </c>
      <c r="F92" s="2569"/>
      <c r="G92" s="737"/>
      <c r="H92" s="4"/>
      <c r="I92" s="4"/>
      <c r="J92" s="3"/>
      <c r="K92" s="27"/>
      <c r="L92" s="27"/>
      <c r="M92" s="36" t="s">
        <v>1329</v>
      </c>
      <c r="N92" s="3"/>
      <c r="O92" s="3"/>
      <c r="P92" s="3"/>
      <c r="Q92" s="1787" t="str">
        <f>CHOOSE(2, "6722000003011", "PL Operating Profit CAR Directly assigned Variable Expenses")</f>
        <v>PL Operating Profit CAR Directly assigned Variable Expenses</v>
      </c>
      <c r="R92" s="1350">
        <v>1286.5372142159508</v>
      </c>
      <c r="S92" s="1350">
        <v>7132.1638090855495</v>
      </c>
      <c r="T92" s="1350">
        <v>3082.4276100000011</v>
      </c>
      <c r="U92" s="1350">
        <v>2088.8784483447671</v>
      </c>
      <c r="V92" s="1350">
        <v>7181.6346276779359</v>
      </c>
      <c r="W92" s="1350">
        <v>19572.962341824001</v>
      </c>
      <c r="X92" s="1281">
        <v>1181.1243968235092</v>
      </c>
      <c r="Y92" s="1281">
        <v>943</v>
      </c>
      <c r="Z92" s="1281">
        <v>22242.989045066683</v>
      </c>
      <c r="AA92" s="1351">
        <v>388.70108987796942</v>
      </c>
      <c r="AB92" s="1351">
        <v>20351.158846242855</v>
      </c>
      <c r="AC92" s="1351">
        <v>19648.783339999998</v>
      </c>
      <c r="AD92" s="125">
        <f>SUM(R92,S92,T92)</f>
        <v>11501.128633301501</v>
      </c>
      <c r="AE92" s="126">
        <f t="shared" si="152"/>
        <v>28843.475417846705</v>
      </c>
      <c r="AF92" s="126">
        <f t="shared" si="153"/>
        <v>24367.113441890193</v>
      </c>
      <c r="AG92" s="126">
        <f t="shared" si="154"/>
        <v>40388.643276120827</v>
      </c>
      <c r="AH92" s="126">
        <f>AD92+AE92</f>
        <v>40344.604051148206</v>
      </c>
      <c r="AI92" s="126">
        <f>AG92+AF92</f>
        <v>64755.75671801102</v>
      </c>
      <c r="AJ92" s="126">
        <f>AH92+AI92</f>
        <v>105100.36076915922</v>
      </c>
      <c r="AL92" s="37">
        <f ca="1">SUM((INDIRECT(AL$2&amp;(ROW())):INDIRECT(AL$3&amp;(ROW()))))</f>
        <v>19648.783339999998</v>
      </c>
      <c r="AM92" s="3108">
        <f ca="1">SUM(INDIRECT(AM$1&amp;AM$2&amp;$C92):INDIRECT(AM$1&amp;AM$3&amp;$C92))</f>
        <v>7197.8547159317604</v>
      </c>
      <c r="AN92" s="3109">
        <f t="shared" ca="1" si="122"/>
        <v>12450.928624068238</v>
      </c>
      <c r="AO92" s="2756">
        <f ca="1">IFERROR(AL92/AM92,0)</f>
        <v>2.7298110500215156</v>
      </c>
      <c r="AP92" s="1232">
        <f ca="1">SUM(INDIRECT(AP$1&amp;AP$2&amp;$A92):INDIRECT(AP$1&amp;AP$3&amp;$A92))+SUM(INDIRECT(AP$1&amp;AP$2&amp;$B92):INDIRECT(AP$1&amp;AP$3&amp;$B92))</f>
        <v>35809</v>
      </c>
      <c r="AQ92" s="3110">
        <f t="shared" ca="1" si="124"/>
        <v>-16160.216660000002</v>
      </c>
      <c r="AR92" s="2758">
        <f ca="1">IFERROR(AL92/AP92,0)</f>
        <v>0.54871075260409385</v>
      </c>
      <c r="AT92" s="37">
        <f ca="1">SUM((INDIRECT(AT$2&amp;(ROW())):INDIRECT(AT$3&amp;(ROW()))))</f>
        <v>40388.643276120827</v>
      </c>
      <c r="AU92" s="3108">
        <f ca="1">SUM(INDIRECT(AU$1&amp;AU$2&amp;$C92):INDIRECT(AU$1&amp;AU$3&amp;$C92))</f>
        <v>17654.359418390828</v>
      </c>
      <c r="AV92" s="3109">
        <f t="shared" ca="1" si="126"/>
        <v>22734.283857729999</v>
      </c>
      <c r="AW92" s="2756">
        <f ca="1">IFERROR(AT92/AU92,0)</f>
        <v>2.2877433453658664</v>
      </c>
      <c r="AX92" s="1232">
        <f ca="1">SUM(INDIRECT(AX$1&amp;AX$2&amp;$A92):INDIRECT(AX$1&amp;AX$3&amp;$A92))+SUM(INDIRECT(AX$1&amp;AX$2&amp;$B92):INDIRECT(AX$1&amp;AX$3&amp;$B92))</f>
        <v>109670</v>
      </c>
      <c r="AY92" s="3110">
        <f t="shared" ca="1" si="128"/>
        <v>-69281.356723879173</v>
      </c>
      <c r="AZ92" s="2758">
        <f ca="1">IFERROR(AT92/AX92,0)</f>
        <v>0.3682743072501215</v>
      </c>
      <c r="BA92" s="69"/>
      <c r="BB92" s="1289">
        <f ca="1">SUM((INDIRECT(BB$2&amp;(ROW())):INDIRECT(BB$3&amp;(ROW()))))</f>
        <v>105100.36076915922</v>
      </c>
      <c r="BC92" s="1232">
        <f ca="1">SUM(INDIRECT(BC$1&amp;BC$2&amp;$C92):INDIRECT(BC$1&amp;BC$3&amp;$C92))</f>
        <v>25791.033716346967</v>
      </c>
      <c r="BD92" s="3110">
        <f t="shared" ca="1" si="130"/>
        <v>79309.327052812252</v>
      </c>
      <c r="BE92" s="2758">
        <f ca="1">IFERROR(BB92/BC92,0)</f>
        <v>4.0750736060084369</v>
      </c>
      <c r="BF92" s="1232">
        <f ca="1">SUM(INDIRECT(BF$1&amp;BF$2&amp;$A92):INDIRECT(BF$1&amp;BF$3&amp;$A92))+SUM(INDIRECT(BF$1&amp;BF$2&amp;$B92):INDIRECT(BF$1&amp;BF$3&amp;$B92))</f>
        <v>402083.1317673435</v>
      </c>
      <c r="BG92" s="3110">
        <f t="shared" ca="1" si="132"/>
        <v>-296982.77099818428</v>
      </c>
      <c r="BH92" s="2758">
        <f ca="1">IFERROR(BB92/BF92,0)</f>
        <v>0.26138962932166282</v>
      </c>
    </row>
    <row r="93" spans="1:60" ht="14.5">
      <c r="A93" s="616">
        <f t="shared" si="156"/>
        <v>118</v>
      </c>
      <c r="B93" s="616">
        <v>1</v>
      </c>
      <c r="C93" s="616">
        <f t="shared" si="109"/>
        <v>90</v>
      </c>
      <c r="D93" s="709" t="s">
        <v>1308</v>
      </c>
      <c r="E93" s="2568" t="s">
        <v>1370</v>
      </c>
      <c r="F93" s="2569"/>
      <c r="G93" s="737"/>
      <c r="H93" s="4"/>
      <c r="I93" s="4"/>
      <c r="J93" s="3"/>
      <c r="K93" s="27"/>
      <c r="L93" s="27"/>
      <c r="M93" s="36" t="s">
        <v>1330</v>
      </c>
      <c r="N93" s="3"/>
      <c r="O93" s="3"/>
      <c r="P93" s="3"/>
      <c r="Q93" s="1787" t="str">
        <f>CHOOSE(2, "6722000003012", "PL Operating Profit CAR Directly assigned Wages &amp; Salaries")</f>
        <v>PL Operating Profit CAR Directly assigned Wages &amp; Salaries</v>
      </c>
      <c r="R93" s="1350">
        <v>14878</v>
      </c>
      <c r="S93" s="1350">
        <v>15388.954210528078</v>
      </c>
      <c r="T93" s="1350">
        <v>14889.791380766274</v>
      </c>
      <c r="U93" s="1350">
        <v>14934.10716322078</v>
      </c>
      <c r="V93" s="1350">
        <v>14350.780322798391</v>
      </c>
      <c r="W93" s="1350">
        <v>14794.795769683273</v>
      </c>
      <c r="X93" s="1281">
        <v>13586.958132781321</v>
      </c>
      <c r="Y93" s="1281">
        <v>13910</v>
      </c>
      <c r="Z93" s="1281">
        <v>18331.457102288208</v>
      </c>
      <c r="AA93" s="1351">
        <v>13867.597412060188</v>
      </c>
      <c r="AB93" s="1351">
        <v>20121.991006939592</v>
      </c>
      <c r="AC93" s="1351">
        <v>15860.539980333513</v>
      </c>
      <c r="AD93" s="125">
        <f>SUM(R93,S93,T93)</f>
        <v>45156.745591294355</v>
      </c>
      <c r="AE93" s="126">
        <f t="shared" si="152"/>
        <v>44079.683255702446</v>
      </c>
      <c r="AF93" s="126">
        <f t="shared" si="153"/>
        <v>45828.415235069529</v>
      </c>
      <c r="AG93" s="126">
        <f t="shared" si="154"/>
        <v>49850.128399333291</v>
      </c>
      <c r="AH93" s="126">
        <f>AD93+AE93</f>
        <v>89236.428846996801</v>
      </c>
      <c r="AI93" s="126">
        <f>AG93+AF93</f>
        <v>95678.543634402828</v>
      </c>
      <c r="AJ93" s="126">
        <f>AH93+AI93</f>
        <v>184914.97248139963</v>
      </c>
      <c r="AL93" s="37">
        <f ca="1">SUM((INDIRECT(AL$2&amp;(ROW())):INDIRECT(AL$3&amp;(ROW()))))</f>
        <v>15860.539980333513</v>
      </c>
      <c r="AM93" s="3108">
        <f ca="1">SUM(INDIRECT(AM$1&amp;AM$2&amp;$C93):INDIRECT(AM$1&amp;AM$3&amp;$C93))</f>
        <v>0.28498941474609651</v>
      </c>
      <c r="AN93" s="3109">
        <f t="shared" ca="1" si="122"/>
        <v>15860.254990918767</v>
      </c>
      <c r="AO93" s="2756">
        <f ca="1">IFERROR(AL93/AM93,0)</f>
        <v>55653.08449952089</v>
      </c>
      <c r="AP93" s="1232">
        <f ca="1">SUM(INDIRECT(AP$1&amp;AP$2&amp;$A93):INDIRECT(AP$1&amp;AP$3&amp;$A93))+SUM(INDIRECT(AP$1&amp;AP$2&amp;$B93):INDIRECT(AP$1&amp;AP$3&amp;$B93))</f>
        <v>8110</v>
      </c>
      <c r="AQ93" s="3110">
        <f t="shared" ca="1" si="124"/>
        <v>7750.5399803335131</v>
      </c>
      <c r="AR93" s="2758">
        <f ca="1">IFERROR(AL93/AP93,0)</f>
        <v>1.9556769396218883</v>
      </c>
      <c r="AT93" s="37">
        <f ca="1">SUM((INDIRECT(AT$2&amp;(ROW())):INDIRECT(AT$3&amp;(ROW()))))</f>
        <v>49850.128399333291</v>
      </c>
      <c r="AU93" s="3108">
        <f ca="1">SUM(INDIRECT(AU$1&amp;AU$2&amp;$C93):INDIRECT(AU$1&amp;AU$3&amp;$C93))</f>
        <v>0.84526765489398392</v>
      </c>
      <c r="AV93" s="3109">
        <f t="shared" ca="1" si="126"/>
        <v>49849.2831316784</v>
      </c>
      <c r="AW93" s="2756">
        <f ca="1">IFERROR(AT93/AU93,0)</f>
        <v>58975.554205473112</v>
      </c>
      <c r="AX93" s="1232">
        <f ca="1">SUM(INDIRECT(AX$1&amp;AX$2&amp;$A93):INDIRECT(AX$1&amp;AX$3&amp;$A93))+SUM(INDIRECT(AX$1&amp;AX$2&amp;$B93):INDIRECT(AX$1&amp;AX$3&amp;$B93))</f>
        <v>23679</v>
      </c>
      <c r="AY93" s="3110">
        <f t="shared" ca="1" si="128"/>
        <v>26171.128399333291</v>
      </c>
      <c r="AZ93" s="2758">
        <f ca="1">IFERROR(AT93/AX93,0)</f>
        <v>2.1052463532806831</v>
      </c>
      <c r="BA93" s="69"/>
      <c r="BB93" s="1289">
        <f ca="1">SUM((INDIRECT(BB$2&amp;(ROW())):INDIRECT(BB$3&amp;(ROW()))))</f>
        <v>184914.9724813996</v>
      </c>
      <c r="BC93" s="1232">
        <f ca="1">SUM(INDIRECT(BC$1&amp;BC$2&amp;$C93):INDIRECT(BC$1&amp;BC$3&amp;$C93))</f>
        <v>1.4052710884676278</v>
      </c>
      <c r="BD93" s="3110">
        <f t="shared" ca="1" si="130"/>
        <v>184913.56721031113</v>
      </c>
      <c r="BE93" s="2758">
        <f ca="1">IFERROR(BB93/BC93,0)</f>
        <v>131586.6909942902</v>
      </c>
      <c r="BF93" s="1232">
        <f ca="1">SUM(INDIRECT(BF$1&amp;BF$2&amp;$A93):INDIRECT(BF$1&amp;BF$3&amp;$A93))+SUM(INDIRECT(BF$1&amp;BF$2&amp;$B93):INDIRECT(BF$1&amp;BF$3&amp;$B93))</f>
        <v>88561.615473524129</v>
      </c>
      <c r="BG93" s="3110">
        <f t="shared" ca="1" si="132"/>
        <v>96353.357007875471</v>
      </c>
      <c r="BH93" s="2758">
        <f ca="1">IFERROR(BB93/BF93,0)</f>
        <v>2.0879810230729214</v>
      </c>
    </row>
    <row r="94" spans="1:60" ht="14.5">
      <c r="A94" s="616">
        <f t="shared" si="156"/>
        <v>119</v>
      </c>
      <c r="B94" s="616">
        <v>1</v>
      </c>
      <c r="C94" s="616">
        <f t="shared" si="109"/>
        <v>91</v>
      </c>
      <c r="D94" s="709" t="s">
        <v>1308</v>
      </c>
      <c r="E94" s="2568" t="s">
        <v>1370</v>
      </c>
      <c r="F94" s="2569"/>
      <c r="G94" s="737"/>
      <c r="H94" s="4"/>
      <c r="I94" s="4"/>
      <c r="J94" s="3"/>
      <c r="K94" s="27"/>
      <c r="L94" s="25"/>
      <c r="M94" s="104" t="s">
        <v>1331</v>
      </c>
      <c r="N94" s="1"/>
      <c r="O94" s="1"/>
      <c r="P94" s="1"/>
      <c r="Q94" s="1787" t="str">
        <f>CHOOSE(2, "6722000003013", "PL Operating Profit CAR Directly assigned Fixed Expenses")</f>
        <v>PL Operating Profit CAR Directly assigned Fixed Expenses</v>
      </c>
      <c r="R94" s="1352">
        <v>3882.7786747039095</v>
      </c>
      <c r="S94" s="1352">
        <v>5467.2784672795251</v>
      </c>
      <c r="T94" s="1352">
        <v>4701.0728751667639</v>
      </c>
      <c r="U94" s="1352">
        <v>4974.606234740495</v>
      </c>
      <c r="V94" s="1352">
        <v>7139.5705129159087</v>
      </c>
      <c r="W94" s="1352">
        <v>4980.8974580494969</v>
      </c>
      <c r="X94" s="1282">
        <v>7850.8362264076413</v>
      </c>
      <c r="Y94" s="1282">
        <v>5320.8503327963381</v>
      </c>
      <c r="Z94" s="1282">
        <v>4246.3022252535739</v>
      </c>
      <c r="AA94" s="1353">
        <v>5507.036763524321</v>
      </c>
      <c r="AB94" s="1353">
        <v>5977.2442221071888</v>
      </c>
      <c r="AC94" s="1353">
        <v>6513.8121213890845</v>
      </c>
      <c r="AD94" s="122">
        <f>SUM(R94,S94,T94)</f>
        <v>14051.130017150197</v>
      </c>
      <c r="AE94" s="123">
        <f t="shared" si="152"/>
        <v>17095.0742057059</v>
      </c>
      <c r="AF94" s="123">
        <f t="shared" si="153"/>
        <v>17417.988784457553</v>
      </c>
      <c r="AG94" s="123">
        <f t="shared" si="154"/>
        <v>17998.093107020595</v>
      </c>
      <c r="AH94" s="123">
        <f>AD94+AE94</f>
        <v>31146.204222856097</v>
      </c>
      <c r="AI94" s="123">
        <f>AG94+AF94</f>
        <v>35416.081891478148</v>
      </c>
      <c r="AJ94" s="123">
        <f>AH94+AI94</f>
        <v>66562.286114334245</v>
      </c>
      <c r="AL94" s="60">
        <f ca="1">SUM((INDIRECT(AL$2&amp;(ROW())):INDIRECT(AL$3&amp;(ROW()))))</f>
        <v>6513.8121213890845</v>
      </c>
      <c r="AM94" s="80">
        <f ca="1">SUM(INDIRECT(AM$1&amp;AM$2&amp;$C94):INDIRECT(AM$1&amp;AM$3&amp;$C94))</f>
        <v>41000</v>
      </c>
      <c r="AN94" s="3111">
        <f t="shared" ca="1" si="122"/>
        <v>-34486.187878610916</v>
      </c>
      <c r="AO94" s="2760">
        <f ca="1">IFERROR(AL94/AM94,0)</f>
        <v>0.15887346637534353</v>
      </c>
      <c r="AP94" s="1241">
        <f ca="1">SUM(INDIRECT(AP$1&amp;AP$2&amp;$A94):INDIRECT(AP$1&amp;AP$3&amp;$A94))+SUM(INDIRECT(AP$1&amp;AP$2&amp;$B94):INDIRECT(AP$1&amp;AP$3&amp;$B94))</f>
        <v>32</v>
      </c>
      <c r="AQ94" s="3098">
        <f t="shared" ca="1" si="124"/>
        <v>6481.8121213890845</v>
      </c>
      <c r="AR94" s="2743">
        <f ca="1">IFERROR(AL94/AP94,0)</f>
        <v>203.55662879340889</v>
      </c>
      <c r="AT94" s="60">
        <f ca="1">SUM((INDIRECT(AT$2&amp;(ROW())):INDIRECT(AT$3&amp;(ROW()))))</f>
        <v>17998.093107020595</v>
      </c>
      <c r="AU94" s="80">
        <f ca="1">SUM(INDIRECT(AU$1&amp;AU$2&amp;$C94):INDIRECT(AU$1&amp;AU$3&amp;$C94))</f>
        <v>123000</v>
      </c>
      <c r="AV94" s="3111">
        <f t="shared" ca="1" si="126"/>
        <v>-105001.9068929794</v>
      </c>
      <c r="AW94" s="2760">
        <f ca="1">IFERROR(AT94/AU94,0)</f>
        <v>0.14632596021967964</v>
      </c>
      <c r="AX94" s="1241">
        <f ca="1">SUM(INDIRECT(AX$1&amp;AX$2&amp;$A94):INDIRECT(AX$1&amp;AX$3&amp;$A94))+SUM(INDIRECT(AX$1&amp;AX$2&amp;$B94):INDIRECT(AX$1&amp;AX$3&amp;$B94))</f>
        <v>96</v>
      </c>
      <c r="AY94" s="3098">
        <f t="shared" ca="1" si="128"/>
        <v>17902.093107020595</v>
      </c>
      <c r="AZ94" s="2743">
        <f ca="1">IFERROR(AT94/AX94,0)</f>
        <v>187.48013653146452</v>
      </c>
      <c r="BA94" s="69"/>
      <c r="BB94" s="1290">
        <f ca="1">SUM((INDIRECT(BB$2&amp;(ROW())):INDIRECT(BB$3&amp;(ROW()))))</f>
        <v>66562.286114334245</v>
      </c>
      <c r="BC94" s="1241">
        <f ca="1">SUM(INDIRECT(BC$1&amp;BC$2&amp;$C94):INDIRECT(BC$1&amp;BC$3&amp;$C94))</f>
        <v>205000</v>
      </c>
      <c r="BD94" s="3098">
        <f t="shared" ca="1" si="130"/>
        <v>-138437.71388566575</v>
      </c>
      <c r="BE94" s="2743">
        <f ca="1">IFERROR(BB94/BC94,0)</f>
        <v>0.32469407860650851</v>
      </c>
      <c r="BF94" s="1241">
        <f ca="1">SUM(INDIRECT(BF$1&amp;BF$2&amp;$A94):INDIRECT(BF$1&amp;BF$3&amp;$A94))+SUM(INDIRECT(BF$1&amp;BF$2&amp;$B94):INDIRECT(BF$1&amp;BF$3&amp;$B94))</f>
        <v>336.97199999999998</v>
      </c>
      <c r="BG94" s="3098">
        <f t="shared" ca="1" si="132"/>
        <v>66225.314114334251</v>
      </c>
      <c r="BH94" s="2743">
        <f ca="1">IFERROR(BB94/BF94,0)</f>
        <v>197.5306141588448</v>
      </c>
    </row>
    <row r="95" spans="1:60" ht="14.5">
      <c r="A95" s="616">
        <f t="shared" si="156"/>
        <v>120</v>
      </c>
      <c r="B95" s="616">
        <v>1</v>
      </c>
      <c r="C95" s="616">
        <f t="shared" si="109"/>
        <v>92</v>
      </c>
      <c r="D95" s="709" t="s">
        <v>1308</v>
      </c>
      <c r="E95" s="2568" t="s">
        <v>1370</v>
      </c>
      <c r="F95" s="2569"/>
      <c r="G95" s="737"/>
      <c r="H95" s="4"/>
      <c r="I95" s="4"/>
      <c r="J95" s="3"/>
      <c r="K95" s="27"/>
      <c r="L95" s="3101" t="s">
        <v>1372</v>
      </c>
      <c r="M95" s="586"/>
      <c r="N95" s="586"/>
      <c r="O95" s="586"/>
      <c r="P95" s="586"/>
      <c r="Q95" s="1786" t="str">
        <f>CHOOSE(2, "6722000003014", "PL Operating Profit CAR Allocation")</f>
        <v>PL Operating Profit CAR Allocation</v>
      </c>
      <c r="R95" s="3112">
        <f>SUM(R97:R99)</f>
        <v>35324.338987841867</v>
      </c>
      <c r="S95" s="3112">
        <f t="shared" ref="S95:AC95" si="157">SUM(S97:S99)</f>
        <v>23077.385262601903</v>
      </c>
      <c r="T95" s="3112">
        <f t="shared" si="157"/>
        <v>35151.801674366492</v>
      </c>
      <c r="U95" s="3112">
        <f t="shared" si="157"/>
        <v>32733.162264984516</v>
      </c>
      <c r="V95" s="3112">
        <f t="shared" si="157"/>
        <v>32694.737628132229</v>
      </c>
      <c r="W95" s="3112">
        <f t="shared" si="157"/>
        <v>14784.910234755189</v>
      </c>
      <c r="X95" s="3070">
        <f t="shared" si="157"/>
        <v>47834.575734657403</v>
      </c>
      <c r="Y95" s="3070">
        <f t="shared" si="157"/>
        <v>34854.315207895255</v>
      </c>
      <c r="Z95" s="3070">
        <f t="shared" si="157"/>
        <v>33299.480266991333</v>
      </c>
      <c r="AA95" s="3113">
        <f t="shared" si="157"/>
        <v>52754.269249231627</v>
      </c>
      <c r="AB95" s="3113">
        <f t="shared" si="157"/>
        <v>15727.220800773355</v>
      </c>
      <c r="AC95" s="3113">
        <f t="shared" si="157"/>
        <v>33395.909168125596</v>
      </c>
      <c r="AD95" s="3114">
        <f>SUM(R95,S95,T95)</f>
        <v>93553.525924810267</v>
      </c>
      <c r="AE95" s="3113">
        <f t="shared" si="152"/>
        <v>80212.810127871926</v>
      </c>
      <c r="AF95" s="3113">
        <f t="shared" si="153"/>
        <v>115988.37120954398</v>
      </c>
      <c r="AG95" s="3113">
        <f t="shared" si="154"/>
        <v>101877.39921813058</v>
      </c>
      <c r="AH95" s="3113">
        <f t="shared" ref="AH95:AJ95" si="158">SUM(AH97:AH99)</f>
        <v>173766.33605268219</v>
      </c>
      <c r="AI95" s="3113">
        <f t="shared" si="158"/>
        <v>217865.77042767455</v>
      </c>
      <c r="AJ95" s="3113">
        <f t="shared" si="158"/>
        <v>391632.10648035677</v>
      </c>
      <c r="AL95" s="37">
        <f ca="1">SUM((INDIRECT(AL$2&amp;(ROW())):INDIRECT(AL$3&amp;(ROW()))))</f>
        <v>33395.909168125596</v>
      </c>
      <c r="AM95" s="3108">
        <f ca="1">SUM(INDIRECT(AM$1&amp;AM$2&amp;$C95):INDIRECT(AM$1&amp;AM$3&amp;$C95))</f>
        <v>9500</v>
      </c>
      <c r="AN95" s="3109">
        <f t="shared" ca="1" si="122"/>
        <v>23895.909168125596</v>
      </c>
      <c r="AO95" s="2756">
        <f ca="1">IFERROR(AL95/AM95,0)</f>
        <v>3.5153588598026944</v>
      </c>
      <c r="AP95" s="1232">
        <f ca="1">SUM(INDIRECT(AP$1&amp;AP$2&amp;$A95):INDIRECT(AP$1&amp;AP$3&amp;$A95))+SUM(INDIRECT(AP$1&amp;AP$2&amp;$B95):INDIRECT(AP$1&amp;AP$3&amp;$B95))</f>
        <v>0</v>
      </c>
      <c r="AQ95" s="3110">
        <f t="shared" ca="1" si="124"/>
        <v>33395.909168125596</v>
      </c>
      <c r="AR95" s="2758">
        <f ca="1">IFERROR(AL95/AP95,0)</f>
        <v>0</v>
      </c>
      <c r="AT95" s="37">
        <f ca="1">SUM((INDIRECT(AT$2&amp;(ROW())):INDIRECT(AT$3&amp;(ROW()))))</f>
        <v>101877.39921813058</v>
      </c>
      <c r="AU95" s="3108">
        <f ca="1">SUM(INDIRECT(AU$1&amp;AU$2&amp;$C95):INDIRECT(AU$1&amp;AU$3&amp;$C95))</f>
        <v>28500</v>
      </c>
      <c r="AV95" s="3109">
        <f t="shared" ca="1" si="126"/>
        <v>73377.39921813058</v>
      </c>
      <c r="AW95" s="2756">
        <f ca="1">IFERROR(AT95/AU95,0)</f>
        <v>3.5746455866010729</v>
      </c>
      <c r="AX95" s="1232">
        <f ca="1">SUM(INDIRECT(AX$1&amp;AX$2&amp;$A95):INDIRECT(AX$1&amp;AX$3&amp;$A95))+SUM(INDIRECT(AX$1&amp;AX$2&amp;$B95):INDIRECT(AX$1&amp;AX$3&amp;$B95))</f>
        <v>0</v>
      </c>
      <c r="AY95" s="3110">
        <f t="shared" ca="1" si="128"/>
        <v>101877.39921813058</v>
      </c>
      <c r="AZ95" s="2758">
        <f ca="1">IFERROR(AT95/AX95,0)</f>
        <v>0</v>
      </c>
      <c r="BA95" s="69"/>
      <c r="BB95" s="1289">
        <f ca="1">SUM((INDIRECT(BB$2&amp;(ROW())):INDIRECT(BB$3&amp;(ROW()))))</f>
        <v>391632.10648035671</v>
      </c>
      <c r="BC95" s="1232">
        <f ca="1">SUM(INDIRECT(BC$1&amp;BC$2&amp;$C95):INDIRECT(BC$1&amp;BC$3&amp;$C95))</f>
        <v>47500</v>
      </c>
      <c r="BD95" s="3110">
        <f t="shared" ca="1" si="130"/>
        <v>344132.10648035671</v>
      </c>
      <c r="BE95" s="2758">
        <f ca="1">IFERROR(BB95/BC95,0)</f>
        <v>8.2448864522180365</v>
      </c>
      <c r="BF95" s="1232">
        <f ca="1">SUM(INDIRECT(BF$1&amp;BF$2&amp;$A95):INDIRECT(BF$1&amp;BF$3&amp;$A95))+SUM(INDIRECT(BF$1&amp;BF$2&amp;$B95):INDIRECT(BF$1&amp;BF$3&amp;$B95))</f>
        <v>0</v>
      </c>
      <c r="BG95" s="3110">
        <f t="shared" ca="1" si="132"/>
        <v>391632.10648035671</v>
      </c>
      <c r="BH95" s="2758">
        <f ca="1">IFERROR(BB95/BF95,0)</f>
        <v>0</v>
      </c>
    </row>
    <row r="96" spans="1:60" ht="14.5">
      <c r="A96" s="616">
        <f t="shared" si="156"/>
        <v>121</v>
      </c>
      <c r="B96" s="616">
        <v>1</v>
      </c>
      <c r="C96" s="616">
        <f t="shared" si="109"/>
        <v>93</v>
      </c>
      <c r="D96" s="709" t="s">
        <v>1308</v>
      </c>
      <c r="E96" s="2568" t="s">
        <v>1370</v>
      </c>
      <c r="F96" s="2569"/>
      <c r="G96" s="737"/>
      <c r="H96" s="4"/>
      <c r="I96" s="4"/>
      <c r="J96" s="3"/>
      <c r="K96" s="27"/>
      <c r="L96" s="498"/>
      <c r="M96" s="553" t="s">
        <v>1373</v>
      </c>
      <c r="N96" s="47"/>
      <c r="O96" s="47"/>
      <c r="P96" s="47"/>
      <c r="Q96" s="1776" t="str">
        <f>CHOOSE(2, "6722000003015", "PL Operating Profit CAR Allocation SGA (%)")</f>
        <v>PL Operating Profit CAR Allocation SGA (%)</v>
      </c>
      <c r="R96" s="2571">
        <f>IFERROR(R95/R82,0)</f>
        <v>0.63794985117316261</v>
      </c>
      <c r="S96" s="2571">
        <f t="shared" ref="S96:AJ96" si="159">IFERROR(S95/S131,0)</f>
        <v>0.45191485319482244</v>
      </c>
      <c r="T96" s="2571">
        <f t="shared" si="159"/>
        <v>0.60789874295436219</v>
      </c>
      <c r="U96" s="2571">
        <f t="shared" si="159"/>
        <v>0.59807621503669173</v>
      </c>
      <c r="V96" s="2571">
        <f t="shared" si="159"/>
        <v>0.5327763318789267</v>
      </c>
      <c r="W96" s="2571">
        <f t="shared" si="159"/>
        <v>0.27311909007068419</v>
      </c>
      <c r="X96" s="2571">
        <f t="shared" si="159"/>
        <v>0.67895249313704531</v>
      </c>
      <c r="Y96" s="2571">
        <f t="shared" si="159"/>
        <v>0.63339046223740803</v>
      </c>
      <c r="Z96" s="2571">
        <f t="shared" si="159"/>
        <v>0.42625938053273377</v>
      </c>
      <c r="AA96" s="2571">
        <f t="shared" si="159"/>
        <v>0.72746844855502824</v>
      </c>
      <c r="AB96" s="2571">
        <f t="shared" si="159"/>
        <v>0.25294023953993755</v>
      </c>
      <c r="AC96" s="2571">
        <f t="shared" si="159"/>
        <v>0.4428047231423663</v>
      </c>
      <c r="AD96" s="2572">
        <f t="shared" si="159"/>
        <v>0.57337277410773979</v>
      </c>
      <c r="AE96" s="2571">
        <f t="shared" si="159"/>
        <v>0.47119966318078482</v>
      </c>
      <c r="AF96" s="2571">
        <f t="shared" si="159"/>
        <v>0.5696821967943112</v>
      </c>
      <c r="AG96" s="2571">
        <f t="shared" si="159"/>
        <v>0.48486664959517983</v>
      </c>
      <c r="AH96" s="2571">
        <f t="shared" si="159"/>
        <v>0.52120325294604575</v>
      </c>
      <c r="AI96" s="2571">
        <f t="shared" si="159"/>
        <v>0.52660687531973127</v>
      </c>
      <c r="AJ96" s="2571">
        <f t="shared" si="159"/>
        <v>0.5241955347880739</v>
      </c>
      <c r="AL96" s="2761">
        <f ca="1">IFERROR(AL95/AL131,0)</f>
        <v>0.4428047231423663</v>
      </c>
      <c r="AM96" s="2761">
        <f ca="1">IFERROR(AM95/AM131,0)</f>
        <v>0.26312388922689095</v>
      </c>
      <c r="AN96" s="2761">
        <f t="shared" ca="1" si="122"/>
        <v>0.17968083391547535</v>
      </c>
      <c r="AO96" s="2762"/>
      <c r="AP96" s="2761">
        <f ca="1">IFERROR(AP95/AP131,0)</f>
        <v>0</v>
      </c>
      <c r="AQ96" s="2761">
        <f ca="1">IFERROR(AQ95/AQ127,0)</f>
        <v>-108687.15946577306</v>
      </c>
      <c r="AR96" s="2763"/>
      <c r="AT96" s="2761">
        <f ca="1">IFERROR(AT95/AT131,0)</f>
        <v>0.48486664959517983</v>
      </c>
      <c r="AU96" s="2761">
        <f ca="1">IFERROR(AU95/AU131,0)</f>
        <v>0.27225931801456915</v>
      </c>
      <c r="AV96" s="2761">
        <f t="shared" ca="1" si="126"/>
        <v>0.21260733158061068</v>
      </c>
      <c r="AW96" s="2762"/>
      <c r="AX96" s="2761">
        <f ca="1">IFERROR(AX95/AX131,0)</f>
        <v>0</v>
      </c>
      <c r="AY96" s="2761">
        <f ca="1">IFERROR(AY95/AY127,0)</f>
        <v>-340726.74020152853</v>
      </c>
      <c r="AZ96" s="2763"/>
      <c r="BA96" s="69"/>
      <c r="BB96" s="2761">
        <f ca="1">IFERROR(BB95/BB131,0)</f>
        <v>0.5241955347880739</v>
      </c>
      <c r="BC96" s="2761">
        <f ca="1">IFERROR(BC95/BC131,0)</f>
        <v>0.27152916419068562</v>
      </c>
      <c r="BD96" s="2761">
        <f t="shared" ca="1" si="130"/>
        <v>0.25266637059738828</v>
      </c>
      <c r="BE96" s="2764"/>
      <c r="BF96" s="2761">
        <f ca="1">IFERROR(BF95/BF131,0)</f>
        <v>0</v>
      </c>
      <c r="BG96" s="2761">
        <f ca="1">IFERROR(BG95/BG127,0)</f>
        <v>-1099066.78161518</v>
      </c>
      <c r="BH96" s="2763"/>
    </row>
    <row r="97" spans="1:60" ht="14.5">
      <c r="A97" s="616">
        <f t="shared" si="156"/>
        <v>122</v>
      </c>
      <c r="B97" s="616">
        <v>1</v>
      </c>
      <c r="C97" s="616">
        <f t="shared" si="109"/>
        <v>94</v>
      </c>
      <c r="D97" s="709" t="s">
        <v>1308</v>
      </c>
      <c r="E97" s="2568" t="s">
        <v>1370</v>
      </c>
      <c r="F97" s="2569"/>
      <c r="G97" s="737"/>
      <c r="H97" s="4"/>
      <c r="I97" s="4"/>
      <c r="J97" s="3"/>
      <c r="K97" s="27"/>
      <c r="L97" s="27"/>
      <c r="M97" s="36" t="s">
        <v>1329</v>
      </c>
      <c r="N97" s="3"/>
      <c r="O97" s="3"/>
      <c r="P97" s="3"/>
      <c r="Q97" s="1786" t="str">
        <f>CHOOSE(2, "6722000003016", "PL Operating Profit CAR Allocation Variable Expenses")</f>
        <v>PL Operating Profit CAR Allocation Variable Expenses</v>
      </c>
      <c r="R97" s="37">
        <f>R83-R92</f>
        <v>17306.441278610062</v>
      </c>
      <c r="S97" s="37">
        <f t="shared" ref="S97:AC99" si="160">S132-S92</f>
        <v>6849.2674767461422</v>
      </c>
      <c r="T97" s="37">
        <f t="shared" si="160"/>
        <v>12307.360896528049</v>
      </c>
      <c r="U97" s="37">
        <f t="shared" si="160"/>
        <v>16274.987503183056</v>
      </c>
      <c r="V97" s="37">
        <f t="shared" si="160"/>
        <v>12287.266245004972</v>
      </c>
      <c r="W97" s="37">
        <f t="shared" si="160"/>
        <v>5554.3337528373595</v>
      </c>
      <c r="X97" s="17">
        <f t="shared" si="160"/>
        <v>11086.801255198539</v>
      </c>
      <c r="Y97" s="17">
        <f t="shared" si="160"/>
        <v>12039.564082891164</v>
      </c>
      <c r="Z97" s="17">
        <f t="shared" si="160"/>
        <v>15102.706150334332</v>
      </c>
      <c r="AA97" s="126">
        <f t="shared" si="160"/>
        <v>25469.004329129028</v>
      </c>
      <c r="AB97" s="126">
        <f t="shared" si="160"/>
        <v>5677.7108484891723</v>
      </c>
      <c r="AC97" s="126">
        <f t="shared" si="160"/>
        <v>-2460.5209805498598</v>
      </c>
      <c r="AD97" s="125">
        <f>SUM(R97,S97,T97)</f>
        <v>36463.069651884252</v>
      </c>
      <c r="AE97" s="126">
        <f t="shared" ref="AE97:AE99" si="161">SUM(U97,V97,W97)</f>
        <v>34116.587501025388</v>
      </c>
      <c r="AF97" s="126">
        <f t="shared" ref="AF97:AF99" si="162">SUM(X97,Y97,Z97)</f>
        <v>38229.07148842403</v>
      </c>
      <c r="AG97" s="126">
        <f t="shared" ref="AG97:AG99" si="163">SUM(AA97,AB97,AC97)</f>
        <v>28686.19419706834</v>
      </c>
      <c r="AH97" s="126">
        <f>AD97+AE97</f>
        <v>70579.65715290964</v>
      </c>
      <c r="AI97" s="126">
        <f>AG97+AF97</f>
        <v>66915.26568549237</v>
      </c>
      <c r="AJ97" s="126">
        <f>AH97+AI97</f>
        <v>137494.92283840201</v>
      </c>
      <c r="AL97" s="37">
        <f ca="1">SUM((INDIRECT(AL$2&amp;(ROW())):INDIRECT(AL$3&amp;(ROW()))))</f>
        <v>-2460.5209805498598</v>
      </c>
      <c r="AM97" s="3108">
        <f ca="1">SUM(INDIRECT(AM$1&amp;AM$2&amp;$C97):INDIRECT(AM$1&amp;AM$3&amp;$C97))</f>
        <v>10500</v>
      </c>
      <c r="AN97" s="3109">
        <f t="shared" ca="1" si="122"/>
        <v>-12960.52098054986</v>
      </c>
      <c r="AO97" s="2756">
        <f ca="1">IFERROR(AL97/AM97,0)</f>
        <v>-0.23433533148093902</v>
      </c>
      <c r="AP97" s="1232">
        <f ca="1">SUM(INDIRECT(AP$1&amp;AP$2&amp;$A97):INDIRECT(AP$1&amp;AP$3&amp;$A97))+SUM(INDIRECT(AP$1&amp;AP$2&amp;$B97):INDIRECT(AP$1&amp;AP$3&amp;$B97))</f>
        <v>0</v>
      </c>
      <c r="AQ97" s="3110">
        <f ca="1">AL97-AP97</f>
        <v>-2460.5209805498598</v>
      </c>
      <c r="AR97" s="2758">
        <f ca="1">IFERROR(AL97/AP97,0)</f>
        <v>0</v>
      </c>
      <c r="AT97" s="37">
        <f ca="1">SUM((INDIRECT(AT$2&amp;(ROW())):INDIRECT(AT$3&amp;(ROW()))))</f>
        <v>28686.19419706834</v>
      </c>
      <c r="AU97" s="3108">
        <f ca="1">SUM(INDIRECT(AU$1&amp;AU$2&amp;$C97):INDIRECT(AU$1&amp;AU$3&amp;$C97))</f>
        <v>31500</v>
      </c>
      <c r="AV97" s="3109">
        <f t="shared" ca="1" si="126"/>
        <v>-2813.8058029316599</v>
      </c>
      <c r="AW97" s="2756">
        <f ca="1">IFERROR(AT97/AU97,0)</f>
        <v>0.9106728316529632</v>
      </c>
      <c r="AX97" s="1232">
        <f ca="1">SUM(INDIRECT(AX$1&amp;AX$2&amp;$A97):INDIRECT(AX$1&amp;AX$3&amp;$A97))+SUM(INDIRECT(AX$1&amp;AX$2&amp;$B97):INDIRECT(AX$1&amp;AX$3&amp;$B97))</f>
        <v>0</v>
      </c>
      <c r="AY97" s="3110">
        <f ca="1">AT97-AX97</f>
        <v>28686.19419706834</v>
      </c>
      <c r="AZ97" s="2758">
        <f ca="1">IFERROR(AT97/AX97,0)</f>
        <v>0</v>
      </c>
      <c r="BA97" s="69"/>
      <c r="BB97" s="1289">
        <f ca="1">SUM((INDIRECT(BB$2&amp;(ROW())):INDIRECT(BB$3&amp;(ROW()))))</f>
        <v>137494.92283840201</v>
      </c>
      <c r="BC97" s="1232">
        <f ca="1">SUM(INDIRECT(BC$1&amp;BC$2&amp;$C97):INDIRECT(BC$1&amp;BC$3&amp;$C97))</f>
        <v>52500</v>
      </c>
      <c r="BD97" s="3110">
        <f t="shared" ca="1" si="130"/>
        <v>84994.92283840201</v>
      </c>
      <c r="BE97" s="2758">
        <f ca="1">IFERROR(BB97/BC97,0)</f>
        <v>2.6189509112076572</v>
      </c>
      <c r="BF97" s="1232">
        <f ca="1">SUM(INDIRECT(BF$1&amp;BF$2&amp;$A97):INDIRECT(BF$1&amp;BF$3&amp;$A97))+SUM(INDIRECT(BF$1&amp;BF$2&amp;$B97):INDIRECT(BF$1&amp;BF$3&amp;$B97))</f>
        <v>0</v>
      </c>
      <c r="BG97" s="3110">
        <f ca="1">BB97-BF97</f>
        <v>137494.92283840201</v>
      </c>
      <c r="BH97" s="2758">
        <f ca="1">IFERROR(BB97/BF97,0)</f>
        <v>0</v>
      </c>
    </row>
    <row r="98" spans="1:60" ht="14.5">
      <c r="A98" s="616">
        <f t="shared" si="156"/>
        <v>123</v>
      </c>
      <c r="B98" s="616">
        <v>1</v>
      </c>
      <c r="C98" s="616">
        <f t="shared" si="109"/>
        <v>95</v>
      </c>
      <c r="D98" s="709" t="s">
        <v>1308</v>
      </c>
      <c r="E98" s="2568" t="s">
        <v>1370</v>
      </c>
      <c r="F98" s="2569"/>
      <c r="G98" s="737"/>
      <c r="H98" s="4"/>
      <c r="I98" s="4"/>
      <c r="J98" s="3"/>
      <c r="K98" s="27"/>
      <c r="L98" s="27"/>
      <c r="M98" s="36" t="s">
        <v>1330</v>
      </c>
      <c r="N98" s="3"/>
      <c r="O98" s="3"/>
      <c r="P98" s="3"/>
      <c r="Q98" s="1786" t="str">
        <f>CHOOSE(2, "6722000003017", "PL Operating Profit CAR Allocation Wages &amp; Salaries")</f>
        <v>PL Operating Profit CAR Allocation Wages &amp; Salaries</v>
      </c>
      <c r="R98" s="37">
        <f>R84-R93</f>
        <v>7969</v>
      </c>
      <c r="S98" s="37">
        <f t="shared" si="160"/>
        <v>6178.9121861007225</v>
      </c>
      <c r="T98" s="37">
        <f t="shared" si="160"/>
        <v>7854.8355887177277</v>
      </c>
      <c r="U98" s="37">
        <f t="shared" si="160"/>
        <v>6631.9016554347854</v>
      </c>
      <c r="V98" s="37">
        <f t="shared" si="160"/>
        <v>7807.6378538035515</v>
      </c>
      <c r="W98" s="37">
        <f t="shared" si="160"/>
        <v>8367.6830309006709</v>
      </c>
      <c r="X98" s="17">
        <f t="shared" si="160"/>
        <v>17350.796063820235</v>
      </c>
      <c r="Y98" s="17">
        <f t="shared" si="160"/>
        <v>10760.657007676753</v>
      </c>
      <c r="Z98" s="17">
        <f t="shared" si="160"/>
        <v>8331.476277029542</v>
      </c>
      <c r="AA98" s="126">
        <f t="shared" si="160"/>
        <v>10433.773656465995</v>
      </c>
      <c r="AB98" s="126">
        <f t="shared" si="160"/>
        <v>6888.1729661652353</v>
      </c>
      <c r="AC98" s="126">
        <f t="shared" si="160"/>
        <v>6512.3526249740862</v>
      </c>
      <c r="AD98" s="125">
        <f>SUM(R98,S98,T98)</f>
        <v>22002.74777481845</v>
      </c>
      <c r="AE98" s="126">
        <f t="shared" si="161"/>
        <v>22807.22254013901</v>
      </c>
      <c r="AF98" s="126">
        <f t="shared" si="162"/>
        <v>36442.92934852653</v>
      </c>
      <c r="AG98" s="126">
        <f t="shared" si="163"/>
        <v>23834.299247605315</v>
      </c>
      <c r="AH98" s="126">
        <f>AD98+AE98</f>
        <v>44809.970314957463</v>
      </c>
      <c r="AI98" s="126">
        <f>AG98+AF98</f>
        <v>60277.228596131841</v>
      </c>
      <c r="AJ98" s="126">
        <f>AH98+AI98</f>
        <v>105087.1989110893</v>
      </c>
      <c r="AL98" s="37">
        <f ca="1">SUM((INDIRECT(AL$2&amp;(ROW())):INDIRECT(AL$3&amp;(ROW()))))</f>
        <v>6512.3526249740862</v>
      </c>
      <c r="AM98" s="3108">
        <f ca="1">SUM(INDIRECT(AM$1&amp;AM$2&amp;$C98):INDIRECT(AM$1&amp;AM$3&amp;$C98))</f>
        <v>19738.326305373546</v>
      </c>
      <c r="AN98" s="3109">
        <f t="shared" ca="1" si="122"/>
        <v>-13225.97368039946</v>
      </c>
      <c r="AO98" s="2756">
        <f ca="1">IFERROR(AL98/AM98,0)</f>
        <v>0.32993438877343761</v>
      </c>
      <c r="AP98" s="1232">
        <f ca="1">SUM(INDIRECT(AP$1&amp;AP$2&amp;$A98):INDIRECT(AP$1&amp;AP$3&amp;$A98))+SUM(INDIRECT(AP$1&amp;AP$2&amp;$B98):INDIRECT(AP$1&amp;AP$3&amp;$B98))</f>
        <v>65831</v>
      </c>
      <c r="AQ98" s="3110">
        <f ca="1">AL98-AP98</f>
        <v>-59318.647375025917</v>
      </c>
      <c r="AR98" s="2758">
        <f ca="1">IFERROR(AL98/AP98,0)</f>
        <v>9.8925318238733823E-2</v>
      </c>
      <c r="AT98" s="37">
        <f ca="1">SUM((INDIRECT(AT$2&amp;(ROW())):INDIRECT(AT$3&amp;(ROW()))))</f>
        <v>23834.299247605315</v>
      </c>
      <c r="AU98" s="3108">
        <f ca="1">SUM(INDIRECT(AU$1&amp;AU$2&amp;$C98):INDIRECT(AU$1&amp;AU$3&amp;$C98))</f>
        <v>56367.75906672205</v>
      </c>
      <c r="AV98" s="3109">
        <f t="shared" ca="1" si="126"/>
        <v>-32533.459819116735</v>
      </c>
      <c r="AW98" s="2756">
        <f ca="1">IFERROR(AT98/AU98,0)</f>
        <v>0.42283567135235678</v>
      </c>
      <c r="AX98" s="1232">
        <f ca="1">SUM(INDIRECT(AX$1&amp;AX$2&amp;$A98):INDIRECT(AX$1&amp;AX$3&amp;$A98))+SUM(INDIRECT(AX$1&amp;AX$2&amp;$B98):INDIRECT(AX$1&amp;AX$3&amp;$B98))</f>
        <v>243871</v>
      </c>
      <c r="AY98" s="3110">
        <f ca="1">AT98-AX98</f>
        <v>-220036.70075239468</v>
      </c>
      <c r="AZ98" s="2758">
        <f ca="1">IFERROR(AT98/AX98,0)</f>
        <v>9.7733224727849205E-2</v>
      </c>
      <c r="BA98" s="69"/>
      <c r="BB98" s="1289">
        <f ca="1">SUM((INDIRECT(BB$2&amp;(ROW())):INDIRECT(BB$3&amp;(ROW()))))</f>
        <v>105087.1989110893</v>
      </c>
      <c r="BC98" s="1232">
        <f ca="1">SUM(INDIRECT(BC$1&amp;BC$2&amp;$C98):INDIRECT(BC$1&amp;BC$3&amp;$C98))</f>
        <v>100592.03560844646</v>
      </c>
      <c r="BD98" s="3110">
        <f t="shared" ca="1" si="130"/>
        <v>4495.1633026428462</v>
      </c>
      <c r="BE98" s="2758">
        <f ca="1">IFERROR(BB98/BC98,0)</f>
        <v>1.0446870696616601</v>
      </c>
      <c r="BF98" s="1232">
        <f ca="1">SUM(INDIRECT(BF$1&amp;BF$2&amp;$A98):INDIRECT(BF$1&amp;BF$3&amp;$A98))+SUM(INDIRECT(BF$1&amp;BF$2&amp;$B98):INDIRECT(BF$1&amp;BF$3&amp;$B98))</f>
        <v>829449.62425035948</v>
      </c>
      <c r="BG98" s="3110">
        <f ca="1">BB98-BF98</f>
        <v>-724362.42533927015</v>
      </c>
      <c r="BH98" s="2758">
        <f ca="1">IFERROR(BB98/BF98,0)</f>
        <v>0.12669509496259654</v>
      </c>
    </row>
    <row r="99" spans="1:60" ht="14.5">
      <c r="A99" s="616">
        <f t="shared" si="156"/>
        <v>124</v>
      </c>
      <c r="B99" s="616">
        <v>1</v>
      </c>
      <c r="C99" s="616">
        <f t="shared" si="109"/>
        <v>96</v>
      </c>
      <c r="D99" s="709" t="s">
        <v>1308</v>
      </c>
      <c r="E99" s="2568" t="s">
        <v>1370</v>
      </c>
      <c r="F99" s="2569"/>
      <c r="G99" s="737"/>
      <c r="H99" s="4"/>
      <c r="I99" s="4"/>
      <c r="J99" s="3"/>
      <c r="K99" s="25"/>
      <c r="L99" s="25"/>
      <c r="M99" s="104" t="s">
        <v>1331</v>
      </c>
      <c r="N99" s="1"/>
      <c r="O99" s="1"/>
      <c r="P99" s="1"/>
      <c r="Q99" s="1786" t="str">
        <f>CHOOSE(2, "6722000003018", "PL Operating Profit CAR Allocation Fixed Expenses")</f>
        <v>PL Operating Profit CAR Allocation Fixed Expenses</v>
      </c>
      <c r="R99" s="60">
        <f>R85-R94</f>
        <v>10048.897709231807</v>
      </c>
      <c r="S99" s="60">
        <f t="shared" si="160"/>
        <v>10049.205599755038</v>
      </c>
      <c r="T99" s="60">
        <f t="shared" si="160"/>
        <v>14989.605189120713</v>
      </c>
      <c r="U99" s="60">
        <f t="shared" si="160"/>
        <v>9826.2731063666743</v>
      </c>
      <c r="V99" s="60">
        <f t="shared" si="160"/>
        <v>12599.833529323701</v>
      </c>
      <c r="W99" s="60">
        <f t="shared" si="160"/>
        <v>862.89345101715753</v>
      </c>
      <c r="X99" s="15">
        <f t="shared" si="160"/>
        <v>19396.97841563863</v>
      </c>
      <c r="Y99" s="15">
        <f t="shared" si="160"/>
        <v>12054.094117327342</v>
      </c>
      <c r="Z99" s="15">
        <f t="shared" si="160"/>
        <v>9865.2978396274593</v>
      </c>
      <c r="AA99" s="123">
        <f t="shared" si="160"/>
        <v>16851.491263636603</v>
      </c>
      <c r="AB99" s="123">
        <f t="shared" si="160"/>
        <v>3161.3369861189476</v>
      </c>
      <c r="AC99" s="123">
        <f t="shared" si="160"/>
        <v>29344.077523701366</v>
      </c>
      <c r="AD99" s="122">
        <f>SUM(R99,S99,T99)</f>
        <v>35087.70849810756</v>
      </c>
      <c r="AE99" s="123">
        <f t="shared" si="161"/>
        <v>23289.000086707532</v>
      </c>
      <c r="AF99" s="123">
        <f t="shared" si="162"/>
        <v>41316.370372593432</v>
      </c>
      <c r="AG99" s="123">
        <f t="shared" si="163"/>
        <v>49356.905773456914</v>
      </c>
      <c r="AH99" s="123">
        <f>AD99+AE99</f>
        <v>58376.708584815089</v>
      </c>
      <c r="AI99" s="123">
        <f>AG99+AF99</f>
        <v>90673.276146050339</v>
      </c>
      <c r="AJ99" s="123">
        <f>AH99+AI99</f>
        <v>149049.98473086543</v>
      </c>
      <c r="AL99" s="60">
        <f ca="1">SUM((INDIRECT(AL$2&amp;(ROW())):INDIRECT(AL$3&amp;(ROW()))))</f>
        <v>29344.077523701366</v>
      </c>
      <c r="AM99" s="80">
        <f ca="1">SUM(INDIRECT(AM$1&amp;AM$2&amp;$C99):INDIRECT(AM$1&amp;AM$3&amp;$C99))</f>
        <v>0.32497316778429713</v>
      </c>
      <c r="AN99" s="3111">
        <f t="shared" ca="1" si="122"/>
        <v>29343.75255053358</v>
      </c>
      <c r="AO99" s="2760">
        <f ca="1">IFERROR(AL99/AM99,0)</f>
        <v>90296.924277695041</v>
      </c>
      <c r="AP99" s="1241">
        <f ca="1">SUM(INDIRECT(AP$1&amp;AP$2&amp;$A99):INDIRECT(AP$1&amp;AP$3&amp;$A99))+SUM(INDIRECT(AP$1&amp;AP$2&amp;$B99):INDIRECT(AP$1&amp;AP$3&amp;$B99))</f>
        <v>0.25215806727447082</v>
      </c>
      <c r="AQ99" s="3098">
        <f ca="1">AL99-AP99</f>
        <v>29343.825365634093</v>
      </c>
      <c r="AR99" s="2743">
        <f ca="1">IFERROR(AL99/AP99,0)</f>
        <v>116371.75776637245</v>
      </c>
      <c r="AT99" s="60">
        <f ca="1">SUM((INDIRECT(AT$2&amp;(ROW())):INDIRECT(AT$3&amp;(ROW()))))</f>
        <v>49356.905773456914</v>
      </c>
      <c r="AU99" s="80">
        <f ca="1">SUM(INDIRECT(AU$1&amp;AU$2&amp;$C99):INDIRECT(AU$1&amp;AU$3&amp;$C99))</f>
        <v>0.94247149341264103</v>
      </c>
      <c r="AV99" s="3111">
        <f t="shared" ca="1" si="126"/>
        <v>49355.9633019635</v>
      </c>
      <c r="AW99" s="2760">
        <f ca="1">IFERROR(AT99/AU99,0)</f>
        <v>52369.653743836949</v>
      </c>
      <c r="AX99" s="1241">
        <f ca="1">SUM(INDIRECT(AX$1&amp;AX$2&amp;$A99):INDIRECT(AX$1&amp;AX$3&amp;$A99))+SUM(INDIRECT(AX$1&amp;AX$2&amp;$B99):INDIRECT(AX$1&amp;AX$3&amp;$B99))</f>
        <v>0.8857707135379238</v>
      </c>
      <c r="AY99" s="3098">
        <f ca="1">AT99-AX99</f>
        <v>49356.020002743375</v>
      </c>
      <c r="AZ99" s="2743">
        <f ca="1">IFERROR(AT99/AX99,0)</f>
        <v>55721.988793597346</v>
      </c>
      <c r="BA99" s="69"/>
      <c r="BB99" s="1290">
        <f ca="1">SUM((INDIRECT(BB$2&amp;(ROW())):INDIRECT(BB$3&amp;(ROW()))))</f>
        <v>149049.98473086546</v>
      </c>
      <c r="BC99" s="1241">
        <f ca="1">SUM(INDIRECT(BC$1&amp;BC$2&amp;$C99):INDIRECT(BC$1&amp;BC$3&amp;$C99))</f>
        <v>1.6347313928938143</v>
      </c>
      <c r="BD99" s="3098">
        <f t="shared" ca="1" si="130"/>
        <v>149048.34999947256</v>
      </c>
      <c r="BE99" s="2743">
        <f ca="1">IFERROR(BB99/BC99,0)</f>
        <v>91177.049256401689</v>
      </c>
      <c r="BF99" s="1241">
        <f ca="1">SUM(INDIRECT(BF$1&amp;BF$2&amp;$A99):INDIRECT(BF$1&amp;BF$3&amp;$A99))+SUM(INDIRECT(BF$1&amp;BF$2&amp;$B99):INDIRECT(BF$1&amp;BF$3&amp;$B99))</f>
        <v>3.5474134412379943</v>
      </c>
      <c r="BG99" s="3098">
        <f ca="1">BB99-BF99</f>
        <v>149046.43731742422</v>
      </c>
      <c r="BH99" s="2743">
        <f ca="1">IFERROR(BB99/BF99,0)</f>
        <v>42016.524772158846</v>
      </c>
    </row>
    <row r="100" spans="1:60" ht="14.5">
      <c r="A100" s="616">
        <v>1</v>
      </c>
      <c r="B100" s="616">
        <v>1</v>
      </c>
      <c r="C100" s="616">
        <f t="shared" si="109"/>
        <v>97</v>
      </c>
      <c r="D100" s="709" t="s">
        <v>1308</v>
      </c>
      <c r="E100" s="2547">
        <v>1</v>
      </c>
      <c r="F100" s="4"/>
      <c r="G100" s="4"/>
      <c r="H100" s="4"/>
      <c r="I100" s="4"/>
      <c r="J100" s="3"/>
      <c r="K100" s="4"/>
      <c r="L100" s="4"/>
      <c r="M100" s="3"/>
      <c r="N100" s="3"/>
      <c r="O100" s="3"/>
      <c r="P100" s="3"/>
      <c r="Q100" s="1773" t="str">
        <f>CHOOSE(2, "6722000003019", "▷ Blank 7")</f>
        <v>▷ Blank 7</v>
      </c>
      <c r="R100" s="2562"/>
      <c r="S100" s="2563"/>
      <c r="T100" s="2563"/>
      <c r="U100" s="2563"/>
      <c r="V100" s="2563"/>
      <c r="W100" s="2563"/>
      <c r="AA100" s="2558"/>
      <c r="AB100" s="2558"/>
      <c r="AC100" s="2558"/>
      <c r="AD100" s="2558"/>
      <c r="AE100" s="2558"/>
      <c r="AF100" s="2558"/>
      <c r="AG100" s="2558"/>
      <c r="AH100" s="2558"/>
      <c r="AI100" s="2558"/>
      <c r="AJ100" s="2559"/>
      <c r="AL100" s="2558"/>
      <c r="AM100" s="2558"/>
      <c r="AN100" s="2558"/>
      <c r="AO100" s="2558"/>
      <c r="AP100" s="2558"/>
      <c r="AQ100" s="2558"/>
      <c r="AR100" s="2558"/>
      <c r="AT100" s="2558"/>
      <c r="AU100" s="2558"/>
      <c r="AV100" s="2558"/>
      <c r="AW100" s="2558"/>
      <c r="AX100" s="2558"/>
      <c r="AY100" s="2558"/>
      <c r="AZ100" s="2558"/>
      <c r="BB100" s="2558"/>
      <c r="BC100" s="2558"/>
      <c r="BD100" s="2558"/>
      <c r="BE100" s="2558"/>
      <c r="BF100" s="2558"/>
      <c r="BG100" s="2558"/>
      <c r="BH100" s="2558"/>
    </row>
    <row r="101" spans="1:60" ht="14.5">
      <c r="A101" s="616">
        <v>1</v>
      </c>
      <c r="B101" s="616">
        <v>1</v>
      </c>
      <c r="C101" s="616">
        <f t="shared" si="109"/>
        <v>98</v>
      </c>
      <c r="D101" s="709" t="s">
        <v>1308</v>
      </c>
      <c r="E101" s="2547">
        <v>1</v>
      </c>
      <c r="F101" s="4"/>
      <c r="G101" s="4"/>
      <c r="H101" s="4" t="s">
        <v>1374</v>
      </c>
      <c r="I101" s="4"/>
      <c r="J101" s="3"/>
      <c r="K101" s="4"/>
      <c r="L101" s="4"/>
      <c r="M101" s="3"/>
      <c r="N101" s="3"/>
      <c r="O101" s="3"/>
      <c r="P101" s="3"/>
      <c r="Q101" s="1773" t="str">
        <f>CHOOSE(2, "6722000003020", "PL (1)-1 Office: Excluding ""Office Solution""")</f>
        <v>PL (1)-1 Office: Excluding "Office Solution"</v>
      </c>
      <c r="R101" s="2562"/>
      <c r="S101" s="2563"/>
      <c r="T101" s="2563"/>
      <c r="U101" s="2563"/>
      <c r="V101" s="2563"/>
      <c r="W101" s="2563"/>
      <c r="AA101" s="2558"/>
      <c r="AB101" s="2558"/>
      <c r="AC101" s="2558"/>
      <c r="AD101" s="2558"/>
      <c r="AE101" s="2558"/>
      <c r="AF101" s="2558"/>
      <c r="AG101" s="2558"/>
      <c r="AH101" s="2558"/>
      <c r="AI101" s="2558"/>
      <c r="AJ101" s="2559"/>
      <c r="AL101" s="2558"/>
      <c r="AM101" s="2558"/>
      <c r="AN101" s="2558"/>
      <c r="AO101" s="2558"/>
      <c r="AP101" s="2558"/>
      <c r="AQ101" s="2558"/>
      <c r="AR101" s="2558"/>
      <c r="AT101" s="2558"/>
      <c r="AU101" s="2558"/>
      <c r="AV101" s="2558"/>
      <c r="AW101" s="2558"/>
      <c r="AX101" s="2558"/>
      <c r="AY101" s="2558"/>
      <c r="AZ101" s="2558"/>
      <c r="BB101" s="2558"/>
      <c r="BC101" s="2558"/>
      <c r="BD101" s="2558"/>
      <c r="BE101" s="2558"/>
      <c r="BF101" s="2558"/>
      <c r="BG101" s="2558"/>
      <c r="BH101" s="2558"/>
    </row>
    <row r="102" spans="1:60" ht="14.5">
      <c r="A102" s="616">
        <v>76</v>
      </c>
      <c r="B102" s="616">
        <v>1</v>
      </c>
      <c r="C102" s="616">
        <f t="shared" si="109"/>
        <v>99</v>
      </c>
      <c r="D102" s="709" t="s">
        <v>1308</v>
      </c>
      <c r="E102" s="2547"/>
      <c r="F102" s="4"/>
      <c r="G102" s="4"/>
      <c r="H102" s="4"/>
      <c r="I102" s="3115" t="s">
        <v>1375</v>
      </c>
      <c r="J102" s="580"/>
      <c r="K102" s="863"/>
      <c r="L102" s="863"/>
      <c r="M102" s="863"/>
      <c r="N102" s="863"/>
      <c r="O102" s="1997" t="s">
        <v>1376</v>
      </c>
      <c r="P102" s="863"/>
      <c r="Q102" s="1788" t="str">
        <f>CHOOSE(2, "6722000003021", "PL (1)-1 Net Sales")</f>
        <v>PL (1)-1 Net Sales</v>
      </c>
      <c r="R102" s="1258">
        <f t="shared" ref="R102:AC102" si="164">SUM(R103:R105)</f>
        <v>162913</v>
      </c>
      <c r="S102" s="3116">
        <f t="shared" si="164"/>
        <v>182873</v>
      </c>
      <c r="T102" s="3116">
        <f t="shared" si="164"/>
        <v>197175</v>
      </c>
      <c r="U102" s="3116">
        <f t="shared" si="164"/>
        <v>209023</v>
      </c>
      <c r="V102" s="3116">
        <f t="shared" si="164"/>
        <v>260971.35993999999</v>
      </c>
      <c r="W102" s="3116">
        <f t="shared" si="164"/>
        <v>269233</v>
      </c>
      <c r="X102" s="3116">
        <f t="shared" si="164"/>
        <v>232877</v>
      </c>
      <c r="Y102" s="3116">
        <f t="shared" si="164"/>
        <v>251690</v>
      </c>
      <c r="Z102" s="3116">
        <f t="shared" si="164"/>
        <v>327190</v>
      </c>
      <c r="AA102" s="3116">
        <f t="shared" si="164"/>
        <v>240979</v>
      </c>
      <c r="AB102" s="3116">
        <f t="shared" si="164"/>
        <v>261070.37031000003</v>
      </c>
      <c r="AC102" s="3116">
        <f t="shared" si="164"/>
        <v>279063</v>
      </c>
      <c r="AD102" s="3116">
        <f t="shared" ref="AD102:AD109" si="165">SUM(R102,S102,T102)</f>
        <v>542961</v>
      </c>
      <c r="AE102" s="3116">
        <f t="shared" ref="AE102:AE109" si="166">SUM(U102,V102,W102)</f>
        <v>739227.35993999999</v>
      </c>
      <c r="AF102" s="3116">
        <f t="shared" ref="AF102:AF109" si="167">SUM(X102,Y102,Z102)</f>
        <v>811757</v>
      </c>
      <c r="AG102" s="3116">
        <f t="shared" ref="AG102:AG109" si="168">SUM(AA102,AB102,AC102)</f>
        <v>781112.37031000003</v>
      </c>
      <c r="AH102" s="3116">
        <f>SUM(AH103:AH105)</f>
        <v>1282188.3599399999</v>
      </c>
      <c r="AI102" s="3116">
        <f>SUM(AI103:AI105)</f>
        <v>1592869.3703100001</v>
      </c>
      <c r="AJ102" s="3116">
        <f>SUM(AJ103:AJ105)</f>
        <v>2875057.73025</v>
      </c>
      <c r="AL102" s="1258">
        <f ca="1">SUM((INDIRECT(AL$2&amp;(ROW())):INDIRECT(AL$3&amp;(ROW()))))</f>
        <v>279063</v>
      </c>
      <c r="AM102" s="3116">
        <f ca="1">SUM(INDIRECT(AM$1&amp;AM$2&amp;$C102):INDIRECT(AM$1&amp;AM$3&amp;$C102))</f>
        <v>2886.8236522911684</v>
      </c>
      <c r="AN102" s="3117">
        <f t="shared" ref="AN102:AN140" ca="1" si="169">AL102-AM102</f>
        <v>276176.17634770885</v>
      </c>
      <c r="AO102" s="3118">
        <f t="shared" ref="AO102:AO123" ca="1" si="170">IFERROR(AL102/AM102,0)</f>
        <v>96.66783760016574</v>
      </c>
      <c r="AP102" s="3116">
        <f ca="1">SUM(INDIRECT(AP$1&amp;AP$2&amp;$A102):INDIRECT(AP$1&amp;AP$3&amp;$A102))+SUM(INDIRECT(AP$1&amp;AP$2&amp;$B102):INDIRECT(AP$1&amp;AP$3&amp;$B102))</f>
        <v>0</v>
      </c>
      <c r="AQ102" s="3117">
        <f t="shared" ref="AQ102:AQ140" ca="1" si="171">AL102-AP102</f>
        <v>279063</v>
      </c>
      <c r="AR102" s="3118">
        <f t="shared" ref="AR102:AR123" ca="1" si="172">IFERROR(AL102/AP102,0)</f>
        <v>0</v>
      </c>
      <c r="AT102" s="1258">
        <f ca="1">SUM((INDIRECT(AT$2&amp;(ROW())):INDIRECT(AT$3&amp;(ROW()))))</f>
        <v>781112.37031000003</v>
      </c>
      <c r="AU102" s="3116">
        <f ca="1">SUM(INDIRECT(AU$1&amp;AU$2&amp;$C102):INDIRECT(AU$1&amp;AU$3&amp;$C102))</f>
        <v>8496.4332738238845</v>
      </c>
      <c r="AV102" s="3117">
        <f t="shared" ref="AV102:AV140" ca="1" si="173">AT102-AU102</f>
        <v>772615.9370361761</v>
      </c>
      <c r="AW102" s="3118">
        <f t="shared" ref="AW102:AW123" ca="1" si="174">IFERROR(AT102/AU102,0)</f>
        <v>91.934149911643388</v>
      </c>
      <c r="AX102" s="3116">
        <f ca="1">SUM(INDIRECT(AX$1&amp;AX$2&amp;$A102):INDIRECT(AX$1&amp;AX$3&amp;$A102))+SUM(INDIRECT(AX$1&amp;AX$2&amp;$B102):INDIRECT(AX$1&amp;AX$3&amp;$B102))</f>
        <v>0</v>
      </c>
      <c r="AY102" s="3117">
        <f t="shared" ref="AY102:AY140" ca="1" si="175">AT102-AX102</f>
        <v>781112.37031000003</v>
      </c>
      <c r="AZ102" s="3118">
        <f t="shared" ref="AZ102:AZ123" ca="1" si="176">IFERROR(AT102/AX102,0)</f>
        <v>0</v>
      </c>
      <c r="BB102" s="1258">
        <f ca="1">SUM((INDIRECT(BB$2&amp;(ROW())):INDIRECT(BB$3&amp;(ROW()))))</f>
        <v>2875057.73025</v>
      </c>
      <c r="BC102" s="3116">
        <f ca="1">SUM(INDIRECT(BC$1&amp;BC$2&amp;$C102):INDIRECT(BC$1&amp;BC$3&amp;$C102))</f>
        <v>14460.478303544471</v>
      </c>
      <c r="BD102" s="3117">
        <f t="shared" ref="BD102:BD140" ca="1" si="177">BB102-BC102</f>
        <v>2860597.2519464553</v>
      </c>
      <c r="BE102" s="3118">
        <f t="shared" ref="BE102:BE123" ca="1" si="178">IFERROR(BB102/BC102,0)</f>
        <v>198.82175885878422</v>
      </c>
      <c r="BF102" s="3116">
        <f ca="1">SUM(INDIRECT(BF$1&amp;BF$2&amp;$A102):INDIRECT(BF$1&amp;BF$3&amp;$A102))+SUM(INDIRECT(BF$1&amp;BF$2&amp;$B102):INDIRECT(BF$1&amp;BF$3&amp;$B102))</f>
        <v>0</v>
      </c>
      <c r="BG102" s="3117">
        <f t="shared" ref="BG102:BG140" ca="1" si="179">BB102-BF102</f>
        <v>2875057.73025</v>
      </c>
      <c r="BH102" s="3118">
        <f t="shared" ref="BH102:BH123" ca="1" si="180">IFERROR(BB102/BF102,0)</f>
        <v>0</v>
      </c>
    </row>
    <row r="103" spans="1:60" ht="14.5">
      <c r="A103" s="616">
        <f t="shared" ref="A103:A140" si="181">A102+1</f>
        <v>77</v>
      </c>
      <c r="B103" s="616">
        <v>1</v>
      </c>
      <c r="C103" s="616">
        <f t="shared" si="109"/>
        <v>100</v>
      </c>
      <c r="D103" s="709" t="s">
        <v>1308</v>
      </c>
      <c r="E103" s="2547">
        <v>1</v>
      </c>
      <c r="F103" s="4"/>
      <c r="G103" s="4"/>
      <c r="H103" s="4"/>
      <c r="I103" s="27"/>
      <c r="J103" s="3"/>
      <c r="K103" s="4"/>
      <c r="L103" s="4"/>
      <c r="M103" s="3" t="s">
        <v>57</v>
      </c>
      <c r="N103" s="3"/>
      <c r="O103" s="3"/>
      <c r="P103" s="3"/>
      <c r="Q103" s="1789" t="str">
        <f>CHOOSE(2, "6722000003022", "PL (1)-1 Net Sales HW")</f>
        <v>PL (1)-1 Net Sales HW</v>
      </c>
      <c r="R103" s="1214">
        <f>R454+R470</f>
        <v>74186</v>
      </c>
      <c r="S103" s="1221">
        <f t="shared" ref="S103:AC103" si="182">S454+S470</f>
        <v>121660</v>
      </c>
      <c r="T103" s="1221">
        <f t="shared" si="182"/>
        <v>104326</v>
      </c>
      <c r="U103" s="1221">
        <f t="shared" si="182"/>
        <v>128638</v>
      </c>
      <c r="V103" s="1221">
        <f t="shared" si="182"/>
        <v>166445.136</v>
      </c>
      <c r="W103" s="1221">
        <f t="shared" si="182"/>
        <v>191924</v>
      </c>
      <c r="X103" s="1221">
        <f t="shared" si="182"/>
        <v>147071</v>
      </c>
      <c r="Y103" s="1221">
        <f t="shared" si="182"/>
        <v>149635</v>
      </c>
      <c r="Z103" s="1221">
        <f t="shared" si="182"/>
        <v>242547</v>
      </c>
      <c r="AA103" s="1221">
        <f t="shared" si="182"/>
        <v>156409</v>
      </c>
      <c r="AB103" s="1221">
        <f t="shared" si="182"/>
        <v>179970.37031000003</v>
      </c>
      <c r="AC103" s="1221">
        <f t="shared" si="182"/>
        <v>199726</v>
      </c>
      <c r="AD103" s="1221">
        <f t="shared" si="165"/>
        <v>300172</v>
      </c>
      <c r="AE103" s="1221">
        <f t="shared" si="166"/>
        <v>487007.136</v>
      </c>
      <c r="AF103" s="1221">
        <f t="shared" si="167"/>
        <v>539253</v>
      </c>
      <c r="AG103" s="1221">
        <f t="shared" si="168"/>
        <v>536105.37031000003</v>
      </c>
      <c r="AH103" s="1221">
        <f>AD103+AE103</f>
        <v>787179.13599999994</v>
      </c>
      <c r="AI103" s="1221">
        <f>AG103+AF103</f>
        <v>1075358.3703100001</v>
      </c>
      <c r="AJ103" s="1221">
        <f>AH103+AI103</f>
        <v>1862537.5063100001</v>
      </c>
      <c r="AL103" s="1214">
        <f ca="1">SUM((INDIRECT(AL$2&amp;(ROW())):INDIRECT(AL$3&amp;(ROW()))))</f>
        <v>199726</v>
      </c>
      <c r="AM103" s="1221">
        <f ca="1">SUM(INDIRECT(AM$1&amp;AM$2&amp;$C103):INDIRECT(AM$1&amp;AM$3&amp;$C103))</f>
        <v>0</v>
      </c>
      <c r="AN103" s="3119">
        <f t="shared" ca="1" si="169"/>
        <v>199726</v>
      </c>
      <c r="AO103" s="2768">
        <f t="shared" ca="1" si="170"/>
        <v>0</v>
      </c>
      <c r="AP103" s="1221">
        <f ca="1">SUM(INDIRECT(AP$1&amp;AP$2&amp;$A103):INDIRECT(AP$1&amp;AP$3&amp;$A103))+SUM(INDIRECT(AP$1&amp;AP$2&amp;$B103):INDIRECT(AP$1&amp;AP$3&amp;$B103))</f>
        <v>0</v>
      </c>
      <c r="AQ103" s="3119">
        <f t="shared" ca="1" si="171"/>
        <v>199726</v>
      </c>
      <c r="AR103" s="2768">
        <f t="shared" ca="1" si="172"/>
        <v>0</v>
      </c>
      <c r="AT103" s="1214">
        <f ca="1">SUM((INDIRECT(AT$2&amp;(ROW())):INDIRECT(AT$3&amp;(ROW()))))</f>
        <v>536105.37031000003</v>
      </c>
      <c r="AU103" s="1221">
        <f ca="1">SUM(INDIRECT(AU$1&amp;AU$2&amp;$C103):INDIRECT(AU$1&amp;AU$3&amp;$C103))</f>
        <v>0</v>
      </c>
      <c r="AV103" s="3119">
        <f t="shared" ca="1" si="173"/>
        <v>536105.37031000003</v>
      </c>
      <c r="AW103" s="2768">
        <f t="shared" ca="1" si="174"/>
        <v>0</v>
      </c>
      <c r="AX103" s="1221">
        <f ca="1">SUM(INDIRECT(AX$1&amp;AX$2&amp;$A103):INDIRECT(AX$1&amp;AX$3&amp;$A103))+SUM(INDIRECT(AX$1&amp;AX$2&amp;$B103):INDIRECT(AX$1&amp;AX$3&amp;$B103))</f>
        <v>0</v>
      </c>
      <c r="AY103" s="3119">
        <f t="shared" ca="1" si="175"/>
        <v>536105.37031000003</v>
      </c>
      <c r="AZ103" s="2768">
        <f t="shared" ca="1" si="176"/>
        <v>0</v>
      </c>
      <c r="BB103" s="1214">
        <f ca="1">SUM((INDIRECT(BB$2&amp;(ROW())):INDIRECT(BB$3&amp;(ROW()))))</f>
        <v>1862537.5063100001</v>
      </c>
      <c r="BC103" s="1221">
        <f ca="1">SUM(INDIRECT(BC$1&amp;BC$2&amp;$C103):INDIRECT(BC$1&amp;BC$3&amp;$C103))</f>
        <v>0</v>
      </c>
      <c r="BD103" s="3119">
        <f t="shared" ca="1" si="177"/>
        <v>1862537.5063100001</v>
      </c>
      <c r="BE103" s="2768">
        <f t="shared" ca="1" si="178"/>
        <v>0</v>
      </c>
      <c r="BF103" s="1221">
        <f ca="1">SUM(INDIRECT(BF$1&amp;BF$2&amp;$A103):INDIRECT(BF$1&amp;BF$3&amp;$A103))+SUM(INDIRECT(BF$1&amp;BF$2&amp;$B103):INDIRECT(BF$1&amp;BF$3&amp;$B103))</f>
        <v>0</v>
      </c>
      <c r="BG103" s="3119">
        <f t="shared" ca="1" si="179"/>
        <v>1862537.5063100001</v>
      </c>
      <c r="BH103" s="2768">
        <f t="shared" ca="1" si="180"/>
        <v>0</v>
      </c>
    </row>
    <row r="104" spans="1:60" ht="14.5">
      <c r="A104" s="616">
        <f t="shared" si="181"/>
        <v>78</v>
      </c>
      <c r="B104" s="616">
        <v>1</v>
      </c>
      <c r="C104" s="616">
        <f t="shared" si="109"/>
        <v>101</v>
      </c>
      <c r="D104" s="709" t="s">
        <v>1308</v>
      </c>
      <c r="E104" s="2547">
        <v>1</v>
      </c>
      <c r="F104" s="4"/>
      <c r="G104" s="4"/>
      <c r="H104" s="4"/>
      <c r="I104" s="27"/>
      <c r="J104" s="3"/>
      <c r="K104" s="4"/>
      <c r="L104" s="4"/>
      <c r="M104" s="3" t="s">
        <v>27</v>
      </c>
      <c r="N104" s="3"/>
      <c r="O104" s="3"/>
      <c r="P104" s="3"/>
      <c r="Q104" s="1789" t="str">
        <f>CHOOSE(2, "6722000003023", "PL (1)-1 Net Sales NH")</f>
        <v>PL (1)-1 Net Sales NH</v>
      </c>
      <c r="R104" s="1214">
        <f>R459+R475</f>
        <v>88727</v>
      </c>
      <c r="S104" s="1221">
        <f t="shared" ref="S104:AC104" si="183">S459+S475</f>
        <v>61213</v>
      </c>
      <c r="T104" s="1221">
        <f t="shared" si="183"/>
        <v>92849</v>
      </c>
      <c r="U104" s="1221">
        <f t="shared" si="183"/>
        <v>80385</v>
      </c>
      <c r="V104" s="1221">
        <f t="shared" si="183"/>
        <v>94526.223939999996</v>
      </c>
      <c r="W104" s="1221">
        <f t="shared" si="183"/>
        <v>77309</v>
      </c>
      <c r="X104" s="1221">
        <f t="shared" si="183"/>
        <v>85806</v>
      </c>
      <c r="Y104" s="1221">
        <f t="shared" si="183"/>
        <v>102055</v>
      </c>
      <c r="Z104" s="1221">
        <f t="shared" si="183"/>
        <v>84643</v>
      </c>
      <c r="AA104" s="1221">
        <f t="shared" si="183"/>
        <v>84570</v>
      </c>
      <c r="AB104" s="1221">
        <f t="shared" si="183"/>
        <v>81100</v>
      </c>
      <c r="AC104" s="1221">
        <f t="shared" si="183"/>
        <v>79337</v>
      </c>
      <c r="AD104" s="1221">
        <f t="shared" si="165"/>
        <v>242789</v>
      </c>
      <c r="AE104" s="1221">
        <f t="shared" si="166"/>
        <v>252220.22394</v>
      </c>
      <c r="AF104" s="1221">
        <f t="shared" si="167"/>
        <v>272504</v>
      </c>
      <c r="AG104" s="1221">
        <f t="shared" si="168"/>
        <v>245007</v>
      </c>
      <c r="AH104" s="1221">
        <f>AD104+AE104</f>
        <v>495009.22394</v>
      </c>
      <c r="AI104" s="1221">
        <f>AG104+AF104</f>
        <v>517511</v>
      </c>
      <c r="AJ104" s="1221">
        <f>AH104+AI104</f>
        <v>1012520.2239399999</v>
      </c>
      <c r="AL104" s="1214">
        <f ca="1">SUM((INDIRECT(AL$2&amp;(ROW())):INDIRECT(AL$3&amp;(ROW()))))</f>
        <v>79337</v>
      </c>
      <c r="AM104" s="1221">
        <f ca="1">SUM(INDIRECT(AM$1&amp;AM$2&amp;$C104):INDIRECT(AM$1&amp;AM$3&amp;$C104))</f>
        <v>0</v>
      </c>
      <c r="AN104" s="3119">
        <f t="shared" ca="1" si="169"/>
        <v>79337</v>
      </c>
      <c r="AO104" s="2768">
        <f t="shared" ca="1" si="170"/>
        <v>0</v>
      </c>
      <c r="AP104" s="1221">
        <f ca="1">SUM(INDIRECT(AP$1&amp;AP$2&amp;$A104):INDIRECT(AP$1&amp;AP$3&amp;$A104))+SUM(INDIRECT(AP$1&amp;AP$2&amp;$B104):INDIRECT(AP$1&amp;AP$3&amp;$B104))</f>
        <v>44958</v>
      </c>
      <c r="AQ104" s="3119">
        <f t="shared" ca="1" si="171"/>
        <v>34379</v>
      </c>
      <c r="AR104" s="2768">
        <f t="shared" ca="1" si="172"/>
        <v>1.764691489834957</v>
      </c>
      <c r="AT104" s="1214">
        <f ca="1">SUM((INDIRECT(AT$2&amp;(ROW())):INDIRECT(AT$3&amp;(ROW()))))</f>
        <v>245007</v>
      </c>
      <c r="AU104" s="1221">
        <f ca="1">SUM(INDIRECT(AU$1&amp;AU$2&amp;$C104):INDIRECT(AU$1&amp;AU$3&amp;$C104))</f>
        <v>0</v>
      </c>
      <c r="AV104" s="3119">
        <f t="shared" ca="1" si="173"/>
        <v>245007</v>
      </c>
      <c r="AW104" s="2768">
        <f t="shared" ca="1" si="174"/>
        <v>0</v>
      </c>
      <c r="AX104" s="1221">
        <f ca="1">SUM(INDIRECT(AX$1&amp;AX$2&amp;$A104):INDIRECT(AX$1&amp;AX$3&amp;$A104))+SUM(INDIRECT(AX$1&amp;AX$2&amp;$B104):INDIRECT(AX$1&amp;AX$3&amp;$B104))</f>
        <v>134781</v>
      </c>
      <c r="AY104" s="3119">
        <f t="shared" ca="1" si="175"/>
        <v>110226</v>
      </c>
      <c r="AZ104" s="2768">
        <f t="shared" ca="1" si="176"/>
        <v>1.817815567476128</v>
      </c>
      <c r="BB104" s="1214">
        <f ca="1">SUM((INDIRECT(BB$2&amp;(ROW())):INDIRECT(BB$3&amp;(ROW()))))</f>
        <v>1012520.2239399999</v>
      </c>
      <c r="BC104" s="1221">
        <f ca="1">SUM(INDIRECT(BC$1&amp;BC$2&amp;$C104):INDIRECT(BC$1&amp;BC$3&amp;$C104))</f>
        <v>0</v>
      </c>
      <c r="BD104" s="3119">
        <f t="shared" ca="1" si="177"/>
        <v>1012520.2239399999</v>
      </c>
      <c r="BE104" s="2768">
        <f t="shared" ca="1" si="178"/>
        <v>0</v>
      </c>
      <c r="BF104" s="1221">
        <f ca="1">SUM(INDIRECT(BF$1&amp;BF$2&amp;$A104):INDIRECT(BF$1&amp;BF$3&amp;$A104))+SUM(INDIRECT(BF$1&amp;BF$2&amp;$B104):INDIRECT(BF$1&amp;BF$3&amp;$B104))</f>
        <v>492851</v>
      </c>
      <c r="BG104" s="3119">
        <f t="shared" ca="1" si="179"/>
        <v>519669.22393999994</v>
      </c>
      <c r="BH104" s="2768">
        <f t="shared" ca="1" si="180"/>
        <v>2.054414465913633</v>
      </c>
    </row>
    <row r="105" spans="1:60" ht="14.5">
      <c r="A105" s="616">
        <f t="shared" si="181"/>
        <v>79</v>
      </c>
      <c r="B105" s="616">
        <v>1</v>
      </c>
      <c r="C105" s="616">
        <f t="shared" si="109"/>
        <v>102</v>
      </c>
      <c r="D105" s="709" t="s">
        <v>1308</v>
      </c>
      <c r="E105" s="2547">
        <v>1</v>
      </c>
      <c r="F105" s="4"/>
      <c r="G105" s="4"/>
      <c r="H105" s="4"/>
      <c r="I105" s="27"/>
      <c r="J105" s="3"/>
      <c r="K105" s="4"/>
      <c r="L105" s="4"/>
      <c r="M105" s="3" t="s">
        <v>2</v>
      </c>
      <c r="N105" s="3"/>
      <c r="O105" s="3"/>
      <c r="P105" s="3"/>
      <c r="Q105" s="1789" t="str">
        <f>CHOOSE(2, "6722000003024", "PL (1)-1 Net Sales Others")</f>
        <v>PL (1)-1 Net Sales Others</v>
      </c>
      <c r="R105" s="1214">
        <f t="shared" ref="R105:AC105" si="184">R468+R484</f>
        <v>0</v>
      </c>
      <c r="S105" s="1221">
        <f t="shared" si="184"/>
        <v>0</v>
      </c>
      <c r="T105" s="1221">
        <f t="shared" si="184"/>
        <v>0</v>
      </c>
      <c r="U105" s="1221">
        <f t="shared" si="184"/>
        <v>0</v>
      </c>
      <c r="V105" s="1221">
        <f t="shared" si="184"/>
        <v>0</v>
      </c>
      <c r="W105" s="1221">
        <f t="shared" si="184"/>
        <v>0</v>
      </c>
      <c r="X105" s="1221">
        <f t="shared" si="184"/>
        <v>0</v>
      </c>
      <c r="Y105" s="1221">
        <f t="shared" si="184"/>
        <v>0</v>
      </c>
      <c r="Z105" s="1221">
        <f t="shared" si="184"/>
        <v>0</v>
      </c>
      <c r="AA105" s="1221">
        <f t="shared" si="184"/>
        <v>0</v>
      </c>
      <c r="AB105" s="1221">
        <f t="shared" si="184"/>
        <v>0</v>
      </c>
      <c r="AC105" s="1221">
        <f t="shared" si="184"/>
        <v>0</v>
      </c>
      <c r="AD105" s="1221">
        <f t="shared" si="165"/>
        <v>0</v>
      </c>
      <c r="AE105" s="1221">
        <f t="shared" si="166"/>
        <v>0</v>
      </c>
      <c r="AF105" s="1221">
        <f t="shared" si="167"/>
        <v>0</v>
      </c>
      <c r="AG105" s="1221">
        <f t="shared" si="168"/>
        <v>0</v>
      </c>
      <c r="AH105" s="1221">
        <f>AD105+AE105</f>
        <v>0</v>
      </c>
      <c r="AI105" s="1221">
        <f>AG105+AF105</f>
        <v>0</v>
      </c>
      <c r="AJ105" s="1221">
        <f>AH105+AI105</f>
        <v>0</v>
      </c>
      <c r="AL105" s="1214">
        <f ca="1">SUM((INDIRECT(AL$2&amp;(ROW())):INDIRECT(AL$3&amp;(ROW()))))</f>
        <v>0</v>
      </c>
      <c r="AM105" s="1221">
        <f ca="1">SUM(INDIRECT(AM$1&amp;AM$2&amp;$C105):INDIRECT(AM$1&amp;AM$3&amp;$C105))</f>
        <v>236704.56693899591</v>
      </c>
      <c r="AN105" s="3119">
        <f t="shared" ca="1" si="169"/>
        <v>-236704.56693899591</v>
      </c>
      <c r="AO105" s="2768">
        <f t="shared" ca="1" si="170"/>
        <v>0</v>
      </c>
      <c r="AP105" s="1221">
        <f ca="1">SUM(INDIRECT(AP$1&amp;AP$2&amp;$A105):INDIRECT(AP$1&amp;AP$3&amp;$A105))+SUM(INDIRECT(AP$1&amp;AP$2&amp;$B105):INDIRECT(AP$1&amp;AP$3&amp;$B105))</f>
        <v>263940.37031000003</v>
      </c>
      <c r="AQ105" s="3119">
        <f t="shared" ca="1" si="171"/>
        <v>-263940.37031000003</v>
      </c>
      <c r="AR105" s="2768">
        <f t="shared" ca="1" si="172"/>
        <v>0</v>
      </c>
      <c r="AT105" s="1214">
        <f ca="1">SUM((INDIRECT(AT$2&amp;(ROW())):INDIRECT(AT$3&amp;(ROW()))))</f>
        <v>0</v>
      </c>
      <c r="AU105" s="1221">
        <f ca="1">SUM(INDIRECT(AU$1&amp;AU$2&amp;$C105):INDIRECT(AU$1&amp;AU$3&amp;$C105))</f>
        <v>684604.38137088367</v>
      </c>
      <c r="AV105" s="3119">
        <f t="shared" ca="1" si="173"/>
        <v>-684604.38137088367</v>
      </c>
      <c r="AW105" s="2768">
        <f t="shared" ca="1" si="174"/>
        <v>0</v>
      </c>
      <c r="AX105" s="1221">
        <f ca="1">SUM(INDIRECT(AX$1&amp;AX$2&amp;$A105):INDIRECT(AX$1&amp;AX$3&amp;$A105))+SUM(INDIRECT(AX$1&amp;AX$2&amp;$B105):INDIRECT(AX$1&amp;AX$3&amp;$B105))</f>
        <v>837166.37031000003</v>
      </c>
      <c r="AY105" s="3119">
        <f t="shared" ca="1" si="175"/>
        <v>-837166.37031000003</v>
      </c>
      <c r="AZ105" s="2768">
        <f t="shared" ca="1" si="176"/>
        <v>0</v>
      </c>
      <c r="BB105" s="1214">
        <f ca="1">SUM((INDIRECT(BB$2&amp;(ROW())):INDIRECT(BB$3&amp;(ROW()))))</f>
        <v>0</v>
      </c>
      <c r="BC105" s="1221">
        <f ca="1">SUM(INDIRECT(BC$1&amp;BC$2&amp;$C105):INDIRECT(BC$1&amp;BC$3&amp;$C105))</f>
        <v>1140994.7664350886</v>
      </c>
      <c r="BD105" s="3119">
        <f t="shared" ca="1" si="177"/>
        <v>-1140994.7664350886</v>
      </c>
      <c r="BE105" s="2768">
        <f t="shared" ca="1" si="178"/>
        <v>0</v>
      </c>
      <c r="BF105" s="1221">
        <f ca="1">SUM(INDIRECT(BF$1&amp;BF$2&amp;$A105):INDIRECT(BF$1&amp;BF$3&amp;$A105))+SUM(INDIRECT(BF$1&amp;BF$2&amp;$B105):INDIRECT(BF$1&amp;BF$3&amp;$B105))</f>
        <v>2618862.6152500003</v>
      </c>
      <c r="BG105" s="3119">
        <f t="shared" ca="1" si="179"/>
        <v>-2618862.6152500003</v>
      </c>
      <c r="BH105" s="2768">
        <f t="shared" ca="1" si="180"/>
        <v>0</v>
      </c>
    </row>
    <row r="106" spans="1:60" ht="14.5">
      <c r="A106" s="616">
        <f t="shared" si="181"/>
        <v>80</v>
      </c>
      <c r="B106" s="616">
        <v>1</v>
      </c>
      <c r="C106" s="616">
        <f t="shared" si="109"/>
        <v>103</v>
      </c>
      <c r="D106" s="709" t="s">
        <v>1308</v>
      </c>
      <c r="E106" s="2547">
        <v>1</v>
      </c>
      <c r="F106" s="4"/>
      <c r="G106" s="4"/>
      <c r="H106" s="4"/>
      <c r="I106" s="3115" t="s">
        <v>1327</v>
      </c>
      <c r="J106" s="580"/>
      <c r="K106" s="863"/>
      <c r="L106" s="863"/>
      <c r="M106" s="863"/>
      <c r="N106" s="863"/>
      <c r="O106" s="1997" t="s">
        <v>1377</v>
      </c>
      <c r="P106" s="863"/>
      <c r="Q106" s="1788" t="str">
        <f>CHOOSE(2, "6722000003025", "PL (1)-1 BT Cons. Sales")</f>
        <v>PL (1)-1 BT Cons. Sales</v>
      </c>
      <c r="R106" s="1258">
        <f t="shared" ref="R106:AC106" si="185">SUM(R107:R109)</f>
        <v>162913</v>
      </c>
      <c r="S106" s="3116">
        <f t="shared" si="185"/>
        <v>182873</v>
      </c>
      <c r="T106" s="3116">
        <f t="shared" si="185"/>
        <v>197175</v>
      </c>
      <c r="U106" s="3116">
        <f t="shared" si="185"/>
        <v>209023</v>
      </c>
      <c r="V106" s="3116">
        <f t="shared" si="185"/>
        <v>260971.35993999999</v>
      </c>
      <c r="W106" s="3116">
        <f t="shared" si="185"/>
        <v>269233</v>
      </c>
      <c r="X106" s="3116">
        <f t="shared" si="185"/>
        <v>232877</v>
      </c>
      <c r="Y106" s="3116">
        <f t="shared" si="185"/>
        <v>251690</v>
      </c>
      <c r="Z106" s="3116">
        <f t="shared" si="185"/>
        <v>327190</v>
      </c>
      <c r="AA106" s="3116">
        <f t="shared" si="185"/>
        <v>240979</v>
      </c>
      <c r="AB106" s="3116">
        <f t="shared" si="185"/>
        <v>261070.37031000003</v>
      </c>
      <c r="AC106" s="3116">
        <f t="shared" si="185"/>
        <v>279063</v>
      </c>
      <c r="AD106" s="3116">
        <f t="shared" si="165"/>
        <v>542961</v>
      </c>
      <c r="AE106" s="3116">
        <f t="shared" si="166"/>
        <v>739227.35993999999</v>
      </c>
      <c r="AF106" s="3116">
        <f t="shared" si="167"/>
        <v>811757</v>
      </c>
      <c r="AG106" s="3116">
        <f t="shared" si="168"/>
        <v>781112.37031000003</v>
      </c>
      <c r="AH106" s="3116">
        <f>SUM(AH107:AH109)</f>
        <v>1282188.3599399999</v>
      </c>
      <c r="AI106" s="3116">
        <f>SUM(AI107:AI109)</f>
        <v>1592869.3703100001</v>
      </c>
      <c r="AJ106" s="3116">
        <f>SUM(AJ107:AJ109)</f>
        <v>2875057.73025</v>
      </c>
      <c r="AL106" s="1258">
        <f ca="1">SUM((INDIRECT(AL$2&amp;(ROW())):INDIRECT(AL$3&amp;(ROW()))))</f>
        <v>279063</v>
      </c>
      <c r="AM106" s="3116">
        <f ca="1">SUM(INDIRECT(AM$1&amp;AM$2&amp;$C106):INDIRECT(AM$1&amp;AM$3&amp;$C106))</f>
        <v>149185.64348587091</v>
      </c>
      <c r="AN106" s="3117">
        <f t="shared" ca="1" si="169"/>
        <v>129877.35651412909</v>
      </c>
      <c r="AO106" s="3118">
        <f t="shared" ca="1" si="170"/>
        <v>1.8705754352725605</v>
      </c>
      <c r="AP106" s="3116">
        <f ca="1">SUM(INDIRECT(AP$1&amp;AP$2&amp;$A106):INDIRECT(AP$1&amp;AP$3&amp;$A106))+SUM(INDIRECT(AP$1&amp;AP$2&amp;$B106):INDIRECT(AP$1&amp;AP$3&amp;$B106))</f>
        <v>263940.37031000003</v>
      </c>
      <c r="AQ106" s="3117">
        <f t="shared" ca="1" si="171"/>
        <v>15122.629689999972</v>
      </c>
      <c r="AR106" s="3118">
        <f t="shared" ca="1" si="172"/>
        <v>1.0572956295857217</v>
      </c>
      <c r="AT106" s="1258">
        <f ca="1">SUM((INDIRECT(AT$2&amp;(ROW())):INDIRECT(AT$3&amp;(ROW()))))</f>
        <v>781112.37031000003</v>
      </c>
      <c r="AU106" s="3116">
        <f ca="1">SUM(INDIRECT(AU$1&amp;AU$2&amp;$C106):INDIRECT(AU$1&amp;AU$3&amp;$C106))</f>
        <v>429913.43141775869</v>
      </c>
      <c r="AV106" s="3117">
        <f t="shared" ca="1" si="173"/>
        <v>351198.93889224133</v>
      </c>
      <c r="AW106" s="3118">
        <f t="shared" ca="1" si="174"/>
        <v>1.8169061797722055</v>
      </c>
      <c r="AX106" s="3116">
        <f ca="1">SUM(INDIRECT(AX$1&amp;AX$2&amp;$A106):INDIRECT(AX$1&amp;AX$3&amp;$A106))+SUM(INDIRECT(AX$1&amp;AX$2&amp;$B106):INDIRECT(AX$1&amp;AX$3&amp;$B106))</f>
        <v>837166.37031000003</v>
      </c>
      <c r="AY106" s="3117">
        <f t="shared" ca="1" si="175"/>
        <v>-56054</v>
      </c>
      <c r="AZ106" s="3118">
        <f t="shared" ca="1" si="176"/>
        <v>0.9330431775714505</v>
      </c>
      <c r="BB106" s="1258">
        <f ca="1">SUM((INDIRECT(BB$2&amp;(ROW())):INDIRECT(BB$3&amp;(ROW()))))</f>
        <v>2875057.73025</v>
      </c>
      <c r="BC106" s="3116">
        <f ca="1">SUM(INDIRECT(BC$1&amp;BC$2&amp;$C106):INDIRECT(BC$1&amp;BC$3&amp;$C106))</f>
        <v>708633.37977883872</v>
      </c>
      <c r="BD106" s="3117">
        <f t="shared" ca="1" si="177"/>
        <v>2166424.3504711613</v>
      </c>
      <c r="BE106" s="3118">
        <f t="shared" ca="1" si="178"/>
        <v>4.057186427130052</v>
      </c>
      <c r="BF106" s="3116">
        <f ca="1">SUM(INDIRECT(BF$1&amp;BF$2&amp;$A106):INDIRECT(BF$1&amp;BF$3&amp;$A106))+SUM(INDIRECT(BF$1&amp;BF$2&amp;$B106):INDIRECT(BF$1&amp;BF$3&amp;$B106))</f>
        <v>2618862.6152500003</v>
      </c>
      <c r="BG106" s="3117">
        <f t="shared" ca="1" si="179"/>
        <v>256195.11499999976</v>
      </c>
      <c r="BH106" s="3118">
        <f t="shared" ca="1" si="180"/>
        <v>1.0978268632757366</v>
      </c>
    </row>
    <row r="107" spans="1:60" ht="14.5">
      <c r="A107" s="616">
        <f t="shared" si="181"/>
        <v>81</v>
      </c>
      <c r="B107" s="616">
        <v>1</v>
      </c>
      <c r="C107" s="616">
        <f t="shared" si="109"/>
        <v>104</v>
      </c>
      <c r="D107" s="709" t="s">
        <v>1308</v>
      </c>
      <c r="E107" s="2547">
        <v>1</v>
      </c>
      <c r="F107" s="4"/>
      <c r="G107" s="4"/>
      <c r="H107" s="4"/>
      <c r="I107" s="27"/>
      <c r="J107" s="3"/>
      <c r="K107" s="4"/>
      <c r="L107" s="4"/>
      <c r="M107" s="3" t="s">
        <v>57</v>
      </c>
      <c r="N107" s="3"/>
      <c r="O107" s="3"/>
      <c r="P107" s="3"/>
      <c r="Q107" s="1790" t="str">
        <f>CHOOSE(2, "6722000003026", "PL (1)-1 BT Cons. Sales HW")</f>
        <v>PL (1)-1 BT Cons. Sales HW</v>
      </c>
      <c r="R107" s="1215">
        <v>74186</v>
      </c>
      <c r="S107" s="1222">
        <v>121660</v>
      </c>
      <c r="T107" s="1222">
        <v>104326</v>
      </c>
      <c r="U107" s="1222">
        <v>128638</v>
      </c>
      <c r="V107" s="1222">
        <v>166445.136</v>
      </c>
      <c r="W107" s="1222">
        <v>191924</v>
      </c>
      <c r="X107" s="1222">
        <v>147071</v>
      </c>
      <c r="Y107" s="1222">
        <v>149635</v>
      </c>
      <c r="Z107" s="1222">
        <v>242547</v>
      </c>
      <c r="AA107" s="1222">
        <v>156409</v>
      </c>
      <c r="AB107" s="1222">
        <v>179970.37031000003</v>
      </c>
      <c r="AC107" s="1222">
        <v>199726</v>
      </c>
      <c r="AD107" s="1221">
        <f t="shared" si="165"/>
        <v>300172</v>
      </c>
      <c r="AE107" s="1221">
        <f t="shared" si="166"/>
        <v>487007.136</v>
      </c>
      <c r="AF107" s="1221">
        <f t="shared" si="167"/>
        <v>539253</v>
      </c>
      <c r="AG107" s="1221">
        <f t="shared" si="168"/>
        <v>536105.37031000003</v>
      </c>
      <c r="AH107" s="1221">
        <f>AD107+AE107</f>
        <v>787179.13599999994</v>
      </c>
      <c r="AI107" s="1221">
        <f>AG107+AF107</f>
        <v>1075358.3703100001</v>
      </c>
      <c r="AJ107" s="1221">
        <f>AH107+AI107</f>
        <v>1862537.5063100001</v>
      </c>
      <c r="AL107" s="1214">
        <f ca="1">SUM((INDIRECT(AL$2&amp;(ROW())):INDIRECT(AL$3&amp;(ROW()))))</f>
        <v>199726</v>
      </c>
      <c r="AM107" s="1221">
        <f ca="1">SUM(INDIRECT(AM$1&amp;AM$2&amp;$C107):INDIRECT(AM$1&amp;AM$3&amp;$C107))</f>
        <v>87518.923453124997</v>
      </c>
      <c r="AN107" s="3119">
        <f t="shared" ca="1" si="169"/>
        <v>112207.076546875</v>
      </c>
      <c r="AO107" s="2768">
        <f t="shared" ca="1" si="170"/>
        <v>2.2820893141695571</v>
      </c>
      <c r="AP107" s="1221">
        <f ca="1">SUM(INDIRECT(AP$1&amp;AP$2&amp;$A107):INDIRECT(AP$1&amp;AP$3&amp;$A107))+SUM(INDIRECT(AP$1&amp;AP$2&amp;$B107):INDIRECT(AP$1&amp;AP$3&amp;$B107))</f>
        <v>67819.856589999996</v>
      </c>
      <c r="AQ107" s="3119">
        <f t="shared" ca="1" si="171"/>
        <v>131906.14341000002</v>
      </c>
      <c r="AR107" s="2768">
        <f t="shared" ca="1" si="172"/>
        <v>2.9449487221335335</v>
      </c>
      <c r="AT107" s="1214">
        <f ca="1">SUM((INDIRECT(AT$2&amp;(ROW())):INDIRECT(AT$3&amp;(ROW()))))</f>
        <v>536105.37031000003</v>
      </c>
      <c r="AU107" s="1221">
        <f ca="1">SUM(INDIRECT(AU$1&amp;AU$2&amp;$C107):INDIRECT(AU$1&amp;AU$3&amp;$C107))</f>
        <v>254690.94995312497</v>
      </c>
      <c r="AV107" s="3119">
        <f t="shared" ca="1" si="173"/>
        <v>281414.42035687505</v>
      </c>
      <c r="AW107" s="2768">
        <f t="shared" ca="1" si="174"/>
        <v>2.1049250882635149</v>
      </c>
      <c r="AX107" s="1221">
        <f ca="1">SUM(INDIRECT(AX$1&amp;AX$2&amp;$A107):INDIRECT(AX$1&amp;AX$3&amp;$A107))+SUM(INDIRECT(AX$1&amp;AX$2&amp;$B107):INDIRECT(AX$1&amp;AX$3&amp;$B107))</f>
        <v>248902.85658999998</v>
      </c>
      <c r="AY107" s="3119">
        <f t="shared" ca="1" si="175"/>
        <v>287202.51372000005</v>
      </c>
      <c r="AZ107" s="2768">
        <f t="shared" ca="1" si="176"/>
        <v>2.153873915529577</v>
      </c>
      <c r="BB107" s="1214">
        <f ca="1">SUM((INDIRECT(BB$2&amp;(ROW())):INDIRECT(BB$3&amp;(ROW()))))</f>
        <v>1862537.5063100001</v>
      </c>
      <c r="BC107" s="1221">
        <f ca="1">SUM(INDIRECT(BC$1&amp;BC$2&amp;$C107):INDIRECT(BC$1&amp;BC$3&amp;$C107))</f>
        <v>432361.38665624999</v>
      </c>
      <c r="BD107" s="3119">
        <f t="shared" ca="1" si="177"/>
        <v>1430176.1196537502</v>
      </c>
      <c r="BE107" s="2768">
        <f t="shared" ca="1" si="178"/>
        <v>4.3078257304943266</v>
      </c>
      <c r="BF107" s="1221">
        <f ca="1">SUM(INDIRECT(BF$1&amp;BF$2&amp;$A107):INDIRECT(BF$1&amp;BF$3&amp;$A107))+SUM(INDIRECT(BF$1&amp;BF$2&amp;$B107):INDIRECT(BF$1&amp;BF$3&amp;$B107))</f>
        <v>844519.48084035947</v>
      </c>
      <c r="BG107" s="3119">
        <f t="shared" ca="1" si="179"/>
        <v>1018018.0254696406</v>
      </c>
      <c r="BH107" s="2768">
        <f t="shared" ca="1" si="180"/>
        <v>2.2054405476314618</v>
      </c>
    </row>
    <row r="108" spans="1:60" ht="14.5">
      <c r="A108" s="616">
        <f t="shared" si="181"/>
        <v>82</v>
      </c>
      <c r="B108" s="616">
        <v>1</v>
      </c>
      <c r="C108" s="616">
        <f t="shared" si="109"/>
        <v>105</v>
      </c>
      <c r="D108" s="709" t="s">
        <v>1308</v>
      </c>
      <c r="E108" s="2547">
        <v>1</v>
      </c>
      <c r="F108" s="4"/>
      <c r="G108" s="4"/>
      <c r="H108" s="4"/>
      <c r="I108" s="27"/>
      <c r="J108" s="3"/>
      <c r="K108" s="4"/>
      <c r="L108" s="4"/>
      <c r="M108" s="3" t="s">
        <v>27</v>
      </c>
      <c r="N108" s="3"/>
      <c r="O108" s="3"/>
      <c r="P108" s="3"/>
      <c r="Q108" s="1790" t="str">
        <f>CHOOSE(2, "6722000003027", "PL (1)-1 BT Cons. Sales NH")</f>
        <v>PL (1)-1 BT Cons. Sales NH</v>
      </c>
      <c r="R108" s="1215">
        <v>88727</v>
      </c>
      <c r="S108" s="1222">
        <v>61213</v>
      </c>
      <c r="T108" s="1222">
        <v>92849</v>
      </c>
      <c r="U108" s="1222">
        <v>80385</v>
      </c>
      <c r="V108" s="1222">
        <v>94526.223939999996</v>
      </c>
      <c r="W108" s="1222">
        <v>77309</v>
      </c>
      <c r="X108" s="1222">
        <v>85806</v>
      </c>
      <c r="Y108" s="1222">
        <v>102055</v>
      </c>
      <c r="Z108" s="1222">
        <v>84643</v>
      </c>
      <c r="AA108" s="1222">
        <v>84570</v>
      </c>
      <c r="AB108" s="1222">
        <v>81100</v>
      </c>
      <c r="AC108" s="1222">
        <v>79337</v>
      </c>
      <c r="AD108" s="1221">
        <f t="shared" si="165"/>
        <v>242789</v>
      </c>
      <c r="AE108" s="1221">
        <f t="shared" si="166"/>
        <v>252220.22394</v>
      </c>
      <c r="AF108" s="1221">
        <f t="shared" si="167"/>
        <v>272504</v>
      </c>
      <c r="AG108" s="1221">
        <f t="shared" si="168"/>
        <v>245007</v>
      </c>
      <c r="AH108" s="1221">
        <f>AD108+AE108</f>
        <v>495009.22394</v>
      </c>
      <c r="AI108" s="1221">
        <f>AG108+AF108</f>
        <v>517511</v>
      </c>
      <c r="AJ108" s="1221">
        <f>AH108+AI108</f>
        <v>1012520.2239399999</v>
      </c>
      <c r="AL108" s="1214">
        <f ca="1">SUM((INDIRECT(AL$2&amp;(ROW())):INDIRECT(AL$3&amp;(ROW()))))</f>
        <v>79337</v>
      </c>
      <c r="AM108" s="1221">
        <f ca="1">SUM(INDIRECT(AM$1&amp;AM$2&amp;$C108):INDIRECT(AM$1&amp;AM$3&amp;$C108))</f>
        <v>0</v>
      </c>
      <c r="AN108" s="3119">
        <f t="shared" ca="1" si="169"/>
        <v>79337</v>
      </c>
      <c r="AO108" s="2768">
        <f t="shared" ca="1" si="170"/>
        <v>0</v>
      </c>
      <c r="AP108" s="1221">
        <f ca="1">SUM(INDIRECT(AP$1&amp;AP$2&amp;$A108):INDIRECT(AP$1&amp;AP$3&amp;$A108))+SUM(INDIRECT(AP$1&amp;AP$2&amp;$B108):INDIRECT(AP$1&amp;AP$3&amp;$B108))</f>
        <v>64190.329965214056</v>
      </c>
      <c r="AQ108" s="3119">
        <f t="shared" ca="1" si="171"/>
        <v>15146.670034785944</v>
      </c>
      <c r="AR108" s="2768">
        <f t="shared" ca="1" si="172"/>
        <v>1.2359649816879617</v>
      </c>
      <c r="AT108" s="1214">
        <f ca="1">SUM((INDIRECT(AT$2&amp;(ROW())):INDIRECT(AT$3&amp;(ROW()))))</f>
        <v>245007</v>
      </c>
      <c r="AU108" s="1221">
        <f ca="1">SUM(INDIRECT(AU$1&amp;AU$2&amp;$C108):INDIRECT(AU$1&amp;AU$3&amp;$C108))</f>
        <v>0</v>
      </c>
      <c r="AV108" s="3119">
        <f t="shared" ca="1" si="173"/>
        <v>245007</v>
      </c>
      <c r="AW108" s="2768">
        <f t="shared" ca="1" si="174"/>
        <v>0</v>
      </c>
      <c r="AX108" s="1221">
        <f ca="1">SUM(INDIRECT(AX$1&amp;AX$2&amp;$A108):INDIRECT(AX$1&amp;AX$3&amp;$A108))+SUM(INDIRECT(AX$1&amp;AX$2&amp;$B108):INDIRECT(AX$1&amp;AX$3&amp;$B108))</f>
        <v>216572.53479224577</v>
      </c>
      <c r="AY108" s="3119">
        <f t="shared" ca="1" si="175"/>
        <v>28434.465207754227</v>
      </c>
      <c r="AZ108" s="2768">
        <f t="shared" ca="1" si="176"/>
        <v>1.1312930341561127</v>
      </c>
      <c r="BB108" s="1214">
        <f ca="1">SUM((INDIRECT(BB$2&amp;(ROW())):INDIRECT(BB$3&amp;(ROW()))))</f>
        <v>1012520.2239399999</v>
      </c>
      <c r="BC108" s="1221">
        <f ca="1">SUM(INDIRECT(BC$1&amp;BC$2&amp;$C108):INDIRECT(BC$1&amp;BC$3&amp;$C108))</f>
        <v>0</v>
      </c>
      <c r="BD108" s="3119">
        <f t="shared" ca="1" si="177"/>
        <v>1012520.2239399999</v>
      </c>
      <c r="BE108" s="2768">
        <f t="shared" ca="1" si="178"/>
        <v>0</v>
      </c>
      <c r="BF108" s="1221">
        <f ca="1">SUM(INDIRECT(BF$1&amp;BF$2&amp;$A108):INDIRECT(BF$1&amp;BF$3&amp;$A108))+SUM(INDIRECT(BF$1&amp;BF$2&amp;$B108):INDIRECT(BF$1&amp;BF$3&amp;$B108))</f>
        <v>682864.58284828393</v>
      </c>
      <c r="BG108" s="3119">
        <f t="shared" ca="1" si="179"/>
        <v>329655.64109171601</v>
      </c>
      <c r="BH108" s="2768">
        <f t="shared" ca="1" si="180"/>
        <v>1.4827540472471064</v>
      </c>
    </row>
    <row r="109" spans="1:60" ht="14.5">
      <c r="A109" s="616">
        <f t="shared" si="181"/>
        <v>83</v>
      </c>
      <c r="B109" s="616">
        <v>1</v>
      </c>
      <c r="C109" s="616">
        <f t="shared" si="109"/>
        <v>106</v>
      </c>
      <c r="D109" s="709" t="s">
        <v>1308</v>
      </c>
      <c r="E109" s="2547">
        <v>1</v>
      </c>
      <c r="F109" s="4"/>
      <c r="G109" s="4"/>
      <c r="H109" s="4"/>
      <c r="I109" s="27"/>
      <c r="J109" s="3"/>
      <c r="K109" s="4"/>
      <c r="L109" s="4"/>
      <c r="M109" s="3" t="s">
        <v>2</v>
      </c>
      <c r="N109" s="3"/>
      <c r="O109" s="3"/>
      <c r="P109" s="3"/>
      <c r="Q109" s="1790" t="str">
        <f>CHOOSE(2, "6722000003028", "PL (1)-1 BT Cons. Sales Others")</f>
        <v>PL (1)-1 BT Cons. Sales Others</v>
      </c>
      <c r="R109" s="1215">
        <v>0</v>
      </c>
      <c r="S109" s="1222">
        <v>0</v>
      </c>
      <c r="T109" s="1222">
        <v>0</v>
      </c>
      <c r="U109" s="1222">
        <v>0</v>
      </c>
      <c r="V109" s="1222">
        <v>0</v>
      </c>
      <c r="W109" s="1222">
        <v>0</v>
      </c>
      <c r="X109" s="1222">
        <v>0</v>
      </c>
      <c r="Y109" s="1222">
        <v>0</v>
      </c>
      <c r="Z109" s="1222">
        <v>0</v>
      </c>
      <c r="AA109" s="1222">
        <v>0</v>
      </c>
      <c r="AB109" s="1222">
        <v>0</v>
      </c>
      <c r="AC109" s="1222">
        <v>0</v>
      </c>
      <c r="AD109" s="1221">
        <f t="shared" si="165"/>
        <v>0</v>
      </c>
      <c r="AE109" s="1221">
        <f t="shared" si="166"/>
        <v>0</v>
      </c>
      <c r="AF109" s="1221">
        <f t="shared" si="167"/>
        <v>0</v>
      </c>
      <c r="AG109" s="1221">
        <f t="shared" si="168"/>
        <v>0</v>
      </c>
      <c r="AH109" s="1221">
        <f>AD109+AE109</f>
        <v>0</v>
      </c>
      <c r="AI109" s="1221">
        <f>AG109+AF109</f>
        <v>0</v>
      </c>
      <c r="AJ109" s="1221">
        <f>AH109+AI109</f>
        <v>0</v>
      </c>
      <c r="AL109" s="1214">
        <f ca="1">SUM((INDIRECT(AL$2&amp;(ROW())):INDIRECT(AL$3&amp;(ROW()))))</f>
        <v>0</v>
      </c>
      <c r="AM109" s="1221">
        <f ca="1">SUM(INDIRECT(AM$1&amp;AM$2&amp;$C109):INDIRECT(AM$1&amp;AM$3&amp;$C109))</f>
        <v>236704.56693899591</v>
      </c>
      <c r="AN109" s="3119">
        <f t="shared" ca="1" si="169"/>
        <v>-236704.56693899591</v>
      </c>
      <c r="AO109" s="2768">
        <f t="shared" ca="1" si="170"/>
        <v>0</v>
      </c>
      <c r="AP109" s="1221">
        <f ca="1">SUM(INDIRECT(AP$1&amp;AP$2&amp;$A109):INDIRECT(AP$1&amp;AP$3&amp;$A109))+SUM(INDIRECT(AP$1&amp;AP$2&amp;$B109):INDIRECT(AP$1&amp;AP$3&amp;$B109))</f>
        <v>27432.584783883085</v>
      </c>
      <c r="AQ109" s="3119">
        <f t="shared" ca="1" si="171"/>
        <v>-27432.584783883085</v>
      </c>
      <c r="AR109" s="2768">
        <f t="shared" ca="1" si="172"/>
        <v>0</v>
      </c>
      <c r="AT109" s="1214">
        <f ca="1">SUM((INDIRECT(AT$2&amp;(ROW())):INDIRECT(AT$3&amp;(ROW()))))</f>
        <v>0</v>
      </c>
      <c r="AU109" s="1221">
        <f ca="1">SUM(INDIRECT(AU$1&amp;AU$2&amp;$C109):INDIRECT(AU$1&amp;AU$3&amp;$C109))</f>
        <v>684604.38137088367</v>
      </c>
      <c r="AV109" s="3119">
        <f t="shared" ca="1" si="173"/>
        <v>-684604.38137088367</v>
      </c>
      <c r="AW109" s="2768">
        <f t="shared" ca="1" si="174"/>
        <v>0</v>
      </c>
      <c r="AX109" s="1221">
        <f ca="1">SUM(INDIRECT(AX$1&amp;AX$2&amp;$A109):INDIRECT(AX$1&amp;AX$3&amp;$A109))+SUM(INDIRECT(AX$1&amp;AX$2&amp;$B109):INDIRECT(AX$1&amp;AX$3&amp;$B109))</f>
        <v>91162.357071028877</v>
      </c>
      <c r="AY109" s="3119">
        <f t="shared" ca="1" si="175"/>
        <v>-91162.357071028877</v>
      </c>
      <c r="AZ109" s="2768">
        <f t="shared" ca="1" si="176"/>
        <v>0</v>
      </c>
      <c r="BB109" s="1214">
        <f ca="1">SUM((INDIRECT(BB$2&amp;(ROW())):INDIRECT(BB$3&amp;(ROW()))))</f>
        <v>0</v>
      </c>
      <c r="BC109" s="1221">
        <f ca="1">SUM(INDIRECT(BC$1&amp;BC$2&amp;$C109):INDIRECT(BC$1&amp;BC$3&amp;$C109))</f>
        <v>1140994.7664350886</v>
      </c>
      <c r="BD109" s="3119">
        <f t="shared" ca="1" si="177"/>
        <v>-1140994.7664350886</v>
      </c>
      <c r="BE109" s="2768">
        <f t="shared" ca="1" si="178"/>
        <v>0</v>
      </c>
      <c r="BF109" s="1221">
        <f ca="1">SUM(INDIRECT(BF$1&amp;BF$2&amp;$A109):INDIRECT(BF$1&amp;BF$3&amp;$A109))+SUM(INDIRECT(BF$1&amp;BF$2&amp;$B109):INDIRECT(BF$1&amp;BF$3&amp;$B109))</f>
        <v>228984.91081392954</v>
      </c>
      <c r="BG109" s="3119">
        <f t="shared" ca="1" si="179"/>
        <v>-228984.91081392954</v>
      </c>
      <c r="BH109" s="2768">
        <f t="shared" ca="1" si="180"/>
        <v>0</v>
      </c>
    </row>
    <row r="110" spans="1:60" ht="14.5">
      <c r="A110" s="616">
        <f t="shared" si="181"/>
        <v>84</v>
      </c>
      <c r="B110" s="616">
        <v>1</v>
      </c>
      <c r="C110" s="616">
        <f t="shared" si="109"/>
        <v>107</v>
      </c>
      <c r="E110" s="2547">
        <v>1</v>
      </c>
      <c r="F110" s="4"/>
      <c r="G110" s="4"/>
      <c r="H110" s="4"/>
      <c r="I110" s="3115" t="s">
        <v>1378</v>
      </c>
      <c r="J110" s="580"/>
      <c r="K110" s="863"/>
      <c r="L110" s="863"/>
      <c r="M110" s="863"/>
      <c r="N110" s="863"/>
      <c r="O110" s="863"/>
      <c r="P110" s="863"/>
      <c r="Q110" s="1788" t="str">
        <f>CHOOSE(2, "6722000003029", "PL (1)-1 Cost of Sales")</f>
        <v>PL (1)-1 Cost of Sales</v>
      </c>
      <c r="R110" s="1258">
        <f>R111+R114+R122</f>
        <v>100749</v>
      </c>
      <c r="S110" s="3116">
        <f t="shared" ref="S110:AJ110" si="186">S111+S114+S122</f>
        <v>131154</v>
      </c>
      <c r="T110" s="3116">
        <f t="shared" si="186"/>
        <v>128985</v>
      </c>
      <c r="U110" s="3116">
        <f t="shared" si="186"/>
        <v>142243</v>
      </c>
      <c r="V110" s="3116">
        <f t="shared" si="186"/>
        <v>180088.73568964051</v>
      </c>
      <c r="W110" s="3116">
        <f t="shared" si="186"/>
        <v>183401</v>
      </c>
      <c r="X110" s="3116">
        <f t="shared" si="186"/>
        <v>146511</v>
      </c>
      <c r="Y110" s="3116">
        <f t="shared" si="186"/>
        <v>168045</v>
      </c>
      <c r="Z110" s="3116">
        <f t="shared" si="186"/>
        <v>230971</v>
      </c>
      <c r="AA110" s="3116">
        <f t="shared" si="186"/>
        <v>159158</v>
      </c>
      <c r="AB110" s="3116">
        <f t="shared" si="186"/>
        <v>195239.37031000003</v>
      </c>
      <c r="AC110" s="3116">
        <f t="shared" si="186"/>
        <v>204939</v>
      </c>
      <c r="AD110" s="3116">
        <f t="shared" si="186"/>
        <v>360888</v>
      </c>
      <c r="AE110" s="3116">
        <f t="shared" si="186"/>
        <v>505732.73568964051</v>
      </c>
      <c r="AF110" s="3116">
        <f t="shared" si="186"/>
        <v>545527</v>
      </c>
      <c r="AG110" s="3116">
        <f t="shared" si="186"/>
        <v>559336.37031000003</v>
      </c>
      <c r="AH110" s="3116">
        <f t="shared" si="186"/>
        <v>866620.73568964051</v>
      </c>
      <c r="AI110" s="3116">
        <f t="shared" si="186"/>
        <v>1104863.3703100001</v>
      </c>
      <c r="AJ110" s="3116">
        <f t="shared" si="186"/>
        <v>1971484.1059996404</v>
      </c>
      <c r="AL110" s="1258">
        <f ca="1">SUM((INDIRECT(AL$2&amp;(ROW())):INDIRECT(AL$3&amp;(ROW()))))</f>
        <v>204939</v>
      </c>
      <c r="AM110" s="3116">
        <f ca="1">SUM(INDIRECT(AM$1&amp;AM$2&amp;$C110):INDIRECT(AM$1&amp;AM$3&amp;$C110))</f>
        <v>149185.64348587091</v>
      </c>
      <c r="AN110" s="3117">
        <f t="shared" ca="1" si="169"/>
        <v>55753.356514129089</v>
      </c>
      <c r="AO110" s="3118">
        <f t="shared" ca="1" si="170"/>
        <v>1.3737179745409576</v>
      </c>
      <c r="AP110" s="3116">
        <f ca="1">SUM(INDIRECT(AP$1&amp;AP$2&amp;$A110):INDIRECT(AP$1&amp;AP$3&amp;$A110))+SUM(INDIRECT(AP$1&amp;AP$2&amp;$B110):INDIRECT(AP$1&amp;AP$3&amp;$B110))</f>
        <v>27619.163973104827</v>
      </c>
      <c r="AQ110" s="3117">
        <f t="shared" ca="1" si="171"/>
        <v>177319.83602689518</v>
      </c>
      <c r="AR110" s="3118">
        <f t="shared" ca="1" si="172"/>
        <v>7.4201739125618307</v>
      </c>
      <c r="AT110" s="1258">
        <f ca="1">SUM((INDIRECT(AT$2&amp;(ROW())):INDIRECT(AT$3&amp;(ROW()))))</f>
        <v>559336.37031000003</v>
      </c>
      <c r="AU110" s="3116">
        <f ca="1">SUM(INDIRECT(AU$1&amp;AU$2&amp;$C110):INDIRECT(AU$1&amp;AU$3&amp;$C110))</f>
        <v>429913.43141775869</v>
      </c>
      <c r="AV110" s="3117">
        <f t="shared" ca="1" si="173"/>
        <v>129422.93889224133</v>
      </c>
      <c r="AW110" s="3118">
        <f t="shared" ca="1" si="174"/>
        <v>1.3010441857223054</v>
      </c>
      <c r="AX110" s="3116">
        <f ca="1">SUM(INDIRECT(AX$1&amp;AX$2&amp;$A110):INDIRECT(AX$1&amp;AX$3&amp;$A110))+SUM(INDIRECT(AX$1&amp;AX$2&amp;$B110):INDIRECT(AX$1&amp;AX$3&amp;$B110))</f>
        <v>79801.46842094876</v>
      </c>
      <c r="AY110" s="3117">
        <f t="shared" ca="1" si="175"/>
        <v>479534.90188905125</v>
      </c>
      <c r="AZ110" s="3118">
        <f t="shared" ca="1" si="176"/>
        <v>7.0090987218371552</v>
      </c>
      <c r="BB110" s="1258">
        <f ca="1">SUM((INDIRECT(BB$2&amp;(ROW())):INDIRECT(BB$3&amp;(ROW()))))</f>
        <v>1971484.1059996407</v>
      </c>
      <c r="BC110" s="3116">
        <f ca="1">SUM(INDIRECT(BC$1&amp;BC$2&amp;$C110):INDIRECT(BC$1&amp;BC$3&amp;$C110))</f>
        <v>708633.37977883872</v>
      </c>
      <c r="BD110" s="3117">
        <f t="shared" ca="1" si="177"/>
        <v>1262850.7262208019</v>
      </c>
      <c r="BE110" s="3118">
        <f t="shared" ca="1" si="178"/>
        <v>2.7820931983403492</v>
      </c>
      <c r="BF110" s="3116">
        <f ca="1">SUM(INDIRECT(BF$1&amp;BF$2&amp;$A110):INDIRECT(BF$1&amp;BF$3&amp;$A110))+SUM(INDIRECT(BF$1&amp;BF$2&amp;$B110):INDIRECT(BF$1&amp;BF$3&amp;$B110))</f>
        <v>273996.27878718131</v>
      </c>
      <c r="BG110" s="3117">
        <f t="shared" ca="1" si="179"/>
        <v>1697487.8272124594</v>
      </c>
      <c r="BH110" s="3118">
        <f t="shared" ca="1" si="180"/>
        <v>7.1952951869500898</v>
      </c>
    </row>
    <row r="111" spans="1:60" ht="14.5">
      <c r="A111" s="616">
        <f t="shared" si="181"/>
        <v>85</v>
      </c>
      <c r="B111" s="616">
        <v>1</v>
      </c>
      <c r="C111" s="616">
        <f t="shared" si="109"/>
        <v>108</v>
      </c>
      <c r="E111" s="2547">
        <v>1</v>
      </c>
      <c r="F111" s="4"/>
      <c r="G111" s="4"/>
      <c r="H111" s="4"/>
      <c r="I111" s="27"/>
      <c r="J111" s="3"/>
      <c r="K111" s="4"/>
      <c r="L111" s="4"/>
      <c r="M111" s="212" t="s">
        <v>57</v>
      </c>
      <c r="N111" s="212"/>
      <c r="O111" s="213"/>
      <c r="P111" s="212"/>
      <c r="Q111" s="1791" t="str">
        <f>CHOOSE(2, "6722000003030", "PL (1)-1 Cost of Sales HW")</f>
        <v>PL (1)-1 Cost of Sales HW</v>
      </c>
      <c r="R111" s="1303">
        <f>SUM(R112:R113)</f>
        <v>48660</v>
      </c>
      <c r="S111" s="1238">
        <f t="shared" ref="S111:AC111" si="187">SUM(S112:S113)</f>
        <v>89316</v>
      </c>
      <c r="T111" s="1238">
        <f t="shared" si="187"/>
        <v>76223</v>
      </c>
      <c r="U111" s="1238">
        <f t="shared" si="187"/>
        <v>94449</v>
      </c>
      <c r="V111" s="1238">
        <f t="shared" si="187"/>
        <v>124743.89874018426</v>
      </c>
      <c r="W111" s="1238">
        <f t="shared" si="187"/>
        <v>137455</v>
      </c>
      <c r="X111" s="1238">
        <f t="shared" si="187"/>
        <v>93261</v>
      </c>
      <c r="Y111" s="1238">
        <f t="shared" si="187"/>
        <v>110667</v>
      </c>
      <c r="Z111" s="1238">
        <f t="shared" si="187"/>
        <v>179395</v>
      </c>
      <c r="AA111" s="1238">
        <f t="shared" si="187"/>
        <v>108170</v>
      </c>
      <c r="AB111" s="1238">
        <f t="shared" si="187"/>
        <v>143595.37031000003</v>
      </c>
      <c r="AC111" s="1238">
        <f t="shared" si="187"/>
        <v>158586</v>
      </c>
      <c r="AD111" s="1238">
        <f t="shared" ref="AD111:AD116" si="188">SUM(R111,S111,T111)</f>
        <v>214199</v>
      </c>
      <c r="AE111" s="1238">
        <f t="shared" ref="AE111:AE116" si="189">SUM(U111,V111,W111)</f>
        <v>356647.89874018426</v>
      </c>
      <c r="AF111" s="1238">
        <f t="shared" ref="AF111:AF116" si="190">SUM(X111,Y111,Z111)</f>
        <v>383323</v>
      </c>
      <c r="AG111" s="1238">
        <f t="shared" ref="AG111:AG116" si="191">SUM(AA111,AB111,AC111)</f>
        <v>410351.37031000003</v>
      </c>
      <c r="AH111" s="1238">
        <f t="shared" ref="AH111:AH122" si="192">AD111+AE111</f>
        <v>570846.89874018426</v>
      </c>
      <c r="AI111" s="1238">
        <f t="shared" ref="AI111:AI122" si="193">AG111+AF111</f>
        <v>793674.37031000003</v>
      </c>
      <c r="AJ111" s="1238">
        <f t="shared" ref="AJ111:AJ122" si="194">AH111+AI111</f>
        <v>1364521.2690501842</v>
      </c>
      <c r="AL111" s="1303">
        <f ca="1">SUM((INDIRECT(AL$2&amp;(ROW())):INDIRECT(AL$3&amp;(ROW()))))</f>
        <v>158586</v>
      </c>
      <c r="AM111" s="1238">
        <f ca="1">SUM(INDIRECT(AM$1&amp;AM$2&amp;$C111):INDIRECT(AM$1&amp;AM$3&amp;$C111))</f>
        <v>87518.923453124997</v>
      </c>
      <c r="AN111" s="3120">
        <f t="shared" ca="1" si="169"/>
        <v>71067.076546875003</v>
      </c>
      <c r="AO111" s="2770">
        <f t="shared" ca="1" si="170"/>
        <v>1.8120195466633959</v>
      </c>
      <c r="AP111" s="1238">
        <f ca="1">SUM(INDIRECT(AP$1&amp;AP$2&amp;$A111):INDIRECT(AP$1&amp;AP$3&amp;$A111))+SUM(INDIRECT(AP$1&amp;AP$2&amp;$B111):INDIRECT(AP$1&amp;AP$3&amp;$B111))</f>
        <v>9138.5812082261364</v>
      </c>
      <c r="AQ111" s="3120">
        <f t="shared" ca="1" si="171"/>
        <v>149447.41879177387</v>
      </c>
      <c r="AR111" s="2770">
        <f t="shared" ca="1" si="172"/>
        <v>17.353459622074386</v>
      </c>
      <c r="AT111" s="1303">
        <f ca="1">SUM((INDIRECT(AT$2&amp;(ROW())):INDIRECT(AT$3&amp;(ROW()))))</f>
        <v>410351.37031000003</v>
      </c>
      <c r="AU111" s="1238">
        <f ca="1">SUM(INDIRECT(AU$1&amp;AU$2&amp;$C111):INDIRECT(AU$1&amp;AU$3&amp;$C111))</f>
        <v>254690.94995312497</v>
      </c>
      <c r="AV111" s="3120">
        <f t="shared" ca="1" si="173"/>
        <v>155660.42035687505</v>
      </c>
      <c r="AW111" s="2770">
        <f t="shared" ca="1" si="174"/>
        <v>1.6111737397246499</v>
      </c>
      <c r="AX111" s="1238">
        <f ca="1">SUM(INDIRECT(AX$1&amp;AX$2&amp;$A111):INDIRECT(AX$1&amp;AX$3&amp;$A111))+SUM(INDIRECT(AX$1&amp;AX$2&amp;$B111):INDIRECT(AX$1&amp;AX$3&amp;$B111))</f>
        <v>45608.709300268092</v>
      </c>
      <c r="AY111" s="3120">
        <f t="shared" ca="1" si="175"/>
        <v>364742.66100973194</v>
      </c>
      <c r="AZ111" s="2770">
        <f t="shared" ca="1" si="176"/>
        <v>8.9972151504753928</v>
      </c>
      <c r="BB111" s="1303">
        <f ca="1">SUM((INDIRECT(BB$2&amp;(ROW())):INDIRECT(BB$3&amp;(ROW()))))</f>
        <v>1364521.2690501842</v>
      </c>
      <c r="BC111" s="1238">
        <f ca="1">SUM(INDIRECT(BC$1&amp;BC$2&amp;$C111):INDIRECT(BC$1&amp;BC$3&amp;$C111))</f>
        <v>432361.38665624999</v>
      </c>
      <c r="BD111" s="3120">
        <f t="shared" ca="1" si="177"/>
        <v>932159.88239393418</v>
      </c>
      <c r="BE111" s="2770">
        <f t="shared" ca="1" si="178"/>
        <v>3.1559739402331277</v>
      </c>
      <c r="BF111" s="1238">
        <f ca="1">SUM(INDIRECT(BF$1&amp;BF$2&amp;$A111):INDIRECT(BF$1&amp;BF$3&amp;$A111))+SUM(INDIRECT(BF$1&amp;BF$2&amp;$B111):INDIRECT(BF$1&amp;BF$3&amp;$B111))</f>
        <v>179883.3932471732</v>
      </c>
      <c r="BG111" s="3120">
        <f t="shared" ca="1" si="179"/>
        <v>1184637.875803011</v>
      </c>
      <c r="BH111" s="2770">
        <f t="shared" ca="1" si="180"/>
        <v>7.5855877767172766</v>
      </c>
    </row>
    <row r="112" spans="1:60" ht="14.5">
      <c r="A112" s="616">
        <f t="shared" si="181"/>
        <v>86</v>
      </c>
      <c r="B112" s="616">
        <v>1</v>
      </c>
      <c r="C112" s="616">
        <f t="shared" si="109"/>
        <v>109</v>
      </c>
      <c r="E112" s="2547">
        <v>1</v>
      </c>
      <c r="F112" s="4"/>
      <c r="G112" s="4"/>
      <c r="H112" s="4"/>
      <c r="I112" s="27"/>
      <c r="J112" s="3"/>
      <c r="K112" s="4"/>
      <c r="L112" s="4"/>
      <c r="M112" s="3"/>
      <c r="N112" s="3"/>
      <c r="O112" s="3" t="s">
        <v>1379</v>
      </c>
      <c r="P112" s="3"/>
      <c r="Q112" s="1789" t="str">
        <f>CHOOSE(2, "6722000003031", "PL (1)-1 Cost of Sales HW KMI")</f>
        <v>PL (1)-1 Cost of Sales HW KMI</v>
      </c>
      <c r="R112" s="1214">
        <f t="shared" ref="R112:AC112" si="195">R455+R471-R488-R512</f>
        <v>48660</v>
      </c>
      <c r="S112" s="1221">
        <f t="shared" si="195"/>
        <v>89316</v>
      </c>
      <c r="T112" s="1221">
        <f t="shared" si="195"/>
        <v>76223</v>
      </c>
      <c r="U112" s="1221">
        <f t="shared" si="195"/>
        <v>94449</v>
      </c>
      <c r="V112" s="1221">
        <f t="shared" si="195"/>
        <v>124743.89874018426</v>
      </c>
      <c r="W112" s="1221">
        <f t="shared" si="195"/>
        <v>137455</v>
      </c>
      <c r="X112" s="1221">
        <f t="shared" si="195"/>
        <v>93261</v>
      </c>
      <c r="Y112" s="1221">
        <f t="shared" si="195"/>
        <v>110667</v>
      </c>
      <c r="Z112" s="1221">
        <f t="shared" si="195"/>
        <v>179395</v>
      </c>
      <c r="AA112" s="1221">
        <f t="shared" si="195"/>
        <v>108170</v>
      </c>
      <c r="AB112" s="1221">
        <f t="shared" si="195"/>
        <v>143595.37031000003</v>
      </c>
      <c r="AC112" s="1221">
        <f t="shared" si="195"/>
        <v>158586</v>
      </c>
      <c r="AD112" s="1221">
        <f t="shared" si="188"/>
        <v>214199</v>
      </c>
      <c r="AE112" s="1221">
        <f t="shared" si="189"/>
        <v>356647.89874018426</v>
      </c>
      <c r="AF112" s="1221">
        <f t="shared" si="190"/>
        <v>383323</v>
      </c>
      <c r="AG112" s="1221">
        <f t="shared" si="191"/>
        <v>410351.37031000003</v>
      </c>
      <c r="AH112" s="1221">
        <f t="shared" si="192"/>
        <v>570846.89874018426</v>
      </c>
      <c r="AI112" s="1221">
        <f t="shared" si="193"/>
        <v>793674.37031000003</v>
      </c>
      <c r="AJ112" s="1221">
        <f t="shared" si="194"/>
        <v>1364521.2690501842</v>
      </c>
      <c r="AL112" s="1214">
        <f ca="1">SUM((INDIRECT(AL$2&amp;(ROW())):INDIRECT(AL$3&amp;(ROW()))))</f>
        <v>158586</v>
      </c>
      <c r="AM112" s="1221">
        <f ca="1">SUM(INDIRECT(AM$1&amp;AM$2&amp;$C112):INDIRECT(AM$1&amp;AM$3&amp;$C112))</f>
        <v>0</v>
      </c>
      <c r="AN112" s="3119">
        <f t="shared" ca="1" si="169"/>
        <v>158586</v>
      </c>
      <c r="AO112" s="2768">
        <f t="shared" ca="1" si="170"/>
        <v>0</v>
      </c>
      <c r="AP112" s="1221">
        <f ca="1">SUM(INDIRECT(AP$1&amp;AP$2&amp;$A112):INDIRECT(AP$1&amp;AP$3&amp;$A112))+SUM(INDIRECT(AP$1&amp;AP$2&amp;$B112):INDIRECT(AP$1&amp;AP$3&amp;$B112))</f>
        <v>3629.5266247859399</v>
      </c>
      <c r="AQ112" s="3119">
        <f t="shared" ca="1" si="171"/>
        <v>154956.47337521406</v>
      </c>
      <c r="AR112" s="2768">
        <f t="shared" ca="1" si="172"/>
        <v>43.693301191681712</v>
      </c>
      <c r="AT112" s="1214">
        <f ca="1">SUM((INDIRECT(AT$2&amp;(ROW())):INDIRECT(AT$3&amp;(ROW()))))</f>
        <v>410351.37031000003</v>
      </c>
      <c r="AU112" s="1221">
        <f ca="1">SUM(INDIRECT(AU$1&amp;AU$2&amp;$C112):INDIRECT(AU$1&amp;AU$3&amp;$C112))</f>
        <v>0</v>
      </c>
      <c r="AV112" s="3119">
        <f t="shared" ca="1" si="173"/>
        <v>410351.37031000003</v>
      </c>
      <c r="AW112" s="2768">
        <f t="shared" ca="1" si="174"/>
        <v>0</v>
      </c>
      <c r="AX112" s="1221">
        <f ca="1">SUM(INDIRECT(AX$1&amp;AX$2&amp;$A112):INDIRECT(AX$1&amp;AX$3&amp;$A112))+SUM(INDIRECT(AX$1&amp;AX$2&amp;$B112):INDIRECT(AX$1&amp;AX$3&amp;$B112))</f>
        <v>32330.321797754252</v>
      </c>
      <c r="AY112" s="3119">
        <f t="shared" ca="1" si="175"/>
        <v>378021.04851224576</v>
      </c>
      <c r="AZ112" s="2768">
        <f t="shared" ca="1" si="176"/>
        <v>12.692461673502553</v>
      </c>
      <c r="BB112" s="1214">
        <f ca="1">SUM((INDIRECT(BB$2&amp;(ROW())):INDIRECT(BB$3&amp;(ROW()))))</f>
        <v>1364521.2690501842</v>
      </c>
      <c r="BC112" s="1221">
        <f ca="1">SUM(INDIRECT(BC$1&amp;BC$2&amp;$C112):INDIRECT(BC$1&amp;BC$3&amp;$C112))</f>
        <v>0</v>
      </c>
      <c r="BD112" s="3119">
        <f t="shared" ca="1" si="177"/>
        <v>1364521.2690501842</v>
      </c>
      <c r="BE112" s="2768">
        <f t="shared" ca="1" si="178"/>
        <v>0</v>
      </c>
      <c r="BF112" s="1221">
        <f ca="1">SUM(INDIRECT(BF$1&amp;BF$2&amp;$A112):INDIRECT(BF$1&amp;BF$3&amp;$A112))+SUM(INDIRECT(BF$1&amp;BF$2&amp;$B112):INDIRECT(BF$1&amp;BF$3&amp;$B112))</f>
        <v>161654.89799207545</v>
      </c>
      <c r="BG112" s="3119">
        <f t="shared" ca="1" si="179"/>
        <v>1202866.3710581088</v>
      </c>
      <c r="BH112" s="2768">
        <f t="shared" ca="1" si="180"/>
        <v>8.4409522136290285</v>
      </c>
    </row>
    <row r="113" spans="1:60" ht="14.5">
      <c r="A113" s="616">
        <f t="shared" si="181"/>
        <v>87</v>
      </c>
      <c r="B113" s="616">
        <v>1</v>
      </c>
      <c r="C113" s="616">
        <f t="shared" si="109"/>
        <v>110</v>
      </c>
      <c r="E113" s="2547">
        <v>1</v>
      </c>
      <c r="F113" s="4"/>
      <c r="G113" s="4"/>
      <c r="H113" s="4"/>
      <c r="I113" s="27"/>
      <c r="J113" s="3"/>
      <c r="K113" s="4"/>
      <c r="L113" s="4"/>
      <c r="M113" s="3"/>
      <c r="N113" s="3"/>
      <c r="O113" s="3" t="s">
        <v>66</v>
      </c>
      <c r="P113" s="3"/>
      <c r="Q113" s="1789" t="str">
        <f>CHOOSE(2, "6722000003032", "PL (1)-1 Cost of Sales HW 3rd Party")</f>
        <v>PL (1)-1 Cost of Sales HW 3rd Party</v>
      </c>
      <c r="R113" s="1214">
        <f t="shared" ref="R113:AC113" si="196">R458+R474-R491-R515</f>
        <v>0</v>
      </c>
      <c r="S113" s="1221">
        <f t="shared" si="196"/>
        <v>0</v>
      </c>
      <c r="T113" s="1221">
        <f t="shared" si="196"/>
        <v>0</v>
      </c>
      <c r="U113" s="1221">
        <f t="shared" si="196"/>
        <v>0</v>
      </c>
      <c r="V113" s="1221">
        <f t="shared" si="196"/>
        <v>0</v>
      </c>
      <c r="W113" s="1221">
        <f t="shared" si="196"/>
        <v>0</v>
      </c>
      <c r="X113" s="1221">
        <f t="shared" si="196"/>
        <v>0</v>
      </c>
      <c r="Y113" s="1221">
        <f t="shared" si="196"/>
        <v>0</v>
      </c>
      <c r="Z113" s="1221">
        <f t="shared" si="196"/>
        <v>0</v>
      </c>
      <c r="AA113" s="1221">
        <f t="shared" si="196"/>
        <v>0</v>
      </c>
      <c r="AB113" s="1221">
        <f t="shared" si="196"/>
        <v>0</v>
      </c>
      <c r="AC113" s="1221">
        <f t="shared" si="196"/>
        <v>0</v>
      </c>
      <c r="AD113" s="1221">
        <f t="shared" si="188"/>
        <v>0</v>
      </c>
      <c r="AE113" s="1221">
        <f t="shared" si="189"/>
        <v>0</v>
      </c>
      <c r="AF113" s="1221">
        <f t="shared" si="190"/>
        <v>0</v>
      </c>
      <c r="AG113" s="1221">
        <f t="shared" si="191"/>
        <v>0</v>
      </c>
      <c r="AH113" s="1221">
        <f t="shared" si="192"/>
        <v>0</v>
      </c>
      <c r="AI113" s="1221">
        <f t="shared" si="193"/>
        <v>0</v>
      </c>
      <c r="AJ113" s="1221">
        <f t="shared" si="194"/>
        <v>0</v>
      </c>
      <c r="AL113" s="1214">
        <f ca="1">SUM((INDIRECT(AL$2&amp;(ROW())):INDIRECT(AL$3&amp;(ROW()))))</f>
        <v>0</v>
      </c>
      <c r="AM113" s="1221">
        <f ca="1">SUM(INDIRECT(AM$1&amp;AM$2&amp;$C113):INDIRECT(AM$1&amp;AM$3&amp;$C113))</f>
        <v>169728.38591769058</v>
      </c>
      <c r="AN113" s="3119">
        <f t="shared" ca="1" si="169"/>
        <v>-169728.38591769058</v>
      </c>
      <c r="AO113" s="2768">
        <f t="shared" ca="1" si="170"/>
        <v>0</v>
      </c>
      <c r="AP113" s="1221">
        <f ca="1">SUM(INDIRECT(AP$1&amp;AP$2&amp;$A113):INDIRECT(AP$1&amp;AP$3&amp;$A113))+SUM(INDIRECT(AP$1&amp;AP$2&amp;$B113):INDIRECT(AP$1&amp;AP$3&amp;$B113))</f>
        <v>392.05327055497321</v>
      </c>
      <c r="AQ113" s="3119">
        <f t="shared" ca="1" si="171"/>
        <v>-392.05327055497321</v>
      </c>
      <c r="AR113" s="2768">
        <f t="shared" ca="1" si="172"/>
        <v>0</v>
      </c>
      <c r="AT113" s="1214">
        <f ca="1">SUM((INDIRECT(AT$2&amp;(ROW())):INDIRECT(AT$3&amp;(ROW()))))</f>
        <v>0</v>
      </c>
      <c r="AU113" s="1221">
        <f ca="1">SUM(INDIRECT(AU$1&amp;AU$2&amp;$C113):INDIRECT(AU$1&amp;AU$3&amp;$C113))</f>
        <v>490362.26288577076</v>
      </c>
      <c r="AV113" s="3119">
        <f t="shared" ca="1" si="173"/>
        <v>-490362.26288577076</v>
      </c>
      <c r="AW113" s="2768">
        <f t="shared" ca="1" si="174"/>
        <v>0</v>
      </c>
      <c r="AX113" s="1221">
        <f ca="1">SUM(INDIRECT(AX$1&amp;AX$2&amp;$A113):INDIRECT(AX$1&amp;AX$3&amp;$A113))+SUM(INDIRECT(AX$1&amp;AX$2&amp;$B113):INDIRECT(AX$1&amp;AX$3&amp;$B113))</f>
        <v>30031.67314938219</v>
      </c>
      <c r="AY113" s="3119">
        <f t="shared" ca="1" si="175"/>
        <v>-30031.67314938219</v>
      </c>
      <c r="AZ113" s="2768">
        <f t="shared" ca="1" si="176"/>
        <v>0</v>
      </c>
      <c r="BB113" s="1214">
        <f ca="1">SUM((INDIRECT(BB$2&amp;(ROW())):INDIRECT(BB$3&amp;(ROW()))))</f>
        <v>0</v>
      </c>
      <c r="BC113" s="1221">
        <f ca="1">SUM(INDIRECT(BC$1&amp;BC$2&amp;$C113):INDIRECT(BC$1&amp;BC$3&amp;$C113))</f>
        <v>813971.69711029518</v>
      </c>
      <c r="BD113" s="3119">
        <f t="shared" ca="1" si="177"/>
        <v>-813971.69711029518</v>
      </c>
      <c r="BE113" s="2768">
        <f t="shared" ca="1" si="178"/>
        <v>0</v>
      </c>
      <c r="BF113" s="1221">
        <f ca="1">SUM(INDIRECT(BF$1&amp;BF$2&amp;$A113):INDIRECT(BF$1&amp;BF$3&amp;$A113))+SUM(INDIRECT(BF$1&amp;BF$2&amp;$B113):INDIRECT(BF$1&amp;BF$3&amp;$B113))</f>
        <v>33517.709476108961</v>
      </c>
      <c r="BG113" s="3119">
        <f t="shared" ca="1" si="179"/>
        <v>-33517.709476108961</v>
      </c>
      <c r="BH113" s="2768">
        <f t="shared" ca="1" si="180"/>
        <v>0</v>
      </c>
    </row>
    <row r="114" spans="1:60" ht="14.5">
      <c r="A114" s="616">
        <f t="shared" si="181"/>
        <v>88</v>
      </c>
      <c r="B114" s="616">
        <v>1</v>
      </c>
      <c r="C114" s="616">
        <f t="shared" si="109"/>
        <v>111</v>
      </c>
      <c r="E114" s="2547">
        <v>1</v>
      </c>
      <c r="F114" s="4"/>
      <c r="G114" s="4"/>
      <c r="H114" s="4"/>
      <c r="I114" s="27"/>
      <c r="J114" s="3"/>
      <c r="K114" s="4"/>
      <c r="L114" s="4"/>
      <c r="M114" s="212" t="s">
        <v>27</v>
      </c>
      <c r="N114" s="212"/>
      <c r="O114" s="213"/>
      <c r="P114" s="212"/>
      <c r="Q114" s="1791" t="str">
        <f>CHOOSE(2, "6722000003033", "PL (1)-1 Cost of Sales NH")</f>
        <v>PL (1)-1 Cost of Sales NH</v>
      </c>
      <c r="R114" s="1303">
        <f t="shared" ref="R114:AC114" si="197">R104-R129</f>
        <v>52089</v>
      </c>
      <c r="S114" s="1238">
        <f t="shared" si="197"/>
        <v>41838</v>
      </c>
      <c r="T114" s="1238">
        <f t="shared" si="197"/>
        <v>52762</v>
      </c>
      <c r="U114" s="1238">
        <f t="shared" si="197"/>
        <v>47794</v>
      </c>
      <c r="V114" s="1238">
        <f t="shared" si="197"/>
        <v>55344.836949456265</v>
      </c>
      <c r="W114" s="1238">
        <f t="shared" si="197"/>
        <v>45946</v>
      </c>
      <c r="X114" s="1238">
        <f t="shared" si="197"/>
        <v>53250</v>
      </c>
      <c r="Y114" s="1238">
        <f t="shared" si="197"/>
        <v>57378</v>
      </c>
      <c r="Z114" s="1238">
        <f t="shared" si="197"/>
        <v>51576</v>
      </c>
      <c r="AA114" s="1238">
        <f t="shared" si="197"/>
        <v>50988</v>
      </c>
      <c r="AB114" s="1238">
        <f t="shared" si="197"/>
        <v>51644</v>
      </c>
      <c r="AC114" s="1238">
        <f t="shared" si="197"/>
        <v>46353</v>
      </c>
      <c r="AD114" s="1238">
        <f t="shared" si="188"/>
        <v>146689</v>
      </c>
      <c r="AE114" s="1238">
        <f t="shared" si="189"/>
        <v>149084.83694945625</v>
      </c>
      <c r="AF114" s="1238">
        <f t="shared" si="190"/>
        <v>162204</v>
      </c>
      <c r="AG114" s="1238">
        <f t="shared" si="191"/>
        <v>148985</v>
      </c>
      <c r="AH114" s="1238">
        <f t="shared" si="192"/>
        <v>295773.83694945625</v>
      </c>
      <c r="AI114" s="1238">
        <f t="shared" si="193"/>
        <v>311189</v>
      </c>
      <c r="AJ114" s="1238">
        <f t="shared" si="194"/>
        <v>606962.83694945625</v>
      </c>
      <c r="AL114" s="1303">
        <f ca="1">SUM((INDIRECT(AL$2&amp;(ROW())):INDIRECT(AL$3&amp;(ROW()))))</f>
        <v>46353</v>
      </c>
      <c r="AM114" s="1238">
        <f ca="1">SUM(INDIRECT(AM$1&amp;AM$2&amp;$C114):INDIRECT(AM$1&amp;AM$3&amp;$C114))</f>
        <v>113080.97800713827</v>
      </c>
      <c r="AN114" s="3120">
        <f t="shared" ca="1" si="169"/>
        <v>-66727.97800713827</v>
      </c>
      <c r="AO114" s="2770">
        <f t="shared" ca="1" si="170"/>
        <v>0.4099097904607259</v>
      </c>
      <c r="AP114" s="1238">
        <f ca="1">SUM(INDIRECT(AP$1&amp;AP$2&amp;$A114):INDIRECT(AP$1&amp;AP$3&amp;$A114))+SUM(INDIRECT(AP$1&amp;AP$2&amp;$B114):INDIRECT(AP$1&amp;AP$3&amp;$B114))</f>
        <v>0</v>
      </c>
      <c r="AQ114" s="3120">
        <f t="shared" ca="1" si="171"/>
        <v>46353</v>
      </c>
      <c r="AR114" s="2770">
        <f t="shared" ca="1" si="172"/>
        <v>0</v>
      </c>
      <c r="AT114" s="1303">
        <f ca="1">SUM((INDIRECT(AT$2&amp;(ROW())):INDIRECT(AT$3&amp;(ROW()))))</f>
        <v>148985</v>
      </c>
      <c r="AU114" s="1238">
        <f ca="1">SUM(INDIRECT(AU$1&amp;AU$2&amp;$C114):INDIRECT(AU$1&amp;AU$3&amp;$C114))</f>
        <v>325233.8185845447</v>
      </c>
      <c r="AV114" s="3120">
        <f t="shared" ca="1" si="173"/>
        <v>-176248.8185845447</v>
      </c>
      <c r="AW114" s="2770">
        <f t="shared" ca="1" si="174"/>
        <v>0.45808581853018854</v>
      </c>
      <c r="AX114" s="1238">
        <f ca="1">SUM(INDIRECT(AX$1&amp;AX$2&amp;$A114):INDIRECT(AX$1&amp;AX$3&amp;$A114))+SUM(INDIRECT(AX$1&amp;AX$2&amp;$B114):INDIRECT(AX$1&amp;AX$3&amp;$B114))</f>
        <v>0</v>
      </c>
      <c r="AY114" s="3120">
        <f t="shared" ca="1" si="175"/>
        <v>148985</v>
      </c>
      <c r="AZ114" s="2770">
        <f t="shared" ca="1" si="176"/>
        <v>0</v>
      </c>
      <c r="BB114" s="1303">
        <f ca="1">SUM((INDIRECT(BB$2&amp;(ROW())):INDIRECT(BB$3&amp;(ROW()))))</f>
        <v>606962.83694945625</v>
      </c>
      <c r="BC114" s="1238">
        <f ca="1">SUM(INDIRECT(BC$1&amp;BC$2&amp;$C114):INDIRECT(BC$1&amp;BC$3&amp;$C114))</f>
        <v>533698.21161162714</v>
      </c>
      <c r="BD114" s="3120">
        <f t="shared" ca="1" si="177"/>
        <v>73264.625337829115</v>
      </c>
      <c r="BE114" s="2770">
        <f t="shared" ca="1" si="178"/>
        <v>1.1372772547177727</v>
      </c>
      <c r="BF114" s="1238">
        <f ca="1">SUM(INDIRECT(BF$1&amp;BF$2&amp;$A114):INDIRECT(BF$1&amp;BF$3&amp;$A114))+SUM(INDIRECT(BF$1&amp;BF$2&amp;$B114):INDIRECT(BF$1&amp;BF$3&amp;$B114))</f>
        <v>0</v>
      </c>
      <c r="BG114" s="3120">
        <f t="shared" ca="1" si="179"/>
        <v>606962.83694945625</v>
      </c>
      <c r="BH114" s="2770">
        <f t="shared" ca="1" si="180"/>
        <v>0</v>
      </c>
    </row>
    <row r="115" spans="1:60" ht="14.5">
      <c r="A115" s="616">
        <f t="shared" si="181"/>
        <v>89</v>
      </c>
      <c r="B115" s="616">
        <v>1</v>
      </c>
      <c r="C115" s="616">
        <f t="shared" si="109"/>
        <v>112</v>
      </c>
      <c r="E115" s="2547">
        <v>1</v>
      </c>
      <c r="F115" s="4"/>
      <c r="G115" s="4"/>
      <c r="H115" s="4"/>
      <c r="I115" s="27"/>
      <c r="J115" s="3"/>
      <c r="K115" s="4"/>
      <c r="L115" s="4"/>
      <c r="M115" s="3"/>
      <c r="N115" s="3"/>
      <c r="O115" s="294" t="s">
        <v>1380</v>
      </c>
      <c r="P115" s="723"/>
      <c r="Q115" s="1790" t="str">
        <f>CHOOSE(2, "6722000003034", "PL (1)-1 Cost of Sales NH MC(T, P, C)")</f>
        <v>PL (1)-1 Cost of Sales NH MC(T, P, C)</v>
      </c>
      <c r="R115" s="1386">
        <v>44542</v>
      </c>
      <c r="S115" s="1279">
        <v>34017</v>
      </c>
      <c r="T115" s="1279">
        <v>44829</v>
      </c>
      <c r="U115" s="1279">
        <v>40052</v>
      </c>
      <c r="V115" s="1279">
        <v>47838.249475932134</v>
      </c>
      <c r="W115" s="1279">
        <v>38405</v>
      </c>
      <c r="X115" s="1279">
        <v>41562</v>
      </c>
      <c r="Y115" s="1279">
        <v>50033</v>
      </c>
      <c r="Z115" s="1279">
        <v>43851</v>
      </c>
      <c r="AA115" s="1279">
        <v>43080</v>
      </c>
      <c r="AB115" s="1279">
        <v>43502</v>
      </c>
      <c r="AC115" s="1279">
        <v>37509</v>
      </c>
      <c r="AD115" s="472">
        <f t="shared" si="188"/>
        <v>123388</v>
      </c>
      <c r="AE115" s="472">
        <f t="shared" si="189"/>
        <v>126295.24947593213</v>
      </c>
      <c r="AF115" s="472">
        <f t="shared" si="190"/>
        <v>135446</v>
      </c>
      <c r="AG115" s="472">
        <f t="shared" si="191"/>
        <v>124091</v>
      </c>
      <c r="AH115" s="472">
        <f t="shared" si="192"/>
        <v>249683.24947593213</v>
      </c>
      <c r="AI115" s="472">
        <f t="shared" si="193"/>
        <v>259537</v>
      </c>
      <c r="AJ115" s="472">
        <f t="shared" si="194"/>
        <v>509220.2494759321</v>
      </c>
      <c r="AL115" s="3121">
        <f ca="1">SUM((INDIRECT(AL$2&amp;(ROW())):INDIRECT(AL$3&amp;(ROW()))))</f>
        <v>37509</v>
      </c>
      <c r="AM115" s="472">
        <f ca="1">SUM(INDIRECT(AM$1&amp;AM$2&amp;$C115):INDIRECT(AM$1&amp;AM$3&amp;$C115))</f>
        <v>113080.97800713827</v>
      </c>
      <c r="AN115" s="3122">
        <f t="shared" ca="1" si="169"/>
        <v>-75571.97800713827</v>
      </c>
      <c r="AO115" s="2773">
        <f t="shared" ca="1" si="170"/>
        <v>0.33170035014759275</v>
      </c>
      <c r="AP115" s="472">
        <f ca="1">SUM(INDIRECT(AP$1&amp;AP$2&amp;$A115):INDIRECT(AP$1&amp;AP$3&amp;$A115))+SUM(INDIRECT(AP$1&amp;AP$2&amp;$B115):INDIRECT(AP$1&amp;AP$3&amp;$B115))</f>
        <v>4021.579895340913</v>
      </c>
      <c r="AQ115" s="3122">
        <f t="shared" ca="1" si="171"/>
        <v>33487.42010465909</v>
      </c>
      <c r="AR115" s="2773">
        <f t="shared" ca="1" si="172"/>
        <v>9.3269314488703774</v>
      </c>
      <c r="AT115" s="3121">
        <f ca="1">SUM((INDIRECT(AT$2&amp;(ROW())):INDIRECT(AT$3&amp;(ROW()))))</f>
        <v>124091</v>
      </c>
      <c r="AU115" s="472">
        <f ca="1">SUM(INDIRECT(AU$1&amp;AU$2&amp;$C115):INDIRECT(AU$1&amp;AU$3&amp;$C115))</f>
        <v>325233.8185845447</v>
      </c>
      <c r="AV115" s="3122">
        <f t="shared" ca="1" si="173"/>
        <v>-201142.8185845447</v>
      </c>
      <c r="AW115" s="2773">
        <f t="shared" ca="1" si="174"/>
        <v>0.38154396286357434</v>
      </c>
      <c r="AX115" s="472">
        <f ca="1">SUM(INDIRECT(AX$1&amp;AX$2&amp;$A115):INDIRECT(AX$1&amp;AX$3&amp;$A115))+SUM(INDIRECT(AX$1&amp;AX$2&amp;$B115):INDIRECT(AX$1&amp;AX$3&amp;$B115))</f>
        <v>62361.994947136438</v>
      </c>
      <c r="AY115" s="3122">
        <f t="shared" ca="1" si="175"/>
        <v>61729.005052863562</v>
      </c>
      <c r="AZ115" s="2773">
        <f t="shared" ca="1" si="176"/>
        <v>1.9898497491170792</v>
      </c>
      <c r="BB115" s="3121">
        <f ca="1">SUM((INDIRECT(BB$2&amp;(ROW())):INDIRECT(BB$3&amp;(ROW()))))</f>
        <v>509220.2494759321</v>
      </c>
      <c r="BC115" s="472">
        <f ca="1">SUM(INDIRECT(BC$1&amp;BC$2&amp;$C115):INDIRECT(BC$1&amp;BC$3&amp;$C115))</f>
        <v>533698.21161162714</v>
      </c>
      <c r="BD115" s="3122">
        <f t="shared" ca="1" si="177"/>
        <v>-24477.962135695037</v>
      </c>
      <c r="BE115" s="2773">
        <f t="shared" ca="1" si="178"/>
        <v>0.95413519925094359</v>
      </c>
      <c r="BF115" s="472">
        <f ca="1">SUM(INDIRECT(BF$1&amp;BF$2&amp;$A115):INDIRECT(BF$1&amp;BF$3&amp;$A115))+SUM(INDIRECT(BF$1&amp;BF$2&amp;$B115):INDIRECT(BF$1&amp;BF$3&amp;$B115))</f>
        <v>195172.60746818437</v>
      </c>
      <c r="BG115" s="3122">
        <f t="shared" ca="1" si="179"/>
        <v>314047.64200774772</v>
      </c>
      <c r="BH115" s="2773">
        <f t="shared" ca="1" si="180"/>
        <v>2.6090764276894824</v>
      </c>
    </row>
    <row r="116" spans="1:60" ht="14.5">
      <c r="A116" s="616">
        <f t="shared" si="181"/>
        <v>90</v>
      </c>
      <c r="B116" s="616">
        <v>1</v>
      </c>
      <c r="C116" s="616">
        <f t="shared" si="109"/>
        <v>113</v>
      </c>
      <c r="E116" s="2547">
        <v>1</v>
      </c>
      <c r="F116" s="4"/>
      <c r="G116" s="4"/>
      <c r="H116" s="4"/>
      <c r="I116" s="27"/>
      <c r="J116" s="3"/>
      <c r="K116" s="4"/>
      <c r="L116" s="4"/>
      <c r="M116" s="3"/>
      <c r="N116" s="3"/>
      <c r="O116" s="3"/>
      <c r="P116" s="3" t="s">
        <v>1381</v>
      </c>
      <c r="Q116" s="1790" t="str">
        <f>CHOOSE(2, "6722000003035", "PL (1)-1 Cost of Sales NH MC(T, P, C) Direct")</f>
        <v>PL (1)-1 Cost of Sales NH MC(T, P, C) Direct</v>
      </c>
      <c r="R116" s="1215">
        <f>R462-R495</f>
        <v>4050</v>
      </c>
      <c r="S116" s="1215">
        <f>S462-S495</f>
        <v>6676</v>
      </c>
      <c r="T116" s="1215">
        <f t="shared" ref="T116:AC116" si="198">T462-T495</f>
        <v>5960</v>
      </c>
      <c r="U116" s="1215">
        <f t="shared" si="198"/>
        <v>5800</v>
      </c>
      <c r="V116" s="1215">
        <f t="shared" si="198"/>
        <v>8075.1177085886011</v>
      </c>
      <c r="W116" s="1215">
        <f t="shared" si="198"/>
        <v>6168</v>
      </c>
      <c r="X116" s="1215">
        <f t="shared" si="198"/>
        <v>5662</v>
      </c>
      <c r="Y116" s="1215">
        <f t="shared" si="198"/>
        <v>6474</v>
      </c>
      <c r="Z116" s="1215">
        <f t="shared" si="198"/>
        <v>6956</v>
      </c>
      <c r="AA116" s="1215">
        <f t="shared" si="198"/>
        <v>6114</v>
      </c>
      <c r="AB116" s="1215">
        <f t="shared" si="198"/>
        <v>7693</v>
      </c>
      <c r="AC116" s="1215">
        <f t="shared" si="198"/>
        <v>2345</v>
      </c>
      <c r="AD116" s="1221">
        <f t="shared" si="188"/>
        <v>16686</v>
      </c>
      <c r="AE116" s="1221">
        <f t="shared" si="189"/>
        <v>20043.117708588601</v>
      </c>
      <c r="AF116" s="1221">
        <f t="shared" si="190"/>
        <v>19092</v>
      </c>
      <c r="AG116" s="1221">
        <f t="shared" si="191"/>
        <v>16152</v>
      </c>
      <c r="AH116" s="1221">
        <f t="shared" si="192"/>
        <v>36729.117708588601</v>
      </c>
      <c r="AI116" s="1221">
        <f t="shared" si="193"/>
        <v>35244</v>
      </c>
      <c r="AJ116" s="1221">
        <f t="shared" si="194"/>
        <v>71973.117708588601</v>
      </c>
      <c r="AL116" s="1214">
        <f ca="1">SUM((INDIRECT(AL$2&amp;(ROW())):INDIRECT(AL$3&amp;(ROW()))))</f>
        <v>2345</v>
      </c>
      <c r="AM116" s="1221">
        <f ca="1">SUM(INDIRECT(AM$1&amp;AM$2&amp;$C116):INDIRECT(AM$1&amp;AM$3&amp;$C116))</f>
        <v>0</v>
      </c>
      <c r="AN116" s="3119">
        <f t="shared" ca="1" si="169"/>
        <v>2345</v>
      </c>
      <c r="AO116" s="2768">
        <f t="shared" ca="1" si="170"/>
        <v>0</v>
      </c>
      <c r="AP116" s="1221">
        <f ca="1">SUM(INDIRECT(AP$1&amp;AP$2&amp;$A116):INDIRECT(AP$1&amp;AP$3&amp;$A116))+SUM(INDIRECT(AP$1&amp;AP$2&amp;$B116):INDIRECT(AP$1&amp;AP$3&amp;$B116))</f>
        <v>0.30791457759737079</v>
      </c>
      <c r="AQ116" s="3119">
        <f t="shared" ca="1" si="171"/>
        <v>2344.6920854224027</v>
      </c>
      <c r="AR116" s="2768">
        <f t="shared" ca="1" si="172"/>
        <v>7615.7485569466053</v>
      </c>
      <c r="AT116" s="1214">
        <f ca="1">SUM((INDIRECT(AT$2&amp;(ROW())):INDIRECT(AT$3&amp;(ROW()))))</f>
        <v>16152</v>
      </c>
      <c r="AU116" s="1221">
        <f ca="1">SUM(INDIRECT(AU$1&amp;AU$2&amp;$C116):INDIRECT(AU$1&amp;AU$3&amp;$C116))</f>
        <v>0</v>
      </c>
      <c r="AV116" s="3119">
        <f t="shared" ca="1" si="173"/>
        <v>16152</v>
      </c>
      <c r="AW116" s="2768">
        <f t="shared" ca="1" si="174"/>
        <v>0</v>
      </c>
      <c r="AX116" s="1221">
        <f ca="1">SUM(INDIRECT(AX$1&amp;AX$2&amp;$A116):INDIRECT(AX$1&amp;AX$3&amp;$A116))+SUM(INDIRECT(AX$1&amp;AX$2&amp;$B116):INDIRECT(AX$1&amp;AX$3&amp;$B116))</f>
        <v>0.99399729450601604</v>
      </c>
      <c r="AY116" s="3119">
        <f t="shared" ca="1" si="175"/>
        <v>16151.006002705493</v>
      </c>
      <c r="AZ116" s="2768">
        <f t="shared" ca="1" si="176"/>
        <v>16249.541210297773</v>
      </c>
      <c r="BB116" s="1214">
        <f ca="1">SUM((INDIRECT(BB$2&amp;(ROW())):INDIRECT(BB$3&amp;(ROW()))))</f>
        <v>71973.117708588601</v>
      </c>
      <c r="BC116" s="1221">
        <f ca="1">SUM(INDIRECT(BC$1&amp;BC$2&amp;$C116):INDIRECT(BC$1&amp;BC$3&amp;$C116))</f>
        <v>0</v>
      </c>
      <c r="BD116" s="3119">
        <f t="shared" ca="1" si="177"/>
        <v>71973.117708588601</v>
      </c>
      <c r="BE116" s="2768">
        <f t="shared" ca="1" si="178"/>
        <v>0</v>
      </c>
      <c r="BF116" s="1221">
        <f ca="1">SUM(INDIRECT(BF$1&amp;BF$2&amp;$A116):INDIRECT(BF$1&amp;BF$3&amp;$A116))+SUM(INDIRECT(BF$1&amp;BF$2&amp;$B116):INDIRECT(BF$1&amp;BF$3&amp;$B116))</f>
        <v>3.4574490249703889</v>
      </c>
      <c r="BG116" s="3119">
        <f t="shared" ca="1" si="179"/>
        <v>71969.660259563636</v>
      </c>
      <c r="BH116" s="2768">
        <f t="shared" ca="1" si="180"/>
        <v>20816.826853782757</v>
      </c>
    </row>
    <row r="117" spans="1:60" ht="14.5">
      <c r="A117" s="616">
        <f t="shared" si="181"/>
        <v>91</v>
      </c>
      <c r="B117" s="616">
        <v>1</v>
      </c>
      <c r="C117" s="616">
        <f t="shared" si="109"/>
        <v>114</v>
      </c>
      <c r="E117" s="2547">
        <v>1</v>
      </c>
      <c r="F117" s="4"/>
      <c r="G117" s="4"/>
      <c r="H117" s="4"/>
      <c r="I117" s="27"/>
      <c r="J117" s="3"/>
      <c r="K117" s="4"/>
      <c r="L117" s="4"/>
      <c r="M117" s="3"/>
      <c r="N117" s="3"/>
      <c r="O117" s="3"/>
      <c r="P117" s="47" t="s">
        <v>1382</v>
      </c>
      <c r="Q117" s="1789" t="str">
        <f>CHOOSE(2, "6722000003036", "PL (1)-1 Cost of Sales NH MC(T, P, C) Indirect")</f>
        <v>PL (1)-1 Cost of Sales NH MC(T, P, C) Indirect</v>
      </c>
      <c r="R117" s="1257">
        <f>R115-R116</f>
        <v>40492</v>
      </c>
      <c r="S117" s="1230">
        <f t="shared" ref="S117:AJ117" si="199">S115-S116</f>
        <v>27341</v>
      </c>
      <c r="T117" s="1230">
        <f t="shared" si="199"/>
        <v>38869</v>
      </c>
      <c r="U117" s="1230">
        <f t="shared" si="199"/>
        <v>34252</v>
      </c>
      <c r="V117" s="1230">
        <f t="shared" si="199"/>
        <v>39763.131767343533</v>
      </c>
      <c r="W117" s="1230">
        <f t="shared" si="199"/>
        <v>32237</v>
      </c>
      <c r="X117" s="1230">
        <f t="shared" si="199"/>
        <v>35900</v>
      </c>
      <c r="Y117" s="1230">
        <f t="shared" si="199"/>
        <v>43559</v>
      </c>
      <c r="Z117" s="1230">
        <f t="shared" si="199"/>
        <v>36895</v>
      </c>
      <c r="AA117" s="1230">
        <f t="shared" si="199"/>
        <v>36966</v>
      </c>
      <c r="AB117" s="1230">
        <f t="shared" si="199"/>
        <v>35809</v>
      </c>
      <c r="AC117" s="1230">
        <f t="shared" si="199"/>
        <v>35164</v>
      </c>
      <c r="AD117" s="1230">
        <f t="shared" si="199"/>
        <v>106702</v>
      </c>
      <c r="AE117" s="1230">
        <f t="shared" si="199"/>
        <v>106252.13176734353</v>
      </c>
      <c r="AF117" s="1230">
        <f t="shared" si="199"/>
        <v>116354</v>
      </c>
      <c r="AG117" s="1230">
        <f t="shared" si="199"/>
        <v>107939</v>
      </c>
      <c r="AH117" s="1230">
        <f t="shared" si="199"/>
        <v>212954.13176734353</v>
      </c>
      <c r="AI117" s="1230">
        <f t="shared" si="199"/>
        <v>224293</v>
      </c>
      <c r="AJ117" s="1230">
        <f t="shared" si="199"/>
        <v>437247.1317673435</v>
      </c>
      <c r="AL117" s="1257">
        <f ca="1">SUM((INDIRECT(AL$2&amp;(ROW())):INDIRECT(AL$3&amp;(ROW()))))</f>
        <v>35164</v>
      </c>
      <c r="AM117" s="1230">
        <f ca="1">SUM(INDIRECT(AM$1&amp;AM$2&amp;$C117):INDIRECT(AM$1&amp;AM$3&amp;$C117))</f>
        <v>56647.407910552327</v>
      </c>
      <c r="AN117" s="3123">
        <f t="shared" ca="1" si="169"/>
        <v>-21483.407910552327</v>
      </c>
      <c r="AO117" s="2775">
        <f t="shared" ca="1" si="170"/>
        <v>0.62075214554432634</v>
      </c>
      <c r="AP117" s="1230">
        <f ca="1">SUM(INDIRECT(AP$1&amp;AP$2&amp;$A117):INDIRECT(AP$1&amp;AP$3&amp;$A117))+SUM(INDIRECT(AP$1&amp;AP$2&amp;$B117):INDIRECT(AP$1&amp;AP$3&amp;$B117))</f>
        <v>46450.394075289638</v>
      </c>
      <c r="AQ117" s="3123">
        <f t="shared" ca="1" si="171"/>
        <v>-11286.394075289638</v>
      </c>
      <c r="AR117" s="2775">
        <f t="shared" ca="1" si="172"/>
        <v>0.75702264103516625</v>
      </c>
      <c r="AT117" s="1257">
        <f ca="1">SUM((INDIRECT(AT$2&amp;(ROW())):INDIRECT(AT$3&amp;(ROW()))))</f>
        <v>107939</v>
      </c>
      <c r="AU117" s="1230">
        <f ca="1">SUM(INDIRECT(AU$1&amp;AU$2&amp;$C117):INDIRECT(AU$1&amp;AU$3&amp;$C117))</f>
        <v>165128.44430122612</v>
      </c>
      <c r="AV117" s="3123">
        <f t="shared" ca="1" si="173"/>
        <v>-57189.444301226118</v>
      </c>
      <c r="AW117" s="2775">
        <f t="shared" ca="1" si="174"/>
        <v>0.65366691036644453</v>
      </c>
      <c r="AX117" s="1230">
        <f ca="1">SUM(INDIRECT(AX$1&amp;AX$2&amp;$A117):INDIRECT(AX$1&amp;AX$3&amp;$A117))+SUM(INDIRECT(AX$1&amp;AX$2&amp;$B117):INDIRECT(AX$1&amp;AX$3&amp;$B117))</f>
        <v>111034.47771336057</v>
      </c>
      <c r="AY117" s="3123">
        <f t="shared" ca="1" si="175"/>
        <v>-3095.4777133605676</v>
      </c>
      <c r="AZ117" s="2775">
        <f t="shared" ca="1" si="176"/>
        <v>0.97212147274334326</v>
      </c>
      <c r="BB117" s="1257">
        <f ca="1">SUM((INDIRECT(BB$2&amp;(ROW())):INDIRECT(BB$3&amp;(ROW()))))</f>
        <v>437247.1317673435</v>
      </c>
      <c r="BC117" s="1230">
        <f ca="1">SUM(INDIRECT(BC$1&amp;BC$2&amp;$C117):INDIRECT(BC$1&amp;BC$3&amp;$C117))</f>
        <v>280273.48549866816</v>
      </c>
      <c r="BD117" s="3123">
        <f t="shared" ca="1" si="177"/>
        <v>156973.64626867534</v>
      </c>
      <c r="BE117" s="2775">
        <f t="shared" ca="1" si="178"/>
        <v>1.5600731228263875</v>
      </c>
      <c r="BF117" s="1230">
        <f ca="1">SUM(INDIRECT(BF$1&amp;BF$2&amp;$A117):INDIRECT(BF$1&amp;BF$3&amp;$A117))+SUM(INDIRECT(BF$1&amp;BF$2&amp;$B117):INDIRECT(BF$1&amp;BF$3&amp;$B117))</f>
        <v>314554.48392317048</v>
      </c>
      <c r="BG117" s="3123">
        <f t="shared" ca="1" si="179"/>
        <v>122692.64784417301</v>
      </c>
      <c r="BH117" s="2775">
        <f t="shared" ca="1" si="180"/>
        <v>1.3900521344154182</v>
      </c>
    </row>
    <row r="118" spans="1:60" ht="14.5">
      <c r="A118" s="616">
        <f t="shared" si="181"/>
        <v>92</v>
      </c>
      <c r="B118" s="616">
        <v>1</v>
      </c>
      <c r="C118" s="616">
        <f t="shared" si="109"/>
        <v>115</v>
      </c>
      <c r="E118" s="2547">
        <v>1</v>
      </c>
      <c r="F118" s="4"/>
      <c r="G118" s="4"/>
      <c r="H118" s="4"/>
      <c r="I118" s="27"/>
      <c r="J118" s="3"/>
      <c r="K118" s="4"/>
      <c r="L118" s="4"/>
      <c r="M118" s="3"/>
      <c r="N118" s="3"/>
      <c r="O118" s="3" t="s">
        <v>1383</v>
      </c>
      <c r="P118" s="3"/>
      <c r="Q118" s="1789" t="str">
        <f>CHOOSE(2, "6722000003037", "PL (1)-1 Cost of Sales NH Field Service Cost")</f>
        <v>PL (1)-1 Cost of Sales NH Field Service Cost</v>
      </c>
      <c r="R118" s="1214">
        <f t="shared" ref="R118:AC118" si="200">(R501+R525)*-1</f>
        <v>7512</v>
      </c>
      <c r="S118" s="1221">
        <f t="shared" si="200"/>
        <v>7786</v>
      </c>
      <c r="T118" s="1221">
        <f t="shared" si="200"/>
        <v>7914</v>
      </c>
      <c r="U118" s="1221">
        <f t="shared" si="200"/>
        <v>7712</v>
      </c>
      <c r="V118" s="1221">
        <f t="shared" si="200"/>
        <v>7474.6154735241298</v>
      </c>
      <c r="W118" s="1221">
        <f t="shared" si="200"/>
        <v>7509</v>
      </c>
      <c r="X118" s="1221">
        <f t="shared" si="200"/>
        <v>11656</v>
      </c>
      <c r="Y118" s="1221">
        <f t="shared" si="200"/>
        <v>7319</v>
      </c>
      <c r="Z118" s="1221">
        <f t="shared" si="200"/>
        <v>7693</v>
      </c>
      <c r="AA118" s="1221">
        <f t="shared" si="200"/>
        <v>7876</v>
      </c>
      <c r="AB118" s="1221">
        <f t="shared" si="200"/>
        <v>8110</v>
      </c>
      <c r="AC118" s="1221">
        <f t="shared" si="200"/>
        <v>8798</v>
      </c>
      <c r="AD118" s="1221">
        <f t="shared" ref="AD118:AD123" si="201">SUM(R118,S118,T118)</f>
        <v>23212</v>
      </c>
      <c r="AE118" s="1221">
        <f t="shared" ref="AE118:AE123" si="202">SUM(U118,V118,W118)</f>
        <v>22695.615473524129</v>
      </c>
      <c r="AF118" s="1221">
        <f t="shared" ref="AF118:AF123" si="203">SUM(X118,Y118,Z118)</f>
        <v>26668</v>
      </c>
      <c r="AG118" s="1221">
        <f t="shared" ref="AG118:AG123" si="204">SUM(AA118,AB118,AC118)</f>
        <v>24784</v>
      </c>
      <c r="AH118" s="1221">
        <f t="shared" si="192"/>
        <v>45907.615473524129</v>
      </c>
      <c r="AI118" s="1221">
        <f t="shared" si="193"/>
        <v>51452</v>
      </c>
      <c r="AJ118" s="1221">
        <f t="shared" si="194"/>
        <v>97359.615473524129</v>
      </c>
      <c r="AL118" s="1214">
        <f ca="1">SUM((INDIRECT(AL$2&amp;(ROW())):INDIRECT(AL$3&amp;(ROW()))))</f>
        <v>8798</v>
      </c>
      <c r="AM118" s="1221">
        <f ca="1">SUM(INDIRECT(AM$1&amp;AM$2&amp;$C118):INDIRECT(AM$1&amp;AM$3&amp;$C118))</f>
        <v>47818.441243885653</v>
      </c>
      <c r="AN118" s="3119">
        <f t="shared" ca="1" si="169"/>
        <v>-39020.441243885653</v>
      </c>
      <c r="AO118" s="2768">
        <f t="shared" ca="1" si="170"/>
        <v>0.1839875949767594</v>
      </c>
      <c r="AP118" s="1221">
        <f ca="1">SUM(INDIRECT(AP$1&amp;AP$2&amp;$A118):INDIRECT(AP$1&amp;AP$3&amp;$A118))+SUM(INDIRECT(AP$1&amp;AP$2&amp;$B118):INDIRECT(AP$1&amp;AP$3&amp;$B118))</f>
        <v>20351.158846242855</v>
      </c>
      <c r="AQ118" s="3119">
        <f t="shared" ca="1" si="171"/>
        <v>-11553.158846242855</v>
      </c>
      <c r="AR118" s="2768">
        <f t="shared" ca="1" si="172"/>
        <v>0.43230953413860507</v>
      </c>
      <c r="AT118" s="1214">
        <f ca="1">SUM((INDIRECT(AT$2&amp;(ROW())):INDIRECT(AT$3&amp;(ROW()))))</f>
        <v>24784</v>
      </c>
      <c r="AU118" s="1221">
        <f ca="1">SUM(INDIRECT(AU$1&amp;AU$2&amp;$C118):INDIRECT(AU$1&amp;AU$3&amp;$C118))</f>
        <v>138480.51096789277</v>
      </c>
      <c r="AV118" s="3119">
        <f t="shared" ca="1" si="173"/>
        <v>-113696.51096789277</v>
      </c>
      <c r="AW118" s="2768">
        <f t="shared" ca="1" si="174"/>
        <v>0.17897103229021349</v>
      </c>
      <c r="AX118" s="1221">
        <f ca="1">SUM(INDIRECT(AX$1&amp;AX$2&amp;$A118):INDIRECT(AX$1&amp;AX$3&amp;$A118))+SUM(INDIRECT(AX$1&amp;AX$2&amp;$B118):INDIRECT(AX$1&amp;AX$3&amp;$B118))</f>
        <v>42982.848981187504</v>
      </c>
      <c r="AY118" s="3119">
        <f t="shared" ca="1" si="175"/>
        <v>-18198.848981187504</v>
      </c>
      <c r="AZ118" s="2768">
        <f t="shared" ca="1" si="176"/>
        <v>0.57660207704815758</v>
      </c>
      <c r="BB118" s="1214">
        <f ca="1">SUM((INDIRECT(BB$2&amp;(ROW())):INDIRECT(BB$3&amp;(ROW()))))</f>
        <v>97359.615473524129</v>
      </c>
      <c r="BC118" s="1221">
        <f ca="1">SUM(INDIRECT(BC$1&amp;BC$2&amp;$C118):INDIRECT(BC$1&amp;BC$3&amp;$C118))</f>
        <v>236049.14786268398</v>
      </c>
      <c r="BD118" s="3119">
        <f t="shared" ca="1" si="177"/>
        <v>-138689.53238915984</v>
      </c>
      <c r="BE118" s="2768">
        <f t="shared" ca="1" si="178"/>
        <v>0.41245484830201878</v>
      </c>
      <c r="BF118" s="1221">
        <f ca="1">SUM(INDIRECT(BF$1&amp;BF$2&amp;$A118):INDIRECT(BF$1&amp;BF$3&amp;$A118))+SUM(INDIRECT(BF$1&amp;BF$2&amp;$B118):INDIRECT(BF$1&amp;BF$3&amp;$B118))</f>
        <v>85451.577429159224</v>
      </c>
      <c r="BG118" s="3119">
        <f t="shared" ca="1" si="179"/>
        <v>11908.038044364905</v>
      </c>
      <c r="BH118" s="2768">
        <f t="shared" ca="1" si="180"/>
        <v>1.1393542214505854</v>
      </c>
    </row>
    <row r="119" spans="1:60" ht="14.5">
      <c r="A119" s="616">
        <f t="shared" si="181"/>
        <v>93</v>
      </c>
      <c r="B119" s="616">
        <v>1</v>
      </c>
      <c r="C119" s="616">
        <f t="shared" si="109"/>
        <v>116</v>
      </c>
      <c r="E119" s="2547">
        <v>1</v>
      </c>
      <c r="F119" s="4"/>
      <c r="G119" s="4"/>
      <c r="H119" s="4"/>
      <c r="I119" s="27"/>
      <c r="J119" s="3"/>
      <c r="K119" s="4"/>
      <c r="L119" s="4"/>
      <c r="M119" s="3"/>
      <c r="N119" s="3"/>
      <c r="O119" s="3" t="s">
        <v>1384</v>
      </c>
      <c r="P119" s="3"/>
      <c r="Q119" s="1789" t="str">
        <f>CHOOSE(2, "6722000003038", "PL (1)-1 Cost of Sales NH Service Desk Cost")</f>
        <v>PL (1)-1 Cost of Sales NH Service Desk Cost</v>
      </c>
      <c r="R119" s="1214">
        <f t="shared" ref="R119:AC119" si="205">(R505+R529)*-1</f>
        <v>35</v>
      </c>
      <c r="S119" s="1221">
        <f t="shared" si="205"/>
        <v>35</v>
      </c>
      <c r="T119" s="1221">
        <f t="shared" si="205"/>
        <v>19</v>
      </c>
      <c r="U119" s="1221">
        <f t="shared" si="205"/>
        <v>30</v>
      </c>
      <c r="V119" s="1221">
        <f t="shared" si="205"/>
        <v>31.972000000000001</v>
      </c>
      <c r="W119" s="1221">
        <f t="shared" si="205"/>
        <v>32</v>
      </c>
      <c r="X119" s="1221">
        <f t="shared" si="205"/>
        <v>32</v>
      </c>
      <c r="Y119" s="1221">
        <f t="shared" si="205"/>
        <v>26</v>
      </c>
      <c r="Z119" s="1221">
        <f t="shared" si="205"/>
        <v>32</v>
      </c>
      <c r="AA119" s="1221">
        <f t="shared" si="205"/>
        <v>32</v>
      </c>
      <c r="AB119" s="1221">
        <f t="shared" si="205"/>
        <v>32</v>
      </c>
      <c r="AC119" s="1221">
        <f t="shared" si="205"/>
        <v>42</v>
      </c>
      <c r="AD119" s="1221">
        <f t="shared" si="201"/>
        <v>89</v>
      </c>
      <c r="AE119" s="1221">
        <f t="shared" si="202"/>
        <v>93.972000000000008</v>
      </c>
      <c r="AF119" s="1221">
        <f t="shared" si="203"/>
        <v>90</v>
      </c>
      <c r="AG119" s="1221">
        <f t="shared" si="204"/>
        <v>106</v>
      </c>
      <c r="AH119" s="1221">
        <f t="shared" si="192"/>
        <v>182.97200000000001</v>
      </c>
      <c r="AI119" s="1221">
        <f t="shared" si="193"/>
        <v>196</v>
      </c>
      <c r="AJ119" s="1221">
        <f t="shared" si="194"/>
        <v>378.97199999999998</v>
      </c>
      <c r="AL119" s="1214">
        <f ca="1">SUM((INDIRECT(AL$2&amp;(ROW())):INDIRECT(AL$3&amp;(ROW()))))</f>
        <v>42</v>
      </c>
      <c r="AM119" s="1221">
        <f ca="1">SUM(INDIRECT(AM$1&amp;AM$2&amp;$C119):INDIRECT(AM$1&amp;AM$3&amp;$C119))</f>
        <v>6942.1915611825298</v>
      </c>
      <c r="AN119" s="3119">
        <f t="shared" ca="1" si="169"/>
        <v>-6900.1915611825298</v>
      </c>
      <c r="AO119" s="2768">
        <f t="shared" ca="1" si="170"/>
        <v>6.0499626997970275E-3</v>
      </c>
      <c r="AP119" s="1221">
        <f ca="1">SUM(INDIRECT(AP$1&amp;AP$2&amp;$A119):INDIRECT(AP$1&amp;AP$3&amp;$A119))+SUM(INDIRECT(AP$1&amp;AP$2&amp;$B119):INDIRECT(AP$1&amp;AP$3&amp;$B119))</f>
        <v>20121.991006939592</v>
      </c>
      <c r="AQ119" s="3119">
        <f t="shared" ca="1" si="171"/>
        <v>-20079.991006939592</v>
      </c>
      <c r="AR119" s="2768">
        <f t="shared" ca="1" si="172"/>
        <v>2.0872686000861051E-3</v>
      </c>
      <c r="AT119" s="1214">
        <f ca="1">SUM((INDIRECT(AT$2&amp;(ROW())):INDIRECT(AT$3&amp;(ROW()))))</f>
        <v>106</v>
      </c>
      <c r="AU119" s="1221">
        <f ca="1">SUM(INDIRECT(AU$1&amp;AU$2&amp;$C119):INDIRECT(AU$1&amp;AU$3&amp;$C119))</f>
        <v>20660.732470689669</v>
      </c>
      <c r="AV119" s="3119">
        <f t="shared" ca="1" si="173"/>
        <v>-20554.732470689669</v>
      </c>
      <c r="AW119" s="2768">
        <f t="shared" ca="1" si="174"/>
        <v>5.1305054237731802E-3</v>
      </c>
      <c r="AX119" s="1221">
        <f ca="1">SUM(INDIRECT(AX$1&amp;AX$2&amp;$A119):INDIRECT(AX$1&amp;AX$3&amp;$A119))+SUM(INDIRECT(AX$1&amp;AX$2&amp;$B119):INDIRECT(AX$1&amp;AX$3&amp;$B119))</f>
        <v>52321.04552128799</v>
      </c>
      <c r="AY119" s="3119">
        <f t="shared" ca="1" si="175"/>
        <v>-52215.04552128799</v>
      </c>
      <c r="AZ119" s="2768">
        <f t="shared" ca="1" si="176"/>
        <v>2.0259533987498687E-3</v>
      </c>
      <c r="BB119" s="1214">
        <f ca="1">SUM((INDIRECT(BB$2&amp;(ROW())):INDIRECT(BB$3&amp;(ROW()))))</f>
        <v>378.97199999999998</v>
      </c>
      <c r="BC119" s="1221">
        <f ca="1">SUM(INDIRECT(BC$1&amp;BC$2&amp;$C119):INDIRECT(BC$1&amp;BC$3&amp;$C119))</f>
        <v>38881.355275527734</v>
      </c>
      <c r="BD119" s="3119">
        <f t="shared" ca="1" si="177"/>
        <v>-38502.383275527733</v>
      </c>
      <c r="BE119" s="2768">
        <f t="shared" ca="1" si="178"/>
        <v>9.7468824662737073E-3</v>
      </c>
      <c r="BF119" s="1221">
        <f ca="1">SUM(INDIRECT(BF$1&amp;BF$2&amp;$A119):INDIRECT(BF$1&amp;BF$3&amp;$A119))+SUM(INDIRECT(BF$1&amp;BF$2&amp;$B119):INDIRECT(BF$1&amp;BF$3&amp;$B119))</f>
        <v>169054.4325010661</v>
      </c>
      <c r="BG119" s="3119">
        <f t="shared" ca="1" si="179"/>
        <v>-168675.46050106609</v>
      </c>
      <c r="BH119" s="2768">
        <f t="shared" ca="1" si="180"/>
        <v>2.2417158449696971E-3</v>
      </c>
    </row>
    <row r="120" spans="1:60" ht="14.5">
      <c r="A120" s="616">
        <f t="shared" si="181"/>
        <v>94</v>
      </c>
      <c r="B120" s="616">
        <v>1</v>
      </c>
      <c r="C120" s="616">
        <f t="shared" si="109"/>
        <v>117</v>
      </c>
      <c r="E120" s="2547">
        <v>1</v>
      </c>
      <c r="F120" s="4"/>
      <c r="G120" s="4"/>
      <c r="H120" s="4"/>
      <c r="I120" s="27"/>
      <c r="J120" s="3"/>
      <c r="K120" s="4"/>
      <c r="L120" s="4"/>
      <c r="M120" s="3"/>
      <c r="N120" s="3"/>
      <c r="O120" s="3" t="s">
        <v>1385</v>
      </c>
      <c r="P120" s="3"/>
      <c r="Q120" s="1789" t="str">
        <f>CHOOSE(2, "6722000003039", "PL (1)-1 Cost of Sales NH D&amp;A")</f>
        <v>PL (1)-1 Cost of Sales NH D&amp;A</v>
      </c>
      <c r="R120" s="1214">
        <f>(R508+R532)*-1</f>
        <v>0</v>
      </c>
      <c r="S120" s="1221">
        <f t="shared" ref="S120:AC120" si="206">(S508+S532)*-1</f>
        <v>0</v>
      </c>
      <c r="T120" s="1221">
        <f t="shared" si="206"/>
        <v>0</v>
      </c>
      <c r="U120" s="1221">
        <f t="shared" si="206"/>
        <v>0</v>
      </c>
      <c r="V120" s="1221">
        <f t="shared" si="206"/>
        <v>0</v>
      </c>
      <c r="W120" s="1221">
        <f t="shared" si="206"/>
        <v>0</v>
      </c>
      <c r="X120" s="1221">
        <f t="shared" si="206"/>
        <v>0</v>
      </c>
      <c r="Y120" s="1221">
        <f t="shared" si="206"/>
        <v>0</v>
      </c>
      <c r="Z120" s="1221">
        <f t="shared" si="206"/>
        <v>0</v>
      </c>
      <c r="AA120" s="1221">
        <f t="shared" si="206"/>
        <v>0</v>
      </c>
      <c r="AB120" s="1221">
        <f t="shared" si="206"/>
        <v>0</v>
      </c>
      <c r="AC120" s="1221">
        <f t="shared" si="206"/>
        <v>0</v>
      </c>
      <c r="AD120" s="1221">
        <f t="shared" si="201"/>
        <v>0</v>
      </c>
      <c r="AE120" s="1221">
        <f t="shared" si="202"/>
        <v>0</v>
      </c>
      <c r="AF120" s="1221">
        <f t="shared" si="203"/>
        <v>0</v>
      </c>
      <c r="AG120" s="1221">
        <f t="shared" si="204"/>
        <v>0</v>
      </c>
      <c r="AH120" s="1221">
        <f>AD120+AE120</f>
        <v>0</v>
      </c>
      <c r="AI120" s="1221">
        <f>AG120+AF120</f>
        <v>0</v>
      </c>
      <c r="AJ120" s="1221">
        <f>AH120+AI120</f>
        <v>0</v>
      </c>
      <c r="AL120" s="1214">
        <f ca="1">SUM((INDIRECT(AL$2&amp;(ROW())):INDIRECT(AL$3&amp;(ROW()))))</f>
        <v>0</v>
      </c>
      <c r="AM120" s="1221">
        <f ca="1">SUM(INDIRECT(AM$1&amp;AM$2&amp;$C120):INDIRECT(AM$1&amp;AM$3&amp;$C120))</f>
        <v>40876.249682703121</v>
      </c>
      <c r="AN120" s="3119">
        <f t="shared" ca="1" si="169"/>
        <v>-40876.249682703121</v>
      </c>
      <c r="AO120" s="2768">
        <f t="shared" ca="1" si="170"/>
        <v>0</v>
      </c>
      <c r="AP120" s="1221">
        <f ca="1">SUM(INDIRECT(AP$1&amp;AP$2&amp;$A120):INDIRECT(AP$1&amp;AP$3&amp;$A120))+SUM(INDIRECT(AP$1&amp;AP$2&amp;$B120):INDIRECT(AP$1&amp;AP$3&amp;$B120))</f>
        <v>5977.2442221071888</v>
      </c>
      <c r="AQ120" s="3119">
        <f t="shared" ca="1" si="171"/>
        <v>-5977.2442221071888</v>
      </c>
      <c r="AR120" s="2768">
        <f t="shared" ca="1" si="172"/>
        <v>0</v>
      </c>
      <c r="AT120" s="1214">
        <f ca="1">SUM((INDIRECT(AT$2&amp;(ROW())):INDIRECT(AT$3&amp;(ROW()))))</f>
        <v>0</v>
      </c>
      <c r="AU120" s="1221">
        <f ca="1">SUM(INDIRECT(AU$1&amp;AU$2&amp;$C120):INDIRECT(AU$1&amp;AU$3&amp;$C120))</f>
        <v>117819.77849720311</v>
      </c>
      <c r="AV120" s="3119">
        <f t="shared" ca="1" si="173"/>
        <v>-117819.77849720311</v>
      </c>
      <c r="AW120" s="2768">
        <f t="shared" ca="1" si="174"/>
        <v>0</v>
      </c>
      <c r="AX120" s="1221">
        <f ca="1">SUM(INDIRECT(AX$1&amp;AX$2&amp;$A120):INDIRECT(AX$1&amp;AX$3&amp;$A120))+SUM(INDIRECT(AX$1&amp;AX$2&amp;$B120):INDIRECT(AX$1&amp;AX$3&amp;$B120))</f>
        <v>15730.583210885083</v>
      </c>
      <c r="AY120" s="3119">
        <f t="shared" ca="1" si="175"/>
        <v>-15730.583210885083</v>
      </c>
      <c r="AZ120" s="2768">
        <f t="shared" ca="1" si="176"/>
        <v>0</v>
      </c>
      <c r="BB120" s="1214">
        <f ca="1">SUM((INDIRECT(BB$2&amp;(ROW())):INDIRECT(BB$3&amp;(ROW()))))</f>
        <v>0</v>
      </c>
      <c r="BC120" s="1221">
        <f ca="1">SUM(INDIRECT(BC$1&amp;BC$2&amp;$C120):INDIRECT(BC$1&amp;BC$3&amp;$C120))</f>
        <v>197167.79258715623</v>
      </c>
      <c r="BD120" s="3119">
        <f t="shared" ca="1" si="177"/>
        <v>-197167.79258715623</v>
      </c>
      <c r="BE120" s="2768">
        <f t="shared" ca="1" si="178"/>
        <v>0</v>
      </c>
      <c r="BF120" s="1221">
        <f ca="1">SUM(INDIRECT(BF$1&amp;BF$2&amp;$A120):INDIRECT(BF$1&amp;BF$3&amp;$A120))+SUM(INDIRECT(BF$1&amp;BF$2&amp;$B120):INDIRECT(BF$1&amp;BF$3&amp;$B120))</f>
        <v>60048.473992945168</v>
      </c>
      <c r="BG120" s="3119">
        <f t="shared" ca="1" si="179"/>
        <v>-60048.473992945168</v>
      </c>
      <c r="BH120" s="2768">
        <f t="shared" ca="1" si="180"/>
        <v>0</v>
      </c>
    </row>
    <row r="121" spans="1:60" ht="14.5">
      <c r="A121" s="616">
        <f t="shared" si="181"/>
        <v>95</v>
      </c>
      <c r="B121" s="616">
        <v>1</v>
      </c>
      <c r="C121" s="616">
        <f t="shared" si="109"/>
        <v>118</v>
      </c>
      <c r="E121" s="2547">
        <v>1</v>
      </c>
      <c r="F121" s="4"/>
      <c r="G121" s="4"/>
      <c r="H121" s="4"/>
      <c r="I121" s="27"/>
      <c r="J121" s="3"/>
      <c r="K121" s="4"/>
      <c r="L121" s="4"/>
      <c r="M121" s="3"/>
      <c r="N121" s="3"/>
      <c r="O121" s="3" t="s">
        <v>1386</v>
      </c>
      <c r="P121" s="3"/>
      <c r="Q121" s="1789" t="str">
        <f>CHOOSE(2, "6722000003040", "PL (1)-1 Cost of Sales NH Others")</f>
        <v>PL (1)-1 Cost of Sales NH Others</v>
      </c>
      <c r="R121" s="1214">
        <f>R114-R115-R118-R119-R120</f>
        <v>0</v>
      </c>
      <c r="S121" s="1221">
        <f t="shared" ref="S121:AC121" si="207">S114-S115-S118-S119-S120</f>
        <v>0</v>
      </c>
      <c r="T121" s="1221">
        <f t="shared" si="207"/>
        <v>0</v>
      </c>
      <c r="U121" s="1221">
        <f t="shared" si="207"/>
        <v>0</v>
      </c>
      <c r="V121" s="1221">
        <f t="shared" si="207"/>
        <v>6.6080474425689317E-13</v>
      </c>
      <c r="W121" s="1221">
        <f t="shared" si="207"/>
        <v>0</v>
      </c>
      <c r="X121" s="1221">
        <f t="shared" si="207"/>
        <v>0</v>
      </c>
      <c r="Y121" s="1221">
        <f t="shared" si="207"/>
        <v>0</v>
      </c>
      <c r="Z121" s="1221">
        <f t="shared" si="207"/>
        <v>0</v>
      </c>
      <c r="AA121" s="1221">
        <f t="shared" si="207"/>
        <v>0</v>
      </c>
      <c r="AB121" s="1221">
        <f t="shared" si="207"/>
        <v>0</v>
      </c>
      <c r="AC121" s="1221">
        <f t="shared" si="207"/>
        <v>4</v>
      </c>
      <c r="AD121" s="1221">
        <f t="shared" si="201"/>
        <v>0</v>
      </c>
      <c r="AE121" s="1221">
        <f t="shared" si="202"/>
        <v>6.6080474425689317E-13</v>
      </c>
      <c r="AF121" s="1221">
        <f t="shared" si="203"/>
        <v>0</v>
      </c>
      <c r="AG121" s="1221">
        <f t="shared" si="204"/>
        <v>4</v>
      </c>
      <c r="AH121" s="1221">
        <f>AD121+AE121</f>
        <v>6.6080474425689317E-13</v>
      </c>
      <c r="AI121" s="1221">
        <f>AG121+AF121</f>
        <v>4</v>
      </c>
      <c r="AJ121" s="1221">
        <f>AH121+AI121</f>
        <v>4.0000000000006608</v>
      </c>
      <c r="AL121" s="1214">
        <f ca="1">SUM((INDIRECT(AL$2&amp;(ROW())):INDIRECT(AL$3&amp;(ROW()))))</f>
        <v>4</v>
      </c>
      <c r="AM121" s="1221">
        <f ca="1">SUM(INDIRECT(AM$1&amp;AM$2&amp;$C121):INDIRECT(AM$1&amp;AM$3&amp;$C121))</f>
        <v>8828.9666666666672</v>
      </c>
      <c r="AN121" s="3119">
        <f t="shared" ca="1" si="169"/>
        <v>-8824.9666666666672</v>
      </c>
      <c r="AO121" s="2768">
        <f t="shared" ca="1" si="170"/>
        <v>4.5305415129743383E-4</v>
      </c>
      <c r="AP121" s="1221">
        <f ca="1">SUM(INDIRECT(AP$1&amp;AP$2&amp;$A121):INDIRECT(AP$1&amp;AP$3&amp;$A121))+SUM(INDIRECT(AP$1&amp;AP$2&amp;$B121):INDIRECT(AP$1&amp;AP$3&amp;$B121))</f>
        <v>15727.220800773355</v>
      </c>
      <c r="AQ121" s="3119">
        <f t="shared" ca="1" si="171"/>
        <v>-15723.220800773355</v>
      </c>
      <c r="AR121" s="2768">
        <f t="shared" ca="1" si="172"/>
        <v>2.5433609985327525E-4</v>
      </c>
      <c r="AT121" s="1214">
        <f ca="1">SUM((INDIRECT(AT$2&amp;(ROW())):INDIRECT(AT$3&amp;(ROW()))))</f>
        <v>4</v>
      </c>
      <c r="AU121" s="1221">
        <f ca="1">SUM(INDIRECT(AU$1&amp;AU$2&amp;$C121):INDIRECT(AU$1&amp;AU$3&amp;$C121))</f>
        <v>26647.933333333334</v>
      </c>
      <c r="AV121" s="3119">
        <f t="shared" ca="1" si="173"/>
        <v>-26643.933333333334</v>
      </c>
      <c r="AW121" s="2768">
        <f t="shared" ca="1" si="174"/>
        <v>1.5010544907797727E-4</v>
      </c>
      <c r="AX121" s="1221">
        <f ca="1">SUM(INDIRECT(AX$1&amp;AX$2&amp;$A121):INDIRECT(AX$1&amp;AX$3&amp;$A121))+SUM(INDIRECT(AX$1&amp;AX$2&amp;$B121):INDIRECT(AX$1&amp;AX$3&amp;$B121))</f>
        <v>101780.97031699632</v>
      </c>
      <c r="AY121" s="3119">
        <f t="shared" ca="1" si="175"/>
        <v>-101776.97031699632</v>
      </c>
      <c r="AZ121" s="2768">
        <f t="shared" ca="1" si="176"/>
        <v>3.9300077288927591E-5</v>
      </c>
      <c r="BB121" s="1214">
        <f ca="1">SUM((INDIRECT(BB$2&amp;(ROW())):INDIRECT(BB$3&amp;(ROW()))))</f>
        <v>4.0000000000006608</v>
      </c>
      <c r="BC121" s="1221">
        <f ca="1">SUM(INDIRECT(BC$1&amp;BC$2&amp;$C121):INDIRECT(BC$1&amp;BC$3&amp;$C121))</f>
        <v>44627.933333333342</v>
      </c>
      <c r="BD121" s="3119">
        <f t="shared" ca="1" si="177"/>
        <v>-44623.933333333342</v>
      </c>
      <c r="BE121" s="2768">
        <f t="shared" ca="1" si="178"/>
        <v>8.9629962699011985E-5</v>
      </c>
      <c r="BF121" s="1221">
        <f ca="1">SUM(INDIRECT(BF$1&amp;BF$2&amp;$A121):INDIRECT(BF$1&amp;BF$3&amp;$A121))+SUM(INDIRECT(BF$1&amp;BF$2&amp;$B121):INDIRECT(BF$1&amp;BF$3&amp;$B121))</f>
        <v>358236.19731223112</v>
      </c>
      <c r="BG121" s="3119">
        <f t="shared" ca="1" si="179"/>
        <v>-358232.19731223112</v>
      </c>
      <c r="BH121" s="2768">
        <f t="shared" ca="1" si="180"/>
        <v>1.1165817496980477E-5</v>
      </c>
    </row>
    <row r="122" spans="1:60" ht="14.5">
      <c r="A122" s="616">
        <f t="shared" si="181"/>
        <v>96</v>
      </c>
      <c r="B122" s="616">
        <v>1</v>
      </c>
      <c r="C122" s="616">
        <f t="shared" si="109"/>
        <v>119</v>
      </c>
      <c r="E122" s="2547">
        <v>1</v>
      </c>
      <c r="F122" s="4"/>
      <c r="G122" s="4"/>
      <c r="H122" s="4"/>
      <c r="I122" s="27"/>
      <c r="J122" s="3"/>
      <c r="K122" s="4"/>
      <c r="L122" s="4"/>
      <c r="M122" s="212" t="s">
        <v>2</v>
      </c>
      <c r="N122" s="212"/>
      <c r="O122" s="212" t="s">
        <v>1387</v>
      </c>
      <c r="P122" s="212"/>
      <c r="Q122" s="1791" t="str">
        <f>CHOOSE(2, "6722000003041", "PL (1)-1 Cost of Sales Others For KMJ Only")</f>
        <v>PL (1)-1 Cost of Sales Others For KMJ Only</v>
      </c>
      <c r="R122" s="1303">
        <f t="shared" ref="R122:AC122" si="208">R468+R484-R509-R533</f>
        <v>0</v>
      </c>
      <c r="S122" s="1238">
        <f t="shared" si="208"/>
        <v>0</v>
      </c>
      <c r="T122" s="1238">
        <f t="shared" si="208"/>
        <v>0</v>
      </c>
      <c r="U122" s="1238">
        <f t="shared" si="208"/>
        <v>0</v>
      </c>
      <c r="V122" s="1238">
        <f t="shared" si="208"/>
        <v>0</v>
      </c>
      <c r="W122" s="1238">
        <f t="shared" si="208"/>
        <v>0</v>
      </c>
      <c r="X122" s="1238">
        <f t="shared" si="208"/>
        <v>0</v>
      </c>
      <c r="Y122" s="1238">
        <f t="shared" si="208"/>
        <v>0</v>
      </c>
      <c r="Z122" s="1238">
        <f t="shared" si="208"/>
        <v>0</v>
      </c>
      <c r="AA122" s="1238">
        <f t="shared" si="208"/>
        <v>0</v>
      </c>
      <c r="AB122" s="1238">
        <f t="shared" si="208"/>
        <v>0</v>
      </c>
      <c r="AC122" s="1238">
        <f t="shared" si="208"/>
        <v>0</v>
      </c>
      <c r="AD122" s="1238">
        <f t="shared" si="201"/>
        <v>0</v>
      </c>
      <c r="AE122" s="1238">
        <f t="shared" si="202"/>
        <v>0</v>
      </c>
      <c r="AF122" s="1238">
        <f t="shared" si="203"/>
        <v>0</v>
      </c>
      <c r="AG122" s="1238">
        <f t="shared" si="204"/>
        <v>0</v>
      </c>
      <c r="AH122" s="1238">
        <f t="shared" si="192"/>
        <v>0</v>
      </c>
      <c r="AI122" s="1238">
        <f t="shared" si="193"/>
        <v>0</v>
      </c>
      <c r="AJ122" s="1238">
        <f t="shared" si="194"/>
        <v>0</v>
      </c>
      <c r="AL122" s="1303">
        <f ca="1">SUM((INDIRECT(AL$2&amp;(ROW())):INDIRECT(AL$3&amp;(ROW()))))</f>
        <v>0</v>
      </c>
      <c r="AM122" s="1238">
        <f ca="1">SUM(INDIRECT(AM$1&amp;AM$2&amp;$C122):INDIRECT(AM$1&amp;AM$3&amp;$C122))</f>
        <v>33</v>
      </c>
      <c r="AN122" s="3120">
        <f t="shared" ca="1" si="169"/>
        <v>-33</v>
      </c>
      <c r="AO122" s="2770">
        <f t="shared" ca="1" si="170"/>
        <v>0</v>
      </c>
      <c r="AP122" s="1238">
        <f ca="1">SUM(INDIRECT(AP$1&amp;AP$2&amp;$A122):INDIRECT(AP$1&amp;AP$3&amp;$A122))+SUM(INDIRECT(AP$1&amp;AP$2&amp;$B122):INDIRECT(AP$1&amp;AP$3&amp;$B122))</f>
        <v>0.25294023953993755</v>
      </c>
      <c r="AQ122" s="3120">
        <f t="shared" ca="1" si="171"/>
        <v>-0.25294023953993755</v>
      </c>
      <c r="AR122" s="2770">
        <f t="shared" ca="1" si="172"/>
        <v>0</v>
      </c>
      <c r="AT122" s="1303">
        <f ca="1">SUM((INDIRECT(AT$2&amp;(ROW())):INDIRECT(AT$3&amp;(ROW()))))</f>
        <v>0</v>
      </c>
      <c r="AU122" s="1238">
        <f ca="1">SUM(INDIRECT(AU$1&amp;AU$2&amp;$C122):INDIRECT(AU$1&amp;AU$3&amp;$C122))</f>
        <v>99</v>
      </c>
      <c r="AV122" s="3120">
        <f t="shared" ca="1" si="173"/>
        <v>-99</v>
      </c>
      <c r="AW122" s="2770">
        <f t="shared" ca="1" si="174"/>
        <v>0</v>
      </c>
      <c r="AX122" s="1238">
        <f ca="1">SUM(INDIRECT(AX$1&amp;AX$2&amp;$A122):INDIRECT(AX$1&amp;AX$3&amp;$A122))+SUM(INDIRECT(AX$1&amp;AX$2&amp;$B122):INDIRECT(AX$1&amp;AX$3&amp;$B122))</f>
        <v>1.4066680686276996</v>
      </c>
      <c r="AY122" s="3120">
        <f t="shared" ca="1" si="175"/>
        <v>-1.4066680686276996</v>
      </c>
      <c r="AZ122" s="2770">
        <f t="shared" ca="1" si="176"/>
        <v>0</v>
      </c>
      <c r="BB122" s="1303">
        <f ca="1">SUM((INDIRECT(BB$2&amp;(ROW())):INDIRECT(BB$3&amp;(ROW()))))</f>
        <v>0</v>
      </c>
      <c r="BC122" s="1238">
        <f ca="1">SUM(INDIRECT(BC$1&amp;BC$2&amp;$C122):INDIRECT(BC$1&amp;BC$3&amp;$C122))</f>
        <v>165</v>
      </c>
      <c r="BD122" s="3120">
        <f t="shared" ca="1" si="177"/>
        <v>-165</v>
      </c>
      <c r="BE122" s="2770">
        <f t="shared" ca="1" si="178"/>
        <v>0</v>
      </c>
      <c r="BF122" s="1238">
        <f ca="1">SUM(INDIRECT(BF$1&amp;BF$2&amp;$A122):INDIRECT(BF$1&amp;BF$3&amp;$A122))+SUM(INDIRECT(BF$1&amp;BF$2&amp;$B122):INDIRECT(BF$1&amp;BF$3&amp;$B122))</f>
        <v>5.8207461083108027</v>
      </c>
      <c r="BG122" s="3120">
        <f t="shared" ca="1" si="179"/>
        <v>-5.8207461083108027</v>
      </c>
      <c r="BH122" s="2770">
        <f t="shared" ca="1" si="180"/>
        <v>0</v>
      </c>
    </row>
    <row r="123" spans="1:60" ht="14.5">
      <c r="A123" s="616">
        <f t="shared" si="181"/>
        <v>97</v>
      </c>
      <c r="B123" s="616">
        <v>1</v>
      </c>
      <c r="C123" s="616">
        <f t="shared" si="109"/>
        <v>120</v>
      </c>
      <c r="D123" s="709" t="s">
        <v>1308</v>
      </c>
      <c r="E123" s="2547">
        <v>1</v>
      </c>
      <c r="F123" s="4"/>
      <c r="G123" s="4"/>
      <c r="H123" s="4"/>
      <c r="I123" s="3115" t="s">
        <v>54</v>
      </c>
      <c r="J123" s="580"/>
      <c r="K123" s="863"/>
      <c r="L123" s="863"/>
      <c r="M123" s="863"/>
      <c r="N123" s="863"/>
      <c r="O123" s="863"/>
      <c r="P123" s="863"/>
      <c r="Q123" s="1788" t="str">
        <f>CHOOSE(2, "6722000003042", "PL (1)-1 Gross Profit")</f>
        <v>PL (1)-1 Gross Profit</v>
      </c>
      <c r="R123" s="1258">
        <f t="shared" ref="R123:AC123" si="209">SUM(R128:R130)</f>
        <v>62164</v>
      </c>
      <c r="S123" s="3116">
        <f t="shared" si="209"/>
        <v>51719</v>
      </c>
      <c r="T123" s="3116">
        <f t="shared" si="209"/>
        <v>68190</v>
      </c>
      <c r="U123" s="3116">
        <f t="shared" si="209"/>
        <v>66780</v>
      </c>
      <c r="V123" s="3116">
        <f t="shared" si="209"/>
        <v>80882.624250359484</v>
      </c>
      <c r="W123" s="3116">
        <f t="shared" si="209"/>
        <v>85832</v>
      </c>
      <c r="X123" s="3116">
        <f t="shared" si="209"/>
        <v>86366</v>
      </c>
      <c r="Y123" s="3116">
        <f t="shared" si="209"/>
        <v>83645</v>
      </c>
      <c r="Z123" s="3116">
        <f t="shared" si="209"/>
        <v>96219</v>
      </c>
      <c r="AA123" s="3116">
        <f t="shared" si="209"/>
        <v>81821</v>
      </c>
      <c r="AB123" s="3116">
        <f t="shared" si="209"/>
        <v>65831</v>
      </c>
      <c r="AC123" s="3116">
        <f t="shared" si="209"/>
        <v>74124</v>
      </c>
      <c r="AD123" s="3116">
        <f t="shared" si="201"/>
        <v>182073</v>
      </c>
      <c r="AE123" s="3116">
        <f t="shared" si="202"/>
        <v>233494.62425035948</v>
      </c>
      <c r="AF123" s="3116">
        <f t="shared" si="203"/>
        <v>266230</v>
      </c>
      <c r="AG123" s="3116">
        <f t="shared" si="204"/>
        <v>221776</v>
      </c>
      <c r="AH123" s="3116">
        <f>SUM(AH128:AH130)</f>
        <v>415567.62425035948</v>
      </c>
      <c r="AI123" s="3116">
        <f>SUM(AI128:AI130)</f>
        <v>488006</v>
      </c>
      <c r="AJ123" s="3116">
        <f>SUM(AJ128:AJ130)</f>
        <v>903573.62425035948</v>
      </c>
      <c r="AL123" s="1258">
        <f ca="1">SUM((INDIRECT(AL$2&amp;(ROW())):INDIRECT(AL$3&amp;(ROW()))))</f>
        <v>74124</v>
      </c>
      <c r="AM123" s="3116">
        <f ca="1">SUM(INDIRECT(AM$1&amp;AM$2&amp;$C123):INDIRECT(AM$1&amp;AM$3&amp;$C123))</f>
        <v>0</v>
      </c>
      <c r="AN123" s="3117">
        <f t="shared" ca="1" si="169"/>
        <v>74124</v>
      </c>
      <c r="AO123" s="3118">
        <f t="shared" ca="1" si="170"/>
        <v>0</v>
      </c>
      <c r="AP123" s="3116">
        <f ca="1">SUM(INDIRECT(AP$1&amp;AP$2&amp;$A123):INDIRECT(AP$1&amp;AP$3&amp;$A123))+SUM(INDIRECT(AP$1&amp;AP$2&amp;$B123):INDIRECT(AP$1&amp;AP$3&amp;$B123))</f>
        <v>5677.7108484891723</v>
      </c>
      <c r="AQ123" s="3117">
        <f t="shared" ca="1" si="171"/>
        <v>68446.289151510835</v>
      </c>
      <c r="AR123" s="3118">
        <f t="shared" ca="1" si="172"/>
        <v>13.055261526698608</v>
      </c>
      <c r="AT123" s="1258">
        <f ca="1">SUM((INDIRECT(AT$2&amp;(ROW())):INDIRECT(AT$3&amp;(ROW()))))</f>
        <v>221776</v>
      </c>
      <c r="AU123" s="3116">
        <f ca="1">SUM(INDIRECT(AU$1&amp;AU$2&amp;$C123):INDIRECT(AU$1&amp;AU$3&amp;$C123))</f>
        <v>0</v>
      </c>
      <c r="AV123" s="3117">
        <f t="shared" ca="1" si="173"/>
        <v>221776</v>
      </c>
      <c r="AW123" s="3118">
        <f t="shared" ca="1" si="174"/>
        <v>0</v>
      </c>
      <c r="AX123" s="3116">
        <f ca="1">SUM(INDIRECT(AX$1&amp;AX$2&amp;$A123):INDIRECT(AX$1&amp;AX$3&amp;$A123))+SUM(INDIRECT(AX$1&amp;AX$2&amp;$B123):INDIRECT(AX$1&amp;AX$3&amp;$B123))</f>
        <v>46249.421327952536</v>
      </c>
      <c r="AY123" s="3117">
        <f t="shared" ca="1" si="175"/>
        <v>175526.57867204747</v>
      </c>
      <c r="AZ123" s="3118">
        <f t="shared" ca="1" si="176"/>
        <v>4.7952167536842571</v>
      </c>
      <c r="BB123" s="1258">
        <f ca="1">SUM((INDIRECT(BB$2&amp;(ROW())):INDIRECT(BB$3&amp;(ROW()))))</f>
        <v>903573.62425035948</v>
      </c>
      <c r="BC123" s="3116">
        <f ca="1">SUM(INDIRECT(BC$1&amp;BC$2&amp;$C123):INDIRECT(BC$1&amp;BC$3&amp;$C123))</f>
        <v>0</v>
      </c>
      <c r="BD123" s="3117">
        <f t="shared" ca="1" si="177"/>
        <v>903573.62425035948</v>
      </c>
      <c r="BE123" s="3118">
        <f t="shared" ca="1" si="178"/>
        <v>0</v>
      </c>
      <c r="BF123" s="3116">
        <f ca="1">SUM(INDIRECT(BF$1&amp;BF$2&amp;$A123):INDIRECT(BF$1&amp;BF$3&amp;$A123))+SUM(INDIRECT(BF$1&amp;BF$2&amp;$B123):INDIRECT(BF$1&amp;BF$3&amp;$B123))</f>
        <v>139955.44381895187</v>
      </c>
      <c r="BG123" s="3117">
        <f t="shared" ca="1" si="179"/>
        <v>763618.18043140764</v>
      </c>
      <c r="BH123" s="3118">
        <f t="shared" ca="1" si="180"/>
        <v>6.4561520409254944</v>
      </c>
    </row>
    <row r="124" spans="1:60" s="504" customFormat="1" ht="14.5">
      <c r="A124" s="616">
        <f t="shared" si="181"/>
        <v>98</v>
      </c>
      <c r="B124" s="616">
        <v>1</v>
      </c>
      <c r="C124" s="616">
        <f t="shared" si="109"/>
        <v>121</v>
      </c>
      <c r="D124" s="709" t="s">
        <v>1308</v>
      </c>
      <c r="E124" s="2547">
        <v>1</v>
      </c>
      <c r="F124" s="4"/>
      <c r="G124" s="4"/>
      <c r="H124" s="501"/>
      <c r="I124" s="502"/>
      <c r="J124" s="503" t="s">
        <v>1328</v>
      </c>
      <c r="K124" s="501"/>
      <c r="L124" s="501"/>
      <c r="M124" s="501"/>
      <c r="N124" s="501"/>
      <c r="O124" s="478" t="s">
        <v>1388</v>
      </c>
      <c r="P124" s="501"/>
      <c r="Q124" s="1776" t="str">
        <f>CHOOSE(2, "6722000003043", "PL (1)-1 Gross Profit (%)")</f>
        <v>PL (1)-1 Gross Profit (%)</v>
      </c>
      <c r="R124" s="2573">
        <f t="shared" ref="R124:AJ124" si="210">IFERROR(R123/R102,0)</f>
        <v>0.38157789740536358</v>
      </c>
      <c r="S124" s="2573">
        <f t="shared" si="210"/>
        <v>0.28281375599459735</v>
      </c>
      <c r="T124" s="2573">
        <f t="shared" si="210"/>
        <v>0.34583491821985546</v>
      </c>
      <c r="U124" s="2573">
        <f t="shared" si="210"/>
        <v>0.31948637231309474</v>
      </c>
      <c r="V124" s="2573">
        <f t="shared" si="210"/>
        <v>0.30992912122217253</v>
      </c>
      <c r="W124" s="2573">
        <f t="shared" si="210"/>
        <v>0.31880192992686635</v>
      </c>
      <c r="X124" s="2573">
        <f t="shared" si="210"/>
        <v>0.3708653065781507</v>
      </c>
      <c r="Y124" s="2573">
        <f t="shared" si="210"/>
        <v>0.33233342603996979</v>
      </c>
      <c r="Z124" s="2573">
        <f t="shared" si="210"/>
        <v>0.29407683608912255</v>
      </c>
      <c r="AA124" s="2573">
        <f t="shared" si="210"/>
        <v>0.33953581017433054</v>
      </c>
      <c r="AB124" s="2573">
        <f t="shared" si="210"/>
        <v>0.25215806727447082</v>
      </c>
      <c r="AC124" s="2573">
        <f t="shared" si="210"/>
        <v>0.26561744122294967</v>
      </c>
      <c r="AD124" s="2574">
        <f t="shared" si="210"/>
        <v>0.33533347699006005</v>
      </c>
      <c r="AE124" s="2573">
        <f t="shared" si="210"/>
        <v>0.31586307123333646</v>
      </c>
      <c r="AF124" s="2573">
        <f t="shared" si="210"/>
        <v>0.32796760606930397</v>
      </c>
      <c r="AG124" s="2573">
        <f t="shared" si="210"/>
        <v>0.2839232976325593</v>
      </c>
      <c r="AH124" s="2573">
        <f t="shared" si="210"/>
        <v>0.32410809303385502</v>
      </c>
      <c r="AI124" s="2573">
        <f t="shared" si="210"/>
        <v>0.30636912800013572</v>
      </c>
      <c r="AJ124" s="2573">
        <f t="shared" si="210"/>
        <v>0.31428016722703839</v>
      </c>
      <c r="AL124" s="2573">
        <f ca="1">IFERROR(AL123/AL102,0)</f>
        <v>0.26561744122294967</v>
      </c>
      <c r="AM124" s="2573">
        <f ca="1">IFERROR(AM123/AM102,0)</f>
        <v>0</v>
      </c>
      <c r="AN124" s="2573">
        <f t="shared" ca="1" si="169"/>
        <v>0.26561744122294967</v>
      </c>
      <c r="AO124" s="2776"/>
      <c r="AP124" s="2573">
        <f ca="1">IFERROR(AP123/AP102,0)</f>
        <v>0</v>
      </c>
      <c r="AQ124" s="2573">
        <f t="shared" ca="1" si="171"/>
        <v>0.26561744122294967</v>
      </c>
      <c r="AR124" s="2776"/>
      <c r="AT124" s="2573">
        <f ca="1">IFERROR(AT123/AT102,0)</f>
        <v>0.2839232976325593</v>
      </c>
      <c r="AU124" s="2573">
        <f ca="1">IFERROR(AU123/AU102,0)</f>
        <v>0</v>
      </c>
      <c r="AV124" s="2573">
        <f t="shared" ca="1" si="173"/>
        <v>0.2839232976325593</v>
      </c>
      <c r="AW124" s="2776"/>
      <c r="AX124" s="2573">
        <f ca="1">IFERROR(AX123/AX102,0)</f>
        <v>0</v>
      </c>
      <c r="AY124" s="2573">
        <f t="shared" ca="1" si="175"/>
        <v>0.2839232976325593</v>
      </c>
      <c r="AZ124" s="2776"/>
      <c r="BB124" s="2573">
        <f ca="1">IFERROR(BB123/BB102,0)</f>
        <v>0.31428016722703839</v>
      </c>
      <c r="BC124" s="2573">
        <f ca="1">IFERROR(BC123/BC102,0)</f>
        <v>0</v>
      </c>
      <c r="BD124" s="2573">
        <f t="shared" ca="1" si="177"/>
        <v>0.31428016722703839</v>
      </c>
      <c r="BE124" s="2776"/>
      <c r="BF124" s="2573">
        <f ca="1">IFERROR(BF123/BF102,0)</f>
        <v>0</v>
      </c>
      <c r="BG124" s="2573">
        <f t="shared" ca="1" si="179"/>
        <v>0.31428016722703839</v>
      </c>
      <c r="BH124" s="2776"/>
    </row>
    <row r="125" spans="1:60" s="504" customFormat="1" ht="14.5" hidden="1" outlineLevel="1">
      <c r="A125" s="616">
        <f t="shared" si="181"/>
        <v>99</v>
      </c>
      <c r="B125" s="616">
        <v>1</v>
      </c>
      <c r="C125" s="616">
        <f t="shared" si="109"/>
        <v>122</v>
      </c>
      <c r="D125" s="709" t="s">
        <v>1308</v>
      </c>
      <c r="E125" s="2547">
        <v>1</v>
      </c>
      <c r="F125" s="4"/>
      <c r="G125" s="4"/>
      <c r="H125" s="501"/>
      <c r="I125" s="502"/>
      <c r="J125" s="505"/>
      <c r="K125" s="501"/>
      <c r="L125" s="501"/>
      <c r="M125" s="503" t="s">
        <v>1389</v>
      </c>
      <c r="N125" s="505"/>
      <c r="O125" s="505"/>
      <c r="P125" s="505"/>
      <c r="Q125" s="1792" t="str">
        <f>CHOOSE(2, "6722000003044", "PL (1)-1 Gross Profit HW (%)")</f>
        <v>PL (1)-1 Gross Profit HW (%)</v>
      </c>
      <c r="R125" s="1304">
        <f t="shared" ref="R125:AJ127" si="211">IFERROR(R128/R103,0)</f>
        <v>0.34408109346777022</v>
      </c>
      <c r="S125" s="1283">
        <f t="shared" si="211"/>
        <v>0.26585566332401778</v>
      </c>
      <c r="T125" s="1283">
        <f t="shared" si="211"/>
        <v>0.26937676130590649</v>
      </c>
      <c r="U125" s="1283">
        <f t="shared" si="211"/>
        <v>0.26577683110744882</v>
      </c>
      <c r="V125" s="1283">
        <f t="shared" si="211"/>
        <v>0.25054043790030461</v>
      </c>
      <c r="W125" s="1283">
        <f t="shared" si="211"/>
        <v>0.28380504783143329</v>
      </c>
      <c r="X125" s="1283">
        <f t="shared" si="211"/>
        <v>0.365877705325999</v>
      </c>
      <c r="Y125" s="1283">
        <f t="shared" si="211"/>
        <v>0.26042035620008686</v>
      </c>
      <c r="Z125" s="1283">
        <f t="shared" si="211"/>
        <v>0.26037015506273009</v>
      </c>
      <c r="AA125" s="1283">
        <f t="shared" si="211"/>
        <v>0.30841575612656563</v>
      </c>
      <c r="AB125" s="1283">
        <f t="shared" si="211"/>
        <v>0.20211660362394013</v>
      </c>
      <c r="AC125" s="1283">
        <f t="shared" si="211"/>
        <v>0.20598219560798295</v>
      </c>
      <c r="AD125" s="1283">
        <f t="shared" si="211"/>
        <v>0.28641245685806804</v>
      </c>
      <c r="AE125" s="1283">
        <f t="shared" si="211"/>
        <v>0.26767418303253726</v>
      </c>
      <c r="AF125" s="1283">
        <f t="shared" si="211"/>
        <v>0.28915926290627963</v>
      </c>
      <c r="AG125" s="1283">
        <f t="shared" si="211"/>
        <v>0.23456955845691946</v>
      </c>
      <c r="AH125" s="1283">
        <f t="shared" si="211"/>
        <v>0.27481957710298838</v>
      </c>
      <c r="AI125" s="1283">
        <f t="shared" si="211"/>
        <v>0.26194430412886194</v>
      </c>
      <c r="AJ125" s="1283">
        <f t="shared" si="211"/>
        <v>0.26738588381313705</v>
      </c>
      <c r="AL125" s="1304">
        <f t="shared" ref="AL125:AM127" ca="1" si="212">IFERROR(AL128/AL103,0)</f>
        <v>0.20598219560798295</v>
      </c>
      <c r="AM125" s="1283">
        <f t="shared" ca="1" si="212"/>
        <v>0</v>
      </c>
      <c r="AN125" s="1283">
        <f t="shared" ca="1" si="169"/>
        <v>0.20598219560798295</v>
      </c>
      <c r="AO125" s="2777"/>
      <c r="AP125" s="1283">
        <f ca="1">IFERROR(AP128/AP103,0)</f>
        <v>0</v>
      </c>
      <c r="AQ125" s="1283">
        <f t="shared" ca="1" si="171"/>
        <v>0.20598219560798295</v>
      </c>
      <c r="AR125" s="2777"/>
      <c r="AT125" s="1304">
        <f t="shared" ref="AT125:AU127" ca="1" si="213">IFERROR(AT128/AT103,0)</f>
        <v>0.23456955845691946</v>
      </c>
      <c r="AU125" s="1283">
        <f t="shared" ca="1" si="213"/>
        <v>0</v>
      </c>
      <c r="AV125" s="1283">
        <f t="shared" ca="1" si="173"/>
        <v>0.23456955845691946</v>
      </c>
      <c r="AW125" s="2777"/>
      <c r="AX125" s="1283">
        <f ca="1">IFERROR(AX128/AX103,0)</f>
        <v>0</v>
      </c>
      <c r="AY125" s="1283">
        <f t="shared" ca="1" si="175"/>
        <v>0.23456955845691946</v>
      </c>
      <c r="AZ125" s="2777"/>
      <c r="BB125" s="1304">
        <f t="shared" ref="BB125:BC127" ca="1" si="214">IFERROR(BB128/BB103,0)</f>
        <v>0.26738588381313705</v>
      </c>
      <c r="BC125" s="1283">
        <f t="shared" ca="1" si="214"/>
        <v>0</v>
      </c>
      <c r="BD125" s="1283">
        <f t="shared" ca="1" si="177"/>
        <v>0.26738588381313705</v>
      </c>
      <c r="BE125" s="2777"/>
      <c r="BF125" s="1283">
        <f ca="1">IFERROR(BF128/BF103,0)</f>
        <v>0</v>
      </c>
      <c r="BG125" s="1283">
        <f t="shared" ca="1" si="179"/>
        <v>0.26738588381313705</v>
      </c>
      <c r="BH125" s="2777"/>
    </row>
    <row r="126" spans="1:60" s="504" customFormat="1" ht="14.5" hidden="1" outlineLevel="1">
      <c r="A126" s="616">
        <f t="shared" si="181"/>
        <v>100</v>
      </c>
      <c r="B126" s="616">
        <v>1</v>
      </c>
      <c r="C126" s="616">
        <f t="shared" si="109"/>
        <v>123</v>
      </c>
      <c r="D126" s="709" t="s">
        <v>1308</v>
      </c>
      <c r="E126" s="2547">
        <v>1</v>
      </c>
      <c r="F126" s="4"/>
      <c r="G126" s="4"/>
      <c r="H126" s="501"/>
      <c r="I126" s="502"/>
      <c r="J126" s="505"/>
      <c r="K126" s="501"/>
      <c r="L126" s="501"/>
      <c r="M126" s="503" t="s">
        <v>1390</v>
      </c>
      <c r="N126" s="505"/>
      <c r="O126" s="505"/>
      <c r="P126" s="505"/>
      <c r="Q126" s="1792" t="str">
        <f>CHOOSE(2, "6722000003045", "PL (1)-1 Gross Profit NH (%)")</f>
        <v>PL (1)-1 Gross Profit NH (%)</v>
      </c>
      <c r="R126" s="1304">
        <f t="shared" si="211"/>
        <v>0.41292954793918424</v>
      </c>
      <c r="S126" s="1283">
        <f t="shared" si="211"/>
        <v>0.31651773316125659</v>
      </c>
      <c r="T126" s="1283">
        <f t="shared" si="211"/>
        <v>0.43174401447511551</v>
      </c>
      <c r="U126" s="1283">
        <f t="shared" si="211"/>
        <v>0.40543633762517883</v>
      </c>
      <c r="V126" s="1283">
        <f t="shared" si="211"/>
        <v>0.41450282638407204</v>
      </c>
      <c r="W126" s="1283">
        <f t="shared" si="211"/>
        <v>0.40568368495259283</v>
      </c>
      <c r="X126" s="1283">
        <f t="shared" si="211"/>
        <v>0.37941402699111948</v>
      </c>
      <c r="Y126" s="1283">
        <f t="shared" si="211"/>
        <v>0.43777374944882663</v>
      </c>
      <c r="Z126" s="1283">
        <f t="shared" si="211"/>
        <v>0.39066431955389103</v>
      </c>
      <c r="AA126" s="1283">
        <f t="shared" si="211"/>
        <v>0.397091167080525</v>
      </c>
      <c r="AB126" s="1283">
        <f t="shared" si="211"/>
        <v>0.36320591861898888</v>
      </c>
      <c r="AC126" s="1283">
        <f t="shared" si="211"/>
        <v>0.41574549075462897</v>
      </c>
      <c r="AD126" s="1283">
        <f t="shared" si="211"/>
        <v>0.39581694393073819</v>
      </c>
      <c r="AE126" s="1283">
        <f t="shared" si="211"/>
        <v>0.40891006034107058</v>
      </c>
      <c r="AF126" s="1283">
        <f t="shared" si="211"/>
        <v>0.40476470070164106</v>
      </c>
      <c r="AG126" s="1283">
        <f t="shared" si="211"/>
        <v>0.39191533303130116</v>
      </c>
      <c r="AH126" s="1283">
        <f t="shared" si="211"/>
        <v>0.40248823123888505</v>
      </c>
      <c r="AI126" s="1283">
        <f t="shared" si="211"/>
        <v>0.39868138068562792</v>
      </c>
      <c r="AJ126" s="1283">
        <f t="shared" si="211"/>
        <v>0.4005425051288421</v>
      </c>
      <c r="AL126" s="1304">
        <f t="shared" ca="1" si="212"/>
        <v>0.41574549075462897</v>
      </c>
      <c r="AM126" s="1283">
        <f t="shared" ca="1" si="212"/>
        <v>0</v>
      </c>
      <c r="AN126" s="1283">
        <f t="shared" ca="1" si="169"/>
        <v>0.41574549075462897</v>
      </c>
      <c r="AO126" s="2777"/>
      <c r="AP126" s="1283">
        <f ca="1">IFERROR(AP129/AP104,0)</f>
        <v>4.0030777683615826</v>
      </c>
      <c r="AQ126" s="1283">
        <f t="shared" ca="1" si="171"/>
        <v>-3.5873322776069534</v>
      </c>
      <c r="AR126" s="2777"/>
      <c r="AT126" s="1304">
        <f t="shared" ca="1" si="213"/>
        <v>0.39191533303130116</v>
      </c>
      <c r="AU126" s="1283">
        <f t="shared" ca="1" si="213"/>
        <v>0</v>
      </c>
      <c r="AV126" s="1283">
        <f t="shared" ca="1" si="173"/>
        <v>0.39191533303130116</v>
      </c>
      <c r="AW126" s="2777"/>
      <c r="AX126" s="1283">
        <f ca="1">IFERROR(AX129/AX104,0)</f>
        <v>4.2953114334364635</v>
      </c>
      <c r="AY126" s="1283">
        <f t="shared" ca="1" si="175"/>
        <v>-3.9033961004051623</v>
      </c>
      <c r="AZ126" s="2777"/>
      <c r="BB126" s="1304">
        <f t="shared" ca="1" si="214"/>
        <v>0.4005425051288421</v>
      </c>
      <c r="BC126" s="1283">
        <f t="shared" ca="1" si="214"/>
        <v>0</v>
      </c>
      <c r="BD126" s="1283">
        <f t="shared" ca="1" si="177"/>
        <v>0.4005425051288421</v>
      </c>
      <c r="BE126" s="2777"/>
      <c r="BF126" s="1283">
        <f ca="1">IFERROR(BF129/BF104,0)</f>
        <v>3.3738624986253454</v>
      </c>
      <c r="BG126" s="1283">
        <f t="shared" ca="1" si="179"/>
        <v>-2.9733199934965033</v>
      </c>
      <c r="BH126" s="2777"/>
    </row>
    <row r="127" spans="1:60" s="504" customFormat="1" ht="14.5" hidden="1" outlineLevel="1">
      <c r="A127" s="616">
        <f t="shared" si="181"/>
        <v>101</v>
      </c>
      <c r="B127" s="616">
        <v>1</v>
      </c>
      <c r="C127" s="616">
        <f t="shared" si="109"/>
        <v>124</v>
      </c>
      <c r="D127" s="709" t="s">
        <v>1308</v>
      </c>
      <c r="E127" s="2547">
        <v>1</v>
      </c>
      <c r="F127" s="4"/>
      <c r="G127" s="4"/>
      <c r="H127" s="501"/>
      <c r="I127" s="502"/>
      <c r="J127" s="505"/>
      <c r="K127" s="501"/>
      <c r="L127" s="501"/>
      <c r="M127" s="503" t="s">
        <v>1391</v>
      </c>
      <c r="N127" s="505"/>
      <c r="O127" s="505"/>
      <c r="P127" s="505"/>
      <c r="Q127" s="1792" t="str">
        <f>CHOOSE(2, "6722000003046", "PL (1)-1 Gross Profit Others (%)")</f>
        <v>PL (1)-1 Gross Profit Others (%)</v>
      </c>
      <c r="R127" s="1304">
        <f t="shared" si="211"/>
        <v>0</v>
      </c>
      <c r="S127" s="1283">
        <f t="shared" si="211"/>
        <v>0</v>
      </c>
      <c r="T127" s="1283">
        <f t="shared" si="211"/>
        <v>0</v>
      </c>
      <c r="U127" s="1283">
        <f t="shared" si="211"/>
        <v>0</v>
      </c>
      <c r="V127" s="1283">
        <f t="shared" si="211"/>
        <v>0</v>
      </c>
      <c r="W127" s="1283">
        <f t="shared" si="211"/>
        <v>0</v>
      </c>
      <c r="X127" s="1283">
        <f t="shared" si="211"/>
        <v>0</v>
      </c>
      <c r="Y127" s="1283">
        <f t="shared" si="211"/>
        <v>0</v>
      </c>
      <c r="Z127" s="1283">
        <f t="shared" si="211"/>
        <v>0</v>
      </c>
      <c r="AA127" s="1283">
        <f t="shared" si="211"/>
        <v>0</v>
      </c>
      <c r="AB127" s="1283">
        <f t="shared" si="211"/>
        <v>0</v>
      </c>
      <c r="AC127" s="1283">
        <f t="shared" si="211"/>
        <v>0</v>
      </c>
      <c r="AD127" s="1283">
        <f t="shared" si="211"/>
        <v>0</v>
      </c>
      <c r="AE127" s="1283">
        <f t="shared" si="211"/>
        <v>0</v>
      </c>
      <c r="AF127" s="1283">
        <f t="shared" si="211"/>
        <v>0</v>
      </c>
      <c r="AG127" s="1283">
        <f t="shared" si="211"/>
        <v>0</v>
      </c>
      <c r="AH127" s="1283">
        <f t="shared" si="211"/>
        <v>0</v>
      </c>
      <c r="AI127" s="1283">
        <f t="shared" si="211"/>
        <v>0</v>
      </c>
      <c r="AJ127" s="1283">
        <f t="shared" si="211"/>
        <v>0</v>
      </c>
      <c r="AL127" s="1304">
        <f t="shared" ca="1" si="212"/>
        <v>0</v>
      </c>
      <c r="AM127" s="1283">
        <f t="shared" ca="1" si="212"/>
        <v>0</v>
      </c>
      <c r="AN127" s="1283">
        <f t="shared" ca="1" si="169"/>
        <v>0</v>
      </c>
      <c r="AO127" s="2777"/>
      <c r="AP127" s="1283">
        <f ca="1">IFERROR(AP130/AP105,0)</f>
        <v>0.30726637196404405</v>
      </c>
      <c r="AQ127" s="1283">
        <f t="shared" ca="1" si="171"/>
        <v>-0.30726637196404405</v>
      </c>
      <c r="AR127" s="2777"/>
      <c r="AT127" s="1304">
        <f t="shared" ca="1" si="213"/>
        <v>0</v>
      </c>
      <c r="AU127" s="1283">
        <f t="shared" ca="1" si="213"/>
        <v>0</v>
      </c>
      <c r="AV127" s="1283">
        <f t="shared" ca="1" si="173"/>
        <v>0</v>
      </c>
      <c r="AW127" s="2777"/>
      <c r="AX127" s="1283">
        <f ca="1">IFERROR(AX130/AX105,0)</f>
        <v>0.29900030493020152</v>
      </c>
      <c r="AY127" s="1283">
        <f t="shared" ca="1" si="175"/>
        <v>-0.29900030493020152</v>
      </c>
      <c r="AZ127" s="2777"/>
      <c r="BB127" s="1304">
        <f t="shared" ca="1" si="214"/>
        <v>0</v>
      </c>
      <c r="BC127" s="1283">
        <f t="shared" ca="1" si="214"/>
        <v>0</v>
      </c>
      <c r="BD127" s="1283">
        <f t="shared" ca="1" si="177"/>
        <v>0</v>
      </c>
      <c r="BE127" s="2777"/>
      <c r="BF127" s="1283">
        <f ca="1">IFERROR(BF130/BF105,0)</f>
        <v>0.35633149234554901</v>
      </c>
      <c r="BG127" s="1283">
        <f t="shared" ca="1" si="179"/>
        <v>-0.35633149234554901</v>
      </c>
      <c r="BH127" s="2777"/>
    </row>
    <row r="128" spans="1:60" ht="14.5" collapsed="1">
      <c r="A128" s="616">
        <f t="shared" si="181"/>
        <v>102</v>
      </c>
      <c r="B128" s="616">
        <v>1</v>
      </c>
      <c r="C128" s="616">
        <f t="shared" si="109"/>
        <v>125</v>
      </c>
      <c r="D128" s="709" t="s">
        <v>1308</v>
      </c>
      <c r="E128" s="2547">
        <v>1</v>
      </c>
      <c r="F128" s="4"/>
      <c r="G128" s="4"/>
      <c r="H128" s="4"/>
      <c r="I128" s="27"/>
      <c r="J128" s="3"/>
      <c r="K128" s="4"/>
      <c r="L128" s="4"/>
      <c r="M128" s="3" t="s">
        <v>57</v>
      </c>
      <c r="N128" s="3"/>
      <c r="O128" s="3"/>
      <c r="P128" s="3"/>
      <c r="Q128" s="1789" t="str">
        <f>CHOOSE(2, "6722000003047", "PL (1)-1 Gross Profit HW")</f>
        <v>PL (1)-1 Gross Profit HW</v>
      </c>
      <c r="R128" s="1214">
        <f t="shared" ref="R128:AC128" si="215">R487+R511</f>
        <v>25526</v>
      </c>
      <c r="S128" s="1221">
        <f t="shared" si="215"/>
        <v>32344</v>
      </c>
      <c r="T128" s="1221">
        <f t="shared" si="215"/>
        <v>28103</v>
      </c>
      <c r="U128" s="1221">
        <f t="shared" si="215"/>
        <v>34189</v>
      </c>
      <c r="V128" s="1221">
        <f t="shared" si="215"/>
        <v>41701.237259815753</v>
      </c>
      <c r="W128" s="1221">
        <f t="shared" si="215"/>
        <v>54469</v>
      </c>
      <c r="X128" s="1221">
        <f t="shared" si="215"/>
        <v>53810</v>
      </c>
      <c r="Y128" s="1221">
        <f t="shared" si="215"/>
        <v>38968</v>
      </c>
      <c r="Z128" s="1221">
        <f t="shared" si="215"/>
        <v>63152</v>
      </c>
      <c r="AA128" s="1221">
        <f t="shared" si="215"/>
        <v>48239</v>
      </c>
      <c r="AB128" s="1221">
        <f t="shared" si="215"/>
        <v>36375</v>
      </c>
      <c r="AC128" s="1221">
        <f t="shared" si="215"/>
        <v>41140</v>
      </c>
      <c r="AD128" s="1221">
        <f t="shared" ref="AD128:AD134" si="216">SUM(R128,S128,T128)</f>
        <v>85973</v>
      </c>
      <c r="AE128" s="1221">
        <f t="shared" ref="AE128:AE134" si="217">SUM(U128,V128,W128)</f>
        <v>130359.23725981575</v>
      </c>
      <c r="AF128" s="1221">
        <f t="shared" ref="AF128:AF134" si="218">SUM(X128,Y128,Z128)</f>
        <v>155930</v>
      </c>
      <c r="AG128" s="1221">
        <f t="shared" ref="AG128:AG134" si="219">SUM(AA128,AB128,AC128)</f>
        <v>125754</v>
      </c>
      <c r="AH128" s="1221">
        <f>AD128+AE128</f>
        <v>216332.23725981574</v>
      </c>
      <c r="AI128" s="1221">
        <f>AG128+AF128</f>
        <v>281684</v>
      </c>
      <c r="AJ128" s="1221">
        <f>AH128+AI128</f>
        <v>498016.23725981574</v>
      </c>
      <c r="AL128" s="1214">
        <f ca="1">SUM((INDIRECT(AL$2&amp;(ROW())):INDIRECT(AL$3&amp;(ROW()))))</f>
        <v>41140</v>
      </c>
      <c r="AM128" s="1221">
        <f ca="1">SUM(INDIRECT(AM$1&amp;AM$2&amp;$C128):INDIRECT(AM$1&amp;AM$3&amp;$C128))</f>
        <v>0.2420116616794433</v>
      </c>
      <c r="AN128" s="3119">
        <f t="shared" ca="1" si="169"/>
        <v>41139.757988338322</v>
      </c>
      <c r="AO128" s="2768">
        <f t="shared" ref="AO128:AO135" ca="1" si="220">IFERROR(AL128/AM128,0)</f>
        <v>169991.80830588244</v>
      </c>
      <c r="AP128" s="1221">
        <f ca="1">SUM(INDIRECT(AP$1&amp;AP$2&amp;$A128):INDIRECT(AP$1&amp;AP$3&amp;$A128))+SUM(INDIRECT(AP$1&amp;AP$2&amp;$B128):INDIRECT(AP$1&amp;AP$3&amp;$B128))</f>
        <v>261070.37031000003</v>
      </c>
      <c r="AQ128" s="3119">
        <f t="shared" ca="1" si="171"/>
        <v>-219930.37031000003</v>
      </c>
      <c r="AR128" s="2768">
        <f t="shared" ref="AR128:AR135" ca="1" si="221">IFERROR(AL128/AP128,0)</f>
        <v>0.15758203411267838</v>
      </c>
      <c r="AT128" s="1214">
        <f ca="1">SUM((INDIRECT(AT$2&amp;(ROW())):INDIRECT(AT$3&amp;(ROW()))))</f>
        <v>125754</v>
      </c>
      <c r="AU128" s="1221">
        <f ca="1">SUM(INDIRECT(AU$1&amp;AU$2&amp;$C128):INDIRECT(AU$1&amp;AU$3&amp;$C128))</f>
        <v>0.73045251383682219</v>
      </c>
      <c r="AV128" s="3119">
        <f t="shared" ca="1" si="173"/>
        <v>125753.26954748617</v>
      </c>
      <c r="AW128" s="2768">
        <f t="shared" ref="AW128:AW135" ca="1" si="222">IFERROR(AT128/AU128,0)</f>
        <v>172159.03514310109</v>
      </c>
      <c r="AX128" s="1221">
        <f ca="1">SUM(INDIRECT(AX$1&amp;AX$2&amp;$A128):INDIRECT(AX$1&amp;AX$3&amp;$A128))+SUM(INDIRECT(AX$1&amp;AX$2&amp;$B128):INDIRECT(AX$1&amp;AX$3&amp;$B128))</f>
        <v>829239.37031000003</v>
      </c>
      <c r="AY128" s="3119">
        <f t="shared" ca="1" si="175"/>
        <v>-703485.37031000003</v>
      </c>
      <c r="AZ128" s="2768">
        <f t="shared" ref="AZ128:AZ135" ca="1" si="223">IFERROR(AT128/AX128,0)</f>
        <v>0.15164981849931769</v>
      </c>
      <c r="BB128" s="1214">
        <f ca="1">SUM((INDIRECT(BB$2&amp;(ROW())):INDIRECT(BB$3&amp;(ROW()))))</f>
        <v>498016.23725981574</v>
      </c>
      <c r="BC128" s="1221">
        <f ca="1">SUM(INDIRECT(BC$1&amp;BC$2&amp;$C128):INDIRECT(BC$1&amp;BC$3&amp;$C128))</f>
        <v>1.2338164365487134</v>
      </c>
      <c r="BD128" s="3119">
        <f t="shared" ca="1" si="177"/>
        <v>498015.00344337919</v>
      </c>
      <c r="BE128" s="2768">
        <f t="shared" ref="BE128:BE135" ca="1" si="224">IFERROR(BB128/BC128,0)</f>
        <v>403638.84165207675</v>
      </c>
      <c r="BF128" s="1221">
        <f ca="1">SUM(INDIRECT(BF$1&amp;BF$2&amp;$A128):INDIRECT(BF$1&amp;BF$3&amp;$A128))+SUM(INDIRECT(BF$1&amp;BF$2&amp;$B128):INDIRECT(BF$1&amp;BF$3&amp;$B128))</f>
        <v>2595994.73025</v>
      </c>
      <c r="BG128" s="3119">
        <f t="shared" ca="1" si="179"/>
        <v>-2097978.4929901841</v>
      </c>
      <c r="BH128" s="2768">
        <f t="shared" ref="BH128:BH135" ca="1" si="225">IFERROR(BB128/BF128,0)</f>
        <v>0.19184023428732294</v>
      </c>
    </row>
    <row r="129" spans="1:60" ht="14.5">
      <c r="A129" s="616">
        <f t="shared" si="181"/>
        <v>103</v>
      </c>
      <c r="B129" s="616">
        <v>1</v>
      </c>
      <c r="C129" s="616">
        <f t="shared" si="109"/>
        <v>126</v>
      </c>
      <c r="D129" s="709" t="s">
        <v>1308</v>
      </c>
      <c r="E129" s="2547">
        <v>1</v>
      </c>
      <c r="F129" s="4"/>
      <c r="G129" s="4"/>
      <c r="H129" s="4"/>
      <c r="I129" s="27"/>
      <c r="J129" s="3"/>
      <c r="K129" s="4"/>
      <c r="L129" s="4"/>
      <c r="M129" s="3" t="s">
        <v>27</v>
      </c>
      <c r="N129" s="3"/>
      <c r="O129" s="3"/>
      <c r="P129" s="3"/>
      <c r="Q129" s="1789" t="str">
        <f>CHOOSE(2, "6722000003048", "PL (1)-1 Gross Profit NH")</f>
        <v>PL (1)-1 Gross Profit NH</v>
      </c>
      <c r="R129" s="1214">
        <f t="shared" ref="R129:AC129" si="226">R492+R516</f>
        <v>36638</v>
      </c>
      <c r="S129" s="1221">
        <f t="shared" si="226"/>
        <v>19375</v>
      </c>
      <c r="T129" s="1221">
        <f t="shared" si="226"/>
        <v>40087</v>
      </c>
      <c r="U129" s="1221">
        <f t="shared" si="226"/>
        <v>32591</v>
      </c>
      <c r="V129" s="1221">
        <f t="shared" si="226"/>
        <v>39181.386990543731</v>
      </c>
      <c r="W129" s="1221">
        <f t="shared" si="226"/>
        <v>31363</v>
      </c>
      <c r="X129" s="1221">
        <f t="shared" si="226"/>
        <v>32556</v>
      </c>
      <c r="Y129" s="1221">
        <f t="shared" si="226"/>
        <v>44677</v>
      </c>
      <c r="Z129" s="1221">
        <f t="shared" si="226"/>
        <v>33067</v>
      </c>
      <c r="AA129" s="1221">
        <f t="shared" si="226"/>
        <v>33582</v>
      </c>
      <c r="AB129" s="1221">
        <f t="shared" si="226"/>
        <v>29456</v>
      </c>
      <c r="AC129" s="1221">
        <f t="shared" si="226"/>
        <v>32984</v>
      </c>
      <c r="AD129" s="1221">
        <f t="shared" si="216"/>
        <v>96100</v>
      </c>
      <c r="AE129" s="1221">
        <f t="shared" si="217"/>
        <v>103135.38699054373</v>
      </c>
      <c r="AF129" s="1221">
        <f t="shared" si="218"/>
        <v>110300</v>
      </c>
      <c r="AG129" s="1221">
        <f t="shared" si="219"/>
        <v>96022</v>
      </c>
      <c r="AH129" s="1221">
        <f>AD129+AE129</f>
        <v>199235.38699054375</v>
      </c>
      <c r="AI129" s="1221">
        <f>AG129+AF129</f>
        <v>206322</v>
      </c>
      <c r="AJ129" s="1221">
        <f>AH129+AI129</f>
        <v>405557.38699054375</v>
      </c>
      <c r="AL129" s="1214">
        <f ca="1">SUM((INDIRECT(AL$2&amp;(ROW())):INDIRECT(AL$3&amp;(ROW()))))</f>
        <v>32984</v>
      </c>
      <c r="AM129" s="1221">
        <f ca="1">SUM(INDIRECT(AM$1&amp;AM$2&amp;$C129):INDIRECT(AM$1&amp;AM$3&amp;$C129))</f>
        <v>0.35274103387603267</v>
      </c>
      <c r="AN129" s="3119">
        <f t="shared" ca="1" si="169"/>
        <v>32983.647258966121</v>
      </c>
      <c r="AO129" s="2768">
        <f t="shared" ca="1" si="220"/>
        <v>93507.692137660109</v>
      </c>
      <c r="AP129" s="1221">
        <f ca="1">SUM(INDIRECT(AP$1&amp;AP$2&amp;$A129):INDIRECT(AP$1&amp;AP$3&amp;$A129))+SUM(INDIRECT(AP$1&amp;AP$2&amp;$B129):INDIRECT(AP$1&amp;AP$3&amp;$B129))</f>
        <v>179970.37031000003</v>
      </c>
      <c r="AQ129" s="3119">
        <f t="shared" ca="1" si="171"/>
        <v>-146986.37031000003</v>
      </c>
      <c r="AR129" s="2768">
        <f t="shared" ca="1" si="221"/>
        <v>0.18327461316651661</v>
      </c>
      <c r="AT129" s="1214">
        <f ca="1">SUM((INDIRECT(AT$2&amp;(ROW())):INDIRECT(AT$3&amp;(ROW()))))</f>
        <v>96022</v>
      </c>
      <c r="AU129" s="1221">
        <f ca="1">SUM(INDIRECT(AU$1&amp;AU$2&amp;$C129):INDIRECT(AU$1&amp;AU$3&amp;$C129))</f>
        <v>1.0555206069055496</v>
      </c>
      <c r="AV129" s="3119">
        <f t="shared" ca="1" si="173"/>
        <v>96020.944479393089</v>
      </c>
      <c r="AW129" s="2768">
        <f t="shared" ca="1" si="222"/>
        <v>90971.222515025962</v>
      </c>
      <c r="AX129" s="1221">
        <f ca="1">SUM(INDIRECT(AX$1&amp;AX$2&amp;$A129):INDIRECT(AX$1&amp;AX$3&amp;$A129))+SUM(INDIRECT(AX$1&amp;AX$2&amp;$B129):INDIRECT(AX$1&amp;AX$3&amp;$B129))</f>
        <v>578926.37031000003</v>
      </c>
      <c r="AY129" s="3119">
        <f t="shared" ca="1" si="175"/>
        <v>-482904.37031000003</v>
      </c>
      <c r="AZ129" s="2768">
        <f t="shared" ca="1" si="223"/>
        <v>0.16586219755127532</v>
      </c>
      <c r="BB129" s="1214">
        <f ca="1">SUM((INDIRECT(BB$2&amp;(ROW())):INDIRECT(BB$3&amp;(ROW()))))</f>
        <v>405557.38699054375</v>
      </c>
      <c r="BC129" s="1221">
        <f ca="1">SUM(INDIRECT(BC$1&amp;BC$2&amp;$C129):INDIRECT(BC$1&amp;BC$3&amp;$C129))</f>
        <v>1.7592905568939021</v>
      </c>
      <c r="BD129" s="3119">
        <f t="shared" ca="1" si="177"/>
        <v>405555.62769998686</v>
      </c>
      <c r="BE129" s="2768">
        <f t="shared" ca="1" si="224"/>
        <v>230523.25575291642</v>
      </c>
      <c r="BF129" s="1221">
        <f ca="1">SUM(INDIRECT(BF$1&amp;BF$2&amp;$A129):INDIRECT(BF$1&amp;BF$3&amp;$A129))+SUM(INDIRECT(BF$1&amp;BF$2&amp;$B129):INDIRECT(BF$1&amp;BF$3&amp;$B129))</f>
        <v>1662811.5063100001</v>
      </c>
      <c r="BG129" s="3119">
        <f t="shared" ca="1" si="179"/>
        <v>-1257254.1193194564</v>
      </c>
      <c r="BH129" s="2768">
        <f t="shared" ca="1" si="225"/>
        <v>0.24389859310664114</v>
      </c>
    </row>
    <row r="130" spans="1:60" ht="14.5">
      <c r="A130" s="616">
        <f t="shared" si="181"/>
        <v>104</v>
      </c>
      <c r="B130" s="616">
        <v>1</v>
      </c>
      <c r="C130" s="616">
        <f t="shared" si="109"/>
        <v>127</v>
      </c>
      <c r="D130" s="709" t="s">
        <v>1308</v>
      </c>
      <c r="E130" s="2547">
        <v>1</v>
      </c>
      <c r="F130" s="4"/>
      <c r="G130" s="4"/>
      <c r="H130" s="4"/>
      <c r="I130" s="27"/>
      <c r="J130" s="3"/>
      <c r="K130" s="4"/>
      <c r="L130" s="4"/>
      <c r="M130" s="3" t="s">
        <v>2</v>
      </c>
      <c r="N130" s="3"/>
      <c r="O130" s="3"/>
      <c r="P130" s="3"/>
      <c r="Q130" s="1789" t="str">
        <f>CHOOSE(2, "6722000003049", "PL (1)-1 Gross Profit Others")</f>
        <v>PL (1)-1 Gross Profit Others</v>
      </c>
      <c r="R130" s="1214">
        <f t="shared" ref="R130:AC130" si="227">R509+R533</f>
        <v>0</v>
      </c>
      <c r="S130" s="1221">
        <f t="shared" si="227"/>
        <v>0</v>
      </c>
      <c r="T130" s="1221">
        <f t="shared" si="227"/>
        <v>0</v>
      </c>
      <c r="U130" s="1221">
        <f t="shared" si="227"/>
        <v>0</v>
      </c>
      <c r="V130" s="1221">
        <f t="shared" si="227"/>
        <v>0</v>
      </c>
      <c r="W130" s="1221">
        <f t="shared" si="227"/>
        <v>0</v>
      </c>
      <c r="X130" s="1221">
        <f t="shared" si="227"/>
        <v>0</v>
      </c>
      <c r="Y130" s="1221">
        <f t="shared" si="227"/>
        <v>0</v>
      </c>
      <c r="Z130" s="1221">
        <f t="shared" si="227"/>
        <v>0</v>
      </c>
      <c r="AA130" s="1221">
        <f t="shared" si="227"/>
        <v>0</v>
      </c>
      <c r="AB130" s="1221">
        <f t="shared" si="227"/>
        <v>0</v>
      </c>
      <c r="AC130" s="1221">
        <f t="shared" si="227"/>
        <v>0</v>
      </c>
      <c r="AD130" s="1221">
        <f t="shared" si="216"/>
        <v>0</v>
      </c>
      <c r="AE130" s="1221">
        <f t="shared" si="217"/>
        <v>0</v>
      </c>
      <c r="AF130" s="1221">
        <f t="shared" si="218"/>
        <v>0</v>
      </c>
      <c r="AG130" s="1221">
        <f t="shared" si="219"/>
        <v>0</v>
      </c>
      <c r="AH130" s="1221">
        <f>AD130+AE130</f>
        <v>0</v>
      </c>
      <c r="AI130" s="1221">
        <f>AG130+AF130</f>
        <v>0</v>
      </c>
      <c r="AJ130" s="1221">
        <f>AH130+AI130</f>
        <v>0</v>
      </c>
      <c r="AL130" s="1214">
        <f ca="1">SUM((INDIRECT(AL$2&amp;(ROW())):INDIRECT(AL$3&amp;(ROW()))))</f>
        <v>0</v>
      </c>
      <c r="AM130" s="1221">
        <f ca="1">SUM(INDIRECT(AM$1&amp;AM$2&amp;$C130):INDIRECT(AM$1&amp;AM$3&amp;$C130))</f>
        <v>0</v>
      </c>
      <c r="AN130" s="3119">
        <f t="shared" ca="1" si="169"/>
        <v>0</v>
      </c>
      <c r="AO130" s="2768">
        <f t="shared" ca="1" si="220"/>
        <v>0</v>
      </c>
      <c r="AP130" s="1221">
        <f ca="1">SUM(INDIRECT(AP$1&amp;AP$2&amp;$A130):INDIRECT(AP$1&amp;AP$3&amp;$A130))+SUM(INDIRECT(AP$1&amp;AP$2&amp;$B130):INDIRECT(AP$1&amp;AP$3&amp;$B130))</f>
        <v>81100</v>
      </c>
      <c r="AQ130" s="3119">
        <f t="shared" ca="1" si="171"/>
        <v>-81100</v>
      </c>
      <c r="AR130" s="2768">
        <f t="shared" ca="1" si="221"/>
        <v>0</v>
      </c>
      <c r="AT130" s="1214">
        <f ca="1">SUM((INDIRECT(AT$2&amp;(ROW())):INDIRECT(AT$3&amp;(ROW()))))</f>
        <v>0</v>
      </c>
      <c r="AU130" s="1221">
        <f ca="1">SUM(INDIRECT(AU$1&amp;AU$2&amp;$C130):INDIRECT(AU$1&amp;AU$3&amp;$C130))</f>
        <v>0</v>
      </c>
      <c r="AV130" s="3119">
        <f t="shared" ca="1" si="173"/>
        <v>0</v>
      </c>
      <c r="AW130" s="2768">
        <f t="shared" ca="1" si="222"/>
        <v>0</v>
      </c>
      <c r="AX130" s="1221">
        <f ca="1">SUM(INDIRECT(AX$1&amp;AX$2&amp;$A130):INDIRECT(AX$1&amp;AX$3&amp;$A130))+SUM(INDIRECT(AX$1&amp;AX$2&amp;$B130):INDIRECT(AX$1&amp;AX$3&amp;$B130))</f>
        <v>250313</v>
      </c>
      <c r="AY130" s="3119">
        <f t="shared" ca="1" si="175"/>
        <v>-250313</v>
      </c>
      <c r="AZ130" s="2768">
        <f t="shared" ca="1" si="223"/>
        <v>0</v>
      </c>
      <c r="BB130" s="1214">
        <f ca="1">SUM((INDIRECT(BB$2&amp;(ROW())):INDIRECT(BB$3&amp;(ROW()))))</f>
        <v>0</v>
      </c>
      <c r="BC130" s="1221">
        <f ca="1">SUM(INDIRECT(BC$1&amp;BC$2&amp;$C130):INDIRECT(BC$1&amp;BC$3&amp;$C130))</f>
        <v>0</v>
      </c>
      <c r="BD130" s="3119">
        <f t="shared" ca="1" si="177"/>
        <v>0</v>
      </c>
      <c r="BE130" s="2768">
        <f t="shared" ca="1" si="224"/>
        <v>0</v>
      </c>
      <c r="BF130" s="1221">
        <f ca="1">SUM(INDIRECT(BF$1&amp;BF$2&amp;$A130):INDIRECT(BF$1&amp;BF$3&amp;$A130))+SUM(INDIRECT(BF$1&amp;BF$2&amp;$B130):INDIRECT(BF$1&amp;BF$3&amp;$B130))</f>
        <v>933183.22393999994</v>
      </c>
      <c r="BG130" s="3119">
        <f t="shared" ca="1" si="179"/>
        <v>-933183.22393999994</v>
      </c>
      <c r="BH130" s="2768">
        <f t="shared" ca="1" si="225"/>
        <v>0</v>
      </c>
    </row>
    <row r="131" spans="1:60" ht="14.5">
      <c r="A131" s="616">
        <f t="shared" si="181"/>
        <v>105</v>
      </c>
      <c r="B131" s="616">
        <v>1</v>
      </c>
      <c r="C131" s="616">
        <f t="shared" si="109"/>
        <v>128</v>
      </c>
      <c r="D131" s="709" t="s">
        <v>1308</v>
      </c>
      <c r="E131" s="2547">
        <v>1</v>
      </c>
      <c r="F131" s="4"/>
      <c r="G131" s="4"/>
      <c r="H131" s="4"/>
      <c r="I131" s="3115" t="s">
        <v>29</v>
      </c>
      <c r="J131" s="580"/>
      <c r="K131" s="863"/>
      <c r="L131" s="863"/>
      <c r="M131" s="863"/>
      <c r="N131" s="863"/>
      <c r="O131" s="863"/>
      <c r="P131" s="863"/>
      <c r="Q131" s="1788" t="str">
        <f>CHOOSE(2, "6722000003050", "PL (1)-1 SGA Expenses")</f>
        <v>PL (1)-1 SGA Expenses</v>
      </c>
      <c r="R131" s="1258">
        <f>SUM(R132:R134)</f>
        <v>54272.654876761728</v>
      </c>
      <c r="S131" s="3116">
        <f t="shared" ref="S131:AC131" si="228">SUM(S132:S134)</f>
        <v>51065.781749495058</v>
      </c>
      <c r="T131" s="3116">
        <f t="shared" si="228"/>
        <v>57825.093540299524</v>
      </c>
      <c r="U131" s="3116">
        <f t="shared" si="228"/>
        <v>54730.75411129056</v>
      </c>
      <c r="V131" s="3116">
        <f t="shared" si="228"/>
        <v>61366.723091524458</v>
      </c>
      <c r="W131" s="3116">
        <f t="shared" si="228"/>
        <v>54133.565804311962</v>
      </c>
      <c r="X131" s="3116">
        <f t="shared" si="228"/>
        <v>70453.49449066988</v>
      </c>
      <c r="Y131" s="3116">
        <f t="shared" si="228"/>
        <v>55028.165540691596</v>
      </c>
      <c r="Z131" s="3116">
        <f t="shared" si="228"/>
        <v>78120.228639599794</v>
      </c>
      <c r="AA131" s="3116">
        <f t="shared" si="228"/>
        <v>72517.604514694103</v>
      </c>
      <c r="AB131" s="3116">
        <f t="shared" si="228"/>
        <v>62177.614876062988</v>
      </c>
      <c r="AC131" s="3116">
        <f t="shared" si="228"/>
        <v>75419.044609848177</v>
      </c>
      <c r="AD131" s="3116">
        <f t="shared" si="216"/>
        <v>163163.5301665563</v>
      </c>
      <c r="AE131" s="3116">
        <f t="shared" si="217"/>
        <v>170231.04300712698</v>
      </c>
      <c r="AF131" s="3116">
        <f t="shared" si="218"/>
        <v>203601.88867096126</v>
      </c>
      <c r="AG131" s="3116">
        <f t="shared" si="219"/>
        <v>210114.26400060527</v>
      </c>
      <c r="AH131" s="3116">
        <f t="shared" ref="AH131:AJ131" si="229">SUM(AH132:AH134)</f>
        <v>333394.57317368325</v>
      </c>
      <c r="AI131" s="3116">
        <f t="shared" si="229"/>
        <v>413716.15267156658</v>
      </c>
      <c r="AJ131" s="3116">
        <f t="shared" si="229"/>
        <v>747110.72584524984</v>
      </c>
      <c r="AL131" s="1258">
        <f ca="1">SUM((INDIRECT(AL$2&amp;(ROW())):INDIRECT(AL$3&amp;(ROW()))))</f>
        <v>75419.044609848177</v>
      </c>
      <c r="AM131" s="3116">
        <f ca="1">SUM(INDIRECT(AM$1&amp;AM$2&amp;$C131):INDIRECT(AM$1&amp;AM$3&amp;$C131))</f>
        <v>36104.665478732633</v>
      </c>
      <c r="AN131" s="3117">
        <f t="shared" ca="1" si="169"/>
        <v>39314.379131115544</v>
      </c>
      <c r="AO131" s="3118">
        <f t="shared" ca="1" si="220"/>
        <v>2.0889002462652253</v>
      </c>
      <c r="AP131" s="3116">
        <f ca="1">SUM(INDIRECT(AP$1&amp;AP$2&amp;$A131):INDIRECT(AP$1&amp;AP$3&amp;$A131))+SUM(INDIRECT(AP$1&amp;AP$2&amp;$B131):INDIRECT(AP$1&amp;AP$3&amp;$B131))</f>
        <v>0</v>
      </c>
      <c r="AQ131" s="3117">
        <f t="shared" ca="1" si="171"/>
        <v>75419.044609848177</v>
      </c>
      <c r="AR131" s="3118">
        <f t="shared" ca="1" si="221"/>
        <v>0</v>
      </c>
      <c r="AT131" s="1258">
        <f ca="1">SUM((INDIRECT(AT$2&amp;(ROW())):INDIRECT(AT$3&amp;(ROW()))))</f>
        <v>210114.26400060527</v>
      </c>
      <c r="AU131" s="3116">
        <f ca="1">SUM(INDIRECT(AU$1&amp;AU$2&amp;$C131):INDIRECT(AU$1&amp;AU$3&amp;$C131))</f>
        <v>104679.61283321405</v>
      </c>
      <c r="AV131" s="3117">
        <f t="shared" ca="1" si="173"/>
        <v>105434.65116739122</v>
      </c>
      <c r="AW131" s="3118">
        <f t="shared" ca="1" si="222"/>
        <v>2.007212849892559</v>
      </c>
      <c r="AX131" s="3116">
        <f ca="1">SUM(INDIRECT(AX$1&amp;AX$2&amp;$A131):INDIRECT(AX$1&amp;AX$3&amp;$A131))+SUM(INDIRECT(AX$1&amp;AX$2&amp;$B131):INDIRECT(AX$1&amp;AX$3&amp;$B131))</f>
        <v>0</v>
      </c>
      <c r="AY131" s="3117">
        <f t="shared" ca="1" si="175"/>
        <v>210114.26400060527</v>
      </c>
      <c r="AZ131" s="3118">
        <f t="shared" ca="1" si="223"/>
        <v>0</v>
      </c>
      <c r="BB131" s="1258">
        <f ca="1">SUM((INDIRECT(BB$2&amp;(ROW())):INDIRECT(BB$3&amp;(ROW()))))</f>
        <v>747110.72584524972</v>
      </c>
      <c r="BC131" s="3116">
        <f ca="1">SUM(INDIRECT(BC$1&amp;BC$2&amp;$C131):INDIRECT(BC$1&amp;BC$3&amp;$C131))</f>
        <v>174935.16816721161</v>
      </c>
      <c r="BD131" s="3117">
        <f t="shared" ca="1" si="177"/>
        <v>572175.55767803814</v>
      </c>
      <c r="BE131" s="3118">
        <f t="shared" ca="1" si="224"/>
        <v>4.2707863357190972</v>
      </c>
      <c r="BF131" s="3116">
        <f ca="1">SUM(INDIRECT(BF$1&amp;BF$2&amp;$A131):INDIRECT(BF$1&amp;BF$3&amp;$A131))+SUM(INDIRECT(BF$1&amp;BF$2&amp;$B131):INDIRECT(BF$1&amp;BF$3&amp;$B131))</f>
        <v>0</v>
      </c>
      <c r="BG131" s="3117">
        <f t="shared" ca="1" si="179"/>
        <v>747110.72584524972</v>
      </c>
      <c r="BH131" s="3118">
        <f t="shared" ca="1" si="225"/>
        <v>0</v>
      </c>
    </row>
    <row r="132" spans="1:60" ht="14.5">
      <c r="A132" s="616">
        <f t="shared" si="181"/>
        <v>106</v>
      </c>
      <c r="B132" s="616">
        <v>1</v>
      </c>
      <c r="C132" s="616">
        <f t="shared" si="109"/>
        <v>129</v>
      </c>
      <c r="D132" s="709" t="s">
        <v>1308</v>
      </c>
      <c r="E132" s="2547">
        <v>1</v>
      </c>
      <c r="F132" s="4"/>
      <c r="G132" s="4"/>
      <c r="H132" s="4"/>
      <c r="I132" s="27"/>
      <c r="J132" s="36" t="s">
        <v>1329</v>
      </c>
      <c r="K132" s="4"/>
      <c r="L132" s="4"/>
      <c r="M132" s="3"/>
      <c r="N132" s="3"/>
      <c r="O132" s="3"/>
      <c r="P132" s="3"/>
      <c r="Q132" s="1790" t="str">
        <f>CHOOSE(2, "6722000003051", "PL (1)-1 SGA Expenses Variable Expenses")</f>
        <v>PL (1)-1 SGA Expenses Variable Expenses</v>
      </c>
      <c r="R132" s="1215">
        <v>18484.978492826012</v>
      </c>
      <c r="S132" s="1222">
        <v>13981.431285831692</v>
      </c>
      <c r="T132" s="1222">
        <v>15389.78850652805</v>
      </c>
      <c r="U132" s="1222">
        <v>18363.865951527823</v>
      </c>
      <c r="V132" s="1222">
        <v>19468.900872682909</v>
      </c>
      <c r="W132" s="1222">
        <v>25127.29609466136</v>
      </c>
      <c r="X132" s="1222">
        <v>12267.925652022048</v>
      </c>
      <c r="Y132" s="1222">
        <v>12982.564082891164</v>
      </c>
      <c r="Z132" s="1222">
        <v>37345.695195401015</v>
      </c>
      <c r="AA132" s="1222">
        <f>16057.705419007+9800</f>
        <v>25857.705419006998</v>
      </c>
      <c r="AB132" s="1222">
        <v>26028.869694732028</v>
      </c>
      <c r="AC132" s="1222">
        <v>17188.262359450138</v>
      </c>
      <c r="AD132" s="1221">
        <f t="shared" si="216"/>
        <v>47856.198285185754</v>
      </c>
      <c r="AE132" s="1221">
        <f t="shared" si="217"/>
        <v>62960.062918872092</v>
      </c>
      <c r="AF132" s="1221">
        <f t="shared" si="218"/>
        <v>62596.184930314223</v>
      </c>
      <c r="AG132" s="1221">
        <f t="shared" si="219"/>
        <v>69074.837473189167</v>
      </c>
      <c r="AH132" s="1221">
        <f>AD132+AE132</f>
        <v>110816.26120405784</v>
      </c>
      <c r="AI132" s="1221">
        <f>AG132+AF132</f>
        <v>131671.02240350339</v>
      </c>
      <c r="AJ132" s="1221">
        <f>AH132+AI132</f>
        <v>242487.28360756123</v>
      </c>
      <c r="AL132" s="1214">
        <f ca="1">SUM((INDIRECT(AL$2&amp;(ROW())):INDIRECT(AL$3&amp;(ROW()))))</f>
        <v>17188.262359450138</v>
      </c>
      <c r="AM132" s="1221">
        <f ca="1">SUM(INDIRECT(AM$1&amp;AM$2&amp;$C132):INDIRECT(AM$1&amp;AM$3&amp;$C132))</f>
        <v>30871.515542572673</v>
      </c>
      <c r="AN132" s="3119">
        <f t="shared" ca="1" si="169"/>
        <v>-13683.253183122535</v>
      </c>
      <c r="AO132" s="2768">
        <f t="shared" ca="1" si="220"/>
        <v>0.55676768883429284</v>
      </c>
      <c r="AP132" s="1221">
        <f ca="1">SUM(INDIRECT(AP$1&amp;AP$2&amp;$A132):INDIRECT(AP$1&amp;AP$3&amp;$A132))+SUM(INDIRECT(AP$1&amp;AP$2&amp;$B132):INDIRECT(AP$1&amp;AP$3&amp;$B132))</f>
        <v>261070.37031000003</v>
      </c>
      <c r="AQ132" s="3119">
        <f t="shared" ca="1" si="171"/>
        <v>-243882.10795054989</v>
      </c>
      <c r="AR132" s="2768">
        <f t="shared" ca="1" si="221"/>
        <v>6.5837660317562899E-2</v>
      </c>
      <c r="AT132" s="1214">
        <f ca="1">SUM((INDIRECT(AT$2&amp;(ROW())):INDIRECT(AT$3&amp;(ROW()))))</f>
        <v>69074.837473189167</v>
      </c>
      <c r="AU132" s="1221">
        <f ca="1">SUM(INDIRECT(AU$1&amp;AU$2&amp;$C132):INDIRECT(AU$1&amp;AU$3&amp;$C132))</f>
        <v>89562.505651898857</v>
      </c>
      <c r="AV132" s="3119">
        <f t="shared" ca="1" si="173"/>
        <v>-20487.66817870969</v>
      </c>
      <c r="AW132" s="2768">
        <f t="shared" ca="1" si="222"/>
        <v>0.77124726435927571</v>
      </c>
      <c r="AX132" s="1221">
        <f ca="1">SUM(INDIRECT(AX$1&amp;AX$2&amp;$A132):INDIRECT(AX$1&amp;AX$3&amp;$A132))+SUM(INDIRECT(AX$1&amp;AX$2&amp;$B132):INDIRECT(AX$1&amp;AX$3&amp;$B132))</f>
        <v>829239.37031000003</v>
      </c>
      <c r="AY132" s="3119">
        <f t="shared" ca="1" si="175"/>
        <v>-760164.53283681092</v>
      </c>
      <c r="AZ132" s="2768">
        <f t="shared" ca="1" si="223"/>
        <v>8.3299032759824782E-2</v>
      </c>
      <c r="BB132" s="1214">
        <f ca="1">SUM((INDIRECT(BB$2&amp;(ROW())):INDIRECT(BB$3&amp;(ROW()))))</f>
        <v>242487.28360756123</v>
      </c>
      <c r="BC132" s="1221">
        <f ca="1">SUM(INDIRECT(BC$1&amp;BC$2&amp;$C132):INDIRECT(BC$1&amp;BC$3&amp;$C132))</f>
        <v>152087.90115758183</v>
      </c>
      <c r="BD132" s="3119">
        <f t="shared" ca="1" si="177"/>
        <v>90399.382449979399</v>
      </c>
      <c r="BE132" s="2768">
        <f t="shared" ca="1" si="224"/>
        <v>1.5943890458210379</v>
      </c>
      <c r="BF132" s="1221">
        <f ca="1">SUM(INDIRECT(BF$1&amp;BF$2&amp;$A132):INDIRECT(BF$1&amp;BF$3&amp;$A132))+SUM(INDIRECT(BF$1&amp;BF$2&amp;$B132):INDIRECT(BF$1&amp;BF$3&amp;$B132))</f>
        <v>2595994.73025</v>
      </c>
      <c r="BG132" s="3119">
        <f t="shared" ca="1" si="179"/>
        <v>-2353507.4466424389</v>
      </c>
      <c r="BH132" s="2768">
        <f t="shared" ca="1" si="225"/>
        <v>9.3408234146996574E-2</v>
      </c>
    </row>
    <row r="133" spans="1:60" ht="14.5">
      <c r="A133" s="616">
        <f t="shared" si="181"/>
        <v>107</v>
      </c>
      <c r="B133" s="616">
        <v>1</v>
      </c>
      <c r="C133" s="616">
        <f t="shared" si="109"/>
        <v>130</v>
      </c>
      <c r="D133" s="709" t="s">
        <v>1308</v>
      </c>
      <c r="E133" s="2547">
        <v>1</v>
      </c>
      <c r="F133" s="4"/>
      <c r="G133" s="4"/>
      <c r="H133" s="4"/>
      <c r="I133" s="27"/>
      <c r="J133" s="36" t="s">
        <v>1330</v>
      </c>
      <c r="K133" s="4"/>
      <c r="L133" s="4"/>
      <c r="M133" s="3"/>
      <c r="N133" s="3"/>
      <c r="O133" s="3"/>
      <c r="P133" s="3"/>
      <c r="Q133" s="1790" t="str">
        <f>CHOOSE(2, "6722000003052", "PL (1)-1 SGA Expenses Wages &amp; Salaries")</f>
        <v>PL (1)-1 SGA Expenses Wages &amp; Salaries</v>
      </c>
      <c r="R133" s="1215">
        <v>21961</v>
      </c>
      <c r="S133" s="1222">
        <f>22453.8663966288-886</f>
        <v>21567.8663966288</v>
      </c>
      <c r="T133" s="1222">
        <f>22174.626969484+570</f>
        <v>22744.626969484001</v>
      </c>
      <c r="U133" s="1222">
        <v>21566.008818655566</v>
      </c>
      <c r="V133" s="1222">
        <v>22158.418176601943</v>
      </c>
      <c r="W133" s="1222">
        <v>23162.478800583944</v>
      </c>
      <c r="X133" s="1222">
        <v>30937.754196601556</v>
      </c>
      <c r="Y133" s="1222">
        <v>24670.657007676753</v>
      </c>
      <c r="Z133" s="1222">
        <v>26662.93337931775</v>
      </c>
      <c r="AA133" s="1222">
        <v>24301.371068526183</v>
      </c>
      <c r="AB133" s="1222">
        <v>27010.163973104827</v>
      </c>
      <c r="AC133" s="1222">
        <v>22372.892605307599</v>
      </c>
      <c r="AD133" s="1221">
        <f t="shared" si="216"/>
        <v>66273.493366112802</v>
      </c>
      <c r="AE133" s="1221">
        <f t="shared" si="217"/>
        <v>66886.905795841449</v>
      </c>
      <c r="AF133" s="1221">
        <f t="shared" si="218"/>
        <v>82271.344583596059</v>
      </c>
      <c r="AG133" s="1221">
        <f t="shared" si="219"/>
        <v>73684.42764693861</v>
      </c>
      <c r="AH133" s="1221">
        <f>AD133+AE133</f>
        <v>133160.39916195424</v>
      </c>
      <c r="AI133" s="1221">
        <f>AG133+AF133</f>
        <v>155955.77223053467</v>
      </c>
      <c r="AJ133" s="1221">
        <f>AH133+AI133</f>
        <v>289116.17139248888</v>
      </c>
      <c r="AL133" s="1214">
        <f ca="1">SUM((INDIRECT(AL$2&amp;(ROW())):INDIRECT(AL$3&amp;(ROW()))))</f>
        <v>22372.892605307599</v>
      </c>
      <c r="AM133" s="1221">
        <f ca="1">SUM(INDIRECT(AM$1&amp;AM$2&amp;$C133):INDIRECT(AM$1&amp;AM$3&amp;$C133))</f>
        <v>0</v>
      </c>
      <c r="AN133" s="3119">
        <f t="shared" ca="1" si="169"/>
        <v>22372.892605307599</v>
      </c>
      <c r="AO133" s="2768">
        <f t="shared" ca="1" si="220"/>
        <v>0</v>
      </c>
      <c r="AP133" s="1221">
        <f ca="1">SUM(INDIRECT(AP$1&amp;AP$2&amp;$A133):INDIRECT(AP$1&amp;AP$3&amp;$A133))+SUM(INDIRECT(AP$1&amp;AP$2&amp;$B133):INDIRECT(AP$1&amp;AP$3&amp;$B133))</f>
        <v>179970.37031000003</v>
      </c>
      <c r="AQ133" s="3119">
        <f t="shared" ca="1" si="171"/>
        <v>-157597.47770469243</v>
      </c>
      <c r="AR133" s="2768">
        <f t="shared" ca="1" si="221"/>
        <v>0.12431431111004639</v>
      </c>
      <c r="AT133" s="1214">
        <f ca="1">SUM((INDIRECT(AT$2&amp;(ROW())):INDIRECT(AT$3&amp;(ROW()))))</f>
        <v>73684.42764693861</v>
      </c>
      <c r="AU133" s="1221">
        <f ca="1">SUM(INDIRECT(AU$1&amp;AU$2&amp;$C133):INDIRECT(AU$1&amp;AU$3&amp;$C133))</f>
        <v>0</v>
      </c>
      <c r="AV133" s="3119">
        <f t="shared" ca="1" si="173"/>
        <v>73684.42764693861</v>
      </c>
      <c r="AW133" s="2768">
        <f t="shared" ca="1" si="222"/>
        <v>0</v>
      </c>
      <c r="AX133" s="1221">
        <f ca="1">SUM(INDIRECT(AX$1&amp;AX$2&amp;$A133):INDIRECT(AX$1&amp;AX$3&amp;$A133))+SUM(INDIRECT(AX$1&amp;AX$2&amp;$B133):INDIRECT(AX$1&amp;AX$3&amp;$B133))</f>
        <v>578926.37031000003</v>
      </c>
      <c r="AY133" s="3119">
        <f t="shared" ca="1" si="175"/>
        <v>-505241.94266306143</v>
      </c>
      <c r="AZ133" s="2768">
        <f t="shared" ca="1" si="223"/>
        <v>0.12727771859395956</v>
      </c>
      <c r="BB133" s="1214">
        <f ca="1">SUM((INDIRECT(BB$2&amp;(ROW())):INDIRECT(BB$3&amp;(ROW()))))</f>
        <v>289116.17139248888</v>
      </c>
      <c r="BC133" s="1221">
        <f ca="1">SUM(INDIRECT(BC$1&amp;BC$2&amp;$C133):INDIRECT(BC$1&amp;BC$3&amp;$C133))</f>
        <v>0</v>
      </c>
      <c r="BD133" s="3119">
        <f t="shared" ca="1" si="177"/>
        <v>289116.17139248888</v>
      </c>
      <c r="BE133" s="2768">
        <f t="shared" ca="1" si="224"/>
        <v>0</v>
      </c>
      <c r="BF133" s="1221">
        <f ca="1">SUM(INDIRECT(BF$1&amp;BF$2&amp;$A133):INDIRECT(BF$1&amp;BF$3&amp;$A133))+SUM(INDIRECT(BF$1&amp;BF$2&amp;$B133):INDIRECT(BF$1&amp;BF$3&amp;$B133))</f>
        <v>1662811.5063100001</v>
      </c>
      <c r="BG133" s="3119">
        <f t="shared" ca="1" si="179"/>
        <v>-1373695.3349175113</v>
      </c>
      <c r="BH133" s="2768">
        <f t="shared" ca="1" si="225"/>
        <v>0.17387188523495131</v>
      </c>
    </row>
    <row r="134" spans="1:60" ht="14.5">
      <c r="A134" s="616">
        <f t="shared" si="181"/>
        <v>108</v>
      </c>
      <c r="B134" s="616">
        <v>1</v>
      </c>
      <c r="C134" s="616">
        <f t="shared" si="109"/>
        <v>131</v>
      </c>
      <c r="D134" s="709" t="s">
        <v>1308</v>
      </c>
      <c r="E134" s="2547">
        <v>1</v>
      </c>
      <c r="F134" s="4"/>
      <c r="G134" s="4"/>
      <c r="H134" s="4"/>
      <c r="I134" s="27"/>
      <c r="J134" s="36" t="s">
        <v>1331</v>
      </c>
      <c r="K134" s="48"/>
      <c r="L134" s="48"/>
      <c r="M134" s="47"/>
      <c r="N134" s="47"/>
      <c r="O134" s="47"/>
      <c r="P134" s="47"/>
      <c r="Q134" s="1790" t="str">
        <f>CHOOSE(2, "6722000003053", "PL (1)-1 SGA Expenses Fixed Expenses")</f>
        <v>PL (1)-1 SGA Expenses Fixed Expenses</v>
      </c>
      <c r="R134" s="1387">
        <v>13826.676383935717</v>
      </c>
      <c r="S134" s="1231">
        <v>15516.484067034562</v>
      </c>
      <c r="T134" s="1231">
        <v>19690.678064287476</v>
      </c>
      <c r="U134" s="1231">
        <v>14800.879341107169</v>
      </c>
      <c r="V134" s="1231">
        <v>19739.40404223961</v>
      </c>
      <c r="W134" s="1231">
        <v>5843.7909090666544</v>
      </c>
      <c r="X134" s="1231">
        <v>27247.814642046273</v>
      </c>
      <c r="Y134" s="1231">
        <v>17374.944450123679</v>
      </c>
      <c r="Z134" s="1231">
        <v>14111.600064881033</v>
      </c>
      <c r="AA134" s="1231">
        <v>22358.528027160923</v>
      </c>
      <c r="AB134" s="1231">
        <v>9138.5812082261364</v>
      </c>
      <c r="AC134" s="1231">
        <v>35857.88964509045</v>
      </c>
      <c r="AD134" s="1230">
        <f t="shared" si="216"/>
        <v>49033.838515257754</v>
      </c>
      <c r="AE134" s="1230">
        <f t="shared" si="217"/>
        <v>40384.074292413439</v>
      </c>
      <c r="AF134" s="1230">
        <f t="shared" si="218"/>
        <v>58734.359157050989</v>
      </c>
      <c r="AG134" s="1230">
        <f t="shared" si="219"/>
        <v>67354.998880477506</v>
      </c>
      <c r="AH134" s="1230">
        <f>AD134+AE134</f>
        <v>89417.912807671193</v>
      </c>
      <c r="AI134" s="1230">
        <f>AG134+AF134</f>
        <v>126089.35803752849</v>
      </c>
      <c r="AJ134" s="1230">
        <f>AH134+AI134</f>
        <v>215507.2708451997</v>
      </c>
      <c r="AL134" s="1257">
        <f ca="1">SUM((INDIRECT(AL$2&amp;(ROW())):INDIRECT(AL$3&amp;(ROW()))))</f>
        <v>35857.88964509045</v>
      </c>
      <c r="AM134" s="1230">
        <f ca="1">SUM(INDIRECT(AM$1&amp;AM$2&amp;$C134):INDIRECT(AM$1&amp;AM$3&amp;$C134))</f>
        <v>58864.749305373545</v>
      </c>
      <c r="AN134" s="3123">
        <f t="shared" ca="1" si="169"/>
        <v>-23006.859660283095</v>
      </c>
      <c r="AO134" s="2775">
        <f t="shared" ca="1" si="220"/>
        <v>0.60915726420696936</v>
      </c>
      <c r="AP134" s="1230">
        <f ca="1">SUM(INDIRECT(AP$1&amp;AP$2&amp;$A134):INDIRECT(AP$1&amp;AP$3&amp;$A134))+SUM(INDIRECT(AP$1&amp;AP$2&amp;$B134):INDIRECT(AP$1&amp;AP$3&amp;$B134))</f>
        <v>81100</v>
      </c>
      <c r="AQ134" s="3123">
        <f t="shared" ca="1" si="171"/>
        <v>-45242.11035490955</v>
      </c>
      <c r="AR134" s="2775">
        <f t="shared" ca="1" si="221"/>
        <v>0.44214413865709556</v>
      </c>
      <c r="AT134" s="1257">
        <f ca="1">SUM((INDIRECT(AT$2&amp;(ROW())):INDIRECT(AT$3&amp;(ROW()))))</f>
        <v>67354.998880477506</v>
      </c>
      <c r="AU134" s="1230">
        <f ca="1">SUM(INDIRECT(AU$1&amp;AU$2&amp;$C134):INDIRECT(AU$1&amp;AU$3&amp;$C134))</f>
        <v>173807.02806672206</v>
      </c>
      <c r="AV134" s="3123">
        <f t="shared" ca="1" si="173"/>
        <v>-106452.02918624456</v>
      </c>
      <c r="AW134" s="2775">
        <f t="shared" ca="1" si="222"/>
        <v>0.38752747590057679</v>
      </c>
      <c r="AX134" s="1230">
        <f ca="1">SUM(INDIRECT(AX$1&amp;AX$2&amp;$A134):INDIRECT(AX$1&amp;AX$3&amp;$A134))+SUM(INDIRECT(AX$1&amp;AX$2&amp;$B134):INDIRECT(AX$1&amp;AX$3&amp;$B134))</f>
        <v>250313</v>
      </c>
      <c r="AY134" s="3123">
        <f t="shared" ca="1" si="175"/>
        <v>-182958.00111952249</v>
      </c>
      <c r="AZ134" s="2775">
        <f t="shared" ca="1" si="223"/>
        <v>0.26908310347635761</v>
      </c>
      <c r="BB134" s="1257">
        <f ca="1">SUM((INDIRECT(BB$2&amp;(ROW())):INDIRECT(BB$3&amp;(ROW()))))</f>
        <v>215507.27084519967</v>
      </c>
      <c r="BC134" s="1230">
        <f ca="1">SUM(INDIRECT(BC$1&amp;BC$2&amp;$C134):INDIRECT(BC$1&amp;BC$3&amp;$C134))</f>
        <v>296494.15060844645</v>
      </c>
      <c r="BD134" s="3123">
        <f t="shared" ca="1" si="177"/>
        <v>-80986.879763246776</v>
      </c>
      <c r="BE134" s="2775">
        <f t="shared" ca="1" si="224"/>
        <v>0.72685167785924054</v>
      </c>
      <c r="BF134" s="1230">
        <f ca="1">SUM(INDIRECT(BF$1&amp;BF$2&amp;$A134):INDIRECT(BF$1&amp;BF$3&amp;$A134))+SUM(INDIRECT(BF$1&amp;BF$2&amp;$B134):INDIRECT(BF$1&amp;BF$3&amp;$B134))</f>
        <v>933183.22393999994</v>
      </c>
      <c r="BG134" s="3123">
        <f t="shared" ca="1" si="179"/>
        <v>-717675.95309480024</v>
      </c>
      <c r="BH134" s="2775">
        <f t="shared" ca="1" si="225"/>
        <v>0.23093778940356943</v>
      </c>
    </row>
    <row r="135" spans="1:60" ht="14.5">
      <c r="A135" s="616">
        <f t="shared" si="181"/>
        <v>109</v>
      </c>
      <c r="B135" s="616">
        <v>1</v>
      </c>
      <c r="C135" s="616">
        <f t="shared" si="109"/>
        <v>132</v>
      </c>
      <c r="D135" s="709" t="s">
        <v>1308</v>
      </c>
      <c r="E135" s="2547">
        <v>1</v>
      </c>
      <c r="F135" s="4"/>
      <c r="G135" s="4"/>
      <c r="H135" s="4"/>
      <c r="I135" s="3115" t="s">
        <v>56</v>
      </c>
      <c r="J135" s="580"/>
      <c r="K135" s="863"/>
      <c r="L135" s="863"/>
      <c r="M135" s="580"/>
      <c r="N135" s="580"/>
      <c r="O135" s="580"/>
      <c r="P135" s="580"/>
      <c r="Q135" s="1788" t="str">
        <f>CHOOSE(2, "6722000003054", "PL (1)-1 Business Contribution Profit")</f>
        <v>PL (1)-1 Business Contribution Profit</v>
      </c>
      <c r="R135" s="1258">
        <f t="shared" ref="R135:AJ135" si="230">R123-R131</f>
        <v>7891.3451232382722</v>
      </c>
      <c r="S135" s="3116">
        <f t="shared" si="230"/>
        <v>653.21825050494226</v>
      </c>
      <c r="T135" s="3116">
        <f t="shared" si="230"/>
        <v>10364.906459700476</v>
      </c>
      <c r="U135" s="3116">
        <f t="shared" si="230"/>
        <v>12049.24588870944</v>
      </c>
      <c r="V135" s="3116">
        <f t="shared" si="230"/>
        <v>19515.901158835026</v>
      </c>
      <c r="W135" s="3116">
        <f t="shared" si="230"/>
        <v>31698.434195688038</v>
      </c>
      <c r="X135" s="3116">
        <f t="shared" si="230"/>
        <v>15912.50550933012</v>
      </c>
      <c r="Y135" s="3116">
        <f t="shared" si="230"/>
        <v>28616.834459308404</v>
      </c>
      <c r="Z135" s="3116">
        <f t="shared" si="230"/>
        <v>18098.771360400206</v>
      </c>
      <c r="AA135" s="3116">
        <f t="shared" si="230"/>
        <v>9303.3954853058967</v>
      </c>
      <c r="AB135" s="3116">
        <f t="shared" si="230"/>
        <v>3653.3851239370124</v>
      </c>
      <c r="AC135" s="3116">
        <f t="shared" si="230"/>
        <v>-1295.0446098481771</v>
      </c>
      <c r="AD135" s="3116">
        <f t="shared" si="230"/>
        <v>18909.469833443698</v>
      </c>
      <c r="AE135" s="3116">
        <f t="shared" si="230"/>
        <v>63263.581243232504</v>
      </c>
      <c r="AF135" s="3116">
        <f t="shared" si="230"/>
        <v>62628.111329038744</v>
      </c>
      <c r="AG135" s="3116">
        <f t="shared" si="230"/>
        <v>11661.735999394732</v>
      </c>
      <c r="AH135" s="3116">
        <f t="shared" si="230"/>
        <v>82173.051076676231</v>
      </c>
      <c r="AI135" s="3116">
        <f t="shared" si="230"/>
        <v>74289.847328433418</v>
      </c>
      <c r="AJ135" s="3116">
        <f t="shared" si="230"/>
        <v>156462.89840510965</v>
      </c>
      <c r="AK135" s="221"/>
      <c r="AL135" s="3124">
        <f ca="1">SUM((INDIRECT(AL$2&amp;(ROW())):INDIRECT(AL$3&amp;(ROW()))))</f>
        <v>-1295.0446098481771</v>
      </c>
      <c r="AM135" s="3125">
        <f ca="1">SUM(INDIRECT(AM$1&amp;AM$2&amp;$C135):INDIRECT(AM$1&amp;AM$3&amp;$C135))</f>
        <v>17291.167457738498</v>
      </c>
      <c r="AN135" s="3126">
        <f t="shared" ca="1" si="169"/>
        <v>-18586.212067586675</v>
      </c>
      <c r="AO135" s="3127">
        <f t="shared" ca="1" si="220"/>
        <v>-7.4896308361677003E-2</v>
      </c>
      <c r="AP135" s="3125">
        <f ca="1">SUM(INDIRECT(AP$1&amp;AP$2&amp;$A135):INDIRECT(AP$1&amp;AP$3&amp;$A135))+SUM(INDIRECT(AP$1&amp;AP$2&amp;$B135):INDIRECT(AP$1&amp;AP$3&amp;$B135))</f>
        <v>0</v>
      </c>
      <c r="AQ135" s="3126">
        <f t="shared" ca="1" si="171"/>
        <v>-1295.0446098481771</v>
      </c>
      <c r="AR135" s="3127">
        <f t="shared" ca="1" si="221"/>
        <v>0</v>
      </c>
      <c r="AT135" s="3124">
        <f ca="1">SUM((INDIRECT(AT$2&amp;(ROW())):INDIRECT(AT$3&amp;(ROW()))))</f>
        <v>11661.735999394732</v>
      </c>
      <c r="AU135" s="3125">
        <f ca="1">SUM(INDIRECT(AU$1&amp;AU$2&amp;$C135):INDIRECT(AU$1&amp;AU$3&amp;$C135))</f>
        <v>49896.986873533198</v>
      </c>
      <c r="AV135" s="3126">
        <f t="shared" ca="1" si="173"/>
        <v>-38235.250874138466</v>
      </c>
      <c r="AW135" s="3127">
        <f t="shared" ca="1" si="222"/>
        <v>0.23371623679305681</v>
      </c>
      <c r="AX135" s="3125">
        <f ca="1">SUM(INDIRECT(AX$1&amp;AX$2&amp;$A135):INDIRECT(AX$1&amp;AX$3&amp;$A135))+SUM(INDIRECT(AX$1&amp;AX$2&amp;$B135):INDIRECT(AX$1&amp;AX$3&amp;$B135))</f>
        <v>0</v>
      </c>
      <c r="AY135" s="3126">
        <f t="shared" ca="1" si="175"/>
        <v>11661.735999394732</v>
      </c>
      <c r="AZ135" s="3127">
        <f t="shared" ca="1" si="223"/>
        <v>0</v>
      </c>
      <c r="BB135" s="3124">
        <f ca="1">SUM((INDIRECT(BB$2&amp;(ROW())):INDIRECT(BB$3&amp;(ROW()))))</f>
        <v>156462.89840510965</v>
      </c>
      <c r="BC135" s="3125">
        <f ca="1">SUM(INDIRECT(BC$1&amp;BC$2&amp;$C135):INDIRECT(BC$1&amp;BC$3&amp;$C135))</f>
        <v>90959.881328182601</v>
      </c>
      <c r="BD135" s="3126">
        <f t="shared" ca="1" si="177"/>
        <v>65503.017076927048</v>
      </c>
      <c r="BE135" s="3127">
        <f t="shared" ca="1" si="224"/>
        <v>1.7201308546192209</v>
      </c>
      <c r="BF135" s="3125">
        <f ca="1">SUM(INDIRECT(BF$1&amp;BF$2&amp;$A135):INDIRECT(BF$1&amp;BF$3&amp;$A135))+SUM(INDIRECT(BF$1&amp;BF$2&amp;$B135):INDIRECT(BF$1&amp;BF$3&amp;$B135))</f>
        <v>0</v>
      </c>
      <c r="BG135" s="3126">
        <f t="shared" ca="1" si="179"/>
        <v>156462.89840510965</v>
      </c>
      <c r="BH135" s="3127">
        <f t="shared" ca="1" si="225"/>
        <v>0</v>
      </c>
    </row>
    <row r="136" spans="1:60" ht="14.5">
      <c r="A136" s="616">
        <f t="shared" si="181"/>
        <v>110</v>
      </c>
      <c r="B136" s="616">
        <v>1</v>
      </c>
      <c r="C136" s="616">
        <f t="shared" si="109"/>
        <v>133</v>
      </c>
      <c r="D136" s="709" t="s">
        <v>1308</v>
      </c>
      <c r="E136" s="2547">
        <v>1</v>
      </c>
      <c r="F136" s="4"/>
      <c r="G136" s="4"/>
      <c r="H136" s="4"/>
      <c r="I136" s="25"/>
      <c r="J136" s="511" t="s">
        <v>55</v>
      </c>
      <c r="K136" s="2"/>
      <c r="L136" s="2"/>
      <c r="M136" s="1"/>
      <c r="N136" s="1"/>
      <c r="O136" s="1"/>
      <c r="P136" s="1"/>
      <c r="Q136" s="1776" t="str">
        <f>CHOOSE(2, "6722000003055", "PL (1)-1 Business Contribution Profit (%)")</f>
        <v>PL (1)-1 Business Contribution Profit (%)</v>
      </c>
      <c r="R136" s="2549">
        <f t="shared" ref="R136:AJ136" si="231">IFERROR(R135/R102,0)</f>
        <v>4.8439014217639305E-2</v>
      </c>
      <c r="S136" s="3128">
        <f t="shared" si="231"/>
        <v>3.5719775500207373E-3</v>
      </c>
      <c r="T136" s="2549">
        <f t="shared" si="231"/>
        <v>5.2567041763410559E-2</v>
      </c>
      <c r="U136" s="2549">
        <f t="shared" si="231"/>
        <v>5.7645550435643157E-2</v>
      </c>
      <c r="V136" s="2549">
        <f t="shared" si="231"/>
        <v>7.478177361424615E-2</v>
      </c>
      <c r="W136" s="2549">
        <f t="shared" si="231"/>
        <v>0.11773606577086776</v>
      </c>
      <c r="X136" s="2549">
        <f t="shared" si="231"/>
        <v>6.833008630878154E-2</v>
      </c>
      <c r="Y136" s="2549">
        <f t="shared" si="231"/>
        <v>0.1136987343927387</v>
      </c>
      <c r="Z136" s="2549">
        <f t="shared" si="231"/>
        <v>5.5315783979951114E-2</v>
      </c>
      <c r="AA136" s="2549">
        <f t="shared" si="231"/>
        <v>3.8606664835134585E-2</v>
      </c>
      <c r="AB136" s="2549">
        <f t="shared" si="231"/>
        <v>1.3993871152819495E-2</v>
      </c>
      <c r="AC136" s="2549">
        <f t="shared" si="231"/>
        <v>-4.6406890553322266E-3</v>
      </c>
      <c r="AD136" s="2550">
        <f t="shared" si="231"/>
        <v>3.4826571030780663E-2</v>
      </c>
      <c r="AE136" s="2549">
        <f t="shared" si="231"/>
        <v>8.5580681494753313E-2</v>
      </c>
      <c r="AF136" s="2549">
        <f t="shared" si="231"/>
        <v>7.7151304305400195E-2</v>
      </c>
      <c r="AG136" s="2549">
        <f t="shared" si="231"/>
        <v>1.4929652176378335E-2</v>
      </c>
      <c r="AH136" s="2549">
        <f t="shared" si="231"/>
        <v>6.4088127488945171E-2</v>
      </c>
      <c r="AI136" s="2549">
        <f t="shared" si="231"/>
        <v>4.6639008014809975E-2</v>
      </c>
      <c r="AJ136" s="2549">
        <f t="shared" si="231"/>
        <v>5.4420784932031417E-2</v>
      </c>
      <c r="AK136" s="504"/>
      <c r="AL136" s="2549">
        <f ca="1">IFERROR(AL135/AL102,0)</f>
        <v>-4.6406890553322266E-3</v>
      </c>
      <c r="AM136" s="2549">
        <f ca="1">IFERROR(AM135/AM102,0)</f>
        <v>5.9896860842244797</v>
      </c>
      <c r="AN136" s="2549">
        <f t="shared" ca="1" si="169"/>
        <v>-5.9943267732798118</v>
      </c>
      <c r="AO136" s="2690"/>
      <c r="AP136" s="2549">
        <f ca="1">IFERROR(AP135/AP102,0)</f>
        <v>0</v>
      </c>
      <c r="AQ136" s="2549">
        <f t="shared" ca="1" si="171"/>
        <v>-4.6406890553322266E-3</v>
      </c>
      <c r="AR136" s="2690"/>
      <c r="AS136" s="504"/>
      <c r="AT136" s="2549">
        <f ca="1">IFERROR(AT135/AT102,0)</f>
        <v>1.4929652176378335E-2</v>
      </c>
      <c r="AU136" s="2549">
        <f ca="1">IFERROR(AU135/AU102,0)</f>
        <v>5.8726980210928765</v>
      </c>
      <c r="AV136" s="2549">
        <f t="shared" ca="1" si="173"/>
        <v>-5.8577683689164983</v>
      </c>
      <c r="AW136" s="2690"/>
      <c r="AX136" s="2549">
        <f ca="1">IFERROR(AX135/AX102,0)</f>
        <v>0</v>
      </c>
      <c r="AY136" s="2549">
        <f t="shared" ca="1" si="175"/>
        <v>1.4929652176378335E-2</v>
      </c>
      <c r="AZ136" s="2690"/>
      <c r="BA136" s="504"/>
      <c r="BB136" s="2549">
        <f ca="1">IFERROR(BB135/BB102,0)</f>
        <v>5.4420784932031417E-2</v>
      </c>
      <c r="BC136" s="2549">
        <f ca="1">IFERROR(BC135/BC102,0)</f>
        <v>6.2902401579543206</v>
      </c>
      <c r="BD136" s="2549">
        <f t="shared" ca="1" si="177"/>
        <v>-6.2358193730222888</v>
      </c>
      <c r="BE136" s="2690"/>
      <c r="BF136" s="2549">
        <f ca="1">IFERROR(BF135/BF102,0)</f>
        <v>0</v>
      </c>
      <c r="BG136" s="2549">
        <f t="shared" ca="1" si="179"/>
        <v>5.4420784932031417E-2</v>
      </c>
      <c r="BH136" s="2690"/>
    </row>
    <row r="137" spans="1:60" ht="14.5">
      <c r="A137" s="616">
        <f t="shared" si="181"/>
        <v>111</v>
      </c>
      <c r="B137" s="616">
        <v>1</v>
      </c>
      <c r="C137" s="616">
        <f t="shared" si="109"/>
        <v>134</v>
      </c>
      <c r="D137" s="709" t="s">
        <v>1308</v>
      </c>
      <c r="E137" s="2547">
        <v>1</v>
      </c>
      <c r="F137" s="4"/>
      <c r="G137" s="4"/>
      <c r="H137" s="4"/>
      <c r="I137" s="3041" t="s">
        <v>1333</v>
      </c>
      <c r="J137" s="447"/>
      <c r="K137" s="514"/>
      <c r="L137" s="514"/>
      <c r="M137" s="447"/>
      <c r="N137" s="447"/>
      <c r="O137" s="447"/>
      <c r="P137" s="447"/>
      <c r="Q137" s="1790" t="str">
        <f>CHOOSE(2, "6722000003056", "PL (1)-1 Other Income")</f>
        <v>PL (1)-1 Other Income</v>
      </c>
      <c r="R137" s="1388">
        <v>3064</v>
      </c>
      <c r="S137" s="3039">
        <v>116</v>
      </c>
      <c r="T137" s="3039">
        <v>6.4662739794967461</v>
      </c>
      <c r="U137" s="3039">
        <v>73</v>
      </c>
      <c r="V137" s="3039">
        <v>135.57005274727749</v>
      </c>
      <c r="W137" s="3039">
        <v>6</v>
      </c>
      <c r="X137" s="3039">
        <v>0</v>
      </c>
      <c r="Y137" s="3039">
        <v>85</v>
      </c>
      <c r="Z137" s="3039">
        <f>867.810918185489+27142</f>
        <v>28009.810918185489</v>
      </c>
      <c r="AA137" s="3039">
        <v>1629.8089606417275</v>
      </c>
      <c r="AB137" s="3039">
        <v>392.05327055497321</v>
      </c>
      <c r="AC137" s="3039">
        <v>10745</v>
      </c>
      <c r="AD137" s="3095">
        <f>SUM(R137:T137)</f>
        <v>3186.4662739794967</v>
      </c>
      <c r="AE137" s="3095">
        <f>SUM(U137:W137)</f>
        <v>214.57005274727749</v>
      </c>
      <c r="AF137" s="3095">
        <f>SUM(X137:Z137)</f>
        <v>28094.810918185489</v>
      </c>
      <c r="AG137" s="3095">
        <f>SUM(AA137:AC137)</f>
        <v>12766.862231196701</v>
      </c>
      <c r="AH137" s="3095">
        <f>AD137+AE137</f>
        <v>3401.036326726774</v>
      </c>
      <c r="AI137" s="3095">
        <f>AG137+AF137</f>
        <v>40861.673149382186</v>
      </c>
      <c r="AJ137" s="3095">
        <f>AH137+AI137</f>
        <v>44262.709476108961</v>
      </c>
      <c r="AL137" s="3112">
        <f ca="1">SUM((INDIRECT(AL$2&amp;(ROW())):INDIRECT(AL$3&amp;(ROW()))))</f>
        <v>10745</v>
      </c>
      <c r="AM137" s="3095">
        <f ca="1">SUM(INDIRECT(AM$1&amp;AM$2&amp;$C137):INDIRECT(AM$1&amp;AM$3&amp;$C137))</f>
        <v>13186.823652291168</v>
      </c>
      <c r="AN137" s="3129">
        <f t="shared" ca="1" si="169"/>
        <v>-2441.8236522911684</v>
      </c>
      <c r="AO137" s="3130">
        <f ca="1">IFERROR(AL137/AM137,0)</f>
        <v>0.8148285199926133</v>
      </c>
      <c r="AP137" s="3095">
        <f ca="1">SUM(INDIRECT(AP$1&amp;AP$2&amp;$A137):INDIRECT(AP$1&amp;AP$3&amp;$A137))+SUM(INDIRECT(AP$1&amp;AP$2&amp;$B137):INDIRECT(AP$1&amp;AP$3&amp;$B137))</f>
        <v>143595.37031000003</v>
      </c>
      <c r="AQ137" s="3129">
        <f t="shared" ca="1" si="171"/>
        <v>-132850.37031000003</v>
      </c>
      <c r="AR137" s="3130">
        <f ca="1">IFERROR(AL137/AP137,0)</f>
        <v>7.4828317770992331E-2</v>
      </c>
      <c r="AT137" s="3112">
        <f ca="1">SUM((INDIRECT(AT$2&amp;(ROW())):INDIRECT(AT$3&amp;(ROW()))))</f>
        <v>12766.862231196701</v>
      </c>
      <c r="AU137" s="3095">
        <f ca="1">SUM(INDIRECT(AU$1&amp;AU$2&amp;$C137):INDIRECT(AU$1&amp;AU$3&amp;$C137))</f>
        <v>39416.433273823888</v>
      </c>
      <c r="AV137" s="3129">
        <f t="shared" ca="1" si="173"/>
        <v>-26649.571042627187</v>
      </c>
      <c r="AW137" s="3130">
        <f ca="1">IFERROR(AT137/AU137,0)</f>
        <v>0.32389694274228165</v>
      </c>
      <c r="AX137" s="3095">
        <f ca="1">SUM(INDIRECT(AX$1&amp;AX$2&amp;$A137):INDIRECT(AX$1&amp;AX$3&amp;$A137))+SUM(INDIRECT(AX$1&amp;AX$2&amp;$B137):INDIRECT(AX$1&amp;AX$3&amp;$B137))</f>
        <v>431160.37031000003</v>
      </c>
      <c r="AY137" s="3129">
        <f t="shared" ca="1" si="175"/>
        <v>-418393.50807880331</v>
      </c>
      <c r="AZ137" s="3130">
        <f ca="1">IFERROR(AT137/AX137,0)</f>
        <v>2.9610472367897482E-2</v>
      </c>
      <c r="BB137" s="3112">
        <f ca="1">SUM((INDIRECT(BB$2&amp;(ROW())):INDIRECT(BB$3&amp;(ROW()))))</f>
        <v>44262.709476108961</v>
      </c>
      <c r="BC137" s="3095">
        <f ca="1">SUM(INDIRECT(BC$1&amp;BC$2&amp;$C137):INDIRECT(BC$1&amp;BC$3&amp;$C137))</f>
        <v>66050.478303544485</v>
      </c>
      <c r="BD137" s="3129">
        <f t="shared" ca="1" si="177"/>
        <v>-21787.768827435524</v>
      </c>
      <c r="BE137" s="3130">
        <f ca="1">IFERROR(BB137/BC137,0)</f>
        <v>0.67013457908197582</v>
      </c>
      <c r="BF137" s="3095">
        <f ca="1">SUM(INDIRECT(BF$1&amp;BF$2&amp;$A137):INDIRECT(BF$1&amp;BF$3&amp;$A137))+SUM(INDIRECT(BF$1&amp;BF$2&amp;$B137):INDIRECT(BF$1&amp;BF$3&amp;$B137))</f>
        <v>1205935.2690501842</v>
      </c>
      <c r="BG137" s="3129">
        <f t="shared" ca="1" si="179"/>
        <v>-1161672.5595740753</v>
      </c>
      <c r="BH137" s="3130">
        <f ca="1">IFERROR(BB137/BF137,0)</f>
        <v>3.6704050882408516E-2</v>
      </c>
    </row>
    <row r="138" spans="1:60" ht="14.5">
      <c r="A138" s="616">
        <f t="shared" si="181"/>
        <v>112</v>
      </c>
      <c r="B138" s="616">
        <v>1</v>
      </c>
      <c r="C138" s="616">
        <f t="shared" si="109"/>
        <v>135</v>
      </c>
      <c r="D138" s="709" t="s">
        <v>1308</v>
      </c>
      <c r="E138" s="2547">
        <v>1</v>
      </c>
      <c r="F138" s="4"/>
      <c r="G138" s="4"/>
      <c r="H138" s="4"/>
      <c r="I138" s="106" t="s">
        <v>1334</v>
      </c>
      <c r="J138" s="104"/>
      <c r="K138" s="105"/>
      <c r="L138" s="105"/>
      <c r="M138" s="104"/>
      <c r="N138" s="104"/>
      <c r="O138" s="104"/>
      <c r="P138" s="104"/>
      <c r="Q138" s="1790" t="str">
        <f>CHOOSE(2, "6722000003057", "PL (1)-1 Other Expenses")</f>
        <v>PL (1)-1 Other Expenses</v>
      </c>
      <c r="R138" s="1213">
        <v>0</v>
      </c>
      <c r="S138" s="1216">
        <v>0</v>
      </c>
      <c r="T138" s="1216">
        <v>0</v>
      </c>
      <c r="U138" s="1216">
        <v>0</v>
      </c>
      <c r="V138" s="1216">
        <v>0</v>
      </c>
      <c r="W138" s="1216">
        <v>0</v>
      </c>
      <c r="X138" s="1216">
        <v>0</v>
      </c>
      <c r="Y138" s="1216">
        <v>0</v>
      </c>
      <c r="Z138" s="1216">
        <v>0</v>
      </c>
      <c r="AA138" s="1216">
        <v>0</v>
      </c>
      <c r="AB138" s="1216">
        <v>0</v>
      </c>
      <c r="AC138" s="1216">
        <v>0</v>
      </c>
      <c r="AD138" s="80">
        <f>SUM(R138:T138)</f>
        <v>0</v>
      </c>
      <c r="AE138" s="80">
        <f>SUM(U138:W138)</f>
        <v>0</v>
      </c>
      <c r="AF138" s="80">
        <f>SUM(X138:Z138)</f>
        <v>0</v>
      </c>
      <c r="AG138" s="80">
        <f>SUM(AA138:AC138)</f>
        <v>0</v>
      </c>
      <c r="AH138" s="80">
        <f>AD138+AE138</f>
        <v>0</v>
      </c>
      <c r="AI138" s="80">
        <f>AG138+AF138</f>
        <v>0</v>
      </c>
      <c r="AJ138" s="80">
        <f>AH138+AI138</f>
        <v>0</v>
      </c>
      <c r="AL138" s="60">
        <f ca="1">SUM((INDIRECT(AL$2&amp;(ROW())):INDIRECT(AL$3&amp;(ROW()))))</f>
        <v>0</v>
      </c>
      <c r="AM138" s="80">
        <f ca="1">SUM(INDIRECT(AM$1&amp;AM$2&amp;$C138):INDIRECT(AM$1&amp;AM$3&amp;$C138))</f>
        <v>8111.4317159317652</v>
      </c>
      <c r="AN138" s="3111">
        <f t="shared" ca="1" si="169"/>
        <v>-8111.4317159317652</v>
      </c>
      <c r="AO138" s="2760">
        <f ca="1">IFERROR(AL138/AM138,0)</f>
        <v>0</v>
      </c>
      <c r="AP138" s="80">
        <f ca="1">SUM(INDIRECT(AP$1&amp;AP$2&amp;$A138):INDIRECT(AP$1&amp;AP$3&amp;$A138))+SUM(INDIRECT(AP$1&amp;AP$2&amp;$B138):INDIRECT(AP$1&amp;AP$3&amp;$B138))</f>
        <v>143595.37031000003</v>
      </c>
      <c r="AQ138" s="3111">
        <f t="shared" ca="1" si="171"/>
        <v>-143595.37031000003</v>
      </c>
      <c r="AR138" s="2760">
        <f ca="1">IFERROR(AL138/AP138,0)</f>
        <v>0</v>
      </c>
      <c r="AT138" s="60">
        <f ca="1">SUM((INDIRECT(AT$2&amp;(ROW())):INDIRECT(AT$3&amp;(ROW()))))</f>
        <v>0</v>
      </c>
      <c r="AU138" s="80">
        <f ca="1">SUM(INDIRECT(AU$1&amp;AU$2&amp;$C138):INDIRECT(AU$1&amp;AU$3&amp;$C138))</f>
        <v>20435.090418390835</v>
      </c>
      <c r="AV138" s="3111">
        <f t="shared" ca="1" si="173"/>
        <v>-20435.090418390835</v>
      </c>
      <c r="AW138" s="2760">
        <f ca="1">IFERROR(AT138/AU138,0)</f>
        <v>0</v>
      </c>
      <c r="AX138" s="80">
        <f ca="1">SUM(INDIRECT(AX$1&amp;AX$2&amp;$A138):INDIRECT(AX$1&amp;AX$3&amp;$A138))+SUM(INDIRECT(AX$1&amp;AX$2&amp;$B138):INDIRECT(AX$1&amp;AX$3&amp;$B138))</f>
        <v>431160.37031000003</v>
      </c>
      <c r="AY138" s="3111">
        <f t="shared" ca="1" si="175"/>
        <v>-431160.37031000003</v>
      </c>
      <c r="AZ138" s="2760">
        <f ca="1">IFERROR(AT138/AX138,0)</f>
        <v>0</v>
      </c>
      <c r="BB138" s="60">
        <f ca="1">SUM((INDIRECT(BB$2&amp;(ROW())):INDIRECT(BB$3&amp;(ROW()))))</f>
        <v>0</v>
      </c>
      <c r="BC138" s="80">
        <f ca="1">SUM(INDIRECT(BC$1&amp;BC$2&amp;$C138):INDIRECT(BC$1&amp;BC$3&amp;$C138))</f>
        <v>30528.918716346983</v>
      </c>
      <c r="BD138" s="3111">
        <f t="shared" ca="1" si="177"/>
        <v>-30528.918716346983</v>
      </c>
      <c r="BE138" s="2760">
        <f ca="1">IFERROR(BB138/BC138,0)</f>
        <v>0</v>
      </c>
      <c r="BF138" s="80">
        <f ca="1">SUM(INDIRECT(BF$1&amp;BF$2&amp;$A138):INDIRECT(BF$1&amp;BF$3&amp;$A138))+SUM(INDIRECT(BF$1&amp;BF$2&amp;$B138):INDIRECT(BF$1&amp;BF$3&amp;$B138))</f>
        <v>1205935.2690501842</v>
      </c>
      <c r="BG138" s="3111">
        <f t="shared" ca="1" si="179"/>
        <v>-1205935.2690501842</v>
      </c>
      <c r="BH138" s="2760">
        <f ca="1">IFERROR(BB138/BF138,0)</f>
        <v>0</v>
      </c>
    </row>
    <row r="139" spans="1:60" ht="14.5">
      <c r="A139" s="616">
        <f t="shared" si="181"/>
        <v>113</v>
      </c>
      <c r="B139" s="616">
        <v>1</v>
      </c>
      <c r="C139" s="616">
        <f t="shared" si="109"/>
        <v>136</v>
      </c>
      <c r="D139" s="709" t="s">
        <v>1308</v>
      </c>
      <c r="E139" s="2547">
        <v>1</v>
      </c>
      <c r="F139" s="4"/>
      <c r="G139" s="4"/>
      <c r="H139" s="4"/>
      <c r="I139" s="3115" t="s">
        <v>1335</v>
      </c>
      <c r="J139" s="580"/>
      <c r="K139" s="863"/>
      <c r="L139" s="863"/>
      <c r="M139" s="863"/>
      <c r="N139" s="863"/>
      <c r="O139" s="863"/>
      <c r="P139" s="863"/>
      <c r="Q139" s="1788" t="str">
        <f>CHOOSE(2, "6722000003058", "PL (1)-1 Operating Profit")</f>
        <v>PL (1)-1 Operating Profit</v>
      </c>
      <c r="R139" s="1258">
        <f>R135+R137-R138</f>
        <v>10955.345123238272</v>
      </c>
      <c r="S139" s="3116">
        <f t="shared" ref="S139:AJ139" si="232">S135+S137-S138</f>
        <v>769.21825050494226</v>
      </c>
      <c r="T139" s="3116">
        <f t="shared" si="232"/>
        <v>10371.372733679973</v>
      </c>
      <c r="U139" s="3116">
        <f t="shared" si="232"/>
        <v>12122.24588870944</v>
      </c>
      <c r="V139" s="3116">
        <f t="shared" si="232"/>
        <v>19651.471211582302</v>
      </c>
      <c r="W139" s="3116">
        <f t="shared" si="232"/>
        <v>31704.434195688038</v>
      </c>
      <c r="X139" s="3116">
        <f t="shared" si="232"/>
        <v>15912.50550933012</v>
      </c>
      <c r="Y139" s="3116">
        <f t="shared" si="232"/>
        <v>28701.834459308404</v>
      </c>
      <c r="Z139" s="3116">
        <f t="shared" si="232"/>
        <v>46108.582278585694</v>
      </c>
      <c r="AA139" s="3116">
        <f t="shared" si="232"/>
        <v>10933.204445947624</v>
      </c>
      <c r="AB139" s="3116">
        <f t="shared" si="232"/>
        <v>4045.4383944919855</v>
      </c>
      <c r="AC139" s="3116">
        <f t="shared" si="232"/>
        <v>9449.9553901518229</v>
      </c>
      <c r="AD139" s="3116">
        <f t="shared" si="232"/>
        <v>22095.936107423193</v>
      </c>
      <c r="AE139" s="3116">
        <f t="shared" si="232"/>
        <v>63478.151295979784</v>
      </c>
      <c r="AF139" s="3116">
        <f t="shared" si="232"/>
        <v>90722.922247224225</v>
      </c>
      <c r="AG139" s="3116">
        <f t="shared" si="232"/>
        <v>24428.598230591433</v>
      </c>
      <c r="AH139" s="3116">
        <f t="shared" si="232"/>
        <v>85574.087403402998</v>
      </c>
      <c r="AI139" s="3116">
        <f t="shared" si="232"/>
        <v>115151.5204778156</v>
      </c>
      <c r="AJ139" s="3116">
        <f t="shared" si="232"/>
        <v>200725.6078812186</v>
      </c>
      <c r="AL139" s="1258">
        <f ca="1">SUM((INDIRECT(AL$2&amp;(ROW())):INDIRECT(AL$3&amp;(ROW()))))</f>
        <v>9449.9553901518229</v>
      </c>
      <c r="AM139" s="3116">
        <f ca="1">SUM(INDIRECT(AM$1&amp;AM$2&amp;$C139):INDIRECT(AM$1&amp;AM$3&amp;$C139))</f>
        <v>3.4268167365027073E-2</v>
      </c>
      <c r="AN139" s="3117">
        <f t="shared" ca="1" si="169"/>
        <v>9449.9211219844583</v>
      </c>
      <c r="AO139" s="3118">
        <f ca="1">IFERROR(AL139/AM139,0)</f>
        <v>275764.83123506996</v>
      </c>
      <c r="AP139" s="3116">
        <f ca="1">SUM(INDIRECT(AP$1&amp;AP$2&amp;$A139):INDIRECT(AP$1&amp;AP$3&amp;$A139))+SUM(INDIRECT(AP$1&amp;AP$2&amp;$B139):INDIRECT(AP$1&amp;AP$3&amp;$B139))</f>
        <v>0</v>
      </c>
      <c r="AQ139" s="3117">
        <f t="shared" ca="1" si="171"/>
        <v>9449.9553901518229</v>
      </c>
      <c r="AR139" s="3118">
        <f ca="1">IFERROR(AL139/AP139,0)</f>
        <v>0</v>
      </c>
      <c r="AT139" s="1258">
        <f ca="1">SUM((INDIRECT(AT$2&amp;(ROW())):INDIRECT(AT$3&amp;(ROW()))))</f>
        <v>24428.598230591433</v>
      </c>
      <c r="AU139" s="3116">
        <f ca="1">SUM(INDIRECT(AU$1&amp;AU$2&amp;$C139):INDIRECT(AU$1&amp;AU$3&amp;$C139))</f>
        <v>8.8373474296304919E-2</v>
      </c>
      <c r="AV139" s="3117">
        <f t="shared" ca="1" si="173"/>
        <v>24428.509857117137</v>
      </c>
      <c r="AW139" s="3118">
        <f ca="1">IFERROR(AT139/AU139,0)</f>
        <v>276424.55414489511</v>
      </c>
      <c r="AX139" s="3116">
        <f ca="1">SUM(INDIRECT(AX$1&amp;AX$2&amp;$A139):INDIRECT(AX$1&amp;AX$3&amp;$A139))+SUM(INDIRECT(AX$1&amp;AX$2&amp;$B139):INDIRECT(AX$1&amp;AX$3&amp;$B139))</f>
        <v>0</v>
      </c>
      <c r="AY139" s="3117">
        <f t="shared" ca="1" si="175"/>
        <v>24428.598230591433</v>
      </c>
      <c r="AZ139" s="3118">
        <f ca="1">IFERROR(AT139/AX139,0)</f>
        <v>0</v>
      </c>
      <c r="BB139" s="1258">
        <f ca="1">SUM((INDIRECT(BB$2&amp;(ROW())):INDIRECT(BB$3&amp;(ROW()))))</f>
        <v>200725.60788121863</v>
      </c>
      <c r="BC139" s="3116">
        <f ca="1">SUM(INDIRECT(BC$1&amp;BC$2&amp;$C139):INDIRECT(BC$1&amp;BC$3&amp;$C139))</f>
        <v>0.13101641462289346</v>
      </c>
      <c r="BD139" s="3117">
        <f t="shared" ca="1" si="177"/>
        <v>200725.47686480402</v>
      </c>
      <c r="BE139" s="3118">
        <f ca="1">IFERROR(BB139/BC139,0)</f>
        <v>1532064.5772437768</v>
      </c>
      <c r="BF139" s="3116">
        <f ca="1">SUM(INDIRECT(BF$1&amp;BF$2&amp;$A139):INDIRECT(BF$1&amp;BF$3&amp;$A139))+SUM(INDIRECT(BF$1&amp;BF$2&amp;$B139):INDIRECT(BF$1&amp;BF$3&amp;$B139))</f>
        <v>0</v>
      </c>
      <c r="BG139" s="3117">
        <f t="shared" ca="1" si="179"/>
        <v>200725.60788121863</v>
      </c>
      <c r="BH139" s="3118">
        <f ca="1">IFERROR(BB139/BF139,0)</f>
        <v>0</v>
      </c>
    </row>
    <row r="140" spans="1:60" ht="14.5">
      <c r="A140" s="616">
        <f t="shared" si="181"/>
        <v>114</v>
      </c>
      <c r="B140" s="616">
        <v>1</v>
      </c>
      <c r="C140" s="616">
        <f t="shared" si="109"/>
        <v>137</v>
      </c>
      <c r="D140" s="709" t="s">
        <v>1308</v>
      </c>
      <c r="E140" s="2547">
        <v>1</v>
      </c>
      <c r="F140" s="4"/>
      <c r="G140" s="4"/>
      <c r="H140" s="4"/>
      <c r="I140" s="25"/>
      <c r="J140" s="511" t="s">
        <v>55</v>
      </c>
      <c r="K140" s="2"/>
      <c r="L140" s="2"/>
      <c r="M140" s="1"/>
      <c r="N140" s="1"/>
      <c r="O140" s="1"/>
      <c r="P140" s="1"/>
      <c r="Q140" s="1776" t="str">
        <f>CHOOSE(2, "6722000003059", "PL (1)-1 Operating Profit (%)")</f>
        <v>PL (1)-1 Operating Profit (%)</v>
      </c>
      <c r="R140" s="2549">
        <f t="shared" ref="R140:AJ140" si="233">IFERROR(R139/R102,0)</f>
        <v>6.7246598633861468E-2</v>
      </c>
      <c r="S140" s="2549">
        <f t="shared" si="233"/>
        <v>4.2062975425838818E-3</v>
      </c>
      <c r="T140" s="2549">
        <f t="shared" si="233"/>
        <v>5.2599836356941668E-2</v>
      </c>
      <c r="U140" s="2549">
        <f t="shared" si="233"/>
        <v>5.7994794298758701E-2</v>
      </c>
      <c r="V140" s="2549">
        <f t="shared" si="233"/>
        <v>7.5301256107568187E-2</v>
      </c>
      <c r="W140" s="2549">
        <f t="shared" si="233"/>
        <v>0.11775835130050194</v>
      </c>
      <c r="X140" s="2549">
        <f t="shared" si="233"/>
        <v>6.833008630878154E-2</v>
      </c>
      <c r="Y140" s="2549">
        <f t="shared" si="233"/>
        <v>0.11403645142559658</v>
      </c>
      <c r="Z140" s="2549">
        <f t="shared" si="233"/>
        <v>0.14092295693201409</v>
      </c>
      <c r="AA140" s="2549">
        <f t="shared" si="233"/>
        <v>4.5369946949516862E-2</v>
      </c>
      <c r="AB140" s="2549">
        <f t="shared" si="233"/>
        <v>1.5495586073932302E-2</v>
      </c>
      <c r="AC140" s="2549">
        <f t="shared" si="233"/>
        <v>3.3863161329706279E-2</v>
      </c>
      <c r="AD140" s="2550">
        <f t="shared" si="233"/>
        <v>4.0695254553132165E-2</v>
      </c>
      <c r="AE140" s="2549">
        <f t="shared" si="233"/>
        <v>8.5870944091046689E-2</v>
      </c>
      <c r="AF140" s="2549">
        <f t="shared" si="233"/>
        <v>0.1117611825302698</v>
      </c>
      <c r="AG140" s="2549">
        <f t="shared" si="233"/>
        <v>3.1274115171030327E-2</v>
      </c>
      <c r="AH140" s="2549">
        <f t="shared" si="233"/>
        <v>6.6740652213850588E-2</v>
      </c>
      <c r="AI140" s="2549">
        <f t="shared" si="233"/>
        <v>7.2291879437298187E-2</v>
      </c>
      <c r="AJ140" s="2549">
        <f t="shared" si="233"/>
        <v>6.9816200825909863E-2</v>
      </c>
      <c r="AK140" s="504"/>
      <c r="AL140" s="2549">
        <f ca="1">IFERROR(AL139/AL102,0)</f>
        <v>3.3863161329706279E-2</v>
      </c>
      <c r="AM140" s="2549">
        <f ca="1">IFERROR(AM139/AM102,0)</f>
        <v>1.1870544062443738E-5</v>
      </c>
      <c r="AN140" s="2549">
        <f t="shared" ca="1" si="169"/>
        <v>3.3851290785643834E-2</v>
      </c>
      <c r="AO140" s="2690"/>
      <c r="AP140" s="2549">
        <f ca="1">IFERROR(AP139/AP102,0)</f>
        <v>0</v>
      </c>
      <c r="AQ140" s="2549">
        <f t="shared" ca="1" si="171"/>
        <v>3.3863161329706279E-2</v>
      </c>
      <c r="AR140" s="2690"/>
      <c r="AS140" s="504"/>
      <c r="AT140" s="2549">
        <f ca="1">IFERROR(AT139/AT102,0)</f>
        <v>3.1274115171030327E-2</v>
      </c>
      <c r="AU140" s="2549">
        <f ca="1">IFERROR(AU139/AU102,0)</f>
        <v>1.0401243845293186E-5</v>
      </c>
      <c r="AV140" s="2549">
        <f t="shared" ca="1" si="173"/>
        <v>3.1263713927185036E-2</v>
      </c>
      <c r="AW140" s="2690"/>
      <c r="AX140" s="2549">
        <f ca="1">IFERROR(AX139/AX102,0)</f>
        <v>0</v>
      </c>
      <c r="AY140" s="2549">
        <f t="shared" ca="1" si="175"/>
        <v>3.1274115171030327E-2</v>
      </c>
      <c r="AZ140" s="2690"/>
      <c r="BA140" s="504"/>
      <c r="BB140" s="2549">
        <f ca="1">IFERROR(BB139/BB102,0)</f>
        <v>6.9816200825909877E-2</v>
      </c>
      <c r="BC140" s="2549">
        <f ca="1">IFERROR(BC139/BC102,0)</f>
        <v>9.0603098924313907E-6</v>
      </c>
      <c r="BD140" s="2549">
        <f t="shared" ca="1" si="177"/>
        <v>6.9807140516017441E-2</v>
      </c>
      <c r="BE140" s="2690"/>
      <c r="BF140" s="2549">
        <f ca="1">IFERROR(BF139/BF102,0)</f>
        <v>0</v>
      </c>
      <c r="BG140" s="2549">
        <f t="shared" ca="1" si="179"/>
        <v>6.9816200825909877E-2</v>
      </c>
      <c r="BH140" s="2690"/>
    </row>
    <row r="141" spans="1:60" ht="14.5">
      <c r="A141" s="616">
        <v>1</v>
      </c>
      <c r="B141" s="616">
        <v>1</v>
      </c>
      <c r="C141" s="616">
        <f t="shared" si="109"/>
        <v>138</v>
      </c>
      <c r="D141" s="709" t="s">
        <v>1308</v>
      </c>
      <c r="E141" s="2547">
        <v>1</v>
      </c>
      <c r="F141" s="4"/>
      <c r="G141" s="4"/>
      <c r="H141" s="4"/>
      <c r="I141" s="4"/>
      <c r="J141" s="3"/>
      <c r="K141" s="4"/>
      <c r="L141" s="4"/>
      <c r="M141" s="3"/>
      <c r="N141" s="3"/>
      <c r="O141" s="3"/>
      <c r="P141" s="3"/>
      <c r="Q141" s="1773" t="str">
        <f>CHOOSE(2, "6722000003060", "▷ Blank 9")</f>
        <v>▷ Blank 9</v>
      </c>
      <c r="R141" s="2562"/>
      <c r="S141" s="2563"/>
      <c r="T141" s="2563"/>
      <c r="U141" s="2563"/>
      <c r="V141" s="2563"/>
      <c r="W141" s="2563"/>
      <c r="AA141" s="2558"/>
      <c r="AB141" s="2558"/>
      <c r="AC141" s="2558"/>
      <c r="AD141" s="2558"/>
      <c r="AE141" s="2558"/>
      <c r="AF141" s="2558"/>
      <c r="AG141" s="2558"/>
      <c r="AH141" s="2558"/>
      <c r="AI141" s="2558"/>
      <c r="AJ141" s="2559"/>
      <c r="AL141" s="2558"/>
      <c r="AM141" s="2558"/>
      <c r="AN141" s="2558"/>
      <c r="AO141" s="2558"/>
      <c r="AP141" s="2558"/>
      <c r="AQ141" s="2558"/>
      <c r="AR141" s="2558"/>
      <c r="AT141" s="2558"/>
      <c r="AU141" s="2558"/>
      <c r="AV141" s="2558"/>
      <c r="AW141" s="2558"/>
      <c r="AX141" s="2558"/>
      <c r="AY141" s="2558"/>
      <c r="AZ141" s="2558"/>
      <c r="BB141" s="2558"/>
      <c r="BC141" s="2558"/>
      <c r="BD141" s="2558"/>
      <c r="BE141" s="2558"/>
      <c r="BF141" s="2558"/>
      <c r="BG141" s="2558"/>
      <c r="BH141" s="2558"/>
    </row>
    <row r="142" spans="1:60" ht="14.5">
      <c r="A142" s="616">
        <v>1</v>
      </c>
      <c r="B142" s="616">
        <v>1</v>
      </c>
      <c r="C142" s="616">
        <f t="shared" ref="C142:C205" si="234">ROW()-3</f>
        <v>139</v>
      </c>
      <c r="D142" s="709" t="s">
        <v>1308</v>
      </c>
      <c r="E142" s="2565" t="s">
        <v>1369</v>
      </c>
      <c r="F142" s="4"/>
      <c r="G142" s="4"/>
      <c r="H142" s="4" t="s">
        <v>1392</v>
      </c>
      <c r="I142" s="4"/>
      <c r="J142" s="3"/>
      <c r="K142" s="4"/>
      <c r="L142" s="4"/>
      <c r="M142" s="3"/>
      <c r="N142" s="3"/>
      <c r="O142" s="3"/>
      <c r="P142" s="3"/>
      <c r="Q142" s="1773" t="str">
        <f>CHOOSE(2, "6722000003061", "PL (1)-2 ""Office Solution"" only")</f>
        <v>PL (1)-2 "Office Solution" only</v>
      </c>
      <c r="R142" s="2562">
        <f>R143-R145</f>
        <v>450</v>
      </c>
      <c r="S142" s="2562">
        <f t="shared" ref="S142:W142" si="235">S143-S145</f>
        <v>636</v>
      </c>
      <c r="T142" s="2562">
        <f t="shared" si="235"/>
        <v>477</v>
      </c>
      <c r="U142" s="2562">
        <f t="shared" si="235"/>
        <v>222</v>
      </c>
      <c r="V142" s="2562">
        <f t="shared" si="235"/>
        <v>439.88499999999999</v>
      </c>
      <c r="W142" s="2562">
        <f t="shared" si="235"/>
        <v>821</v>
      </c>
      <c r="AA142" s="2558"/>
      <c r="AB142" s="2558"/>
      <c r="AC142" s="2558"/>
      <c r="AD142" s="2558"/>
      <c r="AE142" s="2558"/>
      <c r="AF142" s="2558"/>
      <c r="AG142" s="2558"/>
      <c r="AH142" s="2558"/>
      <c r="AI142" s="2558"/>
      <c r="AJ142" s="2559"/>
      <c r="AL142" s="2558"/>
      <c r="AM142" s="2558"/>
      <c r="AN142" s="2558"/>
      <c r="AO142" s="2558"/>
      <c r="AP142" s="2558"/>
      <c r="AQ142" s="2558"/>
      <c r="AR142" s="2558"/>
      <c r="AT142" s="2558"/>
      <c r="AU142" s="2558"/>
      <c r="AV142" s="2558"/>
      <c r="AW142" s="2558"/>
      <c r="AX142" s="2558"/>
      <c r="AY142" s="2558"/>
      <c r="AZ142" s="2558"/>
      <c r="BB142" s="2558"/>
      <c r="BC142" s="2558"/>
      <c r="BD142" s="2558"/>
      <c r="BE142" s="2558"/>
      <c r="BF142" s="2558"/>
      <c r="BG142" s="2558"/>
      <c r="BH142" s="2558"/>
    </row>
    <row r="143" spans="1:60" ht="14.5">
      <c r="A143" s="616">
        <v>331</v>
      </c>
      <c r="B143" s="616">
        <v>1</v>
      </c>
      <c r="C143" s="616">
        <f t="shared" si="234"/>
        <v>140</v>
      </c>
      <c r="D143" s="709" t="s">
        <v>1308</v>
      </c>
      <c r="E143" s="2565" t="s">
        <v>1369</v>
      </c>
      <c r="F143" s="4"/>
      <c r="G143" s="4"/>
      <c r="H143" s="4"/>
      <c r="I143" s="3131" t="s">
        <v>0</v>
      </c>
      <c r="J143" s="874"/>
      <c r="K143" s="874"/>
      <c r="L143" s="874"/>
      <c r="M143" s="874"/>
      <c r="N143" s="874"/>
      <c r="O143" s="874"/>
      <c r="P143" s="3132"/>
      <c r="Q143" s="1784" t="str">
        <f>CHOOSE(2, "6722000003062", "PL (1)-2 Net Sales")</f>
        <v>PL (1)-2 Net Sales</v>
      </c>
      <c r="R143" s="1421">
        <f>R536</f>
        <v>1285</v>
      </c>
      <c r="S143" s="1421">
        <f t="shared" ref="S143:AC143" si="236">S536</f>
        <v>1777</v>
      </c>
      <c r="T143" s="1421">
        <f t="shared" si="236"/>
        <v>1492</v>
      </c>
      <c r="U143" s="1421">
        <f t="shared" si="236"/>
        <v>1267</v>
      </c>
      <c r="V143" s="1421">
        <f t="shared" si="236"/>
        <v>1554.885</v>
      </c>
      <c r="W143" s="1421">
        <f t="shared" si="236"/>
        <v>2374</v>
      </c>
      <c r="X143" s="1384">
        <f t="shared" si="236"/>
        <v>1320</v>
      </c>
      <c r="Y143" s="1384">
        <f t="shared" si="236"/>
        <v>3871</v>
      </c>
      <c r="Z143" s="1384">
        <f t="shared" si="236"/>
        <v>3249</v>
      </c>
      <c r="AA143" s="1385">
        <f t="shared" si="236"/>
        <v>1808</v>
      </c>
      <c r="AB143" s="1385">
        <f t="shared" si="236"/>
        <v>2870</v>
      </c>
      <c r="AC143" s="1385">
        <f t="shared" si="236"/>
        <v>3229</v>
      </c>
      <c r="AD143" s="3113">
        <f>SUM(R143,S143,T143)</f>
        <v>4554</v>
      </c>
      <c r="AE143" s="3113">
        <f t="shared" ref="AE143:AE145" si="237">SUM(U143,V143,W143)</f>
        <v>5195.8850000000002</v>
      </c>
      <c r="AF143" s="3113">
        <f t="shared" ref="AF143:AF145" si="238">SUM(X143,Y143,Z143)</f>
        <v>8440</v>
      </c>
      <c r="AG143" s="3113">
        <f t="shared" ref="AG143:AG145" si="239">SUM(AA143,AB143,AC143)</f>
        <v>7907</v>
      </c>
      <c r="AH143" s="3113">
        <f t="shared" ref="AH143:AH145" si="240">AD143+AE143</f>
        <v>9749.8850000000002</v>
      </c>
      <c r="AI143" s="3113">
        <f t="shared" ref="AI143:AI145" si="241">AG143+AF143</f>
        <v>16347</v>
      </c>
      <c r="AJ143" s="3113">
        <f t="shared" ref="AJ143:AJ145" si="242">AH143+AI143</f>
        <v>26096.885000000002</v>
      </c>
      <c r="AL143" s="3113">
        <f ca="1">SUM((INDIRECT(AL$2&amp;(ROW())):INDIRECT(AL$3&amp;(ROW()))))</f>
        <v>3229</v>
      </c>
      <c r="AM143" s="3113">
        <f ca="1">SUM(INDIRECT(AM$1&amp;AM$2&amp;$C143):INDIRECT(AM$1&amp;AM$3&amp;$C143))</f>
        <v>3.4268167365027073E-2</v>
      </c>
      <c r="AN143" s="3133">
        <f t="shared" ref="AN143:AN151" ca="1" si="243">AL143-AM143</f>
        <v>3228.9657318326349</v>
      </c>
      <c r="AO143" s="2785">
        <f t="shared" ref="AO143:AO151" ca="1" si="244">IFERROR(AL143/AM143,0)</f>
        <v>94227.390849485804</v>
      </c>
      <c r="AP143" s="3113">
        <f ca="1">SUM(INDIRECT(AP$1&amp;AP$2&amp;$A143):INDIRECT(AP$1&amp;AP$3&amp;$A143))+SUM(INDIRECT(AP$1&amp;AP$2&amp;$B143):INDIRECT(AP$1&amp;AP$3&amp;$B143))</f>
        <v>0</v>
      </c>
      <c r="AQ143" s="3133">
        <f t="shared" ref="AQ143:AQ151" ca="1" si="245">AL143-AP143</f>
        <v>3229</v>
      </c>
      <c r="AR143" s="2785">
        <f t="shared" ref="AR143:AR151" ca="1" si="246">IFERROR(AL143/AP143,0)</f>
        <v>0</v>
      </c>
      <c r="AT143" s="3113">
        <f ca="1">SUM((INDIRECT(AT$2&amp;(ROW())):INDIRECT(AT$3&amp;(ROW()))))</f>
        <v>7907</v>
      </c>
      <c r="AU143" s="3113">
        <f ca="1">SUM(INDIRECT(AU$1&amp;AU$2&amp;$C143):INDIRECT(AU$1&amp;AU$3&amp;$C143))</f>
        <v>8.8373474296304919E-2</v>
      </c>
      <c r="AV143" s="3133">
        <f t="shared" ref="AV143:AV151" ca="1" si="247">AT143-AU143</f>
        <v>7906.9116265257035</v>
      </c>
      <c r="AW143" s="2785">
        <f t="shared" ref="AW143:AW151" ca="1" si="248">IFERROR(AT143/AU143,0)</f>
        <v>89472.548895032058</v>
      </c>
      <c r="AX143" s="3113">
        <f ca="1">SUM(INDIRECT(AX$1&amp;AX$2&amp;$A143):INDIRECT(AX$1&amp;AX$3&amp;$A143))+SUM(INDIRECT(AX$1&amp;AX$2&amp;$B143):INDIRECT(AX$1&amp;AX$3&amp;$B143))</f>
        <v>0</v>
      </c>
      <c r="AY143" s="3133">
        <f t="shared" ref="AY143:AY151" ca="1" si="249">AT143-AX143</f>
        <v>7907</v>
      </c>
      <c r="AZ143" s="2785">
        <f t="shared" ref="AZ143:AZ151" ca="1" si="250">IFERROR(AT143/AX143,0)</f>
        <v>0</v>
      </c>
      <c r="BB143" s="3113">
        <f ca="1">SUM((INDIRECT(BB$2&amp;(ROW())):INDIRECT(BB$3&amp;(ROW()))))</f>
        <v>26096.885000000002</v>
      </c>
      <c r="BC143" s="3113">
        <f ca="1">SUM(INDIRECT(BC$1&amp;BC$2&amp;$C143):INDIRECT(BC$1&amp;BC$3&amp;$C143))</f>
        <v>0.13101641462289346</v>
      </c>
      <c r="BD143" s="3133">
        <f t="shared" ref="BD143:BD151" ca="1" si="251">BB143-BC143</f>
        <v>26096.753983585379</v>
      </c>
      <c r="BE143" s="2785">
        <f t="shared" ref="BE143:BE151" ca="1" si="252">IFERROR(BB143/BC143,0)</f>
        <v>199187.90386010078</v>
      </c>
      <c r="BF143" s="3113">
        <f ca="1">SUM(INDIRECT(BF$1&amp;BF$2&amp;$A143):INDIRECT(BF$1&amp;BF$3&amp;$A143))+SUM(INDIRECT(BF$1&amp;BF$2&amp;$B143):INDIRECT(BF$1&amp;BF$3&amp;$B143))</f>
        <v>0</v>
      </c>
      <c r="BG143" s="3133">
        <f t="shared" ref="BG143:BG151" ca="1" si="253">BB143-BF143</f>
        <v>26096.885000000002</v>
      </c>
      <c r="BH143" s="2785">
        <f t="shared" ref="BH143:BH151" ca="1" si="254">IFERROR(BB143/BF143,0)</f>
        <v>0</v>
      </c>
    </row>
    <row r="144" spans="1:60" ht="14.5">
      <c r="A144" s="616">
        <v>337</v>
      </c>
      <c r="B144" s="616">
        <v>1</v>
      </c>
      <c r="C144" s="616">
        <f t="shared" si="234"/>
        <v>141</v>
      </c>
      <c r="D144" s="709" t="s">
        <v>1308</v>
      </c>
      <c r="E144" s="2565" t="s">
        <v>1369</v>
      </c>
      <c r="F144" s="4"/>
      <c r="G144" s="4"/>
      <c r="H144" s="4"/>
      <c r="I144" s="979" t="s">
        <v>48</v>
      </c>
      <c r="J144" s="980"/>
      <c r="K144" s="980"/>
      <c r="L144" s="980"/>
      <c r="M144" s="980"/>
      <c r="N144" s="980"/>
      <c r="O144" s="980"/>
      <c r="P144" s="981"/>
      <c r="Q144" s="1790" t="str">
        <f>CHOOSE(2, "6722000003063", "PL (1)-2 BT Cons. Sales")</f>
        <v>PL (1)-2 BT Cons. Sales</v>
      </c>
      <c r="R144" s="1215">
        <v>1285</v>
      </c>
      <c r="S144" s="1215">
        <v>1777</v>
      </c>
      <c r="T144" s="1215">
        <v>1492</v>
      </c>
      <c r="U144" s="1215">
        <v>1267</v>
      </c>
      <c r="V144" s="1215">
        <v>1554.885</v>
      </c>
      <c r="W144" s="1215">
        <v>2374</v>
      </c>
      <c r="X144" s="1217">
        <v>1320</v>
      </c>
      <c r="Y144" s="1217">
        <v>3871</v>
      </c>
      <c r="Z144" s="1217">
        <v>3249</v>
      </c>
      <c r="AA144" s="1402">
        <v>1808</v>
      </c>
      <c r="AB144" s="1402">
        <v>2870</v>
      </c>
      <c r="AC144" s="1402">
        <v>3229</v>
      </c>
      <c r="AD144" s="126">
        <f>SUM(R144,S144,T144)</f>
        <v>4554</v>
      </c>
      <c r="AE144" s="126">
        <f t="shared" si="237"/>
        <v>5195.8850000000002</v>
      </c>
      <c r="AF144" s="126">
        <f t="shared" si="238"/>
        <v>8440</v>
      </c>
      <c r="AG144" s="126">
        <f t="shared" si="239"/>
        <v>7907</v>
      </c>
      <c r="AH144" s="126">
        <f t="shared" si="240"/>
        <v>9749.8850000000002</v>
      </c>
      <c r="AI144" s="126">
        <f t="shared" si="241"/>
        <v>16347</v>
      </c>
      <c r="AJ144" s="126">
        <f t="shared" si="242"/>
        <v>26096.885000000002</v>
      </c>
      <c r="AL144" s="126">
        <f ca="1">SUM((INDIRECT(AL$2&amp;(ROW())):INDIRECT(AL$3&amp;(ROW()))))</f>
        <v>3229</v>
      </c>
      <c r="AM144" s="126">
        <f ca="1">SUM(INDIRECT(AM$1&amp;AM$2&amp;$C144):INDIRECT(AM$1&amp;AM$3&amp;$C144))</f>
        <v>0</v>
      </c>
      <c r="AN144" s="3134">
        <f t="shared" ca="1" si="243"/>
        <v>3229</v>
      </c>
      <c r="AO144" s="2787">
        <f t="shared" ca="1" si="244"/>
        <v>0</v>
      </c>
      <c r="AP144" s="126">
        <f ca="1">SUM(INDIRECT(AP$1&amp;AP$2&amp;$A144):INDIRECT(AP$1&amp;AP$3&amp;$A144))+SUM(INDIRECT(AP$1&amp;AP$2&amp;$B144):INDIRECT(AP$1&amp;AP$3&amp;$B144))</f>
        <v>0</v>
      </c>
      <c r="AQ144" s="3134">
        <f t="shared" ca="1" si="245"/>
        <v>3229</v>
      </c>
      <c r="AR144" s="2787">
        <f t="shared" ca="1" si="246"/>
        <v>0</v>
      </c>
      <c r="AT144" s="126">
        <f ca="1">SUM((INDIRECT(AT$2&amp;(ROW())):INDIRECT(AT$3&amp;(ROW()))))</f>
        <v>7907</v>
      </c>
      <c r="AU144" s="126">
        <f ca="1">SUM(INDIRECT(AU$1&amp;AU$2&amp;$C144):INDIRECT(AU$1&amp;AU$3&amp;$C144))</f>
        <v>0</v>
      </c>
      <c r="AV144" s="3134">
        <f t="shared" ca="1" si="247"/>
        <v>7907</v>
      </c>
      <c r="AW144" s="2787">
        <f t="shared" ca="1" si="248"/>
        <v>0</v>
      </c>
      <c r="AX144" s="126">
        <f ca="1">SUM(INDIRECT(AX$1&amp;AX$2&amp;$A144):INDIRECT(AX$1&amp;AX$3&amp;$A144))+SUM(INDIRECT(AX$1&amp;AX$2&amp;$B144):INDIRECT(AX$1&amp;AX$3&amp;$B144))</f>
        <v>0</v>
      </c>
      <c r="AY144" s="3134">
        <f t="shared" ca="1" si="249"/>
        <v>7907</v>
      </c>
      <c r="AZ144" s="2787">
        <f t="shared" ca="1" si="250"/>
        <v>0</v>
      </c>
      <c r="BB144" s="126">
        <f ca="1">SUM((INDIRECT(BB$2&amp;(ROW())):INDIRECT(BB$3&amp;(ROW()))))</f>
        <v>26096.885000000002</v>
      </c>
      <c r="BC144" s="126">
        <f ca="1">SUM(INDIRECT(BC$1&amp;BC$2&amp;$C144):INDIRECT(BC$1&amp;BC$3&amp;$C144))</f>
        <v>0</v>
      </c>
      <c r="BD144" s="3134">
        <f t="shared" ca="1" si="251"/>
        <v>26096.885000000002</v>
      </c>
      <c r="BE144" s="2787">
        <f t="shared" ca="1" si="252"/>
        <v>0</v>
      </c>
      <c r="BF144" s="126">
        <f ca="1">SUM(INDIRECT(BF$1&amp;BF$2&amp;$A144):INDIRECT(BF$1&amp;BF$3&amp;$A144))+SUM(INDIRECT(BF$1&amp;BF$2&amp;$B144):INDIRECT(BF$1&amp;BF$3&amp;$B144))</f>
        <v>0</v>
      </c>
      <c r="BG144" s="3134">
        <f t="shared" ca="1" si="253"/>
        <v>26096.885000000002</v>
      </c>
      <c r="BH144" s="2787">
        <f t="shared" ca="1" si="254"/>
        <v>0</v>
      </c>
    </row>
    <row r="145" spans="1:60" ht="14.5">
      <c r="A145" s="616">
        <v>349</v>
      </c>
      <c r="B145" s="616">
        <v>1</v>
      </c>
      <c r="C145" s="616">
        <f t="shared" si="234"/>
        <v>142</v>
      </c>
      <c r="D145" s="709" t="s">
        <v>1308</v>
      </c>
      <c r="E145" s="2565" t="s">
        <v>1369</v>
      </c>
      <c r="F145" s="4"/>
      <c r="G145" s="4"/>
      <c r="H145" s="4"/>
      <c r="I145" s="979" t="s">
        <v>54</v>
      </c>
      <c r="J145" s="980"/>
      <c r="K145" s="980"/>
      <c r="L145" s="980"/>
      <c r="M145" s="980"/>
      <c r="N145" s="980"/>
      <c r="O145" s="980"/>
      <c r="P145" s="981"/>
      <c r="Q145" s="1784" t="str">
        <f>CHOOSE(2, "6722000003064", "PL (1)-2 Gross Profit")</f>
        <v>PL (1)-2 Gross Profit</v>
      </c>
      <c r="R145" s="1289">
        <f>R543</f>
        <v>835</v>
      </c>
      <c r="S145" s="1289">
        <f t="shared" ref="S145:AC145" si="255">S543</f>
        <v>1141</v>
      </c>
      <c r="T145" s="1289">
        <f t="shared" si="255"/>
        <v>1015</v>
      </c>
      <c r="U145" s="1289">
        <f t="shared" si="255"/>
        <v>1045</v>
      </c>
      <c r="V145" s="1289">
        <f t="shared" si="255"/>
        <v>1115</v>
      </c>
      <c r="W145" s="1289">
        <f t="shared" si="255"/>
        <v>1553</v>
      </c>
      <c r="X145" s="1226">
        <f t="shared" si="255"/>
        <v>976</v>
      </c>
      <c r="Y145" s="1226">
        <f t="shared" si="255"/>
        <v>2358</v>
      </c>
      <c r="Z145" s="1226">
        <f t="shared" si="255"/>
        <v>1616</v>
      </c>
      <c r="AA145" s="1419">
        <f t="shared" si="255"/>
        <v>1427</v>
      </c>
      <c r="AB145" s="1419">
        <f t="shared" si="255"/>
        <v>1988.8565899999999</v>
      </c>
      <c r="AC145" s="1419">
        <f t="shared" si="255"/>
        <v>1903</v>
      </c>
      <c r="AD145" s="126">
        <f>SUM(R145,S145,T145)</f>
        <v>2991</v>
      </c>
      <c r="AE145" s="126">
        <f t="shared" si="237"/>
        <v>3713</v>
      </c>
      <c r="AF145" s="126">
        <f t="shared" si="238"/>
        <v>4950</v>
      </c>
      <c r="AG145" s="126">
        <f t="shared" si="239"/>
        <v>5318.8565899999994</v>
      </c>
      <c r="AH145" s="126">
        <f t="shared" si="240"/>
        <v>6704</v>
      </c>
      <c r="AI145" s="126">
        <f t="shared" si="241"/>
        <v>10268.856589999999</v>
      </c>
      <c r="AJ145" s="126">
        <f t="shared" si="242"/>
        <v>16972.856589999999</v>
      </c>
      <c r="AL145" s="126">
        <f ca="1">SUM((INDIRECT(AL$2&amp;(ROW())):INDIRECT(AL$3&amp;(ROW()))))</f>
        <v>1903</v>
      </c>
      <c r="AM145" s="126">
        <f ca="1">SUM(INDIRECT(AM$1&amp;AM$2&amp;$C145):INDIRECT(AM$1&amp;AM$3&amp;$C145))</f>
        <v>0</v>
      </c>
      <c r="AN145" s="3134">
        <f t="shared" ca="1" si="243"/>
        <v>1903</v>
      </c>
      <c r="AO145" s="2787">
        <f t="shared" ca="1" si="244"/>
        <v>0</v>
      </c>
      <c r="AP145" s="126">
        <f ca="1">SUM(INDIRECT(AP$1&amp;AP$2&amp;$A145):INDIRECT(AP$1&amp;AP$3&amp;$A145))+SUM(INDIRECT(AP$1&amp;AP$2&amp;$B145):INDIRECT(AP$1&amp;AP$3&amp;$B145))</f>
        <v>0</v>
      </c>
      <c r="AQ145" s="3134">
        <f t="shared" ca="1" si="245"/>
        <v>1903</v>
      </c>
      <c r="AR145" s="2787">
        <f t="shared" ca="1" si="246"/>
        <v>0</v>
      </c>
      <c r="AT145" s="126">
        <f ca="1">SUM((INDIRECT(AT$2&amp;(ROW())):INDIRECT(AT$3&amp;(ROW()))))</f>
        <v>5318.8565899999994</v>
      </c>
      <c r="AU145" s="126">
        <f ca="1">SUM(INDIRECT(AU$1&amp;AU$2&amp;$C145):INDIRECT(AU$1&amp;AU$3&amp;$C145))</f>
        <v>0</v>
      </c>
      <c r="AV145" s="3134">
        <f t="shared" ca="1" si="247"/>
        <v>5318.8565899999994</v>
      </c>
      <c r="AW145" s="2787">
        <f t="shared" ca="1" si="248"/>
        <v>0</v>
      </c>
      <c r="AX145" s="126">
        <f ca="1">SUM(INDIRECT(AX$1&amp;AX$2&amp;$A145):INDIRECT(AX$1&amp;AX$3&amp;$A145))+SUM(INDIRECT(AX$1&amp;AX$2&amp;$B145):INDIRECT(AX$1&amp;AX$3&amp;$B145))</f>
        <v>0</v>
      </c>
      <c r="AY145" s="3134">
        <f t="shared" ca="1" si="249"/>
        <v>5318.8565899999994</v>
      </c>
      <c r="AZ145" s="2787">
        <f t="shared" ca="1" si="250"/>
        <v>0</v>
      </c>
      <c r="BB145" s="126">
        <f ca="1">SUM((INDIRECT(BB$2&amp;(ROW())):INDIRECT(BB$3&amp;(ROW()))))</f>
        <v>16972.856589999999</v>
      </c>
      <c r="BC145" s="126">
        <f ca="1">SUM(INDIRECT(BC$1&amp;BC$2&amp;$C145):INDIRECT(BC$1&amp;BC$3&amp;$C145))</f>
        <v>0</v>
      </c>
      <c r="BD145" s="3134">
        <f t="shared" ca="1" si="251"/>
        <v>16972.856589999999</v>
      </c>
      <c r="BE145" s="2787">
        <f t="shared" ca="1" si="252"/>
        <v>0</v>
      </c>
      <c r="BF145" s="126">
        <f ca="1">SUM(INDIRECT(BF$1&amp;BF$2&amp;$A145):INDIRECT(BF$1&amp;BF$3&amp;$A145))+SUM(INDIRECT(BF$1&amp;BF$2&amp;$B145):INDIRECT(BF$1&amp;BF$3&amp;$B145))</f>
        <v>0</v>
      </c>
      <c r="BG145" s="3134">
        <f t="shared" ca="1" si="253"/>
        <v>16972.856589999999</v>
      </c>
      <c r="BH145" s="2787">
        <f t="shared" ca="1" si="254"/>
        <v>0</v>
      </c>
    </row>
    <row r="146" spans="1:60" ht="14.5">
      <c r="A146" s="616">
        <v>1</v>
      </c>
      <c r="B146" s="616">
        <v>1</v>
      </c>
      <c r="C146" s="616">
        <f t="shared" si="234"/>
        <v>143</v>
      </c>
      <c r="D146" s="709" t="s">
        <v>1308</v>
      </c>
      <c r="E146" s="2565" t="s">
        <v>1369</v>
      </c>
      <c r="F146" s="4"/>
      <c r="G146" s="4"/>
      <c r="H146" s="4"/>
      <c r="I146" s="979" t="s">
        <v>29</v>
      </c>
      <c r="J146" s="982"/>
      <c r="K146" s="982"/>
      <c r="L146" s="982"/>
      <c r="M146" s="982"/>
      <c r="N146" s="1024" t="s">
        <v>1393</v>
      </c>
      <c r="O146" s="982"/>
      <c r="P146" s="983"/>
      <c r="Q146" s="1786" t="str">
        <f>CHOOSE(2, "6722000003065", "PL (1)-2 SGA Expenses *Allocation is acceptable")</f>
        <v>PL (1)-2 SGA Expenses *Allocation is acceptable</v>
      </c>
      <c r="R146" s="45">
        <f>SUM(R147:R149)</f>
        <v>1099</v>
      </c>
      <c r="S146" s="45">
        <f t="shared" ref="S146:AJ146" si="256">SUM(S147:S149)</f>
        <v>1092.0120470639893</v>
      </c>
      <c r="T146" s="45">
        <f t="shared" si="256"/>
        <v>766.48429089637557</v>
      </c>
      <c r="U146" s="45">
        <f t="shared" si="256"/>
        <v>728.1484757966432</v>
      </c>
      <c r="V146" s="45">
        <f t="shared" si="256"/>
        <v>1111.6164972634394</v>
      </c>
      <c r="W146" s="45">
        <f t="shared" si="256"/>
        <v>738.1701160909754</v>
      </c>
      <c r="X146" s="287">
        <f t="shared" si="256"/>
        <v>1105.1371115189681</v>
      </c>
      <c r="Y146" s="287">
        <f t="shared" si="256"/>
        <v>775.24631236317191</v>
      </c>
      <c r="Z146" s="287">
        <f t="shared" si="256"/>
        <v>951.36185295548523</v>
      </c>
      <c r="AA146" s="975">
        <f t="shared" si="256"/>
        <v>793.0098197822914</v>
      </c>
      <c r="AB146" s="975">
        <f t="shared" si="256"/>
        <v>2012.7150891510582</v>
      </c>
      <c r="AC146" s="975">
        <f t="shared" si="256"/>
        <v>774.46992824130382</v>
      </c>
      <c r="AD146" s="975">
        <f t="shared" si="256"/>
        <v>2957.4963379603646</v>
      </c>
      <c r="AE146" s="975">
        <f t="shared" si="256"/>
        <v>2577.935089151058</v>
      </c>
      <c r="AF146" s="975">
        <f t="shared" si="256"/>
        <v>2831.7452768376252</v>
      </c>
      <c r="AG146" s="975">
        <f t="shared" si="256"/>
        <v>3580.1948371746535</v>
      </c>
      <c r="AH146" s="975">
        <f t="shared" si="256"/>
        <v>5535.4314271114226</v>
      </c>
      <c r="AI146" s="975">
        <f t="shared" si="256"/>
        <v>6411.9401140122791</v>
      </c>
      <c r="AJ146" s="975">
        <f t="shared" si="256"/>
        <v>11947.371541123701</v>
      </c>
      <c r="AL146" s="975">
        <f ca="1">SUM((INDIRECT(AL$2&amp;(ROW())):INDIRECT(AL$3&amp;(ROW()))))</f>
        <v>774.46992824130382</v>
      </c>
      <c r="AM146" s="975">
        <f ca="1">SUM(INDIRECT(AM$1&amp;AM$2&amp;$C146):INDIRECT(AM$1&amp;AM$3&amp;$C146))</f>
        <v>2000</v>
      </c>
      <c r="AN146" s="3135">
        <f t="shared" ca="1" si="243"/>
        <v>-1225.5300717586961</v>
      </c>
      <c r="AO146" s="2789">
        <f t="shared" ca="1" si="244"/>
        <v>0.38723496412065189</v>
      </c>
      <c r="AP146" s="975">
        <f ca="1">SUM(INDIRECT(AP$1&amp;AP$2&amp;$A146):INDIRECT(AP$1&amp;AP$3&amp;$A146))+SUM(INDIRECT(AP$1&amp;AP$2&amp;$B146):INDIRECT(AP$1&amp;AP$3&amp;$B146))</f>
        <v>0</v>
      </c>
      <c r="AQ146" s="3135">
        <f t="shared" ca="1" si="245"/>
        <v>774.46992824130382</v>
      </c>
      <c r="AR146" s="2789">
        <f t="shared" ca="1" si="246"/>
        <v>0</v>
      </c>
      <c r="AT146" s="975">
        <f ca="1">SUM((INDIRECT(AT$2&amp;(ROW())):INDIRECT(AT$3&amp;(ROW()))))</f>
        <v>3580.1948371746535</v>
      </c>
      <c r="AU146" s="975">
        <f ca="1">SUM(INDIRECT(AU$1&amp;AU$2&amp;$C146):INDIRECT(AU$1&amp;AU$3&amp;$C146))</f>
        <v>5800</v>
      </c>
      <c r="AV146" s="3135">
        <f t="shared" ca="1" si="247"/>
        <v>-2219.8051628253465</v>
      </c>
      <c r="AW146" s="2789">
        <f t="shared" ca="1" si="248"/>
        <v>0.61727497192666436</v>
      </c>
      <c r="AX146" s="975">
        <f ca="1">SUM(INDIRECT(AX$1&amp;AX$2&amp;$A146):INDIRECT(AX$1&amp;AX$3&amp;$A146))+SUM(INDIRECT(AX$1&amp;AX$2&amp;$B146):INDIRECT(AX$1&amp;AX$3&amp;$B146))</f>
        <v>0</v>
      </c>
      <c r="AY146" s="3135">
        <f t="shared" ca="1" si="249"/>
        <v>3580.1948371746535</v>
      </c>
      <c r="AZ146" s="2789">
        <f t="shared" ca="1" si="250"/>
        <v>0</v>
      </c>
      <c r="BB146" s="975">
        <f ca="1">SUM((INDIRECT(BB$2&amp;(ROW())):INDIRECT(BB$3&amp;(ROW()))))</f>
        <v>11947.371541123701</v>
      </c>
      <c r="BC146" s="975">
        <f ca="1">SUM(INDIRECT(BC$1&amp;BC$2&amp;$C146):INDIRECT(BC$1&amp;BC$3&amp;$C146))</f>
        <v>9100</v>
      </c>
      <c r="BD146" s="3135">
        <f t="shared" ca="1" si="251"/>
        <v>2847.3715411237008</v>
      </c>
      <c r="BE146" s="2789">
        <f t="shared" ca="1" si="252"/>
        <v>1.312897971552055</v>
      </c>
      <c r="BF146" s="975">
        <f ca="1">SUM(INDIRECT(BF$1&amp;BF$2&amp;$A146):INDIRECT(BF$1&amp;BF$3&amp;$A146))+SUM(INDIRECT(BF$1&amp;BF$2&amp;$B146):INDIRECT(BF$1&amp;BF$3&amp;$B146))</f>
        <v>0</v>
      </c>
      <c r="BG146" s="3135">
        <f t="shared" ca="1" si="253"/>
        <v>11947.371541123701</v>
      </c>
      <c r="BH146" s="2789">
        <f t="shared" ca="1" si="254"/>
        <v>0</v>
      </c>
    </row>
    <row r="147" spans="1:60" ht="14.5">
      <c r="A147" s="616">
        <v>1</v>
      </c>
      <c r="B147" s="616">
        <v>1</v>
      </c>
      <c r="C147" s="616">
        <f t="shared" si="234"/>
        <v>144</v>
      </c>
      <c r="D147" s="709" t="s">
        <v>1308</v>
      </c>
      <c r="E147" s="2565" t="s">
        <v>1369</v>
      </c>
      <c r="F147" s="4"/>
      <c r="G147" s="4"/>
      <c r="H147" s="4"/>
      <c r="I147" s="498"/>
      <c r="J147" s="3" t="s">
        <v>63</v>
      </c>
      <c r="K147" s="3"/>
      <c r="L147" s="3"/>
      <c r="M147" s="3"/>
      <c r="N147" s="3"/>
      <c r="O147" s="3"/>
      <c r="P147" s="26"/>
      <c r="Q147" s="1790" t="str">
        <f>CHOOSE(2, "6722000003066", "PL (1)-2 SGA Expenses Variable Expenses")</f>
        <v>PL (1)-2 SGA Expenses Variable Expenses</v>
      </c>
      <c r="R147" s="1215">
        <v>108</v>
      </c>
      <c r="S147" s="1215">
        <v>77</v>
      </c>
      <c r="T147" s="1215">
        <v>157.4842908963756</v>
      </c>
      <c r="U147" s="1215">
        <v>119.14847579664318</v>
      </c>
      <c r="V147" s="1215">
        <v>502.6164972634395</v>
      </c>
      <c r="W147" s="1215">
        <v>129.1701160909754</v>
      </c>
      <c r="X147" s="1217">
        <v>496.13711151896814</v>
      </c>
      <c r="Y147" s="1217">
        <v>166.24631236317197</v>
      </c>
      <c r="Z147" s="1217">
        <v>342.36185295548523</v>
      </c>
      <c r="AA147" s="1402">
        <v>184.00981978229143</v>
      </c>
      <c r="AB147" s="1402">
        <v>1403.7150891510582</v>
      </c>
      <c r="AC147" s="1402">
        <v>165.46992824130382</v>
      </c>
      <c r="AD147" s="126">
        <f>SUM(R147,S147,T147)</f>
        <v>342.48429089637557</v>
      </c>
      <c r="AE147" s="126">
        <f t="shared" ref="AE147:AE149" si="257">SUM(U147,V147,W147)</f>
        <v>750.93508915105804</v>
      </c>
      <c r="AF147" s="126">
        <f t="shared" ref="AF147:AF149" si="258">SUM(X147,Y147,Z147)</f>
        <v>1004.7452768376253</v>
      </c>
      <c r="AG147" s="126">
        <f t="shared" ref="AG147:AG149" si="259">SUM(AA147,AB147,AC147)</f>
        <v>1753.1948371746535</v>
      </c>
      <c r="AH147" s="126">
        <f t="shared" ref="AH147:AH149" si="260">AD147+AE147</f>
        <v>1093.4193800474336</v>
      </c>
      <c r="AI147" s="126">
        <f t="shared" ref="AI147:AI149" si="261">AG147+AF147</f>
        <v>2757.9401140122786</v>
      </c>
      <c r="AJ147" s="126">
        <f t="shared" ref="AJ147:AJ149" si="262">AH147+AI147</f>
        <v>3851.3594940597122</v>
      </c>
      <c r="AL147" s="126">
        <f ca="1">SUM((INDIRECT(AL$2&amp;(ROW())):INDIRECT(AL$3&amp;(ROW()))))</f>
        <v>165.46992824130382</v>
      </c>
      <c r="AM147" s="126">
        <f ca="1">SUM(INDIRECT(AM$1&amp;AM$2&amp;$C147):INDIRECT(AM$1&amp;AM$3&amp;$C147))</f>
        <v>2000</v>
      </c>
      <c r="AN147" s="3134">
        <f t="shared" ca="1" si="243"/>
        <v>-1834.5300717586961</v>
      </c>
      <c r="AO147" s="2787">
        <f t="shared" ca="1" si="244"/>
        <v>8.2734964120651913E-2</v>
      </c>
      <c r="AP147" s="3136">
        <f ca="1">SUM(INDIRECT(AP$1&amp;AP$2&amp;$A147):INDIRECT(AP$1&amp;AP$3&amp;$A147))+SUM(INDIRECT(AP$1&amp;AP$2&amp;$B147):INDIRECT(AP$1&amp;AP$3&amp;$B147))</f>
        <v>0</v>
      </c>
      <c r="AQ147" s="3137">
        <f t="shared" ca="1" si="245"/>
        <v>165.46992824130382</v>
      </c>
      <c r="AR147" s="2792">
        <f t="shared" ca="1" si="246"/>
        <v>0</v>
      </c>
      <c r="AT147" s="126">
        <f ca="1">SUM((INDIRECT(AT$2&amp;(ROW())):INDIRECT(AT$3&amp;(ROW()))))</f>
        <v>1753.1948371746535</v>
      </c>
      <c r="AU147" s="126">
        <f ca="1">SUM(INDIRECT(AU$1&amp;AU$2&amp;$C147):INDIRECT(AU$1&amp;AU$3&amp;$C147))</f>
        <v>5800</v>
      </c>
      <c r="AV147" s="3134">
        <f t="shared" ca="1" si="247"/>
        <v>-4046.8051628253465</v>
      </c>
      <c r="AW147" s="2787">
        <f t="shared" ca="1" si="248"/>
        <v>0.30227497192666442</v>
      </c>
      <c r="AX147" s="3136">
        <f ca="1">SUM(INDIRECT(AX$1&amp;AX$2&amp;$A147):INDIRECT(AX$1&amp;AX$3&amp;$A147))+SUM(INDIRECT(AX$1&amp;AX$2&amp;$B147):INDIRECT(AX$1&amp;AX$3&amp;$B147))</f>
        <v>0</v>
      </c>
      <c r="AY147" s="3137">
        <f t="shared" ca="1" si="249"/>
        <v>1753.1948371746535</v>
      </c>
      <c r="AZ147" s="2792">
        <f t="shared" ca="1" si="250"/>
        <v>0</v>
      </c>
      <c r="BB147" s="126">
        <f ca="1">SUM((INDIRECT(BB$2&amp;(ROW())):INDIRECT(BB$3&amp;(ROW()))))</f>
        <v>3851.3594940597122</v>
      </c>
      <c r="BC147" s="126">
        <f ca="1">SUM(INDIRECT(BC$1&amp;BC$2&amp;$C147):INDIRECT(BC$1&amp;BC$3&amp;$C147))</f>
        <v>9100</v>
      </c>
      <c r="BD147" s="3134">
        <f t="shared" ca="1" si="251"/>
        <v>-5248.6405059402878</v>
      </c>
      <c r="BE147" s="2787">
        <f t="shared" ca="1" si="252"/>
        <v>0.42322631802853983</v>
      </c>
      <c r="BF147" s="3136">
        <f ca="1">SUM(INDIRECT(BF$1&amp;BF$2&amp;$A147):INDIRECT(BF$1&amp;BF$3&amp;$A147))+SUM(INDIRECT(BF$1&amp;BF$2&amp;$B147):INDIRECT(BF$1&amp;BF$3&amp;$B147))</f>
        <v>0</v>
      </c>
      <c r="BG147" s="3137">
        <f t="shared" ca="1" si="253"/>
        <v>3851.3594940597122</v>
      </c>
      <c r="BH147" s="2792">
        <f t="shared" ca="1" si="254"/>
        <v>0</v>
      </c>
    </row>
    <row r="148" spans="1:60" ht="14.5">
      <c r="A148" s="616">
        <v>1</v>
      </c>
      <c r="B148" s="616">
        <v>1</v>
      </c>
      <c r="C148" s="616">
        <f t="shared" si="234"/>
        <v>145</v>
      </c>
      <c r="D148" s="709" t="s">
        <v>1308</v>
      </c>
      <c r="E148" s="2565" t="s">
        <v>1369</v>
      </c>
      <c r="F148" s="4"/>
      <c r="G148" s="4"/>
      <c r="H148" s="4"/>
      <c r="I148" s="498"/>
      <c r="J148" s="3" t="s">
        <v>28</v>
      </c>
      <c r="K148" s="3"/>
      <c r="L148" s="3"/>
      <c r="M148" s="3"/>
      <c r="N148" s="3"/>
      <c r="O148" s="3"/>
      <c r="P148" s="26"/>
      <c r="Q148" s="1790" t="str">
        <f>CHOOSE(2, "6722000003067", "PL (1)-2 SGA Expenses Wages &amp; Salaries")</f>
        <v>PL (1)-2 SGA Expenses Wages &amp; Salaries</v>
      </c>
      <c r="R148" s="1215">
        <v>886</v>
      </c>
      <c r="S148" s="1215">
        <v>886</v>
      </c>
      <c r="T148" s="1215">
        <v>609</v>
      </c>
      <c r="U148" s="1215">
        <v>609</v>
      </c>
      <c r="V148" s="1215">
        <v>609</v>
      </c>
      <c r="W148" s="1215">
        <v>609</v>
      </c>
      <c r="X148" s="1217">
        <v>609</v>
      </c>
      <c r="Y148" s="1217">
        <v>609</v>
      </c>
      <c r="Z148" s="1217">
        <v>609</v>
      </c>
      <c r="AA148" s="1402">
        <v>609</v>
      </c>
      <c r="AB148" s="1402">
        <v>609</v>
      </c>
      <c r="AC148" s="1402">
        <v>609</v>
      </c>
      <c r="AD148" s="126">
        <f>SUM(R148,S148,T148)</f>
        <v>2381</v>
      </c>
      <c r="AE148" s="126">
        <f t="shared" si="257"/>
        <v>1827</v>
      </c>
      <c r="AF148" s="126">
        <f t="shared" si="258"/>
        <v>1827</v>
      </c>
      <c r="AG148" s="126">
        <f t="shared" si="259"/>
        <v>1827</v>
      </c>
      <c r="AH148" s="126">
        <f t="shared" si="260"/>
        <v>4208</v>
      </c>
      <c r="AI148" s="126">
        <f t="shared" si="261"/>
        <v>3654</v>
      </c>
      <c r="AJ148" s="126">
        <f t="shared" si="262"/>
        <v>7862</v>
      </c>
      <c r="AL148" s="126">
        <f ca="1">SUM((INDIRECT(AL$2&amp;(ROW())):INDIRECT(AL$3&amp;(ROW()))))</f>
        <v>609</v>
      </c>
      <c r="AM148" s="126">
        <f ca="1">SUM(INDIRECT(AM$1&amp;AM$2&amp;$C148):INDIRECT(AM$1&amp;AM$3&amp;$C148))</f>
        <v>960</v>
      </c>
      <c r="AN148" s="3134">
        <f t="shared" ca="1" si="243"/>
        <v>-351</v>
      </c>
      <c r="AO148" s="2787">
        <f t="shared" ca="1" si="244"/>
        <v>0.63437500000000002</v>
      </c>
      <c r="AP148" s="3136">
        <f ca="1">SUM(INDIRECT(AP$1&amp;AP$2&amp;$A148):INDIRECT(AP$1&amp;AP$3&amp;$A148))+SUM(INDIRECT(AP$1&amp;AP$2&amp;$B148):INDIRECT(AP$1&amp;AP$3&amp;$B148))</f>
        <v>0</v>
      </c>
      <c r="AQ148" s="3137">
        <f t="shared" ca="1" si="245"/>
        <v>609</v>
      </c>
      <c r="AR148" s="2792">
        <f t="shared" ca="1" si="246"/>
        <v>0</v>
      </c>
      <c r="AT148" s="126">
        <f ca="1">SUM((INDIRECT(AT$2&amp;(ROW())):INDIRECT(AT$3&amp;(ROW()))))</f>
        <v>1827</v>
      </c>
      <c r="AU148" s="126">
        <f ca="1">SUM(INDIRECT(AU$1&amp;AU$2&amp;$C148):INDIRECT(AU$1&amp;AU$3&amp;$C148))</f>
        <v>2780</v>
      </c>
      <c r="AV148" s="3134">
        <f t="shared" ca="1" si="247"/>
        <v>-953</v>
      </c>
      <c r="AW148" s="2787">
        <f t="shared" ca="1" si="248"/>
        <v>0.65719424460431652</v>
      </c>
      <c r="AX148" s="3136">
        <f ca="1">SUM(INDIRECT(AX$1&amp;AX$2&amp;$A148):INDIRECT(AX$1&amp;AX$3&amp;$A148))+SUM(INDIRECT(AX$1&amp;AX$2&amp;$B148):INDIRECT(AX$1&amp;AX$3&amp;$B148))</f>
        <v>0</v>
      </c>
      <c r="AY148" s="3137">
        <f t="shared" ca="1" si="249"/>
        <v>1827</v>
      </c>
      <c r="AZ148" s="2792">
        <f t="shared" ca="1" si="250"/>
        <v>0</v>
      </c>
      <c r="BB148" s="126">
        <f ca="1">SUM((INDIRECT(BB$2&amp;(ROW())):INDIRECT(BB$3&amp;(ROW()))))</f>
        <v>7862</v>
      </c>
      <c r="BC148" s="126">
        <f ca="1">SUM(INDIRECT(BC$1&amp;BC$2&amp;$C148):INDIRECT(BC$1&amp;BC$3&amp;$C148))</f>
        <v>4360</v>
      </c>
      <c r="BD148" s="3134">
        <f t="shared" ca="1" si="251"/>
        <v>3502</v>
      </c>
      <c r="BE148" s="2787">
        <f t="shared" ca="1" si="252"/>
        <v>1.8032110091743119</v>
      </c>
      <c r="BF148" s="3136">
        <f ca="1">SUM(INDIRECT(BF$1&amp;BF$2&amp;$A148):INDIRECT(BF$1&amp;BF$3&amp;$A148))+SUM(INDIRECT(BF$1&amp;BF$2&amp;$B148):INDIRECT(BF$1&amp;BF$3&amp;$B148))</f>
        <v>0</v>
      </c>
      <c r="BG148" s="3137">
        <f t="shared" ca="1" si="253"/>
        <v>7862</v>
      </c>
      <c r="BH148" s="2792">
        <f t="shared" ca="1" si="254"/>
        <v>0</v>
      </c>
    </row>
    <row r="149" spans="1:60" ht="14.5">
      <c r="A149" s="616">
        <v>1</v>
      </c>
      <c r="B149" s="616">
        <v>1</v>
      </c>
      <c r="C149" s="616">
        <f t="shared" si="234"/>
        <v>146</v>
      </c>
      <c r="D149" s="709" t="s">
        <v>1308</v>
      </c>
      <c r="E149" s="2565" t="s">
        <v>1369</v>
      </c>
      <c r="F149" s="4"/>
      <c r="G149" s="4"/>
      <c r="H149" s="4"/>
      <c r="I149" s="976"/>
      <c r="J149" s="47" t="s">
        <v>62</v>
      </c>
      <c r="K149" s="47"/>
      <c r="L149" s="47"/>
      <c r="M149" s="47"/>
      <c r="N149" s="47"/>
      <c r="O149" s="47"/>
      <c r="P149" s="46"/>
      <c r="Q149" s="1790" t="str">
        <f>CHOOSE(2, "6722000003068", "PL (1)-2 SGA Expenses Fixed Expenses")</f>
        <v>PL (1)-2 SGA Expenses Fixed Expenses</v>
      </c>
      <c r="R149" s="1387">
        <v>105</v>
      </c>
      <c r="S149" s="1387">
        <v>129.01204706398917</v>
      </c>
      <c r="T149" s="1387">
        <v>0</v>
      </c>
      <c r="U149" s="1387">
        <v>0</v>
      </c>
      <c r="V149" s="1387">
        <v>0</v>
      </c>
      <c r="W149" s="1387">
        <v>0</v>
      </c>
      <c r="X149" s="1245">
        <v>0</v>
      </c>
      <c r="Y149" s="1245">
        <v>0</v>
      </c>
      <c r="Z149" s="1245">
        <v>0</v>
      </c>
      <c r="AA149" s="1403">
        <v>0</v>
      </c>
      <c r="AB149" s="1403">
        <v>0</v>
      </c>
      <c r="AC149" s="1403">
        <v>0</v>
      </c>
      <c r="AD149" s="975">
        <f>SUM(R149,S149,T149)</f>
        <v>234.01204706398917</v>
      </c>
      <c r="AE149" s="975">
        <f t="shared" si="257"/>
        <v>0</v>
      </c>
      <c r="AF149" s="975">
        <f t="shared" si="258"/>
        <v>0</v>
      </c>
      <c r="AG149" s="975">
        <f t="shared" si="259"/>
        <v>0</v>
      </c>
      <c r="AH149" s="975">
        <f t="shared" si="260"/>
        <v>234.01204706398917</v>
      </c>
      <c r="AI149" s="975">
        <f t="shared" si="261"/>
        <v>0</v>
      </c>
      <c r="AJ149" s="975">
        <f t="shared" si="262"/>
        <v>234.01204706398917</v>
      </c>
      <c r="AL149" s="975">
        <f ca="1">SUM((INDIRECT(AL$2&amp;(ROW())):INDIRECT(AL$3&amp;(ROW()))))</f>
        <v>0</v>
      </c>
      <c r="AM149" s="975">
        <f ca="1">SUM(INDIRECT(AM$1&amp;AM$2&amp;$C149):INDIRECT(AM$1&amp;AM$3&amp;$C149))</f>
        <v>1873.577</v>
      </c>
      <c r="AN149" s="3135">
        <f t="shared" ca="1" si="243"/>
        <v>-1873.577</v>
      </c>
      <c r="AO149" s="2789">
        <f t="shared" ca="1" si="244"/>
        <v>0</v>
      </c>
      <c r="AP149" s="3138">
        <f ca="1">SUM(INDIRECT(AP$1&amp;AP$2&amp;$A149):INDIRECT(AP$1&amp;AP$3&amp;$A149))+SUM(INDIRECT(AP$1&amp;AP$2&amp;$B149):INDIRECT(AP$1&amp;AP$3&amp;$B149))</f>
        <v>0</v>
      </c>
      <c r="AQ149" s="3139">
        <f t="shared" ca="1" si="245"/>
        <v>0</v>
      </c>
      <c r="AR149" s="2795">
        <f t="shared" ca="1" si="246"/>
        <v>0</v>
      </c>
      <c r="AT149" s="975">
        <f ca="1">SUM((INDIRECT(AT$2&amp;(ROW())):INDIRECT(AT$3&amp;(ROW()))))</f>
        <v>0</v>
      </c>
      <c r="AU149" s="975">
        <f ca="1">SUM(INDIRECT(AU$1&amp;AU$2&amp;$C149):INDIRECT(AU$1&amp;AU$3&amp;$C149))</f>
        <v>5560.7309999999998</v>
      </c>
      <c r="AV149" s="3135">
        <f t="shared" ca="1" si="247"/>
        <v>-5560.7309999999998</v>
      </c>
      <c r="AW149" s="2789">
        <f t="shared" ca="1" si="248"/>
        <v>0</v>
      </c>
      <c r="AX149" s="3138">
        <f ca="1">SUM(INDIRECT(AX$1&amp;AX$2&amp;$A149):INDIRECT(AX$1&amp;AX$3&amp;$A149))+SUM(INDIRECT(AX$1&amp;AX$2&amp;$B149):INDIRECT(AX$1&amp;AX$3&amp;$B149))</f>
        <v>0</v>
      </c>
      <c r="AY149" s="3139">
        <f t="shared" ca="1" si="249"/>
        <v>0</v>
      </c>
      <c r="AZ149" s="2795">
        <f t="shared" ca="1" si="250"/>
        <v>0</v>
      </c>
      <c r="BB149" s="975">
        <f ca="1">SUM((INDIRECT(BB$2&amp;(ROW())):INDIRECT(BB$3&amp;(ROW()))))</f>
        <v>234.01204706398917</v>
      </c>
      <c r="BC149" s="975">
        <f ca="1">SUM(INDIRECT(BC$1&amp;BC$2&amp;$C149):INDIRECT(BC$1&amp;BC$3&amp;$C149))</f>
        <v>9097.8850000000002</v>
      </c>
      <c r="BD149" s="3135">
        <f t="shared" ca="1" si="251"/>
        <v>-8863.8729529360116</v>
      </c>
      <c r="BE149" s="2789">
        <f t="shared" ca="1" si="252"/>
        <v>2.5721587716704394E-2</v>
      </c>
      <c r="BF149" s="3138">
        <f ca="1">SUM(INDIRECT(BF$1&amp;BF$2&amp;$A149):INDIRECT(BF$1&amp;BF$3&amp;$A149))+SUM(INDIRECT(BF$1&amp;BF$2&amp;$B149):INDIRECT(BF$1&amp;BF$3&amp;$B149))</f>
        <v>0</v>
      </c>
      <c r="BG149" s="3139">
        <f t="shared" ca="1" si="253"/>
        <v>234.01204706398917</v>
      </c>
      <c r="BH149" s="2795">
        <f t="shared" ca="1" si="254"/>
        <v>0</v>
      </c>
    </row>
    <row r="150" spans="1:60" ht="14.5">
      <c r="A150" s="616">
        <v>1</v>
      </c>
      <c r="B150" s="616">
        <v>1</v>
      </c>
      <c r="C150" s="616">
        <f t="shared" si="234"/>
        <v>147</v>
      </c>
      <c r="D150" s="709" t="s">
        <v>1308</v>
      </c>
      <c r="E150" s="2565" t="s">
        <v>1369</v>
      </c>
      <c r="F150" s="4"/>
      <c r="G150" s="4"/>
      <c r="H150" s="4"/>
      <c r="I150" s="979" t="s">
        <v>56</v>
      </c>
      <c r="J150" s="980"/>
      <c r="K150" s="980"/>
      <c r="L150" s="980"/>
      <c r="M150" s="980"/>
      <c r="N150" s="980"/>
      <c r="O150" s="980"/>
      <c r="P150" s="981"/>
      <c r="Q150" s="1786" t="str">
        <f>CHOOSE(2, "6722000003069", "PL (1)-2 Business Contribution Profit")</f>
        <v>PL (1)-2 Business Contribution Profit</v>
      </c>
      <c r="R150" s="37">
        <f t="shared" ref="R150:AJ150" si="263">R145-R146</f>
        <v>-264</v>
      </c>
      <c r="S150" s="37">
        <f t="shared" si="263"/>
        <v>48.987952936010743</v>
      </c>
      <c r="T150" s="37">
        <f t="shared" si="263"/>
        <v>248.51570910362443</v>
      </c>
      <c r="U150" s="37">
        <f t="shared" si="263"/>
        <v>316.8515242033568</v>
      </c>
      <c r="V150" s="37">
        <f t="shared" si="263"/>
        <v>3.3835027365605583</v>
      </c>
      <c r="W150" s="37">
        <f t="shared" si="263"/>
        <v>814.8298839090246</v>
      </c>
      <c r="X150" s="17">
        <f t="shared" si="263"/>
        <v>-129.13711151896814</v>
      </c>
      <c r="Y150" s="17">
        <f t="shared" si="263"/>
        <v>1582.7536876368281</v>
      </c>
      <c r="Z150" s="17">
        <f t="shared" si="263"/>
        <v>664.63814704451477</v>
      </c>
      <c r="AA150" s="126">
        <f t="shared" si="263"/>
        <v>633.9901802177086</v>
      </c>
      <c r="AB150" s="126">
        <f t="shared" si="263"/>
        <v>-23.858499151058368</v>
      </c>
      <c r="AC150" s="126">
        <f t="shared" si="263"/>
        <v>1128.5300717586961</v>
      </c>
      <c r="AD150" s="126">
        <f t="shared" si="263"/>
        <v>33.503662039635401</v>
      </c>
      <c r="AE150" s="126">
        <f t="shared" si="263"/>
        <v>1135.064910848942</v>
      </c>
      <c r="AF150" s="126">
        <f t="shared" si="263"/>
        <v>2118.2547231623748</v>
      </c>
      <c r="AG150" s="126">
        <f t="shared" si="263"/>
        <v>1738.661752825346</v>
      </c>
      <c r="AH150" s="126">
        <f t="shared" si="263"/>
        <v>1168.5685728885774</v>
      </c>
      <c r="AI150" s="126">
        <f t="shared" si="263"/>
        <v>3856.9164759877203</v>
      </c>
      <c r="AJ150" s="126">
        <f t="shared" si="263"/>
        <v>5025.4850488762986</v>
      </c>
      <c r="AL150" s="126">
        <f ca="1">SUM((INDIRECT(AL$2&amp;(ROW())):INDIRECT(AL$3&amp;(ROW()))))</f>
        <v>1128.5300717586961</v>
      </c>
      <c r="AM150" s="126">
        <f ca="1">SUM(INDIRECT(AM$1&amp;AM$2&amp;$C150):INDIRECT(AM$1&amp;AM$3&amp;$C150))</f>
        <v>400</v>
      </c>
      <c r="AN150" s="3134">
        <f t="shared" ca="1" si="243"/>
        <v>728.53007175869607</v>
      </c>
      <c r="AO150" s="2787">
        <f t="shared" ca="1" si="244"/>
        <v>2.82132517939674</v>
      </c>
      <c r="AP150" s="3140">
        <f ca="1">AP145-AP146</f>
        <v>0</v>
      </c>
      <c r="AQ150" s="3137">
        <f t="shared" ca="1" si="245"/>
        <v>1128.5300717586961</v>
      </c>
      <c r="AR150" s="2792">
        <f t="shared" ca="1" si="246"/>
        <v>0</v>
      </c>
      <c r="AT150" s="126">
        <f ca="1">SUM((INDIRECT(AT$2&amp;(ROW())):INDIRECT(AT$3&amp;(ROW()))))</f>
        <v>1738.6617528253464</v>
      </c>
      <c r="AU150" s="126">
        <f ca="1">SUM(INDIRECT(AU$1&amp;AU$2&amp;$C150):INDIRECT(AU$1&amp;AU$3&amp;$C150))</f>
        <v>1160</v>
      </c>
      <c r="AV150" s="3134">
        <f t="shared" ca="1" si="247"/>
        <v>578.66175282534641</v>
      </c>
      <c r="AW150" s="2787">
        <f t="shared" ca="1" si="248"/>
        <v>1.4988463386425399</v>
      </c>
      <c r="AX150" s="3140">
        <f ca="1">AX145-AX146</f>
        <v>0</v>
      </c>
      <c r="AY150" s="3137">
        <f t="shared" ca="1" si="249"/>
        <v>1738.6617528253464</v>
      </c>
      <c r="AZ150" s="2792">
        <f t="shared" ca="1" si="250"/>
        <v>0</v>
      </c>
      <c r="BB150" s="126">
        <f ca="1">SUM((INDIRECT(BB$2&amp;(ROW())):INDIRECT(BB$3&amp;(ROW()))))</f>
        <v>5025.4850488762986</v>
      </c>
      <c r="BC150" s="126">
        <f ca="1">SUM(INDIRECT(BC$1&amp;BC$2&amp;$C150):INDIRECT(BC$1&amp;BC$3&amp;$C150))</f>
        <v>1820</v>
      </c>
      <c r="BD150" s="3134">
        <f t="shared" ca="1" si="251"/>
        <v>3205.4850488762986</v>
      </c>
      <c r="BE150" s="2787">
        <f t="shared" ca="1" si="252"/>
        <v>2.7612555213606038</v>
      </c>
      <c r="BF150" s="3140">
        <f ca="1">BF145-BF146</f>
        <v>0</v>
      </c>
      <c r="BG150" s="3137">
        <f t="shared" ca="1" si="253"/>
        <v>5025.4850488762986</v>
      </c>
      <c r="BH150" s="2792">
        <f t="shared" ca="1" si="254"/>
        <v>0</v>
      </c>
    </row>
    <row r="151" spans="1:60" ht="14.5">
      <c r="A151" s="616">
        <v>1</v>
      </c>
      <c r="B151" s="616">
        <v>1</v>
      </c>
      <c r="C151" s="616">
        <f t="shared" si="234"/>
        <v>148</v>
      </c>
      <c r="D151" s="709" t="s">
        <v>1308</v>
      </c>
      <c r="E151" s="2565" t="s">
        <v>1369</v>
      </c>
      <c r="F151" s="4"/>
      <c r="G151" s="4"/>
      <c r="H151" s="4"/>
      <c r="I151" s="984" t="s">
        <v>1394</v>
      </c>
      <c r="J151" s="985"/>
      <c r="K151" s="985"/>
      <c r="L151" s="985"/>
      <c r="M151" s="985"/>
      <c r="N151" s="985"/>
      <c r="O151" s="985"/>
      <c r="P151" s="986"/>
      <c r="Q151" s="1786" t="str">
        <f>CHOOSE(2, "6722000003070", "PL (1)-2 Operation Profit")</f>
        <v>PL (1)-2 Operation Profit</v>
      </c>
      <c r="R151" s="60">
        <f>R150</f>
        <v>-264</v>
      </c>
      <c r="S151" s="60">
        <f t="shared" ref="S151:AJ151" si="264">S150</f>
        <v>48.987952936010743</v>
      </c>
      <c r="T151" s="60">
        <f t="shared" si="264"/>
        <v>248.51570910362443</v>
      </c>
      <c r="U151" s="60">
        <f t="shared" si="264"/>
        <v>316.8515242033568</v>
      </c>
      <c r="V151" s="60">
        <f t="shared" si="264"/>
        <v>3.3835027365605583</v>
      </c>
      <c r="W151" s="60">
        <f t="shared" si="264"/>
        <v>814.8298839090246</v>
      </c>
      <c r="X151" s="15">
        <f t="shared" si="264"/>
        <v>-129.13711151896814</v>
      </c>
      <c r="Y151" s="15">
        <f t="shared" si="264"/>
        <v>1582.7536876368281</v>
      </c>
      <c r="Z151" s="15">
        <f t="shared" si="264"/>
        <v>664.63814704451477</v>
      </c>
      <c r="AA151" s="123">
        <f t="shared" si="264"/>
        <v>633.9901802177086</v>
      </c>
      <c r="AB151" s="123">
        <f t="shared" si="264"/>
        <v>-23.858499151058368</v>
      </c>
      <c r="AC151" s="123">
        <f t="shared" si="264"/>
        <v>1128.5300717586961</v>
      </c>
      <c r="AD151" s="123">
        <f t="shared" si="264"/>
        <v>33.503662039635401</v>
      </c>
      <c r="AE151" s="123">
        <f t="shared" si="264"/>
        <v>1135.064910848942</v>
      </c>
      <c r="AF151" s="123">
        <f t="shared" si="264"/>
        <v>2118.2547231623748</v>
      </c>
      <c r="AG151" s="123">
        <f t="shared" si="264"/>
        <v>1738.661752825346</v>
      </c>
      <c r="AH151" s="123">
        <f t="shared" si="264"/>
        <v>1168.5685728885774</v>
      </c>
      <c r="AI151" s="123">
        <f t="shared" si="264"/>
        <v>3856.9164759877203</v>
      </c>
      <c r="AJ151" s="123">
        <f t="shared" si="264"/>
        <v>5025.4850488762986</v>
      </c>
      <c r="AL151" s="123">
        <f ca="1">SUM((INDIRECT(AL$2&amp;(ROW())):INDIRECT(AL$3&amp;(ROW()))))</f>
        <v>1128.5300717586961</v>
      </c>
      <c r="AM151" s="123">
        <f ca="1">SUM(INDIRECT(AM$1&amp;AM$2&amp;$C151):INDIRECT(AM$1&amp;AM$3&amp;$C151))</f>
        <v>1273.577</v>
      </c>
      <c r="AN151" s="3081">
        <f t="shared" ca="1" si="243"/>
        <v>-145.04692824130393</v>
      </c>
      <c r="AO151" s="2716">
        <f t="shared" ca="1" si="244"/>
        <v>0.88611059383036606</v>
      </c>
      <c r="AP151" s="3141">
        <f ca="1">AP150</f>
        <v>0</v>
      </c>
      <c r="AQ151" s="3142">
        <f t="shared" ca="1" si="245"/>
        <v>1128.5300717586961</v>
      </c>
      <c r="AR151" s="2799">
        <f t="shared" ca="1" si="246"/>
        <v>0</v>
      </c>
      <c r="AT151" s="123">
        <f ca="1">SUM((INDIRECT(AT$2&amp;(ROW())):INDIRECT(AT$3&amp;(ROW()))))</f>
        <v>1738.6617528253464</v>
      </c>
      <c r="AU151" s="123">
        <f ca="1">SUM(INDIRECT(AU$1&amp;AU$2&amp;$C151):INDIRECT(AU$1&amp;AU$3&amp;$C151))</f>
        <v>3820.7309999999998</v>
      </c>
      <c r="AV151" s="3081">
        <f t="shared" ca="1" si="247"/>
        <v>-2082.0692471746534</v>
      </c>
      <c r="AW151" s="2716">
        <f t="shared" ca="1" si="248"/>
        <v>0.45505997486484823</v>
      </c>
      <c r="AX151" s="3141">
        <f ca="1">AX150</f>
        <v>0</v>
      </c>
      <c r="AY151" s="3142">
        <f t="shared" ca="1" si="249"/>
        <v>1738.6617528253464</v>
      </c>
      <c r="AZ151" s="2799">
        <f t="shared" ca="1" si="250"/>
        <v>0</v>
      </c>
      <c r="BB151" s="123">
        <f ca="1">SUM((INDIRECT(BB$2&amp;(ROW())):INDIRECT(BB$3&amp;(ROW()))))</f>
        <v>5025.4850488762986</v>
      </c>
      <c r="BC151" s="123">
        <f ca="1">SUM(INDIRECT(BC$1&amp;BC$2&amp;$C151):INDIRECT(BC$1&amp;BC$3&amp;$C151))</f>
        <v>6367.8850000000002</v>
      </c>
      <c r="BD151" s="3081">
        <f t="shared" ca="1" si="251"/>
        <v>-1342.3999511237016</v>
      </c>
      <c r="BE151" s="2716">
        <f t="shared" ca="1" si="252"/>
        <v>0.78919218058685081</v>
      </c>
      <c r="BF151" s="3141">
        <f ca="1">BF150</f>
        <v>0</v>
      </c>
      <c r="BG151" s="3142">
        <f t="shared" ca="1" si="253"/>
        <v>5025.4850488762986</v>
      </c>
      <c r="BH151" s="2799">
        <f t="shared" ca="1" si="254"/>
        <v>0</v>
      </c>
    </row>
    <row r="152" spans="1:60" ht="14.5">
      <c r="A152" s="616">
        <v>1</v>
      </c>
      <c r="B152" s="616">
        <v>1</v>
      </c>
      <c r="C152" s="616">
        <f t="shared" si="234"/>
        <v>149</v>
      </c>
      <c r="D152" s="709" t="s">
        <v>1308</v>
      </c>
      <c r="E152" s="2547">
        <v>1</v>
      </c>
      <c r="F152" s="4"/>
      <c r="G152" s="4"/>
      <c r="H152" s="4"/>
      <c r="I152" s="4"/>
      <c r="J152" s="3"/>
      <c r="K152" s="4"/>
      <c r="L152" s="4"/>
      <c r="M152" s="3"/>
      <c r="N152" s="3"/>
      <c r="O152" s="3"/>
      <c r="P152" s="3"/>
      <c r="Q152" s="1773" t="str">
        <f>CHOOSE(2, "6722000003071", "▷ Blank 10")</f>
        <v>▷ Blank 10</v>
      </c>
      <c r="R152" s="2562"/>
      <c r="S152" s="2563"/>
      <c r="T152" s="2563"/>
      <c r="U152" s="2563"/>
      <c r="V152" s="2563"/>
      <c r="W152" s="2563"/>
      <c r="AA152" s="2558"/>
      <c r="AB152" s="2558"/>
      <c r="AC152" s="2558"/>
      <c r="AD152" s="2558"/>
      <c r="AE152" s="2558"/>
      <c r="AF152" s="2558"/>
      <c r="AG152" s="2558"/>
      <c r="AH152" s="2558"/>
      <c r="AI152" s="2558"/>
      <c r="AJ152" s="2559"/>
      <c r="AL152" s="2558"/>
      <c r="AM152" s="2558"/>
      <c r="AN152" s="2558"/>
      <c r="AO152" s="2558"/>
      <c r="AP152" s="2558"/>
      <c r="AQ152" s="2558"/>
      <c r="AR152" s="2558"/>
      <c r="AT152" s="2558"/>
      <c r="AU152" s="2558"/>
      <c r="AV152" s="2558"/>
      <c r="AW152" s="2558"/>
      <c r="AX152" s="2558"/>
      <c r="AY152" s="2558"/>
      <c r="AZ152" s="2558"/>
      <c r="BB152" s="2558"/>
      <c r="BC152" s="2558"/>
      <c r="BD152" s="2558"/>
      <c r="BE152" s="2558"/>
      <c r="BF152" s="2558"/>
      <c r="BG152" s="2558"/>
      <c r="BH152" s="2558"/>
    </row>
    <row r="153" spans="1:60" ht="14.5">
      <c r="A153" s="616">
        <v>126</v>
      </c>
      <c r="B153" s="616">
        <v>1</v>
      </c>
      <c r="C153" s="616">
        <f t="shared" si="234"/>
        <v>150</v>
      </c>
      <c r="D153" s="709" t="s">
        <v>1308</v>
      </c>
      <c r="E153" s="2547">
        <v>1</v>
      </c>
      <c r="F153" s="4"/>
      <c r="G153" s="4"/>
      <c r="H153" s="4" t="s">
        <v>1395</v>
      </c>
      <c r="I153" s="4"/>
      <c r="J153" s="3"/>
      <c r="K153" s="4"/>
      <c r="L153" s="4"/>
      <c r="M153" s="3"/>
      <c r="N153" s="3"/>
      <c r="O153" s="3"/>
      <c r="P153" s="3"/>
      <c r="Q153" s="1773" t="str">
        <f>CHOOSE(2, "6722000003072", "PL (2) PP")</f>
        <v>PL (2) PP</v>
      </c>
      <c r="R153" s="3143"/>
      <c r="S153" s="2562"/>
      <c r="T153" s="2562"/>
      <c r="U153" s="3143"/>
      <c r="V153" s="2562"/>
      <c r="W153" s="2562"/>
      <c r="AB153" s="1210"/>
      <c r="AC153" s="1210"/>
      <c r="AD153" s="1210"/>
      <c r="AE153" s="1210"/>
      <c r="AF153" s="1210"/>
      <c r="AG153" s="1210"/>
      <c r="AH153" s="1210"/>
      <c r="AI153" s="1210"/>
      <c r="AJ153" s="1210"/>
      <c r="AL153" s="1210"/>
      <c r="AM153" s="1210"/>
      <c r="AN153" s="1210"/>
      <c r="AO153" s="1210"/>
      <c r="AP153" s="1210"/>
      <c r="AQ153" s="1210"/>
      <c r="AR153" s="1210"/>
      <c r="AT153" s="1210"/>
      <c r="AU153" s="1210"/>
      <c r="AV153" s="1210"/>
      <c r="AW153" s="1210"/>
      <c r="AX153" s="1210"/>
      <c r="AY153" s="1210"/>
      <c r="AZ153" s="1210"/>
      <c r="BB153" s="1210"/>
      <c r="BC153" s="1210"/>
      <c r="BD153" s="1210"/>
      <c r="BE153" s="1210"/>
      <c r="BF153" s="1210"/>
      <c r="BG153" s="1210"/>
      <c r="BH153" s="1210"/>
    </row>
    <row r="154" spans="1:60" ht="14.5">
      <c r="A154" s="616">
        <f t="shared" ref="A154:A217" si="265">A153+1</f>
        <v>127</v>
      </c>
      <c r="B154" s="616">
        <v>1</v>
      </c>
      <c r="C154" s="616">
        <f t="shared" si="234"/>
        <v>151</v>
      </c>
      <c r="D154" s="709" t="s">
        <v>1308</v>
      </c>
      <c r="E154" s="2547">
        <v>1</v>
      </c>
      <c r="F154" s="4"/>
      <c r="G154" s="4"/>
      <c r="H154" s="4"/>
      <c r="I154" s="3144" t="s">
        <v>0</v>
      </c>
      <c r="J154" s="2026"/>
      <c r="K154" s="864"/>
      <c r="L154" s="864"/>
      <c r="M154" s="864"/>
      <c r="N154" s="864"/>
      <c r="O154" s="2027" t="s">
        <v>302</v>
      </c>
      <c r="P154" s="864"/>
      <c r="Q154" s="1793" t="str">
        <f>CHOOSE(2, "6722000003073", "PL (2) Net Sales")</f>
        <v>PL (2) Net Sales</v>
      </c>
      <c r="R154" s="2575">
        <f>SUM(R155:R158)</f>
        <v>469389</v>
      </c>
      <c r="S154" s="3145">
        <f t="shared" ref="S154:AC154" si="266">SUM(S155:S158)</f>
        <v>465913</v>
      </c>
      <c r="T154" s="3145">
        <f t="shared" si="266"/>
        <v>468237</v>
      </c>
      <c r="U154" s="3145">
        <f t="shared" si="266"/>
        <v>490672</v>
      </c>
      <c r="V154" s="3145">
        <f t="shared" si="266"/>
        <v>544123.20207</v>
      </c>
      <c r="W154" s="3145">
        <f t="shared" si="266"/>
        <v>420374</v>
      </c>
      <c r="X154" s="3145">
        <f t="shared" si="266"/>
        <v>631088</v>
      </c>
      <c r="Y154" s="3145">
        <f t="shared" si="266"/>
        <v>524580</v>
      </c>
      <c r="Z154" s="3145">
        <f t="shared" si="266"/>
        <v>514753</v>
      </c>
      <c r="AA154" s="3145">
        <f t="shared" si="266"/>
        <v>565106</v>
      </c>
      <c r="AB154" s="3145">
        <f t="shared" si="266"/>
        <v>597727</v>
      </c>
      <c r="AC154" s="3145">
        <f t="shared" si="266"/>
        <v>455797</v>
      </c>
      <c r="AD154" s="3146">
        <f t="shared" ref="AD154:AD163" si="267">SUM(R154,S154,T154)</f>
        <v>1403539</v>
      </c>
      <c r="AE154" s="3146">
        <f t="shared" ref="AE154:AE163" si="268">SUM(U154,V154,W154)</f>
        <v>1455169.2020700001</v>
      </c>
      <c r="AF154" s="3146">
        <f t="shared" ref="AF154:AF163" si="269">SUM(X154,Y154,Z154)</f>
        <v>1670421</v>
      </c>
      <c r="AG154" s="3146">
        <f t="shared" ref="AG154:AG163" si="270">SUM(AA154,AB154,AC154)</f>
        <v>1618630</v>
      </c>
      <c r="AH154" s="3146">
        <f t="shared" ref="AH154:AJ154" si="271">SUM(AH155:AH158)</f>
        <v>2858708.2020700001</v>
      </c>
      <c r="AI154" s="3146">
        <f t="shared" si="271"/>
        <v>3289051</v>
      </c>
      <c r="AJ154" s="3146">
        <f t="shared" si="271"/>
        <v>6147759.2020700006</v>
      </c>
      <c r="AL154" s="1305">
        <f ca="1">SUM((INDIRECT(AL$2&amp;(ROW())):INDIRECT(AL$3&amp;(ROW()))))</f>
        <v>455797</v>
      </c>
      <c r="AM154" s="3146">
        <f ca="1">SUM(INDIRECT(AM$1&amp;AM$2&amp;$C154):INDIRECT(AM$1&amp;AM$3&amp;$C154))</f>
        <v>-913.577</v>
      </c>
      <c r="AN154" s="3147">
        <f t="shared" ref="AN154:AN205" ca="1" si="272">AL154-AM154</f>
        <v>456710.57699999999</v>
      </c>
      <c r="AO154" s="3148">
        <f t="shared" ref="AO154:AO176" ca="1" si="273">IFERROR(AL154/AM154,0)</f>
        <v>-498.91470560226452</v>
      </c>
      <c r="AP154" s="3146">
        <f ca="1">SUM(INDIRECT(AP$1&amp;AP$2&amp;$A154):INDIRECT(AP$1&amp;AP$3&amp;$A154))+SUM(INDIRECT(AP$1&amp;AP$2&amp;$B154):INDIRECT(AP$1&amp;AP$3&amp;$B154))</f>
        <v>0</v>
      </c>
      <c r="AQ154" s="3147">
        <f t="shared" ref="AQ154:AQ201" ca="1" si="274">AL154-AP154</f>
        <v>455797</v>
      </c>
      <c r="AR154" s="3148">
        <f t="shared" ref="AR154:AR176" ca="1" si="275">IFERROR(AL154/AP154,0)</f>
        <v>0</v>
      </c>
      <c r="AT154" s="1305">
        <f ca="1">SUM((INDIRECT(AT$2&amp;(ROW())):INDIRECT(AT$3&amp;(ROW()))))</f>
        <v>1618630</v>
      </c>
      <c r="AU154" s="3146">
        <f ca="1">SUM(INDIRECT(AU$1&amp;AU$2&amp;$C154):INDIRECT(AU$1&amp;AU$3&amp;$C154))</f>
        <v>-2780.7309999999998</v>
      </c>
      <c r="AV154" s="3147">
        <f t="shared" ref="AV154:AV205" ca="1" si="276">AT154-AU154</f>
        <v>1621410.7309999999</v>
      </c>
      <c r="AW154" s="3148">
        <f t="shared" ref="AW154:AW176" ca="1" si="277">IFERROR(AT154/AU154,0)</f>
        <v>-582.08794737786582</v>
      </c>
      <c r="AX154" s="3146">
        <f ca="1">SUM(INDIRECT(AX$1&amp;AX$2&amp;$A154):INDIRECT(AX$1&amp;AX$3&amp;$A154))+SUM(INDIRECT(AX$1&amp;AX$2&amp;$B154):INDIRECT(AX$1&amp;AX$3&amp;$B154))</f>
        <v>0</v>
      </c>
      <c r="AY154" s="3147">
        <f t="shared" ref="AY154:AY201" ca="1" si="278">AT154-AX154</f>
        <v>1618630</v>
      </c>
      <c r="AZ154" s="3148">
        <f t="shared" ref="AZ154:AZ176" ca="1" si="279">IFERROR(AT154/AX154,0)</f>
        <v>0</v>
      </c>
      <c r="BB154" s="1305">
        <f ca="1">SUM((INDIRECT(BB$2&amp;(ROW())):INDIRECT(BB$3&amp;(ROW()))))</f>
        <v>6147759.2020699997</v>
      </c>
      <c r="BC154" s="3146">
        <f ca="1">SUM(INDIRECT(BC$1&amp;BC$2&amp;$C154):INDIRECT(BC$1&amp;BC$3&amp;$C154))</f>
        <v>-4737.8850000000002</v>
      </c>
      <c r="BD154" s="3147">
        <f t="shared" ref="BD154:BD205" ca="1" si="280">BB154-BC154</f>
        <v>6152497.0870699994</v>
      </c>
      <c r="BE154" s="3148">
        <f t="shared" ref="BE154:BE176" ca="1" si="281">IFERROR(BB154/BC154,0)</f>
        <v>-1297.5745933195929</v>
      </c>
      <c r="BF154" s="3146">
        <f ca="1">SUM(INDIRECT(BF$1&amp;BF$2&amp;$A154):INDIRECT(BF$1&amp;BF$3&amp;$A154))+SUM(INDIRECT(BF$1&amp;BF$2&amp;$B154):INDIRECT(BF$1&amp;BF$3&amp;$B154))</f>
        <v>0</v>
      </c>
      <c r="BG154" s="3147">
        <f t="shared" ref="BG154:BG201" ca="1" si="282">BB154-BF154</f>
        <v>6147759.2020699997</v>
      </c>
      <c r="BH154" s="3148">
        <f t="shared" ref="BH154:BH176" ca="1" si="283">IFERROR(BB154/BF154,0)</f>
        <v>0</v>
      </c>
    </row>
    <row r="155" spans="1:60" ht="14.5">
      <c r="A155" s="616">
        <f t="shared" si="265"/>
        <v>128</v>
      </c>
      <c r="B155" s="616">
        <v>1</v>
      </c>
      <c r="C155" s="616">
        <f t="shared" si="234"/>
        <v>152</v>
      </c>
      <c r="D155" s="709" t="s">
        <v>1308</v>
      </c>
      <c r="E155" s="2547">
        <v>1</v>
      </c>
      <c r="F155" s="4"/>
      <c r="G155" s="4"/>
      <c r="H155" s="4"/>
      <c r="I155" s="27"/>
      <c r="J155" s="3"/>
      <c r="K155" s="4"/>
      <c r="L155" s="4"/>
      <c r="M155" s="3" t="s">
        <v>57</v>
      </c>
      <c r="N155" s="3"/>
      <c r="O155" s="3"/>
      <c r="P155" s="3"/>
      <c r="Q155" s="1794" t="str">
        <f>CHOOSE(2, "6722000003074", "PL (2) Net Sales HW")</f>
        <v>PL (2) Net Sales HW</v>
      </c>
      <c r="R155" s="1126">
        <f t="shared" ref="R155:AC155" si="284">R554+R569</f>
        <v>124454</v>
      </c>
      <c r="S155" s="26">
        <f t="shared" si="284"/>
        <v>116887</v>
      </c>
      <c r="T155" s="26">
        <f t="shared" si="284"/>
        <v>107627</v>
      </c>
      <c r="U155" s="26">
        <f t="shared" si="284"/>
        <v>146609</v>
      </c>
      <c r="V155" s="26">
        <f t="shared" si="284"/>
        <v>168081.10800000001</v>
      </c>
      <c r="W155" s="26">
        <f t="shared" si="284"/>
        <v>125768</v>
      </c>
      <c r="X155" s="26">
        <f t="shared" si="284"/>
        <v>185035</v>
      </c>
      <c r="Y155" s="26">
        <f t="shared" si="284"/>
        <v>150968</v>
      </c>
      <c r="Z155" s="26">
        <f t="shared" si="284"/>
        <v>126989</v>
      </c>
      <c r="AA155" s="26">
        <f t="shared" si="284"/>
        <v>166014</v>
      </c>
      <c r="AB155" s="26">
        <f t="shared" si="284"/>
        <v>165952</v>
      </c>
      <c r="AC155" s="26">
        <f t="shared" si="284"/>
        <v>111879</v>
      </c>
      <c r="AD155" s="1221">
        <f t="shared" si="267"/>
        <v>348968</v>
      </c>
      <c r="AE155" s="1221">
        <f t="shared" si="268"/>
        <v>440458.10800000001</v>
      </c>
      <c r="AF155" s="1221">
        <f t="shared" si="269"/>
        <v>462992</v>
      </c>
      <c r="AG155" s="1221">
        <f t="shared" si="270"/>
        <v>443845</v>
      </c>
      <c r="AH155" s="1221">
        <f>AD155+AE155</f>
        <v>789426.10800000001</v>
      </c>
      <c r="AI155" s="1221">
        <f>AG155+AF155</f>
        <v>906837</v>
      </c>
      <c r="AJ155" s="1221">
        <f>AH155+AI155</f>
        <v>1696263.108</v>
      </c>
      <c r="AL155" s="1214">
        <f ca="1">SUM((INDIRECT(AL$2&amp;(ROW())):INDIRECT(AL$3&amp;(ROW()))))</f>
        <v>111879</v>
      </c>
      <c r="AM155" s="1221">
        <f ca="1">SUM(INDIRECT(AM$1&amp;AM$2&amp;$C155):INDIRECT(AM$1&amp;AM$3&amp;$C155))</f>
        <v>0</v>
      </c>
      <c r="AN155" s="3119">
        <f t="shared" ca="1" si="272"/>
        <v>111879</v>
      </c>
      <c r="AO155" s="2768">
        <f t="shared" ca="1" si="273"/>
        <v>0</v>
      </c>
      <c r="AP155" s="1221">
        <f ca="1">SUM(INDIRECT(AP$1&amp;AP$2&amp;$A155):INDIRECT(AP$1&amp;AP$3&amp;$A155))+SUM(INDIRECT(AP$1&amp;AP$2&amp;$B155):INDIRECT(AP$1&amp;AP$3&amp;$B155))</f>
        <v>36375</v>
      </c>
      <c r="AQ155" s="3119">
        <f t="shared" ca="1" si="274"/>
        <v>75504</v>
      </c>
      <c r="AR155" s="2768">
        <f t="shared" ca="1" si="275"/>
        <v>3.0757113402061855</v>
      </c>
      <c r="AT155" s="1214">
        <f ca="1">SUM((INDIRECT(AT$2&amp;(ROW())):INDIRECT(AT$3&amp;(ROW()))))</f>
        <v>443845</v>
      </c>
      <c r="AU155" s="1221">
        <f ca="1">SUM(INDIRECT(AU$1&amp;AU$2&amp;$C155):INDIRECT(AU$1&amp;AU$3&amp;$C155))</f>
        <v>0</v>
      </c>
      <c r="AV155" s="3119">
        <f t="shared" ca="1" si="276"/>
        <v>443845</v>
      </c>
      <c r="AW155" s="2768">
        <f t="shared" ca="1" si="277"/>
        <v>0</v>
      </c>
      <c r="AX155" s="1221">
        <f ca="1">SUM(INDIRECT(AX$1&amp;AX$2&amp;$A155):INDIRECT(AX$1&amp;AX$3&amp;$A155))+SUM(INDIRECT(AX$1&amp;AX$2&amp;$B155):INDIRECT(AX$1&amp;AX$3&amp;$B155))</f>
        <v>147766</v>
      </c>
      <c r="AY155" s="3119">
        <f t="shared" ca="1" si="278"/>
        <v>296079</v>
      </c>
      <c r="AZ155" s="2768">
        <f t="shared" ca="1" si="279"/>
        <v>3.0037017987899786</v>
      </c>
      <c r="BB155" s="1214">
        <f ca="1">SUM((INDIRECT(BB$2&amp;(ROW())):INDIRECT(BB$3&amp;(ROW()))))</f>
        <v>1696263.108</v>
      </c>
      <c r="BC155" s="1221">
        <f ca="1">SUM(INDIRECT(BC$1&amp;BC$2&amp;$C155):INDIRECT(BC$1&amp;BC$3&amp;$C155))</f>
        <v>0</v>
      </c>
      <c r="BD155" s="3119">
        <f t="shared" ca="1" si="280"/>
        <v>1696263.108</v>
      </c>
      <c r="BE155" s="2768">
        <f t="shared" ca="1" si="281"/>
        <v>0</v>
      </c>
      <c r="BF155" s="1221">
        <f ca="1">SUM(INDIRECT(BF$1&amp;BF$2&amp;$A155):INDIRECT(BF$1&amp;BF$3&amp;$A155))+SUM(INDIRECT(BF$1&amp;BF$2&amp;$B155):INDIRECT(BF$1&amp;BF$3&amp;$B155))</f>
        <v>456876.23725981574</v>
      </c>
      <c r="BG155" s="3119">
        <f t="shared" ca="1" si="282"/>
        <v>1239386.8707401843</v>
      </c>
      <c r="BH155" s="2768">
        <f t="shared" ca="1" si="283"/>
        <v>3.7127409343361659</v>
      </c>
    </row>
    <row r="156" spans="1:60" ht="14.5">
      <c r="A156" s="616">
        <f t="shared" si="265"/>
        <v>129</v>
      </c>
      <c r="B156" s="616">
        <v>1</v>
      </c>
      <c r="C156" s="616">
        <f t="shared" si="234"/>
        <v>153</v>
      </c>
      <c r="D156" s="709" t="s">
        <v>1308</v>
      </c>
      <c r="E156" s="2547">
        <v>1</v>
      </c>
      <c r="F156" s="4"/>
      <c r="G156" s="4"/>
      <c r="H156" s="4"/>
      <c r="I156" s="27"/>
      <c r="J156" s="3"/>
      <c r="K156" s="4"/>
      <c r="L156" s="4"/>
      <c r="M156" s="3" t="s">
        <v>27</v>
      </c>
      <c r="N156" s="3"/>
      <c r="O156" s="3"/>
      <c r="P156" s="3"/>
      <c r="Q156" s="1794" t="str">
        <f>CHOOSE(2, "6722000003075", "PL (2) Net Sales NH")</f>
        <v>PL (2) Net Sales NH</v>
      </c>
      <c r="R156" s="1126">
        <f t="shared" ref="R156:AC156" si="285">R557+R572</f>
        <v>344935</v>
      </c>
      <c r="S156" s="26">
        <f t="shared" si="285"/>
        <v>349026</v>
      </c>
      <c r="T156" s="26">
        <f t="shared" si="285"/>
        <v>360610</v>
      </c>
      <c r="U156" s="26">
        <f t="shared" si="285"/>
        <v>344063</v>
      </c>
      <c r="V156" s="26">
        <f t="shared" si="285"/>
        <v>376042.09406999999</v>
      </c>
      <c r="W156" s="26">
        <f t="shared" si="285"/>
        <v>294606</v>
      </c>
      <c r="X156" s="26">
        <f t="shared" si="285"/>
        <v>446053</v>
      </c>
      <c r="Y156" s="26">
        <f t="shared" si="285"/>
        <v>373612</v>
      </c>
      <c r="Z156" s="26">
        <f t="shared" si="285"/>
        <v>387764</v>
      </c>
      <c r="AA156" s="26">
        <f t="shared" si="285"/>
        <v>399092</v>
      </c>
      <c r="AB156" s="26">
        <f t="shared" si="285"/>
        <v>431775</v>
      </c>
      <c r="AC156" s="26">
        <f t="shared" si="285"/>
        <v>343918</v>
      </c>
      <c r="AD156" s="1221">
        <f t="shared" si="267"/>
        <v>1054571</v>
      </c>
      <c r="AE156" s="1221">
        <f t="shared" si="268"/>
        <v>1014711.09407</v>
      </c>
      <c r="AF156" s="1221">
        <f t="shared" si="269"/>
        <v>1207429</v>
      </c>
      <c r="AG156" s="1221">
        <f t="shared" si="270"/>
        <v>1174785</v>
      </c>
      <c r="AH156" s="1221">
        <f>AD156+AE156</f>
        <v>2069282.0940700001</v>
      </c>
      <c r="AI156" s="1221">
        <f>AG156+AF156</f>
        <v>2382214</v>
      </c>
      <c r="AJ156" s="1221">
        <f>AH156+AI156</f>
        <v>4451496.0940700006</v>
      </c>
      <c r="AL156" s="1214">
        <f ca="1">SUM((INDIRECT(AL$2&amp;(ROW())):INDIRECT(AL$3&amp;(ROW()))))</f>
        <v>343918</v>
      </c>
      <c r="AM156" s="1221">
        <f ca="1">SUM(INDIRECT(AM$1&amp;AM$2&amp;$C156):INDIRECT(AM$1&amp;AM$3&amp;$C156))</f>
        <v>0</v>
      </c>
      <c r="AN156" s="3119">
        <f t="shared" ca="1" si="272"/>
        <v>343918</v>
      </c>
      <c r="AO156" s="2768">
        <f t="shared" ca="1" si="273"/>
        <v>0</v>
      </c>
      <c r="AP156" s="1221">
        <f ca="1">SUM(INDIRECT(AP$1&amp;AP$2&amp;$A156):INDIRECT(AP$1&amp;AP$3&amp;$A156))+SUM(INDIRECT(AP$1&amp;AP$2&amp;$B156):INDIRECT(AP$1&amp;AP$3&amp;$B156))</f>
        <v>29456</v>
      </c>
      <c r="AQ156" s="3119">
        <f t="shared" ca="1" si="274"/>
        <v>314462</v>
      </c>
      <c r="AR156" s="2768">
        <f t="shared" ca="1" si="275"/>
        <v>11.675651819663226</v>
      </c>
      <c r="AT156" s="1214">
        <f ca="1">SUM((INDIRECT(AT$2&amp;(ROW())):INDIRECT(AT$3&amp;(ROW()))))</f>
        <v>1174785</v>
      </c>
      <c r="AU156" s="1221">
        <f ca="1">SUM(INDIRECT(AU$1&amp;AU$2&amp;$C156):INDIRECT(AU$1&amp;AU$3&amp;$C156))</f>
        <v>0</v>
      </c>
      <c r="AV156" s="3119">
        <f t="shared" ca="1" si="276"/>
        <v>1174785</v>
      </c>
      <c r="AW156" s="2768">
        <f t="shared" ca="1" si="277"/>
        <v>0</v>
      </c>
      <c r="AX156" s="1221">
        <f ca="1">SUM(INDIRECT(AX$1&amp;AX$2&amp;$A156):INDIRECT(AX$1&amp;AX$3&amp;$A156))+SUM(INDIRECT(AX$1&amp;AX$2&amp;$B156):INDIRECT(AX$1&amp;AX$3&amp;$B156))</f>
        <v>96105</v>
      </c>
      <c r="AY156" s="3119">
        <f t="shared" ca="1" si="278"/>
        <v>1078680</v>
      </c>
      <c r="AZ156" s="2768">
        <f t="shared" ca="1" si="279"/>
        <v>12.22397377867957</v>
      </c>
      <c r="BB156" s="1214">
        <f ca="1">SUM((INDIRECT(BB$2&amp;(ROW())):INDIRECT(BB$3&amp;(ROW()))))</f>
        <v>4451496.0940700006</v>
      </c>
      <c r="BC156" s="1221">
        <f ca="1">SUM(INDIRECT(BC$1&amp;BC$2&amp;$C156):INDIRECT(BC$1&amp;BC$3&amp;$C156))</f>
        <v>0</v>
      </c>
      <c r="BD156" s="3119">
        <f t="shared" ca="1" si="280"/>
        <v>4451496.0940700006</v>
      </c>
      <c r="BE156" s="2768">
        <f t="shared" ca="1" si="281"/>
        <v>0</v>
      </c>
      <c r="BF156" s="1221">
        <f ca="1">SUM(INDIRECT(BF$1&amp;BF$2&amp;$A156):INDIRECT(BF$1&amp;BF$3&amp;$A156))+SUM(INDIRECT(BF$1&amp;BF$2&amp;$B156):INDIRECT(BF$1&amp;BF$3&amp;$B156))</f>
        <v>372573.38699054375</v>
      </c>
      <c r="BG156" s="3119">
        <f t="shared" ca="1" si="282"/>
        <v>4078922.7070794567</v>
      </c>
      <c r="BH156" s="2768">
        <f t="shared" ca="1" si="283"/>
        <v>11.947971190392575</v>
      </c>
    </row>
    <row r="157" spans="1:60" ht="14.5">
      <c r="A157" s="616">
        <f t="shared" si="265"/>
        <v>130</v>
      </c>
      <c r="B157" s="616">
        <v>1</v>
      </c>
      <c r="C157" s="616">
        <f t="shared" si="234"/>
        <v>154</v>
      </c>
      <c r="D157" s="709" t="s">
        <v>1308</v>
      </c>
      <c r="E157" s="2547">
        <v>1</v>
      </c>
      <c r="F157" s="4"/>
      <c r="G157" s="4"/>
      <c r="H157" s="4"/>
      <c r="I157" s="27"/>
      <c r="J157" s="3"/>
      <c r="K157" s="4"/>
      <c r="L157" s="4"/>
      <c r="M157" s="3" t="s">
        <v>24</v>
      </c>
      <c r="N157" s="3"/>
      <c r="O157" s="3"/>
      <c r="P157" s="3"/>
      <c r="Q157" s="1794" t="str">
        <f>CHOOSE(2, "6722000003076", "PL (2) Net Sales Solution")</f>
        <v>PL (2) Net Sales Solution</v>
      </c>
      <c r="R157" s="1126">
        <f t="shared" ref="R157:AC157" si="286">R562+R577</f>
        <v>0</v>
      </c>
      <c r="S157" s="26">
        <f t="shared" si="286"/>
        <v>0</v>
      </c>
      <c r="T157" s="26">
        <f t="shared" si="286"/>
        <v>0</v>
      </c>
      <c r="U157" s="26">
        <f t="shared" si="286"/>
        <v>0</v>
      </c>
      <c r="V157" s="26">
        <f t="shared" si="286"/>
        <v>0</v>
      </c>
      <c r="W157" s="26">
        <f t="shared" si="286"/>
        <v>0</v>
      </c>
      <c r="X157" s="26">
        <f t="shared" si="286"/>
        <v>0</v>
      </c>
      <c r="Y157" s="26">
        <f t="shared" si="286"/>
        <v>0</v>
      </c>
      <c r="Z157" s="26">
        <f t="shared" si="286"/>
        <v>0</v>
      </c>
      <c r="AA157" s="26">
        <f t="shared" si="286"/>
        <v>0</v>
      </c>
      <c r="AB157" s="26">
        <f t="shared" si="286"/>
        <v>0</v>
      </c>
      <c r="AC157" s="26">
        <f t="shared" si="286"/>
        <v>0</v>
      </c>
      <c r="AD157" s="1221">
        <f t="shared" si="267"/>
        <v>0</v>
      </c>
      <c r="AE157" s="1221">
        <f t="shared" si="268"/>
        <v>0</v>
      </c>
      <c r="AF157" s="1221">
        <f t="shared" si="269"/>
        <v>0</v>
      </c>
      <c r="AG157" s="1221">
        <f t="shared" si="270"/>
        <v>0</v>
      </c>
      <c r="AH157" s="1221">
        <f>AD157+AE157</f>
        <v>0</v>
      </c>
      <c r="AI157" s="1221">
        <f>AG157+AF157</f>
        <v>0</v>
      </c>
      <c r="AJ157" s="1221">
        <f>AH157+AI157</f>
        <v>0</v>
      </c>
      <c r="AL157" s="1214">
        <f ca="1">SUM((INDIRECT(AL$2&amp;(ROW())):INDIRECT(AL$3&amp;(ROW()))))</f>
        <v>0</v>
      </c>
      <c r="AM157" s="1221">
        <f ca="1">SUM(INDIRECT(AM$1&amp;AM$2&amp;$C157):INDIRECT(AM$1&amp;AM$3&amp;$C157))</f>
        <v>467561.37320136616</v>
      </c>
      <c r="AN157" s="3119">
        <f t="shared" ca="1" si="272"/>
        <v>-467561.37320136616</v>
      </c>
      <c r="AO157" s="2768">
        <f t="shared" ca="1" si="273"/>
        <v>0</v>
      </c>
      <c r="AP157" s="1221">
        <f ca="1">SUM(INDIRECT(AP$1&amp;AP$2&amp;$A157):INDIRECT(AP$1&amp;AP$3&amp;$A157))+SUM(INDIRECT(AP$1&amp;AP$2&amp;$B157):INDIRECT(AP$1&amp;AP$3&amp;$B157))</f>
        <v>0</v>
      </c>
      <c r="AQ157" s="3119">
        <f t="shared" ca="1" si="274"/>
        <v>0</v>
      </c>
      <c r="AR157" s="2768">
        <f t="shared" ca="1" si="275"/>
        <v>0</v>
      </c>
      <c r="AT157" s="1214">
        <f ca="1">SUM((INDIRECT(AT$2&amp;(ROW())):INDIRECT(AT$3&amp;(ROW()))))</f>
        <v>0</v>
      </c>
      <c r="AU157" s="1221">
        <f ca="1">SUM(INDIRECT(AU$1&amp;AU$2&amp;$C157):INDIRECT(AU$1&amp;AU$3&amp;$C157))</f>
        <v>1390647.2468032329</v>
      </c>
      <c r="AV157" s="3119">
        <f t="shared" ca="1" si="276"/>
        <v>-1390647.2468032329</v>
      </c>
      <c r="AW157" s="2768">
        <f t="shared" ca="1" si="277"/>
        <v>0</v>
      </c>
      <c r="AX157" s="1221">
        <f ca="1">SUM(INDIRECT(AX$1&amp;AX$2&amp;$A157):INDIRECT(AX$1&amp;AX$3&amp;$A157))+SUM(INDIRECT(AX$1&amp;AX$2&amp;$B157):INDIRECT(AX$1&amp;AX$3&amp;$B157))</f>
        <v>0</v>
      </c>
      <c r="AY157" s="3119">
        <f t="shared" ca="1" si="278"/>
        <v>0</v>
      </c>
      <c r="AZ157" s="2768">
        <f t="shared" ca="1" si="279"/>
        <v>0</v>
      </c>
      <c r="BB157" s="1214">
        <f ca="1">SUM((INDIRECT(BB$2&amp;(ROW())):INDIRECT(BB$3&amp;(ROW()))))</f>
        <v>0</v>
      </c>
      <c r="BC157" s="1221">
        <f ca="1">SUM(INDIRECT(BC$1&amp;BC$2&amp;$C157):INDIRECT(BC$1&amp;BC$3&amp;$C157))</f>
        <v>2447847.7448072075</v>
      </c>
      <c r="BD157" s="3119">
        <f t="shared" ca="1" si="280"/>
        <v>-2447847.7448072075</v>
      </c>
      <c r="BE157" s="2768">
        <f t="shared" ca="1" si="281"/>
        <v>0</v>
      </c>
      <c r="BF157" s="1221">
        <f ca="1">SUM(INDIRECT(BF$1&amp;BF$2&amp;$A157):INDIRECT(BF$1&amp;BF$3&amp;$A157))+SUM(INDIRECT(BF$1&amp;BF$2&amp;$B157):INDIRECT(BF$1&amp;BF$3&amp;$B157))</f>
        <v>0</v>
      </c>
      <c r="BG157" s="3119">
        <f t="shared" ca="1" si="282"/>
        <v>0</v>
      </c>
      <c r="BH157" s="2768">
        <f t="shared" ca="1" si="283"/>
        <v>0</v>
      </c>
    </row>
    <row r="158" spans="1:60" ht="14.5">
      <c r="A158" s="616">
        <f t="shared" si="265"/>
        <v>131</v>
      </c>
      <c r="B158" s="616">
        <v>1</v>
      </c>
      <c r="C158" s="616">
        <f t="shared" si="234"/>
        <v>155</v>
      </c>
      <c r="D158" s="709" t="s">
        <v>1308</v>
      </c>
      <c r="E158" s="2547">
        <v>1</v>
      </c>
      <c r="F158" s="4"/>
      <c r="G158" s="4"/>
      <c r="H158" s="4"/>
      <c r="I158" s="27"/>
      <c r="J158" s="3"/>
      <c r="K158" s="4"/>
      <c r="L158" s="4"/>
      <c r="M158" s="3" t="s">
        <v>2</v>
      </c>
      <c r="N158" s="3"/>
      <c r="O158" s="3"/>
      <c r="P158" s="3"/>
      <c r="Q158" s="1794" t="str">
        <f>CHOOSE(2, "6722000003077", "PL (2) Net Sales Others")</f>
        <v>PL (2) Net Sales Others</v>
      </c>
      <c r="R158" s="1126">
        <f t="shared" ref="R158:AC158" si="287">R567+R582</f>
        <v>0</v>
      </c>
      <c r="S158" s="26">
        <f t="shared" si="287"/>
        <v>0</v>
      </c>
      <c r="T158" s="26">
        <f t="shared" si="287"/>
        <v>0</v>
      </c>
      <c r="U158" s="26">
        <f t="shared" si="287"/>
        <v>0</v>
      </c>
      <c r="V158" s="26">
        <f t="shared" si="287"/>
        <v>0</v>
      </c>
      <c r="W158" s="26">
        <f t="shared" si="287"/>
        <v>0</v>
      </c>
      <c r="X158" s="26">
        <f t="shared" si="287"/>
        <v>0</v>
      </c>
      <c r="Y158" s="26">
        <f t="shared" si="287"/>
        <v>0</v>
      </c>
      <c r="Z158" s="26">
        <f t="shared" si="287"/>
        <v>0</v>
      </c>
      <c r="AA158" s="26">
        <f t="shared" si="287"/>
        <v>0</v>
      </c>
      <c r="AB158" s="26">
        <f t="shared" si="287"/>
        <v>0</v>
      </c>
      <c r="AC158" s="26">
        <f t="shared" si="287"/>
        <v>0</v>
      </c>
      <c r="AD158" s="1221">
        <f t="shared" si="267"/>
        <v>0</v>
      </c>
      <c r="AE158" s="1221">
        <f t="shared" si="268"/>
        <v>0</v>
      </c>
      <c r="AF158" s="1221">
        <f t="shared" si="269"/>
        <v>0</v>
      </c>
      <c r="AG158" s="1221">
        <f t="shared" si="270"/>
        <v>0</v>
      </c>
      <c r="AH158" s="1221">
        <f>AD158+AE158</f>
        <v>0</v>
      </c>
      <c r="AI158" s="1221">
        <f>AG158+AF158</f>
        <v>0</v>
      </c>
      <c r="AJ158" s="1221">
        <f>AH158+AI158</f>
        <v>0</v>
      </c>
      <c r="AL158" s="1214">
        <f ca="1">SUM((INDIRECT(AL$2&amp;(ROW())):INDIRECT(AL$3&amp;(ROW()))))</f>
        <v>0</v>
      </c>
      <c r="AM158" s="1221">
        <f ca="1">SUM(INDIRECT(AM$1&amp;AM$2&amp;$C158):INDIRECT(AM$1&amp;AM$3&amp;$C158))</f>
        <v>119764.17985136624</v>
      </c>
      <c r="AN158" s="3119">
        <f t="shared" ca="1" si="272"/>
        <v>-119764.17985136624</v>
      </c>
      <c r="AO158" s="2768">
        <f t="shared" ca="1" si="273"/>
        <v>0</v>
      </c>
      <c r="AP158" s="1221">
        <f ca="1">SUM(INDIRECT(AP$1&amp;AP$2&amp;$A158):INDIRECT(AP$1&amp;AP$3&amp;$A158))+SUM(INDIRECT(AP$1&amp;AP$2&amp;$B158):INDIRECT(AP$1&amp;AP$3&amp;$B158))</f>
        <v>62177.614876062988</v>
      </c>
      <c r="AQ158" s="3119">
        <f t="shared" ca="1" si="274"/>
        <v>-62177.614876062988</v>
      </c>
      <c r="AR158" s="2768">
        <f t="shared" ca="1" si="275"/>
        <v>0</v>
      </c>
      <c r="AT158" s="1214">
        <f ca="1">SUM((INDIRECT(AT$2&amp;(ROW())):INDIRECT(AT$3&amp;(ROW()))))</f>
        <v>0</v>
      </c>
      <c r="AU158" s="1221">
        <f ca="1">SUM(INDIRECT(AU$1&amp;AU$2&amp;$C158):INDIRECT(AU$1&amp;AU$3&amp;$C158))</f>
        <v>345489.56650323316</v>
      </c>
      <c r="AV158" s="3119">
        <f t="shared" ca="1" si="276"/>
        <v>-345489.56650323316</v>
      </c>
      <c r="AW158" s="2768">
        <f t="shared" ca="1" si="277"/>
        <v>0</v>
      </c>
      <c r="AX158" s="1221">
        <f ca="1">SUM(INDIRECT(AX$1&amp;AX$2&amp;$A158):INDIRECT(AX$1&amp;AX$3&amp;$A158))+SUM(INDIRECT(AX$1&amp;AX$2&amp;$B158):INDIRECT(AX$1&amp;AX$3&amp;$B158))</f>
        <v>212815.44803035687</v>
      </c>
      <c r="AY158" s="3119">
        <f t="shared" ca="1" si="278"/>
        <v>-212815.44803035687</v>
      </c>
      <c r="AZ158" s="2768">
        <f t="shared" ca="1" si="279"/>
        <v>0</v>
      </c>
      <c r="BB158" s="1214">
        <f ca="1">SUM((INDIRECT(BB$2&amp;(ROW())):INDIRECT(BB$3&amp;(ROW()))))</f>
        <v>0</v>
      </c>
      <c r="BC158" s="1221">
        <f ca="1">SUM(INDIRECT(BC$1&amp;BC$2&amp;$C158):INDIRECT(BC$1&amp;BC$3&amp;$C158))</f>
        <v>610363.47730720753</v>
      </c>
      <c r="BD158" s="3119">
        <f t="shared" ca="1" si="280"/>
        <v>-610363.47730720753</v>
      </c>
      <c r="BE158" s="2768">
        <f t="shared" ca="1" si="281"/>
        <v>0</v>
      </c>
      <c r="BF158" s="1221">
        <f ca="1">SUM(INDIRECT(BF$1&amp;BF$2&amp;$A158):INDIRECT(BF$1&amp;BF$3&amp;$A158))+SUM(INDIRECT(BF$1&amp;BF$2&amp;$B158):INDIRECT(BF$1&amp;BF$3&amp;$B158))</f>
        <v>671691.68123540154</v>
      </c>
      <c r="BG158" s="3119">
        <f t="shared" ca="1" si="282"/>
        <v>-671691.68123540154</v>
      </c>
      <c r="BH158" s="2768">
        <f t="shared" ca="1" si="283"/>
        <v>0</v>
      </c>
    </row>
    <row r="159" spans="1:60" ht="14.5">
      <c r="A159" s="616">
        <f t="shared" si="265"/>
        <v>132</v>
      </c>
      <c r="B159" s="616">
        <v>1</v>
      </c>
      <c r="C159" s="616">
        <f t="shared" si="234"/>
        <v>156</v>
      </c>
      <c r="D159" s="709" t="s">
        <v>1308</v>
      </c>
      <c r="E159" s="2547">
        <v>1</v>
      </c>
      <c r="F159" s="4"/>
      <c r="G159" s="4"/>
      <c r="H159" s="4"/>
      <c r="I159" s="3144" t="s">
        <v>48</v>
      </c>
      <c r="J159" s="2026"/>
      <c r="K159" s="864"/>
      <c r="L159" s="864"/>
      <c r="M159" s="864"/>
      <c r="N159" s="864"/>
      <c r="O159" s="2027" t="s">
        <v>304</v>
      </c>
      <c r="P159" s="864"/>
      <c r="Q159" s="1793" t="str">
        <f>CHOOSE(2, "6722000003078", "PL (2) BT Cons. Sales")</f>
        <v>PL (2) BT Cons. Sales</v>
      </c>
      <c r="R159" s="2575">
        <f>SUM(R160:R163)</f>
        <v>468311</v>
      </c>
      <c r="S159" s="3145">
        <f t="shared" ref="S159:AC159" si="288">SUM(S160:S163)</f>
        <v>465913</v>
      </c>
      <c r="T159" s="3145">
        <f t="shared" si="288"/>
        <v>468237</v>
      </c>
      <c r="U159" s="3145">
        <f t="shared" si="288"/>
        <v>487503</v>
      </c>
      <c r="V159" s="3145">
        <f t="shared" si="288"/>
        <v>544123.20207</v>
      </c>
      <c r="W159" s="3145">
        <f t="shared" si="288"/>
        <v>420374</v>
      </c>
      <c r="X159" s="3145">
        <f t="shared" si="288"/>
        <v>631088</v>
      </c>
      <c r="Y159" s="3145">
        <f>SUM(Y160:Y163)</f>
        <v>524580</v>
      </c>
      <c r="Z159" s="3145">
        <f t="shared" si="288"/>
        <v>514753</v>
      </c>
      <c r="AA159" s="3145">
        <f t="shared" si="288"/>
        <v>565106</v>
      </c>
      <c r="AB159" s="3145">
        <f t="shared" si="288"/>
        <v>597727</v>
      </c>
      <c r="AC159" s="3145">
        <f t="shared" si="288"/>
        <v>455797</v>
      </c>
      <c r="AD159" s="3146">
        <f t="shared" si="267"/>
        <v>1402461</v>
      </c>
      <c r="AE159" s="3146">
        <f t="shared" si="268"/>
        <v>1452000.2020700001</v>
      </c>
      <c r="AF159" s="3146">
        <f t="shared" si="269"/>
        <v>1670421</v>
      </c>
      <c r="AG159" s="3146">
        <f t="shared" si="270"/>
        <v>1618630</v>
      </c>
      <c r="AH159" s="3146">
        <f t="shared" ref="AH159:AJ159" si="289">SUM(AH160:AH163)</f>
        <v>2854461.2020700001</v>
      </c>
      <c r="AI159" s="3146">
        <f t="shared" si="289"/>
        <v>3289051</v>
      </c>
      <c r="AJ159" s="3146">
        <f t="shared" si="289"/>
        <v>6143512.2020700006</v>
      </c>
      <c r="AL159" s="1305">
        <f ca="1">SUM((INDIRECT(AL$2&amp;(ROW())):INDIRECT(AL$3&amp;(ROW()))))</f>
        <v>455797</v>
      </c>
      <c r="AM159" s="3146">
        <f ca="1">SUM(INDIRECT(AM$1&amp;AM$2&amp;$C159):INDIRECT(AM$1&amp;AM$3&amp;$C159))</f>
        <v>347047.19334999996</v>
      </c>
      <c r="AN159" s="3147">
        <f t="shared" ca="1" si="272"/>
        <v>108749.80665000004</v>
      </c>
      <c r="AO159" s="3148">
        <f t="shared" ca="1" si="273"/>
        <v>1.3133574013385694</v>
      </c>
      <c r="AP159" s="3146">
        <f ca="1">SUM(INDIRECT(AP$1&amp;AP$2&amp;$A159):INDIRECT(AP$1&amp;AP$3&amp;$A159))+SUM(INDIRECT(AP$1&amp;AP$2&amp;$B159):INDIRECT(AP$1&amp;AP$3&amp;$B159))</f>
        <v>26028.869694732028</v>
      </c>
      <c r="AQ159" s="3147">
        <f t="shared" ca="1" si="274"/>
        <v>429768.13030526799</v>
      </c>
      <c r="AR159" s="3148">
        <f t="shared" ca="1" si="275"/>
        <v>17.511209873713746</v>
      </c>
      <c r="AT159" s="1305">
        <f ca="1">SUM((INDIRECT(AT$2&amp;(ROW())):INDIRECT(AT$3&amp;(ROW()))))</f>
        <v>1618630</v>
      </c>
      <c r="AU159" s="3146">
        <f ca="1">SUM(INDIRECT(AU$1&amp;AU$2&amp;$C159):INDIRECT(AU$1&amp;AU$3&amp;$C159))</f>
        <v>1043657.6802999999</v>
      </c>
      <c r="AV159" s="3147">
        <f t="shared" ca="1" si="276"/>
        <v>574972.31970000011</v>
      </c>
      <c r="AW159" s="3148">
        <f t="shared" ca="1" si="277"/>
        <v>1.5509204124619904</v>
      </c>
      <c r="AX159" s="3146">
        <f ca="1">SUM(INDIRECT(AX$1&amp;AX$2&amp;$A159):INDIRECT(AX$1&amp;AX$3&amp;$A159))+SUM(INDIRECT(AX$1&amp;AX$2&amp;$B159):INDIRECT(AX$1&amp;AX$3&amp;$B159))</f>
        <v>89232.270309140033</v>
      </c>
      <c r="AY159" s="3147">
        <f t="shared" ca="1" si="278"/>
        <v>1529397.72969086</v>
      </c>
      <c r="AZ159" s="3148">
        <f t="shared" ca="1" si="279"/>
        <v>18.139513814815537</v>
      </c>
      <c r="BB159" s="1305">
        <f ca="1">SUM((INDIRECT(BB$2&amp;(ROW())):INDIRECT(BB$3&amp;(ROW()))))</f>
        <v>6143512.2020699997</v>
      </c>
      <c r="BC159" s="3146">
        <f ca="1">SUM(INDIRECT(BC$1&amp;BC$2&amp;$C159):INDIRECT(BC$1&amp;BC$3&amp;$C159))</f>
        <v>1834484.2674999996</v>
      </c>
      <c r="BD159" s="3147">
        <f t="shared" ca="1" si="280"/>
        <v>4309027.9345699996</v>
      </c>
      <c r="BE159" s="3148">
        <f t="shared" ca="1" si="281"/>
        <v>3.3489042729389342</v>
      </c>
      <c r="BF159" s="3146">
        <f ca="1">SUM(INDIRECT(BF$1&amp;BF$2&amp;$A159):INDIRECT(BF$1&amp;BF$3&amp;$A159))+SUM(INDIRECT(BF$1&amp;BF$2&amp;$B159):INDIRECT(BF$1&amp;BF$3&amp;$B159))</f>
        <v>225299.02124811109</v>
      </c>
      <c r="BG159" s="3147">
        <f t="shared" ca="1" si="282"/>
        <v>5918213.1808218881</v>
      </c>
      <c r="BH159" s="3148">
        <f t="shared" ca="1" si="283"/>
        <v>27.268259613540184</v>
      </c>
    </row>
    <row r="160" spans="1:60" ht="14.5">
      <c r="A160" s="616">
        <f t="shared" si="265"/>
        <v>133</v>
      </c>
      <c r="B160" s="616">
        <v>1</v>
      </c>
      <c r="C160" s="616">
        <f t="shared" si="234"/>
        <v>157</v>
      </c>
      <c r="D160" s="709" t="s">
        <v>1308</v>
      </c>
      <c r="E160" s="2547">
        <v>1</v>
      </c>
      <c r="F160" s="4"/>
      <c r="G160" s="4"/>
      <c r="H160" s="4"/>
      <c r="I160" s="27"/>
      <c r="J160" s="3"/>
      <c r="K160" s="4"/>
      <c r="L160" s="4"/>
      <c r="M160" s="3" t="s">
        <v>57</v>
      </c>
      <c r="N160" s="3"/>
      <c r="O160" s="3"/>
      <c r="P160" s="3"/>
      <c r="Q160" s="1790" t="str">
        <f>CHOOSE(2, "6722000003079", "PL (2) BT Cons. Sales HW")</f>
        <v>PL (2) BT Cons. Sales HW</v>
      </c>
      <c r="R160" s="1215">
        <v>124454</v>
      </c>
      <c r="S160" s="1222">
        <v>116887</v>
      </c>
      <c r="T160" s="1222">
        <v>107627</v>
      </c>
      <c r="U160" s="1222">
        <f>146609-3169</f>
        <v>143440</v>
      </c>
      <c r="V160" s="1222">
        <v>168081.10800000001</v>
      </c>
      <c r="W160" s="1222">
        <v>125768</v>
      </c>
      <c r="X160" s="1222">
        <v>185035</v>
      </c>
      <c r="Y160" s="1222">
        <v>150968</v>
      </c>
      <c r="Z160" s="1222">
        <v>126989</v>
      </c>
      <c r="AA160" s="1222">
        <v>166014</v>
      </c>
      <c r="AB160" s="1222">
        <v>165952</v>
      </c>
      <c r="AC160" s="1222">
        <v>111879</v>
      </c>
      <c r="AD160" s="1221">
        <f t="shared" si="267"/>
        <v>348968</v>
      </c>
      <c r="AE160" s="1221">
        <f t="shared" si="268"/>
        <v>437289.10800000001</v>
      </c>
      <c r="AF160" s="1221">
        <f t="shared" si="269"/>
        <v>462992</v>
      </c>
      <c r="AG160" s="1221">
        <f t="shared" si="270"/>
        <v>443845</v>
      </c>
      <c r="AH160" s="1221">
        <f>AD160+AE160</f>
        <v>786257.10800000001</v>
      </c>
      <c r="AI160" s="1221">
        <f>AG160+AF160</f>
        <v>906837</v>
      </c>
      <c r="AJ160" s="1221">
        <f>AH160+AI160</f>
        <v>1693094.108</v>
      </c>
      <c r="AL160" s="1214">
        <f ca="1">SUM((INDIRECT(AL$2&amp;(ROW())):INDIRECT(AL$3&amp;(ROW()))))</f>
        <v>111879</v>
      </c>
      <c r="AM160" s="1221">
        <f ca="1">SUM(INDIRECT(AM$1&amp;AM$2&amp;$C160):INDIRECT(AM$1&amp;AM$3&amp;$C160))</f>
        <v>750</v>
      </c>
      <c r="AN160" s="3119">
        <f t="shared" ca="1" si="272"/>
        <v>111129</v>
      </c>
      <c r="AO160" s="2768">
        <f t="shared" ca="1" si="273"/>
        <v>149.172</v>
      </c>
      <c r="AP160" s="1221">
        <f ca="1">SUM(INDIRECT(AP$1&amp;AP$2&amp;$A160):INDIRECT(AP$1&amp;AP$3&amp;$A160))+SUM(INDIRECT(AP$1&amp;AP$2&amp;$B160):INDIRECT(AP$1&amp;AP$3&amp;$B160))</f>
        <v>27010.163973104827</v>
      </c>
      <c r="AQ160" s="3119">
        <f t="shared" ca="1" si="274"/>
        <v>84868.83602689518</v>
      </c>
      <c r="AR160" s="2768">
        <f t="shared" ca="1" si="275"/>
        <v>4.1421073974746205</v>
      </c>
      <c r="AT160" s="1214">
        <f ca="1">SUM((INDIRECT(AT$2&amp;(ROW())):INDIRECT(AT$3&amp;(ROW()))))</f>
        <v>443845</v>
      </c>
      <c r="AU160" s="1221">
        <f ca="1">SUM(INDIRECT(AU$1&amp;AU$2&amp;$C160):INDIRECT(AU$1&amp;AU$3&amp;$C160))</f>
        <v>1500</v>
      </c>
      <c r="AV160" s="3119">
        <f t="shared" ca="1" si="276"/>
        <v>442345</v>
      </c>
      <c r="AW160" s="2768">
        <f t="shared" ca="1" si="277"/>
        <v>295.89666666666665</v>
      </c>
      <c r="AX160" s="1221">
        <f ca="1">SUM(INDIRECT(AX$1&amp;AX$2&amp;$A160):INDIRECT(AX$1&amp;AX$3&amp;$A160))+SUM(INDIRECT(AX$1&amp;AX$2&amp;$B160):INDIRECT(AX$1&amp;AX$3&amp;$B160))</f>
        <v>77974.46842094876</v>
      </c>
      <c r="AY160" s="3119">
        <f t="shared" ca="1" si="278"/>
        <v>365870.53157905122</v>
      </c>
      <c r="AZ160" s="2768">
        <f t="shared" ca="1" si="279"/>
        <v>5.6921837235732387</v>
      </c>
      <c r="BB160" s="1214">
        <f ca="1">SUM((INDIRECT(BB$2&amp;(ROW())):INDIRECT(BB$3&amp;(ROW()))))</f>
        <v>1693094.108</v>
      </c>
      <c r="BC160" s="1221">
        <f ca="1">SUM(INDIRECT(BC$1&amp;BC$2&amp;$C160):INDIRECT(BC$1&amp;BC$3&amp;$C160))</f>
        <v>3000</v>
      </c>
      <c r="BD160" s="3119">
        <f t="shared" ca="1" si="280"/>
        <v>1690094.108</v>
      </c>
      <c r="BE160" s="2768">
        <f t="shared" ca="1" si="281"/>
        <v>564.36470266666663</v>
      </c>
      <c r="BF160" s="1221">
        <f ca="1">SUM(INDIRECT(BF$1&amp;BF$2&amp;$A160):INDIRECT(BF$1&amp;BF$3&amp;$A160))+SUM(INDIRECT(BF$1&amp;BF$2&amp;$B160):INDIRECT(BF$1&amp;BF$3&amp;$B160))</f>
        <v>266743.27878718131</v>
      </c>
      <c r="BG160" s="3119">
        <f t="shared" ca="1" si="282"/>
        <v>1426350.8292128188</v>
      </c>
      <c r="BH160" s="2768">
        <f t="shared" ca="1" si="283"/>
        <v>6.3472793605075974</v>
      </c>
    </row>
    <row r="161" spans="1:60" ht="14.5">
      <c r="A161" s="616">
        <f t="shared" si="265"/>
        <v>134</v>
      </c>
      <c r="B161" s="616">
        <v>1</v>
      </c>
      <c r="C161" s="616">
        <f t="shared" si="234"/>
        <v>158</v>
      </c>
      <c r="D161" s="709" t="s">
        <v>1308</v>
      </c>
      <c r="E161" s="2547">
        <v>1</v>
      </c>
      <c r="F161" s="4"/>
      <c r="G161" s="4"/>
      <c r="H161" s="4"/>
      <c r="I161" s="27"/>
      <c r="J161" s="3"/>
      <c r="K161" s="4"/>
      <c r="L161" s="4"/>
      <c r="M161" s="3" t="s">
        <v>27</v>
      </c>
      <c r="N161" s="3"/>
      <c r="O161" s="3"/>
      <c r="P161" s="3"/>
      <c r="Q161" s="1790" t="str">
        <f>CHOOSE(2, "6722000003080", "PL (2) BT Cons. Sales NH")</f>
        <v>PL (2) BT Cons. Sales NH</v>
      </c>
      <c r="R161" s="1215">
        <f>344935-1078</f>
        <v>343857</v>
      </c>
      <c r="S161" s="1222">
        <v>349026</v>
      </c>
      <c r="T161" s="1222">
        <v>360610</v>
      </c>
      <c r="U161" s="1222">
        <v>344063</v>
      </c>
      <c r="V161" s="1222">
        <v>376042.09406999999</v>
      </c>
      <c r="W161" s="1222">
        <v>294606</v>
      </c>
      <c r="X161" s="1222">
        <v>446053</v>
      </c>
      <c r="Y161" s="1222">
        <v>373612</v>
      </c>
      <c r="Z161" s="1222">
        <v>387764</v>
      </c>
      <c r="AA161" s="1222">
        <v>399092</v>
      </c>
      <c r="AB161" s="1222">
        <v>431775</v>
      </c>
      <c r="AC161" s="1222">
        <v>343918</v>
      </c>
      <c r="AD161" s="1221">
        <f t="shared" si="267"/>
        <v>1053493</v>
      </c>
      <c r="AE161" s="1221">
        <f t="shared" si="268"/>
        <v>1014711.09407</v>
      </c>
      <c r="AF161" s="1221">
        <f t="shared" si="269"/>
        <v>1207429</v>
      </c>
      <c r="AG161" s="1221">
        <f t="shared" si="270"/>
        <v>1174785</v>
      </c>
      <c r="AH161" s="1221">
        <f>AD161+AE161</f>
        <v>2068204.0940700001</v>
      </c>
      <c r="AI161" s="1221">
        <f>AG161+AF161</f>
        <v>2382214</v>
      </c>
      <c r="AJ161" s="1221">
        <f>AH161+AI161</f>
        <v>4450418.0940700006</v>
      </c>
      <c r="AL161" s="1214">
        <f ca="1">SUM((INDIRECT(AL$2&amp;(ROW())):INDIRECT(AL$3&amp;(ROW()))))</f>
        <v>343918</v>
      </c>
      <c r="AM161" s="1221">
        <f ca="1">SUM(INDIRECT(AM$1&amp;AM$2&amp;$C161):INDIRECT(AM$1&amp;AM$3&amp;$C161))</f>
        <v>0</v>
      </c>
      <c r="AN161" s="3119">
        <f t="shared" ca="1" si="272"/>
        <v>343918</v>
      </c>
      <c r="AO161" s="2768">
        <f t="shared" ca="1" si="273"/>
        <v>0</v>
      </c>
      <c r="AP161" s="1221">
        <f ca="1">SUM(INDIRECT(AP$1&amp;AP$2&amp;$A161):INDIRECT(AP$1&amp;AP$3&amp;$A161))+SUM(INDIRECT(AP$1&amp;AP$2&amp;$B161):INDIRECT(AP$1&amp;AP$3&amp;$B161))</f>
        <v>9138.5812082261364</v>
      </c>
      <c r="AQ161" s="3119">
        <f t="shared" ca="1" si="274"/>
        <v>334779.41879177385</v>
      </c>
      <c r="AR161" s="2768">
        <f t="shared" ca="1" si="275"/>
        <v>37.633631760083347</v>
      </c>
      <c r="AT161" s="1214">
        <f ca="1">SUM((INDIRECT(AT$2&amp;(ROW())):INDIRECT(AT$3&amp;(ROW()))))</f>
        <v>1174785</v>
      </c>
      <c r="AU161" s="1221">
        <f ca="1">SUM(INDIRECT(AU$1&amp;AU$2&amp;$C161):INDIRECT(AU$1&amp;AU$3&amp;$C161))</f>
        <v>0</v>
      </c>
      <c r="AV161" s="3119">
        <f t="shared" ca="1" si="276"/>
        <v>1174785</v>
      </c>
      <c r="AW161" s="2768">
        <f t="shared" ca="1" si="277"/>
        <v>0</v>
      </c>
      <c r="AX161" s="1221">
        <f ca="1">SUM(INDIRECT(AX$1&amp;AX$2&amp;$A161):INDIRECT(AX$1&amp;AX$3&amp;$A161))+SUM(INDIRECT(AX$1&amp;AX$2&amp;$B161):INDIRECT(AX$1&amp;AX$3&amp;$B161))</f>
        <v>45608.709300268092</v>
      </c>
      <c r="AY161" s="3119">
        <f t="shared" ca="1" si="278"/>
        <v>1129176.290699732</v>
      </c>
      <c r="AZ161" s="2768">
        <f t="shared" ca="1" si="279"/>
        <v>25.75790935598992</v>
      </c>
      <c r="BB161" s="1214">
        <f ca="1">SUM((INDIRECT(BB$2&amp;(ROW())):INDIRECT(BB$3&amp;(ROW()))))</f>
        <v>4450418.0940700006</v>
      </c>
      <c r="BC161" s="1221">
        <f ca="1">SUM(INDIRECT(BC$1&amp;BC$2&amp;$C161):INDIRECT(BC$1&amp;BC$3&amp;$C161))</f>
        <v>0</v>
      </c>
      <c r="BD161" s="3119">
        <f t="shared" ca="1" si="280"/>
        <v>4450418.0940700006</v>
      </c>
      <c r="BE161" s="2768">
        <f t="shared" ca="1" si="281"/>
        <v>0</v>
      </c>
      <c r="BF161" s="1221">
        <f ca="1">SUM(INDIRECT(BF$1&amp;BF$2&amp;$A161):INDIRECT(BF$1&amp;BF$3&amp;$A161))+SUM(INDIRECT(BF$1&amp;BF$2&amp;$B161):INDIRECT(BF$1&amp;BF$3&amp;$B161))</f>
        <v>179649.38120010923</v>
      </c>
      <c r="BG161" s="3119">
        <f t="shared" ca="1" si="282"/>
        <v>4270768.712869891</v>
      </c>
      <c r="BH161" s="2768">
        <f t="shared" ca="1" si="283"/>
        <v>24.772799462708612</v>
      </c>
    </row>
    <row r="162" spans="1:60" ht="14.5">
      <c r="A162" s="616">
        <f t="shared" si="265"/>
        <v>135</v>
      </c>
      <c r="B162" s="616">
        <v>1</v>
      </c>
      <c r="C162" s="616">
        <f t="shared" si="234"/>
        <v>159</v>
      </c>
      <c r="D162" s="709" t="s">
        <v>1308</v>
      </c>
      <c r="E162" s="2547">
        <v>1</v>
      </c>
      <c r="F162" s="4"/>
      <c r="G162" s="4"/>
      <c r="H162" s="4"/>
      <c r="I162" s="27"/>
      <c r="J162" s="3"/>
      <c r="K162" s="4"/>
      <c r="L162" s="4"/>
      <c r="M162" s="3" t="s">
        <v>24</v>
      </c>
      <c r="N162" s="3"/>
      <c r="O162" s="3"/>
      <c r="P162" s="3"/>
      <c r="Q162" s="1790" t="str">
        <f>CHOOSE(2, "6722000003081", "PL (2) BT Cons. Sales Solution")</f>
        <v>PL (2) BT Cons. Sales Solution</v>
      </c>
      <c r="R162" s="1215">
        <v>0</v>
      </c>
      <c r="S162" s="1222">
        <v>0</v>
      </c>
      <c r="T162" s="1222">
        <v>0</v>
      </c>
      <c r="U162" s="1222">
        <v>0</v>
      </c>
      <c r="V162" s="1222">
        <v>0</v>
      </c>
      <c r="W162" s="1222">
        <v>0</v>
      </c>
      <c r="X162" s="1222">
        <v>0</v>
      </c>
      <c r="Y162" s="1222">
        <v>0</v>
      </c>
      <c r="Z162" s="1222">
        <v>0</v>
      </c>
      <c r="AA162" s="1222">
        <v>0</v>
      </c>
      <c r="AB162" s="1222">
        <v>0</v>
      </c>
      <c r="AC162" s="1222">
        <v>0</v>
      </c>
      <c r="AD162" s="1221">
        <f t="shared" si="267"/>
        <v>0</v>
      </c>
      <c r="AE162" s="1221">
        <f t="shared" si="268"/>
        <v>0</v>
      </c>
      <c r="AF162" s="1221">
        <f t="shared" si="269"/>
        <v>0</v>
      </c>
      <c r="AG162" s="1221">
        <f t="shared" si="270"/>
        <v>0</v>
      </c>
      <c r="AH162" s="1221">
        <f>AD162+AE162</f>
        <v>0</v>
      </c>
      <c r="AI162" s="1221">
        <f>AG162+AF162</f>
        <v>0</v>
      </c>
      <c r="AJ162" s="1221">
        <f>AH162+AI162</f>
        <v>0</v>
      </c>
      <c r="AL162" s="1214">
        <f ca="1">SUM((INDIRECT(AL$2&amp;(ROW())):INDIRECT(AL$3&amp;(ROW()))))</f>
        <v>0</v>
      </c>
      <c r="AM162" s="1221">
        <f ca="1">SUM(INDIRECT(AM$1&amp;AM$2&amp;$C162):INDIRECT(AM$1&amp;AM$3&amp;$C162))</f>
        <v>467561.37320136616</v>
      </c>
      <c r="AN162" s="3119">
        <f t="shared" ca="1" si="272"/>
        <v>-467561.37320136616</v>
      </c>
      <c r="AO162" s="2768">
        <f t="shared" ca="1" si="273"/>
        <v>0</v>
      </c>
      <c r="AP162" s="1221">
        <f ca="1">SUM(INDIRECT(AP$1&amp;AP$2&amp;$A162):INDIRECT(AP$1&amp;AP$3&amp;$A162))+SUM(INDIRECT(AP$1&amp;AP$2&amp;$B162):INDIRECT(AP$1&amp;AP$3&amp;$B162))</f>
        <v>3653.3851239370124</v>
      </c>
      <c r="AQ162" s="3119">
        <f t="shared" ca="1" si="274"/>
        <v>-3653.3851239370124</v>
      </c>
      <c r="AR162" s="2768">
        <f t="shared" ca="1" si="275"/>
        <v>0</v>
      </c>
      <c r="AT162" s="1214">
        <f ca="1">SUM((INDIRECT(AT$2&amp;(ROW())):INDIRECT(AT$3&amp;(ROW()))))</f>
        <v>0</v>
      </c>
      <c r="AU162" s="1221">
        <f ca="1">SUM(INDIRECT(AU$1&amp;AU$2&amp;$C162):INDIRECT(AU$1&amp;AU$3&amp;$C162))</f>
        <v>1390647.2468032329</v>
      </c>
      <c r="AV162" s="3119">
        <f t="shared" ca="1" si="276"/>
        <v>-1390647.2468032329</v>
      </c>
      <c r="AW162" s="2768">
        <f t="shared" ca="1" si="277"/>
        <v>0</v>
      </c>
      <c r="AX162" s="1221">
        <f ca="1">SUM(INDIRECT(AX$1&amp;AX$2&amp;$A162):INDIRECT(AX$1&amp;AX$3&amp;$A162))+SUM(INDIRECT(AX$1&amp;AX$2&amp;$B162):INDIRECT(AX$1&amp;AX$3&amp;$B162))</f>
        <v>31055.551969643115</v>
      </c>
      <c r="AY162" s="3119">
        <f t="shared" ca="1" si="278"/>
        <v>-31055.551969643115</v>
      </c>
      <c r="AZ162" s="2768">
        <f t="shared" ca="1" si="279"/>
        <v>0</v>
      </c>
      <c r="BB162" s="1214">
        <f ca="1">SUM((INDIRECT(BB$2&amp;(ROW())):INDIRECT(BB$3&amp;(ROW()))))</f>
        <v>0</v>
      </c>
      <c r="BC162" s="1221">
        <f ca="1">SUM(INDIRECT(BC$1&amp;BC$2&amp;$C162):INDIRECT(BC$1&amp;BC$3&amp;$C162))</f>
        <v>2447847.7448072075</v>
      </c>
      <c r="BD162" s="3119">
        <f t="shared" ca="1" si="280"/>
        <v>-2447847.7448072075</v>
      </c>
      <c r="BE162" s="2768">
        <f t="shared" ca="1" si="281"/>
        <v>0</v>
      </c>
      <c r="BF162" s="1221">
        <f ca="1">SUM(INDIRECT(BF$1&amp;BF$2&amp;$A162):INDIRECT(BF$1&amp;BF$3&amp;$A162))+SUM(INDIRECT(BF$1&amp;BF$2&amp;$B162):INDIRECT(BF$1&amp;BF$3&amp;$B162))</f>
        <v>157757.94301495783</v>
      </c>
      <c r="BG162" s="3119">
        <f t="shared" ca="1" si="282"/>
        <v>-157757.94301495783</v>
      </c>
      <c r="BH162" s="2768">
        <f t="shared" ca="1" si="283"/>
        <v>0</v>
      </c>
    </row>
    <row r="163" spans="1:60" ht="14.5">
      <c r="A163" s="616">
        <f t="shared" si="265"/>
        <v>136</v>
      </c>
      <c r="B163" s="616">
        <v>1</v>
      </c>
      <c r="C163" s="616">
        <f t="shared" si="234"/>
        <v>160</v>
      </c>
      <c r="D163" s="709" t="s">
        <v>1308</v>
      </c>
      <c r="E163" s="2547">
        <v>1</v>
      </c>
      <c r="F163" s="4"/>
      <c r="G163" s="4"/>
      <c r="H163" s="4"/>
      <c r="I163" s="27"/>
      <c r="J163" s="3"/>
      <c r="K163" s="4"/>
      <c r="L163" s="4"/>
      <c r="M163" s="3" t="s">
        <v>2</v>
      </c>
      <c r="N163" s="3"/>
      <c r="O163" s="3"/>
      <c r="P163" s="3"/>
      <c r="Q163" s="1790" t="str">
        <f>CHOOSE(2, "6722000003082", "PL (2) BT Cons. Sales Others")</f>
        <v>PL (2) BT Cons. Sales Others</v>
      </c>
      <c r="R163" s="1215">
        <v>0</v>
      </c>
      <c r="S163" s="1222">
        <v>0</v>
      </c>
      <c r="T163" s="1222">
        <v>0</v>
      </c>
      <c r="U163" s="1222">
        <v>0</v>
      </c>
      <c r="V163" s="1222">
        <v>0</v>
      </c>
      <c r="W163" s="1222">
        <v>0</v>
      </c>
      <c r="X163" s="1222">
        <v>0</v>
      </c>
      <c r="Y163" s="1222">
        <v>0</v>
      </c>
      <c r="Z163" s="1222">
        <v>0</v>
      </c>
      <c r="AA163" s="1222">
        <v>0</v>
      </c>
      <c r="AB163" s="1222">
        <v>0</v>
      </c>
      <c r="AC163" s="1222">
        <v>0</v>
      </c>
      <c r="AD163" s="1221">
        <f t="shared" si="267"/>
        <v>0</v>
      </c>
      <c r="AE163" s="1221">
        <f t="shared" si="268"/>
        <v>0</v>
      </c>
      <c r="AF163" s="1221">
        <f t="shared" si="269"/>
        <v>0</v>
      </c>
      <c r="AG163" s="1221">
        <f t="shared" si="270"/>
        <v>0</v>
      </c>
      <c r="AH163" s="1221">
        <f>AD163+AE163</f>
        <v>0</v>
      </c>
      <c r="AI163" s="1221">
        <f>AG163+AF163</f>
        <v>0</v>
      </c>
      <c r="AJ163" s="1221">
        <f>AH163+AI163</f>
        <v>0</v>
      </c>
      <c r="AL163" s="1214">
        <f ca="1">SUM((INDIRECT(AL$2&amp;(ROW())):INDIRECT(AL$3&amp;(ROW()))))</f>
        <v>0</v>
      </c>
      <c r="AM163" s="1221">
        <f ca="1">SUM(INDIRECT(AM$1&amp;AM$2&amp;$C163):INDIRECT(AM$1&amp;AM$3&amp;$C163))</f>
        <v>119764.17985136624</v>
      </c>
      <c r="AN163" s="3119">
        <f t="shared" ca="1" si="272"/>
        <v>-119764.17985136624</v>
      </c>
      <c r="AO163" s="2768">
        <f t="shared" ca="1" si="273"/>
        <v>0</v>
      </c>
      <c r="AP163" s="1221">
        <f ca="1">SUM(INDIRECT(AP$1&amp;AP$2&amp;$A163):INDIRECT(AP$1&amp;AP$3&amp;$A163))+SUM(INDIRECT(AP$1&amp;AP$2&amp;$B163):INDIRECT(AP$1&amp;AP$3&amp;$B163))</f>
        <v>1.3993871152819495E-2</v>
      </c>
      <c r="AQ163" s="3119">
        <f t="shared" ca="1" si="274"/>
        <v>-1.3993871152819495E-2</v>
      </c>
      <c r="AR163" s="2768">
        <f t="shared" ca="1" si="275"/>
        <v>0</v>
      </c>
      <c r="AT163" s="1214">
        <f ca="1">SUM((INDIRECT(AT$2&amp;(ROW())):INDIRECT(AT$3&amp;(ROW()))))</f>
        <v>0</v>
      </c>
      <c r="AU163" s="1221">
        <f ca="1">SUM(INDIRECT(AU$1&amp;AU$2&amp;$C163):INDIRECT(AU$1&amp;AU$3&amp;$C163))</f>
        <v>345489.56650323316</v>
      </c>
      <c r="AV163" s="3119">
        <f t="shared" ca="1" si="276"/>
        <v>-345489.56650323316</v>
      </c>
      <c r="AW163" s="2768">
        <f t="shared" ca="1" si="277"/>
        <v>0</v>
      </c>
      <c r="AX163" s="1221">
        <f ca="1">SUM(INDIRECT(AX$1&amp;AX$2&amp;$A163):INDIRECT(AX$1&amp;AX$3&amp;$A163))+SUM(INDIRECT(AX$1&amp;AX$2&amp;$B163):INDIRECT(AX$1&amp;AX$3&amp;$B163))</f>
        <v>0.1079163199679052</v>
      </c>
      <c r="AY163" s="3119">
        <f t="shared" ca="1" si="278"/>
        <v>-0.1079163199679052</v>
      </c>
      <c r="AZ163" s="2768">
        <f t="shared" ca="1" si="279"/>
        <v>0</v>
      </c>
      <c r="BB163" s="1214">
        <f ca="1">SUM((INDIRECT(BB$2&amp;(ROW())):INDIRECT(BB$3&amp;(ROW()))))</f>
        <v>0</v>
      </c>
      <c r="BC163" s="1221">
        <f ca="1">SUM(INDIRECT(BC$1&amp;BC$2&amp;$C163):INDIRECT(BC$1&amp;BC$3&amp;$C163))</f>
        <v>610363.47730720753</v>
      </c>
      <c r="BD163" s="3119">
        <f t="shared" ca="1" si="280"/>
        <v>-610363.47730720753</v>
      </c>
      <c r="BE163" s="2768">
        <f t="shared" ca="1" si="281"/>
        <v>0</v>
      </c>
      <c r="BF163" s="1221">
        <f ca="1">SUM(INDIRECT(BF$1&amp;BF$2&amp;$A163):INDIRECT(BF$1&amp;BF$3&amp;$A163))+SUM(INDIRECT(BF$1&amp;BF$2&amp;$B163):INDIRECT(BF$1&amp;BF$3&amp;$B163))</f>
        <v>0.64468656402125302</v>
      </c>
      <c r="BG163" s="3119">
        <f t="shared" ca="1" si="282"/>
        <v>-0.64468656402125302</v>
      </c>
      <c r="BH163" s="2768">
        <f t="shared" ca="1" si="283"/>
        <v>0</v>
      </c>
    </row>
    <row r="164" spans="1:60" ht="14.5">
      <c r="A164" s="616">
        <f t="shared" si="265"/>
        <v>137</v>
      </c>
      <c r="B164" s="616">
        <v>1</v>
      </c>
      <c r="C164" s="616">
        <f t="shared" si="234"/>
        <v>161</v>
      </c>
      <c r="E164" s="2547">
        <v>1</v>
      </c>
      <c r="F164" s="4"/>
      <c r="G164" s="4"/>
      <c r="H164" s="4"/>
      <c r="I164" s="3144" t="s">
        <v>37</v>
      </c>
      <c r="J164" s="2026"/>
      <c r="K164" s="864"/>
      <c r="L164" s="864"/>
      <c r="M164" s="864"/>
      <c r="N164" s="864"/>
      <c r="O164" s="864"/>
      <c r="P164" s="864"/>
      <c r="Q164" s="1793" t="str">
        <f>CHOOSE(2, "6722000003083", "PL (2) Cost of Sales")</f>
        <v>PL (2) Cost of Sales</v>
      </c>
      <c r="R164" s="2575">
        <f>R165+R166+R174+R175</f>
        <v>326724</v>
      </c>
      <c r="S164" s="3145">
        <f t="shared" ref="S164:AJ164" si="290">S165+S166+S174+S175</f>
        <v>324463</v>
      </c>
      <c r="T164" s="3145">
        <f t="shared" si="290"/>
        <v>323211</v>
      </c>
      <c r="U164" s="3145">
        <f t="shared" si="290"/>
        <v>325236</v>
      </c>
      <c r="V164" s="3145">
        <f t="shared" si="290"/>
        <v>352076.25137991423</v>
      </c>
      <c r="W164" s="3145">
        <f t="shared" si="290"/>
        <v>319596.74800000002</v>
      </c>
      <c r="X164" s="3145">
        <f t="shared" si="290"/>
        <v>410934.74800000002</v>
      </c>
      <c r="Y164" s="3145">
        <f t="shared" si="290"/>
        <v>356148</v>
      </c>
      <c r="Z164" s="3145">
        <f t="shared" si="290"/>
        <v>347620</v>
      </c>
      <c r="AA164" s="3145">
        <f t="shared" si="290"/>
        <v>360261</v>
      </c>
      <c r="AB164" s="3145">
        <f t="shared" si="290"/>
        <v>407424.03627041669</v>
      </c>
      <c r="AC164" s="3145">
        <f t="shared" si="290"/>
        <v>365978</v>
      </c>
      <c r="AD164" s="3146">
        <f t="shared" si="290"/>
        <v>974398</v>
      </c>
      <c r="AE164" s="3146">
        <f t="shared" si="290"/>
        <v>996908.99937991425</v>
      </c>
      <c r="AF164" s="3146">
        <f t="shared" si="290"/>
        <v>1114702.7480000001</v>
      </c>
      <c r="AG164" s="3146">
        <f t="shared" si="290"/>
        <v>1133663.0362704168</v>
      </c>
      <c r="AH164" s="3146">
        <f t="shared" si="290"/>
        <v>1971306.9993799143</v>
      </c>
      <c r="AI164" s="3146">
        <f t="shared" si="290"/>
        <v>2248365.7842704165</v>
      </c>
      <c r="AJ164" s="3146">
        <f t="shared" si="290"/>
        <v>4219672.7836503312</v>
      </c>
      <c r="AL164" s="1305">
        <f ca="1">SUM((INDIRECT(AL$2&amp;(ROW())):INDIRECT(AL$3&amp;(ROW()))))</f>
        <v>365978</v>
      </c>
      <c r="AM164" s="3146">
        <f ca="1">SUM(INDIRECT(AM$1&amp;AM$2&amp;$C164):INDIRECT(AM$1&amp;AM$3&amp;$C164))</f>
        <v>347047.19334999996</v>
      </c>
      <c r="AN164" s="3147">
        <f t="shared" ca="1" si="272"/>
        <v>18930.806650000042</v>
      </c>
      <c r="AO164" s="3148">
        <f t="shared" ca="1" si="273"/>
        <v>1.0545482199906691</v>
      </c>
      <c r="AP164" s="3146">
        <f ca="1">SUM(INDIRECT(AP$1&amp;AP$2&amp;$A164):INDIRECT(AP$1&amp;AP$3&amp;$A164))+SUM(INDIRECT(AP$1&amp;AP$2&amp;$B164):INDIRECT(AP$1&amp;AP$3&amp;$B164))</f>
        <v>392.05327055497321</v>
      </c>
      <c r="AQ164" s="3147">
        <f t="shared" ca="1" si="274"/>
        <v>365585.94672944502</v>
      </c>
      <c r="AR164" s="3148">
        <f t="shared" ca="1" si="275"/>
        <v>933.49049092726045</v>
      </c>
      <c r="AT164" s="1305">
        <f ca="1">SUM((INDIRECT(AT$2&amp;(ROW())):INDIRECT(AT$3&amp;(ROW()))))</f>
        <v>1133663.0362704168</v>
      </c>
      <c r="AU164" s="3146">
        <f ca="1">SUM(INDIRECT(AU$1&amp;AU$2&amp;$C164):INDIRECT(AU$1&amp;AU$3&amp;$C164))</f>
        <v>1043657.6802999999</v>
      </c>
      <c r="AV164" s="3147">
        <f t="shared" ca="1" si="276"/>
        <v>90005.355970416917</v>
      </c>
      <c r="AW164" s="3148">
        <f t="shared" ca="1" si="277"/>
        <v>1.0862403043347939</v>
      </c>
      <c r="AX164" s="3146">
        <f ca="1">SUM(INDIRECT(AX$1&amp;AX$2&amp;$A164):INDIRECT(AX$1&amp;AX$3&amp;$A164))+SUM(INDIRECT(AX$1&amp;AX$2&amp;$B164):INDIRECT(AX$1&amp;AX$3&amp;$B164))</f>
        <v>30031.67314938219</v>
      </c>
      <c r="AY164" s="3147">
        <f t="shared" ca="1" si="278"/>
        <v>1103631.3631210346</v>
      </c>
      <c r="AZ164" s="3148">
        <f t="shared" ca="1" si="279"/>
        <v>37.748913642986238</v>
      </c>
      <c r="BB164" s="1305">
        <f ca="1">SUM((INDIRECT(BB$2&amp;(ROW())):INDIRECT(BB$3&amp;(ROW()))))</f>
        <v>4219672.7836503312</v>
      </c>
      <c r="BC164" s="3146">
        <f ca="1">SUM(INDIRECT(BC$1&amp;BC$2&amp;$C164):INDIRECT(BC$1&amp;BC$3&amp;$C164))</f>
        <v>1834484.2674999996</v>
      </c>
      <c r="BD164" s="3147">
        <f t="shared" ca="1" si="280"/>
        <v>2385188.5161503316</v>
      </c>
      <c r="BE164" s="3148">
        <f t="shared" ca="1" si="281"/>
        <v>2.300195678102392</v>
      </c>
      <c r="BF164" s="3146">
        <f ca="1">SUM(INDIRECT(BF$1&amp;BF$2&amp;$A164):INDIRECT(BF$1&amp;BF$3&amp;$A164))+SUM(INDIRECT(BF$1&amp;BF$2&amp;$B164):INDIRECT(BF$1&amp;BF$3&amp;$B164))</f>
        <v>33517.709476108961</v>
      </c>
      <c r="BG164" s="3147">
        <f t="shared" ca="1" si="282"/>
        <v>4186155.0741742221</v>
      </c>
      <c r="BH164" s="3148">
        <f t="shared" ca="1" si="283"/>
        <v>125.89382895206684</v>
      </c>
    </row>
    <row r="165" spans="1:60" ht="14.5">
      <c r="A165" s="616">
        <f t="shared" si="265"/>
        <v>138</v>
      </c>
      <c r="B165" s="616">
        <v>1</v>
      </c>
      <c r="C165" s="616">
        <f t="shared" si="234"/>
        <v>162</v>
      </c>
      <c r="E165" s="2547">
        <v>1</v>
      </c>
      <c r="F165" s="4"/>
      <c r="G165" s="4"/>
      <c r="H165" s="4"/>
      <c r="I165" s="27"/>
      <c r="J165" s="3"/>
      <c r="K165" s="4"/>
      <c r="L165" s="4"/>
      <c r="M165" s="3" t="s">
        <v>57</v>
      </c>
      <c r="N165" s="3"/>
      <c r="O165" s="3"/>
      <c r="P165" s="3"/>
      <c r="Q165" s="1794" t="str">
        <f>CHOOSE(2, "6722000003084", "PL (2) Cost of Sales HW")</f>
        <v>PL (2) Cost of Sales HW</v>
      </c>
      <c r="R165" s="1126">
        <f>R155-R182</f>
        <v>83490</v>
      </c>
      <c r="S165" s="26">
        <f t="shared" ref="S165:AC166" si="291">S155-S182</f>
        <v>79987</v>
      </c>
      <c r="T165" s="26">
        <f t="shared" si="291"/>
        <v>71944</v>
      </c>
      <c r="U165" s="26">
        <f t="shared" si="291"/>
        <v>94933</v>
      </c>
      <c r="V165" s="26">
        <f t="shared" si="291"/>
        <v>111158.27369059321</v>
      </c>
      <c r="W165" s="26">
        <f t="shared" si="291"/>
        <v>80569</v>
      </c>
      <c r="X165" s="26">
        <f t="shared" si="291"/>
        <v>115901</v>
      </c>
      <c r="Y165" s="26">
        <f t="shared" si="291"/>
        <v>99511</v>
      </c>
      <c r="Z165" s="26">
        <f t="shared" si="291"/>
        <v>85072</v>
      </c>
      <c r="AA165" s="26">
        <f t="shared" si="291"/>
        <v>105929</v>
      </c>
      <c r="AB165" s="26">
        <f t="shared" si="291"/>
        <v>107281.05097041666</v>
      </c>
      <c r="AC165" s="26">
        <f t="shared" si="291"/>
        <v>78325</v>
      </c>
      <c r="AD165" s="1221">
        <f>SUM(R165,S165,T165)</f>
        <v>235421</v>
      </c>
      <c r="AE165" s="1221">
        <f t="shared" ref="AE165:AE168" si="292">SUM(U165,V165,W165)</f>
        <v>286660.2736905932</v>
      </c>
      <c r="AF165" s="1221">
        <f t="shared" ref="AF165:AF168" si="293">SUM(X165,Y165,Z165)</f>
        <v>300484</v>
      </c>
      <c r="AG165" s="1221">
        <f t="shared" ref="AG165:AG168" si="294">SUM(AA165,AB165,AC165)</f>
        <v>291535.05097041663</v>
      </c>
      <c r="AH165" s="1221">
        <f>AD165+AE165</f>
        <v>522081.2736905932</v>
      </c>
      <c r="AI165" s="1221">
        <f>AG165+AF165</f>
        <v>592019.05097041663</v>
      </c>
      <c r="AJ165" s="1221">
        <f>AH165+AI165</f>
        <v>1114100.3246610099</v>
      </c>
      <c r="AL165" s="1214">
        <f ca="1">SUM((INDIRECT(AL$2&amp;(ROW())):INDIRECT(AL$3&amp;(ROW()))))</f>
        <v>78325</v>
      </c>
      <c r="AM165" s="1221">
        <f ca="1">SUM(INDIRECT(AM$1&amp;AM$2&amp;$C165):INDIRECT(AM$1&amp;AM$3&amp;$C165))</f>
        <v>750</v>
      </c>
      <c r="AN165" s="3119">
        <f t="shared" ca="1" si="272"/>
        <v>77575</v>
      </c>
      <c r="AO165" s="2768">
        <f t="shared" ca="1" si="273"/>
        <v>104.43333333333334</v>
      </c>
      <c r="AP165" s="1221">
        <f ca="1">SUM(INDIRECT(AP$1&amp;AP$2&amp;$A165):INDIRECT(AP$1&amp;AP$3&amp;$A165))+SUM(INDIRECT(AP$1&amp;AP$2&amp;$B165):INDIRECT(AP$1&amp;AP$3&amp;$B165))</f>
        <v>0</v>
      </c>
      <c r="AQ165" s="3119">
        <f t="shared" ca="1" si="274"/>
        <v>78325</v>
      </c>
      <c r="AR165" s="2768">
        <f t="shared" ca="1" si="275"/>
        <v>0</v>
      </c>
      <c r="AT165" s="1214">
        <f ca="1">SUM((INDIRECT(AT$2&amp;(ROW())):INDIRECT(AT$3&amp;(ROW()))))</f>
        <v>291535.05097041663</v>
      </c>
      <c r="AU165" s="1221">
        <f ca="1">SUM(INDIRECT(AU$1&amp;AU$2&amp;$C165):INDIRECT(AU$1&amp;AU$3&amp;$C165))</f>
        <v>1500</v>
      </c>
      <c r="AV165" s="3119">
        <f t="shared" ca="1" si="276"/>
        <v>290035.05097041663</v>
      </c>
      <c r="AW165" s="2768">
        <f t="shared" ca="1" si="277"/>
        <v>194.35670064694443</v>
      </c>
      <c r="AX165" s="1221">
        <f ca="1">SUM(INDIRECT(AX$1&amp;AX$2&amp;$A165):INDIRECT(AX$1&amp;AX$3&amp;$A165))+SUM(INDIRECT(AX$1&amp;AX$2&amp;$B165):INDIRECT(AX$1&amp;AX$3&amp;$B165))</f>
        <v>0</v>
      </c>
      <c r="AY165" s="3119">
        <f t="shared" ca="1" si="278"/>
        <v>291535.05097041663</v>
      </c>
      <c r="AZ165" s="2768">
        <f t="shared" ca="1" si="279"/>
        <v>0</v>
      </c>
      <c r="BB165" s="1214">
        <f ca="1">SUM((INDIRECT(BB$2&amp;(ROW())):INDIRECT(BB$3&amp;(ROW()))))</f>
        <v>1114100.3246610099</v>
      </c>
      <c r="BC165" s="1221">
        <f ca="1">SUM(INDIRECT(BC$1&amp;BC$2&amp;$C165):INDIRECT(BC$1&amp;BC$3&amp;$C165))</f>
        <v>3000</v>
      </c>
      <c r="BD165" s="3119">
        <f t="shared" ca="1" si="280"/>
        <v>1111100.3246610099</v>
      </c>
      <c r="BE165" s="2768">
        <f t="shared" ca="1" si="281"/>
        <v>371.36677488700332</v>
      </c>
      <c r="BF165" s="1221">
        <f ca="1">SUM(INDIRECT(BF$1&amp;BF$2&amp;$A165):INDIRECT(BF$1&amp;BF$3&amp;$A165))+SUM(INDIRECT(BF$1&amp;BF$2&amp;$B165):INDIRECT(BF$1&amp;BF$3&amp;$B165))</f>
        <v>0</v>
      </c>
      <c r="BG165" s="3119">
        <f t="shared" ca="1" si="282"/>
        <v>1114100.3246610099</v>
      </c>
      <c r="BH165" s="2768">
        <f t="shared" ca="1" si="283"/>
        <v>0</v>
      </c>
    </row>
    <row r="166" spans="1:60" ht="14.5">
      <c r="A166" s="616">
        <f t="shared" si="265"/>
        <v>139</v>
      </c>
      <c r="B166" s="616">
        <v>1</v>
      </c>
      <c r="C166" s="616">
        <f t="shared" si="234"/>
        <v>163</v>
      </c>
      <c r="E166" s="2547">
        <v>1</v>
      </c>
      <c r="F166" s="4"/>
      <c r="G166" s="4"/>
      <c r="H166" s="4"/>
      <c r="I166" s="27"/>
      <c r="J166" s="3"/>
      <c r="K166" s="4"/>
      <c r="L166" s="4"/>
      <c r="M166" s="3" t="s">
        <v>27</v>
      </c>
      <c r="N166" s="3"/>
      <c r="O166" s="3"/>
      <c r="P166" s="3"/>
      <c r="Q166" s="1789" t="str">
        <f>CHOOSE(2, "6722000003085", "PL (2) Cost of Sales NH")</f>
        <v>PL (2) Cost of Sales NH</v>
      </c>
      <c r="R166" s="3149">
        <f>R156-R183</f>
        <v>243234</v>
      </c>
      <c r="S166" s="3150">
        <f t="shared" si="291"/>
        <v>244476</v>
      </c>
      <c r="T166" s="3150">
        <f t="shared" si="291"/>
        <v>251267</v>
      </c>
      <c r="U166" s="3150">
        <f t="shared" si="291"/>
        <v>230303</v>
      </c>
      <c r="V166" s="3150">
        <f t="shared" si="291"/>
        <v>240917.97768932104</v>
      </c>
      <c r="W166" s="3150">
        <f t="shared" si="291"/>
        <v>239027.74799999999</v>
      </c>
      <c r="X166" s="3150">
        <f t="shared" si="291"/>
        <v>295033.74800000002</v>
      </c>
      <c r="Y166" s="3150">
        <f t="shared" si="291"/>
        <v>256637</v>
      </c>
      <c r="Z166" s="3150">
        <f t="shared" si="291"/>
        <v>262548</v>
      </c>
      <c r="AA166" s="3150">
        <f t="shared" si="291"/>
        <v>254332</v>
      </c>
      <c r="AB166" s="3150">
        <f t="shared" si="291"/>
        <v>300142.9853</v>
      </c>
      <c r="AC166" s="3150">
        <f t="shared" si="291"/>
        <v>287653</v>
      </c>
      <c r="AD166" s="1221">
        <f>SUM(R166,S166,T166)</f>
        <v>738977</v>
      </c>
      <c r="AE166" s="1221">
        <f t="shared" si="292"/>
        <v>710248.72568932106</v>
      </c>
      <c r="AF166" s="1221">
        <f t="shared" si="293"/>
        <v>814218.74800000002</v>
      </c>
      <c r="AG166" s="1221">
        <f t="shared" si="294"/>
        <v>842127.98530000006</v>
      </c>
      <c r="AH166" s="1221">
        <f>AD166+AE166</f>
        <v>1449225.7256893211</v>
      </c>
      <c r="AI166" s="1221">
        <f>AG166+AF166</f>
        <v>1656346.7333</v>
      </c>
      <c r="AJ166" s="1221">
        <f>AH166+AI166</f>
        <v>3105572.4589893213</v>
      </c>
      <c r="AL166" s="1214">
        <f ca="1">SUM((INDIRECT(AL$2&amp;(ROW())):INDIRECT(AL$3&amp;(ROW()))))</f>
        <v>287653</v>
      </c>
      <c r="AM166" s="1221">
        <f ca="1">SUM(INDIRECT(AM$1&amp;AM$2&amp;$C166):INDIRECT(AM$1&amp;AM$3&amp;$C166))</f>
        <v>0</v>
      </c>
      <c r="AN166" s="3119">
        <f t="shared" ca="1" si="272"/>
        <v>287653</v>
      </c>
      <c r="AO166" s="2768">
        <f t="shared" ca="1" si="273"/>
        <v>0</v>
      </c>
      <c r="AP166" s="1221">
        <f ca="1">SUM(INDIRECT(AP$1&amp;AP$2&amp;$A166):INDIRECT(AP$1&amp;AP$3&amp;$A166))+SUM(INDIRECT(AP$1&amp;AP$2&amp;$B166):INDIRECT(AP$1&amp;AP$3&amp;$B166))</f>
        <v>4045.4383944919855</v>
      </c>
      <c r="AQ166" s="3119">
        <f t="shared" ca="1" si="274"/>
        <v>283607.56160550803</v>
      </c>
      <c r="AR166" s="2768">
        <f t="shared" ca="1" si="275"/>
        <v>71.105519834797192</v>
      </c>
      <c r="AT166" s="1214">
        <f ca="1">SUM((INDIRECT(AT$2&amp;(ROW())):INDIRECT(AT$3&amp;(ROW()))))</f>
        <v>842127.98530000006</v>
      </c>
      <c r="AU166" s="1221">
        <f ca="1">SUM(INDIRECT(AU$1&amp;AU$2&amp;$C166):INDIRECT(AU$1&amp;AU$3&amp;$C166))</f>
        <v>0</v>
      </c>
      <c r="AV166" s="3119">
        <f t="shared" ca="1" si="276"/>
        <v>842127.98530000006</v>
      </c>
      <c r="AW166" s="2768">
        <f t="shared" ca="1" si="277"/>
        <v>0</v>
      </c>
      <c r="AX166" s="1221">
        <f ca="1">SUM(INDIRECT(AX$1&amp;AX$2&amp;$A166):INDIRECT(AX$1&amp;AX$3&amp;$A166))+SUM(INDIRECT(AX$1&amp;AX$2&amp;$B166):INDIRECT(AX$1&amp;AX$3&amp;$B166))</f>
        <v>61087.225119025301</v>
      </c>
      <c r="AY166" s="3119">
        <f t="shared" ca="1" si="278"/>
        <v>781040.76018097473</v>
      </c>
      <c r="AZ166" s="2768">
        <f t="shared" ca="1" si="279"/>
        <v>13.785664411162189</v>
      </c>
      <c r="BB166" s="1214">
        <f ca="1">SUM((INDIRECT(BB$2&amp;(ROW())):INDIRECT(BB$3&amp;(ROW()))))</f>
        <v>3105572.4589893208</v>
      </c>
      <c r="BC166" s="1221">
        <f ca="1">SUM(INDIRECT(BC$1&amp;BC$2&amp;$C166):INDIRECT(BC$1&amp;BC$3&amp;$C166))</f>
        <v>0</v>
      </c>
      <c r="BD166" s="3119">
        <f t="shared" ca="1" si="280"/>
        <v>3105572.4589893208</v>
      </c>
      <c r="BE166" s="2768">
        <f t="shared" ca="1" si="281"/>
        <v>0</v>
      </c>
      <c r="BF166" s="1221">
        <f ca="1">SUM(INDIRECT(BF$1&amp;BF$2&amp;$A166):INDIRECT(BF$1&amp;BF$3&amp;$A166))+SUM(INDIRECT(BF$1&amp;BF$2&amp;$B166):INDIRECT(BF$1&amp;BF$3&amp;$B166))</f>
        <v>191275.65249106681</v>
      </c>
      <c r="BG166" s="3119">
        <f t="shared" ca="1" si="282"/>
        <v>2914296.8064982542</v>
      </c>
      <c r="BH166" s="2768">
        <f t="shared" ca="1" si="283"/>
        <v>16.236109606968199</v>
      </c>
    </row>
    <row r="167" spans="1:60" ht="14.5">
      <c r="A167" s="616">
        <f t="shared" si="265"/>
        <v>140</v>
      </c>
      <c r="B167" s="616">
        <v>1</v>
      </c>
      <c r="C167" s="616">
        <f t="shared" si="234"/>
        <v>164</v>
      </c>
      <c r="E167" s="2547">
        <v>1</v>
      </c>
      <c r="F167" s="4"/>
      <c r="G167" s="4"/>
      <c r="H167" s="4"/>
      <c r="I167" s="27"/>
      <c r="J167" s="3"/>
      <c r="K167" s="4"/>
      <c r="L167" s="4"/>
      <c r="M167" s="3"/>
      <c r="N167" s="3"/>
      <c r="O167" s="294" t="s">
        <v>269</v>
      </c>
      <c r="P167" s="723"/>
      <c r="Q167" s="1790" t="str">
        <f>CHOOSE(2, "6722000003086", "PL (2) Cost of Sales NH MC(T, P, C)")</f>
        <v>PL (2) Cost of Sales NH MC(T, P, C)</v>
      </c>
      <c r="R167" s="1386">
        <v>229547</v>
      </c>
      <c r="S167" s="1279">
        <v>229834</v>
      </c>
      <c r="T167" s="1279">
        <v>235186</v>
      </c>
      <c r="U167" s="1279">
        <v>212683</v>
      </c>
      <c r="V167" s="1279">
        <v>224059</v>
      </c>
      <c r="W167" s="1279">
        <v>222006</v>
      </c>
      <c r="X167" s="1279">
        <v>267939</v>
      </c>
      <c r="Y167" s="1279">
        <v>214928</v>
      </c>
      <c r="Z167" s="1279">
        <v>246174</v>
      </c>
      <c r="AA167" s="1279">
        <v>238755</v>
      </c>
      <c r="AB167" s="1279">
        <v>273844.61379833298</v>
      </c>
      <c r="AC167" s="1279">
        <v>266582</v>
      </c>
      <c r="AD167" s="472">
        <f>SUM(R167,S167,T167)</f>
        <v>694567</v>
      </c>
      <c r="AE167" s="472">
        <f t="shared" si="292"/>
        <v>658748</v>
      </c>
      <c r="AF167" s="472">
        <f t="shared" si="293"/>
        <v>729041</v>
      </c>
      <c r="AG167" s="472">
        <f t="shared" si="294"/>
        <v>779181.61379833298</v>
      </c>
      <c r="AH167" s="472">
        <f>AD167+AE167</f>
        <v>1353315</v>
      </c>
      <c r="AI167" s="472">
        <f>AG167+AF167</f>
        <v>1508222.6137983329</v>
      </c>
      <c r="AJ167" s="472">
        <f>AH167+AI167</f>
        <v>2861537.6137983329</v>
      </c>
      <c r="AL167" s="3121">
        <f ca="1">SUM((INDIRECT(AL$2&amp;(ROW())):INDIRECT(AL$3&amp;(ROW()))))</f>
        <v>266582</v>
      </c>
      <c r="AM167" s="472">
        <f ca="1">SUM(INDIRECT(AM$1&amp;AM$2&amp;$C167):INDIRECT(AM$1&amp;AM$3&amp;$C167))</f>
        <v>324386.43973586441</v>
      </c>
      <c r="AN167" s="3122">
        <f t="shared" ca="1" si="272"/>
        <v>-57804.439735864406</v>
      </c>
      <c r="AO167" s="2773">
        <f t="shared" ca="1" si="273"/>
        <v>0.82180377273805783</v>
      </c>
      <c r="AP167" s="472">
        <f ca="1">SUM(INDIRECT(AP$1&amp;AP$2&amp;$A167):INDIRECT(AP$1&amp;AP$3&amp;$A167))+SUM(INDIRECT(AP$1&amp;AP$2&amp;$B167):INDIRECT(AP$1&amp;AP$3&amp;$B167))</f>
        <v>1.5495586073932302E-2</v>
      </c>
      <c r="AQ167" s="3122">
        <f t="shared" ca="1" si="274"/>
        <v>266581.98450441391</v>
      </c>
      <c r="AR167" s="2773">
        <f t="shared" ca="1" si="275"/>
        <v>17203737.808178928</v>
      </c>
      <c r="AT167" s="3121">
        <f ca="1">SUM((INDIRECT(AT$2&amp;(ROW())):INDIRECT(AT$3&amp;(ROW()))))</f>
        <v>779181.61379833298</v>
      </c>
      <c r="AU167" s="472">
        <f ca="1">SUM(INDIRECT(AU$1&amp;AU$2&amp;$C167):INDIRECT(AU$1&amp;AU$3&amp;$C167))</f>
        <v>963706.67392484157</v>
      </c>
      <c r="AV167" s="3122">
        <f t="shared" ca="1" si="276"/>
        <v>-184525.06012650859</v>
      </c>
      <c r="AW167" s="2773">
        <f t="shared" ca="1" si="277"/>
        <v>0.80852570069375751</v>
      </c>
      <c r="AX167" s="472">
        <f ca="1">SUM(INDIRECT(AX$1&amp;AX$2&amp;$A167):INDIRECT(AX$1&amp;AX$3&amp;$A167))+SUM(INDIRECT(AX$1&amp;AX$2&amp;$B167):INDIRECT(AX$1&amp;AX$3&amp;$B167))</f>
        <v>0.20178848995546328</v>
      </c>
      <c r="AY167" s="3122">
        <f t="shared" ca="1" si="278"/>
        <v>779181.41200984304</v>
      </c>
      <c r="AZ167" s="2773">
        <f t="shared" ca="1" si="279"/>
        <v>3861377.8911290038</v>
      </c>
      <c r="BB167" s="3121">
        <f ca="1">SUM((INDIRECT(BB$2&amp;(ROW())):INDIRECT(BB$3&amp;(ROW()))))</f>
        <v>2861537.6137983329</v>
      </c>
      <c r="BC167" s="472">
        <f ca="1">SUM(INDIRECT(BC$1&amp;BC$2&amp;$C167):INDIRECT(BC$1&amp;BC$3&amp;$C167))</f>
        <v>1627996.7130294139</v>
      </c>
      <c r="BD167" s="3122">
        <f t="shared" ca="1" si="280"/>
        <v>1233540.9007689189</v>
      </c>
      <c r="BE167" s="2773">
        <f t="shared" ca="1" si="281"/>
        <v>1.7577047858244859</v>
      </c>
      <c r="BF167" s="472">
        <f ca="1">SUM(INDIRECT(BF$1&amp;BF$2&amp;$A167):INDIRECT(BF$1&amp;BF$3&amp;$A167))+SUM(INDIRECT(BF$1&amp;BF$2&amp;$B167):INDIRECT(BF$1&amp;BF$3&amp;$B167))</f>
        <v>0.75926216193005724</v>
      </c>
      <c r="BG167" s="3122">
        <f t="shared" ca="1" si="282"/>
        <v>2861536.8545361711</v>
      </c>
      <c r="BH167" s="2773">
        <f t="shared" ca="1" si="283"/>
        <v>3768840.0097856265</v>
      </c>
    </row>
    <row r="168" spans="1:60" ht="14.5">
      <c r="A168" s="616">
        <f t="shared" si="265"/>
        <v>141</v>
      </c>
      <c r="B168" s="616">
        <v>1</v>
      </c>
      <c r="C168" s="616">
        <f t="shared" si="234"/>
        <v>165</v>
      </c>
      <c r="E168" s="2547">
        <v>1</v>
      </c>
      <c r="F168" s="4"/>
      <c r="G168" s="4"/>
      <c r="H168" s="4"/>
      <c r="I168" s="27"/>
      <c r="J168" s="3"/>
      <c r="K168" s="4"/>
      <c r="L168" s="4"/>
      <c r="M168" s="3"/>
      <c r="N168" s="3"/>
      <c r="O168" s="3"/>
      <c r="P168" s="3" t="s">
        <v>1381</v>
      </c>
      <c r="Q168" s="1790" t="str">
        <f>CHOOSE(2, "6722000003087", "PL (2) Cost of Sales NH MC(T, P, C) Direct")</f>
        <v>PL (2) Cost of Sales NH MC(T, P, C) Direct</v>
      </c>
      <c r="R168" s="1215">
        <f>R559-R590</f>
        <v>193807</v>
      </c>
      <c r="S168" s="1215">
        <f t="shared" ref="S168:AC168" si="295">S559-S590</f>
        <v>198425</v>
      </c>
      <c r="T168" s="1215">
        <f t="shared" si="295"/>
        <v>198570</v>
      </c>
      <c r="U168" s="1215">
        <f t="shared" si="295"/>
        <v>179929</v>
      </c>
      <c r="V168" s="1215">
        <f t="shared" si="295"/>
        <v>198440.13835445998</v>
      </c>
      <c r="W168" s="1215">
        <f t="shared" si="295"/>
        <v>198045</v>
      </c>
      <c r="X168" s="1215">
        <f t="shared" si="295"/>
        <v>239825</v>
      </c>
      <c r="Y168" s="1215">
        <f t="shared" si="295"/>
        <v>212956</v>
      </c>
      <c r="Z168" s="1215">
        <f t="shared" si="295"/>
        <v>212916</v>
      </c>
      <c r="AA168" s="1215">
        <f t="shared" si="295"/>
        <v>204873</v>
      </c>
      <c r="AB168" s="1215">
        <f t="shared" si="295"/>
        <v>219633</v>
      </c>
      <c r="AC168" s="1215">
        <f t="shared" si="295"/>
        <v>233469</v>
      </c>
      <c r="AD168" s="1221">
        <f>SUM(R168,S168,T168)</f>
        <v>590802</v>
      </c>
      <c r="AE168" s="1221">
        <f t="shared" si="292"/>
        <v>576414.13835446001</v>
      </c>
      <c r="AF168" s="1221">
        <f t="shared" si="293"/>
        <v>665697</v>
      </c>
      <c r="AG168" s="1221">
        <f t="shared" si="294"/>
        <v>657975</v>
      </c>
      <c r="AH168" s="1221">
        <f>AD168+AE168</f>
        <v>1167216.13835446</v>
      </c>
      <c r="AI168" s="1221">
        <f>AG168+AF168</f>
        <v>1323672</v>
      </c>
      <c r="AJ168" s="1221">
        <f>AH168+AI168</f>
        <v>2490888.1383544598</v>
      </c>
      <c r="AL168" s="1214">
        <f ca="1">SUM((INDIRECT(AL$2&amp;(ROW())):INDIRECT(AL$3&amp;(ROW()))))</f>
        <v>233469</v>
      </c>
      <c r="AM168" s="1221">
        <f ca="1">SUM(INDIRECT(AM$1&amp;AM$2&amp;$C168):INDIRECT(AM$1&amp;AM$3&amp;$C168))</f>
        <v>80348.228344759715</v>
      </c>
      <c r="AN168" s="3119">
        <f t="shared" ca="1" si="272"/>
        <v>153120.77165524027</v>
      </c>
      <c r="AO168" s="2768">
        <f t="shared" ca="1" si="273"/>
        <v>2.9057143487747701</v>
      </c>
      <c r="AP168" s="1221">
        <f ca="1">SUM(INDIRECT(AP$1&amp;AP$2&amp;$A168):INDIRECT(AP$1&amp;AP$3&amp;$A168))+SUM(INDIRECT(AP$1&amp;AP$2&amp;$B168):INDIRECT(AP$1&amp;AP$3&amp;$B168))</f>
        <v>0</v>
      </c>
      <c r="AQ168" s="3119">
        <f t="shared" ca="1" si="274"/>
        <v>233469</v>
      </c>
      <c r="AR168" s="2768">
        <f t="shared" ca="1" si="275"/>
        <v>0</v>
      </c>
      <c r="AT168" s="1214">
        <f ca="1">SUM((INDIRECT(AT$2&amp;(ROW())):INDIRECT(AT$3&amp;(ROW()))))</f>
        <v>657975</v>
      </c>
      <c r="AU168" s="1221">
        <f ca="1">SUM(INDIRECT(AU$1&amp;AU$2&amp;$C168):INDIRECT(AU$1&amp;AU$3&amp;$C168))</f>
        <v>231437.65326458315</v>
      </c>
      <c r="AV168" s="3119">
        <f t="shared" ca="1" si="276"/>
        <v>426537.34673541685</v>
      </c>
      <c r="AW168" s="2768">
        <f t="shared" ca="1" si="277"/>
        <v>2.8429902858019074</v>
      </c>
      <c r="AX168" s="1221">
        <f ca="1">SUM(INDIRECT(AX$1&amp;AX$2&amp;$A168):INDIRECT(AX$1&amp;AX$3&amp;$A168))+SUM(INDIRECT(AX$1&amp;AX$2&amp;$B168):INDIRECT(AX$1&amp;AX$3&amp;$B168))</f>
        <v>0</v>
      </c>
      <c r="AY168" s="3119">
        <f t="shared" ca="1" si="278"/>
        <v>657975</v>
      </c>
      <c r="AZ168" s="2768">
        <f t="shared" ca="1" si="279"/>
        <v>0</v>
      </c>
      <c r="BB168" s="1214">
        <f ca="1">SUM((INDIRECT(BB$2&amp;(ROW())):INDIRECT(BB$3&amp;(ROW()))))</f>
        <v>2490888.1383544598</v>
      </c>
      <c r="BC168" s="1221">
        <f ca="1">SUM(INDIRECT(BC$1&amp;BC$2&amp;$C168):INDIRECT(BC$1&amp;BC$3&amp;$C168))</f>
        <v>404093.21760569402</v>
      </c>
      <c r="BD168" s="3119">
        <f t="shared" ca="1" si="280"/>
        <v>2086794.9207487658</v>
      </c>
      <c r="BE168" s="2768">
        <f t="shared" ca="1" si="281"/>
        <v>6.1641424053422691</v>
      </c>
      <c r="BF168" s="1221">
        <f ca="1">SUM(INDIRECT(BF$1&amp;BF$2&amp;$A168):INDIRECT(BF$1&amp;BF$3&amp;$A168))+SUM(INDIRECT(BF$1&amp;BF$2&amp;$B168):INDIRECT(BF$1&amp;BF$3&amp;$B168))</f>
        <v>0</v>
      </c>
      <c r="BG168" s="3119">
        <f t="shared" ca="1" si="282"/>
        <v>2490888.1383544598</v>
      </c>
      <c r="BH168" s="2768">
        <f t="shared" ca="1" si="283"/>
        <v>0</v>
      </c>
    </row>
    <row r="169" spans="1:60" ht="14.5">
      <c r="A169" s="616">
        <f t="shared" si="265"/>
        <v>142</v>
      </c>
      <c r="B169" s="616">
        <v>1</v>
      </c>
      <c r="C169" s="616">
        <f t="shared" si="234"/>
        <v>166</v>
      </c>
      <c r="E169" s="2547">
        <v>1</v>
      </c>
      <c r="F169" s="4"/>
      <c r="G169" s="4"/>
      <c r="H169" s="4"/>
      <c r="I169" s="27"/>
      <c r="J169" s="3"/>
      <c r="K169" s="4"/>
      <c r="L169" s="4"/>
      <c r="M169" s="3"/>
      <c r="N169" s="3"/>
      <c r="O169" s="3"/>
      <c r="P169" s="47" t="s">
        <v>1382</v>
      </c>
      <c r="Q169" s="1789" t="str">
        <f>CHOOSE(2, "6722000003088", "PL (2) Cost of Sales NH MC(T, P, C) Indirect")</f>
        <v>PL (2) Cost of Sales NH MC(T, P, C) Indirect</v>
      </c>
      <c r="R169" s="3151">
        <f>R167-R168</f>
        <v>35740</v>
      </c>
      <c r="S169" s="3152">
        <f>S167-S168</f>
        <v>31409</v>
      </c>
      <c r="T169" s="3152">
        <f t="shared" ref="T169:AJ169" si="296">T167-T168</f>
        <v>36616</v>
      </c>
      <c r="U169" s="3152">
        <f t="shared" si="296"/>
        <v>32754</v>
      </c>
      <c r="V169" s="3152">
        <f t="shared" si="296"/>
        <v>25618.861645540019</v>
      </c>
      <c r="W169" s="3152">
        <f t="shared" si="296"/>
        <v>23961</v>
      </c>
      <c r="X169" s="3152">
        <f t="shared" si="296"/>
        <v>28114</v>
      </c>
      <c r="Y169" s="3152">
        <f t="shared" si="296"/>
        <v>1972</v>
      </c>
      <c r="Z169" s="3152">
        <f t="shared" si="296"/>
        <v>33258</v>
      </c>
      <c r="AA169" s="3152">
        <f t="shared" si="296"/>
        <v>33882</v>
      </c>
      <c r="AB169" s="3152">
        <f t="shared" si="296"/>
        <v>54211.613798332983</v>
      </c>
      <c r="AC169" s="3152">
        <f t="shared" si="296"/>
        <v>33113</v>
      </c>
      <c r="AD169" s="1230">
        <f t="shared" si="296"/>
        <v>103765</v>
      </c>
      <c r="AE169" s="1230">
        <f t="shared" si="296"/>
        <v>82333.86164553999</v>
      </c>
      <c r="AF169" s="1230">
        <f t="shared" si="296"/>
        <v>63344</v>
      </c>
      <c r="AG169" s="1230">
        <f t="shared" si="296"/>
        <v>121206.61379833298</v>
      </c>
      <c r="AH169" s="1230">
        <f t="shared" si="296"/>
        <v>186098.86164553999</v>
      </c>
      <c r="AI169" s="1230">
        <f t="shared" si="296"/>
        <v>184550.61379833287</v>
      </c>
      <c r="AJ169" s="1230">
        <f t="shared" si="296"/>
        <v>370649.47544387309</v>
      </c>
      <c r="AL169" s="1257">
        <f ca="1">SUM((INDIRECT(AL$2&amp;(ROW())):INDIRECT(AL$3&amp;(ROW()))))</f>
        <v>33113</v>
      </c>
      <c r="AM169" s="1230">
        <f ca="1">SUM(INDIRECT(AM$1&amp;AM$2&amp;$C169):INDIRECT(AM$1&amp;AM$3&amp;$C169))</f>
        <v>243537.96139110468</v>
      </c>
      <c r="AN169" s="3123">
        <f t="shared" ca="1" si="272"/>
        <v>-210424.96139110468</v>
      </c>
      <c r="AO169" s="2775">
        <f t="shared" ca="1" si="273"/>
        <v>0.13596648264137709</v>
      </c>
      <c r="AP169" s="1230">
        <f ca="1">SUM(INDIRECT(AP$1&amp;AP$2&amp;$A169):INDIRECT(AP$1&amp;AP$3&amp;$A169))+SUM(INDIRECT(AP$1&amp;AP$2&amp;$B169):INDIRECT(AP$1&amp;AP$3&amp;$B169))</f>
        <v>0</v>
      </c>
      <c r="AQ169" s="3123">
        <f t="shared" ca="1" si="274"/>
        <v>33113</v>
      </c>
      <c r="AR169" s="2775">
        <f t="shared" ca="1" si="275"/>
        <v>0</v>
      </c>
      <c r="AT169" s="1257">
        <f ca="1">SUM((INDIRECT(AT$2&amp;(ROW())):INDIRECT(AT$3&amp;(ROW()))))</f>
        <v>121206.61379833298</v>
      </c>
      <c r="AU169" s="1230">
        <f ca="1">SUM(INDIRECT(AU$1&amp;AU$2&amp;$C169):INDIRECT(AU$1&amp;AU$3&amp;$C169))</f>
        <v>731268.52066025836</v>
      </c>
      <c r="AV169" s="3123">
        <f t="shared" ca="1" si="276"/>
        <v>-610061.90686192538</v>
      </c>
      <c r="AW169" s="2775">
        <f t="shared" ca="1" si="277"/>
        <v>0.16574843627741037</v>
      </c>
      <c r="AX169" s="1230">
        <f ca="1">SUM(INDIRECT(AX$1&amp;AX$2&amp;$A169):INDIRECT(AX$1&amp;AX$3&amp;$A169))+SUM(INDIRECT(AX$1&amp;AX$2&amp;$B169):INDIRECT(AX$1&amp;AX$3&amp;$B169))</f>
        <v>0</v>
      </c>
      <c r="AY169" s="3123">
        <f t="shared" ca="1" si="278"/>
        <v>121206.61379833298</v>
      </c>
      <c r="AZ169" s="2775">
        <f t="shared" ca="1" si="279"/>
        <v>0</v>
      </c>
      <c r="BB169" s="1257">
        <f ca="1">SUM((INDIRECT(BB$2&amp;(ROW())):INDIRECT(BB$3&amp;(ROW()))))</f>
        <v>370649.47544387297</v>
      </c>
      <c r="BC169" s="1230">
        <f ca="1">SUM(INDIRECT(BC$1&amp;BC$2&amp;$C169):INDIRECT(BC$1&amp;BC$3&amp;$C169))</f>
        <v>1221902.4954237198</v>
      </c>
      <c r="BD169" s="3123">
        <f t="shared" ca="1" si="280"/>
        <v>-851253.01997984678</v>
      </c>
      <c r="BE169" s="2775">
        <f t="shared" ca="1" si="281"/>
        <v>0.30333801332924087</v>
      </c>
      <c r="BF169" s="1230">
        <f ca="1">SUM(INDIRECT(BF$1&amp;BF$2&amp;$A169):INDIRECT(BF$1&amp;BF$3&amp;$A169))+SUM(INDIRECT(BF$1&amp;BF$2&amp;$B169):INDIRECT(BF$1&amp;BF$3&amp;$B169))</f>
        <v>3045.8850000000002</v>
      </c>
      <c r="BG169" s="3123">
        <f t="shared" ca="1" si="282"/>
        <v>367603.59044387296</v>
      </c>
      <c r="BH169" s="2775">
        <f t="shared" ca="1" si="283"/>
        <v>121.68859804092175</v>
      </c>
    </row>
    <row r="170" spans="1:60" ht="14.5">
      <c r="A170" s="616">
        <f t="shared" si="265"/>
        <v>143</v>
      </c>
      <c r="B170" s="616">
        <v>1</v>
      </c>
      <c r="C170" s="616">
        <f t="shared" si="234"/>
        <v>167</v>
      </c>
      <c r="E170" s="2547">
        <v>1</v>
      </c>
      <c r="F170" s="4"/>
      <c r="G170" s="4"/>
      <c r="H170" s="4"/>
      <c r="I170" s="27"/>
      <c r="J170" s="3"/>
      <c r="K170" s="4"/>
      <c r="L170" s="4"/>
      <c r="M170" s="3"/>
      <c r="N170" s="3"/>
      <c r="O170" s="3" t="s">
        <v>1383</v>
      </c>
      <c r="P170" s="3"/>
      <c r="Q170" s="1789" t="str">
        <f>CHOOSE(2, "6722000003089", "PL (2) Cost of Sales NH Field Service Cost")</f>
        <v>PL (2) Cost of Sales NH Field Service Cost</v>
      </c>
      <c r="R170" s="3149">
        <f t="shared" ref="R170:AC170" si="297">(R593+R616)*-1</f>
        <v>13687</v>
      </c>
      <c r="S170" s="3150">
        <f t="shared" si="297"/>
        <v>14642</v>
      </c>
      <c r="T170" s="3150">
        <f t="shared" si="297"/>
        <v>16081</v>
      </c>
      <c r="U170" s="3150">
        <f t="shared" si="297"/>
        <v>17620</v>
      </c>
      <c r="V170" s="3150">
        <f t="shared" si="297"/>
        <v>16858.855701118951</v>
      </c>
      <c r="W170" s="3150">
        <f t="shared" si="297"/>
        <v>17021.748</v>
      </c>
      <c r="X170" s="3150">
        <f t="shared" si="297"/>
        <v>27094.748</v>
      </c>
      <c r="Y170" s="3150">
        <f t="shared" si="297"/>
        <v>15703</v>
      </c>
      <c r="Z170" s="3150">
        <f t="shared" si="297"/>
        <v>16374</v>
      </c>
      <c r="AA170" s="3150">
        <f t="shared" si="297"/>
        <v>15577</v>
      </c>
      <c r="AB170" s="3150">
        <f t="shared" si="297"/>
        <v>26298.092000000001</v>
      </c>
      <c r="AC170" s="3150">
        <f t="shared" si="297"/>
        <v>21071</v>
      </c>
      <c r="AD170" s="1221">
        <f t="shared" ref="AD170:AD176" si="298">SUM(R170,S170,T170)</f>
        <v>44410</v>
      </c>
      <c r="AE170" s="1221">
        <f t="shared" ref="AE170:AE176" si="299">SUM(U170,V170,W170)</f>
        <v>51500.603701118955</v>
      </c>
      <c r="AF170" s="1221">
        <f t="shared" ref="AF170:AF176" si="300">SUM(X170,Y170,Z170)</f>
        <v>59171.748</v>
      </c>
      <c r="AG170" s="1221">
        <f t="shared" ref="AG170:AG176" si="301">SUM(AA170,AB170,AC170)</f>
        <v>62946.092000000004</v>
      </c>
      <c r="AH170" s="1221">
        <f t="shared" ref="AH170:AH175" si="302">AD170+AE170</f>
        <v>95910.603701118962</v>
      </c>
      <c r="AI170" s="1221">
        <f t="shared" ref="AI170:AI175" si="303">AG170+AF170</f>
        <v>122117.84</v>
      </c>
      <c r="AJ170" s="1221">
        <f t="shared" ref="AJ170:AJ175" si="304">AH170+AI170</f>
        <v>218028.44370111896</v>
      </c>
      <c r="AL170" s="1214">
        <f ca="1">SUM((INDIRECT(AL$2&amp;(ROW())):INDIRECT(AL$3&amp;(ROW()))))</f>
        <v>21071</v>
      </c>
      <c r="AM170" s="1221">
        <f ca="1">SUM(INDIRECT(AM$1&amp;AM$2&amp;$C170):INDIRECT(AM$1&amp;AM$3&amp;$C170))</f>
        <v>224754.62805777133</v>
      </c>
      <c r="AN170" s="3119">
        <f t="shared" ca="1" si="272"/>
        <v>-203683.62805777133</v>
      </c>
      <c r="AO170" s="2768">
        <f t="shared" ca="1" si="273"/>
        <v>9.3751128428749733E-2</v>
      </c>
      <c r="AP170" s="1221">
        <f ca="1">SUM(INDIRECT(AP$1&amp;AP$2&amp;$A170):INDIRECT(AP$1&amp;AP$3&amp;$A170))+SUM(INDIRECT(AP$1&amp;AP$2&amp;$B170):INDIRECT(AP$1&amp;AP$3&amp;$B170))</f>
        <v>2870</v>
      </c>
      <c r="AQ170" s="3119">
        <f t="shared" ca="1" si="274"/>
        <v>18201</v>
      </c>
      <c r="AR170" s="2768">
        <f t="shared" ca="1" si="275"/>
        <v>7.3418118466898958</v>
      </c>
      <c r="AT170" s="1214">
        <f ca="1">SUM((INDIRECT(AT$2&amp;(ROW())):INDIRECT(AT$3&amp;(ROW()))))</f>
        <v>62946.092000000004</v>
      </c>
      <c r="AU170" s="1221">
        <f ca="1">SUM(INDIRECT(AU$1&amp;AU$2&amp;$C170):INDIRECT(AU$1&amp;AU$3&amp;$C170))</f>
        <v>675798.52066025836</v>
      </c>
      <c r="AV170" s="3119">
        <f t="shared" ca="1" si="276"/>
        <v>-612852.42866025842</v>
      </c>
      <c r="AW170" s="2768">
        <f t="shared" ca="1" si="277"/>
        <v>9.3143281726188701E-2</v>
      </c>
      <c r="AX170" s="1221">
        <f ca="1">SUM(INDIRECT(AX$1&amp;AX$2&amp;$A170):INDIRECT(AX$1&amp;AX$3&amp;$A170))+SUM(INDIRECT(AX$1&amp;AX$2&amp;$B170):INDIRECT(AX$1&amp;AX$3&amp;$B170))</f>
        <v>7927</v>
      </c>
      <c r="AY170" s="3119">
        <f t="shared" ca="1" si="278"/>
        <v>55019.092000000004</v>
      </c>
      <c r="AZ170" s="2768">
        <f t="shared" ca="1" si="279"/>
        <v>7.9407205752491494</v>
      </c>
      <c r="BB170" s="1214">
        <f ca="1">SUM((INDIRECT(BB$2&amp;(ROW())):INDIRECT(BB$3&amp;(ROW()))))</f>
        <v>218028.44370111896</v>
      </c>
      <c r="BC170" s="1221">
        <f ca="1">SUM(INDIRECT(BC$1&amp;BC$2&amp;$C170):INDIRECT(BC$1&amp;BC$3&amp;$C170))</f>
        <v>1106276.2473299832</v>
      </c>
      <c r="BD170" s="3119">
        <f t="shared" ca="1" si="280"/>
        <v>-888247.80362886423</v>
      </c>
      <c r="BE170" s="2768">
        <f t="shared" ca="1" si="281"/>
        <v>0.19708318263845434</v>
      </c>
      <c r="BF170" s="1221">
        <f ca="1">SUM(INDIRECT(BF$1&amp;BF$2&amp;$A170):INDIRECT(BF$1&amp;BF$3&amp;$A170))+SUM(INDIRECT(BF$1&amp;BF$2&amp;$B170):INDIRECT(BF$1&amp;BF$3&amp;$B170))</f>
        <v>22867.885000000002</v>
      </c>
      <c r="BG170" s="3119">
        <f t="shared" ca="1" si="282"/>
        <v>195160.55870111895</v>
      </c>
      <c r="BH170" s="2768">
        <f t="shared" ca="1" si="283"/>
        <v>9.5342636059748838</v>
      </c>
    </row>
    <row r="171" spans="1:60" ht="14.5">
      <c r="A171" s="616">
        <f t="shared" si="265"/>
        <v>144</v>
      </c>
      <c r="B171" s="616">
        <v>1</v>
      </c>
      <c r="C171" s="616">
        <f t="shared" si="234"/>
        <v>168</v>
      </c>
      <c r="E171" s="2547">
        <v>1</v>
      </c>
      <c r="F171" s="4"/>
      <c r="G171" s="4"/>
      <c r="H171" s="4"/>
      <c r="I171" s="27"/>
      <c r="J171" s="3"/>
      <c r="K171" s="4"/>
      <c r="L171" s="4"/>
      <c r="M171" s="3"/>
      <c r="N171" s="3"/>
      <c r="O171" s="3" t="s">
        <v>1384</v>
      </c>
      <c r="P171" s="3"/>
      <c r="Q171" s="1789" t="str">
        <f>CHOOSE(2, "6722000003090", "PL (2) Cost of Sales NH Service Desk Cost")</f>
        <v>PL (2) Cost of Sales NH Service Desk Cost</v>
      </c>
      <c r="R171" s="3149">
        <f t="shared" ref="R171:AC171" si="305">(R597+R620)*-1</f>
        <v>0</v>
      </c>
      <c r="S171" s="3150">
        <f t="shared" si="305"/>
        <v>0</v>
      </c>
      <c r="T171" s="3150">
        <f t="shared" si="305"/>
        <v>0</v>
      </c>
      <c r="U171" s="3150">
        <f t="shared" si="305"/>
        <v>0</v>
      </c>
      <c r="V171" s="3150">
        <f t="shared" si="305"/>
        <v>0</v>
      </c>
      <c r="W171" s="3150">
        <f t="shared" si="305"/>
        <v>0</v>
      </c>
      <c r="X171" s="3150">
        <f t="shared" si="305"/>
        <v>0</v>
      </c>
      <c r="Y171" s="3150">
        <f t="shared" si="305"/>
        <v>0</v>
      </c>
      <c r="Z171" s="3150">
        <f t="shared" si="305"/>
        <v>0</v>
      </c>
      <c r="AA171" s="3150">
        <f t="shared" si="305"/>
        <v>0</v>
      </c>
      <c r="AB171" s="3150">
        <f t="shared" si="305"/>
        <v>0</v>
      </c>
      <c r="AC171" s="3150">
        <f t="shared" si="305"/>
        <v>0</v>
      </c>
      <c r="AD171" s="1221">
        <f t="shared" si="298"/>
        <v>0</v>
      </c>
      <c r="AE171" s="1221">
        <f t="shared" si="299"/>
        <v>0</v>
      </c>
      <c r="AF171" s="1221">
        <f t="shared" si="300"/>
        <v>0</v>
      </c>
      <c r="AG171" s="1221">
        <f t="shared" si="301"/>
        <v>0</v>
      </c>
      <c r="AH171" s="1221">
        <f t="shared" si="302"/>
        <v>0</v>
      </c>
      <c r="AI171" s="1221">
        <f t="shared" si="303"/>
        <v>0</v>
      </c>
      <c r="AJ171" s="1221">
        <f t="shared" si="304"/>
        <v>0</v>
      </c>
      <c r="AL171" s="1214">
        <f ca="1">SUM((INDIRECT(AL$2&amp;(ROW())):INDIRECT(AL$3&amp;(ROW()))))</f>
        <v>0</v>
      </c>
      <c r="AM171" s="1221">
        <f ca="1">SUM(INDIRECT(AM$1&amp;AM$2&amp;$C171):INDIRECT(AM$1&amp;AM$3&amp;$C171))</f>
        <v>196652.75145969633</v>
      </c>
      <c r="AN171" s="3119">
        <f t="shared" ca="1" si="272"/>
        <v>-196652.75145969633</v>
      </c>
      <c r="AO171" s="2768">
        <f t="shared" ca="1" si="273"/>
        <v>0</v>
      </c>
      <c r="AP171" s="1221">
        <f ca="1">SUM(INDIRECT(AP$1&amp;AP$2&amp;$A171):INDIRECT(AP$1&amp;AP$3&amp;$A171))+SUM(INDIRECT(AP$1&amp;AP$2&amp;$B171):INDIRECT(AP$1&amp;AP$3&amp;$B171))</f>
        <v>2870</v>
      </c>
      <c r="AQ171" s="3119">
        <f t="shared" ca="1" si="274"/>
        <v>-2870</v>
      </c>
      <c r="AR171" s="2768">
        <f t="shared" ca="1" si="275"/>
        <v>0</v>
      </c>
      <c r="AT171" s="1214">
        <f ca="1">SUM((INDIRECT(AT$2&amp;(ROW())):INDIRECT(AT$3&amp;(ROW()))))</f>
        <v>0</v>
      </c>
      <c r="AU171" s="1221">
        <f ca="1">SUM(INDIRECT(AU$1&amp;AU$2&amp;$C171):INDIRECT(AU$1&amp;AU$3&amp;$C171))</f>
        <v>592066.39855170832</v>
      </c>
      <c r="AV171" s="3119">
        <f t="shared" ca="1" si="276"/>
        <v>-592066.39855170832</v>
      </c>
      <c r="AW171" s="2768">
        <f t="shared" ca="1" si="277"/>
        <v>0</v>
      </c>
      <c r="AX171" s="1221">
        <f ca="1">SUM(INDIRECT(AX$1&amp;AX$2&amp;$A171):INDIRECT(AX$1&amp;AX$3&amp;$A171))+SUM(INDIRECT(AX$1&amp;AX$2&amp;$B171):INDIRECT(AX$1&amp;AX$3&amp;$B171))</f>
        <v>7927</v>
      </c>
      <c r="AY171" s="3119">
        <f t="shared" ca="1" si="278"/>
        <v>-7927</v>
      </c>
      <c r="AZ171" s="2768">
        <f t="shared" ca="1" si="279"/>
        <v>0</v>
      </c>
      <c r="BB171" s="1214">
        <f ca="1">SUM((INDIRECT(BB$2&amp;(ROW())):INDIRECT(BB$3&amp;(ROW()))))</f>
        <v>0</v>
      </c>
      <c r="BC171" s="1221">
        <f ca="1">SUM(INDIRECT(BC$1&amp;BC$2&amp;$C171):INDIRECT(BC$1&amp;BC$3&amp;$C171))</f>
        <v>962787.23860920337</v>
      </c>
      <c r="BD171" s="3119">
        <f t="shared" ca="1" si="280"/>
        <v>-962787.23860920337</v>
      </c>
      <c r="BE171" s="2768">
        <f t="shared" ca="1" si="281"/>
        <v>0</v>
      </c>
      <c r="BF171" s="1221">
        <f ca="1">SUM(INDIRECT(BF$1&amp;BF$2&amp;$A171):INDIRECT(BF$1&amp;BF$3&amp;$A171))+SUM(INDIRECT(BF$1&amp;BF$2&amp;$B171):INDIRECT(BF$1&amp;BF$3&amp;$B171))</f>
        <v>22867.885000000002</v>
      </c>
      <c r="BG171" s="3119">
        <f t="shared" ca="1" si="282"/>
        <v>-22867.885000000002</v>
      </c>
      <c r="BH171" s="2768">
        <f t="shared" ca="1" si="283"/>
        <v>0</v>
      </c>
    </row>
    <row r="172" spans="1:60" ht="14.5">
      <c r="A172" s="616">
        <f t="shared" si="265"/>
        <v>145</v>
      </c>
      <c r="B172" s="616">
        <v>1</v>
      </c>
      <c r="C172" s="616">
        <f t="shared" si="234"/>
        <v>169</v>
      </c>
      <c r="E172" s="2547">
        <v>1</v>
      </c>
      <c r="F172" s="4"/>
      <c r="G172" s="4"/>
      <c r="H172" s="4"/>
      <c r="I172" s="27"/>
      <c r="J172" s="3"/>
      <c r="K172" s="4"/>
      <c r="L172" s="4"/>
      <c r="M172" s="3"/>
      <c r="N172" s="3"/>
      <c r="O172" s="3" t="s">
        <v>9</v>
      </c>
      <c r="P172" s="3"/>
      <c r="Q172" s="1789" t="str">
        <f>CHOOSE(2, "6722000003091", "PL (2) Cost of Sales NH D&amp;A")</f>
        <v>PL (2) Cost of Sales NH D&amp;A</v>
      </c>
      <c r="R172" s="3149">
        <f>(R600+R623)*-1</f>
        <v>0</v>
      </c>
      <c r="S172" s="3150">
        <f t="shared" ref="S172:AC172" si="306">(S600+S623)*-1</f>
        <v>0</v>
      </c>
      <c r="T172" s="3150">
        <f t="shared" si="306"/>
        <v>0</v>
      </c>
      <c r="U172" s="3150">
        <f t="shared" si="306"/>
        <v>0</v>
      </c>
      <c r="V172" s="3150">
        <f t="shared" si="306"/>
        <v>0</v>
      </c>
      <c r="W172" s="3150">
        <f t="shared" si="306"/>
        <v>0</v>
      </c>
      <c r="X172" s="3150">
        <f t="shared" si="306"/>
        <v>0</v>
      </c>
      <c r="Y172" s="3150">
        <f t="shared" si="306"/>
        <v>0</v>
      </c>
      <c r="Z172" s="3150">
        <f t="shared" si="306"/>
        <v>0</v>
      </c>
      <c r="AA172" s="3150">
        <f t="shared" si="306"/>
        <v>0</v>
      </c>
      <c r="AB172" s="3150">
        <f t="shared" si="306"/>
        <v>0</v>
      </c>
      <c r="AC172" s="3150">
        <f t="shared" si="306"/>
        <v>0</v>
      </c>
      <c r="AD172" s="1221">
        <f t="shared" si="298"/>
        <v>0</v>
      </c>
      <c r="AE172" s="1221">
        <f t="shared" si="299"/>
        <v>0</v>
      </c>
      <c r="AF172" s="1221">
        <f t="shared" si="300"/>
        <v>0</v>
      </c>
      <c r="AG172" s="1221">
        <f t="shared" si="301"/>
        <v>0</v>
      </c>
      <c r="AH172" s="1221">
        <f t="shared" si="302"/>
        <v>0</v>
      </c>
      <c r="AI172" s="1221">
        <f t="shared" si="303"/>
        <v>0</v>
      </c>
      <c r="AJ172" s="1221">
        <f t="shared" si="304"/>
        <v>0</v>
      </c>
      <c r="AL172" s="1214">
        <f ca="1">SUM((INDIRECT(AL$2&amp;(ROW())):INDIRECT(AL$3&amp;(ROW()))))</f>
        <v>0</v>
      </c>
      <c r="AM172" s="1221">
        <f ca="1">SUM(INDIRECT(AM$1&amp;AM$2&amp;$C172):INDIRECT(AM$1&amp;AM$3&amp;$C172))</f>
        <v>28101.876598075003</v>
      </c>
      <c r="AN172" s="3119">
        <f t="shared" ca="1" si="272"/>
        <v>-28101.876598075003</v>
      </c>
      <c r="AO172" s="2768">
        <f t="shared" ca="1" si="273"/>
        <v>0</v>
      </c>
      <c r="AP172" s="1221">
        <f ca="1">SUM(INDIRECT(AP$1&amp;AP$2&amp;$A172):INDIRECT(AP$1&amp;AP$3&amp;$A172))+SUM(INDIRECT(AP$1&amp;AP$2&amp;$B172):INDIRECT(AP$1&amp;AP$3&amp;$B172))</f>
        <v>1988.8565899999999</v>
      </c>
      <c r="AQ172" s="3119">
        <f t="shared" ca="1" si="274"/>
        <v>-1988.8565899999999</v>
      </c>
      <c r="AR172" s="2768">
        <f t="shared" ca="1" si="275"/>
        <v>0</v>
      </c>
      <c r="AT172" s="1214">
        <f ca="1">SUM((INDIRECT(AT$2&amp;(ROW())):INDIRECT(AT$3&amp;(ROW()))))</f>
        <v>0</v>
      </c>
      <c r="AU172" s="1221">
        <f ca="1">SUM(INDIRECT(AU$1&amp;AU$2&amp;$C172):INDIRECT(AU$1&amp;AU$3&amp;$C172))</f>
        <v>83732.122108550015</v>
      </c>
      <c r="AV172" s="3119">
        <f t="shared" ca="1" si="276"/>
        <v>-83732.122108550015</v>
      </c>
      <c r="AW172" s="2768">
        <f t="shared" ca="1" si="277"/>
        <v>0</v>
      </c>
      <c r="AX172" s="1221">
        <f ca="1">SUM(INDIRECT(AX$1&amp;AX$2&amp;$A172):INDIRECT(AX$1&amp;AX$3&amp;$A172))+SUM(INDIRECT(AX$1&amp;AX$2&amp;$B172):INDIRECT(AX$1&amp;AX$3&amp;$B172))</f>
        <v>5031.8565899999994</v>
      </c>
      <c r="AY172" s="3119">
        <f t="shared" ca="1" si="278"/>
        <v>-5031.8565899999994</v>
      </c>
      <c r="AZ172" s="2768">
        <f t="shared" ca="1" si="279"/>
        <v>0</v>
      </c>
      <c r="BB172" s="1214">
        <f ca="1">SUM((INDIRECT(BB$2&amp;(ROW())):INDIRECT(BB$3&amp;(ROW()))))</f>
        <v>0</v>
      </c>
      <c r="BC172" s="1221">
        <f ca="1">SUM(INDIRECT(BC$1&amp;BC$2&amp;$C172):INDIRECT(BC$1&amp;BC$3&amp;$C172))</f>
        <v>143489.00872077985</v>
      </c>
      <c r="BD172" s="3119">
        <f t="shared" ca="1" si="280"/>
        <v>-143489.00872077985</v>
      </c>
      <c r="BE172" s="2768">
        <f t="shared" ca="1" si="281"/>
        <v>0</v>
      </c>
      <c r="BF172" s="1221">
        <f ca="1">SUM(INDIRECT(BF$1&amp;BF$2&amp;$A172):INDIRECT(BF$1&amp;BF$3&amp;$A172))+SUM(INDIRECT(BF$1&amp;BF$2&amp;$B172):INDIRECT(BF$1&amp;BF$3&amp;$B172))</f>
        <v>15069.856589999999</v>
      </c>
      <c r="BG172" s="3119">
        <f t="shared" ca="1" si="282"/>
        <v>-15069.856589999999</v>
      </c>
      <c r="BH172" s="2768">
        <f t="shared" ca="1" si="283"/>
        <v>0</v>
      </c>
    </row>
    <row r="173" spans="1:60" ht="14.5">
      <c r="A173" s="616">
        <f t="shared" si="265"/>
        <v>146</v>
      </c>
      <c r="B173" s="616">
        <v>1</v>
      </c>
      <c r="C173" s="616">
        <f t="shared" si="234"/>
        <v>170</v>
      </c>
      <c r="E173" s="2547">
        <v>1</v>
      </c>
      <c r="F173" s="4"/>
      <c r="G173" s="4"/>
      <c r="H173" s="4"/>
      <c r="I173" s="27"/>
      <c r="J173" s="3"/>
      <c r="K173" s="4"/>
      <c r="L173" s="4"/>
      <c r="M173" s="3"/>
      <c r="N173" s="3"/>
      <c r="O173" s="3" t="s">
        <v>1386</v>
      </c>
      <c r="P173" s="3"/>
      <c r="Q173" s="1789" t="str">
        <f>CHOOSE(2, "6722000003092", "PL (2) Cost of Sales NH Others")</f>
        <v>PL (2) Cost of Sales NH Others</v>
      </c>
      <c r="R173" s="3149">
        <f>R166-R167-R170-R171-R172</f>
        <v>0</v>
      </c>
      <c r="S173" s="3150">
        <f>S166-S167-S170-S171-S172</f>
        <v>0</v>
      </c>
      <c r="T173" s="3150">
        <f t="shared" ref="T173:AC173" si="307">T166-T167-T170-T171-T172</f>
        <v>0</v>
      </c>
      <c r="U173" s="3150">
        <f t="shared" si="307"/>
        <v>0</v>
      </c>
      <c r="V173" s="3150">
        <f t="shared" si="307"/>
        <v>0.12198820208504912</v>
      </c>
      <c r="W173" s="3150">
        <f t="shared" si="307"/>
        <v>-7.2759576141834259E-12</v>
      </c>
      <c r="X173" s="3150">
        <f t="shared" si="307"/>
        <v>2.1827872842550278E-11</v>
      </c>
      <c r="Y173" s="3150">
        <f t="shared" si="307"/>
        <v>26006</v>
      </c>
      <c r="Z173" s="3150">
        <f t="shared" si="307"/>
        <v>0</v>
      </c>
      <c r="AA173" s="3150">
        <f t="shared" si="307"/>
        <v>0</v>
      </c>
      <c r="AB173" s="3150">
        <f t="shared" si="307"/>
        <v>0.27950166701702983</v>
      </c>
      <c r="AC173" s="3150">
        <f t="shared" si="307"/>
        <v>0</v>
      </c>
      <c r="AD173" s="1221">
        <f t="shared" si="298"/>
        <v>0</v>
      </c>
      <c r="AE173" s="1221">
        <f t="shared" si="299"/>
        <v>0.12198820207777317</v>
      </c>
      <c r="AF173" s="1221">
        <f t="shared" si="300"/>
        <v>26006.000000000022</v>
      </c>
      <c r="AG173" s="1221">
        <f t="shared" si="301"/>
        <v>0.27950166701702983</v>
      </c>
      <c r="AH173" s="1221">
        <f t="shared" si="302"/>
        <v>0.12198820207777317</v>
      </c>
      <c r="AI173" s="1221">
        <f t="shared" si="303"/>
        <v>26006.279501667039</v>
      </c>
      <c r="AJ173" s="1221">
        <f t="shared" si="304"/>
        <v>26006.401489869117</v>
      </c>
      <c r="AL173" s="1214">
        <f ca="1">SUM((INDIRECT(AL$2&amp;(ROW())):INDIRECT(AL$3&amp;(ROW()))))</f>
        <v>0</v>
      </c>
      <c r="AM173" s="1221">
        <f ca="1">SUM(INDIRECT(AM$1&amp;AM$2&amp;$C173):INDIRECT(AM$1&amp;AM$3&amp;$C173))</f>
        <v>18783.333333333336</v>
      </c>
      <c r="AN173" s="3119">
        <f t="shared" ca="1" si="272"/>
        <v>-18783.333333333336</v>
      </c>
      <c r="AO173" s="2768">
        <f t="shared" ca="1" si="273"/>
        <v>0</v>
      </c>
      <c r="AP173" s="1221">
        <f ca="1">SUM(INDIRECT(AP$1&amp;AP$2&amp;$A173):INDIRECT(AP$1&amp;AP$3&amp;$A173))+SUM(INDIRECT(AP$1&amp;AP$2&amp;$B173):INDIRECT(AP$1&amp;AP$3&amp;$B173))</f>
        <v>2012.7150891510582</v>
      </c>
      <c r="AQ173" s="3119">
        <f t="shared" ca="1" si="274"/>
        <v>-2012.7150891510582</v>
      </c>
      <c r="AR173" s="2768">
        <f t="shared" ca="1" si="275"/>
        <v>0</v>
      </c>
      <c r="AT173" s="1214">
        <f ca="1">SUM((INDIRECT(AT$2&amp;(ROW())):INDIRECT(AT$3&amp;(ROW()))))</f>
        <v>0.27950166701702983</v>
      </c>
      <c r="AU173" s="1221">
        <f ca="1">SUM(INDIRECT(AU$1&amp;AU$2&amp;$C173):INDIRECT(AU$1&amp;AU$3&amp;$C173))</f>
        <v>55470.000000000007</v>
      </c>
      <c r="AV173" s="3119">
        <f t="shared" ca="1" si="276"/>
        <v>-55469.720498332987</v>
      </c>
      <c r="AW173" s="2768">
        <f t="shared" ca="1" si="277"/>
        <v>5.0387897425100013E-6</v>
      </c>
      <c r="AX173" s="1221">
        <f ca="1">SUM(INDIRECT(AX$1&amp;AX$2&amp;$A173):INDIRECT(AX$1&amp;AX$3&amp;$A173))+SUM(INDIRECT(AX$1&amp;AX$2&amp;$B173):INDIRECT(AX$1&amp;AX$3&amp;$B173))</f>
        <v>3757.0867618888351</v>
      </c>
      <c r="AY173" s="3119">
        <f t="shared" ca="1" si="278"/>
        <v>-3756.8072602218181</v>
      </c>
      <c r="AZ173" s="2768">
        <f t="shared" ca="1" si="279"/>
        <v>7.4393189386053298E-5</v>
      </c>
      <c r="BB173" s="1214">
        <f ca="1">SUM((INDIRECT(BB$2&amp;(ROW())):INDIRECT(BB$3&amp;(ROW()))))</f>
        <v>26006.401489869117</v>
      </c>
      <c r="BC173" s="1221">
        <f ca="1">SUM(INDIRECT(BC$1&amp;BC$2&amp;$C173):INDIRECT(BC$1&amp;BC$3&amp;$C173))</f>
        <v>91276.666666666686</v>
      </c>
      <c r="BD173" s="3119">
        <f t="shared" ca="1" si="280"/>
        <v>-65270.265176797569</v>
      </c>
      <c r="BE173" s="2768">
        <f t="shared" ca="1" si="281"/>
        <v>0.28491839633936139</v>
      </c>
      <c r="BF173" s="1221">
        <f ca="1">SUM(INDIRECT(BF$1&amp;BF$2&amp;$A173):INDIRECT(BF$1&amp;BF$3&amp;$A173))+SUM(INDIRECT(BF$1&amp;BF$2&amp;$B173):INDIRECT(BF$1&amp;BF$3&amp;$B173))</f>
        <v>11172.901612882397</v>
      </c>
      <c r="BG173" s="3119">
        <f t="shared" ca="1" si="282"/>
        <v>14833.49987698672</v>
      </c>
      <c r="BH173" s="2768">
        <f t="shared" ca="1" si="283"/>
        <v>2.3276318355729222</v>
      </c>
    </row>
    <row r="174" spans="1:60" ht="14.5">
      <c r="A174" s="616">
        <f t="shared" si="265"/>
        <v>147</v>
      </c>
      <c r="B174" s="616">
        <v>1</v>
      </c>
      <c r="C174" s="616">
        <f t="shared" si="234"/>
        <v>171</v>
      </c>
      <c r="E174" s="2547">
        <v>1</v>
      </c>
      <c r="F174" s="4"/>
      <c r="G174" s="4"/>
      <c r="H174" s="4"/>
      <c r="I174" s="27"/>
      <c r="J174" s="3"/>
      <c r="K174" s="4"/>
      <c r="L174" s="4"/>
      <c r="M174" s="3" t="s">
        <v>24</v>
      </c>
      <c r="N174" s="3"/>
      <c r="O174" s="3"/>
      <c r="P174" s="3"/>
      <c r="Q174" s="1794" t="str">
        <f>CHOOSE(2, "6722000003093", "PL (2) Cost of Sales Solution")</f>
        <v>PL (2) Cost of Sales Solution</v>
      </c>
      <c r="R174" s="2576">
        <f>R157-R184</f>
        <v>0</v>
      </c>
      <c r="S174" s="2577">
        <f t="shared" ref="S174:AC175" si="308">S157-S184</f>
        <v>0</v>
      </c>
      <c r="T174" s="2577">
        <f t="shared" si="308"/>
        <v>0</v>
      </c>
      <c r="U174" s="2577">
        <f t="shared" si="308"/>
        <v>0</v>
      </c>
      <c r="V174" s="2577">
        <f t="shared" si="308"/>
        <v>0</v>
      </c>
      <c r="W174" s="2577">
        <f t="shared" si="308"/>
        <v>0</v>
      </c>
      <c r="X174" s="2577">
        <f t="shared" si="308"/>
        <v>0</v>
      </c>
      <c r="Y174" s="2577">
        <f t="shared" si="308"/>
        <v>0</v>
      </c>
      <c r="Z174" s="2577">
        <f t="shared" si="308"/>
        <v>0</v>
      </c>
      <c r="AA174" s="2577">
        <f t="shared" si="308"/>
        <v>0</v>
      </c>
      <c r="AB174" s="2577">
        <f t="shared" si="308"/>
        <v>0</v>
      </c>
      <c r="AC174" s="2577">
        <f t="shared" si="308"/>
        <v>0</v>
      </c>
      <c r="AD174" s="1221">
        <f t="shared" si="298"/>
        <v>0</v>
      </c>
      <c r="AE174" s="1221">
        <f t="shared" si="299"/>
        <v>0</v>
      </c>
      <c r="AF174" s="1221">
        <f t="shared" si="300"/>
        <v>0</v>
      </c>
      <c r="AG174" s="1221">
        <f t="shared" si="301"/>
        <v>0</v>
      </c>
      <c r="AH174" s="1221">
        <f t="shared" si="302"/>
        <v>0</v>
      </c>
      <c r="AI174" s="1221">
        <f t="shared" si="303"/>
        <v>0</v>
      </c>
      <c r="AJ174" s="1221">
        <f t="shared" si="304"/>
        <v>0</v>
      </c>
      <c r="AL174" s="1214">
        <f ca="1">SUM((INDIRECT(AL$2&amp;(ROW())):INDIRECT(AL$3&amp;(ROW()))))</f>
        <v>0</v>
      </c>
      <c r="AM174" s="1221">
        <f ca="1">SUM(INDIRECT(AM$1&amp;AM$2&amp;$C174):INDIRECT(AM$1&amp;AM$3&amp;$C174))</f>
        <v>0</v>
      </c>
      <c r="AN174" s="3119">
        <f t="shared" ca="1" si="272"/>
        <v>0</v>
      </c>
      <c r="AO174" s="2768">
        <f t="shared" ca="1" si="273"/>
        <v>0</v>
      </c>
      <c r="AP174" s="1221">
        <f ca="1">SUM(INDIRECT(AP$1&amp;AP$2&amp;$A174):INDIRECT(AP$1&amp;AP$3&amp;$A174))+SUM(INDIRECT(AP$1&amp;AP$2&amp;$B174):INDIRECT(AP$1&amp;AP$3&amp;$B174))</f>
        <v>1403.7150891510582</v>
      </c>
      <c r="AQ174" s="3119">
        <f t="shared" ca="1" si="274"/>
        <v>-1403.7150891510582</v>
      </c>
      <c r="AR174" s="2768">
        <f t="shared" ca="1" si="275"/>
        <v>0</v>
      </c>
      <c r="AT174" s="1214">
        <f ca="1">SUM((INDIRECT(AT$2&amp;(ROW())):INDIRECT(AT$3&amp;(ROW()))))</f>
        <v>0</v>
      </c>
      <c r="AU174" s="1221">
        <f ca="1">SUM(INDIRECT(AU$1&amp;AU$2&amp;$C174):INDIRECT(AU$1&amp;AU$3&amp;$C174))</f>
        <v>0</v>
      </c>
      <c r="AV174" s="3119">
        <f t="shared" ca="1" si="276"/>
        <v>0</v>
      </c>
      <c r="AW174" s="2768">
        <f t="shared" ca="1" si="277"/>
        <v>0</v>
      </c>
      <c r="AX174" s="1221">
        <f ca="1">SUM(INDIRECT(AX$1&amp;AX$2&amp;$A174):INDIRECT(AX$1&amp;AX$3&amp;$A174))+SUM(INDIRECT(AX$1&amp;AX$2&amp;$B174):INDIRECT(AX$1&amp;AX$3&amp;$B174))</f>
        <v>1930.0867618888349</v>
      </c>
      <c r="AY174" s="3119">
        <f t="shared" ca="1" si="278"/>
        <v>-1930.0867618888349</v>
      </c>
      <c r="AZ174" s="2768">
        <f t="shared" ca="1" si="279"/>
        <v>0</v>
      </c>
      <c r="BB174" s="1214">
        <f ca="1">SUM((INDIRECT(BB$2&amp;(ROW())):INDIRECT(BB$3&amp;(ROW()))))</f>
        <v>0</v>
      </c>
      <c r="BC174" s="1221">
        <f ca="1">SUM(INDIRECT(BC$1&amp;BC$2&amp;$C174):INDIRECT(BC$1&amp;BC$3&amp;$C174))</f>
        <v>0</v>
      </c>
      <c r="BD174" s="3119">
        <f t="shared" ca="1" si="280"/>
        <v>0</v>
      </c>
      <c r="BE174" s="2768">
        <f t="shared" ca="1" si="281"/>
        <v>0</v>
      </c>
      <c r="BF174" s="1221">
        <f ca="1">SUM(INDIRECT(BF$1&amp;BF$2&amp;$A174):INDIRECT(BF$1&amp;BF$3&amp;$A174))+SUM(INDIRECT(BF$1&amp;BF$2&amp;$B174):INDIRECT(BF$1&amp;BF$3&amp;$B174))</f>
        <v>3685.8895658184083</v>
      </c>
      <c r="BG174" s="3119">
        <f t="shared" ca="1" si="282"/>
        <v>-3685.8895658184083</v>
      </c>
      <c r="BH174" s="2768">
        <f t="shared" ca="1" si="283"/>
        <v>0</v>
      </c>
    </row>
    <row r="175" spans="1:60" ht="14.5">
      <c r="A175" s="616">
        <f t="shared" si="265"/>
        <v>148</v>
      </c>
      <c r="B175" s="616">
        <v>1</v>
      </c>
      <c r="C175" s="616">
        <f t="shared" si="234"/>
        <v>172</v>
      </c>
      <c r="E175" s="2547">
        <v>1</v>
      </c>
      <c r="F175" s="4"/>
      <c r="G175" s="4"/>
      <c r="H175" s="4"/>
      <c r="I175" s="27"/>
      <c r="J175" s="3"/>
      <c r="K175" s="4"/>
      <c r="L175" s="4"/>
      <c r="M175" s="3" t="s">
        <v>2</v>
      </c>
      <c r="N175" s="3"/>
      <c r="O175" s="3"/>
      <c r="P175" s="3"/>
      <c r="Q175" s="1794" t="str">
        <f>CHOOSE(2, "6722000003094", "PL (2) Cost of Sales Others")</f>
        <v>PL (2) Cost of Sales Others</v>
      </c>
      <c r="R175" s="1126">
        <f>R158-R185</f>
        <v>0</v>
      </c>
      <c r="S175" s="26">
        <f t="shared" si="308"/>
        <v>0</v>
      </c>
      <c r="T175" s="26">
        <f t="shared" si="308"/>
        <v>0</v>
      </c>
      <c r="U175" s="26">
        <f t="shared" si="308"/>
        <v>0</v>
      </c>
      <c r="V175" s="26">
        <f t="shared" si="308"/>
        <v>0</v>
      </c>
      <c r="W175" s="26">
        <f t="shared" si="308"/>
        <v>0</v>
      </c>
      <c r="X175" s="26">
        <f t="shared" si="308"/>
        <v>0</v>
      </c>
      <c r="Y175" s="26">
        <f t="shared" si="308"/>
        <v>0</v>
      </c>
      <c r="Z175" s="26">
        <f t="shared" si="308"/>
        <v>0</v>
      </c>
      <c r="AA175" s="26">
        <f t="shared" si="308"/>
        <v>0</v>
      </c>
      <c r="AB175" s="26">
        <f t="shared" si="308"/>
        <v>0</v>
      </c>
      <c r="AC175" s="26">
        <f t="shared" si="308"/>
        <v>0</v>
      </c>
      <c r="AD175" s="1221">
        <f t="shared" si="298"/>
        <v>0</v>
      </c>
      <c r="AE175" s="1221">
        <f t="shared" si="299"/>
        <v>0</v>
      </c>
      <c r="AF175" s="1221">
        <f t="shared" si="300"/>
        <v>0</v>
      </c>
      <c r="AG175" s="1221">
        <f t="shared" si="301"/>
        <v>0</v>
      </c>
      <c r="AH175" s="1221">
        <f t="shared" si="302"/>
        <v>0</v>
      </c>
      <c r="AI175" s="1221">
        <f t="shared" si="303"/>
        <v>0</v>
      </c>
      <c r="AJ175" s="1221">
        <f t="shared" si="304"/>
        <v>0</v>
      </c>
      <c r="AL175" s="1214">
        <f ca="1">SUM((INDIRECT(AL$2&amp;(ROW())):INDIRECT(AL$3&amp;(ROW()))))</f>
        <v>0</v>
      </c>
      <c r="AM175" s="1221">
        <f ca="1">SUM(INDIRECT(AM$1&amp;AM$2&amp;$C175):INDIRECT(AM$1&amp;AM$3&amp;$C175))</f>
        <v>0</v>
      </c>
      <c r="AN175" s="3119">
        <f t="shared" ca="1" si="272"/>
        <v>0</v>
      </c>
      <c r="AO175" s="2768">
        <f t="shared" ca="1" si="273"/>
        <v>0</v>
      </c>
      <c r="AP175" s="1221">
        <f ca="1">SUM(INDIRECT(AP$1&amp;AP$2&amp;$A175):INDIRECT(AP$1&amp;AP$3&amp;$A175))+SUM(INDIRECT(AP$1&amp;AP$2&amp;$B175):INDIRECT(AP$1&amp;AP$3&amp;$B175))</f>
        <v>609</v>
      </c>
      <c r="AQ175" s="3119">
        <f t="shared" ca="1" si="274"/>
        <v>-609</v>
      </c>
      <c r="AR175" s="2768">
        <f t="shared" ca="1" si="275"/>
        <v>0</v>
      </c>
      <c r="AT175" s="1214">
        <f ca="1">SUM((INDIRECT(AT$2&amp;(ROW())):INDIRECT(AT$3&amp;(ROW()))))</f>
        <v>0</v>
      </c>
      <c r="AU175" s="1221">
        <f ca="1">SUM(INDIRECT(AU$1&amp;AU$2&amp;$C175):INDIRECT(AU$1&amp;AU$3&amp;$C175))</f>
        <v>0</v>
      </c>
      <c r="AV175" s="3119">
        <f t="shared" ca="1" si="276"/>
        <v>0</v>
      </c>
      <c r="AW175" s="2768">
        <f t="shared" ca="1" si="277"/>
        <v>0</v>
      </c>
      <c r="AX175" s="1221">
        <f ca="1">SUM(INDIRECT(AX$1&amp;AX$2&amp;$A175):INDIRECT(AX$1&amp;AX$3&amp;$A175))+SUM(INDIRECT(AX$1&amp;AX$2&amp;$B175):INDIRECT(AX$1&amp;AX$3&amp;$B175))</f>
        <v>1827</v>
      </c>
      <c r="AY175" s="3119">
        <f t="shared" ca="1" si="278"/>
        <v>-1827</v>
      </c>
      <c r="AZ175" s="2768">
        <f t="shared" ca="1" si="279"/>
        <v>0</v>
      </c>
      <c r="BB175" s="1214">
        <f ca="1">SUM((INDIRECT(BB$2&amp;(ROW())):INDIRECT(BB$3&amp;(ROW()))))</f>
        <v>0</v>
      </c>
      <c r="BC175" s="1221">
        <f ca="1">SUM(INDIRECT(BC$1&amp;BC$2&amp;$C175):INDIRECT(BC$1&amp;BC$3&amp;$C175))</f>
        <v>0</v>
      </c>
      <c r="BD175" s="3119">
        <f t="shared" ca="1" si="280"/>
        <v>0</v>
      </c>
      <c r="BE175" s="2768">
        <f t="shared" ca="1" si="281"/>
        <v>0</v>
      </c>
      <c r="BF175" s="1221">
        <f ca="1">SUM(INDIRECT(BF$1&amp;BF$2&amp;$A175):INDIRECT(BF$1&amp;BF$3&amp;$A175))+SUM(INDIRECT(BF$1&amp;BF$2&amp;$B175):INDIRECT(BF$1&amp;BF$3&amp;$B175))</f>
        <v>7253</v>
      </c>
      <c r="BG175" s="3119">
        <f t="shared" ca="1" si="282"/>
        <v>-7253</v>
      </c>
      <c r="BH175" s="2768">
        <f t="shared" ca="1" si="283"/>
        <v>0</v>
      </c>
    </row>
    <row r="176" spans="1:60" ht="14.5">
      <c r="A176" s="616">
        <f t="shared" si="265"/>
        <v>149</v>
      </c>
      <c r="B176" s="616">
        <v>1</v>
      </c>
      <c r="C176" s="616">
        <f t="shared" si="234"/>
        <v>173</v>
      </c>
      <c r="D176" s="709" t="s">
        <v>1308</v>
      </c>
      <c r="E176" s="2547">
        <v>1</v>
      </c>
      <c r="F176" s="4"/>
      <c r="G176" s="4"/>
      <c r="H176" s="4"/>
      <c r="I176" s="3144" t="s">
        <v>54</v>
      </c>
      <c r="J176" s="2026"/>
      <c r="K176" s="864"/>
      <c r="L176" s="864"/>
      <c r="M176" s="864"/>
      <c r="N176" s="864"/>
      <c r="O176" s="864"/>
      <c r="P176" s="864"/>
      <c r="Q176" s="1793" t="str">
        <f>CHOOSE(2, "6722000003095", "PL (2) Gross Profit")</f>
        <v>PL (2) Gross Profit</v>
      </c>
      <c r="R176" s="2575">
        <f>SUM(R182:R185)</f>
        <v>142665</v>
      </c>
      <c r="S176" s="3145">
        <f t="shared" ref="S176:AC176" si="309">SUM(S182:S185)</f>
        <v>141450</v>
      </c>
      <c r="T176" s="3145">
        <f t="shared" si="309"/>
        <v>145026</v>
      </c>
      <c r="U176" s="3145">
        <f t="shared" si="309"/>
        <v>165436</v>
      </c>
      <c r="V176" s="3145">
        <f t="shared" si="309"/>
        <v>192046.95069008577</v>
      </c>
      <c r="W176" s="3145">
        <f t="shared" si="309"/>
        <v>100777.25200000001</v>
      </c>
      <c r="X176" s="3145">
        <f t="shared" si="309"/>
        <v>220153.25200000001</v>
      </c>
      <c r="Y176" s="3145">
        <f t="shared" si="309"/>
        <v>168432</v>
      </c>
      <c r="Z176" s="3145">
        <f t="shared" si="309"/>
        <v>167133</v>
      </c>
      <c r="AA176" s="3145">
        <f t="shared" si="309"/>
        <v>204845</v>
      </c>
      <c r="AB176" s="3145">
        <f t="shared" si="309"/>
        <v>190302.96372958334</v>
      </c>
      <c r="AC176" s="3145">
        <f t="shared" si="309"/>
        <v>89819</v>
      </c>
      <c r="AD176" s="3146">
        <f t="shared" si="298"/>
        <v>429141</v>
      </c>
      <c r="AE176" s="3146">
        <f t="shared" si="299"/>
        <v>458260.20269008575</v>
      </c>
      <c r="AF176" s="3146">
        <f t="shared" si="300"/>
        <v>555718.25199999998</v>
      </c>
      <c r="AG176" s="3146">
        <f t="shared" si="301"/>
        <v>484966.96372958331</v>
      </c>
      <c r="AH176" s="3146">
        <f t="shared" ref="AH176:AJ176" si="310">SUM(AH182:AH185)</f>
        <v>887401.20269008575</v>
      </c>
      <c r="AI176" s="3146">
        <f t="shared" si="310"/>
        <v>1040685.2157295834</v>
      </c>
      <c r="AJ176" s="3146">
        <f t="shared" si="310"/>
        <v>1928086.4184196689</v>
      </c>
      <c r="AL176" s="1305">
        <f ca="1">SUM((INDIRECT(AL$2&amp;(ROW())):INDIRECT(AL$3&amp;(ROW()))))</f>
        <v>89819</v>
      </c>
      <c r="AM176" s="3146">
        <f ca="1">SUM(INDIRECT(AM$1&amp;AM$2&amp;$C176):INDIRECT(AM$1&amp;AM$3&amp;$C176))</f>
        <v>7.2759576141834259E-12</v>
      </c>
      <c r="AN176" s="3147">
        <f t="shared" ca="1" si="272"/>
        <v>89819</v>
      </c>
      <c r="AO176" s="3148">
        <f t="shared" ca="1" si="273"/>
        <v>1.2344629361901568E+16</v>
      </c>
      <c r="AP176" s="3146">
        <f ca="1">SUM(INDIRECT(AP$1&amp;AP$2&amp;$A176):INDIRECT(AP$1&amp;AP$3&amp;$A176))+SUM(INDIRECT(AP$1&amp;AP$2&amp;$B176):INDIRECT(AP$1&amp;AP$3&amp;$B176))</f>
        <v>0</v>
      </c>
      <c r="AQ176" s="3147">
        <f t="shared" ca="1" si="274"/>
        <v>89819</v>
      </c>
      <c r="AR176" s="3148">
        <f t="shared" ca="1" si="275"/>
        <v>0</v>
      </c>
      <c r="AT176" s="1305">
        <f ca="1">SUM((INDIRECT(AT$2&amp;(ROW())):INDIRECT(AT$3&amp;(ROW()))))</f>
        <v>484966.96372958331</v>
      </c>
      <c r="AU176" s="3146">
        <f ca="1">SUM(INDIRECT(AU$1&amp;AU$2&amp;$C176):INDIRECT(AU$1&amp;AU$3&amp;$C176))</f>
        <v>-3.637978807091713E-12</v>
      </c>
      <c r="AV176" s="3147">
        <f t="shared" ca="1" si="276"/>
        <v>484966.96372958331</v>
      </c>
      <c r="AW176" s="3148">
        <f t="shared" ca="1" si="277"/>
        <v>-1.3330670392697462E+17</v>
      </c>
      <c r="AX176" s="3146">
        <f ca="1">SUM(INDIRECT(AX$1&amp;AX$2&amp;$A176):INDIRECT(AX$1&amp;AX$3&amp;$A176))+SUM(INDIRECT(AX$1&amp;AX$2&amp;$B176):INDIRECT(AX$1&amp;AX$3&amp;$B176))</f>
        <v>0</v>
      </c>
      <c r="AY176" s="3147">
        <f t="shared" ca="1" si="278"/>
        <v>484966.96372958331</v>
      </c>
      <c r="AZ176" s="3148">
        <f t="shared" ca="1" si="279"/>
        <v>0</v>
      </c>
      <c r="BB176" s="1305">
        <f ca="1">SUM((INDIRECT(BB$2&amp;(ROW())):INDIRECT(BB$3&amp;(ROW()))))</f>
        <v>1928086.4184196691</v>
      </c>
      <c r="BC176" s="3146">
        <f ca="1">SUM(INDIRECT(BC$1&amp;BC$2&amp;$C176):INDIRECT(BC$1&amp;BC$3&amp;$C176))</f>
        <v>24349.58142707001</v>
      </c>
      <c r="BD176" s="3147">
        <f t="shared" ca="1" si="280"/>
        <v>1903736.8369925991</v>
      </c>
      <c r="BE176" s="3148">
        <f t="shared" ca="1" si="281"/>
        <v>79.183554928635019</v>
      </c>
      <c r="BF176" s="3146">
        <f ca="1">SUM(INDIRECT(BF$1&amp;BF$2&amp;$A176):INDIRECT(BF$1&amp;BF$3&amp;$A176))+SUM(INDIRECT(BF$1&amp;BF$2&amp;$B176):INDIRECT(BF$1&amp;BF$3&amp;$B176))</f>
        <v>234.01204706398917</v>
      </c>
      <c r="BG176" s="3147">
        <f t="shared" ca="1" si="282"/>
        <v>1927852.4063726051</v>
      </c>
      <c r="BH176" s="3148">
        <f t="shared" ca="1" si="283"/>
        <v>8239.2613654306679</v>
      </c>
    </row>
    <row r="177" spans="1:60" ht="14.5">
      <c r="A177" s="616">
        <f t="shared" si="265"/>
        <v>150</v>
      </c>
      <c r="B177" s="616">
        <v>1</v>
      </c>
      <c r="C177" s="616">
        <f t="shared" si="234"/>
        <v>174</v>
      </c>
      <c r="D177" s="709" t="s">
        <v>1308</v>
      </c>
      <c r="E177" s="2547">
        <v>1</v>
      </c>
      <c r="F177" s="4"/>
      <c r="G177" s="4"/>
      <c r="H177" s="4"/>
      <c r="I177" s="502"/>
      <c r="J177" s="503" t="s">
        <v>1328</v>
      </c>
      <c r="K177" s="501"/>
      <c r="L177" s="501"/>
      <c r="M177" s="501"/>
      <c r="N177" s="501"/>
      <c r="O177" s="478" t="s">
        <v>1388</v>
      </c>
      <c r="P177" s="4"/>
      <c r="Q177" s="1785" t="str">
        <f>CHOOSE(2, "6722000003096", "PL (2) Gross Profit (%)")</f>
        <v>PL (2) Gross Profit (%)</v>
      </c>
      <c r="R177" s="1306">
        <f>IFERROR(R176/R154,0)</f>
        <v>0.30393767216530426</v>
      </c>
      <c r="S177" s="1284">
        <f t="shared" ref="S177:AJ177" si="311">IFERROR(S176/S154,0)</f>
        <v>0.30359745274332334</v>
      </c>
      <c r="T177" s="1284">
        <f t="shared" si="311"/>
        <v>0.30972776606718394</v>
      </c>
      <c r="U177" s="1284">
        <f t="shared" si="311"/>
        <v>0.33716209606417319</v>
      </c>
      <c r="V177" s="1284">
        <f t="shared" si="311"/>
        <v>0.35294754930406264</v>
      </c>
      <c r="W177" s="1284">
        <f t="shared" si="311"/>
        <v>0.23973236213467058</v>
      </c>
      <c r="X177" s="1284">
        <f t="shared" si="311"/>
        <v>0.34884715285348478</v>
      </c>
      <c r="Y177" s="1284">
        <f t="shared" si="311"/>
        <v>0.3210797209195928</v>
      </c>
      <c r="Z177" s="1284">
        <f t="shared" si="311"/>
        <v>0.32468582018948894</v>
      </c>
      <c r="AA177" s="1284">
        <f t="shared" si="311"/>
        <v>0.36248951524138834</v>
      </c>
      <c r="AB177" s="1284">
        <f t="shared" si="311"/>
        <v>0.31837772717241036</v>
      </c>
      <c r="AC177" s="1284">
        <f t="shared" si="311"/>
        <v>0.19705921715149508</v>
      </c>
      <c r="AD177" s="1284">
        <f t="shared" si="311"/>
        <v>0.30575637727202448</v>
      </c>
      <c r="AE177" s="1284">
        <f t="shared" si="311"/>
        <v>0.31491884382806046</v>
      </c>
      <c r="AF177" s="1284">
        <f t="shared" si="311"/>
        <v>0.33268155273431066</v>
      </c>
      <c r="AG177" s="1284">
        <f t="shared" si="311"/>
        <v>0.29961570200081755</v>
      </c>
      <c r="AH177" s="1284">
        <f t="shared" si="311"/>
        <v>0.31042035071908197</v>
      </c>
      <c r="AI177" s="1284">
        <f t="shared" si="311"/>
        <v>0.316408962867886</v>
      </c>
      <c r="AJ177" s="1284">
        <f t="shared" si="311"/>
        <v>0.31362425805006588</v>
      </c>
      <c r="AK177" s="504"/>
      <c r="AL177" s="1306">
        <f ca="1">IFERROR(AL176/AL154,0)</f>
        <v>0.19705921715149508</v>
      </c>
      <c r="AM177" s="1284">
        <f ca="1">IFERROR(AM176/AM154,0)</f>
        <v>-7.9642521803673106E-15</v>
      </c>
      <c r="AN177" s="1284">
        <f t="shared" ca="1" si="272"/>
        <v>0.19705921715150304</v>
      </c>
      <c r="AO177" s="609"/>
      <c r="AP177" s="1284">
        <f ca="1">IFERROR(AP176/AP154,0)</f>
        <v>0</v>
      </c>
      <c r="AQ177" s="1284">
        <f t="shared" ca="1" si="274"/>
        <v>0.19705921715149508</v>
      </c>
      <c r="AR177" s="609"/>
      <c r="AS177" s="504"/>
      <c r="AT177" s="1306">
        <f ca="1">IFERROR(AT176/AT154,0)</f>
        <v>0.29961570200081755</v>
      </c>
      <c r="AU177" s="1284">
        <f ca="1">IFERROR(AU176/AU154,0)</f>
        <v>1.3082814580380891E-15</v>
      </c>
      <c r="AV177" s="1284">
        <f t="shared" ca="1" si="276"/>
        <v>0.29961570200081622</v>
      </c>
      <c r="AW177" s="609"/>
      <c r="AX177" s="1284">
        <f ca="1">IFERROR(AX176/AX154,0)</f>
        <v>0</v>
      </c>
      <c r="AY177" s="1284">
        <f t="shared" ca="1" si="278"/>
        <v>0.29961570200081755</v>
      </c>
      <c r="AZ177" s="609"/>
      <c r="BA177" s="504"/>
      <c r="BB177" s="1306">
        <f ca="1">IFERROR(BB176/BB154,0)</f>
        <v>0.31362425805006594</v>
      </c>
      <c r="BC177" s="1284">
        <f ca="1">IFERROR(BC176/BC154,0)</f>
        <v>-5.1393356797537315</v>
      </c>
      <c r="BD177" s="1284">
        <f t="shared" ca="1" si="280"/>
        <v>5.4529599378037972</v>
      </c>
      <c r="BE177" s="609"/>
      <c r="BF177" s="1284">
        <f ca="1">IFERROR(BF176/BF154,0)</f>
        <v>0</v>
      </c>
      <c r="BG177" s="1284">
        <f t="shared" ca="1" si="282"/>
        <v>0.31362425805006594</v>
      </c>
      <c r="BH177" s="609"/>
    </row>
    <row r="178" spans="1:60" s="504" customFormat="1" ht="14.5" hidden="1" outlineLevel="1">
      <c r="A178" s="616">
        <f t="shared" si="265"/>
        <v>151</v>
      </c>
      <c r="B178" s="616">
        <v>1</v>
      </c>
      <c r="C178" s="616">
        <f t="shared" si="234"/>
        <v>175</v>
      </c>
      <c r="D178" s="709" t="s">
        <v>1308</v>
      </c>
      <c r="E178" s="2547">
        <v>1</v>
      </c>
      <c r="F178" s="4"/>
      <c r="G178" s="4"/>
      <c r="H178" s="501"/>
      <c r="I178" s="502"/>
      <c r="J178" s="505"/>
      <c r="K178" s="501"/>
      <c r="L178" s="501"/>
      <c r="M178" s="503" t="s">
        <v>1389</v>
      </c>
      <c r="N178" s="505"/>
      <c r="O178" s="505"/>
      <c r="P178" s="505"/>
      <c r="Q178" s="1792" t="str">
        <f>CHOOSE(2, "6722000003097", "PL (2) Gross Profit HW (%)")</f>
        <v>PL (2) Gross Profit HW (%)</v>
      </c>
      <c r="R178" s="1304">
        <f>IFERROR(R182/R155,0)</f>
        <v>0.32914972600318188</v>
      </c>
      <c r="S178" s="1283">
        <f t="shared" ref="S178:AJ181" si="312">IFERROR(S182/S155,0)</f>
        <v>0.31568951209287605</v>
      </c>
      <c r="T178" s="1283">
        <f t="shared" si="312"/>
        <v>0.33154320012636235</v>
      </c>
      <c r="U178" s="1283">
        <f t="shared" si="312"/>
        <v>0.35247495037821691</v>
      </c>
      <c r="V178" s="1283">
        <f t="shared" si="312"/>
        <v>0.33866289309210645</v>
      </c>
      <c r="W178" s="1283">
        <f t="shared" si="312"/>
        <v>0.35938394504166404</v>
      </c>
      <c r="X178" s="1283">
        <f t="shared" si="312"/>
        <v>0.37362661118166834</v>
      </c>
      <c r="Y178" s="1283">
        <f t="shared" si="312"/>
        <v>0.34084706692809075</v>
      </c>
      <c r="Z178" s="1283">
        <f t="shared" si="312"/>
        <v>0.33008370803770404</v>
      </c>
      <c r="AA178" s="1283">
        <f t="shared" si="312"/>
        <v>0.36192730733552592</v>
      </c>
      <c r="AB178" s="1283">
        <f t="shared" si="312"/>
        <v>0.35354168090522164</v>
      </c>
      <c r="AC178" s="1283">
        <f t="shared" si="312"/>
        <v>0.29991329918930271</v>
      </c>
      <c r="AD178" s="1283">
        <f t="shared" si="312"/>
        <v>0.32537940441530455</v>
      </c>
      <c r="AE178" s="1283">
        <f t="shared" si="312"/>
        <v>0.34917698531594932</v>
      </c>
      <c r="AF178" s="1283">
        <f t="shared" si="312"/>
        <v>0.35099526557694299</v>
      </c>
      <c r="AG178" s="1283">
        <f t="shared" si="312"/>
        <v>0.34316022266688445</v>
      </c>
      <c r="AH178" s="1283">
        <f t="shared" si="312"/>
        <v>0.33865719869174482</v>
      </c>
      <c r="AI178" s="1283">
        <f t="shared" si="312"/>
        <v>0.3471604588581888</v>
      </c>
      <c r="AJ178" s="1283">
        <f t="shared" si="312"/>
        <v>0.34320311547976562</v>
      </c>
      <c r="AL178" s="1304">
        <f t="shared" ref="AL178:AM181" ca="1" si="313">IFERROR(AL182/AL155,0)</f>
        <v>0.29991329918930271</v>
      </c>
      <c r="AM178" s="1283">
        <f t="shared" ca="1" si="313"/>
        <v>0</v>
      </c>
      <c r="AN178" s="1283">
        <f t="shared" ca="1" si="272"/>
        <v>0.29991329918930271</v>
      </c>
      <c r="AO178" s="2777"/>
      <c r="AP178" s="1283">
        <f ca="1">IFERROR(AP182/AP155,0)</f>
        <v>4.5622542955326457</v>
      </c>
      <c r="AQ178" s="1283">
        <f t="shared" ca="1" si="274"/>
        <v>-4.262340996343343</v>
      </c>
      <c r="AR178" s="2777"/>
      <c r="AT178" s="1304">
        <f t="shared" ref="AT178:AU181" ca="1" si="314">IFERROR(AT182/AT155,0)</f>
        <v>0.34316022266688445</v>
      </c>
      <c r="AU178" s="1283">
        <f t="shared" ca="1" si="314"/>
        <v>0</v>
      </c>
      <c r="AV178" s="1283">
        <f t="shared" ca="1" si="276"/>
        <v>0.34316022266688445</v>
      </c>
      <c r="AW178" s="2777"/>
      <c r="AX178" s="1283">
        <f ca="1">IFERROR(AX182/AX155,0)</f>
        <v>3.1059580688385693</v>
      </c>
      <c r="AY178" s="1283">
        <f t="shared" ca="1" si="278"/>
        <v>-2.7627978461716847</v>
      </c>
      <c r="AZ178" s="2777"/>
      <c r="BB178" s="1304">
        <f t="shared" ref="BB178:BC181" ca="1" si="315">IFERROR(BB182/BB155,0)</f>
        <v>0.34320311547976562</v>
      </c>
      <c r="BC178" s="1283">
        <f t="shared" ca="1" si="315"/>
        <v>0</v>
      </c>
      <c r="BD178" s="1283">
        <f t="shared" ca="1" si="280"/>
        <v>0.34320311547976562</v>
      </c>
      <c r="BE178" s="2777"/>
      <c r="BF178" s="1283">
        <f ca="1">IFERROR(BF182/BF155,0)</f>
        <v>3.4678628013191997</v>
      </c>
      <c r="BG178" s="1283">
        <f t="shared" ca="1" si="282"/>
        <v>-3.124659685839434</v>
      </c>
      <c r="BH178" s="2777"/>
    </row>
    <row r="179" spans="1:60" s="504" customFormat="1" ht="14.5" hidden="1" outlineLevel="1">
      <c r="A179" s="616">
        <f t="shared" si="265"/>
        <v>152</v>
      </c>
      <c r="B179" s="616">
        <v>1</v>
      </c>
      <c r="C179" s="616">
        <f t="shared" si="234"/>
        <v>176</v>
      </c>
      <c r="D179" s="709" t="s">
        <v>1308</v>
      </c>
      <c r="E179" s="2547">
        <v>1</v>
      </c>
      <c r="F179" s="4"/>
      <c r="G179" s="4"/>
      <c r="H179" s="501"/>
      <c r="I179" s="502"/>
      <c r="J179" s="505"/>
      <c r="K179" s="501"/>
      <c r="L179" s="501"/>
      <c r="M179" s="503" t="s">
        <v>1390</v>
      </c>
      <c r="N179" s="505"/>
      <c r="O179" s="505"/>
      <c r="P179" s="505"/>
      <c r="Q179" s="1792" t="str">
        <f>CHOOSE(2, "6722000003098", "PL (2) Gross Profit NH (%)")</f>
        <v>PL (2) Gross Profit NH (%)</v>
      </c>
      <c r="R179" s="1304">
        <f t="shared" ref="R179:AC181" si="316">IFERROR(R183/R156,0)</f>
        <v>0.29484105701074115</v>
      </c>
      <c r="S179" s="1283">
        <f t="shared" si="316"/>
        <v>0.29954788468480859</v>
      </c>
      <c r="T179" s="1283">
        <f t="shared" si="316"/>
        <v>0.30321677158148691</v>
      </c>
      <c r="U179" s="1283">
        <f t="shared" si="316"/>
        <v>0.33063712168992304</v>
      </c>
      <c r="V179" s="1283">
        <f t="shared" si="316"/>
        <v>0.35933242185255382</v>
      </c>
      <c r="W179" s="1283">
        <f t="shared" si="316"/>
        <v>0.18865281766155476</v>
      </c>
      <c r="X179" s="1283">
        <f t="shared" si="316"/>
        <v>0.33856795492912278</v>
      </c>
      <c r="Y179" s="1283">
        <f t="shared" si="316"/>
        <v>0.31309219189961779</v>
      </c>
      <c r="Z179" s="1283">
        <f t="shared" si="316"/>
        <v>0.32291806356443609</v>
      </c>
      <c r="AA179" s="1283">
        <f t="shared" si="316"/>
        <v>0.36272338207731553</v>
      </c>
      <c r="AB179" s="1283">
        <f t="shared" si="316"/>
        <v>0.30486252029413469</v>
      </c>
      <c r="AC179" s="1283">
        <f t="shared" si="316"/>
        <v>0.16360004419658175</v>
      </c>
      <c r="AD179" s="1283">
        <f t="shared" si="312"/>
        <v>0.29926292302746804</v>
      </c>
      <c r="AE179" s="1283">
        <f t="shared" si="312"/>
        <v>0.30004832918449942</v>
      </c>
      <c r="AF179" s="1283">
        <f t="shared" si="312"/>
        <v>0.32565910873434378</v>
      </c>
      <c r="AG179" s="1283">
        <f t="shared" si="312"/>
        <v>0.28316416595377025</v>
      </c>
      <c r="AH179" s="1283">
        <f t="shared" si="312"/>
        <v>0.29964806159469115</v>
      </c>
      <c r="AI179" s="1283">
        <f t="shared" si="312"/>
        <v>0.30470279609640444</v>
      </c>
      <c r="AJ179" s="1283">
        <f t="shared" si="312"/>
        <v>0.30235309806822758</v>
      </c>
      <c r="AL179" s="1304">
        <f t="shared" ca="1" si="313"/>
        <v>0.16360004419658175</v>
      </c>
      <c r="AM179" s="1283">
        <f t="shared" ca="1" si="313"/>
        <v>0</v>
      </c>
      <c r="AN179" s="1283">
        <f t="shared" ca="1" si="272"/>
        <v>0.16360004419658175</v>
      </c>
      <c r="AO179" s="2777"/>
      <c r="AP179" s="1283">
        <f ca="1">IFERROR(AP183/AP156,0)</f>
        <v>14.658303910917979</v>
      </c>
      <c r="AQ179" s="1283">
        <f t="shared" ca="1" si="274"/>
        <v>-14.494703866721398</v>
      </c>
      <c r="AR179" s="2777"/>
      <c r="AT179" s="1304">
        <f t="shared" ca="1" si="314"/>
        <v>0.28316416595377025</v>
      </c>
      <c r="AU179" s="1283">
        <f t="shared" ca="1" si="314"/>
        <v>0</v>
      </c>
      <c r="AV179" s="1283">
        <f t="shared" ca="1" si="276"/>
        <v>0.28316416595377025</v>
      </c>
      <c r="AW179" s="2777"/>
      <c r="AX179" s="1283">
        <f ca="1">IFERROR(AX183/AX156,0)</f>
        <v>12.680203943603351</v>
      </c>
      <c r="AY179" s="1283">
        <f t="shared" ca="1" si="278"/>
        <v>-12.39703977764958</v>
      </c>
      <c r="AZ179" s="2777"/>
      <c r="BB179" s="1304">
        <f t="shared" ca="1" si="315"/>
        <v>0.30235309806822758</v>
      </c>
      <c r="BC179" s="1283">
        <f t="shared" ca="1" si="315"/>
        <v>0</v>
      </c>
      <c r="BD179" s="1283">
        <f t="shared" ca="1" si="280"/>
        <v>0.30235309806822758</v>
      </c>
      <c r="BE179" s="2777"/>
      <c r="BF179" s="1283">
        <f ca="1">IFERROR(BF183/BF156,0)</f>
        <v>11.024883251186845</v>
      </c>
      <c r="BG179" s="1283">
        <f t="shared" ca="1" si="282"/>
        <v>-10.722530153118617</v>
      </c>
      <c r="BH179" s="2777"/>
    </row>
    <row r="180" spans="1:60" s="504" customFormat="1" ht="14.5" hidden="1" outlineLevel="1">
      <c r="A180" s="616">
        <f t="shared" si="265"/>
        <v>153</v>
      </c>
      <c r="B180" s="616">
        <v>1</v>
      </c>
      <c r="C180" s="616">
        <f t="shared" si="234"/>
        <v>177</v>
      </c>
      <c r="D180" s="709" t="s">
        <v>1308</v>
      </c>
      <c r="E180" s="2547">
        <v>1</v>
      </c>
      <c r="F180" s="4"/>
      <c r="G180" s="4"/>
      <c r="H180" s="501"/>
      <c r="I180" s="502"/>
      <c r="J180" s="505"/>
      <c r="K180" s="501"/>
      <c r="L180" s="501"/>
      <c r="M180" s="503" t="s">
        <v>1396</v>
      </c>
      <c r="N180" s="505"/>
      <c r="O180" s="505"/>
      <c r="P180" s="505"/>
      <c r="Q180" s="1792" t="str">
        <f>CHOOSE(2, "6722000003099", "PL (2) Gross Profit Solution (%)")</f>
        <v>PL (2) Gross Profit Solution (%)</v>
      </c>
      <c r="R180" s="1304">
        <f t="shared" si="316"/>
        <v>0</v>
      </c>
      <c r="S180" s="1283">
        <f t="shared" si="316"/>
        <v>0</v>
      </c>
      <c r="T180" s="1283">
        <f t="shared" si="316"/>
        <v>0</v>
      </c>
      <c r="U180" s="1283">
        <f t="shared" si="316"/>
        <v>0</v>
      </c>
      <c r="V180" s="1283">
        <f t="shared" si="316"/>
        <v>0</v>
      </c>
      <c r="W180" s="1283">
        <f t="shared" si="316"/>
        <v>0</v>
      </c>
      <c r="X180" s="1283">
        <f t="shared" si="316"/>
        <v>0</v>
      </c>
      <c r="Y180" s="1283">
        <f t="shared" si="316"/>
        <v>0</v>
      </c>
      <c r="Z180" s="1283">
        <f t="shared" si="316"/>
        <v>0</v>
      </c>
      <c r="AA180" s="1283">
        <f t="shared" si="316"/>
        <v>0</v>
      </c>
      <c r="AB180" s="1283">
        <f t="shared" si="316"/>
        <v>0</v>
      </c>
      <c r="AC180" s="1283">
        <f t="shared" si="316"/>
        <v>0</v>
      </c>
      <c r="AD180" s="1283">
        <f t="shared" si="312"/>
        <v>0</v>
      </c>
      <c r="AE180" s="1283">
        <f t="shared" si="312"/>
        <v>0</v>
      </c>
      <c r="AF180" s="1283">
        <f t="shared" si="312"/>
        <v>0</v>
      </c>
      <c r="AG180" s="1283">
        <f t="shared" si="312"/>
        <v>0</v>
      </c>
      <c r="AH180" s="1283">
        <f t="shared" si="312"/>
        <v>0</v>
      </c>
      <c r="AI180" s="1283">
        <f t="shared" si="312"/>
        <v>0</v>
      </c>
      <c r="AJ180" s="1283">
        <f t="shared" si="312"/>
        <v>0</v>
      </c>
      <c r="AL180" s="1304">
        <f t="shared" ca="1" si="313"/>
        <v>0</v>
      </c>
      <c r="AM180" s="1283">
        <f t="shared" ca="1" si="313"/>
        <v>0</v>
      </c>
      <c r="AN180" s="1283">
        <f t="shared" ca="1" si="272"/>
        <v>0</v>
      </c>
      <c r="AO180" s="2777"/>
      <c r="AP180" s="1283">
        <f ca="1">IFERROR(AP184/AP157,0)</f>
        <v>0</v>
      </c>
      <c r="AQ180" s="1283">
        <f t="shared" ca="1" si="274"/>
        <v>0</v>
      </c>
      <c r="AR180" s="2777"/>
      <c r="AT180" s="1304">
        <f t="shared" ca="1" si="314"/>
        <v>0</v>
      </c>
      <c r="AU180" s="1283">
        <f t="shared" ca="1" si="314"/>
        <v>0</v>
      </c>
      <c r="AV180" s="1283">
        <f t="shared" ca="1" si="276"/>
        <v>0</v>
      </c>
      <c r="AW180" s="2777"/>
      <c r="AX180" s="1283">
        <f ca="1">IFERROR(AX184/AX157,0)</f>
        <v>0</v>
      </c>
      <c r="AY180" s="1283">
        <f t="shared" ca="1" si="278"/>
        <v>0</v>
      </c>
      <c r="AZ180" s="2777"/>
      <c r="BB180" s="1304">
        <f t="shared" ca="1" si="315"/>
        <v>0</v>
      </c>
      <c r="BC180" s="1283">
        <f t="shared" ca="1" si="315"/>
        <v>0</v>
      </c>
      <c r="BD180" s="1283">
        <f t="shared" ca="1" si="280"/>
        <v>0</v>
      </c>
      <c r="BE180" s="2777"/>
      <c r="BF180" s="1283">
        <f ca="1">IFERROR(BF184/BF157,0)</f>
        <v>0</v>
      </c>
      <c r="BG180" s="1283">
        <f t="shared" ca="1" si="282"/>
        <v>0</v>
      </c>
      <c r="BH180" s="2777"/>
    </row>
    <row r="181" spans="1:60" s="504" customFormat="1" ht="14.5" hidden="1" outlineLevel="1">
      <c r="A181" s="616">
        <f t="shared" si="265"/>
        <v>154</v>
      </c>
      <c r="B181" s="616">
        <v>1</v>
      </c>
      <c r="C181" s="616">
        <f t="shared" si="234"/>
        <v>178</v>
      </c>
      <c r="D181" s="709" t="s">
        <v>1308</v>
      </c>
      <c r="E181" s="2547">
        <v>1</v>
      </c>
      <c r="F181" s="4"/>
      <c r="G181" s="4"/>
      <c r="H181" s="501"/>
      <c r="I181" s="502"/>
      <c r="J181" s="505"/>
      <c r="K181" s="501"/>
      <c r="L181" s="501"/>
      <c r="M181" s="503" t="s">
        <v>1391</v>
      </c>
      <c r="N181" s="505"/>
      <c r="O181" s="505"/>
      <c r="P181" s="505"/>
      <c r="Q181" s="1792" t="str">
        <f>CHOOSE(2, "6722000003100", "PL (2) Gross Profit Others (%)")</f>
        <v>PL (2) Gross Profit Others (%)</v>
      </c>
      <c r="R181" s="1304">
        <f t="shared" si="316"/>
        <v>0</v>
      </c>
      <c r="S181" s="1283">
        <f t="shared" si="316"/>
        <v>0</v>
      </c>
      <c r="T181" s="1283">
        <f t="shared" si="316"/>
        <v>0</v>
      </c>
      <c r="U181" s="1283">
        <f t="shared" si="316"/>
        <v>0</v>
      </c>
      <c r="V181" s="1283">
        <f t="shared" si="316"/>
        <v>0</v>
      </c>
      <c r="W181" s="1283">
        <f t="shared" si="316"/>
        <v>0</v>
      </c>
      <c r="X181" s="1283">
        <f t="shared" si="316"/>
        <v>0</v>
      </c>
      <c r="Y181" s="1283">
        <f t="shared" si="316"/>
        <v>0</v>
      </c>
      <c r="Z181" s="1283">
        <f t="shared" si="316"/>
        <v>0</v>
      </c>
      <c r="AA181" s="1283">
        <f t="shared" si="316"/>
        <v>0</v>
      </c>
      <c r="AB181" s="1283">
        <f t="shared" si="316"/>
        <v>0</v>
      </c>
      <c r="AC181" s="1283">
        <f t="shared" si="316"/>
        <v>0</v>
      </c>
      <c r="AD181" s="1283">
        <f t="shared" si="312"/>
        <v>0</v>
      </c>
      <c r="AE181" s="1283">
        <f t="shared" si="312"/>
        <v>0</v>
      </c>
      <c r="AF181" s="1283">
        <f t="shared" si="312"/>
        <v>0</v>
      </c>
      <c r="AG181" s="1283">
        <f t="shared" si="312"/>
        <v>0</v>
      </c>
      <c r="AH181" s="1283">
        <f t="shared" si="312"/>
        <v>0</v>
      </c>
      <c r="AI181" s="1283">
        <f t="shared" si="312"/>
        <v>0</v>
      </c>
      <c r="AJ181" s="1283">
        <f t="shared" si="312"/>
        <v>0</v>
      </c>
      <c r="AL181" s="1304">
        <f t="shared" ca="1" si="313"/>
        <v>0</v>
      </c>
      <c r="AM181" s="1283">
        <f t="shared" ca="1" si="313"/>
        <v>0.32911302490881522</v>
      </c>
      <c r="AN181" s="1283">
        <f t="shared" ca="1" si="272"/>
        <v>-0.32911302490881522</v>
      </c>
      <c r="AO181" s="2777"/>
      <c r="AP181" s="1283">
        <f ca="1">IFERROR(AP185/AP158,0)</f>
        <v>0</v>
      </c>
      <c r="AQ181" s="1283">
        <f t="shared" ca="1" si="274"/>
        <v>0</v>
      </c>
      <c r="AR181" s="2777"/>
      <c r="AT181" s="1304">
        <f t="shared" ca="1" si="314"/>
        <v>0</v>
      </c>
      <c r="AU181" s="1283">
        <f t="shared" ca="1" si="314"/>
        <v>0.33011680900523732</v>
      </c>
      <c r="AV181" s="1283">
        <f t="shared" ca="1" si="276"/>
        <v>-0.33011680900523732</v>
      </c>
      <c r="AW181" s="2777"/>
      <c r="AX181" s="1283">
        <f ca="1">IFERROR(AX185/AX158,0)</f>
        <v>0</v>
      </c>
      <c r="AY181" s="1283">
        <f t="shared" ca="1" si="278"/>
        <v>0</v>
      </c>
      <c r="AZ181" s="2777"/>
      <c r="BB181" s="1304">
        <f t="shared" ca="1" si="315"/>
        <v>0</v>
      </c>
      <c r="BC181" s="1283">
        <f t="shared" ca="1" si="315"/>
        <v>0.33794659636506053</v>
      </c>
      <c r="BD181" s="1283">
        <f t="shared" ca="1" si="280"/>
        <v>-0.33794659636506053</v>
      </c>
      <c r="BE181" s="2777"/>
      <c r="BF181" s="1283">
        <f ca="1">IFERROR(BF185/BF158,0)</f>
        <v>0</v>
      </c>
      <c r="BG181" s="1283">
        <f t="shared" ca="1" si="282"/>
        <v>0</v>
      </c>
      <c r="BH181" s="2777"/>
    </row>
    <row r="182" spans="1:60" ht="14.5" collapsed="1">
      <c r="A182" s="616">
        <f t="shared" si="265"/>
        <v>155</v>
      </c>
      <c r="B182" s="616">
        <v>1</v>
      </c>
      <c r="C182" s="616">
        <f t="shared" si="234"/>
        <v>179</v>
      </c>
      <c r="D182" s="709" t="s">
        <v>1308</v>
      </c>
      <c r="E182" s="2547">
        <v>1</v>
      </c>
      <c r="F182" s="4"/>
      <c r="G182" s="4"/>
      <c r="H182" s="4"/>
      <c r="I182" s="27"/>
      <c r="J182" s="3"/>
      <c r="K182" s="4"/>
      <c r="L182" s="4"/>
      <c r="M182" s="3" t="s">
        <v>57</v>
      </c>
      <c r="N182" s="3"/>
      <c r="O182" s="3"/>
      <c r="P182" s="3"/>
      <c r="Q182" s="1794" t="str">
        <f>CHOOSE(2, "6722000003101", "PL (2) Gross Profit HW")</f>
        <v>PL (2) Gross Profit HW</v>
      </c>
      <c r="R182" s="1126">
        <f t="shared" ref="R182:AC182" si="317">R585+R608</f>
        <v>40964</v>
      </c>
      <c r="S182" s="26">
        <f t="shared" si="317"/>
        <v>36900</v>
      </c>
      <c r="T182" s="26">
        <f t="shared" si="317"/>
        <v>35683</v>
      </c>
      <c r="U182" s="26">
        <f t="shared" si="317"/>
        <v>51676</v>
      </c>
      <c r="V182" s="26">
        <f t="shared" si="317"/>
        <v>56922.834309406797</v>
      </c>
      <c r="W182" s="26">
        <f t="shared" si="317"/>
        <v>45199</v>
      </c>
      <c r="X182" s="26">
        <f t="shared" si="317"/>
        <v>69134</v>
      </c>
      <c r="Y182" s="26">
        <f t="shared" si="317"/>
        <v>51457</v>
      </c>
      <c r="Z182" s="26">
        <f t="shared" si="317"/>
        <v>41917</v>
      </c>
      <c r="AA182" s="26">
        <f t="shared" si="317"/>
        <v>60085</v>
      </c>
      <c r="AB182" s="26">
        <f t="shared" si="317"/>
        <v>58670.949029583338</v>
      </c>
      <c r="AC182" s="26">
        <f t="shared" si="317"/>
        <v>33554</v>
      </c>
      <c r="AD182" s="1221">
        <f t="shared" ref="AD182:AD189" si="318">SUM(R182,S182,T182)</f>
        <v>113547</v>
      </c>
      <c r="AE182" s="1221">
        <f t="shared" ref="AE182:AE189" si="319">SUM(U182,V182,W182)</f>
        <v>153797.83430940681</v>
      </c>
      <c r="AF182" s="1221">
        <f t="shared" ref="AF182:AF189" si="320">SUM(X182,Y182,Z182)</f>
        <v>162508</v>
      </c>
      <c r="AG182" s="1221">
        <f t="shared" ref="AG182:AG189" si="321">SUM(AA182,AB182,AC182)</f>
        <v>152309.94902958334</v>
      </c>
      <c r="AH182" s="1221">
        <f>AD182+AE182</f>
        <v>267344.83430940681</v>
      </c>
      <c r="AI182" s="1221">
        <f>AG182+AF182</f>
        <v>314817.94902958337</v>
      </c>
      <c r="AJ182" s="1221">
        <f>AH182+AI182</f>
        <v>582162.78333899018</v>
      </c>
      <c r="AL182" s="1214">
        <f ca="1">SUM((INDIRECT(AL$2&amp;(ROW())):INDIRECT(AL$3&amp;(ROW()))))</f>
        <v>33554</v>
      </c>
      <c r="AM182" s="1221">
        <f ca="1">SUM(INDIRECT(AM$1&amp;AM$2&amp;$C182):INDIRECT(AM$1&amp;AM$3&amp;$C182))</f>
        <v>0.29825693433718503</v>
      </c>
      <c r="AN182" s="3119">
        <f t="shared" ca="1" si="272"/>
        <v>33553.701743065663</v>
      </c>
      <c r="AO182" s="2768">
        <f t="shared" ref="AO182:AO190" ca="1" si="322">IFERROR(AL182/AM182,0)</f>
        <v>112500.31813867763</v>
      </c>
      <c r="AP182" s="1221">
        <f ca="1">SUM(INDIRECT(AP$1&amp;AP$2&amp;$A182):INDIRECT(AP$1&amp;AP$3&amp;$A182))+SUM(INDIRECT(AP$1&amp;AP$2&amp;$B182):INDIRECT(AP$1&amp;AP$3&amp;$B182))</f>
        <v>165952</v>
      </c>
      <c r="AQ182" s="3119">
        <f t="shared" ca="1" si="274"/>
        <v>-132398</v>
      </c>
      <c r="AR182" s="2768">
        <f t="shared" ref="AR182:AR190" ca="1" si="323">IFERROR(AL182/AP182,0)</f>
        <v>0.20219099498650211</v>
      </c>
      <c r="AT182" s="1214">
        <f ca="1">SUM((INDIRECT(AT$2&amp;(ROW())):INDIRECT(AT$3&amp;(ROW()))))</f>
        <v>152309.94902958334</v>
      </c>
      <c r="AU182" s="1221">
        <f ca="1">SUM(INDIRECT(AU$1&amp;AU$2&amp;$C182):INDIRECT(AU$1&amp;AU$3&amp;$C182))</f>
        <v>0.89794910987714083</v>
      </c>
      <c r="AV182" s="3119">
        <f t="shared" ca="1" si="276"/>
        <v>152309.05108047347</v>
      </c>
      <c r="AW182" s="2768">
        <f t="shared" ref="AW182:AW190" ca="1" si="324">IFERROR(AT182/AU182,0)</f>
        <v>169619.80067046639</v>
      </c>
      <c r="AX182" s="1221">
        <f ca="1">SUM(INDIRECT(AX$1&amp;AX$2&amp;$A182):INDIRECT(AX$1&amp;AX$3&amp;$A182))+SUM(INDIRECT(AX$1&amp;AX$2&amp;$B182):INDIRECT(AX$1&amp;AX$3&amp;$B182))</f>
        <v>458955</v>
      </c>
      <c r="AY182" s="3119">
        <f t="shared" ca="1" si="278"/>
        <v>-306645.05097041663</v>
      </c>
      <c r="AZ182" s="2768">
        <f t="shared" ref="AZ182:AZ190" ca="1" si="325">IFERROR(AT182/AX182,0)</f>
        <v>0.33186248985103844</v>
      </c>
      <c r="BB182" s="1214">
        <f ca="1">SUM((INDIRECT(BB$2&amp;(ROW())):INDIRECT(BB$3&amp;(ROW()))))</f>
        <v>582162.78333899018</v>
      </c>
      <c r="BC182" s="1221">
        <f ca="1">SUM(INDIRECT(BC$1&amp;BC$2&amp;$C182):INDIRECT(BC$1&amp;BC$3&amp;$C182))</f>
        <v>1.6414283541533667</v>
      </c>
      <c r="BD182" s="3119">
        <f t="shared" ca="1" si="280"/>
        <v>582161.14191063598</v>
      </c>
      <c r="BE182" s="2768">
        <f t="shared" ref="BE182:BE190" ca="1" si="326">IFERROR(BB182/BC182,0)</f>
        <v>354668.40929482068</v>
      </c>
      <c r="BF182" s="1221">
        <f ca="1">SUM(INDIRECT(BF$1&amp;BF$2&amp;$A182):INDIRECT(BF$1&amp;BF$3&amp;$A182))+SUM(INDIRECT(BF$1&amp;BF$2&amp;$B182):INDIRECT(BF$1&amp;BF$3&amp;$B182))</f>
        <v>1584384.108</v>
      </c>
      <c r="BG182" s="3119">
        <f t="shared" ca="1" si="282"/>
        <v>-1002221.3246610098</v>
      </c>
      <c r="BH182" s="2768">
        <f t="shared" ref="BH182:BH190" ca="1" si="327">IFERROR(BB182/BF182,0)</f>
        <v>0.36743790877444865</v>
      </c>
    </row>
    <row r="183" spans="1:60" ht="14.5">
      <c r="A183" s="616">
        <f t="shared" si="265"/>
        <v>156</v>
      </c>
      <c r="B183" s="616">
        <v>1</v>
      </c>
      <c r="C183" s="616">
        <f t="shared" si="234"/>
        <v>180</v>
      </c>
      <c r="D183" s="709" t="s">
        <v>1308</v>
      </c>
      <c r="E183" s="2547">
        <v>1</v>
      </c>
      <c r="F183" s="4"/>
      <c r="G183" s="4"/>
      <c r="H183" s="4"/>
      <c r="I183" s="27"/>
      <c r="J183" s="3"/>
      <c r="K183" s="4"/>
      <c r="L183" s="4"/>
      <c r="M183" s="3" t="s">
        <v>27</v>
      </c>
      <c r="N183" s="3"/>
      <c r="O183" s="3"/>
      <c r="P183" s="3"/>
      <c r="Q183" s="1794" t="str">
        <f>CHOOSE(2, "6722000003102", "PL (2) Gross Profit NH")</f>
        <v>PL (2) Gross Profit NH</v>
      </c>
      <c r="R183" s="1126">
        <f t="shared" ref="R183:AC183" si="328">R588+R611</f>
        <v>101701</v>
      </c>
      <c r="S183" s="26">
        <f t="shared" si="328"/>
        <v>104550</v>
      </c>
      <c r="T183" s="26">
        <f t="shared" si="328"/>
        <v>109343</v>
      </c>
      <c r="U183" s="26">
        <f t="shared" si="328"/>
        <v>113760</v>
      </c>
      <c r="V183" s="26">
        <f t="shared" si="328"/>
        <v>135124.11638067896</v>
      </c>
      <c r="W183" s="26">
        <f t="shared" si="328"/>
        <v>55578.252</v>
      </c>
      <c r="X183" s="26">
        <f t="shared" si="328"/>
        <v>151019.25200000001</v>
      </c>
      <c r="Y183" s="26">
        <f t="shared" si="328"/>
        <v>116975</v>
      </c>
      <c r="Z183" s="26">
        <f t="shared" si="328"/>
        <v>125216</v>
      </c>
      <c r="AA183" s="26">
        <f t="shared" si="328"/>
        <v>144760</v>
      </c>
      <c r="AB183" s="26">
        <f t="shared" si="328"/>
        <v>131632.0147</v>
      </c>
      <c r="AC183" s="26">
        <f t="shared" si="328"/>
        <v>56265</v>
      </c>
      <c r="AD183" s="1221">
        <f t="shared" si="318"/>
        <v>315594</v>
      </c>
      <c r="AE183" s="1221">
        <f t="shared" si="319"/>
        <v>304462.36838067893</v>
      </c>
      <c r="AF183" s="1221">
        <f t="shared" si="320"/>
        <v>393210.25199999998</v>
      </c>
      <c r="AG183" s="1221">
        <f t="shared" si="321"/>
        <v>332657.0147</v>
      </c>
      <c r="AH183" s="1221">
        <f>AD183+AE183</f>
        <v>620056.36838067893</v>
      </c>
      <c r="AI183" s="1221">
        <f>AG183+AF183</f>
        <v>725867.26670000004</v>
      </c>
      <c r="AJ183" s="1221">
        <f>AH183+AI183</f>
        <v>1345923.6350806789</v>
      </c>
      <c r="AL183" s="1214">
        <f ca="1">SUM((INDIRECT(AL$2&amp;(ROW())):INDIRECT(AL$3&amp;(ROW()))))</f>
        <v>56265</v>
      </c>
      <c r="AM183" s="1221">
        <f ca="1">SUM(INDIRECT(AM$1&amp;AM$2&amp;$C183):INDIRECT(AM$1&amp;AM$3&amp;$C183))</f>
        <v>0.33300000000000002</v>
      </c>
      <c r="AN183" s="3119">
        <f t="shared" ca="1" si="272"/>
        <v>56264.667000000001</v>
      </c>
      <c r="AO183" s="2768">
        <f t="shared" ca="1" si="322"/>
        <v>168963.96396396396</v>
      </c>
      <c r="AP183" s="1221">
        <f ca="1">SUM(INDIRECT(AP$1&amp;AP$2&amp;$A183):INDIRECT(AP$1&amp;AP$3&amp;$A183))+SUM(INDIRECT(AP$1&amp;AP$2&amp;$B183):INDIRECT(AP$1&amp;AP$3&amp;$B183))</f>
        <v>431775</v>
      </c>
      <c r="AQ183" s="3119">
        <f t="shared" ca="1" si="274"/>
        <v>-375510</v>
      </c>
      <c r="AR183" s="2768">
        <f t="shared" ca="1" si="323"/>
        <v>0.13031092582942505</v>
      </c>
      <c r="AT183" s="1214">
        <f ca="1">SUM((INDIRECT(AT$2&amp;(ROW())):INDIRECT(AT$3&amp;(ROW()))))</f>
        <v>332657.0147</v>
      </c>
      <c r="AU183" s="1221">
        <f ca="1">SUM(INDIRECT(AU$1&amp;AU$2&amp;$C183):INDIRECT(AU$1&amp;AU$3&amp;$C183))</f>
        <v>0.66600000000000004</v>
      </c>
      <c r="AV183" s="3119">
        <f t="shared" ca="1" si="276"/>
        <v>332656.34869999997</v>
      </c>
      <c r="AW183" s="2768">
        <f t="shared" ca="1" si="324"/>
        <v>499485.00705705705</v>
      </c>
      <c r="AX183" s="1221">
        <f ca="1">SUM(INDIRECT(AX$1&amp;AX$2&amp;$A183):INDIRECT(AX$1&amp;AX$3&amp;$A183))+SUM(INDIRECT(AX$1&amp;AX$2&amp;$B183):INDIRECT(AX$1&amp;AX$3&amp;$B183))</f>
        <v>1218631</v>
      </c>
      <c r="AY183" s="3119">
        <f t="shared" ca="1" si="278"/>
        <v>-885973.98530000006</v>
      </c>
      <c r="AZ183" s="2768">
        <f t="shared" ca="1" si="325"/>
        <v>0.27297599905139458</v>
      </c>
      <c r="BB183" s="1214">
        <f ca="1">SUM((INDIRECT(BB$2&amp;(ROW())):INDIRECT(BB$3&amp;(ROW()))))</f>
        <v>1345923.6350806789</v>
      </c>
      <c r="BC183" s="1221">
        <f ca="1">SUM(INDIRECT(BC$1&amp;BC$2&amp;$C183):INDIRECT(BC$1&amp;BC$3&amp;$C183))</f>
        <v>1.3320000000000001</v>
      </c>
      <c r="BD183" s="3119">
        <f t="shared" ca="1" si="280"/>
        <v>1345922.3030806789</v>
      </c>
      <c r="BE183" s="2768">
        <f t="shared" ca="1" si="326"/>
        <v>1010453.1794899991</v>
      </c>
      <c r="BF183" s="1221">
        <f ca="1">SUM(INDIRECT(BF$1&amp;BF$2&amp;$A183):INDIRECT(BF$1&amp;BF$3&amp;$A183))+SUM(INDIRECT(BF$1&amp;BF$2&amp;$B183):INDIRECT(BF$1&amp;BF$3&amp;$B183))</f>
        <v>4107578.0940700001</v>
      </c>
      <c r="BG183" s="3119">
        <f t="shared" ca="1" si="282"/>
        <v>-2761654.4589893213</v>
      </c>
      <c r="BH183" s="2768">
        <f t="shared" ca="1" si="327"/>
        <v>0.32766842267071017</v>
      </c>
    </row>
    <row r="184" spans="1:60" ht="14.5">
      <c r="A184" s="616">
        <f t="shared" si="265"/>
        <v>157</v>
      </c>
      <c r="B184" s="616">
        <v>1</v>
      </c>
      <c r="C184" s="616">
        <f t="shared" si="234"/>
        <v>181</v>
      </c>
      <c r="D184" s="709" t="s">
        <v>1308</v>
      </c>
      <c r="E184" s="2547">
        <v>1</v>
      </c>
      <c r="F184" s="4"/>
      <c r="G184" s="4"/>
      <c r="H184" s="4"/>
      <c r="I184" s="27"/>
      <c r="J184" s="3"/>
      <c r="K184" s="4"/>
      <c r="L184" s="4"/>
      <c r="M184" s="3" t="s">
        <v>1397</v>
      </c>
      <c r="N184" s="3"/>
      <c r="O184" s="3"/>
      <c r="P184" s="3"/>
      <c r="Q184" s="1794" t="str">
        <f>CHOOSE(2, "6722000003103", "PL (2) Gross Profit Solution")</f>
        <v>PL (2) Gross Profit Solution</v>
      </c>
      <c r="R184" s="1126">
        <f t="shared" ref="R184:AC184" si="329">R601+R624</f>
        <v>0</v>
      </c>
      <c r="S184" s="26">
        <f t="shared" si="329"/>
        <v>0</v>
      </c>
      <c r="T184" s="26">
        <f t="shared" si="329"/>
        <v>0</v>
      </c>
      <c r="U184" s="26">
        <f t="shared" si="329"/>
        <v>0</v>
      </c>
      <c r="V184" s="26">
        <f t="shared" si="329"/>
        <v>0</v>
      </c>
      <c r="W184" s="26">
        <f t="shared" si="329"/>
        <v>0</v>
      </c>
      <c r="X184" s="26">
        <f t="shared" si="329"/>
        <v>0</v>
      </c>
      <c r="Y184" s="26">
        <f t="shared" si="329"/>
        <v>0</v>
      </c>
      <c r="Z184" s="26">
        <f t="shared" si="329"/>
        <v>0</v>
      </c>
      <c r="AA184" s="26">
        <f t="shared" si="329"/>
        <v>0</v>
      </c>
      <c r="AB184" s="26">
        <f t="shared" si="329"/>
        <v>0</v>
      </c>
      <c r="AC184" s="26">
        <f t="shared" si="329"/>
        <v>0</v>
      </c>
      <c r="AD184" s="1221">
        <f t="shared" si="318"/>
        <v>0</v>
      </c>
      <c r="AE184" s="1221">
        <f t="shared" si="319"/>
        <v>0</v>
      </c>
      <c r="AF184" s="1221">
        <f t="shared" si="320"/>
        <v>0</v>
      </c>
      <c r="AG184" s="1221">
        <f t="shared" si="321"/>
        <v>0</v>
      </c>
      <c r="AH184" s="1221">
        <f>AD184+AE184</f>
        <v>0</v>
      </c>
      <c r="AI184" s="1221">
        <f>AG184+AF184</f>
        <v>0</v>
      </c>
      <c r="AJ184" s="1221">
        <f>AH184+AI184</f>
        <v>0</v>
      </c>
      <c r="AL184" s="1214">
        <f ca="1">SUM((INDIRECT(AL$2&amp;(ROW())):INDIRECT(AL$3&amp;(ROW()))))</f>
        <v>0</v>
      </c>
      <c r="AM184" s="1221">
        <f ca="1">SUM(INDIRECT(AM$1&amp;AM$2&amp;$C184):INDIRECT(AM$1&amp;AM$3&amp;$C184))</f>
        <v>0</v>
      </c>
      <c r="AN184" s="3119">
        <f t="shared" ca="1" si="272"/>
        <v>0</v>
      </c>
      <c r="AO184" s="2768">
        <f t="shared" ca="1" si="322"/>
        <v>0</v>
      </c>
      <c r="AP184" s="1221">
        <f ca="1">SUM(INDIRECT(AP$1&amp;AP$2&amp;$A184):INDIRECT(AP$1&amp;AP$3&amp;$A184))+SUM(INDIRECT(AP$1&amp;AP$2&amp;$B184):INDIRECT(AP$1&amp;AP$3&amp;$B184))</f>
        <v>0</v>
      </c>
      <c r="AQ184" s="3119">
        <f t="shared" ca="1" si="274"/>
        <v>0</v>
      </c>
      <c r="AR184" s="2768">
        <f t="shared" ca="1" si="323"/>
        <v>0</v>
      </c>
      <c r="AT184" s="1214">
        <f ca="1">SUM((INDIRECT(AT$2&amp;(ROW())):INDIRECT(AT$3&amp;(ROW()))))</f>
        <v>0</v>
      </c>
      <c r="AU184" s="1221">
        <f ca="1">SUM(INDIRECT(AU$1&amp;AU$2&amp;$C184):INDIRECT(AU$1&amp;AU$3&amp;$C184))</f>
        <v>0</v>
      </c>
      <c r="AV184" s="3119">
        <f t="shared" ca="1" si="276"/>
        <v>0</v>
      </c>
      <c r="AW184" s="2768">
        <f t="shared" ca="1" si="324"/>
        <v>0</v>
      </c>
      <c r="AX184" s="1221">
        <f ca="1">SUM(INDIRECT(AX$1&amp;AX$2&amp;$A184):INDIRECT(AX$1&amp;AX$3&amp;$A184))+SUM(INDIRECT(AX$1&amp;AX$2&amp;$B184):INDIRECT(AX$1&amp;AX$3&amp;$B184))</f>
        <v>0</v>
      </c>
      <c r="AY184" s="3119">
        <f t="shared" ca="1" si="278"/>
        <v>0</v>
      </c>
      <c r="AZ184" s="2768">
        <f t="shared" ca="1" si="325"/>
        <v>0</v>
      </c>
      <c r="BB184" s="1214">
        <f ca="1">SUM((INDIRECT(BB$2&amp;(ROW())):INDIRECT(BB$3&amp;(ROW()))))</f>
        <v>0</v>
      </c>
      <c r="BC184" s="1221">
        <f ca="1">SUM(INDIRECT(BC$1&amp;BC$2&amp;$C184):INDIRECT(BC$1&amp;BC$3&amp;$C184))</f>
        <v>0</v>
      </c>
      <c r="BD184" s="3119">
        <f t="shared" ca="1" si="280"/>
        <v>0</v>
      </c>
      <c r="BE184" s="2768">
        <f t="shared" ca="1" si="326"/>
        <v>0</v>
      </c>
      <c r="BF184" s="1221">
        <f ca="1">SUM(INDIRECT(BF$1&amp;BF$2&amp;$A184):INDIRECT(BF$1&amp;BF$3&amp;$A184))+SUM(INDIRECT(BF$1&amp;BF$2&amp;$B184):INDIRECT(BF$1&amp;BF$3&amp;$B184))</f>
        <v>0</v>
      </c>
      <c r="BG184" s="3119">
        <f t="shared" ca="1" si="282"/>
        <v>0</v>
      </c>
      <c r="BH184" s="2768">
        <f t="shared" ca="1" si="327"/>
        <v>0</v>
      </c>
    </row>
    <row r="185" spans="1:60" ht="14.5">
      <c r="A185" s="616">
        <f t="shared" si="265"/>
        <v>158</v>
      </c>
      <c r="B185" s="616">
        <v>1</v>
      </c>
      <c r="C185" s="616">
        <f t="shared" si="234"/>
        <v>182</v>
      </c>
      <c r="D185" s="709" t="s">
        <v>1308</v>
      </c>
      <c r="E185" s="2547">
        <v>1</v>
      </c>
      <c r="F185" s="4"/>
      <c r="G185" s="4"/>
      <c r="H185" s="4"/>
      <c r="I185" s="27"/>
      <c r="J185" s="3"/>
      <c r="K185" s="4"/>
      <c r="L185" s="4"/>
      <c r="M185" s="3" t="s">
        <v>2</v>
      </c>
      <c r="N185" s="3"/>
      <c r="O185" s="3"/>
      <c r="P185" s="3"/>
      <c r="Q185" s="1794" t="str">
        <f>CHOOSE(2, "6722000003104", "PL (2) Gross Profit Others")</f>
        <v>PL (2) Gross Profit Others</v>
      </c>
      <c r="R185" s="1126">
        <f t="shared" ref="R185:AC185" si="330">R606+R629</f>
        <v>0</v>
      </c>
      <c r="S185" s="26">
        <f t="shared" si="330"/>
        <v>0</v>
      </c>
      <c r="T185" s="26">
        <f t="shared" si="330"/>
        <v>0</v>
      </c>
      <c r="U185" s="26">
        <f t="shared" si="330"/>
        <v>0</v>
      </c>
      <c r="V185" s="26">
        <f t="shared" si="330"/>
        <v>0</v>
      </c>
      <c r="W185" s="26">
        <f t="shared" si="330"/>
        <v>0</v>
      </c>
      <c r="X185" s="26">
        <f t="shared" si="330"/>
        <v>0</v>
      </c>
      <c r="Y185" s="26">
        <f t="shared" si="330"/>
        <v>0</v>
      </c>
      <c r="Z185" s="26">
        <f t="shared" si="330"/>
        <v>0</v>
      </c>
      <c r="AA185" s="26">
        <f t="shared" si="330"/>
        <v>0</v>
      </c>
      <c r="AB185" s="26">
        <f t="shared" si="330"/>
        <v>0</v>
      </c>
      <c r="AC185" s="26">
        <f t="shared" si="330"/>
        <v>0</v>
      </c>
      <c r="AD185" s="1221">
        <f t="shared" si="318"/>
        <v>0</v>
      </c>
      <c r="AE185" s="1221">
        <f t="shared" si="319"/>
        <v>0</v>
      </c>
      <c r="AF185" s="1221">
        <f t="shared" si="320"/>
        <v>0</v>
      </c>
      <c r="AG185" s="1221">
        <f t="shared" si="321"/>
        <v>0</v>
      </c>
      <c r="AH185" s="1221">
        <f>AD185+AE185</f>
        <v>0</v>
      </c>
      <c r="AI185" s="1221">
        <f>AG185+AF185</f>
        <v>0</v>
      </c>
      <c r="AJ185" s="1221">
        <f>AH185+AI185</f>
        <v>0</v>
      </c>
      <c r="AL185" s="1214">
        <f ca="1">SUM((INDIRECT(AL$2&amp;(ROW())):INDIRECT(AL$3&amp;(ROW()))))</f>
        <v>0</v>
      </c>
      <c r="AM185" s="1221">
        <f ca="1">SUM(INDIRECT(AM$1&amp;AM$2&amp;$C185):INDIRECT(AM$1&amp;AM$3&amp;$C185))</f>
        <v>39415.951506606521</v>
      </c>
      <c r="AN185" s="3119">
        <f t="shared" ca="1" si="272"/>
        <v>-39415.951506606521</v>
      </c>
      <c r="AO185" s="2768">
        <f t="shared" ca="1" si="322"/>
        <v>0</v>
      </c>
      <c r="AP185" s="1221">
        <f ca="1">SUM(INDIRECT(AP$1&amp;AP$2&amp;$A185):INDIRECT(AP$1&amp;AP$3&amp;$A185))+SUM(INDIRECT(AP$1&amp;AP$2&amp;$B185):INDIRECT(AP$1&amp;AP$3&amp;$B185))</f>
        <v>0</v>
      </c>
      <c r="AQ185" s="3119">
        <f t="shared" ca="1" si="274"/>
        <v>0</v>
      </c>
      <c r="AR185" s="2768">
        <f t="shared" ca="1" si="323"/>
        <v>0</v>
      </c>
      <c r="AT185" s="1214">
        <f ca="1">SUM((INDIRECT(AT$2&amp;(ROW())):INDIRECT(AT$3&amp;(ROW()))))</f>
        <v>0</v>
      </c>
      <c r="AU185" s="1221">
        <f ca="1">SUM(INDIRECT(AU$1&amp;AU$2&amp;$C185):INDIRECT(AU$1&amp;AU$3&amp;$C185))</f>
        <v>114051.91323865006</v>
      </c>
      <c r="AV185" s="3119">
        <f t="shared" ca="1" si="276"/>
        <v>-114051.91323865006</v>
      </c>
      <c r="AW185" s="2768">
        <f t="shared" ca="1" si="324"/>
        <v>0</v>
      </c>
      <c r="AX185" s="1221">
        <f ca="1">SUM(INDIRECT(AX$1&amp;AX$2&amp;$A185):INDIRECT(AX$1&amp;AX$3&amp;$A185))+SUM(INDIRECT(AX$1&amp;AX$2&amp;$B185):INDIRECT(AX$1&amp;AX$3&amp;$B185))</f>
        <v>0</v>
      </c>
      <c r="AY185" s="3119">
        <f t="shared" ca="1" si="278"/>
        <v>0</v>
      </c>
      <c r="AZ185" s="2768">
        <f t="shared" ca="1" si="325"/>
        <v>0</v>
      </c>
      <c r="BB185" s="1214">
        <f ca="1">SUM((INDIRECT(BB$2&amp;(ROW())):INDIRECT(BB$3&amp;(ROW()))))</f>
        <v>0</v>
      </c>
      <c r="BC185" s="1221">
        <f ca="1">SUM(INDIRECT(BC$1&amp;BC$2&amp;$C185):INDIRECT(BC$1&amp;BC$3&amp;$C185))</f>
        <v>206270.25970151363</v>
      </c>
      <c r="BD185" s="3119">
        <f t="shared" ca="1" si="280"/>
        <v>-206270.25970151363</v>
      </c>
      <c r="BE185" s="2768">
        <f t="shared" ca="1" si="326"/>
        <v>0</v>
      </c>
      <c r="BF185" s="1221">
        <f ca="1">SUM(INDIRECT(BF$1&amp;BF$2&amp;$A185):INDIRECT(BF$1&amp;BF$3&amp;$A185))+SUM(INDIRECT(BF$1&amp;BF$2&amp;$B185):INDIRECT(BF$1&amp;BF$3&amp;$B185))</f>
        <v>0</v>
      </c>
      <c r="BG185" s="3119">
        <f t="shared" ca="1" si="282"/>
        <v>0</v>
      </c>
      <c r="BH185" s="2768">
        <f t="shared" ca="1" si="327"/>
        <v>0</v>
      </c>
    </row>
    <row r="186" spans="1:60" ht="14.5">
      <c r="A186" s="616">
        <f t="shared" si="265"/>
        <v>159</v>
      </c>
      <c r="B186" s="616">
        <v>1</v>
      </c>
      <c r="C186" s="616">
        <f t="shared" si="234"/>
        <v>183</v>
      </c>
      <c r="D186" s="709" t="s">
        <v>1308</v>
      </c>
      <c r="E186" s="2547">
        <v>1</v>
      </c>
      <c r="F186" s="4"/>
      <c r="G186" s="4"/>
      <c r="H186" s="4"/>
      <c r="I186" s="3144" t="s">
        <v>29</v>
      </c>
      <c r="J186" s="2026"/>
      <c r="K186" s="864"/>
      <c r="L186" s="864"/>
      <c r="M186" s="864"/>
      <c r="N186" s="864"/>
      <c r="O186" s="864"/>
      <c r="P186" s="864"/>
      <c r="Q186" s="1793" t="str">
        <f>CHOOSE(2, "6722000003105", "PL (2) SGA Expenses")</f>
        <v>PL (2) SGA Expenses</v>
      </c>
      <c r="R186" s="2575">
        <f>SUM(R187:R189)</f>
        <v>102832.43428717848</v>
      </c>
      <c r="S186" s="3145">
        <f t="shared" ref="S186:AC186" si="331">SUM(S187:S189)</f>
        <v>96374.58726737916</v>
      </c>
      <c r="T186" s="3145">
        <f t="shared" si="331"/>
        <v>105341.56526438489</v>
      </c>
      <c r="U186" s="3145">
        <f t="shared" si="331"/>
        <v>109581.6021147548</v>
      </c>
      <c r="V186" s="3145">
        <f t="shared" si="331"/>
        <v>125972.05612566469</v>
      </c>
      <c r="W186" s="3145">
        <f t="shared" si="331"/>
        <v>71051.648915335623</v>
      </c>
      <c r="X186" s="3145">
        <f t="shared" si="331"/>
        <v>140996.27414251596</v>
      </c>
      <c r="Y186" s="3145">
        <f t="shared" si="331"/>
        <v>114873.50444027773</v>
      </c>
      <c r="Z186" s="3145">
        <f t="shared" si="331"/>
        <v>105330.84492900592</v>
      </c>
      <c r="AA186" s="3145">
        <f t="shared" si="331"/>
        <v>143279.34918475087</v>
      </c>
      <c r="AB186" s="3145">
        <f t="shared" si="331"/>
        <v>102245.23734156512</v>
      </c>
      <c r="AC186" s="3145">
        <f t="shared" si="331"/>
        <v>42686.185673351632</v>
      </c>
      <c r="AD186" s="3146">
        <f t="shared" si="318"/>
        <v>304548.58681894251</v>
      </c>
      <c r="AE186" s="3146">
        <f t="shared" si="319"/>
        <v>306605.30715575512</v>
      </c>
      <c r="AF186" s="3146">
        <f t="shared" si="320"/>
        <v>361200.62351179961</v>
      </c>
      <c r="AG186" s="3146">
        <f t="shared" si="321"/>
        <v>288210.77219966764</v>
      </c>
      <c r="AH186" s="3146">
        <f t="shared" ref="AH186:AJ186" si="332">SUM(AH187:AH189)</f>
        <v>611153.89397469768</v>
      </c>
      <c r="AI186" s="3146">
        <f t="shared" si="332"/>
        <v>649411.39571146725</v>
      </c>
      <c r="AJ186" s="3146">
        <f t="shared" si="332"/>
        <v>1260565.2896861648</v>
      </c>
      <c r="AL186" s="1305">
        <f ca="1">SUM((INDIRECT(AL$2&amp;(ROW())):INDIRECT(AL$3&amp;(ROW()))))</f>
        <v>42686.185673351632</v>
      </c>
      <c r="AM186" s="3146">
        <f ca="1">SUM(INDIRECT(AM$1&amp;AM$2&amp;$C186):INDIRECT(AM$1&amp;AM$3&amp;$C186))</f>
        <v>103509.2319588953</v>
      </c>
      <c r="AN186" s="3147">
        <f t="shared" ca="1" si="272"/>
        <v>-60823.046285543664</v>
      </c>
      <c r="AO186" s="3148">
        <f t="shared" ca="1" si="322"/>
        <v>0.41239013047940309</v>
      </c>
      <c r="AP186" s="3146">
        <f ca="1">SUM(INDIRECT(AP$1&amp;AP$2&amp;$A186):INDIRECT(AP$1&amp;AP$3&amp;$A186))+SUM(INDIRECT(AP$1&amp;AP$2&amp;$B186):INDIRECT(AP$1&amp;AP$3&amp;$B186))</f>
        <v>597727</v>
      </c>
      <c r="AQ186" s="3147">
        <f t="shared" ca="1" si="274"/>
        <v>-555040.81432664837</v>
      </c>
      <c r="AR186" s="3148">
        <f t="shared" ca="1" si="323"/>
        <v>7.1414183520824112E-2</v>
      </c>
      <c r="AT186" s="1305">
        <f ca="1">SUM((INDIRECT(AT$2&amp;(ROW())):INDIRECT(AT$3&amp;(ROW()))))</f>
        <v>288210.77219966764</v>
      </c>
      <c r="AU186" s="3146">
        <f ca="1">SUM(INDIRECT(AU$1&amp;AU$2&amp;$C186):INDIRECT(AU$1&amp;AU$3&amp;$C186))</f>
        <v>312389.15963974159</v>
      </c>
      <c r="AV186" s="3147">
        <f t="shared" ca="1" si="276"/>
        <v>-24178.387440073944</v>
      </c>
      <c r="AW186" s="3148">
        <f t="shared" ca="1" si="324"/>
        <v>0.92260170785709295</v>
      </c>
      <c r="AX186" s="3146">
        <f ca="1">SUM(INDIRECT(AX$1&amp;AX$2&amp;$A186):INDIRECT(AX$1&amp;AX$3&amp;$A186))+SUM(INDIRECT(AX$1&amp;AX$2&amp;$B186):INDIRECT(AX$1&amp;AX$3&amp;$B186))</f>
        <v>1677586</v>
      </c>
      <c r="AY186" s="3147">
        <f t="shared" ca="1" si="278"/>
        <v>-1389375.2278003325</v>
      </c>
      <c r="AZ186" s="3148">
        <f t="shared" ca="1" si="325"/>
        <v>0.17180089259189552</v>
      </c>
      <c r="BB186" s="1305">
        <f ca="1">SUM((INDIRECT(BB$2&amp;(ROW())):INDIRECT(BB$3&amp;(ROW()))))</f>
        <v>1260565.2896861648</v>
      </c>
      <c r="BC186" s="3146">
        <f ca="1">SUM(INDIRECT(BC$1&amp;BC$2&amp;$C186):INDIRECT(BC$1&amp;BC$3&amp;$C186))</f>
        <v>612581.77207627997</v>
      </c>
      <c r="BD186" s="3147">
        <f t="shared" ca="1" si="280"/>
        <v>647983.51760988485</v>
      </c>
      <c r="BE186" s="3148">
        <f t="shared" ca="1" si="326"/>
        <v>2.0577910527987382</v>
      </c>
      <c r="BF186" s="3146">
        <f ca="1">SUM(INDIRECT(BF$1&amp;BF$2&amp;$A186):INDIRECT(BF$1&amp;BF$3&amp;$A186))+SUM(INDIRECT(BF$1&amp;BF$2&amp;$B186):INDIRECT(BF$1&amp;BF$3&amp;$B186))</f>
        <v>5687715.2020699997</v>
      </c>
      <c r="BG186" s="3147">
        <f t="shared" ca="1" si="282"/>
        <v>-4427149.9123838348</v>
      </c>
      <c r="BH186" s="3148">
        <f t="shared" ca="1" si="327"/>
        <v>0.22162946717644932</v>
      </c>
    </row>
    <row r="187" spans="1:60" ht="14.5">
      <c r="A187" s="616">
        <f t="shared" si="265"/>
        <v>160</v>
      </c>
      <c r="B187" s="616">
        <v>1</v>
      </c>
      <c r="C187" s="616">
        <f t="shared" si="234"/>
        <v>184</v>
      </c>
      <c r="D187" s="709" t="s">
        <v>1308</v>
      </c>
      <c r="E187" s="2547">
        <v>1</v>
      </c>
      <c r="F187" s="4"/>
      <c r="G187" s="4"/>
      <c r="H187" s="4"/>
      <c r="I187" s="27"/>
      <c r="J187" s="108" t="s">
        <v>1329</v>
      </c>
      <c r="K187" s="4"/>
      <c r="L187" s="4"/>
      <c r="M187" s="3"/>
      <c r="N187" s="3"/>
      <c r="O187" s="3"/>
      <c r="P187" s="3"/>
      <c r="Q187" s="1790" t="str">
        <f>CHOOSE(2, "6722000003106", "PL (2) SGA Expenses Variable Expenses")</f>
        <v>PL (2) SGA Expenses Variable Expenses</v>
      </c>
      <c r="R187" s="1215">
        <v>42870.097436612115</v>
      </c>
      <c r="S187" s="1222">
        <v>35213.833682844801</v>
      </c>
      <c r="T187" s="1222">
        <v>31987.938684800614</v>
      </c>
      <c r="U187" s="1222">
        <v>48892.622918824985</v>
      </c>
      <c r="V187" s="1222">
        <v>53486.563090539872</v>
      </c>
      <c r="W187" s="1222">
        <v>24617.548684937588</v>
      </c>
      <c r="X187" s="1222">
        <v>29671.333607622662</v>
      </c>
      <c r="Y187" s="1222">
        <v>41294.323064053802</v>
      </c>
      <c r="Z187" s="1222">
        <v>35347.167694969408</v>
      </c>
      <c r="AA187" s="1222">
        <f>67524.5841737263-9800</f>
        <v>57724.584173726296</v>
      </c>
      <c r="AB187" s="1222">
        <v>51375.583366575869</v>
      </c>
      <c r="AC187" s="1222">
        <v>-20729.93237792993</v>
      </c>
      <c r="AD187" s="1221">
        <f t="shared" si="318"/>
        <v>110071.86980425753</v>
      </c>
      <c r="AE187" s="1221">
        <f t="shared" si="319"/>
        <v>126996.73469430245</v>
      </c>
      <c r="AF187" s="1221">
        <f t="shared" si="320"/>
        <v>106312.82436664587</v>
      </c>
      <c r="AG187" s="1221">
        <f t="shared" si="321"/>
        <v>88370.235162372235</v>
      </c>
      <c r="AH187" s="1221">
        <f>AD187+AE187</f>
        <v>237068.60449855996</v>
      </c>
      <c r="AI187" s="1221">
        <f>AG187+AF187</f>
        <v>194683.05952901812</v>
      </c>
      <c r="AJ187" s="1221">
        <f>AH187+AI187</f>
        <v>431751.66402757808</v>
      </c>
      <c r="AL187" s="1214">
        <f ca="1">SUM((INDIRECT(AL$2&amp;(ROW())):INDIRECT(AL$3&amp;(ROW()))))</f>
        <v>-20729.93237792993</v>
      </c>
      <c r="AM187" s="1221">
        <f ca="1">SUM(INDIRECT(AM$1&amp;AM$2&amp;$C187):INDIRECT(AM$1&amp;AM$3&amp;$C187))</f>
        <v>249.75</v>
      </c>
      <c r="AN187" s="3119">
        <f t="shared" ca="1" si="272"/>
        <v>-20979.68237792993</v>
      </c>
      <c r="AO187" s="2768">
        <f t="shared" ca="1" si="322"/>
        <v>-83.002732243963678</v>
      </c>
      <c r="AP187" s="1221">
        <f ca="1">SUM(INDIRECT(AP$1&amp;AP$2&amp;$A187):INDIRECT(AP$1&amp;AP$3&amp;$A187))+SUM(INDIRECT(AP$1&amp;AP$2&amp;$B187):INDIRECT(AP$1&amp;AP$3&amp;$B187))</f>
        <v>165952</v>
      </c>
      <c r="AQ187" s="3119">
        <f t="shared" ca="1" si="274"/>
        <v>-186681.93237792992</v>
      </c>
      <c r="AR187" s="2768">
        <f t="shared" ca="1" si="323"/>
        <v>-0.12491523077715201</v>
      </c>
      <c r="AT187" s="1214">
        <f ca="1">SUM((INDIRECT(AT$2&amp;(ROW())):INDIRECT(AT$3&amp;(ROW()))))</f>
        <v>88370.235162372235</v>
      </c>
      <c r="AU187" s="1221">
        <f ca="1">SUM(INDIRECT(AU$1&amp;AU$2&amp;$C187):INDIRECT(AU$1&amp;AU$3&amp;$C187))</f>
        <v>499.5</v>
      </c>
      <c r="AV187" s="3119">
        <f t="shared" ca="1" si="276"/>
        <v>87870.735162372235</v>
      </c>
      <c r="AW187" s="2768">
        <f t="shared" ca="1" si="324"/>
        <v>176.91738771245693</v>
      </c>
      <c r="AX187" s="1221">
        <f ca="1">SUM(INDIRECT(AX$1&amp;AX$2&amp;$A187):INDIRECT(AX$1&amp;AX$3&amp;$A187))+SUM(INDIRECT(AX$1&amp;AX$2&amp;$B187):INDIRECT(AX$1&amp;AX$3&amp;$B187))</f>
        <v>458955</v>
      </c>
      <c r="AY187" s="3119">
        <f t="shared" ca="1" si="278"/>
        <v>-370584.76483762776</v>
      </c>
      <c r="AZ187" s="2768">
        <f t="shared" ca="1" si="325"/>
        <v>0.19254662257165134</v>
      </c>
      <c r="BB187" s="1214">
        <f ca="1">SUM((INDIRECT(BB$2&amp;(ROW())):INDIRECT(BB$3&amp;(ROW()))))</f>
        <v>431751.66402757808</v>
      </c>
      <c r="BC187" s="1221">
        <f ca="1">SUM(INDIRECT(BC$1&amp;BC$2&amp;$C187):INDIRECT(BC$1&amp;BC$3&amp;$C187))</f>
        <v>999</v>
      </c>
      <c r="BD187" s="3119">
        <f t="shared" ca="1" si="280"/>
        <v>430752.66402757808</v>
      </c>
      <c r="BE187" s="2768">
        <f t="shared" ca="1" si="326"/>
        <v>432.18384787545352</v>
      </c>
      <c r="BF187" s="1221">
        <f ca="1">SUM(INDIRECT(BF$1&amp;BF$2&amp;$A187):INDIRECT(BF$1&amp;BF$3&amp;$A187))+SUM(INDIRECT(BF$1&amp;BF$2&amp;$B187):INDIRECT(BF$1&amp;BF$3&amp;$B187))</f>
        <v>1581215.108</v>
      </c>
      <c r="BG187" s="3119">
        <f t="shared" ca="1" si="282"/>
        <v>-1149463.4439724218</v>
      </c>
      <c r="BH187" s="2768">
        <f t="shared" ca="1" si="327"/>
        <v>0.27305055576763315</v>
      </c>
    </row>
    <row r="188" spans="1:60" ht="14.5">
      <c r="A188" s="616">
        <f t="shared" si="265"/>
        <v>161</v>
      </c>
      <c r="B188" s="616">
        <v>1</v>
      </c>
      <c r="C188" s="616">
        <f t="shared" si="234"/>
        <v>185</v>
      </c>
      <c r="D188" s="709" t="s">
        <v>1308</v>
      </c>
      <c r="E188" s="2547">
        <v>1</v>
      </c>
      <c r="F188" s="4"/>
      <c r="G188" s="4"/>
      <c r="H188" s="4"/>
      <c r="I188" s="27"/>
      <c r="J188" s="36" t="s">
        <v>1330</v>
      </c>
      <c r="K188" s="4"/>
      <c r="L188" s="4"/>
      <c r="M188" s="3"/>
      <c r="N188" s="3"/>
      <c r="O188" s="3"/>
      <c r="P188" s="3"/>
      <c r="Q188" s="1790" t="str">
        <f>CHOOSE(2, "6722000003107", "PL (2) SGA Expenses Wages &amp; Salaries")</f>
        <v>PL (2) SGA Expenses Wages &amp; Salaries</v>
      </c>
      <c r="R188" s="1215">
        <v>30636</v>
      </c>
      <c r="S188" s="1222">
        <v>30140.440136684108</v>
      </c>
      <c r="T188" s="1222">
        <v>30930.759945960657</v>
      </c>
      <c r="U188" s="1222">
        <v>29139.745399736257</v>
      </c>
      <c r="V188" s="1222">
        <v>31288.618267790549</v>
      </c>
      <c r="W188" s="1222">
        <v>34145.797004117812</v>
      </c>
      <c r="X188" s="1222">
        <v>53400.294390658441</v>
      </c>
      <c r="Y188" s="1222">
        <v>37428.901709825499</v>
      </c>
      <c r="Z188" s="1222">
        <v>36766.522825144275</v>
      </c>
      <c r="AA188" s="1222">
        <v>37234.042197121285</v>
      </c>
      <c r="AB188" s="1222">
        <v>32271.163148431609</v>
      </c>
      <c r="AC188" s="1222">
        <v>29268.075336481961</v>
      </c>
      <c r="AD188" s="1221">
        <f t="shared" si="318"/>
        <v>91707.200082644762</v>
      </c>
      <c r="AE188" s="1221">
        <f t="shared" si="319"/>
        <v>94574.160671644611</v>
      </c>
      <c r="AF188" s="1221">
        <f t="shared" si="320"/>
        <v>127595.71892562821</v>
      </c>
      <c r="AG188" s="1221">
        <f t="shared" si="321"/>
        <v>98773.280682034849</v>
      </c>
      <c r="AH188" s="1221">
        <f>AD188+AE188</f>
        <v>186281.36075428937</v>
      </c>
      <c r="AI188" s="1221">
        <f>AG188+AF188</f>
        <v>226368.99960766308</v>
      </c>
      <c r="AJ188" s="1221">
        <f>AH188+AI188</f>
        <v>412650.36036195245</v>
      </c>
      <c r="AL188" s="1214">
        <f ca="1">SUM((INDIRECT(AL$2&amp;(ROW())):INDIRECT(AL$3&amp;(ROW()))))</f>
        <v>29268.075336481961</v>
      </c>
      <c r="AM188" s="1221">
        <f ca="1">SUM(INDIRECT(AM$1&amp;AM$2&amp;$C188):INDIRECT(AM$1&amp;AM$3&amp;$C188))</f>
        <v>0</v>
      </c>
      <c r="AN188" s="3119">
        <f t="shared" ca="1" si="272"/>
        <v>29268.075336481961</v>
      </c>
      <c r="AO188" s="2768">
        <f t="shared" ca="1" si="322"/>
        <v>0</v>
      </c>
      <c r="AP188" s="1221">
        <f ca="1">SUM(INDIRECT(AP$1&amp;AP$2&amp;$A188):INDIRECT(AP$1&amp;AP$3&amp;$A188))+SUM(INDIRECT(AP$1&amp;AP$2&amp;$B188):INDIRECT(AP$1&amp;AP$3&amp;$B188))</f>
        <v>431775</v>
      </c>
      <c r="AQ188" s="3119">
        <f t="shared" ca="1" si="274"/>
        <v>-402506.92466351803</v>
      </c>
      <c r="AR188" s="2768">
        <f t="shared" ca="1" si="323"/>
        <v>6.7785479327154105E-2</v>
      </c>
      <c r="AT188" s="1214">
        <f ca="1">SUM((INDIRECT(AT$2&amp;(ROW())):INDIRECT(AT$3&amp;(ROW()))))</f>
        <v>98773.280682034849</v>
      </c>
      <c r="AU188" s="1221">
        <f ca="1">SUM(INDIRECT(AU$1&amp;AU$2&amp;$C188):INDIRECT(AU$1&amp;AU$3&amp;$C188))</f>
        <v>0</v>
      </c>
      <c r="AV188" s="3119">
        <f t="shared" ca="1" si="276"/>
        <v>98773.280682034849</v>
      </c>
      <c r="AW188" s="2768">
        <f t="shared" ca="1" si="324"/>
        <v>0</v>
      </c>
      <c r="AX188" s="1221">
        <f ca="1">SUM(INDIRECT(AX$1&amp;AX$2&amp;$A188):INDIRECT(AX$1&amp;AX$3&amp;$A188))+SUM(INDIRECT(AX$1&amp;AX$2&amp;$B188):INDIRECT(AX$1&amp;AX$3&amp;$B188))</f>
        <v>1218631</v>
      </c>
      <c r="AY188" s="3119">
        <f t="shared" ca="1" si="278"/>
        <v>-1119857.7193179652</v>
      </c>
      <c r="AZ188" s="2768">
        <f t="shared" ca="1" si="325"/>
        <v>8.1052657188299695E-2</v>
      </c>
      <c r="BB188" s="1214">
        <f ca="1">SUM((INDIRECT(BB$2&amp;(ROW())):INDIRECT(BB$3&amp;(ROW()))))</f>
        <v>412650.36036195251</v>
      </c>
      <c r="BC188" s="1221">
        <f ca="1">SUM(INDIRECT(BC$1&amp;BC$2&amp;$C188):INDIRECT(BC$1&amp;BC$3&amp;$C188))</f>
        <v>0</v>
      </c>
      <c r="BD188" s="3119">
        <f t="shared" ca="1" si="280"/>
        <v>412650.36036195251</v>
      </c>
      <c r="BE188" s="2768">
        <f t="shared" ca="1" si="326"/>
        <v>0</v>
      </c>
      <c r="BF188" s="1221">
        <f ca="1">SUM(INDIRECT(BF$1&amp;BF$2&amp;$A188):INDIRECT(BF$1&amp;BF$3&amp;$A188))+SUM(INDIRECT(BF$1&amp;BF$2&amp;$B188):INDIRECT(BF$1&amp;BF$3&amp;$B188))</f>
        <v>4106500.0940700001</v>
      </c>
      <c r="BG188" s="3119">
        <f t="shared" ca="1" si="282"/>
        <v>-3693849.7337080478</v>
      </c>
      <c r="BH188" s="2768">
        <f t="shared" ca="1" si="327"/>
        <v>0.10048711820507228</v>
      </c>
    </row>
    <row r="189" spans="1:60" ht="14.5">
      <c r="A189" s="616">
        <f t="shared" si="265"/>
        <v>162</v>
      </c>
      <c r="B189" s="616">
        <v>1</v>
      </c>
      <c r="C189" s="616">
        <f t="shared" si="234"/>
        <v>186</v>
      </c>
      <c r="D189" s="709" t="s">
        <v>1308</v>
      </c>
      <c r="E189" s="2547">
        <v>1</v>
      </c>
      <c r="F189" s="4"/>
      <c r="G189" s="4"/>
      <c r="H189" s="4"/>
      <c r="I189" s="27"/>
      <c r="J189" s="36" t="s">
        <v>1331</v>
      </c>
      <c r="K189" s="4"/>
      <c r="L189" s="4"/>
      <c r="M189" s="3"/>
      <c r="N189" s="3"/>
      <c r="O189" s="3"/>
      <c r="P189" s="3"/>
      <c r="Q189" s="1790" t="str">
        <f>CHOOSE(2, "6722000003108", "PL (2) SGA Expenses Fixed Expenses")</f>
        <v>PL (2) SGA Expenses Fixed Expenses</v>
      </c>
      <c r="R189" s="1215">
        <v>29326.336850566349</v>
      </c>
      <c r="S189" s="1222">
        <v>31020.313447850254</v>
      </c>
      <c r="T189" s="1222">
        <v>42422.86663362362</v>
      </c>
      <c r="U189" s="1222">
        <v>31549.233796193559</v>
      </c>
      <c r="V189" s="1222">
        <v>41196.874767334273</v>
      </c>
      <c r="W189" s="1222">
        <v>12288.303226280226</v>
      </c>
      <c r="X189" s="1222">
        <v>57924.646144234881</v>
      </c>
      <c r="Y189" s="1222">
        <v>36150.279666398426</v>
      </c>
      <c r="Z189" s="1222">
        <v>33217.154408892238</v>
      </c>
      <c r="AA189" s="1222">
        <v>48320.722813903296</v>
      </c>
      <c r="AB189" s="1222">
        <v>18598.490826557638</v>
      </c>
      <c r="AC189" s="1222">
        <v>34148.042714799602</v>
      </c>
      <c r="AD189" s="1221">
        <f t="shared" si="318"/>
        <v>102769.51693204022</v>
      </c>
      <c r="AE189" s="1221">
        <f t="shared" si="319"/>
        <v>85034.411789808059</v>
      </c>
      <c r="AF189" s="1221">
        <f t="shared" si="320"/>
        <v>127292.08021952555</v>
      </c>
      <c r="AG189" s="1221">
        <f t="shared" si="321"/>
        <v>101067.25635526053</v>
      </c>
      <c r="AH189" s="1221">
        <f>AD189+AE189</f>
        <v>187803.92872184829</v>
      </c>
      <c r="AI189" s="1221">
        <f>AG189+AF189</f>
        <v>228359.33657478608</v>
      </c>
      <c r="AJ189" s="1221">
        <f>AH189+AI189</f>
        <v>416163.2652966344</v>
      </c>
      <c r="AL189" s="1214">
        <f ca="1">SUM((INDIRECT(AL$2&amp;(ROW())):INDIRECT(AL$3&amp;(ROW()))))</f>
        <v>34148.042714799602</v>
      </c>
      <c r="AM189" s="1221">
        <f ca="1">SUM(INDIRECT(AM$1&amp;AM$2&amp;$C189):INDIRECT(AM$1&amp;AM$3&amp;$C189))</f>
        <v>105500.40799757888</v>
      </c>
      <c r="AN189" s="3119">
        <f t="shared" ca="1" si="272"/>
        <v>-71352.365282779268</v>
      </c>
      <c r="AO189" s="2768">
        <f t="shared" ca="1" si="322"/>
        <v>0.32367687825039748</v>
      </c>
      <c r="AP189" s="1221">
        <f ca="1">SUM(INDIRECT(AP$1&amp;AP$2&amp;$A189):INDIRECT(AP$1&amp;AP$3&amp;$A189))+SUM(INDIRECT(AP$1&amp;AP$2&amp;$B189):INDIRECT(AP$1&amp;AP$3&amp;$B189))</f>
        <v>0</v>
      </c>
      <c r="AQ189" s="3119">
        <f t="shared" ca="1" si="274"/>
        <v>34148.042714799602</v>
      </c>
      <c r="AR189" s="2768">
        <f t="shared" ca="1" si="323"/>
        <v>0</v>
      </c>
      <c r="AT189" s="1214">
        <f ca="1">SUM((INDIRECT(AT$2&amp;(ROW())):INDIRECT(AT$3&amp;(ROW()))))</f>
        <v>101067.25635526053</v>
      </c>
      <c r="AU189" s="1221">
        <f ca="1">SUM(INDIRECT(AU$1&amp;AU$2&amp;$C189):INDIRECT(AU$1&amp;AU$3&amp;$C189))</f>
        <v>311683.3300663312</v>
      </c>
      <c r="AV189" s="3119">
        <f t="shared" ca="1" si="276"/>
        <v>-210616.07371107067</v>
      </c>
      <c r="AW189" s="2768">
        <f t="shared" ca="1" si="324"/>
        <v>0.32426263006671485</v>
      </c>
      <c r="AX189" s="1221">
        <f ca="1">SUM(INDIRECT(AX$1&amp;AX$2&amp;$A189):INDIRECT(AX$1&amp;AX$3&amp;$A189))+SUM(INDIRECT(AX$1&amp;AX$2&amp;$B189):INDIRECT(AX$1&amp;AX$3&amp;$B189))</f>
        <v>0</v>
      </c>
      <c r="AY189" s="3119">
        <f t="shared" ca="1" si="278"/>
        <v>101067.25635526053</v>
      </c>
      <c r="AZ189" s="2768">
        <f t="shared" ca="1" si="325"/>
        <v>0</v>
      </c>
      <c r="BB189" s="1214">
        <f ca="1">SUM((INDIRECT(BB$2&amp;(ROW())):INDIRECT(BB$3&amp;(ROW()))))</f>
        <v>416163.26529663429</v>
      </c>
      <c r="BC189" s="1221">
        <f ca="1">SUM(INDIRECT(BC$1&amp;BC$2&amp;$C189):INDIRECT(BC$1&amp;BC$3&amp;$C189))</f>
        <v>535945.30696377915</v>
      </c>
      <c r="BD189" s="3119">
        <f t="shared" ca="1" si="280"/>
        <v>-119782.04166714486</v>
      </c>
      <c r="BE189" s="2768">
        <f t="shared" ca="1" si="326"/>
        <v>0.77650323622436324</v>
      </c>
      <c r="BF189" s="1221">
        <f ca="1">SUM(INDIRECT(BF$1&amp;BF$2&amp;$A189):INDIRECT(BF$1&amp;BF$3&amp;$A189))+SUM(INDIRECT(BF$1&amp;BF$2&amp;$B189):INDIRECT(BF$1&amp;BF$3&amp;$B189))</f>
        <v>0</v>
      </c>
      <c r="BG189" s="3119">
        <f t="shared" ca="1" si="282"/>
        <v>416163.26529663429</v>
      </c>
      <c r="BH189" s="2768">
        <f t="shared" ca="1" si="327"/>
        <v>0</v>
      </c>
    </row>
    <row r="190" spans="1:60" ht="14.5">
      <c r="A190" s="616">
        <f t="shared" si="265"/>
        <v>163</v>
      </c>
      <c r="B190" s="616">
        <v>1</v>
      </c>
      <c r="C190" s="616">
        <f t="shared" si="234"/>
        <v>187</v>
      </c>
      <c r="D190" s="709" t="s">
        <v>1308</v>
      </c>
      <c r="E190" s="2547">
        <v>1</v>
      </c>
      <c r="F190" s="4"/>
      <c r="G190" s="4"/>
      <c r="H190" s="4"/>
      <c r="I190" s="3144" t="s">
        <v>56</v>
      </c>
      <c r="J190" s="2026"/>
      <c r="K190" s="864"/>
      <c r="L190" s="864"/>
      <c r="M190" s="864"/>
      <c r="N190" s="864"/>
      <c r="O190" s="864"/>
      <c r="P190" s="864"/>
      <c r="Q190" s="1793" t="str">
        <f>CHOOSE(2, "6722000003109", "PL (2) Business Contribution Profit")</f>
        <v>PL (2) Business Contribution Profit</v>
      </c>
      <c r="R190" s="2575">
        <f>R176-R186</f>
        <v>39832.565712821524</v>
      </c>
      <c r="S190" s="3145">
        <f t="shared" ref="S190:AJ190" si="333">S176-S186</f>
        <v>45075.41273262084</v>
      </c>
      <c r="T190" s="3145">
        <f t="shared" si="333"/>
        <v>39684.434735615112</v>
      </c>
      <c r="U190" s="3145">
        <f t="shared" si="333"/>
        <v>55854.397885245198</v>
      </c>
      <c r="V190" s="3145">
        <f t="shared" si="333"/>
        <v>66074.894564421076</v>
      </c>
      <c r="W190" s="3145">
        <f t="shared" si="333"/>
        <v>29725.603084664384</v>
      </c>
      <c r="X190" s="3145">
        <f t="shared" si="333"/>
        <v>79156.977857484046</v>
      </c>
      <c r="Y190" s="3145">
        <f t="shared" si="333"/>
        <v>53558.495559722272</v>
      </c>
      <c r="Z190" s="3145">
        <f t="shared" si="333"/>
        <v>61802.155070994078</v>
      </c>
      <c r="AA190" s="3145">
        <f t="shared" si="333"/>
        <v>61565.65081524913</v>
      </c>
      <c r="AB190" s="3145">
        <f t="shared" si="333"/>
        <v>88057.726388018214</v>
      </c>
      <c r="AC190" s="3145">
        <f t="shared" si="333"/>
        <v>47132.814326648368</v>
      </c>
      <c r="AD190" s="3146">
        <f t="shared" si="333"/>
        <v>124592.41318105749</v>
      </c>
      <c r="AE190" s="3146">
        <f t="shared" si="333"/>
        <v>151654.89553433063</v>
      </c>
      <c r="AF190" s="3146">
        <f t="shared" si="333"/>
        <v>194517.62848820037</v>
      </c>
      <c r="AG190" s="3146">
        <f t="shared" si="333"/>
        <v>196756.19152991567</v>
      </c>
      <c r="AH190" s="3146">
        <f t="shared" si="333"/>
        <v>276247.30871538806</v>
      </c>
      <c r="AI190" s="3146">
        <f t="shared" si="333"/>
        <v>391273.82001811615</v>
      </c>
      <c r="AJ190" s="3146">
        <f t="shared" si="333"/>
        <v>667521.1287335041</v>
      </c>
      <c r="AL190" s="1305">
        <f ca="1">SUM((INDIRECT(AL$2&amp;(ROW())):INDIRECT(AL$3&amp;(ROW()))))</f>
        <v>47132.814326648368</v>
      </c>
      <c r="AM190" s="3146">
        <f ca="1">SUM(INDIRECT(AM$1&amp;AM$2&amp;$C190):INDIRECT(AM$1&amp;AM$3&amp;$C190))</f>
        <v>33896.9053290148</v>
      </c>
      <c r="AN190" s="3147">
        <f t="shared" ca="1" si="272"/>
        <v>13235.908997633567</v>
      </c>
      <c r="AO190" s="3148">
        <f t="shared" ca="1" si="322"/>
        <v>1.3904754392520902</v>
      </c>
      <c r="AP190" s="3146">
        <f ca="1">SUM(INDIRECT(AP$1&amp;AP$2&amp;$A190):INDIRECT(AP$1&amp;AP$3&amp;$A190))+SUM(INDIRECT(AP$1&amp;AP$2&amp;$B190):INDIRECT(AP$1&amp;AP$3&amp;$B190))</f>
        <v>0</v>
      </c>
      <c r="AQ190" s="3147">
        <f t="shared" ca="1" si="274"/>
        <v>47132.814326648368</v>
      </c>
      <c r="AR190" s="3148">
        <f t="shared" ca="1" si="323"/>
        <v>0</v>
      </c>
      <c r="AT190" s="1305">
        <f ca="1">SUM((INDIRECT(AT$2&amp;(ROW())):INDIRECT(AT$3&amp;(ROW()))))</f>
        <v>196756.19152991573</v>
      </c>
      <c r="AU190" s="3146">
        <f ca="1">SUM(INDIRECT(AU$1&amp;AU$2&amp;$C190):INDIRECT(AU$1&amp;AU$3&amp;$C190))</f>
        <v>97716.331351847199</v>
      </c>
      <c r="AV190" s="3147">
        <f t="shared" ca="1" si="276"/>
        <v>99039.860178068528</v>
      </c>
      <c r="AW190" s="3148">
        <f t="shared" ca="1" si="324"/>
        <v>2.0135446020937451</v>
      </c>
      <c r="AX190" s="3146">
        <f ca="1">SUM(INDIRECT(AX$1&amp;AX$2&amp;$A190):INDIRECT(AX$1&amp;AX$3&amp;$A190))+SUM(INDIRECT(AX$1&amp;AX$2&amp;$B190):INDIRECT(AX$1&amp;AX$3&amp;$B190))</f>
        <v>0</v>
      </c>
      <c r="AY190" s="3147">
        <f t="shared" ca="1" si="278"/>
        <v>196756.19152991573</v>
      </c>
      <c r="AZ190" s="3148">
        <f t="shared" ca="1" si="325"/>
        <v>0</v>
      </c>
      <c r="BB190" s="1305">
        <f ca="1">SUM((INDIRECT(BB$2&amp;(ROW())):INDIRECT(BB$3&amp;(ROW()))))</f>
        <v>667521.12873350421</v>
      </c>
      <c r="BC190" s="3146">
        <f ca="1">SUM(INDIRECT(BC$1&amp;BC$2&amp;$C190):INDIRECT(BC$1&amp;BC$3&amp;$C190))</f>
        <v>179123.19054420071</v>
      </c>
      <c r="BD190" s="3147">
        <f t="shared" ca="1" si="280"/>
        <v>488397.9381893035</v>
      </c>
      <c r="BE190" s="3148">
        <f t="shared" ca="1" si="326"/>
        <v>3.7266036112101615</v>
      </c>
      <c r="BF190" s="3146">
        <f ca="1">SUM(INDIRECT(BF$1&amp;BF$2&amp;$A190):INDIRECT(BF$1&amp;BF$3&amp;$A190))+SUM(INDIRECT(BF$1&amp;BF$2&amp;$B190):INDIRECT(BF$1&amp;BF$3&amp;$B190))</f>
        <v>0</v>
      </c>
      <c r="BG190" s="3147">
        <f t="shared" ca="1" si="282"/>
        <v>667521.12873350421</v>
      </c>
      <c r="BH190" s="3148">
        <f t="shared" ca="1" si="327"/>
        <v>0</v>
      </c>
    </row>
    <row r="191" spans="1:60" ht="14.5">
      <c r="A191" s="616">
        <f t="shared" si="265"/>
        <v>164</v>
      </c>
      <c r="B191" s="616">
        <v>1</v>
      </c>
      <c r="C191" s="616">
        <f t="shared" si="234"/>
        <v>188</v>
      </c>
      <c r="D191" s="709" t="s">
        <v>1308</v>
      </c>
      <c r="E191" s="2547">
        <v>1</v>
      </c>
      <c r="F191" s="4"/>
      <c r="G191" s="4"/>
      <c r="H191" s="4"/>
      <c r="I191" s="25"/>
      <c r="J191" s="511" t="s">
        <v>55</v>
      </c>
      <c r="K191" s="2"/>
      <c r="L191" s="2"/>
      <c r="M191" s="1"/>
      <c r="N191" s="1"/>
      <c r="O191" s="1"/>
      <c r="P191" s="1"/>
      <c r="Q191" s="1792" t="str">
        <f>CHOOSE(2, "6722000003110", "PL (2) Business Contribution Profit (%)")</f>
        <v>PL (2) Business Contribution Profit (%)</v>
      </c>
      <c r="R191" s="1323">
        <f t="shared" ref="R191:AJ191" si="334">IFERROR(R190/R154,0)</f>
        <v>8.4860458410447467E-2</v>
      </c>
      <c r="S191" s="1322">
        <f t="shared" si="334"/>
        <v>9.674641560252846E-2</v>
      </c>
      <c r="T191" s="1322">
        <f t="shared" si="334"/>
        <v>8.4752880988933188E-2</v>
      </c>
      <c r="U191" s="1322">
        <f t="shared" si="334"/>
        <v>0.11383245403292871</v>
      </c>
      <c r="V191" s="1322">
        <f t="shared" si="334"/>
        <v>0.12143370161951064</v>
      </c>
      <c r="W191" s="1322">
        <f t="shared" si="334"/>
        <v>7.0712277839886345E-2</v>
      </c>
      <c r="X191" s="1322">
        <f t="shared" si="334"/>
        <v>0.12542938204732787</v>
      </c>
      <c r="Y191" s="1322">
        <f t="shared" si="334"/>
        <v>0.10209786030676403</v>
      </c>
      <c r="Z191" s="1322">
        <f t="shared" si="334"/>
        <v>0.1200617676264035</v>
      </c>
      <c r="AA191" s="1322">
        <f t="shared" si="334"/>
        <v>0.10894531435739335</v>
      </c>
      <c r="AB191" s="1322">
        <f t="shared" si="334"/>
        <v>0.14732097828610421</v>
      </c>
      <c r="AC191" s="1322">
        <f t="shared" si="334"/>
        <v>0.10340746939240138</v>
      </c>
      <c r="AD191" s="1322">
        <f t="shared" si="334"/>
        <v>8.8770182503697795E-2</v>
      </c>
      <c r="AE191" s="1322">
        <f t="shared" si="334"/>
        <v>0.1042180492265774</v>
      </c>
      <c r="AF191" s="1322">
        <f t="shared" si="334"/>
        <v>0.11644826572953787</v>
      </c>
      <c r="AG191" s="1322">
        <f t="shared" si="334"/>
        <v>0.12155723762065183</v>
      </c>
      <c r="AH191" s="1322">
        <f t="shared" si="334"/>
        <v>9.6633615321548544E-2</v>
      </c>
      <c r="AI191" s="1322">
        <f t="shared" si="334"/>
        <v>0.11896252749444024</v>
      </c>
      <c r="AJ191" s="1322">
        <f t="shared" si="334"/>
        <v>0.10857958270531226</v>
      </c>
      <c r="AK191" s="504"/>
      <c r="AL191" s="1323">
        <f ca="1">IFERROR(AL190/AL154,0)</f>
        <v>0.10340746939240138</v>
      </c>
      <c r="AM191" s="1322">
        <f ca="1">IFERROR(AM190/AM154,0)</f>
        <v>-37.103501214473219</v>
      </c>
      <c r="AN191" s="1322">
        <f t="shared" ca="1" si="272"/>
        <v>37.20690868386562</v>
      </c>
      <c r="AO191" s="2802"/>
      <c r="AP191" s="1322">
        <f ca="1">IFERROR(AP190/AP154,0)</f>
        <v>0</v>
      </c>
      <c r="AQ191" s="1322">
        <f t="shared" ca="1" si="274"/>
        <v>0.10340746939240138</v>
      </c>
      <c r="AR191" s="2802"/>
      <c r="AS191" s="504"/>
      <c r="AT191" s="1323">
        <f ca="1">IFERROR(AT190/AT154,0)</f>
        <v>0.12155723762065186</v>
      </c>
      <c r="AU191" s="1322">
        <f ca="1">IFERROR(AU190/AU154,0)</f>
        <v>-35.140519292174325</v>
      </c>
      <c r="AV191" s="1322">
        <f t="shared" ca="1" si="276"/>
        <v>35.262076529794975</v>
      </c>
      <c r="AW191" s="2802"/>
      <c r="AX191" s="1322">
        <f ca="1">IFERROR(AX190/AX154,0)</f>
        <v>0</v>
      </c>
      <c r="AY191" s="1322">
        <f t="shared" ca="1" si="278"/>
        <v>0.12155723762065186</v>
      </c>
      <c r="AZ191" s="2802"/>
      <c r="BA191" s="504"/>
      <c r="BB191" s="1323">
        <f ca="1">IFERROR(BB190/BB154,0)</f>
        <v>0.10857958270531229</v>
      </c>
      <c r="BC191" s="1322">
        <f ca="1">IFERROR(BC190/BC154,0)</f>
        <v>-37.806572034610525</v>
      </c>
      <c r="BD191" s="1322">
        <f t="shared" ca="1" si="280"/>
        <v>37.915151617315836</v>
      </c>
      <c r="BE191" s="2802"/>
      <c r="BF191" s="1322">
        <f ca="1">IFERROR(BF190/BF154,0)</f>
        <v>0</v>
      </c>
      <c r="BG191" s="1322">
        <f t="shared" ca="1" si="282"/>
        <v>0.10857958270531229</v>
      </c>
      <c r="BH191" s="2802"/>
    </row>
    <row r="192" spans="1:60" ht="14.5">
      <c r="A192" s="616">
        <f t="shared" si="265"/>
        <v>165</v>
      </c>
      <c r="B192" s="616">
        <v>1</v>
      </c>
      <c r="C192" s="616">
        <f t="shared" si="234"/>
        <v>189</v>
      </c>
      <c r="D192" s="709" t="s">
        <v>1308</v>
      </c>
      <c r="E192" s="2547">
        <v>1</v>
      </c>
      <c r="F192" s="4"/>
      <c r="G192" s="4"/>
      <c r="H192" s="4"/>
      <c r="I192" s="3041" t="s">
        <v>1333</v>
      </c>
      <c r="J192" s="447"/>
      <c r="K192" s="514"/>
      <c r="L192" s="514"/>
      <c r="M192" s="447"/>
      <c r="N192" s="447"/>
      <c r="O192" s="447"/>
      <c r="P192" s="447"/>
      <c r="Q192" s="1790" t="str">
        <f>CHOOSE(2, "6722000003111", "PL (2) Other Income")</f>
        <v>PL (2) Other Income</v>
      </c>
      <c r="R192" s="1388">
        <v>6887</v>
      </c>
      <c r="S192" s="3039">
        <v>260</v>
      </c>
      <c r="T192" s="3039">
        <v>15</v>
      </c>
      <c r="U192" s="3039">
        <v>163</v>
      </c>
      <c r="V192" s="3039">
        <v>304.70994725272249</v>
      </c>
      <c r="W192" s="3039">
        <v>14</v>
      </c>
      <c r="X192" s="3039">
        <v>0</v>
      </c>
      <c r="Y192" s="3039">
        <v>192</v>
      </c>
      <c r="Z192" s="3039">
        <f>1950.50908181451+61005</f>
        <v>62955.509081814511</v>
      </c>
      <c r="AA192" s="3039">
        <v>3663.1910393582725</v>
      </c>
      <c r="AB192" s="3039">
        <v>881.18672944502691</v>
      </c>
      <c r="AC192" s="3039">
        <v>24150.30144646551</v>
      </c>
      <c r="AD192" s="3095">
        <f>SUM(R192,S192,T192)</f>
        <v>7162</v>
      </c>
      <c r="AE192" s="3095">
        <f t="shared" ref="AE192:AE193" si="335">SUM(U192,V192,W192)</f>
        <v>481.70994725272249</v>
      </c>
      <c r="AF192" s="3095">
        <f t="shared" ref="AF192:AF193" si="336">SUM(X192,Y192,Z192)</f>
        <v>63147.509081814511</v>
      </c>
      <c r="AG192" s="3095">
        <f t="shared" ref="AG192:AG193" si="337">SUM(AA192,AB192,AC192)</f>
        <v>28694.67921526881</v>
      </c>
      <c r="AH192" s="3095">
        <f>AD192+AE192</f>
        <v>7643.7099472527225</v>
      </c>
      <c r="AI192" s="3095">
        <f>AG192+AF192</f>
        <v>91842.188297083325</v>
      </c>
      <c r="AJ192" s="3095">
        <f>AH192+AI192</f>
        <v>99485.898244336044</v>
      </c>
      <c r="AL192" s="3112">
        <f ca="1">SUM((INDIRECT(AL$2&amp;(ROW())):INDIRECT(AL$3&amp;(ROW()))))</f>
        <v>24150.30144646551</v>
      </c>
      <c r="AM192" s="3095">
        <f ca="1">SUM(INDIRECT(AM$1&amp;AM$2&amp;$C192):INDIRECT(AM$1&amp;AM$3&amp;$C192))</f>
        <v>36343.578022861308</v>
      </c>
      <c r="AN192" s="3129">
        <f t="shared" ca="1" si="272"/>
        <v>-12193.276576395798</v>
      </c>
      <c r="AO192" s="3130">
        <f ca="1">IFERROR(AL192/AM192,0)</f>
        <v>0.66449983078920227</v>
      </c>
      <c r="AP192" s="3095">
        <f ca="1">SUM(INDIRECT(AP$1&amp;AP$2&amp;$A192):INDIRECT(AP$1&amp;AP$3&amp;$A192))+SUM(INDIRECT(AP$1&amp;AP$2&amp;$B192):INDIRECT(AP$1&amp;AP$3&amp;$B192))</f>
        <v>107281.05097041666</v>
      </c>
      <c r="AQ192" s="3129">
        <f t="shared" ca="1" si="274"/>
        <v>-83130.749523951148</v>
      </c>
      <c r="AR192" s="3130">
        <f ca="1">IFERROR(AL192/AP192,0)</f>
        <v>0.22511246140872621</v>
      </c>
      <c r="AT192" s="3112">
        <f ca="1">SUM((INDIRECT(AT$2&amp;(ROW())):INDIRECT(AT$3&amp;(ROW()))))</f>
        <v>28694.67921526881</v>
      </c>
      <c r="AU192" s="3095">
        <f ca="1">SUM(INDIRECT(AU$1&amp;AU$2&amp;$C192):INDIRECT(AU$1&amp;AU$3&amp;$C192))</f>
        <v>108587.22477737567</v>
      </c>
      <c r="AV192" s="3129">
        <f t="shared" ca="1" si="276"/>
        <v>-79892.545562106854</v>
      </c>
      <c r="AW192" s="3130">
        <f ca="1">IFERROR(AT192/AU192,0)</f>
        <v>0.26425465126397996</v>
      </c>
      <c r="AX192" s="3095">
        <f ca="1">SUM(INDIRECT(AX$1&amp;AX$2&amp;$A192):INDIRECT(AX$1&amp;AX$3&amp;$A192))+SUM(INDIRECT(AX$1&amp;AX$2&amp;$B192):INDIRECT(AX$1&amp;AX$3&amp;$B192))</f>
        <v>298282.05097041663</v>
      </c>
      <c r="AY192" s="3129">
        <f t="shared" ca="1" si="278"/>
        <v>-269587.37175514782</v>
      </c>
      <c r="AZ192" s="3130">
        <f ca="1">IFERROR(AT192/AX192,0)</f>
        <v>9.6199818667985243E-2</v>
      </c>
      <c r="BB192" s="3112">
        <f ca="1">SUM((INDIRECT(BB$2&amp;(ROW())):INDIRECT(BB$3&amp;(ROW()))))</f>
        <v>99485.898244336029</v>
      </c>
      <c r="BC192" s="3095">
        <f ca="1">SUM(INDIRECT(BC$1&amp;BC$2&amp;$C192):INDIRECT(BC$1&amp;BC$3&amp;$C192))</f>
        <v>181789.15985773134</v>
      </c>
      <c r="BD192" s="3129">
        <f t="shared" ca="1" si="280"/>
        <v>-82303.261613395312</v>
      </c>
      <c r="BE192" s="3130">
        <f ca="1">IFERROR(BB192/BC192,0)</f>
        <v>0.5472597943804457</v>
      </c>
      <c r="BF192" s="3095">
        <f ca="1">SUM(INDIRECT(BF$1&amp;BF$2&amp;$A192):INDIRECT(BF$1&amp;BF$3&amp;$A192))+SUM(INDIRECT(BF$1&amp;BF$2&amp;$B192):INDIRECT(BF$1&amp;BF$3&amp;$B192))</f>
        <v>1035775.3246610098</v>
      </c>
      <c r="BG192" s="3129">
        <f t="shared" ca="1" si="282"/>
        <v>-936289.42641667381</v>
      </c>
      <c r="BH192" s="3130">
        <f ca="1">IFERROR(BB192/BF192,0)</f>
        <v>9.6049689421686055E-2</v>
      </c>
    </row>
    <row r="193" spans="1:60" ht="14.5">
      <c r="A193" s="616">
        <f t="shared" si="265"/>
        <v>166</v>
      </c>
      <c r="B193" s="616">
        <v>1</v>
      </c>
      <c r="C193" s="616">
        <f t="shared" si="234"/>
        <v>190</v>
      </c>
      <c r="D193" s="709" t="s">
        <v>1308</v>
      </c>
      <c r="E193" s="2547">
        <v>1</v>
      </c>
      <c r="F193" s="4"/>
      <c r="G193" s="4"/>
      <c r="H193" s="4"/>
      <c r="I193" s="106" t="s">
        <v>1334</v>
      </c>
      <c r="J193" s="104"/>
      <c r="K193" s="105"/>
      <c r="L193" s="105"/>
      <c r="M193" s="104"/>
      <c r="N193" s="104"/>
      <c r="O193" s="104"/>
      <c r="P193" s="104"/>
      <c r="Q193" s="1790" t="str">
        <f>CHOOSE(2, "6722000003112", "PL (2) Other Expenses")</f>
        <v>PL (2) Other Expenses</v>
      </c>
      <c r="R193" s="1213">
        <v>0</v>
      </c>
      <c r="S193" s="1216">
        <v>0</v>
      </c>
      <c r="T193" s="1216">
        <v>0</v>
      </c>
      <c r="U193" s="1216">
        <v>0</v>
      </c>
      <c r="V193" s="1216">
        <v>0</v>
      </c>
      <c r="W193" s="1216">
        <v>0</v>
      </c>
      <c r="X193" s="1216">
        <v>0</v>
      </c>
      <c r="Y193" s="1216">
        <v>0</v>
      </c>
      <c r="Z193" s="1216">
        <v>0</v>
      </c>
      <c r="AA193" s="1216">
        <v>0</v>
      </c>
      <c r="AB193" s="1216">
        <v>0</v>
      </c>
      <c r="AC193" s="1216">
        <v>0</v>
      </c>
      <c r="AD193" s="80">
        <f>SUM(R193,S193,T193)</f>
        <v>0</v>
      </c>
      <c r="AE193" s="80">
        <f t="shared" si="335"/>
        <v>0</v>
      </c>
      <c r="AF193" s="80">
        <f t="shared" si="336"/>
        <v>0</v>
      </c>
      <c r="AG193" s="80">
        <f t="shared" si="337"/>
        <v>0</v>
      </c>
      <c r="AH193" s="80">
        <f>AD193+AE193</f>
        <v>0</v>
      </c>
      <c r="AI193" s="80">
        <f>AG193+AF193</f>
        <v>0</v>
      </c>
      <c r="AJ193" s="80">
        <f>AH193+AI193</f>
        <v>0</v>
      </c>
      <c r="AL193" s="60">
        <f ca="1">SUM((INDIRECT(AL$2&amp;(ROW())):INDIRECT(AL$3&amp;(ROW()))))</f>
        <v>0</v>
      </c>
      <c r="AM193" s="80">
        <f ca="1">SUM(INDIRECT(AM$1&amp;AM$2&amp;$C193):INDIRECT(AM$1&amp;AM$3&amp;$C193))</f>
        <v>37674.52546792294</v>
      </c>
      <c r="AN193" s="3111">
        <f t="shared" ca="1" si="272"/>
        <v>-37674.52546792294</v>
      </c>
      <c r="AO193" s="2760">
        <f ca="1">IFERROR(AL193/AM193,0)</f>
        <v>0</v>
      </c>
      <c r="AP193" s="80">
        <f ca="1">SUM(INDIRECT(AP$1&amp;AP$2&amp;$A193):INDIRECT(AP$1&amp;AP$3&amp;$A193))+SUM(INDIRECT(AP$1&amp;AP$2&amp;$B193):INDIRECT(AP$1&amp;AP$3&amp;$B193))</f>
        <v>300142.9853</v>
      </c>
      <c r="AQ193" s="3111">
        <f t="shared" ca="1" si="274"/>
        <v>-300142.9853</v>
      </c>
      <c r="AR193" s="2760">
        <f ca="1">IFERROR(AL193/AP193,0)</f>
        <v>0</v>
      </c>
      <c r="AT193" s="60">
        <f ca="1">SUM((INDIRECT(AT$2&amp;(ROW())):INDIRECT(AT$3&amp;(ROW()))))</f>
        <v>0</v>
      </c>
      <c r="AU193" s="80">
        <f ca="1">SUM(INDIRECT(AU$1&amp;AU$2&amp;$C193):INDIRECT(AU$1&amp;AU$3&amp;$C193))</f>
        <v>115257.24281206047</v>
      </c>
      <c r="AV193" s="3111">
        <f t="shared" ca="1" si="276"/>
        <v>-115257.24281206047</v>
      </c>
      <c r="AW193" s="2760">
        <f ca="1">IFERROR(AT193/AU193,0)</f>
        <v>0</v>
      </c>
      <c r="AX193" s="80">
        <f ca="1">SUM(INDIRECT(AX$1&amp;AX$2&amp;$A193):INDIRECT(AX$1&amp;AX$3&amp;$A193))+SUM(INDIRECT(AX$1&amp;AX$2&amp;$B193):INDIRECT(AX$1&amp;AX$3&amp;$B193))</f>
        <v>817022.98530000006</v>
      </c>
      <c r="AY193" s="3111">
        <f t="shared" ca="1" si="278"/>
        <v>-817022.98530000006</v>
      </c>
      <c r="AZ193" s="2760">
        <f ca="1">IFERROR(AT193/AX193,0)</f>
        <v>0</v>
      </c>
      <c r="BB193" s="60">
        <f ca="1">SUM((INDIRECT(BB$2&amp;(ROW())):INDIRECT(BB$3&amp;(ROW()))))</f>
        <v>0</v>
      </c>
      <c r="BC193" s="80">
        <f ca="1">SUM(INDIRECT(BC$1&amp;BC$2&amp;$C193):INDIRECT(BC$1&amp;BC$3&amp;$C193))</f>
        <v>283905.72481401451</v>
      </c>
      <c r="BD193" s="3111">
        <f t="shared" ca="1" si="280"/>
        <v>-283905.72481401451</v>
      </c>
      <c r="BE193" s="2760">
        <f ca="1">IFERROR(BB193/BC193,0)</f>
        <v>0</v>
      </c>
      <c r="BF193" s="80">
        <f ca="1">SUM(INDIRECT(BF$1&amp;BF$2&amp;$A193):INDIRECT(BF$1&amp;BF$3&amp;$A193))+SUM(INDIRECT(BF$1&amp;BF$2&amp;$B193):INDIRECT(BF$1&amp;BF$3&amp;$B193))</f>
        <v>2817919.4589893208</v>
      </c>
      <c r="BG193" s="3111">
        <f t="shared" ca="1" si="282"/>
        <v>-2817919.4589893208</v>
      </c>
      <c r="BH193" s="2760">
        <f ca="1">IFERROR(BB193/BF193,0)</f>
        <v>0</v>
      </c>
    </row>
    <row r="194" spans="1:60" ht="14.5">
      <c r="A194" s="616">
        <f t="shared" si="265"/>
        <v>167</v>
      </c>
      <c r="B194" s="616">
        <v>1</v>
      </c>
      <c r="C194" s="616">
        <f t="shared" si="234"/>
        <v>191</v>
      </c>
      <c r="D194" s="709" t="s">
        <v>1308</v>
      </c>
      <c r="E194" s="2547">
        <v>1</v>
      </c>
      <c r="F194" s="4"/>
      <c r="G194" s="4"/>
      <c r="H194" s="4"/>
      <c r="I194" s="3144" t="s">
        <v>1335</v>
      </c>
      <c r="J194" s="2026"/>
      <c r="K194" s="864"/>
      <c r="L194" s="864"/>
      <c r="M194" s="864"/>
      <c r="N194" s="864"/>
      <c r="O194" s="864"/>
      <c r="P194" s="864"/>
      <c r="Q194" s="1793" t="str">
        <f>CHOOSE(2, "6722000003113", "PL (2) Operating Profit")</f>
        <v>PL (2) Operating Profit</v>
      </c>
      <c r="R194" s="2575">
        <f>R190+R192-R193</f>
        <v>46719.565712821524</v>
      </c>
      <c r="S194" s="3145">
        <f t="shared" ref="S194:AJ194" si="338">S190+S192-S193</f>
        <v>45335.41273262084</v>
      </c>
      <c r="T194" s="3145">
        <f t="shared" si="338"/>
        <v>39699.434735615112</v>
      </c>
      <c r="U194" s="3145">
        <f t="shared" si="338"/>
        <v>56017.397885245198</v>
      </c>
      <c r="V194" s="3145">
        <f t="shared" si="338"/>
        <v>66379.604511673795</v>
      </c>
      <c r="W194" s="3145">
        <f t="shared" si="338"/>
        <v>29739.603084664384</v>
      </c>
      <c r="X194" s="3145">
        <f t="shared" si="338"/>
        <v>79156.977857484046</v>
      </c>
      <c r="Y194" s="3145">
        <f t="shared" si="338"/>
        <v>53750.495559722272</v>
      </c>
      <c r="Z194" s="3145">
        <f t="shared" si="338"/>
        <v>124757.66415280859</v>
      </c>
      <c r="AA194" s="3145">
        <f t="shared" si="338"/>
        <v>65228.841854607403</v>
      </c>
      <c r="AB194" s="3145">
        <f t="shared" si="338"/>
        <v>88938.913117463235</v>
      </c>
      <c r="AC194" s="3145">
        <f t="shared" si="338"/>
        <v>71283.115773113881</v>
      </c>
      <c r="AD194" s="3146">
        <f t="shared" si="338"/>
        <v>131754.41318105749</v>
      </c>
      <c r="AE194" s="3146">
        <f t="shared" si="338"/>
        <v>152136.60548158336</v>
      </c>
      <c r="AF194" s="3146">
        <f t="shared" si="338"/>
        <v>257665.13757001486</v>
      </c>
      <c r="AG194" s="3146">
        <f t="shared" si="338"/>
        <v>225450.87074518448</v>
      </c>
      <c r="AH194" s="3146">
        <f t="shared" si="338"/>
        <v>283891.01866264077</v>
      </c>
      <c r="AI194" s="3146">
        <f t="shared" si="338"/>
        <v>483116.00831519946</v>
      </c>
      <c r="AJ194" s="3146">
        <f t="shared" si="338"/>
        <v>767007.02697784011</v>
      </c>
      <c r="AL194" s="1305">
        <f ca="1">SUM((INDIRECT(AL$2&amp;(ROW())):INDIRECT(AL$3&amp;(ROW()))))</f>
        <v>71283.115773113881</v>
      </c>
      <c r="AM194" s="3146">
        <f ca="1">SUM(INDIRECT(AM$1&amp;AM$2&amp;$C194):INDIRECT(AM$1&amp;AM$3&amp;$C194))</f>
        <v>8.057664218489137E-2</v>
      </c>
      <c r="AN194" s="3147">
        <f t="shared" ca="1" si="272"/>
        <v>71283.035196471697</v>
      </c>
      <c r="AO194" s="3148">
        <f ca="1">IFERROR(AL194/AM194,0)</f>
        <v>884662.27730795066</v>
      </c>
      <c r="AP194" s="3146">
        <f ca="1">SUM(INDIRECT(AP$1&amp;AP$2&amp;$A194):INDIRECT(AP$1&amp;AP$3&amp;$A194))+SUM(INDIRECT(AP$1&amp;AP$2&amp;$B194):INDIRECT(AP$1&amp;AP$3&amp;$B194))</f>
        <v>273844.61379833298</v>
      </c>
      <c r="AQ194" s="3147">
        <f t="shared" ca="1" si="274"/>
        <v>-202561.4980252191</v>
      </c>
      <c r="AR194" s="3148">
        <f ca="1">IFERROR(AL194/AP194,0)</f>
        <v>0.26030497654998175</v>
      </c>
      <c r="AT194" s="1305">
        <f ca="1">SUM((INDIRECT(AT$2&amp;(ROW())):INDIRECT(AT$3&amp;(ROW()))))</f>
        <v>225450.87074518451</v>
      </c>
      <c r="AU194" s="3146">
        <f ca="1">SUM(INDIRECT(AU$1&amp;AU$2&amp;$C194):INDIRECT(AU$1&amp;AU$3&amp;$C194))</f>
        <v>0.24847846748463293</v>
      </c>
      <c r="AV194" s="3147">
        <f t="shared" ca="1" si="276"/>
        <v>225450.62226671702</v>
      </c>
      <c r="AW194" s="3148">
        <f ca="1">IFERROR(AT194/AU194,0)</f>
        <v>907325.5844960789</v>
      </c>
      <c r="AX194" s="3146">
        <f ca="1">SUM(INDIRECT(AX$1&amp;AX$2&amp;$A194):INDIRECT(AX$1&amp;AX$3&amp;$A194))+SUM(INDIRECT(AX$1&amp;AX$2&amp;$B194):INDIRECT(AX$1&amp;AX$3&amp;$B194))</f>
        <v>758773.61379833298</v>
      </c>
      <c r="AY194" s="3147">
        <f t="shared" ca="1" si="278"/>
        <v>-533322.7430531485</v>
      </c>
      <c r="AZ194" s="3148">
        <f ca="1">IFERROR(AT194/AX194,0)</f>
        <v>0.29712534364051424</v>
      </c>
      <c r="BB194" s="1305">
        <f ca="1">SUM((INDIRECT(BB$2&amp;(ROW())):INDIRECT(BB$3&amp;(ROW()))))</f>
        <v>767007.02697784046</v>
      </c>
      <c r="BC194" s="3146">
        <f ca="1">SUM(INDIRECT(BC$1&amp;BC$2&amp;$C194):INDIRECT(BC$1&amp;BC$3&amp;$C194))</f>
        <v>0.55140637961922323</v>
      </c>
      <c r="BD194" s="3147">
        <f t="shared" ca="1" si="280"/>
        <v>767006.47557146079</v>
      </c>
      <c r="BE194" s="3148">
        <f ca="1">IFERROR(BB194/BC194,0)</f>
        <v>1391001.3654675186</v>
      </c>
      <c r="BF194" s="3146">
        <f ca="1">SUM(INDIRECT(BF$1&amp;BF$2&amp;$A194):INDIRECT(BF$1&amp;BF$3&amp;$A194))+SUM(INDIRECT(BF$1&amp;BF$2&amp;$B194):INDIRECT(BF$1&amp;BF$3&amp;$B194))</f>
        <v>2594955.6137983329</v>
      </c>
      <c r="BG194" s="3147">
        <f t="shared" ca="1" si="282"/>
        <v>-1827948.5868204925</v>
      </c>
      <c r="BH194" s="3148">
        <f ca="1">IFERROR(BB194/BF194,0)</f>
        <v>0.29557616434723666</v>
      </c>
    </row>
    <row r="195" spans="1:60" ht="14.5">
      <c r="A195" s="616">
        <f t="shared" si="265"/>
        <v>168</v>
      </c>
      <c r="B195" s="616">
        <v>1</v>
      </c>
      <c r="C195" s="616">
        <f t="shared" si="234"/>
        <v>192</v>
      </c>
      <c r="D195" s="709" t="s">
        <v>1308</v>
      </c>
      <c r="E195" s="2547">
        <v>1</v>
      </c>
      <c r="F195" s="4"/>
      <c r="G195" s="4"/>
      <c r="H195" s="4"/>
      <c r="I195" s="25"/>
      <c r="J195" s="511" t="s">
        <v>55</v>
      </c>
      <c r="K195" s="2"/>
      <c r="L195" s="2"/>
      <c r="M195" s="1"/>
      <c r="N195" s="1"/>
      <c r="O195" s="1"/>
      <c r="P195" s="1"/>
      <c r="Q195" s="1792" t="str">
        <f>CHOOSE(2, "6722000003114", "PL (2) Operating Profit (%)")</f>
        <v>PL (2) Operating Profit (%)</v>
      </c>
      <c r="R195" s="1323">
        <f t="shared" ref="R195:AJ195" si="339">IFERROR(R194/R154,0)</f>
        <v>9.9532723844873924E-2</v>
      </c>
      <c r="S195" s="1322">
        <f t="shared" si="339"/>
        <v>9.7304459700890161E-2</v>
      </c>
      <c r="T195" s="1322">
        <f t="shared" si="339"/>
        <v>8.4784916048101955E-2</v>
      </c>
      <c r="U195" s="1322">
        <f t="shared" si="339"/>
        <v>0.11416465150904311</v>
      </c>
      <c r="V195" s="1322">
        <f t="shared" si="339"/>
        <v>0.12199370337296191</v>
      </c>
      <c r="W195" s="1322">
        <f t="shared" si="339"/>
        <v>7.0745581517088083E-2</v>
      </c>
      <c r="X195" s="1322">
        <f t="shared" si="339"/>
        <v>0.12542938204732787</v>
      </c>
      <c r="Y195" s="1322">
        <f t="shared" si="339"/>
        <v>0.10246386739815141</v>
      </c>
      <c r="Z195" s="1322">
        <f t="shared" si="339"/>
        <v>0.2423641322203243</v>
      </c>
      <c r="AA195" s="1322">
        <f t="shared" si="339"/>
        <v>0.11542762217107481</v>
      </c>
      <c r="AB195" s="1322">
        <f t="shared" si="339"/>
        <v>0.14879520770763782</v>
      </c>
      <c r="AC195" s="1322">
        <f t="shared" si="339"/>
        <v>0.15639224429540757</v>
      </c>
      <c r="AD195" s="1322">
        <f t="shared" si="339"/>
        <v>9.3872997601817609E-2</v>
      </c>
      <c r="AE195" s="1322">
        <f t="shared" si="339"/>
        <v>0.10454908285934499</v>
      </c>
      <c r="AF195" s="1322">
        <f t="shared" si="339"/>
        <v>0.15425161535326415</v>
      </c>
      <c r="AG195" s="1322">
        <f t="shared" si="339"/>
        <v>0.13928499456032847</v>
      </c>
      <c r="AH195" s="1322">
        <f t="shared" si="339"/>
        <v>9.9307448887953773E-2</v>
      </c>
      <c r="AI195" s="1322">
        <f t="shared" si="339"/>
        <v>0.14688614080937007</v>
      </c>
      <c r="AJ195" s="1322">
        <f t="shared" si="339"/>
        <v>0.12476204772619959</v>
      </c>
      <c r="AK195" s="504"/>
      <c r="AL195" s="1323">
        <f ca="1">IFERROR(AL194/AL154,0)</f>
        <v>0.15639224429540757</v>
      </c>
      <c r="AM195" s="1322">
        <f ca="1">IFERROR(AM194/AM154,0)</f>
        <v>-8.8199070450428776E-5</v>
      </c>
      <c r="AN195" s="1322">
        <f t="shared" ca="1" si="272"/>
        <v>0.15648044336585801</v>
      </c>
      <c r="AO195" s="2802"/>
      <c r="AP195" s="1322">
        <f ca="1">IFERROR(AP194/AP154,0)</f>
        <v>0</v>
      </c>
      <c r="AQ195" s="1322">
        <f t="shared" ca="1" si="274"/>
        <v>0.15639224429540757</v>
      </c>
      <c r="AR195" s="2802"/>
      <c r="AS195" s="504"/>
      <c r="AT195" s="1323">
        <f ca="1">IFERROR(AT194/AT154,0)</f>
        <v>0.1392849945603285</v>
      </c>
      <c r="AU195" s="1322">
        <f ca="1">IFERROR(AU194/AU154,0)</f>
        <v>-8.9357247243488478E-5</v>
      </c>
      <c r="AV195" s="1322">
        <f t="shared" ca="1" si="276"/>
        <v>0.13937435180757199</v>
      </c>
      <c r="AW195" s="2802"/>
      <c r="AX195" s="1322">
        <f ca="1">IFERROR(AX194/AX154,0)</f>
        <v>0</v>
      </c>
      <c r="AY195" s="1322">
        <f t="shared" ca="1" si="278"/>
        <v>0.1392849945603285</v>
      </c>
      <c r="AZ195" s="2802"/>
      <c r="BA195" s="504"/>
      <c r="BB195" s="1323">
        <f ca="1">IFERROR(BB194/BB154,0)</f>
        <v>0.12476204772619967</v>
      </c>
      <c r="BC195" s="1322">
        <f ca="1">IFERROR(BC194/BC154,0)</f>
        <v>-1.1638238995231485E-4</v>
      </c>
      <c r="BD195" s="1322">
        <f t="shared" ca="1" si="280"/>
        <v>0.12487843011615199</v>
      </c>
      <c r="BE195" s="2802"/>
      <c r="BF195" s="1322">
        <f ca="1">IFERROR(BF194/BF154,0)</f>
        <v>0</v>
      </c>
      <c r="BG195" s="1322">
        <f t="shared" ca="1" si="282"/>
        <v>0.12476204772619967</v>
      </c>
      <c r="BH195" s="2802"/>
    </row>
    <row r="196" spans="1:60" ht="14.5">
      <c r="A196" s="616">
        <f t="shared" si="265"/>
        <v>169</v>
      </c>
      <c r="B196" s="616">
        <v>1</v>
      </c>
      <c r="C196" s="616">
        <f t="shared" si="234"/>
        <v>193</v>
      </c>
      <c r="D196" s="709" t="s">
        <v>1308</v>
      </c>
      <c r="E196" s="2544">
        <v>1</v>
      </c>
      <c r="F196" s="8"/>
      <c r="G196" s="737"/>
      <c r="H196" s="4"/>
      <c r="I196" s="4"/>
      <c r="J196" s="3"/>
      <c r="K196" s="3153" t="s">
        <v>1398</v>
      </c>
      <c r="L196" s="707"/>
      <c r="M196" s="586"/>
      <c r="N196" s="586"/>
      <c r="O196" s="586"/>
      <c r="P196" s="586"/>
      <c r="Q196" s="1785" t="str">
        <f>CHOOSE(2, "6722000003115", "PL (2) CAI (%)")</f>
        <v>PL (2) CAI (%)</v>
      </c>
      <c r="R196" s="1368">
        <f>R435</f>
        <v>0.67798808966629986</v>
      </c>
      <c r="S196" s="1368">
        <f t="shared" ref="S196:AJ196" si="340">S435</f>
        <v>0.7007591273264504</v>
      </c>
      <c r="T196" s="1368">
        <f t="shared" si="340"/>
        <v>0.68858381840019045</v>
      </c>
      <c r="U196" s="1368">
        <f t="shared" si="340"/>
        <v>0.69120501603437423</v>
      </c>
      <c r="V196" s="1368">
        <f t="shared" si="340"/>
        <v>0.69208219145253591</v>
      </c>
      <c r="W196" s="1368">
        <f t="shared" si="340"/>
        <v>0.69207796691089052</v>
      </c>
      <c r="X196" s="1368">
        <f t="shared" si="340"/>
        <v>0.69208290072521261</v>
      </c>
      <c r="Y196" s="1368">
        <f t="shared" si="340"/>
        <v>0.69208035414792557</v>
      </c>
      <c r="Z196" s="1368">
        <f t="shared" si="340"/>
        <v>0.69208041988070135</v>
      </c>
      <c r="AA196" s="1368">
        <f t="shared" si="340"/>
        <v>0.62182520296780841</v>
      </c>
      <c r="AB196" s="1368">
        <f t="shared" si="340"/>
        <v>0.69207492950483773</v>
      </c>
      <c r="AC196" s="1368">
        <f t="shared" si="340"/>
        <v>0.50788501074141434</v>
      </c>
      <c r="AD196" s="3154">
        <f t="shared" si="340"/>
        <v>0.68770515724076053</v>
      </c>
      <c r="AE196" s="1368">
        <f t="shared" si="340"/>
        <v>0.69172405518883828</v>
      </c>
      <c r="AF196" s="1368">
        <f t="shared" si="340"/>
        <v>0.69208142324424304</v>
      </c>
      <c r="AG196" s="1368">
        <f t="shared" si="340"/>
        <v>0.60579012920851227</v>
      </c>
      <c r="AH196" s="1368">
        <f t="shared" si="340"/>
        <v>0.68956123824161086</v>
      </c>
      <c r="AI196" s="1368">
        <f t="shared" si="340"/>
        <v>0.65696868418995513</v>
      </c>
      <c r="AJ196" s="1368">
        <f t="shared" si="340"/>
        <v>0.67228972543827803</v>
      </c>
      <c r="AL196" s="2746">
        <f ca="1">AL435</f>
        <v>0</v>
      </c>
      <c r="AM196" s="2746">
        <f ca="1">AM435</f>
        <v>0</v>
      </c>
      <c r="AN196" s="2746">
        <f t="shared" ca="1" si="272"/>
        <v>0</v>
      </c>
      <c r="AO196" s="2747"/>
      <c r="AP196" s="2746">
        <f ca="1">AP435</f>
        <v>0</v>
      </c>
      <c r="AQ196" s="2746">
        <f t="shared" ca="1" si="274"/>
        <v>0</v>
      </c>
      <c r="AR196" s="2748"/>
      <c r="AT196" s="2746">
        <f ca="1">AT435</f>
        <v>0</v>
      </c>
      <c r="AU196" s="2746">
        <f ca="1">AU435</f>
        <v>0</v>
      </c>
      <c r="AV196" s="2746">
        <f t="shared" ca="1" si="276"/>
        <v>0</v>
      </c>
      <c r="AW196" s="2747"/>
      <c r="AX196" s="2746">
        <f ca="1">AX435</f>
        <v>0</v>
      </c>
      <c r="AY196" s="2746">
        <f t="shared" ca="1" si="278"/>
        <v>0</v>
      </c>
      <c r="AZ196" s="2748"/>
      <c r="BA196" s="69"/>
      <c r="BB196" s="2746">
        <f ca="1">BB435</f>
        <v>0</v>
      </c>
      <c r="BC196" s="2746">
        <f ca="1">BC435</f>
        <v>0</v>
      </c>
      <c r="BD196" s="2746">
        <f t="shared" ca="1" si="280"/>
        <v>0</v>
      </c>
      <c r="BE196" s="2749"/>
      <c r="BF196" s="2746">
        <f ca="1">BF435</f>
        <v>0</v>
      </c>
      <c r="BG196" s="2746">
        <f t="shared" ca="1" si="282"/>
        <v>0</v>
      </c>
      <c r="BH196" s="2748"/>
    </row>
    <row r="197" spans="1:60" ht="14.5">
      <c r="A197" s="616">
        <f t="shared" si="265"/>
        <v>170</v>
      </c>
      <c r="B197" s="616">
        <v>1</v>
      </c>
      <c r="C197" s="616">
        <f t="shared" si="234"/>
        <v>194</v>
      </c>
      <c r="D197" s="709" t="s">
        <v>1308</v>
      </c>
      <c r="E197" s="2544">
        <v>1</v>
      </c>
      <c r="F197" s="8"/>
      <c r="G197" s="737"/>
      <c r="H197" s="4"/>
      <c r="I197" s="4"/>
      <c r="J197" s="3"/>
      <c r="K197" s="27"/>
      <c r="L197" s="3101" t="s">
        <v>509</v>
      </c>
      <c r="M197" s="251"/>
      <c r="N197" s="251"/>
      <c r="O197" s="251"/>
      <c r="P197" s="251"/>
      <c r="Q197" s="1786" t="str">
        <f>CHOOSE(2, "6722000003116", "PL (2) CAI Directly assigned")</f>
        <v>PL (2) CAI Directly assigned</v>
      </c>
      <c r="R197" s="3102">
        <f>SUM(R198:R200)</f>
        <v>25906.751600110965</v>
      </c>
      <c r="S197" s="3102">
        <f t="shared" ref="S197:AJ197" si="341">SUM(S198:S200)</f>
        <v>42514.005882374753</v>
      </c>
      <c r="T197" s="3102">
        <f t="shared" si="341"/>
        <v>27614.819935579719</v>
      </c>
      <c r="U197" s="3102">
        <f t="shared" si="341"/>
        <v>36310.895494772398</v>
      </c>
      <c r="V197" s="3102">
        <f t="shared" si="341"/>
        <v>52486.713483796935</v>
      </c>
      <c r="W197" s="3102">
        <f t="shared" si="341"/>
        <v>37820.790576977706</v>
      </c>
      <c r="X197" s="3103">
        <f t="shared" si="341"/>
        <v>33482.330217635972</v>
      </c>
      <c r="Y197" s="3103">
        <f t="shared" si="341"/>
        <v>36533.592191137446</v>
      </c>
      <c r="Z197" s="3103">
        <f t="shared" si="341"/>
        <v>30486.270702772414</v>
      </c>
      <c r="AA197" s="3104">
        <f t="shared" si="341"/>
        <v>56534.47919335484</v>
      </c>
      <c r="AB197" s="3104">
        <f t="shared" si="341"/>
        <v>66896.423031010767</v>
      </c>
      <c r="AC197" s="3104">
        <f t="shared" si="341"/>
        <v>8220.1245751339466</v>
      </c>
      <c r="AD197" s="3105">
        <f t="shared" si="341"/>
        <v>96035.577418065441</v>
      </c>
      <c r="AE197" s="3104">
        <f t="shared" si="341"/>
        <v>126618.39955554705</v>
      </c>
      <c r="AF197" s="3104">
        <f t="shared" si="341"/>
        <v>100502.19311154584</v>
      </c>
      <c r="AG197" s="3104">
        <f t="shared" si="341"/>
        <v>131651.02679949955</v>
      </c>
      <c r="AH197" s="3104">
        <f t="shared" si="341"/>
        <v>222653.9769736125</v>
      </c>
      <c r="AI197" s="3104">
        <f t="shared" si="341"/>
        <v>232153.21991104539</v>
      </c>
      <c r="AJ197" s="3104">
        <f t="shared" si="341"/>
        <v>454807.1968846579</v>
      </c>
      <c r="AL197" s="3102">
        <f ca="1">SUM((INDIRECT(AL$2&amp;(ROW())):INDIRECT(AL$3&amp;(ROW()))))</f>
        <v>8220.1245751339466</v>
      </c>
      <c r="AM197" s="745">
        <f ca="1">SUM(INDIRECT(AM$1&amp;AM$2&amp;$C197):INDIRECT(AM$1&amp;AM$3&amp;$C197))</f>
        <v>37674.52546792294</v>
      </c>
      <c r="AN197" s="3106">
        <f t="shared" ca="1" si="272"/>
        <v>-29454.400892788995</v>
      </c>
      <c r="AO197" s="2751">
        <f ca="1">IFERROR(AL197/AM197,0)</f>
        <v>0.21818787292046377</v>
      </c>
      <c r="AP197" s="782">
        <f ca="1">SUM(INDIRECT(AP$1&amp;AP$2&amp;$A197):INDIRECT(AP$1&amp;AP$3&amp;$A197))+SUM(INDIRECT(AP$1&amp;AP$2&amp;$B197):INDIRECT(AP$1&amp;AP$3&amp;$B197))</f>
        <v>26298.092000000001</v>
      </c>
      <c r="AQ197" s="3107">
        <f t="shared" ca="1" si="274"/>
        <v>-18077.967424866052</v>
      </c>
      <c r="AR197" s="2753">
        <f ca="1">IFERROR(AL197/AP197,0)</f>
        <v>0.31257494175371908</v>
      </c>
      <c r="AT197" s="3102">
        <f ca="1">SUM((INDIRECT(AT$2&amp;(ROW())):INDIRECT(AT$3&amp;(ROW()))))</f>
        <v>131651.02679949955</v>
      </c>
      <c r="AU197" s="745">
        <f ca="1">SUM(INDIRECT(AU$1&amp;AU$2&amp;$C197):INDIRECT(AU$1&amp;AU$3&amp;$C197))</f>
        <v>115257.24281206047</v>
      </c>
      <c r="AV197" s="3106">
        <f t="shared" ca="1" si="276"/>
        <v>16393.783987439077</v>
      </c>
      <c r="AW197" s="2751">
        <f ca="1">IFERROR(AT197/AU197,0)</f>
        <v>1.1422364754479764</v>
      </c>
      <c r="AX197" s="782">
        <f ca="1">SUM(INDIRECT(AX$1&amp;AX$2&amp;$A197):INDIRECT(AX$1&amp;AX$3&amp;$A197))+SUM(INDIRECT(AX$1&amp;AX$2&amp;$B197):INDIRECT(AX$1&amp;AX$3&amp;$B197))</f>
        <v>58249.092000000004</v>
      </c>
      <c r="AY197" s="3107">
        <f t="shared" ca="1" si="278"/>
        <v>73401.934799499548</v>
      </c>
      <c r="AZ197" s="2753">
        <f ca="1">IFERROR(AT197/AX197,0)</f>
        <v>2.2601386953722735</v>
      </c>
      <c r="BA197" s="69"/>
      <c r="BB197" s="1380">
        <f ca="1">SUM((INDIRECT(BB$2&amp;(ROW())):INDIRECT(BB$3&amp;(ROW()))))</f>
        <v>454807.19688465784</v>
      </c>
      <c r="BC197" s="782">
        <f ca="1">SUM(INDIRECT(BC$1&amp;BC$2&amp;$C197):INDIRECT(BC$1&amp;BC$3&amp;$C197))</f>
        <v>283905.72481401451</v>
      </c>
      <c r="BD197" s="3107">
        <f t="shared" ca="1" si="280"/>
        <v>170901.47207064333</v>
      </c>
      <c r="BE197" s="2753">
        <f ca="1">IFERROR(BB197/BC197,0)</f>
        <v>1.601965572137019</v>
      </c>
      <c r="BF197" s="782">
        <f ca="1">SUM(INDIRECT(BF$1&amp;BF$2&amp;$A197):INDIRECT(BF$1&amp;BF$3&amp;$A197))+SUM(INDIRECT(BF$1&amp;BF$2&amp;$B197):INDIRECT(BF$1&amp;BF$3&amp;$B197))</f>
        <v>196957.44370111896</v>
      </c>
      <c r="BG197" s="3107">
        <f t="shared" ca="1" si="282"/>
        <v>257849.75318353888</v>
      </c>
      <c r="BH197" s="2753">
        <f ca="1">IFERROR(BB197/BF197,0)</f>
        <v>2.3091648040214383</v>
      </c>
    </row>
    <row r="198" spans="1:60" ht="14.5">
      <c r="A198" s="616">
        <f t="shared" si="265"/>
        <v>171</v>
      </c>
      <c r="B198" s="616">
        <v>1</v>
      </c>
      <c r="C198" s="616">
        <f t="shared" si="234"/>
        <v>195</v>
      </c>
      <c r="D198" s="709" t="s">
        <v>1308</v>
      </c>
      <c r="E198" s="2544">
        <v>1</v>
      </c>
      <c r="F198" s="8"/>
      <c r="G198" s="737"/>
      <c r="H198" s="4"/>
      <c r="I198" s="4"/>
      <c r="J198" s="3"/>
      <c r="K198" s="27"/>
      <c r="L198" s="27"/>
      <c r="M198" s="36" t="s">
        <v>1329</v>
      </c>
      <c r="N198" s="3"/>
      <c r="O198" s="3"/>
      <c r="P198" s="3"/>
      <c r="Q198" s="1787" t="str">
        <f>CHOOSE(2, "6722000003117", "PL (2) CAI Directly assigned Variable Expenses")</f>
        <v>PL (2) CAI Directly assigned Variable Expenses</v>
      </c>
      <c r="R198" s="1350">
        <v>4214.538715222171</v>
      </c>
      <c r="S198" s="1350">
        <v>19819.283859591043</v>
      </c>
      <c r="T198" s="1350">
        <v>4325.6695213286539</v>
      </c>
      <c r="U198" s="1350">
        <v>12312.637272008038</v>
      </c>
      <c r="V198" s="1350">
        <v>25869.459065544863</v>
      </c>
      <c r="W198" s="1350">
        <v>12133.517657774946</v>
      </c>
      <c r="X198" s="1281">
        <v>4752.4185728211814</v>
      </c>
      <c r="Y198" s="1281">
        <v>11535.694739500083</v>
      </c>
      <c r="Z198" s="1281">
        <v>1402.0249353037234</v>
      </c>
      <c r="AA198" s="1351">
        <v>32306.618362855377</v>
      </c>
      <c r="AB198" s="1351">
        <v>38614.247525065039</v>
      </c>
      <c r="AC198" s="1351">
        <v>-15199.616478479771</v>
      </c>
      <c r="AD198" s="125">
        <f>SUM(R198,S198,T198)</f>
        <v>28359.492096141868</v>
      </c>
      <c r="AE198" s="126">
        <f t="shared" ref="AE198:AE200" si="342">SUM(U198,V198,W198)</f>
        <v>50315.613995327847</v>
      </c>
      <c r="AF198" s="126">
        <f t="shared" ref="AF198:AF200" si="343">SUM(X198,Y198,Z198)</f>
        <v>17690.138247624986</v>
      </c>
      <c r="AG198" s="126">
        <f t="shared" ref="AG198:AG200" si="344">SUM(AA198,AB198,AC198)</f>
        <v>55721.249409440643</v>
      </c>
      <c r="AH198" s="126">
        <f>AD198+AE198</f>
        <v>78675.106091469715</v>
      </c>
      <c r="AI198" s="126">
        <f>AG198+AF198</f>
        <v>73411.387657065628</v>
      </c>
      <c r="AJ198" s="126">
        <f>AH198+AI198</f>
        <v>152086.49374853534</v>
      </c>
      <c r="AL198" s="37">
        <f ca="1">SUM((INDIRECT(AL$2&amp;(ROW())):INDIRECT(AL$3&amp;(ROW()))))</f>
        <v>-15199.616478479771</v>
      </c>
      <c r="AM198" s="3108">
        <f ca="1">SUM(INDIRECT(AM$1&amp;AM$2&amp;$C198):INDIRECT(AM$1&amp;AM$3&amp;$C198))</f>
        <v>8.057664218489137E-2</v>
      </c>
      <c r="AN198" s="3109">
        <f t="shared" ca="1" si="272"/>
        <v>-15199.697055121957</v>
      </c>
      <c r="AO198" s="2756">
        <f ca="1">IFERROR(AL198/AM198,0)</f>
        <v>-188635.51602960436</v>
      </c>
      <c r="AP198" s="1232">
        <f ca="1">SUM(INDIRECT(AP$1&amp;AP$2&amp;$A198):INDIRECT(AP$1&amp;AP$3&amp;$A198))+SUM(INDIRECT(AP$1&amp;AP$2&amp;$B198):INDIRECT(AP$1&amp;AP$3&amp;$B198))</f>
        <v>0</v>
      </c>
      <c r="AQ198" s="3110">
        <f t="shared" ca="1" si="274"/>
        <v>-15199.616478479771</v>
      </c>
      <c r="AR198" s="2758">
        <f ca="1">IFERROR(AL198/AP198,0)</f>
        <v>0</v>
      </c>
      <c r="AT198" s="37">
        <f ca="1">SUM((INDIRECT(AT$2&amp;(ROW())):INDIRECT(AT$3&amp;(ROW()))))</f>
        <v>55721.249409440643</v>
      </c>
      <c r="AU198" s="3108">
        <f ca="1">SUM(INDIRECT(AU$1&amp;AU$2&amp;$C198):INDIRECT(AU$1&amp;AU$3&amp;$C198))</f>
        <v>0.24847846748463293</v>
      </c>
      <c r="AV198" s="3109">
        <f t="shared" ca="1" si="276"/>
        <v>55721.000930973161</v>
      </c>
      <c r="AW198" s="2756">
        <f ca="1">IFERROR(AT198/AU198,0)</f>
        <v>224249.81115470984</v>
      </c>
      <c r="AX198" s="1232">
        <f ca="1">SUM(INDIRECT(AX$1&amp;AX$2&amp;$A198):INDIRECT(AX$1&amp;AX$3&amp;$A198))+SUM(INDIRECT(AX$1&amp;AX$2&amp;$B198):INDIRECT(AX$1&amp;AX$3&amp;$B198))</f>
        <v>0</v>
      </c>
      <c r="AY198" s="3110">
        <f t="shared" ca="1" si="278"/>
        <v>55721.249409440643</v>
      </c>
      <c r="AZ198" s="2758">
        <f ca="1">IFERROR(AT198/AX198,0)</f>
        <v>0</v>
      </c>
      <c r="BA198" s="69"/>
      <c r="BB198" s="1289">
        <f ca="1">SUM((INDIRECT(BB$2&amp;(ROW())):INDIRECT(BB$3&amp;(ROW()))))</f>
        <v>152086.49374853534</v>
      </c>
      <c r="BC198" s="1232">
        <f ca="1">SUM(INDIRECT(BC$1&amp;BC$2&amp;$C198):INDIRECT(BC$1&amp;BC$3&amp;$C198))</f>
        <v>0.55140637961922323</v>
      </c>
      <c r="BD198" s="3110">
        <f t="shared" ca="1" si="280"/>
        <v>152085.94234215573</v>
      </c>
      <c r="BE198" s="2758">
        <f ca="1">IFERROR(BB198/BC198,0)</f>
        <v>275815.62232478982</v>
      </c>
      <c r="BF198" s="1232">
        <f ca="1">SUM(INDIRECT(BF$1&amp;BF$2&amp;$A198):INDIRECT(BF$1&amp;BF$3&amp;$A198))+SUM(INDIRECT(BF$1&amp;BF$2&amp;$B198):INDIRECT(BF$1&amp;BF$3&amp;$B198))</f>
        <v>0</v>
      </c>
      <c r="BG198" s="3110">
        <f t="shared" ca="1" si="282"/>
        <v>152086.49374853534</v>
      </c>
      <c r="BH198" s="2758">
        <f ca="1">IFERROR(BB198/BF198,0)</f>
        <v>0</v>
      </c>
    </row>
    <row r="199" spans="1:60" ht="14.5">
      <c r="A199" s="616">
        <f t="shared" si="265"/>
        <v>172</v>
      </c>
      <c r="B199" s="616">
        <v>1</v>
      </c>
      <c r="C199" s="616">
        <f t="shared" si="234"/>
        <v>196</v>
      </c>
      <c r="D199" s="709" t="s">
        <v>1308</v>
      </c>
      <c r="E199" s="2544">
        <v>1</v>
      </c>
      <c r="F199" s="8"/>
      <c r="G199" s="737"/>
      <c r="H199" s="4"/>
      <c r="I199" s="4"/>
      <c r="J199" s="3"/>
      <c r="K199" s="27"/>
      <c r="L199" s="27"/>
      <c r="M199" s="36" t="s">
        <v>1330</v>
      </c>
      <c r="N199" s="3"/>
      <c r="O199" s="3"/>
      <c r="P199" s="3"/>
      <c r="Q199" s="1787" t="str">
        <f>CHOOSE(2, "6722000003118", "PL (2) CAI Directly assigned Wages &amp; Salaries")</f>
        <v>PL (2) CAI Directly assigned Wages &amp; Salaries</v>
      </c>
      <c r="R199" s="1350">
        <v>14715.978325090638</v>
      </c>
      <c r="S199" s="1350">
        <v>14261.202975178414</v>
      </c>
      <c r="T199" s="1350">
        <v>14557.218570116431</v>
      </c>
      <c r="U199" s="1350">
        <v>14534.751320204126</v>
      </c>
      <c r="V199" s="1350">
        <v>13740.016121594101</v>
      </c>
      <c r="W199" s="1350">
        <v>15338.426177713476</v>
      </c>
      <c r="X199" s="1281">
        <v>14402.300023457883</v>
      </c>
      <c r="Y199" s="1281">
        <v>15940.639497911596</v>
      </c>
      <c r="Z199" s="1281">
        <v>18040.531018948994</v>
      </c>
      <c r="AA199" s="1351">
        <v>13782.88498295958</v>
      </c>
      <c r="AB199" s="1351">
        <v>16789.16857326914</v>
      </c>
      <c r="AC199" s="1351">
        <v>14630.782035828346</v>
      </c>
      <c r="AD199" s="125">
        <f>SUM(R199,S199,T199)</f>
        <v>43534.399870385489</v>
      </c>
      <c r="AE199" s="126">
        <f t="shared" si="342"/>
        <v>43613.193619511701</v>
      </c>
      <c r="AF199" s="126">
        <f t="shared" si="343"/>
        <v>48383.470540318478</v>
      </c>
      <c r="AG199" s="126">
        <f t="shared" si="344"/>
        <v>45202.835592057061</v>
      </c>
      <c r="AH199" s="126">
        <f>AD199+AE199</f>
        <v>87147.59348989719</v>
      </c>
      <c r="AI199" s="126">
        <f>AG199+AF199</f>
        <v>93586.306132375539</v>
      </c>
      <c r="AJ199" s="126">
        <f>AH199+AI199</f>
        <v>180733.89962227273</v>
      </c>
      <c r="AL199" s="37">
        <f ca="1">SUM((INDIRECT(AL$2&amp;(ROW())):INDIRECT(AL$3&amp;(ROW()))))</f>
        <v>14630.782035828346</v>
      </c>
      <c r="AM199" s="3108">
        <f ca="1">SUM(INDIRECT(AM$1&amp;AM$2&amp;$C199):INDIRECT(AM$1&amp;AM$3&amp;$C199))</f>
        <v>0.71470559796564392</v>
      </c>
      <c r="AN199" s="3109">
        <f t="shared" ca="1" si="272"/>
        <v>14630.06733023038</v>
      </c>
      <c r="AO199" s="2756">
        <f ca="1">IFERROR(AL199/AM199,0)</f>
        <v>20471.061199847565</v>
      </c>
      <c r="AP199" s="1232">
        <f ca="1">SUM(INDIRECT(AP$1&amp;AP$2&amp;$A199):INDIRECT(AP$1&amp;AP$3&amp;$A199))+SUM(INDIRECT(AP$1&amp;AP$2&amp;$B199):INDIRECT(AP$1&amp;AP$3&amp;$B199))</f>
        <v>0</v>
      </c>
      <c r="AQ199" s="3110">
        <f t="shared" ca="1" si="274"/>
        <v>14630.782035828346</v>
      </c>
      <c r="AR199" s="2758">
        <f ca="1">IFERROR(AL199/AP199,0)</f>
        <v>0</v>
      </c>
      <c r="AT199" s="37">
        <f ca="1">SUM((INDIRECT(AT$2&amp;(ROW())):INDIRECT(AT$3&amp;(ROW()))))</f>
        <v>45202.835592057061</v>
      </c>
      <c r="AU199" s="3108">
        <f ca="1">SUM(INDIRECT(AU$1&amp;AU$2&amp;$C199):INDIRECT(AU$1&amp;AU$3&amp;$C199))</f>
        <v>2.1551311257015882</v>
      </c>
      <c r="AV199" s="3109">
        <f t="shared" ca="1" si="276"/>
        <v>45200.680460931362</v>
      </c>
      <c r="AW199" s="2756">
        <f ca="1">IFERROR(AT199/AU199,0)</f>
        <v>20974.517537693486</v>
      </c>
      <c r="AX199" s="1232">
        <f ca="1">SUM(INDIRECT(AX$1&amp;AX$2&amp;$A199):INDIRECT(AX$1&amp;AX$3&amp;$A199))+SUM(INDIRECT(AX$1&amp;AX$2&amp;$B199):INDIRECT(AX$1&amp;AX$3&amp;$B199))</f>
        <v>0</v>
      </c>
      <c r="AY199" s="3110">
        <f t="shared" ca="1" si="278"/>
        <v>45202.835592057061</v>
      </c>
      <c r="AZ199" s="2758">
        <f ca="1">IFERROR(AT199/AX199,0)</f>
        <v>0</v>
      </c>
      <c r="BA199" s="69"/>
      <c r="BB199" s="1289">
        <f ca="1">SUM((INDIRECT(BB$2&amp;(ROW())):INDIRECT(BB$3&amp;(ROW()))))</f>
        <v>180733.8996222727</v>
      </c>
      <c r="BC199" s="1232">
        <f ca="1">SUM(INDIRECT(BC$1&amp;BC$2&amp;$C199):INDIRECT(BC$1&amp;BC$3&amp;$C199))</f>
        <v>3.5875479597161077</v>
      </c>
      <c r="BD199" s="3110">
        <f t="shared" ca="1" si="280"/>
        <v>180730.312074313</v>
      </c>
      <c r="BE199" s="2758">
        <f ca="1">IFERROR(BB199/BC199,0)</f>
        <v>50378.11386821841</v>
      </c>
      <c r="BF199" s="1232">
        <f ca="1">SUM(INDIRECT(BF$1&amp;BF$2&amp;$A199):INDIRECT(BF$1&amp;BF$3&amp;$A199))+SUM(INDIRECT(BF$1&amp;BF$2&amp;$B199):INDIRECT(BF$1&amp;BF$3&amp;$B199))</f>
        <v>0</v>
      </c>
      <c r="BG199" s="3110">
        <f t="shared" ca="1" si="282"/>
        <v>180733.8996222727</v>
      </c>
      <c r="BH199" s="2758">
        <f ca="1">IFERROR(BB199/BF199,0)</f>
        <v>0</v>
      </c>
    </row>
    <row r="200" spans="1:60" ht="14.5">
      <c r="A200" s="616">
        <f t="shared" si="265"/>
        <v>173</v>
      </c>
      <c r="B200" s="616">
        <v>1</v>
      </c>
      <c r="C200" s="616">
        <f t="shared" si="234"/>
        <v>197</v>
      </c>
      <c r="D200" s="709" t="s">
        <v>1308</v>
      </c>
      <c r="E200" s="2544">
        <v>1</v>
      </c>
      <c r="F200" s="8"/>
      <c r="G200" s="737"/>
      <c r="H200" s="4"/>
      <c r="I200" s="4"/>
      <c r="J200" s="3"/>
      <c r="K200" s="27"/>
      <c r="L200" s="25"/>
      <c r="M200" s="104" t="s">
        <v>1331</v>
      </c>
      <c r="N200" s="1"/>
      <c r="O200" s="1"/>
      <c r="P200" s="1"/>
      <c r="Q200" s="1787" t="str">
        <f>CHOOSE(2, "6722000003119", "PL (2) CAI Directly assigned Fixed Expenses")</f>
        <v>PL (2) CAI Directly assigned Fixed Expenses</v>
      </c>
      <c r="R200" s="1352">
        <v>6976.2345597981548</v>
      </c>
      <c r="S200" s="1352">
        <v>8433.5190476052976</v>
      </c>
      <c r="T200" s="1352">
        <v>8731.9318441346331</v>
      </c>
      <c r="U200" s="1352">
        <v>9463.5069025602334</v>
      </c>
      <c r="V200" s="1352">
        <v>12877.238296657975</v>
      </c>
      <c r="W200" s="1352">
        <v>10348.846741489284</v>
      </c>
      <c r="X200" s="1282">
        <v>14327.611621356911</v>
      </c>
      <c r="Y200" s="1282">
        <v>9057.2579537257679</v>
      </c>
      <c r="Z200" s="1282">
        <v>11043.714748519695</v>
      </c>
      <c r="AA200" s="1353">
        <v>10444.975847539888</v>
      </c>
      <c r="AB200" s="1353">
        <v>11493.006932676586</v>
      </c>
      <c r="AC200" s="1353">
        <v>8788.9590177853715</v>
      </c>
      <c r="AD200" s="122">
        <f>SUM(R200,S200,T200)</f>
        <v>24141.685451538084</v>
      </c>
      <c r="AE200" s="123">
        <f t="shared" si="342"/>
        <v>32689.591940707494</v>
      </c>
      <c r="AF200" s="123">
        <f t="shared" si="343"/>
        <v>34428.584323602379</v>
      </c>
      <c r="AG200" s="123">
        <f t="shared" si="344"/>
        <v>30726.941798001844</v>
      </c>
      <c r="AH200" s="123">
        <f>AD200+AE200</f>
        <v>56831.277392245582</v>
      </c>
      <c r="AI200" s="123">
        <f>AG200+AF200</f>
        <v>65155.526121604227</v>
      </c>
      <c r="AJ200" s="123">
        <f>AH200+AI200</f>
        <v>121986.80351384981</v>
      </c>
      <c r="AL200" s="60">
        <f ca="1">SUM((INDIRECT(AL$2&amp;(ROW())):INDIRECT(AL$3&amp;(ROW()))))</f>
        <v>8788.9590177853715</v>
      </c>
      <c r="AM200" s="80">
        <f ca="1">SUM(INDIRECT(AM$1&amp;AM$2&amp;$C200):INDIRECT(AM$1&amp;AM$3&amp;$C200))</f>
        <v>56000</v>
      </c>
      <c r="AN200" s="3111">
        <f t="shared" ca="1" si="272"/>
        <v>-47211.040982214632</v>
      </c>
      <c r="AO200" s="2760">
        <f ca="1">IFERROR(AL200/AM200,0)</f>
        <v>0.15694569674616735</v>
      </c>
      <c r="AP200" s="1241">
        <f ca="1">SUM(INDIRECT(AP$1&amp;AP$2&amp;$A200):INDIRECT(AP$1&amp;AP$3&amp;$A200))+SUM(INDIRECT(AP$1&amp;AP$2&amp;$B200):INDIRECT(AP$1&amp;AP$3&amp;$B200))</f>
        <v>0.27950166701702983</v>
      </c>
      <c r="AQ200" s="3098">
        <f t="shared" ca="1" si="274"/>
        <v>8788.6795161183545</v>
      </c>
      <c r="AR200" s="2743">
        <f ca="1">IFERROR(AL200/AP200,0)</f>
        <v>31445.104108269476</v>
      </c>
      <c r="AT200" s="60">
        <f ca="1">SUM((INDIRECT(AT$2&amp;(ROW())):INDIRECT(AT$3&amp;(ROW()))))</f>
        <v>30726.941798001844</v>
      </c>
      <c r="AU200" s="80">
        <f ca="1">SUM(INDIRECT(AU$1&amp;AU$2&amp;$C200):INDIRECT(AU$1&amp;AU$3&amp;$C200))</f>
        <v>168000</v>
      </c>
      <c r="AV200" s="3111">
        <f t="shared" ca="1" si="276"/>
        <v>-137273.05820199815</v>
      </c>
      <c r="AW200" s="2760">
        <f ca="1">IFERROR(AT200/AU200,0)</f>
        <v>0.18289846308334431</v>
      </c>
      <c r="AX200" s="1241">
        <f ca="1">SUM(INDIRECT(AX$1&amp;AX$2&amp;$A200):INDIRECT(AX$1&amp;AX$3&amp;$A200))+SUM(INDIRECT(AX$1&amp;AX$2&amp;$B200):INDIRECT(AX$1&amp;AX$3&amp;$B200))</f>
        <v>0.27950166701702983</v>
      </c>
      <c r="AY200" s="3098">
        <f t="shared" ca="1" si="278"/>
        <v>30726.662296334827</v>
      </c>
      <c r="AZ200" s="2743">
        <f ca="1">IFERROR(AT200/AX200,0)</f>
        <v>109934.73536646088</v>
      </c>
      <c r="BA200" s="69"/>
      <c r="BB200" s="1290">
        <f ca="1">SUM((INDIRECT(BB$2&amp;(ROW())):INDIRECT(BB$3&amp;(ROW()))))</f>
        <v>121986.80351384978</v>
      </c>
      <c r="BC200" s="1241">
        <f ca="1">SUM(INDIRECT(BC$1&amp;BC$2&amp;$C200):INDIRECT(BC$1&amp;BC$3&amp;$C200))</f>
        <v>280000</v>
      </c>
      <c r="BD200" s="3098">
        <f t="shared" ca="1" si="280"/>
        <v>-158013.19648615021</v>
      </c>
      <c r="BE200" s="2743">
        <f ca="1">IFERROR(BB200/BC200,0)</f>
        <v>0.43566715540660633</v>
      </c>
      <c r="BF200" s="1241">
        <f ca="1">SUM(INDIRECT(BF$1&amp;BF$2&amp;$A200):INDIRECT(BF$1&amp;BF$3&amp;$A200))+SUM(INDIRECT(BF$1&amp;BF$2&amp;$B200):INDIRECT(BF$1&amp;BF$3&amp;$B200))</f>
        <v>26006.401489869117</v>
      </c>
      <c r="BG200" s="3098">
        <f t="shared" ca="1" si="282"/>
        <v>95980.402023980656</v>
      </c>
      <c r="BH200" s="2743">
        <f ca="1">IFERROR(BB200/BF200,0)</f>
        <v>4.6906452459933821</v>
      </c>
    </row>
    <row r="201" spans="1:60" ht="14.5">
      <c r="A201" s="616">
        <f t="shared" si="265"/>
        <v>174</v>
      </c>
      <c r="B201" s="616">
        <v>1</v>
      </c>
      <c r="C201" s="616">
        <f t="shared" si="234"/>
        <v>198</v>
      </c>
      <c r="D201" s="709" t="s">
        <v>1308</v>
      </c>
      <c r="E201" s="2544">
        <v>1</v>
      </c>
      <c r="F201" s="8"/>
      <c r="G201" s="737"/>
      <c r="H201" s="4"/>
      <c r="I201" s="4"/>
      <c r="J201" s="3"/>
      <c r="K201" s="27"/>
      <c r="L201" s="3101" t="s">
        <v>1372</v>
      </c>
      <c r="M201" s="586"/>
      <c r="N201" s="586"/>
      <c r="O201" s="586"/>
      <c r="P201" s="586"/>
      <c r="Q201" s="1786" t="str">
        <f>CHOOSE(2, "6722000003120", "PL (2) CAI Allocation")</f>
        <v>PL (2) CAI Allocation</v>
      </c>
      <c r="R201" s="3112">
        <f>SUM(R203:R205)</f>
        <v>76925.6826870675</v>
      </c>
      <c r="S201" s="3112">
        <f t="shared" ref="S201:AJ201" si="345">SUM(S203:S205)</f>
        <v>53860.581385004407</v>
      </c>
      <c r="T201" s="3112">
        <f t="shared" si="345"/>
        <v>77726.745328805177</v>
      </c>
      <c r="U201" s="3112">
        <f t="shared" si="345"/>
        <v>73270.706619982404</v>
      </c>
      <c r="V201" s="3112">
        <f t="shared" si="345"/>
        <v>73485.342641867755</v>
      </c>
      <c r="W201" s="3112">
        <f t="shared" si="345"/>
        <v>33230.858338357924</v>
      </c>
      <c r="X201" s="3070">
        <f t="shared" si="345"/>
        <v>107513.94392488</v>
      </c>
      <c r="Y201" s="3070">
        <f t="shared" si="345"/>
        <v>78339.912249140281</v>
      </c>
      <c r="Z201" s="3070">
        <f t="shared" si="345"/>
        <v>74844.574226233512</v>
      </c>
      <c r="AA201" s="3113">
        <f t="shared" si="345"/>
        <v>86744.86999139603</v>
      </c>
      <c r="AB201" s="3113">
        <f t="shared" si="345"/>
        <v>35348.81431055435</v>
      </c>
      <c r="AC201" s="3113">
        <f t="shared" si="345"/>
        <v>34466.061098217688</v>
      </c>
      <c r="AD201" s="3114">
        <f t="shared" si="345"/>
        <v>208513.00940087711</v>
      </c>
      <c r="AE201" s="3113">
        <f t="shared" si="345"/>
        <v>179986.9076002081</v>
      </c>
      <c r="AF201" s="3113">
        <f t="shared" si="345"/>
        <v>260698.4304002538</v>
      </c>
      <c r="AG201" s="3113">
        <f t="shared" si="345"/>
        <v>156559.74540016806</v>
      </c>
      <c r="AH201" s="3113">
        <f t="shared" si="345"/>
        <v>388499.91700108518</v>
      </c>
      <c r="AI201" s="3113">
        <f t="shared" si="345"/>
        <v>417258.17580042186</v>
      </c>
      <c r="AJ201" s="3113">
        <f t="shared" si="345"/>
        <v>805758.09280150698</v>
      </c>
      <c r="AL201" s="37">
        <f ca="1">SUM((INDIRECT(AL$2&amp;(ROW())):INDIRECT(AL$3&amp;(ROW()))))</f>
        <v>34466.061098217688</v>
      </c>
      <c r="AM201" s="3108">
        <f ca="1">SUM(INDIRECT(AM$1&amp;AM$2&amp;$C201):INDIRECT(AM$1&amp;AM$3&amp;$C201))</f>
        <v>15000</v>
      </c>
      <c r="AN201" s="3109">
        <f t="shared" ca="1" si="272"/>
        <v>19466.061098217688</v>
      </c>
      <c r="AO201" s="2756">
        <f ca="1">IFERROR(AL201/AM201,0)</f>
        <v>2.2977374065478458</v>
      </c>
      <c r="AP201" s="1232">
        <f ca="1">SUM(INDIRECT(AP$1&amp;AP$2&amp;$A201):INDIRECT(AP$1&amp;AP$3&amp;$A201))+SUM(INDIRECT(AP$1&amp;AP$2&amp;$B201):INDIRECT(AP$1&amp;AP$3&amp;$B201))</f>
        <v>0</v>
      </c>
      <c r="AQ201" s="3110">
        <f t="shared" ca="1" si="274"/>
        <v>34466.061098217688</v>
      </c>
      <c r="AR201" s="2758">
        <f ca="1">IFERROR(AL201/AP201,0)</f>
        <v>0</v>
      </c>
      <c r="AT201" s="37">
        <f ca="1">SUM((INDIRECT(AT$2&amp;(ROW())):INDIRECT(AT$3&amp;(ROW()))))</f>
        <v>156559.74540016806</v>
      </c>
      <c r="AU201" s="3108">
        <f ca="1">SUM(INDIRECT(AU$1&amp;AU$2&amp;$C201):INDIRECT(AU$1&amp;AU$3&amp;$C201))</f>
        <v>45000</v>
      </c>
      <c r="AV201" s="3109">
        <f t="shared" ca="1" si="276"/>
        <v>111559.74540016806</v>
      </c>
      <c r="AW201" s="2756">
        <f ca="1">IFERROR(AT201/AU201,0)</f>
        <v>3.479105453337068</v>
      </c>
      <c r="AX201" s="1232">
        <f ca="1">SUM(INDIRECT(AX$1&amp;AX$2&amp;$A201):INDIRECT(AX$1&amp;AX$3&amp;$A201))+SUM(INDIRECT(AX$1&amp;AX$2&amp;$B201):INDIRECT(AX$1&amp;AX$3&amp;$B201))</f>
        <v>0</v>
      </c>
      <c r="AY201" s="3110">
        <f t="shared" ca="1" si="278"/>
        <v>156559.74540016806</v>
      </c>
      <c r="AZ201" s="2758">
        <f ca="1">IFERROR(AT201/AX201,0)</f>
        <v>0</v>
      </c>
      <c r="BA201" s="69"/>
      <c r="BB201" s="1289">
        <f ca="1">SUM((INDIRECT(BB$2&amp;(ROW())):INDIRECT(BB$3&amp;(ROW()))))</f>
        <v>805758.09280150698</v>
      </c>
      <c r="BC201" s="1232">
        <f ca="1">SUM(INDIRECT(BC$1&amp;BC$2&amp;$C201):INDIRECT(BC$1&amp;BC$3&amp;$C201))</f>
        <v>75000</v>
      </c>
      <c r="BD201" s="3110">
        <f t="shared" ca="1" si="280"/>
        <v>730758.09280150698</v>
      </c>
      <c r="BE201" s="2758">
        <f ca="1">IFERROR(BB201/BC201,0)</f>
        <v>10.743441237353426</v>
      </c>
      <c r="BF201" s="1232">
        <f ca="1">SUM(INDIRECT(BF$1&amp;BF$2&amp;$A201):INDIRECT(BF$1&amp;BF$3&amp;$A201))+SUM(INDIRECT(BF$1&amp;BF$2&amp;$B201):INDIRECT(BF$1&amp;BF$3&amp;$B201))</f>
        <v>0</v>
      </c>
      <c r="BG201" s="3110">
        <f t="shared" ca="1" si="282"/>
        <v>805758.09280150698</v>
      </c>
      <c r="BH201" s="2758">
        <f ca="1">IFERROR(BB201/BF201,0)</f>
        <v>0</v>
      </c>
    </row>
    <row r="202" spans="1:60" ht="14.5">
      <c r="A202" s="616">
        <f t="shared" si="265"/>
        <v>175</v>
      </c>
      <c r="B202" s="616">
        <v>1</v>
      </c>
      <c r="C202" s="616">
        <f t="shared" si="234"/>
        <v>199</v>
      </c>
      <c r="D202" s="709" t="s">
        <v>1308</v>
      </c>
      <c r="E202" s="2544">
        <v>1</v>
      </c>
      <c r="F202" s="8"/>
      <c r="G202" s="737"/>
      <c r="H202" s="4"/>
      <c r="I202" s="4"/>
      <c r="J202" s="3"/>
      <c r="K202" s="27"/>
      <c r="L202" s="498"/>
      <c r="M202" s="553" t="s">
        <v>1373</v>
      </c>
      <c r="N202" s="47"/>
      <c r="O202" s="47"/>
      <c r="P202" s="47"/>
      <c r="Q202" s="1776" t="str">
        <f>CHOOSE(2, "6722000003121", "PL (2) CAI Allocation SGA (%)")</f>
        <v>PL (2) CAI Allocation SGA (%)</v>
      </c>
      <c r="R202" s="2571">
        <f>IFERROR(R201/R186,0)</f>
        <v>0.74806828429480132</v>
      </c>
      <c r="S202" s="2571">
        <f t="shared" ref="S202:AJ202" si="346">IFERROR(S201/S186,0)</f>
        <v>0.55886705107825785</v>
      </c>
      <c r="T202" s="2571">
        <f t="shared" si="346"/>
        <v>0.73785447495229073</v>
      </c>
      <c r="U202" s="2571">
        <f t="shared" si="346"/>
        <v>0.66864058570025908</v>
      </c>
      <c r="V202" s="2571">
        <f t="shared" si="346"/>
        <v>0.58334637777573239</v>
      </c>
      <c r="W202" s="2571">
        <f t="shared" si="346"/>
        <v>0.46770003012816008</v>
      </c>
      <c r="X202" s="2571">
        <f t="shared" si="346"/>
        <v>0.76253039010241686</v>
      </c>
      <c r="Y202" s="2571">
        <f t="shared" si="346"/>
        <v>0.68196676536379963</v>
      </c>
      <c r="Z202" s="2571">
        <f t="shared" si="346"/>
        <v>0.71056654180149725</v>
      </c>
      <c r="AA202" s="2571">
        <f t="shared" si="346"/>
        <v>0.60542479069711064</v>
      </c>
      <c r="AB202" s="2571">
        <f t="shared" si="346"/>
        <v>0.34572577882005867</v>
      </c>
      <c r="AC202" s="2571">
        <f t="shared" si="346"/>
        <v>0.80742892705295877</v>
      </c>
      <c r="AD202" s="2572">
        <f t="shared" si="346"/>
        <v>0.68466254130031601</v>
      </c>
      <c r="AE202" s="2571">
        <f t="shared" si="346"/>
        <v>0.58703128549818273</v>
      </c>
      <c r="AF202" s="2571">
        <f t="shared" si="346"/>
        <v>0.72175520591740439</v>
      </c>
      <c r="AG202" s="2571">
        <f t="shared" si="346"/>
        <v>0.54321267801782946</v>
      </c>
      <c r="AH202" s="2571">
        <f t="shared" si="346"/>
        <v>0.63568263383619938</v>
      </c>
      <c r="AI202" s="2571">
        <f t="shared" si="346"/>
        <v>0.64251748361035721</v>
      </c>
      <c r="AJ202" s="2571">
        <f t="shared" si="346"/>
        <v>0.63920377579340748</v>
      </c>
      <c r="AL202" s="2761">
        <f ca="1">IFERROR(AL201/AL186,0)</f>
        <v>0.80742892705295877</v>
      </c>
      <c r="AM202" s="2761">
        <f ca="1">IFERROR(AM201/AM186,0)</f>
        <v>0.14491461018623605</v>
      </c>
      <c r="AN202" s="2761">
        <f t="shared" ca="1" si="272"/>
        <v>0.66251431686672269</v>
      </c>
      <c r="AO202" s="2762"/>
      <c r="AP202" s="2761">
        <f ca="1">IFERROR(AP201/AP186,0)</f>
        <v>0</v>
      </c>
      <c r="AQ202" s="2761">
        <f ca="1">IFERROR(AQ201/AQ182,0)</f>
        <v>-0.26032161436137774</v>
      </c>
      <c r="AR202" s="2763"/>
      <c r="AT202" s="2761">
        <f ca="1">IFERROR(AT201/AT186,0)</f>
        <v>0.54321267801782946</v>
      </c>
      <c r="AU202" s="2761">
        <f ca="1">IFERROR(AU201/AU186,0)</f>
        <v>0.14405109336026775</v>
      </c>
      <c r="AV202" s="2761">
        <f t="shared" ca="1" si="276"/>
        <v>0.39916158465756169</v>
      </c>
      <c r="AW202" s="2762"/>
      <c r="AX202" s="2761">
        <f ca="1">IFERROR(AX201/AX186,0)</f>
        <v>0</v>
      </c>
      <c r="AY202" s="2761">
        <f ca="1">IFERROR(AY201/AY182,0)</f>
        <v>-0.5105568960096214</v>
      </c>
      <c r="AZ202" s="2763"/>
      <c r="BA202" s="69"/>
      <c r="BB202" s="2761">
        <f ca="1">IFERROR(BB201/BB186,0)</f>
        <v>0.63920377579340748</v>
      </c>
      <c r="BC202" s="2761">
        <f ca="1">IFERROR(BC201/BC186,0)</f>
        <v>0.12243263417028485</v>
      </c>
      <c r="BD202" s="2761">
        <f t="shared" ca="1" si="280"/>
        <v>0.51677114162312265</v>
      </c>
      <c r="BE202" s="2764"/>
      <c r="BF202" s="2761">
        <f ca="1">IFERROR(BF201/BF186,0)</f>
        <v>0</v>
      </c>
      <c r="BG202" s="2761">
        <f ca="1">IFERROR(BG201/BG182,0)</f>
        <v>-0.80397220950576531</v>
      </c>
      <c r="BH202" s="2763"/>
    </row>
    <row r="203" spans="1:60" ht="14.5">
      <c r="A203" s="616">
        <f t="shared" si="265"/>
        <v>176</v>
      </c>
      <c r="B203" s="616">
        <v>1</v>
      </c>
      <c r="C203" s="616">
        <f t="shared" si="234"/>
        <v>200</v>
      </c>
      <c r="D203" s="709" t="s">
        <v>1308</v>
      </c>
      <c r="E203" s="2544">
        <v>1</v>
      </c>
      <c r="F203" s="8"/>
      <c r="G203" s="737"/>
      <c r="H203" s="4"/>
      <c r="I203" s="4"/>
      <c r="J203" s="3"/>
      <c r="K203" s="27"/>
      <c r="L203" s="27"/>
      <c r="M203" s="36" t="s">
        <v>1329</v>
      </c>
      <c r="N203" s="3"/>
      <c r="O203" s="3"/>
      <c r="P203" s="3"/>
      <c r="Q203" s="1786" t="str">
        <f>CHOOSE(2, "6722000003122", "PL (2) CAI Allocation Variable Expenses")</f>
        <v>PL (2) CAI Allocation Variable Expenses</v>
      </c>
      <c r="R203" s="37">
        <f>R187-R198</f>
        <v>38655.558721389942</v>
      </c>
      <c r="S203" s="37">
        <f t="shared" ref="S203:AC203" si="347">S187-S198</f>
        <v>15394.549823253757</v>
      </c>
      <c r="T203" s="37">
        <f t="shared" si="347"/>
        <v>27662.269163471959</v>
      </c>
      <c r="U203" s="37">
        <f t="shared" si="347"/>
        <v>36579.985646816946</v>
      </c>
      <c r="V203" s="37">
        <f t="shared" si="347"/>
        <v>27617.104024995009</v>
      </c>
      <c r="W203" s="37">
        <f t="shared" si="347"/>
        <v>12484.031027162642</v>
      </c>
      <c r="X203" s="17">
        <f t="shared" si="347"/>
        <v>24918.915034801481</v>
      </c>
      <c r="Y203" s="17">
        <f t="shared" si="347"/>
        <v>29758.62832455372</v>
      </c>
      <c r="Z203" s="17">
        <f t="shared" si="347"/>
        <v>33945.142759665687</v>
      </c>
      <c r="AA203" s="126">
        <f t="shared" si="347"/>
        <v>25417.965810870919</v>
      </c>
      <c r="AB203" s="126">
        <f t="shared" si="347"/>
        <v>12761.335841510831</v>
      </c>
      <c r="AC203" s="126">
        <f t="shared" si="347"/>
        <v>-5530.3158994501591</v>
      </c>
      <c r="AD203" s="125">
        <f>SUM(R203,S203,T203)</f>
        <v>81712.377708115659</v>
      </c>
      <c r="AE203" s="126">
        <f t="shared" ref="AE203:AE205" si="348">SUM(U203,V203,W203)</f>
        <v>76681.120698974599</v>
      </c>
      <c r="AF203" s="126">
        <f t="shared" ref="AF203:AF205" si="349">SUM(X203,Y203,Z203)</f>
        <v>88622.686119020887</v>
      </c>
      <c r="AG203" s="126">
        <f t="shared" ref="AG203:AG205" si="350">SUM(AA203,AB203,AC203)</f>
        <v>32648.985752931592</v>
      </c>
      <c r="AH203" s="126">
        <f>AD203+AE203</f>
        <v>158393.49840709026</v>
      </c>
      <c r="AI203" s="126">
        <f>AG203+AF203</f>
        <v>121271.67187195248</v>
      </c>
      <c r="AJ203" s="126">
        <f>AH203+AI203</f>
        <v>279665.17027904274</v>
      </c>
      <c r="AL203" s="37">
        <f ca="1">SUM((INDIRECT(AL$2&amp;(ROW())):INDIRECT(AL$3&amp;(ROW()))))</f>
        <v>-5530.3158994501591</v>
      </c>
      <c r="AM203" s="3108">
        <f ca="1">SUM(INDIRECT(AM$1&amp;AM$2&amp;$C203):INDIRECT(AM$1&amp;AM$3&amp;$C203))</f>
        <v>19000</v>
      </c>
      <c r="AN203" s="3109">
        <f t="shared" ca="1" si="272"/>
        <v>-24530.315899450157</v>
      </c>
      <c r="AO203" s="2756">
        <f ca="1">IFERROR(AL203/AM203,0)</f>
        <v>-0.29106925786579785</v>
      </c>
      <c r="AP203" s="1232">
        <f ca="1">SUM(INDIRECT(AP$1&amp;AP$2&amp;$A203):INDIRECT(AP$1&amp;AP$3&amp;$A203))+SUM(INDIRECT(AP$1&amp;AP$2&amp;$B203):INDIRECT(AP$1&amp;AP$3&amp;$B203))</f>
        <v>190302.96372958334</v>
      </c>
      <c r="AQ203" s="3110">
        <f ca="1">AL203-AP203</f>
        <v>-195833.2796290335</v>
      </c>
      <c r="AR203" s="2758">
        <f ca="1">IFERROR(AL203/AP203,0)</f>
        <v>-2.9060587344864615E-2</v>
      </c>
      <c r="AT203" s="37">
        <f ca="1">SUM((INDIRECT(AT$2&amp;(ROW())):INDIRECT(AT$3&amp;(ROW()))))</f>
        <v>32648.985752931592</v>
      </c>
      <c r="AU203" s="3108">
        <f ca="1">SUM(INDIRECT(AU$1&amp;AU$2&amp;$C203):INDIRECT(AU$1&amp;AU$3&amp;$C203))</f>
        <v>57000</v>
      </c>
      <c r="AV203" s="3109">
        <f t="shared" ca="1" si="276"/>
        <v>-24351.014247068408</v>
      </c>
      <c r="AW203" s="2756">
        <f ca="1">IFERROR(AT203/AU203,0)</f>
        <v>0.57278922373564201</v>
      </c>
      <c r="AX203" s="1232">
        <f ca="1">SUM(INDIRECT(AX$1&amp;AX$2&amp;$A203):INDIRECT(AX$1&amp;AX$3&amp;$A203))+SUM(INDIRECT(AX$1&amp;AX$2&amp;$B203):INDIRECT(AX$1&amp;AX$3&amp;$B203))</f>
        <v>562280.96372958331</v>
      </c>
      <c r="AY203" s="3110">
        <f ca="1">AT203-AX203</f>
        <v>-529631.97797665175</v>
      </c>
      <c r="AZ203" s="2758">
        <f ca="1">IFERROR(AT203/AX203,0)</f>
        <v>5.8065251820677691E-2</v>
      </c>
      <c r="BA203" s="69"/>
      <c r="BB203" s="1289">
        <f ca="1">SUM((INDIRECT(BB$2&amp;(ROW())):INDIRECT(BB$3&amp;(ROW()))))</f>
        <v>279665.17027904274</v>
      </c>
      <c r="BC203" s="1232">
        <f ca="1">SUM(INDIRECT(BC$1&amp;BC$2&amp;$C203):INDIRECT(BC$1&amp;BC$3&amp;$C203))</f>
        <v>95000</v>
      </c>
      <c r="BD203" s="3110">
        <f t="shared" ca="1" si="280"/>
        <v>184665.17027904274</v>
      </c>
      <c r="BE203" s="2758">
        <f ca="1">IFERROR(BB203/BC203,0)</f>
        <v>2.9438438976741339</v>
      </c>
      <c r="BF203" s="1232">
        <f ca="1">SUM(INDIRECT(BF$1&amp;BF$2&amp;$A203):INDIRECT(BF$1&amp;BF$3&amp;$A203))+SUM(INDIRECT(BF$1&amp;BF$2&amp;$B203):INDIRECT(BF$1&amp;BF$3&amp;$B203))</f>
        <v>1838267.4184196691</v>
      </c>
      <c r="BG203" s="3110">
        <f ca="1">BB203-BF203</f>
        <v>-1558602.2481406264</v>
      </c>
      <c r="BH203" s="2758">
        <f ca="1">IFERROR(BB203/BF203,0)</f>
        <v>0.15213519397491507</v>
      </c>
    </row>
    <row r="204" spans="1:60" ht="14.5">
      <c r="A204" s="616">
        <f t="shared" si="265"/>
        <v>177</v>
      </c>
      <c r="B204" s="616">
        <v>1</v>
      </c>
      <c r="C204" s="616">
        <f t="shared" si="234"/>
        <v>201</v>
      </c>
      <c r="D204" s="709" t="s">
        <v>1308</v>
      </c>
      <c r="E204" s="2544">
        <v>1</v>
      </c>
      <c r="F204" s="8"/>
      <c r="G204" s="737"/>
      <c r="H204" s="4"/>
      <c r="I204" s="4"/>
      <c r="J204" s="3"/>
      <c r="K204" s="27"/>
      <c r="L204" s="27"/>
      <c r="M204" s="36" t="s">
        <v>1330</v>
      </c>
      <c r="N204" s="3"/>
      <c r="O204" s="3"/>
      <c r="P204" s="3"/>
      <c r="Q204" s="1786" t="str">
        <f>CHOOSE(2, "6722000003123", "PL (2) CAI Allocation Wages &amp; Salaries")</f>
        <v>PL (2) CAI Allocation Wages &amp; Salaries</v>
      </c>
      <c r="R204" s="37">
        <f t="shared" ref="R204:AC205" si="351">R188-R199</f>
        <v>15920.021674909362</v>
      </c>
      <c r="S204" s="37">
        <f t="shared" si="351"/>
        <v>15879.237161505695</v>
      </c>
      <c r="T204" s="37">
        <f t="shared" si="351"/>
        <v>16373.541375844226</v>
      </c>
      <c r="U204" s="37">
        <f t="shared" si="351"/>
        <v>14604.994079532131</v>
      </c>
      <c r="V204" s="37">
        <f t="shared" si="351"/>
        <v>17548.602146196448</v>
      </c>
      <c r="W204" s="37">
        <f t="shared" si="351"/>
        <v>18807.370826404338</v>
      </c>
      <c r="X204" s="17">
        <f t="shared" si="351"/>
        <v>38997.994367200561</v>
      </c>
      <c r="Y204" s="17">
        <f t="shared" si="351"/>
        <v>21488.262211913905</v>
      </c>
      <c r="Z204" s="17">
        <f t="shared" si="351"/>
        <v>18725.991806195281</v>
      </c>
      <c r="AA204" s="126">
        <f t="shared" si="351"/>
        <v>23451.157214161707</v>
      </c>
      <c r="AB204" s="126">
        <f t="shared" si="351"/>
        <v>15481.994575162469</v>
      </c>
      <c r="AC204" s="126">
        <f t="shared" si="351"/>
        <v>14637.293300653615</v>
      </c>
      <c r="AD204" s="125">
        <f>SUM(R204,S204,T204)</f>
        <v>48172.800212259288</v>
      </c>
      <c r="AE204" s="126">
        <f t="shared" si="348"/>
        <v>50960.967052132917</v>
      </c>
      <c r="AF204" s="126">
        <f t="shared" si="349"/>
        <v>79212.248385309751</v>
      </c>
      <c r="AG204" s="126">
        <f t="shared" si="350"/>
        <v>53570.445089977788</v>
      </c>
      <c r="AH204" s="126">
        <f>AD204+AE204</f>
        <v>99133.767264392198</v>
      </c>
      <c r="AI204" s="126">
        <f>AG204+AF204</f>
        <v>132782.69347528752</v>
      </c>
      <c r="AJ204" s="126">
        <f>AH204+AI204</f>
        <v>231916.46073967972</v>
      </c>
      <c r="AL204" s="37">
        <f ca="1">SUM((INDIRECT(AL$2&amp;(ROW())):INDIRECT(AL$3&amp;(ROW()))))</f>
        <v>14637.293300653615</v>
      </c>
      <c r="AM204" s="3108">
        <f ca="1">SUM(INDIRECT(AM$1&amp;AM$2&amp;$C204):INDIRECT(AM$1&amp;AM$3&amp;$C204))</f>
        <v>49500.407997578877</v>
      </c>
      <c r="AN204" s="3109">
        <f t="shared" ca="1" si="272"/>
        <v>-34863.114696925259</v>
      </c>
      <c r="AO204" s="2756">
        <f ca="1">IFERROR(AL204/AM204,0)</f>
        <v>0.29570045768854153</v>
      </c>
      <c r="AP204" s="1232">
        <f ca="1">SUM(INDIRECT(AP$1&amp;AP$2&amp;$A204):INDIRECT(AP$1&amp;AP$3&amp;$A204))+SUM(INDIRECT(AP$1&amp;AP$2&amp;$B204):INDIRECT(AP$1&amp;AP$3&amp;$B204))</f>
        <v>0.31837772717241036</v>
      </c>
      <c r="AQ204" s="3110">
        <f ca="1">AL204-AP204</f>
        <v>14636.974922926443</v>
      </c>
      <c r="AR204" s="2758">
        <f ca="1">IFERROR(AL204/AP204,0)</f>
        <v>45974.614589566168</v>
      </c>
      <c r="AT204" s="37">
        <f ca="1">SUM((INDIRECT(AT$2&amp;(ROW())):INDIRECT(AT$3&amp;(ROW()))))</f>
        <v>53570.445089977788</v>
      </c>
      <c r="AU204" s="3108">
        <f ca="1">SUM(INDIRECT(AU$1&amp;AU$2&amp;$C204):INDIRECT(AU$1&amp;AU$3&amp;$C204))</f>
        <v>143683.3300663312</v>
      </c>
      <c r="AV204" s="3109">
        <f t="shared" ca="1" si="276"/>
        <v>-90112.884976353409</v>
      </c>
      <c r="AW204" s="2756">
        <f ca="1">IFERROR(AT204/AU204,0)</f>
        <v>0.372836884176105</v>
      </c>
      <c r="AX204" s="1232">
        <f ca="1">SUM(INDIRECT(AX$1&amp;AX$2&amp;$A204):INDIRECT(AX$1&amp;AX$3&amp;$A204))+SUM(INDIRECT(AX$1&amp;AX$2&amp;$B204):INDIRECT(AX$1&amp;AX$3&amp;$B204))</f>
        <v>1.0055530626032876</v>
      </c>
      <c r="AY204" s="3110">
        <f ca="1">AT204-AX204</f>
        <v>53569.439536915183</v>
      </c>
      <c r="AZ204" s="2758">
        <f ca="1">IFERROR(AT204/AX204,0)</f>
        <v>53274.607857380157</v>
      </c>
      <c r="BA204" s="69"/>
      <c r="BB204" s="1289">
        <f ca="1">SUM((INDIRECT(BB$2&amp;(ROW())):INDIRECT(BB$3&amp;(ROW()))))</f>
        <v>231916.46073967975</v>
      </c>
      <c r="BC204" s="1232">
        <f ca="1">SUM(INDIRECT(BC$1&amp;BC$2&amp;$C204):INDIRECT(BC$1&amp;BC$3&amp;$C204))</f>
        <v>255945.30696377924</v>
      </c>
      <c r="BD204" s="3110">
        <f t="shared" ca="1" si="280"/>
        <v>-24028.846224099485</v>
      </c>
      <c r="BE204" s="2758">
        <f ca="1">IFERROR(BB204/BC204,0)</f>
        <v>0.90611726189025221</v>
      </c>
      <c r="BF204" s="1232">
        <f ca="1">SUM(INDIRECT(BF$1&amp;BF$2&amp;$A204):INDIRECT(BF$1&amp;BF$3&amp;$A204))+SUM(INDIRECT(BF$1&amp;BF$2&amp;$B204):INDIRECT(BF$1&amp;BF$3&amp;$B204))</f>
        <v>3.5225848348550826</v>
      </c>
      <c r="BG204" s="3110">
        <f ca="1">BB204-BF204</f>
        <v>231912.93815484489</v>
      </c>
      <c r="BH204" s="2758">
        <f ca="1">IFERROR(BB204/BF204,0)</f>
        <v>65837.012197669523</v>
      </c>
    </row>
    <row r="205" spans="1:60" ht="14.5">
      <c r="A205" s="616">
        <f t="shared" si="265"/>
        <v>178</v>
      </c>
      <c r="B205" s="616">
        <v>1</v>
      </c>
      <c r="C205" s="616">
        <f t="shared" si="234"/>
        <v>202</v>
      </c>
      <c r="D205" s="709" t="s">
        <v>1308</v>
      </c>
      <c r="E205" s="2544">
        <v>1</v>
      </c>
      <c r="F205" s="8"/>
      <c r="G205" s="737"/>
      <c r="H205" s="4"/>
      <c r="I205" s="4"/>
      <c r="J205" s="3"/>
      <c r="K205" s="25"/>
      <c r="L205" s="25"/>
      <c r="M205" s="104" t="s">
        <v>1331</v>
      </c>
      <c r="N205" s="1"/>
      <c r="O205" s="1"/>
      <c r="P205" s="1"/>
      <c r="Q205" s="1786" t="str">
        <f>CHOOSE(2, "6722000003124", "PL (2) CAI Allocation Fixed Expenses")</f>
        <v>PL (2) CAI Allocation Fixed Expenses</v>
      </c>
      <c r="R205" s="60">
        <f t="shared" si="351"/>
        <v>22350.102290768195</v>
      </c>
      <c r="S205" s="60">
        <f t="shared" si="351"/>
        <v>22586.794400244959</v>
      </c>
      <c r="T205" s="60">
        <f t="shared" si="351"/>
        <v>33690.934789488987</v>
      </c>
      <c r="U205" s="60">
        <f t="shared" si="351"/>
        <v>22085.726893633328</v>
      </c>
      <c r="V205" s="60">
        <f t="shared" si="351"/>
        <v>28319.636470676298</v>
      </c>
      <c r="W205" s="60">
        <f t="shared" si="351"/>
        <v>1939.4564847909423</v>
      </c>
      <c r="X205" s="15">
        <f t="shared" si="351"/>
        <v>43597.03452287797</v>
      </c>
      <c r="Y205" s="15">
        <f t="shared" si="351"/>
        <v>27093.021712672657</v>
      </c>
      <c r="Z205" s="15">
        <f t="shared" si="351"/>
        <v>22173.439660372544</v>
      </c>
      <c r="AA205" s="123">
        <f t="shared" si="351"/>
        <v>37875.746966363411</v>
      </c>
      <c r="AB205" s="123">
        <f t="shared" si="351"/>
        <v>7105.4838938810517</v>
      </c>
      <c r="AC205" s="123">
        <f t="shared" si="351"/>
        <v>25359.08369701423</v>
      </c>
      <c r="AD205" s="122">
        <f>SUM(R205,S205,T205)</f>
        <v>78627.831480502151</v>
      </c>
      <c r="AE205" s="123">
        <f t="shared" si="348"/>
        <v>52344.819849100568</v>
      </c>
      <c r="AF205" s="123">
        <f t="shared" si="349"/>
        <v>92863.495895923174</v>
      </c>
      <c r="AG205" s="123">
        <f t="shared" si="350"/>
        <v>70340.314557258695</v>
      </c>
      <c r="AH205" s="123">
        <f>AD205+AE205</f>
        <v>130972.65132960273</v>
      </c>
      <c r="AI205" s="123">
        <f>AG205+AF205</f>
        <v>163203.81045318185</v>
      </c>
      <c r="AJ205" s="123">
        <f>AH205+AI205</f>
        <v>294176.46178278455</v>
      </c>
      <c r="AL205" s="60">
        <f ca="1">SUM((INDIRECT(AL$2&amp;(ROW())):INDIRECT(AL$3&amp;(ROW()))))</f>
        <v>25359.08369701423</v>
      </c>
      <c r="AM205" s="80">
        <f ca="1">SUM(INDIRECT(AM$1&amp;AM$2&amp;$C205):INDIRECT(AM$1&amp;AM$3&amp;$C205))</f>
        <v>0.46919636556016786</v>
      </c>
      <c r="AN205" s="3111">
        <f t="shared" ca="1" si="272"/>
        <v>25358.614500648669</v>
      </c>
      <c r="AO205" s="2760">
        <f ca="1">IFERROR(AL205/AM205,0)</f>
        <v>54047.911617427657</v>
      </c>
      <c r="AP205" s="1241">
        <f ca="1">SUM(INDIRECT(AP$1&amp;AP$2&amp;$A205):INDIRECT(AP$1&amp;AP$3&amp;$A205))+SUM(INDIRECT(AP$1&amp;AP$2&amp;$B205):INDIRECT(AP$1&amp;AP$3&amp;$B205))</f>
        <v>0.35354168090522164</v>
      </c>
      <c r="AQ205" s="3098">
        <f ca="1">AL205-AP205</f>
        <v>25358.730155333324</v>
      </c>
      <c r="AR205" s="2743">
        <f ca="1">IFERROR(AL205/AP205,0)</f>
        <v>71728.695841700654</v>
      </c>
      <c r="AT205" s="60">
        <f ca="1">SUM((INDIRECT(AT$2&amp;(ROW())):INDIRECT(AT$3&amp;(ROW()))))</f>
        <v>70340.314557258695</v>
      </c>
      <c r="AU205" s="80">
        <f ca="1">SUM(INDIRECT(AU$1&amp;AU$2&amp;$C205):INDIRECT(AU$1&amp;AU$3&amp;$C205))</f>
        <v>1.3826444710367443</v>
      </c>
      <c r="AV205" s="3111">
        <f t="shared" ca="1" si="276"/>
        <v>70338.931912787652</v>
      </c>
      <c r="AW205" s="2760">
        <f ca="1">IFERROR(AT205/AU205,0)</f>
        <v>50873.753904729841</v>
      </c>
      <c r="AX205" s="1241">
        <f ca="1">SUM(INDIRECT(AX$1&amp;AX$2&amp;$A205):INDIRECT(AX$1&amp;AX$3&amp;$A205))+SUM(INDIRECT(AX$1&amp;AX$2&amp;$B205):INDIRECT(AX$1&amp;AX$3&amp;$B205))</f>
        <v>1.0455526962784516</v>
      </c>
      <c r="AY205" s="3098">
        <f ca="1">AT205-AX205</f>
        <v>70339.269004562419</v>
      </c>
      <c r="AZ205" s="2743">
        <f ca="1">IFERROR(AT205/AX205,0)</f>
        <v>67275.723937806819</v>
      </c>
      <c r="BA205" s="69"/>
      <c r="BB205" s="1290">
        <f ca="1">SUM((INDIRECT(BB$2&amp;(ROW())):INDIRECT(BB$3&amp;(ROW()))))</f>
        <v>294176.46178278461</v>
      </c>
      <c r="BC205" s="1241">
        <f ca="1">SUM(INDIRECT(BC$1&amp;BC$2&amp;$C205):INDIRECT(BC$1&amp;BC$3&amp;$C205))</f>
        <v>2.3742462686250709</v>
      </c>
      <c r="BD205" s="3098">
        <f t="shared" ca="1" si="280"/>
        <v>294174.08753651596</v>
      </c>
      <c r="BE205" s="2743">
        <f ca="1">IFERROR(BB205/BC205,0)</f>
        <v>123903.09534029197</v>
      </c>
      <c r="BF205" s="1241">
        <f ca="1">SUM(INDIRECT(BF$1&amp;BF$2&amp;$A205):INDIRECT(BF$1&amp;BF$3&amp;$A205))+SUM(INDIRECT(BF$1&amp;BF$2&amp;$B205):INDIRECT(BF$1&amp;BF$3&amp;$B205))</f>
        <v>3.7869306011226183</v>
      </c>
      <c r="BG205" s="3098">
        <f ca="1">BB205-BF205</f>
        <v>294172.6748521835</v>
      </c>
      <c r="BH205" s="2743">
        <f ca="1">IFERROR(BB205/BF205,0)</f>
        <v>77682.031378018219</v>
      </c>
    </row>
    <row r="206" spans="1:60" ht="14.5">
      <c r="A206" s="616">
        <f t="shared" si="265"/>
        <v>179</v>
      </c>
      <c r="B206" s="616">
        <v>1</v>
      </c>
      <c r="C206" s="616">
        <f t="shared" ref="C206:C269" si="352">ROW()-3</f>
        <v>203</v>
      </c>
      <c r="D206" s="709" t="s">
        <v>1308</v>
      </c>
      <c r="E206" s="2547">
        <v>1</v>
      </c>
      <c r="F206" s="4"/>
      <c r="G206" s="4"/>
      <c r="H206" s="4"/>
      <c r="I206" s="4"/>
      <c r="J206" s="3"/>
      <c r="K206" s="4"/>
      <c r="L206" s="4"/>
      <c r="M206" s="3"/>
      <c r="N206" s="3"/>
      <c r="O206" s="3"/>
      <c r="P206" s="3"/>
      <c r="Q206" s="1773" t="str">
        <f>CHOOSE(2, "6722000003125", "▷ Blank 11")</f>
        <v>▷ Blank 11</v>
      </c>
      <c r="R206" s="2562"/>
      <c r="S206" s="2563"/>
      <c r="T206" s="2563"/>
      <c r="U206" s="2563"/>
      <c r="V206" s="2563"/>
      <c r="W206" s="2563"/>
      <c r="AA206" s="2558"/>
      <c r="AB206" s="2558"/>
      <c r="AC206" s="2558"/>
      <c r="AD206" s="2558"/>
      <c r="AE206" s="2558"/>
      <c r="AF206" s="2558"/>
      <c r="AG206" s="2558"/>
      <c r="AH206" s="2558"/>
      <c r="AI206" s="2558"/>
      <c r="AJ206" s="2559"/>
      <c r="AL206" s="2558"/>
      <c r="AM206" s="2558"/>
      <c r="AN206" s="2558"/>
      <c r="AO206" s="2558"/>
      <c r="AP206" s="2558"/>
      <c r="AQ206" s="2558"/>
      <c r="AR206" s="2558"/>
      <c r="AT206" s="2558"/>
      <c r="AU206" s="2558"/>
      <c r="AV206" s="2558"/>
      <c r="AW206" s="2558"/>
      <c r="AX206" s="2558"/>
      <c r="AY206" s="2558"/>
      <c r="AZ206" s="2558"/>
      <c r="BB206" s="2558"/>
      <c r="BC206" s="2558"/>
      <c r="BD206" s="2558"/>
      <c r="BE206" s="2558"/>
      <c r="BF206" s="2558"/>
      <c r="BG206" s="2558"/>
      <c r="BH206" s="2558"/>
    </row>
    <row r="207" spans="1:60" ht="14.5">
      <c r="A207" s="616">
        <f t="shared" si="265"/>
        <v>180</v>
      </c>
      <c r="B207" s="616">
        <v>1</v>
      </c>
      <c r="C207" s="616">
        <f t="shared" si="352"/>
        <v>204</v>
      </c>
      <c r="D207" s="709" t="s">
        <v>1308</v>
      </c>
      <c r="E207" s="2547">
        <v>1</v>
      </c>
      <c r="F207" s="4"/>
      <c r="G207" s="4"/>
      <c r="H207" s="4" t="s">
        <v>1399</v>
      </c>
      <c r="I207" s="4"/>
      <c r="J207" s="3"/>
      <c r="K207" s="4"/>
      <c r="L207" s="4"/>
      <c r="M207" s="3"/>
      <c r="N207" s="3"/>
      <c r="O207" s="3"/>
      <c r="P207" s="3"/>
      <c r="Q207" s="1773" t="str">
        <f>CHOOSE(2, "6722000003126", "PL (3) IP")</f>
        <v>PL (3) IP</v>
      </c>
      <c r="R207" s="2562"/>
      <c r="S207" s="2562"/>
      <c r="T207" s="2562"/>
      <c r="U207" s="2562"/>
      <c r="V207" s="2562"/>
      <c r="W207" s="2562"/>
      <c r="AB207" s="1210"/>
      <c r="AC207" s="1210"/>
      <c r="AD207" s="1210"/>
      <c r="AE207" s="1210"/>
      <c r="AF207" s="1210"/>
      <c r="AG207" s="1210"/>
      <c r="AH207" s="1210"/>
      <c r="AI207" s="1210"/>
      <c r="AJ207" s="1210"/>
      <c r="AL207" s="1210"/>
      <c r="AM207" s="1210"/>
      <c r="AN207" s="1210"/>
      <c r="AO207" s="1210"/>
      <c r="AP207" s="1210"/>
      <c r="AQ207" s="1210"/>
      <c r="AR207" s="1210"/>
      <c r="AT207" s="1210"/>
      <c r="AU207" s="1210"/>
      <c r="AV207" s="1210"/>
      <c r="AW207" s="1210"/>
      <c r="AX207" s="1210"/>
      <c r="AY207" s="1210"/>
      <c r="AZ207" s="1210"/>
      <c r="BB207" s="1210"/>
      <c r="BC207" s="1210"/>
      <c r="BD207" s="1210"/>
      <c r="BE207" s="1210"/>
      <c r="BF207" s="1210"/>
      <c r="BG207" s="1210"/>
      <c r="BH207" s="1210"/>
    </row>
    <row r="208" spans="1:60" ht="14.5">
      <c r="A208" s="616">
        <f t="shared" si="265"/>
        <v>181</v>
      </c>
      <c r="B208" s="616">
        <v>1</v>
      </c>
      <c r="C208" s="616">
        <f t="shared" si="352"/>
        <v>205</v>
      </c>
      <c r="D208" s="709" t="s">
        <v>1308</v>
      </c>
      <c r="E208" s="2547">
        <v>1</v>
      </c>
      <c r="F208" s="4"/>
      <c r="G208" s="4"/>
      <c r="H208" s="4"/>
      <c r="I208" s="3155" t="s">
        <v>0</v>
      </c>
      <c r="J208" s="489"/>
      <c r="K208" s="581"/>
      <c r="L208" s="581"/>
      <c r="M208" s="489"/>
      <c r="N208" s="489"/>
      <c r="O208" s="2036" t="s">
        <v>302</v>
      </c>
      <c r="P208" s="489"/>
      <c r="Q208" s="1795" t="str">
        <f>CHOOSE(2, "6722000003127", "PL (3) Net Sales")</f>
        <v>PL (3) Net Sales</v>
      </c>
      <c r="R208" s="1307">
        <f t="shared" ref="R208:AJ208" si="353">R209+R216</f>
        <v>15308</v>
      </c>
      <c r="S208" s="3156">
        <f t="shared" si="353"/>
        <v>5995</v>
      </c>
      <c r="T208" s="3156">
        <f t="shared" si="353"/>
        <v>25668</v>
      </c>
      <c r="U208" s="3156">
        <f t="shared" si="353"/>
        <v>7458</v>
      </c>
      <c r="V208" s="3156">
        <f t="shared" si="353"/>
        <v>17448.148999999998</v>
      </c>
      <c r="W208" s="3156">
        <f t="shared" si="353"/>
        <v>19062</v>
      </c>
      <c r="X208" s="3156">
        <f t="shared" si="353"/>
        <v>7362</v>
      </c>
      <c r="Y208" s="3156">
        <f t="shared" si="353"/>
        <v>17023</v>
      </c>
      <c r="Z208" s="3156">
        <f t="shared" si="353"/>
        <v>7585</v>
      </c>
      <c r="AA208" s="3156">
        <f t="shared" si="353"/>
        <v>26150</v>
      </c>
      <c r="AB208" s="3156">
        <f t="shared" si="353"/>
        <v>8583.2560000000012</v>
      </c>
      <c r="AC208" s="3156">
        <f t="shared" si="353"/>
        <v>25747</v>
      </c>
      <c r="AD208" s="3156">
        <f t="shared" si="353"/>
        <v>46971</v>
      </c>
      <c r="AE208" s="3156">
        <f t="shared" si="353"/>
        <v>43968.148999999998</v>
      </c>
      <c r="AF208" s="3156">
        <f t="shared" si="353"/>
        <v>31970</v>
      </c>
      <c r="AG208" s="3156">
        <f t="shared" si="353"/>
        <v>60480.256000000001</v>
      </c>
      <c r="AH208" s="3156">
        <f t="shared" si="353"/>
        <v>90939.149000000005</v>
      </c>
      <c r="AI208" s="3156">
        <f t="shared" si="353"/>
        <v>92450.255999999994</v>
      </c>
      <c r="AJ208" s="3156">
        <f t="shared" si="353"/>
        <v>183389.405</v>
      </c>
      <c r="AL208" s="1307">
        <f ca="1">SUM((INDIRECT(AL$2&amp;(ROW())):INDIRECT(AL$3&amp;(ROW()))))</f>
        <v>25747</v>
      </c>
      <c r="AM208" s="3156">
        <f ca="1">SUM(INDIRECT(AM$1&amp;AM$2&amp;$C208):INDIRECT(AM$1&amp;AM$3&amp;$C208))</f>
        <v>17343.578022861308</v>
      </c>
      <c r="AN208" s="3157">
        <f t="shared" ref="AN208:AN271" ca="1" si="354">AL208-AM208</f>
        <v>8403.4219771386925</v>
      </c>
      <c r="AO208" s="3158">
        <f t="shared" ref="AO208:AO238" ca="1" si="355">IFERROR(AL208/AM208,0)</f>
        <v>1.4845264319774032</v>
      </c>
      <c r="AP208" s="3156">
        <f ca="1">SUM(INDIRECT(AP$1&amp;AP$2&amp;$A208):INDIRECT(AP$1&amp;AP$3&amp;$A208))+SUM(INDIRECT(AP$1&amp;AP$2&amp;$B208):INDIRECT(AP$1&amp;AP$3&amp;$B208))</f>
        <v>0</v>
      </c>
      <c r="AQ208" s="3157">
        <f t="shared" ref="AQ208:AQ271" ca="1" si="356">AL208-AP208</f>
        <v>25747</v>
      </c>
      <c r="AR208" s="3158">
        <f t="shared" ref="AR208:AR238" ca="1" si="357">IFERROR(AL208/AP208,0)</f>
        <v>0</v>
      </c>
      <c r="AT208" s="1307">
        <f ca="1">SUM((INDIRECT(AT$2&amp;(ROW())):INDIRECT(AT$3&amp;(ROW()))))</f>
        <v>60480.256000000001</v>
      </c>
      <c r="AU208" s="3156">
        <f ca="1">SUM(INDIRECT(AU$1&amp;AU$2&amp;$C208):INDIRECT(AU$1&amp;AU$3&amp;$C208))</f>
        <v>51587.224777375683</v>
      </c>
      <c r="AV208" s="3157">
        <f t="shared" ref="AV208:AV271" ca="1" si="358">AT208-AU208</f>
        <v>8893.0312226243186</v>
      </c>
      <c r="AW208" s="3158">
        <f t="shared" ref="AW208:AW238" ca="1" si="359">IFERROR(AT208/AU208,0)</f>
        <v>1.1723882465281303</v>
      </c>
      <c r="AX208" s="3156">
        <f ca="1">SUM(INDIRECT(AX$1&amp;AX$2&amp;$A208):INDIRECT(AX$1&amp;AX$3&amp;$A208))+SUM(INDIRECT(AX$1&amp;AX$2&amp;$B208):INDIRECT(AX$1&amp;AX$3&amp;$B208))</f>
        <v>0</v>
      </c>
      <c r="AY208" s="3157">
        <f t="shared" ref="AY208:AY271" ca="1" si="360">AT208-AX208</f>
        <v>60480.256000000001</v>
      </c>
      <c r="AZ208" s="3158">
        <f t="shared" ref="AZ208:AZ238" ca="1" si="361">IFERROR(AT208/AX208,0)</f>
        <v>0</v>
      </c>
      <c r="BB208" s="1307">
        <f ca="1">SUM((INDIRECT(BB$2&amp;(ROW())):INDIRECT(BB$3&amp;(ROW()))))</f>
        <v>183389.405</v>
      </c>
      <c r="BC208" s="3156">
        <f ca="1">SUM(INDIRECT(BC$1&amp;BC$2&amp;$C208):INDIRECT(BC$1&amp;BC$3&amp;$C208))</f>
        <v>86789.159857731342</v>
      </c>
      <c r="BD208" s="3157">
        <f t="shared" ref="BD208:BD271" ca="1" si="362">BB208-BC208</f>
        <v>96600.245142268657</v>
      </c>
      <c r="BE208" s="3158">
        <f t="shared" ref="BE208:BE238" ca="1" si="363">IFERROR(BB208/BC208,0)</f>
        <v>2.1130450542512462</v>
      </c>
      <c r="BF208" s="3156">
        <f ca="1">SUM(INDIRECT(BF$1&amp;BF$2&amp;$A208):INDIRECT(BF$1&amp;BF$3&amp;$A208))+SUM(INDIRECT(BF$1&amp;BF$2&amp;$B208):INDIRECT(BF$1&amp;BF$3&amp;$B208))</f>
        <v>0</v>
      </c>
      <c r="BG208" s="3157">
        <f t="shared" ref="BG208:BG271" ca="1" si="364">BB208-BF208</f>
        <v>183389.405</v>
      </c>
      <c r="BH208" s="3158">
        <f t="shared" ref="BH208:BH238" ca="1" si="365">IFERROR(BB208/BF208,0)</f>
        <v>0</v>
      </c>
    </row>
    <row r="209" spans="1:60" s="69" customFormat="1" ht="14.5">
      <c r="A209" s="616">
        <f t="shared" si="265"/>
        <v>182</v>
      </c>
      <c r="B209" s="616">
        <v>1</v>
      </c>
      <c r="C209" s="616">
        <f t="shared" si="352"/>
        <v>206</v>
      </c>
      <c r="D209" s="709" t="s">
        <v>1308</v>
      </c>
      <c r="E209" s="2547">
        <v>1</v>
      </c>
      <c r="F209" s="4"/>
      <c r="G209" s="4"/>
      <c r="H209" s="4"/>
      <c r="I209" s="27"/>
      <c r="J209" s="3"/>
      <c r="K209" s="4"/>
      <c r="L209" s="4"/>
      <c r="M209" s="301" t="s">
        <v>1400</v>
      </c>
      <c r="N209" s="301"/>
      <c r="O209" s="301"/>
      <c r="P209" s="301"/>
      <c r="Q209" s="1796" t="str">
        <f>CHOOSE(2, "6722000003128", "PL (3) Net Sales HW &amp; Solution")</f>
        <v>PL (3) Net Sales HW &amp; Solution</v>
      </c>
      <c r="R209" s="1308">
        <f>SUM(R210:R215)</f>
        <v>9502</v>
      </c>
      <c r="S209" s="1252">
        <f t="shared" ref="S209:AC209" si="366">SUM(S210:S215)</f>
        <v>252</v>
      </c>
      <c r="T209" s="1252">
        <f t="shared" si="366"/>
        <v>19252</v>
      </c>
      <c r="U209" s="1252">
        <f t="shared" si="366"/>
        <v>252</v>
      </c>
      <c r="V209" s="1252">
        <f t="shared" si="366"/>
        <v>9600</v>
      </c>
      <c r="W209" s="1252">
        <f t="shared" si="366"/>
        <v>10756</v>
      </c>
      <c r="X209" s="1252">
        <f t="shared" si="366"/>
        <v>378</v>
      </c>
      <c r="Y209" s="1252">
        <f t="shared" si="366"/>
        <v>9900</v>
      </c>
      <c r="Z209" s="1252">
        <f t="shared" si="366"/>
        <v>0</v>
      </c>
      <c r="AA209" s="1252">
        <f t="shared" si="366"/>
        <v>18852</v>
      </c>
      <c r="AB209" s="1252">
        <f t="shared" si="366"/>
        <v>0</v>
      </c>
      <c r="AC209" s="1252">
        <f t="shared" si="366"/>
        <v>17085</v>
      </c>
      <c r="AD209" s="1252">
        <f t="shared" ref="AD209:AD222" si="367">SUM(R209,S209,T209)</f>
        <v>29006</v>
      </c>
      <c r="AE209" s="1252">
        <f t="shared" ref="AE209:AE222" si="368">SUM(U209,V209,W209)</f>
        <v>20608</v>
      </c>
      <c r="AF209" s="1252">
        <f t="shared" ref="AF209:AF222" si="369">SUM(X209,Y209,Z209)</f>
        <v>10278</v>
      </c>
      <c r="AG209" s="1252">
        <f t="shared" ref="AG209:AG222" si="370">SUM(AA209,AB209,AC209)</f>
        <v>35937</v>
      </c>
      <c r="AH209" s="1252">
        <f>AD209+AE209</f>
        <v>49614</v>
      </c>
      <c r="AI209" s="1252">
        <f>AG209+AF209</f>
        <v>46215</v>
      </c>
      <c r="AJ209" s="1252">
        <f>AH209+AI209</f>
        <v>95829</v>
      </c>
      <c r="AL209" s="1308">
        <f ca="1">SUM((INDIRECT(AL$2&amp;(ROW())):INDIRECT(AL$3&amp;(ROW()))))</f>
        <v>17085</v>
      </c>
      <c r="AM209" s="1252">
        <f ca="1">SUM(INDIRECT(AM$1&amp;AM$2&amp;$C209):INDIRECT(AM$1&amp;AM$3&amp;$C209))</f>
        <v>0</v>
      </c>
      <c r="AN209" s="3159">
        <f t="shared" ca="1" si="354"/>
        <v>17085</v>
      </c>
      <c r="AO209" s="2806">
        <f t="shared" ca="1" si="355"/>
        <v>0</v>
      </c>
      <c r="AP209" s="1252">
        <f ca="1">SUM(INDIRECT(AP$1&amp;AP$2&amp;$A209):INDIRECT(AP$1&amp;AP$3&amp;$A209))+SUM(INDIRECT(AP$1&amp;AP$2&amp;$B209):INDIRECT(AP$1&amp;AP$3&amp;$B209))</f>
        <v>58670.949029583338</v>
      </c>
      <c r="AQ209" s="3159">
        <f t="shared" ca="1" si="356"/>
        <v>-41585.949029583338</v>
      </c>
      <c r="AR209" s="2806">
        <f t="shared" ca="1" si="357"/>
        <v>0.2912003347923573</v>
      </c>
      <c r="AT209" s="1308">
        <f ca="1">SUM((INDIRECT(AT$2&amp;(ROW())):INDIRECT(AT$3&amp;(ROW()))))</f>
        <v>35937</v>
      </c>
      <c r="AU209" s="1252">
        <f ca="1">SUM(INDIRECT(AU$1&amp;AU$2&amp;$C209):INDIRECT(AU$1&amp;AU$3&amp;$C209))</f>
        <v>0</v>
      </c>
      <c r="AV209" s="3159">
        <f t="shared" ca="1" si="358"/>
        <v>35937</v>
      </c>
      <c r="AW209" s="2806">
        <f t="shared" ca="1" si="359"/>
        <v>0</v>
      </c>
      <c r="AX209" s="1252">
        <f ca="1">SUM(INDIRECT(AX$1&amp;AX$2&amp;$A209):INDIRECT(AX$1&amp;AX$3&amp;$A209))+SUM(INDIRECT(AX$1&amp;AX$2&amp;$B209):INDIRECT(AX$1&amp;AX$3&amp;$B209))</f>
        <v>160672.94902958334</v>
      </c>
      <c r="AY209" s="3159">
        <f t="shared" ca="1" si="360"/>
        <v>-124735.94902958334</v>
      </c>
      <c r="AZ209" s="2806">
        <f t="shared" ca="1" si="361"/>
        <v>0.22366552812435916</v>
      </c>
      <c r="BB209" s="1308">
        <f ca="1">SUM((INDIRECT(BB$2&amp;(ROW())):INDIRECT(BB$3&amp;(ROW()))))</f>
        <v>95829</v>
      </c>
      <c r="BC209" s="1252">
        <f ca="1">SUM(INDIRECT(BC$1&amp;BC$2&amp;$C209):INDIRECT(BC$1&amp;BC$3&amp;$C209))</f>
        <v>0</v>
      </c>
      <c r="BD209" s="3159">
        <f t="shared" ca="1" si="362"/>
        <v>95829</v>
      </c>
      <c r="BE209" s="2806">
        <f t="shared" ca="1" si="363"/>
        <v>0</v>
      </c>
      <c r="BF209" s="1252">
        <f ca="1">SUM(INDIRECT(BF$1&amp;BF$2&amp;$A209):INDIRECT(BF$1&amp;BF$3&amp;$A209))+SUM(INDIRECT(BF$1&amp;BF$2&amp;$B209):INDIRECT(BF$1&amp;BF$3&amp;$B209))</f>
        <v>548608.78333899018</v>
      </c>
      <c r="BG209" s="3159">
        <f t="shared" ca="1" si="364"/>
        <v>-452779.78333899018</v>
      </c>
      <c r="BH209" s="2806">
        <f t="shared" ca="1" si="365"/>
        <v>0.17467638672636129</v>
      </c>
    </row>
    <row r="210" spans="1:60" s="69" customFormat="1" ht="14.5">
      <c r="A210" s="616">
        <f t="shared" si="265"/>
        <v>183</v>
      </c>
      <c r="B210" s="616">
        <v>1</v>
      </c>
      <c r="C210" s="616">
        <f t="shared" si="352"/>
        <v>207</v>
      </c>
      <c r="D210" s="709" t="s">
        <v>1308</v>
      </c>
      <c r="E210" s="2547">
        <v>1</v>
      </c>
      <c r="F210" s="4"/>
      <c r="G210" s="4"/>
      <c r="H210" s="4"/>
      <c r="I210" s="27"/>
      <c r="J210" s="3"/>
      <c r="K210" s="4"/>
      <c r="L210" s="4"/>
      <c r="M210" s="4"/>
      <c r="N210" s="3" t="s">
        <v>587</v>
      </c>
      <c r="O210" s="3"/>
      <c r="P210" s="3"/>
      <c r="Q210" s="1784" t="str">
        <f>CHOOSE(2, "6722000003129", "PL (3) Net Sales HW &amp; Solution KM-1/KM-1e")</f>
        <v>PL (3) Net Sales HW &amp; Solution KM-1/KM-1e</v>
      </c>
      <c r="R210" s="1289">
        <f t="shared" ref="R210:AC215" si="371">R635+R650</f>
        <v>0</v>
      </c>
      <c r="S210" s="1232">
        <f t="shared" si="371"/>
        <v>0</v>
      </c>
      <c r="T210" s="1232">
        <f t="shared" si="371"/>
        <v>0</v>
      </c>
      <c r="U210" s="1232">
        <f t="shared" si="371"/>
        <v>0</v>
      </c>
      <c r="V210" s="1232">
        <f t="shared" si="371"/>
        <v>0</v>
      </c>
      <c r="W210" s="1232">
        <f t="shared" si="371"/>
        <v>0</v>
      </c>
      <c r="X210" s="1232">
        <f t="shared" si="371"/>
        <v>0</v>
      </c>
      <c r="Y210" s="1232">
        <f t="shared" si="371"/>
        <v>0</v>
      </c>
      <c r="Z210" s="1232">
        <f t="shared" si="371"/>
        <v>0</v>
      </c>
      <c r="AA210" s="1232">
        <f t="shared" si="371"/>
        <v>0</v>
      </c>
      <c r="AB210" s="1232">
        <f t="shared" si="371"/>
        <v>0</v>
      </c>
      <c r="AC210" s="1232">
        <f t="shared" si="371"/>
        <v>-1515</v>
      </c>
      <c r="AD210" s="1232">
        <f t="shared" si="367"/>
        <v>0</v>
      </c>
      <c r="AE210" s="1232">
        <f t="shared" si="368"/>
        <v>0</v>
      </c>
      <c r="AF210" s="1232">
        <f t="shared" si="369"/>
        <v>0</v>
      </c>
      <c r="AG210" s="1232">
        <f t="shared" si="370"/>
        <v>-1515</v>
      </c>
      <c r="AH210" s="1232">
        <f t="shared" ref="AH210:AH222" si="372">AD210+AE210</f>
        <v>0</v>
      </c>
      <c r="AI210" s="1232">
        <f t="shared" ref="AI210:AI222" si="373">AG210+AF210</f>
        <v>-1515</v>
      </c>
      <c r="AJ210" s="1232">
        <f t="shared" ref="AJ210:AJ222" si="374">AH210+AI210</f>
        <v>-1515</v>
      </c>
      <c r="AL210" s="1289">
        <f ca="1">SUM((INDIRECT(AL$2&amp;(ROW())):INDIRECT(AL$3&amp;(ROW()))))</f>
        <v>-1515</v>
      </c>
      <c r="AM210" s="1232">
        <f ca="1">SUM(INDIRECT(AM$1&amp;AM$2&amp;$C210):INDIRECT(AM$1&amp;AM$3&amp;$C210))</f>
        <v>0</v>
      </c>
      <c r="AN210" s="3110">
        <f t="shared" ca="1" si="354"/>
        <v>-1515</v>
      </c>
      <c r="AO210" s="2758">
        <f t="shared" ca="1" si="355"/>
        <v>0</v>
      </c>
      <c r="AP210" s="1232">
        <f ca="1">SUM(INDIRECT(AP$1&amp;AP$2&amp;$A210):INDIRECT(AP$1&amp;AP$3&amp;$A210))+SUM(INDIRECT(AP$1&amp;AP$2&amp;$B210):INDIRECT(AP$1&amp;AP$3&amp;$B210))</f>
        <v>131632.0147</v>
      </c>
      <c r="AQ210" s="3110">
        <f t="shared" ca="1" si="356"/>
        <v>-133147.0147</v>
      </c>
      <c r="AR210" s="2758">
        <f t="shared" ca="1" si="357"/>
        <v>-1.1509358140972068E-2</v>
      </c>
      <c r="AT210" s="1289">
        <f ca="1">SUM((INDIRECT(AT$2&amp;(ROW())):INDIRECT(AT$3&amp;(ROW()))))</f>
        <v>-1515</v>
      </c>
      <c r="AU210" s="1232">
        <f ca="1">SUM(INDIRECT(AU$1&amp;AU$2&amp;$C210):INDIRECT(AU$1&amp;AU$3&amp;$C210))</f>
        <v>0</v>
      </c>
      <c r="AV210" s="3110">
        <f t="shared" ca="1" si="358"/>
        <v>-1515</v>
      </c>
      <c r="AW210" s="2758">
        <f t="shared" ca="1" si="359"/>
        <v>0</v>
      </c>
      <c r="AX210" s="1232">
        <f ca="1">SUM(INDIRECT(AX$1&amp;AX$2&amp;$A210):INDIRECT(AX$1&amp;AX$3&amp;$A210))+SUM(INDIRECT(AX$1&amp;AX$2&amp;$B210):INDIRECT(AX$1&amp;AX$3&amp;$B210))</f>
        <v>401608.0147</v>
      </c>
      <c r="AY210" s="3110">
        <f t="shared" ca="1" si="360"/>
        <v>-403123.0147</v>
      </c>
      <c r="AZ210" s="2758">
        <f t="shared" ca="1" si="361"/>
        <v>-3.7723350743677276E-3</v>
      </c>
      <c r="BB210" s="1289">
        <f ca="1">SUM((INDIRECT(BB$2&amp;(ROW())):INDIRECT(BB$3&amp;(ROW()))))</f>
        <v>-1515</v>
      </c>
      <c r="BC210" s="1232">
        <f ca="1">SUM(INDIRECT(BC$1&amp;BC$2&amp;$C210):INDIRECT(BC$1&amp;BC$3&amp;$C210))</f>
        <v>0</v>
      </c>
      <c r="BD210" s="3110">
        <f t="shared" ca="1" si="362"/>
        <v>-1515</v>
      </c>
      <c r="BE210" s="2758">
        <f t="shared" ca="1" si="363"/>
        <v>0</v>
      </c>
      <c r="BF210" s="1232">
        <f ca="1">SUM(INDIRECT(BF$1&amp;BF$2&amp;$A210):INDIRECT(BF$1&amp;BF$3&amp;$A210))+SUM(INDIRECT(BF$1&amp;BF$2&amp;$B210):INDIRECT(BF$1&amp;BF$3&amp;$B210))</f>
        <v>1289658.6350806789</v>
      </c>
      <c r="BG210" s="3110">
        <f t="shared" ca="1" si="364"/>
        <v>-1291173.6350806789</v>
      </c>
      <c r="BH210" s="2758">
        <f t="shared" ca="1" si="365"/>
        <v>-1.174729466224389E-3</v>
      </c>
    </row>
    <row r="211" spans="1:60" s="69" customFormat="1" ht="14.5">
      <c r="A211" s="616">
        <f t="shared" si="265"/>
        <v>184</v>
      </c>
      <c r="B211" s="616">
        <v>1</v>
      </c>
      <c r="C211" s="616">
        <f t="shared" si="352"/>
        <v>208</v>
      </c>
      <c r="D211" s="709" t="s">
        <v>1308</v>
      </c>
      <c r="E211" s="2547">
        <v>1</v>
      </c>
      <c r="F211" s="4"/>
      <c r="G211" s="4"/>
      <c r="H211" s="4"/>
      <c r="I211" s="27"/>
      <c r="J211" s="3"/>
      <c r="K211" s="4"/>
      <c r="L211" s="4"/>
      <c r="M211" s="4"/>
      <c r="N211" s="3" t="s">
        <v>1401</v>
      </c>
      <c r="O211" s="3"/>
      <c r="P211" s="3"/>
      <c r="Q211" s="1784" t="str">
        <f>CHOOSE(2, "6722000003130", "PL (3) Net Sales HW &amp; Solution Label Printer")</f>
        <v>PL (3) Net Sales HW &amp; Solution Label Printer</v>
      </c>
      <c r="R211" s="1289">
        <f t="shared" si="371"/>
        <v>0</v>
      </c>
      <c r="S211" s="1232">
        <f t="shared" si="371"/>
        <v>0</v>
      </c>
      <c r="T211" s="1232">
        <f t="shared" si="371"/>
        <v>9500</v>
      </c>
      <c r="U211" s="1232">
        <f t="shared" si="371"/>
        <v>0</v>
      </c>
      <c r="V211" s="1232">
        <f t="shared" si="371"/>
        <v>0</v>
      </c>
      <c r="W211" s="1232">
        <f t="shared" si="371"/>
        <v>0</v>
      </c>
      <c r="X211" s="1232">
        <f t="shared" si="371"/>
        <v>0</v>
      </c>
      <c r="Y211" s="1232">
        <f t="shared" si="371"/>
        <v>0</v>
      </c>
      <c r="Z211" s="1232">
        <f t="shared" si="371"/>
        <v>0</v>
      </c>
      <c r="AA211" s="1232">
        <f t="shared" si="371"/>
        <v>9100</v>
      </c>
      <c r="AB211" s="1232">
        <f t="shared" si="371"/>
        <v>0</v>
      </c>
      <c r="AC211" s="1232">
        <f t="shared" si="371"/>
        <v>9000</v>
      </c>
      <c r="AD211" s="1232">
        <f t="shared" si="367"/>
        <v>9500</v>
      </c>
      <c r="AE211" s="1232">
        <f t="shared" si="368"/>
        <v>0</v>
      </c>
      <c r="AF211" s="1232">
        <f t="shared" si="369"/>
        <v>0</v>
      </c>
      <c r="AG211" s="1232">
        <f t="shared" si="370"/>
        <v>18100</v>
      </c>
      <c r="AH211" s="1232">
        <f t="shared" si="372"/>
        <v>9500</v>
      </c>
      <c r="AI211" s="1232">
        <f t="shared" si="373"/>
        <v>18100</v>
      </c>
      <c r="AJ211" s="1232">
        <f t="shared" si="374"/>
        <v>27600</v>
      </c>
      <c r="AL211" s="1289">
        <f ca="1">SUM((INDIRECT(AL$2&amp;(ROW())):INDIRECT(AL$3&amp;(ROW()))))</f>
        <v>9000</v>
      </c>
      <c r="AM211" s="1232">
        <f ca="1">SUM(INDIRECT(AM$1&amp;AM$2&amp;$C211):INDIRECT(AM$1&amp;AM$3&amp;$C211))</f>
        <v>47800</v>
      </c>
      <c r="AN211" s="3110">
        <f t="shared" ca="1" si="354"/>
        <v>-38800</v>
      </c>
      <c r="AO211" s="2758">
        <f t="shared" ca="1" si="355"/>
        <v>0.18828451882845187</v>
      </c>
      <c r="AP211" s="1232">
        <f ca="1">SUM(INDIRECT(AP$1&amp;AP$2&amp;$A211):INDIRECT(AP$1&amp;AP$3&amp;$A211))+SUM(INDIRECT(AP$1&amp;AP$2&amp;$B211):INDIRECT(AP$1&amp;AP$3&amp;$B211))</f>
        <v>0</v>
      </c>
      <c r="AQ211" s="3110">
        <f t="shared" ca="1" si="356"/>
        <v>9000</v>
      </c>
      <c r="AR211" s="2758">
        <f t="shared" ca="1" si="357"/>
        <v>0</v>
      </c>
      <c r="AT211" s="1289">
        <f ca="1">SUM((INDIRECT(AT$2&amp;(ROW())):INDIRECT(AT$3&amp;(ROW()))))</f>
        <v>18100</v>
      </c>
      <c r="AU211" s="1232">
        <f ca="1">SUM(INDIRECT(AU$1&amp;AU$2&amp;$C211):INDIRECT(AU$1&amp;AU$3&amp;$C211))</f>
        <v>89900</v>
      </c>
      <c r="AV211" s="3110">
        <f t="shared" ca="1" si="358"/>
        <v>-71800</v>
      </c>
      <c r="AW211" s="2758">
        <f t="shared" ca="1" si="359"/>
        <v>0.20133481646273638</v>
      </c>
      <c r="AX211" s="1232">
        <f ca="1">SUM(INDIRECT(AX$1&amp;AX$2&amp;$A211):INDIRECT(AX$1&amp;AX$3&amp;$A211))+SUM(INDIRECT(AX$1&amp;AX$2&amp;$B211):INDIRECT(AX$1&amp;AX$3&amp;$B211))</f>
        <v>0</v>
      </c>
      <c r="AY211" s="3110">
        <f t="shared" ca="1" si="360"/>
        <v>18100</v>
      </c>
      <c r="AZ211" s="2758">
        <f t="shared" ca="1" si="361"/>
        <v>0</v>
      </c>
      <c r="BB211" s="1289">
        <f ca="1">SUM((INDIRECT(BB$2&amp;(ROW())):INDIRECT(BB$3&amp;(ROW()))))</f>
        <v>27600</v>
      </c>
      <c r="BC211" s="1232">
        <f ca="1">SUM(INDIRECT(BC$1&amp;BC$2&amp;$C211):INDIRECT(BC$1&amp;BC$3&amp;$C211))</f>
        <v>187500</v>
      </c>
      <c r="BD211" s="3110">
        <f t="shared" ca="1" si="362"/>
        <v>-159900</v>
      </c>
      <c r="BE211" s="2758">
        <f t="shared" ca="1" si="363"/>
        <v>0.1472</v>
      </c>
      <c r="BF211" s="1232">
        <f ca="1">SUM(INDIRECT(BF$1&amp;BF$2&amp;$A211):INDIRECT(BF$1&amp;BF$3&amp;$A211))+SUM(INDIRECT(BF$1&amp;BF$2&amp;$B211):INDIRECT(BF$1&amp;BF$3&amp;$B211))</f>
        <v>0</v>
      </c>
      <c r="BG211" s="3110">
        <f t="shared" ca="1" si="364"/>
        <v>27600</v>
      </c>
      <c r="BH211" s="2758">
        <f t="shared" ca="1" si="365"/>
        <v>0</v>
      </c>
    </row>
    <row r="212" spans="1:60" s="69" customFormat="1" ht="14.5">
      <c r="A212" s="616">
        <f t="shared" si="265"/>
        <v>185</v>
      </c>
      <c r="B212" s="616">
        <v>1</v>
      </c>
      <c r="C212" s="616">
        <f t="shared" si="352"/>
        <v>209</v>
      </c>
      <c r="D212" s="709" t="s">
        <v>1308</v>
      </c>
      <c r="E212" s="2547">
        <v>1</v>
      </c>
      <c r="F212" s="4"/>
      <c r="G212" s="4"/>
      <c r="H212" s="4"/>
      <c r="I212" s="27"/>
      <c r="J212" s="3"/>
      <c r="K212" s="4"/>
      <c r="L212" s="4"/>
      <c r="M212" s="4"/>
      <c r="N212" s="3" t="s">
        <v>1402</v>
      </c>
      <c r="O212" s="3"/>
      <c r="P212" s="3"/>
      <c r="Q212" s="1784" t="str">
        <f>CHOOSE(2, "6722000003131", "PL (3) Net Sales HW &amp; Solution MGI")</f>
        <v>PL (3) Net Sales HW &amp; Solution MGI</v>
      </c>
      <c r="R212" s="1289">
        <f t="shared" si="371"/>
        <v>9502</v>
      </c>
      <c r="S212" s="1232">
        <f t="shared" si="371"/>
        <v>252</v>
      </c>
      <c r="T212" s="1232">
        <f t="shared" si="371"/>
        <v>9752</v>
      </c>
      <c r="U212" s="1232">
        <f t="shared" si="371"/>
        <v>252</v>
      </c>
      <c r="V212" s="1232">
        <f t="shared" si="371"/>
        <v>9600</v>
      </c>
      <c r="W212" s="1232">
        <f t="shared" si="371"/>
        <v>10756</v>
      </c>
      <c r="X212" s="1232">
        <f t="shared" si="371"/>
        <v>378</v>
      </c>
      <c r="Y212" s="1232">
        <f t="shared" si="371"/>
        <v>9900</v>
      </c>
      <c r="Z212" s="1232">
        <f t="shared" si="371"/>
        <v>0</v>
      </c>
      <c r="AA212" s="1232">
        <f t="shared" si="371"/>
        <v>9752</v>
      </c>
      <c r="AB212" s="1232">
        <f t="shared" si="371"/>
        <v>0</v>
      </c>
      <c r="AC212" s="1232">
        <f t="shared" si="371"/>
        <v>9600</v>
      </c>
      <c r="AD212" s="1232">
        <f t="shared" si="367"/>
        <v>19506</v>
      </c>
      <c r="AE212" s="1232">
        <f t="shared" si="368"/>
        <v>20608</v>
      </c>
      <c r="AF212" s="1232">
        <f t="shared" si="369"/>
        <v>10278</v>
      </c>
      <c r="AG212" s="1232">
        <f t="shared" si="370"/>
        <v>19352</v>
      </c>
      <c r="AH212" s="1232">
        <f t="shared" si="372"/>
        <v>40114</v>
      </c>
      <c r="AI212" s="1232">
        <f t="shared" si="373"/>
        <v>29630</v>
      </c>
      <c r="AJ212" s="1232">
        <f t="shared" si="374"/>
        <v>69744</v>
      </c>
      <c r="AL212" s="1289">
        <f ca="1">SUM((INDIRECT(AL$2&amp;(ROW())):INDIRECT(AL$3&amp;(ROW()))))</f>
        <v>9600</v>
      </c>
      <c r="AM212" s="1232">
        <f ca="1">SUM(INDIRECT(AM$1&amp;AM$2&amp;$C212):INDIRECT(AM$1&amp;AM$3&amp;$C212))</f>
        <v>41500</v>
      </c>
      <c r="AN212" s="3110">
        <f t="shared" ca="1" si="354"/>
        <v>-31900</v>
      </c>
      <c r="AO212" s="2758">
        <f t="shared" ca="1" si="355"/>
        <v>0.23132530120481928</v>
      </c>
      <c r="AP212" s="1232">
        <f ca="1">SUM(INDIRECT(AP$1&amp;AP$2&amp;$A212):INDIRECT(AP$1&amp;AP$3&amp;$A212))+SUM(INDIRECT(AP$1&amp;AP$2&amp;$B212):INDIRECT(AP$1&amp;AP$3&amp;$B212))</f>
        <v>0</v>
      </c>
      <c r="AQ212" s="3110">
        <f t="shared" ca="1" si="356"/>
        <v>9600</v>
      </c>
      <c r="AR212" s="2758">
        <f t="shared" ca="1" si="357"/>
        <v>0</v>
      </c>
      <c r="AT212" s="1289">
        <f ca="1">SUM((INDIRECT(AT$2&amp;(ROW())):INDIRECT(AT$3&amp;(ROW()))))</f>
        <v>19352</v>
      </c>
      <c r="AU212" s="1232">
        <f ca="1">SUM(INDIRECT(AU$1&amp;AU$2&amp;$C212):INDIRECT(AU$1&amp;AU$3&amp;$C212))</f>
        <v>70400</v>
      </c>
      <c r="AV212" s="3110">
        <f t="shared" ca="1" si="358"/>
        <v>-51048</v>
      </c>
      <c r="AW212" s="2758">
        <f t="shared" ca="1" si="359"/>
        <v>0.27488636363636365</v>
      </c>
      <c r="AX212" s="1232">
        <f ca="1">SUM(INDIRECT(AX$1&amp;AX$2&amp;$A212):INDIRECT(AX$1&amp;AX$3&amp;$A212))+SUM(INDIRECT(AX$1&amp;AX$2&amp;$B212):INDIRECT(AX$1&amp;AX$3&amp;$B212))</f>
        <v>0</v>
      </c>
      <c r="AY212" s="3110">
        <f t="shared" ca="1" si="360"/>
        <v>19352</v>
      </c>
      <c r="AZ212" s="2758">
        <f t="shared" ca="1" si="361"/>
        <v>0</v>
      </c>
      <c r="BB212" s="1289">
        <f ca="1">SUM((INDIRECT(BB$2&amp;(ROW())):INDIRECT(BB$3&amp;(ROW()))))</f>
        <v>69744</v>
      </c>
      <c r="BC212" s="1232">
        <f ca="1">SUM(INDIRECT(BC$1&amp;BC$2&amp;$C212):INDIRECT(BC$1&amp;BC$3&amp;$C212))</f>
        <v>155300</v>
      </c>
      <c r="BD212" s="3110">
        <f t="shared" ca="1" si="362"/>
        <v>-85556</v>
      </c>
      <c r="BE212" s="2758">
        <f t="shared" ca="1" si="363"/>
        <v>0.4490920798454604</v>
      </c>
      <c r="BF212" s="1232">
        <f ca="1">SUM(INDIRECT(BF$1&amp;BF$2&amp;$A212):INDIRECT(BF$1&amp;BF$3&amp;$A212))+SUM(INDIRECT(BF$1&amp;BF$2&amp;$B212):INDIRECT(BF$1&amp;BF$3&amp;$B212))</f>
        <v>0</v>
      </c>
      <c r="BG212" s="3110">
        <f t="shared" ca="1" si="364"/>
        <v>69744</v>
      </c>
      <c r="BH212" s="2758">
        <f t="shared" ca="1" si="365"/>
        <v>0</v>
      </c>
    </row>
    <row r="213" spans="1:60" s="69" customFormat="1" ht="14.5">
      <c r="A213" s="616">
        <f t="shared" si="265"/>
        <v>186</v>
      </c>
      <c r="B213" s="616">
        <v>1</v>
      </c>
      <c r="C213" s="616">
        <f t="shared" si="352"/>
        <v>210</v>
      </c>
      <c r="D213" s="709" t="s">
        <v>1308</v>
      </c>
      <c r="E213" s="2547">
        <v>1</v>
      </c>
      <c r="F213" s="4"/>
      <c r="G213" s="4"/>
      <c r="H213" s="4"/>
      <c r="I213" s="27"/>
      <c r="J213" s="3"/>
      <c r="K213" s="4"/>
      <c r="L213" s="4"/>
      <c r="M213" s="4"/>
      <c r="N213" s="3" t="s">
        <v>1403</v>
      </c>
      <c r="O213" s="3"/>
      <c r="P213" s="3"/>
      <c r="Q213" s="1784" t="str">
        <f>CHOOSE(2, "6722000003132", "PL (3) Net Sales HW &amp; Solution EFI/LF")</f>
        <v>PL (3) Net Sales HW &amp; Solution EFI/LF</v>
      </c>
      <c r="R213" s="1289">
        <f t="shared" si="371"/>
        <v>0</v>
      </c>
      <c r="S213" s="1232">
        <f t="shared" si="371"/>
        <v>0</v>
      </c>
      <c r="T213" s="1232">
        <f t="shared" si="371"/>
        <v>0</v>
      </c>
      <c r="U213" s="1232">
        <f t="shared" si="371"/>
        <v>0</v>
      </c>
      <c r="V213" s="1232">
        <f t="shared" si="371"/>
        <v>0</v>
      </c>
      <c r="W213" s="1232">
        <f t="shared" si="371"/>
        <v>0</v>
      </c>
      <c r="X213" s="1232">
        <f t="shared" si="371"/>
        <v>0</v>
      </c>
      <c r="Y213" s="1232">
        <f t="shared" si="371"/>
        <v>0</v>
      </c>
      <c r="Z213" s="1232">
        <f t="shared" si="371"/>
        <v>0</v>
      </c>
      <c r="AA213" s="1232">
        <f t="shared" si="371"/>
        <v>0</v>
      </c>
      <c r="AB213" s="1232">
        <f t="shared" si="371"/>
        <v>0</v>
      </c>
      <c r="AC213" s="1232">
        <f t="shared" si="371"/>
        <v>0</v>
      </c>
      <c r="AD213" s="1232">
        <f t="shared" si="367"/>
        <v>0</v>
      </c>
      <c r="AE213" s="1232">
        <f t="shared" si="368"/>
        <v>0</v>
      </c>
      <c r="AF213" s="1232">
        <f t="shared" si="369"/>
        <v>0</v>
      </c>
      <c r="AG213" s="1232">
        <f t="shared" si="370"/>
        <v>0</v>
      </c>
      <c r="AH213" s="1232">
        <f t="shared" si="372"/>
        <v>0</v>
      </c>
      <c r="AI213" s="1232">
        <f t="shared" si="373"/>
        <v>0</v>
      </c>
      <c r="AJ213" s="1232">
        <f t="shared" si="374"/>
        <v>0</v>
      </c>
      <c r="AL213" s="1289">
        <f ca="1">SUM((INDIRECT(AL$2&amp;(ROW())):INDIRECT(AL$3&amp;(ROW()))))</f>
        <v>0</v>
      </c>
      <c r="AM213" s="1232">
        <f ca="1">SUM(INDIRECT(AM$1&amp;AM$2&amp;$C213):INDIRECT(AM$1&amp;AM$3&amp;$C213))</f>
        <v>0</v>
      </c>
      <c r="AN213" s="3110">
        <f t="shared" ca="1" si="354"/>
        <v>0</v>
      </c>
      <c r="AO213" s="2758">
        <f t="shared" ca="1" si="355"/>
        <v>0</v>
      </c>
      <c r="AP213" s="1232">
        <f ca="1">SUM(INDIRECT(AP$1&amp;AP$2&amp;$A213):INDIRECT(AP$1&amp;AP$3&amp;$A213))+SUM(INDIRECT(AP$1&amp;AP$2&amp;$B213):INDIRECT(AP$1&amp;AP$3&amp;$B213))</f>
        <v>102245.23734156512</v>
      </c>
      <c r="AQ213" s="3110">
        <f t="shared" ca="1" si="356"/>
        <v>-102245.23734156512</v>
      </c>
      <c r="AR213" s="2758">
        <f t="shared" ca="1" si="357"/>
        <v>0</v>
      </c>
      <c r="AT213" s="1289">
        <f ca="1">SUM((INDIRECT(AT$2&amp;(ROW())):INDIRECT(AT$3&amp;(ROW()))))</f>
        <v>0</v>
      </c>
      <c r="AU213" s="1232">
        <f ca="1">SUM(INDIRECT(AU$1&amp;AU$2&amp;$C213):INDIRECT(AU$1&amp;AU$3&amp;$C213))</f>
        <v>0</v>
      </c>
      <c r="AV213" s="3110">
        <f t="shared" ca="1" si="358"/>
        <v>0</v>
      </c>
      <c r="AW213" s="2758">
        <f t="shared" ca="1" si="359"/>
        <v>0</v>
      </c>
      <c r="AX213" s="1232">
        <f ca="1">SUM(INDIRECT(AX$1&amp;AX$2&amp;$A213):INDIRECT(AX$1&amp;AX$3&amp;$A213))+SUM(INDIRECT(AX$1&amp;AX$2&amp;$B213):INDIRECT(AX$1&amp;AX$3&amp;$B213))</f>
        <v>350855.4314553219</v>
      </c>
      <c r="AY213" s="3110">
        <f t="shared" ca="1" si="360"/>
        <v>-350855.4314553219</v>
      </c>
      <c r="AZ213" s="2758">
        <f t="shared" ca="1" si="361"/>
        <v>0</v>
      </c>
      <c r="BB213" s="1289">
        <f ca="1">SUM((INDIRECT(BB$2&amp;(ROW())):INDIRECT(BB$3&amp;(ROW()))))</f>
        <v>0</v>
      </c>
      <c r="BC213" s="1232">
        <f ca="1">SUM(INDIRECT(BC$1&amp;BC$2&amp;$C213):INDIRECT(BC$1&amp;BC$3&amp;$C213))</f>
        <v>75200</v>
      </c>
      <c r="BD213" s="3110">
        <f t="shared" ca="1" si="362"/>
        <v>-75200</v>
      </c>
      <c r="BE213" s="2758">
        <f t="shared" ca="1" si="363"/>
        <v>0</v>
      </c>
      <c r="BF213" s="1232">
        <f ca="1">SUM(INDIRECT(BF$1&amp;BF$2&amp;$A213):INDIRECT(BF$1&amp;BF$3&amp;$A213))+SUM(INDIRECT(BF$1&amp;BF$2&amp;$B213):INDIRECT(BF$1&amp;BF$3&amp;$B213))</f>
        <v>1217879.1040128132</v>
      </c>
      <c r="BG213" s="3110">
        <f t="shared" ca="1" si="364"/>
        <v>-1217879.1040128132</v>
      </c>
      <c r="BH213" s="2758">
        <f t="shared" ca="1" si="365"/>
        <v>0</v>
      </c>
    </row>
    <row r="214" spans="1:60" s="69" customFormat="1" ht="14.5">
      <c r="A214" s="616">
        <f t="shared" si="265"/>
        <v>187</v>
      </c>
      <c r="B214" s="616">
        <v>1</v>
      </c>
      <c r="C214" s="616">
        <f t="shared" si="352"/>
        <v>211</v>
      </c>
      <c r="D214" s="709" t="s">
        <v>1308</v>
      </c>
      <c r="E214" s="2547">
        <v>1</v>
      </c>
      <c r="F214" s="4"/>
      <c r="G214" s="4"/>
      <c r="H214" s="4"/>
      <c r="I214" s="27"/>
      <c r="J214" s="3"/>
      <c r="K214" s="4"/>
      <c r="L214" s="4"/>
      <c r="M214" s="4"/>
      <c r="N214" s="3" t="s">
        <v>1404</v>
      </c>
      <c r="O214" s="3"/>
      <c r="P214" s="3"/>
      <c r="Q214" s="1784" t="str">
        <f>CHOOSE(2, "6722000003133", "PL (3) Net Sales HW &amp; Solution Textile Printer")</f>
        <v>PL (3) Net Sales HW &amp; Solution Textile Printer</v>
      </c>
      <c r="R214" s="1289">
        <f t="shared" si="371"/>
        <v>0</v>
      </c>
      <c r="S214" s="1232">
        <f t="shared" si="371"/>
        <v>0</v>
      </c>
      <c r="T214" s="1232">
        <f t="shared" si="371"/>
        <v>0</v>
      </c>
      <c r="U214" s="1232">
        <f t="shared" si="371"/>
        <v>0</v>
      </c>
      <c r="V214" s="1232">
        <f t="shared" si="371"/>
        <v>0</v>
      </c>
      <c r="W214" s="1232">
        <f t="shared" si="371"/>
        <v>0</v>
      </c>
      <c r="X214" s="1232">
        <f t="shared" si="371"/>
        <v>0</v>
      </c>
      <c r="Y214" s="1232">
        <f t="shared" si="371"/>
        <v>0</v>
      </c>
      <c r="Z214" s="1232">
        <f t="shared" si="371"/>
        <v>0</v>
      </c>
      <c r="AA214" s="1232">
        <f t="shared" si="371"/>
        <v>0</v>
      </c>
      <c r="AB214" s="1232">
        <f t="shared" si="371"/>
        <v>0</v>
      </c>
      <c r="AC214" s="1232">
        <f t="shared" si="371"/>
        <v>0</v>
      </c>
      <c r="AD214" s="1232">
        <f t="shared" si="367"/>
        <v>0</v>
      </c>
      <c r="AE214" s="1232">
        <f t="shared" si="368"/>
        <v>0</v>
      </c>
      <c r="AF214" s="1232">
        <f t="shared" si="369"/>
        <v>0</v>
      </c>
      <c r="AG214" s="1232">
        <f t="shared" si="370"/>
        <v>0</v>
      </c>
      <c r="AH214" s="1232">
        <f t="shared" si="372"/>
        <v>0</v>
      </c>
      <c r="AI214" s="1232">
        <f t="shared" si="373"/>
        <v>0</v>
      </c>
      <c r="AJ214" s="1232">
        <f t="shared" si="374"/>
        <v>0</v>
      </c>
      <c r="AL214" s="1289">
        <f ca="1">SUM((INDIRECT(AL$2&amp;(ROW())):INDIRECT(AL$3&amp;(ROW()))))</f>
        <v>0</v>
      </c>
      <c r="AM214" s="1232">
        <f ca="1">SUM(INDIRECT(AM$1&amp;AM$2&amp;$C214):INDIRECT(AM$1&amp;AM$3&amp;$C214))</f>
        <v>25000</v>
      </c>
      <c r="AN214" s="3110">
        <f t="shared" ca="1" si="354"/>
        <v>-25000</v>
      </c>
      <c r="AO214" s="2758">
        <f t="shared" ca="1" si="355"/>
        <v>0</v>
      </c>
      <c r="AP214" s="1232">
        <f ca="1">SUM(INDIRECT(AP$1&amp;AP$2&amp;$A214):INDIRECT(AP$1&amp;AP$3&amp;$A214))+SUM(INDIRECT(AP$1&amp;AP$2&amp;$B214):INDIRECT(AP$1&amp;AP$3&amp;$B214))</f>
        <v>51375.583366575869</v>
      </c>
      <c r="AQ214" s="3110">
        <f t="shared" ca="1" si="356"/>
        <v>-51375.583366575869</v>
      </c>
      <c r="AR214" s="2758">
        <f t="shared" ca="1" si="357"/>
        <v>0</v>
      </c>
      <c r="AT214" s="1289">
        <f ca="1">SUM((INDIRECT(AT$2&amp;(ROW())):INDIRECT(AT$3&amp;(ROW()))))</f>
        <v>0</v>
      </c>
      <c r="AU214" s="1232">
        <f ca="1">SUM(INDIRECT(AU$1&amp;AU$2&amp;$C214):INDIRECT(AU$1&amp;AU$3&amp;$C214))</f>
        <v>34500</v>
      </c>
      <c r="AV214" s="3110">
        <f t="shared" ca="1" si="358"/>
        <v>-34500</v>
      </c>
      <c r="AW214" s="2758">
        <f t="shared" ca="1" si="359"/>
        <v>0</v>
      </c>
      <c r="AX214" s="1232">
        <f ca="1">SUM(INDIRECT(AX$1&amp;AX$2&amp;$A214):INDIRECT(AX$1&amp;AX$3&amp;$A214))+SUM(INDIRECT(AX$1&amp;AX$2&amp;$B214):INDIRECT(AX$1&amp;AX$3&amp;$B214))</f>
        <v>144447.33523527157</v>
      </c>
      <c r="AY214" s="3110">
        <f t="shared" ca="1" si="360"/>
        <v>-144447.33523527157</v>
      </c>
      <c r="AZ214" s="2758">
        <f t="shared" ca="1" si="361"/>
        <v>0</v>
      </c>
      <c r="BB214" s="1289">
        <f ca="1">SUM((INDIRECT(BB$2&amp;(ROW())):INDIRECT(BB$3&amp;(ROW()))))</f>
        <v>0</v>
      </c>
      <c r="BC214" s="1232">
        <f ca="1">SUM(INDIRECT(BC$1&amp;BC$2&amp;$C214):INDIRECT(BC$1&amp;BC$3&amp;$C214))</f>
        <v>34500</v>
      </c>
      <c r="BD214" s="3110">
        <f t="shared" ca="1" si="362"/>
        <v>-34500</v>
      </c>
      <c r="BE214" s="2758">
        <f t="shared" ca="1" si="363"/>
        <v>0</v>
      </c>
      <c r="BF214" s="1232">
        <f ca="1">SUM(INDIRECT(BF$1&amp;BF$2&amp;$A214):INDIRECT(BF$1&amp;BF$3&amp;$A214))+SUM(INDIRECT(BF$1&amp;BF$2&amp;$B214):INDIRECT(BF$1&amp;BF$3&amp;$B214))</f>
        <v>452481.596405508</v>
      </c>
      <c r="BG214" s="3110">
        <f t="shared" ca="1" si="364"/>
        <v>-452481.596405508</v>
      </c>
      <c r="BH214" s="2758">
        <f t="shared" ca="1" si="365"/>
        <v>0</v>
      </c>
    </row>
    <row r="215" spans="1:60" s="69" customFormat="1" ht="14.5">
      <c r="A215" s="616">
        <f t="shared" si="265"/>
        <v>188</v>
      </c>
      <c r="B215" s="616">
        <v>1</v>
      </c>
      <c r="C215" s="616">
        <f t="shared" si="352"/>
        <v>212</v>
      </c>
      <c r="D215" s="709" t="s">
        <v>1308</v>
      </c>
      <c r="E215" s="2547">
        <v>1</v>
      </c>
      <c r="F215" s="4"/>
      <c r="G215" s="4"/>
      <c r="H215" s="4"/>
      <c r="I215" s="27"/>
      <c r="J215" s="3"/>
      <c r="K215" s="4"/>
      <c r="L215" s="4"/>
      <c r="M215" s="47"/>
      <c r="N215" s="47" t="s">
        <v>1386</v>
      </c>
      <c r="O215" s="47"/>
      <c r="P215" s="47"/>
      <c r="Q215" s="1784" t="str">
        <f>CHOOSE(2, "6722000003134", "PL (3) Net Sales HW &amp; Solution Others")</f>
        <v>PL (3) Net Sales HW &amp; Solution Others</v>
      </c>
      <c r="R215" s="1255">
        <f t="shared" si="371"/>
        <v>0</v>
      </c>
      <c r="S215" s="1240">
        <f t="shared" si="371"/>
        <v>0</v>
      </c>
      <c r="T215" s="1240">
        <f t="shared" si="371"/>
        <v>0</v>
      </c>
      <c r="U215" s="1240">
        <f t="shared" si="371"/>
        <v>0</v>
      </c>
      <c r="V215" s="1240">
        <f t="shared" si="371"/>
        <v>0</v>
      </c>
      <c r="W215" s="1240">
        <f t="shared" si="371"/>
        <v>0</v>
      </c>
      <c r="X215" s="1240">
        <f t="shared" si="371"/>
        <v>0</v>
      </c>
      <c r="Y215" s="1240">
        <f t="shared" si="371"/>
        <v>0</v>
      </c>
      <c r="Z215" s="1240">
        <f t="shared" si="371"/>
        <v>0</v>
      </c>
      <c r="AA215" s="1240">
        <f t="shared" si="371"/>
        <v>0</v>
      </c>
      <c r="AB215" s="1240">
        <f t="shared" si="371"/>
        <v>0</v>
      </c>
      <c r="AC215" s="1240">
        <f t="shared" si="371"/>
        <v>0</v>
      </c>
      <c r="AD215" s="1240">
        <f t="shared" si="367"/>
        <v>0</v>
      </c>
      <c r="AE215" s="1240">
        <f t="shared" si="368"/>
        <v>0</v>
      </c>
      <c r="AF215" s="1240">
        <f t="shared" si="369"/>
        <v>0</v>
      </c>
      <c r="AG215" s="1240">
        <f t="shared" si="370"/>
        <v>0</v>
      </c>
      <c r="AH215" s="1240">
        <f t="shared" si="372"/>
        <v>0</v>
      </c>
      <c r="AI215" s="1240">
        <f t="shared" si="373"/>
        <v>0</v>
      </c>
      <c r="AJ215" s="1240">
        <f t="shared" si="374"/>
        <v>0</v>
      </c>
      <c r="AL215" s="1255">
        <f ca="1">SUM((INDIRECT(AL$2&amp;(ROW())):INDIRECT(AL$3&amp;(ROW()))))</f>
        <v>0</v>
      </c>
      <c r="AM215" s="1240">
        <f ca="1">SUM(INDIRECT(AM$1&amp;AM$2&amp;$C215):INDIRECT(AM$1&amp;AM$3&amp;$C215))</f>
        <v>16500</v>
      </c>
      <c r="AN215" s="3160">
        <f t="shared" ca="1" si="354"/>
        <v>-16500</v>
      </c>
      <c r="AO215" s="2808">
        <f t="shared" ca="1" si="355"/>
        <v>0</v>
      </c>
      <c r="AP215" s="1240">
        <f ca="1">SUM(INDIRECT(AP$1&amp;AP$2&amp;$A215):INDIRECT(AP$1&amp;AP$3&amp;$A215))+SUM(INDIRECT(AP$1&amp;AP$2&amp;$B215):INDIRECT(AP$1&amp;AP$3&amp;$B215))</f>
        <v>32271.163148431609</v>
      </c>
      <c r="AQ215" s="3160">
        <f t="shared" ca="1" si="356"/>
        <v>-32271.163148431609</v>
      </c>
      <c r="AR215" s="2808">
        <f t="shared" ca="1" si="357"/>
        <v>0</v>
      </c>
      <c r="AT215" s="1255">
        <f ca="1">SUM((INDIRECT(AT$2&amp;(ROW())):INDIRECT(AT$3&amp;(ROW()))))</f>
        <v>0</v>
      </c>
      <c r="AU215" s="1240">
        <f ca="1">SUM(INDIRECT(AU$1&amp;AU$2&amp;$C215):INDIRECT(AU$1&amp;AU$3&amp;$C215))</f>
        <v>35900</v>
      </c>
      <c r="AV215" s="3160">
        <f t="shared" ca="1" si="358"/>
        <v>-35900</v>
      </c>
      <c r="AW215" s="2808">
        <f t="shared" ca="1" si="359"/>
        <v>0</v>
      </c>
      <c r="AX215" s="1240">
        <f ca="1">SUM(INDIRECT(AX$1&amp;AX$2&amp;$A215):INDIRECT(AX$1&amp;AX$3&amp;$A215))+SUM(INDIRECT(AX$1&amp;AX$2&amp;$B215):INDIRECT(AX$1&amp;AX$3&amp;$B215))</f>
        <v>106271.72817069717</v>
      </c>
      <c r="AY215" s="3160">
        <f t="shared" ca="1" si="360"/>
        <v>-106271.72817069717</v>
      </c>
      <c r="AZ215" s="2808">
        <f t="shared" ca="1" si="361"/>
        <v>0</v>
      </c>
      <c r="BB215" s="1255">
        <f ca="1">SUM((INDIRECT(BB$2&amp;(ROW())):INDIRECT(BB$3&amp;(ROW()))))</f>
        <v>0</v>
      </c>
      <c r="BC215" s="1240">
        <f ca="1">SUM(INDIRECT(BC$1&amp;BC$2&amp;$C215):INDIRECT(BC$1&amp;BC$3&amp;$C215))</f>
        <v>45600</v>
      </c>
      <c r="BD215" s="3160">
        <f t="shared" ca="1" si="362"/>
        <v>-45600</v>
      </c>
      <c r="BE215" s="2808">
        <f t="shared" ca="1" si="363"/>
        <v>0</v>
      </c>
      <c r="BF215" s="1240">
        <f ca="1">SUM(INDIRECT(BF$1&amp;BF$2&amp;$A215):INDIRECT(BF$1&amp;BF$3&amp;$A215))+SUM(INDIRECT(BF$1&amp;BF$2&amp;$B215):INDIRECT(BF$1&amp;BF$3&amp;$B215))</f>
        <v>383382.28502547054</v>
      </c>
      <c r="BG215" s="3160">
        <f t="shared" ca="1" si="364"/>
        <v>-383382.28502547054</v>
      </c>
      <c r="BH215" s="2808">
        <f t="shared" ca="1" si="365"/>
        <v>0</v>
      </c>
    </row>
    <row r="216" spans="1:60" s="69" customFormat="1" ht="14.5">
      <c r="A216" s="616">
        <f t="shared" si="265"/>
        <v>189</v>
      </c>
      <c r="B216" s="616">
        <v>1</v>
      </c>
      <c r="C216" s="616">
        <f t="shared" si="352"/>
        <v>213</v>
      </c>
      <c r="D216" s="709" t="s">
        <v>1308</v>
      </c>
      <c r="E216" s="2547">
        <v>1</v>
      </c>
      <c r="F216" s="4"/>
      <c r="G216" s="4"/>
      <c r="H216" s="4"/>
      <c r="I216" s="27"/>
      <c r="J216" s="3"/>
      <c r="K216" s="4"/>
      <c r="L216" s="4"/>
      <c r="M216" s="300" t="s">
        <v>1405</v>
      </c>
      <c r="N216" s="300"/>
      <c r="O216" s="300"/>
      <c r="P216" s="300"/>
      <c r="Q216" s="1796" t="str">
        <f>CHOOSE(2, "6722000003135", "PL (3) Net Sales NH")</f>
        <v>PL (3) Net Sales NH</v>
      </c>
      <c r="R216" s="1309">
        <f>SUM(R217:R222)</f>
        <v>5806</v>
      </c>
      <c r="S216" s="1251">
        <f t="shared" ref="S216:AC216" si="375">SUM(S217:S222)</f>
        <v>5743</v>
      </c>
      <c r="T216" s="1251">
        <f t="shared" si="375"/>
        <v>6416</v>
      </c>
      <c r="U216" s="1251">
        <f t="shared" si="375"/>
        <v>7206</v>
      </c>
      <c r="V216" s="1251">
        <f t="shared" si="375"/>
        <v>7848.1489999999994</v>
      </c>
      <c r="W216" s="1251">
        <f t="shared" si="375"/>
        <v>8306</v>
      </c>
      <c r="X216" s="1251">
        <f t="shared" si="375"/>
        <v>6984</v>
      </c>
      <c r="Y216" s="1251">
        <f t="shared" si="375"/>
        <v>7123</v>
      </c>
      <c r="Z216" s="1251">
        <f t="shared" si="375"/>
        <v>7585</v>
      </c>
      <c r="AA216" s="1251">
        <f t="shared" si="375"/>
        <v>7298</v>
      </c>
      <c r="AB216" s="1251">
        <f t="shared" si="375"/>
        <v>8583.2560000000012</v>
      </c>
      <c r="AC216" s="1251">
        <f t="shared" si="375"/>
        <v>8662</v>
      </c>
      <c r="AD216" s="1251">
        <f t="shared" si="367"/>
        <v>17965</v>
      </c>
      <c r="AE216" s="1251">
        <f t="shared" si="368"/>
        <v>23360.148999999998</v>
      </c>
      <c r="AF216" s="1251">
        <f t="shared" si="369"/>
        <v>21692</v>
      </c>
      <c r="AG216" s="1251">
        <f t="shared" si="370"/>
        <v>24543.256000000001</v>
      </c>
      <c r="AH216" s="1251">
        <f t="shared" si="372"/>
        <v>41325.148999999998</v>
      </c>
      <c r="AI216" s="1251">
        <f t="shared" si="373"/>
        <v>46235.256000000001</v>
      </c>
      <c r="AJ216" s="1251">
        <f t="shared" si="374"/>
        <v>87560.404999999999</v>
      </c>
      <c r="AL216" s="1309">
        <f ca="1">SUM((INDIRECT(AL$2&amp;(ROW())):INDIRECT(AL$3&amp;(ROW()))))</f>
        <v>8662</v>
      </c>
      <c r="AM216" s="1251">
        <f ca="1">SUM(INDIRECT(AM$1&amp;AM$2&amp;$C216):INDIRECT(AM$1&amp;AM$3&amp;$C216))</f>
        <v>0</v>
      </c>
      <c r="AN216" s="3161">
        <f t="shared" ca="1" si="354"/>
        <v>8662</v>
      </c>
      <c r="AO216" s="2810">
        <f t="shared" ca="1" si="355"/>
        <v>0</v>
      </c>
      <c r="AP216" s="1251">
        <f ca="1">SUM(INDIRECT(AP$1&amp;AP$2&amp;$A216):INDIRECT(AP$1&amp;AP$3&amp;$A216))+SUM(INDIRECT(AP$1&amp;AP$2&amp;$B216):INDIRECT(AP$1&amp;AP$3&amp;$B216))</f>
        <v>18598.490826557638</v>
      </c>
      <c r="AQ216" s="3161">
        <f t="shared" ca="1" si="356"/>
        <v>-9936.4908265576378</v>
      </c>
      <c r="AR216" s="2810">
        <f t="shared" ca="1" si="357"/>
        <v>0.46573671384299276</v>
      </c>
      <c r="AT216" s="1309">
        <f ca="1">SUM((INDIRECT(AT$2&amp;(ROW())):INDIRECT(AT$3&amp;(ROW()))))</f>
        <v>24543.256000000001</v>
      </c>
      <c r="AU216" s="1251">
        <f ca="1">SUM(INDIRECT(AU$1&amp;AU$2&amp;$C216):INDIRECT(AU$1&amp;AU$3&amp;$C216))</f>
        <v>0</v>
      </c>
      <c r="AV216" s="3161">
        <f t="shared" ca="1" si="358"/>
        <v>24543.256000000001</v>
      </c>
      <c r="AW216" s="2810">
        <f t="shared" ca="1" si="359"/>
        <v>0</v>
      </c>
      <c r="AX216" s="1251">
        <f ca="1">SUM(INDIRECT(AX$1&amp;AX$2&amp;$A216):INDIRECT(AX$1&amp;AX$3&amp;$A216))+SUM(INDIRECT(AX$1&amp;AX$2&amp;$B216):INDIRECT(AX$1&amp;AX$3&amp;$B216))</f>
        <v>100136.36804935317</v>
      </c>
      <c r="AY216" s="3161">
        <f t="shared" ca="1" si="360"/>
        <v>-75593.112049353163</v>
      </c>
      <c r="AZ216" s="2810">
        <f t="shared" ca="1" si="361"/>
        <v>0.24509832419629621</v>
      </c>
      <c r="BB216" s="1309">
        <f ca="1">SUM((INDIRECT(BB$2&amp;(ROW())):INDIRECT(BB$3&amp;(ROW()))))</f>
        <v>87560.404999999999</v>
      </c>
      <c r="BC216" s="1251">
        <f ca="1">SUM(INDIRECT(BC$1&amp;BC$2&amp;$C216):INDIRECT(BC$1&amp;BC$3&amp;$C216))</f>
        <v>0</v>
      </c>
      <c r="BD216" s="3161">
        <f t="shared" ca="1" si="362"/>
        <v>87560.404999999999</v>
      </c>
      <c r="BE216" s="2810">
        <f t="shared" ca="1" si="363"/>
        <v>0</v>
      </c>
      <c r="BF216" s="1251">
        <f ca="1">SUM(INDIRECT(BF$1&amp;BF$2&amp;$A216):INDIRECT(BF$1&amp;BF$3&amp;$A216))+SUM(INDIRECT(BF$1&amp;BF$2&amp;$B216):INDIRECT(BF$1&amp;BF$3&amp;$B216))</f>
        <v>382015.22258183471</v>
      </c>
      <c r="BG216" s="3161">
        <f t="shared" ca="1" si="364"/>
        <v>-294454.81758183474</v>
      </c>
      <c r="BH216" s="2810">
        <f t="shared" ca="1" si="365"/>
        <v>0.22920658608373373</v>
      </c>
    </row>
    <row r="217" spans="1:60" s="69" customFormat="1" ht="14.5">
      <c r="A217" s="616">
        <f t="shared" si="265"/>
        <v>190</v>
      </c>
      <c r="B217" s="616">
        <v>1</v>
      </c>
      <c r="C217" s="616">
        <f t="shared" si="352"/>
        <v>214</v>
      </c>
      <c r="D217" s="709" t="s">
        <v>1308</v>
      </c>
      <c r="E217" s="2547">
        <v>1</v>
      </c>
      <c r="F217" s="4"/>
      <c r="G217" s="4"/>
      <c r="H217" s="4"/>
      <c r="I217" s="27"/>
      <c r="J217" s="3"/>
      <c r="K217" s="4"/>
      <c r="L217" s="4"/>
      <c r="M217" s="4"/>
      <c r="N217" s="3" t="s">
        <v>587</v>
      </c>
      <c r="O217" s="3"/>
      <c r="P217" s="3"/>
      <c r="Q217" s="1784" t="str">
        <f>CHOOSE(2, "6722000003136", "PL (3) Net Sales NH KM-1/KM-1e")</f>
        <v>PL (3) Net Sales NH KM-1/KM-1e</v>
      </c>
      <c r="R217" s="1289">
        <f t="shared" ref="R217:AC222" si="376">R642+R657</f>
        <v>938</v>
      </c>
      <c r="S217" s="1232">
        <f t="shared" si="376"/>
        <v>271</v>
      </c>
      <c r="T217" s="1232">
        <f t="shared" si="376"/>
        <v>1097</v>
      </c>
      <c r="U217" s="1232">
        <f t="shared" si="376"/>
        <v>879</v>
      </c>
      <c r="V217" s="1232">
        <f t="shared" si="376"/>
        <v>259.19</v>
      </c>
      <c r="W217" s="1232">
        <f t="shared" si="376"/>
        <v>401</v>
      </c>
      <c r="X217" s="1232">
        <f t="shared" si="376"/>
        <v>1327</v>
      </c>
      <c r="Y217" s="1232">
        <f t="shared" si="376"/>
        <v>805</v>
      </c>
      <c r="Z217" s="1232">
        <f t="shared" si="376"/>
        <v>407</v>
      </c>
      <c r="AA217" s="1232">
        <f t="shared" si="376"/>
        <v>-1065</v>
      </c>
      <c r="AB217" s="1232">
        <f t="shared" si="376"/>
        <v>1953.2560000000001</v>
      </c>
      <c r="AC217" s="1232">
        <f t="shared" si="376"/>
        <v>-546</v>
      </c>
      <c r="AD217" s="1232">
        <f t="shared" si="367"/>
        <v>2306</v>
      </c>
      <c r="AE217" s="1232">
        <f t="shared" si="368"/>
        <v>1539.19</v>
      </c>
      <c r="AF217" s="1232">
        <f t="shared" si="369"/>
        <v>2539</v>
      </c>
      <c r="AG217" s="1232">
        <f t="shared" si="370"/>
        <v>342.25600000000009</v>
      </c>
      <c r="AH217" s="1232">
        <f t="shared" si="372"/>
        <v>3845.19</v>
      </c>
      <c r="AI217" s="1232">
        <f t="shared" si="373"/>
        <v>2881.2560000000003</v>
      </c>
      <c r="AJ217" s="1232">
        <f t="shared" si="374"/>
        <v>6726.4459999999999</v>
      </c>
      <c r="AL217" s="1289">
        <f ca="1">SUM((INDIRECT(AL$2&amp;(ROW())):INDIRECT(AL$3&amp;(ROW()))))</f>
        <v>-546</v>
      </c>
      <c r="AM217" s="1232">
        <f ca="1">SUM(INDIRECT(AM$1&amp;AM$2&amp;$C217):INDIRECT(AM$1&amp;AM$3&amp;$C217))</f>
        <v>0</v>
      </c>
      <c r="AN217" s="3110">
        <f t="shared" ca="1" si="354"/>
        <v>-546</v>
      </c>
      <c r="AO217" s="2758">
        <f t="shared" ca="1" si="355"/>
        <v>0</v>
      </c>
      <c r="AP217" s="1232">
        <f ca="1">SUM(INDIRECT(AP$1&amp;AP$2&amp;$A217):INDIRECT(AP$1&amp;AP$3&amp;$A217))+SUM(INDIRECT(AP$1&amp;AP$2&amp;$B217):INDIRECT(AP$1&amp;AP$3&amp;$B217))</f>
        <v>88057.726388018214</v>
      </c>
      <c r="AQ217" s="3110">
        <f t="shared" ca="1" si="356"/>
        <v>-88603.726388018214</v>
      </c>
      <c r="AR217" s="2758">
        <f t="shared" ca="1" si="357"/>
        <v>-6.2004780545218893E-3</v>
      </c>
      <c r="AT217" s="1289">
        <f ca="1">SUM((INDIRECT(AT$2&amp;(ROW())):INDIRECT(AT$3&amp;(ROW()))))</f>
        <v>342.25600000000009</v>
      </c>
      <c r="AU217" s="1232">
        <f ca="1">SUM(INDIRECT(AU$1&amp;AU$2&amp;$C217):INDIRECT(AU$1&amp;AU$3&amp;$C217))</f>
        <v>0</v>
      </c>
      <c r="AV217" s="3110">
        <f t="shared" ca="1" si="358"/>
        <v>342.25600000000009</v>
      </c>
      <c r="AW217" s="2758">
        <f t="shared" ca="1" si="359"/>
        <v>0</v>
      </c>
      <c r="AX217" s="1232">
        <f ca="1">SUM(INDIRECT(AX$1&amp;AX$2&amp;$A217):INDIRECT(AX$1&amp;AX$3&amp;$A217))+SUM(INDIRECT(AX$1&amp;AX$2&amp;$B217):INDIRECT(AX$1&amp;AX$3&amp;$B217))</f>
        <v>211425.53227426141</v>
      </c>
      <c r="AY217" s="3110">
        <f t="shared" ca="1" si="360"/>
        <v>-211083.27627426141</v>
      </c>
      <c r="AZ217" s="2758">
        <f t="shared" ca="1" si="361"/>
        <v>1.6188016476459677E-3</v>
      </c>
      <c r="BB217" s="1289">
        <f ca="1">SUM((INDIRECT(BB$2&amp;(ROW())):INDIRECT(BB$3&amp;(ROW()))))</f>
        <v>6726.4460000000008</v>
      </c>
      <c r="BC217" s="1232">
        <f ca="1">SUM(INDIRECT(BC$1&amp;BC$2&amp;$C217):INDIRECT(BC$1&amp;BC$3&amp;$C217))</f>
        <v>0</v>
      </c>
      <c r="BD217" s="3110">
        <f t="shared" ca="1" si="362"/>
        <v>6726.4460000000008</v>
      </c>
      <c r="BE217" s="2758">
        <f t="shared" ca="1" si="363"/>
        <v>0</v>
      </c>
      <c r="BF217" s="1232">
        <f ca="1">SUM(INDIRECT(BF$1&amp;BF$2&amp;$A217):INDIRECT(BF$1&amp;BF$3&amp;$A217))+SUM(INDIRECT(BF$1&amp;BF$2&amp;$B217):INDIRECT(BF$1&amp;BF$3&amp;$B217))</f>
        <v>620388.31440685585</v>
      </c>
      <c r="BG217" s="3110">
        <f t="shared" ca="1" si="364"/>
        <v>-613661.86840685585</v>
      </c>
      <c r="BH217" s="2758">
        <f t="shared" ca="1" si="365"/>
        <v>1.0842315762235233E-2</v>
      </c>
    </row>
    <row r="218" spans="1:60" s="69" customFormat="1" ht="14.5">
      <c r="A218" s="616">
        <f t="shared" ref="A218:A281" si="377">A217+1</f>
        <v>191</v>
      </c>
      <c r="B218" s="616">
        <v>1</v>
      </c>
      <c r="C218" s="616">
        <f t="shared" si="352"/>
        <v>215</v>
      </c>
      <c r="D218" s="709" t="s">
        <v>1308</v>
      </c>
      <c r="E218" s="2547">
        <v>1</v>
      </c>
      <c r="F218" s="4"/>
      <c r="G218" s="4"/>
      <c r="H218" s="4"/>
      <c r="I218" s="27"/>
      <c r="J218" s="3"/>
      <c r="K218" s="4"/>
      <c r="L218" s="4"/>
      <c r="M218" s="4"/>
      <c r="N218" s="3" t="s">
        <v>1401</v>
      </c>
      <c r="O218" s="3"/>
      <c r="P218" s="3"/>
      <c r="Q218" s="1784" t="str">
        <f>CHOOSE(2, "6722000003137", "PL (3) Net Sales NH Label Printer")</f>
        <v>PL (3) Net Sales NH Label Printer</v>
      </c>
      <c r="R218" s="1289">
        <f t="shared" si="376"/>
        <v>2340</v>
      </c>
      <c r="S218" s="1232">
        <f t="shared" si="376"/>
        <v>2481</v>
      </c>
      <c r="T218" s="1232">
        <f t="shared" si="376"/>
        <v>2137</v>
      </c>
      <c r="U218" s="1232">
        <f t="shared" si="376"/>
        <v>2083</v>
      </c>
      <c r="V218" s="1232">
        <f t="shared" si="376"/>
        <v>2426.0450000000001</v>
      </c>
      <c r="W218" s="1232">
        <f t="shared" si="376"/>
        <v>1741</v>
      </c>
      <c r="X218" s="1232">
        <f t="shared" si="376"/>
        <v>2546</v>
      </c>
      <c r="Y218" s="1232">
        <f t="shared" si="376"/>
        <v>2350</v>
      </c>
      <c r="Z218" s="1232">
        <f t="shared" si="376"/>
        <v>2756</v>
      </c>
      <c r="AA218" s="1232">
        <f t="shared" si="376"/>
        <v>3950</v>
      </c>
      <c r="AB218" s="1232">
        <f t="shared" si="376"/>
        <v>1537</v>
      </c>
      <c r="AC218" s="1232">
        <f t="shared" si="376"/>
        <v>5110</v>
      </c>
      <c r="AD218" s="1232">
        <f t="shared" si="367"/>
        <v>6958</v>
      </c>
      <c r="AE218" s="1232">
        <f t="shared" si="368"/>
        <v>6250.0450000000001</v>
      </c>
      <c r="AF218" s="1232">
        <f t="shared" si="369"/>
        <v>7652</v>
      </c>
      <c r="AG218" s="1232">
        <f t="shared" si="370"/>
        <v>10597</v>
      </c>
      <c r="AH218" s="1232">
        <f t="shared" si="372"/>
        <v>13208.045</v>
      </c>
      <c r="AI218" s="1232">
        <f t="shared" si="373"/>
        <v>18249</v>
      </c>
      <c r="AJ218" s="1232">
        <f t="shared" si="374"/>
        <v>31457.044999999998</v>
      </c>
      <c r="AL218" s="1289">
        <f ca="1">SUM((INDIRECT(AL$2&amp;(ROW())):INDIRECT(AL$3&amp;(ROW()))))</f>
        <v>5110</v>
      </c>
      <c r="AM218" s="1232">
        <f ca="1">SUM(INDIRECT(AM$1&amp;AM$2&amp;$C218):INDIRECT(AM$1&amp;AM$3&amp;$C218))</f>
        <v>0</v>
      </c>
      <c r="AN218" s="3110">
        <f t="shared" ca="1" si="354"/>
        <v>5110</v>
      </c>
      <c r="AO218" s="2758">
        <f t="shared" ca="1" si="355"/>
        <v>0</v>
      </c>
      <c r="AP218" s="1232">
        <f ca="1">SUM(INDIRECT(AP$1&amp;AP$2&amp;$A218):INDIRECT(AP$1&amp;AP$3&amp;$A218))+SUM(INDIRECT(AP$1&amp;AP$2&amp;$B218):INDIRECT(AP$1&amp;AP$3&amp;$B218))</f>
        <v>0.14732097828610421</v>
      </c>
      <c r="AQ218" s="3110">
        <f t="shared" ca="1" si="356"/>
        <v>5109.8526790217138</v>
      </c>
      <c r="AR218" s="2758">
        <f t="shared" ca="1" si="357"/>
        <v>34686.166623711535</v>
      </c>
      <c r="AT218" s="1289">
        <f ca="1">SUM((INDIRECT(AT$2&amp;(ROW())):INDIRECT(AT$3&amp;(ROW()))))</f>
        <v>10597</v>
      </c>
      <c r="AU218" s="1232">
        <f ca="1">SUM(INDIRECT(AU$1&amp;AU$2&amp;$C218):INDIRECT(AU$1&amp;AU$3&amp;$C218))</f>
        <v>0</v>
      </c>
      <c r="AV218" s="3110">
        <f t="shared" ca="1" si="358"/>
        <v>10597</v>
      </c>
      <c r="AW218" s="2758">
        <f t="shared" ca="1" si="359"/>
        <v>0</v>
      </c>
      <c r="AX218" s="1232">
        <f ca="1">SUM(INDIRECT(AX$1&amp;AX$2&amp;$A218):INDIRECT(AX$1&amp;AX$3&amp;$A218))+SUM(INDIRECT(AX$1&amp;AX$2&amp;$B218):INDIRECT(AX$1&amp;AX$3&amp;$B218))</f>
        <v>0.37632806026990107</v>
      </c>
      <c r="AY218" s="3110">
        <f t="shared" ca="1" si="360"/>
        <v>10596.623671939729</v>
      </c>
      <c r="AZ218" s="2758">
        <f t="shared" ca="1" si="361"/>
        <v>28158.941941241032</v>
      </c>
      <c r="BB218" s="1289">
        <f ca="1">SUM((INDIRECT(BB$2&amp;(ROW())):INDIRECT(BB$3&amp;(ROW()))))</f>
        <v>31457.044999999998</v>
      </c>
      <c r="BC218" s="1232">
        <f ca="1">SUM(INDIRECT(BC$1&amp;BC$2&amp;$C218):INDIRECT(BC$1&amp;BC$3&amp;$C218))</f>
        <v>0</v>
      </c>
      <c r="BD218" s="3110">
        <f t="shared" ca="1" si="362"/>
        <v>31457.044999999998</v>
      </c>
      <c r="BE218" s="2758">
        <f t="shared" ca="1" si="363"/>
        <v>0</v>
      </c>
      <c r="BF218" s="1232">
        <f ca="1">SUM(INDIRECT(BF$1&amp;BF$2&amp;$A218):INDIRECT(BF$1&amp;BF$3&amp;$A218))+SUM(INDIRECT(BF$1&amp;BF$2&amp;$B218):INDIRECT(BF$1&amp;BF$3&amp;$B218))</f>
        <v>1.1761934911182279</v>
      </c>
      <c r="BG218" s="3110">
        <f t="shared" ca="1" si="364"/>
        <v>31455.868806508879</v>
      </c>
      <c r="BH218" s="2758">
        <f t="shared" ca="1" si="365"/>
        <v>26744.787517990113</v>
      </c>
    </row>
    <row r="219" spans="1:60" s="69" customFormat="1" ht="14.5">
      <c r="A219" s="616">
        <f t="shared" si="377"/>
        <v>192</v>
      </c>
      <c r="B219" s="616">
        <v>1</v>
      </c>
      <c r="C219" s="616">
        <f t="shared" si="352"/>
        <v>216</v>
      </c>
      <c r="D219" s="709" t="s">
        <v>1308</v>
      </c>
      <c r="E219" s="2547">
        <v>1</v>
      </c>
      <c r="F219" s="4"/>
      <c r="G219" s="4"/>
      <c r="H219" s="4"/>
      <c r="I219" s="27"/>
      <c r="J219" s="3"/>
      <c r="K219" s="4"/>
      <c r="L219" s="4"/>
      <c r="M219" s="4"/>
      <c r="N219" s="3" t="s">
        <v>1402</v>
      </c>
      <c r="O219" s="3"/>
      <c r="P219" s="865"/>
      <c r="Q219" s="1784" t="str">
        <f>CHOOSE(2, "6722000003138", "PL (3) Net Sales NH MGI")</f>
        <v>PL (3) Net Sales NH MGI</v>
      </c>
      <c r="R219" s="1289">
        <f t="shared" si="376"/>
        <v>2528</v>
      </c>
      <c r="S219" s="1232">
        <f t="shared" si="376"/>
        <v>2991</v>
      </c>
      <c r="T219" s="1232">
        <f t="shared" si="376"/>
        <v>3182</v>
      </c>
      <c r="U219" s="1232">
        <f t="shared" si="376"/>
        <v>4244</v>
      </c>
      <c r="V219" s="1232">
        <f t="shared" si="376"/>
        <v>5162.9139999999998</v>
      </c>
      <c r="W219" s="1232">
        <f t="shared" si="376"/>
        <v>6164</v>
      </c>
      <c r="X219" s="1232">
        <f t="shared" si="376"/>
        <v>3111</v>
      </c>
      <c r="Y219" s="1232">
        <f t="shared" si="376"/>
        <v>3968</v>
      </c>
      <c r="Z219" s="1232">
        <f t="shared" si="376"/>
        <v>4422</v>
      </c>
      <c r="AA219" s="1232">
        <f t="shared" si="376"/>
        <v>4413</v>
      </c>
      <c r="AB219" s="1232">
        <f t="shared" si="376"/>
        <v>5093</v>
      </c>
      <c r="AC219" s="1232">
        <f t="shared" si="376"/>
        <v>4098</v>
      </c>
      <c r="AD219" s="1232">
        <f t="shared" si="367"/>
        <v>8701</v>
      </c>
      <c r="AE219" s="1232">
        <f t="shared" si="368"/>
        <v>15570.914000000001</v>
      </c>
      <c r="AF219" s="1232">
        <f t="shared" si="369"/>
        <v>11501</v>
      </c>
      <c r="AG219" s="1232">
        <f t="shared" si="370"/>
        <v>13604</v>
      </c>
      <c r="AH219" s="1232">
        <f t="shared" si="372"/>
        <v>24271.914000000001</v>
      </c>
      <c r="AI219" s="1232">
        <f t="shared" si="373"/>
        <v>25105</v>
      </c>
      <c r="AJ219" s="1232">
        <f t="shared" si="374"/>
        <v>49376.914000000004</v>
      </c>
      <c r="AL219" s="1289">
        <f ca="1">SUM((INDIRECT(AL$2&amp;(ROW())):INDIRECT(AL$3&amp;(ROW()))))</f>
        <v>4098</v>
      </c>
      <c r="AM219" s="1232">
        <f ca="1">SUM(INDIRECT(AM$1&amp;AM$2&amp;$C219):INDIRECT(AM$1&amp;AM$3&amp;$C219))</f>
        <v>6300</v>
      </c>
      <c r="AN219" s="3110">
        <f t="shared" ca="1" si="354"/>
        <v>-2202</v>
      </c>
      <c r="AO219" s="2758">
        <f t="shared" ca="1" si="355"/>
        <v>0.65047619047619043</v>
      </c>
      <c r="AP219" s="1232">
        <f ca="1">SUM(INDIRECT(AP$1&amp;AP$2&amp;$A219):INDIRECT(AP$1&amp;AP$3&amp;$A219))+SUM(INDIRECT(AP$1&amp;AP$2&amp;$B219):INDIRECT(AP$1&amp;AP$3&amp;$B219))</f>
        <v>881.18672944502691</v>
      </c>
      <c r="AQ219" s="3110">
        <f t="shared" ca="1" si="356"/>
        <v>3216.8132705549733</v>
      </c>
      <c r="AR219" s="2758">
        <f t="shared" ca="1" si="357"/>
        <v>4.650546658346669</v>
      </c>
      <c r="AT219" s="1289">
        <f ca="1">SUM((INDIRECT(AT$2&amp;(ROW())):INDIRECT(AT$3&amp;(ROW()))))</f>
        <v>13604</v>
      </c>
      <c r="AU219" s="1232">
        <f ca="1">SUM(INDIRECT(AU$1&amp;AU$2&amp;$C219):INDIRECT(AU$1&amp;AU$3&amp;$C219))</f>
        <v>19500</v>
      </c>
      <c r="AV219" s="3110">
        <f t="shared" ca="1" si="358"/>
        <v>-5896</v>
      </c>
      <c r="AW219" s="2758">
        <f t="shared" ca="1" si="359"/>
        <v>0.69764102564102559</v>
      </c>
      <c r="AX219" s="1232">
        <f ca="1">SUM(INDIRECT(AX$1&amp;AX$2&amp;$A219):INDIRECT(AX$1&amp;AX$3&amp;$A219))+SUM(INDIRECT(AX$1&amp;AX$2&amp;$B219):INDIRECT(AX$1&amp;AX$3&amp;$B219))</f>
        <v>67499.886850617797</v>
      </c>
      <c r="AY219" s="3110">
        <f t="shared" ca="1" si="360"/>
        <v>-53895.886850617797</v>
      </c>
      <c r="AZ219" s="2758">
        <f t="shared" ca="1" si="361"/>
        <v>0.2015410785814597</v>
      </c>
      <c r="BB219" s="1289">
        <f ca="1">SUM((INDIRECT(BB$2&amp;(ROW())):INDIRECT(BB$3&amp;(ROW()))))</f>
        <v>49376.914000000004</v>
      </c>
      <c r="BC219" s="1232">
        <f ca="1">SUM(INDIRECT(BC$1&amp;BC$2&amp;$C219):INDIRECT(BC$1&amp;BC$3&amp;$C219))</f>
        <v>32200</v>
      </c>
      <c r="BD219" s="3110">
        <f t="shared" ca="1" si="362"/>
        <v>17176.914000000004</v>
      </c>
      <c r="BE219" s="2758">
        <f t="shared" ca="1" si="363"/>
        <v>1.5334445341614908</v>
      </c>
      <c r="BF219" s="1232">
        <f ca="1">SUM(INDIRECT(BF$1&amp;BF$2&amp;$A219):INDIRECT(BF$1&amp;BF$3&amp;$A219))+SUM(INDIRECT(BF$1&amp;BF$2&amp;$B219):INDIRECT(BF$1&amp;BF$3&amp;$B219))</f>
        <v>75335.596797870516</v>
      </c>
      <c r="BG219" s="3110">
        <f t="shared" ca="1" si="364"/>
        <v>-25958.682797870511</v>
      </c>
      <c r="BH219" s="2758">
        <f t="shared" ca="1" si="365"/>
        <v>0.65542606813723048</v>
      </c>
    </row>
    <row r="220" spans="1:60" s="69" customFormat="1" ht="14.5">
      <c r="A220" s="616">
        <f t="shared" si="377"/>
        <v>193</v>
      </c>
      <c r="B220" s="616">
        <v>1</v>
      </c>
      <c r="C220" s="616">
        <f t="shared" si="352"/>
        <v>217</v>
      </c>
      <c r="D220" s="709" t="s">
        <v>1308</v>
      </c>
      <c r="E220" s="2547">
        <v>1</v>
      </c>
      <c r="F220" s="4"/>
      <c r="G220" s="4"/>
      <c r="H220" s="4"/>
      <c r="I220" s="27"/>
      <c r="J220" s="3"/>
      <c r="K220" s="4"/>
      <c r="L220" s="4"/>
      <c r="M220" s="4"/>
      <c r="N220" s="3" t="s">
        <v>1403</v>
      </c>
      <c r="O220" s="3"/>
      <c r="P220" s="3"/>
      <c r="Q220" s="1784" t="str">
        <f>CHOOSE(2, "6722000003139", "PL (3) Net Sales NH EFI/LF")</f>
        <v>PL (3) Net Sales NH EFI/LF</v>
      </c>
      <c r="R220" s="1289">
        <f t="shared" si="376"/>
        <v>0</v>
      </c>
      <c r="S220" s="1232">
        <f t="shared" si="376"/>
        <v>0</v>
      </c>
      <c r="T220" s="1232">
        <f t="shared" si="376"/>
        <v>0</v>
      </c>
      <c r="U220" s="1232">
        <f t="shared" si="376"/>
        <v>0</v>
      </c>
      <c r="V220" s="1232">
        <f t="shared" si="376"/>
        <v>0</v>
      </c>
      <c r="W220" s="1232">
        <f t="shared" si="376"/>
        <v>0</v>
      </c>
      <c r="X220" s="1232">
        <f t="shared" si="376"/>
        <v>0</v>
      </c>
      <c r="Y220" s="1232">
        <f t="shared" si="376"/>
        <v>0</v>
      </c>
      <c r="Z220" s="1232">
        <f t="shared" si="376"/>
        <v>0</v>
      </c>
      <c r="AA220" s="1232">
        <f t="shared" si="376"/>
        <v>0</v>
      </c>
      <c r="AB220" s="1232">
        <f t="shared" si="376"/>
        <v>0</v>
      </c>
      <c r="AC220" s="1232">
        <f t="shared" si="376"/>
        <v>0</v>
      </c>
      <c r="AD220" s="1232">
        <f t="shared" si="367"/>
        <v>0</v>
      </c>
      <c r="AE220" s="1232">
        <f t="shared" si="368"/>
        <v>0</v>
      </c>
      <c r="AF220" s="1232">
        <f t="shared" si="369"/>
        <v>0</v>
      </c>
      <c r="AG220" s="1232">
        <f t="shared" si="370"/>
        <v>0</v>
      </c>
      <c r="AH220" s="1232">
        <f t="shared" si="372"/>
        <v>0</v>
      </c>
      <c r="AI220" s="1232">
        <f t="shared" si="373"/>
        <v>0</v>
      </c>
      <c r="AJ220" s="1232">
        <f t="shared" si="374"/>
        <v>0</v>
      </c>
      <c r="AL220" s="1289">
        <f ca="1">SUM((INDIRECT(AL$2&amp;(ROW())):INDIRECT(AL$3&amp;(ROW()))))</f>
        <v>0</v>
      </c>
      <c r="AM220" s="1232">
        <f ca="1">SUM(INDIRECT(AM$1&amp;AM$2&amp;$C220):INDIRECT(AM$1&amp;AM$3&amp;$C220))</f>
        <v>700</v>
      </c>
      <c r="AN220" s="3110">
        <f t="shared" ca="1" si="354"/>
        <v>-700</v>
      </c>
      <c r="AO220" s="2758">
        <f t="shared" ca="1" si="355"/>
        <v>0</v>
      </c>
      <c r="AP220" s="1232">
        <f ca="1">SUM(INDIRECT(AP$1&amp;AP$2&amp;$A220):INDIRECT(AP$1&amp;AP$3&amp;$A220))+SUM(INDIRECT(AP$1&amp;AP$2&amp;$B220):INDIRECT(AP$1&amp;AP$3&amp;$B220))</f>
        <v>0</v>
      </c>
      <c r="AQ220" s="3110">
        <f t="shared" ca="1" si="356"/>
        <v>0</v>
      </c>
      <c r="AR220" s="2758">
        <f t="shared" ca="1" si="357"/>
        <v>0</v>
      </c>
      <c r="AT220" s="1289">
        <f ca="1">SUM((INDIRECT(AT$2&amp;(ROW())):INDIRECT(AT$3&amp;(ROW()))))</f>
        <v>0</v>
      </c>
      <c r="AU220" s="1232">
        <f ca="1">SUM(INDIRECT(AU$1&amp;AU$2&amp;$C220):INDIRECT(AU$1&amp;AU$3&amp;$C220))</f>
        <v>2100</v>
      </c>
      <c r="AV220" s="3110">
        <f t="shared" ca="1" si="358"/>
        <v>-2100</v>
      </c>
      <c r="AW220" s="2758">
        <f t="shared" ca="1" si="359"/>
        <v>0</v>
      </c>
      <c r="AX220" s="1232">
        <f ca="1">SUM(INDIRECT(AX$1&amp;AX$2&amp;$A220):INDIRECT(AX$1&amp;AX$3&amp;$A220))+SUM(INDIRECT(AX$1&amp;AX$2&amp;$B220):INDIRECT(AX$1&amp;AX$3&amp;$B220))</f>
        <v>0</v>
      </c>
      <c r="AY220" s="3110">
        <f t="shared" ca="1" si="360"/>
        <v>0</v>
      </c>
      <c r="AZ220" s="2758">
        <f t="shared" ca="1" si="361"/>
        <v>0</v>
      </c>
      <c r="BB220" s="1289">
        <f ca="1">SUM((INDIRECT(BB$2&amp;(ROW())):INDIRECT(BB$3&amp;(ROW()))))</f>
        <v>0</v>
      </c>
      <c r="BC220" s="1232">
        <f ca="1">SUM(INDIRECT(BC$1&amp;BC$2&amp;$C220):INDIRECT(BC$1&amp;BC$3&amp;$C220))</f>
        <v>3500</v>
      </c>
      <c r="BD220" s="3110">
        <f t="shared" ca="1" si="362"/>
        <v>-3500</v>
      </c>
      <c r="BE220" s="2758">
        <f t="shared" ca="1" si="363"/>
        <v>0</v>
      </c>
      <c r="BF220" s="1232">
        <f ca="1">SUM(INDIRECT(BF$1&amp;BF$2&amp;$A220):INDIRECT(BF$1&amp;BF$3&amp;$A220))+SUM(INDIRECT(BF$1&amp;BF$2&amp;$B220):INDIRECT(BF$1&amp;BF$3&amp;$B220))</f>
        <v>0</v>
      </c>
      <c r="BG220" s="3110">
        <f t="shared" ca="1" si="364"/>
        <v>0</v>
      </c>
      <c r="BH220" s="2758">
        <f t="shared" ca="1" si="365"/>
        <v>0</v>
      </c>
    </row>
    <row r="221" spans="1:60" s="69" customFormat="1" ht="14.5">
      <c r="A221" s="616">
        <f t="shared" si="377"/>
        <v>194</v>
      </c>
      <c r="B221" s="616">
        <v>1</v>
      </c>
      <c r="C221" s="616">
        <f t="shared" si="352"/>
        <v>218</v>
      </c>
      <c r="D221" s="709" t="s">
        <v>1308</v>
      </c>
      <c r="E221" s="2547">
        <v>1</v>
      </c>
      <c r="F221" s="4"/>
      <c r="G221" s="4"/>
      <c r="H221" s="4"/>
      <c r="I221" s="27"/>
      <c r="J221" s="3"/>
      <c r="K221" s="4"/>
      <c r="L221" s="4"/>
      <c r="M221" s="4"/>
      <c r="N221" s="3" t="s">
        <v>1404</v>
      </c>
      <c r="O221" s="3"/>
      <c r="P221" s="3"/>
      <c r="Q221" s="1784" t="str">
        <f>CHOOSE(2, "6722000003140", "PL (3) Net Sales NH Textile Printer")</f>
        <v>PL (3) Net Sales NH Textile Printer</v>
      </c>
      <c r="R221" s="1289">
        <f t="shared" si="376"/>
        <v>0</v>
      </c>
      <c r="S221" s="1232">
        <f t="shared" si="376"/>
        <v>0</v>
      </c>
      <c r="T221" s="1232">
        <f t="shared" si="376"/>
        <v>0</v>
      </c>
      <c r="U221" s="1232">
        <f t="shared" si="376"/>
        <v>0</v>
      </c>
      <c r="V221" s="1232">
        <f t="shared" si="376"/>
        <v>0</v>
      </c>
      <c r="W221" s="1232">
        <f t="shared" si="376"/>
        <v>0</v>
      </c>
      <c r="X221" s="1232">
        <f t="shared" si="376"/>
        <v>0</v>
      </c>
      <c r="Y221" s="1232">
        <f t="shared" si="376"/>
        <v>0</v>
      </c>
      <c r="Z221" s="1232">
        <f t="shared" si="376"/>
        <v>0</v>
      </c>
      <c r="AA221" s="1232">
        <f t="shared" si="376"/>
        <v>0</v>
      </c>
      <c r="AB221" s="1232">
        <f t="shared" si="376"/>
        <v>0</v>
      </c>
      <c r="AC221" s="1232">
        <f t="shared" si="376"/>
        <v>0</v>
      </c>
      <c r="AD221" s="1232">
        <f t="shared" si="367"/>
        <v>0</v>
      </c>
      <c r="AE221" s="1232">
        <f t="shared" si="368"/>
        <v>0</v>
      </c>
      <c r="AF221" s="1232">
        <f t="shared" si="369"/>
        <v>0</v>
      </c>
      <c r="AG221" s="1232">
        <f t="shared" si="370"/>
        <v>0</v>
      </c>
      <c r="AH221" s="1232">
        <f t="shared" si="372"/>
        <v>0</v>
      </c>
      <c r="AI221" s="1232">
        <f t="shared" si="373"/>
        <v>0</v>
      </c>
      <c r="AJ221" s="1232">
        <f t="shared" si="374"/>
        <v>0</v>
      </c>
      <c r="AL221" s="1289">
        <f ca="1">SUM((INDIRECT(AL$2&amp;(ROW())):INDIRECT(AL$3&amp;(ROW()))))</f>
        <v>0</v>
      </c>
      <c r="AM221" s="1232">
        <f ca="1">SUM(INDIRECT(AM$1&amp;AM$2&amp;$C221):INDIRECT(AM$1&amp;AM$3&amp;$C221))</f>
        <v>2800</v>
      </c>
      <c r="AN221" s="3110">
        <f t="shared" ca="1" si="354"/>
        <v>-2800</v>
      </c>
      <c r="AO221" s="2758">
        <f t="shared" ca="1" si="355"/>
        <v>0</v>
      </c>
      <c r="AP221" s="1232">
        <f ca="1">SUM(INDIRECT(AP$1&amp;AP$2&amp;$A221):INDIRECT(AP$1&amp;AP$3&amp;$A221))+SUM(INDIRECT(AP$1&amp;AP$2&amp;$B221):INDIRECT(AP$1&amp;AP$3&amp;$B221))</f>
        <v>88938.913117463235</v>
      </c>
      <c r="AQ221" s="3110">
        <f t="shared" ca="1" si="356"/>
        <v>-88938.913117463235</v>
      </c>
      <c r="AR221" s="2758">
        <f t="shared" ca="1" si="357"/>
        <v>0</v>
      </c>
      <c r="AT221" s="1289">
        <f ca="1">SUM((INDIRECT(AT$2&amp;(ROW())):INDIRECT(AT$3&amp;(ROW()))))</f>
        <v>0</v>
      </c>
      <c r="AU221" s="1232">
        <f ca="1">SUM(INDIRECT(AU$1&amp;AU$2&amp;$C221):INDIRECT(AU$1&amp;AU$3&amp;$C221))</f>
        <v>8600</v>
      </c>
      <c r="AV221" s="3110">
        <f t="shared" ca="1" si="358"/>
        <v>-8600</v>
      </c>
      <c r="AW221" s="2758">
        <f t="shared" ca="1" si="359"/>
        <v>0</v>
      </c>
      <c r="AX221" s="1232">
        <f ca="1">SUM(INDIRECT(AX$1&amp;AX$2&amp;$A221):INDIRECT(AX$1&amp;AX$3&amp;$A221))+SUM(INDIRECT(AX$1&amp;AX$2&amp;$B221):INDIRECT(AX$1&amp;AX$3&amp;$B221))</f>
        <v>278925.41912487923</v>
      </c>
      <c r="AY221" s="3110">
        <f t="shared" ca="1" si="360"/>
        <v>-278925.41912487923</v>
      </c>
      <c r="AZ221" s="2758">
        <f t="shared" ca="1" si="361"/>
        <v>0</v>
      </c>
      <c r="BB221" s="1289">
        <f ca="1">SUM((INDIRECT(BB$2&amp;(ROW())):INDIRECT(BB$3&amp;(ROW()))))</f>
        <v>0</v>
      </c>
      <c r="BC221" s="1232">
        <f ca="1">SUM(INDIRECT(BC$1&amp;BC$2&amp;$C221):INDIRECT(BC$1&amp;BC$3&amp;$C221))</f>
        <v>14300</v>
      </c>
      <c r="BD221" s="3110">
        <f t="shared" ca="1" si="362"/>
        <v>-14300</v>
      </c>
      <c r="BE221" s="2758">
        <f t="shared" ca="1" si="363"/>
        <v>0</v>
      </c>
      <c r="BF221" s="1232">
        <f ca="1">SUM(INDIRECT(BF$1&amp;BF$2&amp;$A221):INDIRECT(BF$1&amp;BF$3&amp;$A221))+SUM(INDIRECT(BF$1&amp;BF$2&amp;$B221):INDIRECT(BF$1&amp;BF$3&amp;$B221))</f>
        <v>695723.91120472655</v>
      </c>
      <c r="BG221" s="3110">
        <f t="shared" ca="1" si="364"/>
        <v>-695723.91120472655</v>
      </c>
      <c r="BH221" s="2758">
        <f t="shared" ca="1" si="365"/>
        <v>0</v>
      </c>
    </row>
    <row r="222" spans="1:60" s="69" customFormat="1" ht="14.5">
      <c r="A222" s="616">
        <f t="shared" si="377"/>
        <v>195</v>
      </c>
      <c r="B222" s="616">
        <v>1</v>
      </c>
      <c r="C222" s="616">
        <f t="shared" si="352"/>
        <v>219</v>
      </c>
      <c r="D222" s="709" t="s">
        <v>1308</v>
      </c>
      <c r="E222" s="2547">
        <v>1</v>
      </c>
      <c r="F222" s="4"/>
      <c r="G222" s="4"/>
      <c r="H222" s="4"/>
      <c r="I222" s="25"/>
      <c r="J222" s="1"/>
      <c r="K222" s="2"/>
      <c r="L222" s="2"/>
      <c r="M222" s="2"/>
      <c r="N222" s="1" t="s">
        <v>1386</v>
      </c>
      <c r="O222" s="1"/>
      <c r="P222" s="1"/>
      <c r="Q222" s="1784" t="str">
        <f>CHOOSE(2, "6722000003141", "PL (3) Net Sales NH Others")</f>
        <v>PL (3) Net Sales NH Others</v>
      </c>
      <c r="R222" s="1290">
        <f t="shared" si="376"/>
        <v>0</v>
      </c>
      <c r="S222" s="1241">
        <f t="shared" si="376"/>
        <v>0</v>
      </c>
      <c r="T222" s="1241">
        <f t="shared" si="376"/>
        <v>0</v>
      </c>
      <c r="U222" s="1241">
        <f t="shared" si="376"/>
        <v>0</v>
      </c>
      <c r="V222" s="1241">
        <f t="shared" si="376"/>
        <v>0</v>
      </c>
      <c r="W222" s="1241">
        <f t="shared" si="376"/>
        <v>0</v>
      </c>
      <c r="X222" s="1241">
        <f t="shared" si="376"/>
        <v>0</v>
      </c>
      <c r="Y222" s="1241">
        <f t="shared" si="376"/>
        <v>0</v>
      </c>
      <c r="Z222" s="1241">
        <f t="shared" si="376"/>
        <v>0</v>
      </c>
      <c r="AA222" s="1241">
        <f t="shared" si="376"/>
        <v>0</v>
      </c>
      <c r="AB222" s="1241">
        <f t="shared" si="376"/>
        <v>0</v>
      </c>
      <c r="AC222" s="1241">
        <f t="shared" si="376"/>
        <v>0</v>
      </c>
      <c r="AD222" s="1241">
        <f t="shared" si="367"/>
        <v>0</v>
      </c>
      <c r="AE222" s="1241">
        <f t="shared" si="368"/>
        <v>0</v>
      </c>
      <c r="AF222" s="1241">
        <f t="shared" si="369"/>
        <v>0</v>
      </c>
      <c r="AG222" s="1241">
        <f t="shared" si="370"/>
        <v>0</v>
      </c>
      <c r="AH222" s="1241">
        <f t="shared" si="372"/>
        <v>0</v>
      </c>
      <c r="AI222" s="1241">
        <f t="shared" si="373"/>
        <v>0</v>
      </c>
      <c r="AJ222" s="1241">
        <f t="shared" si="374"/>
        <v>0</v>
      </c>
      <c r="AL222" s="1290">
        <f ca="1">SUM((INDIRECT(AL$2&amp;(ROW())):INDIRECT(AL$3&amp;(ROW()))))</f>
        <v>0</v>
      </c>
      <c r="AM222" s="1241">
        <f ca="1">SUM(INDIRECT(AM$1&amp;AM$2&amp;$C222):INDIRECT(AM$1&amp;AM$3&amp;$C222))</f>
        <v>2800</v>
      </c>
      <c r="AN222" s="3098">
        <f t="shared" ca="1" si="354"/>
        <v>-2800</v>
      </c>
      <c r="AO222" s="2743">
        <f t="shared" ca="1" si="355"/>
        <v>0</v>
      </c>
      <c r="AP222" s="1241">
        <f ca="1">SUM(INDIRECT(AP$1&amp;AP$2&amp;$A222):INDIRECT(AP$1&amp;AP$3&amp;$A222))+SUM(INDIRECT(AP$1&amp;AP$2&amp;$B222):INDIRECT(AP$1&amp;AP$3&amp;$B222))</f>
        <v>0.14879520770763782</v>
      </c>
      <c r="AQ222" s="3098">
        <f t="shared" ca="1" si="356"/>
        <v>-0.14879520770763782</v>
      </c>
      <c r="AR222" s="2743">
        <f t="shared" ca="1" si="357"/>
        <v>0</v>
      </c>
      <c r="AT222" s="1290">
        <f ca="1">SUM((INDIRECT(AT$2&amp;(ROW())):INDIRECT(AT$3&amp;(ROW()))))</f>
        <v>0</v>
      </c>
      <c r="AU222" s="1241">
        <f ca="1">SUM(INDIRECT(AU$1&amp;AU$2&amp;$C222):INDIRECT(AU$1&amp;AU$3&amp;$C222))</f>
        <v>8800</v>
      </c>
      <c r="AV222" s="3098">
        <f t="shared" ca="1" si="358"/>
        <v>-8800</v>
      </c>
      <c r="AW222" s="2743">
        <f t="shared" ca="1" si="359"/>
        <v>0</v>
      </c>
      <c r="AX222" s="1241">
        <f ca="1">SUM(INDIRECT(AX$1&amp;AX$2&amp;$A222):INDIRECT(AX$1&amp;AX$3&amp;$A222))+SUM(INDIRECT(AX$1&amp;AX$2&amp;$B222):INDIRECT(AX$1&amp;AX$3&amp;$B222))</f>
        <v>0.50658696209903686</v>
      </c>
      <c r="AY222" s="3098">
        <f t="shared" ca="1" si="360"/>
        <v>-0.50658696209903686</v>
      </c>
      <c r="AZ222" s="2743">
        <f t="shared" ca="1" si="361"/>
        <v>0</v>
      </c>
      <c r="BB222" s="1290">
        <f ca="1">SUM((INDIRECT(BB$2&amp;(ROW())):INDIRECT(BB$3&amp;(ROW()))))</f>
        <v>0</v>
      </c>
      <c r="BC222" s="1241">
        <f ca="1">SUM(INDIRECT(BC$1&amp;BC$2&amp;$C222):INDIRECT(BC$1&amp;BC$3&amp;$C222))</f>
        <v>14400</v>
      </c>
      <c r="BD222" s="3098">
        <f t="shared" ca="1" si="362"/>
        <v>-14400</v>
      </c>
      <c r="BE222" s="2743">
        <f t="shared" ca="1" si="363"/>
        <v>0</v>
      </c>
      <c r="BF222" s="1241">
        <f ca="1">SUM(INDIRECT(BF$1&amp;BF$2&amp;$A222):INDIRECT(BF$1&amp;BF$3&amp;$A222))+SUM(INDIRECT(BF$1&amp;BF$2&amp;$B222):INDIRECT(BF$1&amp;BF$3&amp;$B222))</f>
        <v>1.3230062475374753</v>
      </c>
      <c r="BG222" s="3098">
        <f t="shared" ca="1" si="364"/>
        <v>-1.3230062475374753</v>
      </c>
      <c r="BH222" s="2743">
        <f t="shared" ca="1" si="365"/>
        <v>0</v>
      </c>
    </row>
    <row r="223" spans="1:60" ht="14.5">
      <c r="A223" s="616">
        <f t="shared" si="377"/>
        <v>196</v>
      </c>
      <c r="B223" s="616">
        <v>1</v>
      </c>
      <c r="C223" s="616">
        <f t="shared" si="352"/>
        <v>220</v>
      </c>
      <c r="D223" s="709" t="s">
        <v>1308</v>
      </c>
      <c r="E223" s="2547">
        <v>1</v>
      </c>
      <c r="F223" s="4"/>
      <c r="G223" s="4"/>
      <c r="H223" s="4"/>
      <c r="I223" s="3155" t="s">
        <v>48</v>
      </c>
      <c r="J223" s="489"/>
      <c r="K223" s="581"/>
      <c r="L223" s="581"/>
      <c r="M223" s="489"/>
      <c r="N223" s="489"/>
      <c r="O223" s="2036" t="s">
        <v>304</v>
      </c>
      <c r="P223" s="489"/>
      <c r="Q223" s="1795" t="str">
        <f>CHOOSE(2, "6722000003142", "PL (3) BT Cons. Sales")</f>
        <v>PL (3) BT Cons. Sales</v>
      </c>
      <c r="R223" s="1307">
        <f t="shared" ref="R223:AJ223" si="378">R224+R231</f>
        <v>15204</v>
      </c>
      <c r="S223" s="3156">
        <f t="shared" si="378"/>
        <v>5995</v>
      </c>
      <c r="T223" s="3156">
        <f t="shared" si="378"/>
        <v>25668</v>
      </c>
      <c r="U223" s="3156">
        <f t="shared" si="378"/>
        <v>7458</v>
      </c>
      <c r="V223" s="3156">
        <f t="shared" si="378"/>
        <v>17448.148999999998</v>
      </c>
      <c r="W223" s="3156">
        <f t="shared" si="378"/>
        <v>19062</v>
      </c>
      <c r="X223" s="3156">
        <f t="shared" si="378"/>
        <v>7362</v>
      </c>
      <c r="Y223" s="3156">
        <f t="shared" si="378"/>
        <v>17023</v>
      </c>
      <c r="Z223" s="3156">
        <f t="shared" si="378"/>
        <v>7585</v>
      </c>
      <c r="AA223" s="3156">
        <f t="shared" si="378"/>
        <v>26150</v>
      </c>
      <c r="AB223" s="3156">
        <f t="shared" si="378"/>
        <v>8583.2560000000012</v>
      </c>
      <c r="AC223" s="3156">
        <f t="shared" si="378"/>
        <v>25747</v>
      </c>
      <c r="AD223" s="3156">
        <f t="shared" si="378"/>
        <v>46867</v>
      </c>
      <c r="AE223" s="3156">
        <f t="shared" si="378"/>
        <v>43968.148999999998</v>
      </c>
      <c r="AF223" s="3156">
        <f t="shared" si="378"/>
        <v>31970</v>
      </c>
      <c r="AG223" s="3156">
        <f t="shared" si="378"/>
        <v>60480.256000000001</v>
      </c>
      <c r="AH223" s="3156">
        <f t="shared" si="378"/>
        <v>90835.149000000005</v>
      </c>
      <c r="AI223" s="3156">
        <f t="shared" si="378"/>
        <v>92450.255999999994</v>
      </c>
      <c r="AJ223" s="3156">
        <f t="shared" si="378"/>
        <v>183285.405</v>
      </c>
      <c r="AL223" s="1307">
        <f ca="1">SUM((INDIRECT(AL$2&amp;(ROW())):INDIRECT(AL$3&amp;(ROW()))))</f>
        <v>25747</v>
      </c>
      <c r="AM223" s="3156">
        <f ca="1">SUM(INDIRECT(AM$1&amp;AM$2&amp;$C223):INDIRECT(AM$1&amp;AM$3&amp;$C223))</f>
        <v>0</v>
      </c>
      <c r="AN223" s="3157">
        <f t="shared" ca="1" si="354"/>
        <v>25747</v>
      </c>
      <c r="AO223" s="3158">
        <f t="shared" ca="1" si="355"/>
        <v>0</v>
      </c>
      <c r="AP223" s="3156">
        <f ca="1">SUM(INDIRECT(AP$1&amp;AP$2&amp;$A223):INDIRECT(AP$1&amp;AP$3&amp;$A223))+SUM(INDIRECT(AP$1&amp;AP$2&amp;$B223):INDIRECT(AP$1&amp;AP$3&amp;$B223))</f>
        <v>0.69207492950483773</v>
      </c>
      <c r="AQ223" s="3157">
        <f t="shared" ca="1" si="356"/>
        <v>25746.307925070494</v>
      </c>
      <c r="AR223" s="3158">
        <f t="shared" ca="1" si="357"/>
        <v>37202.619112964159</v>
      </c>
      <c r="AT223" s="1307">
        <f ca="1">SUM((INDIRECT(AT$2&amp;(ROW())):INDIRECT(AT$3&amp;(ROW()))))</f>
        <v>60480.256000000001</v>
      </c>
      <c r="AU223" s="3156">
        <f ca="1">SUM(INDIRECT(AU$1&amp;AU$2&amp;$C223):INDIRECT(AU$1&amp;AU$3&amp;$C223))</f>
        <v>0</v>
      </c>
      <c r="AV223" s="3157">
        <f t="shared" ca="1" si="358"/>
        <v>60480.256000000001</v>
      </c>
      <c r="AW223" s="3158">
        <f t="shared" ca="1" si="359"/>
        <v>0</v>
      </c>
      <c r="AX223" s="3156">
        <f ca="1">SUM(INDIRECT(AX$1&amp;AX$2&amp;$A223):INDIRECT(AX$1&amp;AX$3&amp;$A223))+SUM(INDIRECT(AX$1&amp;AX$2&amp;$B223):INDIRECT(AX$1&amp;AX$3&amp;$B223))</f>
        <v>2.0059805523533476</v>
      </c>
      <c r="AY223" s="3157">
        <f t="shared" ca="1" si="360"/>
        <v>60478.250019447645</v>
      </c>
      <c r="AZ223" s="3158">
        <f t="shared" ca="1" si="361"/>
        <v>30149.971259216167</v>
      </c>
      <c r="BB223" s="1307">
        <f ca="1">SUM((INDIRECT(BB$2&amp;(ROW())):INDIRECT(BB$3&amp;(ROW()))))</f>
        <v>183285.405</v>
      </c>
      <c r="BC223" s="3156">
        <f ca="1">SUM(INDIRECT(BC$1&amp;BC$2&amp;$C223):INDIRECT(BC$1&amp;BC$3&amp;$C223))</f>
        <v>0</v>
      </c>
      <c r="BD223" s="3157">
        <f t="shared" ca="1" si="362"/>
        <v>183285.405</v>
      </c>
      <c r="BE223" s="3158">
        <f t="shared" ca="1" si="363"/>
        <v>0</v>
      </c>
      <c r="BF223" s="3156">
        <f ca="1">SUM(INDIRECT(BF$1&amp;BF$2&amp;$A223):INDIRECT(BF$1&amp;BF$3&amp;$A223))+SUM(INDIRECT(BF$1&amp;BF$2&amp;$B223):INDIRECT(BF$1&amp;BF$3&amp;$B223))</f>
        <v>7.5328400170172269</v>
      </c>
      <c r="BG223" s="3157">
        <f t="shared" ca="1" si="364"/>
        <v>183277.87215998297</v>
      </c>
      <c r="BH223" s="3158">
        <f t="shared" ca="1" si="365"/>
        <v>24331.514353941555</v>
      </c>
    </row>
    <row r="224" spans="1:60" s="69" customFormat="1" ht="14.5">
      <c r="A224" s="616">
        <f t="shared" si="377"/>
        <v>197</v>
      </c>
      <c r="B224" s="616">
        <v>1</v>
      </c>
      <c r="C224" s="616">
        <f t="shared" si="352"/>
        <v>221</v>
      </c>
      <c r="D224" s="709" t="s">
        <v>1308</v>
      </c>
      <c r="E224" s="2547">
        <v>1</v>
      </c>
      <c r="F224" s="4"/>
      <c r="G224" s="4"/>
      <c r="H224" s="4"/>
      <c r="I224" s="27"/>
      <c r="J224" s="3"/>
      <c r="K224" s="4"/>
      <c r="L224" s="4"/>
      <c r="M224" s="301" t="s">
        <v>1400</v>
      </c>
      <c r="N224" s="301"/>
      <c r="O224" s="301"/>
      <c r="P224" s="301"/>
      <c r="Q224" s="1796" t="str">
        <f>CHOOSE(2, "6722000003143", "PL (3) BT Cons. Sales HW &amp; Solution")</f>
        <v>PL (3) BT Cons. Sales HW &amp; Solution</v>
      </c>
      <c r="R224" s="1308">
        <f>SUM(R225:R230)</f>
        <v>9502</v>
      </c>
      <c r="S224" s="1252">
        <f t="shared" ref="S224:AC224" si="379">SUM(S225:S230)</f>
        <v>252</v>
      </c>
      <c r="T224" s="1252">
        <f t="shared" si="379"/>
        <v>19252</v>
      </c>
      <c r="U224" s="1252">
        <f t="shared" si="379"/>
        <v>252</v>
      </c>
      <c r="V224" s="1252">
        <f t="shared" si="379"/>
        <v>9600</v>
      </c>
      <c r="W224" s="1252">
        <f t="shared" si="379"/>
        <v>10756</v>
      </c>
      <c r="X224" s="1252">
        <f t="shared" si="379"/>
        <v>378</v>
      </c>
      <c r="Y224" s="1252">
        <f t="shared" si="379"/>
        <v>9900</v>
      </c>
      <c r="Z224" s="1252">
        <f t="shared" si="379"/>
        <v>0</v>
      </c>
      <c r="AA224" s="1252">
        <f t="shared" si="379"/>
        <v>18852</v>
      </c>
      <c r="AB224" s="1252">
        <f t="shared" si="379"/>
        <v>0</v>
      </c>
      <c r="AC224" s="1252">
        <f t="shared" si="379"/>
        <v>17085</v>
      </c>
      <c r="AD224" s="1252">
        <f t="shared" ref="AD224:AD237" si="380">SUM(R224,S224,T224)</f>
        <v>29006</v>
      </c>
      <c r="AE224" s="1252">
        <f t="shared" ref="AE224:AE237" si="381">SUM(U224,V224,W224)</f>
        <v>20608</v>
      </c>
      <c r="AF224" s="1252">
        <f t="shared" ref="AF224:AF237" si="382">SUM(X224,Y224,Z224)</f>
        <v>10278</v>
      </c>
      <c r="AG224" s="1252">
        <f t="shared" ref="AG224:AG237" si="383">SUM(AA224,AB224,AC224)</f>
        <v>35937</v>
      </c>
      <c r="AH224" s="1252">
        <f>AD224+AE224</f>
        <v>49614</v>
      </c>
      <c r="AI224" s="1252">
        <f>AG224+AF224</f>
        <v>46215</v>
      </c>
      <c r="AJ224" s="1252">
        <f>AH224+AI224</f>
        <v>95829</v>
      </c>
      <c r="AL224" s="1308">
        <f ca="1">SUM((INDIRECT(AL$2&amp;(ROW())):INDIRECT(AL$3&amp;(ROW()))))</f>
        <v>17085</v>
      </c>
      <c r="AM224" s="1252">
        <f ca="1">SUM(INDIRECT(AM$1&amp;AM$2&amp;$C224):INDIRECT(AM$1&amp;AM$3&amp;$C224))</f>
        <v>0</v>
      </c>
      <c r="AN224" s="3159">
        <f t="shared" ca="1" si="354"/>
        <v>17085</v>
      </c>
      <c r="AO224" s="2806">
        <f t="shared" ca="1" si="355"/>
        <v>0</v>
      </c>
      <c r="AP224" s="1252">
        <f ca="1">SUM(INDIRECT(AP$1&amp;AP$2&amp;$A224):INDIRECT(AP$1&amp;AP$3&amp;$A224))+SUM(INDIRECT(AP$1&amp;AP$2&amp;$B224):INDIRECT(AP$1&amp;AP$3&amp;$B224))</f>
        <v>66896.423031010767</v>
      </c>
      <c r="AQ224" s="3159">
        <f t="shared" ca="1" si="356"/>
        <v>-49811.423031010767</v>
      </c>
      <c r="AR224" s="2806">
        <f t="shared" ca="1" si="357"/>
        <v>0.25539482121607626</v>
      </c>
      <c r="AT224" s="1308">
        <f ca="1">SUM((INDIRECT(AT$2&amp;(ROW())):INDIRECT(AT$3&amp;(ROW()))))</f>
        <v>35937</v>
      </c>
      <c r="AU224" s="1252">
        <f ca="1">SUM(INDIRECT(AU$1&amp;AU$2&amp;$C224):INDIRECT(AU$1&amp;AU$3&amp;$C224))</f>
        <v>0</v>
      </c>
      <c r="AV224" s="3159">
        <f t="shared" ca="1" si="358"/>
        <v>35937</v>
      </c>
      <c r="AW224" s="2806">
        <f t="shared" ca="1" si="359"/>
        <v>0</v>
      </c>
      <c r="AX224" s="1252">
        <f ca="1">SUM(INDIRECT(AX$1&amp;AX$2&amp;$A224):INDIRECT(AX$1&amp;AX$3&amp;$A224))+SUM(INDIRECT(AX$1&amp;AX$2&amp;$B224):INDIRECT(AX$1&amp;AX$3&amp;$B224))</f>
        <v>153917.17292713802</v>
      </c>
      <c r="AY224" s="3159">
        <f t="shared" ca="1" si="360"/>
        <v>-117980.17292713802</v>
      </c>
      <c r="AZ224" s="2806">
        <f t="shared" ca="1" si="361"/>
        <v>0.2334827187672685</v>
      </c>
      <c r="BB224" s="1308">
        <f ca="1">SUM((INDIRECT(BB$2&amp;(ROW())):INDIRECT(BB$3&amp;(ROW()))))</f>
        <v>95829</v>
      </c>
      <c r="BC224" s="1252">
        <f ca="1">SUM(INDIRECT(BC$1&amp;BC$2&amp;$C224):INDIRECT(BC$1&amp;BC$3&amp;$C224))</f>
        <v>0</v>
      </c>
      <c r="BD224" s="3159">
        <f t="shared" ca="1" si="362"/>
        <v>95829</v>
      </c>
      <c r="BE224" s="2806">
        <f t="shared" ca="1" si="363"/>
        <v>0</v>
      </c>
      <c r="BF224" s="1252">
        <f ca="1">SUM(INDIRECT(BF$1&amp;BF$2&amp;$A224):INDIRECT(BF$1&amp;BF$3&amp;$A224))+SUM(INDIRECT(BF$1&amp;BF$2&amp;$B224):INDIRECT(BF$1&amp;BF$3&amp;$B224))</f>
        <v>446587.07230952388</v>
      </c>
      <c r="BG224" s="3159">
        <f t="shared" ca="1" si="364"/>
        <v>-350758.07230952388</v>
      </c>
      <c r="BH224" s="2806">
        <f t="shared" ca="1" si="365"/>
        <v>0.21458077481826909</v>
      </c>
    </row>
    <row r="225" spans="1:60" s="69" customFormat="1" ht="14.5">
      <c r="A225" s="616">
        <f t="shared" si="377"/>
        <v>198</v>
      </c>
      <c r="B225" s="616">
        <v>1</v>
      </c>
      <c r="C225" s="616">
        <f t="shared" si="352"/>
        <v>222</v>
      </c>
      <c r="D225" s="709" t="s">
        <v>1308</v>
      </c>
      <c r="E225" s="2547">
        <v>1</v>
      </c>
      <c r="F225" s="4"/>
      <c r="G225" s="4"/>
      <c r="H225" s="4"/>
      <c r="I225" s="27"/>
      <c r="J225" s="3"/>
      <c r="K225" s="4"/>
      <c r="L225" s="4"/>
      <c r="M225" s="4"/>
      <c r="N225" s="3" t="s">
        <v>587</v>
      </c>
      <c r="O225" s="3"/>
      <c r="P225" s="3"/>
      <c r="Q225" s="1790" t="str">
        <f>CHOOSE(2, "6722000003144", "PL (3) BT Cons. Sales HW &amp; Solution KM-1/KM-1e")</f>
        <v>PL (3) BT Cons. Sales HW &amp; Solution KM-1/KM-1e</v>
      </c>
      <c r="R225" s="1215">
        <v>0</v>
      </c>
      <c r="S225" s="1222">
        <v>0</v>
      </c>
      <c r="T225" s="1222">
        <v>0</v>
      </c>
      <c r="U225" s="1222">
        <v>0</v>
      </c>
      <c r="V225" s="1222">
        <v>0</v>
      </c>
      <c r="W225" s="1222">
        <v>0</v>
      </c>
      <c r="X225" s="1222">
        <v>0</v>
      </c>
      <c r="Y225" s="1222">
        <v>0</v>
      </c>
      <c r="Z225" s="1222">
        <v>0</v>
      </c>
      <c r="AA225" s="1222">
        <v>0</v>
      </c>
      <c r="AB225" s="1222">
        <v>0</v>
      </c>
      <c r="AC225" s="1222">
        <v>-1515</v>
      </c>
      <c r="AD225" s="1232">
        <f t="shared" si="380"/>
        <v>0</v>
      </c>
      <c r="AE225" s="1232">
        <f t="shared" si="381"/>
        <v>0</v>
      </c>
      <c r="AF225" s="1232">
        <f t="shared" si="382"/>
        <v>0</v>
      </c>
      <c r="AG225" s="1232">
        <f t="shared" si="383"/>
        <v>-1515</v>
      </c>
      <c r="AH225" s="1232">
        <f t="shared" ref="AH225:AH237" si="384">AD225+AE225</f>
        <v>0</v>
      </c>
      <c r="AI225" s="1232">
        <f t="shared" ref="AI225:AI237" si="385">AG225+AF225</f>
        <v>-1515</v>
      </c>
      <c r="AJ225" s="1232">
        <f t="shared" ref="AJ225:AJ237" si="386">AH225+AI225</f>
        <v>-1515</v>
      </c>
      <c r="AL225" s="1289">
        <f ca="1">SUM((INDIRECT(AL$2&amp;(ROW())):INDIRECT(AL$3&amp;(ROW()))))</f>
        <v>-1515</v>
      </c>
      <c r="AM225" s="1232">
        <f ca="1">SUM(INDIRECT(AM$1&amp;AM$2&amp;$C225):INDIRECT(AM$1&amp;AM$3&amp;$C225))</f>
        <v>0</v>
      </c>
      <c r="AN225" s="3110">
        <f t="shared" ca="1" si="354"/>
        <v>-1515</v>
      </c>
      <c r="AO225" s="2758">
        <f t="shared" ca="1" si="355"/>
        <v>0</v>
      </c>
      <c r="AP225" s="1232">
        <f ca="1">SUM(INDIRECT(AP$1&amp;AP$2&amp;$A225):INDIRECT(AP$1&amp;AP$3&amp;$A225))+SUM(INDIRECT(AP$1&amp;AP$2&amp;$B225):INDIRECT(AP$1&amp;AP$3&amp;$B225))</f>
        <v>38614.247525065039</v>
      </c>
      <c r="AQ225" s="3110">
        <f t="shared" ca="1" si="356"/>
        <v>-40129.247525065039</v>
      </c>
      <c r="AR225" s="2758">
        <f t="shared" ca="1" si="357"/>
        <v>-3.9234223042067376E-2</v>
      </c>
      <c r="AT225" s="1289">
        <f ca="1">SUM((INDIRECT(AT$2&amp;(ROW())):INDIRECT(AT$3&amp;(ROW()))))</f>
        <v>-1515</v>
      </c>
      <c r="AU225" s="1232">
        <f ca="1">SUM(INDIRECT(AU$1&amp;AU$2&amp;$C225):INDIRECT(AU$1&amp;AU$3&amp;$C225))</f>
        <v>0</v>
      </c>
      <c r="AV225" s="3110">
        <f t="shared" ca="1" si="358"/>
        <v>-1515</v>
      </c>
      <c r="AW225" s="2758">
        <f t="shared" ca="1" si="359"/>
        <v>0</v>
      </c>
      <c r="AX225" s="1232">
        <f ca="1">SUM(INDIRECT(AX$1&amp;AX$2&amp;$A225):INDIRECT(AX$1&amp;AX$3&amp;$A225))+SUM(INDIRECT(AX$1&amp;AX$2&amp;$B225):INDIRECT(AX$1&amp;AX$3&amp;$B225))</f>
        <v>72322.890823224137</v>
      </c>
      <c r="AY225" s="3110">
        <f t="shared" ca="1" si="360"/>
        <v>-73837.890823224137</v>
      </c>
      <c r="AZ225" s="2758">
        <f t="shared" ca="1" si="361"/>
        <v>-2.094772461049783E-2</v>
      </c>
      <c r="BB225" s="1289">
        <f ca="1">SUM((INDIRECT(BB$2&amp;(ROW())):INDIRECT(BB$3&amp;(ROW()))))</f>
        <v>-1515</v>
      </c>
      <c r="BC225" s="1232">
        <f ca="1">SUM(INDIRECT(BC$1&amp;BC$2&amp;$C225):INDIRECT(BC$1&amp;BC$3&amp;$C225))</f>
        <v>0</v>
      </c>
      <c r="BD225" s="3110">
        <f t="shared" ca="1" si="362"/>
        <v>-1515</v>
      </c>
      <c r="BE225" s="2758">
        <f t="shared" ca="1" si="363"/>
        <v>0</v>
      </c>
      <c r="BF225" s="1232">
        <f ca="1">SUM(INDIRECT(BF$1&amp;BF$2&amp;$A225):INDIRECT(BF$1&amp;BF$3&amp;$A225))+SUM(INDIRECT(BF$1&amp;BF$2&amp;$B225):INDIRECT(BF$1&amp;BF$3&amp;$B225))</f>
        <v>167286.1102270151</v>
      </c>
      <c r="BG225" s="3110">
        <f t="shared" ca="1" si="364"/>
        <v>-168801.1102270151</v>
      </c>
      <c r="BH225" s="2758">
        <f t="shared" ca="1" si="365"/>
        <v>-9.0563406486293095E-3</v>
      </c>
    </row>
    <row r="226" spans="1:60" s="69" customFormat="1" ht="14.5">
      <c r="A226" s="616">
        <f t="shared" si="377"/>
        <v>199</v>
      </c>
      <c r="B226" s="616">
        <v>1</v>
      </c>
      <c r="C226" s="616">
        <f t="shared" si="352"/>
        <v>223</v>
      </c>
      <c r="D226" s="709" t="s">
        <v>1308</v>
      </c>
      <c r="E226" s="2547">
        <v>1</v>
      </c>
      <c r="F226" s="4"/>
      <c r="G226" s="4"/>
      <c r="H226" s="4"/>
      <c r="I226" s="27"/>
      <c r="J226" s="3"/>
      <c r="K226" s="4"/>
      <c r="L226" s="4"/>
      <c r="M226" s="4"/>
      <c r="N226" s="3" t="s">
        <v>1401</v>
      </c>
      <c r="O226" s="3"/>
      <c r="P226" s="3"/>
      <c r="Q226" s="1790" t="str">
        <f>CHOOSE(2, "6722000003145", "PL (3) BT Cons. Sales HW &amp; Solution Label Printer")</f>
        <v>PL (3) BT Cons. Sales HW &amp; Solution Label Printer</v>
      </c>
      <c r="R226" s="1215">
        <v>0</v>
      </c>
      <c r="S226" s="1222">
        <v>0</v>
      </c>
      <c r="T226" s="1222">
        <v>9500</v>
      </c>
      <c r="U226" s="1222">
        <v>0</v>
      </c>
      <c r="V226" s="1222">
        <v>0</v>
      </c>
      <c r="W226" s="1222">
        <v>0</v>
      </c>
      <c r="X226" s="1222">
        <v>0</v>
      </c>
      <c r="Y226" s="1222">
        <v>0</v>
      </c>
      <c r="Z226" s="1222">
        <v>0</v>
      </c>
      <c r="AA226" s="1222">
        <v>9100</v>
      </c>
      <c r="AB226" s="1222">
        <v>0</v>
      </c>
      <c r="AC226" s="1222">
        <v>9000</v>
      </c>
      <c r="AD226" s="1232">
        <f t="shared" si="380"/>
        <v>9500</v>
      </c>
      <c r="AE226" s="1232">
        <f t="shared" si="381"/>
        <v>0</v>
      </c>
      <c r="AF226" s="1232">
        <f t="shared" si="382"/>
        <v>0</v>
      </c>
      <c r="AG226" s="1232">
        <f t="shared" si="383"/>
        <v>18100</v>
      </c>
      <c r="AH226" s="1232">
        <f t="shared" si="384"/>
        <v>9500</v>
      </c>
      <c r="AI226" s="1232">
        <f t="shared" si="385"/>
        <v>18100</v>
      </c>
      <c r="AJ226" s="1232">
        <f t="shared" si="386"/>
        <v>27600</v>
      </c>
      <c r="AL226" s="1289">
        <f ca="1">SUM((INDIRECT(AL$2&amp;(ROW())):INDIRECT(AL$3&amp;(ROW()))))</f>
        <v>9000</v>
      </c>
      <c r="AM226" s="1232">
        <f ca="1">SUM(INDIRECT(AM$1&amp;AM$2&amp;$C226):INDIRECT(AM$1&amp;AM$3&amp;$C226))</f>
        <v>47800</v>
      </c>
      <c r="AN226" s="3110">
        <f t="shared" ca="1" si="354"/>
        <v>-38800</v>
      </c>
      <c r="AO226" s="2758">
        <f t="shared" ca="1" si="355"/>
        <v>0.18828451882845187</v>
      </c>
      <c r="AP226" s="1232">
        <f ca="1">SUM(INDIRECT(AP$1&amp;AP$2&amp;$A226):INDIRECT(AP$1&amp;AP$3&amp;$A226))+SUM(INDIRECT(AP$1&amp;AP$2&amp;$B226):INDIRECT(AP$1&amp;AP$3&amp;$B226))</f>
        <v>16789.16857326914</v>
      </c>
      <c r="AQ226" s="3110">
        <f t="shared" ca="1" si="356"/>
        <v>-7789.1685732691403</v>
      </c>
      <c r="AR226" s="2758">
        <f t="shared" ca="1" si="357"/>
        <v>0.53605989842340029</v>
      </c>
      <c r="AT226" s="1289">
        <f ca="1">SUM((INDIRECT(AT$2&amp;(ROW())):INDIRECT(AT$3&amp;(ROW()))))</f>
        <v>18100</v>
      </c>
      <c r="AU226" s="1232">
        <f ca="1">SUM(INDIRECT(AU$1&amp;AU$2&amp;$C226):INDIRECT(AU$1&amp;AU$3&amp;$C226))</f>
        <v>89900</v>
      </c>
      <c r="AV226" s="3110">
        <f t="shared" ca="1" si="358"/>
        <v>-71800</v>
      </c>
      <c r="AW226" s="2758">
        <f t="shared" ca="1" si="359"/>
        <v>0.20133481646273638</v>
      </c>
      <c r="AX226" s="1232">
        <f ca="1">SUM(INDIRECT(AX$1&amp;AX$2&amp;$A226):INDIRECT(AX$1&amp;AX$3&amp;$A226))+SUM(INDIRECT(AX$1&amp;AX$2&amp;$B226):INDIRECT(AX$1&amp;AX$3&amp;$B226))</f>
        <v>48612.584575177716</v>
      </c>
      <c r="AY226" s="3110">
        <f t="shared" ca="1" si="360"/>
        <v>-30512.584575177716</v>
      </c>
      <c r="AZ226" s="2758">
        <f t="shared" ca="1" si="361"/>
        <v>0.37233157130349576</v>
      </c>
      <c r="BB226" s="1289">
        <f ca="1">SUM((INDIRECT(BB$2&amp;(ROW())):INDIRECT(BB$3&amp;(ROW()))))</f>
        <v>27600</v>
      </c>
      <c r="BC226" s="1232">
        <f ca="1">SUM(INDIRECT(BC$1&amp;BC$2&amp;$C226):INDIRECT(BC$1&amp;BC$3&amp;$C226))</f>
        <v>187500</v>
      </c>
      <c r="BD226" s="3110">
        <f t="shared" ca="1" si="362"/>
        <v>-159900</v>
      </c>
      <c r="BE226" s="2758">
        <f t="shared" ca="1" si="363"/>
        <v>0.1472</v>
      </c>
      <c r="BF226" s="1232">
        <f ca="1">SUM(INDIRECT(BF$1&amp;BF$2&amp;$A226):INDIRECT(BF$1&amp;BF$3&amp;$A226))+SUM(INDIRECT(BF$1&amp;BF$2&amp;$B226):INDIRECT(BF$1&amp;BF$3&amp;$B226))</f>
        <v>166103.11758644436</v>
      </c>
      <c r="BG226" s="3110">
        <f t="shared" ca="1" si="364"/>
        <v>-138503.11758644436</v>
      </c>
      <c r="BH226" s="2758">
        <f t="shared" ca="1" si="365"/>
        <v>0.16616184211976784</v>
      </c>
    </row>
    <row r="227" spans="1:60" s="69" customFormat="1" ht="14.5">
      <c r="A227" s="616">
        <f t="shared" si="377"/>
        <v>200</v>
      </c>
      <c r="B227" s="616">
        <v>1</v>
      </c>
      <c r="C227" s="616">
        <f t="shared" si="352"/>
        <v>224</v>
      </c>
      <c r="D227" s="709" t="s">
        <v>1308</v>
      </c>
      <c r="E227" s="2547">
        <v>1</v>
      </c>
      <c r="F227" s="4"/>
      <c r="G227" s="4"/>
      <c r="H227" s="4"/>
      <c r="I227" s="27"/>
      <c r="J227" s="3"/>
      <c r="K227" s="4"/>
      <c r="L227" s="4"/>
      <c r="M227" s="4"/>
      <c r="N227" s="3" t="s">
        <v>1402</v>
      </c>
      <c r="O227" s="3"/>
      <c r="P227" s="3"/>
      <c r="Q227" s="1790" t="str">
        <f>CHOOSE(2, "6722000003146", "PL (3) BT Cons. Sales HW &amp; Solution MGI")</f>
        <v>PL (3) BT Cons. Sales HW &amp; Solution MGI</v>
      </c>
      <c r="R227" s="1215">
        <v>9502</v>
      </c>
      <c r="S227" s="1222">
        <v>252</v>
      </c>
      <c r="T227" s="1222">
        <v>9752</v>
      </c>
      <c r="U227" s="1222">
        <v>252</v>
      </c>
      <c r="V227" s="1222">
        <v>9600</v>
      </c>
      <c r="W227" s="1222">
        <v>10756</v>
      </c>
      <c r="X227" s="1222">
        <v>378</v>
      </c>
      <c r="Y227" s="1222">
        <v>9900</v>
      </c>
      <c r="Z227" s="1222">
        <v>0</v>
      </c>
      <c r="AA227" s="1222">
        <v>9752</v>
      </c>
      <c r="AB227" s="1222">
        <v>0</v>
      </c>
      <c r="AC227" s="1222">
        <v>9600</v>
      </c>
      <c r="AD227" s="1232">
        <f t="shared" si="380"/>
        <v>19506</v>
      </c>
      <c r="AE227" s="1232">
        <f t="shared" si="381"/>
        <v>20608</v>
      </c>
      <c r="AF227" s="1232">
        <f t="shared" si="382"/>
        <v>10278</v>
      </c>
      <c r="AG227" s="1232">
        <f t="shared" si="383"/>
        <v>19352</v>
      </c>
      <c r="AH227" s="1232">
        <f t="shared" si="384"/>
        <v>40114</v>
      </c>
      <c r="AI227" s="1232">
        <f t="shared" si="385"/>
        <v>29630</v>
      </c>
      <c r="AJ227" s="1232">
        <f t="shared" si="386"/>
        <v>69744</v>
      </c>
      <c r="AL227" s="1289">
        <f ca="1">SUM((INDIRECT(AL$2&amp;(ROW())):INDIRECT(AL$3&amp;(ROW()))))</f>
        <v>9600</v>
      </c>
      <c r="AM227" s="1232">
        <f ca="1">SUM(INDIRECT(AM$1&amp;AM$2&amp;$C227):INDIRECT(AM$1&amp;AM$3&amp;$C227))</f>
        <v>41500</v>
      </c>
      <c r="AN227" s="3110">
        <f t="shared" ca="1" si="354"/>
        <v>-31900</v>
      </c>
      <c r="AO227" s="2758">
        <f t="shared" ca="1" si="355"/>
        <v>0.23132530120481928</v>
      </c>
      <c r="AP227" s="1232">
        <f ca="1">SUM(INDIRECT(AP$1&amp;AP$2&amp;$A227):INDIRECT(AP$1&amp;AP$3&amp;$A227))+SUM(INDIRECT(AP$1&amp;AP$2&amp;$B227):INDIRECT(AP$1&amp;AP$3&amp;$B227))</f>
        <v>11493.006932676586</v>
      </c>
      <c r="AQ227" s="3110">
        <f t="shared" ca="1" si="356"/>
        <v>-1893.0069326765861</v>
      </c>
      <c r="AR227" s="2758">
        <f t="shared" ca="1" si="357"/>
        <v>0.83529054286964333</v>
      </c>
      <c r="AT227" s="1289">
        <f ca="1">SUM((INDIRECT(AT$2&amp;(ROW())):INDIRECT(AT$3&amp;(ROW()))))</f>
        <v>19352</v>
      </c>
      <c r="AU227" s="1232">
        <f ca="1">SUM(INDIRECT(AU$1&amp;AU$2&amp;$C227):INDIRECT(AU$1&amp;AU$3&amp;$C227))</f>
        <v>70400</v>
      </c>
      <c r="AV227" s="3110">
        <f t="shared" ca="1" si="358"/>
        <v>-51048</v>
      </c>
      <c r="AW227" s="2758">
        <f t="shared" ca="1" si="359"/>
        <v>0.27488636363636365</v>
      </c>
      <c r="AX227" s="1232">
        <f ca="1">SUM(INDIRECT(AX$1&amp;AX$2&amp;$A227):INDIRECT(AX$1&amp;AX$3&amp;$A227))+SUM(INDIRECT(AX$1&amp;AX$2&amp;$B227):INDIRECT(AX$1&amp;AX$3&amp;$B227))</f>
        <v>32981.697528736171</v>
      </c>
      <c r="AY227" s="3110">
        <f t="shared" ca="1" si="360"/>
        <v>-13629.697528736171</v>
      </c>
      <c r="AZ227" s="2758">
        <f t="shared" ca="1" si="361"/>
        <v>0.58674966572412046</v>
      </c>
      <c r="BB227" s="1289">
        <f ca="1">SUM((INDIRECT(BB$2&amp;(ROW())):INDIRECT(BB$3&amp;(ROW()))))</f>
        <v>69744</v>
      </c>
      <c r="BC227" s="1232">
        <f ca="1">SUM(INDIRECT(BC$1&amp;BC$2&amp;$C227):INDIRECT(BC$1&amp;BC$3&amp;$C227))</f>
        <v>155300</v>
      </c>
      <c r="BD227" s="3110">
        <f t="shared" ca="1" si="362"/>
        <v>-85556</v>
      </c>
      <c r="BE227" s="2758">
        <f t="shared" ca="1" si="363"/>
        <v>0.4490920798454604</v>
      </c>
      <c r="BF227" s="1232">
        <f ca="1">SUM(INDIRECT(BF$1&amp;BF$2&amp;$A227):INDIRECT(BF$1&amp;BF$3&amp;$A227))+SUM(INDIRECT(BF$1&amp;BF$2&amp;$B227):INDIRECT(BF$1&amp;BF$3&amp;$B227))</f>
        <v>113197.84449606441</v>
      </c>
      <c r="BG227" s="3110">
        <f t="shared" ca="1" si="364"/>
        <v>-43453.844496064412</v>
      </c>
      <c r="BH227" s="2758">
        <f t="shared" ca="1" si="365"/>
        <v>0.61612480617883858</v>
      </c>
    </row>
    <row r="228" spans="1:60" s="69" customFormat="1" ht="14.5">
      <c r="A228" s="616">
        <f t="shared" si="377"/>
        <v>201</v>
      </c>
      <c r="B228" s="616">
        <v>1</v>
      </c>
      <c r="C228" s="616">
        <f t="shared" si="352"/>
        <v>225</v>
      </c>
      <c r="D228" s="709" t="s">
        <v>1308</v>
      </c>
      <c r="E228" s="2547">
        <v>1</v>
      </c>
      <c r="F228" s="4"/>
      <c r="G228" s="4"/>
      <c r="H228" s="4"/>
      <c r="I228" s="27"/>
      <c r="J228" s="3"/>
      <c r="K228" s="4"/>
      <c r="L228" s="4"/>
      <c r="M228" s="4"/>
      <c r="N228" s="3" t="s">
        <v>1403</v>
      </c>
      <c r="O228" s="3"/>
      <c r="P228" s="3"/>
      <c r="Q228" s="1790" t="str">
        <f>CHOOSE(2, "6722000003147", "PL (3) BT Cons. Sales HW &amp; Solution EFI/LF")</f>
        <v>PL (3) BT Cons. Sales HW &amp; Solution EFI/LF</v>
      </c>
      <c r="R228" s="1215">
        <v>0</v>
      </c>
      <c r="S228" s="1222">
        <v>0</v>
      </c>
      <c r="T228" s="1222">
        <v>0</v>
      </c>
      <c r="U228" s="1222">
        <v>0</v>
      </c>
      <c r="V228" s="1222">
        <v>0</v>
      </c>
      <c r="W228" s="1222">
        <v>0</v>
      </c>
      <c r="X228" s="1222">
        <v>0</v>
      </c>
      <c r="Y228" s="1222">
        <v>0</v>
      </c>
      <c r="Z228" s="1222">
        <v>0</v>
      </c>
      <c r="AA228" s="1222">
        <v>0</v>
      </c>
      <c r="AB228" s="1222">
        <v>0</v>
      </c>
      <c r="AC228" s="1222">
        <v>0</v>
      </c>
      <c r="AD228" s="1232">
        <f t="shared" si="380"/>
        <v>0</v>
      </c>
      <c r="AE228" s="1232">
        <f t="shared" si="381"/>
        <v>0</v>
      </c>
      <c r="AF228" s="1232">
        <f t="shared" si="382"/>
        <v>0</v>
      </c>
      <c r="AG228" s="1232">
        <f t="shared" si="383"/>
        <v>0</v>
      </c>
      <c r="AH228" s="1232">
        <f t="shared" si="384"/>
        <v>0</v>
      </c>
      <c r="AI228" s="1232">
        <f t="shared" si="385"/>
        <v>0</v>
      </c>
      <c r="AJ228" s="1232">
        <f t="shared" si="386"/>
        <v>0</v>
      </c>
      <c r="AL228" s="1289">
        <f ca="1">SUM((INDIRECT(AL$2&amp;(ROW())):INDIRECT(AL$3&amp;(ROW()))))</f>
        <v>0</v>
      </c>
      <c r="AM228" s="1232">
        <f ca="1">SUM(INDIRECT(AM$1&amp;AM$2&amp;$C228):INDIRECT(AM$1&amp;AM$3&amp;$C228))</f>
        <v>0</v>
      </c>
      <c r="AN228" s="3110">
        <f t="shared" ca="1" si="354"/>
        <v>0</v>
      </c>
      <c r="AO228" s="2758">
        <f t="shared" ca="1" si="355"/>
        <v>0</v>
      </c>
      <c r="AP228" s="1232">
        <f ca="1">SUM(INDIRECT(AP$1&amp;AP$2&amp;$A228):INDIRECT(AP$1&amp;AP$3&amp;$A228))+SUM(INDIRECT(AP$1&amp;AP$2&amp;$B228):INDIRECT(AP$1&amp;AP$3&amp;$B228))</f>
        <v>35348.81431055435</v>
      </c>
      <c r="AQ228" s="3110">
        <f t="shared" ca="1" si="356"/>
        <v>-35348.81431055435</v>
      </c>
      <c r="AR228" s="2758">
        <f t="shared" ca="1" si="357"/>
        <v>0</v>
      </c>
      <c r="AT228" s="1289">
        <f ca="1">SUM((INDIRECT(AT$2&amp;(ROW())):INDIRECT(AT$3&amp;(ROW()))))</f>
        <v>0</v>
      </c>
      <c r="AU228" s="1232">
        <f ca="1">SUM(INDIRECT(AU$1&amp;AU$2&amp;$C228):INDIRECT(AU$1&amp;AU$3&amp;$C228))</f>
        <v>0</v>
      </c>
      <c r="AV228" s="3110">
        <f t="shared" ca="1" si="358"/>
        <v>0</v>
      </c>
      <c r="AW228" s="2758">
        <f t="shared" ca="1" si="359"/>
        <v>0</v>
      </c>
      <c r="AX228" s="1232">
        <f ca="1">SUM(INDIRECT(AX$1&amp;AX$2&amp;$A228):INDIRECT(AX$1&amp;AX$3&amp;$A228))+SUM(INDIRECT(AX$1&amp;AX$2&amp;$B228):INDIRECT(AX$1&amp;AX$3&amp;$B228))</f>
        <v>196938.25852818391</v>
      </c>
      <c r="AY228" s="3110">
        <f t="shared" ca="1" si="360"/>
        <v>-196938.25852818391</v>
      </c>
      <c r="AZ228" s="2758">
        <f t="shared" ca="1" si="361"/>
        <v>0</v>
      </c>
      <c r="BB228" s="1289">
        <f ca="1">SUM((INDIRECT(BB$2&amp;(ROW())):INDIRECT(BB$3&amp;(ROW()))))</f>
        <v>0</v>
      </c>
      <c r="BC228" s="1232">
        <f ca="1">SUM(INDIRECT(BC$1&amp;BC$2&amp;$C228):INDIRECT(BC$1&amp;BC$3&amp;$C228))</f>
        <v>75200</v>
      </c>
      <c r="BD228" s="3110">
        <f t="shared" ca="1" si="362"/>
        <v>-75200</v>
      </c>
      <c r="BE228" s="2758">
        <f t="shared" ca="1" si="363"/>
        <v>0</v>
      </c>
      <c r="BF228" s="1232">
        <f ca="1">SUM(INDIRECT(BF$1&amp;BF$2&amp;$A228):INDIRECT(BF$1&amp;BF$3&amp;$A228))+SUM(INDIRECT(BF$1&amp;BF$2&amp;$B228):INDIRECT(BF$1&amp;BF$3&amp;$B228))</f>
        <v>771292.03170328925</v>
      </c>
      <c r="BG228" s="3110">
        <f t="shared" ca="1" si="364"/>
        <v>-771292.03170328925</v>
      </c>
      <c r="BH228" s="2758">
        <f t="shared" ca="1" si="365"/>
        <v>0</v>
      </c>
    </row>
    <row r="229" spans="1:60" s="69" customFormat="1" ht="14.5">
      <c r="A229" s="616">
        <f t="shared" si="377"/>
        <v>202</v>
      </c>
      <c r="B229" s="616">
        <v>1</v>
      </c>
      <c r="C229" s="616">
        <f t="shared" si="352"/>
        <v>226</v>
      </c>
      <c r="D229" s="709" t="s">
        <v>1308</v>
      </c>
      <c r="E229" s="2547">
        <v>1</v>
      </c>
      <c r="F229" s="4"/>
      <c r="G229" s="4"/>
      <c r="H229" s="4"/>
      <c r="I229" s="27"/>
      <c r="J229" s="3"/>
      <c r="K229" s="4"/>
      <c r="L229" s="4"/>
      <c r="M229" s="4"/>
      <c r="N229" s="3" t="s">
        <v>1404</v>
      </c>
      <c r="O229" s="3"/>
      <c r="P229" s="3"/>
      <c r="Q229" s="1790" t="str">
        <f>CHOOSE(2, "6722000003148", "PL (3) BT Cons. Sales HW &amp; Solution Textile Printer")</f>
        <v>PL (3) BT Cons. Sales HW &amp; Solution Textile Printer</v>
      </c>
      <c r="R229" s="1215">
        <v>0</v>
      </c>
      <c r="S229" s="1222">
        <v>0</v>
      </c>
      <c r="T229" s="1222">
        <v>0</v>
      </c>
      <c r="U229" s="1222">
        <v>0</v>
      </c>
      <c r="V229" s="1222">
        <v>0</v>
      </c>
      <c r="W229" s="1222">
        <v>0</v>
      </c>
      <c r="X229" s="1222">
        <v>0</v>
      </c>
      <c r="Y229" s="1222">
        <v>0</v>
      </c>
      <c r="Z229" s="1222">
        <v>0</v>
      </c>
      <c r="AA229" s="1222">
        <v>0</v>
      </c>
      <c r="AB229" s="1222">
        <v>0</v>
      </c>
      <c r="AC229" s="1222">
        <v>0</v>
      </c>
      <c r="AD229" s="1232">
        <f t="shared" si="380"/>
        <v>0</v>
      </c>
      <c r="AE229" s="1232">
        <f t="shared" si="381"/>
        <v>0</v>
      </c>
      <c r="AF229" s="1232">
        <f t="shared" si="382"/>
        <v>0</v>
      </c>
      <c r="AG229" s="1232">
        <f t="shared" si="383"/>
        <v>0</v>
      </c>
      <c r="AH229" s="1232">
        <f t="shared" si="384"/>
        <v>0</v>
      </c>
      <c r="AI229" s="1232">
        <f t="shared" si="385"/>
        <v>0</v>
      </c>
      <c r="AJ229" s="1232">
        <f t="shared" si="386"/>
        <v>0</v>
      </c>
      <c r="AL229" s="1289">
        <f ca="1">SUM((INDIRECT(AL$2&amp;(ROW())):INDIRECT(AL$3&amp;(ROW()))))</f>
        <v>0</v>
      </c>
      <c r="AM229" s="1232">
        <f ca="1">SUM(INDIRECT(AM$1&amp;AM$2&amp;$C229):INDIRECT(AM$1&amp;AM$3&amp;$C229))</f>
        <v>25000</v>
      </c>
      <c r="AN229" s="3110">
        <f t="shared" ca="1" si="354"/>
        <v>-25000</v>
      </c>
      <c r="AO229" s="2758">
        <f t="shared" ca="1" si="355"/>
        <v>0</v>
      </c>
      <c r="AP229" s="1232">
        <f ca="1">SUM(INDIRECT(AP$1&amp;AP$2&amp;$A229):INDIRECT(AP$1&amp;AP$3&amp;$A229))+SUM(INDIRECT(AP$1&amp;AP$2&amp;$B229):INDIRECT(AP$1&amp;AP$3&amp;$B229))</f>
        <v>0.34572577882005867</v>
      </c>
      <c r="AQ229" s="3110">
        <f t="shared" ca="1" si="356"/>
        <v>-0.34572577882005867</v>
      </c>
      <c r="AR229" s="2758">
        <f t="shared" ca="1" si="357"/>
        <v>0</v>
      </c>
      <c r="AT229" s="1289">
        <f ca="1">SUM((INDIRECT(AT$2&amp;(ROW())):INDIRECT(AT$3&amp;(ROW()))))</f>
        <v>0</v>
      </c>
      <c r="AU229" s="1232">
        <f ca="1">SUM(INDIRECT(AU$1&amp;AU$2&amp;$C229):INDIRECT(AU$1&amp;AU$3&amp;$C229))</f>
        <v>34500</v>
      </c>
      <c r="AV229" s="3110">
        <f t="shared" ca="1" si="358"/>
        <v>-34500</v>
      </c>
      <c r="AW229" s="2758">
        <f t="shared" ca="1" si="359"/>
        <v>0</v>
      </c>
      <c r="AX229" s="1232">
        <f ca="1">SUM(INDIRECT(AX$1&amp;AX$2&amp;$A229):INDIRECT(AX$1&amp;AX$3&amp;$A229))+SUM(INDIRECT(AX$1&amp;AX$2&amp;$B229):INDIRECT(AX$1&amp;AX$3&amp;$B229))</f>
        <v>1.6617171113186666</v>
      </c>
      <c r="AY229" s="3110">
        <f t="shared" ca="1" si="360"/>
        <v>-1.6617171113186666</v>
      </c>
      <c r="AZ229" s="2758">
        <f t="shared" ca="1" si="361"/>
        <v>0</v>
      </c>
      <c r="BB229" s="1289">
        <f ca="1">SUM((INDIRECT(BB$2&amp;(ROW())):INDIRECT(BB$3&amp;(ROW()))))</f>
        <v>0</v>
      </c>
      <c r="BC229" s="1232">
        <f ca="1">SUM(INDIRECT(BC$1&amp;BC$2&amp;$C229):INDIRECT(BC$1&amp;BC$3&amp;$C229))</f>
        <v>34500</v>
      </c>
      <c r="BD229" s="3110">
        <f t="shared" ca="1" si="362"/>
        <v>-34500</v>
      </c>
      <c r="BE229" s="2758">
        <f t="shared" ca="1" si="363"/>
        <v>0</v>
      </c>
      <c r="BF229" s="1232">
        <f ca="1">SUM(INDIRECT(BF$1&amp;BF$2&amp;$A229):INDIRECT(BF$1&amp;BF$3&amp;$A229))+SUM(INDIRECT(BF$1&amp;BF$2&amp;$B229):INDIRECT(BF$1&amp;BF$3&amp;$B229))</f>
        <v>6.8706910707143853</v>
      </c>
      <c r="BG229" s="3110">
        <f t="shared" ca="1" si="364"/>
        <v>-6.8706910707143853</v>
      </c>
      <c r="BH229" s="2758">
        <f t="shared" ca="1" si="365"/>
        <v>0</v>
      </c>
    </row>
    <row r="230" spans="1:60" s="69" customFormat="1" ht="14.5">
      <c r="A230" s="616">
        <f t="shared" si="377"/>
        <v>203</v>
      </c>
      <c r="B230" s="616">
        <v>1</v>
      </c>
      <c r="C230" s="616">
        <f t="shared" si="352"/>
        <v>227</v>
      </c>
      <c r="D230" s="709" t="s">
        <v>1308</v>
      </c>
      <c r="E230" s="2547">
        <v>1</v>
      </c>
      <c r="F230" s="4"/>
      <c r="G230" s="4"/>
      <c r="H230" s="4"/>
      <c r="I230" s="27"/>
      <c r="J230" s="3"/>
      <c r="K230" s="4"/>
      <c r="L230" s="4"/>
      <c r="M230" s="47"/>
      <c r="N230" s="47" t="s">
        <v>1386</v>
      </c>
      <c r="O230" s="47"/>
      <c r="P230" s="47"/>
      <c r="Q230" s="1790" t="str">
        <f>CHOOSE(2, "6722000003149", "PL (3) BT Cons. Sales HW &amp; Solution Others")</f>
        <v>PL (3) BT Cons. Sales HW &amp; Solution Others</v>
      </c>
      <c r="R230" s="1387">
        <v>0</v>
      </c>
      <c r="S230" s="1231">
        <v>0</v>
      </c>
      <c r="T230" s="1231">
        <v>0</v>
      </c>
      <c r="U230" s="1231">
        <v>0</v>
      </c>
      <c r="V230" s="1231">
        <v>0</v>
      </c>
      <c r="W230" s="1231">
        <v>0</v>
      </c>
      <c r="X230" s="1231">
        <v>0</v>
      </c>
      <c r="Y230" s="1231">
        <v>0</v>
      </c>
      <c r="Z230" s="1231">
        <v>0</v>
      </c>
      <c r="AA230" s="1231">
        <v>0</v>
      </c>
      <c r="AB230" s="1231">
        <v>0</v>
      </c>
      <c r="AC230" s="1231">
        <v>0</v>
      </c>
      <c r="AD230" s="1240">
        <f t="shared" si="380"/>
        <v>0</v>
      </c>
      <c r="AE230" s="1240">
        <f t="shared" si="381"/>
        <v>0</v>
      </c>
      <c r="AF230" s="1240">
        <f t="shared" si="382"/>
        <v>0</v>
      </c>
      <c r="AG230" s="1240">
        <f t="shared" si="383"/>
        <v>0</v>
      </c>
      <c r="AH230" s="1240">
        <f t="shared" si="384"/>
        <v>0</v>
      </c>
      <c r="AI230" s="1240">
        <f t="shared" si="385"/>
        <v>0</v>
      </c>
      <c r="AJ230" s="1240">
        <f t="shared" si="386"/>
        <v>0</v>
      </c>
      <c r="AL230" s="1255">
        <f ca="1">SUM((INDIRECT(AL$2&amp;(ROW())):INDIRECT(AL$3&amp;(ROW()))))</f>
        <v>0</v>
      </c>
      <c r="AM230" s="1240">
        <f ca="1">SUM(INDIRECT(AM$1&amp;AM$2&amp;$C230):INDIRECT(AM$1&amp;AM$3&amp;$C230))</f>
        <v>16500</v>
      </c>
      <c r="AN230" s="3160">
        <f t="shared" ca="1" si="354"/>
        <v>-16500</v>
      </c>
      <c r="AO230" s="2808">
        <f t="shared" ca="1" si="355"/>
        <v>0</v>
      </c>
      <c r="AP230" s="1240">
        <f ca="1">SUM(INDIRECT(AP$1&amp;AP$2&amp;$A230):INDIRECT(AP$1&amp;AP$3&amp;$A230))+SUM(INDIRECT(AP$1&amp;AP$2&amp;$B230):INDIRECT(AP$1&amp;AP$3&amp;$B230))</f>
        <v>12761.335841510831</v>
      </c>
      <c r="AQ230" s="3160">
        <f t="shared" ca="1" si="356"/>
        <v>-12761.335841510831</v>
      </c>
      <c r="AR230" s="2808">
        <f t="shared" ca="1" si="357"/>
        <v>0</v>
      </c>
      <c r="AT230" s="1255">
        <f ca="1">SUM((INDIRECT(AT$2&amp;(ROW())):INDIRECT(AT$3&amp;(ROW()))))</f>
        <v>0</v>
      </c>
      <c r="AU230" s="1240">
        <f ca="1">SUM(INDIRECT(AU$1&amp;AU$2&amp;$C230):INDIRECT(AU$1&amp;AU$3&amp;$C230))</f>
        <v>35900</v>
      </c>
      <c r="AV230" s="3160">
        <f t="shared" ca="1" si="358"/>
        <v>-35900</v>
      </c>
      <c r="AW230" s="2808">
        <f t="shared" ca="1" si="359"/>
        <v>0</v>
      </c>
      <c r="AX230" s="1240">
        <f ca="1">SUM(INDIRECT(AX$1&amp;AX$2&amp;$A230):INDIRECT(AX$1&amp;AX$3&amp;$A230))+SUM(INDIRECT(AX$1&amp;AX$2&amp;$B230):INDIRECT(AX$1&amp;AX$3&amp;$B230))</f>
        <v>72124.444412047436</v>
      </c>
      <c r="AY230" s="3160">
        <f t="shared" ca="1" si="360"/>
        <v>-72124.444412047436</v>
      </c>
      <c r="AZ230" s="2808">
        <f t="shared" ca="1" si="361"/>
        <v>0</v>
      </c>
      <c r="BB230" s="1255">
        <f ca="1">SUM((INDIRECT(BB$2&amp;(ROW())):INDIRECT(BB$3&amp;(ROW()))))</f>
        <v>0</v>
      </c>
      <c r="BC230" s="1240">
        <f ca="1">SUM(INDIRECT(BC$1&amp;BC$2&amp;$C230):INDIRECT(BC$1&amp;BC$3&amp;$C230))</f>
        <v>45600</v>
      </c>
      <c r="BD230" s="3160">
        <f t="shared" ca="1" si="362"/>
        <v>-45600</v>
      </c>
      <c r="BE230" s="2808">
        <f t="shared" ca="1" si="363"/>
        <v>0</v>
      </c>
      <c r="BF230" s="1240">
        <f ca="1">SUM(INDIRECT(BF$1&amp;BF$2&amp;$A230):INDIRECT(BF$1&amp;BF$3&amp;$A230))+SUM(INDIRECT(BF$1&amp;BF$2&amp;$B230):INDIRECT(BF$1&amp;BF$3&amp;$B230))</f>
        <v>285195.48617849289</v>
      </c>
      <c r="BG230" s="3160">
        <f t="shared" ca="1" si="364"/>
        <v>-285195.48617849289</v>
      </c>
      <c r="BH230" s="2808">
        <f t="shared" ca="1" si="365"/>
        <v>0</v>
      </c>
    </row>
    <row r="231" spans="1:60" s="69" customFormat="1" ht="14.5">
      <c r="A231" s="616">
        <f t="shared" si="377"/>
        <v>204</v>
      </c>
      <c r="B231" s="616">
        <v>1</v>
      </c>
      <c r="C231" s="616">
        <f t="shared" si="352"/>
        <v>228</v>
      </c>
      <c r="D231" s="709" t="s">
        <v>1308</v>
      </c>
      <c r="E231" s="2547">
        <v>1</v>
      </c>
      <c r="F231" s="4"/>
      <c r="G231" s="4"/>
      <c r="H231" s="4"/>
      <c r="I231" s="27"/>
      <c r="J231" s="3"/>
      <c r="K231" s="4"/>
      <c r="L231" s="4"/>
      <c r="M231" s="300" t="s">
        <v>1405</v>
      </c>
      <c r="N231" s="300"/>
      <c r="O231" s="300"/>
      <c r="P231" s="300"/>
      <c r="Q231" s="1796" t="str">
        <f>CHOOSE(2, "6722000003150", "PL (3) BT Cons. Sales NH")</f>
        <v>PL (3) BT Cons. Sales NH</v>
      </c>
      <c r="R231" s="1309">
        <f>SUM(R232:R237)</f>
        <v>5702</v>
      </c>
      <c r="S231" s="1251">
        <f t="shared" ref="S231:AC231" si="387">SUM(S232:S237)</f>
        <v>5743</v>
      </c>
      <c r="T231" s="1251">
        <f t="shared" si="387"/>
        <v>6416</v>
      </c>
      <c r="U231" s="1251">
        <f t="shared" si="387"/>
        <v>7206</v>
      </c>
      <c r="V231" s="1251">
        <f t="shared" si="387"/>
        <v>7848.1489999999994</v>
      </c>
      <c r="W231" s="1251">
        <f t="shared" si="387"/>
        <v>8306</v>
      </c>
      <c r="X231" s="1251">
        <f t="shared" si="387"/>
        <v>6984</v>
      </c>
      <c r="Y231" s="1251">
        <f t="shared" si="387"/>
        <v>7123</v>
      </c>
      <c r="Z231" s="1251">
        <f t="shared" si="387"/>
        <v>7585</v>
      </c>
      <c r="AA231" s="1251">
        <f t="shared" si="387"/>
        <v>7298</v>
      </c>
      <c r="AB231" s="1251">
        <f t="shared" si="387"/>
        <v>8583.2560000000012</v>
      </c>
      <c r="AC231" s="1251">
        <f t="shared" si="387"/>
        <v>8662</v>
      </c>
      <c r="AD231" s="1251">
        <f t="shared" si="380"/>
        <v>17861</v>
      </c>
      <c r="AE231" s="1251">
        <f t="shared" si="381"/>
        <v>23360.148999999998</v>
      </c>
      <c r="AF231" s="1251">
        <f t="shared" si="382"/>
        <v>21692</v>
      </c>
      <c r="AG231" s="1251">
        <f t="shared" si="383"/>
        <v>24543.256000000001</v>
      </c>
      <c r="AH231" s="1251">
        <f t="shared" si="384"/>
        <v>41221.148999999998</v>
      </c>
      <c r="AI231" s="1251">
        <f t="shared" si="385"/>
        <v>46235.256000000001</v>
      </c>
      <c r="AJ231" s="1251">
        <f t="shared" si="386"/>
        <v>87456.404999999999</v>
      </c>
      <c r="AL231" s="1309">
        <f ca="1">SUM((INDIRECT(AL$2&amp;(ROW())):INDIRECT(AL$3&amp;(ROW()))))</f>
        <v>8662</v>
      </c>
      <c r="AM231" s="1251">
        <f ca="1">SUM(INDIRECT(AM$1&amp;AM$2&amp;$C231):INDIRECT(AM$1&amp;AM$3&amp;$C231))</f>
        <v>0</v>
      </c>
      <c r="AN231" s="3161">
        <f t="shared" ca="1" si="354"/>
        <v>8662</v>
      </c>
      <c r="AO231" s="2810">
        <f t="shared" ca="1" si="355"/>
        <v>0</v>
      </c>
      <c r="AP231" s="1251">
        <f ca="1">SUM(INDIRECT(AP$1&amp;AP$2&amp;$A231):INDIRECT(AP$1&amp;AP$3&amp;$A231))+SUM(INDIRECT(AP$1&amp;AP$2&amp;$B231):INDIRECT(AP$1&amp;AP$3&amp;$B231))</f>
        <v>15481.994575162469</v>
      </c>
      <c r="AQ231" s="3161">
        <f t="shared" ca="1" si="356"/>
        <v>-6819.9945751624691</v>
      </c>
      <c r="AR231" s="2810">
        <f t="shared" ca="1" si="357"/>
        <v>0.559488634229101</v>
      </c>
      <c r="AT231" s="1309">
        <f ca="1">SUM((INDIRECT(AT$2&amp;(ROW())):INDIRECT(AT$3&amp;(ROW()))))</f>
        <v>24543.256000000001</v>
      </c>
      <c r="AU231" s="1251">
        <f ca="1">SUM(INDIRECT(AU$1&amp;AU$2&amp;$C231):INDIRECT(AU$1&amp;AU$3&amp;$C231))</f>
        <v>0</v>
      </c>
      <c r="AV231" s="3161">
        <f t="shared" ca="1" si="358"/>
        <v>24543.256000000001</v>
      </c>
      <c r="AW231" s="2810">
        <f t="shared" ca="1" si="359"/>
        <v>0</v>
      </c>
      <c r="AX231" s="1251">
        <f ca="1">SUM(INDIRECT(AX$1&amp;AX$2&amp;$A231):INDIRECT(AX$1&amp;AX$3&amp;$A231))+SUM(INDIRECT(AX$1&amp;AX$2&amp;$B231):INDIRECT(AX$1&amp;AX$3&amp;$B231))</f>
        <v>57659.143595519454</v>
      </c>
      <c r="AY231" s="3161">
        <f t="shared" ca="1" si="360"/>
        <v>-33115.887595519453</v>
      </c>
      <c r="AZ231" s="2810">
        <f t="shared" ca="1" si="361"/>
        <v>0.42566112622434432</v>
      </c>
      <c r="BB231" s="1309">
        <f ca="1">SUM((INDIRECT(BB$2&amp;(ROW())):INDIRECT(BB$3&amp;(ROW()))))</f>
        <v>87456.404999999999</v>
      </c>
      <c r="BC231" s="1251">
        <f ca="1">SUM(INDIRECT(BC$1&amp;BC$2&amp;$C231):INDIRECT(BC$1&amp;BC$3&amp;$C231))</f>
        <v>0</v>
      </c>
      <c r="BD231" s="3161">
        <f t="shared" ca="1" si="362"/>
        <v>87456.404999999999</v>
      </c>
      <c r="BE231" s="2810">
        <f t="shared" ca="1" si="363"/>
        <v>0</v>
      </c>
      <c r="BF231" s="1251">
        <f ca="1">SUM(INDIRECT(BF$1&amp;BF$2&amp;$A231):INDIRECT(BF$1&amp;BF$3&amp;$A231))+SUM(INDIRECT(BF$1&amp;BF$2&amp;$B231):INDIRECT(BF$1&amp;BF$3&amp;$B231))</f>
        <v>217279.16743902615</v>
      </c>
      <c r="BG231" s="3161">
        <f t="shared" ca="1" si="364"/>
        <v>-129822.76243902615</v>
      </c>
      <c r="BH231" s="2810">
        <f t="shared" ca="1" si="365"/>
        <v>0.4025070881429183</v>
      </c>
    </row>
    <row r="232" spans="1:60" s="69" customFormat="1" ht="14.5">
      <c r="A232" s="616">
        <f t="shared" si="377"/>
        <v>205</v>
      </c>
      <c r="B232" s="616">
        <v>1</v>
      </c>
      <c r="C232" s="616">
        <f t="shared" si="352"/>
        <v>229</v>
      </c>
      <c r="D232" s="709" t="s">
        <v>1308</v>
      </c>
      <c r="E232" s="2547">
        <v>1</v>
      </c>
      <c r="F232" s="4"/>
      <c r="G232" s="4"/>
      <c r="H232" s="4"/>
      <c r="I232" s="27"/>
      <c r="J232" s="3"/>
      <c r="K232" s="4"/>
      <c r="L232" s="4"/>
      <c r="M232" s="4"/>
      <c r="N232" s="3" t="s">
        <v>587</v>
      </c>
      <c r="O232" s="3"/>
      <c r="P232" s="3"/>
      <c r="Q232" s="1790" t="str">
        <f>CHOOSE(2, "6722000003151", "PL (3) BT Cons. Sales NH KM-1/KM-1e")</f>
        <v>PL (3) BT Cons. Sales NH KM-1/KM-1e</v>
      </c>
      <c r="R232" s="1215">
        <v>938</v>
      </c>
      <c r="S232" s="1222">
        <v>271</v>
      </c>
      <c r="T232" s="1222">
        <v>1097</v>
      </c>
      <c r="U232" s="1222">
        <v>879</v>
      </c>
      <c r="V232" s="1222">
        <v>259.19</v>
      </c>
      <c r="W232" s="1222">
        <v>401</v>
      </c>
      <c r="X232" s="1222">
        <v>1327</v>
      </c>
      <c r="Y232" s="1222">
        <v>805</v>
      </c>
      <c r="Z232" s="1222">
        <v>407</v>
      </c>
      <c r="AA232" s="1222">
        <v>-1065</v>
      </c>
      <c r="AB232" s="1222">
        <v>1953.2560000000001</v>
      </c>
      <c r="AC232" s="1222">
        <v>-546</v>
      </c>
      <c r="AD232" s="1232">
        <f t="shared" si="380"/>
        <v>2306</v>
      </c>
      <c r="AE232" s="1232">
        <f t="shared" si="381"/>
        <v>1539.19</v>
      </c>
      <c r="AF232" s="1232">
        <f t="shared" si="382"/>
        <v>2539</v>
      </c>
      <c r="AG232" s="1232">
        <f t="shared" si="383"/>
        <v>342.25600000000009</v>
      </c>
      <c r="AH232" s="1232">
        <f t="shared" si="384"/>
        <v>3845.19</v>
      </c>
      <c r="AI232" s="1232">
        <f t="shared" si="385"/>
        <v>2881.2560000000003</v>
      </c>
      <c r="AJ232" s="1232">
        <f t="shared" si="386"/>
        <v>6726.4459999999999</v>
      </c>
      <c r="AL232" s="1289">
        <f ca="1">SUM((INDIRECT(AL$2&amp;(ROW())):INDIRECT(AL$3&amp;(ROW()))))</f>
        <v>-546</v>
      </c>
      <c r="AM232" s="1232">
        <f ca="1">SUM(INDIRECT(AM$1&amp;AM$2&amp;$C232):INDIRECT(AM$1&amp;AM$3&amp;$C232))</f>
        <v>0</v>
      </c>
      <c r="AN232" s="3110">
        <f t="shared" ca="1" si="354"/>
        <v>-546</v>
      </c>
      <c r="AO232" s="2758">
        <f t="shared" ca="1" si="355"/>
        <v>0</v>
      </c>
      <c r="AP232" s="1232">
        <f ca="1">SUM(INDIRECT(AP$1&amp;AP$2&amp;$A232):INDIRECT(AP$1&amp;AP$3&amp;$A232))+SUM(INDIRECT(AP$1&amp;AP$2&amp;$B232):INDIRECT(AP$1&amp;AP$3&amp;$B232))</f>
        <v>7105.4838938810517</v>
      </c>
      <c r="AQ232" s="3110">
        <f t="shared" ca="1" si="356"/>
        <v>-7651.4838938810517</v>
      </c>
      <c r="AR232" s="2758">
        <f t="shared" ca="1" si="357"/>
        <v>-7.6842057227121799E-2</v>
      </c>
      <c r="AT232" s="1289">
        <f ca="1">SUM((INDIRECT(AT$2&amp;(ROW())):INDIRECT(AT$3&amp;(ROW()))))</f>
        <v>342.25600000000009</v>
      </c>
      <c r="AU232" s="1232">
        <f ca="1">SUM(INDIRECT(AU$1&amp;AU$2&amp;$C232):INDIRECT(AU$1&amp;AU$3&amp;$C232))</f>
        <v>0</v>
      </c>
      <c r="AV232" s="3110">
        <f t="shared" ca="1" si="358"/>
        <v>342.25600000000009</v>
      </c>
      <c r="AW232" s="2758">
        <f t="shared" ca="1" si="359"/>
        <v>0</v>
      </c>
      <c r="AX232" s="1232">
        <f ca="1">SUM(INDIRECT(AX$1&amp;AX$2&amp;$A232):INDIRECT(AX$1&amp;AX$3&amp;$A232))+SUM(INDIRECT(AX$1&amp;AX$2&amp;$B232):INDIRECT(AX$1&amp;AX$3&amp;$B232))</f>
        <v>67154.670520617015</v>
      </c>
      <c r="AY232" s="3110">
        <f t="shared" ca="1" si="360"/>
        <v>-66812.414520617021</v>
      </c>
      <c r="AZ232" s="2758">
        <f t="shared" ca="1" si="361"/>
        <v>5.0965330832041652E-3</v>
      </c>
      <c r="BB232" s="1289">
        <f ca="1">SUM((INDIRECT(BB$2&amp;(ROW())):INDIRECT(BB$3&amp;(ROW()))))</f>
        <v>6726.4460000000008</v>
      </c>
      <c r="BC232" s="1232">
        <f ca="1">SUM(INDIRECT(BC$1&amp;BC$2&amp;$C232):INDIRECT(BC$1&amp;BC$3&amp;$C232))</f>
        <v>0</v>
      </c>
      <c r="BD232" s="3110">
        <f t="shared" ca="1" si="362"/>
        <v>6726.4460000000008</v>
      </c>
      <c r="BE232" s="2758">
        <f t="shared" ca="1" si="363"/>
        <v>0</v>
      </c>
      <c r="BF232" s="1232">
        <f ca="1">SUM(INDIRECT(BF$1&amp;BF$2&amp;$A232):INDIRECT(BF$1&amp;BF$3&amp;$A232))+SUM(INDIRECT(BF$1&amp;BF$2&amp;$B232):INDIRECT(BF$1&amp;BF$3&amp;$B232))</f>
        <v>268817.37808577035</v>
      </c>
      <c r="BG232" s="3110">
        <f t="shared" ca="1" si="364"/>
        <v>-262090.93208577036</v>
      </c>
      <c r="BH232" s="2758">
        <f t="shared" ca="1" si="365"/>
        <v>2.5022362943566186E-2</v>
      </c>
    </row>
    <row r="233" spans="1:60" s="69" customFormat="1" ht="14.5">
      <c r="A233" s="616">
        <f t="shared" si="377"/>
        <v>206</v>
      </c>
      <c r="B233" s="616">
        <v>1</v>
      </c>
      <c r="C233" s="616">
        <f t="shared" si="352"/>
        <v>230</v>
      </c>
      <c r="D233" s="709" t="s">
        <v>1308</v>
      </c>
      <c r="E233" s="2547">
        <v>1</v>
      </c>
      <c r="F233" s="4"/>
      <c r="G233" s="4"/>
      <c r="H233" s="4"/>
      <c r="I233" s="27"/>
      <c r="J233" s="3"/>
      <c r="K233" s="4"/>
      <c r="L233" s="4"/>
      <c r="M233" s="4"/>
      <c r="N233" s="3" t="s">
        <v>1401</v>
      </c>
      <c r="O233" s="3"/>
      <c r="P233" s="3"/>
      <c r="Q233" s="1790" t="str">
        <f>CHOOSE(2, "6722000003152", "PL (3) BT Cons. Sales NH Label Printer")</f>
        <v>PL (3) BT Cons. Sales NH Label Printer</v>
      </c>
      <c r="R233" s="1215">
        <v>2340</v>
      </c>
      <c r="S233" s="1222">
        <v>2481</v>
      </c>
      <c r="T233" s="1222">
        <v>2137</v>
      </c>
      <c r="U233" s="1222">
        <v>2083</v>
      </c>
      <c r="V233" s="1222">
        <v>2426.0450000000001</v>
      </c>
      <c r="W233" s="1222">
        <v>1741</v>
      </c>
      <c r="X233" s="1222">
        <v>2546</v>
      </c>
      <c r="Y233" s="1222">
        <v>2350</v>
      </c>
      <c r="Z233" s="1222">
        <v>2756</v>
      </c>
      <c r="AA233" s="1222">
        <v>3950</v>
      </c>
      <c r="AB233" s="1222">
        <v>1537</v>
      </c>
      <c r="AC233" s="1222">
        <v>5110</v>
      </c>
      <c r="AD233" s="1232">
        <f t="shared" si="380"/>
        <v>6958</v>
      </c>
      <c r="AE233" s="1232">
        <f t="shared" si="381"/>
        <v>6250.0450000000001</v>
      </c>
      <c r="AF233" s="1232">
        <f t="shared" si="382"/>
        <v>7652</v>
      </c>
      <c r="AG233" s="1232">
        <f t="shared" si="383"/>
        <v>10597</v>
      </c>
      <c r="AH233" s="1232">
        <f t="shared" si="384"/>
        <v>13208.045</v>
      </c>
      <c r="AI233" s="1232">
        <f t="shared" si="385"/>
        <v>18249</v>
      </c>
      <c r="AJ233" s="1232">
        <f t="shared" si="386"/>
        <v>31457.044999999998</v>
      </c>
      <c r="AL233" s="1289">
        <f ca="1">SUM((INDIRECT(AL$2&amp;(ROW())):INDIRECT(AL$3&amp;(ROW()))))</f>
        <v>5110</v>
      </c>
      <c r="AM233" s="1232">
        <f ca="1">SUM(INDIRECT(AM$1&amp;AM$2&amp;$C233):INDIRECT(AM$1&amp;AM$3&amp;$C233))</f>
        <v>0</v>
      </c>
      <c r="AN233" s="3110">
        <f t="shared" ca="1" si="354"/>
        <v>5110</v>
      </c>
      <c r="AO233" s="2758">
        <f t="shared" ca="1" si="355"/>
        <v>0</v>
      </c>
      <c r="AP233" s="1232">
        <f ca="1">SUM(INDIRECT(AP$1&amp;AP$2&amp;$A233):INDIRECT(AP$1&amp;AP$3&amp;$A233))+SUM(INDIRECT(AP$1&amp;AP$2&amp;$B233):INDIRECT(AP$1&amp;AP$3&amp;$B233))</f>
        <v>0</v>
      </c>
      <c r="AQ233" s="3110">
        <f t="shared" ca="1" si="356"/>
        <v>5110</v>
      </c>
      <c r="AR233" s="2758">
        <f t="shared" ca="1" si="357"/>
        <v>0</v>
      </c>
      <c r="AT233" s="1289">
        <f ca="1">SUM((INDIRECT(AT$2&amp;(ROW())):INDIRECT(AT$3&amp;(ROW()))))</f>
        <v>10597</v>
      </c>
      <c r="AU233" s="1232">
        <f ca="1">SUM(INDIRECT(AU$1&amp;AU$2&amp;$C233):INDIRECT(AU$1&amp;AU$3&amp;$C233))</f>
        <v>0</v>
      </c>
      <c r="AV233" s="3110">
        <f t="shared" ca="1" si="358"/>
        <v>10597</v>
      </c>
      <c r="AW233" s="2758">
        <f t="shared" ca="1" si="359"/>
        <v>0</v>
      </c>
      <c r="AX233" s="1232">
        <f ca="1">SUM(INDIRECT(AX$1&amp;AX$2&amp;$A233):INDIRECT(AX$1&amp;AX$3&amp;$A233))+SUM(INDIRECT(AX$1&amp;AX$2&amp;$B233):INDIRECT(AX$1&amp;AX$3&amp;$B233))</f>
        <v>0</v>
      </c>
      <c r="AY233" s="3110">
        <f t="shared" ca="1" si="360"/>
        <v>10597</v>
      </c>
      <c r="AZ233" s="2758">
        <f t="shared" ca="1" si="361"/>
        <v>0</v>
      </c>
      <c r="BB233" s="1289">
        <f ca="1">SUM((INDIRECT(BB$2&amp;(ROW())):INDIRECT(BB$3&amp;(ROW()))))</f>
        <v>31457.044999999998</v>
      </c>
      <c r="BC233" s="1232">
        <f ca="1">SUM(INDIRECT(BC$1&amp;BC$2&amp;$C233):INDIRECT(BC$1&amp;BC$3&amp;$C233))</f>
        <v>0</v>
      </c>
      <c r="BD233" s="3110">
        <f t="shared" ca="1" si="362"/>
        <v>31457.044999999998</v>
      </c>
      <c r="BE233" s="2758">
        <f t="shared" ca="1" si="363"/>
        <v>0</v>
      </c>
      <c r="BF233" s="1232">
        <f ca="1">SUM(INDIRECT(BF$1&amp;BF$2&amp;$A233):INDIRECT(BF$1&amp;BF$3&amp;$A233))+SUM(INDIRECT(BF$1&amp;BF$2&amp;$B233):INDIRECT(BF$1&amp;BF$3&amp;$B233))</f>
        <v>0</v>
      </c>
      <c r="BG233" s="3110">
        <f t="shared" ca="1" si="364"/>
        <v>31457.044999999998</v>
      </c>
      <c r="BH233" s="2758">
        <f t="shared" ca="1" si="365"/>
        <v>0</v>
      </c>
    </row>
    <row r="234" spans="1:60" s="69" customFormat="1" ht="14.5">
      <c r="A234" s="616">
        <f t="shared" si="377"/>
        <v>207</v>
      </c>
      <c r="B234" s="616">
        <v>1</v>
      </c>
      <c r="C234" s="616">
        <f t="shared" si="352"/>
        <v>231</v>
      </c>
      <c r="D234" s="709" t="s">
        <v>1308</v>
      </c>
      <c r="E234" s="2547">
        <v>1</v>
      </c>
      <c r="F234" s="4"/>
      <c r="G234" s="4"/>
      <c r="H234" s="4"/>
      <c r="I234" s="27"/>
      <c r="J234" s="3"/>
      <c r="K234" s="4"/>
      <c r="L234" s="4"/>
      <c r="M234" s="4"/>
      <c r="N234" s="3" t="s">
        <v>1402</v>
      </c>
      <c r="O234" s="3"/>
      <c r="P234" s="865"/>
      <c r="Q234" s="1790" t="str">
        <f>CHOOSE(2, "6722000003153", "PL (3) BT Cons. Sales NH MGI")</f>
        <v>PL (3) BT Cons. Sales NH MGI</v>
      </c>
      <c r="R234" s="1215">
        <f>2528-104</f>
        <v>2424</v>
      </c>
      <c r="S234" s="1222">
        <v>2991</v>
      </c>
      <c r="T234" s="1222">
        <v>3182</v>
      </c>
      <c r="U234" s="1222">
        <v>4244</v>
      </c>
      <c r="V234" s="1222">
        <v>5162.9139999999998</v>
      </c>
      <c r="W234" s="1222">
        <v>6164</v>
      </c>
      <c r="X234" s="1222">
        <v>3111</v>
      </c>
      <c r="Y234" s="1222">
        <v>3968</v>
      </c>
      <c r="Z234" s="1222">
        <v>4422</v>
      </c>
      <c r="AA234" s="1222">
        <v>4413</v>
      </c>
      <c r="AB234" s="1222">
        <v>5093</v>
      </c>
      <c r="AC234" s="1222">
        <v>4098</v>
      </c>
      <c r="AD234" s="1232">
        <f t="shared" si="380"/>
        <v>8597</v>
      </c>
      <c r="AE234" s="1232">
        <f t="shared" si="381"/>
        <v>15570.914000000001</v>
      </c>
      <c r="AF234" s="1232">
        <f t="shared" si="382"/>
        <v>11501</v>
      </c>
      <c r="AG234" s="1232">
        <f t="shared" si="383"/>
        <v>13604</v>
      </c>
      <c r="AH234" s="1232">
        <f t="shared" si="384"/>
        <v>24167.914000000001</v>
      </c>
      <c r="AI234" s="1232">
        <f t="shared" si="385"/>
        <v>25105</v>
      </c>
      <c r="AJ234" s="1232">
        <f t="shared" si="386"/>
        <v>49272.914000000004</v>
      </c>
      <c r="AL234" s="1289">
        <f ca="1">SUM((INDIRECT(AL$2&amp;(ROW())):INDIRECT(AL$3&amp;(ROW()))))</f>
        <v>4098</v>
      </c>
      <c r="AM234" s="1232">
        <f ca="1">SUM(INDIRECT(AM$1&amp;AM$2&amp;$C234):INDIRECT(AM$1&amp;AM$3&amp;$C234))</f>
        <v>6300</v>
      </c>
      <c r="AN234" s="3110">
        <f t="shared" ca="1" si="354"/>
        <v>-2202</v>
      </c>
      <c r="AO234" s="2758">
        <f t="shared" ca="1" si="355"/>
        <v>0.65047619047619043</v>
      </c>
      <c r="AP234" s="1232">
        <f ca="1">SUM(INDIRECT(AP$1&amp;AP$2&amp;$A234):INDIRECT(AP$1&amp;AP$3&amp;$A234))+SUM(INDIRECT(AP$1&amp;AP$2&amp;$B234):INDIRECT(AP$1&amp;AP$3&amp;$B234))</f>
        <v>0</v>
      </c>
      <c r="AQ234" s="3110">
        <f t="shared" ca="1" si="356"/>
        <v>4098</v>
      </c>
      <c r="AR234" s="2758">
        <f t="shared" ca="1" si="357"/>
        <v>0</v>
      </c>
      <c r="AT234" s="1289">
        <f ca="1">SUM((INDIRECT(AT$2&amp;(ROW())):INDIRECT(AT$3&amp;(ROW()))))</f>
        <v>13604</v>
      </c>
      <c r="AU234" s="1232">
        <f ca="1">SUM(INDIRECT(AU$1&amp;AU$2&amp;$C234):INDIRECT(AU$1&amp;AU$3&amp;$C234))</f>
        <v>19500</v>
      </c>
      <c r="AV234" s="3110">
        <f t="shared" ca="1" si="358"/>
        <v>-5896</v>
      </c>
      <c r="AW234" s="2758">
        <f t="shared" ca="1" si="359"/>
        <v>0.69764102564102559</v>
      </c>
      <c r="AX234" s="1232">
        <f ca="1">SUM(INDIRECT(AX$1&amp;AX$2&amp;$A234):INDIRECT(AX$1&amp;AX$3&amp;$A234))+SUM(INDIRECT(AX$1&amp;AX$2&amp;$B234):INDIRECT(AX$1&amp;AX$3&amp;$B234))</f>
        <v>0</v>
      </c>
      <c r="AY234" s="3110">
        <f t="shared" ca="1" si="360"/>
        <v>13604</v>
      </c>
      <c r="AZ234" s="2758">
        <f t="shared" ca="1" si="361"/>
        <v>0</v>
      </c>
      <c r="BB234" s="1289">
        <f ca="1">SUM((INDIRECT(BB$2&amp;(ROW())):INDIRECT(BB$3&amp;(ROW()))))</f>
        <v>49272.914000000004</v>
      </c>
      <c r="BC234" s="1232">
        <f ca="1">SUM(INDIRECT(BC$1&amp;BC$2&amp;$C234):INDIRECT(BC$1&amp;BC$3&amp;$C234))</f>
        <v>32200</v>
      </c>
      <c r="BD234" s="3110">
        <f t="shared" ca="1" si="362"/>
        <v>17072.914000000004</v>
      </c>
      <c r="BE234" s="2758">
        <f t="shared" ca="1" si="363"/>
        <v>1.5302147204968946</v>
      </c>
      <c r="BF234" s="1232">
        <f ca="1">SUM(INDIRECT(BF$1&amp;BF$2&amp;$A234):INDIRECT(BF$1&amp;BF$3&amp;$A234))+SUM(INDIRECT(BF$1&amp;BF$2&amp;$B234):INDIRECT(BF$1&amp;BF$3&amp;$B234))</f>
        <v>0</v>
      </c>
      <c r="BG234" s="3110">
        <f t="shared" ca="1" si="364"/>
        <v>49272.914000000004</v>
      </c>
      <c r="BH234" s="2758">
        <f t="shared" ca="1" si="365"/>
        <v>0</v>
      </c>
    </row>
    <row r="235" spans="1:60" s="69" customFormat="1" ht="14.5">
      <c r="A235" s="616">
        <f t="shared" si="377"/>
        <v>208</v>
      </c>
      <c r="B235" s="616">
        <v>1</v>
      </c>
      <c r="C235" s="616">
        <f t="shared" si="352"/>
        <v>232</v>
      </c>
      <c r="D235" s="709" t="s">
        <v>1308</v>
      </c>
      <c r="E235" s="2547">
        <v>1</v>
      </c>
      <c r="F235" s="4"/>
      <c r="G235" s="4"/>
      <c r="H235" s="4"/>
      <c r="I235" s="27"/>
      <c r="J235" s="3"/>
      <c r="K235" s="4"/>
      <c r="L235" s="4"/>
      <c r="M235" s="4"/>
      <c r="N235" s="3" t="s">
        <v>1403</v>
      </c>
      <c r="O235" s="3"/>
      <c r="P235" s="3"/>
      <c r="Q235" s="1790" t="str">
        <f>CHOOSE(2, "6722000003154", "PL (3) BT Cons. Sales NH EFI/LF")</f>
        <v>PL (3) BT Cons. Sales NH EFI/LF</v>
      </c>
      <c r="R235" s="1215">
        <v>0</v>
      </c>
      <c r="S235" s="1222">
        <v>0</v>
      </c>
      <c r="T235" s="1222">
        <v>0</v>
      </c>
      <c r="U235" s="1222">
        <v>0</v>
      </c>
      <c r="V235" s="1222">
        <v>0</v>
      </c>
      <c r="W235" s="1222">
        <v>0</v>
      </c>
      <c r="X235" s="1222">
        <v>0</v>
      </c>
      <c r="Y235" s="1222">
        <v>0</v>
      </c>
      <c r="Z235" s="1222">
        <v>0</v>
      </c>
      <c r="AA235" s="1222">
        <v>0</v>
      </c>
      <c r="AB235" s="1222">
        <v>0</v>
      </c>
      <c r="AC235" s="1222">
        <v>0</v>
      </c>
      <c r="AD235" s="1232">
        <f t="shared" si="380"/>
        <v>0</v>
      </c>
      <c r="AE235" s="1232">
        <f t="shared" si="381"/>
        <v>0</v>
      </c>
      <c r="AF235" s="1232">
        <f t="shared" si="382"/>
        <v>0</v>
      </c>
      <c r="AG235" s="1232">
        <f t="shared" si="383"/>
        <v>0</v>
      </c>
      <c r="AH235" s="1232">
        <f t="shared" si="384"/>
        <v>0</v>
      </c>
      <c r="AI235" s="1232">
        <f t="shared" si="385"/>
        <v>0</v>
      </c>
      <c r="AJ235" s="1232">
        <f t="shared" si="386"/>
        <v>0</v>
      </c>
      <c r="AL235" s="1289">
        <f ca="1">SUM((INDIRECT(AL$2&amp;(ROW())):INDIRECT(AL$3&amp;(ROW()))))</f>
        <v>0</v>
      </c>
      <c r="AM235" s="1232">
        <f ca="1">SUM(INDIRECT(AM$1&amp;AM$2&amp;$C235):INDIRECT(AM$1&amp;AM$3&amp;$C235))</f>
        <v>700</v>
      </c>
      <c r="AN235" s="3110">
        <f t="shared" ca="1" si="354"/>
        <v>-700</v>
      </c>
      <c r="AO235" s="2758">
        <f t="shared" ca="1" si="355"/>
        <v>0</v>
      </c>
      <c r="AP235" s="1232">
        <f ca="1">SUM(INDIRECT(AP$1&amp;AP$2&amp;$A235):INDIRECT(AP$1&amp;AP$3&amp;$A235))+SUM(INDIRECT(AP$1&amp;AP$2&amp;$B235):INDIRECT(AP$1&amp;AP$3&amp;$B235))</f>
        <v>8583.2560000000012</v>
      </c>
      <c r="AQ235" s="3110">
        <f t="shared" ca="1" si="356"/>
        <v>-8583.2560000000012</v>
      </c>
      <c r="AR235" s="2758">
        <f t="shared" ca="1" si="357"/>
        <v>0</v>
      </c>
      <c r="AT235" s="1289">
        <f ca="1">SUM((INDIRECT(AT$2&amp;(ROW())):INDIRECT(AT$3&amp;(ROW()))))</f>
        <v>0</v>
      </c>
      <c r="AU235" s="1232">
        <f ca="1">SUM(INDIRECT(AU$1&amp;AU$2&amp;$C235):INDIRECT(AU$1&amp;AU$3&amp;$C235))</f>
        <v>2100</v>
      </c>
      <c r="AV235" s="3110">
        <f t="shared" ca="1" si="358"/>
        <v>-2100</v>
      </c>
      <c r="AW235" s="2758">
        <f t="shared" ca="1" si="359"/>
        <v>0</v>
      </c>
      <c r="AX235" s="1232">
        <f ca="1">SUM(INDIRECT(AX$1&amp;AX$2&amp;$A235):INDIRECT(AX$1&amp;AX$3&amp;$A235))+SUM(INDIRECT(AX$1&amp;AX$2&amp;$B235):INDIRECT(AX$1&amp;AX$3&amp;$B235))</f>
        <v>42318.256000000001</v>
      </c>
      <c r="AY235" s="3110">
        <f t="shared" ca="1" si="360"/>
        <v>-42318.256000000001</v>
      </c>
      <c r="AZ235" s="2758">
        <f t="shared" ca="1" si="361"/>
        <v>0</v>
      </c>
      <c r="BB235" s="1289">
        <f ca="1">SUM((INDIRECT(BB$2&amp;(ROW())):INDIRECT(BB$3&amp;(ROW()))))</f>
        <v>0</v>
      </c>
      <c r="BC235" s="1232">
        <f ca="1">SUM(INDIRECT(BC$1&amp;BC$2&amp;$C235):INDIRECT(BC$1&amp;BC$3&amp;$C235))</f>
        <v>3500</v>
      </c>
      <c r="BD235" s="3110">
        <f t="shared" ca="1" si="362"/>
        <v>-3500</v>
      </c>
      <c r="BE235" s="2758">
        <f t="shared" ca="1" si="363"/>
        <v>0</v>
      </c>
      <c r="BF235" s="1232">
        <f ca="1">SUM(INDIRECT(BF$1&amp;BF$2&amp;$A235):INDIRECT(BF$1&amp;BF$3&amp;$A235))+SUM(INDIRECT(BF$1&amp;BF$2&amp;$B235):INDIRECT(BF$1&amp;BF$3&amp;$B235))</f>
        <v>157642.405</v>
      </c>
      <c r="BG235" s="3110">
        <f t="shared" ca="1" si="364"/>
        <v>-157642.405</v>
      </c>
      <c r="BH235" s="2758">
        <f t="shared" ca="1" si="365"/>
        <v>0</v>
      </c>
    </row>
    <row r="236" spans="1:60" s="69" customFormat="1" ht="14.5">
      <c r="A236" s="616">
        <f t="shared" si="377"/>
        <v>209</v>
      </c>
      <c r="B236" s="616">
        <v>1</v>
      </c>
      <c r="C236" s="616">
        <f t="shared" si="352"/>
        <v>233</v>
      </c>
      <c r="D236" s="709" t="s">
        <v>1308</v>
      </c>
      <c r="E236" s="2547">
        <v>1</v>
      </c>
      <c r="F236" s="4"/>
      <c r="G236" s="4"/>
      <c r="H236" s="4"/>
      <c r="I236" s="27"/>
      <c r="J236" s="3"/>
      <c r="K236" s="4"/>
      <c r="L236" s="4"/>
      <c r="M236" s="4"/>
      <c r="N236" s="3" t="s">
        <v>1404</v>
      </c>
      <c r="O236" s="3"/>
      <c r="P236" s="3"/>
      <c r="Q236" s="1790" t="str">
        <f>CHOOSE(2, "6722000003155", "PL (3) BT Cons. Sales NH Textile Printer")</f>
        <v>PL (3) BT Cons. Sales NH Textile Printer</v>
      </c>
      <c r="R236" s="1215">
        <v>0</v>
      </c>
      <c r="S236" s="1222">
        <v>0</v>
      </c>
      <c r="T236" s="1222">
        <v>0</v>
      </c>
      <c r="U236" s="1222">
        <v>0</v>
      </c>
      <c r="V236" s="1222">
        <v>0</v>
      </c>
      <c r="W236" s="1222">
        <v>0</v>
      </c>
      <c r="X236" s="1222">
        <v>0</v>
      </c>
      <c r="Y236" s="1222">
        <v>0</v>
      </c>
      <c r="Z236" s="1222">
        <v>0</v>
      </c>
      <c r="AA236" s="1222">
        <v>0</v>
      </c>
      <c r="AB236" s="1222">
        <v>0</v>
      </c>
      <c r="AC236" s="1222">
        <v>0</v>
      </c>
      <c r="AD236" s="1232">
        <f t="shared" si="380"/>
        <v>0</v>
      </c>
      <c r="AE236" s="1232">
        <f t="shared" si="381"/>
        <v>0</v>
      </c>
      <c r="AF236" s="1232">
        <f t="shared" si="382"/>
        <v>0</v>
      </c>
      <c r="AG236" s="1232">
        <f t="shared" si="383"/>
        <v>0</v>
      </c>
      <c r="AH236" s="1232">
        <f t="shared" si="384"/>
        <v>0</v>
      </c>
      <c r="AI236" s="1232">
        <f t="shared" si="385"/>
        <v>0</v>
      </c>
      <c r="AJ236" s="1232">
        <f t="shared" si="386"/>
        <v>0</v>
      </c>
      <c r="AL236" s="1289">
        <f ca="1">SUM((INDIRECT(AL$2&amp;(ROW())):INDIRECT(AL$3&amp;(ROW()))))</f>
        <v>0</v>
      </c>
      <c r="AM236" s="1232">
        <f ca="1">SUM(INDIRECT(AM$1&amp;AM$2&amp;$C236):INDIRECT(AM$1&amp;AM$3&amp;$C236))</f>
        <v>2800</v>
      </c>
      <c r="AN236" s="3110">
        <f t="shared" ca="1" si="354"/>
        <v>-2800</v>
      </c>
      <c r="AO236" s="2758">
        <f t="shared" ca="1" si="355"/>
        <v>0</v>
      </c>
      <c r="AP236" s="1232">
        <f ca="1">SUM(INDIRECT(AP$1&amp;AP$2&amp;$A236):INDIRECT(AP$1&amp;AP$3&amp;$A236))+SUM(INDIRECT(AP$1&amp;AP$2&amp;$B236):INDIRECT(AP$1&amp;AP$3&amp;$B236))</f>
        <v>0</v>
      </c>
      <c r="AQ236" s="3110">
        <f t="shared" ca="1" si="356"/>
        <v>0</v>
      </c>
      <c r="AR236" s="2758">
        <f t="shared" ca="1" si="357"/>
        <v>0</v>
      </c>
      <c r="AT236" s="1289">
        <f ca="1">SUM((INDIRECT(AT$2&amp;(ROW())):INDIRECT(AT$3&amp;(ROW()))))</f>
        <v>0</v>
      </c>
      <c r="AU236" s="1232">
        <f ca="1">SUM(INDIRECT(AU$1&amp;AU$2&amp;$C236):INDIRECT(AU$1&amp;AU$3&amp;$C236))</f>
        <v>8600</v>
      </c>
      <c r="AV236" s="3110">
        <f t="shared" ca="1" si="358"/>
        <v>-8600</v>
      </c>
      <c r="AW236" s="2758">
        <f t="shared" ca="1" si="359"/>
        <v>0</v>
      </c>
      <c r="AX236" s="1232">
        <f ca="1">SUM(INDIRECT(AX$1&amp;AX$2&amp;$A236):INDIRECT(AX$1&amp;AX$3&amp;$A236))+SUM(INDIRECT(AX$1&amp;AX$2&amp;$B236):INDIRECT(AX$1&amp;AX$3&amp;$B236))</f>
        <v>18852</v>
      </c>
      <c r="AY236" s="3110">
        <f t="shared" ca="1" si="360"/>
        <v>-18852</v>
      </c>
      <c r="AZ236" s="2758">
        <f t="shared" ca="1" si="361"/>
        <v>0</v>
      </c>
      <c r="BB236" s="1289">
        <f ca="1">SUM((INDIRECT(BB$2&amp;(ROW())):INDIRECT(BB$3&amp;(ROW()))))</f>
        <v>0</v>
      </c>
      <c r="BC236" s="1232">
        <f ca="1">SUM(INDIRECT(BC$1&amp;BC$2&amp;$C236):INDIRECT(BC$1&amp;BC$3&amp;$C236))</f>
        <v>14300</v>
      </c>
      <c r="BD236" s="3110">
        <f t="shared" ca="1" si="362"/>
        <v>-14300</v>
      </c>
      <c r="BE236" s="2758">
        <f t="shared" ca="1" si="363"/>
        <v>0</v>
      </c>
      <c r="BF236" s="1232">
        <f ca="1">SUM(INDIRECT(BF$1&amp;BF$2&amp;$A236):INDIRECT(BF$1&amp;BF$3&amp;$A236))+SUM(INDIRECT(BF$1&amp;BF$2&amp;$B236):INDIRECT(BF$1&amp;BF$3&amp;$B236))</f>
        <v>78744</v>
      </c>
      <c r="BG236" s="3110">
        <f t="shared" ca="1" si="364"/>
        <v>-78744</v>
      </c>
      <c r="BH236" s="2758">
        <f t="shared" ca="1" si="365"/>
        <v>0</v>
      </c>
    </row>
    <row r="237" spans="1:60" s="69" customFormat="1" ht="14.5">
      <c r="A237" s="616">
        <f t="shared" si="377"/>
        <v>210</v>
      </c>
      <c r="B237" s="616">
        <v>1</v>
      </c>
      <c r="C237" s="616">
        <f t="shared" si="352"/>
        <v>234</v>
      </c>
      <c r="D237" s="709" t="s">
        <v>1308</v>
      </c>
      <c r="E237" s="2547">
        <v>1</v>
      </c>
      <c r="F237" s="4"/>
      <c r="G237" s="4"/>
      <c r="H237" s="4"/>
      <c r="I237" s="25"/>
      <c r="J237" s="1"/>
      <c r="K237" s="2"/>
      <c r="L237" s="2"/>
      <c r="M237" s="2"/>
      <c r="N237" s="1" t="s">
        <v>1386</v>
      </c>
      <c r="O237" s="1"/>
      <c r="P237" s="1"/>
      <c r="Q237" s="1790" t="str">
        <f>CHOOSE(2, "6722000003156", "PL (3) BT Cons. Sales NH Others")</f>
        <v>PL (3) BT Cons. Sales NH Others</v>
      </c>
      <c r="R237" s="1387">
        <v>0</v>
      </c>
      <c r="S237" s="1231">
        <v>0</v>
      </c>
      <c r="T237" s="1231">
        <v>0</v>
      </c>
      <c r="U237" s="1231">
        <v>0</v>
      </c>
      <c r="V237" s="1231">
        <v>0</v>
      </c>
      <c r="W237" s="1231">
        <v>0</v>
      </c>
      <c r="X237" s="1231">
        <v>0</v>
      </c>
      <c r="Y237" s="1231">
        <v>0</v>
      </c>
      <c r="Z237" s="1231">
        <v>0</v>
      </c>
      <c r="AA237" s="1231">
        <v>0</v>
      </c>
      <c r="AB237" s="1231">
        <v>0</v>
      </c>
      <c r="AC237" s="1231">
        <v>0</v>
      </c>
      <c r="AD237" s="1241">
        <f t="shared" si="380"/>
        <v>0</v>
      </c>
      <c r="AE237" s="1241">
        <f t="shared" si="381"/>
        <v>0</v>
      </c>
      <c r="AF237" s="1241">
        <f t="shared" si="382"/>
        <v>0</v>
      </c>
      <c r="AG237" s="1241">
        <f t="shared" si="383"/>
        <v>0</v>
      </c>
      <c r="AH237" s="1241">
        <f t="shared" si="384"/>
        <v>0</v>
      </c>
      <c r="AI237" s="1241">
        <f t="shared" si="385"/>
        <v>0</v>
      </c>
      <c r="AJ237" s="1241">
        <f t="shared" si="386"/>
        <v>0</v>
      </c>
      <c r="AL237" s="1290">
        <f ca="1">SUM((INDIRECT(AL$2&amp;(ROW())):INDIRECT(AL$3&amp;(ROW()))))</f>
        <v>0</v>
      </c>
      <c r="AM237" s="1241">
        <f ca="1">SUM(INDIRECT(AM$1&amp;AM$2&amp;$C237):INDIRECT(AM$1&amp;AM$3&amp;$C237))</f>
        <v>2800</v>
      </c>
      <c r="AN237" s="3098">
        <f t="shared" ca="1" si="354"/>
        <v>-2800</v>
      </c>
      <c r="AO237" s="2743">
        <f t="shared" ca="1" si="355"/>
        <v>0</v>
      </c>
      <c r="AP237" s="1241">
        <f ca="1">SUM(INDIRECT(AP$1&amp;AP$2&amp;$A237):INDIRECT(AP$1&amp;AP$3&amp;$A237))+SUM(INDIRECT(AP$1&amp;AP$2&amp;$B237):INDIRECT(AP$1&amp;AP$3&amp;$B237))</f>
        <v>0</v>
      </c>
      <c r="AQ237" s="3098">
        <f t="shared" ca="1" si="356"/>
        <v>0</v>
      </c>
      <c r="AR237" s="2743">
        <f t="shared" ca="1" si="357"/>
        <v>0</v>
      </c>
      <c r="AT237" s="1290">
        <f ca="1">SUM((INDIRECT(AT$2&amp;(ROW())):INDIRECT(AT$3&amp;(ROW()))))</f>
        <v>0</v>
      </c>
      <c r="AU237" s="1241">
        <f ca="1">SUM(INDIRECT(AU$1&amp;AU$2&amp;$C237):INDIRECT(AU$1&amp;AU$3&amp;$C237))</f>
        <v>8800</v>
      </c>
      <c r="AV237" s="3098">
        <f t="shared" ca="1" si="358"/>
        <v>-8800</v>
      </c>
      <c r="AW237" s="2743">
        <f t="shared" ca="1" si="359"/>
        <v>0</v>
      </c>
      <c r="AX237" s="1241">
        <f ca="1">SUM(INDIRECT(AX$1&amp;AX$2&amp;$A237):INDIRECT(AX$1&amp;AX$3&amp;$A237))+SUM(INDIRECT(AX$1&amp;AX$2&amp;$B237):INDIRECT(AX$1&amp;AX$3&amp;$B237))</f>
        <v>0</v>
      </c>
      <c r="AY237" s="3098">
        <f t="shared" ca="1" si="360"/>
        <v>0</v>
      </c>
      <c r="AZ237" s="2743">
        <f t="shared" ca="1" si="361"/>
        <v>0</v>
      </c>
      <c r="BB237" s="1290">
        <f ca="1">SUM((INDIRECT(BB$2&amp;(ROW())):INDIRECT(BB$3&amp;(ROW()))))</f>
        <v>0</v>
      </c>
      <c r="BC237" s="1241">
        <f ca="1">SUM(INDIRECT(BC$1&amp;BC$2&amp;$C237):INDIRECT(BC$1&amp;BC$3&amp;$C237))</f>
        <v>14400</v>
      </c>
      <c r="BD237" s="3098">
        <f t="shared" ca="1" si="362"/>
        <v>-14400</v>
      </c>
      <c r="BE237" s="2743">
        <f t="shared" ca="1" si="363"/>
        <v>0</v>
      </c>
      <c r="BF237" s="1241">
        <f ca="1">SUM(INDIRECT(BF$1&amp;BF$2&amp;$A237):INDIRECT(BF$1&amp;BF$3&amp;$A237))+SUM(INDIRECT(BF$1&amp;BF$2&amp;$B237):INDIRECT(BF$1&amp;BF$3&amp;$B237))</f>
        <v>0</v>
      </c>
      <c r="BG237" s="3098">
        <f t="shared" ca="1" si="364"/>
        <v>0</v>
      </c>
      <c r="BH237" s="2743">
        <f t="shared" ca="1" si="365"/>
        <v>0</v>
      </c>
    </row>
    <row r="238" spans="1:60" ht="14.5">
      <c r="A238" s="616">
        <f t="shared" si="377"/>
        <v>211</v>
      </c>
      <c r="B238" s="616">
        <v>1</v>
      </c>
      <c r="C238" s="616">
        <f t="shared" si="352"/>
        <v>235</v>
      </c>
      <c r="D238" s="709" t="s">
        <v>1308</v>
      </c>
      <c r="E238" s="2547">
        <v>1</v>
      </c>
      <c r="F238" s="4"/>
      <c r="G238" s="4"/>
      <c r="H238" s="4"/>
      <c r="I238" s="3155" t="s">
        <v>54</v>
      </c>
      <c r="J238" s="489"/>
      <c r="K238" s="581"/>
      <c r="L238" s="581"/>
      <c r="M238" s="489"/>
      <c r="N238" s="489"/>
      <c r="O238" s="489"/>
      <c r="P238" s="489"/>
      <c r="Q238" s="1795" t="str">
        <f>CHOOSE(2, "6722000003157", "PL (3) Gross Profit")</f>
        <v>PL (3) Gross Profit</v>
      </c>
      <c r="R238" s="1307">
        <f>R254+R261</f>
        <v>1055</v>
      </c>
      <c r="S238" s="3156">
        <f t="shared" ref="S238:AJ238" si="388">S254+S261</f>
        <v>-2772</v>
      </c>
      <c r="T238" s="3156">
        <f t="shared" si="388"/>
        <v>8754</v>
      </c>
      <c r="U238" s="3156">
        <f t="shared" si="388"/>
        <v>1694</v>
      </c>
      <c r="V238" s="3156">
        <f t="shared" si="388"/>
        <v>3560.1597017955833</v>
      </c>
      <c r="W238" s="3156">
        <f t="shared" si="388"/>
        <v>2264.3970114766835</v>
      </c>
      <c r="X238" s="3156">
        <f t="shared" si="388"/>
        <v>2885</v>
      </c>
      <c r="Y238" s="3156">
        <f t="shared" si="388"/>
        <v>2492</v>
      </c>
      <c r="Z238" s="3156">
        <f t="shared" si="388"/>
        <v>-8828</v>
      </c>
      <c r="AA238" s="3156">
        <f t="shared" si="388"/>
        <v>6520</v>
      </c>
      <c r="AB238" s="3156">
        <f t="shared" si="388"/>
        <v>636.03926000000001</v>
      </c>
      <c r="AC238" s="3156">
        <f t="shared" si="388"/>
        <v>7486</v>
      </c>
      <c r="AD238" s="3156">
        <f t="shared" si="388"/>
        <v>7037</v>
      </c>
      <c r="AE238" s="3156">
        <f t="shared" si="388"/>
        <v>7518.5567132722663</v>
      </c>
      <c r="AF238" s="3156">
        <f t="shared" si="388"/>
        <v>-3451</v>
      </c>
      <c r="AG238" s="3156">
        <f t="shared" si="388"/>
        <v>14642.03926</v>
      </c>
      <c r="AH238" s="3156">
        <f t="shared" si="388"/>
        <v>14555.556713272266</v>
      </c>
      <c r="AI238" s="3156">
        <f t="shared" si="388"/>
        <v>11191.03926</v>
      </c>
      <c r="AJ238" s="3156">
        <f t="shared" si="388"/>
        <v>25746.595973272266</v>
      </c>
      <c r="AL238" s="1307">
        <f ca="1">SUM((INDIRECT(AL$2&amp;(ROW())):INDIRECT(AL$3&amp;(ROW()))))</f>
        <v>7486</v>
      </c>
      <c r="AM238" s="3156">
        <f ca="1">SUM(INDIRECT(AM$1&amp;AM$2&amp;$C238):INDIRECT(AM$1&amp;AM$3&amp;$C238))</f>
        <v>0</v>
      </c>
      <c r="AN238" s="3157">
        <f t="shared" ca="1" si="354"/>
        <v>7486</v>
      </c>
      <c r="AO238" s="3158">
        <f t="shared" ca="1" si="355"/>
        <v>0</v>
      </c>
      <c r="AP238" s="3156">
        <f ca="1">SUM(INDIRECT(AP$1&amp;AP$2&amp;$A238):INDIRECT(AP$1&amp;AP$3&amp;$A238))+SUM(INDIRECT(AP$1&amp;AP$2&amp;$B238):INDIRECT(AP$1&amp;AP$3&amp;$B238))</f>
        <v>0</v>
      </c>
      <c r="AQ238" s="3157">
        <f t="shared" ca="1" si="356"/>
        <v>7486</v>
      </c>
      <c r="AR238" s="3158">
        <f t="shared" ca="1" si="357"/>
        <v>0</v>
      </c>
      <c r="AT238" s="1307">
        <f ca="1">SUM((INDIRECT(AT$2&amp;(ROW())):INDIRECT(AT$3&amp;(ROW()))))</f>
        <v>14642.03926</v>
      </c>
      <c r="AU238" s="3156">
        <f ca="1">SUM(INDIRECT(AU$1&amp;AU$2&amp;$C238):INDIRECT(AU$1&amp;AU$3&amp;$C238))</f>
        <v>0</v>
      </c>
      <c r="AV238" s="3157">
        <f t="shared" ca="1" si="358"/>
        <v>14642.03926</v>
      </c>
      <c r="AW238" s="3158">
        <f t="shared" ca="1" si="359"/>
        <v>0</v>
      </c>
      <c r="AX238" s="3156">
        <f ca="1">SUM(INDIRECT(AX$1&amp;AX$2&amp;$A238):INDIRECT(AX$1&amp;AX$3&amp;$A238))+SUM(INDIRECT(AX$1&amp;AX$2&amp;$B238):INDIRECT(AX$1&amp;AX$3&amp;$B238))</f>
        <v>9100</v>
      </c>
      <c r="AY238" s="3157">
        <f t="shared" ca="1" si="360"/>
        <v>5542.0392599999996</v>
      </c>
      <c r="AZ238" s="3158">
        <f t="shared" ca="1" si="361"/>
        <v>1.6090153032967032</v>
      </c>
      <c r="BB238" s="1307">
        <f ca="1">SUM((INDIRECT(BB$2&amp;(ROW())):INDIRECT(BB$3&amp;(ROW()))))</f>
        <v>25746.595973272266</v>
      </c>
      <c r="BC238" s="3156">
        <f ca="1">SUM(INDIRECT(BC$1&amp;BC$2&amp;$C238):INDIRECT(BC$1&amp;BC$3&amp;$C238))</f>
        <v>0</v>
      </c>
      <c r="BD238" s="3157">
        <f t="shared" ca="1" si="362"/>
        <v>25746.595973272266</v>
      </c>
      <c r="BE238" s="3158">
        <f t="shared" ca="1" si="363"/>
        <v>0</v>
      </c>
      <c r="BF238" s="3156">
        <f ca="1">SUM(INDIRECT(BF$1&amp;BF$2&amp;$A238):INDIRECT(BF$1&amp;BF$3&amp;$A238))+SUM(INDIRECT(BF$1&amp;BF$2&amp;$B238):INDIRECT(BF$1&amp;BF$3&amp;$B238))</f>
        <v>18600</v>
      </c>
      <c r="BG238" s="3157">
        <f t="shared" ca="1" si="364"/>
        <v>7146.5959732722658</v>
      </c>
      <c r="BH238" s="3158">
        <f t="shared" ca="1" si="365"/>
        <v>1.3842255899608744</v>
      </c>
    </row>
    <row r="239" spans="1:60" s="504" customFormat="1" ht="14.5">
      <c r="A239" s="616">
        <f t="shared" si="377"/>
        <v>212</v>
      </c>
      <c r="B239" s="616">
        <v>1</v>
      </c>
      <c r="C239" s="616">
        <f t="shared" si="352"/>
        <v>236</v>
      </c>
      <c r="D239" s="709" t="s">
        <v>1308</v>
      </c>
      <c r="E239" s="2547">
        <v>1</v>
      </c>
      <c r="F239" s="4"/>
      <c r="G239" s="4"/>
      <c r="H239" s="501"/>
      <c r="I239" s="502"/>
      <c r="J239" s="503" t="s">
        <v>1328</v>
      </c>
      <c r="K239" s="501"/>
      <c r="L239" s="501"/>
      <c r="M239" s="501"/>
      <c r="N239" s="501"/>
      <c r="O239" s="478" t="s">
        <v>1388</v>
      </c>
      <c r="P239" s="501"/>
      <c r="Q239" s="1785" t="str">
        <f>CHOOSE(2, "6722000003158", "PL (3) Gross Profit (%)")</f>
        <v>PL (3) Gross Profit (%)</v>
      </c>
      <c r="R239" s="1306">
        <f>IFERROR(R238/R208,0)</f>
        <v>6.8918212699242226E-2</v>
      </c>
      <c r="S239" s="1284">
        <f t="shared" ref="S239:AJ239" si="389">IFERROR(S238/S208,0)</f>
        <v>-0.46238532110091746</v>
      </c>
      <c r="T239" s="1284">
        <f t="shared" si="389"/>
        <v>0.34104721832632073</v>
      </c>
      <c r="U239" s="1284">
        <f t="shared" si="389"/>
        <v>0.22713864306784662</v>
      </c>
      <c r="V239" s="1284">
        <f t="shared" si="389"/>
        <v>0.2040422569635085</v>
      </c>
      <c r="W239" s="1284">
        <f t="shared" si="389"/>
        <v>0.11879115577991205</v>
      </c>
      <c r="X239" s="1284">
        <f t="shared" si="389"/>
        <v>0.39187720728063025</v>
      </c>
      <c r="Y239" s="1284">
        <f t="shared" si="389"/>
        <v>0.14639017799447807</v>
      </c>
      <c r="Z239" s="1284">
        <f t="shared" si="389"/>
        <v>-1.1638760711931444</v>
      </c>
      <c r="AA239" s="1284">
        <f t="shared" si="389"/>
        <v>0.24933078393881453</v>
      </c>
      <c r="AB239" s="1284">
        <f t="shared" si="389"/>
        <v>7.4102328999624378E-2</v>
      </c>
      <c r="AC239" s="1284">
        <f t="shared" si="389"/>
        <v>0.29075232065871753</v>
      </c>
      <c r="AD239" s="1284">
        <f t="shared" si="389"/>
        <v>0.14981584381852633</v>
      </c>
      <c r="AE239" s="1284">
        <f t="shared" si="389"/>
        <v>0.17100007355943656</v>
      </c>
      <c r="AF239" s="1284">
        <f t="shared" si="389"/>
        <v>-0.10794494838911479</v>
      </c>
      <c r="AG239" s="1284">
        <f t="shared" si="389"/>
        <v>0.24209618524101484</v>
      </c>
      <c r="AH239" s="1284">
        <f t="shared" si="389"/>
        <v>0.16005820236202414</v>
      </c>
      <c r="AI239" s="1284">
        <f t="shared" si="389"/>
        <v>0.12104930526098273</v>
      </c>
      <c r="AJ239" s="1284">
        <f t="shared" si="389"/>
        <v>0.14039303946306095</v>
      </c>
      <c r="AL239" s="1306">
        <f ca="1">IFERROR(AL238/AL208,0)</f>
        <v>0.29075232065871753</v>
      </c>
      <c r="AM239" s="1284">
        <f ca="1">IFERROR(AM238/AM208,0)</f>
        <v>0</v>
      </c>
      <c r="AN239" s="1284">
        <f t="shared" ca="1" si="354"/>
        <v>0.29075232065871753</v>
      </c>
      <c r="AO239" s="609"/>
      <c r="AP239" s="1284">
        <f ca="1">IFERROR(AP238/AP208,0)</f>
        <v>0</v>
      </c>
      <c r="AQ239" s="1284">
        <f t="shared" ca="1" si="356"/>
        <v>0.29075232065871753</v>
      </c>
      <c r="AR239" s="609"/>
      <c r="AT239" s="1306">
        <f ca="1">IFERROR(AT238/AT208,0)</f>
        <v>0.24209618524101484</v>
      </c>
      <c r="AU239" s="1284">
        <f ca="1">IFERROR(AU238/AU208,0)</f>
        <v>0</v>
      </c>
      <c r="AV239" s="1284">
        <f t="shared" ca="1" si="358"/>
        <v>0.24209618524101484</v>
      </c>
      <c r="AW239" s="609"/>
      <c r="AX239" s="1284">
        <f ca="1">IFERROR(AX238/AX208,0)</f>
        <v>0</v>
      </c>
      <c r="AY239" s="1284">
        <f t="shared" ca="1" si="360"/>
        <v>0.24209618524101484</v>
      </c>
      <c r="AZ239" s="609"/>
      <c r="BB239" s="1306">
        <f ca="1">IFERROR(BB238/BB208,0)</f>
        <v>0.14039303946306095</v>
      </c>
      <c r="BC239" s="1284">
        <f ca="1">IFERROR(BC238/BC208,0)</f>
        <v>0</v>
      </c>
      <c r="BD239" s="1284">
        <f t="shared" ca="1" si="362"/>
        <v>0.14039303946306095</v>
      </c>
      <c r="BE239" s="609"/>
      <c r="BF239" s="1284">
        <f ca="1">IFERROR(BF238/BF208,0)</f>
        <v>0</v>
      </c>
      <c r="BG239" s="1284">
        <f t="shared" ca="1" si="364"/>
        <v>0.14039303946306095</v>
      </c>
      <c r="BH239" s="609"/>
    </row>
    <row r="240" spans="1:60" s="509" customFormat="1" ht="14.5" hidden="1" outlineLevel="1">
      <c r="A240" s="616">
        <f t="shared" si="377"/>
        <v>213</v>
      </c>
      <c r="B240" s="616">
        <v>1</v>
      </c>
      <c r="C240" s="616">
        <f t="shared" si="352"/>
        <v>237</v>
      </c>
      <c r="D240" s="709" t="s">
        <v>1308</v>
      </c>
      <c r="E240" s="2547">
        <v>1</v>
      </c>
      <c r="F240" s="4"/>
      <c r="G240" s="4"/>
      <c r="H240" s="506"/>
      <c r="I240" s="507"/>
      <c r="J240" s="503"/>
      <c r="K240" s="506"/>
      <c r="L240" s="506"/>
      <c r="M240" s="508" t="s">
        <v>1406</v>
      </c>
      <c r="N240" s="508"/>
      <c r="O240" s="508"/>
      <c r="P240" s="508"/>
      <c r="Q240" s="1797" t="str">
        <f>CHOOSE(2, "6722000003159", "PL (3) Gross Profit HW &amp; Solution (%)")</f>
        <v>PL (3) Gross Profit HW &amp; Solution (%)</v>
      </c>
      <c r="R240" s="1310">
        <f>IFERROR(R254/R209,0)</f>
        <v>4.9042306882761524E-2</v>
      </c>
      <c r="S240" s="1286">
        <f t="shared" ref="S240:AJ253" si="390">IFERROR(S254/S209,0)</f>
        <v>-20.488095238095237</v>
      </c>
      <c r="T240" s="1286">
        <f t="shared" si="390"/>
        <v>0.40572408061500104</v>
      </c>
      <c r="U240" s="1286">
        <f t="shared" si="390"/>
        <v>0.82539682539682535</v>
      </c>
      <c r="V240" s="1286">
        <f t="shared" si="390"/>
        <v>0.15826355230485856</v>
      </c>
      <c r="W240" s="1286">
        <f t="shared" si="390"/>
        <v>0.1521941242097434</v>
      </c>
      <c r="X240" s="1286">
        <f t="shared" si="390"/>
        <v>0.40211640211640209</v>
      </c>
      <c r="Y240" s="1286">
        <f t="shared" si="390"/>
        <v>0.1101010101010101</v>
      </c>
      <c r="Z240" s="1286">
        <f t="shared" si="390"/>
        <v>0</v>
      </c>
      <c r="AA240" s="1286">
        <f t="shared" si="390"/>
        <v>0.30956927646934013</v>
      </c>
      <c r="AB240" s="1286">
        <f t="shared" si="390"/>
        <v>0</v>
      </c>
      <c r="AC240" s="1286">
        <f t="shared" si="390"/>
        <v>0.95896985659935619</v>
      </c>
      <c r="AD240" s="1286">
        <f t="shared" si="390"/>
        <v>0.10735709853133835</v>
      </c>
      <c r="AE240" s="1286">
        <f t="shared" si="390"/>
        <v>0.16325359579418877</v>
      </c>
      <c r="AF240" s="1286">
        <f t="shared" si="390"/>
        <v>-0.89083479276123756</v>
      </c>
      <c r="AG240" s="1286">
        <f t="shared" si="390"/>
        <v>0.61251634805353816</v>
      </c>
      <c r="AH240" s="1286">
        <f t="shared" si="390"/>
        <v>0.13057463824982146</v>
      </c>
      <c r="AI240" s="1286">
        <f t="shared" si="390"/>
        <v>0.27817808070972627</v>
      </c>
      <c r="AJ240" s="1286">
        <f t="shared" si="390"/>
        <v>0.2017586545004815</v>
      </c>
      <c r="AL240" s="1310">
        <f t="shared" ref="AL240:AM246" ca="1" si="391">IFERROR(AL254/AL209,0)</f>
        <v>0.95896985659935619</v>
      </c>
      <c r="AM240" s="1286">
        <f t="shared" ca="1" si="391"/>
        <v>0</v>
      </c>
      <c r="AN240" s="1286">
        <f t="shared" ca="1" si="354"/>
        <v>0.95896985659935619</v>
      </c>
      <c r="AO240" s="2811"/>
      <c r="AP240" s="1286">
        <f t="shared" ref="AP240:AP246" ca="1" si="392">IFERROR(AP254/AP209,0)</f>
        <v>0</v>
      </c>
      <c r="AQ240" s="1286">
        <f t="shared" ca="1" si="356"/>
        <v>0.95896985659935619</v>
      </c>
      <c r="AR240" s="2811"/>
      <c r="AT240" s="1310">
        <f t="shared" ref="AT240:AU246" ca="1" si="393">IFERROR(AT254/AT209,0)</f>
        <v>0.61251634805353816</v>
      </c>
      <c r="AU240" s="1286">
        <f t="shared" ca="1" si="393"/>
        <v>0</v>
      </c>
      <c r="AV240" s="1286">
        <f t="shared" ca="1" si="358"/>
        <v>0.61251634805353816</v>
      </c>
      <c r="AW240" s="2811"/>
      <c r="AX240" s="1286">
        <f t="shared" ref="AX240:AX246" ca="1" si="394">IFERROR(AX254/AX209,0)</f>
        <v>6.0694722160134419E-2</v>
      </c>
      <c r="AY240" s="1286">
        <f t="shared" ca="1" si="360"/>
        <v>0.55182162589340378</v>
      </c>
      <c r="AZ240" s="2811"/>
      <c r="BB240" s="1310">
        <f t="shared" ref="BB240:BC246" ca="1" si="395">IFERROR(BB254/BB209,0)</f>
        <v>0.2017586545004815</v>
      </c>
      <c r="BC240" s="1286">
        <f t="shared" ca="1" si="395"/>
        <v>0</v>
      </c>
      <c r="BD240" s="1286">
        <f t="shared" ca="1" si="362"/>
        <v>0.2017586545004815</v>
      </c>
      <c r="BE240" s="2811"/>
      <c r="BF240" s="1286">
        <f t="shared" ref="BF240:BF246" ca="1" si="396">IFERROR(BF254/BF209,0)</f>
        <v>0.1096300347835235</v>
      </c>
      <c r="BG240" s="1286">
        <f t="shared" ca="1" si="364"/>
        <v>9.2128619716958002E-2</v>
      </c>
      <c r="BH240" s="2811"/>
    </row>
    <row r="241" spans="1:60" s="509" customFormat="1" ht="14.5" hidden="1" outlineLevel="1">
      <c r="A241" s="616">
        <f t="shared" si="377"/>
        <v>214</v>
      </c>
      <c r="B241" s="616">
        <v>1</v>
      </c>
      <c r="C241" s="616">
        <f t="shared" si="352"/>
        <v>238</v>
      </c>
      <c r="D241" s="709" t="s">
        <v>1308</v>
      </c>
      <c r="E241" s="2547">
        <v>1</v>
      </c>
      <c r="F241" s="4"/>
      <c r="G241" s="4"/>
      <c r="H241" s="506"/>
      <c r="I241" s="507"/>
      <c r="J241" s="503"/>
      <c r="K241" s="506"/>
      <c r="L241" s="506"/>
      <c r="M241" s="506"/>
      <c r="N241" s="503" t="s">
        <v>588</v>
      </c>
      <c r="O241" s="503"/>
      <c r="P241" s="503"/>
      <c r="Q241" s="1785" t="str">
        <f>CHOOSE(2, "6722000003160", "PL (3) Gross Profit HW &amp; Solution (%) KM-1/KM-1e (%)")</f>
        <v>PL (3) Gross Profit HW &amp; Solution (%) KM-1/KM-1e (%)</v>
      </c>
      <c r="R241" s="1311">
        <f t="shared" ref="R241:AC253" si="397">IFERROR(R255/R210,0)</f>
        <v>0</v>
      </c>
      <c r="S241" s="1285">
        <f t="shared" si="397"/>
        <v>0</v>
      </c>
      <c r="T241" s="1285">
        <f t="shared" si="397"/>
        <v>0</v>
      </c>
      <c r="U241" s="1285">
        <f t="shared" si="397"/>
        <v>0</v>
      </c>
      <c r="V241" s="1285">
        <f t="shared" si="397"/>
        <v>0</v>
      </c>
      <c r="W241" s="1285">
        <f t="shared" si="397"/>
        <v>0</v>
      </c>
      <c r="X241" s="1285">
        <f t="shared" si="397"/>
        <v>0</v>
      </c>
      <c r="Y241" s="1285">
        <f t="shared" si="397"/>
        <v>0</v>
      </c>
      <c r="Z241" s="1285">
        <f t="shared" si="397"/>
        <v>0</v>
      </c>
      <c r="AA241" s="1285">
        <f t="shared" si="397"/>
        <v>0</v>
      </c>
      <c r="AB241" s="1285">
        <f t="shared" si="397"/>
        <v>0</v>
      </c>
      <c r="AC241" s="1285">
        <f t="shared" si="397"/>
        <v>1.5630363036303629</v>
      </c>
      <c r="AD241" s="1285">
        <f t="shared" si="390"/>
        <v>0</v>
      </c>
      <c r="AE241" s="1285">
        <f t="shared" si="390"/>
        <v>0</v>
      </c>
      <c r="AF241" s="1285">
        <f t="shared" si="390"/>
        <v>0</v>
      </c>
      <c r="AG241" s="1285">
        <f t="shared" si="390"/>
        <v>1.5630363036303629</v>
      </c>
      <c r="AH241" s="1285">
        <f t="shared" si="390"/>
        <v>0</v>
      </c>
      <c r="AI241" s="1285">
        <f t="shared" si="390"/>
        <v>1.5630363036303629</v>
      </c>
      <c r="AJ241" s="1285">
        <f t="shared" si="390"/>
        <v>1.5630363036303629</v>
      </c>
      <c r="AL241" s="1311">
        <f t="shared" ca="1" si="391"/>
        <v>1.5630363036303629</v>
      </c>
      <c r="AM241" s="1285">
        <f t="shared" ca="1" si="391"/>
        <v>0</v>
      </c>
      <c r="AN241" s="1285">
        <f t="shared" ca="1" si="354"/>
        <v>1.5630363036303629</v>
      </c>
      <c r="AO241" s="2812"/>
      <c r="AP241" s="1285">
        <f t="shared" ca="1" si="392"/>
        <v>0</v>
      </c>
      <c r="AQ241" s="1285">
        <f t="shared" ca="1" si="356"/>
        <v>1.5630363036303629</v>
      </c>
      <c r="AR241" s="2812"/>
      <c r="AT241" s="1311">
        <f t="shared" ca="1" si="393"/>
        <v>1.5630363036303629</v>
      </c>
      <c r="AU241" s="1285">
        <f t="shared" ca="1" si="393"/>
        <v>0</v>
      </c>
      <c r="AV241" s="1285">
        <f t="shared" ca="1" si="358"/>
        <v>1.5630363036303629</v>
      </c>
      <c r="AW241" s="2812"/>
      <c r="AX241" s="1285">
        <f t="shared" ca="1" si="394"/>
        <v>0</v>
      </c>
      <c r="AY241" s="1285">
        <f t="shared" ca="1" si="360"/>
        <v>1.5630363036303629</v>
      </c>
      <c r="AZ241" s="2812"/>
      <c r="BB241" s="1311">
        <f t="shared" ca="1" si="395"/>
        <v>1.5630363036303629</v>
      </c>
      <c r="BC241" s="1285">
        <f t="shared" ca="1" si="395"/>
        <v>0</v>
      </c>
      <c r="BD241" s="1285">
        <f t="shared" ca="1" si="362"/>
        <v>1.5630363036303629</v>
      </c>
      <c r="BE241" s="2812"/>
      <c r="BF241" s="1285">
        <f t="shared" ca="1" si="396"/>
        <v>0</v>
      </c>
      <c r="BG241" s="1285">
        <f t="shared" ca="1" si="364"/>
        <v>1.5630363036303629</v>
      </c>
      <c r="BH241" s="2812"/>
    </row>
    <row r="242" spans="1:60" s="509" customFormat="1" ht="14.5" hidden="1" outlineLevel="1">
      <c r="A242" s="616">
        <f t="shared" si="377"/>
        <v>215</v>
      </c>
      <c r="B242" s="616">
        <v>1</v>
      </c>
      <c r="C242" s="616">
        <f t="shared" si="352"/>
        <v>239</v>
      </c>
      <c r="D242" s="709" t="s">
        <v>1308</v>
      </c>
      <c r="E242" s="2547">
        <v>1</v>
      </c>
      <c r="F242" s="4"/>
      <c r="G242" s="4"/>
      <c r="H242" s="506"/>
      <c r="I242" s="507"/>
      <c r="J242" s="503"/>
      <c r="K242" s="506"/>
      <c r="L242" s="506"/>
      <c r="M242" s="506"/>
      <c r="N242" s="503" t="s">
        <v>1407</v>
      </c>
      <c r="O242" s="503"/>
      <c r="P242" s="503"/>
      <c r="Q242" s="1785" t="str">
        <f>CHOOSE(2, "6722000003161", "PL (3) Gross Profit HW &amp; Solution (%) Label Printer (%)")</f>
        <v>PL (3) Gross Profit HW &amp; Solution (%) Label Printer (%)</v>
      </c>
      <c r="R242" s="1311">
        <f t="shared" si="397"/>
        <v>0</v>
      </c>
      <c r="S242" s="1285">
        <f t="shared" si="397"/>
        <v>0</v>
      </c>
      <c r="T242" s="1285">
        <f t="shared" si="397"/>
        <v>0.57610526315789479</v>
      </c>
      <c r="U242" s="1285">
        <f t="shared" si="397"/>
        <v>0</v>
      </c>
      <c r="V242" s="1285">
        <f t="shared" si="397"/>
        <v>0</v>
      </c>
      <c r="W242" s="1285">
        <f t="shared" si="397"/>
        <v>0</v>
      </c>
      <c r="X242" s="1285">
        <f t="shared" si="397"/>
        <v>0</v>
      </c>
      <c r="Y242" s="1285">
        <f t="shared" si="397"/>
        <v>0</v>
      </c>
      <c r="Z242" s="1285">
        <f t="shared" si="397"/>
        <v>0</v>
      </c>
      <c r="AA242" s="1285">
        <f t="shared" si="397"/>
        <v>0.5583516483516483</v>
      </c>
      <c r="AB242" s="1285">
        <f t="shared" si="397"/>
        <v>0</v>
      </c>
      <c r="AC242" s="1285">
        <f t="shared" si="397"/>
        <v>1.63</v>
      </c>
      <c r="AD242" s="1285">
        <f t="shared" si="390"/>
        <v>0.57610526315789479</v>
      </c>
      <c r="AE242" s="1285">
        <f t="shared" si="390"/>
        <v>0</v>
      </c>
      <c r="AF242" s="1285">
        <f t="shared" si="390"/>
        <v>0</v>
      </c>
      <c r="AG242" s="1285">
        <f t="shared" si="390"/>
        <v>1.0912154696132597</v>
      </c>
      <c r="AH242" s="1285">
        <f t="shared" si="390"/>
        <v>0.57610526315789479</v>
      </c>
      <c r="AI242" s="1285">
        <f t="shared" si="390"/>
        <v>0.53872928176795576</v>
      </c>
      <c r="AJ242" s="1285">
        <f t="shared" si="390"/>
        <v>0.55159420289855077</v>
      </c>
      <c r="AL242" s="1311">
        <f t="shared" ca="1" si="391"/>
        <v>1.63</v>
      </c>
      <c r="AM242" s="1285">
        <f t="shared" ca="1" si="391"/>
        <v>0</v>
      </c>
      <c r="AN242" s="1285">
        <f t="shared" ca="1" si="354"/>
        <v>1.63</v>
      </c>
      <c r="AO242" s="2812"/>
      <c r="AP242" s="1285">
        <f t="shared" ca="1" si="392"/>
        <v>0</v>
      </c>
      <c r="AQ242" s="1285">
        <f t="shared" ca="1" si="356"/>
        <v>1.63</v>
      </c>
      <c r="AR242" s="2812"/>
      <c r="AT242" s="1311">
        <f t="shared" ca="1" si="393"/>
        <v>1.0912154696132597</v>
      </c>
      <c r="AU242" s="1285">
        <f t="shared" ca="1" si="393"/>
        <v>0</v>
      </c>
      <c r="AV242" s="1285">
        <f t="shared" ca="1" si="358"/>
        <v>1.0912154696132597</v>
      </c>
      <c r="AW242" s="2812"/>
      <c r="AX242" s="1285">
        <f t="shared" ca="1" si="394"/>
        <v>0</v>
      </c>
      <c r="AY242" s="1285">
        <f t="shared" ca="1" si="360"/>
        <v>1.0912154696132597</v>
      </c>
      <c r="AZ242" s="2812"/>
      <c r="BB242" s="1311">
        <f t="shared" ca="1" si="395"/>
        <v>0.55159420289855077</v>
      </c>
      <c r="BC242" s="1285">
        <f t="shared" ca="1" si="395"/>
        <v>0</v>
      </c>
      <c r="BD242" s="1285">
        <f t="shared" ca="1" si="362"/>
        <v>0.55159420289855077</v>
      </c>
      <c r="BE242" s="2812"/>
      <c r="BF242" s="1285">
        <f t="shared" ca="1" si="396"/>
        <v>0</v>
      </c>
      <c r="BG242" s="1285">
        <f t="shared" ca="1" si="364"/>
        <v>0.55159420289855077</v>
      </c>
      <c r="BH242" s="2812"/>
    </row>
    <row r="243" spans="1:60" s="509" customFormat="1" ht="14.5" hidden="1" outlineLevel="1">
      <c r="A243" s="616">
        <f t="shared" si="377"/>
        <v>216</v>
      </c>
      <c r="B243" s="616">
        <v>1</v>
      </c>
      <c r="C243" s="616">
        <f t="shared" si="352"/>
        <v>240</v>
      </c>
      <c r="D243" s="709" t="s">
        <v>1308</v>
      </c>
      <c r="E243" s="2547">
        <v>1</v>
      </c>
      <c r="F243" s="4"/>
      <c r="G243" s="4"/>
      <c r="H243" s="506"/>
      <c r="I243" s="507"/>
      <c r="J243" s="503"/>
      <c r="K243" s="506"/>
      <c r="L243" s="506"/>
      <c r="M243" s="506"/>
      <c r="N243" s="503" t="s">
        <v>1408</v>
      </c>
      <c r="O243" s="503"/>
      <c r="P243" s="503"/>
      <c r="Q243" s="1785" t="str">
        <f>CHOOSE(2, "6722000003162", "PL (3) Gross Profit HW &amp; Solution (%) MGI (%)")</f>
        <v>PL (3) Gross Profit HW &amp; Solution (%) MGI (%)</v>
      </c>
      <c r="R243" s="1311">
        <f t="shared" si="397"/>
        <v>4.9042306882761524E-2</v>
      </c>
      <c r="S243" s="1285">
        <f t="shared" si="397"/>
        <v>-20.488095238095237</v>
      </c>
      <c r="T243" s="1285">
        <f t="shared" si="397"/>
        <v>0.23974569319114028</v>
      </c>
      <c r="U243" s="1285">
        <f t="shared" si="397"/>
        <v>0.82539682539682535</v>
      </c>
      <c r="V243" s="1285">
        <f t="shared" si="397"/>
        <v>0.15826355230485856</v>
      </c>
      <c r="W243" s="1285">
        <f t="shared" si="397"/>
        <v>0.1521941242097434</v>
      </c>
      <c r="X243" s="1285">
        <f t="shared" si="397"/>
        <v>0.40211640211640209</v>
      </c>
      <c r="Y243" s="1285">
        <f t="shared" si="397"/>
        <v>0.1101010101010101</v>
      </c>
      <c r="Z243" s="1285">
        <f t="shared" si="397"/>
        <v>0</v>
      </c>
      <c r="AA243" s="1285">
        <f t="shared" si="397"/>
        <v>7.742001640689089E-2</v>
      </c>
      <c r="AB243" s="1285">
        <f t="shared" si="397"/>
        <v>0</v>
      </c>
      <c r="AC243" s="1285">
        <f t="shared" si="397"/>
        <v>0.42520833333333335</v>
      </c>
      <c r="AD243" s="1285">
        <f t="shared" si="390"/>
        <v>-0.12093714754434533</v>
      </c>
      <c r="AE243" s="1285">
        <f t="shared" si="390"/>
        <v>0.16325359579418877</v>
      </c>
      <c r="AF243" s="1285">
        <f t="shared" si="390"/>
        <v>8.2117143413115393E-2</v>
      </c>
      <c r="AG243" s="1285">
        <f t="shared" si="390"/>
        <v>0.23920008267879289</v>
      </c>
      <c r="AH243" s="1285">
        <f t="shared" si="390"/>
        <v>2.5061826348074041E-2</v>
      </c>
      <c r="AI243" s="1285">
        <f t="shared" si="390"/>
        <v>0.18471144110698617</v>
      </c>
      <c r="AJ243" s="1285">
        <f t="shared" si="390"/>
        <v>9.2887274921522156E-2</v>
      </c>
      <c r="AL243" s="1311">
        <f t="shared" ca="1" si="391"/>
        <v>0.42520833333333335</v>
      </c>
      <c r="AM243" s="1285">
        <f t="shared" ca="1" si="391"/>
        <v>0.16414457831325302</v>
      </c>
      <c r="AN243" s="1285">
        <f t="shared" ca="1" si="354"/>
        <v>0.26106375502008033</v>
      </c>
      <c r="AO243" s="2812"/>
      <c r="AP243" s="1285">
        <f t="shared" ca="1" si="392"/>
        <v>0</v>
      </c>
      <c r="AQ243" s="1285">
        <f t="shared" ca="1" si="356"/>
        <v>0.42520833333333335</v>
      </c>
      <c r="AR243" s="2812"/>
      <c r="AT243" s="1311">
        <f t="shared" ca="1" si="393"/>
        <v>0.23920008267879289</v>
      </c>
      <c r="AU243" s="1285">
        <f t="shared" ca="1" si="393"/>
        <v>0.19434211647727273</v>
      </c>
      <c r="AV243" s="1285">
        <f t="shared" ca="1" si="358"/>
        <v>4.4857966201520161E-2</v>
      </c>
      <c r="AW243" s="2812"/>
      <c r="AX243" s="1285">
        <f t="shared" ca="1" si="394"/>
        <v>0</v>
      </c>
      <c r="AY243" s="1285">
        <f t="shared" ca="1" si="360"/>
        <v>0.23920008267879289</v>
      </c>
      <c r="AZ243" s="2812"/>
      <c r="BB243" s="1311">
        <f t="shared" ca="1" si="395"/>
        <v>9.2887274921522156E-2</v>
      </c>
      <c r="BC243" s="1285">
        <f t="shared" ca="1" si="395"/>
        <v>0.15701879587894399</v>
      </c>
      <c r="BD243" s="1285">
        <f t="shared" ca="1" si="362"/>
        <v>-6.4131520957421834E-2</v>
      </c>
      <c r="BE243" s="2812"/>
      <c r="BF243" s="1285">
        <f t="shared" ca="1" si="396"/>
        <v>0</v>
      </c>
      <c r="BG243" s="1285">
        <f t="shared" ca="1" si="364"/>
        <v>9.2887274921522156E-2</v>
      </c>
      <c r="BH243" s="2812"/>
    </row>
    <row r="244" spans="1:60" s="509" customFormat="1" ht="14.5" hidden="1" outlineLevel="1">
      <c r="A244" s="616">
        <f t="shared" si="377"/>
        <v>217</v>
      </c>
      <c r="B244" s="616">
        <v>1</v>
      </c>
      <c r="C244" s="616">
        <f t="shared" si="352"/>
        <v>241</v>
      </c>
      <c r="D244" s="709" t="s">
        <v>1308</v>
      </c>
      <c r="E244" s="2547">
        <v>1</v>
      </c>
      <c r="F244" s="4"/>
      <c r="G244" s="4"/>
      <c r="H244" s="506"/>
      <c r="I244" s="507"/>
      <c r="J244" s="503"/>
      <c r="K244" s="506"/>
      <c r="L244" s="506"/>
      <c r="M244" s="506"/>
      <c r="N244" s="503" t="s">
        <v>1409</v>
      </c>
      <c r="O244" s="503"/>
      <c r="P244" s="503"/>
      <c r="Q244" s="1785" t="str">
        <f>CHOOSE(2, "6722000003163", "PL (3) Gross Profit HW &amp; Solution (%) EFI/LF (%)")</f>
        <v>PL (3) Gross Profit HW &amp; Solution (%) EFI/LF (%)</v>
      </c>
      <c r="R244" s="1311">
        <f t="shared" si="397"/>
        <v>0</v>
      </c>
      <c r="S244" s="1285">
        <f t="shared" si="397"/>
        <v>0</v>
      </c>
      <c r="T244" s="1285">
        <f t="shared" si="397"/>
        <v>0</v>
      </c>
      <c r="U244" s="1285">
        <f t="shared" si="397"/>
        <v>0</v>
      </c>
      <c r="V244" s="1285">
        <f t="shared" si="397"/>
        <v>0</v>
      </c>
      <c r="W244" s="1285">
        <f t="shared" si="397"/>
        <v>0</v>
      </c>
      <c r="X244" s="1285">
        <f t="shared" si="397"/>
        <v>0</v>
      </c>
      <c r="Y244" s="1285">
        <f t="shared" si="397"/>
        <v>0</v>
      </c>
      <c r="Z244" s="1285">
        <f t="shared" si="397"/>
        <v>0</v>
      </c>
      <c r="AA244" s="1285">
        <f t="shared" si="397"/>
        <v>0</v>
      </c>
      <c r="AB244" s="1285">
        <f t="shared" si="397"/>
        <v>0</v>
      </c>
      <c r="AC244" s="1285">
        <f t="shared" si="397"/>
        <v>0</v>
      </c>
      <c r="AD244" s="1285">
        <f t="shared" si="390"/>
        <v>0</v>
      </c>
      <c r="AE244" s="1285">
        <f t="shared" si="390"/>
        <v>0</v>
      </c>
      <c r="AF244" s="1285">
        <f t="shared" si="390"/>
        <v>0</v>
      </c>
      <c r="AG244" s="1285">
        <f t="shared" si="390"/>
        <v>0</v>
      </c>
      <c r="AH244" s="1285">
        <f>IFERROR(AH258/AH213,0)</f>
        <v>0</v>
      </c>
      <c r="AI244" s="1285">
        <f t="shared" si="390"/>
        <v>0</v>
      </c>
      <c r="AJ244" s="1285">
        <f t="shared" si="390"/>
        <v>0</v>
      </c>
      <c r="AL244" s="1311">
        <f t="shared" ca="1" si="391"/>
        <v>0</v>
      </c>
      <c r="AM244" s="1285">
        <f t="shared" ca="1" si="391"/>
        <v>0</v>
      </c>
      <c r="AN244" s="1285">
        <f t="shared" ca="1" si="354"/>
        <v>0</v>
      </c>
      <c r="AO244" s="2812"/>
      <c r="AP244" s="1285">
        <f t="shared" ca="1" si="392"/>
        <v>8.3947734126005133E-2</v>
      </c>
      <c r="AQ244" s="1285">
        <f t="shared" ca="1" si="356"/>
        <v>-8.3947734126005133E-2</v>
      </c>
      <c r="AR244" s="2812"/>
      <c r="AT244" s="1311">
        <f t="shared" ca="1" si="393"/>
        <v>0</v>
      </c>
      <c r="AU244" s="1285">
        <f t="shared" ca="1" si="393"/>
        <v>0</v>
      </c>
      <c r="AV244" s="1285">
        <f t="shared" ca="1" si="358"/>
        <v>0</v>
      </c>
      <c r="AW244" s="2812"/>
      <c r="AX244" s="1285">
        <f t="shared" ca="1" si="394"/>
        <v>6.6882977705842367E-2</v>
      </c>
      <c r="AY244" s="1285">
        <f t="shared" ca="1" si="360"/>
        <v>-6.6882977705842367E-2</v>
      </c>
      <c r="AZ244" s="2812"/>
      <c r="BB244" s="1311">
        <f t="shared" ca="1" si="395"/>
        <v>0</v>
      </c>
      <c r="BC244" s="1285">
        <f t="shared" ca="1" si="395"/>
        <v>0.13297872340425532</v>
      </c>
      <c r="BD244" s="1285">
        <f t="shared" ca="1" si="362"/>
        <v>-0.13297872340425532</v>
      </c>
      <c r="BE244" s="2812"/>
      <c r="BF244" s="1285">
        <f t="shared" ca="1" si="396"/>
        <v>6.469805150640881E-2</v>
      </c>
      <c r="BG244" s="1285">
        <f t="shared" ca="1" si="364"/>
        <v>-6.469805150640881E-2</v>
      </c>
      <c r="BH244" s="2812"/>
    </row>
    <row r="245" spans="1:60" s="509" customFormat="1" ht="14.5" hidden="1" outlineLevel="1">
      <c r="A245" s="616">
        <f t="shared" si="377"/>
        <v>218</v>
      </c>
      <c r="B245" s="616">
        <v>1</v>
      </c>
      <c r="C245" s="616">
        <f t="shared" si="352"/>
        <v>242</v>
      </c>
      <c r="D245" s="709" t="s">
        <v>1308</v>
      </c>
      <c r="E245" s="2547">
        <v>1</v>
      </c>
      <c r="F245" s="4"/>
      <c r="G245" s="4"/>
      <c r="H245" s="506"/>
      <c r="I245" s="507"/>
      <c r="J245" s="503"/>
      <c r="K245" s="506"/>
      <c r="L245" s="506"/>
      <c r="M245" s="506"/>
      <c r="N245" s="503" t="s">
        <v>1410</v>
      </c>
      <c r="O245" s="503"/>
      <c r="P245" s="503"/>
      <c r="Q245" s="1785" t="str">
        <f>CHOOSE(2, "6722000003164", "PL (3) Gross Profit HW &amp; Solution (%) Textile Printer (%)")</f>
        <v>PL (3) Gross Profit HW &amp; Solution (%) Textile Printer (%)</v>
      </c>
      <c r="R245" s="1311">
        <f t="shared" si="397"/>
        <v>0</v>
      </c>
      <c r="S245" s="1285">
        <f t="shared" si="397"/>
        <v>0</v>
      </c>
      <c r="T245" s="1285">
        <f t="shared" si="397"/>
        <v>0</v>
      </c>
      <c r="U245" s="1285">
        <f t="shared" si="397"/>
        <v>0</v>
      </c>
      <c r="V245" s="1285">
        <f t="shared" si="397"/>
        <v>0</v>
      </c>
      <c r="W245" s="1285">
        <f t="shared" si="397"/>
        <v>0</v>
      </c>
      <c r="X245" s="1285">
        <f t="shared" si="397"/>
        <v>0</v>
      </c>
      <c r="Y245" s="1285">
        <f t="shared" si="397"/>
        <v>0</v>
      </c>
      <c r="Z245" s="1285">
        <f t="shared" si="397"/>
        <v>0</v>
      </c>
      <c r="AA245" s="1285">
        <f t="shared" si="397"/>
        <v>0</v>
      </c>
      <c r="AB245" s="1285">
        <f t="shared" si="397"/>
        <v>0</v>
      </c>
      <c r="AC245" s="1285">
        <f t="shared" si="397"/>
        <v>0</v>
      </c>
      <c r="AD245" s="1285">
        <f t="shared" si="390"/>
        <v>0</v>
      </c>
      <c r="AE245" s="1285">
        <f t="shared" si="390"/>
        <v>0</v>
      </c>
      <c r="AF245" s="1285">
        <f t="shared" si="390"/>
        <v>0</v>
      </c>
      <c r="AG245" s="1285">
        <f t="shared" si="390"/>
        <v>0</v>
      </c>
      <c r="AH245" s="1285">
        <f t="shared" si="390"/>
        <v>0</v>
      </c>
      <c r="AI245" s="1285">
        <f t="shared" si="390"/>
        <v>0</v>
      </c>
      <c r="AJ245" s="1285">
        <f t="shared" si="390"/>
        <v>0</v>
      </c>
      <c r="AL245" s="1311">
        <f t="shared" ca="1" si="391"/>
        <v>0</v>
      </c>
      <c r="AM245" s="1285">
        <f t="shared" ca="1" si="391"/>
        <v>0.21248</v>
      </c>
      <c r="AN245" s="1285">
        <f t="shared" ca="1" si="354"/>
        <v>-0.21248</v>
      </c>
      <c r="AO245" s="2812"/>
      <c r="AP245" s="1285">
        <f t="shared" ca="1" si="392"/>
        <v>3.8019149798516103E-2</v>
      </c>
      <c r="AQ245" s="1285">
        <f t="shared" ca="1" si="356"/>
        <v>-3.8019149798516103E-2</v>
      </c>
      <c r="AR245" s="2812"/>
      <c r="AT245" s="1311">
        <f t="shared" ca="1" si="393"/>
        <v>0</v>
      </c>
      <c r="AU245" s="1285">
        <f t="shared" ca="1" si="393"/>
        <v>0.31231933333333334</v>
      </c>
      <c r="AV245" s="1285">
        <f t="shared" ca="1" si="358"/>
        <v>-0.31231933333333334</v>
      </c>
      <c r="AW245" s="2812"/>
      <c r="AX245" s="1285">
        <f t="shared" ca="1" si="394"/>
        <v>8.9669774654570489E-3</v>
      </c>
      <c r="AY245" s="1285">
        <f t="shared" ca="1" si="360"/>
        <v>-8.9669774654570489E-3</v>
      </c>
      <c r="AZ245" s="2812"/>
      <c r="BB245" s="1311">
        <f t="shared" ca="1" si="395"/>
        <v>0</v>
      </c>
      <c r="BC245" s="1285">
        <f t="shared" ca="1" si="395"/>
        <v>0.31231933333333334</v>
      </c>
      <c r="BD245" s="1285">
        <f t="shared" ca="1" si="362"/>
        <v>-0.31231933333333334</v>
      </c>
      <c r="BE245" s="2812"/>
      <c r="BF245" s="1285">
        <f t="shared" ca="1" si="396"/>
        <v>1.6072357545084622E-2</v>
      </c>
      <c r="BG245" s="1285">
        <f t="shared" ca="1" si="364"/>
        <v>-1.6072357545084622E-2</v>
      </c>
      <c r="BH245" s="2812"/>
    </row>
    <row r="246" spans="1:60" s="509" customFormat="1" ht="14.5" hidden="1" outlineLevel="1">
      <c r="A246" s="616">
        <f t="shared" si="377"/>
        <v>219</v>
      </c>
      <c r="B246" s="616">
        <v>1</v>
      </c>
      <c r="C246" s="616">
        <f t="shared" si="352"/>
        <v>243</v>
      </c>
      <c r="D246" s="709" t="s">
        <v>1308</v>
      </c>
      <c r="E246" s="2547">
        <v>1</v>
      </c>
      <c r="F246" s="4"/>
      <c r="G246" s="4"/>
      <c r="H246" s="506"/>
      <c r="I246" s="507"/>
      <c r="J246" s="503"/>
      <c r="K246" s="506"/>
      <c r="L246" s="506"/>
      <c r="M246" s="510"/>
      <c r="N246" s="510" t="s">
        <v>1391</v>
      </c>
      <c r="O246" s="510"/>
      <c r="P246" s="510"/>
      <c r="Q246" s="1785" t="str">
        <f>CHOOSE(2, "6722000003165", "PL (3) Gross Profit HW &amp; Solution (%) Others (%)")</f>
        <v>PL (3) Gross Profit HW &amp; Solution (%) Others (%)</v>
      </c>
      <c r="R246" s="1312">
        <f t="shared" si="397"/>
        <v>0</v>
      </c>
      <c r="S246" s="1287">
        <f t="shared" si="397"/>
        <v>0</v>
      </c>
      <c r="T246" s="1287">
        <f t="shared" si="397"/>
        <v>0</v>
      </c>
      <c r="U246" s="1287">
        <f t="shared" si="397"/>
        <v>0</v>
      </c>
      <c r="V246" s="1287">
        <f t="shared" si="397"/>
        <v>0</v>
      </c>
      <c r="W246" s="1287">
        <f t="shared" si="397"/>
        <v>0</v>
      </c>
      <c r="X246" s="1287">
        <f t="shared" si="397"/>
        <v>0</v>
      </c>
      <c r="Y246" s="1287">
        <f t="shared" si="397"/>
        <v>0</v>
      </c>
      <c r="Z246" s="1287">
        <f t="shared" si="397"/>
        <v>0</v>
      </c>
      <c r="AA246" s="1287">
        <f t="shared" si="397"/>
        <v>0</v>
      </c>
      <c r="AB246" s="1287">
        <f t="shared" si="397"/>
        <v>0</v>
      </c>
      <c r="AC246" s="1287">
        <f t="shared" si="397"/>
        <v>0</v>
      </c>
      <c r="AD246" s="1287">
        <f t="shared" si="390"/>
        <v>0</v>
      </c>
      <c r="AE246" s="1287">
        <f t="shared" si="390"/>
        <v>0</v>
      </c>
      <c r="AF246" s="1287">
        <f t="shared" si="390"/>
        <v>0</v>
      </c>
      <c r="AG246" s="1287">
        <f t="shared" si="390"/>
        <v>0</v>
      </c>
      <c r="AH246" s="1287">
        <f t="shared" si="390"/>
        <v>0</v>
      </c>
      <c r="AI246" s="1287">
        <f t="shared" si="390"/>
        <v>0</v>
      </c>
      <c r="AJ246" s="1287">
        <f t="shared" si="390"/>
        <v>0</v>
      </c>
      <c r="AL246" s="1312">
        <f t="shared" ca="1" si="391"/>
        <v>0</v>
      </c>
      <c r="AM246" s="1287">
        <f t="shared" ca="1" si="391"/>
        <v>9.0909090909090912E-2</v>
      </c>
      <c r="AN246" s="1287">
        <f t="shared" ca="1" si="354"/>
        <v>-9.0909090909090912E-2</v>
      </c>
      <c r="AO246" s="2813"/>
      <c r="AP246" s="1287">
        <f t="shared" ca="1" si="392"/>
        <v>4.76276604264479E-2</v>
      </c>
      <c r="AQ246" s="1287">
        <f t="shared" ca="1" si="356"/>
        <v>-4.76276604264479E-2</v>
      </c>
      <c r="AR246" s="2813"/>
      <c r="AT246" s="1312">
        <f t="shared" ca="1" si="393"/>
        <v>0</v>
      </c>
      <c r="AU246" s="1287">
        <f t="shared" ca="1" si="393"/>
        <v>8.0965682451253476E-2</v>
      </c>
      <c r="AV246" s="1287">
        <f t="shared" ca="1" si="358"/>
        <v>-8.0965682451253476E-2</v>
      </c>
      <c r="AW246" s="2813"/>
      <c r="AX246" s="1287">
        <f t="shared" ca="1" si="394"/>
        <v>7.7565314330447513E-2</v>
      </c>
      <c r="AY246" s="1287">
        <f t="shared" ca="1" si="360"/>
        <v>-7.7565314330447513E-2</v>
      </c>
      <c r="AZ246" s="2813"/>
      <c r="BB246" s="1312">
        <f t="shared" ca="1" si="395"/>
        <v>0</v>
      </c>
      <c r="BC246" s="1287">
        <f t="shared" ca="1" si="395"/>
        <v>7.9166710526315784E-2</v>
      </c>
      <c r="BD246" s="1287">
        <f t="shared" ca="1" si="362"/>
        <v>-7.9166710526315784E-2</v>
      </c>
      <c r="BE246" s="2813"/>
      <c r="BF246" s="1287">
        <f t="shared" ca="1" si="396"/>
        <v>6.872264585268878E-2</v>
      </c>
      <c r="BG246" s="1287">
        <f t="shared" ca="1" si="364"/>
        <v>-6.872264585268878E-2</v>
      </c>
      <c r="BH246" s="2813"/>
    </row>
    <row r="247" spans="1:60" s="509" customFormat="1" ht="14.5" hidden="1" outlineLevel="1">
      <c r="A247" s="616">
        <f t="shared" si="377"/>
        <v>220</v>
      </c>
      <c r="B247" s="616">
        <v>1</v>
      </c>
      <c r="C247" s="616">
        <f t="shared" si="352"/>
        <v>244</v>
      </c>
      <c r="D247" s="709" t="s">
        <v>1308</v>
      </c>
      <c r="E247" s="2547">
        <v>1</v>
      </c>
      <c r="F247" s="4"/>
      <c r="G247" s="4"/>
      <c r="H247" s="506"/>
      <c r="I247" s="507"/>
      <c r="J247" s="503"/>
      <c r="K247" s="506"/>
      <c r="L247" s="506"/>
      <c r="M247" s="508" t="s">
        <v>1390</v>
      </c>
      <c r="N247" s="508"/>
      <c r="O247" s="508"/>
      <c r="P247" s="508"/>
      <c r="Q247" s="1797" t="str">
        <f>CHOOSE(2, "6722000003166", "PL (3) Gross Profit NH (%)")</f>
        <v>PL (3) Gross Profit NH (%)</v>
      </c>
      <c r="R247" s="1310">
        <f t="shared" si="397"/>
        <v>0.10144677919393731</v>
      </c>
      <c r="S247" s="1286">
        <f t="shared" si="397"/>
        <v>0.4163329270416159</v>
      </c>
      <c r="T247" s="1286">
        <f t="shared" si="397"/>
        <v>0.14697630922693267</v>
      </c>
      <c r="U247" s="1286">
        <f t="shared" si="397"/>
        <v>0.20621704135442687</v>
      </c>
      <c r="V247" s="1286">
        <f t="shared" si="397"/>
        <v>0.26003960929754794</v>
      </c>
      <c r="W247" s="1286">
        <f t="shared" si="397"/>
        <v>7.5535397480939528E-2</v>
      </c>
      <c r="X247" s="1286">
        <f t="shared" si="397"/>
        <v>0.39132302405498282</v>
      </c>
      <c r="Y247" s="1286">
        <f t="shared" si="397"/>
        <v>0.1968271795591745</v>
      </c>
      <c r="Z247" s="1286">
        <f t="shared" si="397"/>
        <v>0.20698747528015821</v>
      </c>
      <c r="AA247" s="1286">
        <f t="shared" si="397"/>
        <v>9.372430802959715E-2</v>
      </c>
      <c r="AB247" s="1286">
        <f t="shared" si="397"/>
        <v>9.8335557042688676E-2</v>
      </c>
      <c r="AC247" s="1286">
        <f t="shared" si="397"/>
        <v>-1.0272454398522282</v>
      </c>
      <c r="AD247" s="1286">
        <f t="shared" si="390"/>
        <v>0.2183690509323685</v>
      </c>
      <c r="AE247" s="1286">
        <f t="shared" si="390"/>
        <v>0.17783390898515353</v>
      </c>
      <c r="AF247" s="1286">
        <f t="shared" si="390"/>
        <v>0.26300018439977874</v>
      </c>
      <c r="AG247" s="1286">
        <f t="shared" si="390"/>
        <v>-0.30028455637670892</v>
      </c>
      <c r="AH247" s="1286">
        <f t="shared" si="390"/>
        <v>0.19545547461052409</v>
      </c>
      <c r="AI247" s="1286">
        <f t="shared" si="390"/>
        <v>-3.6010630934973094E-2</v>
      </c>
      <c r="AJ247" s="1286">
        <f t="shared" si="390"/>
        <v>7.3232483005824661E-2</v>
      </c>
      <c r="AL247" s="1310">
        <f ca="1">SUM((INDIRECT(AL$2&amp;(ROW())):INDIRECT(AL$3&amp;(ROW()))))</f>
        <v>-1.0272454398522282</v>
      </c>
      <c r="AM247" s="1286">
        <f ca="1">SUM(INDIRECT(AM$1&amp;AM$2&amp;$C247):INDIRECT(AM$1&amp;AM$3&amp;$C247))</f>
        <v>0</v>
      </c>
      <c r="AN247" s="1286">
        <f t="shared" ca="1" si="354"/>
        <v>-1.0272454398522282</v>
      </c>
      <c r="AO247" s="2811"/>
      <c r="AP247" s="1286">
        <f ca="1">SUM(INDIRECT(AP$1&amp;AP$2&amp;$A247):INDIRECT(AP$1&amp;AP$3&amp;$A247))</f>
        <v>0</v>
      </c>
      <c r="AQ247" s="1286">
        <f t="shared" ca="1" si="356"/>
        <v>-1.0272454398522282</v>
      </c>
      <c r="AR247" s="2811"/>
      <c r="AT247" s="1310">
        <f ca="1">SUM((INDIRECT(AT$2&amp;(ROW())):INDIRECT(AT$3&amp;(ROW()))))</f>
        <v>-0.83518557477994237</v>
      </c>
      <c r="AU247" s="1286">
        <f ca="1">SUM(INDIRECT(AU$1&amp;AU$2&amp;$C247):INDIRECT(AU$1&amp;AU$3&amp;$C247))</f>
        <v>0</v>
      </c>
      <c r="AV247" s="1286">
        <f t="shared" ca="1" si="358"/>
        <v>-0.83518557477994237</v>
      </c>
      <c r="AW247" s="2811"/>
      <c r="AX247" s="1286">
        <f ca="1">SUM(INDIRECT(AX$1&amp;AX$2&amp;$A247):INDIRECT(AX$1&amp;AX$3&amp;$A247))</f>
        <v>0</v>
      </c>
      <c r="AY247" s="1286">
        <f t="shared" ca="1" si="360"/>
        <v>-0.83518557477994237</v>
      </c>
      <c r="AZ247" s="2811"/>
      <c r="BB247" s="1310">
        <f ca="1">SUM((INDIRECT(BB$2&amp;(ROW())):INDIRECT(BB$3&amp;(ROW()))))</f>
        <v>1.1665001677097733</v>
      </c>
      <c r="BC247" s="1286">
        <f ca="1">SUM(INDIRECT(BC$1&amp;BC$2&amp;$C247):INDIRECT(BC$1&amp;BC$3&amp;$C247))</f>
        <v>0</v>
      </c>
      <c r="BD247" s="1286">
        <f t="shared" ca="1" si="362"/>
        <v>1.1665001677097733</v>
      </c>
      <c r="BE247" s="2811"/>
      <c r="BF247" s="1286">
        <f ca="1">SUM(INDIRECT(BF$1&amp;BF$2&amp;$A247):INDIRECT(BF$1&amp;BF$3&amp;$A247))</f>
        <v>0</v>
      </c>
      <c r="BG247" s="1286">
        <f t="shared" ca="1" si="364"/>
        <v>1.1665001677097733</v>
      </c>
      <c r="BH247" s="2811"/>
    </row>
    <row r="248" spans="1:60" s="509" customFormat="1" ht="14.5" hidden="1" outlineLevel="1">
      <c r="A248" s="616">
        <f t="shared" si="377"/>
        <v>221</v>
      </c>
      <c r="B248" s="616">
        <v>1</v>
      </c>
      <c r="C248" s="616">
        <f t="shared" si="352"/>
        <v>245</v>
      </c>
      <c r="D248" s="709" t="s">
        <v>1308</v>
      </c>
      <c r="E248" s="2547">
        <v>1</v>
      </c>
      <c r="F248" s="4"/>
      <c r="G248" s="4"/>
      <c r="H248" s="506"/>
      <c r="I248" s="507"/>
      <c r="J248" s="503"/>
      <c r="K248" s="506"/>
      <c r="L248" s="506"/>
      <c r="M248" s="506"/>
      <c r="N248" s="503" t="s">
        <v>588</v>
      </c>
      <c r="O248" s="503"/>
      <c r="P248" s="503"/>
      <c r="Q248" s="1785" t="str">
        <f>CHOOSE(2, "6722000003167", "PL (3) Gross Profit NH (%) KM-1/KM-1e (%)")</f>
        <v>PL (3) Gross Profit NH (%) KM-1/KM-1e (%)</v>
      </c>
      <c r="R248" s="1311">
        <f t="shared" si="397"/>
        <v>-0.38379530916844351</v>
      </c>
      <c r="S248" s="1285">
        <f t="shared" si="397"/>
        <v>-0.52029520295202947</v>
      </c>
      <c r="T248" s="1285">
        <f t="shared" si="397"/>
        <v>-9.7538742023700997E-2</v>
      </c>
      <c r="U248" s="1285">
        <f t="shared" si="397"/>
        <v>-0.35153583617747441</v>
      </c>
      <c r="V248" s="1285">
        <f t="shared" si="397"/>
        <v>-0.40055515826671922</v>
      </c>
      <c r="W248" s="1285">
        <f t="shared" si="397"/>
        <v>-2.5536159600997506</v>
      </c>
      <c r="X248" s="1285">
        <f t="shared" si="397"/>
        <v>0.49736247174076864</v>
      </c>
      <c r="Y248" s="1285">
        <f t="shared" si="397"/>
        <v>-0.15403726708074533</v>
      </c>
      <c r="Z248" s="1285">
        <f t="shared" si="397"/>
        <v>-0.48157248157248156</v>
      </c>
      <c r="AA248" s="1285">
        <f t="shared" si="397"/>
        <v>1.516431924882629</v>
      </c>
      <c r="AB248" s="1285">
        <f t="shared" si="397"/>
        <v>0.48177978718611386</v>
      </c>
      <c r="AC248" s="1285">
        <f t="shared" si="397"/>
        <v>2.0402930402930401</v>
      </c>
      <c r="AD248" s="1285">
        <f t="shared" si="390"/>
        <v>-0.26366001734605377</v>
      </c>
      <c r="AE248" s="1285">
        <f t="shared" si="390"/>
        <v>-0.93349092150491564</v>
      </c>
      <c r="AF248" s="1285">
        <f t="shared" si="390"/>
        <v>0.13391098857818037</v>
      </c>
      <c r="AG248" s="1285">
        <f t="shared" si="390"/>
        <v>-5.2240449838717202</v>
      </c>
      <c r="AH248" s="1285">
        <f t="shared" si="390"/>
        <v>-0.53178643746372767</v>
      </c>
      <c r="AI248" s="1285">
        <f t="shared" si="390"/>
        <v>-0.50254498038355488</v>
      </c>
      <c r="AJ248" s="1285">
        <f t="shared" si="390"/>
        <v>-0.51926093385290706</v>
      </c>
      <c r="AL248" s="1311">
        <f t="shared" ref="AL248:AM253" ca="1" si="398">IFERROR(AL262/AL217,0)</f>
        <v>2.0402930402930401</v>
      </c>
      <c r="AM248" s="1285">
        <f t="shared" ca="1" si="398"/>
        <v>0</v>
      </c>
      <c r="AN248" s="1285">
        <f t="shared" ca="1" si="354"/>
        <v>2.0402930402930401</v>
      </c>
      <c r="AO248" s="2812"/>
      <c r="AP248" s="1285">
        <f t="shared" ref="AP248:AP253" ca="1" si="399">IFERROR(AP262/AP217,0)</f>
        <v>0</v>
      </c>
      <c r="AQ248" s="1285">
        <f t="shared" ca="1" si="356"/>
        <v>2.0402930402930401</v>
      </c>
      <c r="AR248" s="2812"/>
      <c r="AT248" s="1311">
        <f t="shared" ref="AT248:AU253" ca="1" si="400">IFERROR(AT262/AT217,0)</f>
        <v>-5.2240449838717202</v>
      </c>
      <c r="AU248" s="1285">
        <f t="shared" ca="1" si="400"/>
        <v>0</v>
      </c>
      <c r="AV248" s="1285">
        <f t="shared" ca="1" si="358"/>
        <v>-5.2240449838717202</v>
      </c>
      <c r="AW248" s="2812"/>
      <c r="AX248" s="1285">
        <f t="shared" ref="AX248:AX253" ca="1" si="401">IFERROR(AX262/AX217,0)</f>
        <v>0</v>
      </c>
      <c r="AY248" s="1285">
        <f t="shared" ca="1" si="360"/>
        <v>-5.2240449838717202</v>
      </c>
      <c r="AZ248" s="2812"/>
      <c r="BB248" s="1311">
        <f t="shared" ref="BB248:BC253" ca="1" si="402">IFERROR(BB262/BB217,0)</f>
        <v>-0.51926093385290695</v>
      </c>
      <c r="BC248" s="1285">
        <f t="shared" ca="1" si="402"/>
        <v>0</v>
      </c>
      <c r="BD248" s="1285">
        <f t="shared" ca="1" si="362"/>
        <v>-0.51926093385290695</v>
      </c>
      <c r="BE248" s="2812"/>
      <c r="BF248" s="1285">
        <f t="shared" ref="BF248:BF253" ca="1" si="403">IFERROR(BF262/BF217,0)</f>
        <v>0</v>
      </c>
      <c r="BG248" s="1285">
        <f t="shared" ca="1" si="364"/>
        <v>-0.51926093385290695</v>
      </c>
      <c r="BH248" s="2812"/>
    </row>
    <row r="249" spans="1:60" s="509" customFormat="1" ht="14.5" hidden="1" outlineLevel="1">
      <c r="A249" s="616">
        <f t="shared" si="377"/>
        <v>222</v>
      </c>
      <c r="B249" s="616">
        <v>1</v>
      </c>
      <c r="C249" s="616">
        <f t="shared" si="352"/>
        <v>246</v>
      </c>
      <c r="D249" s="709" t="s">
        <v>1308</v>
      </c>
      <c r="E249" s="2547">
        <v>1</v>
      </c>
      <c r="F249" s="4"/>
      <c r="G249" s="4"/>
      <c r="H249" s="506"/>
      <c r="I249" s="507"/>
      <c r="J249" s="503"/>
      <c r="K249" s="506"/>
      <c r="L249" s="506"/>
      <c r="M249" s="506"/>
      <c r="N249" s="503" t="s">
        <v>1407</v>
      </c>
      <c r="O249" s="503"/>
      <c r="P249" s="503"/>
      <c r="Q249" s="1785" t="str">
        <f>CHOOSE(2, "6722000003168", "PL (3) Gross Profit NH (%) Label Printer (%)")</f>
        <v>PL (3) Gross Profit NH (%) Label Printer (%)</v>
      </c>
      <c r="R249" s="1311">
        <f t="shared" si="397"/>
        <v>0.77179487179487183</v>
      </c>
      <c r="S249" s="1285">
        <f t="shared" si="397"/>
        <v>0.78758565094719868</v>
      </c>
      <c r="T249" s="1285">
        <f t="shared" si="397"/>
        <v>0.77725783809078142</v>
      </c>
      <c r="U249" s="1285">
        <f t="shared" si="397"/>
        <v>0.75516082573211718</v>
      </c>
      <c r="V249" s="1285">
        <f t="shared" si="397"/>
        <v>0.7851666030418577</v>
      </c>
      <c r="W249" s="1285">
        <f t="shared" si="397"/>
        <v>0.64985468780969768</v>
      </c>
      <c r="X249" s="1285">
        <f t="shared" si="397"/>
        <v>0.80400628436763555</v>
      </c>
      <c r="Y249" s="1285">
        <f t="shared" si="397"/>
        <v>0.69829787234042551</v>
      </c>
      <c r="Z249" s="1285">
        <f t="shared" si="397"/>
        <v>0.74600870827285926</v>
      </c>
      <c r="AA249" s="1285">
        <f t="shared" si="397"/>
        <v>0.75316455696202533</v>
      </c>
      <c r="AB249" s="1285">
        <f t="shared" si="397"/>
        <v>0.34027325959661681</v>
      </c>
      <c r="AC249" s="1285">
        <f t="shared" si="397"/>
        <v>0.57416829745596865</v>
      </c>
      <c r="AD249" s="1285">
        <f t="shared" si="390"/>
        <v>0.7791031905720035</v>
      </c>
      <c r="AE249" s="1285">
        <f t="shared" si="390"/>
        <v>0.73747413385877503</v>
      </c>
      <c r="AF249" s="1285">
        <f t="shared" si="390"/>
        <v>0.75065342394145318</v>
      </c>
      <c r="AG249" s="1285">
        <f t="shared" si="390"/>
        <v>0.60696423516089459</v>
      </c>
      <c r="AH249" s="1285">
        <f t="shared" si="390"/>
        <v>0.75940432690480431</v>
      </c>
      <c r="AI249" s="1285">
        <f t="shared" si="390"/>
        <v>0.66721464189818624</v>
      </c>
      <c r="AJ249" s="1285">
        <f t="shared" si="390"/>
        <v>0.70592283931797684</v>
      </c>
      <c r="AL249" s="1311">
        <f t="shared" ca="1" si="398"/>
        <v>0.57416829745596865</v>
      </c>
      <c r="AM249" s="1285">
        <f t="shared" ca="1" si="398"/>
        <v>0</v>
      </c>
      <c r="AN249" s="1285">
        <f t="shared" ca="1" si="354"/>
        <v>0.57416829745596865</v>
      </c>
      <c r="AO249" s="2812"/>
      <c r="AP249" s="1285">
        <f t="shared" ca="1" si="399"/>
        <v>0</v>
      </c>
      <c r="AQ249" s="1285">
        <f t="shared" ca="1" si="356"/>
        <v>0.57416829745596865</v>
      </c>
      <c r="AR249" s="2812"/>
      <c r="AT249" s="1311">
        <f t="shared" ca="1" si="400"/>
        <v>0.60696423516089459</v>
      </c>
      <c r="AU249" s="1285">
        <f t="shared" ca="1" si="400"/>
        <v>0</v>
      </c>
      <c r="AV249" s="1285">
        <f t="shared" ca="1" si="358"/>
        <v>0.60696423516089459</v>
      </c>
      <c r="AW249" s="2812"/>
      <c r="AX249" s="1285">
        <f t="shared" ca="1" si="401"/>
        <v>0</v>
      </c>
      <c r="AY249" s="1285">
        <f t="shared" ca="1" si="360"/>
        <v>0.60696423516089459</v>
      </c>
      <c r="AZ249" s="2812"/>
      <c r="BB249" s="1311">
        <f t="shared" ca="1" si="402"/>
        <v>0.70592283931797695</v>
      </c>
      <c r="BC249" s="1285">
        <f t="shared" ca="1" si="402"/>
        <v>0</v>
      </c>
      <c r="BD249" s="1285">
        <f t="shared" ca="1" si="362"/>
        <v>0.70592283931797695</v>
      </c>
      <c r="BE249" s="2812"/>
      <c r="BF249" s="1285">
        <f t="shared" ca="1" si="403"/>
        <v>0</v>
      </c>
      <c r="BG249" s="1285">
        <f t="shared" ca="1" si="364"/>
        <v>0.70592283931797695</v>
      </c>
      <c r="BH249" s="2812"/>
    </row>
    <row r="250" spans="1:60" s="509" customFormat="1" ht="14.5" hidden="1" outlineLevel="1">
      <c r="A250" s="616">
        <f t="shared" si="377"/>
        <v>223</v>
      </c>
      <c r="B250" s="616">
        <v>1</v>
      </c>
      <c r="C250" s="616">
        <f t="shared" si="352"/>
        <v>247</v>
      </c>
      <c r="D250" s="709" t="s">
        <v>1308</v>
      </c>
      <c r="E250" s="2547">
        <v>1</v>
      </c>
      <c r="F250" s="4"/>
      <c r="G250" s="4"/>
      <c r="H250" s="506"/>
      <c r="I250" s="507"/>
      <c r="J250" s="503"/>
      <c r="K250" s="506"/>
      <c r="L250" s="506"/>
      <c r="M250" s="506"/>
      <c r="N250" s="503" t="s">
        <v>1408</v>
      </c>
      <c r="O250" s="503"/>
      <c r="P250" s="866"/>
      <c r="Q250" s="1785" t="str">
        <f>CHOOSE(2, "6722000003169", "PL (3) Gross Profit NH (%) MGI (%)")</f>
        <v>PL (3) Gross Profit NH (%) MGI (%)</v>
      </c>
      <c r="R250" s="1311">
        <f t="shared" si="397"/>
        <v>-0.339003164556962</v>
      </c>
      <c r="S250" s="1285">
        <f t="shared" si="397"/>
        <v>0.19324640588431963</v>
      </c>
      <c r="T250" s="1285">
        <f t="shared" si="397"/>
        <v>-0.19201759899434317</v>
      </c>
      <c r="U250" s="1285">
        <f t="shared" si="397"/>
        <v>5.2309142318567391E-2</v>
      </c>
      <c r="V250" s="1285">
        <f t="shared" si="397"/>
        <v>4.6446634529145422E-2</v>
      </c>
      <c r="W250" s="1285">
        <f t="shared" si="397"/>
        <v>8.4360804672290721E-2</v>
      </c>
      <c r="X250" s="1285">
        <f t="shared" si="397"/>
        <v>8.3574413371906141E-3</v>
      </c>
      <c r="Y250" s="1285">
        <f t="shared" si="397"/>
        <v>-2.8981854838709676E-2</v>
      </c>
      <c r="Z250" s="1285">
        <f t="shared" si="397"/>
        <v>-6.5581184984170066E-2</v>
      </c>
      <c r="AA250" s="1285">
        <f t="shared" si="397"/>
        <v>-0.15318377520960796</v>
      </c>
      <c r="AB250" s="1285">
        <f t="shared" si="397"/>
        <v>-0.12173571568819949</v>
      </c>
      <c r="AC250" s="1285">
        <f t="shared" si="397"/>
        <v>-2.6154221571498293</v>
      </c>
      <c r="AD250" s="1285">
        <f t="shared" si="390"/>
        <v>-0.10228709343753592</v>
      </c>
      <c r="AE250" s="1285">
        <f t="shared" si="390"/>
        <v>6.3053458497260226E-2</v>
      </c>
      <c r="AF250" s="1285">
        <f t="shared" si="390"/>
        <v>-3.2953656203808364E-2</v>
      </c>
      <c r="AG250" s="1285">
        <f t="shared" si="390"/>
        <v>-0.8831226109967657</v>
      </c>
      <c r="AH250" s="1285">
        <f t="shared" si="390"/>
        <v>3.7821483572909945E-3</v>
      </c>
      <c r="AI250" s="1285">
        <f t="shared" si="390"/>
        <v>-0.49364668392750449</v>
      </c>
      <c r="AJ250" s="1285">
        <f t="shared" si="390"/>
        <v>-0.249128570901304</v>
      </c>
      <c r="AL250" s="1311">
        <f t="shared" ca="1" si="398"/>
        <v>-2.6154221571498293</v>
      </c>
      <c r="AM250" s="1285">
        <f t="shared" ca="1" si="398"/>
        <v>0.29279365079365077</v>
      </c>
      <c r="AN250" s="1285">
        <f t="shared" ca="1" si="354"/>
        <v>-2.9082158079434799</v>
      </c>
      <c r="AO250" s="2812"/>
      <c r="AP250" s="1285">
        <f t="shared" ca="1" si="399"/>
        <v>0</v>
      </c>
      <c r="AQ250" s="1285">
        <f t="shared" ca="1" si="356"/>
        <v>-2.6154221571498293</v>
      </c>
      <c r="AR250" s="2812"/>
      <c r="AT250" s="1311">
        <f t="shared" ca="1" si="400"/>
        <v>-0.8831226109967657</v>
      </c>
      <c r="AU250" s="1285">
        <f t="shared" ca="1" si="400"/>
        <v>0.29539487179487178</v>
      </c>
      <c r="AV250" s="1285">
        <f t="shared" ca="1" si="358"/>
        <v>-1.1785174827916376</v>
      </c>
      <c r="AW250" s="2812"/>
      <c r="AX250" s="1285">
        <f t="shared" ca="1" si="401"/>
        <v>0</v>
      </c>
      <c r="AY250" s="1285">
        <f t="shared" ca="1" si="360"/>
        <v>-0.8831226109967657</v>
      </c>
      <c r="AZ250" s="2812"/>
      <c r="BB250" s="1311">
        <f t="shared" ca="1" si="402"/>
        <v>-0.249128570901304</v>
      </c>
      <c r="BC250" s="1285">
        <f t="shared" ca="1" si="402"/>
        <v>0.30023602484472051</v>
      </c>
      <c r="BD250" s="1285">
        <f t="shared" ca="1" si="362"/>
        <v>-0.54936459574602448</v>
      </c>
      <c r="BE250" s="2812"/>
      <c r="BF250" s="1285">
        <f t="shared" ca="1" si="403"/>
        <v>0</v>
      </c>
      <c r="BG250" s="1285">
        <f t="shared" ca="1" si="364"/>
        <v>-0.249128570901304</v>
      </c>
      <c r="BH250" s="2812"/>
    </row>
    <row r="251" spans="1:60" s="509" customFormat="1" ht="14.5" hidden="1" outlineLevel="1">
      <c r="A251" s="616">
        <f t="shared" si="377"/>
        <v>224</v>
      </c>
      <c r="B251" s="616">
        <v>1</v>
      </c>
      <c r="C251" s="616">
        <f t="shared" si="352"/>
        <v>248</v>
      </c>
      <c r="D251" s="709" t="s">
        <v>1308</v>
      </c>
      <c r="E251" s="2547">
        <v>1</v>
      </c>
      <c r="F251" s="4"/>
      <c r="G251" s="4"/>
      <c r="H251" s="506"/>
      <c r="I251" s="507"/>
      <c r="J251" s="503"/>
      <c r="K251" s="506"/>
      <c r="L251" s="506"/>
      <c r="M251" s="506"/>
      <c r="N251" s="503" t="s">
        <v>1409</v>
      </c>
      <c r="O251" s="503"/>
      <c r="P251" s="503"/>
      <c r="Q251" s="1785" t="str">
        <f>CHOOSE(2, "6722000003170", "PL (3) Gross Profit NH (%) EFI/LF (%)")</f>
        <v>PL (3) Gross Profit NH (%) EFI/LF (%)</v>
      </c>
      <c r="R251" s="1311">
        <f t="shared" si="397"/>
        <v>0</v>
      </c>
      <c r="S251" s="1285">
        <f t="shared" si="397"/>
        <v>0</v>
      </c>
      <c r="T251" s="1285">
        <f t="shared" si="397"/>
        <v>0</v>
      </c>
      <c r="U251" s="1285">
        <f t="shared" si="397"/>
        <v>0</v>
      </c>
      <c r="V251" s="1285">
        <f t="shared" si="397"/>
        <v>0</v>
      </c>
      <c r="W251" s="1285">
        <f t="shared" si="397"/>
        <v>0</v>
      </c>
      <c r="X251" s="1285">
        <f t="shared" si="397"/>
        <v>0</v>
      </c>
      <c r="Y251" s="1285">
        <f t="shared" si="397"/>
        <v>0</v>
      </c>
      <c r="Z251" s="1285">
        <f t="shared" si="397"/>
        <v>0</v>
      </c>
      <c r="AA251" s="1285">
        <f t="shared" si="397"/>
        <v>0</v>
      </c>
      <c r="AB251" s="1285">
        <f t="shared" si="397"/>
        <v>0</v>
      </c>
      <c r="AC251" s="1285">
        <f t="shared" si="397"/>
        <v>0</v>
      </c>
      <c r="AD251" s="1285">
        <f t="shared" si="390"/>
        <v>0</v>
      </c>
      <c r="AE251" s="1285">
        <f t="shared" si="390"/>
        <v>0</v>
      </c>
      <c r="AF251" s="1285">
        <f t="shared" si="390"/>
        <v>0</v>
      </c>
      <c r="AG251" s="1285">
        <f t="shared" si="390"/>
        <v>0</v>
      </c>
      <c r="AH251" s="1285">
        <f t="shared" si="390"/>
        <v>0</v>
      </c>
      <c r="AI251" s="1285">
        <f t="shared" si="390"/>
        <v>0</v>
      </c>
      <c r="AJ251" s="1285">
        <f t="shared" si="390"/>
        <v>0</v>
      </c>
      <c r="AL251" s="1311">
        <f t="shared" ca="1" si="398"/>
        <v>0</v>
      </c>
      <c r="AM251" s="1285">
        <f t="shared" ca="1" si="398"/>
        <v>-0.2857142857142857</v>
      </c>
      <c r="AN251" s="1285">
        <f t="shared" ca="1" si="354"/>
        <v>0.2857142857142857</v>
      </c>
      <c r="AO251" s="2812"/>
      <c r="AP251" s="1285">
        <f t="shared" ca="1" si="399"/>
        <v>0</v>
      </c>
      <c r="AQ251" s="1285">
        <f t="shared" ca="1" si="356"/>
        <v>0</v>
      </c>
      <c r="AR251" s="2812"/>
      <c r="AT251" s="1311">
        <f t="shared" ca="1" si="400"/>
        <v>0</v>
      </c>
      <c r="AU251" s="1285">
        <f t="shared" ca="1" si="400"/>
        <v>-0.2857142857142857</v>
      </c>
      <c r="AV251" s="1285">
        <f t="shared" ca="1" si="358"/>
        <v>0.2857142857142857</v>
      </c>
      <c r="AW251" s="2812"/>
      <c r="AX251" s="1285">
        <f t="shared" ca="1" si="401"/>
        <v>0</v>
      </c>
      <c r="AY251" s="1285">
        <f t="shared" ca="1" si="360"/>
        <v>0</v>
      </c>
      <c r="AZ251" s="2812"/>
      <c r="BB251" s="1311">
        <f t="shared" ca="1" si="402"/>
        <v>0</v>
      </c>
      <c r="BC251" s="1285">
        <f t="shared" ca="1" si="402"/>
        <v>-0.2857142857142857</v>
      </c>
      <c r="BD251" s="1285">
        <f t="shared" ca="1" si="362"/>
        <v>0.2857142857142857</v>
      </c>
      <c r="BE251" s="2812"/>
      <c r="BF251" s="1285">
        <f t="shared" ca="1" si="403"/>
        <v>0</v>
      </c>
      <c r="BG251" s="1285">
        <f t="shared" ca="1" si="364"/>
        <v>0</v>
      </c>
      <c r="BH251" s="2812"/>
    </row>
    <row r="252" spans="1:60" s="509" customFormat="1" ht="14.5" hidden="1" outlineLevel="1">
      <c r="A252" s="616">
        <f t="shared" si="377"/>
        <v>225</v>
      </c>
      <c r="B252" s="616">
        <v>1</v>
      </c>
      <c r="C252" s="616">
        <f t="shared" si="352"/>
        <v>249</v>
      </c>
      <c r="D252" s="709" t="s">
        <v>1308</v>
      </c>
      <c r="E252" s="2547">
        <v>1</v>
      </c>
      <c r="F252" s="4"/>
      <c r="G252" s="4"/>
      <c r="H252" s="506"/>
      <c r="I252" s="507"/>
      <c r="J252" s="503"/>
      <c r="K252" s="506"/>
      <c r="L252" s="506"/>
      <c r="M252" s="506"/>
      <c r="N252" s="503" t="s">
        <v>1410</v>
      </c>
      <c r="O252" s="503"/>
      <c r="P252" s="503"/>
      <c r="Q252" s="1785" t="str">
        <f>CHOOSE(2, "6722000003171", "PL (3) Gross Profit NH (%) Textile Printer (%)")</f>
        <v>PL (3) Gross Profit NH (%) Textile Printer (%)</v>
      </c>
      <c r="R252" s="1311">
        <f t="shared" si="397"/>
        <v>0</v>
      </c>
      <c r="S252" s="1285">
        <f t="shared" si="397"/>
        <v>0</v>
      </c>
      <c r="T252" s="1285">
        <f t="shared" si="397"/>
        <v>0</v>
      </c>
      <c r="U252" s="1285">
        <f t="shared" si="397"/>
        <v>0</v>
      </c>
      <c r="V252" s="1285">
        <f t="shared" si="397"/>
        <v>0</v>
      </c>
      <c r="W252" s="1285">
        <f t="shared" si="397"/>
        <v>0</v>
      </c>
      <c r="X252" s="1285">
        <f t="shared" si="397"/>
        <v>0</v>
      </c>
      <c r="Y252" s="1285">
        <f t="shared" si="397"/>
        <v>0</v>
      </c>
      <c r="Z252" s="1285">
        <f t="shared" si="397"/>
        <v>0</v>
      </c>
      <c r="AA252" s="1285">
        <f t="shared" si="397"/>
        <v>0</v>
      </c>
      <c r="AB252" s="1285">
        <f t="shared" si="397"/>
        <v>0</v>
      </c>
      <c r="AC252" s="1285">
        <f t="shared" si="397"/>
        <v>0</v>
      </c>
      <c r="AD252" s="1285">
        <f t="shared" si="390"/>
        <v>0</v>
      </c>
      <c r="AE252" s="1285">
        <f t="shared" si="390"/>
        <v>0</v>
      </c>
      <c r="AF252" s="1285">
        <f t="shared" si="390"/>
        <v>0</v>
      </c>
      <c r="AG252" s="1285">
        <f t="shared" si="390"/>
        <v>0</v>
      </c>
      <c r="AH252" s="1285">
        <f t="shared" si="390"/>
        <v>0</v>
      </c>
      <c r="AI252" s="1285">
        <f t="shared" si="390"/>
        <v>0</v>
      </c>
      <c r="AJ252" s="1285">
        <f t="shared" si="390"/>
        <v>0</v>
      </c>
      <c r="AL252" s="1311">
        <f t="shared" ca="1" si="398"/>
        <v>0</v>
      </c>
      <c r="AM252" s="1285">
        <f t="shared" ca="1" si="398"/>
        <v>0.7302142857142857</v>
      </c>
      <c r="AN252" s="1285">
        <f t="shared" ca="1" si="354"/>
        <v>-0.7302142857142857</v>
      </c>
      <c r="AO252" s="2812"/>
      <c r="AP252" s="1285">
        <f t="shared" ca="1" si="399"/>
        <v>8.3318230909518862E-7</v>
      </c>
      <c r="AQ252" s="1285">
        <f t="shared" ca="1" si="356"/>
        <v>-8.3318230909518862E-7</v>
      </c>
      <c r="AR252" s="2812"/>
      <c r="AT252" s="1311">
        <f t="shared" ca="1" si="400"/>
        <v>0</v>
      </c>
      <c r="AU252" s="1285">
        <f t="shared" ca="1" si="400"/>
        <v>0.73955813953488381</v>
      </c>
      <c r="AV252" s="1285">
        <f t="shared" ca="1" si="358"/>
        <v>-0.73955813953488381</v>
      </c>
      <c r="AW252" s="2812"/>
      <c r="AX252" s="1285">
        <f t="shared" ca="1" si="401"/>
        <v>-3.0131458111332123E-6</v>
      </c>
      <c r="AY252" s="1285">
        <f t="shared" ca="1" si="360"/>
        <v>3.0131458111332123E-6</v>
      </c>
      <c r="AZ252" s="2812"/>
      <c r="BB252" s="1311">
        <f t="shared" ca="1" si="402"/>
        <v>0</v>
      </c>
      <c r="BC252" s="1285">
        <f t="shared" ca="1" si="402"/>
        <v>0.74598601398601405</v>
      </c>
      <c r="BD252" s="1285">
        <f t="shared" ca="1" si="362"/>
        <v>-0.74598601398601405</v>
      </c>
      <c r="BE252" s="2812"/>
      <c r="BF252" s="1285">
        <f t="shared" ca="1" si="403"/>
        <v>2.8082489276241547E-7</v>
      </c>
      <c r="BG252" s="1285">
        <f t="shared" ca="1" si="364"/>
        <v>-2.8082489276241547E-7</v>
      </c>
      <c r="BH252" s="2812"/>
    </row>
    <row r="253" spans="1:60" s="509" customFormat="1" ht="14.5" hidden="1" outlineLevel="1">
      <c r="A253" s="616">
        <f t="shared" si="377"/>
        <v>226</v>
      </c>
      <c r="B253" s="616">
        <v>1</v>
      </c>
      <c r="C253" s="616">
        <f t="shared" si="352"/>
        <v>250</v>
      </c>
      <c r="D253" s="709" t="s">
        <v>1308</v>
      </c>
      <c r="E253" s="2547">
        <v>1</v>
      </c>
      <c r="F253" s="4"/>
      <c r="G253" s="4"/>
      <c r="H253" s="506"/>
      <c r="I253" s="507"/>
      <c r="J253" s="503"/>
      <c r="K253" s="506"/>
      <c r="L253" s="506"/>
      <c r="M253" s="512"/>
      <c r="N253" s="511" t="s">
        <v>1391</v>
      </c>
      <c r="O253" s="511"/>
      <c r="P253" s="511"/>
      <c r="Q253" s="1785" t="str">
        <f>CHOOSE(2, "6722000003172", "PL (3) Gross Profit NH (%) Others (%)")</f>
        <v>PL (3) Gross Profit NH (%) Others (%)</v>
      </c>
      <c r="R253" s="1313">
        <f t="shared" si="397"/>
        <v>0</v>
      </c>
      <c r="S253" s="1288">
        <f t="shared" si="397"/>
        <v>0</v>
      </c>
      <c r="T253" s="1288">
        <f t="shared" si="397"/>
        <v>0</v>
      </c>
      <c r="U253" s="1288">
        <f t="shared" si="397"/>
        <v>0</v>
      </c>
      <c r="V253" s="1288">
        <f t="shared" si="397"/>
        <v>0</v>
      </c>
      <c r="W253" s="1288">
        <f t="shared" si="397"/>
        <v>0</v>
      </c>
      <c r="X253" s="1288">
        <f t="shared" si="397"/>
        <v>0</v>
      </c>
      <c r="Y253" s="1288">
        <f t="shared" si="397"/>
        <v>0</v>
      </c>
      <c r="Z253" s="1288">
        <f t="shared" si="397"/>
        <v>0</v>
      </c>
      <c r="AA253" s="1288">
        <f t="shared" si="397"/>
        <v>0</v>
      </c>
      <c r="AB253" s="1288">
        <f t="shared" si="397"/>
        <v>0</v>
      </c>
      <c r="AC253" s="1288">
        <f t="shared" si="397"/>
        <v>0</v>
      </c>
      <c r="AD253" s="1288">
        <f t="shared" si="390"/>
        <v>0</v>
      </c>
      <c r="AE253" s="1288">
        <f t="shared" si="390"/>
        <v>0</v>
      </c>
      <c r="AF253" s="1288">
        <f t="shared" si="390"/>
        <v>0</v>
      </c>
      <c r="AG253" s="1288">
        <f t="shared" si="390"/>
        <v>0</v>
      </c>
      <c r="AH253" s="1288">
        <f t="shared" si="390"/>
        <v>0</v>
      </c>
      <c r="AI253" s="1288">
        <f t="shared" si="390"/>
        <v>0</v>
      </c>
      <c r="AJ253" s="1288">
        <f t="shared" si="390"/>
        <v>0</v>
      </c>
      <c r="AL253" s="1313">
        <f t="shared" ca="1" si="398"/>
        <v>0</v>
      </c>
      <c r="AM253" s="1288">
        <f t="shared" ca="1" si="398"/>
        <v>0</v>
      </c>
      <c r="AN253" s="1288">
        <f t="shared" ca="1" si="354"/>
        <v>0</v>
      </c>
      <c r="AO253" s="2814"/>
      <c r="AP253" s="1288">
        <f t="shared" ca="1" si="399"/>
        <v>0</v>
      </c>
      <c r="AQ253" s="1288">
        <f t="shared" ca="1" si="356"/>
        <v>0</v>
      </c>
      <c r="AR253" s="2814"/>
      <c r="AT253" s="1313">
        <f t="shared" ca="1" si="400"/>
        <v>0</v>
      </c>
      <c r="AU253" s="1288">
        <f t="shared" ca="1" si="400"/>
        <v>0</v>
      </c>
      <c r="AV253" s="1288">
        <f t="shared" ca="1" si="358"/>
        <v>0</v>
      </c>
      <c r="AW253" s="2814"/>
      <c r="AX253" s="1288">
        <f t="shared" ca="1" si="401"/>
        <v>0.6110881243106685</v>
      </c>
      <c r="AY253" s="1288">
        <f t="shared" ca="1" si="360"/>
        <v>-0.6110881243106685</v>
      </c>
      <c r="AZ253" s="2814"/>
      <c r="BB253" s="1313">
        <f t="shared" ca="1" si="402"/>
        <v>0</v>
      </c>
      <c r="BC253" s="1288">
        <f t="shared" ca="1" si="402"/>
        <v>0</v>
      </c>
      <c r="BD253" s="1288">
        <f t="shared" ca="1" si="362"/>
        <v>0</v>
      </c>
      <c r="BE253" s="2814"/>
      <c r="BF253" s="1288">
        <f t="shared" ca="1" si="403"/>
        <v>-13.662586774358587</v>
      </c>
      <c r="BG253" s="1288">
        <f t="shared" ca="1" si="364"/>
        <v>13.662586774358587</v>
      </c>
      <c r="BH253" s="2814"/>
    </row>
    <row r="254" spans="1:60" s="69" customFormat="1" ht="14.5" collapsed="1">
      <c r="A254" s="616">
        <f t="shared" si="377"/>
        <v>227</v>
      </c>
      <c r="B254" s="616">
        <v>1</v>
      </c>
      <c r="C254" s="616">
        <f t="shared" si="352"/>
        <v>251</v>
      </c>
      <c r="D254" s="709" t="s">
        <v>1308</v>
      </c>
      <c r="E254" s="2547">
        <v>1</v>
      </c>
      <c r="F254" s="4"/>
      <c r="G254" s="4"/>
      <c r="H254" s="4"/>
      <c r="I254" s="507"/>
      <c r="J254" s="503"/>
      <c r="K254" s="506"/>
      <c r="L254" s="506"/>
      <c r="M254" s="300" t="s">
        <v>1400</v>
      </c>
      <c r="N254" s="301"/>
      <c r="O254" s="300"/>
      <c r="P254" s="300"/>
      <c r="Q254" s="1796" t="str">
        <f>CHOOSE(2, "6722000003173", "PL (3) Gross Profit HW &amp; Solution")</f>
        <v>PL (3) Gross Profit HW &amp; Solution</v>
      </c>
      <c r="R254" s="1309">
        <f>SUM(R255:R260)</f>
        <v>466</v>
      </c>
      <c r="S254" s="1251">
        <f t="shared" ref="S254:AC254" si="404">SUM(S255:S260)</f>
        <v>-5163</v>
      </c>
      <c r="T254" s="1251">
        <f t="shared" si="404"/>
        <v>7811</v>
      </c>
      <c r="U254" s="1251">
        <f t="shared" si="404"/>
        <v>208</v>
      </c>
      <c r="V254" s="1251">
        <f t="shared" si="404"/>
        <v>1519.330102126642</v>
      </c>
      <c r="W254" s="1251">
        <f t="shared" si="404"/>
        <v>1637</v>
      </c>
      <c r="X254" s="1251">
        <f t="shared" si="404"/>
        <v>152</v>
      </c>
      <c r="Y254" s="1251">
        <f t="shared" si="404"/>
        <v>1090</v>
      </c>
      <c r="Z254" s="1251">
        <f t="shared" si="404"/>
        <v>-10398</v>
      </c>
      <c r="AA254" s="1251">
        <f t="shared" si="404"/>
        <v>5836</v>
      </c>
      <c r="AB254" s="1251">
        <f t="shared" si="404"/>
        <v>-208</v>
      </c>
      <c r="AC254" s="1251">
        <f t="shared" si="404"/>
        <v>16384</v>
      </c>
      <c r="AD254" s="1251">
        <f t="shared" ref="AD254:AD267" si="405">SUM(R254,S254,T254)</f>
        <v>3114</v>
      </c>
      <c r="AE254" s="1251">
        <f t="shared" ref="AE254:AE267" si="406">SUM(U254,V254,W254)</f>
        <v>3364.330102126642</v>
      </c>
      <c r="AF254" s="1251">
        <f t="shared" ref="AF254:AF267" si="407">SUM(X254,Y254,Z254)</f>
        <v>-9156</v>
      </c>
      <c r="AG254" s="1251">
        <f t="shared" ref="AG254:AG267" si="408">SUM(AA254,AB254,AC254)</f>
        <v>22012</v>
      </c>
      <c r="AH254" s="1251">
        <f>AD254+AE254</f>
        <v>6478.3301021266416</v>
      </c>
      <c r="AI254" s="1251">
        <f>AG254+AF254</f>
        <v>12856</v>
      </c>
      <c r="AJ254" s="1251">
        <f>AH254+AI254</f>
        <v>19334.330102126642</v>
      </c>
      <c r="AL254" s="1309">
        <f ca="1">SUM((INDIRECT(AL$2&amp;(ROW())):INDIRECT(AL$3&amp;(ROW()))))</f>
        <v>16384</v>
      </c>
      <c r="AM254" s="1251">
        <f ca="1">SUM(INDIRECT(AM$1&amp;AM$2&amp;$C254):INDIRECT(AM$1&amp;AM$3&amp;$C254))</f>
        <v>0</v>
      </c>
      <c r="AN254" s="3161">
        <f t="shared" ca="1" si="354"/>
        <v>16384</v>
      </c>
      <c r="AO254" s="2810">
        <f t="shared" ref="AO254:AO272" ca="1" si="409">IFERROR(AL254/AM254,0)</f>
        <v>0</v>
      </c>
      <c r="AP254" s="1251">
        <f ca="1">SUM(INDIRECT(AP$1&amp;AP$2&amp;$A254):INDIRECT(AP$1&amp;AP$3&amp;$A254))+SUM(INDIRECT(AP$1&amp;AP$2&amp;$B254):INDIRECT(AP$1&amp;AP$3&amp;$B254))</f>
        <v>0</v>
      </c>
      <c r="AQ254" s="3161">
        <f t="shared" ca="1" si="356"/>
        <v>16384</v>
      </c>
      <c r="AR254" s="2810">
        <f t="shared" ref="AR254:AR272" ca="1" si="410">IFERROR(AL254/AP254,0)</f>
        <v>0</v>
      </c>
      <c r="AT254" s="1309">
        <f ca="1">SUM((INDIRECT(AT$2&amp;(ROW())):INDIRECT(AT$3&amp;(ROW()))))</f>
        <v>22012</v>
      </c>
      <c r="AU254" s="1251">
        <f ca="1">SUM(INDIRECT(AU$1&amp;AU$2&amp;$C254):INDIRECT(AU$1&amp;AU$3&amp;$C254))</f>
        <v>0</v>
      </c>
      <c r="AV254" s="3161">
        <f t="shared" ca="1" si="358"/>
        <v>22012</v>
      </c>
      <c r="AW254" s="2810">
        <f t="shared" ref="AW254:AW272" ca="1" si="411">IFERROR(AT254/AU254,0)</f>
        <v>0</v>
      </c>
      <c r="AX254" s="1251">
        <f ca="1">SUM(INDIRECT(AX$1&amp;AX$2&amp;$A254):INDIRECT(AX$1&amp;AX$3&amp;$A254))+SUM(INDIRECT(AX$1&amp;AX$2&amp;$B254):INDIRECT(AX$1&amp;AX$3&amp;$B254))</f>
        <v>9752</v>
      </c>
      <c r="AY254" s="3161">
        <f t="shared" ca="1" si="360"/>
        <v>12260</v>
      </c>
      <c r="AZ254" s="2810">
        <f t="shared" ref="AZ254:AZ272" ca="1" si="412">IFERROR(AT254/AX254,0)</f>
        <v>2.2571780147662017</v>
      </c>
      <c r="BB254" s="1309">
        <f ca="1">SUM((INDIRECT(BB$2&amp;(ROW())):INDIRECT(BB$3&amp;(ROW()))))</f>
        <v>19334.330102126642</v>
      </c>
      <c r="BC254" s="1251">
        <f ca="1">SUM(INDIRECT(BC$1&amp;BC$2&amp;$C254):INDIRECT(BC$1&amp;BC$3&amp;$C254))</f>
        <v>0</v>
      </c>
      <c r="BD254" s="3161">
        <f t="shared" ca="1" si="362"/>
        <v>19334.330102126642</v>
      </c>
      <c r="BE254" s="2810">
        <f t="shared" ref="BE254:BE272" ca="1" si="413">IFERROR(BB254/BC254,0)</f>
        <v>0</v>
      </c>
      <c r="BF254" s="1251">
        <f ca="1">SUM(INDIRECT(BF$1&amp;BF$2&amp;$A254):INDIRECT(BF$1&amp;BF$3&amp;$A254))+SUM(INDIRECT(BF$1&amp;BF$2&amp;$B254):INDIRECT(BF$1&amp;BF$3&amp;$B254))</f>
        <v>60144</v>
      </c>
      <c r="BG254" s="3161">
        <f t="shared" ca="1" si="364"/>
        <v>-40809.669897873362</v>
      </c>
      <c r="BH254" s="2810">
        <f t="shared" ref="BH254:BH272" ca="1" si="414">IFERROR(BB254/BF254,0)</f>
        <v>0.3214673134830846</v>
      </c>
    </row>
    <row r="255" spans="1:60" s="69" customFormat="1" ht="14.5">
      <c r="A255" s="616">
        <f t="shared" si="377"/>
        <v>228</v>
      </c>
      <c r="B255" s="616">
        <v>1</v>
      </c>
      <c r="C255" s="616">
        <f t="shared" si="352"/>
        <v>252</v>
      </c>
      <c r="D255" s="709" t="s">
        <v>1308</v>
      </c>
      <c r="E255" s="2547">
        <v>1</v>
      </c>
      <c r="F255" s="4"/>
      <c r="G255" s="4"/>
      <c r="H255" s="4"/>
      <c r="I255" s="507"/>
      <c r="J255" s="503"/>
      <c r="K255" s="506"/>
      <c r="L255" s="506"/>
      <c r="M255" s="4"/>
      <c r="N255" s="3" t="s">
        <v>587</v>
      </c>
      <c r="O255" s="3"/>
      <c r="P255" s="3"/>
      <c r="Q255" s="1784" t="str">
        <f>CHOOSE(2, "6722000003174", "PL (3) Gross Profit HW &amp; Solution KM-1/KM-1e")</f>
        <v>PL (3) Gross Profit HW &amp; Solution KM-1/KM-1e</v>
      </c>
      <c r="R255" s="1289">
        <f t="shared" ref="R255:AC260" si="415">R666+R710</f>
        <v>0</v>
      </c>
      <c r="S255" s="1232">
        <f t="shared" si="415"/>
        <v>0</v>
      </c>
      <c r="T255" s="1232">
        <f t="shared" si="415"/>
        <v>0</v>
      </c>
      <c r="U255" s="1232">
        <f t="shared" si="415"/>
        <v>0</v>
      </c>
      <c r="V255" s="1232">
        <f t="shared" si="415"/>
        <v>0</v>
      </c>
      <c r="W255" s="1232">
        <f t="shared" si="415"/>
        <v>0</v>
      </c>
      <c r="X255" s="1232">
        <f t="shared" si="415"/>
        <v>0</v>
      </c>
      <c r="Y255" s="1232">
        <f t="shared" si="415"/>
        <v>0</v>
      </c>
      <c r="Z255" s="1232">
        <f t="shared" si="415"/>
        <v>0</v>
      </c>
      <c r="AA255" s="1232">
        <f t="shared" si="415"/>
        <v>0</v>
      </c>
      <c r="AB255" s="1232">
        <f t="shared" si="415"/>
        <v>0</v>
      </c>
      <c r="AC255" s="1232">
        <f t="shared" si="415"/>
        <v>-2368</v>
      </c>
      <c r="AD255" s="1232">
        <f t="shared" si="405"/>
        <v>0</v>
      </c>
      <c r="AE255" s="1232">
        <f t="shared" si="406"/>
        <v>0</v>
      </c>
      <c r="AF255" s="1232">
        <f t="shared" si="407"/>
        <v>0</v>
      </c>
      <c r="AG255" s="1232">
        <f t="shared" si="408"/>
        <v>-2368</v>
      </c>
      <c r="AH255" s="1232">
        <f t="shared" ref="AH255:AH267" si="416">AD255+AE255</f>
        <v>0</v>
      </c>
      <c r="AI255" s="1232">
        <f t="shared" ref="AI255:AI267" si="417">AG255+AF255</f>
        <v>-2368</v>
      </c>
      <c r="AJ255" s="1232">
        <f t="shared" ref="AJ255:AJ267" si="418">AH255+AI255</f>
        <v>-2368</v>
      </c>
      <c r="AL255" s="1289">
        <f ca="1">SUM((INDIRECT(AL$2&amp;(ROW())):INDIRECT(AL$3&amp;(ROW()))))</f>
        <v>-2368</v>
      </c>
      <c r="AM255" s="1232">
        <f ca="1">SUM(INDIRECT(AM$1&amp;AM$2&amp;$C255):INDIRECT(AM$1&amp;AM$3&amp;$C255))</f>
        <v>0</v>
      </c>
      <c r="AN255" s="3110">
        <f t="shared" ca="1" si="354"/>
        <v>-2368</v>
      </c>
      <c r="AO255" s="2758">
        <f t="shared" ca="1" si="409"/>
        <v>0</v>
      </c>
      <c r="AP255" s="1232">
        <f ca="1">SUM(INDIRECT(AP$1&amp;AP$2&amp;$A255):INDIRECT(AP$1&amp;AP$3&amp;$A255))+SUM(INDIRECT(AP$1&amp;AP$2&amp;$B255):INDIRECT(AP$1&amp;AP$3&amp;$B255))</f>
        <v>0</v>
      </c>
      <c r="AQ255" s="3110">
        <f t="shared" ca="1" si="356"/>
        <v>-2368</v>
      </c>
      <c r="AR255" s="2758">
        <f t="shared" ca="1" si="410"/>
        <v>0</v>
      </c>
      <c r="AT255" s="1289">
        <f ca="1">SUM((INDIRECT(AT$2&amp;(ROW())):INDIRECT(AT$3&amp;(ROW()))))</f>
        <v>-2368</v>
      </c>
      <c r="AU255" s="1232">
        <f ca="1">SUM(INDIRECT(AU$1&amp;AU$2&amp;$C255):INDIRECT(AU$1&amp;AU$3&amp;$C255))</f>
        <v>0</v>
      </c>
      <c r="AV255" s="3110">
        <f t="shared" ca="1" si="358"/>
        <v>-2368</v>
      </c>
      <c r="AW255" s="2758">
        <f t="shared" ca="1" si="411"/>
        <v>0</v>
      </c>
      <c r="AX255" s="1232">
        <f ca="1">SUM(INDIRECT(AX$1&amp;AX$2&amp;$A255):INDIRECT(AX$1&amp;AX$3&amp;$A255))+SUM(INDIRECT(AX$1&amp;AX$2&amp;$B255):INDIRECT(AX$1&amp;AX$3&amp;$B255))</f>
        <v>0</v>
      </c>
      <c r="AY255" s="3110">
        <f t="shared" ca="1" si="360"/>
        <v>-2368</v>
      </c>
      <c r="AZ255" s="2758">
        <f t="shared" ca="1" si="412"/>
        <v>0</v>
      </c>
      <c r="BB255" s="1289">
        <f ca="1">SUM((INDIRECT(BB$2&amp;(ROW())):INDIRECT(BB$3&amp;(ROW()))))</f>
        <v>-2368</v>
      </c>
      <c r="BC255" s="1232">
        <f ca="1">SUM(INDIRECT(BC$1&amp;BC$2&amp;$C255):INDIRECT(BC$1&amp;BC$3&amp;$C255))</f>
        <v>0</v>
      </c>
      <c r="BD255" s="3110">
        <f t="shared" ca="1" si="362"/>
        <v>-2368</v>
      </c>
      <c r="BE255" s="2758">
        <f t="shared" ca="1" si="413"/>
        <v>0</v>
      </c>
      <c r="BF255" s="1232">
        <f ca="1">SUM(INDIRECT(BF$1&amp;BF$2&amp;$A255):INDIRECT(BF$1&amp;BF$3&amp;$A255))+SUM(INDIRECT(BF$1&amp;BF$2&amp;$B255):INDIRECT(BF$1&amp;BF$3&amp;$B255))</f>
        <v>0</v>
      </c>
      <c r="BG255" s="3110">
        <f t="shared" ca="1" si="364"/>
        <v>-2368</v>
      </c>
      <c r="BH255" s="2758">
        <f t="shared" ca="1" si="414"/>
        <v>0</v>
      </c>
    </row>
    <row r="256" spans="1:60" s="69" customFormat="1" ht="14.5">
      <c r="A256" s="616">
        <f t="shared" si="377"/>
        <v>229</v>
      </c>
      <c r="B256" s="616">
        <v>1</v>
      </c>
      <c r="C256" s="616">
        <f t="shared" si="352"/>
        <v>253</v>
      </c>
      <c r="D256" s="709" t="s">
        <v>1308</v>
      </c>
      <c r="E256" s="2547">
        <v>1</v>
      </c>
      <c r="F256" s="4"/>
      <c r="G256" s="4"/>
      <c r="H256" s="4"/>
      <c r="I256" s="507"/>
      <c r="J256" s="503"/>
      <c r="K256" s="506"/>
      <c r="L256" s="506"/>
      <c r="M256" s="4"/>
      <c r="N256" s="3" t="s">
        <v>1401</v>
      </c>
      <c r="O256" s="3"/>
      <c r="P256" s="3"/>
      <c r="Q256" s="1784" t="str">
        <f>CHOOSE(2, "6722000003175", "PL (3) Gross Profit HW &amp; Solution Label Printer")</f>
        <v>PL (3) Gross Profit HW &amp; Solution Label Printer</v>
      </c>
      <c r="R256" s="1289">
        <f t="shared" si="415"/>
        <v>0</v>
      </c>
      <c r="S256" s="1232">
        <f t="shared" si="415"/>
        <v>0</v>
      </c>
      <c r="T256" s="1232">
        <f t="shared" si="415"/>
        <v>5473</v>
      </c>
      <c r="U256" s="1232">
        <f t="shared" si="415"/>
        <v>0</v>
      </c>
      <c r="V256" s="1232">
        <f t="shared" si="415"/>
        <v>0</v>
      </c>
      <c r="W256" s="1232">
        <f t="shared" si="415"/>
        <v>0</v>
      </c>
      <c r="X256" s="1232">
        <f t="shared" si="415"/>
        <v>0</v>
      </c>
      <c r="Y256" s="1232">
        <f t="shared" si="415"/>
        <v>0</v>
      </c>
      <c r="Z256" s="1232">
        <f t="shared" si="415"/>
        <v>-10000</v>
      </c>
      <c r="AA256" s="1232">
        <f t="shared" si="415"/>
        <v>5081</v>
      </c>
      <c r="AB256" s="1232">
        <f t="shared" si="415"/>
        <v>0</v>
      </c>
      <c r="AC256" s="1232">
        <f t="shared" si="415"/>
        <v>14670</v>
      </c>
      <c r="AD256" s="1232">
        <f t="shared" si="405"/>
        <v>5473</v>
      </c>
      <c r="AE256" s="1232">
        <f t="shared" si="406"/>
        <v>0</v>
      </c>
      <c r="AF256" s="1232">
        <f t="shared" si="407"/>
        <v>-10000</v>
      </c>
      <c r="AG256" s="1232">
        <f t="shared" si="408"/>
        <v>19751</v>
      </c>
      <c r="AH256" s="1232">
        <f t="shared" si="416"/>
        <v>5473</v>
      </c>
      <c r="AI256" s="1232">
        <f t="shared" si="417"/>
        <v>9751</v>
      </c>
      <c r="AJ256" s="1232">
        <f t="shared" si="418"/>
        <v>15224</v>
      </c>
      <c r="AL256" s="1289">
        <f ca="1">SUM((INDIRECT(AL$2&amp;(ROW())):INDIRECT(AL$3&amp;(ROW()))))</f>
        <v>14670</v>
      </c>
      <c r="AM256" s="1232">
        <f ca="1">SUM(INDIRECT(AM$1&amp;AM$2&amp;$C256):INDIRECT(AM$1&amp;AM$3&amp;$C256))</f>
        <v>0</v>
      </c>
      <c r="AN256" s="3110">
        <f t="shared" ca="1" si="354"/>
        <v>14670</v>
      </c>
      <c r="AO256" s="2758">
        <f t="shared" ca="1" si="409"/>
        <v>0</v>
      </c>
      <c r="AP256" s="1232">
        <f ca="1">SUM(INDIRECT(AP$1&amp;AP$2&amp;$A256):INDIRECT(AP$1&amp;AP$3&amp;$A256))+SUM(INDIRECT(AP$1&amp;AP$2&amp;$B256):INDIRECT(AP$1&amp;AP$3&amp;$B256))</f>
        <v>0</v>
      </c>
      <c r="AQ256" s="3110">
        <f t="shared" ca="1" si="356"/>
        <v>14670</v>
      </c>
      <c r="AR256" s="2758">
        <f t="shared" ca="1" si="410"/>
        <v>0</v>
      </c>
      <c r="AT256" s="1289">
        <f ca="1">SUM((INDIRECT(AT$2&amp;(ROW())):INDIRECT(AT$3&amp;(ROW()))))</f>
        <v>19751</v>
      </c>
      <c r="AU256" s="1232">
        <f ca="1">SUM(INDIRECT(AU$1&amp;AU$2&amp;$C256):INDIRECT(AU$1&amp;AU$3&amp;$C256))</f>
        <v>0</v>
      </c>
      <c r="AV256" s="3110">
        <f t="shared" ca="1" si="358"/>
        <v>19751</v>
      </c>
      <c r="AW256" s="2758">
        <f t="shared" ca="1" si="411"/>
        <v>0</v>
      </c>
      <c r="AX256" s="1232">
        <f ca="1">SUM(INDIRECT(AX$1&amp;AX$2&amp;$A256):INDIRECT(AX$1&amp;AX$3&amp;$A256))+SUM(INDIRECT(AX$1&amp;AX$2&amp;$B256):INDIRECT(AX$1&amp;AX$3&amp;$B256))</f>
        <v>0</v>
      </c>
      <c r="AY256" s="3110">
        <f t="shared" ca="1" si="360"/>
        <v>19751</v>
      </c>
      <c r="AZ256" s="2758">
        <f t="shared" ca="1" si="412"/>
        <v>0</v>
      </c>
      <c r="BB256" s="1289">
        <f ca="1">SUM((INDIRECT(BB$2&amp;(ROW())):INDIRECT(BB$3&amp;(ROW()))))</f>
        <v>15224</v>
      </c>
      <c r="BC256" s="1232">
        <f ca="1">SUM(INDIRECT(BC$1&amp;BC$2&amp;$C256):INDIRECT(BC$1&amp;BC$3&amp;$C256))</f>
        <v>0</v>
      </c>
      <c r="BD256" s="3110">
        <f t="shared" ca="1" si="362"/>
        <v>15224</v>
      </c>
      <c r="BE256" s="2758">
        <f t="shared" ca="1" si="413"/>
        <v>0</v>
      </c>
      <c r="BF256" s="1232">
        <f ca="1">SUM(INDIRECT(BF$1&amp;BF$2&amp;$A256):INDIRECT(BF$1&amp;BF$3&amp;$A256))+SUM(INDIRECT(BF$1&amp;BF$2&amp;$B256):INDIRECT(BF$1&amp;BF$3&amp;$B256))</f>
        <v>0</v>
      </c>
      <c r="BG256" s="3110">
        <f t="shared" ca="1" si="364"/>
        <v>15224</v>
      </c>
      <c r="BH256" s="2758">
        <f t="shared" ca="1" si="414"/>
        <v>0</v>
      </c>
    </row>
    <row r="257" spans="1:60" s="69" customFormat="1" ht="14.5">
      <c r="A257" s="616">
        <f t="shared" si="377"/>
        <v>230</v>
      </c>
      <c r="B257" s="616">
        <v>1</v>
      </c>
      <c r="C257" s="616">
        <f t="shared" si="352"/>
        <v>254</v>
      </c>
      <c r="D257" s="709" t="s">
        <v>1308</v>
      </c>
      <c r="E257" s="2547">
        <v>1</v>
      </c>
      <c r="F257" s="4"/>
      <c r="G257" s="4"/>
      <c r="H257" s="4"/>
      <c r="I257" s="507"/>
      <c r="J257" s="503"/>
      <c r="K257" s="506"/>
      <c r="L257" s="506"/>
      <c r="M257" s="4"/>
      <c r="N257" s="3" t="s">
        <v>1402</v>
      </c>
      <c r="O257" s="3"/>
      <c r="P257" s="3"/>
      <c r="Q257" s="1784" t="str">
        <f>CHOOSE(2, "6722000003176", "PL (3) Gross Profit HW &amp; Solution MGI")</f>
        <v>PL (3) Gross Profit HW &amp; Solution MGI</v>
      </c>
      <c r="R257" s="1289">
        <f t="shared" si="415"/>
        <v>466</v>
      </c>
      <c r="S257" s="1232">
        <f t="shared" si="415"/>
        <v>-5163</v>
      </c>
      <c r="T257" s="1232">
        <f t="shared" si="415"/>
        <v>2338</v>
      </c>
      <c r="U257" s="1232">
        <f t="shared" si="415"/>
        <v>208</v>
      </c>
      <c r="V257" s="1232">
        <f t="shared" si="415"/>
        <v>1519.330102126642</v>
      </c>
      <c r="W257" s="1232">
        <f t="shared" si="415"/>
        <v>1637</v>
      </c>
      <c r="X257" s="1232">
        <f t="shared" si="415"/>
        <v>152</v>
      </c>
      <c r="Y257" s="1232">
        <f t="shared" si="415"/>
        <v>1090</v>
      </c>
      <c r="Z257" s="1232">
        <f t="shared" si="415"/>
        <v>-398</v>
      </c>
      <c r="AA257" s="1232">
        <f t="shared" si="415"/>
        <v>755</v>
      </c>
      <c r="AB257" s="1232">
        <f t="shared" si="415"/>
        <v>-208</v>
      </c>
      <c r="AC257" s="1232">
        <f t="shared" si="415"/>
        <v>4082</v>
      </c>
      <c r="AD257" s="1232">
        <f t="shared" si="405"/>
        <v>-2359</v>
      </c>
      <c r="AE257" s="1232">
        <f t="shared" si="406"/>
        <v>3364.330102126642</v>
      </c>
      <c r="AF257" s="1232">
        <f t="shared" si="407"/>
        <v>844</v>
      </c>
      <c r="AG257" s="1232">
        <f t="shared" si="408"/>
        <v>4629</v>
      </c>
      <c r="AH257" s="1232">
        <f t="shared" si="416"/>
        <v>1005.330102126642</v>
      </c>
      <c r="AI257" s="1232">
        <f t="shared" si="417"/>
        <v>5473</v>
      </c>
      <c r="AJ257" s="1232">
        <f t="shared" si="418"/>
        <v>6478.3301021266416</v>
      </c>
      <c r="AL257" s="1289">
        <f ca="1">SUM((INDIRECT(AL$2&amp;(ROW())):INDIRECT(AL$3&amp;(ROW()))))</f>
        <v>4082</v>
      </c>
      <c r="AM257" s="1232">
        <f ca="1">SUM(INDIRECT(AM$1&amp;AM$2&amp;$C257):INDIRECT(AM$1&amp;AM$3&amp;$C257))</f>
        <v>6812</v>
      </c>
      <c r="AN257" s="3110">
        <f t="shared" ca="1" si="354"/>
        <v>-2730</v>
      </c>
      <c r="AO257" s="2758">
        <f t="shared" ca="1" si="409"/>
        <v>0.5992366412213741</v>
      </c>
      <c r="AP257" s="1232">
        <f ca="1">SUM(INDIRECT(AP$1&amp;AP$2&amp;$A257):INDIRECT(AP$1&amp;AP$3&amp;$A257))+SUM(INDIRECT(AP$1&amp;AP$2&amp;$B257):INDIRECT(AP$1&amp;AP$3&amp;$B257))</f>
        <v>0</v>
      </c>
      <c r="AQ257" s="3110">
        <f t="shared" ca="1" si="356"/>
        <v>4082</v>
      </c>
      <c r="AR257" s="2758">
        <f t="shared" ca="1" si="410"/>
        <v>0</v>
      </c>
      <c r="AT257" s="1289">
        <f ca="1">SUM((INDIRECT(AT$2&amp;(ROW())):INDIRECT(AT$3&amp;(ROW()))))</f>
        <v>4629</v>
      </c>
      <c r="AU257" s="1232">
        <f ca="1">SUM(INDIRECT(AU$1&amp;AU$2&amp;$C257):INDIRECT(AU$1&amp;AU$3&amp;$C257))</f>
        <v>13681.684999999999</v>
      </c>
      <c r="AV257" s="3110">
        <f t="shared" ca="1" si="358"/>
        <v>-9052.6849999999995</v>
      </c>
      <c r="AW257" s="2758">
        <f t="shared" ca="1" si="411"/>
        <v>0.33833551934575312</v>
      </c>
      <c r="AX257" s="1232">
        <f ca="1">SUM(INDIRECT(AX$1&amp;AX$2&amp;$A257):INDIRECT(AX$1&amp;AX$3&amp;$A257))+SUM(INDIRECT(AX$1&amp;AX$2&amp;$B257):INDIRECT(AX$1&amp;AX$3&amp;$B257))</f>
        <v>0</v>
      </c>
      <c r="AY257" s="3110">
        <f t="shared" ca="1" si="360"/>
        <v>4629</v>
      </c>
      <c r="AZ257" s="2758">
        <f t="shared" ca="1" si="412"/>
        <v>0</v>
      </c>
      <c r="BB257" s="1289">
        <f ca="1">SUM((INDIRECT(BB$2&amp;(ROW())):INDIRECT(BB$3&amp;(ROW()))))</f>
        <v>6478.3301021266416</v>
      </c>
      <c r="BC257" s="1232">
        <f ca="1">SUM(INDIRECT(BC$1&amp;BC$2&amp;$C257):INDIRECT(BC$1&amp;BC$3&amp;$C257))</f>
        <v>24385.019</v>
      </c>
      <c r="BD257" s="3110">
        <f t="shared" ca="1" si="362"/>
        <v>-17906.688897873359</v>
      </c>
      <c r="BE257" s="2758">
        <f t="shared" ca="1" si="413"/>
        <v>0.26566844594735162</v>
      </c>
      <c r="BF257" s="1232">
        <f ca="1">SUM(INDIRECT(BF$1&amp;BF$2&amp;$A257):INDIRECT(BF$1&amp;BF$3&amp;$A257))+SUM(INDIRECT(BF$1&amp;BF$2&amp;$B257):INDIRECT(BF$1&amp;BF$3&amp;$B257))</f>
        <v>0</v>
      </c>
      <c r="BG257" s="3110">
        <f t="shared" ca="1" si="364"/>
        <v>6478.3301021266416</v>
      </c>
      <c r="BH257" s="2758">
        <f t="shared" ca="1" si="414"/>
        <v>0</v>
      </c>
    </row>
    <row r="258" spans="1:60" s="69" customFormat="1" ht="14.5">
      <c r="A258" s="616">
        <f t="shared" si="377"/>
        <v>231</v>
      </c>
      <c r="B258" s="616">
        <v>1</v>
      </c>
      <c r="C258" s="616">
        <f t="shared" si="352"/>
        <v>255</v>
      </c>
      <c r="D258" s="709" t="s">
        <v>1308</v>
      </c>
      <c r="E258" s="2547">
        <v>1</v>
      </c>
      <c r="F258" s="4"/>
      <c r="G258" s="4"/>
      <c r="H258" s="4"/>
      <c r="I258" s="27"/>
      <c r="J258" s="3"/>
      <c r="K258" s="4"/>
      <c r="L258" s="4"/>
      <c r="M258" s="4"/>
      <c r="N258" s="3" t="s">
        <v>1403</v>
      </c>
      <c r="O258" s="3"/>
      <c r="P258" s="3"/>
      <c r="Q258" s="1784" t="str">
        <f>CHOOSE(2, "6722000003177", "PL (3) Gross Profit HW &amp; Solution EFI/LF")</f>
        <v>PL (3) Gross Profit HW &amp; Solution EFI/LF</v>
      </c>
      <c r="R258" s="1289">
        <f t="shared" si="415"/>
        <v>0</v>
      </c>
      <c r="S258" s="1232">
        <f t="shared" si="415"/>
        <v>0</v>
      </c>
      <c r="T258" s="1232">
        <f t="shared" si="415"/>
        <v>0</v>
      </c>
      <c r="U258" s="1232">
        <f t="shared" si="415"/>
        <v>0</v>
      </c>
      <c r="V258" s="1232">
        <f t="shared" si="415"/>
        <v>0</v>
      </c>
      <c r="W258" s="1232">
        <f t="shared" si="415"/>
        <v>0</v>
      </c>
      <c r="X258" s="1232">
        <f t="shared" si="415"/>
        <v>0</v>
      </c>
      <c r="Y258" s="1232">
        <f t="shared" si="415"/>
        <v>0</v>
      </c>
      <c r="Z258" s="1232">
        <f t="shared" si="415"/>
        <v>0</v>
      </c>
      <c r="AA258" s="1232">
        <f t="shared" si="415"/>
        <v>0</v>
      </c>
      <c r="AB258" s="1232">
        <f t="shared" si="415"/>
        <v>0</v>
      </c>
      <c r="AC258" s="1232">
        <f t="shared" si="415"/>
        <v>0</v>
      </c>
      <c r="AD258" s="1232">
        <f t="shared" si="405"/>
        <v>0</v>
      </c>
      <c r="AE258" s="1232">
        <f t="shared" si="406"/>
        <v>0</v>
      </c>
      <c r="AF258" s="1232">
        <f t="shared" si="407"/>
        <v>0</v>
      </c>
      <c r="AG258" s="1232">
        <f t="shared" si="408"/>
        <v>0</v>
      </c>
      <c r="AH258" s="1232">
        <f t="shared" si="416"/>
        <v>0</v>
      </c>
      <c r="AI258" s="1232">
        <f t="shared" si="417"/>
        <v>0</v>
      </c>
      <c r="AJ258" s="1232">
        <f t="shared" si="418"/>
        <v>0</v>
      </c>
      <c r="AL258" s="1289">
        <f ca="1">SUM((INDIRECT(AL$2&amp;(ROW())):INDIRECT(AL$3&amp;(ROW()))))</f>
        <v>0</v>
      </c>
      <c r="AM258" s="1232">
        <f ca="1">SUM(INDIRECT(AM$1&amp;AM$2&amp;$C258):INDIRECT(AM$1&amp;AM$3&amp;$C258))</f>
        <v>0</v>
      </c>
      <c r="AN258" s="3110">
        <f t="shared" ca="1" si="354"/>
        <v>0</v>
      </c>
      <c r="AO258" s="2758">
        <f t="shared" ca="1" si="409"/>
        <v>0</v>
      </c>
      <c r="AP258" s="1232">
        <f ca="1">SUM(INDIRECT(AP$1&amp;AP$2&amp;$A258):INDIRECT(AP$1&amp;AP$3&amp;$A258))+SUM(INDIRECT(AP$1&amp;AP$2&amp;$B258):INDIRECT(AP$1&amp;AP$3&amp;$B258))</f>
        <v>8583.2560000000012</v>
      </c>
      <c r="AQ258" s="3110">
        <f t="shared" ca="1" si="356"/>
        <v>-8583.2560000000012</v>
      </c>
      <c r="AR258" s="2758">
        <f t="shared" ca="1" si="410"/>
        <v>0</v>
      </c>
      <c r="AT258" s="1289">
        <f ca="1">SUM((INDIRECT(AT$2&amp;(ROW())):INDIRECT(AT$3&amp;(ROW()))))</f>
        <v>0</v>
      </c>
      <c r="AU258" s="1232">
        <f ca="1">SUM(INDIRECT(AU$1&amp;AU$2&amp;$C258):INDIRECT(AU$1&amp;AU$3&amp;$C258))</f>
        <v>0</v>
      </c>
      <c r="AV258" s="3110">
        <f t="shared" ca="1" si="358"/>
        <v>0</v>
      </c>
      <c r="AW258" s="2758">
        <f t="shared" ca="1" si="411"/>
        <v>0</v>
      </c>
      <c r="AX258" s="1232">
        <f ca="1">SUM(INDIRECT(AX$1&amp;AX$2&amp;$A258):INDIRECT(AX$1&amp;AX$3&amp;$A258))+SUM(INDIRECT(AX$1&amp;AX$2&amp;$B258):INDIRECT(AX$1&amp;AX$3&amp;$B258))</f>
        <v>23466.256000000001</v>
      </c>
      <c r="AY258" s="3110">
        <f t="shared" ca="1" si="360"/>
        <v>-23466.256000000001</v>
      </c>
      <c r="AZ258" s="2758">
        <f t="shared" ca="1" si="412"/>
        <v>0</v>
      </c>
      <c r="BB258" s="1289">
        <f ca="1">SUM((INDIRECT(BB$2&amp;(ROW())):INDIRECT(BB$3&amp;(ROW()))))</f>
        <v>0</v>
      </c>
      <c r="BC258" s="1232">
        <f ca="1">SUM(INDIRECT(BC$1&amp;BC$2&amp;$C258):INDIRECT(BC$1&amp;BC$3&amp;$C258))</f>
        <v>10000</v>
      </c>
      <c r="BD258" s="3110">
        <f t="shared" ca="1" si="362"/>
        <v>-10000</v>
      </c>
      <c r="BE258" s="2758">
        <f t="shared" ca="1" si="413"/>
        <v>0</v>
      </c>
      <c r="BF258" s="1232">
        <f ca="1">SUM(INDIRECT(BF$1&amp;BF$2&amp;$A258):INDIRECT(BF$1&amp;BF$3&amp;$A258))+SUM(INDIRECT(BF$1&amp;BF$2&amp;$B258):INDIRECT(BF$1&amp;BF$3&amp;$B258))</f>
        <v>78794.404999999999</v>
      </c>
      <c r="BG258" s="3110">
        <f t="shared" ca="1" si="364"/>
        <v>-78794.404999999999</v>
      </c>
      <c r="BH258" s="2758">
        <f t="shared" ca="1" si="414"/>
        <v>0</v>
      </c>
    </row>
    <row r="259" spans="1:60" s="69" customFormat="1" ht="14.5">
      <c r="A259" s="616">
        <f t="shared" si="377"/>
        <v>232</v>
      </c>
      <c r="B259" s="616">
        <v>1</v>
      </c>
      <c r="C259" s="616">
        <f t="shared" si="352"/>
        <v>256</v>
      </c>
      <c r="D259" s="709" t="s">
        <v>1308</v>
      </c>
      <c r="E259" s="2547">
        <v>1</v>
      </c>
      <c r="F259" s="4"/>
      <c r="G259" s="4"/>
      <c r="H259" s="4"/>
      <c r="I259" s="27"/>
      <c r="J259" s="3"/>
      <c r="K259" s="4"/>
      <c r="L259" s="4"/>
      <c r="M259" s="4"/>
      <c r="N259" s="3" t="s">
        <v>1404</v>
      </c>
      <c r="O259" s="3"/>
      <c r="P259" s="3"/>
      <c r="Q259" s="1784" t="str">
        <f>CHOOSE(2, "6722000003178", "PL (3) Gross Profit HW &amp; Solution Textile Printer")</f>
        <v>PL (3) Gross Profit HW &amp; Solution Textile Printer</v>
      </c>
      <c r="R259" s="1289">
        <f t="shared" si="415"/>
        <v>0</v>
      </c>
      <c r="S259" s="1232">
        <f t="shared" si="415"/>
        <v>0</v>
      </c>
      <c r="T259" s="1232">
        <f t="shared" si="415"/>
        <v>0</v>
      </c>
      <c r="U259" s="1232">
        <f t="shared" si="415"/>
        <v>0</v>
      </c>
      <c r="V259" s="1232">
        <f t="shared" si="415"/>
        <v>0</v>
      </c>
      <c r="W259" s="1232">
        <f t="shared" si="415"/>
        <v>0</v>
      </c>
      <c r="X259" s="1232">
        <f t="shared" si="415"/>
        <v>0</v>
      </c>
      <c r="Y259" s="1232">
        <f t="shared" si="415"/>
        <v>0</v>
      </c>
      <c r="Z259" s="1232">
        <f t="shared" si="415"/>
        <v>0</v>
      </c>
      <c r="AA259" s="1232">
        <f t="shared" si="415"/>
        <v>0</v>
      </c>
      <c r="AB259" s="1232">
        <f t="shared" si="415"/>
        <v>0</v>
      </c>
      <c r="AC259" s="1232">
        <f t="shared" si="415"/>
        <v>0</v>
      </c>
      <c r="AD259" s="1232">
        <f t="shared" si="405"/>
        <v>0</v>
      </c>
      <c r="AE259" s="1232">
        <f t="shared" si="406"/>
        <v>0</v>
      </c>
      <c r="AF259" s="1232">
        <f t="shared" si="407"/>
        <v>0</v>
      </c>
      <c r="AG259" s="1232">
        <f t="shared" si="408"/>
        <v>0</v>
      </c>
      <c r="AH259" s="1232">
        <f t="shared" si="416"/>
        <v>0</v>
      </c>
      <c r="AI259" s="1232">
        <f t="shared" si="417"/>
        <v>0</v>
      </c>
      <c r="AJ259" s="1232">
        <f t="shared" si="418"/>
        <v>0</v>
      </c>
      <c r="AL259" s="1289">
        <f ca="1">SUM((INDIRECT(AL$2&amp;(ROW())):INDIRECT(AL$3&amp;(ROW()))))</f>
        <v>0</v>
      </c>
      <c r="AM259" s="1232">
        <f ca="1">SUM(INDIRECT(AM$1&amp;AM$2&amp;$C259):INDIRECT(AM$1&amp;AM$3&amp;$C259))</f>
        <v>5312</v>
      </c>
      <c r="AN259" s="3110">
        <f t="shared" ca="1" si="354"/>
        <v>-5312</v>
      </c>
      <c r="AO259" s="2758">
        <f t="shared" ca="1" si="409"/>
        <v>0</v>
      </c>
      <c r="AP259" s="1232">
        <f ca="1">SUM(INDIRECT(AP$1&amp;AP$2&amp;$A259):INDIRECT(AP$1&amp;AP$3&amp;$A259))+SUM(INDIRECT(AP$1&amp;AP$2&amp;$B259):INDIRECT(AP$1&amp;AP$3&amp;$B259))</f>
        <v>1953.2560000000001</v>
      </c>
      <c r="AQ259" s="3110">
        <f t="shared" ca="1" si="356"/>
        <v>-1953.2560000000001</v>
      </c>
      <c r="AR259" s="2758">
        <f t="shared" ca="1" si="410"/>
        <v>0</v>
      </c>
      <c r="AT259" s="1289">
        <f ca="1">SUM((INDIRECT(AT$2&amp;(ROW())):INDIRECT(AT$3&amp;(ROW()))))</f>
        <v>0</v>
      </c>
      <c r="AU259" s="1232">
        <f ca="1">SUM(INDIRECT(AU$1&amp;AU$2&amp;$C259):INDIRECT(AU$1&amp;AU$3&amp;$C259))</f>
        <v>10775.017</v>
      </c>
      <c r="AV259" s="3110">
        <f t="shared" ca="1" si="358"/>
        <v>-10775.017</v>
      </c>
      <c r="AW259" s="2758">
        <f t="shared" ca="1" si="411"/>
        <v>0</v>
      </c>
      <c r="AX259" s="1232">
        <f ca="1">SUM(INDIRECT(AX$1&amp;AX$2&amp;$A259):INDIRECT(AX$1&amp;AX$3&amp;$A259))+SUM(INDIRECT(AX$1&amp;AX$2&amp;$B259):INDIRECT(AX$1&amp;AX$3&amp;$B259))</f>
        <v>1295.2560000000001</v>
      </c>
      <c r="AY259" s="3110">
        <f t="shared" ca="1" si="360"/>
        <v>-1295.2560000000001</v>
      </c>
      <c r="AZ259" s="2758">
        <f t="shared" ca="1" si="412"/>
        <v>0</v>
      </c>
      <c r="BB259" s="1289">
        <f ca="1">SUM((INDIRECT(BB$2&amp;(ROW())):INDIRECT(BB$3&amp;(ROW()))))</f>
        <v>0</v>
      </c>
      <c r="BC259" s="1232">
        <f ca="1">SUM(INDIRECT(BC$1&amp;BC$2&amp;$C259):INDIRECT(BC$1&amp;BC$3&amp;$C259))</f>
        <v>10775.017</v>
      </c>
      <c r="BD259" s="3110">
        <f t="shared" ca="1" si="362"/>
        <v>-10775.017</v>
      </c>
      <c r="BE259" s="2758">
        <f t="shared" ca="1" si="413"/>
        <v>0</v>
      </c>
      <c r="BF259" s="1232">
        <f ca="1">SUM(INDIRECT(BF$1&amp;BF$2&amp;$A259):INDIRECT(BF$1&amp;BF$3&amp;$A259))+SUM(INDIRECT(BF$1&amp;BF$2&amp;$B259):INDIRECT(BF$1&amp;BF$3&amp;$B259))</f>
        <v>7272.4460000000008</v>
      </c>
      <c r="BG259" s="3110">
        <f t="shared" ca="1" si="364"/>
        <v>-7272.4460000000008</v>
      </c>
      <c r="BH259" s="2758">
        <f t="shared" ca="1" si="414"/>
        <v>0</v>
      </c>
    </row>
    <row r="260" spans="1:60" s="69" customFormat="1" ht="14.5">
      <c r="A260" s="616">
        <f t="shared" si="377"/>
        <v>233</v>
      </c>
      <c r="B260" s="616">
        <v>1</v>
      </c>
      <c r="C260" s="616">
        <f t="shared" si="352"/>
        <v>257</v>
      </c>
      <c r="D260" s="709" t="s">
        <v>1308</v>
      </c>
      <c r="E260" s="2547">
        <v>1</v>
      </c>
      <c r="F260" s="4"/>
      <c r="G260" s="4"/>
      <c r="H260" s="4"/>
      <c r="I260" s="27"/>
      <c r="J260" s="3"/>
      <c r="K260" s="4"/>
      <c r="L260" s="4"/>
      <c r="M260" s="47"/>
      <c r="N260" s="47" t="s">
        <v>1386</v>
      </c>
      <c r="O260" s="47"/>
      <c r="P260" s="47"/>
      <c r="Q260" s="1784" t="str">
        <f>CHOOSE(2, "6722000003179", "PL (3) Gross Profit HW &amp; Solution Others")</f>
        <v>PL (3) Gross Profit HW &amp; Solution Others</v>
      </c>
      <c r="R260" s="1255">
        <f t="shared" si="415"/>
        <v>0</v>
      </c>
      <c r="S260" s="1240">
        <f t="shared" si="415"/>
        <v>0</v>
      </c>
      <c r="T260" s="1240">
        <f t="shared" si="415"/>
        <v>0</v>
      </c>
      <c r="U260" s="1240">
        <f t="shared" si="415"/>
        <v>0</v>
      </c>
      <c r="V260" s="1240">
        <f t="shared" si="415"/>
        <v>0</v>
      </c>
      <c r="W260" s="1240">
        <f t="shared" si="415"/>
        <v>0</v>
      </c>
      <c r="X260" s="1240">
        <f t="shared" si="415"/>
        <v>0</v>
      </c>
      <c r="Y260" s="1240">
        <f t="shared" si="415"/>
        <v>0</v>
      </c>
      <c r="Z260" s="1240">
        <f t="shared" si="415"/>
        <v>0</v>
      </c>
      <c r="AA260" s="1240">
        <f t="shared" si="415"/>
        <v>0</v>
      </c>
      <c r="AB260" s="1240">
        <f t="shared" si="415"/>
        <v>0</v>
      </c>
      <c r="AC260" s="1240">
        <f t="shared" si="415"/>
        <v>0</v>
      </c>
      <c r="AD260" s="1240">
        <f t="shared" si="405"/>
        <v>0</v>
      </c>
      <c r="AE260" s="1240">
        <f t="shared" si="406"/>
        <v>0</v>
      </c>
      <c r="AF260" s="1240">
        <f t="shared" si="407"/>
        <v>0</v>
      </c>
      <c r="AG260" s="1240">
        <f t="shared" si="408"/>
        <v>0</v>
      </c>
      <c r="AH260" s="1240">
        <f t="shared" si="416"/>
        <v>0</v>
      </c>
      <c r="AI260" s="1240">
        <f t="shared" si="417"/>
        <v>0</v>
      </c>
      <c r="AJ260" s="1240">
        <f t="shared" si="418"/>
        <v>0</v>
      </c>
      <c r="AL260" s="1255">
        <f ca="1">SUM((INDIRECT(AL$2&amp;(ROW())):INDIRECT(AL$3&amp;(ROW()))))</f>
        <v>0</v>
      </c>
      <c r="AM260" s="1240">
        <f ca="1">SUM(INDIRECT(AM$1&amp;AM$2&amp;$C260):INDIRECT(AM$1&amp;AM$3&amp;$C260))</f>
        <v>1500</v>
      </c>
      <c r="AN260" s="3160">
        <f t="shared" ca="1" si="354"/>
        <v>-1500</v>
      </c>
      <c r="AO260" s="2808">
        <f t="shared" ca="1" si="409"/>
        <v>0</v>
      </c>
      <c r="AP260" s="1240">
        <f ca="1">SUM(INDIRECT(AP$1&amp;AP$2&amp;$A260):INDIRECT(AP$1&amp;AP$3&amp;$A260))+SUM(INDIRECT(AP$1&amp;AP$2&amp;$B260):INDIRECT(AP$1&amp;AP$3&amp;$B260))</f>
        <v>1537</v>
      </c>
      <c r="AQ260" s="3160">
        <f t="shared" ca="1" si="356"/>
        <v>-1537</v>
      </c>
      <c r="AR260" s="2808">
        <f t="shared" ca="1" si="410"/>
        <v>0</v>
      </c>
      <c r="AT260" s="1255">
        <f ca="1">SUM((INDIRECT(AT$2&amp;(ROW())):INDIRECT(AT$3&amp;(ROW()))))</f>
        <v>0</v>
      </c>
      <c r="AU260" s="1240">
        <f ca="1">SUM(INDIRECT(AU$1&amp;AU$2&amp;$C260):INDIRECT(AU$1&amp;AU$3&amp;$C260))</f>
        <v>2906.6679999999997</v>
      </c>
      <c r="AV260" s="3160">
        <f t="shared" ca="1" si="358"/>
        <v>-2906.6679999999997</v>
      </c>
      <c r="AW260" s="2808">
        <f t="shared" ca="1" si="411"/>
        <v>0</v>
      </c>
      <c r="AX260" s="1240">
        <f ca="1">SUM(INDIRECT(AX$1&amp;AX$2&amp;$A260):INDIRECT(AX$1&amp;AX$3&amp;$A260))+SUM(INDIRECT(AX$1&amp;AX$2&amp;$B260):INDIRECT(AX$1&amp;AX$3&amp;$B260))</f>
        <v>8243</v>
      </c>
      <c r="AY260" s="3160">
        <f t="shared" ca="1" si="360"/>
        <v>-8243</v>
      </c>
      <c r="AZ260" s="2808">
        <f t="shared" ca="1" si="412"/>
        <v>0</v>
      </c>
      <c r="BB260" s="1255">
        <f ca="1">SUM((INDIRECT(BB$2&amp;(ROW())):INDIRECT(BB$3&amp;(ROW()))))</f>
        <v>0</v>
      </c>
      <c r="BC260" s="1240">
        <f ca="1">SUM(INDIRECT(BC$1&amp;BC$2&amp;$C260):INDIRECT(BC$1&amp;BC$3&amp;$C260))</f>
        <v>3610.002</v>
      </c>
      <c r="BD260" s="3160">
        <f t="shared" ca="1" si="362"/>
        <v>-3610.002</v>
      </c>
      <c r="BE260" s="2808">
        <f t="shared" ca="1" si="413"/>
        <v>0</v>
      </c>
      <c r="BF260" s="1240">
        <f ca="1">SUM(INDIRECT(BF$1&amp;BF$2&amp;$A260):INDIRECT(BF$1&amp;BF$3&amp;$A260))+SUM(INDIRECT(BF$1&amp;BF$2&amp;$B260):INDIRECT(BF$1&amp;BF$3&amp;$B260))</f>
        <v>26347.044999999998</v>
      </c>
      <c r="BG260" s="3160">
        <f t="shared" ca="1" si="364"/>
        <v>-26347.044999999998</v>
      </c>
      <c r="BH260" s="2808">
        <f t="shared" ca="1" si="414"/>
        <v>0</v>
      </c>
    </row>
    <row r="261" spans="1:60" s="69" customFormat="1" ht="14.5">
      <c r="A261" s="616">
        <f t="shared" si="377"/>
        <v>234</v>
      </c>
      <c r="B261" s="616">
        <v>1</v>
      </c>
      <c r="C261" s="616">
        <f t="shared" si="352"/>
        <v>258</v>
      </c>
      <c r="D261" s="709" t="s">
        <v>1308</v>
      </c>
      <c r="E261" s="2547">
        <v>1</v>
      </c>
      <c r="F261" s="4"/>
      <c r="G261" s="4"/>
      <c r="H261" s="4"/>
      <c r="I261" s="27"/>
      <c r="J261" s="3"/>
      <c r="K261" s="4"/>
      <c r="L261" s="4"/>
      <c r="M261" s="300" t="s">
        <v>1405</v>
      </c>
      <c r="N261" s="300"/>
      <c r="O261" s="300"/>
      <c r="P261" s="300"/>
      <c r="Q261" s="1796" t="str">
        <f>CHOOSE(2, "6722000003180", "PL (3) Gross Profit NH")</f>
        <v>PL (3) Gross Profit NH</v>
      </c>
      <c r="R261" s="1309">
        <f>SUM(R262:R267)</f>
        <v>589</v>
      </c>
      <c r="S261" s="1251">
        <f t="shared" ref="S261:AC261" si="419">SUM(S262:S267)</f>
        <v>2391</v>
      </c>
      <c r="T261" s="1251">
        <f t="shared" si="419"/>
        <v>943</v>
      </c>
      <c r="U261" s="1251">
        <f t="shared" si="419"/>
        <v>1486</v>
      </c>
      <c r="V261" s="1251">
        <f t="shared" si="419"/>
        <v>2040.8295996689412</v>
      </c>
      <c r="W261" s="1251">
        <f t="shared" si="419"/>
        <v>627.3970114766837</v>
      </c>
      <c r="X261" s="1251">
        <f t="shared" si="419"/>
        <v>2733</v>
      </c>
      <c r="Y261" s="1251">
        <f t="shared" si="419"/>
        <v>1402</v>
      </c>
      <c r="Z261" s="1251">
        <f t="shared" si="419"/>
        <v>1570</v>
      </c>
      <c r="AA261" s="1251">
        <f t="shared" si="419"/>
        <v>684</v>
      </c>
      <c r="AB261" s="1251">
        <f t="shared" si="419"/>
        <v>844.03926000000001</v>
      </c>
      <c r="AC261" s="1251">
        <f t="shared" si="419"/>
        <v>-8898</v>
      </c>
      <c r="AD261" s="1251">
        <f t="shared" si="405"/>
        <v>3923</v>
      </c>
      <c r="AE261" s="1251">
        <f t="shared" si="406"/>
        <v>4154.2266111456247</v>
      </c>
      <c r="AF261" s="1251">
        <f t="shared" si="407"/>
        <v>5705</v>
      </c>
      <c r="AG261" s="1251">
        <f t="shared" si="408"/>
        <v>-7369.9607400000004</v>
      </c>
      <c r="AH261" s="1251">
        <f t="shared" si="416"/>
        <v>8077.2266111456247</v>
      </c>
      <c r="AI261" s="1251">
        <f t="shared" si="417"/>
        <v>-1664.9607400000004</v>
      </c>
      <c r="AJ261" s="1251">
        <f t="shared" si="418"/>
        <v>6412.2658711456243</v>
      </c>
      <c r="AL261" s="1309">
        <f ca="1">SUM((INDIRECT(AL$2&amp;(ROW())):INDIRECT(AL$3&amp;(ROW()))))</f>
        <v>-8898</v>
      </c>
      <c r="AM261" s="1251">
        <f ca="1">SUM(INDIRECT(AM$1&amp;AM$2&amp;$C261):INDIRECT(AM$1&amp;AM$3&amp;$C261))</f>
        <v>0</v>
      </c>
      <c r="AN261" s="3161">
        <f t="shared" ca="1" si="354"/>
        <v>-8898</v>
      </c>
      <c r="AO261" s="2810">
        <f t="shared" ca="1" si="409"/>
        <v>0</v>
      </c>
      <c r="AP261" s="1251">
        <f ca="1">SUM(INDIRECT(AP$1&amp;AP$2&amp;$A261):INDIRECT(AP$1&amp;AP$3&amp;$A261))+SUM(INDIRECT(AP$1&amp;AP$2&amp;$B261):INDIRECT(AP$1&amp;AP$3&amp;$B261))</f>
        <v>5093</v>
      </c>
      <c r="AQ261" s="3161">
        <f t="shared" ca="1" si="356"/>
        <v>-13991</v>
      </c>
      <c r="AR261" s="2810">
        <f t="shared" ca="1" si="410"/>
        <v>-1.7471038680541919</v>
      </c>
      <c r="AT261" s="1309">
        <f ca="1">SUM((INDIRECT(AT$2&amp;(ROW())):INDIRECT(AT$3&amp;(ROW()))))</f>
        <v>-7369.9607400000004</v>
      </c>
      <c r="AU261" s="1251">
        <f ca="1">SUM(INDIRECT(AU$1&amp;AU$2&amp;$C261):INDIRECT(AU$1&amp;AU$3&amp;$C261))</f>
        <v>0</v>
      </c>
      <c r="AV261" s="3161">
        <f t="shared" ca="1" si="358"/>
        <v>-7369.9607400000004</v>
      </c>
      <c r="AW261" s="2810">
        <f t="shared" ca="1" si="411"/>
        <v>0</v>
      </c>
      <c r="AX261" s="1251">
        <f ca="1">SUM(INDIRECT(AX$1&amp;AX$2&amp;$A261):INDIRECT(AX$1&amp;AX$3&amp;$A261))+SUM(INDIRECT(AX$1&amp;AX$2&amp;$B261):INDIRECT(AX$1&amp;AX$3&amp;$B261))</f>
        <v>13928</v>
      </c>
      <c r="AY261" s="3161">
        <f t="shared" ca="1" si="360"/>
        <v>-21297.960740000002</v>
      </c>
      <c r="AZ261" s="2810">
        <f t="shared" ca="1" si="412"/>
        <v>-0.52914709506031021</v>
      </c>
      <c r="BB261" s="1309">
        <f ca="1">SUM((INDIRECT(BB$2&amp;(ROW())):INDIRECT(BB$3&amp;(ROW()))))</f>
        <v>6412.2658711456243</v>
      </c>
      <c r="BC261" s="1251">
        <f ca="1">SUM(INDIRECT(BC$1&amp;BC$2&amp;$C261):INDIRECT(BC$1&amp;BC$3&amp;$C261))</f>
        <v>0</v>
      </c>
      <c r="BD261" s="3161">
        <f t="shared" ca="1" si="362"/>
        <v>6412.2658711456243</v>
      </c>
      <c r="BE261" s="2810">
        <f t="shared" ca="1" si="413"/>
        <v>0</v>
      </c>
      <c r="BF261" s="1251">
        <f ca="1">SUM(INDIRECT(BF$1&amp;BF$2&amp;$A261):INDIRECT(BF$1&amp;BF$3&amp;$A261))+SUM(INDIRECT(BF$1&amp;BF$2&amp;$B261):INDIRECT(BF$1&amp;BF$3&amp;$B261))</f>
        <v>45174.914000000004</v>
      </c>
      <c r="BG261" s="3161">
        <f t="shared" ca="1" si="364"/>
        <v>-38762.64812885438</v>
      </c>
      <c r="BH261" s="2810">
        <f t="shared" ca="1" si="414"/>
        <v>0.14194306758714856</v>
      </c>
    </row>
    <row r="262" spans="1:60" s="69" customFormat="1" ht="14.5">
      <c r="A262" s="616">
        <f t="shared" si="377"/>
        <v>235</v>
      </c>
      <c r="B262" s="616">
        <v>1</v>
      </c>
      <c r="C262" s="616">
        <f t="shared" si="352"/>
        <v>259</v>
      </c>
      <c r="D262" s="709" t="s">
        <v>1308</v>
      </c>
      <c r="E262" s="2547">
        <v>1</v>
      </c>
      <c r="F262" s="4"/>
      <c r="G262" s="4"/>
      <c r="H262" s="4"/>
      <c r="I262" s="27"/>
      <c r="J262" s="3"/>
      <c r="K262" s="4"/>
      <c r="L262" s="4"/>
      <c r="M262" s="4"/>
      <c r="N262" s="3" t="s">
        <v>587</v>
      </c>
      <c r="O262" s="3"/>
      <c r="P262" s="3"/>
      <c r="Q262" s="1784" t="str">
        <f>CHOOSE(2, "6722000003181", "PL (3) Gross Profit NH KM-1/KM-1e")</f>
        <v>PL (3) Gross Profit NH KM-1/KM-1e</v>
      </c>
      <c r="R262" s="1289">
        <f t="shared" ref="R262:AC262" si="420">R673+R717</f>
        <v>-360</v>
      </c>
      <c r="S262" s="1232">
        <f t="shared" si="420"/>
        <v>-141</v>
      </c>
      <c r="T262" s="1232">
        <f t="shared" si="420"/>
        <v>-107</v>
      </c>
      <c r="U262" s="1232">
        <f t="shared" si="420"/>
        <v>-309</v>
      </c>
      <c r="V262" s="1232">
        <f t="shared" si="420"/>
        <v>-103.81989147115095</v>
      </c>
      <c r="W262" s="1232">
        <f t="shared" si="420"/>
        <v>-1024</v>
      </c>
      <c r="X262" s="1232">
        <f t="shared" si="420"/>
        <v>660</v>
      </c>
      <c r="Y262" s="1232">
        <f t="shared" si="420"/>
        <v>-124</v>
      </c>
      <c r="Z262" s="1232">
        <f t="shared" si="420"/>
        <v>-196</v>
      </c>
      <c r="AA262" s="1232">
        <f t="shared" si="420"/>
        <v>-1615</v>
      </c>
      <c r="AB262" s="1232">
        <f t="shared" si="420"/>
        <v>941.03926000000001</v>
      </c>
      <c r="AC262" s="1232">
        <f t="shared" si="420"/>
        <v>-1114</v>
      </c>
      <c r="AD262" s="1232">
        <f t="shared" si="405"/>
        <v>-608</v>
      </c>
      <c r="AE262" s="1232">
        <f t="shared" si="406"/>
        <v>-1436.8198914711511</v>
      </c>
      <c r="AF262" s="1232">
        <f t="shared" si="407"/>
        <v>340</v>
      </c>
      <c r="AG262" s="1232">
        <f t="shared" si="408"/>
        <v>-1787.96074</v>
      </c>
      <c r="AH262" s="1232">
        <f t="shared" si="416"/>
        <v>-2044.8198914711511</v>
      </c>
      <c r="AI262" s="1232">
        <f t="shared" si="417"/>
        <v>-1447.96074</v>
      </c>
      <c r="AJ262" s="1232">
        <f t="shared" si="418"/>
        <v>-3492.7806314711511</v>
      </c>
      <c r="AL262" s="1289">
        <f ca="1">SUM((INDIRECT(AL$2&amp;(ROW())):INDIRECT(AL$3&amp;(ROW()))))</f>
        <v>-1114</v>
      </c>
      <c r="AM262" s="1232">
        <f ca="1">SUM(INDIRECT(AM$1&amp;AM$2&amp;$C262):INDIRECT(AM$1&amp;AM$3&amp;$C262))</f>
        <v>0</v>
      </c>
      <c r="AN262" s="3110">
        <f t="shared" ca="1" si="354"/>
        <v>-1114</v>
      </c>
      <c r="AO262" s="2758">
        <f t="shared" ca="1" si="409"/>
        <v>0</v>
      </c>
      <c r="AP262" s="1232">
        <f ca="1">SUM(INDIRECT(AP$1&amp;AP$2&amp;$A262):INDIRECT(AP$1&amp;AP$3&amp;$A262))+SUM(INDIRECT(AP$1&amp;AP$2&amp;$B262):INDIRECT(AP$1&amp;AP$3&amp;$B262))</f>
        <v>0</v>
      </c>
      <c r="AQ262" s="3110">
        <f t="shared" ca="1" si="356"/>
        <v>-1114</v>
      </c>
      <c r="AR262" s="2758">
        <f t="shared" ca="1" si="410"/>
        <v>0</v>
      </c>
      <c r="AT262" s="1289">
        <f ca="1">SUM((INDIRECT(AT$2&amp;(ROW())):INDIRECT(AT$3&amp;(ROW()))))</f>
        <v>-1787.96074</v>
      </c>
      <c r="AU262" s="1232">
        <f ca="1">SUM(INDIRECT(AU$1&amp;AU$2&amp;$C262):INDIRECT(AU$1&amp;AU$3&amp;$C262))</f>
        <v>0</v>
      </c>
      <c r="AV262" s="3110">
        <f t="shared" ca="1" si="358"/>
        <v>-1787.96074</v>
      </c>
      <c r="AW262" s="2758">
        <f t="shared" ca="1" si="411"/>
        <v>0</v>
      </c>
      <c r="AX262" s="1232">
        <f ca="1">SUM(INDIRECT(AX$1&amp;AX$2&amp;$A262):INDIRECT(AX$1&amp;AX$3&amp;$A262))+SUM(INDIRECT(AX$1&amp;AX$2&amp;$B262):INDIRECT(AX$1&amp;AX$3&amp;$B262))</f>
        <v>0</v>
      </c>
      <c r="AY262" s="3110">
        <f t="shared" ca="1" si="360"/>
        <v>-1787.96074</v>
      </c>
      <c r="AZ262" s="2758">
        <f t="shared" ca="1" si="412"/>
        <v>0</v>
      </c>
      <c r="BB262" s="1289">
        <f ca="1">SUM((INDIRECT(BB$2&amp;(ROW())):INDIRECT(BB$3&amp;(ROW()))))</f>
        <v>-3492.7806314711511</v>
      </c>
      <c r="BC262" s="1232">
        <f ca="1">SUM(INDIRECT(BC$1&amp;BC$2&amp;$C262):INDIRECT(BC$1&amp;BC$3&amp;$C262))</f>
        <v>0</v>
      </c>
      <c r="BD262" s="3110">
        <f t="shared" ca="1" si="362"/>
        <v>-3492.7806314711511</v>
      </c>
      <c r="BE262" s="2758">
        <f t="shared" ca="1" si="413"/>
        <v>0</v>
      </c>
      <c r="BF262" s="1232">
        <f ca="1">SUM(INDIRECT(BF$1&amp;BF$2&amp;$A262):INDIRECT(BF$1&amp;BF$3&amp;$A262))+SUM(INDIRECT(BF$1&amp;BF$2&amp;$B262):INDIRECT(BF$1&amp;BF$3&amp;$B262))</f>
        <v>0</v>
      </c>
      <c r="BG262" s="3110">
        <f t="shared" ca="1" si="364"/>
        <v>-3492.7806314711511</v>
      </c>
      <c r="BH262" s="2758">
        <f t="shared" ca="1" si="414"/>
        <v>0</v>
      </c>
    </row>
    <row r="263" spans="1:60" s="69" customFormat="1" ht="14.5">
      <c r="A263" s="616">
        <f t="shared" si="377"/>
        <v>236</v>
      </c>
      <c r="B263" s="616">
        <v>1</v>
      </c>
      <c r="C263" s="616">
        <f t="shared" si="352"/>
        <v>260</v>
      </c>
      <c r="D263" s="709" t="s">
        <v>1308</v>
      </c>
      <c r="E263" s="2547">
        <v>1</v>
      </c>
      <c r="F263" s="4"/>
      <c r="G263" s="4"/>
      <c r="H263" s="4"/>
      <c r="I263" s="27"/>
      <c r="J263" s="3"/>
      <c r="K263" s="4"/>
      <c r="L263" s="4"/>
      <c r="M263" s="4"/>
      <c r="N263" s="3" t="s">
        <v>1401</v>
      </c>
      <c r="O263" s="3"/>
      <c r="P263" s="3"/>
      <c r="Q263" s="1784" t="str">
        <f>CHOOSE(2, "6722000003182", "PL (3) Gross Profit NH Label Printer")</f>
        <v>PL (3) Gross Profit NH Label Printer</v>
      </c>
      <c r="R263" s="1289">
        <f t="shared" ref="R263:AC263" si="421">R679+R723</f>
        <v>1806</v>
      </c>
      <c r="S263" s="1232">
        <f t="shared" si="421"/>
        <v>1954</v>
      </c>
      <c r="T263" s="1232">
        <f t="shared" si="421"/>
        <v>1661</v>
      </c>
      <c r="U263" s="1232">
        <f t="shared" si="421"/>
        <v>1573</v>
      </c>
      <c r="V263" s="1232">
        <f t="shared" si="421"/>
        <v>1904.8495114766838</v>
      </c>
      <c r="W263" s="1232">
        <f t="shared" si="421"/>
        <v>1131.3970114766837</v>
      </c>
      <c r="X263" s="1232">
        <f t="shared" si="421"/>
        <v>2047</v>
      </c>
      <c r="Y263" s="1232">
        <f t="shared" si="421"/>
        <v>1641</v>
      </c>
      <c r="Z263" s="1232">
        <f t="shared" si="421"/>
        <v>2056</v>
      </c>
      <c r="AA263" s="1232">
        <f t="shared" si="421"/>
        <v>2975</v>
      </c>
      <c r="AB263" s="1232">
        <f t="shared" si="421"/>
        <v>523</v>
      </c>
      <c r="AC263" s="1232">
        <f t="shared" si="421"/>
        <v>2934</v>
      </c>
      <c r="AD263" s="1232">
        <f t="shared" si="405"/>
        <v>5421</v>
      </c>
      <c r="AE263" s="1232">
        <f t="shared" si="406"/>
        <v>4609.2465229533673</v>
      </c>
      <c r="AF263" s="1232">
        <f t="shared" si="407"/>
        <v>5744</v>
      </c>
      <c r="AG263" s="1232">
        <f t="shared" si="408"/>
        <v>6432</v>
      </c>
      <c r="AH263" s="1232">
        <f t="shared" si="416"/>
        <v>10030.246522953366</v>
      </c>
      <c r="AI263" s="1232">
        <f t="shared" si="417"/>
        <v>12176</v>
      </c>
      <c r="AJ263" s="1232">
        <f t="shared" si="418"/>
        <v>22206.246522953366</v>
      </c>
      <c r="AL263" s="1289">
        <f ca="1">SUM((INDIRECT(AL$2&amp;(ROW())):INDIRECT(AL$3&amp;(ROW()))))</f>
        <v>2934</v>
      </c>
      <c r="AM263" s="1232">
        <f ca="1">SUM(INDIRECT(AM$1&amp;AM$2&amp;$C263):INDIRECT(AM$1&amp;AM$3&amp;$C263))</f>
        <v>0</v>
      </c>
      <c r="AN263" s="3110">
        <f t="shared" ca="1" si="354"/>
        <v>2934</v>
      </c>
      <c r="AO263" s="2758">
        <f t="shared" ca="1" si="409"/>
        <v>0</v>
      </c>
      <c r="AP263" s="1232">
        <f ca="1">SUM(INDIRECT(AP$1&amp;AP$2&amp;$A263):INDIRECT(AP$1&amp;AP$3&amp;$A263))+SUM(INDIRECT(AP$1&amp;AP$2&amp;$B263):INDIRECT(AP$1&amp;AP$3&amp;$B263))</f>
        <v>0</v>
      </c>
      <c r="AQ263" s="3110">
        <f t="shared" ca="1" si="356"/>
        <v>2934</v>
      </c>
      <c r="AR263" s="2758">
        <f t="shared" ca="1" si="410"/>
        <v>0</v>
      </c>
      <c r="AT263" s="1289">
        <f ca="1">SUM((INDIRECT(AT$2&amp;(ROW())):INDIRECT(AT$3&amp;(ROW()))))</f>
        <v>6432</v>
      </c>
      <c r="AU263" s="1232">
        <f ca="1">SUM(INDIRECT(AU$1&amp;AU$2&amp;$C263):INDIRECT(AU$1&amp;AU$3&amp;$C263))</f>
        <v>0</v>
      </c>
      <c r="AV263" s="3110">
        <f t="shared" ca="1" si="358"/>
        <v>6432</v>
      </c>
      <c r="AW263" s="2758">
        <f t="shared" ca="1" si="411"/>
        <v>0</v>
      </c>
      <c r="AX263" s="1232">
        <f ca="1">SUM(INDIRECT(AX$1&amp;AX$2&amp;$A263):INDIRECT(AX$1&amp;AX$3&amp;$A263))+SUM(INDIRECT(AX$1&amp;AX$2&amp;$B263):INDIRECT(AX$1&amp;AX$3&amp;$B263))</f>
        <v>0</v>
      </c>
      <c r="AY263" s="3110">
        <f t="shared" ca="1" si="360"/>
        <v>6432</v>
      </c>
      <c r="AZ263" s="2758">
        <f t="shared" ca="1" si="412"/>
        <v>0</v>
      </c>
      <c r="BB263" s="1289">
        <f ca="1">SUM((INDIRECT(BB$2&amp;(ROW())):INDIRECT(BB$3&amp;(ROW()))))</f>
        <v>22206.24652295337</v>
      </c>
      <c r="BC263" s="1232">
        <f ca="1">SUM(INDIRECT(BC$1&amp;BC$2&amp;$C263):INDIRECT(BC$1&amp;BC$3&amp;$C263))</f>
        <v>0</v>
      </c>
      <c r="BD263" s="3110">
        <f t="shared" ca="1" si="362"/>
        <v>22206.24652295337</v>
      </c>
      <c r="BE263" s="2758">
        <f t="shared" ca="1" si="413"/>
        <v>0</v>
      </c>
      <c r="BF263" s="1232">
        <f ca="1">SUM(INDIRECT(BF$1&amp;BF$2&amp;$A263):INDIRECT(BF$1&amp;BF$3&amp;$A263))+SUM(INDIRECT(BF$1&amp;BF$2&amp;$B263):INDIRECT(BF$1&amp;BF$3&amp;$B263))</f>
        <v>0</v>
      </c>
      <c r="BG263" s="3110">
        <f t="shared" ca="1" si="364"/>
        <v>22206.24652295337</v>
      </c>
      <c r="BH263" s="2758">
        <f t="shared" ca="1" si="414"/>
        <v>0</v>
      </c>
    </row>
    <row r="264" spans="1:60" s="69" customFormat="1" ht="14.5">
      <c r="A264" s="616">
        <f t="shared" si="377"/>
        <v>237</v>
      </c>
      <c r="B264" s="616">
        <v>1</v>
      </c>
      <c r="C264" s="616">
        <f t="shared" si="352"/>
        <v>261</v>
      </c>
      <c r="D264" s="709" t="s">
        <v>1308</v>
      </c>
      <c r="E264" s="2547">
        <v>1</v>
      </c>
      <c r="F264" s="4"/>
      <c r="G264" s="4"/>
      <c r="H264" s="4"/>
      <c r="I264" s="27"/>
      <c r="J264" s="3"/>
      <c r="K264" s="4"/>
      <c r="L264" s="4"/>
      <c r="M264" s="4"/>
      <c r="N264" s="3" t="s">
        <v>1402</v>
      </c>
      <c r="O264" s="3"/>
      <c r="P264" s="865"/>
      <c r="Q264" s="1784" t="str">
        <f>CHOOSE(2, "6722000003183", "PL (3) Gross Profit NH MGI")</f>
        <v>PL (3) Gross Profit NH MGI</v>
      </c>
      <c r="R264" s="1289">
        <f t="shared" ref="R264:AC264" si="422">R685+R729</f>
        <v>-857</v>
      </c>
      <c r="S264" s="1232">
        <f t="shared" si="422"/>
        <v>578</v>
      </c>
      <c r="T264" s="1232">
        <f t="shared" si="422"/>
        <v>-611</v>
      </c>
      <c r="U264" s="1232">
        <f t="shared" si="422"/>
        <v>222</v>
      </c>
      <c r="V264" s="1232">
        <f t="shared" si="422"/>
        <v>239.79997966340829</v>
      </c>
      <c r="W264" s="1232">
        <f t="shared" si="422"/>
        <v>520</v>
      </c>
      <c r="X264" s="1232">
        <f t="shared" si="422"/>
        <v>26</v>
      </c>
      <c r="Y264" s="1232">
        <f t="shared" si="422"/>
        <v>-115</v>
      </c>
      <c r="Z264" s="1232">
        <f t="shared" si="422"/>
        <v>-290</v>
      </c>
      <c r="AA264" s="1232">
        <f t="shared" si="422"/>
        <v>-676</v>
      </c>
      <c r="AB264" s="1232">
        <f t="shared" si="422"/>
        <v>-620</v>
      </c>
      <c r="AC264" s="1232">
        <f t="shared" si="422"/>
        <v>-10718</v>
      </c>
      <c r="AD264" s="1232">
        <f t="shared" si="405"/>
        <v>-890</v>
      </c>
      <c r="AE264" s="1232">
        <f t="shared" si="406"/>
        <v>981.79997966340829</v>
      </c>
      <c r="AF264" s="1232">
        <f t="shared" si="407"/>
        <v>-379</v>
      </c>
      <c r="AG264" s="1232">
        <f t="shared" si="408"/>
        <v>-12014</v>
      </c>
      <c r="AH264" s="1232">
        <f t="shared" si="416"/>
        <v>91.799979663408294</v>
      </c>
      <c r="AI264" s="1232">
        <f t="shared" si="417"/>
        <v>-12393</v>
      </c>
      <c r="AJ264" s="1232">
        <f t="shared" si="418"/>
        <v>-12301.200020336591</v>
      </c>
      <c r="AL264" s="1289">
        <f ca="1">SUM((INDIRECT(AL$2&amp;(ROW())):INDIRECT(AL$3&amp;(ROW()))))</f>
        <v>-10718</v>
      </c>
      <c r="AM264" s="1232">
        <f ca="1">SUM(INDIRECT(AM$1&amp;AM$2&amp;$C264):INDIRECT(AM$1&amp;AM$3&amp;$C264))</f>
        <v>1844.6</v>
      </c>
      <c r="AN264" s="3110">
        <f t="shared" ca="1" si="354"/>
        <v>-12562.6</v>
      </c>
      <c r="AO264" s="2758">
        <f t="shared" ca="1" si="409"/>
        <v>-5.8104738154613473</v>
      </c>
      <c r="AP264" s="1232">
        <f ca="1">SUM(INDIRECT(AP$1&amp;AP$2&amp;$A264):INDIRECT(AP$1&amp;AP$3&amp;$A264))+SUM(INDIRECT(AP$1&amp;AP$2&amp;$B264):INDIRECT(AP$1&amp;AP$3&amp;$B264))</f>
        <v>0</v>
      </c>
      <c r="AQ264" s="3110">
        <f t="shared" ca="1" si="356"/>
        <v>-10718</v>
      </c>
      <c r="AR264" s="2758">
        <f t="shared" ca="1" si="410"/>
        <v>0</v>
      </c>
      <c r="AT264" s="1289">
        <f ca="1">SUM((INDIRECT(AT$2&amp;(ROW())):INDIRECT(AT$3&amp;(ROW()))))</f>
        <v>-12014</v>
      </c>
      <c r="AU264" s="1232">
        <f ca="1">SUM(INDIRECT(AU$1&amp;AU$2&amp;$C264):INDIRECT(AU$1&amp;AU$3&amp;$C264))</f>
        <v>5760.2</v>
      </c>
      <c r="AV264" s="3110">
        <f t="shared" ca="1" si="358"/>
        <v>-17774.2</v>
      </c>
      <c r="AW264" s="2758">
        <f t="shared" ca="1" si="411"/>
        <v>-2.0856914690462136</v>
      </c>
      <c r="AX264" s="1232">
        <f ca="1">SUM(INDIRECT(AX$1&amp;AX$2&amp;$A264):INDIRECT(AX$1&amp;AX$3&amp;$A264))+SUM(INDIRECT(AX$1&amp;AX$2&amp;$B264):INDIRECT(AX$1&amp;AX$3&amp;$B264))</f>
        <v>0</v>
      </c>
      <c r="AY264" s="3110">
        <f t="shared" ca="1" si="360"/>
        <v>-12014</v>
      </c>
      <c r="AZ264" s="2758">
        <f t="shared" ca="1" si="412"/>
        <v>0</v>
      </c>
      <c r="BB264" s="1289">
        <f ca="1">SUM((INDIRECT(BB$2&amp;(ROW())):INDIRECT(BB$3&amp;(ROW()))))</f>
        <v>-12301.200020336591</v>
      </c>
      <c r="BC264" s="1232">
        <f ca="1">SUM(INDIRECT(BC$1&amp;BC$2&amp;$C264):INDIRECT(BC$1&amp;BC$3&amp;$C264))</f>
        <v>9667.6</v>
      </c>
      <c r="BD264" s="3110">
        <f t="shared" ca="1" si="362"/>
        <v>-21968.800020336592</v>
      </c>
      <c r="BE264" s="2758">
        <f t="shared" ca="1" si="413"/>
        <v>-1.2724150792685456</v>
      </c>
      <c r="BF264" s="1232">
        <f ca="1">SUM(INDIRECT(BF$1&amp;BF$2&amp;$A264):INDIRECT(BF$1&amp;BF$3&amp;$A264))+SUM(INDIRECT(BF$1&amp;BF$2&amp;$B264):INDIRECT(BF$1&amp;BF$3&amp;$B264))</f>
        <v>0</v>
      </c>
      <c r="BG264" s="3110">
        <f t="shared" ca="1" si="364"/>
        <v>-12301.200020336591</v>
      </c>
      <c r="BH264" s="2758">
        <f t="shared" ca="1" si="414"/>
        <v>0</v>
      </c>
    </row>
    <row r="265" spans="1:60" s="69" customFormat="1" ht="14.5">
      <c r="A265" s="616">
        <f t="shared" si="377"/>
        <v>238</v>
      </c>
      <c r="B265" s="616">
        <v>1</v>
      </c>
      <c r="C265" s="616">
        <f t="shared" si="352"/>
        <v>262</v>
      </c>
      <c r="D265" s="709" t="s">
        <v>1308</v>
      </c>
      <c r="E265" s="2547">
        <v>1</v>
      </c>
      <c r="F265" s="4"/>
      <c r="G265" s="4"/>
      <c r="H265" s="4"/>
      <c r="I265" s="27"/>
      <c r="J265" s="3"/>
      <c r="K265" s="4"/>
      <c r="L265" s="4"/>
      <c r="M265" s="4"/>
      <c r="N265" s="3" t="s">
        <v>1403</v>
      </c>
      <c r="O265" s="3"/>
      <c r="P265" s="3"/>
      <c r="Q265" s="1784" t="str">
        <f>CHOOSE(2, "6722000003184", "PL (3) Gross Profit NH EFI/LF")</f>
        <v>PL (3) Gross Profit NH EFI/LF</v>
      </c>
      <c r="R265" s="1289">
        <f t="shared" ref="R265:AC265" si="423">R691+R735</f>
        <v>0</v>
      </c>
      <c r="S265" s="1232">
        <f t="shared" si="423"/>
        <v>0</v>
      </c>
      <c r="T265" s="1232">
        <f t="shared" si="423"/>
        <v>0</v>
      </c>
      <c r="U265" s="1232">
        <f t="shared" si="423"/>
        <v>0</v>
      </c>
      <c r="V265" s="1232">
        <f t="shared" si="423"/>
        <v>0</v>
      </c>
      <c r="W265" s="1232">
        <f t="shared" si="423"/>
        <v>0</v>
      </c>
      <c r="X265" s="1232">
        <f t="shared" si="423"/>
        <v>0</v>
      </c>
      <c r="Y265" s="1232">
        <f t="shared" si="423"/>
        <v>0</v>
      </c>
      <c r="Z265" s="1232">
        <f t="shared" si="423"/>
        <v>0</v>
      </c>
      <c r="AA265" s="1232">
        <f t="shared" si="423"/>
        <v>0</v>
      </c>
      <c r="AB265" s="1232">
        <f t="shared" si="423"/>
        <v>0</v>
      </c>
      <c r="AC265" s="1232">
        <f t="shared" si="423"/>
        <v>0</v>
      </c>
      <c r="AD265" s="1232">
        <f t="shared" si="405"/>
        <v>0</v>
      </c>
      <c r="AE265" s="1232">
        <f t="shared" si="406"/>
        <v>0</v>
      </c>
      <c r="AF265" s="1232">
        <f t="shared" si="407"/>
        <v>0</v>
      </c>
      <c r="AG265" s="1232">
        <f t="shared" si="408"/>
        <v>0</v>
      </c>
      <c r="AH265" s="1232">
        <f t="shared" si="416"/>
        <v>0</v>
      </c>
      <c r="AI265" s="1232">
        <f t="shared" si="417"/>
        <v>0</v>
      </c>
      <c r="AJ265" s="1232">
        <f t="shared" si="418"/>
        <v>0</v>
      </c>
      <c r="AL265" s="1289">
        <f ca="1">SUM((INDIRECT(AL$2&amp;(ROW())):INDIRECT(AL$3&amp;(ROW()))))</f>
        <v>0</v>
      </c>
      <c r="AM265" s="1232">
        <f ca="1">SUM(INDIRECT(AM$1&amp;AM$2&amp;$C265):INDIRECT(AM$1&amp;AM$3&amp;$C265))</f>
        <v>-200</v>
      </c>
      <c r="AN265" s="3110">
        <f t="shared" ca="1" si="354"/>
        <v>200</v>
      </c>
      <c r="AO265" s="2758">
        <f t="shared" ca="1" si="409"/>
        <v>0</v>
      </c>
      <c r="AP265" s="1232">
        <f ca="1">SUM(INDIRECT(AP$1&amp;AP$2&amp;$A265):INDIRECT(AP$1&amp;AP$3&amp;$A265))+SUM(INDIRECT(AP$1&amp;AP$2&amp;$B265):INDIRECT(AP$1&amp;AP$3&amp;$B265))</f>
        <v>636.03926000000001</v>
      </c>
      <c r="AQ265" s="3110">
        <f t="shared" ca="1" si="356"/>
        <v>-636.03926000000001</v>
      </c>
      <c r="AR265" s="2758">
        <f t="shared" ca="1" si="410"/>
        <v>0</v>
      </c>
      <c r="AT265" s="1289">
        <f ca="1">SUM((INDIRECT(AT$2&amp;(ROW())):INDIRECT(AT$3&amp;(ROW()))))</f>
        <v>0</v>
      </c>
      <c r="AU265" s="1232">
        <f ca="1">SUM(INDIRECT(AU$1&amp;AU$2&amp;$C265):INDIRECT(AU$1&amp;AU$3&amp;$C265))</f>
        <v>-600</v>
      </c>
      <c r="AV265" s="3110">
        <f t="shared" ca="1" si="358"/>
        <v>600</v>
      </c>
      <c r="AW265" s="2758">
        <f t="shared" ca="1" si="411"/>
        <v>0</v>
      </c>
      <c r="AX265" s="1232">
        <f ca="1">SUM(INDIRECT(AX$1&amp;AX$2&amp;$A265):INDIRECT(AX$1&amp;AX$3&amp;$A265))+SUM(INDIRECT(AX$1&amp;AX$2&amp;$B265):INDIRECT(AX$1&amp;AX$3&amp;$B265))</f>
        <v>-1671.96074</v>
      </c>
      <c r="AY265" s="3110">
        <f t="shared" ca="1" si="360"/>
        <v>1671.96074</v>
      </c>
      <c r="AZ265" s="2758">
        <f t="shared" ca="1" si="412"/>
        <v>0</v>
      </c>
      <c r="BB265" s="1289">
        <f ca="1">SUM((INDIRECT(BB$2&amp;(ROW())):INDIRECT(BB$3&amp;(ROW()))))</f>
        <v>0</v>
      </c>
      <c r="BC265" s="1232">
        <f ca="1">SUM(INDIRECT(BC$1&amp;BC$2&amp;$C265):INDIRECT(BC$1&amp;BC$3&amp;$C265))</f>
        <v>-1000</v>
      </c>
      <c r="BD265" s="3110">
        <f t="shared" ca="1" si="362"/>
        <v>1000</v>
      </c>
      <c r="BE265" s="2758">
        <f t="shared" ca="1" si="413"/>
        <v>0</v>
      </c>
      <c r="BF265" s="1232">
        <f ca="1">SUM(INDIRECT(BF$1&amp;BF$2&amp;$A265):INDIRECT(BF$1&amp;BF$3&amp;$A265))+SUM(INDIRECT(BF$1&amp;BF$2&amp;$B265):INDIRECT(BF$1&amp;BF$3&amp;$B265))</f>
        <v>18260.595973272266</v>
      </c>
      <c r="BG265" s="3110">
        <f t="shared" ca="1" si="364"/>
        <v>-18260.595973272266</v>
      </c>
      <c r="BH265" s="2758">
        <f t="shared" ca="1" si="414"/>
        <v>0</v>
      </c>
    </row>
    <row r="266" spans="1:60" s="69" customFormat="1" ht="14.5">
      <c r="A266" s="616">
        <f t="shared" si="377"/>
        <v>239</v>
      </c>
      <c r="B266" s="616">
        <v>1</v>
      </c>
      <c r="C266" s="616">
        <f t="shared" si="352"/>
        <v>263</v>
      </c>
      <c r="D266" s="709" t="s">
        <v>1308</v>
      </c>
      <c r="E266" s="2547">
        <v>1</v>
      </c>
      <c r="F266" s="4"/>
      <c r="G266" s="4"/>
      <c r="H266" s="4"/>
      <c r="I266" s="27"/>
      <c r="J266" s="3"/>
      <c r="K266" s="4"/>
      <c r="L266" s="4"/>
      <c r="M266" s="4"/>
      <c r="N266" s="3" t="s">
        <v>1404</v>
      </c>
      <c r="O266" s="3"/>
      <c r="P266" s="3"/>
      <c r="Q266" s="1784" t="str">
        <f>CHOOSE(2, "6722000003185", "PL (3) Gross Profit NH Textile Printer")</f>
        <v>PL (3) Gross Profit NH Textile Printer</v>
      </c>
      <c r="R266" s="1289">
        <f t="shared" ref="R266:AC266" si="424">R697+R741</f>
        <v>0</v>
      </c>
      <c r="S266" s="1232">
        <f t="shared" si="424"/>
        <v>0</v>
      </c>
      <c r="T266" s="1232">
        <f t="shared" si="424"/>
        <v>0</v>
      </c>
      <c r="U266" s="1232">
        <f t="shared" si="424"/>
        <v>0</v>
      </c>
      <c r="V266" s="1232">
        <f t="shared" si="424"/>
        <v>0</v>
      </c>
      <c r="W266" s="1232">
        <f t="shared" si="424"/>
        <v>0</v>
      </c>
      <c r="X266" s="1232">
        <f t="shared" si="424"/>
        <v>0</v>
      </c>
      <c r="Y266" s="1232">
        <f t="shared" si="424"/>
        <v>0</v>
      </c>
      <c r="Z266" s="1232">
        <f t="shared" si="424"/>
        <v>0</v>
      </c>
      <c r="AA266" s="1232">
        <f t="shared" si="424"/>
        <v>0</v>
      </c>
      <c r="AB266" s="1232">
        <f t="shared" si="424"/>
        <v>0</v>
      </c>
      <c r="AC266" s="1232">
        <f t="shared" si="424"/>
        <v>0</v>
      </c>
      <c r="AD266" s="1232">
        <f t="shared" si="405"/>
        <v>0</v>
      </c>
      <c r="AE266" s="1232">
        <f t="shared" si="406"/>
        <v>0</v>
      </c>
      <c r="AF266" s="1232">
        <f t="shared" si="407"/>
        <v>0</v>
      </c>
      <c r="AG266" s="1232">
        <f t="shared" si="408"/>
        <v>0</v>
      </c>
      <c r="AH266" s="1232">
        <f t="shared" si="416"/>
        <v>0</v>
      </c>
      <c r="AI266" s="1232">
        <f t="shared" si="417"/>
        <v>0</v>
      </c>
      <c r="AJ266" s="1232">
        <f t="shared" si="418"/>
        <v>0</v>
      </c>
      <c r="AL266" s="1289">
        <f ca="1">SUM((INDIRECT(AL$2&amp;(ROW())):INDIRECT(AL$3&amp;(ROW()))))</f>
        <v>0</v>
      </c>
      <c r="AM266" s="1232">
        <f ca="1">SUM(INDIRECT(AM$1&amp;AM$2&amp;$C266):INDIRECT(AM$1&amp;AM$3&amp;$C266))</f>
        <v>2044.6</v>
      </c>
      <c r="AN266" s="3110">
        <f t="shared" ca="1" si="354"/>
        <v>-2044.6</v>
      </c>
      <c r="AO266" s="2758">
        <f t="shared" ca="1" si="409"/>
        <v>0</v>
      </c>
      <c r="AP266" s="1232">
        <f ca="1">SUM(INDIRECT(AP$1&amp;AP$2&amp;$A266):INDIRECT(AP$1&amp;AP$3&amp;$A266))+SUM(INDIRECT(AP$1&amp;AP$2&amp;$B266):INDIRECT(AP$1&amp;AP$3&amp;$B266))</f>
        <v>7.4102328999624378E-2</v>
      </c>
      <c r="AQ266" s="3110">
        <f t="shared" ca="1" si="356"/>
        <v>-7.4102328999624378E-2</v>
      </c>
      <c r="AR266" s="2758">
        <f t="shared" ca="1" si="410"/>
        <v>0</v>
      </c>
      <c r="AT266" s="1289">
        <f ca="1">SUM((INDIRECT(AT$2&amp;(ROW())):INDIRECT(AT$3&amp;(ROW()))))</f>
        <v>0</v>
      </c>
      <c r="AU266" s="1232">
        <f ca="1">SUM(INDIRECT(AU$1&amp;AU$2&amp;$C266):INDIRECT(AU$1&amp;AU$3&amp;$C266))</f>
        <v>6360.2000000000007</v>
      </c>
      <c r="AV266" s="3110">
        <f t="shared" ca="1" si="358"/>
        <v>-6360.2000000000007</v>
      </c>
      <c r="AW266" s="2758">
        <f t="shared" ca="1" si="411"/>
        <v>0</v>
      </c>
      <c r="AX266" s="1232">
        <f ca="1">SUM(INDIRECT(AX$1&amp;AX$2&amp;$A266):INDIRECT(AX$1&amp;AX$3&amp;$A266))+SUM(INDIRECT(AX$1&amp;AX$2&amp;$B266):INDIRECT(AX$1&amp;AX$3&amp;$B266))</f>
        <v>-0.8404429582547055</v>
      </c>
      <c r="AY266" s="3110">
        <f t="shared" ca="1" si="360"/>
        <v>0.8404429582547055</v>
      </c>
      <c r="AZ266" s="2758">
        <f t="shared" ca="1" si="412"/>
        <v>0</v>
      </c>
      <c r="BB266" s="1289">
        <f ca="1">SUM((INDIRECT(BB$2&amp;(ROW())):INDIRECT(BB$3&amp;(ROW()))))</f>
        <v>0</v>
      </c>
      <c r="BC266" s="1232">
        <f ca="1">SUM(INDIRECT(BC$1&amp;BC$2&amp;$C266):INDIRECT(BC$1&amp;BC$3&amp;$C266))</f>
        <v>10667.6</v>
      </c>
      <c r="BD266" s="3110">
        <f t="shared" ca="1" si="362"/>
        <v>-10667.6</v>
      </c>
      <c r="BE266" s="2758">
        <f t="shared" ca="1" si="413"/>
        <v>0</v>
      </c>
      <c r="BF266" s="1232">
        <f ca="1">SUM(INDIRECT(BF$1&amp;BF$2&amp;$A266):INDIRECT(BF$1&amp;BF$3&amp;$A266))+SUM(INDIRECT(BF$1&amp;BF$2&amp;$B266):INDIRECT(BF$1&amp;BF$3&amp;$B266))</f>
        <v>0.19537659275631558</v>
      </c>
      <c r="BG266" s="3110">
        <f t="shared" ca="1" si="364"/>
        <v>-0.19537659275631558</v>
      </c>
      <c r="BH266" s="2758">
        <f t="shared" ca="1" si="414"/>
        <v>0</v>
      </c>
    </row>
    <row r="267" spans="1:60" s="69" customFormat="1" ht="14.5">
      <c r="A267" s="616">
        <f t="shared" si="377"/>
        <v>240</v>
      </c>
      <c r="B267" s="616">
        <v>1</v>
      </c>
      <c r="C267" s="616">
        <f t="shared" si="352"/>
        <v>264</v>
      </c>
      <c r="D267" s="709" t="s">
        <v>1308</v>
      </c>
      <c r="E267" s="2547">
        <v>1</v>
      </c>
      <c r="F267" s="4"/>
      <c r="G267" s="4"/>
      <c r="H267" s="4"/>
      <c r="I267" s="25"/>
      <c r="J267" s="1"/>
      <c r="K267" s="2"/>
      <c r="L267" s="2"/>
      <c r="M267" s="2"/>
      <c r="N267" s="1" t="s">
        <v>1386</v>
      </c>
      <c r="O267" s="1"/>
      <c r="P267" s="1"/>
      <c r="Q267" s="1784" t="str">
        <f>CHOOSE(2, "6722000003186", "PL (3) Gross Profit NH Others")</f>
        <v>PL (3) Gross Profit NH Others</v>
      </c>
      <c r="R267" s="1290">
        <f>R703+R706+R707+R747+R750+R751</f>
        <v>0</v>
      </c>
      <c r="S267" s="1241">
        <f t="shared" ref="S267:AC267" si="425">S703+S706+S707+S747+S750+S751</f>
        <v>0</v>
      </c>
      <c r="T267" s="1241">
        <f t="shared" si="425"/>
        <v>0</v>
      </c>
      <c r="U267" s="1241">
        <f t="shared" si="425"/>
        <v>0</v>
      </c>
      <c r="V267" s="1241">
        <f t="shared" si="425"/>
        <v>0</v>
      </c>
      <c r="W267" s="1241">
        <f t="shared" si="425"/>
        <v>0</v>
      </c>
      <c r="X267" s="1241">
        <f t="shared" si="425"/>
        <v>0</v>
      </c>
      <c r="Y267" s="1241">
        <f t="shared" si="425"/>
        <v>0</v>
      </c>
      <c r="Z267" s="1241">
        <f t="shared" si="425"/>
        <v>0</v>
      </c>
      <c r="AA267" s="1241">
        <f t="shared" si="425"/>
        <v>0</v>
      </c>
      <c r="AB267" s="1241">
        <f t="shared" si="425"/>
        <v>0</v>
      </c>
      <c r="AC267" s="1241">
        <f t="shared" si="425"/>
        <v>0</v>
      </c>
      <c r="AD267" s="1241">
        <f t="shared" si="405"/>
        <v>0</v>
      </c>
      <c r="AE267" s="1241">
        <f t="shared" si="406"/>
        <v>0</v>
      </c>
      <c r="AF267" s="1241">
        <f t="shared" si="407"/>
        <v>0</v>
      </c>
      <c r="AG267" s="1241">
        <f t="shared" si="408"/>
        <v>0</v>
      </c>
      <c r="AH267" s="1241">
        <f t="shared" si="416"/>
        <v>0</v>
      </c>
      <c r="AI267" s="1241">
        <f t="shared" si="417"/>
        <v>0</v>
      </c>
      <c r="AJ267" s="1241">
        <f t="shared" si="418"/>
        <v>0</v>
      </c>
      <c r="AL267" s="1290">
        <f ca="1">SUM((INDIRECT(AL$2&amp;(ROW())):INDIRECT(AL$3&amp;(ROW()))))</f>
        <v>0</v>
      </c>
      <c r="AM267" s="1241">
        <f ca="1">SUM(INDIRECT(AM$1&amp;AM$2&amp;$C267):INDIRECT(AM$1&amp;AM$3&amp;$C267))</f>
        <v>0</v>
      </c>
      <c r="AN267" s="3098">
        <f t="shared" ca="1" si="354"/>
        <v>0</v>
      </c>
      <c r="AO267" s="2743">
        <f t="shared" ca="1" si="409"/>
        <v>0</v>
      </c>
      <c r="AP267" s="1241">
        <f ca="1">SUM(INDIRECT(AP$1&amp;AP$2&amp;$A267):INDIRECT(AP$1&amp;AP$3&amp;$A267))+SUM(INDIRECT(AP$1&amp;AP$2&amp;$B267):INDIRECT(AP$1&amp;AP$3&amp;$B267))</f>
        <v>0</v>
      </c>
      <c r="AQ267" s="3098">
        <f t="shared" ca="1" si="356"/>
        <v>0</v>
      </c>
      <c r="AR267" s="2743">
        <f t="shared" ca="1" si="410"/>
        <v>0</v>
      </c>
      <c r="AT267" s="1290">
        <f ca="1">SUM((INDIRECT(AT$2&amp;(ROW())):INDIRECT(AT$3&amp;(ROW()))))</f>
        <v>0</v>
      </c>
      <c r="AU267" s="1241">
        <f ca="1">SUM(INDIRECT(AU$1&amp;AU$2&amp;$C267):INDIRECT(AU$1&amp;AU$3&amp;$C267))</f>
        <v>0</v>
      </c>
      <c r="AV267" s="3098">
        <f t="shared" ca="1" si="358"/>
        <v>0</v>
      </c>
      <c r="AW267" s="2743">
        <f t="shared" ca="1" si="411"/>
        <v>0</v>
      </c>
      <c r="AX267" s="1241">
        <f ca="1">SUM(INDIRECT(AX$1&amp;AX$2&amp;$A267):INDIRECT(AX$1&amp;AX$3&amp;$A267))+SUM(INDIRECT(AX$1&amp;AX$2&amp;$B267):INDIRECT(AX$1&amp;AX$3&amp;$B267))</f>
        <v>0.30956927646934013</v>
      </c>
      <c r="AY267" s="3098">
        <f t="shared" ca="1" si="360"/>
        <v>-0.30956927646934013</v>
      </c>
      <c r="AZ267" s="2743">
        <f t="shared" ca="1" si="412"/>
        <v>0</v>
      </c>
      <c r="BB267" s="1290">
        <f ca="1">SUM((INDIRECT(BB$2&amp;(ROW())):INDIRECT(BB$3&amp;(ROW()))))</f>
        <v>0</v>
      </c>
      <c r="BC267" s="1241">
        <f ca="1">SUM(INDIRECT(BC$1&amp;BC$2&amp;$C267):INDIRECT(BC$1&amp;BC$3&amp;$C267))</f>
        <v>0</v>
      </c>
      <c r="BD267" s="3098">
        <f t="shared" ca="1" si="362"/>
        <v>0</v>
      </c>
      <c r="BE267" s="2743">
        <f t="shared" ca="1" si="413"/>
        <v>0</v>
      </c>
      <c r="BF267" s="1241">
        <f ca="1">SUM(INDIRECT(BF$1&amp;BF$2&amp;$A267):INDIRECT(BF$1&amp;BF$3&amp;$A267))+SUM(INDIRECT(BF$1&amp;BF$2&amp;$B267):INDIRECT(BF$1&amp;BF$3&amp;$B267))</f>
        <v>-18.075687659999293</v>
      </c>
      <c r="BG267" s="3098">
        <f t="shared" ca="1" si="364"/>
        <v>18.075687659999293</v>
      </c>
      <c r="BH267" s="2743">
        <f t="shared" ca="1" si="414"/>
        <v>0</v>
      </c>
    </row>
    <row r="268" spans="1:60" ht="14.5">
      <c r="A268" s="616">
        <f t="shared" si="377"/>
        <v>241</v>
      </c>
      <c r="B268" s="616">
        <v>1</v>
      </c>
      <c r="C268" s="616">
        <f t="shared" si="352"/>
        <v>265</v>
      </c>
      <c r="D268" s="709" t="s">
        <v>1308</v>
      </c>
      <c r="E268" s="2547">
        <v>1</v>
      </c>
      <c r="F268" s="4"/>
      <c r="G268" s="4"/>
      <c r="H268" s="4"/>
      <c r="I268" s="3155" t="s">
        <v>29</v>
      </c>
      <c r="J268" s="489"/>
      <c r="K268" s="581"/>
      <c r="L268" s="581"/>
      <c r="M268" s="489"/>
      <c r="N268" s="489"/>
      <c r="O268" s="489"/>
      <c r="P268" s="489"/>
      <c r="Q268" s="1795" t="str">
        <f>CHOOSE(2, "6722000003187", "PL (3) SGA Expenses")</f>
        <v>PL (3) SGA Expenses</v>
      </c>
      <c r="R268" s="1307">
        <f>SUM(R269:R271)</f>
        <v>2598.9108360598129</v>
      </c>
      <c r="S268" s="3156">
        <f t="shared" ref="S268:AJ268" si="426">SUM(S269:S271)</f>
        <v>2277.5850230155347</v>
      </c>
      <c r="T268" s="3156">
        <f t="shared" si="426"/>
        <v>2653.8869849289322</v>
      </c>
      <c r="U268" s="3156">
        <f t="shared" si="426"/>
        <v>2642.4913994741919</v>
      </c>
      <c r="V268" s="3156">
        <f t="shared" si="426"/>
        <v>2654.6348013777306</v>
      </c>
      <c r="W268" s="3156">
        <f t="shared" si="426"/>
        <v>2761.8275081004808</v>
      </c>
      <c r="X268" s="3156">
        <f t="shared" si="426"/>
        <v>2687.8747639580652</v>
      </c>
      <c r="Y268" s="3156">
        <f t="shared" si="426"/>
        <v>2764.0233053629686</v>
      </c>
      <c r="Z268" s="3156">
        <f t="shared" si="426"/>
        <v>2798.3414142982901</v>
      </c>
      <c r="AA268" s="3156">
        <f t="shared" si="426"/>
        <v>3475.1798832428681</v>
      </c>
      <c r="AB268" s="3156">
        <f t="shared" si="426"/>
        <v>3704.6254925391677</v>
      </c>
      <c r="AC268" s="3156">
        <f t="shared" si="426"/>
        <v>1221.7619243365768</v>
      </c>
      <c r="AD268" s="3156">
        <f t="shared" si="426"/>
        <v>7530.3828440042798</v>
      </c>
      <c r="AE268" s="3156">
        <f t="shared" si="426"/>
        <v>8058.9537089524038</v>
      </c>
      <c r="AF268" s="3156">
        <f t="shared" si="426"/>
        <v>8250.2394836193234</v>
      </c>
      <c r="AG268" s="3156">
        <f t="shared" si="426"/>
        <v>8401.5673001186133</v>
      </c>
      <c r="AH268" s="3156">
        <f t="shared" si="426"/>
        <v>15589.336552956684</v>
      </c>
      <c r="AI268" s="3156">
        <f t="shared" si="426"/>
        <v>16651.806783737939</v>
      </c>
      <c r="AJ268" s="3156">
        <f t="shared" si="426"/>
        <v>32241.143336694622</v>
      </c>
      <c r="AL268" s="1307">
        <f ca="1">SUM((INDIRECT(AL$2&amp;(ROW())):INDIRECT(AL$3&amp;(ROW()))))</f>
        <v>1221.7619243365768</v>
      </c>
      <c r="AM268" s="3156">
        <f ca="1">SUM(INDIRECT(AM$1&amp;AM$2&amp;$C268):INDIRECT(AM$1&amp;AM$3&amp;$C268))</f>
        <v>0</v>
      </c>
      <c r="AN268" s="3157">
        <f t="shared" ca="1" si="354"/>
        <v>1221.7619243365768</v>
      </c>
      <c r="AO268" s="3158">
        <f t="shared" ca="1" si="409"/>
        <v>0</v>
      </c>
      <c r="AP268" s="3156">
        <f ca="1">SUM(INDIRECT(AP$1&amp;AP$2&amp;$A268):INDIRECT(AP$1&amp;AP$3&amp;$A268))+SUM(INDIRECT(AP$1&amp;AP$2&amp;$B268):INDIRECT(AP$1&amp;AP$3&amp;$B268))</f>
        <v>0</v>
      </c>
      <c r="AQ268" s="3157">
        <f t="shared" ca="1" si="356"/>
        <v>1221.7619243365768</v>
      </c>
      <c r="AR268" s="3158">
        <f t="shared" ca="1" si="410"/>
        <v>0</v>
      </c>
      <c r="AT268" s="1307">
        <f ca="1">SUM((INDIRECT(AT$2&amp;(ROW())):INDIRECT(AT$3&amp;(ROW()))))</f>
        <v>8401.5673001186133</v>
      </c>
      <c r="AU268" s="3156">
        <f ca="1">SUM(INDIRECT(AU$1&amp;AU$2&amp;$C268):INDIRECT(AU$1&amp;AU$3&amp;$C268))</f>
        <v>0</v>
      </c>
      <c r="AV268" s="3157">
        <f t="shared" ca="1" si="358"/>
        <v>8401.5673001186133</v>
      </c>
      <c r="AW268" s="3158">
        <f t="shared" ca="1" si="411"/>
        <v>0</v>
      </c>
      <c r="AX268" s="3156">
        <f ca="1">SUM(INDIRECT(AX$1&amp;AX$2&amp;$A268):INDIRECT(AX$1&amp;AX$3&amp;$A268))+SUM(INDIRECT(AX$1&amp;AX$2&amp;$B268):INDIRECT(AX$1&amp;AX$3&amp;$B268))</f>
        <v>0</v>
      </c>
      <c r="AY268" s="3157">
        <f t="shared" ca="1" si="360"/>
        <v>8401.5673001186133</v>
      </c>
      <c r="AZ268" s="3158">
        <f t="shared" ca="1" si="412"/>
        <v>0</v>
      </c>
      <c r="BB268" s="1307">
        <f ca="1">SUM((INDIRECT(BB$2&amp;(ROW())):INDIRECT(BB$3&amp;(ROW()))))</f>
        <v>32241.143336694622</v>
      </c>
      <c r="BC268" s="3156">
        <f ca="1">SUM(INDIRECT(BC$1&amp;BC$2&amp;$C268):INDIRECT(BC$1&amp;BC$3&amp;$C268))</f>
        <v>0</v>
      </c>
      <c r="BD268" s="3157">
        <f t="shared" ca="1" si="362"/>
        <v>32241.143336694622</v>
      </c>
      <c r="BE268" s="3158">
        <f t="shared" ca="1" si="413"/>
        <v>0</v>
      </c>
      <c r="BF268" s="3156">
        <f ca="1">SUM(INDIRECT(BF$1&amp;BF$2&amp;$A268):INDIRECT(BF$1&amp;BF$3&amp;$A268))+SUM(INDIRECT(BF$1&amp;BF$2&amp;$B268):INDIRECT(BF$1&amp;BF$3&amp;$B268))</f>
        <v>0</v>
      </c>
      <c r="BG268" s="3157">
        <f t="shared" ca="1" si="364"/>
        <v>32241.143336694622</v>
      </c>
      <c r="BH268" s="3158">
        <f t="shared" ca="1" si="414"/>
        <v>0</v>
      </c>
    </row>
    <row r="269" spans="1:60" ht="14.5">
      <c r="A269" s="616">
        <f t="shared" si="377"/>
        <v>242</v>
      </c>
      <c r="B269" s="616">
        <v>1</v>
      </c>
      <c r="C269" s="616">
        <f t="shared" si="352"/>
        <v>266</v>
      </c>
      <c r="D269" s="709" t="s">
        <v>1308</v>
      </c>
      <c r="E269" s="2547">
        <v>1</v>
      </c>
      <c r="F269" s="4"/>
      <c r="G269" s="4"/>
      <c r="H269" s="4"/>
      <c r="I269" s="27"/>
      <c r="J269" s="108" t="s">
        <v>1329</v>
      </c>
      <c r="K269" s="4"/>
      <c r="L269" s="4"/>
      <c r="M269" s="3"/>
      <c r="N269" s="3"/>
      <c r="O269" s="3"/>
      <c r="P269" s="3"/>
      <c r="Q269" s="1790" t="str">
        <f>CHOOSE(2, "6722000003188", "PL (3) SGA Expenses Variable Expenses")</f>
        <v>PL (3) SGA Expenses Variable Expenses</v>
      </c>
      <c r="R269" s="1215">
        <v>169.92407056187767</v>
      </c>
      <c r="S269" s="1222">
        <v>239.55089132340413</v>
      </c>
      <c r="T269" s="1222">
        <v>185.98715867134592</v>
      </c>
      <c r="U269" s="1222">
        <v>348.9773196471948</v>
      </c>
      <c r="V269" s="1222">
        <v>133.9207567772001</v>
      </c>
      <c r="W269" s="1222">
        <v>470.97790040105588</v>
      </c>
      <c r="X269" s="1222">
        <v>204.33572717881862</v>
      </c>
      <c r="Y269" s="1222">
        <v>489.00176305503419</v>
      </c>
      <c r="Z269" s="1222">
        <v>163.4234496295926</v>
      </c>
      <c r="AA269" s="1222">
        <v>1375.4058572666568</v>
      </c>
      <c r="AB269" s="1222">
        <v>1648.2257486920998</v>
      </c>
      <c r="AC269" s="1222">
        <v>-701.86655152023945</v>
      </c>
      <c r="AD269" s="1221">
        <f>SUM(R269,S269,T269)</f>
        <v>595.46212055662772</v>
      </c>
      <c r="AE269" s="1221">
        <f t="shared" ref="AE269:AE271" si="427">SUM(U269,V269,W269)</f>
        <v>953.87597682545083</v>
      </c>
      <c r="AF269" s="1221">
        <f t="shared" ref="AF269:AF271" si="428">SUM(X269,Y269,Z269)</f>
        <v>856.7609398634454</v>
      </c>
      <c r="AG269" s="1221">
        <f t="shared" ref="AG269:AG271" si="429">SUM(AA269,AB269,AC269)</f>
        <v>2321.7650544385169</v>
      </c>
      <c r="AH269" s="1221">
        <f>AD269+AE269</f>
        <v>1549.3380973820786</v>
      </c>
      <c r="AI269" s="1221">
        <f>AG269+AF269</f>
        <v>3178.5259943019623</v>
      </c>
      <c r="AJ269" s="1221">
        <f>AH269+AI269</f>
        <v>4727.8640916840413</v>
      </c>
      <c r="AL269" s="1214">
        <f ca="1">SUM((INDIRECT(AL$2&amp;(ROW())):INDIRECT(AL$3&amp;(ROW()))))</f>
        <v>-701.86655152023945</v>
      </c>
      <c r="AM269" s="1221">
        <f ca="1">SUM(INDIRECT(AM$1&amp;AM$2&amp;$C269):INDIRECT(AM$1&amp;AM$3&amp;$C269))</f>
        <v>0</v>
      </c>
      <c r="AN269" s="3119">
        <f t="shared" ca="1" si="354"/>
        <v>-701.86655152023945</v>
      </c>
      <c r="AO269" s="2768">
        <f t="shared" ca="1" si="409"/>
        <v>0</v>
      </c>
      <c r="AP269" s="1221">
        <f ca="1">SUM(INDIRECT(AP$1&amp;AP$2&amp;$A269):INDIRECT(AP$1&amp;AP$3&amp;$A269))+SUM(INDIRECT(AP$1&amp;AP$2&amp;$B269):INDIRECT(AP$1&amp;AP$3&amp;$B269))</f>
        <v>0</v>
      </c>
      <c r="AQ269" s="3119">
        <f t="shared" ca="1" si="356"/>
        <v>-701.86655152023945</v>
      </c>
      <c r="AR269" s="2768">
        <f t="shared" ca="1" si="410"/>
        <v>0</v>
      </c>
      <c r="AT269" s="1214">
        <f ca="1">SUM((INDIRECT(AT$2&amp;(ROW())):INDIRECT(AT$3&amp;(ROW()))))</f>
        <v>2321.7650544385169</v>
      </c>
      <c r="AU269" s="1221">
        <f ca="1">SUM(INDIRECT(AU$1&amp;AU$2&amp;$C269):INDIRECT(AU$1&amp;AU$3&amp;$C269))</f>
        <v>0</v>
      </c>
      <c r="AV269" s="3119">
        <f t="shared" ca="1" si="358"/>
        <v>2321.7650544385169</v>
      </c>
      <c r="AW269" s="2768">
        <f t="shared" ca="1" si="411"/>
        <v>0</v>
      </c>
      <c r="AX269" s="1221">
        <f ca="1">SUM(INDIRECT(AX$1&amp;AX$2&amp;$A269):INDIRECT(AX$1&amp;AX$3&amp;$A269))+SUM(INDIRECT(AX$1&amp;AX$2&amp;$B269):INDIRECT(AX$1&amp;AX$3&amp;$B269))</f>
        <v>0.5583516483516483</v>
      </c>
      <c r="AY269" s="3119">
        <f t="shared" ca="1" si="360"/>
        <v>2321.2067027901653</v>
      </c>
      <c r="AZ269" s="2768">
        <f t="shared" ca="1" si="412"/>
        <v>4158.2487690199778</v>
      </c>
      <c r="BB269" s="1214">
        <f ca="1">SUM((INDIRECT(BB$2&amp;(ROW())):INDIRECT(BB$3&amp;(ROW()))))</f>
        <v>4727.8640916840413</v>
      </c>
      <c r="BC269" s="1221">
        <f ca="1">SUM(INDIRECT(BC$1&amp;BC$2&amp;$C269):INDIRECT(BC$1&amp;BC$3&amp;$C269))</f>
        <v>0</v>
      </c>
      <c r="BD269" s="3119">
        <f t="shared" ca="1" si="362"/>
        <v>4727.8640916840413</v>
      </c>
      <c r="BE269" s="2768">
        <f t="shared" ca="1" si="413"/>
        <v>0</v>
      </c>
      <c r="BF269" s="1221">
        <f ca="1">SUM(INDIRECT(BF$1&amp;BF$2&amp;$A269):INDIRECT(BF$1&amp;BF$3&amp;$A269))+SUM(INDIRECT(BF$1&amp;BF$2&amp;$B269):INDIRECT(BF$1&amp;BF$3&amp;$B269))</f>
        <v>1.1344569115095431</v>
      </c>
      <c r="BG269" s="3119">
        <f t="shared" ca="1" si="364"/>
        <v>4726.7296347725314</v>
      </c>
      <c r="BH269" s="2768">
        <f t="shared" ca="1" si="414"/>
        <v>4167.5131454688753</v>
      </c>
    </row>
    <row r="270" spans="1:60" ht="14.5">
      <c r="A270" s="616">
        <f t="shared" si="377"/>
        <v>243</v>
      </c>
      <c r="B270" s="616">
        <v>1</v>
      </c>
      <c r="C270" s="616">
        <f t="shared" ref="C270:C333" si="430">ROW()-3</f>
        <v>267</v>
      </c>
      <c r="D270" s="709" t="s">
        <v>1308</v>
      </c>
      <c r="E270" s="2547">
        <v>1</v>
      </c>
      <c r="F270" s="4"/>
      <c r="G270" s="4"/>
      <c r="H270" s="4"/>
      <c r="I270" s="27"/>
      <c r="J270" s="36" t="s">
        <v>1330</v>
      </c>
      <c r="K270" s="4"/>
      <c r="L270" s="4"/>
      <c r="M270" s="3"/>
      <c r="N270" s="3"/>
      <c r="O270" s="3"/>
      <c r="P270" s="3"/>
      <c r="Q270" s="1790" t="str">
        <f>CHOOSE(2, "6722000003189", "PL (3) SGA Expenses Wages &amp; Salaries")</f>
        <v>PL (3) SGA Expenses Wages &amp; Salaries</v>
      </c>
      <c r="R270" s="1215">
        <v>1965</v>
      </c>
      <c r="S270" s="1222">
        <v>1727.0701752737095</v>
      </c>
      <c r="T270" s="1222">
        <v>1812.0943117414163</v>
      </c>
      <c r="U270" s="1222">
        <v>1705.3713716575785</v>
      </c>
      <c r="V270" s="1222">
        <v>1719.2948784058999</v>
      </c>
      <c r="W270" s="1222">
        <v>1819.5483783134659</v>
      </c>
      <c r="X270" s="1222">
        <v>1668.497553102123</v>
      </c>
      <c r="Y270" s="1222">
        <v>1751.2024207938862</v>
      </c>
      <c r="Z270" s="1222">
        <v>2062.8042584419636</v>
      </c>
      <c r="AA270" s="1222">
        <v>1545.4615870404195</v>
      </c>
      <c r="AB270" s="1222">
        <v>1492.5247886308562</v>
      </c>
      <c r="AC270" s="1222">
        <v>1551.2666141716552</v>
      </c>
      <c r="AD270" s="1221">
        <f>SUM(R270,S270,T270)</f>
        <v>5504.1644870151258</v>
      </c>
      <c r="AE270" s="1221">
        <f t="shared" si="427"/>
        <v>5244.2146283769443</v>
      </c>
      <c r="AF270" s="1221">
        <f t="shared" si="428"/>
        <v>5482.504232337973</v>
      </c>
      <c r="AG270" s="1221">
        <f t="shared" si="429"/>
        <v>4589.2529898429311</v>
      </c>
      <c r="AH270" s="1221">
        <f>AD270+AE270</f>
        <v>10748.37911539207</v>
      </c>
      <c r="AI270" s="1221">
        <f>AG270+AF270</f>
        <v>10071.757222180904</v>
      </c>
      <c r="AJ270" s="1221">
        <f>AH270+AI270</f>
        <v>20820.136337572974</v>
      </c>
      <c r="AL270" s="1214">
        <f ca="1">SUM((INDIRECT(AL$2&amp;(ROW())):INDIRECT(AL$3&amp;(ROW()))))</f>
        <v>1551.2666141716552</v>
      </c>
      <c r="AM270" s="1221">
        <f ca="1">SUM(INDIRECT(AM$1&amp;AM$2&amp;$C270):INDIRECT(AM$1&amp;AM$3&amp;$C270))</f>
        <v>0</v>
      </c>
      <c r="AN270" s="3119">
        <f t="shared" ca="1" si="354"/>
        <v>1551.2666141716552</v>
      </c>
      <c r="AO270" s="2768">
        <f t="shared" ca="1" si="409"/>
        <v>0</v>
      </c>
      <c r="AP270" s="1221">
        <f ca="1">SUM(INDIRECT(AP$1&amp;AP$2&amp;$A270):INDIRECT(AP$1&amp;AP$3&amp;$A270))+SUM(INDIRECT(AP$1&amp;AP$2&amp;$B270):INDIRECT(AP$1&amp;AP$3&amp;$B270))</f>
        <v>0</v>
      </c>
      <c r="AQ270" s="3119">
        <f t="shared" ca="1" si="356"/>
        <v>1551.2666141716552</v>
      </c>
      <c r="AR270" s="2768">
        <f t="shared" ca="1" si="410"/>
        <v>0</v>
      </c>
      <c r="AT270" s="1214">
        <f ca="1">SUM((INDIRECT(AT$2&amp;(ROW())):INDIRECT(AT$3&amp;(ROW()))))</f>
        <v>4589.2529898429311</v>
      </c>
      <c r="AU270" s="1221">
        <f ca="1">SUM(INDIRECT(AU$1&amp;AU$2&amp;$C270):INDIRECT(AU$1&amp;AU$3&amp;$C270))</f>
        <v>0</v>
      </c>
      <c r="AV270" s="3119">
        <f t="shared" ca="1" si="358"/>
        <v>4589.2529898429311</v>
      </c>
      <c r="AW270" s="2768">
        <f t="shared" ca="1" si="411"/>
        <v>0</v>
      </c>
      <c r="AX270" s="1221">
        <f ca="1">SUM(INDIRECT(AX$1&amp;AX$2&amp;$A270):INDIRECT(AX$1&amp;AX$3&amp;$A270))+SUM(INDIRECT(AX$1&amp;AX$2&amp;$B270):INDIRECT(AX$1&amp;AX$3&amp;$B270))</f>
        <v>7.742001640689089E-2</v>
      </c>
      <c r="AY270" s="3119">
        <f t="shared" ca="1" si="360"/>
        <v>4589.1755698265242</v>
      </c>
      <c r="AZ270" s="2768">
        <f t="shared" ca="1" si="412"/>
        <v>59277.344578739423</v>
      </c>
      <c r="BB270" s="1214">
        <f ca="1">SUM((INDIRECT(BB$2&amp;(ROW())):INDIRECT(BB$3&amp;(ROW()))))</f>
        <v>20820.136337572974</v>
      </c>
      <c r="BC270" s="1221">
        <f ca="1">SUM(INDIRECT(BC$1&amp;BC$2&amp;$C270):INDIRECT(BC$1&amp;BC$3&amp;$C270))</f>
        <v>0</v>
      </c>
      <c r="BD270" s="3119">
        <f t="shared" ca="1" si="362"/>
        <v>20820.136337572974</v>
      </c>
      <c r="BE270" s="2768">
        <f t="shared" ca="1" si="413"/>
        <v>0</v>
      </c>
      <c r="BF270" s="1221">
        <f ca="1">SUM(INDIRECT(BF$1&amp;BF$2&amp;$A270):INDIRECT(BF$1&amp;BF$3&amp;$A270))+SUM(INDIRECT(BF$1&amp;BF$2&amp;$B270):INDIRECT(BF$1&amp;BF$3&amp;$B270))</f>
        <v>-18.473815307485605</v>
      </c>
      <c r="BG270" s="3119">
        <f t="shared" ca="1" si="364"/>
        <v>20838.610152880461</v>
      </c>
      <c r="BH270" s="2768">
        <f t="shared" ca="1" si="414"/>
        <v>-1127.0079293873116</v>
      </c>
    </row>
    <row r="271" spans="1:60" ht="14.5">
      <c r="A271" s="616">
        <f t="shared" si="377"/>
        <v>244</v>
      </c>
      <c r="B271" s="616">
        <v>1</v>
      </c>
      <c r="C271" s="616">
        <f t="shared" si="430"/>
        <v>268</v>
      </c>
      <c r="D271" s="709" t="s">
        <v>1308</v>
      </c>
      <c r="E271" s="2547">
        <v>1</v>
      </c>
      <c r="F271" s="4"/>
      <c r="G271" s="4"/>
      <c r="H271" s="4"/>
      <c r="I271" s="27"/>
      <c r="J271" s="36" t="s">
        <v>1331</v>
      </c>
      <c r="K271" s="4"/>
      <c r="L271" s="4"/>
      <c r="M271" s="3"/>
      <c r="N271" s="3"/>
      <c r="O271" s="3"/>
      <c r="P271" s="3"/>
      <c r="Q271" s="1790" t="str">
        <f>CHOOSE(2, "6722000003190", "PL (3) SGA Expenses Fixed Expenses")</f>
        <v>PL (3) SGA Expenses Fixed Expenses</v>
      </c>
      <c r="R271" s="1215">
        <v>463.98676549793532</v>
      </c>
      <c r="S271" s="1222">
        <v>310.96395641842105</v>
      </c>
      <c r="T271" s="1222">
        <v>655.80551451616975</v>
      </c>
      <c r="U271" s="1222">
        <v>588.14270816941882</v>
      </c>
      <c r="V271" s="1222">
        <v>801.41916619463086</v>
      </c>
      <c r="W271" s="1222">
        <v>471.30122938595883</v>
      </c>
      <c r="X271" s="1222">
        <v>815.04148367712367</v>
      </c>
      <c r="Y271" s="1222">
        <v>523.81912151404833</v>
      </c>
      <c r="Z271" s="1222">
        <v>572.11370622673394</v>
      </c>
      <c r="AA271" s="1222">
        <v>554.31243893579187</v>
      </c>
      <c r="AB271" s="1222">
        <v>563.87495521621145</v>
      </c>
      <c r="AC271" s="1222">
        <v>372.36186168516116</v>
      </c>
      <c r="AD271" s="1221">
        <f>SUM(R271,S271,T271)</f>
        <v>1430.7562364325261</v>
      </c>
      <c r="AE271" s="1221">
        <f t="shared" si="427"/>
        <v>1860.8631037500086</v>
      </c>
      <c r="AF271" s="1221">
        <f t="shared" si="428"/>
        <v>1910.9743114179059</v>
      </c>
      <c r="AG271" s="1221">
        <f t="shared" si="429"/>
        <v>1490.5492558371645</v>
      </c>
      <c r="AH271" s="1221">
        <f>AD271+AE271</f>
        <v>3291.6193401825349</v>
      </c>
      <c r="AI271" s="1221">
        <f>AG271+AF271</f>
        <v>3401.5235672550707</v>
      </c>
      <c r="AJ271" s="1221">
        <f>AH271+AI271</f>
        <v>6693.1429074376056</v>
      </c>
      <c r="AL271" s="1214">
        <f ca="1">SUM((INDIRECT(AL$2&amp;(ROW())):INDIRECT(AL$3&amp;(ROW()))))</f>
        <v>372.36186168516116</v>
      </c>
      <c r="AM271" s="1221">
        <f ca="1">SUM(INDIRECT(AM$1&amp;AM$2&amp;$C271):INDIRECT(AM$1&amp;AM$3&amp;$C271))</f>
        <v>3388.3693187903955</v>
      </c>
      <c r="AN271" s="3119">
        <f t="shared" ca="1" si="354"/>
        <v>-3016.0074571052342</v>
      </c>
      <c r="AO271" s="2768">
        <f t="shared" ca="1" si="409"/>
        <v>0.10989411916233782</v>
      </c>
      <c r="AP271" s="1221">
        <f ca="1">SUM(INDIRECT(AP$1&amp;AP$2&amp;$A271):INDIRECT(AP$1&amp;AP$3&amp;$A271))+SUM(INDIRECT(AP$1&amp;AP$2&amp;$B271):INDIRECT(AP$1&amp;AP$3&amp;$B271))</f>
        <v>0</v>
      </c>
      <c r="AQ271" s="3119">
        <f t="shared" ca="1" si="356"/>
        <v>372.36186168516116</v>
      </c>
      <c r="AR271" s="2768">
        <f t="shared" ca="1" si="410"/>
        <v>0</v>
      </c>
      <c r="AT271" s="1214">
        <f ca="1">SUM((INDIRECT(AT$2&amp;(ROW())):INDIRECT(AT$3&amp;(ROW()))))</f>
        <v>1490.5492558371645</v>
      </c>
      <c r="AU271" s="1221">
        <f ca="1">SUM(INDIRECT(AU$1&amp;AU$2&amp;$C271):INDIRECT(AU$1&amp;AU$3&amp;$C271))</f>
        <v>10002.147605076769</v>
      </c>
      <c r="AV271" s="3119">
        <f t="shared" ca="1" si="358"/>
        <v>-8511.5983492396044</v>
      </c>
      <c r="AW271" s="2768">
        <f t="shared" ca="1" si="411"/>
        <v>0.14902292134547282</v>
      </c>
      <c r="AX271" s="1221">
        <f ca="1">SUM(INDIRECT(AX$1&amp;AX$2&amp;$A271):INDIRECT(AX$1&amp;AX$3&amp;$A271))+SUM(INDIRECT(AX$1&amp;AX$2&amp;$B271):INDIRECT(AX$1&amp;AX$3&amp;$B271))</f>
        <v>0</v>
      </c>
      <c r="AY271" s="3119">
        <f t="shared" ca="1" si="360"/>
        <v>1490.5492558371645</v>
      </c>
      <c r="AZ271" s="2768">
        <f t="shared" ca="1" si="412"/>
        <v>0</v>
      </c>
      <c r="BB271" s="1214">
        <f ca="1">SUM((INDIRECT(BB$2&amp;(ROW())):INDIRECT(BB$3&amp;(ROW()))))</f>
        <v>6693.1429074376047</v>
      </c>
      <c r="BC271" s="1221">
        <f ca="1">SUM(INDIRECT(BC$1&amp;BC$2&amp;$C271):INDIRECT(BC$1&amp;BC$3&amp;$C271))</f>
        <v>16882.880572748942</v>
      </c>
      <c r="BD271" s="3119">
        <f t="shared" ca="1" si="362"/>
        <v>-10189.737665311337</v>
      </c>
      <c r="BE271" s="2768">
        <f t="shared" ca="1" si="413"/>
        <v>0.39644555196588699</v>
      </c>
      <c r="BF271" s="1221">
        <f ca="1">SUM(INDIRECT(BF$1&amp;BF$2&amp;$A271):INDIRECT(BF$1&amp;BF$3&amp;$A271))+SUM(INDIRECT(BF$1&amp;BF$2&amp;$B271):INDIRECT(BF$1&amp;BF$3&amp;$B271))</f>
        <v>0</v>
      </c>
      <c r="BG271" s="3119">
        <f t="shared" ca="1" si="364"/>
        <v>6693.1429074376047</v>
      </c>
      <c r="BH271" s="2768">
        <f t="shared" ca="1" si="414"/>
        <v>0</v>
      </c>
    </row>
    <row r="272" spans="1:60" ht="14.5">
      <c r="A272" s="616">
        <f t="shared" si="377"/>
        <v>245</v>
      </c>
      <c r="B272" s="616">
        <v>1</v>
      </c>
      <c r="C272" s="616">
        <f t="shared" si="430"/>
        <v>269</v>
      </c>
      <c r="D272" s="709" t="s">
        <v>1308</v>
      </c>
      <c r="E272" s="2547">
        <v>1</v>
      </c>
      <c r="F272" s="4"/>
      <c r="G272" s="4"/>
      <c r="H272" s="4"/>
      <c r="I272" s="3155" t="s">
        <v>56</v>
      </c>
      <c r="J272" s="489"/>
      <c r="K272" s="581"/>
      <c r="L272" s="581"/>
      <c r="M272" s="581"/>
      <c r="N272" s="581"/>
      <c r="O272" s="581"/>
      <c r="P272" s="581"/>
      <c r="Q272" s="1795" t="str">
        <f>CHOOSE(2, "6722000003191", "PL (3) Business Contribution Profit")</f>
        <v>PL (3) Business Contribution Profit</v>
      </c>
      <c r="R272" s="1307">
        <f t="shared" ref="R272:AJ272" si="431">R238-R268</f>
        <v>-1543.9108360598129</v>
      </c>
      <c r="S272" s="3156">
        <f t="shared" si="431"/>
        <v>-5049.5850230155347</v>
      </c>
      <c r="T272" s="3156">
        <f t="shared" si="431"/>
        <v>6100.1130150710678</v>
      </c>
      <c r="U272" s="3156">
        <f t="shared" si="431"/>
        <v>-948.49139947419189</v>
      </c>
      <c r="V272" s="3156">
        <f t="shared" si="431"/>
        <v>905.52490041785268</v>
      </c>
      <c r="W272" s="3156">
        <f t="shared" si="431"/>
        <v>-497.43049662379735</v>
      </c>
      <c r="X272" s="3156">
        <f t="shared" si="431"/>
        <v>197.12523604193484</v>
      </c>
      <c r="Y272" s="3156">
        <f t="shared" si="431"/>
        <v>-272.02330536296859</v>
      </c>
      <c r="Z272" s="3156">
        <f t="shared" si="431"/>
        <v>-11626.341414298291</v>
      </c>
      <c r="AA272" s="3156">
        <f t="shared" si="431"/>
        <v>3044.8201167571319</v>
      </c>
      <c r="AB272" s="3156">
        <f t="shared" si="431"/>
        <v>-3068.5862325391677</v>
      </c>
      <c r="AC272" s="3156">
        <f t="shared" si="431"/>
        <v>6264.2380756634229</v>
      </c>
      <c r="AD272" s="3156">
        <f t="shared" si="431"/>
        <v>-493.38284400427983</v>
      </c>
      <c r="AE272" s="3156">
        <f t="shared" si="431"/>
        <v>-540.39699568013748</v>
      </c>
      <c r="AF272" s="3156">
        <f t="shared" si="431"/>
        <v>-11701.239483619323</v>
      </c>
      <c r="AG272" s="3156">
        <f t="shared" si="431"/>
        <v>6240.4719598813863</v>
      </c>
      <c r="AH272" s="3156">
        <f t="shared" si="431"/>
        <v>-1033.7798396844173</v>
      </c>
      <c r="AI272" s="3156">
        <f t="shared" si="431"/>
        <v>-5460.767523737939</v>
      </c>
      <c r="AJ272" s="3156">
        <f t="shared" si="431"/>
        <v>-6494.5473634223563</v>
      </c>
      <c r="AL272" s="1307">
        <f ca="1">SUM((INDIRECT(AL$2&amp;(ROW())):INDIRECT(AL$3&amp;(ROW()))))</f>
        <v>6264.2380756634229</v>
      </c>
      <c r="AM272" s="3156">
        <f ca="1">SUM(INDIRECT(AM$1&amp;AM$2&amp;$C272):INDIRECT(AM$1&amp;AM$3&amp;$C272))</f>
        <v>1293.5000115387693</v>
      </c>
      <c r="AN272" s="3157">
        <f t="shared" ref="AN272:AN287" ca="1" si="432">AL272-AM272</f>
        <v>4970.7380641246536</v>
      </c>
      <c r="AO272" s="3158">
        <f t="shared" ca="1" si="409"/>
        <v>4.8428589252282883</v>
      </c>
      <c r="AP272" s="3156">
        <f ca="1">SUM(INDIRECT(AP$1&amp;AP$2&amp;$A272):INDIRECT(AP$1&amp;AP$3&amp;$A272))+SUM(INDIRECT(AP$1&amp;AP$2&amp;$B272):INDIRECT(AP$1&amp;AP$3&amp;$B272))</f>
        <v>0</v>
      </c>
      <c r="AQ272" s="3157">
        <f t="shared" ref="AQ272:AQ283" ca="1" si="433">AL272-AP272</f>
        <v>6264.2380756634229</v>
      </c>
      <c r="AR272" s="3158">
        <f t="shared" ca="1" si="410"/>
        <v>0</v>
      </c>
      <c r="AT272" s="1307">
        <f ca="1">SUM((INDIRECT(AT$2&amp;(ROW())):INDIRECT(AT$3&amp;(ROW()))))</f>
        <v>6240.4719598813872</v>
      </c>
      <c r="AU272" s="3156">
        <f ca="1">SUM(INDIRECT(AU$1&amp;AU$2&amp;$C272):INDIRECT(AU$1&amp;AU$3&amp;$C272))</f>
        <v>3717.5396833218906</v>
      </c>
      <c r="AV272" s="3157">
        <f t="shared" ref="AV272:AV287" ca="1" si="434">AT272-AU272</f>
        <v>2522.9322765594966</v>
      </c>
      <c r="AW272" s="3158">
        <f t="shared" ca="1" si="411"/>
        <v>1.6786564479400725</v>
      </c>
      <c r="AX272" s="3156">
        <f ca="1">SUM(INDIRECT(AX$1&amp;AX$2&amp;$A272):INDIRECT(AX$1&amp;AX$3&amp;$A272))+SUM(INDIRECT(AX$1&amp;AX$2&amp;$B272):INDIRECT(AX$1&amp;AX$3&amp;$B272))</f>
        <v>0</v>
      </c>
      <c r="AY272" s="3157">
        <f t="shared" ref="AY272:AY283" ca="1" si="435">AT272-AX272</f>
        <v>6240.4719598813872</v>
      </c>
      <c r="AZ272" s="3158">
        <f t="shared" ca="1" si="412"/>
        <v>0</v>
      </c>
      <c r="BB272" s="1307">
        <f ca="1">SUM((INDIRECT(BB$2&amp;(ROW())):INDIRECT(BB$3&amp;(ROW()))))</f>
        <v>-6494.5473634223545</v>
      </c>
      <c r="BC272" s="3156">
        <f ca="1">SUM(INDIRECT(BC$1&amp;BC$2&amp;$C272):INDIRECT(BC$1&amp;BC$3&amp;$C272))</f>
        <v>6408.5340364908125</v>
      </c>
      <c r="BD272" s="3157">
        <f t="shared" ref="BD272:BD287" ca="1" si="436">BB272-BC272</f>
        <v>-12903.081399913168</v>
      </c>
      <c r="BE272" s="3158">
        <f t="shared" ca="1" si="413"/>
        <v>-1.0134216852780642</v>
      </c>
      <c r="BF272" s="3156">
        <f ca="1">SUM(INDIRECT(BF$1&amp;BF$2&amp;$A272):INDIRECT(BF$1&amp;BF$3&amp;$A272))+SUM(INDIRECT(BF$1&amp;BF$2&amp;$B272):INDIRECT(BF$1&amp;BF$3&amp;$B272))</f>
        <v>0</v>
      </c>
      <c r="BG272" s="3157">
        <f t="shared" ref="BG272:BG283" ca="1" si="437">BB272-BF272</f>
        <v>-6494.5473634223545</v>
      </c>
      <c r="BH272" s="3158">
        <f t="shared" ca="1" si="414"/>
        <v>0</v>
      </c>
    </row>
    <row r="273" spans="1:60" ht="14.5">
      <c r="A273" s="616">
        <f t="shared" si="377"/>
        <v>246</v>
      </c>
      <c r="B273" s="616">
        <v>1</v>
      </c>
      <c r="C273" s="616">
        <f t="shared" si="430"/>
        <v>270</v>
      </c>
      <c r="D273" s="709" t="s">
        <v>1308</v>
      </c>
      <c r="E273" s="2547">
        <v>1</v>
      </c>
      <c r="F273" s="4"/>
      <c r="G273" s="4"/>
      <c r="H273" s="4"/>
      <c r="I273" s="25"/>
      <c r="J273" s="511" t="s">
        <v>55</v>
      </c>
      <c r="K273" s="2"/>
      <c r="L273" s="2"/>
      <c r="M273" s="1"/>
      <c r="N273" s="1"/>
      <c r="O273" s="1"/>
      <c r="P273" s="1"/>
      <c r="Q273" s="1792" t="str">
        <f>CHOOSE(2, "6722000003192", "PL (3) Business Contribution Profit (%)")</f>
        <v>PL (3) Business Contribution Profit (%)</v>
      </c>
      <c r="R273" s="1323">
        <f t="shared" ref="R273:AJ273" si="438">IFERROR(R272/R208,0)</f>
        <v>-0.10085646956230813</v>
      </c>
      <c r="S273" s="1322">
        <f t="shared" si="438"/>
        <v>-0.84229942001927183</v>
      </c>
      <c r="T273" s="1322">
        <f t="shared" si="438"/>
        <v>0.23765439516405906</v>
      </c>
      <c r="U273" s="1322">
        <f t="shared" si="438"/>
        <v>-0.12717771513464626</v>
      </c>
      <c r="V273" s="1322">
        <f t="shared" si="438"/>
        <v>5.1898049496130097E-2</v>
      </c>
      <c r="W273" s="1322">
        <f t="shared" si="438"/>
        <v>-2.6095399046469278E-2</v>
      </c>
      <c r="X273" s="1322">
        <f t="shared" si="438"/>
        <v>2.6776044015476071E-2</v>
      </c>
      <c r="Y273" s="1322">
        <f t="shared" si="438"/>
        <v>-1.5979751240261329E-2</v>
      </c>
      <c r="Z273" s="1322">
        <f t="shared" si="438"/>
        <v>-1.5328070420960174</v>
      </c>
      <c r="AA273" s="1322">
        <f t="shared" si="438"/>
        <v>0.11643671574597063</v>
      </c>
      <c r="AB273" s="1322">
        <f t="shared" si="438"/>
        <v>-0.35750841318715965</v>
      </c>
      <c r="AC273" s="1322">
        <f t="shared" si="438"/>
        <v>0.24329972717844497</v>
      </c>
      <c r="AD273" s="1322">
        <f t="shared" si="438"/>
        <v>-1.0503988503635858E-2</v>
      </c>
      <c r="AE273" s="1322">
        <f t="shared" si="438"/>
        <v>-1.2290646933536764E-2</v>
      </c>
      <c r="AF273" s="1322">
        <f t="shared" si="438"/>
        <v>-0.36600686529932197</v>
      </c>
      <c r="AG273" s="1322">
        <f t="shared" si="438"/>
        <v>0.1031819699949912</v>
      </c>
      <c r="AH273" s="1322">
        <f t="shared" si="438"/>
        <v>-1.1367819592026502E-2</v>
      </c>
      <c r="AI273" s="1322">
        <f t="shared" si="438"/>
        <v>-5.9067089265149676E-2</v>
      </c>
      <c r="AJ273" s="1322">
        <f t="shared" si="438"/>
        <v>-3.5413972597939103E-2</v>
      </c>
      <c r="AK273" s="504"/>
      <c r="AL273" s="1323">
        <f ca="1">IFERROR(AL272/AL208,0)</f>
        <v>0.24329972717844497</v>
      </c>
      <c r="AM273" s="1322">
        <f ca="1">IFERROR(AM272/AM208,0)</f>
        <v>7.4580920374893347E-2</v>
      </c>
      <c r="AN273" s="1322">
        <f t="shared" ca="1" si="432"/>
        <v>0.16871880680355161</v>
      </c>
      <c r="AO273" s="2802"/>
      <c r="AP273" s="1322">
        <f ca="1">IFERROR(AP272/AP208,0)</f>
        <v>0</v>
      </c>
      <c r="AQ273" s="1322">
        <f t="shared" ca="1" si="433"/>
        <v>0.24329972717844497</v>
      </c>
      <c r="AR273" s="2802"/>
      <c r="AS273" s="504"/>
      <c r="AT273" s="1323">
        <f ca="1">IFERROR(AT272/AT208,0)</f>
        <v>0.10318196999499121</v>
      </c>
      <c r="AU273" s="1322">
        <f ca="1">IFERROR(AU272/AU208,0)</f>
        <v>7.2063184235339417E-2</v>
      </c>
      <c r="AV273" s="1322">
        <f t="shared" ca="1" si="434"/>
        <v>3.1118785759651796E-2</v>
      </c>
      <c r="AW273" s="2802"/>
      <c r="AX273" s="1322">
        <f ca="1">IFERROR(AX272/AX208,0)</f>
        <v>0</v>
      </c>
      <c r="AY273" s="1322">
        <f t="shared" ca="1" si="435"/>
        <v>0.10318196999499121</v>
      </c>
      <c r="AZ273" s="2802"/>
      <c r="BA273" s="504"/>
      <c r="BB273" s="1323">
        <f ca="1">IFERROR(BB272/BB208,0)</f>
        <v>-3.5413972597939096E-2</v>
      </c>
      <c r="BC273" s="1322">
        <f ca="1">IFERROR(BC272/BC208,0)</f>
        <v>7.3840258933212014E-2</v>
      </c>
      <c r="BD273" s="1322">
        <f t="shared" ca="1" si="436"/>
        <v>-0.1092542315311511</v>
      </c>
      <c r="BE273" s="2802"/>
      <c r="BF273" s="1322">
        <f ca="1">IFERROR(BF272/BF208,0)</f>
        <v>0</v>
      </c>
      <c r="BG273" s="1322">
        <f t="shared" ca="1" si="437"/>
        <v>-3.5413972597939096E-2</v>
      </c>
      <c r="BH273" s="2802"/>
    </row>
    <row r="274" spans="1:60" ht="14.5">
      <c r="A274" s="616">
        <f t="shared" si="377"/>
        <v>247</v>
      </c>
      <c r="B274" s="616">
        <v>1</v>
      </c>
      <c r="C274" s="616">
        <f t="shared" si="430"/>
        <v>271</v>
      </c>
      <c r="D274" s="709" t="s">
        <v>1308</v>
      </c>
      <c r="E274" s="2547">
        <v>1</v>
      </c>
      <c r="F274" s="4"/>
      <c r="G274" s="4"/>
      <c r="H274" s="4"/>
      <c r="I274" s="3041" t="s">
        <v>1333</v>
      </c>
      <c r="J274" s="447"/>
      <c r="K274" s="514"/>
      <c r="L274" s="514"/>
      <c r="M274" s="447"/>
      <c r="N274" s="447"/>
      <c r="O274" s="447"/>
      <c r="P274" s="447"/>
      <c r="Q274" s="1790" t="str">
        <f>CHOOSE(2, "6722000003193", "PL (3) Other Income")</f>
        <v>PL (3) Other Income</v>
      </c>
      <c r="R274" s="1388">
        <v>0</v>
      </c>
      <c r="S274" s="3039">
        <v>0</v>
      </c>
      <c r="T274" s="3039">
        <v>0</v>
      </c>
      <c r="U274" s="3039">
        <v>0</v>
      </c>
      <c r="V274" s="3039">
        <v>0</v>
      </c>
      <c r="W274" s="3039">
        <v>0</v>
      </c>
      <c r="X274" s="3039">
        <v>0</v>
      </c>
      <c r="Y274" s="3039">
        <v>0</v>
      </c>
      <c r="Z274" s="3039">
        <v>0</v>
      </c>
      <c r="AA274" s="3039">
        <v>0</v>
      </c>
      <c r="AB274" s="3039">
        <v>0</v>
      </c>
      <c r="AC274" s="3039">
        <v>0</v>
      </c>
      <c r="AD274" s="3095">
        <f>SUM(R274,S274,T274)</f>
        <v>0</v>
      </c>
      <c r="AE274" s="3095">
        <f t="shared" ref="AE274:AE275" si="439">SUM(U274,V274,W274)</f>
        <v>0</v>
      </c>
      <c r="AF274" s="3095">
        <f t="shared" ref="AF274:AF275" si="440">SUM(X274,Y274,Z274)</f>
        <v>0</v>
      </c>
      <c r="AG274" s="3095">
        <f t="shared" ref="AG274:AG275" si="441">SUM(AA274,AB274,AC274)</f>
        <v>0</v>
      </c>
      <c r="AH274" s="3095">
        <f>AD274+AE274</f>
        <v>0</v>
      </c>
      <c r="AI274" s="3095">
        <f>AG274+AF274</f>
        <v>0</v>
      </c>
      <c r="AJ274" s="3095">
        <f>AH274+AI274</f>
        <v>0</v>
      </c>
      <c r="AL274" s="3112">
        <f ca="1">SUM((INDIRECT(AL$2&amp;(ROW())):INDIRECT(AL$3&amp;(ROW()))))</f>
        <v>0</v>
      </c>
      <c r="AM274" s="3095">
        <f ca="1">SUM(INDIRECT(AM$1&amp;AM$2&amp;$C274):INDIRECT(AM$1&amp;AM$3&amp;$C274))</f>
        <v>261.75719828432398</v>
      </c>
      <c r="AN274" s="3129">
        <f t="shared" ca="1" si="432"/>
        <v>-261.75719828432398</v>
      </c>
      <c r="AO274" s="3130">
        <f ca="1">IFERROR(AL274/AM274,0)</f>
        <v>0</v>
      </c>
      <c r="AP274" s="3095">
        <f ca="1">SUM(INDIRECT(AP$1&amp;AP$2&amp;$A274):INDIRECT(AP$1&amp;AP$3&amp;$A274))+SUM(INDIRECT(AP$1&amp;AP$2&amp;$B274):INDIRECT(AP$1&amp;AP$3&amp;$B274))</f>
        <v>9.8335557042688676E-2</v>
      </c>
      <c r="AQ274" s="3129">
        <f t="shared" ca="1" si="433"/>
        <v>-9.8335557042688676E-2</v>
      </c>
      <c r="AR274" s="3130">
        <f ca="1">IFERROR(AL274/AP274,0)</f>
        <v>0</v>
      </c>
      <c r="AT274" s="3112">
        <f ca="1">SUM((INDIRECT(AT$2&amp;(ROW())):INDIRECT(AT$3&amp;(ROW()))))</f>
        <v>0</v>
      </c>
      <c r="AU274" s="3095">
        <f ca="1">SUM(INDIRECT(AU$1&amp;AU$2&amp;$C274):INDIRECT(AU$1&amp;AU$3&amp;$C274))</f>
        <v>785.27159485297193</v>
      </c>
      <c r="AV274" s="3129">
        <f t="shared" ca="1" si="434"/>
        <v>-785.27159485297193</v>
      </c>
      <c r="AW274" s="3130">
        <f ca="1">IFERROR(AT274/AU274,0)</f>
        <v>0</v>
      </c>
      <c r="AX274" s="3095">
        <f ca="1">SUM(INDIRECT(AX$1&amp;AX$2&amp;$A274):INDIRECT(AX$1&amp;AX$3&amp;$A274))+SUM(INDIRECT(AX$1&amp;AX$2&amp;$B274):INDIRECT(AX$1&amp;AX$3&amp;$B274))</f>
        <v>0.39904734035244405</v>
      </c>
      <c r="AY274" s="3129">
        <f t="shared" ca="1" si="435"/>
        <v>-0.39904734035244405</v>
      </c>
      <c r="AZ274" s="3130">
        <f ca="1">IFERROR(AT274/AX274,0)</f>
        <v>0</v>
      </c>
      <c r="BB274" s="3112">
        <f ca="1">SUM((INDIRECT(BB$2&amp;(ROW())):INDIRECT(BB$3&amp;(ROW()))))</f>
        <v>0</v>
      </c>
      <c r="BC274" s="3095">
        <f ca="1">SUM(INDIRECT(BC$1&amp;BC$2&amp;$C274):INDIRECT(BC$1&amp;BC$3&amp;$C274))</f>
        <v>1308.7859914216199</v>
      </c>
      <c r="BD274" s="3129">
        <f t="shared" ca="1" si="436"/>
        <v>-1308.7859914216199</v>
      </c>
      <c r="BE274" s="3130">
        <f ca="1">IFERROR(BB274/BC274,0)</f>
        <v>0</v>
      </c>
      <c r="BF274" s="3095">
        <f ca="1">SUM(INDIRECT(BF$1&amp;BF$2&amp;$A274):INDIRECT(BF$1&amp;BF$3&amp;$A274))+SUM(INDIRECT(BF$1&amp;BF$2&amp;$B274):INDIRECT(BF$1&amp;BF$3&amp;$B274))</f>
        <v>2.1937456075620014</v>
      </c>
      <c r="BG274" s="3129">
        <f t="shared" ca="1" si="437"/>
        <v>-2.1937456075620014</v>
      </c>
      <c r="BH274" s="3130">
        <f ca="1">IFERROR(BB274/BF274,0)</f>
        <v>0</v>
      </c>
    </row>
    <row r="275" spans="1:60" ht="14.5">
      <c r="A275" s="616">
        <f t="shared" si="377"/>
        <v>248</v>
      </c>
      <c r="B275" s="616">
        <v>1</v>
      </c>
      <c r="C275" s="616">
        <f t="shared" si="430"/>
        <v>272</v>
      </c>
      <c r="D275" s="709" t="s">
        <v>1308</v>
      </c>
      <c r="E275" s="2547">
        <v>1</v>
      </c>
      <c r="F275" s="4"/>
      <c r="G275" s="4"/>
      <c r="H275" s="4"/>
      <c r="I275" s="106" t="s">
        <v>1334</v>
      </c>
      <c r="J275" s="104"/>
      <c r="K275" s="105"/>
      <c r="L275" s="105"/>
      <c r="M275" s="104"/>
      <c r="N275" s="104"/>
      <c r="O275" s="104"/>
      <c r="P275" s="104"/>
      <c r="Q275" s="1790" t="str">
        <f>CHOOSE(2, "6722000003194", "PL (3) Other Expenses")</f>
        <v>PL (3) Other Expenses</v>
      </c>
      <c r="R275" s="1213">
        <v>0</v>
      </c>
      <c r="S275" s="1216">
        <v>0</v>
      </c>
      <c r="T275" s="1216">
        <v>0</v>
      </c>
      <c r="U275" s="1216">
        <v>0</v>
      </c>
      <c r="V275" s="1216">
        <v>0</v>
      </c>
      <c r="W275" s="1216">
        <v>0</v>
      </c>
      <c r="X275" s="1216">
        <v>0</v>
      </c>
      <c r="Y275" s="1216">
        <v>0</v>
      </c>
      <c r="Z275" s="1216">
        <v>0</v>
      </c>
      <c r="AA275" s="1216">
        <v>0</v>
      </c>
      <c r="AB275" s="1216">
        <v>0</v>
      </c>
      <c r="AC275" s="1216">
        <v>0</v>
      </c>
      <c r="AD275" s="80">
        <f>SUM(R275,S275,T275)</f>
        <v>0</v>
      </c>
      <c r="AE275" s="80">
        <f t="shared" si="439"/>
        <v>0</v>
      </c>
      <c r="AF275" s="80">
        <f t="shared" si="440"/>
        <v>0</v>
      </c>
      <c r="AG275" s="80">
        <f t="shared" si="441"/>
        <v>0</v>
      </c>
      <c r="AH275" s="80">
        <f>AD275+AE275</f>
        <v>0</v>
      </c>
      <c r="AI275" s="80">
        <f>AG275+AF275</f>
        <v>0</v>
      </c>
      <c r="AJ275" s="80">
        <f>AH275+AI275</f>
        <v>0</v>
      </c>
      <c r="AL275" s="60">
        <f ca="1">SUM((INDIRECT(AL$2&amp;(ROW())):INDIRECT(AL$3&amp;(ROW()))))</f>
        <v>0</v>
      </c>
      <c r="AM275" s="80">
        <f ca="1">SUM(INDIRECT(AM$1&amp;AM$2&amp;$C275):INDIRECT(AM$1&amp;AM$3&amp;$C275))</f>
        <v>5268.2306812096049</v>
      </c>
      <c r="AN275" s="3111">
        <f t="shared" ca="1" si="432"/>
        <v>-5268.2306812096049</v>
      </c>
      <c r="AO275" s="2760">
        <f ca="1">IFERROR(AL275/AM275,0)</f>
        <v>0</v>
      </c>
      <c r="AP275" s="80">
        <f ca="1">SUM(INDIRECT(AP$1&amp;AP$2&amp;$A275):INDIRECT(AP$1&amp;AP$3&amp;$A275))+SUM(INDIRECT(AP$1&amp;AP$2&amp;$B275):INDIRECT(AP$1&amp;AP$3&amp;$B275))</f>
        <v>0.48177978718611386</v>
      </c>
      <c r="AQ275" s="3111">
        <f t="shared" ca="1" si="433"/>
        <v>-0.48177978718611386</v>
      </c>
      <c r="AR275" s="2760">
        <f ca="1">IFERROR(AL275/AP275,0)</f>
        <v>0</v>
      </c>
      <c r="AT275" s="60">
        <f ca="1">SUM((INDIRECT(AT$2&amp;(ROW())):INDIRECT(AT$3&amp;(ROW()))))</f>
        <v>0</v>
      </c>
      <c r="AU275" s="80">
        <f ca="1">SUM(INDIRECT(AU$1&amp;AU$2&amp;$C275):INDIRECT(AU$1&amp;AU$3&amp;$C275))</f>
        <v>9439.7373949232297</v>
      </c>
      <c r="AV275" s="3111">
        <f t="shared" ca="1" si="434"/>
        <v>-9439.7373949232297</v>
      </c>
      <c r="AW275" s="2760">
        <f ca="1">IFERROR(AT275/AU275,0)</f>
        <v>0</v>
      </c>
      <c r="AX275" s="80">
        <f ca="1">SUM(INDIRECT(AX$1&amp;AX$2&amp;$A275):INDIRECT(AX$1&amp;AX$3&amp;$A275))+SUM(INDIRECT(AX$1&amp;AX$2&amp;$B275):INDIRECT(AX$1&amp;AX$3&amp;$B275))</f>
        <v>1.5166392304962613</v>
      </c>
      <c r="AY275" s="3111">
        <f t="shared" ca="1" si="435"/>
        <v>-1.5166392304962613</v>
      </c>
      <c r="AZ275" s="2760">
        <f ca="1">IFERROR(AT275/AX275,0)</f>
        <v>0</v>
      </c>
      <c r="BB275" s="60">
        <f ca="1">SUM((INDIRECT(BB$2&amp;(ROW())):INDIRECT(BB$3&amp;(ROW()))))</f>
        <v>0</v>
      </c>
      <c r="BC275" s="80">
        <f ca="1">SUM(INDIRECT(BC$1&amp;BC$2&amp;$C275):INDIRECT(BC$1&amp;BC$3&amp;$C275))</f>
        <v>17169.738427251057</v>
      </c>
      <c r="BD275" s="3111">
        <f t="shared" ca="1" si="436"/>
        <v>-17169.738427251057</v>
      </c>
      <c r="BE275" s="2760">
        <f ca="1">IFERROR(BB275/BC275,0)</f>
        <v>0</v>
      </c>
      <c r="BF275" s="80">
        <f ca="1">SUM(INDIRECT(BF$1&amp;BF$2&amp;$A275):INDIRECT(BF$1&amp;BF$3&amp;$A275))+SUM(INDIRECT(BF$1&amp;BF$2&amp;$B275):INDIRECT(BF$1&amp;BF$3&amp;$B275))</f>
        <v>-2.4473717735318337</v>
      </c>
      <c r="BG275" s="3111">
        <f t="shared" ca="1" si="437"/>
        <v>2.4473717735318337</v>
      </c>
      <c r="BH275" s="2760">
        <f ca="1">IFERROR(BB275/BF275,0)</f>
        <v>0</v>
      </c>
    </row>
    <row r="276" spans="1:60" ht="14.5">
      <c r="A276" s="616">
        <f t="shared" si="377"/>
        <v>249</v>
      </c>
      <c r="B276" s="616">
        <v>1</v>
      </c>
      <c r="C276" s="616">
        <f t="shared" si="430"/>
        <v>273</v>
      </c>
      <c r="D276" s="709" t="s">
        <v>1308</v>
      </c>
      <c r="E276" s="2547">
        <v>1</v>
      </c>
      <c r="F276" s="4"/>
      <c r="G276" s="4"/>
      <c r="H276" s="4"/>
      <c r="I276" s="3155" t="s">
        <v>1335</v>
      </c>
      <c r="J276" s="489"/>
      <c r="K276" s="581"/>
      <c r="L276" s="581"/>
      <c r="M276" s="581"/>
      <c r="N276" s="581"/>
      <c r="O276" s="581"/>
      <c r="P276" s="581"/>
      <c r="Q276" s="1795" t="str">
        <f>CHOOSE(2, "6722000003195", "PL (3) Operating Profit")</f>
        <v>PL (3) Operating Profit</v>
      </c>
      <c r="R276" s="1307">
        <f>R272+R274-R275</f>
        <v>-1543.9108360598129</v>
      </c>
      <c r="S276" s="3156">
        <f t="shared" ref="S276:AJ276" si="442">S272+S274-S275</f>
        <v>-5049.5850230155347</v>
      </c>
      <c r="T276" s="3156">
        <f t="shared" si="442"/>
        <v>6100.1130150710678</v>
      </c>
      <c r="U276" s="3156">
        <f t="shared" si="442"/>
        <v>-948.49139947419189</v>
      </c>
      <c r="V276" s="3156">
        <f t="shared" si="442"/>
        <v>905.52490041785268</v>
      </c>
      <c r="W276" s="3156">
        <f t="shared" si="442"/>
        <v>-497.43049662379735</v>
      </c>
      <c r="X276" s="3156">
        <f t="shared" si="442"/>
        <v>197.12523604193484</v>
      </c>
      <c r="Y276" s="3156">
        <f t="shared" si="442"/>
        <v>-272.02330536296859</v>
      </c>
      <c r="Z276" s="3156">
        <f t="shared" si="442"/>
        <v>-11626.341414298291</v>
      </c>
      <c r="AA276" s="3156">
        <f t="shared" si="442"/>
        <v>3044.8201167571319</v>
      </c>
      <c r="AB276" s="3156">
        <f t="shared" si="442"/>
        <v>-3068.5862325391677</v>
      </c>
      <c r="AC276" s="3156">
        <f t="shared" si="442"/>
        <v>6264.2380756634229</v>
      </c>
      <c r="AD276" s="3156">
        <f t="shared" si="442"/>
        <v>-493.38284400427983</v>
      </c>
      <c r="AE276" s="3156">
        <f t="shared" si="442"/>
        <v>-540.39699568013748</v>
      </c>
      <c r="AF276" s="3156">
        <f t="shared" si="442"/>
        <v>-11701.239483619323</v>
      </c>
      <c r="AG276" s="3156">
        <f t="shared" si="442"/>
        <v>6240.4719598813863</v>
      </c>
      <c r="AH276" s="3156">
        <f t="shared" si="442"/>
        <v>-1033.7798396844173</v>
      </c>
      <c r="AI276" s="3156">
        <f t="shared" si="442"/>
        <v>-5460.767523737939</v>
      </c>
      <c r="AJ276" s="3156">
        <f t="shared" si="442"/>
        <v>-6494.5473634223563</v>
      </c>
      <c r="AL276" s="1307">
        <f ca="1">SUM((INDIRECT(AL$2&amp;(ROW())):INDIRECT(AL$3&amp;(ROW()))))</f>
        <v>6264.2380756634229</v>
      </c>
      <c r="AM276" s="3156">
        <f ca="1">SUM(INDIRECT(AM$1&amp;AM$2&amp;$C276):INDIRECT(AM$1&amp;AM$3&amp;$C276))</f>
        <v>0.11021403098764863</v>
      </c>
      <c r="AN276" s="3157">
        <f t="shared" ca="1" si="432"/>
        <v>6264.1278616324353</v>
      </c>
      <c r="AO276" s="3158">
        <f ca="1">IFERROR(AL276/AM276,0)</f>
        <v>56837.029001919349</v>
      </c>
      <c r="AP276" s="3156">
        <f ca="1">SUM(INDIRECT(AP$1&amp;AP$2&amp;$A276):INDIRECT(AP$1&amp;AP$3&amp;$A276))+SUM(INDIRECT(AP$1&amp;AP$2&amp;$B276):INDIRECT(AP$1&amp;AP$3&amp;$B276))</f>
        <v>0.34027325959661681</v>
      </c>
      <c r="AQ276" s="3157">
        <f t="shared" ca="1" si="433"/>
        <v>6263.8978024038261</v>
      </c>
      <c r="AR276" s="3158">
        <f ca="1">IFERROR(AL276/AP276,0)</f>
        <v>18409.433885840688</v>
      </c>
      <c r="AT276" s="1307">
        <f ca="1">SUM((INDIRECT(AT$2&amp;(ROW())):INDIRECT(AT$3&amp;(ROW()))))</f>
        <v>6240.4719598813872</v>
      </c>
      <c r="AU276" s="3156">
        <f ca="1">SUM(INDIRECT(AU$1&amp;AU$2&amp;$C276):INDIRECT(AU$1&amp;AU$3&amp;$C276))</f>
        <v>0.25267707700684766</v>
      </c>
      <c r="AV276" s="3157">
        <f t="shared" ca="1" si="434"/>
        <v>6240.2192828043808</v>
      </c>
      <c r="AW276" s="3158">
        <f ca="1">IFERROR(AT276/AU276,0)</f>
        <v>24697.420255942994</v>
      </c>
      <c r="AX276" s="3156">
        <f ca="1">SUM(INDIRECT(AX$1&amp;AX$2&amp;$A276):INDIRECT(AX$1&amp;AX$3&amp;$A276))+SUM(INDIRECT(AX$1&amp;AX$2&amp;$B276):INDIRECT(AX$1&amp;AX$3&amp;$B276))</f>
        <v>1.8394465248315015</v>
      </c>
      <c r="AY276" s="3157">
        <f t="shared" ca="1" si="435"/>
        <v>6238.632513356556</v>
      </c>
      <c r="AZ276" s="3158">
        <f ca="1">IFERROR(AT276/AX276,0)</f>
        <v>3392.5813420713775</v>
      </c>
      <c r="BB276" s="1307">
        <f ca="1">SUM((INDIRECT(BB$2&amp;(ROW())):INDIRECT(BB$3&amp;(ROW()))))</f>
        <v>-6494.5473634223545</v>
      </c>
      <c r="BC276" s="3156">
        <f ca="1">SUM(INDIRECT(BC$1&amp;BC$2&amp;$C276):INDIRECT(BC$1&amp;BC$3&amp;$C276))</f>
        <v>9.2734893782577155E-2</v>
      </c>
      <c r="BD276" s="3157">
        <f t="shared" ca="1" si="436"/>
        <v>-6494.6400983161375</v>
      </c>
      <c r="BE276" s="3158">
        <f ca="1">IFERROR(BB276/BC276,0)</f>
        <v>-70033.480370929552</v>
      </c>
      <c r="BF276" s="3156">
        <f ca="1">SUM(INDIRECT(BF$1&amp;BF$2&amp;$A276):INDIRECT(BF$1&amp;BF$3&amp;$A276))+SUM(INDIRECT(BF$1&amp;BF$2&amp;$B276):INDIRECT(BF$1&amp;BF$3&amp;$B276))</f>
        <v>7.8685711589560858</v>
      </c>
      <c r="BG276" s="3157">
        <f t="shared" ca="1" si="437"/>
        <v>-6502.4159345813105</v>
      </c>
      <c r="BH276" s="3158">
        <f ca="1">IFERROR(BB276/BF276,0)</f>
        <v>-825.37823350942131</v>
      </c>
    </row>
    <row r="277" spans="1:60" ht="14.5">
      <c r="A277" s="616">
        <f t="shared" si="377"/>
        <v>250</v>
      </c>
      <c r="B277" s="616">
        <v>1</v>
      </c>
      <c r="C277" s="616">
        <f t="shared" si="430"/>
        <v>274</v>
      </c>
      <c r="D277" s="709" t="s">
        <v>1308</v>
      </c>
      <c r="E277" s="2547">
        <v>1</v>
      </c>
      <c r="F277" s="4"/>
      <c r="G277" s="4"/>
      <c r="H277" s="4"/>
      <c r="I277" s="25"/>
      <c r="J277" s="511" t="s">
        <v>55</v>
      </c>
      <c r="K277" s="2"/>
      <c r="L277" s="2"/>
      <c r="M277" s="1"/>
      <c r="N277" s="1"/>
      <c r="O277" s="1"/>
      <c r="P277" s="1"/>
      <c r="Q277" s="1792" t="str">
        <f>CHOOSE(2, "6722000003196", "PL (3) Operating Profit (%)")</f>
        <v>PL (3) Operating Profit (%)</v>
      </c>
      <c r="R277" s="1323">
        <f t="shared" ref="R277:AJ277" si="443">IFERROR(R276/R208,0)</f>
        <v>-0.10085646956230813</v>
      </c>
      <c r="S277" s="1322">
        <f t="shared" si="443"/>
        <v>-0.84229942001927183</v>
      </c>
      <c r="T277" s="1322">
        <f t="shared" si="443"/>
        <v>0.23765439516405906</v>
      </c>
      <c r="U277" s="1322">
        <f t="shared" si="443"/>
        <v>-0.12717771513464626</v>
      </c>
      <c r="V277" s="1322">
        <f t="shared" si="443"/>
        <v>5.1898049496130097E-2</v>
      </c>
      <c r="W277" s="1322">
        <f t="shared" si="443"/>
        <v>-2.6095399046469278E-2</v>
      </c>
      <c r="X277" s="1322">
        <f t="shared" si="443"/>
        <v>2.6776044015476071E-2</v>
      </c>
      <c r="Y277" s="1322">
        <f t="shared" si="443"/>
        <v>-1.5979751240261329E-2</v>
      </c>
      <c r="Z277" s="1322">
        <f t="shared" si="443"/>
        <v>-1.5328070420960174</v>
      </c>
      <c r="AA277" s="1322">
        <f t="shared" si="443"/>
        <v>0.11643671574597063</v>
      </c>
      <c r="AB277" s="1322">
        <f t="shared" si="443"/>
        <v>-0.35750841318715965</v>
      </c>
      <c r="AC277" s="1322">
        <f t="shared" si="443"/>
        <v>0.24329972717844497</v>
      </c>
      <c r="AD277" s="1322">
        <f t="shared" si="443"/>
        <v>-1.0503988503635858E-2</v>
      </c>
      <c r="AE277" s="1322">
        <f t="shared" si="443"/>
        <v>-1.2290646933536764E-2</v>
      </c>
      <c r="AF277" s="1322">
        <f t="shared" si="443"/>
        <v>-0.36600686529932197</v>
      </c>
      <c r="AG277" s="1322">
        <f t="shared" si="443"/>
        <v>0.1031819699949912</v>
      </c>
      <c r="AH277" s="1322">
        <f t="shared" si="443"/>
        <v>-1.1367819592026502E-2</v>
      </c>
      <c r="AI277" s="1322">
        <f t="shared" si="443"/>
        <v>-5.9067089265149676E-2</v>
      </c>
      <c r="AJ277" s="1322">
        <f t="shared" si="443"/>
        <v>-3.5413972597939103E-2</v>
      </c>
      <c r="AK277" s="504"/>
      <c r="AL277" s="1323">
        <f ca="1">IFERROR(AL276/AL208,0)</f>
        <v>0.24329972717844497</v>
      </c>
      <c r="AM277" s="1322">
        <f ca="1">IFERROR(AM276/AM208,0)</f>
        <v>6.3547458801390827E-6</v>
      </c>
      <c r="AN277" s="1322">
        <f t="shared" ca="1" si="432"/>
        <v>0.24329337243256483</v>
      </c>
      <c r="AO277" s="2802"/>
      <c r="AP277" s="1322">
        <f ca="1">IFERROR(AP276/AP208,0)</f>
        <v>0</v>
      </c>
      <c r="AQ277" s="1322">
        <f t="shared" ca="1" si="433"/>
        <v>0.24329972717844497</v>
      </c>
      <c r="AR277" s="2802"/>
      <c r="AS277" s="504"/>
      <c r="AT277" s="1323">
        <f ca="1">IFERROR(AT276/AT208,0)</f>
        <v>0.10318196999499121</v>
      </c>
      <c r="AU277" s="1322">
        <f ca="1">IFERROR(AU276/AU208,0)</f>
        <v>4.898055247152253E-6</v>
      </c>
      <c r="AV277" s="1322">
        <f t="shared" ca="1" si="434"/>
        <v>0.10317707193974406</v>
      </c>
      <c r="AW277" s="2802"/>
      <c r="AX277" s="1322">
        <f ca="1">IFERROR(AX276/AX208,0)</f>
        <v>0</v>
      </c>
      <c r="AY277" s="1322">
        <f t="shared" ca="1" si="435"/>
        <v>0.10318196999499121</v>
      </c>
      <c r="AZ277" s="2802"/>
      <c r="BA277" s="504"/>
      <c r="BB277" s="1323">
        <f ca="1">IFERROR(BB276/BB208,0)</f>
        <v>-3.5413972597939096E-2</v>
      </c>
      <c r="BC277" s="1322">
        <f ca="1">IFERROR(BC276/BC208,0)</f>
        <v>1.0685077944594962E-6</v>
      </c>
      <c r="BD277" s="1322">
        <f t="shared" ca="1" si="436"/>
        <v>-3.5415041105733555E-2</v>
      </c>
      <c r="BE277" s="2802"/>
      <c r="BF277" s="1322">
        <f ca="1">IFERROR(BF276/BF208,0)</f>
        <v>0</v>
      </c>
      <c r="BG277" s="1322">
        <f t="shared" ca="1" si="437"/>
        <v>-3.5413972597939096E-2</v>
      </c>
      <c r="BH277" s="2802"/>
    </row>
    <row r="278" spans="1:60" ht="14.5">
      <c r="A278" s="616">
        <f t="shared" si="377"/>
        <v>251</v>
      </c>
      <c r="B278" s="616">
        <v>1</v>
      </c>
      <c r="C278" s="616">
        <f t="shared" si="430"/>
        <v>275</v>
      </c>
      <c r="D278" s="709" t="s">
        <v>1308</v>
      </c>
      <c r="E278" s="2544">
        <v>1</v>
      </c>
      <c r="F278" s="8"/>
      <c r="G278" s="737"/>
      <c r="H278" s="4"/>
      <c r="I278" s="4"/>
      <c r="J278" s="3"/>
      <c r="K278" s="3153" t="s">
        <v>1411</v>
      </c>
      <c r="L278" s="707"/>
      <c r="M278" s="586"/>
      <c r="N278" s="586"/>
      <c r="O278" s="586"/>
      <c r="P278" s="586"/>
      <c r="Q278" s="1785" t="str">
        <f>CHOOSE(2, "6722000003197", "PL (3) CAI (%)")</f>
        <v>PL (3) CAI (%)</v>
      </c>
      <c r="R278" s="1368">
        <f>R439</f>
        <v>0</v>
      </c>
      <c r="S278" s="1368">
        <f t="shared" ref="S278:AJ278" si="444">S439</f>
        <v>0</v>
      </c>
      <c r="T278" s="1368">
        <f t="shared" si="444"/>
        <v>0</v>
      </c>
      <c r="U278" s="1368">
        <f t="shared" si="444"/>
        <v>0</v>
      </c>
      <c r="V278" s="1368">
        <f t="shared" si="444"/>
        <v>0</v>
      </c>
      <c r="W278" s="1368">
        <f t="shared" si="444"/>
        <v>0</v>
      </c>
      <c r="X278" s="1368">
        <f t="shared" si="444"/>
        <v>0</v>
      </c>
      <c r="Y278" s="1368">
        <f t="shared" si="444"/>
        <v>0</v>
      </c>
      <c r="Z278" s="1368">
        <f t="shared" si="444"/>
        <v>0</v>
      </c>
      <c r="AA278" s="1368">
        <f t="shared" si="444"/>
        <v>0</v>
      </c>
      <c r="AB278" s="1368">
        <f t="shared" si="444"/>
        <v>0</v>
      </c>
      <c r="AC278" s="1368">
        <f t="shared" si="444"/>
        <v>0</v>
      </c>
      <c r="AD278" s="3154">
        <f t="shared" si="444"/>
        <v>0</v>
      </c>
      <c r="AE278" s="1368">
        <f t="shared" si="444"/>
        <v>0</v>
      </c>
      <c r="AF278" s="1368">
        <f t="shared" si="444"/>
        <v>0</v>
      </c>
      <c r="AG278" s="1368">
        <f t="shared" si="444"/>
        <v>0</v>
      </c>
      <c r="AH278" s="1368">
        <f t="shared" si="444"/>
        <v>0</v>
      </c>
      <c r="AI278" s="1368">
        <f t="shared" si="444"/>
        <v>0</v>
      </c>
      <c r="AJ278" s="1368">
        <f t="shared" si="444"/>
        <v>0</v>
      </c>
      <c r="AL278" s="2746">
        <f ca="1">AL439</f>
        <v>0</v>
      </c>
      <c r="AM278" s="2746">
        <f ca="1">AM439</f>
        <v>0</v>
      </c>
      <c r="AN278" s="2746">
        <f t="shared" ca="1" si="432"/>
        <v>0</v>
      </c>
      <c r="AO278" s="2747"/>
      <c r="AP278" s="2746">
        <f ca="1">AP439</f>
        <v>0</v>
      </c>
      <c r="AQ278" s="2746">
        <f t="shared" ca="1" si="433"/>
        <v>0</v>
      </c>
      <c r="AR278" s="2748"/>
      <c r="AT278" s="2746">
        <f ca="1">AT439</f>
        <v>0</v>
      </c>
      <c r="AU278" s="2746">
        <f ca="1">AU439</f>
        <v>0</v>
      </c>
      <c r="AV278" s="2746">
        <f t="shared" ca="1" si="434"/>
        <v>0</v>
      </c>
      <c r="AW278" s="2747"/>
      <c r="AX278" s="2746">
        <f ca="1">AX439</f>
        <v>0</v>
      </c>
      <c r="AY278" s="2746">
        <f t="shared" ca="1" si="435"/>
        <v>0</v>
      </c>
      <c r="AZ278" s="2748"/>
      <c r="BA278" s="69"/>
      <c r="BB278" s="2746">
        <f ca="1">BB439</f>
        <v>0</v>
      </c>
      <c r="BC278" s="2746">
        <f ca="1">BC439</f>
        <v>0</v>
      </c>
      <c r="BD278" s="2746">
        <f t="shared" ca="1" si="436"/>
        <v>0</v>
      </c>
      <c r="BE278" s="2749"/>
      <c r="BF278" s="2746">
        <f ca="1">BF439</f>
        <v>0</v>
      </c>
      <c r="BG278" s="2746">
        <f t="shared" ca="1" si="437"/>
        <v>0</v>
      </c>
      <c r="BH278" s="2748"/>
    </row>
    <row r="279" spans="1:60" ht="14.5">
      <c r="A279" s="616">
        <f t="shared" si="377"/>
        <v>252</v>
      </c>
      <c r="B279" s="616">
        <v>1</v>
      </c>
      <c r="C279" s="616">
        <f t="shared" si="430"/>
        <v>276</v>
      </c>
      <c r="D279" s="709" t="s">
        <v>1308</v>
      </c>
      <c r="E279" s="2544">
        <v>1</v>
      </c>
      <c r="F279" s="8"/>
      <c r="G279" s="737"/>
      <c r="H279" s="4"/>
      <c r="I279" s="4"/>
      <c r="J279" s="3"/>
      <c r="K279" s="27"/>
      <c r="L279" s="3101" t="s">
        <v>509</v>
      </c>
      <c r="M279" s="251"/>
      <c r="N279" s="251"/>
      <c r="O279" s="251"/>
      <c r="P279" s="251"/>
      <c r="Q279" s="1786" t="str">
        <f>CHOOSE(2, "6722000003198", "PL (3) CAI Directly assigned")</f>
        <v>PL (3) CAI Directly assigned</v>
      </c>
      <c r="R279" s="3102">
        <f>SUM(R280:R282)</f>
        <v>2598.9108360598129</v>
      </c>
      <c r="S279" s="3102">
        <f t="shared" ref="S279:AJ279" si="445">SUM(S280:S282)</f>
        <v>2277.5850230155347</v>
      </c>
      <c r="T279" s="3102">
        <f t="shared" si="445"/>
        <v>2653.8869849289322</v>
      </c>
      <c r="U279" s="3102">
        <f t="shared" si="445"/>
        <v>2642.4913994741919</v>
      </c>
      <c r="V279" s="3102">
        <f t="shared" si="445"/>
        <v>2654.6348013777306</v>
      </c>
      <c r="W279" s="3102">
        <f t="shared" si="445"/>
        <v>2761.8275081004808</v>
      </c>
      <c r="X279" s="3103">
        <f t="shared" si="445"/>
        <v>2687.8747639580652</v>
      </c>
      <c r="Y279" s="3103">
        <f t="shared" si="445"/>
        <v>2764.0233053629686</v>
      </c>
      <c r="Z279" s="3103">
        <f t="shared" si="445"/>
        <v>2798.3414142982901</v>
      </c>
      <c r="AA279" s="3104">
        <f t="shared" si="445"/>
        <v>3475.1798832428681</v>
      </c>
      <c r="AB279" s="3104">
        <f t="shared" si="445"/>
        <v>3704.6254925391677</v>
      </c>
      <c r="AC279" s="3104">
        <f t="shared" si="445"/>
        <v>1221.7619243365768</v>
      </c>
      <c r="AD279" s="3105">
        <f t="shared" si="445"/>
        <v>7530.3828440042798</v>
      </c>
      <c r="AE279" s="3104">
        <f t="shared" si="445"/>
        <v>8058.9537089524038</v>
      </c>
      <c r="AF279" s="3104">
        <f t="shared" si="445"/>
        <v>8250.2394836193234</v>
      </c>
      <c r="AG279" s="3104">
        <f t="shared" si="445"/>
        <v>8401.5673001186133</v>
      </c>
      <c r="AH279" s="3104">
        <f t="shared" si="445"/>
        <v>15589.336552956684</v>
      </c>
      <c r="AI279" s="3104">
        <f t="shared" si="445"/>
        <v>16651.806783737939</v>
      </c>
      <c r="AJ279" s="3104">
        <f t="shared" si="445"/>
        <v>32241.143336694622</v>
      </c>
      <c r="AL279" s="3102">
        <f ca="1">SUM((INDIRECT(AL$2&amp;(ROW())):INDIRECT(AL$3&amp;(ROW()))))</f>
        <v>1221.7619243365768</v>
      </c>
      <c r="AM279" s="745">
        <f ca="1">SUM(INDIRECT(AM$1&amp;AM$2&amp;$C279):INDIRECT(AM$1&amp;AM$3&amp;$C279))</f>
        <v>5268.2306812096049</v>
      </c>
      <c r="AN279" s="3106">
        <f t="shared" ca="1" si="432"/>
        <v>-4046.4687568730278</v>
      </c>
      <c r="AO279" s="2751">
        <f ca="1">IFERROR(AL279/AM279,0)</f>
        <v>0.23191124274308653</v>
      </c>
      <c r="AP279" s="782">
        <f ca="1">SUM(INDIRECT(AP$1&amp;AP$2&amp;$A279):INDIRECT(AP$1&amp;AP$3&amp;$A279))+SUM(INDIRECT(AP$1&amp;AP$2&amp;$B279):INDIRECT(AP$1&amp;AP$3&amp;$B279))</f>
        <v>0</v>
      </c>
      <c r="AQ279" s="3107">
        <f t="shared" ca="1" si="433"/>
        <v>1221.7619243365768</v>
      </c>
      <c r="AR279" s="2753">
        <f ca="1">IFERROR(AL279/AP279,0)</f>
        <v>0</v>
      </c>
      <c r="AT279" s="3102">
        <f ca="1">SUM((INDIRECT(AT$2&amp;(ROW())):INDIRECT(AT$3&amp;(ROW()))))</f>
        <v>8401.5673001186133</v>
      </c>
      <c r="AU279" s="745">
        <f ca="1">SUM(INDIRECT(AU$1&amp;AU$2&amp;$C279):INDIRECT(AU$1&amp;AU$3&amp;$C279))</f>
        <v>9439.7373949232297</v>
      </c>
      <c r="AV279" s="3106">
        <f t="shared" ca="1" si="434"/>
        <v>-1038.1700948046164</v>
      </c>
      <c r="AW279" s="2751">
        <f ca="1">IFERROR(AT279/AU279,0)</f>
        <v>0.89002129493952309</v>
      </c>
      <c r="AX279" s="782">
        <f ca="1">SUM(INDIRECT(AX$1&amp;AX$2&amp;$A279):INDIRECT(AX$1&amp;AX$3&amp;$A279))+SUM(INDIRECT(AX$1&amp;AX$2&amp;$B279):INDIRECT(AX$1&amp;AX$3&amp;$B279))</f>
        <v>0</v>
      </c>
      <c r="AY279" s="3107">
        <f t="shared" ca="1" si="435"/>
        <v>8401.5673001186133</v>
      </c>
      <c r="AZ279" s="2753">
        <f ca="1">IFERROR(AT279/AX279,0)</f>
        <v>0</v>
      </c>
      <c r="BA279" s="69"/>
      <c r="BB279" s="1380">
        <f ca="1">SUM((INDIRECT(BB$2&amp;(ROW())):INDIRECT(BB$3&amp;(ROW()))))</f>
        <v>32241.143336694622</v>
      </c>
      <c r="BC279" s="782">
        <f ca="1">SUM(INDIRECT(BC$1&amp;BC$2&amp;$C279):INDIRECT(BC$1&amp;BC$3&amp;$C279))</f>
        <v>17169.738427251057</v>
      </c>
      <c r="BD279" s="3107">
        <f t="shared" ca="1" si="436"/>
        <v>15071.404909443565</v>
      </c>
      <c r="BE279" s="2753">
        <f ca="1">IFERROR(BB279/BC279,0)</f>
        <v>1.8777888477044526</v>
      </c>
      <c r="BF279" s="782">
        <f ca="1">SUM(INDIRECT(BF$1&amp;BF$2&amp;$A279):INDIRECT(BF$1&amp;BF$3&amp;$A279))+SUM(INDIRECT(BF$1&amp;BF$2&amp;$B279):INDIRECT(BF$1&amp;BF$3&amp;$B279))</f>
        <v>0</v>
      </c>
      <c r="BG279" s="3107">
        <f t="shared" ca="1" si="437"/>
        <v>32241.143336694622</v>
      </c>
      <c r="BH279" s="2753">
        <f ca="1">IFERROR(BB279/BF279,0)</f>
        <v>0</v>
      </c>
    </row>
    <row r="280" spans="1:60" ht="14.5">
      <c r="A280" s="616">
        <f t="shared" si="377"/>
        <v>253</v>
      </c>
      <c r="B280" s="616">
        <v>1</v>
      </c>
      <c r="C280" s="616">
        <f t="shared" si="430"/>
        <v>277</v>
      </c>
      <c r="D280" s="709" t="s">
        <v>1308</v>
      </c>
      <c r="E280" s="2544">
        <v>1</v>
      </c>
      <c r="F280" s="8"/>
      <c r="G280" s="737"/>
      <c r="H280" s="4"/>
      <c r="I280" s="4"/>
      <c r="J280" s="3"/>
      <c r="K280" s="27"/>
      <c r="L280" s="27"/>
      <c r="M280" s="36" t="s">
        <v>1329</v>
      </c>
      <c r="N280" s="3"/>
      <c r="O280" s="3"/>
      <c r="P280" s="3"/>
      <c r="Q280" s="1787" t="str">
        <f>CHOOSE(2, "6722000003199", "PL (3) CAI Directly assigned Variable Expenses")</f>
        <v>PL (3) CAI Directly assigned Variable Expenses</v>
      </c>
      <c r="R280" s="1350">
        <v>169.92407056187767</v>
      </c>
      <c r="S280" s="1350">
        <v>239.55089132340413</v>
      </c>
      <c r="T280" s="1350">
        <v>185.98715867134592</v>
      </c>
      <c r="U280" s="1350">
        <v>348.9773196471948</v>
      </c>
      <c r="V280" s="1350">
        <v>133.9207567772001</v>
      </c>
      <c r="W280" s="1350">
        <v>470.97790040105588</v>
      </c>
      <c r="X280" s="1281">
        <v>204.33572717881862</v>
      </c>
      <c r="Y280" s="1281">
        <v>489.00176305503419</v>
      </c>
      <c r="Z280" s="1281">
        <v>163.4234496295926</v>
      </c>
      <c r="AA280" s="1351">
        <v>1375.4058572666568</v>
      </c>
      <c r="AB280" s="1351">
        <v>1648.2257486920998</v>
      </c>
      <c r="AC280" s="1351">
        <v>-701.86655152023945</v>
      </c>
      <c r="AD280" s="125">
        <f>SUM(R280,S280,T280)</f>
        <v>595.46212055662772</v>
      </c>
      <c r="AE280" s="126">
        <f t="shared" ref="AE280:AE282" si="446">SUM(U280,V280,W280)</f>
        <v>953.87597682545083</v>
      </c>
      <c r="AF280" s="126">
        <f t="shared" ref="AF280:AF282" si="447">SUM(X280,Y280,Z280)</f>
        <v>856.7609398634454</v>
      </c>
      <c r="AG280" s="126">
        <f t="shared" ref="AG280:AG282" si="448">SUM(AA280,AB280,AC280)</f>
        <v>2321.7650544385169</v>
      </c>
      <c r="AH280" s="126">
        <f>AD280+AE280</f>
        <v>1549.3380973820786</v>
      </c>
      <c r="AI280" s="126">
        <f>AG280+AF280</f>
        <v>3178.5259943019623</v>
      </c>
      <c r="AJ280" s="126">
        <f>AH280+AI280</f>
        <v>4727.8640916840413</v>
      </c>
      <c r="AL280" s="37">
        <f ca="1">SUM((INDIRECT(AL$2&amp;(ROW())):INDIRECT(AL$3&amp;(ROW()))))</f>
        <v>-701.86655152023945</v>
      </c>
      <c r="AM280" s="3108">
        <f ca="1">SUM(INDIRECT(AM$1&amp;AM$2&amp;$C280):INDIRECT(AM$1&amp;AM$3&amp;$C280))</f>
        <v>0.11021403098764863</v>
      </c>
      <c r="AN280" s="3109">
        <f t="shared" ca="1" si="432"/>
        <v>-701.97676555122712</v>
      </c>
      <c r="AO280" s="2756">
        <f ca="1">IFERROR(AL280/AM280,0)</f>
        <v>-6368.2141486948749</v>
      </c>
      <c r="AP280" s="1232">
        <f ca="1">SUM(INDIRECT(AP$1&amp;AP$2&amp;$A280):INDIRECT(AP$1&amp;AP$3&amp;$A280))+SUM(INDIRECT(AP$1&amp;AP$2&amp;$B280):INDIRECT(AP$1&amp;AP$3&amp;$B280))</f>
        <v>0</v>
      </c>
      <c r="AQ280" s="3110">
        <f t="shared" ca="1" si="433"/>
        <v>-701.86655152023945</v>
      </c>
      <c r="AR280" s="2758">
        <f ca="1">IFERROR(AL280/AP280,0)</f>
        <v>0</v>
      </c>
      <c r="AT280" s="37">
        <f ca="1">SUM((INDIRECT(AT$2&amp;(ROW())):INDIRECT(AT$3&amp;(ROW()))))</f>
        <v>2321.7650544385169</v>
      </c>
      <c r="AU280" s="3108">
        <f ca="1">SUM(INDIRECT(AU$1&amp;AU$2&amp;$C280):INDIRECT(AU$1&amp;AU$3&amp;$C280))</f>
        <v>0.25267707700684766</v>
      </c>
      <c r="AV280" s="3109">
        <f t="shared" ca="1" si="434"/>
        <v>2321.5123773615101</v>
      </c>
      <c r="AW280" s="2756">
        <f ca="1">IFERROR(AT280/AU280,0)</f>
        <v>9188.6651608511202</v>
      </c>
      <c r="AX280" s="1232">
        <f ca="1">SUM(INDIRECT(AX$1&amp;AX$2&amp;$A280):INDIRECT(AX$1&amp;AX$3&amp;$A280))+SUM(INDIRECT(AX$1&amp;AX$2&amp;$B280):INDIRECT(AX$1&amp;AX$3&amp;$B280))</f>
        <v>0</v>
      </c>
      <c r="AY280" s="3110">
        <f t="shared" ca="1" si="435"/>
        <v>2321.7650544385169</v>
      </c>
      <c r="AZ280" s="2758">
        <f ca="1">IFERROR(AT280/AX280,0)</f>
        <v>0</v>
      </c>
      <c r="BA280" s="69"/>
      <c r="BB280" s="1289">
        <f ca="1">SUM((INDIRECT(BB$2&amp;(ROW())):INDIRECT(BB$3&amp;(ROW()))))</f>
        <v>4727.8640916840413</v>
      </c>
      <c r="BC280" s="1232">
        <f ca="1">SUM(INDIRECT(BC$1&amp;BC$2&amp;$C280):INDIRECT(BC$1&amp;BC$3&amp;$C280))</f>
        <v>9.2734893782577155E-2</v>
      </c>
      <c r="BD280" s="3110">
        <f t="shared" ca="1" si="436"/>
        <v>4727.7713567902583</v>
      </c>
      <c r="BE280" s="2758">
        <f ca="1">IFERROR(BB280/BC280,0)</f>
        <v>50982.579467539144</v>
      </c>
      <c r="BF280" s="1232">
        <f ca="1">SUM(INDIRECT(BF$1&amp;BF$2&amp;$A280):INDIRECT(BF$1&amp;BF$3&amp;$A280))+SUM(INDIRECT(BF$1&amp;BF$2&amp;$B280):INDIRECT(BF$1&amp;BF$3&amp;$B280))</f>
        <v>0</v>
      </c>
      <c r="BG280" s="3110">
        <f t="shared" ca="1" si="437"/>
        <v>4727.8640916840413</v>
      </c>
      <c r="BH280" s="2758">
        <f ca="1">IFERROR(BB280/BF280,0)</f>
        <v>0</v>
      </c>
    </row>
    <row r="281" spans="1:60" ht="14.5">
      <c r="A281" s="616">
        <f t="shared" si="377"/>
        <v>254</v>
      </c>
      <c r="B281" s="616">
        <v>1</v>
      </c>
      <c r="C281" s="616">
        <f t="shared" si="430"/>
        <v>278</v>
      </c>
      <c r="D281" s="709" t="s">
        <v>1308</v>
      </c>
      <c r="E281" s="2544">
        <v>1</v>
      </c>
      <c r="F281" s="8"/>
      <c r="G281" s="737"/>
      <c r="H281" s="4"/>
      <c r="I281" s="4"/>
      <c r="J281" s="3"/>
      <c r="K281" s="27"/>
      <c r="L281" s="27"/>
      <c r="M281" s="36" t="s">
        <v>1330</v>
      </c>
      <c r="N281" s="3"/>
      <c r="O281" s="3"/>
      <c r="P281" s="3"/>
      <c r="Q281" s="1787" t="str">
        <f>CHOOSE(2, "6722000003200", "PL (3) CAI Directly assigned Wages &amp; Salaries")</f>
        <v>PL (3) CAI Directly assigned Wages &amp; Salaries</v>
      </c>
      <c r="R281" s="1350">
        <v>1965</v>
      </c>
      <c r="S281" s="1350">
        <v>1727.0701752737095</v>
      </c>
      <c r="T281" s="1350">
        <v>1812.0943117414163</v>
      </c>
      <c r="U281" s="1350">
        <v>1705.3713716575785</v>
      </c>
      <c r="V281" s="1350">
        <v>1719.2948784058999</v>
      </c>
      <c r="W281" s="1350">
        <v>1819.5483783134659</v>
      </c>
      <c r="X281" s="1281">
        <v>1668.497553102123</v>
      </c>
      <c r="Y281" s="1281">
        <v>1751.2024207938862</v>
      </c>
      <c r="Z281" s="1281">
        <v>2062.8042584419636</v>
      </c>
      <c r="AA281" s="1351">
        <v>1545.4615870404195</v>
      </c>
      <c r="AB281" s="1351">
        <v>1492.5247886308562</v>
      </c>
      <c r="AC281" s="1351">
        <v>1551.2666141716552</v>
      </c>
      <c r="AD281" s="125">
        <f>SUM(R281,S281,T281)</f>
        <v>5504.1644870151258</v>
      </c>
      <c r="AE281" s="126">
        <f t="shared" si="446"/>
        <v>5244.2146283769443</v>
      </c>
      <c r="AF281" s="126">
        <f t="shared" si="447"/>
        <v>5482.504232337973</v>
      </c>
      <c r="AG281" s="126">
        <f t="shared" si="448"/>
        <v>4589.2529898429311</v>
      </c>
      <c r="AH281" s="126">
        <f>AD281+AE281</f>
        <v>10748.37911539207</v>
      </c>
      <c r="AI281" s="126">
        <f>AG281+AF281</f>
        <v>10071.757222180904</v>
      </c>
      <c r="AJ281" s="126">
        <f>AH281+AI281</f>
        <v>20820.136337572974</v>
      </c>
      <c r="AL281" s="37">
        <f ca="1">SUM((INDIRECT(AL$2&amp;(ROW())):INDIRECT(AL$3&amp;(ROW()))))</f>
        <v>1551.2666141716552</v>
      </c>
      <c r="AM281" s="3108">
        <f ca="1">SUM(INDIRECT(AM$1&amp;AM$2&amp;$C281):INDIRECT(AM$1&amp;AM$3&amp;$C281))</f>
        <v>2.3652832837263042E-4</v>
      </c>
      <c r="AN281" s="3109">
        <f t="shared" ca="1" si="432"/>
        <v>1551.2663776433269</v>
      </c>
      <c r="AO281" s="2756">
        <f ca="1">IFERROR(AL281/AM281,0)</f>
        <v>6558481.2814800162</v>
      </c>
      <c r="AP281" s="1232">
        <f ca="1">SUM(INDIRECT(AP$1&amp;AP$2&amp;$A281):INDIRECT(AP$1&amp;AP$3&amp;$A281))+SUM(INDIRECT(AP$1&amp;AP$2&amp;$B281):INDIRECT(AP$1&amp;AP$3&amp;$B281))</f>
        <v>-208</v>
      </c>
      <c r="AQ281" s="3110">
        <f t="shared" ca="1" si="433"/>
        <v>1759.2666141716552</v>
      </c>
      <c r="AR281" s="2758">
        <f ca="1">IFERROR(AL281/AP281,0)</f>
        <v>-7.4580125681329577</v>
      </c>
      <c r="AT281" s="37">
        <f ca="1">SUM((INDIRECT(AT$2&amp;(ROW())):INDIRECT(AT$3&amp;(ROW()))))</f>
        <v>4589.2529898429311</v>
      </c>
      <c r="AU281" s="3108">
        <f ca="1">SUM(INDIRECT(AU$1&amp;AU$2&amp;$C281):INDIRECT(AU$1&amp;AU$3&amp;$C281))</f>
        <v>-3.0931538313534046E-4</v>
      </c>
      <c r="AV281" s="3109">
        <f t="shared" ca="1" si="434"/>
        <v>4589.2532991583139</v>
      </c>
      <c r="AW281" s="2756">
        <f ca="1">IFERROR(AT281/AU281,0)</f>
        <v>-14836808.125494719</v>
      </c>
      <c r="AX281" s="1232">
        <f ca="1">SUM(INDIRECT(AX$1&amp;AX$2&amp;$A281):INDIRECT(AX$1&amp;AX$3&amp;$A281))+SUM(INDIRECT(AX$1&amp;AX$2&amp;$B281):INDIRECT(AX$1&amp;AX$3&amp;$B281))</f>
        <v>-4770</v>
      </c>
      <c r="AY281" s="3110">
        <f t="shared" ca="1" si="435"/>
        <v>9359.2529898429311</v>
      </c>
      <c r="AZ281" s="2758">
        <f ca="1">IFERROR(AT281/AX281,0)</f>
        <v>-0.96210754504044682</v>
      </c>
      <c r="BA281" s="69"/>
      <c r="BB281" s="1289">
        <f ca="1">SUM((INDIRECT(BB$2&amp;(ROW())):INDIRECT(BB$3&amp;(ROW()))))</f>
        <v>20820.136337572974</v>
      </c>
      <c r="BC281" s="1232">
        <f ca="1">SUM(INDIRECT(BC$1&amp;BC$2&amp;$C281):INDIRECT(BC$1&amp;BC$3&amp;$C281))</f>
        <v>5.5692772808257377E-3</v>
      </c>
      <c r="BD281" s="3110">
        <f t="shared" ca="1" si="436"/>
        <v>20820.130768295694</v>
      </c>
      <c r="BE281" s="2758">
        <f ca="1">IFERROR(BB281/BC281,0)</f>
        <v>3738391.0492756153</v>
      </c>
      <c r="BF281" s="1232">
        <f ca="1">SUM(INDIRECT(BF$1&amp;BF$2&amp;$A281):INDIRECT(BF$1&amp;BF$3&amp;$A281))+SUM(INDIRECT(BF$1&amp;BF$2&amp;$B281):INDIRECT(BF$1&amp;BF$3&amp;$B281))</f>
        <v>2950.3301021266416</v>
      </c>
      <c r="BG281" s="3110">
        <f t="shared" ca="1" si="437"/>
        <v>17869.806235446333</v>
      </c>
      <c r="BH281" s="2758">
        <f ca="1">IFERROR(BB281/BF281,0)</f>
        <v>7.0568836763606591</v>
      </c>
    </row>
    <row r="282" spans="1:60" ht="14.5">
      <c r="A282" s="616">
        <f t="shared" ref="A282:A345" si="449">A281+1</f>
        <v>255</v>
      </c>
      <c r="B282" s="616">
        <v>1</v>
      </c>
      <c r="C282" s="616">
        <f t="shared" si="430"/>
        <v>279</v>
      </c>
      <c r="D282" s="709" t="s">
        <v>1308</v>
      </c>
      <c r="E282" s="2544">
        <v>1</v>
      </c>
      <c r="F282" s="8"/>
      <c r="G282" s="737"/>
      <c r="H282" s="4"/>
      <c r="I282" s="4"/>
      <c r="J282" s="3"/>
      <c r="K282" s="27"/>
      <c r="L282" s="25"/>
      <c r="M282" s="104" t="s">
        <v>1331</v>
      </c>
      <c r="N282" s="1"/>
      <c r="O282" s="1"/>
      <c r="P282" s="1"/>
      <c r="Q282" s="1787" t="str">
        <f>CHOOSE(2, "6722000003201", "PL (3) CAI Directly assigned Fixed Expenses")</f>
        <v>PL (3) CAI Directly assigned Fixed Expenses</v>
      </c>
      <c r="R282" s="1352">
        <v>463.98676549793532</v>
      </c>
      <c r="S282" s="1352">
        <v>310.96395641842105</v>
      </c>
      <c r="T282" s="1352">
        <v>655.80551451616975</v>
      </c>
      <c r="U282" s="1352">
        <v>588.14270816941882</v>
      </c>
      <c r="V282" s="1352">
        <v>801.41916619463086</v>
      </c>
      <c r="W282" s="1352">
        <v>471.30122938595883</v>
      </c>
      <c r="X282" s="1282">
        <v>815.04148367712367</v>
      </c>
      <c r="Y282" s="1282">
        <v>523.81912151404833</v>
      </c>
      <c r="Z282" s="1282">
        <v>572.11370622673394</v>
      </c>
      <c r="AA282" s="1353">
        <v>554.31243893579187</v>
      </c>
      <c r="AB282" s="1353">
        <v>563.87495521621145</v>
      </c>
      <c r="AC282" s="1353">
        <v>372.36186168516116</v>
      </c>
      <c r="AD282" s="122">
        <f>SUM(R282,S282,T282)</f>
        <v>1430.7562364325261</v>
      </c>
      <c r="AE282" s="123">
        <f t="shared" si="446"/>
        <v>1860.8631037500086</v>
      </c>
      <c r="AF282" s="123">
        <f t="shared" si="447"/>
        <v>1910.9743114179059</v>
      </c>
      <c r="AG282" s="123">
        <f t="shared" si="448"/>
        <v>1490.5492558371645</v>
      </c>
      <c r="AH282" s="123">
        <f>AD282+AE282</f>
        <v>3291.6193401825349</v>
      </c>
      <c r="AI282" s="123">
        <f>AG282+AF282</f>
        <v>3401.5235672550707</v>
      </c>
      <c r="AJ282" s="123">
        <f>AH282+AI282</f>
        <v>6693.1429074376056</v>
      </c>
      <c r="AL282" s="60">
        <f ca="1">SUM((INDIRECT(AL$2&amp;(ROW())):INDIRECT(AL$3&amp;(ROW()))))</f>
        <v>372.36186168516116</v>
      </c>
      <c r="AM282" s="80">
        <f ca="1">SUM(INDIRECT(AM$1&amp;AM$2&amp;$C282):INDIRECT(AM$1&amp;AM$3&amp;$C282))</f>
        <v>3371.9874004302237</v>
      </c>
      <c r="AN282" s="3111">
        <f t="shared" ca="1" si="432"/>
        <v>-2999.6255387450624</v>
      </c>
      <c r="AO282" s="2760">
        <f ca="1">IFERROR(AL282/AM282,0)</f>
        <v>0.11042801098178849</v>
      </c>
      <c r="AP282" s="1241">
        <f ca="1">SUM(INDIRECT(AP$1&amp;AP$2&amp;$A282):INDIRECT(AP$1&amp;AP$3&amp;$A282))+SUM(INDIRECT(AP$1&amp;AP$2&amp;$B282):INDIRECT(AP$1&amp;AP$3&amp;$B282))</f>
        <v>0</v>
      </c>
      <c r="AQ282" s="3098">
        <f t="shared" ca="1" si="433"/>
        <v>372.36186168516116</v>
      </c>
      <c r="AR282" s="2743">
        <f ca="1">IFERROR(AL282/AP282,0)</f>
        <v>0</v>
      </c>
      <c r="AT282" s="60">
        <f ca="1">SUM((INDIRECT(AT$2&amp;(ROW())):INDIRECT(AT$3&amp;(ROW()))))</f>
        <v>1490.5492558371645</v>
      </c>
      <c r="AU282" s="80">
        <f ca="1">SUM(INDIRECT(AU$1&amp;AU$2&amp;$C282):INDIRECT(AU$1&amp;AU$3&amp;$C282))</f>
        <v>10026.178005755137</v>
      </c>
      <c r="AV282" s="3111">
        <f t="shared" ca="1" si="434"/>
        <v>-8535.6287499179725</v>
      </c>
      <c r="AW282" s="2760">
        <f ca="1">IFERROR(AT282/AU282,0)</f>
        <v>0.14866574830225165</v>
      </c>
      <c r="AX282" s="1241">
        <f ca="1">SUM(INDIRECT(AX$1&amp;AX$2&amp;$A282):INDIRECT(AX$1&amp;AX$3&amp;$A282))+SUM(INDIRECT(AX$1&amp;AX$2&amp;$B282):INDIRECT(AX$1&amp;AX$3&amp;$B282))</f>
        <v>0</v>
      </c>
      <c r="AY282" s="3098">
        <f t="shared" ca="1" si="435"/>
        <v>1490.5492558371645</v>
      </c>
      <c r="AZ282" s="2743">
        <f ca="1">IFERROR(AT282/AX282,0)</f>
        <v>0</v>
      </c>
      <c r="BA282" s="69"/>
      <c r="BB282" s="1290">
        <f ca="1">SUM((INDIRECT(BB$2&amp;(ROW())):INDIRECT(BB$3&amp;(ROW()))))</f>
        <v>6693.1429074376047</v>
      </c>
      <c r="BC282" s="1241">
        <f ca="1">SUM(INDIRECT(BC$1&amp;BC$2&amp;$C282):INDIRECT(BC$1&amp;BC$3&amp;$C282))</f>
        <v>16363.68689724827</v>
      </c>
      <c r="BD282" s="3098">
        <f t="shared" ca="1" si="436"/>
        <v>-9670.5439898106652</v>
      </c>
      <c r="BE282" s="2743">
        <f ca="1">IFERROR(BB282/BC282,0)</f>
        <v>0.40902413676487104</v>
      </c>
      <c r="BF282" s="1241">
        <f ca="1">SUM(INDIRECT(BF$1&amp;BF$2&amp;$A282):INDIRECT(BF$1&amp;BF$3&amp;$A282))+SUM(INDIRECT(BF$1&amp;BF$2&amp;$B282):INDIRECT(BF$1&amp;BF$3&amp;$B282))</f>
        <v>0</v>
      </c>
      <c r="BG282" s="3098">
        <f t="shared" ca="1" si="437"/>
        <v>6693.1429074376047</v>
      </c>
      <c r="BH282" s="2743">
        <f ca="1">IFERROR(BB282/BF282,0)</f>
        <v>0</v>
      </c>
    </row>
    <row r="283" spans="1:60" ht="14.5">
      <c r="A283" s="616">
        <f t="shared" si="449"/>
        <v>256</v>
      </c>
      <c r="B283" s="616">
        <v>1</v>
      </c>
      <c r="C283" s="616">
        <f t="shared" si="430"/>
        <v>280</v>
      </c>
      <c r="D283" s="709" t="s">
        <v>1308</v>
      </c>
      <c r="E283" s="2544">
        <v>1</v>
      </c>
      <c r="F283" s="8"/>
      <c r="G283" s="737"/>
      <c r="H283" s="4"/>
      <c r="I283" s="4"/>
      <c r="J283" s="3"/>
      <c r="K283" s="27"/>
      <c r="L283" s="3101" t="s">
        <v>1372</v>
      </c>
      <c r="M283" s="586"/>
      <c r="N283" s="586"/>
      <c r="O283" s="586"/>
      <c r="P283" s="586"/>
      <c r="Q283" s="1786" t="str">
        <f>CHOOSE(2, "6722000003202", "PL (3) CAI Allocation")</f>
        <v>PL (3) CAI Allocation</v>
      </c>
      <c r="R283" s="3112">
        <f>SUM(R285:R287)</f>
        <v>0</v>
      </c>
      <c r="S283" s="3112">
        <f t="shared" ref="S283:AJ283" si="450">SUM(S285:S287)</f>
        <v>0</v>
      </c>
      <c r="T283" s="3112">
        <f t="shared" si="450"/>
        <v>0</v>
      </c>
      <c r="U283" s="3112">
        <f t="shared" si="450"/>
        <v>0</v>
      </c>
      <c r="V283" s="3112">
        <f t="shared" si="450"/>
        <v>0</v>
      </c>
      <c r="W283" s="3112">
        <f t="shared" si="450"/>
        <v>0</v>
      </c>
      <c r="X283" s="3070">
        <f t="shared" si="450"/>
        <v>0</v>
      </c>
      <c r="Y283" s="3070">
        <f t="shared" si="450"/>
        <v>0</v>
      </c>
      <c r="Z283" s="3070">
        <f t="shared" si="450"/>
        <v>0</v>
      </c>
      <c r="AA283" s="3113">
        <f t="shared" si="450"/>
        <v>0</v>
      </c>
      <c r="AB283" s="3113">
        <f t="shared" si="450"/>
        <v>0</v>
      </c>
      <c r="AC283" s="3113">
        <f t="shared" si="450"/>
        <v>0</v>
      </c>
      <c r="AD283" s="3114">
        <f t="shared" si="450"/>
        <v>0</v>
      </c>
      <c r="AE283" s="3113">
        <f t="shared" si="450"/>
        <v>0</v>
      </c>
      <c r="AF283" s="3113">
        <f t="shared" si="450"/>
        <v>0</v>
      </c>
      <c r="AG283" s="3113">
        <f t="shared" si="450"/>
        <v>0</v>
      </c>
      <c r="AH283" s="3113">
        <f t="shared" si="450"/>
        <v>0</v>
      </c>
      <c r="AI283" s="3113">
        <f t="shared" si="450"/>
        <v>0</v>
      </c>
      <c r="AJ283" s="3113">
        <f t="shared" si="450"/>
        <v>0</v>
      </c>
      <c r="AL283" s="37">
        <f ca="1">SUM((INDIRECT(AL$2&amp;(ROW())):INDIRECT(AL$3&amp;(ROW()))))</f>
        <v>0</v>
      </c>
      <c r="AM283" s="3108">
        <f ca="1">SUM(INDIRECT(AM$1&amp;AM$2&amp;$C283):INDIRECT(AM$1&amp;AM$3&amp;$C283))</f>
        <v>1277.1148128493085</v>
      </c>
      <c r="AN283" s="3109">
        <f t="shared" ca="1" si="432"/>
        <v>-1277.1148128493085</v>
      </c>
      <c r="AO283" s="2756">
        <f ca="1">IFERROR(AL283/AM283,0)</f>
        <v>0</v>
      </c>
      <c r="AP283" s="1232">
        <f ca="1">SUM(INDIRECT(AP$1&amp;AP$2&amp;$A283):INDIRECT(AP$1&amp;AP$3&amp;$A283))+SUM(INDIRECT(AP$1&amp;AP$2&amp;$B283):INDIRECT(AP$1&amp;AP$3&amp;$B283))</f>
        <v>0</v>
      </c>
      <c r="AQ283" s="3110">
        <f t="shared" ca="1" si="433"/>
        <v>0</v>
      </c>
      <c r="AR283" s="2758">
        <f ca="1">IFERROR(AL283/AP283,0)</f>
        <v>0</v>
      </c>
      <c r="AT283" s="37">
        <f ca="1">SUM((INDIRECT(AT$2&amp;(ROW())):INDIRECT(AT$3&amp;(ROW()))))</f>
        <v>0</v>
      </c>
      <c r="AU283" s="3108">
        <f ca="1">SUM(INDIRECT(AU$1&amp;AU$2&amp;$C283):INDIRECT(AU$1&amp;AU$3&amp;$C283))</f>
        <v>3741.5602430123909</v>
      </c>
      <c r="AV283" s="3109">
        <f t="shared" ca="1" si="434"/>
        <v>-3741.5602430123909</v>
      </c>
      <c r="AW283" s="2756">
        <f ca="1">IFERROR(AT283/AU283,0)</f>
        <v>0</v>
      </c>
      <c r="AX283" s="1232">
        <f ca="1">SUM(INDIRECT(AX$1&amp;AX$2&amp;$A283):INDIRECT(AX$1&amp;AX$3&amp;$A283))+SUM(INDIRECT(AX$1&amp;AX$2&amp;$B283):INDIRECT(AX$1&amp;AX$3&amp;$B283))</f>
        <v>-4919</v>
      </c>
      <c r="AY283" s="3110">
        <f t="shared" ca="1" si="435"/>
        <v>4919</v>
      </c>
      <c r="AZ283" s="2758">
        <f ca="1">IFERROR(AT283/AX283,0)</f>
        <v>0</v>
      </c>
      <c r="BA283" s="69"/>
      <c r="BB283" s="1289">
        <f ca="1">SUM((INDIRECT(BB$2&amp;(ROW())):INDIRECT(BB$3&amp;(ROW()))))</f>
        <v>0</v>
      </c>
      <c r="BC283" s="1232">
        <f ca="1">SUM(INDIRECT(BC$1&amp;BC$2&amp;$C283):INDIRECT(BC$1&amp;BC$3&amp;$C283))</f>
        <v>5889.3239593436929</v>
      </c>
      <c r="BD283" s="3110">
        <f t="shared" ca="1" si="436"/>
        <v>-5889.3239593436929</v>
      </c>
      <c r="BE283" s="2758">
        <f ca="1">IFERROR(BB283/BC283,0)</f>
        <v>0</v>
      </c>
      <c r="BF283" s="1232">
        <f ca="1">SUM(INDIRECT(BF$1&amp;BF$2&amp;$A283):INDIRECT(BF$1&amp;BF$3&amp;$A283))+SUM(INDIRECT(BF$1&amp;BF$2&amp;$B283):INDIRECT(BF$1&amp;BF$3&amp;$B283))</f>
        <v>554</v>
      </c>
      <c r="BG283" s="3110">
        <f t="shared" ca="1" si="437"/>
        <v>-554</v>
      </c>
      <c r="BH283" s="2758">
        <f ca="1">IFERROR(BB283/BF283,0)</f>
        <v>0</v>
      </c>
    </row>
    <row r="284" spans="1:60" ht="14.5">
      <c r="A284" s="616">
        <f t="shared" si="449"/>
        <v>257</v>
      </c>
      <c r="B284" s="616">
        <v>1</v>
      </c>
      <c r="C284" s="616">
        <f t="shared" si="430"/>
        <v>281</v>
      </c>
      <c r="D284" s="709" t="s">
        <v>1308</v>
      </c>
      <c r="E284" s="2544">
        <v>1</v>
      </c>
      <c r="F284" s="8"/>
      <c r="G284" s="737"/>
      <c r="H284" s="4"/>
      <c r="I284" s="4"/>
      <c r="J284" s="3"/>
      <c r="K284" s="27"/>
      <c r="L284" s="498"/>
      <c r="M284" s="553" t="s">
        <v>1373</v>
      </c>
      <c r="N284" s="47"/>
      <c r="O284" s="47"/>
      <c r="P284" s="47"/>
      <c r="Q284" s="1776" t="str">
        <f>CHOOSE(2, "6722000003203", "PL (3) CAI Allocation SGA (%)")</f>
        <v>PL (3) CAI Allocation SGA (%)</v>
      </c>
      <c r="R284" s="2571">
        <f>IFERROR(R283/R268,0)</f>
        <v>0</v>
      </c>
      <c r="S284" s="2571">
        <f t="shared" ref="S284:AJ284" si="451">IFERROR(S283/S268,0)</f>
        <v>0</v>
      </c>
      <c r="T284" s="2571">
        <f t="shared" si="451"/>
        <v>0</v>
      </c>
      <c r="U284" s="2571">
        <f t="shared" si="451"/>
        <v>0</v>
      </c>
      <c r="V284" s="2571">
        <f t="shared" si="451"/>
        <v>0</v>
      </c>
      <c r="W284" s="2571">
        <f t="shared" si="451"/>
        <v>0</v>
      </c>
      <c r="X284" s="2571">
        <f t="shared" si="451"/>
        <v>0</v>
      </c>
      <c r="Y284" s="2571">
        <f t="shared" si="451"/>
        <v>0</v>
      </c>
      <c r="Z284" s="2571">
        <f t="shared" si="451"/>
        <v>0</v>
      </c>
      <c r="AA284" s="2571">
        <f t="shared" si="451"/>
        <v>0</v>
      </c>
      <c r="AB284" s="2571">
        <f t="shared" si="451"/>
        <v>0</v>
      </c>
      <c r="AC284" s="2571">
        <f t="shared" si="451"/>
        <v>0</v>
      </c>
      <c r="AD284" s="2572">
        <f t="shared" si="451"/>
        <v>0</v>
      </c>
      <c r="AE284" s="2571">
        <f t="shared" si="451"/>
        <v>0</v>
      </c>
      <c r="AF284" s="2571">
        <f t="shared" si="451"/>
        <v>0</v>
      </c>
      <c r="AG284" s="2571">
        <f t="shared" si="451"/>
        <v>0</v>
      </c>
      <c r="AH284" s="2571">
        <f t="shared" si="451"/>
        <v>0</v>
      </c>
      <c r="AI284" s="2571">
        <f t="shared" si="451"/>
        <v>0</v>
      </c>
      <c r="AJ284" s="2571">
        <f t="shared" si="451"/>
        <v>0</v>
      </c>
      <c r="AL284" s="2761">
        <f ca="1">IFERROR(AL283/AL268,0)</f>
        <v>0</v>
      </c>
      <c r="AM284" s="2761">
        <f ca="1">IFERROR(AM283/AM268,0)</f>
        <v>0</v>
      </c>
      <c r="AN284" s="2761">
        <f t="shared" ca="1" si="432"/>
        <v>0</v>
      </c>
      <c r="AO284" s="2762"/>
      <c r="AP284" s="2761">
        <f ca="1">IFERROR(AP283/AP268,0)</f>
        <v>0</v>
      </c>
      <c r="AQ284" s="2761">
        <f ca="1">IFERROR(AQ283/AQ264,0)</f>
        <v>0</v>
      </c>
      <c r="AR284" s="2763"/>
      <c r="AT284" s="2761">
        <f ca="1">IFERROR(AT283/AT268,0)</f>
        <v>0</v>
      </c>
      <c r="AU284" s="2761">
        <f ca="1">IFERROR(AU283/AU268,0)</f>
        <v>0</v>
      </c>
      <c r="AV284" s="2761">
        <f t="shared" ca="1" si="434"/>
        <v>0</v>
      </c>
      <c r="AW284" s="2762"/>
      <c r="AX284" s="2761">
        <f ca="1">IFERROR(AX283/AX268,0)</f>
        <v>0</v>
      </c>
      <c r="AY284" s="2761">
        <f ca="1">IFERROR(AY283/AY264,0)</f>
        <v>-0.40943898784751126</v>
      </c>
      <c r="AZ284" s="2763"/>
      <c r="BA284" s="69"/>
      <c r="BB284" s="2761">
        <f ca="1">IFERROR(BB283/BB268,0)</f>
        <v>0</v>
      </c>
      <c r="BC284" s="2761">
        <f ca="1">IFERROR(BC283/BC268,0)</f>
        <v>0</v>
      </c>
      <c r="BD284" s="2761">
        <f t="shared" ca="1" si="436"/>
        <v>0</v>
      </c>
      <c r="BE284" s="2764"/>
      <c r="BF284" s="2761">
        <f ca="1">IFERROR(BF283/BF268,0)</f>
        <v>0</v>
      </c>
      <c r="BG284" s="2761">
        <f ca="1">IFERROR(BG283/BG264,0)</f>
        <v>4.5036256550915039E-2</v>
      </c>
      <c r="BH284" s="2763"/>
    </row>
    <row r="285" spans="1:60" ht="14.5">
      <c r="A285" s="616">
        <f t="shared" si="449"/>
        <v>258</v>
      </c>
      <c r="B285" s="616">
        <v>1</v>
      </c>
      <c r="C285" s="616">
        <f t="shared" si="430"/>
        <v>282</v>
      </c>
      <c r="D285" s="709" t="s">
        <v>1308</v>
      </c>
      <c r="E285" s="2544">
        <v>1</v>
      </c>
      <c r="F285" s="8"/>
      <c r="G285" s="737"/>
      <c r="H285" s="4"/>
      <c r="I285" s="4"/>
      <c r="J285" s="3"/>
      <c r="K285" s="27"/>
      <c r="L285" s="27"/>
      <c r="M285" s="36" t="s">
        <v>1329</v>
      </c>
      <c r="N285" s="3"/>
      <c r="O285" s="3"/>
      <c r="P285" s="3"/>
      <c r="Q285" s="1786" t="str">
        <f>CHOOSE(2, "6722000003204", "PL (3) CAI Allocation Variable Expenses")</f>
        <v>PL (3) CAI Allocation Variable Expenses</v>
      </c>
      <c r="R285" s="37">
        <f>R269-R280</f>
        <v>0</v>
      </c>
      <c r="S285" s="37">
        <f t="shared" ref="S285:AC285" si="452">S269-S280</f>
        <v>0</v>
      </c>
      <c r="T285" s="37">
        <f t="shared" si="452"/>
        <v>0</v>
      </c>
      <c r="U285" s="37">
        <f t="shared" si="452"/>
        <v>0</v>
      </c>
      <c r="V285" s="37">
        <f t="shared" si="452"/>
        <v>0</v>
      </c>
      <c r="W285" s="37">
        <f t="shared" si="452"/>
        <v>0</v>
      </c>
      <c r="X285" s="17">
        <f t="shared" si="452"/>
        <v>0</v>
      </c>
      <c r="Y285" s="17">
        <f t="shared" si="452"/>
        <v>0</v>
      </c>
      <c r="Z285" s="17">
        <f t="shared" si="452"/>
        <v>0</v>
      </c>
      <c r="AA285" s="126">
        <f t="shared" si="452"/>
        <v>0</v>
      </c>
      <c r="AB285" s="126">
        <f t="shared" si="452"/>
        <v>0</v>
      </c>
      <c r="AC285" s="126">
        <f t="shared" si="452"/>
        <v>0</v>
      </c>
      <c r="AD285" s="125">
        <f>SUM(R285,S285,T285)</f>
        <v>0</v>
      </c>
      <c r="AE285" s="126">
        <f t="shared" ref="AE285:AE287" si="453">SUM(U285,V285,W285)</f>
        <v>0</v>
      </c>
      <c r="AF285" s="126">
        <f t="shared" ref="AF285:AF287" si="454">SUM(X285,Y285,Z285)</f>
        <v>0</v>
      </c>
      <c r="AG285" s="126">
        <f t="shared" ref="AG285:AG287" si="455">SUM(AA285,AB285,AC285)</f>
        <v>0</v>
      </c>
      <c r="AH285" s="126">
        <f>AD285+AE285</f>
        <v>0</v>
      </c>
      <c r="AI285" s="126">
        <f>AG285+AF285</f>
        <v>0</v>
      </c>
      <c r="AJ285" s="126">
        <f>AH285+AI285</f>
        <v>0</v>
      </c>
      <c r="AL285" s="37">
        <f ca="1">SUM((INDIRECT(AL$2&amp;(ROW())):INDIRECT(AL$3&amp;(ROW()))))</f>
        <v>0</v>
      </c>
      <c r="AM285" s="3108">
        <f ca="1">SUM(INDIRECT(AM$1&amp;AM$2&amp;$C285):INDIRECT(AM$1&amp;AM$3&amp;$C285))</f>
        <v>261.7604786136136</v>
      </c>
      <c r="AN285" s="3109">
        <f t="shared" ca="1" si="432"/>
        <v>-261.7604786136136</v>
      </c>
      <c r="AO285" s="2756">
        <f ca="1">IFERROR(AL285/AM285,0)</f>
        <v>0</v>
      </c>
      <c r="AP285" s="1232">
        <f ca="1">SUM(INDIRECT(AP$1&amp;AP$2&amp;$A285):INDIRECT(AP$1&amp;AP$3&amp;$A285))+SUM(INDIRECT(AP$1&amp;AP$2&amp;$B285):INDIRECT(AP$1&amp;AP$3&amp;$B285))</f>
        <v>0</v>
      </c>
      <c r="AQ285" s="3110">
        <f ca="1">AL285-AP285</f>
        <v>0</v>
      </c>
      <c r="AR285" s="2758">
        <f ca="1">IFERROR(AL285/AP285,0)</f>
        <v>0</v>
      </c>
      <c r="AT285" s="37">
        <f ca="1">SUM((INDIRECT(AT$2&amp;(ROW())):INDIRECT(AT$3&amp;(ROW()))))</f>
        <v>0</v>
      </c>
      <c r="AU285" s="3108">
        <f ca="1">SUM(INDIRECT(AU$1&amp;AU$2&amp;$C285):INDIRECT(AU$1&amp;AU$3&amp;$C285))</f>
        <v>785.2814358408408</v>
      </c>
      <c r="AV285" s="3109">
        <f t="shared" ca="1" si="434"/>
        <v>-785.2814358408408</v>
      </c>
      <c r="AW285" s="2756">
        <f ca="1">IFERROR(AT285/AU285,0)</f>
        <v>0</v>
      </c>
      <c r="AX285" s="1232">
        <f ca="1">SUM(INDIRECT(AX$1&amp;AX$2&amp;$A285):INDIRECT(AX$1&amp;AX$3&amp;$A285))+SUM(INDIRECT(AX$1&amp;AX$2&amp;$B285):INDIRECT(AX$1&amp;AX$3&amp;$B285))</f>
        <v>0</v>
      </c>
      <c r="AY285" s="3110">
        <f ca="1">AT285-AX285</f>
        <v>0</v>
      </c>
      <c r="AZ285" s="2758">
        <f ca="1">IFERROR(AT285/AX285,0)</f>
        <v>0</v>
      </c>
      <c r="BA285" s="69"/>
      <c r="BB285" s="1289">
        <f ca="1">SUM((INDIRECT(BB$2&amp;(ROW())):INDIRECT(BB$3&amp;(ROW()))))</f>
        <v>0</v>
      </c>
      <c r="BC285" s="1232">
        <f ca="1">SUM(INDIRECT(BC$1&amp;BC$2&amp;$C285):INDIRECT(BC$1&amp;BC$3&amp;$C285))</f>
        <v>1308.8023930680679</v>
      </c>
      <c r="BD285" s="3110">
        <f t="shared" ca="1" si="436"/>
        <v>-1308.8023930680679</v>
      </c>
      <c r="BE285" s="2758">
        <f ca="1">IFERROR(BB285/BC285,0)</f>
        <v>0</v>
      </c>
      <c r="BF285" s="1232">
        <f ca="1">SUM(INDIRECT(BF$1&amp;BF$2&amp;$A285):INDIRECT(BF$1&amp;BF$3&amp;$A285))+SUM(INDIRECT(BF$1&amp;BF$2&amp;$B285):INDIRECT(BF$1&amp;BF$3&amp;$B285))</f>
        <v>0</v>
      </c>
      <c r="BG285" s="3110">
        <f ca="1">BB285-BF285</f>
        <v>0</v>
      </c>
      <c r="BH285" s="2758">
        <f ca="1">IFERROR(BB285/BF285,0)</f>
        <v>0</v>
      </c>
    </row>
    <row r="286" spans="1:60" ht="14.5">
      <c r="A286" s="616">
        <f t="shared" si="449"/>
        <v>259</v>
      </c>
      <c r="B286" s="616">
        <v>1</v>
      </c>
      <c r="C286" s="616">
        <f t="shared" si="430"/>
        <v>283</v>
      </c>
      <c r="D286" s="709" t="s">
        <v>1308</v>
      </c>
      <c r="E286" s="2544">
        <v>1</v>
      </c>
      <c r="F286" s="8"/>
      <c r="G286" s="737"/>
      <c r="H286" s="4"/>
      <c r="I286" s="4"/>
      <c r="J286" s="3"/>
      <c r="K286" s="27"/>
      <c r="L286" s="27"/>
      <c r="M286" s="36" t="s">
        <v>1330</v>
      </c>
      <c r="N286" s="3"/>
      <c r="O286" s="3"/>
      <c r="P286" s="3"/>
      <c r="Q286" s="1786" t="str">
        <f>CHOOSE(2, "6722000003205", "PL (3) CAI Allocation Wages &amp; Salaries")</f>
        <v>PL (3) CAI Allocation Wages &amp; Salaries</v>
      </c>
      <c r="R286" s="37">
        <f t="shared" ref="R286:AC287" si="456">R270-R281</f>
        <v>0</v>
      </c>
      <c r="S286" s="37">
        <f t="shared" si="456"/>
        <v>0</v>
      </c>
      <c r="T286" s="37">
        <f t="shared" si="456"/>
        <v>0</v>
      </c>
      <c r="U286" s="37">
        <f t="shared" si="456"/>
        <v>0</v>
      </c>
      <c r="V286" s="37">
        <f t="shared" si="456"/>
        <v>0</v>
      </c>
      <c r="W286" s="37">
        <f t="shared" si="456"/>
        <v>0</v>
      </c>
      <c r="X286" s="17">
        <f t="shared" si="456"/>
        <v>0</v>
      </c>
      <c r="Y286" s="17">
        <f t="shared" si="456"/>
        <v>0</v>
      </c>
      <c r="Z286" s="17">
        <f t="shared" si="456"/>
        <v>0</v>
      </c>
      <c r="AA286" s="126">
        <f t="shared" si="456"/>
        <v>0</v>
      </c>
      <c r="AB286" s="126">
        <f t="shared" si="456"/>
        <v>0</v>
      </c>
      <c r="AC286" s="126">
        <f t="shared" si="456"/>
        <v>0</v>
      </c>
      <c r="AD286" s="125">
        <f>SUM(R286,S286,T286)</f>
        <v>0</v>
      </c>
      <c r="AE286" s="126">
        <f t="shared" si="453"/>
        <v>0</v>
      </c>
      <c r="AF286" s="126">
        <f t="shared" si="454"/>
        <v>0</v>
      </c>
      <c r="AG286" s="126">
        <f t="shared" si="455"/>
        <v>0</v>
      </c>
      <c r="AH286" s="126">
        <f>AD286+AE286</f>
        <v>0</v>
      </c>
      <c r="AI286" s="126">
        <f>AG286+AF286</f>
        <v>0</v>
      </c>
      <c r="AJ286" s="126">
        <f>AH286+AI286</f>
        <v>0</v>
      </c>
      <c r="AL286" s="37">
        <f ca="1">SUM((INDIRECT(AL$2&amp;(ROW())):INDIRECT(AL$3&amp;(ROW()))))</f>
        <v>0</v>
      </c>
      <c r="AM286" s="3108">
        <f ca="1">SUM(INDIRECT(AM$1&amp;AM$2&amp;$C286):INDIRECT(AM$1&amp;AM$3&amp;$C286))</f>
        <v>16.381918360171198</v>
      </c>
      <c r="AN286" s="3109">
        <f t="shared" ca="1" si="432"/>
        <v>-16.381918360171198</v>
      </c>
      <c r="AO286" s="2756">
        <f ca="1">IFERROR(AL286/AM286,0)</f>
        <v>0</v>
      </c>
      <c r="AP286" s="1232">
        <f ca="1">SUM(INDIRECT(AP$1&amp;AP$2&amp;$A286):INDIRECT(AP$1&amp;AP$3&amp;$A286))+SUM(INDIRECT(AP$1&amp;AP$2&amp;$B286):INDIRECT(AP$1&amp;AP$3&amp;$B286))</f>
        <v>0</v>
      </c>
      <c r="AQ286" s="3110">
        <f ca="1">AL286-AP286</f>
        <v>0</v>
      </c>
      <c r="AR286" s="2758">
        <f ca="1">IFERROR(AL286/AP286,0)</f>
        <v>0</v>
      </c>
      <c r="AT286" s="37">
        <f ca="1">SUM((INDIRECT(AT$2&amp;(ROW())):INDIRECT(AT$3&amp;(ROW()))))</f>
        <v>0</v>
      </c>
      <c r="AU286" s="3108">
        <f ca="1">SUM(INDIRECT(AU$1&amp;AU$2&amp;$C286):INDIRECT(AU$1&amp;AU$3&amp;$C286))</f>
        <v>-24.030400678369347</v>
      </c>
      <c r="AV286" s="3109">
        <f t="shared" ca="1" si="434"/>
        <v>24.030400678369347</v>
      </c>
      <c r="AW286" s="2756">
        <f ca="1">IFERROR(AT286/AU286,0)</f>
        <v>0</v>
      </c>
      <c r="AX286" s="1232">
        <f ca="1">SUM(INDIRECT(AX$1&amp;AX$2&amp;$A286):INDIRECT(AX$1&amp;AX$3&amp;$A286))+SUM(INDIRECT(AX$1&amp;AX$2&amp;$B286):INDIRECT(AX$1&amp;AX$3&amp;$B286))</f>
        <v>0</v>
      </c>
      <c r="AY286" s="3110">
        <f ca="1">AT286-AX286</f>
        <v>0</v>
      </c>
      <c r="AZ286" s="2758">
        <f ca="1">IFERROR(AT286/AX286,0)</f>
        <v>0</v>
      </c>
      <c r="BA286" s="69"/>
      <c r="BB286" s="1289">
        <f ca="1">SUM((INDIRECT(BB$2&amp;(ROW())):INDIRECT(BB$3&amp;(ROW()))))</f>
        <v>0</v>
      </c>
      <c r="BC286" s="1232">
        <f ca="1">SUM(INDIRECT(BC$1&amp;BC$2&amp;$C286):INDIRECT(BC$1&amp;BC$3&amp;$C286))</f>
        <v>519.1936755006717</v>
      </c>
      <c r="BD286" s="3110">
        <f t="shared" ca="1" si="436"/>
        <v>-519.1936755006717</v>
      </c>
      <c r="BE286" s="2758">
        <f ca="1">IFERROR(BB286/BC286,0)</f>
        <v>0</v>
      </c>
      <c r="BF286" s="1232">
        <f ca="1">SUM(INDIRECT(BF$1&amp;BF$2&amp;$A286):INDIRECT(BF$1&amp;BF$3&amp;$A286))+SUM(INDIRECT(BF$1&amp;BF$2&amp;$B286):INDIRECT(BF$1&amp;BF$3&amp;$B286))</f>
        <v>0</v>
      </c>
      <c r="BG286" s="3110">
        <f ca="1">BB286-BF286</f>
        <v>0</v>
      </c>
      <c r="BH286" s="2758">
        <f ca="1">IFERROR(BB286/BF286,0)</f>
        <v>0</v>
      </c>
    </row>
    <row r="287" spans="1:60" ht="14.5">
      <c r="A287" s="616">
        <f t="shared" si="449"/>
        <v>260</v>
      </c>
      <c r="B287" s="616">
        <v>1</v>
      </c>
      <c r="C287" s="616">
        <f t="shared" si="430"/>
        <v>284</v>
      </c>
      <c r="D287" s="709" t="s">
        <v>1308</v>
      </c>
      <c r="E287" s="2544">
        <v>1</v>
      </c>
      <c r="F287" s="8"/>
      <c r="G287" s="737"/>
      <c r="H287" s="4"/>
      <c r="I287" s="4"/>
      <c r="J287" s="3"/>
      <c r="K287" s="25"/>
      <c r="L287" s="25"/>
      <c r="M287" s="104" t="s">
        <v>1331</v>
      </c>
      <c r="N287" s="1"/>
      <c r="O287" s="1"/>
      <c r="P287" s="1"/>
      <c r="Q287" s="1786" t="str">
        <f>CHOOSE(2, "6722000003206", "PL (3) CAI Allocation Fixed Expenses")</f>
        <v>PL (3) CAI Allocation Fixed Expenses</v>
      </c>
      <c r="R287" s="60">
        <f t="shared" si="456"/>
        <v>0</v>
      </c>
      <c r="S287" s="60">
        <f t="shared" si="456"/>
        <v>0</v>
      </c>
      <c r="T287" s="60">
        <f t="shared" si="456"/>
        <v>0</v>
      </c>
      <c r="U287" s="60">
        <f t="shared" si="456"/>
        <v>0</v>
      </c>
      <c r="V287" s="60">
        <f t="shared" si="456"/>
        <v>0</v>
      </c>
      <c r="W287" s="60">
        <f t="shared" si="456"/>
        <v>0</v>
      </c>
      <c r="X287" s="15">
        <f t="shared" si="456"/>
        <v>0</v>
      </c>
      <c r="Y287" s="15">
        <f t="shared" si="456"/>
        <v>0</v>
      </c>
      <c r="Z287" s="15">
        <f t="shared" si="456"/>
        <v>0</v>
      </c>
      <c r="AA287" s="123">
        <f t="shared" si="456"/>
        <v>0</v>
      </c>
      <c r="AB287" s="123">
        <f t="shared" si="456"/>
        <v>0</v>
      </c>
      <c r="AC287" s="123">
        <f t="shared" si="456"/>
        <v>0</v>
      </c>
      <c r="AD287" s="122">
        <f>SUM(R287,S287,T287)</f>
        <v>0</v>
      </c>
      <c r="AE287" s="123">
        <f t="shared" si="453"/>
        <v>0</v>
      </c>
      <c r="AF287" s="123">
        <f t="shared" si="454"/>
        <v>0</v>
      </c>
      <c r="AG287" s="123">
        <f t="shared" si="455"/>
        <v>0</v>
      </c>
      <c r="AH287" s="123">
        <f>AD287+AE287</f>
        <v>0</v>
      </c>
      <c r="AI287" s="123">
        <f>AG287+AF287</f>
        <v>0</v>
      </c>
      <c r="AJ287" s="123">
        <f>AH287+AI287</f>
        <v>0</v>
      </c>
      <c r="AL287" s="60">
        <f ca="1">SUM((INDIRECT(AL$2&amp;(ROW())):INDIRECT(AL$3&amp;(ROW()))))</f>
        <v>0</v>
      </c>
      <c r="AM287" s="80">
        <f ca="1">SUM(INDIRECT(AM$1&amp;AM$2&amp;$C287):INDIRECT(AM$1&amp;AM$3&amp;$C287))</f>
        <v>4.8347499398381207E-3</v>
      </c>
      <c r="AN287" s="3111">
        <f t="shared" ca="1" si="432"/>
        <v>-4.8347499398381207E-3</v>
      </c>
      <c r="AO287" s="2760">
        <f ca="1">IFERROR(AL287/AM287,0)</f>
        <v>0</v>
      </c>
      <c r="AP287" s="1241">
        <f ca="1">SUM(INDIRECT(AP$1&amp;AP$2&amp;$A287):INDIRECT(AP$1&amp;AP$3&amp;$A287))+SUM(INDIRECT(AP$1&amp;AP$2&amp;$B287):INDIRECT(AP$1&amp;AP$3&amp;$B287))</f>
        <v>0</v>
      </c>
      <c r="AQ287" s="3098">
        <f ca="1">AL287-AP287</f>
        <v>0</v>
      </c>
      <c r="AR287" s="2743">
        <f ca="1">IFERROR(AL287/AP287,0)</f>
        <v>0</v>
      </c>
      <c r="AT287" s="60">
        <f ca="1">SUM((INDIRECT(AT$2&amp;(ROW())):INDIRECT(AT$3&amp;(ROW()))))</f>
        <v>0</v>
      </c>
      <c r="AU287" s="80">
        <f ca="1">SUM(INDIRECT(AU$1&amp;AU$2&amp;$C287):INDIRECT(AU$1&amp;AU$3&amp;$C287))</f>
        <v>-6.5299285895943629E-3</v>
      </c>
      <c r="AV287" s="3111">
        <f t="shared" ca="1" si="434"/>
        <v>6.5299285895943629E-3</v>
      </c>
      <c r="AW287" s="2760">
        <f ca="1">IFERROR(AT287/AU287,0)</f>
        <v>0</v>
      </c>
      <c r="AX287" s="1241">
        <f ca="1">SUM(INDIRECT(AX$1&amp;AX$2&amp;$A287):INDIRECT(AX$1&amp;AX$3&amp;$A287))+SUM(INDIRECT(AX$1&amp;AX$2&amp;$B287):INDIRECT(AX$1&amp;AX$3&amp;$B287))</f>
        <v>0</v>
      </c>
      <c r="AY287" s="3098">
        <f ca="1">AT287-AX287</f>
        <v>0</v>
      </c>
      <c r="AZ287" s="2743">
        <f ca="1">IFERROR(AT287/AX287,0)</f>
        <v>0</v>
      </c>
      <c r="BA287" s="69"/>
      <c r="BB287" s="1290">
        <f ca="1">SUM((INDIRECT(BB$2&amp;(ROW())):INDIRECT(BB$3&amp;(ROW()))))</f>
        <v>0</v>
      </c>
      <c r="BC287" s="1241">
        <f ca="1">SUM(INDIRECT(BC$1&amp;BC$2&amp;$C287):INDIRECT(BC$1&amp;BC$3&amp;$C287))</f>
        <v>0.14394753899058396</v>
      </c>
      <c r="BD287" s="3098">
        <f t="shared" ca="1" si="436"/>
        <v>-0.14394753899058396</v>
      </c>
      <c r="BE287" s="2743">
        <f ca="1">IFERROR(BB287/BC287,0)</f>
        <v>0</v>
      </c>
      <c r="BF287" s="1241">
        <f ca="1">SUM(INDIRECT(BF$1&amp;BF$2&amp;$A287):INDIRECT(BF$1&amp;BF$3&amp;$A287))+SUM(INDIRECT(BF$1&amp;BF$2&amp;$B287):INDIRECT(BF$1&amp;BF$3&amp;$B287))</f>
        <v>0</v>
      </c>
      <c r="BG287" s="3098">
        <f ca="1">BB287-BF287</f>
        <v>0</v>
      </c>
      <c r="BH287" s="2743">
        <f ca="1">IFERROR(BB287/BF287,0)</f>
        <v>0</v>
      </c>
    </row>
    <row r="288" spans="1:60" ht="14.5">
      <c r="A288" s="616">
        <f t="shared" si="449"/>
        <v>261</v>
      </c>
      <c r="B288" s="616">
        <v>1</v>
      </c>
      <c r="C288" s="616">
        <f t="shared" si="430"/>
        <v>285</v>
      </c>
      <c r="D288" s="709" t="s">
        <v>1308</v>
      </c>
      <c r="E288" s="2547">
        <v>1</v>
      </c>
      <c r="F288" s="4"/>
      <c r="G288" s="4"/>
      <c r="H288" s="4"/>
      <c r="I288" s="4"/>
      <c r="J288" s="3"/>
      <c r="K288" s="4"/>
      <c r="L288" s="4"/>
      <c r="M288" s="3"/>
      <c r="N288" s="3"/>
      <c r="O288" s="3"/>
      <c r="P288" s="3"/>
      <c r="Q288" s="1773" t="str">
        <f>CHOOSE(2, "6722000003207", "▷ Blank 13")</f>
        <v>▷ Blank 13</v>
      </c>
      <c r="R288" s="2562"/>
      <c r="S288" s="2563"/>
      <c r="T288" s="2563"/>
      <c r="U288" s="2563"/>
      <c r="V288" s="2563"/>
      <c r="W288" s="2563"/>
      <c r="AA288" s="2558"/>
      <c r="AB288" s="2558"/>
      <c r="AC288" s="2558"/>
      <c r="AD288" s="2558"/>
      <c r="AE288" s="2558"/>
      <c r="AF288" s="2558"/>
      <c r="AG288" s="2558"/>
      <c r="AH288" s="2558"/>
      <c r="AI288" s="2558"/>
      <c r="AJ288" s="2559"/>
      <c r="AL288" s="2558"/>
      <c r="AM288" s="2558"/>
      <c r="AN288" s="2558"/>
      <c r="AO288" s="2558"/>
      <c r="AP288" s="2558"/>
      <c r="AQ288" s="2558"/>
      <c r="AR288" s="2558"/>
      <c r="AT288" s="2558"/>
      <c r="AU288" s="2558"/>
      <c r="AV288" s="2558"/>
      <c r="AW288" s="2558"/>
      <c r="AX288" s="2558"/>
      <c r="AY288" s="2558"/>
      <c r="AZ288" s="2558"/>
      <c r="BB288" s="2558"/>
      <c r="BC288" s="2558"/>
      <c r="BD288" s="2558"/>
      <c r="BE288" s="2558"/>
      <c r="BF288" s="2558"/>
      <c r="BG288" s="2558"/>
      <c r="BH288" s="2558"/>
    </row>
    <row r="289" spans="1:60" ht="14.5">
      <c r="A289" s="616">
        <f t="shared" si="449"/>
        <v>262</v>
      </c>
      <c r="B289" s="616">
        <v>1</v>
      </c>
      <c r="C289" s="616">
        <f t="shared" si="430"/>
        <v>286</v>
      </c>
      <c r="D289" s="709" t="s">
        <v>1308</v>
      </c>
      <c r="E289" s="2547">
        <v>1</v>
      </c>
      <c r="F289" s="4"/>
      <c r="G289" s="4"/>
      <c r="H289" s="4" t="s">
        <v>1412</v>
      </c>
      <c r="I289" s="4"/>
      <c r="J289" s="3"/>
      <c r="K289" s="4"/>
      <c r="L289" s="4"/>
      <c r="M289" s="3"/>
      <c r="N289" s="3"/>
      <c r="O289" s="3"/>
      <c r="P289" s="3"/>
      <c r="Q289" s="1773" t="str">
        <f>CHOOSE(2, "6722000003208", "PL (4) MS (Marketing Service)")</f>
        <v>PL (4) MS (Marketing Service)</v>
      </c>
      <c r="R289" s="2562"/>
      <c r="S289" s="2563"/>
      <c r="T289" s="2563"/>
      <c r="U289" s="2563"/>
      <c r="V289" s="2563"/>
      <c r="W289" s="2563"/>
      <c r="AB289" s="1210"/>
      <c r="AC289" s="1210"/>
      <c r="AD289" s="1210"/>
      <c r="AE289" s="1210"/>
      <c r="AF289" s="1210"/>
      <c r="AG289" s="1210"/>
      <c r="AH289" s="1210"/>
      <c r="AI289" s="1210"/>
      <c r="AJ289" s="1210"/>
      <c r="AL289" s="1210"/>
      <c r="AM289" s="1210"/>
      <c r="AN289" s="1210"/>
      <c r="AO289" s="1210"/>
      <c r="AP289" s="1210"/>
      <c r="AQ289" s="1210"/>
      <c r="AR289" s="1210"/>
      <c r="AT289" s="1210"/>
      <c r="AU289" s="1210"/>
      <c r="AV289" s="1210"/>
      <c r="AW289" s="1210"/>
      <c r="AX289" s="1210"/>
      <c r="AY289" s="1210"/>
      <c r="AZ289" s="1210"/>
      <c r="BB289" s="1210"/>
      <c r="BC289" s="1210"/>
      <c r="BD289" s="1210"/>
      <c r="BE289" s="1210"/>
      <c r="BF289" s="1210"/>
      <c r="BG289" s="1210"/>
      <c r="BH289" s="1210"/>
    </row>
    <row r="290" spans="1:60" ht="14.5">
      <c r="A290" s="616">
        <f t="shared" si="449"/>
        <v>263</v>
      </c>
      <c r="B290" s="616">
        <v>1</v>
      </c>
      <c r="C290" s="616">
        <f t="shared" si="430"/>
        <v>287</v>
      </c>
      <c r="D290" s="709" t="s">
        <v>1308</v>
      </c>
      <c r="E290" s="2547">
        <v>1</v>
      </c>
      <c r="F290" s="4"/>
      <c r="G290" s="4"/>
      <c r="H290" s="4"/>
      <c r="I290" s="3162" t="s">
        <v>0</v>
      </c>
      <c r="J290" s="595"/>
      <c r="K290" s="867"/>
      <c r="L290" s="867"/>
      <c r="M290" s="595"/>
      <c r="N290" s="595"/>
      <c r="O290" s="2047" t="s">
        <v>302</v>
      </c>
      <c r="P290" s="595"/>
      <c r="Q290" s="1798" t="str">
        <f>CHOOSE(2, "6722000003209", "PL (4) Net Sales")</f>
        <v>PL (4) Net Sales</v>
      </c>
      <c r="R290" s="1560">
        <f>SUM(R291,R295)</f>
        <v>0</v>
      </c>
      <c r="S290" s="3163">
        <f t="shared" ref="S290:AJ290" si="457">SUM(S291,S295)</f>
        <v>0</v>
      </c>
      <c r="T290" s="3163">
        <f t="shared" si="457"/>
        <v>0</v>
      </c>
      <c r="U290" s="3163">
        <f t="shared" si="457"/>
        <v>0</v>
      </c>
      <c r="V290" s="3163">
        <f t="shared" si="457"/>
        <v>0</v>
      </c>
      <c r="W290" s="3163">
        <f t="shared" si="457"/>
        <v>0</v>
      </c>
      <c r="X290" s="3163">
        <f t="shared" si="457"/>
        <v>0</v>
      </c>
      <c r="Y290" s="3163">
        <f t="shared" si="457"/>
        <v>0</v>
      </c>
      <c r="Z290" s="3163">
        <f t="shared" si="457"/>
        <v>0</v>
      </c>
      <c r="AA290" s="3163">
        <f t="shared" si="457"/>
        <v>0</v>
      </c>
      <c r="AB290" s="3163">
        <f t="shared" si="457"/>
        <v>0</v>
      </c>
      <c r="AC290" s="3163">
        <f t="shared" si="457"/>
        <v>0</v>
      </c>
      <c r="AD290" s="3164">
        <f t="shared" si="457"/>
        <v>0</v>
      </c>
      <c r="AE290" s="3164">
        <f t="shared" si="457"/>
        <v>0</v>
      </c>
      <c r="AF290" s="3164">
        <f t="shared" si="457"/>
        <v>0</v>
      </c>
      <c r="AG290" s="3164">
        <f t="shared" si="457"/>
        <v>0</v>
      </c>
      <c r="AH290" s="3164">
        <f t="shared" si="457"/>
        <v>0</v>
      </c>
      <c r="AI290" s="3164">
        <f t="shared" si="457"/>
        <v>0</v>
      </c>
      <c r="AJ290" s="3164">
        <f t="shared" si="457"/>
        <v>0</v>
      </c>
      <c r="AL290" s="1314">
        <f ca="1">SUM((INDIRECT(AL$2&amp;(ROW())):INDIRECT(AL$3&amp;(ROW()))))</f>
        <v>0</v>
      </c>
      <c r="AM290" s="3164">
        <f ca="1">SUM(INDIRECT(AM$1&amp;AM$2&amp;$C290):INDIRECT(AM$1&amp;AM$3&amp;$C290))</f>
        <v>-3.2803292896232961E-3</v>
      </c>
      <c r="AN290" s="3165">
        <f t="shared" ref="AN290:AN350" ca="1" si="458">AL290-AM290</f>
        <v>3.2803292896232961E-3</v>
      </c>
      <c r="AO290" s="3166">
        <f t="shared" ref="AO290:AO310" ca="1" si="459">IFERROR(AL290/AM290,0)</f>
        <v>0</v>
      </c>
      <c r="AP290" s="3164">
        <f ca="1">SUM(INDIRECT(AP$1&amp;AP$2&amp;$A290):INDIRECT(AP$1&amp;AP$3&amp;$A290))+SUM(INDIRECT(AP$1&amp;AP$2&amp;$B290):INDIRECT(AP$1&amp;AP$3&amp;$B290))</f>
        <v>523</v>
      </c>
      <c r="AQ290" s="3165">
        <f t="shared" ref="AQ290:AQ346" ca="1" si="460">AL290-AP290</f>
        <v>-523</v>
      </c>
      <c r="AR290" s="3166">
        <f t="shared" ref="AR290:AR310" ca="1" si="461">IFERROR(AL290/AP290,0)</f>
        <v>0</v>
      </c>
      <c r="AT290" s="1314">
        <f ca="1">SUM((INDIRECT(AT$2&amp;(ROW())):INDIRECT(AT$3&amp;(ROW()))))</f>
        <v>0</v>
      </c>
      <c r="AU290" s="3164">
        <f ca="1">SUM(INDIRECT(AU$1&amp;AU$2&amp;$C290):INDIRECT(AU$1&amp;AU$3&amp;$C290))</f>
        <v>-9.8409878688698882E-3</v>
      </c>
      <c r="AV290" s="3165">
        <f t="shared" ref="AV290:AV350" ca="1" si="462">AT290-AU290</f>
        <v>9.8409878688698882E-3</v>
      </c>
      <c r="AW290" s="3166">
        <f t="shared" ref="AW290:AW310" ca="1" si="463">IFERROR(AT290/AU290,0)</f>
        <v>0</v>
      </c>
      <c r="AX290" s="3164">
        <f ca="1">SUM(INDIRECT(AX$1&amp;AX$2&amp;$A290):INDIRECT(AX$1&amp;AX$3&amp;$A290))+SUM(INDIRECT(AX$1&amp;AX$2&amp;$B290):INDIRECT(AX$1&amp;AX$3&amp;$B290))</f>
        <v>5554</v>
      </c>
      <c r="AY290" s="3165">
        <f t="shared" ref="AY290:AY346" ca="1" si="464">AT290-AX290</f>
        <v>-5554</v>
      </c>
      <c r="AZ290" s="3166">
        <f t="shared" ref="AZ290:AZ310" ca="1" si="465">IFERROR(AT290/AX290,0)</f>
        <v>0</v>
      </c>
      <c r="BB290" s="1314">
        <f ca="1">SUM((INDIRECT(BB$2&amp;(ROW())):INDIRECT(BB$3&amp;(ROW()))))</f>
        <v>0</v>
      </c>
      <c r="BC290" s="3164">
        <f ca="1">SUM(INDIRECT(BC$1&amp;BC$2&amp;$C290):INDIRECT(BC$1&amp;BC$3&amp;$C290))</f>
        <v>-1.640164644811648E-2</v>
      </c>
      <c r="BD290" s="3165">
        <f t="shared" ref="BD290:BD350" ca="1" si="466">BB290-BC290</f>
        <v>1.640164644811648E-2</v>
      </c>
      <c r="BE290" s="3166">
        <f t="shared" ref="BE290:BE310" ca="1" si="467">IFERROR(BB290/BC290,0)</f>
        <v>0</v>
      </c>
      <c r="BF290" s="3164">
        <f ca="1">SUM(INDIRECT(BF$1&amp;BF$2&amp;$A290):INDIRECT(BF$1&amp;BF$3&amp;$A290))+SUM(INDIRECT(BF$1&amp;BF$2&amp;$B290):INDIRECT(BF$1&amp;BF$3&amp;$B290))</f>
        <v>19272.24652295337</v>
      </c>
      <c r="BG290" s="3165">
        <f t="shared" ref="BG290:BG346" ca="1" si="468">BB290-BF290</f>
        <v>-19272.24652295337</v>
      </c>
      <c r="BH290" s="3166">
        <f t="shared" ref="BH290:BH310" ca="1" si="469">IFERROR(BB290/BF290,0)</f>
        <v>0</v>
      </c>
    </row>
    <row r="291" spans="1:60" ht="14.5">
      <c r="A291" s="616">
        <f t="shared" si="449"/>
        <v>264</v>
      </c>
      <c r="B291" s="616">
        <v>1</v>
      </c>
      <c r="C291" s="616">
        <f t="shared" si="430"/>
        <v>288</v>
      </c>
      <c r="D291" s="709" t="s">
        <v>1308</v>
      </c>
      <c r="E291" s="2547">
        <v>1</v>
      </c>
      <c r="F291" s="4"/>
      <c r="G291" s="4"/>
      <c r="H291" s="4"/>
      <c r="I291" s="27"/>
      <c r="J291" s="3"/>
      <c r="K291" s="4"/>
      <c r="L291" s="301" t="s">
        <v>1413</v>
      </c>
      <c r="M291" s="301"/>
      <c r="N291" s="301"/>
      <c r="O291" s="301"/>
      <c r="P291" s="301"/>
      <c r="Q291" s="1799" t="str">
        <f>CHOOSE(2, "6722000003210", "PL (4) Net Sales MPM")</f>
        <v>PL (4) Net Sales MPM</v>
      </c>
      <c r="R291" s="1562">
        <f>SUM(R292:R294)</f>
        <v>0</v>
      </c>
      <c r="S291" s="1563">
        <f t="shared" ref="S291:AC291" si="470">SUM(S292:S294)</f>
        <v>0</v>
      </c>
      <c r="T291" s="1563">
        <f t="shared" si="470"/>
        <v>0</v>
      </c>
      <c r="U291" s="1563">
        <f t="shared" si="470"/>
        <v>0</v>
      </c>
      <c r="V291" s="1563">
        <f t="shared" si="470"/>
        <v>0</v>
      </c>
      <c r="W291" s="1563">
        <f t="shared" si="470"/>
        <v>0</v>
      </c>
      <c r="X291" s="1563">
        <f t="shared" si="470"/>
        <v>0</v>
      </c>
      <c r="Y291" s="1563">
        <f t="shared" si="470"/>
        <v>0</v>
      </c>
      <c r="Z291" s="1563">
        <f t="shared" si="470"/>
        <v>0</v>
      </c>
      <c r="AA291" s="1563">
        <f t="shared" si="470"/>
        <v>0</v>
      </c>
      <c r="AB291" s="1563">
        <f t="shared" si="470"/>
        <v>0</v>
      </c>
      <c r="AC291" s="1563">
        <f t="shared" si="470"/>
        <v>0</v>
      </c>
      <c r="AD291" s="1252">
        <f t="shared" ref="AD291:AD299" si="471">SUM(R291,S291,T291)</f>
        <v>0</v>
      </c>
      <c r="AE291" s="1252">
        <f t="shared" ref="AE291:AE299" si="472">SUM(U291,V291,W291)</f>
        <v>0</v>
      </c>
      <c r="AF291" s="1252">
        <f t="shared" ref="AF291:AF299" si="473">SUM(X291,Y291,Z291)</f>
        <v>0</v>
      </c>
      <c r="AG291" s="1252">
        <f t="shared" ref="AG291:AG299" si="474">SUM(AA291,AB291,AC291)</f>
        <v>0</v>
      </c>
      <c r="AH291" s="1252">
        <f t="shared" ref="AH291:AH299" si="475">AD291+AE291</f>
        <v>0</v>
      </c>
      <c r="AI291" s="1252">
        <f t="shared" ref="AI291:AI299" si="476">AG291+AF291</f>
        <v>0</v>
      </c>
      <c r="AJ291" s="1252">
        <f t="shared" ref="AJ291:AJ299" si="477">AH291+AI291</f>
        <v>0</v>
      </c>
      <c r="AL291" s="1308">
        <f ca="1">SUM((INDIRECT(AL$2&amp;(ROW())):INDIRECT(AL$3&amp;(ROW()))))</f>
        <v>0</v>
      </c>
      <c r="AM291" s="1252">
        <f ca="1">SUM(INDIRECT(AM$1&amp;AM$2&amp;$C291):INDIRECT(AM$1&amp;AM$3&amp;$C291))</f>
        <v>0</v>
      </c>
      <c r="AN291" s="3159">
        <f t="shared" ca="1" si="458"/>
        <v>0</v>
      </c>
      <c r="AO291" s="2806">
        <f t="shared" ca="1" si="459"/>
        <v>0</v>
      </c>
      <c r="AP291" s="1252">
        <f ca="1">SUM(INDIRECT(AP$1&amp;AP$2&amp;$A291):INDIRECT(AP$1&amp;AP$3&amp;$A291))+SUM(INDIRECT(AP$1&amp;AP$2&amp;$B291):INDIRECT(AP$1&amp;AP$3&amp;$B291))</f>
        <v>-620</v>
      </c>
      <c r="AQ291" s="3159">
        <f t="shared" ca="1" si="460"/>
        <v>620</v>
      </c>
      <c r="AR291" s="2806">
        <f t="shared" ca="1" si="461"/>
        <v>0</v>
      </c>
      <c r="AT291" s="1308">
        <f ca="1">SUM((INDIRECT(AT$2&amp;(ROW())):INDIRECT(AT$3&amp;(ROW()))))</f>
        <v>0</v>
      </c>
      <c r="AU291" s="1252">
        <f ca="1">SUM(INDIRECT(AU$1&amp;AU$2&amp;$C291):INDIRECT(AU$1&amp;AU$3&amp;$C291))</f>
        <v>0</v>
      </c>
      <c r="AV291" s="3159">
        <f t="shared" ca="1" si="462"/>
        <v>0</v>
      </c>
      <c r="AW291" s="2806">
        <f t="shared" ca="1" si="463"/>
        <v>0</v>
      </c>
      <c r="AX291" s="1252">
        <f ca="1">SUM(INDIRECT(AX$1&amp;AX$2&amp;$A291):INDIRECT(AX$1&amp;AX$3&amp;$A291))+SUM(INDIRECT(AX$1&amp;AX$2&amp;$B291):INDIRECT(AX$1&amp;AX$3&amp;$B291))</f>
        <v>-1586</v>
      </c>
      <c r="AY291" s="3159">
        <f t="shared" ca="1" si="464"/>
        <v>1586</v>
      </c>
      <c r="AZ291" s="2806">
        <f t="shared" ca="1" si="465"/>
        <v>0</v>
      </c>
      <c r="BB291" s="1308">
        <f ca="1">SUM((INDIRECT(BB$2&amp;(ROW())):INDIRECT(BB$3&amp;(ROW()))))</f>
        <v>0</v>
      </c>
      <c r="BC291" s="1252">
        <f ca="1">SUM(INDIRECT(BC$1&amp;BC$2&amp;$C291):INDIRECT(BC$1&amp;BC$3&amp;$C291))</f>
        <v>0</v>
      </c>
      <c r="BD291" s="3159">
        <f t="shared" ca="1" si="466"/>
        <v>0</v>
      </c>
      <c r="BE291" s="2806">
        <f t="shared" ca="1" si="467"/>
        <v>0</v>
      </c>
      <c r="BF291" s="1252">
        <f ca="1">SUM(INDIRECT(BF$1&amp;BF$2&amp;$A291):INDIRECT(BF$1&amp;BF$3&amp;$A291))+SUM(INDIRECT(BF$1&amp;BF$2&amp;$B291):INDIRECT(BF$1&amp;BF$3&amp;$B291))</f>
        <v>-1583.2000203365917</v>
      </c>
      <c r="BG291" s="3159">
        <f t="shared" ca="1" si="468"/>
        <v>1583.2000203365917</v>
      </c>
      <c r="BH291" s="2806">
        <f t="shared" ca="1" si="469"/>
        <v>0</v>
      </c>
    </row>
    <row r="292" spans="1:60" ht="15" customHeight="1">
      <c r="A292" s="616">
        <f t="shared" si="449"/>
        <v>265</v>
      </c>
      <c r="B292" s="616">
        <v>1</v>
      </c>
      <c r="C292" s="616">
        <f t="shared" si="430"/>
        <v>289</v>
      </c>
      <c r="D292" s="709" t="s">
        <v>1308</v>
      </c>
      <c r="E292" s="2547">
        <v>1</v>
      </c>
      <c r="F292" s="4"/>
      <c r="G292" s="4"/>
      <c r="H292" s="4"/>
      <c r="I292" s="27"/>
      <c r="J292" s="3"/>
      <c r="K292" s="4"/>
      <c r="L292" s="4"/>
      <c r="M292" s="3" t="s">
        <v>1414</v>
      </c>
      <c r="N292" s="3"/>
      <c r="O292" s="3"/>
      <c r="P292" s="3"/>
      <c r="Q292" s="1800" t="str">
        <f>CHOOSE(2, "6722000003211", "PL (4) Net Sales MPM Procurement")</f>
        <v>PL (4) Net Sales MPM Procurement</v>
      </c>
      <c r="R292" s="1553">
        <v>0</v>
      </c>
      <c r="S292" s="1222">
        <v>0</v>
      </c>
      <c r="T292" s="1222">
        <v>0</v>
      </c>
      <c r="U292" s="1222">
        <v>0</v>
      </c>
      <c r="V292" s="1222">
        <v>0</v>
      </c>
      <c r="W292" s="1222">
        <v>0</v>
      </c>
      <c r="X292" s="1222">
        <v>0</v>
      </c>
      <c r="Y292" s="1222">
        <v>0</v>
      </c>
      <c r="Z292" s="1222">
        <v>0</v>
      </c>
      <c r="AA292" s="1222">
        <v>0</v>
      </c>
      <c r="AB292" s="1222">
        <v>0</v>
      </c>
      <c r="AC292" s="1222">
        <v>0</v>
      </c>
      <c r="AD292" s="1221">
        <f t="shared" si="471"/>
        <v>0</v>
      </c>
      <c r="AE292" s="1221">
        <f t="shared" si="472"/>
        <v>0</v>
      </c>
      <c r="AF292" s="1221">
        <f t="shared" si="473"/>
        <v>0</v>
      </c>
      <c r="AG292" s="1221">
        <f t="shared" si="474"/>
        <v>0</v>
      </c>
      <c r="AH292" s="1221">
        <f t="shared" si="475"/>
        <v>0</v>
      </c>
      <c r="AI292" s="1221">
        <f t="shared" si="476"/>
        <v>0</v>
      </c>
      <c r="AJ292" s="1221">
        <f t="shared" si="477"/>
        <v>0</v>
      </c>
      <c r="AL292" s="1214">
        <f ca="1">SUM((INDIRECT(AL$2&amp;(ROW())):INDIRECT(AL$3&amp;(ROW()))))</f>
        <v>0</v>
      </c>
      <c r="AM292" s="1221">
        <f ca="1">SUM(INDIRECT(AM$1&amp;AM$2&amp;$C292):INDIRECT(AM$1&amp;AM$3&amp;$C292))</f>
        <v>0</v>
      </c>
      <c r="AN292" s="3119">
        <f t="shared" ca="1" si="458"/>
        <v>0</v>
      </c>
      <c r="AO292" s="2768">
        <f t="shared" ca="1" si="459"/>
        <v>0</v>
      </c>
      <c r="AP292" s="1221">
        <f ca="1">SUM(INDIRECT(AP$1&amp;AP$2&amp;$A292):INDIRECT(AP$1&amp;AP$3&amp;$A292))+SUM(INDIRECT(AP$1&amp;AP$2&amp;$B292):INDIRECT(AP$1&amp;AP$3&amp;$B292))</f>
        <v>0</v>
      </c>
      <c r="AQ292" s="3119">
        <f t="shared" ca="1" si="460"/>
        <v>0</v>
      </c>
      <c r="AR292" s="2768">
        <f t="shared" ca="1" si="461"/>
        <v>0</v>
      </c>
      <c r="AT292" s="1214">
        <f ca="1">SUM((INDIRECT(AT$2&amp;(ROW())):INDIRECT(AT$3&amp;(ROW()))))</f>
        <v>0</v>
      </c>
      <c r="AU292" s="1221">
        <f ca="1">SUM(INDIRECT(AU$1&amp;AU$2&amp;$C292):INDIRECT(AU$1&amp;AU$3&amp;$C292))</f>
        <v>0</v>
      </c>
      <c r="AV292" s="3119">
        <f t="shared" ca="1" si="462"/>
        <v>0</v>
      </c>
      <c r="AW292" s="2768">
        <f t="shared" ca="1" si="463"/>
        <v>0</v>
      </c>
      <c r="AX292" s="1221">
        <f ca="1">SUM(INDIRECT(AX$1&amp;AX$2&amp;$A292):INDIRECT(AX$1&amp;AX$3&amp;$A292))+SUM(INDIRECT(AX$1&amp;AX$2&amp;$B292):INDIRECT(AX$1&amp;AX$3&amp;$B292))</f>
        <v>0</v>
      </c>
      <c r="AY292" s="3119">
        <f t="shared" ca="1" si="464"/>
        <v>0</v>
      </c>
      <c r="AZ292" s="2768">
        <f t="shared" ca="1" si="465"/>
        <v>0</v>
      </c>
      <c r="BB292" s="1214">
        <f ca="1">SUM((INDIRECT(BB$2&amp;(ROW())):INDIRECT(BB$3&amp;(ROW()))))</f>
        <v>0</v>
      </c>
      <c r="BC292" s="1221">
        <f ca="1">SUM(INDIRECT(BC$1&amp;BC$2&amp;$C292):INDIRECT(BC$1&amp;BC$3&amp;$C292))</f>
        <v>0</v>
      </c>
      <c r="BD292" s="3119">
        <f t="shared" ca="1" si="466"/>
        <v>0</v>
      </c>
      <c r="BE292" s="2768">
        <f t="shared" ca="1" si="467"/>
        <v>0</v>
      </c>
      <c r="BF292" s="1221">
        <f ca="1">SUM(INDIRECT(BF$1&amp;BF$2&amp;$A292):INDIRECT(BF$1&amp;BF$3&amp;$A292))+SUM(INDIRECT(BF$1&amp;BF$2&amp;$B292):INDIRECT(BF$1&amp;BF$3&amp;$B292))</f>
        <v>0</v>
      </c>
      <c r="BG292" s="3119">
        <f t="shared" ca="1" si="468"/>
        <v>0</v>
      </c>
      <c r="BH292" s="2768">
        <f t="shared" ca="1" si="469"/>
        <v>0</v>
      </c>
    </row>
    <row r="293" spans="1:60" ht="15" customHeight="1">
      <c r="A293" s="616">
        <f t="shared" si="449"/>
        <v>266</v>
      </c>
      <c r="B293" s="616">
        <v>1</v>
      </c>
      <c r="C293" s="616">
        <f t="shared" si="430"/>
        <v>290</v>
      </c>
      <c r="D293" s="709" t="s">
        <v>1308</v>
      </c>
      <c r="E293" s="2547">
        <v>1</v>
      </c>
      <c r="F293" s="4"/>
      <c r="G293" s="4"/>
      <c r="H293" s="4"/>
      <c r="I293" s="27"/>
      <c r="J293" s="3"/>
      <c r="K293" s="4"/>
      <c r="L293" s="4"/>
      <c r="M293" s="3" t="s">
        <v>1415</v>
      </c>
      <c r="N293" s="3"/>
      <c r="O293" s="3"/>
      <c r="P293" s="3"/>
      <c r="Q293" s="1800" t="str">
        <f>CHOOSE(2, "6722000003212", "PL (4) Net Sales MPM Production")</f>
        <v>PL (4) Net Sales MPM Production</v>
      </c>
      <c r="R293" s="1553">
        <v>0</v>
      </c>
      <c r="S293" s="1222">
        <v>0</v>
      </c>
      <c r="T293" s="1222">
        <v>0</v>
      </c>
      <c r="U293" s="1222">
        <v>0</v>
      </c>
      <c r="V293" s="1222">
        <v>0</v>
      </c>
      <c r="W293" s="1222">
        <v>0</v>
      </c>
      <c r="X293" s="1222">
        <v>0</v>
      </c>
      <c r="Y293" s="1222">
        <v>0</v>
      </c>
      <c r="Z293" s="1222">
        <v>0</v>
      </c>
      <c r="AA293" s="1222">
        <v>0</v>
      </c>
      <c r="AB293" s="1222">
        <v>0</v>
      </c>
      <c r="AC293" s="1222">
        <v>0</v>
      </c>
      <c r="AD293" s="1221">
        <f t="shared" si="471"/>
        <v>0</v>
      </c>
      <c r="AE293" s="1221">
        <f t="shared" si="472"/>
        <v>0</v>
      </c>
      <c r="AF293" s="1221">
        <f t="shared" si="473"/>
        <v>0</v>
      </c>
      <c r="AG293" s="1221">
        <f t="shared" si="474"/>
        <v>0</v>
      </c>
      <c r="AH293" s="1221">
        <f t="shared" si="475"/>
        <v>0</v>
      </c>
      <c r="AI293" s="1221">
        <f t="shared" si="476"/>
        <v>0</v>
      </c>
      <c r="AJ293" s="1221">
        <f t="shared" si="477"/>
        <v>0</v>
      </c>
      <c r="AL293" s="1214">
        <f ca="1">SUM((INDIRECT(AL$2&amp;(ROW())):INDIRECT(AL$3&amp;(ROW()))))</f>
        <v>0</v>
      </c>
      <c r="AM293" s="1221">
        <f ca="1">SUM(INDIRECT(AM$1&amp;AM$2&amp;$C293):INDIRECT(AM$1&amp;AM$3&amp;$C293))</f>
        <v>0</v>
      </c>
      <c r="AN293" s="3119">
        <f t="shared" ca="1" si="458"/>
        <v>0</v>
      </c>
      <c r="AO293" s="2768">
        <f t="shared" ca="1" si="459"/>
        <v>0</v>
      </c>
      <c r="AP293" s="1221">
        <f ca="1">SUM(INDIRECT(AP$1&amp;AP$2&amp;$A293):INDIRECT(AP$1&amp;AP$3&amp;$A293))+SUM(INDIRECT(AP$1&amp;AP$2&amp;$B293):INDIRECT(AP$1&amp;AP$3&amp;$B293))</f>
        <v>0</v>
      </c>
      <c r="AQ293" s="3119">
        <f t="shared" ca="1" si="460"/>
        <v>0</v>
      </c>
      <c r="AR293" s="2768">
        <f t="shared" ca="1" si="461"/>
        <v>0</v>
      </c>
      <c r="AT293" s="1214">
        <f ca="1">SUM((INDIRECT(AT$2&amp;(ROW())):INDIRECT(AT$3&amp;(ROW()))))</f>
        <v>0</v>
      </c>
      <c r="AU293" s="1221">
        <f ca="1">SUM(INDIRECT(AU$1&amp;AU$2&amp;$C293):INDIRECT(AU$1&amp;AU$3&amp;$C293))</f>
        <v>0</v>
      </c>
      <c r="AV293" s="3119">
        <f t="shared" ca="1" si="462"/>
        <v>0</v>
      </c>
      <c r="AW293" s="2768">
        <f t="shared" ca="1" si="463"/>
        <v>0</v>
      </c>
      <c r="AX293" s="1221">
        <f ca="1">SUM(INDIRECT(AX$1&amp;AX$2&amp;$A293):INDIRECT(AX$1&amp;AX$3&amp;$A293))+SUM(INDIRECT(AX$1&amp;AX$2&amp;$B293):INDIRECT(AX$1&amp;AX$3&amp;$B293))</f>
        <v>0</v>
      </c>
      <c r="AY293" s="3119">
        <f t="shared" ca="1" si="464"/>
        <v>0</v>
      </c>
      <c r="AZ293" s="2768">
        <f t="shared" ca="1" si="465"/>
        <v>0</v>
      </c>
      <c r="BB293" s="1214">
        <f ca="1">SUM((INDIRECT(BB$2&amp;(ROW())):INDIRECT(BB$3&amp;(ROW()))))</f>
        <v>0</v>
      </c>
      <c r="BC293" s="1221">
        <f ca="1">SUM(INDIRECT(BC$1&amp;BC$2&amp;$C293):INDIRECT(BC$1&amp;BC$3&amp;$C293))</f>
        <v>0</v>
      </c>
      <c r="BD293" s="3119">
        <f t="shared" ca="1" si="466"/>
        <v>0</v>
      </c>
      <c r="BE293" s="2768">
        <f t="shared" ca="1" si="467"/>
        <v>0</v>
      </c>
      <c r="BF293" s="1221">
        <f ca="1">SUM(INDIRECT(BF$1&amp;BF$2&amp;$A293):INDIRECT(BF$1&amp;BF$3&amp;$A293))+SUM(INDIRECT(BF$1&amp;BF$2&amp;$B293):INDIRECT(BF$1&amp;BF$3&amp;$B293))</f>
        <v>0</v>
      </c>
      <c r="BG293" s="3119">
        <f t="shared" ca="1" si="468"/>
        <v>0</v>
      </c>
      <c r="BH293" s="2768">
        <f t="shared" ca="1" si="469"/>
        <v>0</v>
      </c>
    </row>
    <row r="294" spans="1:60" ht="15" customHeight="1">
      <c r="A294" s="616">
        <f t="shared" si="449"/>
        <v>267</v>
      </c>
      <c r="B294" s="616">
        <v>1</v>
      </c>
      <c r="C294" s="616">
        <f t="shared" si="430"/>
        <v>291</v>
      </c>
      <c r="D294" s="709" t="s">
        <v>1308</v>
      </c>
      <c r="E294" s="2547">
        <v>1</v>
      </c>
      <c r="F294" s="4"/>
      <c r="G294" s="4"/>
      <c r="H294" s="4"/>
      <c r="I294" s="27"/>
      <c r="J294" s="3"/>
      <c r="K294" s="4"/>
      <c r="L294" s="48"/>
      <c r="M294" s="47" t="s">
        <v>1397</v>
      </c>
      <c r="N294" s="47"/>
      <c r="O294" s="47"/>
      <c r="P294" s="47"/>
      <c r="Q294" s="1800" t="str">
        <f>CHOOSE(2, "6722000003213", "PL (4) Net Sales MPM Solution")</f>
        <v>PL (4) Net Sales MPM Solution</v>
      </c>
      <c r="R294" s="1554">
        <v>0</v>
      </c>
      <c r="S294" s="1231">
        <v>0</v>
      </c>
      <c r="T294" s="1231">
        <v>0</v>
      </c>
      <c r="U294" s="1231">
        <v>0</v>
      </c>
      <c r="V294" s="1231">
        <v>0</v>
      </c>
      <c r="W294" s="1231">
        <v>0</v>
      </c>
      <c r="X294" s="1231">
        <v>0</v>
      </c>
      <c r="Y294" s="1231">
        <v>0</v>
      </c>
      <c r="Z294" s="1231">
        <v>0</v>
      </c>
      <c r="AA294" s="1231">
        <v>0</v>
      </c>
      <c r="AB294" s="1231">
        <v>0</v>
      </c>
      <c r="AC294" s="1231">
        <v>0</v>
      </c>
      <c r="AD294" s="1230">
        <f t="shared" si="471"/>
        <v>0</v>
      </c>
      <c r="AE294" s="1230">
        <f t="shared" si="472"/>
        <v>0</v>
      </c>
      <c r="AF294" s="1230">
        <f t="shared" si="473"/>
        <v>0</v>
      </c>
      <c r="AG294" s="1230">
        <f t="shared" si="474"/>
        <v>0</v>
      </c>
      <c r="AH294" s="1230">
        <f t="shared" si="475"/>
        <v>0</v>
      </c>
      <c r="AI294" s="1230">
        <f t="shared" si="476"/>
        <v>0</v>
      </c>
      <c r="AJ294" s="1230">
        <f t="shared" si="477"/>
        <v>0</v>
      </c>
      <c r="AL294" s="1257">
        <f ca="1">SUM((INDIRECT(AL$2&amp;(ROW())):INDIRECT(AL$3&amp;(ROW()))))</f>
        <v>0</v>
      </c>
      <c r="AM294" s="1230">
        <f ca="1">SUM(INDIRECT(AM$1&amp;AM$2&amp;$C294):INDIRECT(AM$1&amp;AM$3&amp;$C294))</f>
        <v>0</v>
      </c>
      <c r="AN294" s="3123">
        <f t="shared" ca="1" si="458"/>
        <v>0</v>
      </c>
      <c r="AO294" s="2775">
        <f t="shared" ca="1" si="459"/>
        <v>0</v>
      </c>
      <c r="AP294" s="1230">
        <f ca="1">SUM(INDIRECT(AP$1&amp;AP$2&amp;$A294):INDIRECT(AP$1&amp;AP$3&amp;$A294))+SUM(INDIRECT(AP$1&amp;AP$2&amp;$B294):INDIRECT(AP$1&amp;AP$3&amp;$B294))</f>
        <v>0</v>
      </c>
      <c r="AQ294" s="3123">
        <f t="shared" ca="1" si="460"/>
        <v>0</v>
      </c>
      <c r="AR294" s="2775">
        <f t="shared" ca="1" si="461"/>
        <v>0</v>
      </c>
      <c r="AT294" s="1257">
        <f ca="1">SUM((INDIRECT(AT$2&amp;(ROW())):INDIRECT(AT$3&amp;(ROW()))))</f>
        <v>0</v>
      </c>
      <c r="AU294" s="1230">
        <f ca="1">SUM(INDIRECT(AU$1&amp;AU$2&amp;$C294):INDIRECT(AU$1&amp;AU$3&amp;$C294))</f>
        <v>0</v>
      </c>
      <c r="AV294" s="3123">
        <f t="shared" ca="1" si="462"/>
        <v>0</v>
      </c>
      <c r="AW294" s="2775">
        <f t="shared" ca="1" si="463"/>
        <v>0</v>
      </c>
      <c r="AX294" s="1230">
        <f ca="1">SUM(INDIRECT(AX$1&amp;AX$2&amp;$A294):INDIRECT(AX$1&amp;AX$3&amp;$A294))+SUM(INDIRECT(AX$1&amp;AX$2&amp;$B294):INDIRECT(AX$1&amp;AX$3&amp;$B294))</f>
        <v>0</v>
      </c>
      <c r="AY294" s="3123">
        <f t="shared" ca="1" si="464"/>
        <v>0</v>
      </c>
      <c r="AZ294" s="2775">
        <f t="shared" ca="1" si="465"/>
        <v>0</v>
      </c>
      <c r="BB294" s="1257">
        <f ca="1">SUM((INDIRECT(BB$2&amp;(ROW())):INDIRECT(BB$3&amp;(ROW()))))</f>
        <v>0</v>
      </c>
      <c r="BC294" s="1230">
        <f ca="1">SUM(INDIRECT(BC$1&amp;BC$2&amp;$C294):INDIRECT(BC$1&amp;BC$3&amp;$C294))</f>
        <v>0</v>
      </c>
      <c r="BD294" s="3123">
        <f t="shared" ca="1" si="466"/>
        <v>0</v>
      </c>
      <c r="BE294" s="2775">
        <f t="shared" ca="1" si="467"/>
        <v>0</v>
      </c>
      <c r="BF294" s="1230">
        <f ca="1">SUM(INDIRECT(BF$1&amp;BF$2&amp;$A294):INDIRECT(BF$1&amp;BF$3&amp;$A294))+SUM(INDIRECT(BF$1&amp;BF$2&amp;$B294):INDIRECT(BF$1&amp;BF$3&amp;$B294))</f>
        <v>0</v>
      </c>
      <c r="BG294" s="3123">
        <f t="shared" ca="1" si="468"/>
        <v>0</v>
      </c>
      <c r="BH294" s="2775">
        <f t="shared" ca="1" si="469"/>
        <v>0</v>
      </c>
    </row>
    <row r="295" spans="1:60" ht="15" customHeight="1">
      <c r="A295" s="616">
        <f t="shared" si="449"/>
        <v>268</v>
      </c>
      <c r="B295" s="616">
        <v>1</v>
      </c>
      <c r="C295" s="616">
        <f t="shared" si="430"/>
        <v>292</v>
      </c>
      <c r="D295" s="709" t="s">
        <v>1308</v>
      </c>
      <c r="E295" s="2547">
        <v>1</v>
      </c>
      <c r="F295" s="4"/>
      <c r="G295" s="4"/>
      <c r="H295" s="4"/>
      <c r="I295" s="27"/>
      <c r="J295" s="3"/>
      <c r="K295" s="4"/>
      <c r="L295" s="301" t="s">
        <v>1416</v>
      </c>
      <c r="M295" s="301"/>
      <c r="N295" s="301"/>
      <c r="O295" s="301"/>
      <c r="P295" s="301"/>
      <c r="Q295" s="1799" t="str">
        <f>CHOOSE(2, "6722000003214", "PL (4) Net Sales ODP")</f>
        <v>PL (4) Net Sales ODP</v>
      </c>
      <c r="R295" s="1562">
        <f>SUM(R296:R299)</f>
        <v>0</v>
      </c>
      <c r="S295" s="1563">
        <f t="shared" ref="S295:AC295" si="478">SUM(S296:S299)</f>
        <v>0</v>
      </c>
      <c r="T295" s="1563">
        <f t="shared" si="478"/>
        <v>0</v>
      </c>
      <c r="U295" s="1563">
        <f t="shared" si="478"/>
        <v>0</v>
      </c>
      <c r="V295" s="1563">
        <f t="shared" si="478"/>
        <v>0</v>
      </c>
      <c r="W295" s="1563">
        <f t="shared" si="478"/>
        <v>0</v>
      </c>
      <c r="X295" s="1563">
        <f t="shared" si="478"/>
        <v>0</v>
      </c>
      <c r="Y295" s="1563">
        <f t="shared" si="478"/>
        <v>0</v>
      </c>
      <c r="Z295" s="1563">
        <f t="shared" si="478"/>
        <v>0</v>
      </c>
      <c r="AA295" s="1563">
        <f t="shared" si="478"/>
        <v>0</v>
      </c>
      <c r="AB295" s="1563">
        <f t="shared" si="478"/>
        <v>0</v>
      </c>
      <c r="AC295" s="1563">
        <f t="shared" si="478"/>
        <v>0</v>
      </c>
      <c r="AD295" s="1252">
        <f t="shared" si="471"/>
        <v>0</v>
      </c>
      <c r="AE295" s="1252">
        <f t="shared" si="472"/>
        <v>0</v>
      </c>
      <c r="AF295" s="1252">
        <f t="shared" si="473"/>
        <v>0</v>
      </c>
      <c r="AG295" s="1252">
        <f t="shared" si="474"/>
        <v>0</v>
      </c>
      <c r="AH295" s="1252">
        <f t="shared" si="475"/>
        <v>0</v>
      </c>
      <c r="AI295" s="1252">
        <f t="shared" si="476"/>
        <v>0</v>
      </c>
      <c r="AJ295" s="1252">
        <f t="shared" si="477"/>
        <v>0</v>
      </c>
      <c r="AL295" s="1308">
        <f ca="1">SUM((INDIRECT(AL$2&amp;(ROW())):INDIRECT(AL$3&amp;(ROW()))))</f>
        <v>0</v>
      </c>
      <c r="AM295" s="1252">
        <f ca="1">SUM(INDIRECT(AM$1&amp;AM$2&amp;$C295):INDIRECT(AM$1&amp;AM$3&amp;$C295))</f>
        <v>0</v>
      </c>
      <c r="AN295" s="3159">
        <f t="shared" ca="1" si="458"/>
        <v>0</v>
      </c>
      <c r="AO295" s="2806">
        <f t="shared" ca="1" si="459"/>
        <v>0</v>
      </c>
      <c r="AP295" s="1252">
        <f ca="1">SUM(INDIRECT(AP$1&amp;AP$2&amp;$A295):INDIRECT(AP$1&amp;AP$3&amp;$A295))+SUM(INDIRECT(AP$1&amp;AP$2&amp;$B295):INDIRECT(AP$1&amp;AP$3&amp;$B295))</f>
        <v>3704.6254925391677</v>
      </c>
      <c r="AQ295" s="3159">
        <f t="shared" ca="1" si="460"/>
        <v>-3704.6254925391677</v>
      </c>
      <c r="AR295" s="2806">
        <f t="shared" ca="1" si="461"/>
        <v>0</v>
      </c>
      <c r="AT295" s="1308">
        <f ca="1">SUM((INDIRECT(AT$2&amp;(ROW())):INDIRECT(AT$3&amp;(ROW()))))</f>
        <v>0</v>
      </c>
      <c r="AU295" s="1252">
        <f ca="1">SUM(INDIRECT(AU$1&amp;AU$2&amp;$C295):INDIRECT(AU$1&amp;AU$3&amp;$C295))</f>
        <v>0</v>
      </c>
      <c r="AV295" s="3159">
        <f t="shared" ca="1" si="462"/>
        <v>0</v>
      </c>
      <c r="AW295" s="2806">
        <f t="shared" ca="1" si="463"/>
        <v>0</v>
      </c>
      <c r="AX295" s="1252">
        <f ca="1">SUM(INDIRECT(AX$1&amp;AX$2&amp;$A295):INDIRECT(AX$1&amp;AX$3&amp;$A295))+SUM(INDIRECT(AX$1&amp;AX$2&amp;$B295):INDIRECT(AX$1&amp;AX$3&amp;$B295))</f>
        <v>9978.1467900803254</v>
      </c>
      <c r="AY295" s="3159">
        <f t="shared" ca="1" si="464"/>
        <v>-9978.1467900803254</v>
      </c>
      <c r="AZ295" s="2806">
        <f t="shared" ca="1" si="465"/>
        <v>0</v>
      </c>
      <c r="BB295" s="1308">
        <f ca="1">SUM((INDIRECT(BB$2&amp;(ROW())):INDIRECT(BB$3&amp;(ROW()))))</f>
        <v>0</v>
      </c>
      <c r="BC295" s="1252">
        <f ca="1">SUM(INDIRECT(BC$1&amp;BC$2&amp;$C295):INDIRECT(BC$1&amp;BC$3&amp;$C295))</f>
        <v>0</v>
      </c>
      <c r="BD295" s="3159">
        <f t="shared" ca="1" si="466"/>
        <v>0</v>
      </c>
      <c r="BE295" s="2806">
        <f t="shared" ca="1" si="467"/>
        <v>0</v>
      </c>
      <c r="BF295" s="1252">
        <f ca="1">SUM(INDIRECT(BF$1&amp;BF$2&amp;$A295):INDIRECT(BF$1&amp;BF$3&amp;$A295))+SUM(INDIRECT(BF$1&amp;BF$2&amp;$B295):INDIRECT(BF$1&amp;BF$3&amp;$B295))</f>
        <v>31019.381412358045</v>
      </c>
      <c r="BG295" s="3159">
        <f t="shared" ca="1" si="468"/>
        <v>-31019.381412358045</v>
      </c>
      <c r="BH295" s="2806">
        <f t="shared" ca="1" si="469"/>
        <v>0</v>
      </c>
    </row>
    <row r="296" spans="1:60" ht="15" customHeight="1">
      <c r="A296" s="616">
        <f t="shared" si="449"/>
        <v>269</v>
      </c>
      <c r="B296" s="616">
        <v>1</v>
      </c>
      <c r="C296" s="616">
        <f t="shared" si="430"/>
        <v>293</v>
      </c>
      <c r="D296" s="709" t="s">
        <v>1308</v>
      </c>
      <c r="E296" s="2547">
        <v>1</v>
      </c>
      <c r="F296" s="4"/>
      <c r="G296" s="4"/>
      <c r="H296" s="4"/>
      <c r="I296" s="27"/>
      <c r="J296" s="3"/>
      <c r="K296" s="4"/>
      <c r="L296" s="4"/>
      <c r="M296" s="3" t="s">
        <v>13</v>
      </c>
      <c r="N296" s="3"/>
      <c r="O296" s="3"/>
      <c r="P296" s="3"/>
      <c r="Q296" s="1800" t="str">
        <f>CHOOSE(2, "6722000003215", "PL (4) Net Sales ODP On Demand Printing")</f>
        <v>PL (4) Net Sales ODP On Demand Printing</v>
      </c>
      <c r="R296" s="1553">
        <v>0</v>
      </c>
      <c r="S296" s="1222">
        <v>0</v>
      </c>
      <c r="T296" s="1222">
        <v>0</v>
      </c>
      <c r="U296" s="1222">
        <v>0</v>
      </c>
      <c r="V296" s="1222">
        <v>0</v>
      </c>
      <c r="W296" s="1222">
        <v>0</v>
      </c>
      <c r="X296" s="1222">
        <v>0</v>
      </c>
      <c r="Y296" s="1222">
        <v>0</v>
      </c>
      <c r="Z296" s="1222">
        <v>0</v>
      </c>
      <c r="AA296" s="1222">
        <v>0</v>
      </c>
      <c r="AB296" s="1222">
        <v>0</v>
      </c>
      <c r="AC296" s="1222">
        <v>0</v>
      </c>
      <c r="AD296" s="1221">
        <f t="shared" si="471"/>
        <v>0</v>
      </c>
      <c r="AE296" s="1221">
        <f t="shared" si="472"/>
        <v>0</v>
      </c>
      <c r="AF296" s="1221">
        <f t="shared" si="473"/>
        <v>0</v>
      </c>
      <c r="AG296" s="1221">
        <f t="shared" si="474"/>
        <v>0</v>
      </c>
      <c r="AH296" s="1221">
        <f t="shared" si="475"/>
        <v>0</v>
      </c>
      <c r="AI296" s="1221">
        <f t="shared" si="476"/>
        <v>0</v>
      </c>
      <c r="AJ296" s="1221">
        <f t="shared" si="477"/>
        <v>0</v>
      </c>
      <c r="AL296" s="1214">
        <f ca="1">SUM((INDIRECT(AL$2&amp;(ROW())):INDIRECT(AL$3&amp;(ROW()))))</f>
        <v>0</v>
      </c>
      <c r="AM296" s="1221">
        <f ca="1">SUM(INDIRECT(AM$1&amp;AM$2&amp;$C296):INDIRECT(AM$1&amp;AM$3&amp;$C296))</f>
        <v>0</v>
      </c>
      <c r="AN296" s="3119">
        <f t="shared" ca="1" si="458"/>
        <v>0</v>
      </c>
      <c r="AO296" s="2768">
        <f t="shared" ca="1" si="459"/>
        <v>0</v>
      </c>
      <c r="AP296" s="1221">
        <f ca="1">SUM(INDIRECT(AP$1&amp;AP$2&amp;$A296):INDIRECT(AP$1&amp;AP$3&amp;$A296))+SUM(INDIRECT(AP$1&amp;AP$2&amp;$B296):INDIRECT(AP$1&amp;AP$3&amp;$B296))</f>
        <v>1648.2257486920998</v>
      </c>
      <c r="AQ296" s="3119">
        <f t="shared" ca="1" si="460"/>
        <v>-1648.2257486920998</v>
      </c>
      <c r="AR296" s="2768">
        <f t="shared" ca="1" si="461"/>
        <v>0</v>
      </c>
      <c r="AT296" s="1214">
        <f ca="1">SUM((INDIRECT(AT$2&amp;(ROW())):INDIRECT(AT$3&amp;(ROW()))))</f>
        <v>0</v>
      </c>
      <c r="AU296" s="1221">
        <f ca="1">SUM(INDIRECT(AU$1&amp;AU$2&amp;$C296):INDIRECT(AU$1&amp;AU$3&amp;$C296))</f>
        <v>0</v>
      </c>
      <c r="AV296" s="3119">
        <f t="shared" ca="1" si="462"/>
        <v>0</v>
      </c>
      <c r="AW296" s="2768">
        <f t="shared" ca="1" si="463"/>
        <v>0</v>
      </c>
      <c r="AX296" s="1221">
        <f ca="1">SUM(INDIRECT(AX$1&amp;AX$2&amp;$A296):INDIRECT(AX$1&amp;AX$3&amp;$A296))+SUM(INDIRECT(AX$1&amp;AX$2&amp;$B296):INDIRECT(AX$1&amp;AX$3&amp;$B296))</f>
        <v>3187.0550555883492</v>
      </c>
      <c r="AY296" s="3119">
        <f t="shared" ca="1" si="464"/>
        <v>-3187.0550555883492</v>
      </c>
      <c r="AZ296" s="2768">
        <f t="shared" ca="1" si="465"/>
        <v>0</v>
      </c>
      <c r="BB296" s="1214">
        <f ca="1">SUM((INDIRECT(BB$2&amp;(ROW())):INDIRECT(BB$3&amp;(ROW()))))</f>
        <v>0</v>
      </c>
      <c r="BC296" s="1221">
        <f ca="1">SUM(INDIRECT(BC$1&amp;BC$2&amp;$C296):INDIRECT(BC$1&amp;BC$3&amp;$C296))</f>
        <v>0</v>
      </c>
      <c r="BD296" s="3119">
        <f t="shared" ca="1" si="466"/>
        <v>0</v>
      </c>
      <c r="BE296" s="2768">
        <f t="shared" ca="1" si="467"/>
        <v>0</v>
      </c>
      <c r="BF296" s="1221">
        <f ca="1">SUM(INDIRECT(BF$1&amp;BF$2&amp;$A296):INDIRECT(BF$1&amp;BF$3&amp;$A296))+SUM(INDIRECT(BF$1&amp;BF$2&amp;$B296):INDIRECT(BF$1&amp;BF$3&amp;$B296))</f>
        <v>5429.7306432042806</v>
      </c>
      <c r="BG296" s="3119">
        <f t="shared" ca="1" si="468"/>
        <v>-5429.7306432042806</v>
      </c>
      <c r="BH296" s="2768">
        <f t="shared" ca="1" si="469"/>
        <v>0</v>
      </c>
    </row>
    <row r="297" spans="1:60" ht="15" customHeight="1">
      <c r="A297" s="616">
        <f t="shared" si="449"/>
        <v>270</v>
      </c>
      <c r="B297" s="616">
        <v>1</v>
      </c>
      <c r="C297" s="616">
        <f t="shared" si="430"/>
        <v>294</v>
      </c>
      <c r="D297" s="709" t="s">
        <v>1308</v>
      </c>
      <c r="E297" s="2547">
        <v>1</v>
      </c>
      <c r="F297" s="330"/>
      <c r="G297" s="244"/>
      <c r="H297" s="4"/>
      <c r="I297" s="27"/>
      <c r="J297" s="3"/>
      <c r="K297" s="4"/>
      <c r="L297" s="4"/>
      <c r="M297" s="3" t="s">
        <v>374</v>
      </c>
      <c r="N297" s="3"/>
      <c r="O297" s="3"/>
      <c r="P297" s="3"/>
      <c r="Q297" s="1800" t="str">
        <f>CHOOSE(2, "6722000003216", "PL (4) Net Sales ODP Marketing Service")</f>
        <v>PL (4) Net Sales ODP Marketing Service</v>
      </c>
      <c r="R297" s="1553">
        <v>0</v>
      </c>
      <c r="S297" s="1222">
        <v>0</v>
      </c>
      <c r="T297" s="1222">
        <v>0</v>
      </c>
      <c r="U297" s="1222">
        <v>0</v>
      </c>
      <c r="V297" s="1222">
        <v>0</v>
      </c>
      <c r="W297" s="1222">
        <v>0</v>
      </c>
      <c r="X297" s="1222">
        <v>0</v>
      </c>
      <c r="Y297" s="1222">
        <v>0</v>
      </c>
      <c r="Z297" s="1222">
        <v>0</v>
      </c>
      <c r="AA297" s="1222">
        <v>0</v>
      </c>
      <c r="AB297" s="1222">
        <v>0</v>
      </c>
      <c r="AC297" s="1222">
        <v>0</v>
      </c>
      <c r="AD297" s="1221">
        <f t="shared" si="471"/>
        <v>0</v>
      </c>
      <c r="AE297" s="1221">
        <f t="shared" si="472"/>
        <v>0</v>
      </c>
      <c r="AF297" s="1221">
        <f t="shared" si="473"/>
        <v>0</v>
      </c>
      <c r="AG297" s="1221">
        <f t="shared" si="474"/>
        <v>0</v>
      </c>
      <c r="AH297" s="1221">
        <f t="shared" si="475"/>
        <v>0</v>
      </c>
      <c r="AI297" s="1221">
        <f t="shared" si="476"/>
        <v>0</v>
      </c>
      <c r="AJ297" s="1221">
        <f t="shared" si="477"/>
        <v>0</v>
      </c>
      <c r="AL297" s="1214">
        <f ca="1">SUM((INDIRECT(AL$2&amp;(ROW())):INDIRECT(AL$3&amp;(ROW()))))</f>
        <v>0</v>
      </c>
      <c r="AM297" s="1221">
        <f ca="1">SUM(INDIRECT(AM$1&amp;AM$2&amp;$C297):INDIRECT(AM$1&amp;AM$3&amp;$C297))</f>
        <v>0</v>
      </c>
      <c r="AN297" s="3119">
        <f t="shared" ca="1" si="458"/>
        <v>0</v>
      </c>
      <c r="AO297" s="2768">
        <f t="shared" ca="1" si="459"/>
        <v>0</v>
      </c>
      <c r="AP297" s="1221">
        <f ca="1">SUM(INDIRECT(AP$1&amp;AP$2&amp;$A297):INDIRECT(AP$1&amp;AP$3&amp;$A297))+SUM(INDIRECT(AP$1&amp;AP$2&amp;$B297):INDIRECT(AP$1&amp;AP$3&amp;$B297))</f>
        <v>1492.5247886308562</v>
      </c>
      <c r="AQ297" s="3119">
        <f t="shared" ca="1" si="460"/>
        <v>-1492.5247886308562</v>
      </c>
      <c r="AR297" s="2768">
        <f t="shared" ca="1" si="461"/>
        <v>0</v>
      </c>
      <c r="AT297" s="1214">
        <f ca="1">SUM((INDIRECT(AT$2&amp;(ROW())):INDIRECT(AT$3&amp;(ROW()))))</f>
        <v>0</v>
      </c>
      <c r="AU297" s="1221">
        <f ca="1">SUM(INDIRECT(AU$1&amp;AU$2&amp;$C297):INDIRECT(AU$1&amp;AU$3&amp;$C297))</f>
        <v>0</v>
      </c>
      <c r="AV297" s="3119">
        <f t="shared" ca="1" si="462"/>
        <v>0</v>
      </c>
      <c r="AW297" s="2768">
        <f t="shared" ca="1" si="463"/>
        <v>0</v>
      </c>
      <c r="AX297" s="1221">
        <f ca="1">SUM(INDIRECT(AX$1&amp;AX$2&amp;$A297):INDIRECT(AX$1&amp;AX$3&amp;$A297))+SUM(INDIRECT(AX$1&amp;AX$2&amp;$B297):INDIRECT(AX$1&amp;AX$3&amp;$B297))</f>
        <v>5100.7906341132393</v>
      </c>
      <c r="AY297" s="3119">
        <f t="shared" ca="1" si="464"/>
        <v>-5100.7906341132393</v>
      </c>
      <c r="AZ297" s="2768">
        <f t="shared" ca="1" si="465"/>
        <v>0</v>
      </c>
      <c r="BB297" s="1214">
        <f ca="1">SUM((INDIRECT(BB$2&amp;(ROW())):INDIRECT(BB$3&amp;(ROW()))))</f>
        <v>0</v>
      </c>
      <c r="BC297" s="1221">
        <f ca="1">SUM(INDIRECT(BC$1&amp;BC$2&amp;$C297):INDIRECT(BC$1&amp;BC$3&amp;$C297))</f>
        <v>0</v>
      </c>
      <c r="BD297" s="3119">
        <f t="shared" ca="1" si="466"/>
        <v>0</v>
      </c>
      <c r="BE297" s="2768">
        <f t="shared" ca="1" si="467"/>
        <v>0</v>
      </c>
      <c r="BF297" s="1221">
        <f ca="1">SUM(INDIRECT(BF$1&amp;BF$2&amp;$A297):INDIRECT(BF$1&amp;BF$3&amp;$A297))+SUM(INDIRECT(BF$1&amp;BF$2&amp;$B297):INDIRECT(BF$1&amp;BF$3&amp;$B297))</f>
        <v>19268.86972340132</v>
      </c>
      <c r="BG297" s="3119">
        <f t="shared" ca="1" si="468"/>
        <v>-19268.86972340132</v>
      </c>
      <c r="BH297" s="2768">
        <f t="shared" ca="1" si="469"/>
        <v>0</v>
      </c>
    </row>
    <row r="298" spans="1:60" ht="15" customHeight="1">
      <c r="A298" s="616">
        <f t="shared" si="449"/>
        <v>271</v>
      </c>
      <c r="B298" s="616">
        <v>1</v>
      </c>
      <c r="C298" s="616">
        <f t="shared" si="430"/>
        <v>295</v>
      </c>
      <c r="D298" s="709" t="s">
        <v>1308</v>
      </c>
      <c r="E298" s="2547">
        <v>1</v>
      </c>
      <c r="F298" s="330"/>
      <c r="G298" s="244"/>
      <c r="H298" s="4"/>
      <c r="I298" s="27"/>
      <c r="J298" s="3"/>
      <c r="K298" s="4"/>
      <c r="L298" s="4"/>
      <c r="M298" s="3" t="s">
        <v>375</v>
      </c>
      <c r="N298" s="3"/>
      <c r="O298" s="3"/>
      <c r="P298" s="3"/>
      <c r="Q298" s="1800" t="str">
        <f>CHOOSE(2, "6722000003217", "PL (4) Net Sales ODP Digital Solution")</f>
        <v>PL (4) Net Sales ODP Digital Solution</v>
      </c>
      <c r="R298" s="1553">
        <v>0</v>
      </c>
      <c r="S298" s="1222">
        <v>0</v>
      </c>
      <c r="T298" s="1222">
        <v>0</v>
      </c>
      <c r="U298" s="1222">
        <v>0</v>
      </c>
      <c r="V298" s="1222">
        <v>0</v>
      </c>
      <c r="W298" s="1222">
        <v>0</v>
      </c>
      <c r="X298" s="1222">
        <v>0</v>
      </c>
      <c r="Y298" s="1222">
        <v>0</v>
      </c>
      <c r="Z298" s="1222">
        <v>0</v>
      </c>
      <c r="AA298" s="1222">
        <v>0</v>
      </c>
      <c r="AB298" s="1222">
        <v>0</v>
      </c>
      <c r="AC298" s="1222">
        <v>0</v>
      </c>
      <c r="AD298" s="1221">
        <f t="shared" si="471"/>
        <v>0</v>
      </c>
      <c r="AE298" s="1221">
        <f t="shared" si="472"/>
        <v>0</v>
      </c>
      <c r="AF298" s="1221">
        <f t="shared" si="473"/>
        <v>0</v>
      </c>
      <c r="AG298" s="1221">
        <f t="shared" si="474"/>
        <v>0</v>
      </c>
      <c r="AH298" s="1221">
        <f t="shared" si="475"/>
        <v>0</v>
      </c>
      <c r="AI298" s="1221">
        <f t="shared" si="476"/>
        <v>0</v>
      </c>
      <c r="AJ298" s="1221">
        <f t="shared" si="477"/>
        <v>0</v>
      </c>
      <c r="AL298" s="1214">
        <f ca="1">SUM((INDIRECT(AL$2&amp;(ROW())):INDIRECT(AL$3&amp;(ROW()))))</f>
        <v>0</v>
      </c>
      <c r="AM298" s="1221">
        <f ca="1">SUM(INDIRECT(AM$1&amp;AM$2&amp;$C298):INDIRECT(AM$1&amp;AM$3&amp;$C298))</f>
        <v>0</v>
      </c>
      <c r="AN298" s="3119">
        <f t="shared" ca="1" si="458"/>
        <v>0</v>
      </c>
      <c r="AO298" s="2768">
        <f t="shared" ca="1" si="459"/>
        <v>0</v>
      </c>
      <c r="AP298" s="1221">
        <f ca="1">SUM(INDIRECT(AP$1&amp;AP$2&amp;$A298):INDIRECT(AP$1&amp;AP$3&amp;$A298))+SUM(INDIRECT(AP$1&amp;AP$2&amp;$B298):INDIRECT(AP$1&amp;AP$3&amp;$B298))</f>
        <v>563.87495521621145</v>
      </c>
      <c r="AQ298" s="3119">
        <f t="shared" ca="1" si="460"/>
        <v>-563.87495521621145</v>
      </c>
      <c r="AR298" s="2768">
        <f t="shared" ca="1" si="461"/>
        <v>0</v>
      </c>
      <c r="AT298" s="1214">
        <f ca="1">SUM((INDIRECT(AT$2&amp;(ROW())):INDIRECT(AT$3&amp;(ROW()))))</f>
        <v>0</v>
      </c>
      <c r="AU298" s="1221">
        <f ca="1">SUM(INDIRECT(AU$1&amp;AU$2&amp;$C298):INDIRECT(AU$1&amp;AU$3&amp;$C298))</f>
        <v>0</v>
      </c>
      <c r="AV298" s="3119">
        <f t="shared" ca="1" si="462"/>
        <v>0</v>
      </c>
      <c r="AW298" s="2768">
        <f t="shared" ca="1" si="463"/>
        <v>0</v>
      </c>
      <c r="AX298" s="1221">
        <f ca="1">SUM(INDIRECT(AX$1&amp;AX$2&amp;$A298):INDIRECT(AX$1&amp;AX$3&amp;$A298))+SUM(INDIRECT(AX$1&amp;AX$2&amp;$B298):INDIRECT(AX$1&amp;AX$3&amp;$B298))</f>
        <v>1690.3011003787371</v>
      </c>
      <c r="AY298" s="3119">
        <f t="shared" ca="1" si="464"/>
        <v>-1690.3011003787371</v>
      </c>
      <c r="AZ298" s="2768">
        <f t="shared" ca="1" si="465"/>
        <v>0</v>
      </c>
      <c r="BB298" s="1214">
        <f ca="1">SUM((INDIRECT(BB$2&amp;(ROW())):INDIRECT(BB$3&amp;(ROW()))))</f>
        <v>0</v>
      </c>
      <c r="BC298" s="1221">
        <f ca="1">SUM(INDIRECT(BC$1&amp;BC$2&amp;$C298):INDIRECT(BC$1&amp;BC$3&amp;$C298))</f>
        <v>0</v>
      </c>
      <c r="BD298" s="3119">
        <f t="shared" ca="1" si="466"/>
        <v>0</v>
      </c>
      <c r="BE298" s="2768">
        <f t="shared" ca="1" si="467"/>
        <v>0</v>
      </c>
      <c r="BF298" s="1221">
        <f ca="1">SUM(INDIRECT(BF$1&amp;BF$2&amp;$A298):INDIRECT(BF$1&amp;BF$3&amp;$A298))+SUM(INDIRECT(BF$1&amp;BF$2&amp;$B298):INDIRECT(BF$1&amp;BF$3&amp;$B298))</f>
        <v>6320.7810457524438</v>
      </c>
      <c r="BG298" s="3119">
        <f t="shared" ca="1" si="468"/>
        <v>-6320.7810457524438</v>
      </c>
      <c r="BH298" s="2768">
        <f t="shared" ca="1" si="469"/>
        <v>0</v>
      </c>
    </row>
    <row r="299" spans="1:60" ht="15" customHeight="1">
      <c r="A299" s="616">
        <f t="shared" si="449"/>
        <v>272</v>
      </c>
      <c r="B299" s="616">
        <v>1</v>
      </c>
      <c r="C299" s="616">
        <f t="shared" si="430"/>
        <v>296</v>
      </c>
      <c r="D299" s="709" t="s">
        <v>1308</v>
      </c>
      <c r="E299" s="2547">
        <v>1</v>
      </c>
      <c r="F299" s="330"/>
      <c r="G299" s="244"/>
      <c r="H299" s="4"/>
      <c r="I299" s="27"/>
      <c r="J299" s="3"/>
      <c r="K299" s="4"/>
      <c r="L299" s="4"/>
      <c r="M299" s="3" t="s">
        <v>376</v>
      </c>
      <c r="N299" s="3"/>
      <c r="O299" s="3"/>
      <c r="P299" s="3"/>
      <c r="Q299" s="1800" t="str">
        <f>CHOOSE(2, "6722000003218", "PL (4) Net Sales ODP ODP New Business")</f>
        <v>PL (4) Net Sales ODP ODP New Business</v>
      </c>
      <c r="R299" s="1553">
        <v>0</v>
      </c>
      <c r="S299" s="1222">
        <v>0</v>
      </c>
      <c r="T299" s="1222">
        <v>0</v>
      </c>
      <c r="U299" s="1222">
        <v>0</v>
      </c>
      <c r="V299" s="1222">
        <v>0</v>
      </c>
      <c r="W299" s="1222">
        <v>0</v>
      </c>
      <c r="X299" s="1222">
        <v>0</v>
      </c>
      <c r="Y299" s="1222">
        <v>0</v>
      </c>
      <c r="Z299" s="1222">
        <v>0</v>
      </c>
      <c r="AA299" s="1222">
        <v>0</v>
      </c>
      <c r="AB299" s="1222">
        <v>0</v>
      </c>
      <c r="AC299" s="1222">
        <v>0</v>
      </c>
      <c r="AD299" s="1221">
        <f t="shared" si="471"/>
        <v>0</v>
      </c>
      <c r="AE299" s="1221">
        <f t="shared" si="472"/>
        <v>0</v>
      </c>
      <c r="AF299" s="1221">
        <f t="shared" si="473"/>
        <v>0</v>
      </c>
      <c r="AG299" s="1221">
        <f t="shared" si="474"/>
        <v>0</v>
      </c>
      <c r="AH299" s="1221">
        <f t="shared" si="475"/>
        <v>0</v>
      </c>
      <c r="AI299" s="1221">
        <f t="shared" si="476"/>
        <v>0</v>
      </c>
      <c r="AJ299" s="1221">
        <f t="shared" si="477"/>
        <v>0</v>
      </c>
      <c r="AL299" s="1214">
        <f ca="1">SUM((INDIRECT(AL$2&amp;(ROW())):INDIRECT(AL$3&amp;(ROW()))))</f>
        <v>0</v>
      </c>
      <c r="AM299" s="1221">
        <f ca="1">SUM(INDIRECT(AM$1&amp;AM$2&amp;$C299):INDIRECT(AM$1&amp;AM$3&amp;$C299))</f>
        <v>0</v>
      </c>
      <c r="AN299" s="3119">
        <f t="shared" ca="1" si="458"/>
        <v>0</v>
      </c>
      <c r="AO299" s="2768">
        <f t="shared" ca="1" si="459"/>
        <v>0</v>
      </c>
      <c r="AP299" s="1221">
        <f ca="1">SUM(INDIRECT(AP$1&amp;AP$2&amp;$A299):INDIRECT(AP$1&amp;AP$3&amp;$A299))+SUM(INDIRECT(AP$1&amp;AP$2&amp;$B299):INDIRECT(AP$1&amp;AP$3&amp;$B299))</f>
        <v>-3068.5862325391677</v>
      </c>
      <c r="AQ299" s="3119">
        <f t="shared" ca="1" si="460"/>
        <v>3068.5862325391677</v>
      </c>
      <c r="AR299" s="2768">
        <f t="shared" ca="1" si="461"/>
        <v>0</v>
      </c>
      <c r="AT299" s="1214">
        <f ca="1">SUM((INDIRECT(AT$2&amp;(ROW())):INDIRECT(AT$3&amp;(ROW()))))</f>
        <v>0</v>
      </c>
      <c r="AU299" s="1221">
        <f ca="1">SUM(INDIRECT(AU$1&amp;AU$2&amp;$C299):INDIRECT(AU$1&amp;AU$3&amp;$C299))</f>
        <v>0</v>
      </c>
      <c r="AV299" s="3119">
        <f t="shared" ca="1" si="462"/>
        <v>0</v>
      </c>
      <c r="AW299" s="2768">
        <f t="shared" ca="1" si="463"/>
        <v>0</v>
      </c>
      <c r="AX299" s="1221">
        <f ca="1">SUM(INDIRECT(AX$1&amp;AX$2&amp;$A299):INDIRECT(AX$1&amp;AX$3&amp;$A299))+SUM(INDIRECT(AX$1&amp;AX$2&amp;$B299):INDIRECT(AX$1&amp;AX$3&amp;$B299))</f>
        <v>-11650.107530080328</v>
      </c>
      <c r="AY299" s="3119">
        <f t="shared" ca="1" si="464"/>
        <v>11650.107530080328</v>
      </c>
      <c r="AZ299" s="2768">
        <f t="shared" ca="1" si="465"/>
        <v>0</v>
      </c>
      <c r="BB299" s="1214">
        <f ca="1">SUM((INDIRECT(BB$2&amp;(ROW())):INDIRECT(BB$3&amp;(ROW()))))</f>
        <v>0</v>
      </c>
      <c r="BC299" s="1221">
        <f ca="1">SUM(INDIRECT(BC$1&amp;BC$2&amp;$C299):INDIRECT(BC$1&amp;BC$3&amp;$C299))</f>
        <v>0</v>
      </c>
      <c r="BD299" s="3119">
        <f t="shared" ca="1" si="466"/>
        <v>0</v>
      </c>
      <c r="BE299" s="2768">
        <f t="shared" ca="1" si="467"/>
        <v>0</v>
      </c>
      <c r="BF299" s="1221">
        <f ca="1">SUM(INDIRECT(BF$1&amp;BF$2&amp;$A299):INDIRECT(BF$1&amp;BF$3&amp;$A299))+SUM(INDIRECT(BF$1&amp;BF$2&amp;$B299):INDIRECT(BF$1&amp;BF$3&amp;$B299))</f>
        <v>-12758.785439085777</v>
      </c>
      <c r="BG299" s="3119">
        <f t="shared" ca="1" si="468"/>
        <v>12758.785439085777</v>
      </c>
      <c r="BH299" s="2768">
        <f t="shared" ca="1" si="469"/>
        <v>0</v>
      </c>
    </row>
    <row r="300" spans="1:60" ht="14.5">
      <c r="A300" s="616">
        <f t="shared" si="449"/>
        <v>273</v>
      </c>
      <c r="B300" s="616">
        <v>1</v>
      </c>
      <c r="C300" s="616">
        <f t="shared" si="430"/>
        <v>297</v>
      </c>
      <c r="D300" s="709" t="s">
        <v>1308</v>
      </c>
      <c r="E300" s="2547">
        <v>1</v>
      </c>
      <c r="F300" s="4"/>
      <c r="G300" s="4"/>
      <c r="H300" s="4"/>
      <c r="I300" s="3162" t="s">
        <v>48</v>
      </c>
      <c r="J300" s="595"/>
      <c r="K300" s="867"/>
      <c r="L300" s="867"/>
      <c r="M300" s="595"/>
      <c r="N300" s="595"/>
      <c r="O300" s="2047" t="s">
        <v>304</v>
      </c>
      <c r="P300" s="595"/>
      <c r="Q300" s="1798" t="str">
        <f>CHOOSE(2, "6722000003219", "PL (4) BT Cons. Sales")</f>
        <v>PL (4) BT Cons. Sales</v>
      </c>
      <c r="R300" s="1560">
        <f>SUM(R301,R305)</f>
        <v>0</v>
      </c>
      <c r="S300" s="3163">
        <f t="shared" ref="S300:AJ300" si="479">SUM(S301,S305)</f>
        <v>0</v>
      </c>
      <c r="T300" s="3163">
        <f t="shared" si="479"/>
        <v>0</v>
      </c>
      <c r="U300" s="3163">
        <f t="shared" si="479"/>
        <v>0</v>
      </c>
      <c r="V300" s="3163">
        <f t="shared" si="479"/>
        <v>0</v>
      </c>
      <c r="W300" s="3163">
        <f t="shared" si="479"/>
        <v>0</v>
      </c>
      <c r="X300" s="3163">
        <f t="shared" si="479"/>
        <v>0</v>
      </c>
      <c r="Y300" s="3163">
        <f t="shared" si="479"/>
        <v>0</v>
      </c>
      <c r="Z300" s="3163">
        <f t="shared" si="479"/>
        <v>0</v>
      </c>
      <c r="AA300" s="3163">
        <f t="shared" si="479"/>
        <v>0</v>
      </c>
      <c r="AB300" s="3163">
        <f t="shared" si="479"/>
        <v>0</v>
      </c>
      <c r="AC300" s="3163">
        <f t="shared" si="479"/>
        <v>0</v>
      </c>
      <c r="AD300" s="3164">
        <f t="shared" si="479"/>
        <v>0</v>
      </c>
      <c r="AE300" s="3164">
        <f t="shared" si="479"/>
        <v>0</v>
      </c>
      <c r="AF300" s="3164">
        <f t="shared" si="479"/>
        <v>0</v>
      </c>
      <c r="AG300" s="3164">
        <f t="shared" si="479"/>
        <v>0</v>
      </c>
      <c r="AH300" s="3164">
        <f t="shared" si="479"/>
        <v>0</v>
      </c>
      <c r="AI300" s="3164">
        <f t="shared" si="479"/>
        <v>0</v>
      </c>
      <c r="AJ300" s="3164">
        <f t="shared" si="479"/>
        <v>0</v>
      </c>
      <c r="AL300" s="1314">
        <f ca="1">SUM((INDIRECT(AL$2&amp;(ROW())):INDIRECT(AL$3&amp;(ROW()))))</f>
        <v>0</v>
      </c>
      <c r="AM300" s="3164">
        <f ca="1">SUM(INDIRECT(AM$1&amp;AM$2&amp;$C300):INDIRECT(AM$1&amp;AM$3&amp;$C300))</f>
        <v>0</v>
      </c>
      <c r="AN300" s="3165">
        <f t="shared" ca="1" si="458"/>
        <v>0</v>
      </c>
      <c r="AO300" s="3166">
        <f t="shared" ca="1" si="459"/>
        <v>0</v>
      </c>
      <c r="AP300" s="3164">
        <f ca="1">SUM(INDIRECT(AP$1&amp;AP$2&amp;$A300):INDIRECT(AP$1&amp;AP$3&amp;$A300))+SUM(INDIRECT(AP$1&amp;AP$2&amp;$B300):INDIRECT(AP$1&amp;AP$3&amp;$B300))</f>
        <v>-0.35750841318715965</v>
      </c>
      <c r="AQ300" s="3165">
        <f t="shared" ca="1" si="460"/>
        <v>0.35750841318715965</v>
      </c>
      <c r="AR300" s="3166">
        <f t="shared" ca="1" si="461"/>
        <v>0</v>
      </c>
      <c r="AT300" s="1314">
        <f ca="1">SUM((INDIRECT(AT$2&amp;(ROW())):INDIRECT(AT$3&amp;(ROW()))))</f>
        <v>0</v>
      </c>
      <c r="AU300" s="3164">
        <f ca="1">SUM(INDIRECT(AU$1&amp;AU$2&amp;$C300):INDIRECT(AU$1&amp;AU$3&amp;$C300))</f>
        <v>0</v>
      </c>
      <c r="AV300" s="3165">
        <f t="shared" ca="1" si="462"/>
        <v>0</v>
      </c>
      <c r="AW300" s="3166">
        <f t="shared" ca="1" si="463"/>
        <v>0</v>
      </c>
      <c r="AX300" s="3164">
        <f ca="1">SUM(INDIRECT(AX$1&amp;AX$2&amp;$A300):INDIRECT(AX$1&amp;AX$3&amp;$A300))+SUM(INDIRECT(AX$1&amp;AX$2&amp;$B300):INDIRECT(AX$1&amp;AX$3&amp;$B300))</f>
        <v>-1.7738787395372064</v>
      </c>
      <c r="AY300" s="3165">
        <f t="shared" ca="1" si="464"/>
        <v>1.7738787395372064</v>
      </c>
      <c r="AZ300" s="3166">
        <f t="shared" ca="1" si="465"/>
        <v>0</v>
      </c>
      <c r="BB300" s="1314">
        <f ca="1">SUM((INDIRECT(BB$2&amp;(ROW())):INDIRECT(BB$3&amp;(ROW()))))</f>
        <v>0</v>
      </c>
      <c r="BC300" s="3164">
        <f ca="1">SUM(INDIRECT(BC$1&amp;BC$2&amp;$C300):INDIRECT(BC$1&amp;BC$3&amp;$C300))</f>
        <v>0</v>
      </c>
      <c r="BD300" s="3165">
        <f t="shared" ca="1" si="466"/>
        <v>0</v>
      </c>
      <c r="BE300" s="3166">
        <f t="shared" ca="1" si="467"/>
        <v>0</v>
      </c>
      <c r="BF300" s="3164">
        <f ca="1">SUM(INDIRECT(BF$1&amp;BF$2&amp;$A300):INDIRECT(BF$1&amp;BF$3&amp;$A300))+SUM(INDIRECT(BF$1&amp;BF$2&amp;$B300):INDIRECT(BF$1&amp;BF$3&amp;$B300))</f>
        <v>-2.5699590058644981</v>
      </c>
      <c r="BG300" s="3165">
        <f t="shared" ca="1" si="468"/>
        <v>2.5699590058644981</v>
      </c>
      <c r="BH300" s="3166">
        <f t="shared" ca="1" si="469"/>
        <v>0</v>
      </c>
    </row>
    <row r="301" spans="1:60" ht="14.5">
      <c r="A301" s="616">
        <f t="shared" si="449"/>
        <v>274</v>
      </c>
      <c r="B301" s="616">
        <v>1</v>
      </c>
      <c r="C301" s="616">
        <f t="shared" si="430"/>
        <v>298</v>
      </c>
      <c r="D301" s="709" t="s">
        <v>1308</v>
      </c>
      <c r="E301" s="2547">
        <v>1</v>
      </c>
      <c r="F301" s="4"/>
      <c r="G301" s="4"/>
      <c r="H301" s="4"/>
      <c r="I301" s="27"/>
      <c r="J301" s="3"/>
      <c r="K301" s="4"/>
      <c r="L301" s="301" t="s">
        <v>1413</v>
      </c>
      <c r="M301" s="301"/>
      <c r="N301" s="301"/>
      <c r="O301" s="301"/>
      <c r="P301" s="301"/>
      <c r="Q301" s="1799" t="str">
        <f>CHOOSE(2, "6722000003220", "PL (4) BT Cons. Sales MPM")</f>
        <v>PL (4) BT Cons. Sales MPM</v>
      </c>
      <c r="R301" s="1562">
        <f>SUM(R302:R304)</f>
        <v>0</v>
      </c>
      <c r="S301" s="1563">
        <f t="shared" ref="S301:AC301" si="480">SUM(S302:S304)</f>
        <v>0</v>
      </c>
      <c r="T301" s="1563">
        <f t="shared" si="480"/>
        <v>0</v>
      </c>
      <c r="U301" s="1563">
        <f t="shared" si="480"/>
        <v>0</v>
      </c>
      <c r="V301" s="1563">
        <f t="shared" si="480"/>
        <v>0</v>
      </c>
      <c r="W301" s="1563">
        <f t="shared" si="480"/>
        <v>0</v>
      </c>
      <c r="X301" s="1563">
        <f t="shared" si="480"/>
        <v>0</v>
      </c>
      <c r="Y301" s="1563">
        <f t="shared" si="480"/>
        <v>0</v>
      </c>
      <c r="Z301" s="1563">
        <f t="shared" si="480"/>
        <v>0</v>
      </c>
      <c r="AA301" s="1563">
        <f t="shared" si="480"/>
        <v>0</v>
      </c>
      <c r="AB301" s="1563">
        <f t="shared" si="480"/>
        <v>0</v>
      </c>
      <c r="AC301" s="1563">
        <f t="shared" si="480"/>
        <v>0</v>
      </c>
      <c r="AD301" s="1252">
        <f t="shared" ref="AD301:AD309" si="481">SUM(R301,S301,T301)</f>
        <v>0</v>
      </c>
      <c r="AE301" s="1252">
        <f t="shared" ref="AE301:AE309" si="482">SUM(U301,V301,W301)</f>
        <v>0</v>
      </c>
      <c r="AF301" s="1252">
        <f t="shared" ref="AF301:AF309" si="483">SUM(X301,Y301,Z301)</f>
        <v>0</v>
      </c>
      <c r="AG301" s="1252">
        <f t="shared" ref="AG301:AG309" si="484">SUM(AA301,AB301,AC301)</f>
        <v>0</v>
      </c>
      <c r="AH301" s="1252">
        <f t="shared" ref="AH301:AH309" si="485">AD301+AE301</f>
        <v>0</v>
      </c>
      <c r="AI301" s="1252">
        <f t="shared" ref="AI301:AI309" si="486">AG301+AF301</f>
        <v>0</v>
      </c>
      <c r="AJ301" s="1252">
        <f t="shared" ref="AJ301:AJ309" si="487">AH301+AI301</f>
        <v>0</v>
      </c>
      <c r="AL301" s="1308">
        <f ca="1">SUM((INDIRECT(AL$2&amp;(ROW())):INDIRECT(AL$3&amp;(ROW()))))</f>
        <v>0</v>
      </c>
      <c r="AM301" s="1252">
        <f ca="1">SUM(INDIRECT(AM$1&amp;AM$2&amp;$C301):INDIRECT(AM$1&amp;AM$3&amp;$C301))</f>
        <v>0</v>
      </c>
      <c r="AN301" s="3159">
        <f t="shared" ca="1" si="458"/>
        <v>0</v>
      </c>
      <c r="AO301" s="2806">
        <f t="shared" ca="1" si="459"/>
        <v>0</v>
      </c>
      <c r="AP301" s="1252">
        <f ca="1">SUM(INDIRECT(AP$1&amp;AP$2&amp;$A301):INDIRECT(AP$1&amp;AP$3&amp;$A301))+SUM(INDIRECT(AP$1&amp;AP$2&amp;$B301):INDIRECT(AP$1&amp;AP$3&amp;$B301))</f>
        <v>0</v>
      </c>
      <c r="AQ301" s="3159">
        <f t="shared" ca="1" si="460"/>
        <v>0</v>
      </c>
      <c r="AR301" s="2806">
        <f t="shared" ca="1" si="461"/>
        <v>0</v>
      </c>
      <c r="AT301" s="1308">
        <f ca="1">SUM((INDIRECT(AT$2&amp;(ROW())):INDIRECT(AT$3&amp;(ROW()))))</f>
        <v>0</v>
      </c>
      <c r="AU301" s="1252">
        <f ca="1">SUM(INDIRECT(AU$1&amp;AU$2&amp;$C301):INDIRECT(AU$1&amp;AU$3&amp;$C301))</f>
        <v>0</v>
      </c>
      <c r="AV301" s="3159">
        <f t="shared" ca="1" si="462"/>
        <v>0</v>
      </c>
      <c r="AW301" s="2806">
        <f t="shared" ca="1" si="463"/>
        <v>0</v>
      </c>
      <c r="AX301" s="1252">
        <f ca="1">SUM(INDIRECT(AX$1&amp;AX$2&amp;$A301):INDIRECT(AX$1&amp;AX$3&amp;$A301))+SUM(INDIRECT(AX$1&amp;AX$2&amp;$B301):INDIRECT(AX$1&amp;AX$3&amp;$B301))</f>
        <v>0</v>
      </c>
      <c r="AY301" s="3159">
        <f t="shared" ca="1" si="464"/>
        <v>0</v>
      </c>
      <c r="AZ301" s="2806">
        <f t="shared" ca="1" si="465"/>
        <v>0</v>
      </c>
      <c r="BB301" s="1308">
        <f ca="1">SUM((INDIRECT(BB$2&amp;(ROW())):INDIRECT(BB$3&amp;(ROW()))))</f>
        <v>0</v>
      </c>
      <c r="BC301" s="1252">
        <f ca="1">SUM(INDIRECT(BC$1&amp;BC$2&amp;$C301):INDIRECT(BC$1&amp;BC$3&amp;$C301))</f>
        <v>0</v>
      </c>
      <c r="BD301" s="3159">
        <f t="shared" ca="1" si="466"/>
        <v>0</v>
      </c>
      <c r="BE301" s="2806">
        <f t="shared" ca="1" si="467"/>
        <v>0</v>
      </c>
      <c r="BF301" s="1252">
        <f ca="1">SUM(INDIRECT(BF$1&amp;BF$2&amp;$A301):INDIRECT(BF$1&amp;BF$3&amp;$A301))+SUM(INDIRECT(BF$1&amp;BF$2&amp;$B301):INDIRECT(BF$1&amp;BF$3&amp;$B301))</f>
        <v>0</v>
      </c>
      <c r="BG301" s="3159">
        <f t="shared" ca="1" si="468"/>
        <v>0</v>
      </c>
      <c r="BH301" s="2806">
        <f t="shared" ca="1" si="469"/>
        <v>0</v>
      </c>
    </row>
    <row r="302" spans="1:60" ht="15" customHeight="1">
      <c r="A302" s="616">
        <f t="shared" si="449"/>
        <v>275</v>
      </c>
      <c r="B302" s="616">
        <v>1</v>
      </c>
      <c r="C302" s="616">
        <f t="shared" si="430"/>
        <v>299</v>
      </c>
      <c r="D302" s="709" t="s">
        <v>1308</v>
      </c>
      <c r="E302" s="2547">
        <v>1</v>
      </c>
      <c r="F302" s="4"/>
      <c r="G302" s="4"/>
      <c r="H302" s="4"/>
      <c r="I302" s="27"/>
      <c r="J302" s="3"/>
      <c r="K302" s="4"/>
      <c r="L302" s="4"/>
      <c r="M302" s="3" t="s">
        <v>1414</v>
      </c>
      <c r="N302" s="3"/>
      <c r="O302" s="3"/>
      <c r="P302" s="3"/>
      <c r="Q302" s="1800" t="str">
        <f>CHOOSE(2, "6722000003221", "PL (4) BT Cons. Sales MPM Procurement")</f>
        <v>PL (4) BT Cons. Sales MPM Procurement</v>
      </c>
      <c r="R302" s="1553">
        <v>0</v>
      </c>
      <c r="S302" s="1222">
        <v>0</v>
      </c>
      <c r="T302" s="1222">
        <v>0</v>
      </c>
      <c r="U302" s="1222">
        <v>0</v>
      </c>
      <c r="V302" s="1222">
        <v>0</v>
      </c>
      <c r="W302" s="1222">
        <v>0</v>
      </c>
      <c r="X302" s="1222">
        <v>0</v>
      </c>
      <c r="Y302" s="1222">
        <v>0</v>
      </c>
      <c r="Z302" s="1222">
        <v>0</v>
      </c>
      <c r="AA302" s="1222">
        <v>0</v>
      </c>
      <c r="AB302" s="1222">
        <v>0</v>
      </c>
      <c r="AC302" s="1222">
        <v>0</v>
      </c>
      <c r="AD302" s="1221">
        <f t="shared" si="481"/>
        <v>0</v>
      </c>
      <c r="AE302" s="1221">
        <f t="shared" si="482"/>
        <v>0</v>
      </c>
      <c r="AF302" s="1221">
        <f t="shared" si="483"/>
        <v>0</v>
      </c>
      <c r="AG302" s="1221">
        <f t="shared" si="484"/>
        <v>0</v>
      </c>
      <c r="AH302" s="1221">
        <f t="shared" si="485"/>
        <v>0</v>
      </c>
      <c r="AI302" s="1221">
        <f t="shared" si="486"/>
        <v>0</v>
      </c>
      <c r="AJ302" s="1221">
        <f t="shared" si="487"/>
        <v>0</v>
      </c>
      <c r="AL302" s="1214">
        <f ca="1">SUM((INDIRECT(AL$2&amp;(ROW())):INDIRECT(AL$3&amp;(ROW()))))</f>
        <v>0</v>
      </c>
      <c r="AM302" s="1221">
        <f ca="1">SUM(INDIRECT(AM$1&amp;AM$2&amp;$C302):INDIRECT(AM$1&amp;AM$3&amp;$C302))</f>
        <v>0</v>
      </c>
      <c r="AN302" s="3119">
        <f t="shared" ca="1" si="458"/>
        <v>0</v>
      </c>
      <c r="AO302" s="2768">
        <f t="shared" ca="1" si="459"/>
        <v>0</v>
      </c>
      <c r="AP302" s="1221">
        <f ca="1">SUM(INDIRECT(AP$1&amp;AP$2&amp;$A302):INDIRECT(AP$1&amp;AP$3&amp;$A302))+SUM(INDIRECT(AP$1&amp;AP$2&amp;$B302):INDIRECT(AP$1&amp;AP$3&amp;$B302))</f>
        <v>0</v>
      </c>
      <c r="AQ302" s="3119">
        <f t="shared" ca="1" si="460"/>
        <v>0</v>
      </c>
      <c r="AR302" s="2768">
        <f t="shared" ca="1" si="461"/>
        <v>0</v>
      </c>
      <c r="AT302" s="1214">
        <f ca="1">SUM((INDIRECT(AT$2&amp;(ROW())):INDIRECT(AT$3&amp;(ROW()))))</f>
        <v>0</v>
      </c>
      <c r="AU302" s="1221">
        <f ca="1">SUM(INDIRECT(AU$1&amp;AU$2&amp;$C302):INDIRECT(AU$1&amp;AU$3&amp;$C302))</f>
        <v>0</v>
      </c>
      <c r="AV302" s="3119">
        <f t="shared" ca="1" si="462"/>
        <v>0</v>
      </c>
      <c r="AW302" s="2768">
        <f t="shared" ca="1" si="463"/>
        <v>0</v>
      </c>
      <c r="AX302" s="1221">
        <f ca="1">SUM(INDIRECT(AX$1&amp;AX$2&amp;$A302):INDIRECT(AX$1&amp;AX$3&amp;$A302))+SUM(INDIRECT(AX$1&amp;AX$2&amp;$B302):INDIRECT(AX$1&amp;AX$3&amp;$B302))</f>
        <v>0</v>
      </c>
      <c r="AY302" s="3119">
        <f t="shared" ca="1" si="464"/>
        <v>0</v>
      </c>
      <c r="AZ302" s="2768">
        <f t="shared" ca="1" si="465"/>
        <v>0</v>
      </c>
      <c r="BB302" s="1214">
        <f ca="1">SUM((INDIRECT(BB$2&amp;(ROW())):INDIRECT(BB$3&amp;(ROW()))))</f>
        <v>0</v>
      </c>
      <c r="BC302" s="1221">
        <f ca="1">SUM(INDIRECT(BC$1&amp;BC$2&amp;$C302):INDIRECT(BC$1&amp;BC$3&amp;$C302))</f>
        <v>0</v>
      </c>
      <c r="BD302" s="3119">
        <f t="shared" ca="1" si="466"/>
        <v>0</v>
      </c>
      <c r="BE302" s="2768">
        <f t="shared" ca="1" si="467"/>
        <v>0</v>
      </c>
      <c r="BF302" s="1221">
        <f ca="1">SUM(INDIRECT(BF$1&amp;BF$2&amp;$A302):INDIRECT(BF$1&amp;BF$3&amp;$A302))+SUM(INDIRECT(BF$1&amp;BF$2&amp;$B302):INDIRECT(BF$1&amp;BF$3&amp;$B302))</f>
        <v>0</v>
      </c>
      <c r="BG302" s="3119">
        <f t="shared" ca="1" si="468"/>
        <v>0</v>
      </c>
      <c r="BH302" s="2768">
        <f t="shared" ca="1" si="469"/>
        <v>0</v>
      </c>
    </row>
    <row r="303" spans="1:60" ht="15" customHeight="1">
      <c r="A303" s="616">
        <f t="shared" si="449"/>
        <v>276</v>
      </c>
      <c r="B303" s="616">
        <v>1</v>
      </c>
      <c r="C303" s="616">
        <f t="shared" si="430"/>
        <v>300</v>
      </c>
      <c r="D303" s="709" t="s">
        <v>1308</v>
      </c>
      <c r="E303" s="2547">
        <v>1</v>
      </c>
      <c r="F303" s="4"/>
      <c r="G303" s="4"/>
      <c r="H303" s="4"/>
      <c r="I303" s="27"/>
      <c r="J303" s="3"/>
      <c r="K303" s="4"/>
      <c r="L303" s="4"/>
      <c r="M303" s="3" t="s">
        <v>1415</v>
      </c>
      <c r="N303" s="3"/>
      <c r="O303" s="3"/>
      <c r="P303" s="3"/>
      <c r="Q303" s="1800" t="str">
        <f>CHOOSE(2, "6722000003222", "PL (4) BT Cons. Sales MPM Production")</f>
        <v>PL (4) BT Cons. Sales MPM Production</v>
      </c>
      <c r="R303" s="1553">
        <v>0</v>
      </c>
      <c r="S303" s="1222">
        <v>0</v>
      </c>
      <c r="T303" s="1222">
        <v>0</v>
      </c>
      <c r="U303" s="1222">
        <v>0</v>
      </c>
      <c r="V303" s="1222">
        <v>0</v>
      </c>
      <c r="W303" s="1222">
        <v>0</v>
      </c>
      <c r="X303" s="1222">
        <v>0</v>
      </c>
      <c r="Y303" s="1222">
        <v>0</v>
      </c>
      <c r="Z303" s="1222">
        <v>0</v>
      </c>
      <c r="AA303" s="1222">
        <v>0</v>
      </c>
      <c r="AB303" s="1222">
        <v>0</v>
      </c>
      <c r="AC303" s="1222">
        <v>0</v>
      </c>
      <c r="AD303" s="1221">
        <f t="shared" si="481"/>
        <v>0</v>
      </c>
      <c r="AE303" s="1221">
        <f t="shared" si="482"/>
        <v>0</v>
      </c>
      <c r="AF303" s="1221">
        <f t="shared" si="483"/>
        <v>0</v>
      </c>
      <c r="AG303" s="1221">
        <f t="shared" si="484"/>
        <v>0</v>
      </c>
      <c r="AH303" s="1221">
        <f t="shared" si="485"/>
        <v>0</v>
      </c>
      <c r="AI303" s="1221">
        <f t="shared" si="486"/>
        <v>0</v>
      </c>
      <c r="AJ303" s="1221">
        <f t="shared" si="487"/>
        <v>0</v>
      </c>
      <c r="AL303" s="1214">
        <f ca="1">SUM((INDIRECT(AL$2&amp;(ROW())):INDIRECT(AL$3&amp;(ROW()))))</f>
        <v>0</v>
      </c>
      <c r="AM303" s="1221">
        <f ca="1">SUM(INDIRECT(AM$1&amp;AM$2&amp;$C303):INDIRECT(AM$1&amp;AM$3&amp;$C303))</f>
        <v>0</v>
      </c>
      <c r="AN303" s="3119">
        <f t="shared" ca="1" si="458"/>
        <v>0</v>
      </c>
      <c r="AO303" s="2768">
        <f t="shared" ca="1" si="459"/>
        <v>0</v>
      </c>
      <c r="AP303" s="1221">
        <f ca="1">SUM(INDIRECT(AP$1&amp;AP$2&amp;$A303):INDIRECT(AP$1&amp;AP$3&amp;$A303))+SUM(INDIRECT(AP$1&amp;AP$2&amp;$B303):INDIRECT(AP$1&amp;AP$3&amp;$B303))</f>
        <v>-3068.5862325391677</v>
      </c>
      <c r="AQ303" s="3119">
        <f t="shared" ca="1" si="460"/>
        <v>3068.5862325391677</v>
      </c>
      <c r="AR303" s="2768">
        <f t="shared" ca="1" si="461"/>
        <v>0</v>
      </c>
      <c r="AT303" s="1214">
        <f ca="1">SUM((INDIRECT(AT$2&amp;(ROW())):INDIRECT(AT$3&amp;(ROW()))))</f>
        <v>0</v>
      </c>
      <c r="AU303" s="1221">
        <f ca="1">SUM(INDIRECT(AU$1&amp;AU$2&amp;$C303):INDIRECT(AU$1&amp;AU$3&amp;$C303))</f>
        <v>0</v>
      </c>
      <c r="AV303" s="3119">
        <f t="shared" ca="1" si="462"/>
        <v>0</v>
      </c>
      <c r="AW303" s="2768">
        <f t="shared" ca="1" si="463"/>
        <v>0</v>
      </c>
      <c r="AX303" s="1221">
        <f ca="1">SUM(INDIRECT(AX$1&amp;AX$2&amp;$A303):INDIRECT(AX$1&amp;AX$3&amp;$A303))+SUM(INDIRECT(AX$1&amp;AX$2&amp;$B303):INDIRECT(AX$1&amp;AX$3&amp;$B303))</f>
        <v>-11650.107530080328</v>
      </c>
      <c r="AY303" s="3119">
        <f t="shared" ca="1" si="464"/>
        <v>11650.107530080328</v>
      </c>
      <c r="AZ303" s="2768">
        <f t="shared" ca="1" si="465"/>
        <v>0</v>
      </c>
      <c r="BB303" s="1214">
        <f ca="1">SUM((INDIRECT(BB$2&amp;(ROW())):INDIRECT(BB$3&amp;(ROW()))))</f>
        <v>0</v>
      </c>
      <c r="BC303" s="1221">
        <f ca="1">SUM(INDIRECT(BC$1&amp;BC$2&amp;$C303):INDIRECT(BC$1&amp;BC$3&amp;$C303))</f>
        <v>0</v>
      </c>
      <c r="BD303" s="3119">
        <f t="shared" ca="1" si="466"/>
        <v>0</v>
      </c>
      <c r="BE303" s="2768">
        <f t="shared" ca="1" si="467"/>
        <v>0</v>
      </c>
      <c r="BF303" s="1221">
        <f ca="1">SUM(INDIRECT(BF$1&amp;BF$2&amp;$A303):INDIRECT(BF$1&amp;BF$3&amp;$A303))+SUM(INDIRECT(BF$1&amp;BF$2&amp;$B303):INDIRECT(BF$1&amp;BF$3&amp;$B303))</f>
        <v>-12758.785439085777</v>
      </c>
      <c r="BG303" s="3119">
        <f t="shared" ca="1" si="468"/>
        <v>12758.785439085777</v>
      </c>
      <c r="BH303" s="2768">
        <f t="shared" ca="1" si="469"/>
        <v>0</v>
      </c>
    </row>
    <row r="304" spans="1:60" ht="15" customHeight="1">
      <c r="A304" s="616">
        <f t="shared" si="449"/>
        <v>277</v>
      </c>
      <c r="B304" s="616">
        <v>1</v>
      </c>
      <c r="C304" s="616">
        <f t="shared" si="430"/>
        <v>301</v>
      </c>
      <c r="D304" s="709" t="s">
        <v>1308</v>
      </c>
      <c r="E304" s="2547">
        <v>1</v>
      </c>
      <c r="F304" s="4"/>
      <c r="G304" s="4"/>
      <c r="H304" s="4"/>
      <c r="I304" s="27"/>
      <c r="J304" s="3"/>
      <c r="K304" s="4"/>
      <c r="L304" s="48"/>
      <c r="M304" s="47" t="s">
        <v>1397</v>
      </c>
      <c r="N304" s="47"/>
      <c r="O304" s="47"/>
      <c r="P304" s="47"/>
      <c r="Q304" s="1800" t="str">
        <f>CHOOSE(2, "6722000003223", "PL (4) BT Cons. Sales MPM Solution")</f>
        <v>PL (4) BT Cons. Sales MPM Solution</v>
      </c>
      <c r="R304" s="1554">
        <v>0</v>
      </c>
      <c r="S304" s="1231">
        <v>0</v>
      </c>
      <c r="T304" s="1231">
        <v>0</v>
      </c>
      <c r="U304" s="1231">
        <v>0</v>
      </c>
      <c r="V304" s="1231">
        <v>0</v>
      </c>
      <c r="W304" s="1231">
        <v>0</v>
      </c>
      <c r="X304" s="1231">
        <v>0</v>
      </c>
      <c r="Y304" s="1231">
        <v>0</v>
      </c>
      <c r="Z304" s="1231">
        <v>0</v>
      </c>
      <c r="AA304" s="1231">
        <v>0</v>
      </c>
      <c r="AB304" s="1231">
        <v>0</v>
      </c>
      <c r="AC304" s="1231">
        <v>0</v>
      </c>
      <c r="AD304" s="1230">
        <f t="shared" si="481"/>
        <v>0</v>
      </c>
      <c r="AE304" s="1230">
        <f t="shared" si="482"/>
        <v>0</v>
      </c>
      <c r="AF304" s="1230">
        <f t="shared" si="483"/>
        <v>0</v>
      </c>
      <c r="AG304" s="1230">
        <f t="shared" si="484"/>
        <v>0</v>
      </c>
      <c r="AH304" s="1230">
        <f t="shared" si="485"/>
        <v>0</v>
      </c>
      <c r="AI304" s="1230">
        <f t="shared" si="486"/>
        <v>0</v>
      </c>
      <c r="AJ304" s="1230">
        <f t="shared" si="487"/>
        <v>0</v>
      </c>
      <c r="AL304" s="1257">
        <f ca="1">SUM((INDIRECT(AL$2&amp;(ROW())):INDIRECT(AL$3&amp;(ROW()))))</f>
        <v>0</v>
      </c>
      <c r="AM304" s="1230">
        <f ca="1">SUM(INDIRECT(AM$1&amp;AM$2&amp;$C304):INDIRECT(AM$1&amp;AM$3&amp;$C304))</f>
        <v>0</v>
      </c>
      <c r="AN304" s="3123">
        <f t="shared" ca="1" si="458"/>
        <v>0</v>
      </c>
      <c r="AO304" s="2775">
        <f t="shared" ca="1" si="459"/>
        <v>0</v>
      </c>
      <c r="AP304" s="1230">
        <f ca="1">SUM(INDIRECT(AP$1&amp;AP$2&amp;$A304):INDIRECT(AP$1&amp;AP$3&amp;$A304))+SUM(INDIRECT(AP$1&amp;AP$2&amp;$B304):INDIRECT(AP$1&amp;AP$3&amp;$B304))</f>
        <v>-0.35750841318715965</v>
      </c>
      <c r="AQ304" s="3123">
        <f t="shared" ca="1" si="460"/>
        <v>0.35750841318715965</v>
      </c>
      <c r="AR304" s="2775">
        <f t="shared" ca="1" si="461"/>
        <v>0</v>
      </c>
      <c r="AT304" s="1257">
        <f ca="1">SUM((INDIRECT(AT$2&amp;(ROW())):INDIRECT(AT$3&amp;(ROW()))))</f>
        <v>0</v>
      </c>
      <c r="AU304" s="1230">
        <f ca="1">SUM(INDIRECT(AU$1&amp;AU$2&amp;$C304):INDIRECT(AU$1&amp;AU$3&amp;$C304))</f>
        <v>0</v>
      </c>
      <c r="AV304" s="3123">
        <f t="shared" ca="1" si="462"/>
        <v>0</v>
      </c>
      <c r="AW304" s="2775">
        <f t="shared" ca="1" si="463"/>
        <v>0</v>
      </c>
      <c r="AX304" s="1230">
        <f ca="1">SUM(INDIRECT(AX$1&amp;AX$2&amp;$A304):INDIRECT(AX$1&amp;AX$3&amp;$A304))+SUM(INDIRECT(AX$1&amp;AX$2&amp;$B304):INDIRECT(AX$1&amp;AX$3&amp;$B304))</f>
        <v>-1.7738787395372064</v>
      </c>
      <c r="AY304" s="3123">
        <f t="shared" ca="1" si="464"/>
        <v>1.7738787395372064</v>
      </c>
      <c r="AZ304" s="2775">
        <f t="shared" ca="1" si="465"/>
        <v>0</v>
      </c>
      <c r="BB304" s="1257">
        <f ca="1">SUM((INDIRECT(BB$2&amp;(ROW())):INDIRECT(BB$3&amp;(ROW()))))</f>
        <v>0</v>
      </c>
      <c r="BC304" s="1230">
        <f ca="1">SUM(INDIRECT(BC$1&amp;BC$2&amp;$C304):INDIRECT(BC$1&amp;BC$3&amp;$C304))</f>
        <v>0</v>
      </c>
      <c r="BD304" s="3123">
        <f t="shared" ca="1" si="466"/>
        <v>0</v>
      </c>
      <c r="BE304" s="2775">
        <f t="shared" ca="1" si="467"/>
        <v>0</v>
      </c>
      <c r="BF304" s="1230">
        <f ca="1">SUM(INDIRECT(BF$1&amp;BF$2&amp;$A304):INDIRECT(BF$1&amp;BF$3&amp;$A304))+SUM(INDIRECT(BF$1&amp;BF$2&amp;$B304):INDIRECT(BF$1&amp;BF$3&amp;$B304))</f>
        <v>-2.5699590058644981</v>
      </c>
      <c r="BG304" s="3123">
        <f t="shared" ca="1" si="468"/>
        <v>2.5699590058644981</v>
      </c>
      <c r="BH304" s="2775">
        <f t="shared" ca="1" si="469"/>
        <v>0</v>
      </c>
    </row>
    <row r="305" spans="1:60" ht="15" customHeight="1">
      <c r="A305" s="616">
        <f t="shared" si="449"/>
        <v>278</v>
      </c>
      <c r="B305" s="616">
        <v>1</v>
      </c>
      <c r="C305" s="616">
        <f t="shared" si="430"/>
        <v>302</v>
      </c>
      <c r="D305" s="709" t="s">
        <v>1308</v>
      </c>
      <c r="E305" s="2547">
        <v>1</v>
      </c>
      <c r="F305" s="4"/>
      <c r="G305" s="4"/>
      <c r="H305" s="4"/>
      <c r="I305" s="27"/>
      <c r="J305" s="3"/>
      <c r="K305" s="4"/>
      <c r="L305" s="301" t="s">
        <v>1416</v>
      </c>
      <c r="M305" s="301"/>
      <c r="N305" s="301"/>
      <c r="O305" s="301"/>
      <c r="P305" s="301"/>
      <c r="Q305" s="1799" t="str">
        <f>CHOOSE(2, "6722000003224", "PL (4) BT Cons. Sales ODP")</f>
        <v>PL (4) BT Cons. Sales ODP</v>
      </c>
      <c r="R305" s="1562">
        <f>SUM(R306:R309)</f>
        <v>0</v>
      </c>
      <c r="S305" s="1563">
        <f t="shared" ref="S305:AC305" si="488">SUM(S306:S309)</f>
        <v>0</v>
      </c>
      <c r="T305" s="1563">
        <f t="shared" si="488"/>
        <v>0</v>
      </c>
      <c r="U305" s="1563">
        <f t="shared" si="488"/>
        <v>0</v>
      </c>
      <c r="V305" s="1563">
        <f t="shared" si="488"/>
        <v>0</v>
      </c>
      <c r="W305" s="1563">
        <f t="shared" si="488"/>
        <v>0</v>
      </c>
      <c r="X305" s="1563">
        <f t="shared" si="488"/>
        <v>0</v>
      </c>
      <c r="Y305" s="1563">
        <f t="shared" si="488"/>
        <v>0</v>
      </c>
      <c r="Z305" s="1563">
        <f t="shared" si="488"/>
        <v>0</v>
      </c>
      <c r="AA305" s="1563">
        <f t="shared" si="488"/>
        <v>0</v>
      </c>
      <c r="AB305" s="1563">
        <f t="shared" si="488"/>
        <v>0</v>
      </c>
      <c r="AC305" s="1563">
        <f t="shared" si="488"/>
        <v>0</v>
      </c>
      <c r="AD305" s="1252">
        <f t="shared" si="481"/>
        <v>0</v>
      </c>
      <c r="AE305" s="1252">
        <f t="shared" si="482"/>
        <v>0</v>
      </c>
      <c r="AF305" s="1252">
        <f t="shared" si="483"/>
        <v>0</v>
      </c>
      <c r="AG305" s="1252">
        <f t="shared" si="484"/>
        <v>0</v>
      </c>
      <c r="AH305" s="1252">
        <f t="shared" si="485"/>
        <v>0</v>
      </c>
      <c r="AI305" s="1252">
        <f t="shared" si="486"/>
        <v>0</v>
      </c>
      <c r="AJ305" s="1252">
        <f t="shared" si="487"/>
        <v>0</v>
      </c>
      <c r="AL305" s="1308">
        <f ca="1">SUM((INDIRECT(AL$2&amp;(ROW())):INDIRECT(AL$3&amp;(ROW()))))</f>
        <v>0</v>
      </c>
      <c r="AM305" s="1252">
        <f ca="1">SUM(INDIRECT(AM$1&amp;AM$2&amp;$C305):INDIRECT(AM$1&amp;AM$3&amp;$C305))</f>
        <v>0</v>
      </c>
      <c r="AN305" s="3159">
        <f t="shared" ca="1" si="458"/>
        <v>0</v>
      </c>
      <c r="AO305" s="2806">
        <f t="shared" ca="1" si="459"/>
        <v>0</v>
      </c>
      <c r="AP305" s="1252">
        <f ca="1">SUM(INDIRECT(AP$1&amp;AP$2&amp;$A305):INDIRECT(AP$1&amp;AP$3&amp;$A305))+SUM(INDIRECT(AP$1&amp;AP$2&amp;$B305):INDIRECT(AP$1&amp;AP$3&amp;$B305))</f>
        <v>0</v>
      </c>
      <c r="AQ305" s="3159">
        <f t="shared" ca="1" si="460"/>
        <v>0</v>
      </c>
      <c r="AR305" s="2806">
        <f t="shared" ca="1" si="461"/>
        <v>0</v>
      </c>
      <c r="AT305" s="1308">
        <f ca="1">SUM((INDIRECT(AT$2&amp;(ROW())):INDIRECT(AT$3&amp;(ROW()))))</f>
        <v>0</v>
      </c>
      <c r="AU305" s="1252">
        <f ca="1">SUM(INDIRECT(AU$1&amp;AU$2&amp;$C305):INDIRECT(AU$1&amp;AU$3&amp;$C305))</f>
        <v>0</v>
      </c>
      <c r="AV305" s="3159">
        <f t="shared" ca="1" si="462"/>
        <v>0</v>
      </c>
      <c r="AW305" s="2806">
        <f t="shared" ca="1" si="463"/>
        <v>0</v>
      </c>
      <c r="AX305" s="1252">
        <f ca="1">SUM(INDIRECT(AX$1&amp;AX$2&amp;$A305):INDIRECT(AX$1&amp;AX$3&amp;$A305))+SUM(INDIRECT(AX$1&amp;AX$2&amp;$B305):INDIRECT(AX$1&amp;AX$3&amp;$B305))</f>
        <v>0</v>
      </c>
      <c r="AY305" s="3159">
        <f t="shared" ca="1" si="464"/>
        <v>0</v>
      </c>
      <c r="AZ305" s="2806">
        <f t="shared" ca="1" si="465"/>
        <v>0</v>
      </c>
      <c r="BB305" s="1308">
        <f ca="1">SUM((INDIRECT(BB$2&amp;(ROW())):INDIRECT(BB$3&amp;(ROW()))))</f>
        <v>0</v>
      </c>
      <c r="BC305" s="1252">
        <f ca="1">SUM(INDIRECT(BC$1&amp;BC$2&amp;$C305):INDIRECT(BC$1&amp;BC$3&amp;$C305))</f>
        <v>0</v>
      </c>
      <c r="BD305" s="3159">
        <f t="shared" ca="1" si="466"/>
        <v>0</v>
      </c>
      <c r="BE305" s="2806">
        <f t="shared" ca="1" si="467"/>
        <v>0</v>
      </c>
      <c r="BF305" s="1252">
        <f ca="1">SUM(INDIRECT(BF$1&amp;BF$2&amp;$A305):INDIRECT(BF$1&amp;BF$3&amp;$A305))+SUM(INDIRECT(BF$1&amp;BF$2&amp;$B305):INDIRECT(BF$1&amp;BF$3&amp;$B305))</f>
        <v>0</v>
      </c>
      <c r="BG305" s="3159">
        <f t="shared" ca="1" si="468"/>
        <v>0</v>
      </c>
      <c r="BH305" s="2806">
        <f t="shared" ca="1" si="469"/>
        <v>0</v>
      </c>
    </row>
    <row r="306" spans="1:60" ht="15" customHeight="1">
      <c r="A306" s="616">
        <f t="shared" si="449"/>
        <v>279</v>
      </c>
      <c r="B306" s="616">
        <v>1</v>
      </c>
      <c r="C306" s="616">
        <f t="shared" si="430"/>
        <v>303</v>
      </c>
      <c r="D306" s="709" t="s">
        <v>1308</v>
      </c>
      <c r="E306" s="2547">
        <v>1</v>
      </c>
      <c r="F306" s="4"/>
      <c r="G306" s="4"/>
      <c r="H306" s="4"/>
      <c r="I306" s="27"/>
      <c r="J306" s="3"/>
      <c r="K306" s="4"/>
      <c r="L306" s="4"/>
      <c r="M306" s="3" t="s">
        <v>13</v>
      </c>
      <c r="N306" s="3"/>
      <c r="O306" s="3"/>
      <c r="P306" s="3"/>
      <c r="Q306" s="1800" t="str">
        <f>CHOOSE(2, "6722000003225", "PL (4) BT Cons. Sales ODP On Demand Printing")</f>
        <v>PL (4) BT Cons. Sales ODP On Demand Printing</v>
      </c>
      <c r="R306" s="1553">
        <v>0</v>
      </c>
      <c r="S306" s="1222">
        <v>0</v>
      </c>
      <c r="T306" s="1222">
        <v>0</v>
      </c>
      <c r="U306" s="1222">
        <v>0</v>
      </c>
      <c r="V306" s="1222">
        <v>0</v>
      </c>
      <c r="W306" s="1222">
        <v>0</v>
      </c>
      <c r="X306" s="1222">
        <v>0</v>
      </c>
      <c r="Y306" s="1222">
        <v>0</v>
      </c>
      <c r="Z306" s="1222">
        <v>0</v>
      </c>
      <c r="AA306" s="1222">
        <v>0</v>
      </c>
      <c r="AB306" s="1222">
        <v>0</v>
      </c>
      <c r="AC306" s="1222">
        <v>0</v>
      </c>
      <c r="AD306" s="1221">
        <f t="shared" si="481"/>
        <v>0</v>
      </c>
      <c r="AE306" s="1221">
        <f t="shared" si="482"/>
        <v>0</v>
      </c>
      <c r="AF306" s="1221">
        <f t="shared" si="483"/>
        <v>0</v>
      </c>
      <c r="AG306" s="1221">
        <f t="shared" si="484"/>
        <v>0</v>
      </c>
      <c r="AH306" s="1221">
        <f t="shared" si="485"/>
        <v>0</v>
      </c>
      <c r="AI306" s="1221">
        <f t="shared" si="486"/>
        <v>0</v>
      </c>
      <c r="AJ306" s="1221">
        <f t="shared" si="487"/>
        <v>0</v>
      </c>
      <c r="AL306" s="1214">
        <f ca="1">SUM((INDIRECT(AL$2&amp;(ROW())):INDIRECT(AL$3&amp;(ROW()))))</f>
        <v>0</v>
      </c>
      <c r="AM306" s="1221">
        <f ca="1">SUM(INDIRECT(AM$1&amp;AM$2&amp;$C306):INDIRECT(AM$1&amp;AM$3&amp;$C306))</f>
        <v>0</v>
      </c>
      <c r="AN306" s="3119">
        <f t="shared" ca="1" si="458"/>
        <v>0</v>
      </c>
      <c r="AO306" s="2768">
        <f t="shared" ca="1" si="459"/>
        <v>0</v>
      </c>
      <c r="AP306" s="1221">
        <f ca="1">SUM(INDIRECT(AP$1&amp;AP$2&amp;$A306):INDIRECT(AP$1&amp;AP$3&amp;$A306))+SUM(INDIRECT(AP$1&amp;AP$2&amp;$B306):INDIRECT(AP$1&amp;AP$3&amp;$B306))</f>
        <v>3704.6254925391677</v>
      </c>
      <c r="AQ306" s="3119">
        <f t="shared" ca="1" si="460"/>
        <v>-3704.6254925391677</v>
      </c>
      <c r="AR306" s="2768">
        <f t="shared" ca="1" si="461"/>
        <v>0</v>
      </c>
      <c r="AT306" s="1214">
        <f ca="1">SUM((INDIRECT(AT$2&amp;(ROW())):INDIRECT(AT$3&amp;(ROW()))))</f>
        <v>0</v>
      </c>
      <c r="AU306" s="1221">
        <f ca="1">SUM(INDIRECT(AU$1&amp;AU$2&amp;$C306):INDIRECT(AU$1&amp;AU$3&amp;$C306))</f>
        <v>0</v>
      </c>
      <c r="AV306" s="3119">
        <f t="shared" ca="1" si="462"/>
        <v>0</v>
      </c>
      <c r="AW306" s="2768">
        <f t="shared" ca="1" si="463"/>
        <v>0</v>
      </c>
      <c r="AX306" s="1221">
        <f ca="1">SUM(INDIRECT(AX$1&amp;AX$2&amp;$A306):INDIRECT(AX$1&amp;AX$3&amp;$A306))+SUM(INDIRECT(AX$1&amp;AX$2&amp;$B306):INDIRECT(AX$1&amp;AX$3&amp;$B306))</f>
        <v>9978.1467900803254</v>
      </c>
      <c r="AY306" s="3119">
        <f t="shared" ca="1" si="464"/>
        <v>-9978.1467900803254</v>
      </c>
      <c r="AZ306" s="2768">
        <f t="shared" ca="1" si="465"/>
        <v>0</v>
      </c>
      <c r="BB306" s="1214">
        <f ca="1">SUM((INDIRECT(BB$2&amp;(ROW())):INDIRECT(BB$3&amp;(ROW()))))</f>
        <v>0</v>
      </c>
      <c r="BC306" s="1221">
        <f ca="1">SUM(INDIRECT(BC$1&amp;BC$2&amp;$C306):INDIRECT(BC$1&amp;BC$3&amp;$C306))</f>
        <v>0</v>
      </c>
      <c r="BD306" s="3119">
        <f t="shared" ca="1" si="466"/>
        <v>0</v>
      </c>
      <c r="BE306" s="2768">
        <f t="shared" ca="1" si="467"/>
        <v>0</v>
      </c>
      <c r="BF306" s="1221">
        <f ca="1">SUM(INDIRECT(BF$1&amp;BF$2&amp;$A306):INDIRECT(BF$1&amp;BF$3&amp;$A306))+SUM(INDIRECT(BF$1&amp;BF$2&amp;$B306):INDIRECT(BF$1&amp;BF$3&amp;$B306))</f>
        <v>31019.381412358045</v>
      </c>
      <c r="BG306" s="3119">
        <f t="shared" ca="1" si="468"/>
        <v>-31019.381412358045</v>
      </c>
      <c r="BH306" s="2768">
        <f t="shared" ca="1" si="469"/>
        <v>0</v>
      </c>
    </row>
    <row r="307" spans="1:60" ht="15" customHeight="1">
      <c r="A307" s="616">
        <f t="shared" si="449"/>
        <v>280</v>
      </c>
      <c r="B307" s="616">
        <v>1</v>
      </c>
      <c r="C307" s="616">
        <f t="shared" si="430"/>
        <v>304</v>
      </c>
      <c r="D307" s="709" t="s">
        <v>1308</v>
      </c>
      <c r="E307" s="2547">
        <v>1</v>
      </c>
      <c r="F307" s="330"/>
      <c r="G307" s="244"/>
      <c r="H307" s="4"/>
      <c r="I307" s="27"/>
      <c r="J307" s="3"/>
      <c r="K307" s="4"/>
      <c r="L307" s="4"/>
      <c r="M307" s="3" t="s">
        <v>374</v>
      </c>
      <c r="N307" s="3"/>
      <c r="O307" s="3"/>
      <c r="P307" s="3"/>
      <c r="Q307" s="1800" t="str">
        <f>CHOOSE(2, "6722000003226", "PL (4) BT Cons. Sales ODP Marketing Service")</f>
        <v>PL (4) BT Cons. Sales ODP Marketing Service</v>
      </c>
      <c r="R307" s="1553">
        <v>0</v>
      </c>
      <c r="S307" s="1222">
        <v>0</v>
      </c>
      <c r="T307" s="1222">
        <v>0</v>
      </c>
      <c r="U307" s="1222">
        <v>0</v>
      </c>
      <c r="V307" s="1222">
        <v>0</v>
      </c>
      <c r="W307" s="1222">
        <v>0</v>
      </c>
      <c r="X307" s="1222">
        <v>0</v>
      </c>
      <c r="Y307" s="1222">
        <v>0</v>
      </c>
      <c r="Z307" s="1222">
        <v>0</v>
      </c>
      <c r="AA307" s="1222">
        <v>0</v>
      </c>
      <c r="AB307" s="1222">
        <v>0</v>
      </c>
      <c r="AC307" s="1222">
        <v>0</v>
      </c>
      <c r="AD307" s="1221">
        <f t="shared" si="481"/>
        <v>0</v>
      </c>
      <c r="AE307" s="1221">
        <f t="shared" si="482"/>
        <v>0</v>
      </c>
      <c r="AF307" s="1221">
        <f t="shared" si="483"/>
        <v>0</v>
      </c>
      <c r="AG307" s="1221">
        <f t="shared" si="484"/>
        <v>0</v>
      </c>
      <c r="AH307" s="1221">
        <f t="shared" si="485"/>
        <v>0</v>
      </c>
      <c r="AI307" s="1221">
        <f t="shared" si="486"/>
        <v>0</v>
      </c>
      <c r="AJ307" s="1221">
        <f t="shared" si="487"/>
        <v>0</v>
      </c>
      <c r="AL307" s="1214">
        <f ca="1">SUM((INDIRECT(AL$2&amp;(ROW())):INDIRECT(AL$3&amp;(ROW()))))</f>
        <v>0</v>
      </c>
      <c r="AM307" s="1221">
        <f ca="1">SUM(INDIRECT(AM$1&amp;AM$2&amp;$C307):INDIRECT(AM$1&amp;AM$3&amp;$C307))</f>
        <v>0</v>
      </c>
      <c r="AN307" s="3119">
        <f t="shared" ca="1" si="458"/>
        <v>0</v>
      </c>
      <c r="AO307" s="2768">
        <f t="shared" ca="1" si="459"/>
        <v>0</v>
      </c>
      <c r="AP307" s="1221">
        <f ca="1">SUM(INDIRECT(AP$1&amp;AP$2&amp;$A307):INDIRECT(AP$1&amp;AP$3&amp;$A307))+SUM(INDIRECT(AP$1&amp;AP$2&amp;$B307):INDIRECT(AP$1&amp;AP$3&amp;$B307))</f>
        <v>1648.2257486920998</v>
      </c>
      <c r="AQ307" s="3119">
        <f t="shared" ca="1" si="460"/>
        <v>-1648.2257486920998</v>
      </c>
      <c r="AR307" s="2768">
        <f t="shared" ca="1" si="461"/>
        <v>0</v>
      </c>
      <c r="AT307" s="1214">
        <f ca="1">SUM((INDIRECT(AT$2&amp;(ROW())):INDIRECT(AT$3&amp;(ROW()))))</f>
        <v>0</v>
      </c>
      <c r="AU307" s="1221">
        <f ca="1">SUM(INDIRECT(AU$1&amp;AU$2&amp;$C307):INDIRECT(AU$1&amp;AU$3&amp;$C307))</f>
        <v>0</v>
      </c>
      <c r="AV307" s="3119">
        <f t="shared" ca="1" si="462"/>
        <v>0</v>
      </c>
      <c r="AW307" s="2768">
        <f t="shared" ca="1" si="463"/>
        <v>0</v>
      </c>
      <c r="AX307" s="1221">
        <f ca="1">SUM(INDIRECT(AX$1&amp;AX$2&amp;$A307):INDIRECT(AX$1&amp;AX$3&amp;$A307))+SUM(INDIRECT(AX$1&amp;AX$2&amp;$B307):INDIRECT(AX$1&amp;AX$3&amp;$B307))</f>
        <v>3187.0550555883492</v>
      </c>
      <c r="AY307" s="3119">
        <f t="shared" ca="1" si="464"/>
        <v>-3187.0550555883492</v>
      </c>
      <c r="AZ307" s="2768">
        <f t="shared" ca="1" si="465"/>
        <v>0</v>
      </c>
      <c r="BB307" s="1214">
        <f ca="1">SUM((INDIRECT(BB$2&amp;(ROW())):INDIRECT(BB$3&amp;(ROW()))))</f>
        <v>0</v>
      </c>
      <c r="BC307" s="1221">
        <f ca="1">SUM(INDIRECT(BC$1&amp;BC$2&amp;$C307):INDIRECT(BC$1&amp;BC$3&amp;$C307))</f>
        <v>0</v>
      </c>
      <c r="BD307" s="3119">
        <f t="shared" ca="1" si="466"/>
        <v>0</v>
      </c>
      <c r="BE307" s="2768">
        <f t="shared" ca="1" si="467"/>
        <v>0</v>
      </c>
      <c r="BF307" s="1221">
        <f ca="1">SUM(INDIRECT(BF$1&amp;BF$2&amp;$A307):INDIRECT(BF$1&amp;BF$3&amp;$A307))+SUM(INDIRECT(BF$1&amp;BF$2&amp;$B307):INDIRECT(BF$1&amp;BF$3&amp;$B307))</f>
        <v>5429.7306432042806</v>
      </c>
      <c r="BG307" s="3119">
        <f t="shared" ca="1" si="468"/>
        <v>-5429.7306432042806</v>
      </c>
      <c r="BH307" s="2768">
        <f t="shared" ca="1" si="469"/>
        <v>0</v>
      </c>
    </row>
    <row r="308" spans="1:60" ht="15" customHeight="1">
      <c r="A308" s="616">
        <f t="shared" si="449"/>
        <v>281</v>
      </c>
      <c r="B308" s="616">
        <v>1</v>
      </c>
      <c r="C308" s="616">
        <f t="shared" si="430"/>
        <v>305</v>
      </c>
      <c r="D308" s="709" t="s">
        <v>1308</v>
      </c>
      <c r="E308" s="2547">
        <v>1</v>
      </c>
      <c r="F308" s="330"/>
      <c r="G308" s="244"/>
      <c r="H308" s="4"/>
      <c r="I308" s="27"/>
      <c r="J308" s="3"/>
      <c r="K308" s="4"/>
      <c r="L308" s="4"/>
      <c r="M308" s="3" t="s">
        <v>375</v>
      </c>
      <c r="N308" s="3"/>
      <c r="O308" s="3"/>
      <c r="P308" s="3"/>
      <c r="Q308" s="1800" t="str">
        <f>CHOOSE(2, "6722000003227", "PL (4) BT Cons. Sales ODP Digital Solution")</f>
        <v>PL (4) BT Cons. Sales ODP Digital Solution</v>
      </c>
      <c r="R308" s="1553">
        <v>0</v>
      </c>
      <c r="S308" s="1222">
        <v>0</v>
      </c>
      <c r="T308" s="1222">
        <v>0</v>
      </c>
      <c r="U308" s="1222">
        <v>0</v>
      </c>
      <c r="V308" s="1222">
        <v>0</v>
      </c>
      <c r="W308" s="1222">
        <v>0</v>
      </c>
      <c r="X308" s="1222">
        <v>0</v>
      </c>
      <c r="Y308" s="1222">
        <v>0</v>
      </c>
      <c r="Z308" s="1222">
        <v>0</v>
      </c>
      <c r="AA308" s="1222">
        <v>0</v>
      </c>
      <c r="AB308" s="1222">
        <v>0</v>
      </c>
      <c r="AC308" s="1222">
        <v>0</v>
      </c>
      <c r="AD308" s="1221">
        <f t="shared" si="481"/>
        <v>0</v>
      </c>
      <c r="AE308" s="1221">
        <f t="shared" si="482"/>
        <v>0</v>
      </c>
      <c r="AF308" s="1221">
        <f t="shared" si="483"/>
        <v>0</v>
      </c>
      <c r="AG308" s="1221">
        <f t="shared" si="484"/>
        <v>0</v>
      </c>
      <c r="AH308" s="1221">
        <f t="shared" si="485"/>
        <v>0</v>
      </c>
      <c r="AI308" s="1221">
        <f t="shared" si="486"/>
        <v>0</v>
      </c>
      <c r="AJ308" s="1221">
        <f t="shared" si="487"/>
        <v>0</v>
      </c>
      <c r="AL308" s="1214">
        <f ca="1">SUM((INDIRECT(AL$2&amp;(ROW())):INDIRECT(AL$3&amp;(ROW()))))</f>
        <v>0</v>
      </c>
      <c r="AM308" s="1221">
        <f ca="1">SUM(INDIRECT(AM$1&amp;AM$2&amp;$C308):INDIRECT(AM$1&amp;AM$3&amp;$C308))</f>
        <v>0</v>
      </c>
      <c r="AN308" s="3119">
        <f t="shared" ca="1" si="458"/>
        <v>0</v>
      </c>
      <c r="AO308" s="2768">
        <f t="shared" ca="1" si="459"/>
        <v>0</v>
      </c>
      <c r="AP308" s="1221">
        <f ca="1">SUM(INDIRECT(AP$1&amp;AP$2&amp;$A308):INDIRECT(AP$1&amp;AP$3&amp;$A308))+SUM(INDIRECT(AP$1&amp;AP$2&amp;$B308):INDIRECT(AP$1&amp;AP$3&amp;$B308))</f>
        <v>1492.5247886308562</v>
      </c>
      <c r="AQ308" s="3119">
        <f t="shared" ca="1" si="460"/>
        <v>-1492.5247886308562</v>
      </c>
      <c r="AR308" s="2768">
        <f t="shared" ca="1" si="461"/>
        <v>0</v>
      </c>
      <c r="AT308" s="1214">
        <f ca="1">SUM((INDIRECT(AT$2&amp;(ROW())):INDIRECT(AT$3&amp;(ROW()))))</f>
        <v>0</v>
      </c>
      <c r="AU308" s="1221">
        <f ca="1">SUM(INDIRECT(AU$1&amp;AU$2&amp;$C308):INDIRECT(AU$1&amp;AU$3&amp;$C308))</f>
        <v>0</v>
      </c>
      <c r="AV308" s="3119">
        <f t="shared" ca="1" si="462"/>
        <v>0</v>
      </c>
      <c r="AW308" s="2768">
        <f t="shared" ca="1" si="463"/>
        <v>0</v>
      </c>
      <c r="AX308" s="1221">
        <f ca="1">SUM(INDIRECT(AX$1&amp;AX$2&amp;$A308):INDIRECT(AX$1&amp;AX$3&amp;$A308))+SUM(INDIRECT(AX$1&amp;AX$2&amp;$B308):INDIRECT(AX$1&amp;AX$3&amp;$B308))</f>
        <v>5100.7906341132393</v>
      </c>
      <c r="AY308" s="3119">
        <f t="shared" ca="1" si="464"/>
        <v>-5100.7906341132393</v>
      </c>
      <c r="AZ308" s="2768">
        <f t="shared" ca="1" si="465"/>
        <v>0</v>
      </c>
      <c r="BB308" s="1214">
        <f ca="1">SUM((INDIRECT(BB$2&amp;(ROW())):INDIRECT(BB$3&amp;(ROW()))))</f>
        <v>0</v>
      </c>
      <c r="BC308" s="1221">
        <f ca="1">SUM(INDIRECT(BC$1&amp;BC$2&amp;$C308):INDIRECT(BC$1&amp;BC$3&amp;$C308))</f>
        <v>0</v>
      </c>
      <c r="BD308" s="3119">
        <f t="shared" ca="1" si="466"/>
        <v>0</v>
      </c>
      <c r="BE308" s="2768">
        <f t="shared" ca="1" si="467"/>
        <v>0</v>
      </c>
      <c r="BF308" s="1221">
        <f ca="1">SUM(INDIRECT(BF$1&amp;BF$2&amp;$A308):INDIRECT(BF$1&amp;BF$3&amp;$A308))+SUM(INDIRECT(BF$1&amp;BF$2&amp;$B308):INDIRECT(BF$1&amp;BF$3&amp;$B308))</f>
        <v>19268.86972340132</v>
      </c>
      <c r="BG308" s="3119">
        <f t="shared" ca="1" si="468"/>
        <v>-19268.86972340132</v>
      </c>
      <c r="BH308" s="2768">
        <f t="shared" ca="1" si="469"/>
        <v>0</v>
      </c>
    </row>
    <row r="309" spans="1:60" ht="15" customHeight="1">
      <c r="A309" s="616">
        <f t="shared" si="449"/>
        <v>282</v>
      </c>
      <c r="B309" s="616">
        <v>1</v>
      </c>
      <c r="C309" s="616">
        <f t="shared" si="430"/>
        <v>306</v>
      </c>
      <c r="D309" s="709" t="s">
        <v>1308</v>
      </c>
      <c r="E309" s="2547">
        <v>1</v>
      </c>
      <c r="F309" s="330"/>
      <c r="G309" s="244"/>
      <c r="H309" s="4"/>
      <c r="I309" s="27"/>
      <c r="J309" s="3"/>
      <c r="K309" s="4"/>
      <c r="L309" s="4"/>
      <c r="M309" s="3" t="s">
        <v>376</v>
      </c>
      <c r="N309" s="3"/>
      <c r="O309" s="3"/>
      <c r="P309" s="3"/>
      <c r="Q309" s="1800" t="str">
        <f>CHOOSE(2, "6722000003228", "PL (4) BT Cons. Sales ODP ODP New Business")</f>
        <v>PL (4) BT Cons. Sales ODP ODP New Business</v>
      </c>
      <c r="R309" s="1553">
        <v>0</v>
      </c>
      <c r="S309" s="1222">
        <v>0</v>
      </c>
      <c r="T309" s="1222">
        <v>0</v>
      </c>
      <c r="U309" s="1222">
        <v>0</v>
      </c>
      <c r="V309" s="1222">
        <v>0</v>
      </c>
      <c r="W309" s="1222">
        <v>0</v>
      </c>
      <c r="X309" s="1222">
        <v>0</v>
      </c>
      <c r="Y309" s="1222">
        <v>0</v>
      </c>
      <c r="Z309" s="1222">
        <v>0</v>
      </c>
      <c r="AA309" s="1222">
        <v>0</v>
      </c>
      <c r="AB309" s="1222">
        <v>0</v>
      </c>
      <c r="AC309" s="1222">
        <v>0</v>
      </c>
      <c r="AD309" s="1221">
        <f t="shared" si="481"/>
        <v>0</v>
      </c>
      <c r="AE309" s="1221">
        <f t="shared" si="482"/>
        <v>0</v>
      </c>
      <c r="AF309" s="1221">
        <f t="shared" si="483"/>
        <v>0</v>
      </c>
      <c r="AG309" s="1221">
        <f t="shared" si="484"/>
        <v>0</v>
      </c>
      <c r="AH309" s="1221">
        <f t="shared" si="485"/>
        <v>0</v>
      </c>
      <c r="AI309" s="1221">
        <f t="shared" si="486"/>
        <v>0</v>
      </c>
      <c r="AJ309" s="1221">
        <f t="shared" si="487"/>
        <v>0</v>
      </c>
      <c r="AL309" s="1214">
        <f ca="1">SUM((INDIRECT(AL$2&amp;(ROW())):INDIRECT(AL$3&amp;(ROW()))))</f>
        <v>0</v>
      </c>
      <c r="AM309" s="1221">
        <f ca="1">SUM(INDIRECT(AM$1&amp;AM$2&amp;$C309):INDIRECT(AM$1&amp;AM$3&amp;$C309))</f>
        <v>0</v>
      </c>
      <c r="AN309" s="3119">
        <f t="shared" ca="1" si="458"/>
        <v>0</v>
      </c>
      <c r="AO309" s="2768">
        <f t="shared" ca="1" si="459"/>
        <v>0</v>
      </c>
      <c r="AP309" s="1221">
        <f ca="1">SUM(INDIRECT(AP$1&amp;AP$2&amp;$A309):INDIRECT(AP$1&amp;AP$3&amp;$A309))+SUM(INDIRECT(AP$1&amp;AP$2&amp;$B309):INDIRECT(AP$1&amp;AP$3&amp;$B309))</f>
        <v>563.87495521621145</v>
      </c>
      <c r="AQ309" s="3119">
        <f t="shared" ca="1" si="460"/>
        <v>-563.87495521621145</v>
      </c>
      <c r="AR309" s="2768">
        <f t="shared" ca="1" si="461"/>
        <v>0</v>
      </c>
      <c r="AT309" s="1214">
        <f ca="1">SUM((INDIRECT(AT$2&amp;(ROW())):INDIRECT(AT$3&amp;(ROW()))))</f>
        <v>0</v>
      </c>
      <c r="AU309" s="1221">
        <f ca="1">SUM(INDIRECT(AU$1&amp;AU$2&amp;$C309):INDIRECT(AU$1&amp;AU$3&amp;$C309))</f>
        <v>0</v>
      </c>
      <c r="AV309" s="3119">
        <f t="shared" ca="1" si="462"/>
        <v>0</v>
      </c>
      <c r="AW309" s="2768">
        <f t="shared" ca="1" si="463"/>
        <v>0</v>
      </c>
      <c r="AX309" s="1221">
        <f ca="1">SUM(INDIRECT(AX$1&amp;AX$2&amp;$A309):INDIRECT(AX$1&amp;AX$3&amp;$A309))+SUM(INDIRECT(AX$1&amp;AX$2&amp;$B309):INDIRECT(AX$1&amp;AX$3&amp;$B309))</f>
        <v>1690.3011003787371</v>
      </c>
      <c r="AY309" s="3119">
        <f t="shared" ca="1" si="464"/>
        <v>-1690.3011003787371</v>
      </c>
      <c r="AZ309" s="2768">
        <f t="shared" ca="1" si="465"/>
        <v>0</v>
      </c>
      <c r="BB309" s="1214">
        <f ca="1">SUM((INDIRECT(BB$2&amp;(ROW())):INDIRECT(BB$3&amp;(ROW()))))</f>
        <v>0</v>
      </c>
      <c r="BC309" s="1221">
        <f ca="1">SUM(INDIRECT(BC$1&amp;BC$2&amp;$C309):INDIRECT(BC$1&amp;BC$3&amp;$C309))</f>
        <v>0</v>
      </c>
      <c r="BD309" s="3119">
        <f t="shared" ca="1" si="466"/>
        <v>0</v>
      </c>
      <c r="BE309" s="2768">
        <f t="shared" ca="1" si="467"/>
        <v>0</v>
      </c>
      <c r="BF309" s="1221">
        <f ca="1">SUM(INDIRECT(BF$1&amp;BF$2&amp;$A309):INDIRECT(BF$1&amp;BF$3&amp;$A309))+SUM(INDIRECT(BF$1&amp;BF$2&amp;$B309):INDIRECT(BF$1&amp;BF$3&amp;$B309))</f>
        <v>6320.7810457524438</v>
      </c>
      <c r="BG309" s="3119">
        <f t="shared" ca="1" si="468"/>
        <v>-6320.7810457524438</v>
      </c>
      <c r="BH309" s="2768">
        <f t="shared" ca="1" si="469"/>
        <v>0</v>
      </c>
    </row>
    <row r="310" spans="1:60" ht="14.5">
      <c r="A310" s="616">
        <f t="shared" si="449"/>
        <v>283</v>
      </c>
      <c r="B310" s="616">
        <v>1</v>
      </c>
      <c r="C310" s="616">
        <f t="shared" si="430"/>
        <v>307</v>
      </c>
      <c r="D310" s="709" t="s">
        <v>1308</v>
      </c>
      <c r="E310" s="2547">
        <v>1</v>
      </c>
      <c r="F310" s="4"/>
      <c r="G310" s="4"/>
      <c r="H310" s="4"/>
      <c r="I310" s="3162" t="s">
        <v>54</v>
      </c>
      <c r="J310" s="595"/>
      <c r="K310" s="867"/>
      <c r="L310" s="867"/>
      <c r="M310" s="595"/>
      <c r="N310" s="595"/>
      <c r="O310" s="595"/>
      <c r="P310" s="595"/>
      <c r="Q310" s="1798" t="str">
        <f>CHOOSE(2, "6722000003229", "PL (4) Gross Profit")</f>
        <v>PL (4) Gross Profit</v>
      </c>
      <c r="R310" s="1560">
        <f>SUM(R321,R325)</f>
        <v>0</v>
      </c>
      <c r="S310" s="3163">
        <f t="shared" ref="S310:AJ310" si="489">SUM(S321,S325)</f>
        <v>0</v>
      </c>
      <c r="T310" s="3163">
        <f t="shared" si="489"/>
        <v>0</v>
      </c>
      <c r="U310" s="3163">
        <f t="shared" si="489"/>
        <v>0</v>
      </c>
      <c r="V310" s="3163">
        <f t="shared" si="489"/>
        <v>0</v>
      </c>
      <c r="W310" s="3163">
        <f t="shared" si="489"/>
        <v>0</v>
      </c>
      <c r="X310" s="3163">
        <f t="shared" si="489"/>
        <v>0</v>
      </c>
      <c r="Y310" s="3163">
        <f t="shared" si="489"/>
        <v>0</v>
      </c>
      <c r="Z310" s="3163">
        <f t="shared" si="489"/>
        <v>0</v>
      </c>
      <c r="AA310" s="3163">
        <f t="shared" si="489"/>
        <v>0</v>
      </c>
      <c r="AB310" s="3163">
        <f t="shared" si="489"/>
        <v>0</v>
      </c>
      <c r="AC310" s="3163">
        <f t="shared" si="489"/>
        <v>0</v>
      </c>
      <c r="AD310" s="3164">
        <f t="shared" si="489"/>
        <v>0</v>
      </c>
      <c r="AE310" s="3164">
        <f t="shared" si="489"/>
        <v>0</v>
      </c>
      <c r="AF310" s="3164">
        <f t="shared" si="489"/>
        <v>0</v>
      </c>
      <c r="AG310" s="3164">
        <f t="shared" si="489"/>
        <v>0</v>
      </c>
      <c r="AH310" s="3164">
        <f t="shared" si="489"/>
        <v>0</v>
      </c>
      <c r="AI310" s="3164">
        <f t="shared" si="489"/>
        <v>0</v>
      </c>
      <c r="AJ310" s="3164">
        <f t="shared" si="489"/>
        <v>0</v>
      </c>
      <c r="AL310" s="1314">
        <f ca="1">SUM((INDIRECT(AL$2&amp;(ROW())):INDIRECT(AL$3&amp;(ROW()))))</f>
        <v>0</v>
      </c>
      <c r="AM310" s="3164">
        <f ca="1">SUM(INDIRECT(AM$1&amp;AM$2&amp;$C310):INDIRECT(AM$1&amp;AM$3&amp;$C310))</f>
        <v>0</v>
      </c>
      <c r="AN310" s="3165">
        <f t="shared" ca="1" si="458"/>
        <v>0</v>
      </c>
      <c r="AO310" s="3166">
        <f t="shared" ca="1" si="459"/>
        <v>0</v>
      </c>
      <c r="AP310" s="3164">
        <f ca="1">SUM(INDIRECT(AP$1&amp;AP$2&amp;$A310):INDIRECT(AP$1&amp;AP$3&amp;$A310))+SUM(INDIRECT(AP$1&amp;AP$2&amp;$B310):INDIRECT(AP$1&amp;AP$3&amp;$B310))</f>
        <v>0</v>
      </c>
      <c r="AQ310" s="3165">
        <f t="shared" ca="1" si="460"/>
        <v>0</v>
      </c>
      <c r="AR310" s="3166">
        <f t="shared" ca="1" si="461"/>
        <v>0</v>
      </c>
      <c r="AT310" s="1314">
        <f ca="1">SUM((INDIRECT(AT$2&amp;(ROW())):INDIRECT(AT$3&amp;(ROW()))))</f>
        <v>0</v>
      </c>
      <c r="AU310" s="3164">
        <f ca="1">SUM(INDIRECT(AU$1&amp;AU$2&amp;$C310):INDIRECT(AU$1&amp;AU$3&amp;$C310))</f>
        <v>0</v>
      </c>
      <c r="AV310" s="3165">
        <f t="shared" ca="1" si="462"/>
        <v>0</v>
      </c>
      <c r="AW310" s="3166">
        <f t="shared" ca="1" si="463"/>
        <v>0</v>
      </c>
      <c r="AX310" s="3164">
        <f ca="1">SUM(INDIRECT(AX$1&amp;AX$2&amp;$A310):INDIRECT(AX$1&amp;AX$3&amp;$A310))+SUM(INDIRECT(AX$1&amp;AX$2&amp;$B310):INDIRECT(AX$1&amp;AX$3&amp;$B310))</f>
        <v>0</v>
      </c>
      <c r="AY310" s="3165">
        <f t="shared" ca="1" si="464"/>
        <v>0</v>
      </c>
      <c r="AZ310" s="3166">
        <f t="shared" ca="1" si="465"/>
        <v>0</v>
      </c>
      <c r="BB310" s="1314">
        <f ca="1">SUM((INDIRECT(BB$2&amp;(ROW())):INDIRECT(BB$3&amp;(ROW()))))</f>
        <v>0</v>
      </c>
      <c r="BC310" s="3164">
        <f ca="1">SUM(INDIRECT(BC$1&amp;BC$2&amp;$C310):INDIRECT(BC$1&amp;BC$3&amp;$C310))</f>
        <v>0</v>
      </c>
      <c r="BD310" s="3165">
        <f t="shared" ca="1" si="466"/>
        <v>0</v>
      </c>
      <c r="BE310" s="3166">
        <f t="shared" ca="1" si="467"/>
        <v>0</v>
      </c>
      <c r="BF310" s="3164">
        <f ca="1">SUM(INDIRECT(BF$1&amp;BF$2&amp;$A310):INDIRECT(BF$1&amp;BF$3&amp;$A310))+SUM(INDIRECT(BF$1&amp;BF$2&amp;$B310):INDIRECT(BF$1&amp;BF$3&amp;$B310))</f>
        <v>0</v>
      </c>
      <c r="BG310" s="3165">
        <f t="shared" ca="1" si="468"/>
        <v>0</v>
      </c>
      <c r="BH310" s="3166">
        <f t="shared" ca="1" si="469"/>
        <v>0</v>
      </c>
    </row>
    <row r="311" spans="1:60" ht="14.5">
      <c r="A311" s="616">
        <f t="shared" si="449"/>
        <v>284</v>
      </c>
      <c r="B311" s="616">
        <v>1</v>
      </c>
      <c r="C311" s="616">
        <f t="shared" si="430"/>
        <v>308</v>
      </c>
      <c r="D311" s="709" t="s">
        <v>1308</v>
      </c>
      <c r="E311" s="2547">
        <v>1</v>
      </c>
      <c r="F311" s="4"/>
      <c r="G311" s="4"/>
      <c r="H311" s="4"/>
      <c r="I311" s="507"/>
      <c r="J311" s="503" t="s">
        <v>1328</v>
      </c>
      <c r="K311" s="4"/>
      <c r="L311" s="48"/>
      <c r="M311" s="48"/>
      <c r="N311" s="48"/>
      <c r="O311" s="551" t="s">
        <v>1388</v>
      </c>
      <c r="P311" s="48"/>
      <c r="Q311" s="1785" t="str">
        <f>CHOOSE(2, "6722000003230", "PL (4) Gross Profit (%)")</f>
        <v>PL (4) Gross Profit (%)</v>
      </c>
      <c r="R311" s="1325">
        <f>IFERROR(R310/R290,0)</f>
        <v>0</v>
      </c>
      <c r="S311" s="1324">
        <f t="shared" ref="S311:AJ311" si="490">IFERROR(S310/S290,0)</f>
        <v>0</v>
      </c>
      <c r="T311" s="1324">
        <f t="shared" si="490"/>
        <v>0</v>
      </c>
      <c r="U311" s="1324">
        <f t="shared" si="490"/>
        <v>0</v>
      </c>
      <c r="V311" s="1324">
        <f t="shared" si="490"/>
        <v>0</v>
      </c>
      <c r="W311" s="1324">
        <f t="shared" si="490"/>
        <v>0</v>
      </c>
      <c r="X311" s="1324">
        <f t="shared" si="490"/>
        <v>0</v>
      </c>
      <c r="Y311" s="1324">
        <f t="shared" si="490"/>
        <v>0</v>
      </c>
      <c r="Z311" s="1324">
        <f t="shared" si="490"/>
        <v>0</v>
      </c>
      <c r="AA311" s="1324">
        <f t="shared" si="490"/>
        <v>0</v>
      </c>
      <c r="AB311" s="1324">
        <f t="shared" si="490"/>
        <v>0</v>
      </c>
      <c r="AC311" s="1324">
        <f t="shared" si="490"/>
        <v>0</v>
      </c>
      <c r="AD311" s="1324">
        <f t="shared" si="490"/>
        <v>0</v>
      </c>
      <c r="AE311" s="1324">
        <f t="shared" si="490"/>
        <v>0</v>
      </c>
      <c r="AF311" s="1324">
        <f t="shared" si="490"/>
        <v>0</v>
      </c>
      <c r="AG311" s="1324">
        <f t="shared" si="490"/>
        <v>0</v>
      </c>
      <c r="AH311" s="1324">
        <f t="shared" si="490"/>
        <v>0</v>
      </c>
      <c r="AI311" s="1324">
        <f t="shared" si="490"/>
        <v>0</v>
      </c>
      <c r="AJ311" s="1324">
        <f t="shared" si="490"/>
        <v>0</v>
      </c>
      <c r="AK311" s="504"/>
      <c r="AL311" s="1325">
        <f ca="1">IFERROR(AL310/AL290,0)</f>
        <v>0</v>
      </c>
      <c r="AM311" s="1324">
        <f ca="1">IFERROR(AM310/AM290,0)</f>
        <v>0</v>
      </c>
      <c r="AN311" s="1324">
        <f t="shared" ca="1" si="458"/>
        <v>0</v>
      </c>
      <c r="AO311" s="2817"/>
      <c r="AP311" s="1324">
        <f ca="1">IFERROR(AP310/AP290,0)</f>
        <v>0</v>
      </c>
      <c r="AQ311" s="1324">
        <f t="shared" ca="1" si="460"/>
        <v>0</v>
      </c>
      <c r="AR311" s="2817"/>
      <c r="AS311" s="504"/>
      <c r="AT311" s="1325">
        <f ca="1">IFERROR(AT310/AT290,0)</f>
        <v>0</v>
      </c>
      <c r="AU311" s="1324">
        <f ca="1">IFERROR(AU310/AU290,0)</f>
        <v>0</v>
      </c>
      <c r="AV311" s="1324">
        <f t="shared" ca="1" si="462"/>
        <v>0</v>
      </c>
      <c r="AW311" s="2817"/>
      <c r="AX311" s="1324">
        <f ca="1">IFERROR(AX310/AX290,0)</f>
        <v>0</v>
      </c>
      <c r="AY311" s="1324">
        <f t="shared" ca="1" si="464"/>
        <v>0</v>
      </c>
      <c r="AZ311" s="2817"/>
      <c r="BA311" s="504"/>
      <c r="BB311" s="1325">
        <f ca="1">IFERROR(BB310/BB290,0)</f>
        <v>0</v>
      </c>
      <c r="BC311" s="1324">
        <f ca="1">IFERROR(BC310/BC290,0)</f>
        <v>0</v>
      </c>
      <c r="BD311" s="1324">
        <f t="shared" ca="1" si="466"/>
        <v>0</v>
      </c>
      <c r="BE311" s="2817"/>
      <c r="BF311" s="1324">
        <f ca="1">IFERROR(BF310/BF290,0)</f>
        <v>0</v>
      </c>
      <c r="BG311" s="1324">
        <f t="shared" ca="1" si="468"/>
        <v>0</v>
      </c>
      <c r="BH311" s="2817"/>
    </row>
    <row r="312" spans="1:60" s="504" customFormat="1" ht="14.5" hidden="1" outlineLevel="1">
      <c r="A312" s="616">
        <f t="shared" si="449"/>
        <v>285</v>
      </c>
      <c r="B312" s="616">
        <v>1</v>
      </c>
      <c r="C312" s="616">
        <f t="shared" si="430"/>
        <v>309</v>
      </c>
      <c r="D312" s="709" t="s">
        <v>1308</v>
      </c>
      <c r="E312" s="2547">
        <v>1</v>
      </c>
      <c r="F312" s="4"/>
      <c r="G312" s="4"/>
      <c r="H312" s="501"/>
      <c r="I312" s="502"/>
      <c r="J312" s="505"/>
      <c r="K312" s="501"/>
      <c r="L312" s="503" t="s">
        <v>1417</v>
      </c>
      <c r="M312" s="503"/>
      <c r="N312" s="505"/>
      <c r="O312" s="505"/>
      <c r="P312" s="505"/>
      <c r="Q312" s="1792" t="str">
        <f>CHOOSE(2, "6722000003231", "PL (4) Gross Profit MPM(%)")</f>
        <v>PL (4) Gross Profit MPM(%)</v>
      </c>
      <c r="R312" s="1304">
        <f t="shared" ref="R312:AJ320" si="491">IFERROR(R321/R291,0)</f>
        <v>0</v>
      </c>
      <c r="S312" s="1283">
        <f t="shared" si="491"/>
        <v>0</v>
      </c>
      <c r="T312" s="1283">
        <f t="shared" si="491"/>
        <v>0</v>
      </c>
      <c r="U312" s="1283">
        <f t="shared" si="491"/>
        <v>0</v>
      </c>
      <c r="V312" s="1283">
        <f t="shared" si="491"/>
        <v>0</v>
      </c>
      <c r="W312" s="1283">
        <f t="shared" si="491"/>
        <v>0</v>
      </c>
      <c r="X312" s="1283">
        <f t="shared" si="491"/>
        <v>0</v>
      </c>
      <c r="Y312" s="1283">
        <f t="shared" si="491"/>
        <v>0</v>
      </c>
      <c r="Z312" s="1283">
        <f t="shared" si="491"/>
        <v>0</v>
      </c>
      <c r="AA312" s="1283">
        <f t="shared" si="491"/>
        <v>0</v>
      </c>
      <c r="AB312" s="1283">
        <f t="shared" si="491"/>
        <v>0</v>
      </c>
      <c r="AC312" s="1283">
        <f t="shared" si="491"/>
        <v>0</v>
      </c>
      <c r="AD312" s="1283">
        <f t="shared" si="491"/>
        <v>0</v>
      </c>
      <c r="AE312" s="1283">
        <f t="shared" si="491"/>
        <v>0</v>
      </c>
      <c r="AF312" s="1283">
        <f t="shared" si="491"/>
        <v>0</v>
      </c>
      <c r="AG312" s="1283">
        <f t="shared" si="491"/>
        <v>0</v>
      </c>
      <c r="AH312" s="1283">
        <f t="shared" si="491"/>
        <v>0</v>
      </c>
      <c r="AI312" s="1283">
        <f t="shared" si="491"/>
        <v>0</v>
      </c>
      <c r="AJ312" s="1283">
        <f t="shared" si="491"/>
        <v>0</v>
      </c>
      <c r="AL312" s="1304">
        <f t="shared" ref="AL312:AM320" ca="1" si="492">IFERROR(AL321/AL291,0)</f>
        <v>0</v>
      </c>
      <c r="AM312" s="1283">
        <f t="shared" ca="1" si="492"/>
        <v>0</v>
      </c>
      <c r="AN312" s="1283">
        <f t="shared" ca="1" si="458"/>
        <v>0</v>
      </c>
      <c r="AO312" s="2777"/>
      <c r="AP312" s="1283">
        <f t="shared" ref="AP312:AP320" ca="1" si="493">IFERROR(AP321/AP291,0)</f>
        <v>0</v>
      </c>
      <c r="AQ312" s="1283">
        <f t="shared" ca="1" si="460"/>
        <v>0</v>
      </c>
      <c r="AR312" s="2777"/>
      <c r="AT312" s="1304">
        <f t="shared" ref="AT312:AU320" ca="1" si="494">IFERROR(AT321/AT291,0)</f>
        <v>0</v>
      </c>
      <c r="AU312" s="1283">
        <f t="shared" ca="1" si="494"/>
        <v>0</v>
      </c>
      <c r="AV312" s="1283">
        <f t="shared" ca="1" si="462"/>
        <v>0</v>
      </c>
      <c r="AW312" s="2777"/>
      <c r="AX312" s="1283">
        <f t="shared" ref="AX312:AX320" ca="1" si="495">IFERROR(AX321/AX291,0)</f>
        <v>0</v>
      </c>
      <c r="AY312" s="1283">
        <f t="shared" ca="1" si="464"/>
        <v>0</v>
      </c>
      <c r="AZ312" s="2777"/>
      <c r="BB312" s="1304">
        <f t="shared" ref="BB312:BC320" ca="1" si="496">IFERROR(BB321/BB291,0)</f>
        <v>0</v>
      </c>
      <c r="BC312" s="1283">
        <f t="shared" ca="1" si="496"/>
        <v>0</v>
      </c>
      <c r="BD312" s="1283">
        <f t="shared" ca="1" si="466"/>
        <v>0</v>
      </c>
      <c r="BE312" s="2777"/>
      <c r="BF312" s="1283">
        <f t="shared" ref="BF312:BF320" ca="1" si="497">IFERROR(BF321/BF291,0)</f>
        <v>0</v>
      </c>
      <c r="BG312" s="1283">
        <f t="shared" ca="1" si="468"/>
        <v>0</v>
      </c>
      <c r="BH312" s="2777"/>
    </row>
    <row r="313" spans="1:60" s="504" customFormat="1" ht="14.5" hidden="1" outlineLevel="1">
      <c r="A313" s="616">
        <f t="shared" si="449"/>
        <v>286</v>
      </c>
      <c r="B313" s="616">
        <v>1</v>
      </c>
      <c r="C313" s="616">
        <f t="shared" si="430"/>
        <v>310</v>
      </c>
      <c r="D313" s="709" t="s">
        <v>1308</v>
      </c>
      <c r="E313" s="2547">
        <v>1</v>
      </c>
      <c r="F313" s="4"/>
      <c r="G313" s="4"/>
      <c r="H313" s="501"/>
      <c r="I313" s="502"/>
      <c r="J313" s="505"/>
      <c r="K313" s="501"/>
      <c r="L313" s="501"/>
      <c r="M313" s="503" t="s">
        <v>1418</v>
      </c>
      <c r="N313" s="505"/>
      <c r="O313" s="505"/>
      <c r="P313" s="505"/>
      <c r="Q313" s="1792" t="str">
        <f>CHOOSE(2, "6722000003232", "PL (4) Gross Profit MPM(%) Procurement (%)")</f>
        <v>PL (4) Gross Profit MPM(%) Procurement (%)</v>
      </c>
      <c r="R313" s="1304">
        <f t="shared" si="491"/>
        <v>0</v>
      </c>
      <c r="S313" s="1283">
        <f t="shared" si="491"/>
        <v>0</v>
      </c>
      <c r="T313" s="1283">
        <f t="shared" si="491"/>
        <v>0</v>
      </c>
      <c r="U313" s="1283">
        <f t="shared" si="491"/>
        <v>0</v>
      </c>
      <c r="V313" s="1283">
        <f t="shared" si="491"/>
        <v>0</v>
      </c>
      <c r="W313" s="1283">
        <f t="shared" si="491"/>
        <v>0</v>
      </c>
      <c r="X313" s="1283">
        <f t="shared" si="491"/>
        <v>0</v>
      </c>
      <c r="Y313" s="1283">
        <f t="shared" si="491"/>
        <v>0</v>
      </c>
      <c r="Z313" s="1283">
        <f t="shared" si="491"/>
        <v>0</v>
      </c>
      <c r="AA313" s="1283">
        <f t="shared" si="491"/>
        <v>0</v>
      </c>
      <c r="AB313" s="1283">
        <f t="shared" si="491"/>
        <v>0</v>
      </c>
      <c r="AC313" s="1283">
        <f t="shared" si="491"/>
        <v>0</v>
      </c>
      <c r="AD313" s="1283">
        <f t="shared" si="491"/>
        <v>0</v>
      </c>
      <c r="AE313" s="1283">
        <f t="shared" si="491"/>
        <v>0</v>
      </c>
      <c r="AF313" s="1283">
        <f t="shared" si="491"/>
        <v>0</v>
      </c>
      <c r="AG313" s="1283">
        <f t="shared" si="491"/>
        <v>0</v>
      </c>
      <c r="AH313" s="1283">
        <f t="shared" si="491"/>
        <v>0</v>
      </c>
      <c r="AI313" s="1283">
        <f t="shared" si="491"/>
        <v>0</v>
      </c>
      <c r="AJ313" s="1283">
        <f t="shared" si="491"/>
        <v>0</v>
      </c>
      <c r="AL313" s="1304">
        <f t="shared" ca="1" si="492"/>
        <v>0</v>
      </c>
      <c r="AM313" s="1283">
        <f t="shared" ca="1" si="492"/>
        <v>0</v>
      </c>
      <c r="AN313" s="1283">
        <f t="shared" ca="1" si="458"/>
        <v>0</v>
      </c>
      <c r="AO313" s="2777"/>
      <c r="AP313" s="1283">
        <f t="shared" ca="1" si="493"/>
        <v>0</v>
      </c>
      <c r="AQ313" s="1283">
        <f t="shared" ca="1" si="460"/>
        <v>0</v>
      </c>
      <c r="AR313" s="2777"/>
      <c r="AT313" s="1304">
        <f t="shared" ca="1" si="494"/>
        <v>0</v>
      </c>
      <c r="AU313" s="1283">
        <f t="shared" ca="1" si="494"/>
        <v>0</v>
      </c>
      <c r="AV313" s="1283">
        <f t="shared" ca="1" si="462"/>
        <v>0</v>
      </c>
      <c r="AW313" s="2777"/>
      <c r="AX313" s="1283">
        <f t="shared" ca="1" si="495"/>
        <v>0</v>
      </c>
      <c r="AY313" s="1283">
        <f t="shared" ca="1" si="464"/>
        <v>0</v>
      </c>
      <c r="AZ313" s="2777"/>
      <c r="BB313" s="1304">
        <f t="shared" ca="1" si="496"/>
        <v>0</v>
      </c>
      <c r="BC313" s="1283">
        <f t="shared" ca="1" si="496"/>
        <v>0</v>
      </c>
      <c r="BD313" s="1283">
        <f t="shared" ca="1" si="466"/>
        <v>0</v>
      </c>
      <c r="BE313" s="2777"/>
      <c r="BF313" s="1283">
        <f t="shared" ca="1" si="497"/>
        <v>0</v>
      </c>
      <c r="BG313" s="1283">
        <f t="shared" ca="1" si="468"/>
        <v>0</v>
      </c>
      <c r="BH313" s="2777"/>
    </row>
    <row r="314" spans="1:60" s="504" customFormat="1" ht="14.5" hidden="1" outlineLevel="1">
      <c r="A314" s="616">
        <f t="shared" si="449"/>
        <v>287</v>
      </c>
      <c r="B314" s="616">
        <v>1</v>
      </c>
      <c r="C314" s="616">
        <f t="shared" si="430"/>
        <v>311</v>
      </c>
      <c r="D314" s="709" t="s">
        <v>1308</v>
      </c>
      <c r="E314" s="2547">
        <v>1</v>
      </c>
      <c r="F314" s="4"/>
      <c r="G314" s="4"/>
      <c r="H314" s="501"/>
      <c r="I314" s="502"/>
      <c r="J314" s="505"/>
      <c r="K314" s="501"/>
      <c r="L314" s="501"/>
      <c r="M314" s="503" t="s">
        <v>1419</v>
      </c>
      <c r="N314" s="505"/>
      <c r="O314" s="505"/>
      <c r="P314" s="505"/>
      <c r="Q314" s="1792" t="str">
        <f>CHOOSE(2, "6722000003233", "PL (4) Gross Profit MPM(%) Production (%)")</f>
        <v>PL (4) Gross Profit MPM(%) Production (%)</v>
      </c>
      <c r="R314" s="1304">
        <f t="shared" si="491"/>
        <v>0</v>
      </c>
      <c r="S314" s="1283">
        <f t="shared" si="491"/>
        <v>0</v>
      </c>
      <c r="T314" s="1283">
        <f t="shared" si="491"/>
        <v>0</v>
      </c>
      <c r="U314" s="1283">
        <f t="shared" si="491"/>
        <v>0</v>
      </c>
      <c r="V314" s="1283">
        <f t="shared" si="491"/>
        <v>0</v>
      </c>
      <c r="W314" s="1283">
        <f t="shared" si="491"/>
        <v>0</v>
      </c>
      <c r="X314" s="1283">
        <f t="shared" si="491"/>
        <v>0</v>
      </c>
      <c r="Y314" s="1283">
        <f t="shared" si="491"/>
        <v>0</v>
      </c>
      <c r="Z314" s="1283">
        <f t="shared" si="491"/>
        <v>0</v>
      </c>
      <c r="AA314" s="1283">
        <f t="shared" si="491"/>
        <v>0</v>
      </c>
      <c r="AB314" s="1283">
        <f t="shared" si="491"/>
        <v>0</v>
      </c>
      <c r="AC314" s="1283">
        <f t="shared" si="491"/>
        <v>0</v>
      </c>
      <c r="AD314" s="1283">
        <f t="shared" si="491"/>
        <v>0</v>
      </c>
      <c r="AE314" s="1283">
        <f t="shared" si="491"/>
        <v>0</v>
      </c>
      <c r="AF314" s="1283">
        <f t="shared" si="491"/>
        <v>0</v>
      </c>
      <c r="AG314" s="1283">
        <f t="shared" si="491"/>
        <v>0</v>
      </c>
      <c r="AH314" s="1283">
        <f t="shared" si="491"/>
        <v>0</v>
      </c>
      <c r="AI314" s="1283">
        <f t="shared" si="491"/>
        <v>0</v>
      </c>
      <c r="AJ314" s="1283">
        <f t="shared" si="491"/>
        <v>0</v>
      </c>
      <c r="AL314" s="1304">
        <f t="shared" ca="1" si="492"/>
        <v>0</v>
      </c>
      <c r="AM314" s="1283">
        <f t="shared" ca="1" si="492"/>
        <v>0</v>
      </c>
      <c r="AN314" s="1283">
        <f t="shared" ca="1" si="458"/>
        <v>0</v>
      </c>
      <c r="AO314" s="2777"/>
      <c r="AP314" s="1283">
        <f t="shared" ca="1" si="493"/>
        <v>0</v>
      </c>
      <c r="AQ314" s="1283">
        <f t="shared" ca="1" si="460"/>
        <v>0</v>
      </c>
      <c r="AR314" s="2777"/>
      <c r="AT314" s="1304">
        <f t="shared" ca="1" si="494"/>
        <v>0</v>
      </c>
      <c r="AU314" s="1283">
        <f t="shared" ca="1" si="494"/>
        <v>0</v>
      </c>
      <c r="AV314" s="1283">
        <f t="shared" ca="1" si="462"/>
        <v>0</v>
      </c>
      <c r="AW314" s="2777"/>
      <c r="AX314" s="1283">
        <f t="shared" ca="1" si="495"/>
        <v>0</v>
      </c>
      <c r="AY314" s="1283">
        <f t="shared" ca="1" si="464"/>
        <v>0</v>
      </c>
      <c r="AZ314" s="2777"/>
      <c r="BB314" s="1304">
        <f t="shared" ca="1" si="496"/>
        <v>0</v>
      </c>
      <c r="BC314" s="1283">
        <f t="shared" ca="1" si="496"/>
        <v>0</v>
      </c>
      <c r="BD314" s="1283">
        <f t="shared" ca="1" si="466"/>
        <v>0</v>
      </c>
      <c r="BE314" s="2777"/>
      <c r="BF314" s="1283">
        <f t="shared" ca="1" si="497"/>
        <v>0</v>
      </c>
      <c r="BG314" s="1283">
        <f t="shared" ca="1" si="468"/>
        <v>0</v>
      </c>
      <c r="BH314" s="2777"/>
    </row>
    <row r="315" spans="1:60" s="504" customFormat="1" ht="14.5" hidden="1" outlineLevel="1">
      <c r="A315" s="616">
        <f t="shared" si="449"/>
        <v>288</v>
      </c>
      <c r="B315" s="616">
        <v>1</v>
      </c>
      <c r="C315" s="616">
        <f t="shared" si="430"/>
        <v>312</v>
      </c>
      <c r="D315" s="709" t="s">
        <v>1308</v>
      </c>
      <c r="E315" s="2547">
        <v>1</v>
      </c>
      <c r="F315" s="4"/>
      <c r="G315" s="4"/>
      <c r="H315" s="501"/>
      <c r="I315" s="502"/>
      <c r="J315" s="505"/>
      <c r="K315" s="501"/>
      <c r="L315" s="552"/>
      <c r="M315" s="510" t="s">
        <v>1396</v>
      </c>
      <c r="N315" s="553"/>
      <c r="O315" s="553"/>
      <c r="P315" s="553"/>
      <c r="Q315" s="1792" t="str">
        <f>CHOOSE(2, "6722000003234", "PL (4) Gross Profit MPM(%) Solution (%)")</f>
        <v>PL (4) Gross Profit MPM(%) Solution (%)</v>
      </c>
      <c r="R315" s="1315">
        <f t="shared" si="491"/>
        <v>0</v>
      </c>
      <c r="S315" s="1295">
        <f t="shared" si="491"/>
        <v>0</v>
      </c>
      <c r="T315" s="1295">
        <f t="shared" si="491"/>
        <v>0</v>
      </c>
      <c r="U315" s="1295">
        <f t="shared" si="491"/>
        <v>0</v>
      </c>
      <c r="V315" s="1295">
        <f t="shared" si="491"/>
        <v>0</v>
      </c>
      <c r="W315" s="1295">
        <f t="shared" si="491"/>
        <v>0</v>
      </c>
      <c r="X315" s="1295">
        <f t="shared" si="491"/>
        <v>0</v>
      </c>
      <c r="Y315" s="1295">
        <f t="shared" si="491"/>
        <v>0</v>
      </c>
      <c r="Z315" s="1295">
        <f t="shared" si="491"/>
        <v>0</v>
      </c>
      <c r="AA315" s="1295">
        <f t="shared" si="491"/>
        <v>0</v>
      </c>
      <c r="AB315" s="1295">
        <f t="shared" si="491"/>
        <v>0</v>
      </c>
      <c r="AC315" s="1295">
        <f t="shared" si="491"/>
        <v>0</v>
      </c>
      <c r="AD315" s="1295">
        <f t="shared" si="491"/>
        <v>0</v>
      </c>
      <c r="AE315" s="1295">
        <f t="shared" si="491"/>
        <v>0</v>
      </c>
      <c r="AF315" s="1295">
        <f t="shared" si="491"/>
        <v>0</v>
      </c>
      <c r="AG315" s="1295">
        <f t="shared" si="491"/>
        <v>0</v>
      </c>
      <c r="AH315" s="1295">
        <f t="shared" si="491"/>
        <v>0</v>
      </c>
      <c r="AI315" s="1295">
        <f t="shared" si="491"/>
        <v>0</v>
      </c>
      <c r="AJ315" s="1295">
        <f t="shared" si="491"/>
        <v>0</v>
      </c>
      <c r="AL315" s="1315">
        <f t="shared" ca="1" si="492"/>
        <v>0</v>
      </c>
      <c r="AM315" s="1295">
        <f t="shared" ca="1" si="492"/>
        <v>0</v>
      </c>
      <c r="AN315" s="1295">
        <f t="shared" ca="1" si="458"/>
        <v>0</v>
      </c>
      <c r="AO315" s="2818"/>
      <c r="AP315" s="1295">
        <f t="shared" ca="1" si="493"/>
        <v>0</v>
      </c>
      <c r="AQ315" s="1295">
        <f t="shared" ca="1" si="460"/>
        <v>0</v>
      </c>
      <c r="AR315" s="2818"/>
      <c r="AT315" s="1315">
        <f t="shared" ca="1" si="494"/>
        <v>0</v>
      </c>
      <c r="AU315" s="1295">
        <f t="shared" ca="1" si="494"/>
        <v>0</v>
      </c>
      <c r="AV315" s="1295">
        <f t="shared" ca="1" si="462"/>
        <v>0</v>
      </c>
      <c r="AW315" s="2818"/>
      <c r="AX315" s="1295">
        <f t="shared" ca="1" si="495"/>
        <v>0</v>
      </c>
      <c r="AY315" s="1295">
        <f t="shared" ca="1" si="464"/>
        <v>0</v>
      </c>
      <c r="AZ315" s="2818"/>
      <c r="BB315" s="1315">
        <f t="shared" ca="1" si="496"/>
        <v>0</v>
      </c>
      <c r="BC315" s="1295">
        <f t="shared" ca="1" si="496"/>
        <v>0</v>
      </c>
      <c r="BD315" s="1295">
        <f t="shared" ca="1" si="466"/>
        <v>0</v>
      </c>
      <c r="BE315" s="2818"/>
      <c r="BF315" s="1295">
        <f t="shared" ca="1" si="497"/>
        <v>0</v>
      </c>
      <c r="BG315" s="1295">
        <f t="shared" ca="1" si="468"/>
        <v>0</v>
      </c>
      <c r="BH315" s="2818"/>
    </row>
    <row r="316" spans="1:60" s="504" customFormat="1" ht="14.5" hidden="1" outlineLevel="1">
      <c r="A316" s="616">
        <f t="shared" si="449"/>
        <v>289</v>
      </c>
      <c r="B316" s="616">
        <v>1</v>
      </c>
      <c r="C316" s="616">
        <f t="shared" si="430"/>
        <v>313</v>
      </c>
      <c r="D316" s="709" t="s">
        <v>1308</v>
      </c>
      <c r="E316" s="2547">
        <v>1</v>
      </c>
      <c r="F316" s="4"/>
      <c r="G316" s="4"/>
      <c r="H316" s="501"/>
      <c r="I316" s="502"/>
      <c r="J316" s="505"/>
      <c r="K316" s="501"/>
      <c r="L316" s="503" t="s">
        <v>1420</v>
      </c>
      <c r="M316" s="503"/>
      <c r="N316" s="505"/>
      <c r="O316" s="505"/>
      <c r="P316" s="505"/>
      <c r="Q316" s="1792" t="str">
        <f>CHOOSE(2, "6722000003235", "PL (4) Gross Profit ODP(%)")</f>
        <v>PL (4) Gross Profit ODP(%)</v>
      </c>
      <c r="R316" s="1304">
        <f t="shared" si="491"/>
        <v>0</v>
      </c>
      <c r="S316" s="1283">
        <f t="shared" si="491"/>
        <v>0</v>
      </c>
      <c r="T316" s="1283">
        <f t="shared" si="491"/>
        <v>0</v>
      </c>
      <c r="U316" s="1283">
        <f t="shared" si="491"/>
        <v>0</v>
      </c>
      <c r="V316" s="1283">
        <f t="shared" si="491"/>
        <v>0</v>
      </c>
      <c r="W316" s="1283">
        <f t="shared" si="491"/>
        <v>0</v>
      </c>
      <c r="X316" s="1283">
        <f t="shared" si="491"/>
        <v>0</v>
      </c>
      <c r="Y316" s="1283">
        <f t="shared" si="491"/>
        <v>0</v>
      </c>
      <c r="Z316" s="1283">
        <f t="shared" si="491"/>
        <v>0</v>
      </c>
      <c r="AA316" s="1283">
        <f t="shared" si="491"/>
        <v>0</v>
      </c>
      <c r="AB316" s="1283">
        <f t="shared" si="491"/>
        <v>0</v>
      </c>
      <c r="AC316" s="1283">
        <f t="shared" si="491"/>
        <v>0</v>
      </c>
      <c r="AD316" s="1283">
        <f t="shared" si="491"/>
        <v>0</v>
      </c>
      <c r="AE316" s="1283">
        <f t="shared" si="491"/>
        <v>0</v>
      </c>
      <c r="AF316" s="1283">
        <f t="shared" si="491"/>
        <v>0</v>
      </c>
      <c r="AG316" s="1283">
        <f t="shared" si="491"/>
        <v>0</v>
      </c>
      <c r="AH316" s="1283">
        <f t="shared" si="491"/>
        <v>0</v>
      </c>
      <c r="AI316" s="1283">
        <f t="shared" si="491"/>
        <v>0</v>
      </c>
      <c r="AJ316" s="1283">
        <f t="shared" si="491"/>
        <v>0</v>
      </c>
      <c r="AL316" s="1304">
        <f t="shared" ca="1" si="492"/>
        <v>0</v>
      </c>
      <c r="AM316" s="1283">
        <f t="shared" ca="1" si="492"/>
        <v>0</v>
      </c>
      <c r="AN316" s="1283">
        <f t="shared" ca="1" si="458"/>
        <v>0</v>
      </c>
      <c r="AO316" s="2777"/>
      <c r="AP316" s="1283">
        <f t="shared" ca="1" si="493"/>
        <v>0</v>
      </c>
      <c r="AQ316" s="1283">
        <f t="shared" ca="1" si="460"/>
        <v>0</v>
      </c>
      <c r="AR316" s="2777"/>
      <c r="AT316" s="1304">
        <f t="shared" ca="1" si="494"/>
        <v>0</v>
      </c>
      <c r="AU316" s="1283">
        <f t="shared" ca="1" si="494"/>
        <v>0</v>
      </c>
      <c r="AV316" s="1283">
        <f t="shared" ca="1" si="462"/>
        <v>0</v>
      </c>
      <c r="AW316" s="2777"/>
      <c r="AX316" s="1283">
        <f t="shared" ca="1" si="495"/>
        <v>0</v>
      </c>
      <c r="AY316" s="1283">
        <f t="shared" ca="1" si="464"/>
        <v>0</v>
      </c>
      <c r="AZ316" s="2777"/>
      <c r="BB316" s="1304">
        <f t="shared" ca="1" si="496"/>
        <v>0</v>
      </c>
      <c r="BC316" s="1283">
        <f t="shared" ca="1" si="496"/>
        <v>0</v>
      </c>
      <c r="BD316" s="1283">
        <f t="shared" ca="1" si="466"/>
        <v>0</v>
      </c>
      <c r="BE316" s="2777"/>
      <c r="BF316" s="1283">
        <f t="shared" ca="1" si="497"/>
        <v>0</v>
      </c>
      <c r="BG316" s="1283">
        <f t="shared" ca="1" si="468"/>
        <v>0</v>
      </c>
      <c r="BH316" s="2777"/>
    </row>
    <row r="317" spans="1:60" s="504" customFormat="1" ht="14.5" hidden="1" outlineLevel="1">
      <c r="A317" s="616">
        <f t="shared" si="449"/>
        <v>290</v>
      </c>
      <c r="B317" s="616">
        <v>1</v>
      </c>
      <c r="C317" s="616">
        <f t="shared" si="430"/>
        <v>314</v>
      </c>
      <c r="D317" s="709" t="s">
        <v>1308</v>
      </c>
      <c r="E317" s="2547">
        <v>1</v>
      </c>
      <c r="F317" s="4"/>
      <c r="G317" s="4"/>
      <c r="H317" s="501"/>
      <c r="I317" s="502"/>
      <c r="J317" s="505"/>
      <c r="K317" s="501"/>
      <c r="L317" s="501"/>
      <c r="M317" s="503" t="s">
        <v>1421</v>
      </c>
      <c r="N317" s="505"/>
      <c r="O317" s="505"/>
      <c r="P317" s="505"/>
      <c r="Q317" s="1792" t="str">
        <f>CHOOSE(2, "6722000003236", "PL (4) Gross Profit ODP(%) On Demand Printing (%)")</f>
        <v>PL (4) Gross Profit ODP(%) On Demand Printing (%)</v>
      </c>
      <c r="R317" s="1304">
        <f t="shared" si="491"/>
        <v>0</v>
      </c>
      <c r="S317" s="1283">
        <f t="shared" si="491"/>
        <v>0</v>
      </c>
      <c r="T317" s="1283">
        <f t="shared" si="491"/>
        <v>0</v>
      </c>
      <c r="U317" s="1283">
        <f t="shared" si="491"/>
        <v>0</v>
      </c>
      <c r="V317" s="1283">
        <f t="shared" si="491"/>
        <v>0</v>
      </c>
      <c r="W317" s="1283">
        <f t="shared" si="491"/>
        <v>0</v>
      </c>
      <c r="X317" s="1283">
        <f t="shared" si="491"/>
        <v>0</v>
      </c>
      <c r="Y317" s="1283">
        <f t="shared" si="491"/>
        <v>0</v>
      </c>
      <c r="Z317" s="1283">
        <f t="shared" si="491"/>
        <v>0</v>
      </c>
      <c r="AA317" s="1283">
        <f t="shared" si="491"/>
        <v>0</v>
      </c>
      <c r="AB317" s="1283">
        <f t="shared" si="491"/>
        <v>0</v>
      </c>
      <c r="AC317" s="1283">
        <f t="shared" si="491"/>
        <v>0</v>
      </c>
      <c r="AD317" s="1283">
        <f t="shared" si="491"/>
        <v>0</v>
      </c>
      <c r="AE317" s="1283">
        <f t="shared" si="491"/>
        <v>0</v>
      </c>
      <c r="AF317" s="1283">
        <f t="shared" si="491"/>
        <v>0</v>
      </c>
      <c r="AG317" s="1283">
        <f t="shared" si="491"/>
        <v>0</v>
      </c>
      <c r="AH317" s="1283">
        <f t="shared" si="491"/>
        <v>0</v>
      </c>
      <c r="AI317" s="1283">
        <f t="shared" si="491"/>
        <v>0</v>
      </c>
      <c r="AJ317" s="1283">
        <f t="shared" si="491"/>
        <v>0</v>
      </c>
      <c r="AL317" s="1304">
        <f t="shared" ca="1" si="492"/>
        <v>0</v>
      </c>
      <c r="AM317" s="1283">
        <f t="shared" ca="1" si="492"/>
        <v>0</v>
      </c>
      <c r="AN317" s="1283">
        <f t="shared" ca="1" si="458"/>
        <v>0</v>
      </c>
      <c r="AO317" s="2777"/>
      <c r="AP317" s="1283">
        <f t="shared" ca="1" si="493"/>
        <v>0</v>
      </c>
      <c r="AQ317" s="1283">
        <f t="shared" ca="1" si="460"/>
        <v>0</v>
      </c>
      <c r="AR317" s="2777"/>
      <c r="AT317" s="1304">
        <f t="shared" ca="1" si="494"/>
        <v>0</v>
      </c>
      <c r="AU317" s="1283">
        <f t="shared" ca="1" si="494"/>
        <v>0</v>
      </c>
      <c r="AV317" s="1283">
        <f t="shared" ca="1" si="462"/>
        <v>0</v>
      </c>
      <c r="AW317" s="2777"/>
      <c r="AX317" s="1283">
        <f t="shared" ca="1" si="495"/>
        <v>0</v>
      </c>
      <c r="AY317" s="1283">
        <f t="shared" ca="1" si="464"/>
        <v>0</v>
      </c>
      <c r="AZ317" s="2777"/>
      <c r="BB317" s="1304">
        <f t="shared" ca="1" si="496"/>
        <v>0</v>
      </c>
      <c r="BC317" s="1283">
        <f t="shared" ca="1" si="496"/>
        <v>0</v>
      </c>
      <c r="BD317" s="1283">
        <f t="shared" ca="1" si="466"/>
        <v>0</v>
      </c>
      <c r="BE317" s="2777"/>
      <c r="BF317" s="1283">
        <f t="shared" ca="1" si="497"/>
        <v>0</v>
      </c>
      <c r="BG317" s="1283">
        <f t="shared" ca="1" si="468"/>
        <v>0</v>
      </c>
      <c r="BH317" s="2777"/>
    </row>
    <row r="318" spans="1:60" s="504" customFormat="1" ht="14.5" hidden="1" outlineLevel="1">
      <c r="A318" s="616">
        <f t="shared" si="449"/>
        <v>291</v>
      </c>
      <c r="B318" s="616">
        <v>1</v>
      </c>
      <c r="C318" s="616">
        <f t="shared" si="430"/>
        <v>315</v>
      </c>
      <c r="D318" s="709" t="s">
        <v>1308</v>
      </c>
      <c r="E318" s="2547">
        <v>1</v>
      </c>
      <c r="F318" s="4"/>
      <c r="G318" s="4"/>
      <c r="H318" s="501"/>
      <c r="I318" s="502"/>
      <c r="J318" s="505"/>
      <c r="K318" s="501"/>
      <c r="L318" s="501"/>
      <c r="M318" s="503" t="s">
        <v>1422</v>
      </c>
      <c r="N318" s="505"/>
      <c r="O318" s="505"/>
      <c r="P318" s="505"/>
      <c r="Q318" s="1792" t="str">
        <f>CHOOSE(2, "6722000003237", "PL (4) Gross Profit ODP(%) Marketing Service (%)")</f>
        <v>PL (4) Gross Profit ODP(%) Marketing Service (%)</v>
      </c>
      <c r="R318" s="1304">
        <f t="shared" si="491"/>
        <v>0</v>
      </c>
      <c r="S318" s="1283">
        <f t="shared" si="491"/>
        <v>0</v>
      </c>
      <c r="T318" s="1283">
        <f t="shared" si="491"/>
        <v>0</v>
      </c>
      <c r="U318" s="1283">
        <f t="shared" si="491"/>
        <v>0</v>
      </c>
      <c r="V318" s="1283">
        <f t="shared" si="491"/>
        <v>0</v>
      </c>
      <c r="W318" s="1283">
        <f t="shared" si="491"/>
        <v>0</v>
      </c>
      <c r="X318" s="1283">
        <f t="shared" si="491"/>
        <v>0</v>
      </c>
      <c r="Y318" s="1283">
        <f t="shared" si="491"/>
        <v>0</v>
      </c>
      <c r="Z318" s="1283">
        <f t="shared" si="491"/>
        <v>0</v>
      </c>
      <c r="AA318" s="1283">
        <f t="shared" si="491"/>
        <v>0</v>
      </c>
      <c r="AB318" s="1283">
        <f t="shared" si="491"/>
        <v>0</v>
      </c>
      <c r="AC318" s="1283">
        <f t="shared" si="491"/>
        <v>0</v>
      </c>
      <c r="AD318" s="1283">
        <f t="shared" si="491"/>
        <v>0</v>
      </c>
      <c r="AE318" s="1283">
        <f t="shared" si="491"/>
        <v>0</v>
      </c>
      <c r="AF318" s="1283">
        <f t="shared" si="491"/>
        <v>0</v>
      </c>
      <c r="AG318" s="1283">
        <f t="shared" si="491"/>
        <v>0</v>
      </c>
      <c r="AH318" s="1283">
        <f t="shared" si="491"/>
        <v>0</v>
      </c>
      <c r="AI318" s="1283">
        <f t="shared" si="491"/>
        <v>0</v>
      </c>
      <c r="AJ318" s="1283">
        <f t="shared" si="491"/>
        <v>0</v>
      </c>
      <c r="AL318" s="1304">
        <f t="shared" ca="1" si="492"/>
        <v>0</v>
      </c>
      <c r="AM318" s="1283">
        <f t="shared" ca="1" si="492"/>
        <v>0</v>
      </c>
      <c r="AN318" s="1283">
        <f t="shared" ca="1" si="458"/>
        <v>0</v>
      </c>
      <c r="AO318" s="2777"/>
      <c r="AP318" s="1283">
        <f t="shared" ca="1" si="493"/>
        <v>0</v>
      </c>
      <c r="AQ318" s="1283">
        <f t="shared" ca="1" si="460"/>
        <v>0</v>
      </c>
      <c r="AR318" s="2777"/>
      <c r="AT318" s="1304">
        <f t="shared" ca="1" si="494"/>
        <v>0</v>
      </c>
      <c r="AU318" s="1283">
        <f t="shared" ca="1" si="494"/>
        <v>0</v>
      </c>
      <c r="AV318" s="1283">
        <f t="shared" ca="1" si="462"/>
        <v>0</v>
      </c>
      <c r="AW318" s="2777"/>
      <c r="AX318" s="1283">
        <f t="shared" ca="1" si="495"/>
        <v>0</v>
      </c>
      <c r="AY318" s="1283">
        <f t="shared" ca="1" si="464"/>
        <v>0</v>
      </c>
      <c r="AZ318" s="2777"/>
      <c r="BB318" s="1304">
        <f t="shared" ca="1" si="496"/>
        <v>0</v>
      </c>
      <c r="BC318" s="1283">
        <f t="shared" ca="1" si="496"/>
        <v>0</v>
      </c>
      <c r="BD318" s="1283">
        <f t="shared" ca="1" si="466"/>
        <v>0</v>
      </c>
      <c r="BE318" s="2777"/>
      <c r="BF318" s="1283">
        <f t="shared" ca="1" si="497"/>
        <v>0</v>
      </c>
      <c r="BG318" s="1283">
        <f t="shared" ca="1" si="468"/>
        <v>0</v>
      </c>
      <c r="BH318" s="2777"/>
    </row>
    <row r="319" spans="1:60" s="504" customFormat="1" ht="14.5" hidden="1" outlineLevel="1">
      <c r="A319" s="616">
        <f t="shared" si="449"/>
        <v>292</v>
      </c>
      <c r="B319" s="616">
        <v>1</v>
      </c>
      <c r="C319" s="616">
        <f t="shared" si="430"/>
        <v>316</v>
      </c>
      <c r="D319" s="709" t="s">
        <v>1308</v>
      </c>
      <c r="E319" s="2547">
        <v>1</v>
      </c>
      <c r="F319" s="4"/>
      <c r="G319" s="4"/>
      <c r="H319" s="501"/>
      <c r="I319" s="502"/>
      <c r="J319" s="505"/>
      <c r="K319" s="501"/>
      <c r="L319" s="501"/>
      <c r="M319" s="503" t="s">
        <v>1423</v>
      </c>
      <c r="N319" s="505"/>
      <c r="O319" s="505"/>
      <c r="P319" s="505"/>
      <c r="Q319" s="1792" t="str">
        <f>CHOOSE(2, "6722000003238", "PL (4) Gross Profit ODP(%) Digital Solution (%)")</f>
        <v>PL (4) Gross Profit ODP(%) Digital Solution (%)</v>
      </c>
      <c r="R319" s="1304">
        <f t="shared" si="491"/>
        <v>0</v>
      </c>
      <c r="S319" s="1283">
        <f t="shared" si="491"/>
        <v>0</v>
      </c>
      <c r="T319" s="1283">
        <f t="shared" si="491"/>
        <v>0</v>
      </c>
      <c r="U319" s="1283">
        <f t="shared" si="491"/>
        <v>0</v>
      </c>
      <c r="V319" s="1283">
        <f t="shared" si="491"/>
        <v>0</v>
      </c>
      <c r="W319" s="1283">
        <f t="shared" si="491"/>
        <v>0</v>
      </c>
      <c r="X319" s="1283">
        <f t="shared" si="491"/>
        <v>0</v>
      </c>
      <c r="Y319" s="1283">
        <f t="shared" si="491"/>
        <v>0</v>
      </c>
      <c r="Z319" s="1283">
        <f t="shared" si="491"/>
        <v>0</v>
      </c>
      <c r="AA319" s="1283">
        <f t="shared" si="491"/>
        <v>0</v>
      </c>
      <c r="AB319" s="1283">
        <f t="shared" si="491"/>
        <v>0</v>
      </c>
      <c r="AC319" s="1283">
        <f t="shared" si="491"/>
        <v>0</v>
      </c>
      <c r="AD319" s="1283">
        <f t="shared" si="491"/>
        <v>0</v>
      </c>
      <c r="AE319" s="1283">
        <f t="shared" si="491"/>
        <v>0</v>
      </c>
      <c r="AF319" s="1283">
        <f t="shared" si="491"/>
        <v>0</v>
      </c>
      <c r="AG319" s="1283">
        <f t="shared" si="491"/>
        <v>0</v>
      </c>
      <c r="AH319" s="1283">
        <f t="shared" si="491"/>
        <v>0</v>
      </c>
      <c r="AI319" s="1283">
        <f t="shared" si="491"/>
        <v>0</v>
      </c>
      <c r="AJ319" s="1283">
        <f t="shared" si="491"/>
        <v>0</v>
      </c>
      <c r="AL319" s="1304">
        <f t="shared" ca="1" si="492"/>
        <v>0</v>
      </c>
      <c r="AM319" s="1283">
        <f t="shared" ca="1" si="492"/>
        <v>0</v>
      </c>
      <c r="AN319" s="1283">
        <f t="shared" ca="1" si="458"/>
        <v>0</v>
      </c>
      <c r="AO319" s="2777"/>
      <c r="AP319" s="1283">
        <f t="shared" ca="1" si="493"/>
        <v>0</v>
      </c>
      <c r="AQ319" s="1283">
        <f t="shared" ca="1" si="460"/>
        <v>0</v>
      </c>
      <c r="AR319" s="2777"/>
      <c r="AT319" s="1304">
        <f t="shared" ca="1" si="494"/>
        <v>0</v>
      </c>
      <c r="AU319" s="1283">
        <f t="shared" ca="1" si="494"/>
        <v>0</v>
      </c>
      <c r="AV319" s="1283">
        <f t="shared" ca="1" si="462"/>
        <v>0</v>
      </c>
      <c r="AW319" s="2777"/>
      <c r="AX319" s="1283">
        <f t="shared" ca="1" si="495"/>
        <v>0</v>
      </c>
      <c r="AY319" s="1283">
        <f t="shared" ca="1" si="464"/>
        <v>0</v>
      </c>
      <c r="AZ319" s="2777"/>
      <c r="BB319" s="1304">
        <f t="shared" ca="1" si="496"/>
        <v>0</v>
      </c>
      <c r="BC319" s="1283">
        <f t="shared" ca="1" si="496"/>
        <v>0</v>
      </c>
      <c r="BD319" s="1283">
        <f t="shared" ca="1" si="466"/>
        <v>0</v>
      </c>
      <c r="BE319" s="2777"/>
      <c r="BF319" s="1283">
        <f t="shared" ca="1" si="497"/>
        <v>0</v>
      </c>
      <c r="BG319" s="1283">
        <f t="shared" ca="1" si="468"/>
        <v>0</v>
      </c>
      <c r="BH319" s="2777"/>
    </row>
    <row r="320" spans="1:60" s="504" customFormat="1" ht="14.5" hidden="1" outlineLevel="1">
      <c r="A320" s="616">
        <f t="shared" si="449"/>
        <v>293</v>
      </c>
      <c r="B320" s="616">
        <v>1</v>
      </c>
      <c r="C320" s="616">
        <f t="shared" si="430"/>
        <v>317</v>
      </c>
      <c r="D320" s="709" t="s">
        <v>1308</v>
      </c>
      <c r="E320" s="2547">
        <v>1</v>
      </c>
      <c r="F320" s="4"/>
      <c r="G320" s="4"/>
      <c r="H320" s="501"/>
      <c r="I320" s="502"/>
      <c r="J320" s="505"/>
      <c r="K320" s="501"/>
      <c r="L320" s="501"/>
      <c r="M320" s="503" t="s">
        <v>1424</v>
      </c>
      <c r="N320" s="505"/>
      <c r="O320" s="505"/>
      <c r="P320" s="505"/>
      <c r="Q320" s="1792" t="str">
        <f>CHOOSE(2, "6722000003239", "PL (4) Gross Profit ODP(%) ODP New Business (%)")</f>
        <v>PL (4) Gross Profit ODP(%) ODP New Business (%)</v>
      </c>
      <c r="R320" s="1304">
        <f t="shared" si="491"/>
        <v>0</v>
      </c>
      <c r="S320" s="1283">
        <f t="shared" si="491"/>
        <v>0</v>
      </c>
      <c r="T320" s="1283">
        <f t="shared" si="491"/>
        <v>0</v>
      </c>
      <c r="U320" s="1283">
        <f t="shared" si="491"/>
        <v>0</v>
      </c>
      <c r="V320" s="1283">
        <f t="shared" si="491"/>
        <v>0</v>
      </c>
      <c r="W320" s="1283">
        <f t="shared" si="491"/>
        <v>0</v>
      </c>
      <c r="X320" s="1283">
        <f t="shared" si="491"/>
        <v>0</v>
      </c>
      <c r="Y320" s="1283">
        <f t="shared" si="491"/>
        <v>0</v>
      </c>
      <c r="Z320" s="1283">
        <f t="shared" si="491"/>
        <v>0</v>
      </c>
      <c r="AA320" s="1283">
        <f t="shared" si="491"/>
        <v>0</v>
      </c>
      <c r="AB320" s="1283">
        <f t="shared" si="491"/>
        <v>0</v>
      </c>
      <c r="AC320" s="1283">
        <f t="shared" si="491"/>
        <v>0</v>
      </c>
      <c r="AD320" s="1283">
        <f t="shared" si="491"/>
        <v>0</v>
      </c>
      <c r="AE320" s="1283">
        <f t="shared" si="491"/>
        <v>0</v>
      </c>
      <c r="AF320" s="1283">
        <f t="shared" si="491"/>
        <v>0</v>
      </c>
      <c r="AG320" s="1283">
        <f t="shared" si="491"/>
        <v>0</v>
      </c>
      <c r="AH320" s="1283">
        <f t="shared" si="491"/>
        <v>0</v>
      </c>
      <c r="AI320" s="1283">
        <f t="shared" si="491"/>
        <v>0</v>
      </c>
      <c r="AJ320" s="1283">
        <f t="shared" si="491"/>
        <v>0</v>
      </c>
      <c r="AL320" s="1304">
        <f t="shared" ca="1" si="492"/>
        <v>0</v>
      </c>
      <c r="AM320" s="1283">
        <f t="shared" ca="1" si="492"/>
        <v>0</v>
      </c>
      <c r="AN320" s="1283">
        <f t="shared" ca="1" si="458"/>
        <v>0</v>
      </c>
      <c r="AO320" s="2777"/>
      <c r="AP320" s="1283">
        <f t="shared" ca="1" si="493"/>
        <v>0</v>
      </c>
      <c r="AQ320" s="1283">
        <f t="shared" ca="1" si="460"/>
        <v>0</v>
      </c>
      <c r="AR320" s="2777"/>
      <c r="AT320" s="1304">
        <f t="shared" ca="1" si="494"/>
        <v>0</v>
      </c>
      <c r="AU320" s="1283">
        <f t="shared" ca="1" si="494"/>
        <v>0</v>
      </c>
      <c r="AV320" s="1283">
        <f t="shared" ca="1" si="462"/>
        <v>0</v>
      </c>
      <c r="AW320" s="2777"/>
      <c r="AX320" s="1283">
        <f t="shared" ca="1" si="495"/>
        <v>0</v>
      </c>
      <c r="AY320" s="1283">
        <f t="shared" ca="1" si="464"/>
        <v>0</v>
      </c>
      <c r="AZ320" s="2777"/>
      <c r="BB320" s="1304">
        <f t="shared" ca="1" si="496"/>
        <v>0</v>
      </c>
      <c r="BC320" s="1283">
        <f t="shared" ca="1" si="496"/>
        <v>0</v>
      </c>
      <c r="BD320" s="1283">
        <f t="shared" ca="1" si="466"/>
        <v>0</v>
      </c>
      <c r="BE320" s="2777"/>
      <c r="BF320" s="1283">
        <f t="shared" ca="1" si="497"/>
        <v>0</v>
      </c>
      <c r="BG320" s="1283">
        <f t="shared" ca="1" si="468"/>
        <v>0</v>
      </c>
      <c r="BH320" s="2777"/>
    </row>
    <row r="321" spans="1:60" ht="14.5" collapsed="1">
      <c r="A321" s="616">
        <f t="shared" si="449"/>
        <v>294</v>
      </c>
      <c r="B321" s="616">
        <v>1</v>
      </c>
      <c r="C321" s="616">
        <f t="shared" si="430"/>
        <v>318</v>
      </c>
      <c r="D321" s="709" t="s">
        <v>1308</v>
      </c>
      <c r="E321" s="2547">
        <v>1</v>
      </c>
      <c r="F321" s="4"/>
      <c r="G321" s="4"/>
      <c r="H321" s="4"/>
      <c r="I321" s="27"/>
      <c r="J321" s="3"/>
      <c r="K321" s="4"/>
      <c r="L321" s="301" t="s">
        <v>1413</v>
      </c>
      <c r="M321" s="301"/>
      <c r="N321" s="301"/>
      <c r="O321" s="301"/>
      <c r="P321" s="301"/>
      <c r="Q321" s="1799" t="str">
        <f>CHOOSE(2, "6722000003240", "PL (4) Gross Profit MPM")</f>
        <v>PL (4) Gross Profit MPM</v>
      </c>
      <c r="R321" s="1562">
        <f>SUM(R322:R324)</f>
        <v>0</v>
      </c>
      <c r="S321" s="1563">
        <f t="shared" ref="S321:AC321" si="498">SUM(S322:S324)</f>
        <v>0</v>
      </c>
      <c r="T321" s="1563">
        <f t="shared" si="498"/>
        <v>0</v>
      </c>
      <c r="U321" s="1563">
        <f t="shared" si="498"/>
        <v>0</v>
      </c>
      <c r="V321" s="1563">
        <f t="shared" si="498"/>
        <v>0</v>
      </c>
      <c r="W321" s="1563">
        <f t="shared" si="498"/>
        <v>0</v>
      </c>
      <c r="X321" s="1563">
        <f t="shared" si="498"/>
        <v>0</v>
      </c>
      <c r="Y321" s="1563">
        <f t="shared" si="498"/>
        <v>0</v>
      </c>
      <c r="Z321" s="1563">
        <f t="shared" si="498"/>
        <v>0</v>
      </c>
      <c r="AA321" s="1563">
        <f t="shared" si="498"/>
        <v>0</v>
      </c>
      <c r="AB321" s="1563">
        <f t="shared" si="498"/>
        <v>0</v>
      </c>
      <c r="AC321" s="1563">
        <f t="shared" si="498"/>
        <v>0</v>
      </c>
      <c r="AD321" s="1252">
        <f t="shared" ref="AD321:AD330" si="499">SUM(R321,S321,T321)</f>
        <v>0</v>
      </c>
      <c r="AE321" s="1252">
        <f t="shared" ref="AE321:AE330" si="500">SUM(U321,V321,W321)</f>
        <v>0</v>
      </c>
      <c r="AF321" s="1252">
        <f t="shared" ref="AF321:AF330" si="501">SUM(X321,Y321,Z321)</f>
        <v>0</v>
      </c>
      <c r="AG321" s="1252">
        <f t="shared" ref="AG321:AG330" si="502">SUM(AA321,AB321,AC321)</f>
        <v>0</v>
      </c>
      <c r="AH321" s="1252">
        <f t="shared" ref="AH321:AH330" si="503">AD321+AE321</f>
        <v>0</v>
      </c>
      <c r="AI321" s="1252">
        <f t="shared" ref="AI321:AI330" si="504">AG321+AF321</f>
        <v>0</v>
      </c>
      <c r="AJ321" s="1252">
        <f t="shared" ref="AJ321:AJ330" si="505">AH321+AI321</f>
        <v>0</v>
      </c>
      <c r="AL321" s="1308">
        <f ca="1">SUM((INDIRECT(AL$2&amp;(ROW())):INDIRECT(AL$3&amp;(ROW()))))</f>
        <v>0</v>
      </c>
      <c r="AM321" s="1252">
        <f ca="1">SUM(INDIRECT(AM$1&amp;AM$2&amp;$C321):INDIRECT(AM$1&amp;AM$3&amp;$C321))</f>
        <v>0</v>
      </c>
      <c r="AN321" s="3159">
        <f t="shared" ca="1" si="458"/>
        <v>0</v>
      </c>
      <c r="AO321" s="2806">
        <f t="shared" ref="AO321:AO335" ca="1" si="506">IFERROR(AL321/AM321,0)</f>
        <v>0</v>
      </c>
      <c r="AP321" s="1252">
        <f ca="1">SUM(INDIRECT(AP$1&amp;AP$2&amp;$A321):INDIRECT(AP$1&amp;AP$3&amp;$A321))+SUM(INDIRECT(AP$1&amp;AP$2&amp;$B321):INDIRECT(AP$1&amp;AP$3&amp;$B321))</f>
        <v>0</v>
      </c>
      <c r="AQ321" s="3159">
        <f t="shared" ca="1" si="460"/>
        <v>0</v>
      </c>
      <c r="AR321" s="2806">
        <f t="shared" ref="AR321:AR335" ca="1" si="507">IFERROR(AL321/AP321,0)</f>
        <v>0</v>
      </c>
      <c r="AT321" s="1308">
        <f ca="1">SUM((INDIRECT(AT$2&amp;(ROW())):INDIRECT(AT$3&amp;(ROW()))))</f>
        <v>0</v>
      </c>
      <c r="AU321" s="1252">
        <f ca="1">SUM(INDIRECT(AU$1&amp;AU$2&amp;$C321):INDIRECT(AU$1&amp;AU$3&amp;$C321))</f>
        <v>0</v>
      </c>
      <c r="AV321" s="3159">
        <f t="shared" ca="1" si="462"/>
        <v>0</v>
      </c>
      <c r="AW321" s="2806">
        <f t="shared" ref="AW321:AW335" ca="1" si="508">IFERROR(AT321/AU321,0)</f>
        <v>0</v>
      </c>
      <c r="AX321" s="1252">
        <f ca="1">SUM(INDIRECT(AX$1&amp;AX$2&amp;$A321):INDIRECT(AX$1&amp;AX$3&amp;$A321))+SUM(INDIRECT(AX$1&amp;AX$2&amp;$B321):INDIRECT(AX$1&amp;AX$3&amp;$B321))</f>
        <v>0</v>
      </c>
      <c r="AY321" s="3159">
        <f t="shared" ca="1" si="464"/>
        <v>0</v>
      </c>
      <c r="AZ321" s="2806">
        <f t="shared" ref="AZ321:AZ335" ca="1" si="509">IFERROR(AT321/AX321,0)</f>
        <v>0</v>
      </c>
      <c r="BB321" s="1308">
        <f ca="1">SUM((INDIRECT(BB$2&amp;(ROW())):INDIRECT(BB$3&amp;(ROW()))))</f>
        <v>0</v>
      </c>
      <c r="BC321" s="1252">
        <f ca="1">SUM(INDIRECT(BC$1&amp;BC$2&amp;$C321):INDIRECT(BC$1&amp;BC$3&amp;$C321))</f>
        <v>0</v>
      </c>
      <c r="BD321" s="3159">
        <f t="shared" ca="1" si="466"/>
        <v>0</v>
      </c>
      <c r="BE321" s="2806">
        <f t="shared" ref="BE321:BE335" ca="1" si="510">IFERROR(BB321/BC321,0)</f>
        <v>0</v>
      </c>
      <c r="BF321" s="1252">
        <f ca="1">SUM(INDIRECT(BF$1&amp;BF$2&amp;$A321):INDIRECT(BF$1&amp;BF$3&amp;$A321))+SUM(INDIRECT(BF$1&amp;BF$2&amp;$B321):INDIRECT(BF$1&amp;BF$3&amp;$B321))</f>
        <v>0</v>
      </c>
      <c r="BG321" s="3159">
        <f t="shared" ca="1" si="468"/>
        <v>0</v>
      </c>
      <c r="BH321" s="2806">
        <f t="shared" ref="BH321:BH335" ca="1" si="511">IFERROR(BB321/BF321,0)</f>
        <v>0</v>
      </c>
    </row>
    <row r="322" spans="1:60" ht="15" customHeight="1">
      <c r="A322" s="616">
        <f t="shared" si="449"/>
        <v>295</v>
      </c>
      <c r="B322" s="616">
        <v>1</v>
      </c>
      <c r="C322" s="616">
        <f t="shared" si="430"/>
        <v>319</v>
      </c>
      <c r="D322" s="709" t="s">
        <v>1308</v>
      </c>
      <c r="E322" s="2547">
        <v>1</v>
      </c>
      <c r="F322" s="4"/>
      <c r="G322" s="4"/>
      <c r="H322" s="4"/>
      <c r="I322" s="27"/>
      <c r="J322" s="3"/>
      <c r="K322" s="4"/>
      <c r="L322" s="4"/>
      <c r="M322" s="3" t="s">
        <v>1414</v>
      </c>
      <c r="N322" s="3"/>
      <c r="O322" s="3"/>
      <c r="P322" s="3"/>
      <c r="Q322" s="1800" t="str">
        <f>CHOOSE(2, "6722000003241", "PL (4) Gross Profit MPM Procurement")</f>
        <v>PL (4) Gross Profit MPM Procurement</v>
      </c>
      <c r="R322" s="1553">
        <v>0</v>
      </c>
      <c r="S322" s="1222">
        <v>0</v>
      </c>
      <c r="T322" s="1222">
        <v>0</v>
      </c>
      <c r="U322" s="1222">
        <v>0</v>
      </c>
      <c r="V322" s="1222">
        <v>0</v>
      </c>
      <c r="W322" s="1222">
        <v>0</v>
      </c>
      <c r="X322" s="1222">
        <v>0</v>
      </c>
      <c r="Y322" s="1222">
        <v>0</v>
      </c>
      <c r="Z322" s="1222">
        <v>0</v>
      </c>
      <c r="AA322" s="1222">
        <v>0</v>
      </c>
      <c r="AB322" s="1222">
        <v>0</v>
      </c>
      <c r="AC322" s="1222">
        <v>0</v>
      </c>
      <c r="AD322" s="1221">
        <f t="shared" si="499"/>
        <v>0</v>
      </c>
      <c r="AE322" s="1221">
        <f t="shared" si="500"/>
        <v>0</v>
      </c>
      <c r="AF322" s="1221">
        <f t="shared" si="501"/>
        <v>0</v>
      </c>
      <c r="AG322" s="1221">
        <f t="shared" si="502"/>
        <v>0</v>
      </c>
      <c r="AH322" s="1221">
        <f t="shared" si="503"/>
        <v>0</v>
      </c>
      <c r="AI322" s="1221">
        <f t="shared" si="504"/>
        <v>0</v>
      </c>
      <c r="AJ322" s="1221">
        <f t="shared" si="505"/>
        <v>0</v>
      </c>
      <c r="AL322" s="1214">
        <f ca="1">SUM((INDIRECT(AL$2&amp;(ROW())):INDIRECT(AL$3&amp;(ROW()))))</f>
        <v>0</v>
      </c>
      <c r="AM322" s="1221">
        <f ca="1">SUM(INDIRECT(AM$1&amp;AM$2&amp;$C322):INDIRECT(AM$1&amp;AM$3&amp;$C322))</f>
        <v>0</v>
      </c>
      <c r="AN322" s="3119">
        <f t="shared" ca="1" si="458"/>
        <v>0</v>
      </c>
      <c r="AO322" s="2768">
        <f t="shared" ca="1" si="506"/>
        <v>0</v>
      </c>
      <c r="AP322" s="1221">
        <f ca="1">SUM(INDIRECT(AP$1&amp;AP$2&amp;$A322):INDIRECT(AP$1&amp;AP$3&amp;$A322))+SUM(INDIRECT(AP$1&amp;AP$2&amp;$B322):INDIRECT(AP$1&amp;AP$3&amp;$B322))</f>
        <v>0</v>
      </c>
      <c r="AQ322" s="3119">
        <f t="shared" ca="1" si="460"/>
        <v>0</v>
      </c>
      <c r="AR322" s="2768">
        <f t="shared" ca="1" si="507"/>
        <v>0</v>
      </c>
      <c r="AT322" s="1214">
        <f ca="1">SUM((INDIRECT(AT$2&amp;(ROW())):INDIRECT(AT$3&amp;(ROW()))))</f>
        <v>0</v>
      </c>
      <c r="AU322" s="1221">
        <f ca="1">SUM(INDIRECT(AU$1&amp;AU$2&amp;$C322):INDIRECT(AU$1&amp;AU$3&amp;$C322))</f>
        <v>0</v>
      </c>
      <c r="AV322" s="3119">
        <f t="shared" ca="1" si="462"/>
        <v>0</v>
      </c>
      <c r="AW322" s="2768">
        <f t="shared" ca="1" si="508"/>
        <v>0</v>
      </c>
      <c r="AX322" s="1221">
        <f ca="1">SUM(INDIRECT(AX$1&amp;AX$2&amp;$A322):INDIRECT(AX$1&amp;AX$3&amp;$A322))+SUM(INDIRECT(AX$1&amp;AX$2&amp;$B322):INDIRECT(AX$1&amp;AX$3&amp;$B322))</f>
        <v>0</v>
      </c>
      <c r="AY322" s="3119">
        <f t="shared" ca="1" si="464"/>
        <v>0</v>
      </c>
      <c r="AZ322" s="2768">
        <f t="shared" ca="1" si="509"/>
        <v>0</v>
      </c>
      <c r="BB322" s="1214">
        <f ca="1">SUM((INDIRECT(BB$2&amp;(ROW())):INDIRECT(BB$3&amp;(ROW()))))</f>
        <v>0</v>
      </c>
      <c r="BC322" s="1221">
        <f ca="1">SUM(INDIRECT(BC$1&amp;BC$2&amp;$C322):INDIRECT(BC$1&amp;BC$3&amp;$C322))</f>
        <v>0</v>
      </c>
      <c r="BD322" s="3119">
        <f t="shared" ca="1" si="466"/>
        <v>0</v>
      </c>
      <c r="BE322" s="2768">
        <f t="shared" ca="1" si="510"/>
        <v>0</v>
      </c>
      <c r="BF322" s="1221">
        <f ca="1">SUM(INDIRECT(BF$1&amp;BF$2&amp;$A322):INDIRECT(BF$1&amp;BF$3&amp;$A322))+SUM(INDIRECT(BF$1&amp;BF$2&amp;$B322):INDIRECT(BF$1&amp;BF$3&amp;$B322))</f>
        <v>0</v>
      </c>
      <c r="BG322" s="3119">
        <f t="shared" ca="1" si="468"/>
        <v>0</v>
      </c>
      <c r="BH322" s="2768">
        <f t="shared" ca="1" si="511"/>
        <v>0</v>
      </c>
    </row>
    <row r="323" spans="1:60" ht="15" customHeight="1">
      <c r="A323" s="616">
        <f t="shared" si="449"/>
        <v>296</v>
      </c>
      <c r="B323" s="616">
        <v>1</v>
      </c>
      <c r="C323" s="616">
        <f t="shared" si="430"/>
        <v>320</v>
      </c>
      <c r="D323" s="709" t="s">
        <v>1308</v>
      </c>
      <c r="E323" s="2547">
        <v>1</v>
      </c>
      <c r="F323" s="4"/>
      <c r="G323" s="4"/>
      <c r="H323" s="4"/>
      <c r="I323" s="27"/>
      <c r="J323" s="3"/>
      <c r="K323" s="4"/>
      <c r="L323" s="4"/>
      <c r="M323" s="3" t="s">
        <v>1415</v>
      </c>
      <c r="N323" s="3"/>
      <c r="O323" s="3"/>
      <c r="P323" s="3"/>
      <c r="Q323" s="1800" t="str">
        <f>CHOOSE(2, "6722000003242", "PL (4) Gross Profit MPM Production")</f>
        <v>PL (4) Gross Profit MPM Production</v>
      </c>
      <c r="R323" s="1553">
        <v>0</v>
      </c>
      <c r="S323" s="1222">
        <v>0</v>
      </c>
      <c r="T323" s="1222">
        <v>0</v>
      </c>
      <c r="U323" s="1222">
        <v>0</v>
      </c>
      <c r="V323" s="1222">
        <v>0</v>
      </c>
      <c r="W323" s="1222">
        <v>0</v>
      </c>
      <c r="X323" s="1222">
        <v>0</v>
      </c>
      <c r="Y323" s="1222">
        <v>0</v>
      </c>
      <c r="Z323" s="1222">
        <v>0</v>
      </c>
      <c r="AA323" s="1222">
        <v>0</v>
      </c>
      <c r="AB323" s="1222">
        <v>0</v>
      </c>
      <c r="AC323" s="1222">
        <v>0</v>
      </c>
      <c r="AD323" s="1221">
        <f t="shared" si="499"/>
        <v>0</v>
      </c>
      <c r="AE323" s="1221">
        <f t="shared" si="500"/>
        <v>0</v>
      </c>
      <c r="AF323" s="1221">
        <f t="shared" si="501"/>
        <v>0</v>
      </c>
      <c r="AG323" s="1221">
        <f t="shared" si="502"/>
        <v>0</v>
      </c>
      <c r="AH323" s="1221">
        <f t="shared" si="503"/>
        <v>0</v>
      </c>
      <c r="AI323" s="1221">
        <f t="shared" si="504"/>
        <v>0</v>
      </c>
      <c r="AJ323" s="1221">
        <f t="shared" si="505"/>
        <v>0</v>
      </c>
      <c r="AL323" s="1214">
        <f ca="1">SUM((INDIRECT(AL$2&amp;(ROW())):INDIRECT(AL$3&amp;(ROW()))))</f>
        <v>0</v>
      </c>
      <c r="AM323" s="1221">
        <f ca="1">SUM(INDIRECT(AM$1&amp;AM$2&amp;$C323):INDIRECT(AM$1&amp;AM$3&amp;$C323))</f>
        <v>0</v>
      </c>
      <c r="AN323" s="3119">
        <f t="shared" ca="1" si="458"/>
        <v>0</v>
      </c>
      <c r="AO323" s="2768">
        <f t="shared" ca="1" si="506"/>
        <v>0</v>
      </c>
      <c r="AP323" s="1221">
        <f ca="1">SUM(INDIRECT(AP$1&amp;AP$2&amp;$A323):INDIRECT(AP$1&amp;AP$3&amp;$A323))+SUM(INDIRECT(AP$1&amp;AP$2&amp;$B323):INDIRECT(AP$1&amp;AP$3&amp;$B323))</f>
        <v>0</v>
      </c>
      <c r="AQ323" s="3119">
        <f t="shared" ca="1" si="460"/>
        <v>0</v>
      </c>
      <c r="AR323" s="2768">
        <f t="shared" ca="1" si="507"/>
        <v>0</v>
      </c>
      <c r="AT323" s="1214">
        <f ca="1">SUM((INDIRECT(AT$2&amp;(ROW())):INDIRECT(AT$3&amp;(ROW()))))</f>
        <v>0</v>
      </c>
      <c r="AU323" s="1221">
        <f ca="1">SUM(INDIRECT(AU$1&amp;AU$2&amp;$C323):INDIRECT(AU$1&amp;AU$3&amp;$C323))</f>
        <v>0</v>
      </c>
      <c r="AV323" s="3119">
        <f t="shared" ca="1" si="462"/>
        <v>0</v>
      </c>
      <c r="AW323" s="2768">
        <f t="shared" ca="1" si="508"/>
        <v>0</v>
      </c>
      <c r="AX323" s="1221">
        <f ca="1">SUM(INDIRECT(AX$1&amp;AX$2&amp;$A323):INDIRECT(AX$1&amp;AX$3&amp;$A323))+SUM(INDIRECT(AX$1&amp;AX$2&amp;$B323):INDIRECT(AX$1&amp;AX$3&amp;$B323))</f>
        <v>0</v>
      </c>
      <c r="AY323" s="3119">
        <f t="shared" ca="1" si="464"/>
        <v>0</v>
      </c>
      <c r="AZ323" s="2768">
        <f t="shared" ca="1" si="509"/>
        <v>0</v>
      </c>
      <c r="BB323" s="1214">
        <f ca="1">SUM((INDIRECT(BB$2&amp;(ROW())):INDIRECT(BB$3&amp;(ROW()))))</f>
        <v>0</v>
      </c>
      <c r="BC323" s="1221">
        <f ca="1">SUM(INDIRECT(BC$1&amp;BC$2&amp;$C323):INDIRECT(BC$1&amp;BC$3&amp;$C323))</f>
        <v>0</v>
      </c>
      <c r="BD323" s="3119">
        <f t="shared" ca="1" si="466"/>
        <v>0</v>
      </c>
      <c r="BE323" s="2768">
        <f t="shared" ca="1" si="510"/>
        <v>0</v>
      </c>
      <c r="BF323" s="1221">
        <f ca="1">SUM(INDIRECT(BF$1&amp;BF$2&amp;$A323):INDIRECT(BF$1&amp;BF$3&amp;$A323))+SUM(INDIRECT(BF$1&amp;BF$2&amp;$B323):INDIRECT(BF$1&amp;BF$3&amp;$B323))</f>
        <v>0</v>
      </c>
      <c r="BG323" s="3119">
        <f t="shared" ca="1" si="468"/>
        <v>0</v>
      </c>
      <c r="BH323" s="2768">
        <f t="shared" ca="1" si="511"/>
        <v>0</v>
      </c>
    </row>
    <row r="324" spans="1:60" ht="15" customHeight="1">
      <c r="A324" s="616">
        <f t="shared" si="449"/>
        <v>297</v>
      </c>
      <c r="B324" s="616">
        <v>1</v>
      </c>
      <c r="C324" s="616">
        <f t="shared" si="430"/>
        <v>321</v>
      </c>
      <c r="D324" s="709" t="s">
        <v>1308</v>
      </c>
      <c r="E324" s="2547">
        <v>1</v>
      </c>
      <c r="F324" s="4"/>
      <c r="G324" s="4"/>
      <c r="H324" s="4"/>
      <c r="I324" s="27"/>
      <c r="J324" s="3"/>
      <c r="K324" s="4"/>
      <c r="L324" s="48"/>
      <c r="M324" s="47" t="s">
        <v>1397</v>
      </c>
      <c r="N324" s="47"/>
      <c r="O324" s="47"/>
      <c r="P324" s="47"/>
      <c r="Q324" s="1800" t="str">
        <f>CHOOSE(2, "6722000003243", "PL (4) Gross Profit MPM Solution")</f>
        <v>PL (4) Gross Profit MPM Solution</v>
      </c>
      <c r="R324" s="1554">
        <v>0</v>
      </c>
      <c r="S324" s="1231">
        <v>0</v>
      </c>
      <c r="T324" s="1231">
        <v>0</v>
      </c>
      <c r="U324" s="1231">
        <v>0</v>
      </c>
      <c r="V324" s="1231">
        <v>0</v>
      </c>
      <c r="W324" s="1231">
        <v>0</v>
      </c>
      <c r="X324" s="1231">
        <v>0</v>
      </c>
      <c r="Y324" s="1231">
        <v>0</v>
      </c>
      <c r="Z324" s="1231">
        <v>0</v>
      </c>
      <c r="AA324" s="1231">
        <v>0</v>
      </c>
      <c r="AB324" s="1231">
        <v>0</v>
      </c>
      <c r="AC324" s="1231">
        <v>0</v>
      </c>
      <c r="AD324" s="1230">
        <f t="shared" si="499"/>
        <v>0</v>
      </c>
      <c r="AE324" s="1230">
        <f t="shared" si="500"/>
        <v>0</v>
      </c>
      <c r="AF324" s="1230">
        <f t="shared" si="501"/>
        <v>0</v>
      </c>
      <c r="AG324" s="1230">
        <f t="shared" si="502"/>
        <v>0</v>
      </c>
      <c r="AH324" s="1230">
        <f t="shared" si="503"/>
        <v>0</v>
      </c>
      <c r="AI324" s="1230">
        <f t="shared" si="504"/>
        <v>0</v>
      </c>
      <c r="AJ324" s="1230">
        <f t="shared" si="505"/>
        <v>0</v>
      </c>
      <c r="AL324" s="1257">
        <f ca="1">SUM((INDIRECT(AL$2&amp;(ROW())):INDIRECT(AL$3&amp;(ROW()))))</f>
        <v>0</v>
      </c>
      <c r="AM324" s="1230">
        <f ca="1">SUM(INDIRECT(AM$1&amp;AM$2&amp;$C324):INDIRECT(AM$1&amp;AM$3&amp;$C324))</f>
        <v>0</v>
      </c>
      <c r="AN324" s="3123">
        <f t="shared" ca="1" si="458"/>
        <v>0</v>
      </c>
      <c r="AO324" s="2775">
        <f t="shared" ca="1" si="506"/>
        <v>0</v>
      </c>
      <c r="AP324" s="1230">
        <f ca="1">SUM(INDIRECT(AP$1&amp;AP$2&amp;$A324):INDIRECT(AP$1&amp;AP$3&amp;$A324))+SUM(INDIRECT(AP$1&amp;AP$2&amp;$B324):INDIRECT(AP$1&amp;AP$3&amp;$B324))</f>
        <v>0</v>
      </c>
      <c r="AQ324" s="3123">
        <f t="shared" ca="1" si="460"/>
        <v>0</v>
      </c>
      <c r="AR324" s="2775">
        <f t="shared" ca="1" si="507"/>
        <v>0</v>
      </c>
      <c r="AT324" s="1257">
        <f ca="1">SUM((INDIRECT(AT$2&amp;(ROW())):INDIRECT(AT$3&amp;(ROW()))))</f>
        <v>0</v>
      </c>
      <c r="AU324" s="1230">
        <f ca="1">SUM(INDIRECT(AU$1&amp;AU$2&amp;$C324):INDIRECT(AU$1&amp;AU$3&amp;$C324))</f>
        <v>0</v>
      </c>
      <c r="AV324" s="3123">
        <f t="shared" ca="1" si="462"/>
        <v>0</v>
      </c>
      <c r="AW324" s="2775">
        <f t="shared" ca="1" si="508"/>
        <v>0</v>
      </c>
      <c r="AX324" s="1230">
        <f ca="1">SUM(INDIRECT(AX$1&amp;AX$2&amp;$A324):INDIRECT(AX$1&amp;AX$3&amp;$A324))+SUM(INDIRECT(AX$1&amp;AX$2&amp;$B324):INDIRECT(AX$1&amp;AX$3&amp;$B324))</f>
        <v>0</v>
      </c>
      <c r="AY324" s="3123">
        <f t="shared" ca="1" si="464"/>
        <v>0</v>
      </c>
      <c r="AZ324" s="2775">
        <f t="shared" ca="1" si="509"/>
        <v>0</v>
      </c>
      <c r="BB324" s="1257">
        <f ca="1">SUM((INDIRECT(BB$2&amp;(ROW())):INDIRECT(BB$3&amp;(ROW()))))</f>
        <v>0</v>
      </c>
      <c r="BC324" s="1230">
        <f ca="1">SUM(INDIRECT(BC$1&amp;BC$2&amp;$C324):INDIRECT(BC$1&amp;BC$3&amp;$C324))</f>
        <v>0</v>
      </c>
      <c r="BD324" s="3123">
        <f t="shared" ca="1" si="466"/>
        <v>0</v>
      </c>
      <c r="BE324" s="2775">
        <f t="shared" ca="1" si="510"/>
        <v>0</v>
      </c>
      <c r="BF324" s="1230">
        <f ca="1">SUM(INDIRECT(BF$1&amp;BF$2&amp;$A324):INDIRECT(BF$1&amp;BF$3&amp;$A324))+SUM(INDIRECT(BF$1&amp;BF$2&amp;$B324):INDIRECT(BF$1&amp;BF$3&amp;$B324))</f>
        <v>0</v>
      </c>
      <c r="BG324" s="3123">
        <f t="shared" ca="1" si="468"/>
        <v>0</v>
      </c>
      <c r="BH324" s="2775">
        <f t="shared" ca="1" si="511"/>
        <v>0</v>
      </c>
    </row>
    <row r="325" spans="1:60" ht="15" customHeight="1">
      <c r="A325" s="616">
        <f t="shared" si="449"/>
        <v>298</v>
      </c>
      <c r="B325" s="616">
        <v>1</v>
      </c>
      <c r="C325" s="616">
        <f t="shared" si="430"/>
        <v>322</v>
      </c>
      <c r="D325" s="709" t="s">
        <v>1308</v>
      </c>
      <c r="E325" s="2547">
        <v>1</v>
      </c>
      <c r="F325" s="4"/>
      <c r="G325" s="4"/>
      <c r="H325" s="4"/>
      <c r="I325" s="27"/>
      <c r="J325" s="3"/>
      <c r="K325" s="4"/>
      <c r="L325" s="301" t="s">
        <v>1416</v>
      </c>
      <c r="M325" s="301"/>
      <c r="N325" s="301"/>
      <c r="O325" s="301"/>
      <c r="P325" s="301"/>
      <c r="Q325" s="1799" t="str">
        <f>CHOOSE(2, "6722000003244", "PL (4) Gross Profit ODP")</f>
        <v>PL (4) Gross Profit ODP</v>
      </c>
      <c r="R325" s="1562">
        <f>SUM(R326:R330)</f>
        <v>0</v>
      </c>
      <c r="S325" s="1563">
        <f t="shared" ref="S325:AC325" si="512">SUM(S326:S330)</f>
        <v>0</v>
      </c>
      <c r="T325" s="1563">
        <f t="shared" si="512"/>
        <v>0</v>
      </c>
      <c r="U325" s="1563">
        <f t="shared" si="512"/>
        <v>0</v>
      </c>
      <c r="V325" s="1563">
        <f t="shared" si="512"/>
        <v>0</v>
      </c>
      <c r="W325" s="1563">
        <f t="shared" si="512"/>
        <v>0</v>
      </c>
      <c r="X325" s="1563">
        <f t="shared" si="512"/>
        <v>0</v>
      </c>
      <c r="Y325" s="1563">
        <f t="shared" si="512"/>
        <v>0</v>
      </c>
      <c r="Z325" s="1563">
        <f t="shared" si="512"/>
        <v>0</v>
      </c>
      <c r="AA325" s="1563">
        <f t="shared" si="512"/>
        <v>0</v>
      </c>
      <c r="AB325" s="1563">
        <f t="shared" si="512"/>
        <v>0</v>
      </c>
      <c r="AC325" s="1563">
        <f t="shared" si="512"/>
        <v>0</v>
      </c>
      <c r="AD325" s="1252">
        <f t="shared" si="499"/>
        <v>0</v>
      </c>
      <c r="AE325" s="1252">
        <f t="shared" si="500"/>
        <v>0</v>
      </c>
      <c r="AF325" s="1252">
        <f t="shared" si="501"/>
        <v>0</v>
      </c>
      <c r="AG325" s="1252">
        <f t="shared" si="502"/>
        <v>0</v>
      </c>
      <c r="AH325" s="1252">
        <f t="shared" si="503"/>
        <v>0</v>
      </c>
      <c r="AI325" s="1252">
        <f t="shared" si="504"/>
        <v>0</v>
      </c>
      <c r="AJ325" s="1252">
        <f t="shared" si="505"/>
        <v>0</v>
      </c>
      <c r="AL325" s="1308">
        <f ca="1">SUM((INDIRECT(AL$2&amp;(ROW())):INDIRECT(AL$3&amp;(ROW()))))</f>
        <v>0</v>
      </c>
      <c r="AM325" s="1252">
        <f ca="1">SUM(INDIRECT(AM$1&amp;AM$2&amp;$C325):INDIRECT(AM$1&amp;AM$3&amp;$C325))</f>
        <v>0</v>
      </c>
      <c r="AN325" s="3159">
        <f t="shared" ca="1" si="458"/>
        <v>0</v>
      </c>
      <c r="AO325" s="2806">
        <f t="shared" ca="1" si="506"/>
        <v>0</v>
      </c>
      <c r="AP325" s="1252">
        <f ca="1">SUM(INDIRECT(AP$1&amp;AP$2&amp;$A325):INDIRECT(AP$1&amp;AP$3&amp;$A325))+SUM(INDIRECT(AP$1&amp;AP$2&amp;$B325):INDIRECT(AP$1&amp;AP$3&amp;$B325))</f>
        <v>0</v>
      </c>
      <c r="AQ325" s="3159">
        <f t="shared" ca="1" si="460"/>
        <v>0</v>
      </c>
      <c r="AR325" s="2806">
        <f t="shared" ca="1" si="507"/>
        <v>0</v>
      </c>
      <c r="AT325" s="1308">
        <f ca="1">SUM((INDIRECT(AT$2&amp;(ROW())):INDIRECT(AT$3&amp;(ROW()))))</f>
        <v>0</v>
      </c>
      <c r="AU325" s="1252">
        <f ca="1">SUM(INDIRECT(AU$1&amp;AU$2&amp;$C325):INDIRECT(AU$1&amp;AU$3&amp;$C325))</f>
        <v>0</v>
      </c>
      <c r="AV325" s="3159">
        <f t="shared" ca="1" si="462"/>
        <v>0</v>
      </c>
      <c r="AW325" s="2806">
        <f t="shared" ca="1" si="508"/>
        <v>0</v>
      </c>
      <c r="AX325" s="1252">
        <f ca="1">SUM(INDIRECT(AX$1&amp;AX$2&amp;$A325):INDIRECT(AX$1&amp;AX$3&amp;$A325))+SUM(INDIRECT(AX$1&amp;AX$2&amp;$B325):INDIRECT(AX$1&amp;AX$3&amp;$B325))</f>
        <v>0</v>
      </c>
      <c r="AY325" s="3159">
        <f t="shared" ca="1" si="464"/>
        <v>0</v>
      </c>
      <c r="AZ325" s="2806">
        <f t="shared" ca="1" si="509"/>
        <v>0</v>
      </c>
      <c r="BB325" s="1308">
        <f ca="1">SUM((INDIRECT(BB$2&amp;(ROW())):INDIRECT(BB$3&amp;(ROW()))))</f>
        <v>0</v>
      </c>
      <c r="BC325" s="1252">
        <f ca="1">SUM(INDIRECT(BC$1&amp;BC$2&amp;$C325):INDIRECT(BC$1&amp;BC$3&amp;$C325))</f>
        <v>0</v>
      </c>
      <c r="BD325" s="3159">
        <f t="shared" ca="1" si="466"/>
        <v>0</v>
      </c>
      <c r="BE325" s="2806">
        <f t="shared" ca="1" si="510"/>
        <v>0</v>
      </c>
      <c r="BF325" s="1252">
        <f ca="1">SUM(INDIRECT(BF$1&amp;BF$2&amp;$A325):INDIRECT(BF$1&amp;BF$3&amp;$A325))+SUM(INDIRECT(BF$1&amp;BF$2&amp;$B325):INDIRECT(BF$1&amp;BF$3&amp;$B325))</f>
        <v>0</v>
      </c>
      <c r="BG325" s="3159">
        <f t="shared" ca="1" si="468"/>
        <v>0</v>
      </c>
      <c r="BH325" s="2806">
        <f t="shared" ca="1" si="511"/>
        <v>0</v>
      </c>
    </row>
    <row r="326" spans="1:60" ht="15" customHeight="1">
      <c r="A326" s="616">
        <f t="shared" si="449"/>
        <v>299</v>
      </c>
      <c r="B326" s="616">
        <v>1</v>
      </c>
      <c r="C326" s="616">
        <f t="shared" si="430"/>
        <v>323</v>
      </c>
      <c r="D326" s="709" t="s">
        <v>1308</v>
      </c>
      <c r="E326" s="2547">
        <v>1</v>
      </c>
      <c r="F326" s="4"/>
      <c r="G326" s="4"/>
      <c r="H326" s="4"/>
      <c r="I326" s="27"/>
      <c r="J326" s="3"/>
      <c r="K326" s="4"/>
      <c r="L326" s="4"/>
      <c r="M326" s="3" t="s">
        <v>13</v>
      </c>
      <c r="N326" s="3"/>
      <c r="O326" s="3"/>
      <c r="P326" s="3"/>
      <c r="Q326" s="1800" t="str">
        <f>CHOOSE(2, "6722000003245", "PL (4) Gross Profit ODP On Demand Printing")</f>
        <v>PL (4) Gross Profit ODP On Demand Printing</v>
      </c>
      <c r="R326" s="1553">
        <v>0</v>
      </c>
      <c r="S326" s="1222">
        <v>0</v>
      </c>
      <c r="T326" s="1222">
        <v>0</v>
      </c>
      <c r="U326" s="1222">
        <v>0</v>
      </c>
      <c r="V326" s="1222">
        <v>0</v>
      </c>
      <c r="W326" s="1222">
        <v>0</v>
      </c>
      <c r="X326" s="1222">
        <v>0</v>
      </c>
      <c r="Y326" s="1222">
        <v>0</v>
      </c>
      <c r="Z326" s="1222">
        <v>0</v>
      </c>
      <c r="AA326" s="1222">
        <v>0</v>
      </c>
      <c r="AB326" s="1222">
        <v>0</v>
      </c>
      <c r="AC326" s="1222">
        <v>0</v>
      </c>
      <c r="AD326" s="1221">
        <f t="shared" si="499"/>
        <v>0</v>
      </c>
      <c r="AE326" s="1221">
        <f t="shared" si="500"/>
        <v>0</v>
      </c>
      <c r="AF326" s="1221">
        <f t="shared" si="501"/>
        <v>0</v>
      </c>
      <c r="AG326" s="1221">
        <f t="shared" si="502"/>
        <v>0</v>
      </c>
      <c r="AH326" s="1221">
        <f t="shared" si="503"/>
        <v>0</v>
      </c>
      <c r="AI326" s="1221">
        <f t="shared" si="504"/>
        <v>0</v>
      </c>
      <c r="AJ326" s="1221">
        <f t="shared" si="505"/>
        <v>0</v>
      </c>
      <c r="AL326" s="1214">
        <f ca="1">SUM((INDIRECT(AL$2&amp;(ROW())):INDIRECT(AL$3&amp;(ROW()))))</f>
        <v>0</v>
      </c>
      <c r="AM326" s="1221">
        <f ca="1">SUM(INDIRECT(AM$1&amp;AM$2&amp;$C326):INDIRECT(AM$1&amp;AM$3&amp;$C326))</f>
        <v>0</v>
      </c>
      <c r="AN326" s="3119">
        <f t="shared" ca="1" si="458"/>
        <v>0</v>
      </c>
      <c r="AO326" s="2768">
        <f t="shared" ca="1" si="506"/>
        <v>0</v>
      </c>
      <c r="AP326" s="1221">
        <f ca="1">SUM(INDIRECT(AP$1&amp;AP$2&amp;$A326):INDIRECT(AP$1&amp;AP$3&amp;$A326))+SUM(INDIRECT(AP$1&amp;AP$2&amp;$B326):INDIRECT(AP$1&amp;AP$3&amp;$B326))</f>
        <v>0</v>
      </c>
      <c r="AQ326" s="3119">
        <f t="shared" ca="1" si="460"/>
        <v>0</v>
      </c>
      <c r="AR326" s="2768">
        <f t="shared" ca="1" si="507"/>
        <v>0</v>
      </c>
      <c r="AT326" s="1214">
        <f ca="1">SUM((INDIRECT(AT$2&amp;(ROW())):INDIRECT(AT$3&amp;(ROW()))))</f>
        <v>0</v>
      </c>
      <c r="AU326" s="1221">
        <f ca="1">SUM(INDIRECT(AU$1&amp;AU$2&amp;$C326):INDIRECT(AU$1&amp;AU$3&amp;$C326))</f>
        <v>0</v>
      </c>
      <c r="AV326" s="3119">
        <f t="shared" ca="1" si="462"/>
        <v>0</v>
      </c>
      <c r="AW326" s="2768">
        <f t="shared" ca="1" si="508"/>
        <v>0</v>
      </c>
      <c r="AX326" s="1221">
        <f ca="1">SUM(INDIRECT(AX$1&amp;AX$2&amp;$A326):INDIRECT(AX$1&amp;AX$3&amp;$A326))+SUM(INDIRECT(AX$1&amp;AX$2&amp;$B326):INDIRECT(AX$1&amp;AX$3&amp;$B326))</f>
        <v>0</v>
      </c>
      <c r="AY326" s="3119">
        <f t="shared" ca="1" si="464"/>
        <v>0</v>
      </c>
      <c r="AZ326" s="2768">
        <f t="shared" ca="1" si="509"/>
        <v>0</v>
      </c>
      <c r="BB326" s="1214">
        <f ca="1">SUM((INDIRECT(BB$2&amp;(ROW())):INDIRECT(BB$3&amp;(ROW()))))</f>
        <v>0</v>
      </c>
      <c r="BC326" s="1221">
        <f ca="1">SUM(INDIRECT(BC$1&amp;BC$2&amp;$C326):INDIRECT(BC$1&amp;BC$3&amp;$C326))</f>
        <v>0</v>
      </c>
      <c r="BD326" s="3119">
        <f t="shared" ca="1" si="466"/>
        <v>0</v>
      </c>
      <c r="BE326" s="2768">
        <f t="shared" ca="1" si="510"/>
        <v>0</v>
      </c>
      <c r="BF326" s="1221">
        <f ca="1">SUM(INDIRECT(BF$1&amp;BF$2&amp;$A326):INDIRECT(BF$1&amp;BF$3&amp;$A326))+SUM(INDIRECT(BF$1&amp;BF$2&amp;$B326):INDIRECT(BF$1&amp;BF$3&amp;$B326))</f>
        <v>0</v>
      </c>
      <c r="BG326" s="3119">
        <f t="shared" ca="1" si="468"/>
        <v>0</v>
      </c>
      <c r="BH326" s="2768">
        <f t="shared" ca="1" si="511"/>
        <v>0</v>
      </c>
    </row>
    <row r="327" spans="1:60" ht="15" customHeight="1">
      <c r="A327" s="616">
        <f t="shared" si="449"/>
        <v>300</v>
      </c>
      <c r="B327" s="616">
        <v>1</v>
      </c>
      <c r="C327" s="616">
        <f t="shared" si="430"/>
        <v>324</v>
      </c>
      <c r="D327" s="709" t="s">
        <v>1308</v>
      </c>
      <c r="E327" s="2547">
        <v>1</v>
      </c>
      <c r="F327" s="330"/>
      <c r="G327" s="244"/>
      <c r="H327" s="4"/>
      <c r="I327" s="27"/>
      <c r="J327" s="3"/>
      <c r="K327" s="4"/>
      <c r="L327" s="4"/>
      <c r="M327" s="3" t="s">
        <v>374</v>
      </c>
      <c r="N327" s="3"/>
      <c r="O327" s="3"/>
      <c r="P327" s="3"/>
      <c r="Q327" s="1800" t="str">
        <f>CHOOSE(2, "6722000003246", "PL (4) Gross Profit ODP Marketing Service")</f>
        <v>PL (4) Gross Profit ODP Marketing Service</v>
      </c>
      <c r="R327" s="1553">
        <v>0</v>
      </c>
      <c r="S327" s="1222">
        <v>0</v>
      </c>
      <c r="T327" s="1222">
        <v>0</v>
      </c>
      <c r="U327" s="1222">
        <v>0</v>
      </c>
      <c r="V327" s="1222">
        <v>0</v>
      </c>
      <c r="W327" s="1222">
        <v>0</v>
      </c>
      <c r="X327" s="1222">
        <v>0</v>
      </c>
      <c r="Y327" s="1222">
        <v>0</v>
      </c>
      <c r="Z327" s="1222">
        <v>0</v>
      </c>
      <c r="AA327" s="1222">
        <v>0</v>
      </c>
      <c r="AB327" s="1222">
        <v>0</v>
      </c>
      <c r="AC327" s="1222">
        <v>0</v>
      </c>
      <c r="AD327" s="1221">
        <f t="shared" si="499"/>
        <v>0</v>
      </c>
      <c r="AE327" s="1221">
        <f t="shared" si="500"/>
        <v>0</v>
      </c>
      <c r="AF327" s="1221">
        <f t="shared" si="501"/>
        <v>0</v>
      </c>
      <c r="AG327" s="1221">
        <f t="shared" si="502"/>
        <v>0</v>
      </c>
      <c r="AH327" s="1221">
        <f t="shared" si="503"/>
        <v>0</v>
      </c>
      <c r="AI327" s="1221">
        <f t="shared" si="504"/>
        <v>0</v>
      </c>
      <c r="AJ327" s="1221">
        <f t="shared" si="505"/>
        <v>0</v>
      </c>
      <c r="AL327" s="1214">
        <f ca="1">SUM((INDIRECT(AL$2&amp;(ROW())):INDIRECT(AL$3&amp;(ROW()))))</f>
        <v>0</v>
      </c>
      <c r="AM327" s="1221">
        <f ca="1">SUM(INDIRECT(AM$1&amp;AM$2&amp;$C327):INDIRECT(AM$1&amp;AM$3&amp;$C327))</f>
        <v>0</v>
      </c>
      <c r="AN327" s="3119">
        <f t="shared" ca="1" si="458"/>
        <v>0</v>
      </c>
      <c r="AO327" s="2768">
        <f t="shared" ca="1" si="506"/>
        <v>0</v>
      </c>
      <c r="AP327" s="1221">
        <f ca="1">SUM(INDIRECT(AP$1&amp;AP$2&amp;$A327):INDIRECT(AP$1&amp;AP$3&amp;$A327))+SUM(INDIRECT(AP$1&amp;AP$2&amp;$B327):INDIRECT(AP$1&amp;AP$3&amp;$B327))</f>
        <v>0</v>
      </c>
      <c r="AQ327" s="3119">
        <f t="shared" ca="1" si="460"/>
        <v>0</v>
      </c>
      <c r="AR327" s="2768">
        <f t="shared" ca="1" si="507"/>
        <v>0</v>
      </c>
      <c r="AT327" s="1214">
        <f ca="1">SUM((INDIRECT(AT$2&amp;(ROW())):INDIRECT(AT$3&amp;(ROW()))))</f>
        <v>0</v>
      </c>
      <c r="AU327" s="1221">
        <f ca="1">SUM(INDIRECT(AU$1&amp;AU$2&amp;$C327):INDIRECT(AU$1&amp;AU$3&amp;$C327))</f>
        <v>0</v>
      </c>
      <c r="AV327" s="3119">
        <f t="shared" ca="1" si="462"/>
        <v>0</v>
      </c>
      <c r="AW327" s="2768">
        <f t="shared" ca="1" si="508"/>
        <v>0</v>
      </c>
      <c r="AX327" s="1221">
        <f ca="1">SUM(INDIRECT(AX$1&amp;AX$2&amp;$A327):INDIRECT(AX$1&amp;AX$3&amp;$A327))+SUM(INDIRECT(AX$1&amp;AX$2&amp;$B327):INDIRECT(AX$1&amp;AX$3&amp;$B327))</f>
        <v>0</v>
      </c>
      <c r="AY327" s="3119">
        <f t="shared" ca="1" si="464"/>
        <v>0</v>
      </c>
      <c r="AZ327" s="2768">
        <f t="shared" ca="1" si="509"/>
        <v>0</v>
      </c>
      <c r="BB327" s="1214">
        <f ca="1">SUM((INDIRECT(BB$2&amp;(ROW())):INDIRECT(BB$3&amp;(ROW()))))</f>
        <v>0</v>
      </c>
      <c r="BC327" s="1221">
        <f ca="1">SUM(INDIRECT(BC$1&amp;BC$2&amp;$C327):INDIRECT(BC$1&amp;BC$3&amp;$C327))</f>
        <v>0</v>
      </c>
      <c r="BD327" s="3119">
        <f t="shared" ca="1" si="466"/>
        <v>0</v>
      </c>
      <c r="BE327" s="2768">
        <f t="shared" ca="1" si="510"/>
        <v>0</v>
      </c>
      <c r="BF327" s="1221">
        <f ca="1">SUM(INDIRECT(BF$1&amp;BF$2&amp;$A327):INDIRECT(BF$1&amp;BF$3&amp;$A327))+SUM(INDIRECT(BF$1&amp;BF$2&amp;$B327):INDIRECT(BF$1&amp;BF$3&amp;$B327))</f>
        <v>0</v>
      </c>
      <c r="BG327" s="3119">
        <f t="shared" ca="1" si="468"/>
        <v>0</v>
      </c>
      <c r="BH327" s="2768">
        <f t="shared" ca="1" si="511"/>
        <v>0</v>
      </c>
    </row>
    <row r="328" spans="1:60" ht="15" customHeight="1">
      <c r="A328" s="616">
        <f t="shared" si="449"/>
        <v>301</v>
      </c>
      <c r="B328" s="616">
        <v>1</v>
      </c>
      <c r="C328" s="616">
        <f t="shared" si="430"/>
        <v>325</v>
      </c>
      <c r="D328" s="709" t="s">
        <v>1308</v>
      </c>
      <c r="E328" s="2547">
        <v>1</v>
      </c>
      <c r="F328" s="330"/>
      <c r="G328" s="244"/>
      <c r="H328" s="4"/>
      <c r="I328" s="27"/>
      <c r="J328" s="3"/>
      <c r="K328" s="4"/>
      <c r="L328" s="4"/>
      <c r="M328" s="3" t="s">
        <v>375</v>
      </c>
      <c r="N328" s="3"/>
      <c r="O328" s="3"/>
      <c r="P328" s="3"/>
      <c r="Q328" s="1800" t="str">
        <f>CHOOSE(2, "6722000003247", "PL (4) Gross Profit ODP Digital Solution")</f>
        <v>PL (4) Gross Profit ODP Digital Solution</v>
      </c>
      <c r="R328" s="1553">
        <v>0</v>
      </c>
      <c r="S328" s="1222">
        <v>0</v>
      </c>
      <c r="T328" s="1222">
        <v>0</v>
      </c>
      <c r="U328" s="1222">
        <v>0</v>
      </c>
      <c r="V328" s="1222">
        <v>0</v>
      </c>
      <c r="W328" s="1222">
        <v>0</v>
      </c>
      <c r="X328" s="1222">
        <v>0</v>
      </c>
      <c r="Y328" s="1222">
        <v>0</v>
      </c>
      <c r="Z328" s="1222">
        <v>0</v>
      </c>
      <c r="AA328" s="1222">
        <v>0</v>
      </c>
      <c r="AB328" s="1222">
        <v>0</v>
      </c>
      <c r="AC328" s="1222">
        <v>0</v>
      </c>
      <c r="AD328" s="1221">
        <f t="shared" si="499"/>
        <v>0</v>
      </c>
      <c r="AE328" s="1221">
        <f t="shared" si="500"/>
        <v>0</v>
      </c>
      <c r="AF328" s="1221">
        <f t="shared" si="501"/>
        <v>0</v>
      </c>
      <c r="AG328" s="1221">
        <f t="shared" si="502"/>
        <v>0</v>
      </c>
      <c r="AH328" s="1221">
        <f t="shared" si="503"/>
        <v>0</v>
      </c>
      <c r="AI328" s="1221">
        <f t="shared" si="504"/>
        <v>0</v>
      </c>
      <c r="AJ328" s="1221">
        <f t="shared" si="505"/>
        <v>0</v>
      </c>
      <c r="AL328" s="1214">
        <f ca="1">SUM((INDIRECT(AL$2&amp;(ROW())):INDIRECT(AL$3&amp;(ROW()))))</f>
        <v>0</v>
      </c>
      <c r="AM328" s="1221">
        <f ca="1">SUM(INDIRECT(AM$1&amp;AM$2&amp;$C328):INDIRECT(AM$1&amp;AM$3&amp;$C328))</f>
        <v>0</v>
      </c>
      <c r="AN328" s="3119">
        <f t="shared" ca="1" si="458"/>
        <v>0</v>
      </c>
      <c r="AO328" s="2768">
        <f t="shared" ca="1" si="506"/>
        <v>0</v>
      </c>
      <c r="AP328" s="1221">
        <f ca="1">SUM(INDIRECT(AP$1&amp;AP$2&amp;$A328):INDIRECT(AP$1&amp;AP$3&amp;$A328))+SUM(INDIRECT(AP$1&amp;AP$2&amp;$B328):INDIRECT(AP$1&amp;AP$3&amp;$B328))</f>
        <v>0</v>
      </c>
      <c r="AQ328" s="3119">
        <f t="shared" ca="1" si="460"/>
        <v>0</v>
      </c>
      <c r="AR328" s="2768">
        <f t="shared" ca="1" si="507"/>
        <v>0</v>
      </c>
      <c r="AT328" s="1214">
        <f ca="1">SUM((INDIRECT(AT$2&amp;(ROW())):INDIRECT(AT$3&amp;(ROW()))))</f>
        <v>0</v>
      </c>
      <c r="AU328" s="1221">
        <f ca="1">SUM(INDIRECT(AU$1&amp;AU$2&amp;$C328):INDIRECT(AU$1&amp;AU$3&amp;$C328))</f>
        <v>0</v>
      </c>
      <c r="AV328" s="3119">
        <f t="shared" ca="1" si="462"/>
        <v>0</v>
      </c>
      <c r="AW328" s="2768">
        <f t="shared" ca="1" si="508"/>
        <v>0</v>
      </c>
      <c r="AX328" s="1221">
        <f ca="1">SUM(INDIRECT(AX$1&amp;AX$2&amp;$A328):INDIRECT(AX$1&amp;AX$3&amp;$A328))+SUM(INDIRECT(AX$1&amp;AX$2&amp;$B328):INDIRECT(AX$1&amp;AX$3&amp;$B328))</f>
        <v>0</v>
      </c>
      <c r="AY328" s="3119">
        <f t="shared" ca="1" si="464"/>
        <v>0</v>
      </c>
      <c r="AZ328" s="2768">
        <f t="shared" ca="1" si="509"/>
        <v>0</v>
      </c>
      <c r="BB328" s="1214">
        <f ca="1">SUM((INDIRECT(BB$2&amp;(ROW())):INDIRECT(BB$3&amp;(ROW()))))</f>
        <v>0</v>
      </c>
      <c r="BC328" s="1221">
        <f ca="1">SUM(INDIRECT(BC$1&amp;BC$2&amp;$C328):INDIRECT(BC$1&amp;BC$3&amp;$C328))</f>
        <v>0</v>
      </c>
      <c r="BD328" s="3119">
        <f t="shared" ca="1" si="466"/>
        <v>0</v>
      </c>
      <c r="BE328" s="2768">
        <f t="shared" ca="1" si="510"/>
        <v>0</v>
      </c>
      <c r="BF328" s="1221">
        <f ca="1">SUM(INDIRECT(BF$1&amp;BF$2&amp;$A328):INDIRECT(BF$1&amp;BF$3&amp;$A328))+SUM(INDIRECT(BF$1&amp;BF$2&amp;$B328):INDIRECT(BF$1&amp;BF$3&amp;$B328))</f>
        <v>0</v>
      </c>
      <c r="BG328" s="3119">
        <f t="shared" ca="1" si="468"/>
        <v>0</v>
      </c>
      <c r="BH328" s="2768">
        <f t="shared" ca="1" si="511"/>
        <v>0</v>
      </c>
    </row>
    <row r="329" spans="1:60" ht="15" customHeight="1">
      <c r="A329" s="616">
        <f t="shared" si="449"/>
        <v>302</v>
      </c>
      <c r="B329" s="616">
        <v>1</v>
      </c>
      <c r="C329" s="616">
        <f t="shared" si="430"/>
        <v>326</v>
      </c>
      <c r="D329" s="709" t="s">
        <v>1308</v>
      </c>
      <c r="E329" s="2547">
        <v>1</v>
      </c>
      <c r="F329" s="330"/>
      <c r="G329" s="244"/>
      <c r="H329" s="4"/>
      <c r="I329" s="27"/>
      <c r="J329" s="3"/>
      <c r="K329" s="4"/>
      <c r="L329" s="4"/>
      <c r="M329" s="3" t="s">
        <v>376</v>
      </c>
      <c r="N329" s="3"/>
      <c r="O329" s="3"/>
      <c r="P329" s="3"/>
      <c r="Q329" s="1800" t="str">
        <f>CHOOSE(2, "6722000003248", "PL (4) Gross Profit ODP ODP New Business")</f>
        <v>PL (4) Gross Profit ODP ODP New Business</v>
      </c>
      <c r="R329" s="1553">
        <v>0</v>
      </c>
      <c r="S329" s="1222">
        <v>0</v>
      </c>
      <c r="T329" s="1222">
        <v>0</v>
      </c>
      <c r="U329" s="1222">
        <v>0</v>
      </c>
      <c r="V329" s="1222">
        <v>0</v>
      </c>
      <c r="W329" s="1222">
        <v>0</v>
      </c>
      <c r="X329" s="1222">
        <v>0</v>
      </c>
      <c r="Y329" s="1222">
        <v>0</v>
      </c>
      <c r="Z329" s="1222">
        <v>0</v>
      </c>
      <c r="AA329" s="1222">
        <v>0</v>
      </c>
      <c r="AB329" s="1222">
        <v>0</v>
      </c>
      <c r="AC329" s="1222">
        <v>0</v>
      </c>
      <c r="AD329" s="1221">
        <f t="shared" si="499"/>
        <v>0</v>
      </c>
      <c r="AE329" s="1221">
        <f t="shared" si="500"/>
        <v>0</v>
      </c>
      <c r="AF329" s="1221">
        <f t="shared" si="501"/>
        <v>0</v>
      </c>
      <c r="AG329" s="1221">
        <f t="shared" si="502"/>
        <v>0</v>
      </c>
      <c r="AH329" s="1221">
        <f t="shared" si="503"/>
        <v>0</v>
      </c>
      <c r="AI329" s="1221">
        <f t="shared" si="504"/>
        <v>0</v>
      </c>
      <c r="AJ329" s="1221">
        <f t="shared" si="505"/>
        <v>0</v>
      </c>
      <c r="AL329" s="1214">
        <f ca="1">SUM((INDIRECT(AL$2&amp;(ROW())):INDIRECT(AL$3&amp;(ROW()))))</f>
        <v>0</v>
      </c>
      <c r="AM329" s="1221">
        <f ca="1">SUM(INDIRECT(AM$1&amp;AM$2&amp;$C329):INDIRECT(AM$1&amp;AM$3&amp;$C329))</f>
        <v>0</v>
      </c>
      <c r="AN329" s="3119">
        <f t="shared" ca="1" si="458"/>
        <v>0</v>
      </c>
      <c r="AO329" s="2768">
        <f t="shared" ca="1" si="506"/>
        <v>0</v>
      </c>
      <c r="AP329" s="1221">
        <f ca="1">SUM(INDIRECT(AP$1&amp;AP$2&amp;$A329):INDIRECT(AP$1&amp;AP$3&amp;$A329))+SUM(INDIRECT(AP$1&amp;AP$2&amp;$B329):INDIRECT(AP$1&amp;AP$3&amp;$B329))</f>
        <v>0</v>
      </c>
      <c r="AQ329" s="3119">
        <f t="shared" ca="1" si="460"/>
        <v>0</v>
      </c>
      <c r="AR329" s="2768">
        <f t="shared" ca="1" si="507"/>
        <v>0</v>
      </c>
      <c r="AT329" s="1214">
        <f ca="1">SUM((INDIRECT(AT$2&amp;(ROW())):INDIRECT(AT$3&amp;(ROW()))))</f>
        <v>0</v>
      </c>
      <c r="AU329" s="1221">
        <f ca="1">SUM(INDIRECT(AU$1&amp;AU$2&amp;$C329):INDIRECT(AU$1&amp;AU$3&amp;$C329))</f>
        <v>0</v>
      </c>
      <c r="AV329" s="3119">
        <f t="shared" ca="1" si="462"/>
        <v>0</v>
      </c>
      <c r="AW329" s="2768">
        <f t="shared" ca="1" si="508"/>
        <v>0</v>
      </c>
      <c r="AX329" s="1221">
        <f ca="1">SUM(INDIRECT(AX$1&amp;AX$2&amp;$A329):INDIRECT(AX$1&amp;AX$3&amp;$A329))+SUM(INDIRECT(AX$1&amp;AX$2&amp;$B329):INDIRECT(AX$1&amp;AX$3&amp;$B329))</f>
        <v>0</v>
      </c>
      <c r="AY329" s="3119">
        <f t="shared" ca="1" si="464"/>
        <v>0</v>
      </c>
      <c r="AZ329" s="2768">
        <f t="shared" ca="1" si="509"/>
        <v>0</v>
      </c>
      <c r="BB329" s="1214">
        <f ca="1">SUM((INDIRECT(BB$2&amp;(ROW())):INDIRECT(BB$3&amp;(ROW()))))</f>
        <v>0</v>
      </c>
      <c r="BC329" s="1221">
        <f ca="1">SUM(INDIRECT(BC$1&amp;BC$2&amp;$C329):INDIRECT(BC$1&amp;BC$3&amp;$C329))</f>
        <v>0</v>
      </c>
      <c r="BD329" s="3119">
        <f t="shared" ca="1" si="466"/>
        <v>0</v>
      </c>
      <c r="BE329" s="2768">
        <f t="shared" ca="1" si="510"/>
        <v>0</v>
      </c>
      <c r="BF329" s="1221">
        <f ca="1">SUM(INDIRECT(BF$1&amp;BF$2&amp;$A329):INDIRECT(BF$1&amp;BF$3&amp;$A329))+SUM(INDIRECT(BF$1&amp;BF$2&amp;$B329):INDIRECT(BF$1&amp;BF$3&amp;$B329))</f>
        <v>0</v>
      </c>
      <c r="BG329" s="3119">
        <f t="shared" ca="1" si="468"/>
        <v>0</v>
      </c>
      <c r="BH329" s="2768">
        <f t="shared" ca="1" si="511"/>
        <v>0</v>
      </c>
    </row>
    <row r="330" spans="1:60" ht="15" customHeight="1">
      <c r="A330" s="616">
        <f t="shared" si="449"/>
        <v>303</v>
      </c>
      <c r="B330" s="616">
        <v>1</v>
      </c>
      <c r="C330" s="616">
        <f t="shared" si="430"/>
        <v>327</v>
      </c>
      <c r="D330" s="709" t="s">
        <v>1308</v>
      </c>
      <c r="E330" s="2547">
        <v>1</v>
      </c>
      <c r="F330" s="8"/>
      <c r="G330" s="8"/>
      <c r="H330" s="4"/>
      <c r="I330" s="27"/>
      <c r="J330" s="3"/>
      <c r="K330" s="4"/>
      <c r="L330" s="4"/>
      <c r="M330" s="3" t="s">
        <v>1425</v>
      </c>
      <c r="N330" s="3"/>
      <c r="O330" s="3"/>
      <c r="P330" s="3"/>
      <c r="Q330" s="1794" t="str">
        <f>CHOOSE(2, "6722000003249", "PL (4) Gross Profit ODP Fixed Cost in COGS")</f>
        <v>PL (4) Gross Profit ODP Fixed Cost in COGS</v>
      </c>
      <c r="R330" s="1564">
        <f>-R864</f>
        <v>0</v>
      </c>
      <c r="S330" s="1565">
        <f t="shared" ref="S330:AC330" si="513">-S864</f>
        <v>0</v>
      </c>
      <c r="T330" s="1565">
        <f t="shared" si="513"/>
        <v>0</v>
      </c>
      <c r="U330" s="1565">
        <f t="shared" si="513"/>
        <v>0</v>
      </c>
      <c r="V330" s="1565">
        <f t="shared" si="513"/>
        <v>0</v>
      </c>
      <c r="W330" s="1565">
        <f t="shared" si="513"/>
        <v>0</v>
      </c>
      <c r="X330" s="1565">
        <f t="shared" si="513"/>
        <v>0</v>
      </c>
      <c r="Y330" s="1565">
        <f t="shared" si="513"/>
        <v>0</v>
      </c>
      <c r="Z330" s="1565">
        <f t="shared" si="513"/>
        <v>0</v>
      </c>
      <c r="AA330" s="1565">
        <f t="shared" si="513"/>
        <v>0</v>
      </c>
      <c r="AB330" s="1565">
        <f t="shared" si="513"/>
        <v>0</v>
      </c>
      <c r="AC330" s="1565">
        <f t="shared" si="513"/>
        <v>0</v>
      </c>
      <c r="AD330" s="1221">
        <f t="shared" si="499"/>
        <v>0</v>
      </c>
      <c r="AE330" s="1221">
        <f t="shared" si="500"/>
        <v>0</v>
      </c>
      <c r="AF330" s="1221">
        <f t="shared" si="501"/>
        <v>0</v>
      </c>
      <c r="AG330" s="1221">
        <f t="shared" si="502"/>
        <v>0</v>
      </c>
      <c r="AH330" s="1221">
        <f t="shared" si="503"/>
        <v>0</v>
      </c>
      <c r="AI330" s="1221">
        <f t="shared" si="504"/>
        <v>0</v>
      </c>
      <c r="AJ330" s="1221">
        <f t="shared" si="505"/>
        <v>0</v>
      </c>
      <c r="AL330" s="1214">
        <f ca="1">SUM((INDIRECT(AL$2&amp;(ROW())):INDIRECT(AL$3&amp;(ROW()))))</f>
        <v>0</v>
      </c>
      <c r="AM330" s="1221">
        <f ca="1">SUM(INDIRECT(AM$1&amp;AM$2&amp;$C330):INDIRECT(AM$1&amp;AM$3&amp;$C330))</f>
        <v>0</v>
      </c>
      <c r="AN330" s="3119">
        <f t="shared" ca="1" si="458"/>
        <v>0</v>
      </c>
      <c r="AO330" s="2768">
        <f t="shared" ca="1" si="506"/>
        <v>0</v>
      </c>
      <c r="AP330" s="1221">
        <f ca="1">SUM(INDIRECT(AP$1&amp;AP$2&amp;$A330):INDIRECT(AP$1&amp;AP$3&amp;$A330))+SUM(INDIRECT(AP$1&amp;AP$2&amp;$B330):INDIRECT(AP$1&amp;AP$3&amp;$B330))</f>
        <v>0</v>
      </c>
      <c r="AQ330" s="3119">
        <f t="shared" ca="1" si="460"/>
        <v>0</v>
      </c>
      <c r="AR330" s="2768">
        <f t="shared" ca="1" si="507"/>
        <v>0</v>
      </c>
      <c r="AT330" s="1214">
        <f ca="1">SUM((INDIRECT(AT$2&amp;(ROW())):INDIRECT(AT$3&amp;(ROW()))))</f>
        <v>0</v>
      </c>
      <c r="AU330" s="1221">
        <f ca="1">SUM(INDIRECT(AU$1&amp;AU$2&amp;$C330):INDIRECT(AU$1&amp;AU$3&amp;$C330))</f>
        <v>0</v>
      </c>
      <c r="AV330" s="3119">
        <f t="shared" ca="1" si="462"/>
        <v>0</v>
      </c>
      <c r="AW330" s="2768">
        <f t="shared" ca="1" si="508"/>
        <v>0</v>
      </c>
      <c r="AX330" s="1221">
        <f ca="1">SUM(INDIRECT(AX$1&amp;AX$2&amp;$A330):INDIRECT(AX$1&amp;AX$3&amp;$A330))+SUM(INDIRECT(AX$1&amp;AX$2&amp;$B330):INDIRECT(AX$1&amp;AX$3&amp;$B330))</f>
        <v>0</v>
      </c>
      <c r="AY330" s="3119">
        <f t="shared" ca="1" si="464"/>
        <v>0</v>
      </c>
      <c r="AZ330" s="2768">
        <f t="shared" ca="1" si="509"/>
        <v>0</v>
      </c>
      <c r="BB330" s="1214">
        <f ca="1">SUM((INDIRECT(BB$2&amp;(ROW())):INDIRECT(BB$3&amp;(ROW()))))</f>
        <v>0</v>
      </c>
      <c r="BC330" s="1221">
        <f ca="1">SUM(INDIRECT(BC$1&amp;BC$2&amp;$C330):INDIRECT(BC$1&amp;BC$3&amp;$C330))</f>
        <v>0</v>
      </c>
      <c r="BD330" s="3119">
        <f t="shared" ca="1" si="466"/>
        <v>0</v>
      </c>
      <c r="BE330" s="2768">
        <f t="shared" ca="1" si="510"/>
        <v>0</v>
      </c>
      <c r="BF330" s="1221">
        <f ca="1">SUM(INDIRECT(BF$1&amp;BF$2&amp;$A330):INDIRECT(BF$1&amp;BF$3&amp;$A330))+SUM(INDIRECT(BF$1&amp;BF$2&amp;$B330):INDIRECT(BF$1&amp;BF$3&amp;$B330))</f>
        <v>0</v>
      </c>
      <c r="BG330" s="3119">
        <f t="shared" ca="1" si="468"/>
        <v>0</v>
      </c>
      <c r="BH330" s="2768">
        <f t="shared" ca="1" si="511"/>
        <v>0</v>
      </c>
    </row>
    <row r="331" spans="1:60" ht="14.5">
      <c r="A331" s="616">
        <f t="shared" si="449"/>
        <v>304</v>
      </c>
      <c r="B331" s="616">
        <v>1</v>
      </c>
      <c r="C331" s="616">
        <f t="shared" si="430"/>
        <v>328</v>
      </c>
      <c r="D331" s="709" t="s">
        <v>1308</v>
      </c>
      <c r="E331" s="2547">
        <v>1</v>
      </c>
      <c r="F331" s="4"/>
      <c r="G331" s="4"/>
      <c r="H331" s="4"/>
      <c r="I331" s="3162" t="s">
        <v>29</v>
      </c>
      <c r="J331" s="595"/>
      <c r="K331" s="867"/>
      <c r="L331" s="867"/>
      <c r="M331" s="595"/>
      <c r="N331" s="595"/>
      <c r="O331" s="595"/>
      <c r="P331" s="595"/>
      <c r="Q331" s="1798" t="str">
        <f>CHOOSE(2, "6722000003250", "PL (4) SGA Expenses")</f>
        <v>PL (4) SGA Expenses</v>
      </c>
      <c r="R331" s="1560">
        <f>SUM(R332:R334)</f>
        <v>0</v>
      </c>
      <c r="S331" s="3163">
        <f t="shared" ref="S331:AJ331" si="514">SUM(S332:S334)</f>
        <v>0</v>
      </c>
      <c r="T331" s="3163">
        <f t="shared" si="514"/>
        <v>0</v>
      </c>
      <c r="U331" s="3163">
        <f t="shared" si="514"/>
        <v>0</v>
      </c>
      <c r="V331" s="3163">
        <f t="shared" si="514"/>
        <v>0</v>
      </c>
      <c r="W331" s="3163">
        <f t="shared" si="514"/>
        <v>0</v>
      </c>
      <c r="X331" s="3163">
        <f t="shared" si="514"/>
        <v>0</v>
      </c>
      <c r="Y331" s="3163">
        <f t="shared" si="514"/>
        <v>0</v>
      </c>
      <c r="Z331" s="3163">
        <f t="shared" si="514"/>
        <v>0</v>
      </c>
      <c r="AA331" s="3163">
        <f t="shared" si="514"/>
        <v>0</v>
      </c>
      <c r="AB331" s="3163">
        <f t="shared" si="514"/>
        <v>0</v>
      </c>
      <c r="AC331" s="3163">
        <f t="shared" si="514"/>
        <v>0</v>
      </c>
      <c r="AD331" s="3164">
        <f t="shared" si="514"/>
        <v>0</v>
      </c>
      <c r="AE331" s="3164">
        <f t="shared" si="514"/>
        <v>0</v>
      </c>
      <c r="AF331" s="3164">
        <f t="shared" si="514"/>
        <v>0</v>
      </c>
      <c r="AG331" s="3164">
        <f t="shared" si="514"/>
        <v>0</v>
      </c>
      <c r="AH331" s="3164">
        <f t="shared" si="514"/>
        <v>0</v>
      </c>
      <c r="AI331" s="3164">
        <f t="shared" si="514"/>
        <v>0</v>
      </c>
      <c r="AJ331" s="3164">
        <f t="shared" si="514"/>
        <v>0</v>
      </c>
      <c r="AL331" s="1314">
        <f ca="1">SUM((INDIRECT(AL$2&amp;(ROW())):INDIRECT(AL$3&amp;(ROW()))))</f>
        <v>0</v>
      </c>
      <c r="AM331" s="3164">
        <f ca="1">SUM(INDIRECT(AM$1&amp;AM$2&amp;$C331):INDIRECT(AM$1&amp;AM$3&amp;$C331))</f>
        <v>0</v>
      </c>
      <c r="AN331" s="3165">
        <f t="shared" ca="1" si="458"/>
        <v>0</v>
      </c>
      <c r="AO331" s="3166">
        <f t="shared" ca="1" si="506"/>
        <v>0</v>
      </c>
      <c r="AP331" s="3164">
        <f ca="1">SUM(INDIRECT(AP$1&amp;AP$2&amp;$A331):INDIRECT(AP$1&amp;AP$3&amp;$A331))+SUM(INDIRECT(AP$1&amp;AP$2&amp;$B331):INDIRECT(AP$1&amp;AP$3&amp;$B331))</f>
        <v>0</v>
      </c>
      <c r="AQ331" s="3165">
        <f t="shared" ca="1" si="460"/>
        <v>0</v>
      </c>
      <c r="AR331" s="3166">
        <f t="shared" ca="1" si="507"/>
        <v>0</v>
      </c>
      <c r="AT331" s="1314">
        <f ca="1">SUM((INDIRECT(AT$2&amp;(ROW())):INDIRECT(AT$3&amp;(ROW()))))</f>
        <v>0</v>
      </c>
      <c r="AU331" s="3164">
        <f ca="1">SUM(INDIRECT(AU$1&amp;AU$2&amp;$C331):INDIRECT(AU$1&amp;AU$3&amp;$C331))</f>
        <v>0</v>
      </c>
      <c r="AV331" s="3165">
        <f t="shared" ca="1" si="462"/>
        <v>0</v>
      </c>
      <c r="AW331" s="3166">
        <f t="shared" ca="1" si="508"/>
        <v>0</v>
      </c>
      <c r="AX331" s="3164">
        <f ca="1">SUM(INDIRECT(AX$1&amp;AX$2&amp;$A331):INDIRECT(AX$1&amp;AX$3&amp;$A331))+SUM(INDIRECT(AX$1&amp;AX$2&amp;$B331):INDIRECT(AX$1&amp;AX$3&amp;$B331))</f>
        <v>0</v>
      </c>
      <c r="AY331" s="3165">
        <f t="shared" ca="1" si="464"/>
        <v>0</v>
      </c>
      <c r="AZ331" s="3166">
        <f t="shared" ca="1" si="509"/>
        <v>0</v>
      </c>
      <c r="BB331" s="1314">
        <f ca="1">SUM((INDIRECT(BB$2&amp;(ROW())):INDIRECT(BB$3&amp;(ROW()))))</f>
        <v>0</v>
      </c>
      <c r="BC331" s="3164">
        <f ca="1">SUM(INDIRECT(BC$1&amp;BC$2&amp;$C331):INDIRECT(BC$1&amp;BC$3&amp;$C331))</f>
        <v>0</v>
      </c>
      <c r="BD331" s="3165">
        <f t="shared" ca="1" si="466"/>
        <v>0</v>
      </c>
      <c r="BE331" s="3166">
        <f t="shared" ca="1" si="510"/>
        <v>0</v>
      </c>
      <c r="BF331" s="3164">
        <f ca="1">SUM(INDIRECT(BF$1&amp;BF$2&amp;$A331):INDIRECT(BF$1&amp;BF$3&amp;$A331))+SUM(INDIRECT(BF$1&amp;BF$2&amp;$B331):INDIRECT(BF$1&amp;BF$3&amp;$B331))</f>
        <v>0</v>
      </c>
      <c r="BG331" s="3165">
        <f t="shared" ca="1" si="468"/>
        <v>0</v>
      </c>
      <c r="BH331" s="3166">
        <f t="shared" ca="1" si="511"/>
        <v>0</v>
      </c>
    </row>
    <row r="332" spans="1:60" ht="14.5">
      <c r="A332" s="616">
        <f t="shared" si="449"/>
        <v>305</v>
      </c>
      <c r="B332" s="616">
        <v>1</v>
      </c>
      <c r="C332" s="616">
        <f t="shared" si="430"/>
        <v>329</v>
      </c>
      <c r="D332" s="709" t="s">
        <v>1308</v>
      </c>
      <c r="E332" s="2547">
        <v>1</v>
      </c>
      <c r="F332" s="4"/>
      <c r="G332" s="4"/>
      <c r="H332" s="4"/>
      <c r="I332" s="27"/>
      <c r="J332" s="36" t="s">
        <v>1329</v>
      </c>
      <c r="K332" s="4"/>
      <c r="L332" s="4"/>
      <c r="M332" s="3"/>
      <c r="N332" s="3"/>
      <c r="O332" s="3"/>
      <c r="P332" s="3"/>
      <c r="Q332" s="1800" t="str">
        <f>CHOOSE(2, "6722000003251", "PL (4) SGA Expenses Variable Expenses")</f>
        <v>PL (4) SGA Expenses Variable Expenses</v>
      </c>
      <c r="R332" s="1553">
        <v>0</v>
      </c>
      <c r="S332" s="1222">
        <v>0</v>
      </c>
      <c r="T332" s="1222">
        <v>0</v>
      </c>
      <c r="U332" s="1222">
        <v>0</v>
      </c>
      <c r="V332" s="1222">
        <v>0</v>
      </c>
      <c r="W332" s="1222">
        <v>0</v>
      </c>
      <c r="X332" s="1222">
        <v>0</v>
      </c>
      <c r="Y332" s="1222">
        <v>0</v>
      </c>
      <c r="Z332" s="1222">
        <v>0</v>
      </c>
      <c r="AA332" s="1222">
        <v>0</v>
      </c>
      <c r="AB332" s="1222">
        <v>0</v>
      </c>
      <c r="AC332" s="1222">
        <v>0</v>
      </c>
      <c r="AD332" s="1221">
        <f>SUM(R332,S332,T332)</f>
        <v>0</v>
      </c>
      <c r="AE332" s="1221">
        <f t="shared" ref="AE332:AE334" si="515">SUM(U332,V332,W332)</f>
        <v>0</v>
      </c>
      <c r="AF332" s="1221">
        <f t="shared" ref="AF332:AF334" si="516">SUM(X332,Y332,Z332)</f>
        <v>0</v>
      </c>
      <c r="AG332" s="1221">
        <f t="shared" ref="AG332:AG334" si="517">SUM(AA332,AB332,AC332)</f>
        <v>0</v>
      </c>
      <c r="AH332" s="1221">
        <f>AD332+AE332</f>
        <v>0</v>
      </c>
      <c r="AI332" s="1221">
        <f>AG332+AF332</f>
        <v>0</v>
      </c>
      <c r="AJ332" s="1221">
        <f>AH332+AI332</f>
        <v>0</v>
      </c>
      <c r="AL332" s="1214">
        <f ca="1">SUM((INDIRECT(AL$2&amp;(ROW())):INDIRECT(AL$3&amp;(ROW()))))</f>
        <v>0</v>
      </c>
      <c r="AM332" s="1221">
        <f ca="1">SUM(INDIRECT(AM$1&amp;AM$2&amp;$C332):INDIRECT(AM$1&amp;AM$3&amp;$C332))</f>
        <v>0</v>
      </c>
      <c r="AN332" s="3119">
        <f t="shared" ca="1" si="458"/>
        <v>0</v>
      </c>
      <c r="AO332" s="2768">
        <f t="shared" ca="1" si="506"/>
        <v>0</v>
      </c>
      <c r="AP332" s="1221">
        <f ca="1">SUM(INDIRECT(AP$1&amp;AP$2&amp;$A332):INDIRECT(AP$1&amp;AP$3&amp;$A332))+SUM(INDIRECT(AP$1&amp;AP$2&amp;$B332):INDIRECT(AP$1&amp;AP$3&amp;$B332))</f>
        <v>0</v>
      </c>
      <c r="AQ332" s="3119">
        <f t="shared" ca="1" si="460"/>
        <v>0</v>
      </c>
      <c r="AR332" s="2768">
        <f t="shared" ca="1" si="507"/>
        <v>0</v>
      </c>
      <c r="AT332" s="1214">
        <f ca="1">SUM((INDIRECT(AT$2&amp;(ROW())):INDIRECT(AT$3&amp;(ROW()))))</f>
        <v>0</v>
      </c>
      <c r="AU332" s="1221">
        <f ca="1">SUM(INDIRECT(AU$1&amp;AU$2&amp;$C332):INDIRECT(AU$1&amp;AU$3&amp;$C332))</f>
        <v>0</v>
      </c>
      <c r="AV332" s="3119">
        <f t="shared" ca="1" si="462"/>
        <v>0</v>
      </c>
      <c r="AW332" s="2768">
        <f t="shared" ca="1" si="508"/>
        <v>0</v>
      </c>
      <c r="AX332" s="1221">
        <f ca="1">SUM(INDIRECT(AX$1&amp;AX$2&amp;$A332):INDIRECT(AX$1&amp;AX$3&amp;$A332))+SUM(INDIRECT(AX$1&amp;AX$2&amp;$B332):INDIRECT(AX$1&amp;AX$3&amp;$B332))</f>
        <v>0</v>
      </c>
      <c r="AY332" s="3119">
        <f t="shared" ca="1" si="464"/>
        <v>0</v>
      </c>
      <c r="AZ332" s="2768">
        <f t="shared" ca="1" si="509"/>
        <v>0</v>
      </c>
      <c r="BB332" s="1214">
        <f ca="1">SUM((INDIRECT(BB$2&amp;(ROW())):INDIRECT(BB$3&amp;(ROW()))))</f>
        <v>0</v>
      </c>
      <c r="BC332" s="1221">
        <f ca="1">SUM(INDIRECT(BC$1&amp;BC$2&amp;$C332):INDIRECT(BC$1&amp;BC$3&amp;$C332))</f>
        <v>0</v>
      </c>
      <c r="BD332" s="3119">
        <f t="shared" ca="1" si="466"/>
        <v>0</v>
      </c>
      <c r="BE332" s="2768">
        <f t="shared" ca="1" si="510"/>
        <v>0</v>
      </c>
      <c r="BF332" s="1221">
        <f ca="1">SUM(INDIRECT(BF$1&amp;BF$2&amp;$A332):INDIRECT(BF$1&amp;BF$3&amp;$A332))+SUM(INDIRECT(BF$1&amp;BF$2&amp;$B332):INDIRECT(BF$1&amp;BF$3&amp;$B332))</f>
        <v>0</v>
      </c>
      <c r="BG332" s="3119">
        <f t="shared" ca="1" si="468"/>
        <v>0</v>
      </c>
      <c r="BH332" s="2768">
        <f t="shared" ca="1" si="511"/>
        <v>0</v>
      </c>
    </row>
    <row r="333" spans="1:60" ht="14.5">
      <c r="A333" s="616">
        <f t="shared" si="449"/>
        <v>306</v>
      </c>
      <c r="B333" s="616">
        <v>1</v>
      </c>
      <c r="C333" s="616">
        <f t="shared" si="430"/>
        <v>330</v>
      </c>
      <c r="D333" s="709" t="s">
        <v>1308</v>
      </c>
      <c r="E333" s="2547">
        <v>1</v>
      </c>
      <c r="F333" s="4"/>
      <c r="G333" s="4"/>
      <c r="H333" s="4"/>
      <c r="I333" s="27"/>
      <c r="J333" s="36" t="s">
        <v>1330</v>
      </c>
      <c r="K333" s="4"/>
      <c r="L333" s="4"/>
      <c r="M333" s="3"/>
      <c r="N333" s="3"/>
      <c r="O333" s="3"/>
      <c r="P333" s="3"/>
      <c r="Q333" s="1800" t="str">
        <f>CHOOSE(2, "6722000003252", "PL (4) SGA Expenses Wages &amp; Salaries")</f>
        <v>PL (4) SGA Expenses Wages &amp; Salaries</v>
      </c>
      <c r="R333" s="1553">
        <v>0</v>
      </c>
      <c r="S333" s="1222">
        <v>0</v>
      </c>
      <c r="T333" s="1222">
        <v>0</v>
      </c>
      <c r="U333" s="1222">
        <v>0</v>
      </c>
      <c r="V333" s="1222">
        <v>0</v>
      </c>
      <c r="W333" s="1222">
        <v>0</v>
      </c>
      <c r="X333" s="1222">
        <v>0</v>
      </c>
      <c r="Y333" s="1222">
        <v>0</v>
      </c>
      <c r="Z333" s="1222">
        <v>0</v>
      </c>
      <c r="AA333" s="1222">
        <v>0</v>
      </c>
      <c r="AB333" s="1222">
        <v>0</v>
      </c>
      <c r="AC333" s="1222">
        <v>0</v>
      </c>
      <c r="AD333" s="1221">
        <f>SUM(R333,S333,T333)</f>
        <v>0</v>
      </c>
      <c r="AE333" s="1221">
        <f t="shared" si="515"/>
        <v>0</v>
      </c>
      <c r="AF333" s="1221">
        <f t="shared" si="516"/>
        <v>0</v>
      </c>
      <c r="AG333" s="1221">
        <f t="shared" si="517"/>
        <v>0</v>
      </c>
      <c r="AH333" s="1221">
        <f>AD333+AE333</f>
        <v>0</v>
      </c>
      <c r="AI333" s="1221">
        <f>AG333+AF333</f>
        <v>0</v>
      </c>
      <c r="AJ333" s="1221">
        <f>AH333+AI333</f>
        <v>0</v>
      </c>
      <c r="AL333" s="1214">
        <f ca="1">SUM((INDIRECT(AL$2&amp;(ROW())):INDIRECT(AL$3&amp;(ROW()))))</f>
        <v>0</v>
      </c>
      <c r="AM333" s="1221">
        <f ca="1">SUM(INDIRECT(AM$1&amp;AM$2&amp;$C333):INDIRECT(AM$1&amp;AM$3&amp;$C333))</f>
        <v>0</v>
      </c>
      <c r="AN333" s="3119">
        <f t="shared" ca="1" si="458"/>
        <v>0</v>
      </c>
      <c r="AO333" s="2768">
        <f t="shared" ca="1" si="506"/>
        <v>0</v>
      </c>
      <c r="AP333" s="1221">
        <f ca="1">SUM(INDIRECT(AP$1&amp;AP$2&amp;$A333):INDIRECT(AP$1&amp;AP$3&amp;$A333))+SUM(INDIRECT(AP$1&amp;AP$2&amp;$B333):INDIRECT(AP$1&amp;AP$3&amp;$B333))</f>
        <v>0</v>
      </c>
      <c r="AQ333" s="3119">
        <f t="shared" ca="1" si="460"/>
        <v>0</v>
      </c>
      <c r="AR333" s="2768">
        <f t="shared" ca="1" si="507"/>
        <v>0</v>
      </c>
      <c r="AT333" s="1214">
        <f ca="1">SUM((INDIRECT(AT$2&amp;(ROW())):INDIRECT(AT$3&amp;(ROW()))))</f>
        <v>0</v>
      </c>
      <c r="AU333" s="1221">
        <f ca="1">SUM(INDIRECT(AU$1&amp;AU$2&amp;$C333):INDIRECT(AU$1&amp;AU$3&amp;$C333))</f>
        <v>0</v>
      </c>
      <c r="AV333" s="3119">
        <f t="shared" ca="1" si="462"/>
        <v>0</v>
      </c>
      <c r="AW333" s="2768">
        <f t="shared" ca="1" si="508"/>
        <v>0</v>
      </c>
      <c r="AX333" s="1221">
        <f ca="1">SUM(INDIRECT(AX$1&amp;AX$2&amp;$A333):INDIRECT(AX$1&amp;AX$3&amp;$A333))+SUM(INDIRECT(AX$1&amp;AX$2&amp;$B333):INDIRECT(AX$1&amp;AX$3&amp;$B333))</f>
        <v>0</v>
      </c>
      <c r="AY333" s="3119">
        <f t="shared" ca="1" si="464"/>
        <v>0</v>
      </c>
      <c r="AZ333" s="2768">
        <f t="shared" ca="1" si="509"/>
        <v>0</v>
      </c>
      <c r="BB333" s="1214">
        <f ca="1">SUM((INDIRECT(BB$2&amp;(ROW())):INDIRECT(BB$3&amp;(ROW()))))</f>
        <v>0</v>
      </c>
      <c r="BC333" s="1221">
        <f ca="1">SUM(INDIRECT(BC$1&amp;BC$2&amp;$C333):INDIRECT(BC$1&amp;BC$3&amp;$C333))</f>
        <v>0</v>
      </c>
      <c r="BD333" s="3119">
        <f t="shared" ca="1" si="466"/>
        <v>0</v>
      </c>
      <c r="BE333" s="2768">
        <f t="shared" ca="1" si="510"/>
        <v>0</v>
      </c>
      <c r="BF333" s="1221">
        <f ca="1">SUM(INDIRECT(BF$1&amp;BF$2&amp;$A333):INDIRECT(BF$1&amp;BF$3&amp;$A333))+SUM(INDIRECT(BF$1&amp;BF$2&amp;$B333):INDIRECT(BF$1&amp;BF$3&amp;$B333))</f>
        <v>0</v>
      </c>
      <c r="BG333" s="3119">
        <f t="shared" ca="1" si="468"/>
        <v>0</v>
      </c>
      <c r="BH333" s="2768">
        <f t="shared" ca="1" si="511"/>
        <v>0</v>
      </c>
    </row>
    <row r="334" spans="1:60" ht="14.5">
      <c r="A334" s="616">
        <f t="shared" si="449"/>
        <v>307</v>
      </c>
      <c r="B334" s="616">
        <v>1</v>
      </c>
      <c r="C334" s="616">
        <f t="shared" ref="C334:C380" si="518">ROW()-3</f>
        <v>331</v>
      </c>
      <c r="D334" s="709" t="s">
        <v>1308</v>
      </c>
      <c r="E334" s="2547">
        <v>1</v>
      </c>
      <c r="F334" s="4"/>
      <c r="G334" s="4"/>
      <c r="H334" s="4"/>
      <c r="I334" s="27"/>
      <c r="J334" s="36" t="s">
        <v>1331</v>
      </c>
      <c r="K334" s="4"/>
      <c r="L334" s="4"/>
      <c r="M334" s="3"/>
      <c r="N334" s="3"/>
      <c r="O334" s="3"/>
      <c r="P334" s="3"/>
      <c r="Q334" s="1800" t="str">
        <f>CHOOSE(2, "6722000003253", "PL (4) SGA Expenses Fixed Expenses")</f>
        <v>PL (4) SGA Expenses Fixed Expenses</v>
      </c>
      <c r="R334" s="1553">
        <v>0</v>
      </c>
      <c r="S334" s="1222">
        <v>0</v>
      </c>
      <c r="T334" s="1222">
        <v>0</v>
      </c>
      <c r="U334" s="1222">
        <v>0</v>
      </c>
      <c r="V334" s="1222">
        <v>0</v>
      </c>
      <c r="W334" s="1222">
        <v>0</v>
      </c>
      <c r="X334" s="1222">
        <v>0</v>
      </c>
      <c r="Y334" s="1222">
        <v>0</v>
      </c>
      <c r="Z334" s="1222">
        <v>0</v>
      </c>
      <c r="AA334" s="1222">
        <v>0</v>
      </c>
      <c r="AB334" s="1222">
        <v>0</v>
      </c>
      <c r="AC334" s="1222">
        <v>0</v>
      </c>
      <c r="AD334" s="1221">
        <f>SUM(R334,S334,T334)</f>
        <v>0</v>
      </c>
      <c r="AE334" s="1221">
        <f t="shared" si="515"/>
        <v>0</v>
      </c>
      <c r="AF334" s="1221">
        <f t="shared" si="516"/>
        <v>0</v>
      </c>
      <c r="AG334" s="1221">
        <f t="shared" si="517"/>
        <v>0</v>
      </c>
      <c r="AH334" s="1221">
        <f>AD334+AE334</f>
        <v>0</v>
      </c>
      <c r="AI334" s="1221">
        <f>AG334+AF334</f>
        <v>0</v>
      </c>
      <c r="AJ334" s="1221">
        <f>AH334+AI334</f>
        <v>0</v>
      </c>
      <c r="AL334" s="1214">
        <f ca="1">SUM((INDIRECT(AL$2&amp;(ROW())):INDIRECT(AL$3&amp;(ROW()))))</f>
        <v>0</v>
      </c>
      <c r="AM334" s="1221">
        <f ca="1">SUM(INDIRECT(AM$1&amp;AM$2&amp;$C334):INDIRECT(AM$1&amp;AM$3&amp;$C334))</f>
        <v>0</v>
      </c>
      <c r="AN334" s="3119">
        <f t="shared" ca="1" si="458"/>
        <v>0</v>
      </c>
      <c r="AO334" s="2768">
        <f t="shared" ca="1" si="506"/>
        <v>0</v>
      </c>
      <c r="AP334" s="1221">
        <f ca="1">SUM(INDIRECT(AP$1&amp;AP$2&amp;$A334):INDIRECT(AP$1&amp;AP$3&amp;$A334))+SUM(INDIRECT(AP$1&amp;AP$2&amp;$B334):INDIRECT(AP$1&amp;AP$3&amp;$B334))</f>
        <v>0</v>
      </c>
      <c r="AQ334" s="3119">
        <f t="shared" ca="1" si="460"/>
        <v>0</v>
      </c>
      <c r="AR334" s="2768">
        <f t="shared" ca="1" si="507"/>
        <v>0</v>
      </c>
      <c r="AT334" s="1214">
        <f ca="1">SUM((INDIRECT(AT$2&amp;(ROW())):INDIRECT(AT$3&amp;(ROW()))))</f>
        <v>0</v>
      </c>
      <c r="AU334" s="1221">
        <f ca="1">SUM(INDIRECT(AU$1&amp;AU$2&amp;$C334):INDIRECT(AU$1&amp;AU$3&amp;$C334))</f>
        <v>0</v>
      </c>
      <c r="AV334" s="3119">
        <f t="shared" ca="1" si="462"/>
        <v>0</v>
      </c>
      <c r="AW334" s="2768">
        <f t="shared" ca="1" si="508"/>
        <v>0</v>
      </c>
      <c r="AX334" s="1221">
        <f ca="1">SUM(INDIRECT(AX$1&amp;AX$2&amp;$A334):INDIRECT(AX$1&amp;AX$3&amp;$A334))+SUM(INDIRECT(AX$1&amp;AX$2&amp;$B334):INDIRECT(AX$1&amp;AX$3&amp;$B334))</f>
        <v>0</v>
      </c>
      <c r="AY334" s="3119">
        <f t="shared" ca="1" si="464"/>
        <v>0</v>
      </c>
      <c r="AZ334" s="2768">
        <f t="shared" ca="1" si="509"/>
        <v>0</v>
      </c>
      <c r="BB334" s="1214">
        <f ca="1">SUM((INDIRECT(BB$2&amp;(ROW())):INDIRECT(BB$3&amp;(ROW()))))</f>
        <v>0</v>
      </c>
      <c r="BC334" s="1221">
        <f ca="1">SUM(INDIRECT(BC$1&amp;BC$2&amp;$C334):INDIRECT(BC$1&amp;BC$3&amp;$C334))</f>
        <v>0</v>
      </c>
      <c r="BD334" s="3119">
        <f t="shared" ca="1" si="466"/>
        <v>0</v>
      </c>
      <c r="BE334" s="2768">
        <f t="shared" ca="1" si="510"/>
        <v>0</v>
      </c>
      <c r="BF334" s="1221">
        <f ca="1">SUM(INDIRECT(BF$1&amp;BF$2&amp;$A334):INDIRECT(BF$1&amp;BF$3&amp;$A334))+SUM(INDIRECT(BF$1&amp;BF$2&amp;$B334):INDIRECT(BF$1&amp;BF$3&amp;$B334))</f>
        <v>0</v>
      </c>
      <c r="BG334" s="3119">
        <f t="shared" ca="1" si="468"/>
        <v>0</v>
      </c>
      <c r="BH334" s="2768">
        <f t="shared" ca="1" si="511"/>
        <v>0</v>
      </c>
    </row>
    <row r="335" spans="1:60" ht="14.5">
      <c r="A335" s="616">
        <f t="shared" si="449"/>
        <v>308</v>
      </c>
      <c r="B335" s="616">
        <v>1</v>
      </c>
      <c r="C335" s="616">
        <f t="shared" si="518"/>
        <v>332</v>
      </c>
      <c r="D335" s="709" t="s">
        <v>1308</v>
      </c>
      <c r="E335" s="2547">
        <v>1</v>
      </c>
      <c r="F335" s="4"/>
      <c r="G335" s="4"/>
      <c r="H335" s="4"/>
      <c r="I335" s="3162" t="s">
        <v>56</v>
      </c>
      <c r="J335" s="595"/>
      <c r="K335" s="867"/>
      <c r="L335" s="867"/>
      <c r="M335" s="867"/>
      <c r="N335" s="867"/>
      <c r="O335" s="867"/>
      <c r="P335" s="867"/>
      <c r="Q335" s="1798" t="str">
        <f>CHOOSE(2, "6722000003254", "PL (4) Business Contribution Profit")</f>
        <v>PL (4) Business Contribution Profit</v>
      </c>
      <c r="R335" s="1560">
        <f t="shared" ref="R335:AJ335" si="519">R310-R331</f>
        <v>0</v>
      </c>
      <c r="S335" s="3163">
        <f t="shared" si="519"/>
        <v>0</v>
      </c>
      <c r="T335" s="3163">
        <f t="shared" si="519"/>
        <v>0</v>
      </c>
      <c r="U335" s="3163">
        <f t="shared" si="519"/>
        <v>0</v>
      </c>
      <c r="V335" s="3163">
        <f t="shared" si="519"/>
        <v>0</v>
      </c>
      <c r="W335" s="3163">
        <f t="shared" si="519"/>
        <v>0</v>
      </c>
      <c r="X335" s="3163">
        <f t="shared" si="519"/>
        <v>0</v>
      </c>
      <c r="Y335" s="3163">
        <f t="shared" si="519"/>
        <v>0</v>
      </c>
      <c r="Z335" s="3163">
        <f t="shared" si="519"/>
        <v>0</v>
      </c>
      <c r="AA335" s="3163">
        <f t="shared" si="519"/>
        <v>0</v>
      </c>
      <c r="AB335" s="3163">
        <f t="shared" si="519"/>
        <v>0</v>
      </c>
      <c r="AC335" s="3163">
        <f t="shared" si="519"/>
        <v>0</v>
      </c>
      <c r="AD335" s="3164">
        <f t="shared" si="519"/>
        <v>0</v>
      </c>
      <c r="AE335" s="3164">
        <f t="shared" si="519"/>
        <v>0</v>
      </c>
      <c r="AF335" s="3164">
        <f t="shared" si="519"/>
        <v>0</v>
      </c>
      <c r="AG335" s="3164">
        <f t="shared" si="519"/>
        <v>0</v>
      </c>
      <c r="AH335" s="3164">
        <f t="shared" si="519"/>
        <v>0</v>
      </c>
      <c r="AI335" s="3164">
        <f t="shared" si="519"/>
        <v>0</v>
      </c>
      <c r="AJ335" s="3164">
        <f t="shared" si="519"/>
        <v>0</v>
      </c>
      <c r="AL335" s="1314">
        <f ca="1">SUM((INDIRECT(AL$2&amp;(ROW())):INDIRECT(AL$3&amp;(ROW()))))</f>
        <v>0</v>
      </c>
      <c r="AM335" s="3164">
        <f ca="1">SUM(INDIRECT(AM$1&amp;AM$2&amp;$C335):INDIRECT(AM$1&amp;AM$3&amp;$C335))</f>
        <v>0</v>
      </c>
      <c r="AN335" s="3165">
        <f t="shared" ca="1" si="458"/>
        <v>0</v>
      </c>
      <c r="AO335" s="3166">
        <f t="shared" ca="1" si="506"/>
        <v>0</v>
      </c>
      <c r="AP335" s="3164">
        <f ca="1">SUM(INDIRECT(AP$1&amp;AP$2&amp;$A335):INDIRECT(AP$1&amp;AP$3&amp;$A335))+SUM(INDIRECT(AP$1&amp;AP$2&amp;$B335):INDIRECT(AP$1&amp;AP$3&amp;$B335))</f>
        <v>0</v>
      </c>
      <c r="AQ335" s="3165">
        <f t="shared" ca="1" si="460"/>
        <v>0</v>
      </c>
      <c r="AR335" s="3166">
        <f t="shared" ca="1" si="507"/>
        <v>0</v>
      </c>
      <c r="AT335" s="1314">
        <f ca="1">SUM((INDIRECT(AT$2&amp;(ROW())):INDIRECT(AT$3&amp;(ROW()))))</f>
        <v>0</v>
      </c>
      <c r="AU335" s="3164">
        <f ca="1">SUM(INDIRECT(AU$1&amp;AU$2&amp;$C335):INDIRECT(AU$1&amp;AU$3&amp;$C335))</f>
        <v>0</v>
      </c>
      <c r="AV335" s="3165">
        <f t="shared" ca="1" si="462"/>
        <v>0</v>
      </c>
      <c r="AW335" s="3166">
        <f t="shared" ca="1" si="508"/>
        <v>0</v>
      </c>
      <c r="AX335" s="3164">
        <f ca="1">SUM(INDIRECT(AX$1&amp;AX$2&amp;$A335):INDIRECT(AX$1&amp;AX$3&amp;$A335))+SUM(INDIRECT(AX$1&amp;AX$2&amp;$B335):INDIRECT(AX$1&amp;AX$3&amp;$B335))</f>
        <v>0</v>
      </c>
      <c r="AY335" s="3165">
        <f t="shared" ca="1" si="464"/>
        <v>0</v>
      </c>
      <c r="AZ335" s="3166">
        <f t="shared" ca="1" si="509"/>
        <v>0</v>
      </c>
      <c r="BB335" s="1314">
        <f ca="1">SUM((INDIRECT(BB$2&amp;(ROW())):INDIRECT(BB$3&amp;(ROW()))))</f>
        <v>0</v>
      </c>
      <c r="BC335" s="3164">
        <f ca="1">SUM(INDIRECT(BC$1&amp;BC$2&amp;$C335):INDIRECT(BC$1&amp;BC$3&amp;$C335))</f>
        <v>0</v>
      </c>
      <c r="BD335" s="3165">
        <f t="shared" ca="1" si="466"/>
        <v>0</v>
      </c>
      <c r="BE335" s="3166">
        <f t="shared" ca="1" si="510"/>
        <v>0</v>
      </c>
      <c r="BF335" s="3164">
        <f ca="1">SUM(INDIRECT(BF$1&amp;BF$2&amp;$A335):INDIRECT(BF$1&amp;BF$3&amp;$A335))+SUM(INDIRECT(BF$1&amp;BF$2&amp;$B335):INDIRECT(BF$1&amp;BF$3&amp;$B335))</f>
        <v>0</v>
      </c>
      <c r="BG335" s="3165">
        <f t="shared" ca="1" si="468"/>
        <v>0</v>
      </c>
      <c r="BH335" s="3166">
        <f t="shared" ca="1" si="511"/>
        <v>0</v>
      </c>
    </row>
    <row r="336" spans="1:60" ht="14.5">
      <c r="A336" s="616">
        <f t="shared" si="449"/>
        <v>309</v>
      </c>
      <c r="B336" s="616">
        <v>1</v>
      </c>
      <c r="C336" s="616">
        <f t="shared" si="518"/>
        <v>333</v>
      </c>
      <c r="D336" s="709" t="s">
        <v>1308</v>
      </c>
      <c r="E336" s="2547">
        <v>1</v>
      </c>
      <c r="F336" s="4"/>
      <c r="G336" s="4"/>
      <c r="H336" s="4"/>
      <c r="I336" s="25"/>
      <c r="J336" s="511" t="s">
        <v>55</v>
      </c>
      <c r="K336" s="2"/>
      <c r="L336" s="2"/>
      <c r="M336" s="1"/>
      <c r="N336" s="1"/>
      <c r="O336" s="1"/>
      <c r="P336" s="1"/>
      <c r="Q336" s="1792" t="str">
        <f>CHOOSE(2, "6722000003255", "PL (4) Business Contribution Profit (%)")</f>
        <v>PL (4) Business Contribution Profit (%)</v>
      </c>
      <c r="R336" s="1323">
        <f t="shared" ref="R336:AJ336" si="520">IFERROR(R335/R290,0)</f>
        <v>0</v>
      </c>
      <c r="S336" s="1322">
        <f t="shared" si="520"/>
        <v>0</v>
      </c>
      <c r="T336" s="1322">
        <f t="shared" si="520"/>
        <v>0</v>
      </c>
      <c r="U336" s="1322">
        <f t="shared" si="520"/>
        <v>0</v>
      </c>
      <c r="V336" s="1322">
        <f t="shared" si="520"/>
        <v>0</v>
      </c>
      <c r="W336" s="1322">
        <f t="shared" si="520"/>
        <v>0</v>
      </c>
      <c r="X336" s="1322">
        <f t="shared" si="520"/>
        <v>0</v>
      </c>
      <c r="Y336" s="1322">
        <f t="shared" si="520"/>
        <v>0</v>
      </c>
      <c r="Z336" s="1322">
        <f t="shared" si="520"/>
        <v>0</v>
      </c>
      <c r="AA336" s="1322">
        <f t="shared" si="520"/>
        <v>0</v>
      </c>
      <c r="AB336" s="1322">
        <f t="shared" si="520"/>
        <v>0</v>
      </c>
      <c r="AC336" s="1322">
        <f t="shared" si="520"/>
        <v>0</v>
      </c>
      <c r="AD336" s="1322">
        <f t="shared" si="520"/>
        <v>0</v>
      </c>
      <c r="AE336" s="1322">
        <f t="shared" si="520"/>
        <v>0</v>
      </c>
      <c r="AF336" s="1322">
        <f t="shared" si="520"/>
        <v>0</v>
      </c>
      <c r="AG336" s="1322">
        <f t="shared" si="520"/>
        <v>0</v>
      </c>
      <c r="AH336" s="1322">
        <f t="shared" si="520"/>
        <v>0</v>
      </c>
      <c r="AI336" s="1322">
        <f t="shared" si="520"/>
        <v>0</v>
      </c>
      <c r="AJ336" s="1322">
        <f t="shared" si="520"/>
        <v>0</v>
      </c>
      <c r="AK336" s="504"/>
      <c r="AL336" s="1323">
        <f ca="1">IFERROR(AL335/AL290,0)</f>
        <v>0</v>
      </c>
      <c r="AM336" s="1322">
        <f ca="1">IFERROR(AM335/AM290,0)</f>
        <v>0</v>
      </c>
      <c r="AN336" s="1322">
        <f t="shared" ca="1" si="458"/>
        <v>0</v>
      </c>
      <c r="AO336" s="2802"/>
      <c r="AP336" s="1322">
        <f ca="1">IFERROR(AP335/AP290,0)</f>
        <v>0</v>
      </c>
      <c r="AQ336" s="1322">
        <f t="shared" ca="1" si="460"/>
        <v>0</v>
      </c>
      <c r="AR336" s="2802"/>
      <c r="AS336" s="504"/>
      <c r="AT336" s="1323">
        <f ca="1">IFERROR(AT335/AT290,0)</f>
        <v>0</v>
      </c>
      <c r="AU336" s="1322">
        <f ca="1">IFERROR(AU335/AU290,0)</f>
        <v>0</v>
      </c>
      <c r="AV336" s="1322">
        <f t="shared" ca="1" si="462"/>
        <v>0</v>
      </c>
      <c r="AW336" s="2802"/>
      <c r="AX336" s="1322">
        <f ca="1">IFERROR(AX335/AX290,0)</f>
        <v>0</v>
      </c>
      <c r="AY336" s="1322">
        <f t="shared" ca="1" si="464"/>
        <v>0</v>
      </c>
      <c r="AZ336" s="2802"/>
      <c r="BA336" s="504"/>
      <c r="BB336" s="1323">
        <f ca="1">IFERROR(BB335/BB290,0)</f>
        <v>0</v>
      </c>
      <c r="BC336" s="1322">
        <f ca="1">IFERROR(BC335/BC290,0)</f>
        <v>0</v>
      </c>
      <c r="BD336" s="1322">
        <f t="shared" ca="1" si="466"/>
        <v>0</v>
      </c>
      <c r="BE336" s="2802"/>
      <c r="BF336" s="1322">
        <f ca="1">IFERROR(BF335/BF290,0)</f>
        <v>0</v>
      </c>
      <c r="BG336" s="1322">
        <f t="shared" ca="1" si="468"/>
        <v>0</v>
      </c>
      <c r="BH336" s="2802"/>
    </row>
    <row r="337" spans="1:60" ht="14.5">
      <c r="A337" s="616">
        <f t="shared" si="449"/>
        <v>310</v>
      </c>
      <c r="B337" s="616">
        <v>1</v>
      </c>
      <c r="C337" s="616">
        <f t="shared" si="518"/>
        <v>334</v>
      </c>
      <c r="D337" s="709" t="s">
        <v>1308</v>
      </c>
      <c r="E337" s="2547">
        <v>1</v>
      </c>
      <c r="F337" s="4"/>
      <c r="G337" s="4"/>
      <c r="H337" s="4"/>
      <c r="I337" s="3041" t="s">
        <v>1333</v>
      </c>
      <c r="J337" s="447"/>
      <c r="K337" s="514"/>
      <c r="L337" s="514"/>
      <c r="M337" s="447"/>
      <c r="N337" s="447"/>
      <c r="O337" s="447"/>
      <c r="P337" s="447"/>
      <c r="Q337" s="1800" t="str">
        <f>CHOOSE(2, "6722000003256", "PL (4) Other Income")</f>
        <v>PL (4) Other Income</v>
      </c>
      <c r="R337" s="1383">
        <v>0</v>
      </c>
      <c r="S337" s="3039">
        <v>0</v>
      </c>
      <c r="T337" s="3039">
        <v>0</v>
      </c>
      <c r="U337" s="3039">
        <v>0</v>
      </c>
      <c r="V337" s="3039">
        <v>0</v>
      </c>
      <c r="W337" s="3039">
        <v>0</v>
      </c>
      <c r="X337" s="3039">
        <v>0</v>
      </c>
      <c r="Y337" s="3039">
        <v>0</v>
      </c>
      <c r="Z337" s="3039">
        <v>0</v>
      </c>
      <c r="AA337" s="3039">
        <v>0</v>
      </c>
      <c r="AB337" s="3039">
        <v>0</v>
      </c>
      <c r="AC337" s="3039">
        <v>0</v>
      </c>
      <c r="AD337" s="3095">
        <f>SUM(R337,S337,T337)</f>
        <v>0</v>
      </c>
      <c r="AE337" s="3095">
        <f t="shared" ref="AE337:AE338" si="521">SUM(U337,V337,W337)</f>
        <v>0</v>
      </c>
      <c r="AF337" s="3095">
        <f t="shared" ref="AF337:AF338" si="522">SUM(X337,Y337,Z337)</f>
        <v>0</v>
      </c>
      <c r="AG337" s="3095">
        <f t="shared" ref="AG337:AG338" si="523">SUM(AA337,AB337,AC337)</f>
        <v>0</v>
      </c>
      <c r="AH337" s="3095">
        <f>AD337+AE337</f>
        <v>0</v>
      </c>
      <c r="AI337" s="3095">
        <f>AG337+AF337</f>
        <v>0</v>
      </c>
      <c r="AJ337" s="3095">
        <f>AH337+AI337</f>
        <v>0</v>
      </c>
      <c r="AL337" s="3112">
        <f ca="1">SUM((INDIRECT(AL$2&amp;(ROW())):INDIRECT(AL$3&amp;(ROW()))))</f>
        <v>0</v>
      </c>
      <c r="AM337" s="3095">
        <f ca="1">SUM(INDIRECT(AM$1&amp;AM$2&amp;$C337):INDIRECT(AM$1&amp;AM$3&amp;$C337))</f>
        <v>0</v>
      </c>
      <c r="AN337" s="3129">
        <f t="shared" ca="1" si="458"/>
        <v>0</v>
      </c>
      <c r="AO337" s="3130">
        <f ca="1">IFERROR(AL337/AM337,0)</f>
        <v>0</v>
      </c>
      <c r="AP337" s="3095">
        <f ca="1">SUM(INDIRECT(AP$1&amp;AP$2&amp;$A337):INDIRECT(AP$1&amp;AP$3&amp;$A337))+SUM(INDIRECT(AP$1&amp;AP$2&amp;$B337):INDIRECT(AP$1&amp;AP$3&amp;$B337))</f>
        <v>0</v>
      </c>
      <c r="AQ337" s="3129">
        <f t="shared" ca="1" si="460"/>
        <v>0</v>
      </c>
      <c r="AR337" s="3130">
        <f ca="1">IFERROR(AL337/AP337,0)</f>
        <v>0</v>
      </c>
      <c r="AT337" s="3112">
        <f ca="1">SUM((INDIRECT(AT$2&amp;(ROW())):INDIRECT(AT$3&amp;(ROW()))))</f>
        <v>0</v>
      </c>
      <c r="AU337" s="3095">
        <f ca="1">SUM(INDIRECT(AU$1&amp;AU$2&amp;$C337):INDIRECT(AU$1&amp;AU$3&amp;$C337))</f>
        <v>0</v>
      </c>
      <c r="AV337" s="3129">
        <f t="shared" ca="1" si="462"/>
        <v>0</v>
      </c>
      <c r="AW337" s="3130">
        <f ca="1">IFERROR(AT337/AU337,0)</f>
        <v>0</v>
      </c>
      <c r="AX337" s="3095">
        <f ca="1">SUM(INDIRECT(AX$1&amp;AX$2&amp;$A337):INDIRECT(AX$1&amp;AX$3&amp;$A337))+SUM(INDIRECT(AX$1&amp;AX$2&amp;$B337):INDIRECT(AX$1&amp;AX$3&amp;$B337))</f>
        <v>0</v>
      </c>
      <c r="AY337" s="3129">
        <f t="shared" ca="1" si="464"/>
        <v>0</v>
      </c>
      <c r="AZ337" s="3130">
        <f ca="1">IFERROR(AT337/AX337,0)</f>
        <v>0</v>
      </c>
      <c r="BB337" s="3112">
        <f ca="1">SUM((INDIRECT(BB$2&amp;(ROW())):INDIRECT(BB$3&amp;(ROW()))))</f>
        <v>0</v>
      </c>
      <c r="BC337" s="3095">
        <f ca="1">SUM(INDIRECT(BC$1&amp;BC$2&amp;$C337):INDIRECT(BC$1&amp;BC$3&amp;$C337))</f>
        <v>0</v>
      </c>
      <c r="BD337" s="3129">
        <f t="shared" ca="1" si="466"/>
        <v>0</v>
      </c>
      <c r="BE337" s="3130">
        <f ca="1">IFERROR(BB337/BC337,0)</f>
        <v>0</v>
      </c>
      <c r="BF337" s="3095">
        <f ca="1">SUM(INDIRECT(BF$1&amp;BF$2&amp;$A337):INDIRECT(BF$1&amp;BF$3&amp;$A337))+SUM(INDIRECT(BF$1&amp;BF$2&amp;$B337):INDIRECT(BF$1&amp;BF$3&amp;$B337))</f>
        <v>0</v>
      </c>
      <c r="BG337" s="3129">
        <f t="shared" ca="1" si="468"/>
        <v>0</v>
      </c>
      <c r="BH337" s="3130">
        <f ca="1">IFERROR(BB337/BF337,0)</f>
        <v>0</v>
      </c>
    </row>
    <row r="338" spans="1:60" ht="14.5">
      <c r="A338" s="616">
        <f t="shared" si="449"/>
        <v>311</v>
      </c>
      <c r="B338" s="616">
        <v>1</v>
      </c>
      <c r="C338" s="616">
        <f t="shared" si="518"/>
        <v>335</v>
      </c>
      <c r="D338" s="709" t="s">
        <v>1308</v>
      </c>
      <c r="E338" s="2547">
        <v>1</v>
      </c>
      <c r="F338" s="4"/>
      <c r="G338" s="4"/>
      <c r="H338" s="4"/>
      <c r="I338" s="106" t="s">
        <v>1334</v>
      </c>
      <c r="J338" s="104"/>
      <c r="K338" s="105"/>
      <c r="L338" s="105"/>
      <c r="M338" s="104"/>
      <c r="N338" s="104"/>
      <c r="O338" s="104"/>
      <c r="P338" s="104"/>
      <c r="Q338" s="1800" t="str">
        <f>CHOOSE(2, "6722000003257", "PL (4) Other Expenses")</f>
        <v>PL (4) Other Expenses</v>
      </c>
      <c r="R338" s="1555">
        <v>0</v>
      </c>
      <c r="S338" s="1216">
        <v>0</v>
      </c>
      <c r="T338" s="1216">
        <v>0</v>
      </c>
      <c r="U338" s="1216">
        <v>0</v>
      </c>
      <c r="V338" s="1216">
        <v>0</v>
      </c>
      <c r="W338" s="1216">
        <v>0</v>
      </c>
      <c r="X338" s="1216">
        <v>0</v>
      </c>
      <c r="Y338" s="1216">
        <v>0</v>
      </c>
      <c r="Z338" s="1216">
        <v>0</v>
      </c>
      <c r="AA338" s="1216">
        <v>0</v>
      </c>
      <c r="AB338" s="1216">
        <v>0</v>
      </c>
      <c r="AC338" s="1216">
        <v>0</v>
      </c>
      <c r="AD338" s="80">
        <f>SUM(R338,S338,T338)</f>
        <v>0</v>
      </c>
      <c r="AE338" s="80">
        <f t="shared" si="521"/>
        <v>0</v>
      </c>
      <c r="AF338" s="80">
        <f t="shared" si="522"/>
        <v>0</v>
      </c>
      <c r="AG338" s="80">
        <f t="shared" si="523"/>
        <v>0</v>
      </c>
      <c r="AH338" s="80">
        <f>AD338+AE338</f>
        <v>0</v>
      </c>
      <c r="AI338" s="80">
        <f>AG338+AF338</f>
        <v>0</v>
      </c>
      <c r="AJ338" s="80">
        <f>AH338+AI338</f>
        <v>0</v>
      </c>
      <c r="AL338" s="60">
        <f ca="1">SUM((INDIRECT(AL$2&amp;(ROW())):INDIRECT(AL$3&amp;(ROW()))))</f>
        <v>0</v>
      </c>
      <c r="AM338" s="80">
        <f ca="1">SUM(INDIRECT(AM$1&amp;AM$2&amp;$C338):INDIRECT(AM$1&amp;AM$3&amp;$C338))</f>
        <v>0</v>
      </c>
      <c r="AN338" s="3111">
        <f t="shared" ca="1" si="458"/>
        <v>0</v>
      </c>
      <c r="AO338" s="2760">
        <f ca="1">IFERROR(AL338/AM338,0)</f>
        <v>0</v>
      </c>
      <c r="AP338" s="80">
        <f ca="1">SUM(INDIRECT(AP$1&amp;AP$2&amp;$A338):INDIRECT(AP$1&amp;AP$3&amp;$A338))+SUM(INDIRECT(AP$1&amp;AP$2&amp;$B338):INDIRECT(AP$1&amp;AP$3&amp;$B338))</f>
        <v>0</v>
      </c>
      <c r="AQ338" s="3111">
        <f t="shared" ca="1" si="460"/>
        <v>0</v>
      </c>
      <c r="AR338" s="2760">
        <f ca="1">IFERROR(AL338/AP338,0)</f>
        <v>0</v>
      </c>
      <c r="AT338" s="60">
        <f ca="1">SUM((INDIRECT(AT$2&amp;(ROW())):INDIRECT(AT$3&amp;(ROW()))))</f>
        <v>0</v>
      </c>
      <c r="AU338" s="80">
        <f ca="1">SUM(INDIRECT(AU$1&amp;AU$2&amp;$C338):INDIRECT(AU$1&amp;AU$3&amp;$C338))</f>
        <v>0</v>
      </c>
      <c r="AV338" s="3111">
        <f t="shared" ca="1" si="462"/>
        <v>0</v>
      </c>
      <c r="AW338" s="2760">
        <f ca="1">IFERROR(AT338/AU338,0)</f>
        <v>0</v>
      </c>
      <c r="AX338" s="80">
        <f ca="1">SUM(INDIRECT(AX$1&amp;AX$2&amp;$A338):INDIRECT(AX$1&amp;AX$3&amp;$A338))+SUM(INDIRECT(AX$1&amp;AX$2&amp;$B338):INDIRECT(AX$1&amp;AX$3&amp;$B338))</f>
        <v>0</v>
      </c>
      <c r="AY338" s="3111">
        <f t="shared" ca="1" si="464"/>
        <v>0</v>
      </c>
      <c r="AZ338" s="2760">
        <f ca="1">IFERROR(AT338/AX338,0)</f>
        <v>0</v>
      </c>
      <c r="BB338" s="60">
        <f ca="1">SUM((INDIRECT(BB$2&amp;(ROW())):INDIRECT(BB$3&amp;(ROW()))))</f>
        <v>0</v>
      </c>
      <c r="BC338" s="80">
        <f ca="1">SUM(INDIRECT(BC$1&amp;BC$2&amp;$C338):INDIRECT(BC$1&amp;BC$3&amp;$C338))</f>
        <v>0</v>
      </c>
      <c r="BD338" s="3111">
        <f t="shared" ca="1" si="466"/>
        <v>0</v>
      </c>
      <c r="BE338" s="2760">
        <f ca="1">IFERROR(BB338/BC338,0)</f>
        <v>0</v>
      </c>
      <c r="BF338" s="80">
        <f ca="1">SUM(INDIRECT(BF$1&amp;BF$2&amp;$A338):INDIRECT(BF$1&amp;BF$3&amp;$A338))+SUM(INDIRECT(BF$1&amp;BF$2&amp;$B338):INDIRECT(BF$1&amp;BF$3&amp;$B338))</f>
        <v>0</v>
      </c>
      <c r="BG338" s="3111">
        <f t="shared" ca="1" si="468"/>
        <v>0</v>
      </c>
      <c r="BH338" s="2760">
        <f ca="1">IFERROR(BB338/BF338,0)</f>
        <v>0</v>
      </c>
    </row>
    <row r="339" spans="1:60" ht="14.5">
      <c r="A339" s="616">
        <f t="shared" si="449"/>
        <v>312</v>
      </c>
      <c r="B339" s="616">
        <v>1</v>
      </c>
      <c r="C339" s="616">
        <f t="shared" si="518"/>
        <v>336</v>
      </c>
      <c r="D339" s="709" t="s">
        <v>1308</v>
      </c>
      <c r="E339" s="2547">
        <v>1</v>
      </c>
      <c r="F339" s="4"/>
      <c r="G339" s="4"/>
      <c r="H339" s="4"/>
      <c r="I339" s="3162" t="s">
        <v>1335</v>
      </c>
      <c r="J339" s="595"/>
      <c r="K339" s="867"/>
      <c r="L339" s="867"/>
      <c r="M339" s="867"/>
      <c r="N339" s="867"/>
      <c r="O339" s="867"/>
      <c r="P339" s="867"/>
      <c r="Q339" s="1798" t="str">
        <f>CHOOSE(2, "6722000003258", "PL (4) Operating Profit")</f>
        <v>PL (4) Operating Profit</v>
      </c>
      <c r="R339" s="1560">
        <f>R335+R337-R338</f>
        <v>0</v>
      </c>
      <c r="S339" s="3163">
        <f t="shared" ref="S339:AJ339" si="524">S335+S337-S338</f>
        <v>0</v>
      </c>
      <c r="T339" s="3163">
        <f t="shared" si="524"/>
        <v>0</v>
      </c>
      <c r="U339" s="3163">
        <f t="shared" si="524"/>
        <v>0</v>
      </c>
      <c r="V339" s="3163">
        <f t="shared" si="524"/>
        <v>0</v>
      </c>
      <c r="W339" s="3163">
        <f t="shared" si="524"/>
        <v>0</v>
      </c>
      <c r="X339" s="3163">
        <f t="shared" si="524"/>
        <v>0</v>
      </c>
      <c r="Y339" s="3163">
        <f t="shared" si="524"/>
        <v>0</v>
      </c>
      <c r="Z339" s="3163">
        <f t="shared" si="524"/>
        <v>0</v>
      </c>
      <c r="AA339" s="3163">
        <f t="shared" si="524"/>
        <v>0</v>
      </c>
      <c r="AB339" s="3163">
        <f t="shared" si="524"/>
        <v>0</v>
      </c>
      <c r="AC339" s="3163">
        <f t="shared" si="524"/>
        <v>0</v>
      </c>
      <c r="AD339" s="3164">
        <f t="shared" si="524"/>
        <v>0</v>
      </c>
      <c r="AE339" s="3164">
        <f t="shared" si="524"/>
        <v>0</v>
      </c>
      <c r="AF339" s="3164">
        <f t="shared" si="524"/>
        <v>0</v>
      </c>
      <c r="AG339" s="3164">
        <f t="shared" si="524"/>
        <v>0</v>
      </c>
      <c r="AH339" s="3164">
        <f t="shared" si="524"/>
        <v>0</v>
      </c>
      <c r="AI339" s="3164">
        <f t="shared" si="524"/>
        <v>0</v>
      </c>
      <c r="AJ339" s="3164">
        <f t="shared" si="524"/>
        <v>0</v>
      </c>
      <c r="AL339" s="1314">
        <f ca="1">SUM((INDIRECT(AL$2&amp;(ROW())):INDIRECT(AL$3&amp;(ROW()))))</f>
        <v>0</v>
      </c>
      <c r="AM339" s="3164">
        <f ca="1">SUM(INDIRECT(AM$1&amp;AM$2&amp;$C339):INDIRECT(AM$1&amp;AM$3&amp;$C339))</f>
        <v>0</v>
      </c>
      <c r="AN339" s="3165">
        <f t="shared" ca="1" si="458"/>
        <v>0</v>
      </c>
      <c r="AO339" s="3166">
        <f ca="1">IFERROR(AL339/AM339,0)</f>
        <v>0</v>
      </c>
      <c r="AP339" s="3164">
        <f ca="1">SUM(INDIRECT(AP$1&amp;AP$2&amp;$A339):INDIRECT(AP$1&amp;AP$3&amp;$A339))+SUM(INDIRECT(AP$1&amp;AP$2&amp;$B339):INDIRECT(AP$1&amp;AP$3&amp;$B339))</f>
        <v>0</v>
      </c>
      <c r="AQ339" s="3165">
        <f t="shared" ca="1" si="460"/>
        <v>0</v>
      </c>
      <c r="AR339" s="3166">
        <f ca="1">IFERROR(AL339/AP339,0)</f>
        <v>0</v>
      </c>
      <c r="AT339" s="1314">
        <f ca="1">SUM((INDIRECT(AT$2&amp;(ROW())):INDIRECT(AT$3&amp;(ROW()))))</f>
        <v>0</v>
      </c>
      <c r="AU339" s="3164">
        <f ca="1">SUM(INDIRECT(AU$1&amp;AU$2&amp;$C339):INDIRECT(AU$1&amp;AU$3&amp;$C339))</f>
        <v>0</v>
      </c>
      <c r="AV339" s="3165">
        <f t="shared" ca="1" si="462"/>
        <v>0</v>
      </c>
      <c r="AW339" s="3166">
        <f ca="1">IFERROR(AT339/AU339,0)</f>
        <v>0</v>
      </c>
      <c r="AX339" s="3164">
        <f ca="1">SUM(INDIRECT(AX$1&amp;AX$2&amp;$A339):INDIRECT(AX$1&amp;AX$3&amp;$A339))+SUM(INDIRECT(AX$1&amp;AX$2&amp;$B339):INDIRECT(AX$1&amp;AX$3&amp;$B339))</f>
        <v>0</v>
      </c>
      <c r="AY339" s="3165">
        <f t="shared" ca="1" si="464"/>
        <v>0</v>
      </c>
      <c r="AZ339" s="3166">
        <f ca="1">IFERROR(AT339/AX339,0)</f>
        <v>0</v>
      </c>
      <c r="BB339" s="1314">
        <f ca="1">SUM((INDIRECT(BB$2&amp;(ROW())):INDIRECT(BB$3&amp;(ROW()))))</f>
        <v>0</v>
      </c>
      <c r="BC339" s="3164">
        <f ca="1">SUM(INDIRECT(BC$1&amp;BC$2&amp;$C339):INDIRECT(BC$1&amp;BC$3&amp;$C339))</f>
        <v>0</v>
      </c>
      <c r="BD339" s="3165">
        <f t="shared" ca="1" si="466"/>
        <v>0</v>
      </c>
      <c r="BE339" s="3166">
        <f ca="1">IFERROR(BB339/BC339,0)</f>
        <v>0</v>
      </c>
      <c r="BF339" s="3164">
        <f ca="1">SUM(INDIRECT(BF$1&amp;BF$2&amp;$A339):INDIRECT(BF$1&amp;BF$3&amp;$A339))+SUM(INDIRECT(BF$1&amp;BF$2&amp;$B339):INDIRECT(BF$1&amp;BF$3&amp;$B339))</f>
        <v>0</v>
      </c>
      <c r="BG339" s="3165">
        <f t="shared" ca="1" si="468"/>
        <v>0</v>
      </c>
      <c r="BH339" s="3166">
        <f ca="1">IFERROR(BB339/BF339,0)</f>
        <v>0</v>
      </c>
    </row>
    <row r="340" spans="1:60" ht="14.5">
      <c r="A340" s="616">
        <f t="shared" si="449"/>
        <v>313</v>
      </c>
      <c r="B340" s="616">
        <v>1</v>
      </c>
      <c r="C340" s="616">
        <f t="shared" si="518"/>
        <v>337</v>
      </c>
      <c r="D340" s="709" t="s">
        <v>1308</v>
      </c>
      <c r="E340" s="2547">
        <v>1</v>
      </c>
      <c r="F340" s="4"/>
      <c r="G340" s="4"/>
      <c r="H340" s="4"/>
      <c r="I340" s="25"/>
      <c r="J340" s="511" t="s">
        <v>55</v>
      </c>
      <c r="K340" s="2"/>
      <c r="L340" s="2"/>
      <c r="M340" s="1"/>
      <c r="N340" s="1"/>
      <c r="O340" s="1"/>
      <c r="P340" s="1"/>
      <c r="Q340" s="1792" t="str">
        <f>CHOOSE(2, "6722000003259", "PL (4) Operating Profit (%)")</f>
        <v>PL (4) Operating Profit (%)</v>
      </c>
      <c r="R340" s="1323">
        <f t="shared" ref="R340:AJ340" si="525">IFERROR(R339/R290,0)</f>
        <v>0</v>
      </c>
      <c r="S340" s="1322">
        <f t="shared" si="525"/>
        <v>0</v>
      </c>
      <c r="T340" s="1322">
        <f t="shared" si="525"/>
        <v>0</v>
      </c>
      <c r="U340" s="1322">
        <f t="shared" si="525"/>
        <v>0</v>
      </c>
      <c r="V340" s="1322">
        <f t="shared" si="525"/>
        <v>0</v>
      </c>
      <c r="W340" s="1322">
        <f t="shared" si="525"/>
        <v>0</v>
      </c>
      <c r="X340" s="1322">
        <f t="shared" si="525"/>
        <v>0</v>
      </c>
      <c r="Y340" s="1322">
        <f t="shared" si="525"/>
        <v>0</v>
      </c>
      <c r="Z340" s="1322">
        <f t="shared" si="525"/>
        <v>0</v>
      </c>
      <c r="AA340" s="1322">
        <f t="shared" si="525"/>
        <v>0</v>
      </c>
      <c r="AB340" s="1322">
        <f t="shared" si="525"/>
        <v>0</v>
      </c>
      <c r="AC340" s="1322">
        <f t="shared" si="525"/>
        <v>0</v>
      </c>
      <c r="AD340" s="1322">
        <f t="shared" si="525"/>
        <v>0</v>
      </c>
      <c r="AE340" s="1322">
        <f t="shared" si="525"/>
        <v>0</v>
      </c>
      <c r="AF340" s="1322">
        <f t="shared" si="525"/>
        <v>0</v>
      </c>
      <c r="AG340" s="1322">
        <f t="shared" si="525"/>
        <v>0</v>
      </c>
      <c r="AH340" s="1322">
        <f t="shared" si="525"/>
        <v>0</v>
      </c>
      <c r="AI340" s="1322">
        <f t="shared" si="525"/>
        <v>0</v>
      </c>
      <c r="AJ340" s="1322">
        <f t="shared" si="525"/>
        <v>0</v>
      </c>
      <c r="AK340" s="504"/>
      <c r="AL340" s="1323">
        <f ca="1">IFERROR(AL339/AL290,0)</f>
        <v>0</v>
      </c>
      <c r="AM340" s="1322">
        <f ca="1">IFERROR(AM339/AM290,0)</f>
        <v>0</v>
      </c>
      <c r="AN340" s="1322">
        <f t="shared" ca="1" si="458"/>
        <v>0</v>
      </c>
      <c r="AO340" s="2802"/>
      <c r="AP340" s="1288">
        <f ca="1">IFERROR(AP339/AP290,0)</f>
        <v>0</v>
      </c>
      <c r="AQ340" s="1288">
        <f t="shared" ca="1" si="460"/>
        <v>0</v>
      </c>
      <c r="AR340" s="2814"/>
      <c r="AS340" s="504"/>
      <c r="AT340" s="1323">
        <f ca="1">IFERROR(AT339/AT290,0)</f>
        <v>0</v>
      </c>
      <c r="AU340" s="1322">
        <f ca="1">IFERROR(AU339/AU290,0)</f>
        <v>0</v>
      </c>
      <c r="AV340" s="1322">
        <f t="shared" ca="1" si="462"/>
        <v>0</v>
      </c>
      <c r="AW340" s="2802"/>
      <c r="AX340" s="1322">
        <f ca="1">IFERROR(AX339/AX290,0)</f>
        <v>0</v>
      </c>
      <c r="AY340" s="1322">
        <f t="shared" ca="1" si="464"/>
        <v>0</v>
      </c>
      <c r="AZ340" s="2802"/>
      <c r="BA340" s="504"/>
      <c r="BB340" s="1323">
        <f ca="1">IFERROR(BB339/BB290,0)</f>
        <v>0</v>
      </c>
      <c r="BC340" s="1322">
        <f ca="1">IFERROR(BC339/BC290,0)</f>
        <v>0</v>
      </c>
      <c r="BD340" s="1322">
        <f t="shared" ca="1" si="466"/>
        <v>0</v>
      </c>
      <c r="BE340" s="2802"/>
      <c r="BF340" s="1322">
        <f ca="1">IFERROR(BF339/BF290,0)</f>
        <v>0</v>
      </c>
      <c r="BG340" s="1322">
        <f t="shared" ca="1" si="468"/>
        <v>0</v>
      </c>
      <c r="BH340" s="2802"/>
    </row>
    <row r="341" spans="1:60" ht="14.5">
      <c r="A341" s="616">
        <f t="shared" si="449"/>
        <v>314</v>
      </c>
      <c r="B341" s="616">
        <v>1</v>
      </c>
      <c r="C341" s="616">
        <f t="shared" si="518"/>
        <v>338</v>
      </c>
      <c r="D341" s="709" t="s">
        <v>1308</v>
      </c>
      <c r="E341" s="2544">
        <v>1</v>
      </c>
      <c r="F341" s="8"/>
      <c r="G341" s="737"/>
      <c r="H341" s="4"/>
      <c r="I341" s="4"/>
      <c r="J341" s="3"/>
      <c r="K341" s="3153" t="s">
        <v>1426</v>
      </c>
      <c r="L341" s="707"/>
      <c r="M341" s="586"/>
      <c r="N341" s="586"/>
      <c r="O341" s="586"/>
      <c r="P341" s="586"/>
      <c r="Q341" s="1785" t="str">
        <f>CHOOSE(2, "6722000003260", "PL (4) CAI (%)")</f>
        <v>PL (4) CAI (%)</v>
      </c>
      <c r="R341" s="1368">
        <f>R443</f>
        <v>0</v>
      </c>
      <c r="S341" s="1368">
        <f t="shared" ref="S341:AJ341" si="526">S443</f>
        <v>0</v>
      </c>
      <c r="T341" s="1368">
        <f t="shared" si="526"/>
        <v>0</v>
      </c>
      <c r="U341" s="1368">
        <f t="shared" si="526"/>
        <v>0</v>
      </c>
      <c r="V341" s="1368">
        <f t="shared" si="526"/>
        <v>0</v>
      </c>
      <c r="W341" s="1368">
        <f t="shared" si="526"/>
        <v>0</v>
      </c>
      <c r="X341" s="1368">
        <f t="shared" si="526"/>
        <v>0</v>
      </c>
      <c r="Y341" s="1368">
        <f t="shared" si="526"/>
        <v>0</v>
      </c>
      <c r="Z341" s="1368">
        <f t="shared" si="526"/>
        <v>0</v>
      </c>
      <c r="AA341" s="1368">
        <f t="shared" si="526"/>
        <v>0</v>
      </c>
      <c r="AB341" s="1368">
        <f t="shared" si="526"/>
        <v>0</v>
      </c>
      <c r="AC341" s="1368">
        <f t="shared" si="526"/>
        <v>0</v>
      </c>
      <c r="AD341" s="3154">
        <f t="shared" si="526"/>
        <v>0</v>
      </c>
      <c r="AE341" s="1368">
        <f t="shared" si="526"/>
        <v>0</v>
      </c>
      <c r="AF341" s="1368">
        <f t="shared" si="526"/>
        <v>0</v>
      </c>
      <c r="AG341" s="1368">
        <f t="shared" si="526"/>
        <v>0</v>
      </c>
      <c r="AH341" s="1368">
        <f t="shared" si="526"/>
        <v>0</v>
      </c>
      <c r="AI341" s="1368">
        <f t="shared" si="526"/>
        <v>0</v>
      </c>
      <c r="AJ341" s="1368">
        <f t="shared" si="526"/>
        <v>0</v>
      </c>
      <c r="AL341" s="2746">
        <f ca="1">AL443</f>
        <v>0</v>
      </c>
      <c r="AM341" s="2746">
        <f ca="1">AM443</f>
        <v>0</v>
      </c>
      <c r="AN341" s="2746">
        <f t="shared" ca="1" si="458"/>
        <v>0</v>
      </c>
      <c r="AO341" s="2747"/>
      <c r="AP341" s="2746">
        <f ca="1">AP443</f>
        <v>0</v>
      </c>
      <c r="AQ341" s="2746">
        <f t="shared" ca="1" si="460"/>
        <v>0</v>
      </c>
      <c r="AR341" s="2748"/>
      <c r="AT341" s="2746">
        <f ca="1">AT443</f>
        <v>0</v>
      </c>
      <c r="AU341" s="2746">
        <f ca="1">AU443</f>
        <v>0</v>
      </c>
      <c r="AV341" s="2746">
        <f t="shared" ca="1" si="462"/>
        <v>0</v>
      </c>
      <c r="AW341" s="2747"/>
      <c r="AX341" s="2746">
        <f ca="1">AX443</f>
        <v>0</v>
      </c>
      <c r="AY341" s="2746">
        <f t="shared" ca="1" si="464"/>
        <v>0</v>
      </c>
      <c r="AZ341" s="2748"/>
      <c r="BA341" s="69"/>
      <c r="BB341" s="2746">
        <f ca="1">BB443</f>
        <v>0</v>
      </c>
      <c r="BC341" s="2746">
        <f ca="1">BC443</f>
        <v>0</v>
      </c>
      <c r="BD341" s="2746">
        <f t="shared" ca="1" si="466"/>
        <v>0</v>
      </c>
      <c r="BE341" s="2749"/>
      <c r="BF341" s="2746">
        <f ca="1">BF443</f>
        <v>0</v>
      </c>
      <c r="BG341" s="2746">
        <f t="shared" ca="1" si="468"/>
        <v>0</v>
      </c>
      <c r="BH341" s="2748"/>
    </row>
    <row r="342" spans="1:60" ht="14.5">
      <c r="A342" s="616">
        <f t="shared" si="449"/>
        <v>315</v>
      </c>
      <c r="B342" s="616">
        <v>1</v>
      </c>
      <c r="C342" s="616">
        <f t="shared" si="518"/>
        <v>339</v>
      </c>
      <c r="D342" s="709" t="s">
        <v>1308</v>
      </c>
      <c r="E342" s="2544">
        <v>1</v>
      </c>
      <c r="F342" s="8"/>
      <c r="G342" s="737"/>
      <c r="H342" s="4"/>
      <c r="I342" s="4"/>
      <c r="J342" s="3"/>
      <c r="K342" s="27"/>
      <c r="L342" s="3101" t="s">
        <v>509</v>
      </c>
      <c r="M342" s="251"/>
      <c r="N342" s="251"/>
      <c r="O342" s="251"/>
      <c r="P342" s="251"/>
      <c r="Q342" s="1786" t="str">
        <f>CHOOSE(2, "6722000003261", "PL (4) CAI Directly assigned")</f>
        <v>PL (4) CAI Directly assigned</v>
      </c>
      <c r="R342" s="3102">
        <f>SUM(R343:R345)</f>
        <v>0</v>
      </c>
      <c r="S342" s="3102">
        <f t="shared" ref="S342:AJ342" si="527">SUM(S343:S345)</f>
        <v>0</v>
      </c>
      <c r="T342" s="3102">
        <f t="shared" si="527"/>
        <v>0</v>
      </c>
      <c r="U342" s="3102">
        <f t="shared" si="527"/>
        <v>0</v>
      </c>
      <c r="V342" s="3102">
        <f t="shared" si="527"/>
        <v>0</v>
      </c>
      <c r="W342" s="3102">
        <f t="shared" si="527"/>
        <v>0</v>
      </c>
      <c r="X342" s="3103">
        <f t="shared" si="527"/>
        <v>0</v>
      </c>
      <c r="Y342" s="3103">
        <f t="shared" si="527"/>
        <v>0</v>
      </c>
      <c r="Z342" s="3103">
        <f t="shared" si="527"/>
        <v>0</v>
      </c>
      <c r="AA342" s="3104">
        <f t="shared" si="527"/>
        <v>0</v>
      </c>
      <c r="AB342" s="3104">
        <f t="shared" si="527"/>
        <v>0</v>
      </c>
      <c r="AC342" s="3104">
        <f t="shared" si="527"/>
        <v>0</v>
      </c>
      <c r="AD342" s="3105">
        <f t="shared" si="527"/>
        <v>0</v>
      </c>
      <c r="AE342" s="3104">
        <f t="shared" si="527"/>
        <v>0</v>
      </c>
      <c r="AF342" s="3104">
        <f t="shared" si="527"/>
        <v>0</v>
      </c>
      <c r="AG342" s="3104">
        <f t="shared" si="527"/>
        <v>0</v>
      </c>
      <c r="AH342" s="3104">
        <f t="shared" si="527"/>
        <v>0</v>
      </c>
      <c r="AI342" s="3104">
        <f t="shared" si="527"/>
        <v>0</v>
      </c>
      <c r="AJ342" s="3104">
        <f t="shared" si="527"/>
        <v>0</v>
      </c>
      <c r="AL342" s="3102">
        <f ca="1">SUM((INDIRECT(AL$2&amp;(ROW())):INDIRECT(AL$3&amp;(ROW()))))</f>
        <v>0</v>
      </c>
      <c r="AM342" s="745">
        <f ca="1">SUM(INDIRECT(AM$1&amp;AM$2&amp;$C342):INDIRECT(AM$1&amp;AM$3&amp;$C342))</f>
        <v>0</v>
      </c>
      <c r="AN342" s="3106">
        <f t="shared" ca="1" si="458"/>
        <v>0</v>
      </c>
      <c r="AO342" s="2751">
        <f ca="1">IFERROR(AL342/AM342,0)</f>
        <v>0</v>
      </c>
      <c r="AP342" s="782">
        <f ca="1">SUM(INDIRECT(AP$1&amp;AP$2&amp;$A342):INDIRECT(AP$1&amp;AP$3&amp;$A342))+SUM(INDIRECT(AP$1&amp;AP$2&amp;$B342):INDIRECT(AP$1&amp;AP$3&amp;$B342))</f>
        <v>0</v>
      </c>
      <c r="AQ342" s="3107">
        <f t="shared" ca="1" si="460"/>
        <v>0</v>
      </c>
      <c r="AR342" s="2753">
        <f ca="1">IFERROR(AL342/AP342,0)</f>
        <v>0</v>
      </c>
      <c r="AT342" s="3102">
        <f ca="1">SUM((INDIRECT(AT$2&amp;(ROW())):INDIRECT(AT$3&amp;(ROW()))))</f>
        <v>0</v>
      </c>
      <c r="AU342" s="745">
        <f ca="1">SUM(INDIRECT(AU$1&amp;AU$2&amp;$C342):INDIRECT(AU$1&amp;AU$3&amp;$C342))</f>
        <v>0</v>
      </c>
      <c r="AV342" s="3106">
        <f t="shared" ca="1" si="462"/>
        <v>0</v>
      </c>
      <c r="AW342" s="2751">
        <f ca="1">IFERROR(AT342/AU342,0)</f>
        <v>0</v>
      </c>
      <c r="AX342" s="782">
        <f ca="1">SUM(INDIRECT(AX$1&amp;AX$2&amp;$A342):INDIRECT(AX$1&amp;AX$3&amp;$A342))+SUM(INDIRECT(AX$1&amp;AX$2&amp;$B342):INDIRECT(AX$1&amp;AX$3&amp;$B342))</f>
        <v>0</v>
      </c>
      <c r="AY342" s="3107">
        <f t="shared" ca="1" si="464"/>
        <v>0</v>
      </c>
      <c r="AZ342" s="2753">
        <f ca="1">IFERROR(AT342/AX342,0)</f>
        <v>0</v>
      </c>
      <c r="BA342" s="69"/>
      <c r="BB342" s="1380">
        <f ca="1">SUM((INDIRECT(BB$2&amp;(ROW())):INDIRECT(BB$3&amp;(ROW()))))</f>
        <v>0</v>
      </c>
      <c r="BC342" s="782">
        <f ca="1">SUM(INDIRECT(BC$1&amp;BC$2&amp;$C342):INDIRECT(BC$1&amp;BC$3&amp;$C342))</f>
        <v>0</v>
      </c>
      <c r="BD342" s="3107">
        <f t="shared" ca="1" si="466"/>
        <v>0</v>
      </c>
      <c r="BE342" s="2753">
        <f ca="1">IFERROR(BB342/BC342,0)</f>
        <v>0</v>
      </c>
      <c r="BF342" s="782">
        <f ca="1">SUM(INDIRECT(BF$1&amp;BF$2&amp;$A342):INDIRECT(BF$1&amp;BF$3&amp;$A342))+SUM(INDIRECT(BF$1&amp;BF$2&amp;$B342):INDIRECT(BF$1&amp;BF$3&amp;$B342))</f>
        <v>0</v>
      </c>
      <c r="BG342" s="3107">
        <f t="shared" ca="1" si="468"/>
        <v>0</v>
      </c>
      <c r="BH342" s="2753">
        <f ca="1">IFERROR(BB342/BF342,0)</f>
        <v>0</v>
      </c>
    </row>
    <row r="343" spans="1:60" ht="14.5">
      <c r="A343" s="616">
        <f t="shared" si="449"/>
        <v>316</v>
      </c>
      <c r="B343" s="616">
        <v>1</v>
      </c>
      <c r="C343" s="616">
        <f t="shared" si="518"/>
        <v>340</v>
      </c>
      <c r="D343" s="709" t="s">
        <v>1308</v>
      </c>
      <c r="E343" s="2544">
        <v>1</v>
      </c>
      <c r="F343" s="8"/>
      <c r="G343" s="737"/>
      <c r="H343" s="4"/>
      <c r="I343" s="4"/>
      <c r="J343" s="3"/>
      <c r="K343" s="27"/>
      <c r="L343" s="27"/>
      <c r="M343" s="36" t="s">
        <v>1329</v>
      </c>
      <c r="N343" s="3"/>
      <c r="O343" s="3"/>
      <c r="P343" s="3"/>
      <c r="Q343" s="1787" t="str">
        <f>CHOOSE(2, "6722000003262", "PL (4) CAI Directly assigned Variable Expenses")</f>
        <v>PL (4) CAI Directly assigned Variable Expenses</v>
      </c>
      <c r="R343" s="1350">
        <v>0</v>
      </c>
      <c r="S343" s="1350">
        <v>0</v>
      </c>
      <c r="T343" s="1350">
        <v>0</v>
      </c>
      <c r="U343" s="1350">
        <v>0</v>
      </c>
      <c r="V343" s="1350">
        <v>0</v>
      </c>
      <c r="W343" s="1350">
        <v>0</v>
      </c>
      <c r="X343" s="1281">
        <v>0</v>
      </c>
      <c r="Y343" s="1281">
        <v>0</v>
      </c>
      <c r="Z343" s="1281">
        <v>0</v>
      </c>
      <c r="AA343" s="1351">
        <v>0</v>
      </c>
      <c r="AB343" s="1351">
        <v>0</v>
      </c>
      <c r="AC343" s="1351">
        <v>0</v>
      </c>
      <c r="AD343" s="125">
        <f>SUM(R343,S343,T343)</f>
        <v>0</v>
      </c>
      <c r="AE343" s="126">
        <f t="shared" ref="AE343:AE345" si="528">SUM(U343,V343,W343)</f>
        <v>0</v>
      </c>
      <c r="AF343" s="126">
        <f t="shared" ref="AF343:AF345" si="529">SUM(X343,Y343,Z343)</f>
        <v>0</v>
      </c>
      <c r="AG343" s="126">
        <f t="shared" ref="AG343:AG345" si="530">SUM(AA343,AB343,AC343)</f>
        <v>0</v>
      </c>
      <c r="AH343" s="126">
        <f>AD343+AE343</f>
        <v>0</v>
      </c>
      <c r="AI343" s="126">
        <f>AG343+AF343</f>
        <v>0</v>
      </c>
      <c r="AJ343" s="126">
        <f>AH343+AI343</f>
        <v>0</v>
      </c>
      <c r="AL343" s="37">
        <f ca="1">SUM((INDIRECT(AL$2&amp;(ROW())):INDIRECT(AL$3&amp;(ROW()))))</f>
        <v>0</v>
      </c>
      <c r="AM343" s="3108">
        <f ca="1">SUM(INDIRECT(AM$1&amp;AM$2&amp;$C343):INDIRECT(AM$1&amp;AM$3&amp;$C343))</f>
        <v>0</v>
      </c>
      <c r="AN343" s="3109">
        <f t="shared" ca="1" si="458"/>
        <v>0</v>
      </c>
      <c r="AO343" s="2756">
        <f ca="1">IFERROR(AL343/AM343,0)</f>
        <v>0</v>
      </c>
      <c r="AP343" s="1232">
        <f ca="1">SUM(INDIRECT(AP$1&amp;AP$2&amp;$A343):INDIRECT(AP$1&amp;AP$3&amp;$A343))+SUM(INDIRECT(AP$1&amp;AP$2&amp;$B343):INDIRECT(AP$1&amp;AP$3&amp;$B343))</f>
        <v>0</v>
      </c>
      <c r="AQ343" s="3110">
        <f t="shared" ca="1" si="460"/>
        <v>0</v>
      </c>
      <c r="AR343" s="2758">
        <f ca="1">IFERROR(AL343/AP343,0)</f>
        <v>0</v>
      </c>
      <c r="AT343" s="37">
        <f ca="1">SUM((INDIRECT(AT$2&amp;(ROW())):INDIRECT(AT$3&amp;(ROW()))))</f>
        <v>0</v>
      </c>
      <c r="AU343" s="3108">
        <f ca="1">SUM(INDIRECT(AU$1&amp;AU$2&amp;$C343):INDIRECT(AU$1&amp;AU$3&amp;$C343))</f>
        <v>0</v>
      </c>
      <c r="AV343" s="3109">
        <f t="shared" ca="1" si="462"/>
        <v>0</v>
      </c>
      <c r="AW343" s="2756">
        <f ca="1">IFERROR(AT343/AU343,0)</f>
        <v>0</v>
      </c>
      <c r="AX343" s="1232">
        <f ca="1">SUM(INDIRECT(AX$1&amp;AX$2&amp;$A343):INDIRECT(AX$1&amp;AX$3&amp;$A343))+SUM(INDIRECT(AX$1&amp;AX$2&amp;$B343):INDIRECT(AX$1&amp;AX$3&amp;$B343))</f>
        <v>0</v>
      </c>
      <c r="AY343" s="3110">
        <f t="shared" ca="1" si="464"/>
        <v>0</v>
      </c>
      <c r="AZ343" s="2758">
        <f ca="1">IFERROR(AT343/AX343,0)</f>
        <v>0</v>
      </c>
      <c r="BA343" s="69"/>
      <c r="BB343" s="1289">
        <f ca="1">SUM((INDIRECT(BB$2&amp;(ROW())):INDIRECT(BB$3&amp;(ROW()))))</f>
        <v>0</v>
      </c>
      <c r="BC343" s="1232">
        <f ca="1">SUM(INDIRECT(BC$1&amp;BC$2&amp;$C343):INDIRECT(BC$1&amp;BC$3&amp;$C343))</f>
        <v>0</v>
      </c>
      <c r="BD343" s="3110">
        <f t="shared" ca="1" si="466"/>
        <v>0</v>
      </c>
      <c r="BE343" s="2758">
        <f ca="1">IFERROR(BB343/BC343,0)</f>
        <v>0</v>
      </c>
      <c r="BF343" s="1232">
        <f ca="1">SUM(INDIRECT(BF$1&amp;BF$2&amp;$A343):INDIRECT(BF$1&amp;BF$3&amp;$A343))+SUM(INDIRECT(BF$1&amp;BF$2&amp;$B343):INDIRECT(BF$1&amp;BF$3&amp;$B343))</f>
        <v>0</v>
      </c>
      <c r="BG343" s="3110">
        <f t="shared" ca="1" si="468"/>
        <v>0</v>
      </c>
      <c r="BH343" s="2758">
        <f ca="1">IFERROR(BB343/BF343,0)</f>
        <v>0</v>
      </c>
    </row>
    <row r="344" spans="1:60" ht="14.5">
      <c r="A344" s="616">
        <f t="shared" si="449"/>
        <v>317</v>
      </c>
      <c r="B344" s="616">
        <v>1</v>
      </c>
      <c r="C344" s="616">
        <f t="shared" si="518"/>
        <v>341</v>
      </c>
      <c r="D344" s="709" t="s">
        <v>1308</v>
      </c>
      <c r="E344" s="2544">
        <v>1</v>
      </c>
      <c r="F344" s="8"/>
      <c r="G344" s="737"/>
      <c r="H344" s="4"/>
      <c r="I344" s="4"/>
      <c r="J344" s="3"/>
      <c r="K344" s="27"/>
      <c r="L344" s="27"/>
      <c r="M344" s="36" t="s">
        <v>1330</v>
      </c>
      <c r="N344" s="3"/>
      <c r="O344" s="3"/>
      <c r="P344" s="3"/>
      <c r="Q344" s="1787" t="str">
        <f>CHOOSE(2, "6722000003263", "PL (4) CAI Directly assigned Wages &amp; Salaries")</f>
        <v>PL (4) CAI Directly assigned Wages &amp; Salaries</v>
      </c>
      <c r="R344" s="1350">
        <v>0</v>
      </c>
      <c r="S344" s="1350">
        <v>0</v>
      </c>
      <c r="T344" s="1350">
        <v>0</v>
      </c>
      <c r="U344" s="1350">
        <v>0</v>
      </c>
      <c r="V344" s="1350">
        <v>0</v>
      </c>
      <c r="W344" s="1350">
        <v>0</v>
      </c>
      <c r="X344" s="1281">
        <v>0</v>
      </c>
      <c r="Y344" s="1281">
        <v>0</v>
      </c>
      <c r="Z344" s="1281">
        <v>0</v>
      </c>
      <c r="AA344" s="1351">
        <v>0</v>
      </c>
      <c r="AB344" s="1351">
        <v>0</v>
      </c>
      <c r="AC344" s="1351">
        <v>0</v>
      </c>
      <c r="AD344" s="125">
        <f>SUM(R344,S344,T344)</f>
        <v>0</v>
      </c>
      <c r="AE344" s="126">
        <f t="shared" si="528"/>
        <v>0</v>
      </c>
      <c r="AF344" s="126">
        <f t="shared" si="529"/>
        <v>0</v>
      </c>
      <c r="AG344" s="126">
        <f t="shared" si="530"/>
        <v>0</v>
      </c>
      <c r="AH344" s="126">
        <f>AD344+AE344</f>
        <v>0</v>
      </c>
      <c r="AI344" s="126">
        <f>AG344+AF344</f>
        <v>0</v>
      </c>
      <c r="AJ344" s="126">
        <f>AH344+AI344</f>
        <v>0</v>
      </c>
      <c r="AL344" s="37">
        <f ca="1">SUM((INDIRECT(AL$2&amp;(ROW())):INDIRECT(AL$3&amp;(ROW()))))</f>
        <v>0</v>
      </c>
      <c r="AM344" s="3108">
        <f ca="1">SUM(INDIRECT(AM$1&amp;AM$2&amp;$C344):INDIRECT(AM$1&amp;AM$3&amp;$C344))</f>
        <v>0</v>
      </c>
      <c r="AN344" s="3109">
        <f t="shared" ca="1" si="458"/>
        <v>0</v>
      </c>
      <c r="AO344" s="2756">
        <f ca="1">IFERROR(AL344/AM344,0)</f>
        <v>0</v>
      </c>
      <c r="AP344" s="1232">
        <f ca="1">SUM(INDIRECT(AP$1&amp;AP$2&amp;$A344):INDIRECT(AP$1&amp;AP$3&amp;$A344))+SUM(INDIRECT(AP$1&amp;AP$2&amp;$B344):INDIRECT(AP$1&amp;AP$3&amp;$B344))</f>
        <v>0</v>
      </c>
      <c r="AQ344" s="3110">
        <f t="shared" ca="1" si="460"/>
        <v>0</v>
      </c>
      <c r="AR344" s="2758">
        <f ca="1">IFERROR(AL344/AP344,0)</f>
        <v>0</v>
      </c>
      <c r="AT344" s="37">
        <f ca="1">SUM((INDIRECT(AT$2&amp;(ROW())):INDIRECT(AT$3&amp;(ROW()))))</f>
        <v>0</v>
      </c>
      <c r="AU344" s="3108">
        <f ca="1">SUM(INDIRECT(AU$1&amp;AU$2&amp;$C344):INDIRECT(AU$1&amp;AU$3&amp;$C344))</f>
        <v>0</v>
      </c>
      <c r="AV344" s="3109">
        <f t="shared" ca="1" si="462"/>
        <v>0</v>
      </c>
      <c r="AW344" s="2756">
        <f ca="1">IFERROR(AT344/AU344,0)</f>
        <v>0</v>
      </c>
      <c r="AX344" s="1232">
        <f ca="1">SUM(INDIRECT(AX$1&amp;AX$2&amp;$A344):INDIRECT(AX$1&amp;AX$3&amp;$A344))+SUM(INDIRECT(AX$1&amp;AX$2&amp;$B344):INDIRECT(AX$1&amp;AX$3&amp;$B344))</f>
        <v>0</v>
      </c>
      <c r="AY344" s="3110">
        <f t="shared" ca="1" si="464"/>
        <v>0</v>
      </c>
      <c r="AZ344" s="2758">
        <f ca="1">IFERROR(AT344/AX344,0)</f>
        <v>0</v>
      </c>
      <c r="BA344" s="69"/>
      <c r="BB344" s="1289">
        <f ca="1">SUM((INDIRECT(BB$2&amp;(ROW())):INDIRECT(BB$3&amp;(ROW()))))</f>
        <v>0</v>
      </c>
      <c r="BC344" s="1232">
        <f ca="1">SUM(INDIRECT(BC$1&amp;BC$2&amp;$C344):INDIRECT(BC$1&amp;BC$3&amp;$C344))</f>
        <v>0</v>
      </c>
      <c r="BD344" s="3110">
        <f t="shared" ca="1" si="466"/>
        <v>0</v>
      </c>
      <c r="BE344" s="2758">
        <f ca="1">IFERROR(BB344/BC344,0)</f>
        <v>0</v>
      </c>
      <c r="BF344" s="1232">
        <f ca="1">SUM(INDIRECT(BF$1&amp;BF$2&amp;$A344):INDIRECT(BF$1&amp;BF$3&amp;$A344))+SUM(INDIRECT(BF$1&amp;BF$2&amp;$B344):INDIRECT(BF$1&amp;BF$3&amp;$B344))</f>
        <v>0</v>
      </c>
      <c r="BG344" s="3110">
        <f t="shared" ca="1" si="468"/>
        <v>0</v>
      </c>
      <c r="BH344" s="2758">
        <f ca="1">IFERROR(BB344/BF344,0)</f>
        <v>0</v>
      </c>
    </row>
    <row r="345" spans="1:60" ht="14.5">
      <c r="A345" s="616">
        <f t="shared" si="449"/>
        <v>318</v>
      </c>
      <c r="B345" s="616">
        <v>1</v>
      </c>
      <c r="C345" s="616">
        <f t="shared" si="518"/>
        <v>342</v>
      </c>
      <c r="D345" s="709" t="s">
        <v>1308</v>
      </c>
      <c r="E345" s="2544">
        <v>1</v>
      </c>
      <c r="F345" s="8"/>
      <c r="G345" s="737"/>
      <c r="H345" s="4"/>
      <c r="I345" s="4"/>
      <c r="J345" s="3"/>
      <c r="K345" s="27"/>
      <c r="L345" s="25"/>
      <c r="M345" s="104" t="s">
        <v>1331</v>
      </c>
      <c r="N345" s="1"/>
      <c r="O345" s="1"/>
      <c r="P345" s="1"/>
      <c r="Q345" s="1787" t="str">
        <f>CHOOSE(2, "6722000003264", "PL (4) CAI Directly assigned Fixed Expenses")</f>
        <v>PL (4) CAI Directly assigned Fixed Expenses</v>
      </c>
      <c r="R345" s="1352">
        <v>0</v>
      </c>
      <c r="S345" s="1352">
        <v>0</v>
      </c>
      <c r="T345" s="1352">
        <v>0</v>
      </c>
      <c r="U345" s="1352">
        <v>0</v>
      </c>
      <c r="V345" s="1352">
        <v>0</v>
      </c>
      <c r="W345" s="1352">
        <v>0</v>
      </c>
      <c r="X345" s="1282">
        <v>0</v>
      </c>
      <c r="Y345" s="1282">
        <v>0</v>
      </c>
      <c r="Z345" s="1282">
        <v>0</v>
      </c>
      <c r="AA345" s="1353">
        <v>0</v>
      </c>
      <c r="AB345" s="1353">
        <v>0</v>
      </c>
      <c r="AC345" s="1353">
        <v>0</v>
      </c>
      <c r="AD345" s="122">
        <f>SUM(R345,S345,T345)</f>
        <v>0</v>
      </c>
      <c r="AE345" s="123">
        <f t="shared" si="528"/>
        <v>0</v>
      </c>
      <c r="AF345" s="123">
        <f t="shared" si="529"/>
        <v>0</v>
      </c>
      <c r="AG345" s="123">
        <f t="shared" si="530"/>
        <v>0</v>
      </c>
      <c r="AH345" s="123">
        <f>AD345+AE345</f>
        <v>0</v>
      </c>
      <c r="AI345" s="123">
        <f>AG345+AF345</f>
        <v>0</v>
      </c>
      <c r="AJ345" s="123">
        <f>AH345+AI345</f>
        <v>0</v>
      </c>
      <c r="AL345" s="60">
        <f ca="1">SUM((INDIRECT(AL$2&amp;(ROW())):INDIRECT(AL$3&amp;(ROW()))))</f>
        <v>0</v>
      </c>
      <c r="AM345" s="80">
        <f ca="1">SUM(INDIRECT(AM$1&amp;AM$2&amp;$C345):INDIRECT(AM$1&amp;AM$3&amp;$C345))</f>
        <v>0</v>
      </c>
      <c r="AN345" s="3111">
        <f t="shared" ca="1" si="458"/>
        <v>0</v>
      </c>
      <c r="AO345" s="2760">
        <f ca="1">IFERROR(AL345/AM345,0)</f>
        <v>0</v>
      </c>
      <c r="AP345" s="1241">
        <f ca="1">SUM(INDIRECT(AP$1&amp;AP$2&amp;$A345):INDIRECT(AP$1&amp;AP$3&amp;$A345))+SUM(INDIRECT(AP$1&amp;AP$2&amp;$B345):INDIRECT(AP$1&amp;AP$3&amp;$B345))</f>
        <v>0</v>
      </c>
      <c r="AQ345" s="3098">
        <f t="shared" ca="1" si="460"/>
        <v>0</v>
      </c>
      <c r="AR345" s="2743">
        <f ca="1">IFERROR(AL345/AP345,0)</f>
        <v>0</v>
      </c>
      <c r="AT345" s="60">
        <f ca="1">SUM((INDIRECT(AT$2&amp;(ROW())):INDIRECT(AT$3&amp;(ROW()))))</f>
        <v>0</v>
      </c>
      <c r="AU345" s="80">
        <f ca="1">SUM(INDIRECT(AU$1&amp;AU$2&amp;$C345):INDIRECT(AU$1&amp;AU$3&amp;$C345))</f>
        <v>0</v>
      </c>
      <c r="AV345" s="3111">
        <f t="shared" ca="1" si="462"/>
        <v>0</v>
      </c>
      <c r="AW345" s="2760">
        <f ca="1">IFERROR(AT345/AU345,0)</f>
        <v>0</v>
      </c>
      <c r="AX345" s="1241">
        <f ca="1">SUM(INDIRECT(AX$1&amp;AX$2&amp;$A345):INDIRECT(AX$1&amp;AX$3&amp;$A345))+SUM(INDIRECT(AX$1&amp;AX$2&amp;$B345):INDIRECT(AX$1&amp;AX$3&amp;$B345))</f>
        <v>0</v>
      </c>
      <c r="AY345" s="3098">
        <f t="shared" ca="1" si="464"/>
        <v>0</v>
      </c>
      <c r="AZ345" s="2743">
        <f ca="1">IFERROR(AT345/AX345,0)</f>
        <v>0</v>
      </c>
      <c r="BA345" s="69"/>
      <c r="BB345" s="1290">
        <f ca="1">SUM((INDIRECT(BB$2&amp;(ROW())):INDIRECT(BB$3&amp;(ROW()))))</f>
        <v>0</v>
      </c>
      <c r="BC345" s="1241">
        <f ca="1">SUM(INDIRECT(BC$1&amp;BC$2&amp;$C345):INDIRECT(BC$1&amp;BC$3&amp;$C345))</f>
        <v>0</v>
      </c>
      <c r="BD345" s="3098">
        <f t="shared" ca="1" si="466"/>
        <v>0</v>
      </c>
      <c r="BE345" s="2743">
        <f ca="1">IFERROR(BB345/BC345,0)</f>
        <v>0</v>
      </c>
      <c r="BF345" s="1241">
        <f ca="1">SUM(INDIRECT(BF$1&amp;BF$2&amp;$A345):INDIRECT(BF$1&amp;BF$3&amp;$A345))+SUM(INDIRECT(BF$1&amp;BF$2&amp;$B345):INDIRECT(BF$1&amp;BF$3&amp;$B345))</f>
        <v>0</v>
      </c>
      <c r="BG345" s="3098">
        <f t="shared" ca="1" si="468"/>
        <v>0</v>
      </c>
      <c r="BH345" s="2743">
        <f ca="1">IFERROR(BB345/BF345,0)</f>
        <v>0</v>
      </c>
    </row>
    <row r="346" spans="1:60" ht="14.5">
      <c r="A346" s="616">
        <f t="shared" ref="A346:A353" si="531">A345+1</f>
        <v>319</v>
      </c>
      <c r="B346" s="616">
        <v>1</v>
      </c>
      <c r="C346" s="616">
        <f t="shared" si="518"/>
        <v>343</v>
      </c>
      <c r="D346" s="709" t="s">
        <v>1308</v>
      </c>
      <c r="E346" s="2544">
        <v>1</v>
      </c>
      <c r="F346" s="8"/>
      <c r="G346" s="737"/>
      <c r="H346" s="4"/>
      <c r="I346" s="4"/>
      <c r="J346" s="3"/>
      <c r="K346" s="27"/>
      <c r="L346" s="3101" t="s">
        <v>1372</v>
      </c>
      <c r="M346" s="586"/>
      <c r="N346" s="586"/>
      <c r="O346" s="586"/>
      <c r="P346" s="586"/>
      <c r="Q346" s="1786" t="str">
        <f>CHOOSE(2, "6722000003265", "PL (4) CAI Allocation")</f>
        <v>PL (4) CAI Allocation</v>
      </c>
      <c r="R346" s="3112">
        <f>SUM(R348:R350)</f>
        <v>0</v>
      </c>
      <c r="S346" s="3112">
        <f t="shared" ref="S346:AJ346" si="532">SUM(S348:S350)</f>
        <v>0</v>
      </c>
      <c r="T346" s="3112">
        <f t="shared" si="532"/>
        <v>0</v>
      </c>
      <c r="U346" s="3112">
        <f t="shared" si="532"/>
        <v>0</v>
      </c>
      <c r="V346" s="3112">
        <f t="shared" si="532"/>
        <v>0</v>
      </c>
      <c r="W346" s="3112">
        <f t="shared" si="532"/>
        <v>0</v>
      </c>
      <c r="X346" s="3070">
        <f t="shared" si="532"/>
        <v>0</v>
      </c>
      <c r="Y346" s="3070">
        <f t="shared" si="532"/>
        <v>0</v>
      </c>
      <c r="Z346" s="3070">
        <f t="shared" si="532"/>
        <v>0</v>
      </c>
      <c r="AA346" s="3113">
        <f t="shared" si="532"/>
        <v>0</v>
      </c>
      <c r="AB346" s="3113">
        <f t="shared" si="532"/>
        <v>0</v>
      </c>
      <c r="AC346" s="3113">
        <f t="shared" si="532"/>
        <v>0</v>
      </c>
      <c r="AD346" s="3114">
        <f t="shared" si="532"/>
        <v>0</v>
      </c>
      <c r="AE346" s="3113">
        <f t="shared" si="532"/>
        <v>0</v>
      </c>
      <c r="AF346" s="3113">
        <f t="shared" si="532"/>
        <v>0</v>
      </c>
      <c r="AG346" s="3113">
        <f t="shared" si="532"/>
        <v>0</v>
      </c>
      <c r="AH346" s="3113">
        <f t="shared" si="532"/>
        <v>0</v>
      </c>
      <c r="AI346" s="3113">
        <f t="shared" si="532"/>
        <v>0</v>
      </c>
      <c r="AJ346" s="3113">
        <f t="shared" si="532"/>
        <v>0</v>
      </c>
      <c r="AL346" s="37">
        <f ca="1">SUM((INDIRECT(AL$2&amp;(ROW())):INDIRECT(AL$3&amp;(ROW()))))</f>
        <v>0</v>
      </c>
      <c r="AM346" s="3108">
        <f ca="1">SUM(INDIRECT(AM$1&amp;AM$2&amp;$C346):INDIRECT(AM$1&amp;AM$3&amp;$C346))</f>
        <v>0</v>
      </c>
      <c r="AN346" s="3109">
        <f t="shared" ca="1" si="458"/>
        <v>0</v>
      </c>
      <c r="AO346" s="2756">
        <f ca="1">IFERROR(AL346/AM346,0)</f>
        <v>0</v>
      </c>
      <c r="AP346" s="1232">
        <f ca="1">SUM(INDIRECT(AP$1&amp;AP$2&amp;$A346):INDIRECT(AP$1&amp;AP$3&amp;$A346))+SUM(INDIRECT(AP$1&amp;AP$2&amp;$B346):INDIRECT(AP$1&amp;AP$3&amp;$B346))</f>
        <v>0</v>
      </c>
      <c r="AQ346" s="3110">
        <f t="shared" ca="1" si="460"/>
        <v>0</v>
      </c>
      <c r="AR346" s="2758">
        <f ca="1">IFERROR(AL346/AP346,0)</f>
        <v>0</v>
      </c>
      <c r="AT346" s="37">
        <f ca="1">SUM((INDIRECT(AT$2&amp;(ROW())):INDIRECT(AT$3&amp;(ROW()))))</f>
        <v>0</v>
      </c>
      <c r="AU346" s="3108">
        <f ca="1">SUM(INDIRECT(AU$1&amp;AU$2&amp;$C346):INDIRECT(AU$1&amp;AU$3&amp;$C346))</f>
        <v>0</v>
      </c>
      <c r="AV346" s="3109">
        <f t="shared" ca="1" si="462"/>
        <v>0</v>
      </c>
      <c r="AW346" s="2756">
        <f ca="1">IFERROR(AT346/AU346,0)</f>
        <v>0</v>
      </c>
      <c r="AX346" s="1232">
        <f ca="1">SUM(INDIRECT(AX$1&amp;AX$2&amp;$A346):INDIRECT(AX$1&amp;AX$3&amp;$A346))+SUM(INDIRECT(AX$1&amp;AX$2&amp;$B346):INDIRECT(AX$1&amp;AX$3&amp;$B346))</f>
        <v>0</v>
      </c>
      <c r="AY346" s="3110">
        <f t="shared" ca="1" si="464"/>
        <v>0</v>
      </c>
      <c r="AZ346" s="2758">
        <f ca="1">IFERROR(AT346/AX346,0)</f>
        <v>0</v>
      </c>
      <c r="BA346" s="69"/>
      <c r="BB346" s="1289">
        <f ca="1">SUM((INDIRECT(BB$2&amp;(ROW())):INDIRECT(BB$3&amp;(ROW()))))</f>
        <v>0</v>
      </c>
      <c r="BC346" s="1232">
        <f ca="1">SUM(INDIRECT(BC$1&amp;BC$2&amp;$C346):INDIRECT(BC$1&amp;BC$3&amp;$C346))</f>
        <v>0</v>
      </c>
      <c r="BD346" s="3110">
        <f t="shared" ca="1" si="466"/>
        <v>0</v>
      </c>
      <c r="BE346" s="2758">
        <f ca="1">IFERROR(BB346/BC346,0)</f>
        <v>0</v>
      </c>
      <c r="BF346" s="1232">
        <f ca="1">SUM(INDIRECT(BF$1&amp;BF$2&amp;$A346):INDIRECT(BF$1&amp;BF$3&amp;$A346))+SUM(INDIRECT(BF$1&amp;BF$2&amp;$B346):INDIRECT(BF$1&amp;BF$3&amp;$B346))</f>
        <v>0</v>
      </c>
      <c r="BG346" s="3110">
        <f t="shared" ca="1" si="468"/>
        <v>0</v>
      </c>
      <c r="BH346" s="2758">
        <f ca="1">IFERROR(BB346/BF346,0)</f>
        <v>0</v>
      </c>
    </row>
    <row r="347" spans="1:60" ht="14.5">
      <c r="A347" s="616">
        <f t="shared" si="531"/>
        <v>320</v>
      </c>
      <c r="B347" s="616">
        <v>1</v>
      </c>
      <c r="C347" s="616">
        <f t="shared" si="518"/>
        <v>344</v>
      </c>
      <c r="D347" s="709" t="s">
        <v>1308</v>
      </c>
      <c r="E347" s="2544">
        <v>1</v>
      </c>
      <c r="F347" s="8"/>
      <c r="G347" s="737"/>
      <c r="H347" s="4"/>
      <c r="I347" s="4"/>
      <c r="J347" s="3"/>
      <c r="K347" s="27"/>
      <c r="L347" s="498"/>
      <c r="M347" s="553" t="s">
        <v>1373</v>
      </c>
      <c r="N347" s="47"/>
      <c r="O347" s="47"/>
      <c r="P347" s="47"/>
      <c r="Q347" s="1776" t="str">
        <f>CHOOSE(2, "6722000003266", "PL (4) CAI Allocation SGA (%)")</f>
        <v>PL (4) CAI Allocation SGA (%)</v>
      </c>
      <c r="R347" s="2571">
        <f>IFERROR(R346/R331,0)</f>
        <v>0</v>
      </c>
      <c r="S347" s="2571">
        <f t="shared" ref="S347:AJ347" si="533">IFERROR(S346/S331,0)</f>
        <v>0</v>
      </c>
      <c r="T347" s="2571">
        <f t="shared" si="533"/>
        <v>0</v>
      </c>
      <c r="U347" s="2571">
        <f t="shared" si="533"/>
        <v>0</v>
      </c>
      <c r="V347" s="2571">
        <f t="shared" si="533"/>
        <v>0</v>
      </c>
      <c r="W347" s="2571">
        <f t="shared" si="533"/>
        <v>0</v>
      </c>
      <c r="X347" s="2571">
        <f t="shared" si="533"/>
        <v>0</v>
      </c>
      <c r="Y347" s="2571">
        <f t="shared" si="533"/>
        <v>0</v>
      </c>
      <c r="Z347" s="2571">
        <f t="shared" si="533"/>
        <v>0</v>
      </c>
      <c r="AA347" s="2571">
        <f t="shared" si="533"/>
        <v>0</v>
      </c>
      <c r="AB347" s="2571">
        <f t="shared" si="533"/>
        <v>0</v>
      </c>
      <c r="AC347" s="2571">
        <f t="shared" si="533"/>
        <v>0</v>
      </c>
      <c r="AD347" s="2572">
        <f t="shared" si="533"/>
        <v>0</v>
      </c>
      <c r="AE347" s="2571">
        <f t="shared" si="533"/>
        <v>0</v>
      </c>
      <c r="AF347" s="2571">
        <f t="shared" si="533"/>
        <v>0</v>
      </c>
      <c r="AG347" s="2571">
        <f t="shared" si="533"/>
        <v>0</v>
      </c>
      <c r="AH347" s="2571">
        <f t="shared" si="533"/>
        <v>0</v>
      </c>
      <c r="AI347" s="2571">
        <f t="shared" si="533"/>
        <v>0</v>
      </c>
      <c r="AJ347" s="2571">
        <f t="shared" si="533"/>
        <v>0</v>
      </c>
      <c r="AL347" s="2761">
        <f ca="1">IFERROR(AL346/AL331,0)</f>
        <v>0</v>
      </c>
      <c r="AM347" s="2761">
        <f ca="1">IFERROR(AM346/AM331,0)</f>
        <v>0</v>
      </c>
      <c r="AN347" s="2761">
        <f t="shared" ca="1" si="458"/>
        <v>0</v>
      </c>
      <c r="AO347" s="2762"/>
      <c r="AP347" s="2761">
        <f ca="1">IFERROR(AP346/AP331,0)</f>
        <v>0</v>
      </c>
      <c r="AQ347" s="2761">
        <f ca="1">IFERROR(AQ346/AQ327,0)</f>
        <v>0</v>
      </c>
      <c r="AR347" s="2763"/>
      <c r="AT347" s="2761">
        <f ca="1">IFERROR(AT346/AT331,0)</f>
        <v>0</v>
      </c>
      <c r="AU347" s="2761">
        <f ca="1">IFERROR(AU346/AU331,0)</f>
        <v>0</v>
      </c>
      <c r="AV347" s="2761">
        <f t="shared" ca="1" si="462"/>
        <v>0</v>
      </c>
      <c r="AW347" s="2762"/>
      <c r="AX347" s="2761">
        <f ca="1">IFERROR(AX346/AX331,0)</f>
        <v>0</v>
      </c>
      <c r="AY347" s="2761">
        <f ca="1">IFERROR(AY346/AY327,0)</f>
        <v>0</v>
      </c>
      <c r="AZ347" s="2763"/>
      <c r="BA347" s="69"/>
      <c r="BB347" s="2761">
        <f ca="1">IFERROR(BB346/BB331,0)</f>
        <v>0</v>
      </c>
      <c r="BC347" s="2761">
        <f ca="1">IFERROR(BC346/BC331,0)</f>
        <v>0</v>
      </c>
      <c r="BD347" s="2761">
        <f t="shared" ca="1" si="466"/>
        <v>0</v>
      </c>
      <c r="BE347" s="2764"/>
      <c r="BF347" s="2761">
        <f ca="1">IFERROR(BF346/BF331,0)</f>
        <v>0</v>
      </c>
      <c r="BG347" s="2761">
        <f ca="1">IFERROR(BG346/BG327,0)</f>
        <v>0</v>
      </c>
      <c r="BH347" s="2763"/>
    </row>
    <row r="348" spans="1:60" ht="14.5">
      <c r="A348" s="616">
        <f t="shared" si="531"/>
        <v>321</v>
      </c>
      <c r="B348" s="616">
        <v>1</v>
      </c>
      <c r="C348" s="616">
        <f t="shared" si="518"/>
        <v>345</v>
      </c>
      <c r="D348" s="709" t="s">
        <v>1308</v>
      </c>
      <c r="E348" s="2544">
        <v>1</v>
      </c>
      <c r="F348" s="8"/>
      <c r="G348" s="737"/>
      <c r="H348" s="4"/>
      <c r="I348" s="4"/>
      <c r="J348" s="3"/>
      <c r="K348" s="27"/>
      <c r="L348" s="27"/>
      <c r="M348" s="36" t="s">
        <v>1329</v>
      </c>
      <c r="N348" s="3"/>
      <c r="O348" s="3"/>
      <c r="P348" s="3"/>
      <c r="Q348" s="1786" t="str">
        <f>CHOOSE(2, "6722000003267", "PL (4) CAI Allocation Variable Expenses")</f>
        <v>PL (4) CAI Allocation Variable Expenses</v>
      </c>
      <c r="R348" s="37">
        <f>R332-R343</f>
        <v>0</v>
      </c>
      <c r="S348" s="37">
        <f t="shared" ref="S348:AC348" si="534">S332-S343</f>
        <v>0</v>
      </c>
      <c r="T348" s="37">
        <f t="shared" si="534"/>
        <v>0</v>
      </c>
      <c r="U348" s="37">
        <f t="shared" si="534"/>
        <v>0</v>
      </c>
      <c r="V348" s="37">
        <f t="shared" si="534"/>
        <v>0</v>
      </c>
      <c r="W348" s="37">
        <f t="shared" si="534"/>
        <v>0</v>
      </c>
      <c r="X348" s="17">
        <f t="shared" si="534"/>
        <v>0</v>
      </c>
      <c r="Y348" s="17">
        <f t="shared" si="534"/>
        <v>0</v>
      </c>
      <c r="Z348" s="17">
        <f t="shared" si="534"/>
        <v>0</v>
      </c>
      <c r="AA348" s="126">
        <f t="shared" si="534"/>
        <v>0</v>
      </c>
      <c r="AB348" s="126">
        <f t="shared" si="534"/>
        <v>0</v>
      </c>
      <c r="AC348" s="126">
        <f t="shared" si="534"/>
        <v>0</v>
      </c>
      <c r="AD348" s="125">
        <f>SUM(R348,S348,T348)</f>
        <v>0</v>
      </c>
      <c r="AE348" s="126">
        <f t="shared" ref="AE348:AE350" si="535">SUM(U348,V348,W348)</f>
        <v>0</v>
      </c>
      <c r="AF348" s="126">
        <f t="shared" ref="AF348:AF350" si="536">SUM(X348,Y348,Z348)</f>
        <v>0</v>
      </c>
      <c r="AG348" s="126">
        <f t="shared" ref="AG348:AG350" si="537">SUM(AA348,AB348,AC348)</f>
        <v>0</v>
      </c>
      <c r="AH348" s="126">
        <f>AD348+AE348</f>
        <v>0</v>
      </c>
      <c r="AI348" s="126">
        <f>AG348+AF348</f>
        <v>0</v>
      </c>
      <c r="AJ348" s="126">
        <f>AH348+AI348</f>
        <v>0</v>
      </c>
      <c r="AL348" s="37">
        <f ca="1">SUM((INDIRECT(AL$2&amp;(ROW())):INDIRECT(AL$3&amp;(ROW()))))</f>
        <v>0</v>
      </c>
      <c r="AM348" s="3108">
        <f ca="1">SUM(INDIRECT(AM$1&amp;AM$2&amp;$C348):INDIRECT(AM$1&amp;AM$3&amp;$C348))</f>
        <v>0</v>
      </c>
      <c r="AN348" s="3109">
        <f t="shared" ca="1" si="458"/>
        <v>0</v>
      </c>
      <c r="AO348" s="2756">
        <f ca="1">IFERROR(AL348/AM348,0)</f>
        <v>0</v>
      </c>
      <c r="AP348" s="1232">
        <f ca="1">SUM(INDIRECT(AP$1&amp;AP$2&amp;$A348):INDIRECT(AP$1&amp;AP$3&amp;$A348))+SUM(INDIRECT(AP$1&amp;AP$2&amp;$B348):INDIRECT(AP$1&amp;AP$3&amp;$B348))</f>
        <v>0</v>
      </c>
      <c r="AQ348" s="3110">
        <f ca="1">AL348-AP348</f>
        <v>0</v>
      </c>
      <c r="AR348" s="2758">
        <f ca="1">IFERROR(AL348/AP348,0)</f>
        <v>0</v>
      </c>
      <c r="AT348" s="37">
        <f ca="1">SUM((INDIRECT(AT$2&amp;(ROW())):INDIRECT(AT$3&amp;(ROW()))))</f>
        <v>0</v>
      </c>
      <c r="AU348" s="3108">
        <f ca="1">SUM(INDIRECT(AU$1&amp;AU$2&amp;$C348):INDIRECT(AU$1&amp;AU$3&amp;$C348))</f>
        <v>0</v>
      </c>
      <c r="AV348" s="3109">
        <f t="shared" ca="1" si="462"/>
        <v>0</v>
      </c>
      <c r="AW348" s="2756">
        <f ca="1">IFERROR(AT348/AU348,0)</f>
        <v>0</v>
      </c>
      <c r="AX348" s="1232">
        <f ca="1">SUM(INDIRECT(AX$1&amp;AX$2&amp;$A348):INDIRECT(AX$1&amp;AX$3&amp;$A348))+SUM(INDIRECT(AX$1&amp;AX$2&amp;$B348):INDIRECT(AX$1&amp;AX$3&amp;$B348))</f>
        <v>0</v>
      </c>
      <c r="AY348" s="3110">
        <f ca="1">AT348-AX348</f>
        <v>0</v>
      </c>
      <c r="AZ348" s="2758">
        <f ca="1">IFERROR(AT348/AX348,0)</f>
        <v>0</v>
      </c>
      <c r="BA348" s="69"/>
      <c r="BB348" s="1289">
        <f ca="1">SUM((INDIRECT(BB$2&amp;(ROW())):INDIRECT(BB$3&amp;(ROW()))))</f>
        <v>0</v>
      </c>
      <c r="BC348" s="1232">
        <f ca="1">SUM(INDIRECT(BC$1&amp;BC$2&amp;$C348):INDIRECT(BC$1&amp;BC$3&amp;$C348))</f>
        <v>0</v>
      </c>
      <c r="BD348" s="3110">
        <f t="shared" ca="1" si="466"/>
        <v>0</v>
      </c>
      <c r="BE348" s="2758">
        <f ca="1">IFERROR(BB348/BC348,0)</f>
        <v>0</v>
      </c>
      <c r="BF348" s="1232">
        <f ca="1">SUM(INDIRECT(BF$1&amp;BF$2&amp;$A348):INDIRECT(BF$1&amp;BF$3&amp;$A348))+SUM(INDIRECT(BF$1&amp;BF$2&amp;$B348):INDIRECT(BF$1&amp;BF$3&amp;$B348))</f>
        <v>0</v>
      </c>
      <c r="BG348" s="3110">
        <f ca="1">BB348-BF348</f>
        <v>0</v>
      </c>
      <c r="BH348" s="2758">
        <f ca="1">IFERROR(BB348/BF348,0)</f>
        <v>0</v>
      </c>
    </row>
    <row r="349" spans="1:60" ht="14.5">
      <c r="A349" s="616">
        <f t="shared" si="531"/>
        <v>322</v>
      </c>
      <c r="B349" s="616">
        <v>1</v>
      </c>
      <c r="C349" s="616">
        <f t="shared" si="518"/>
        <v>346</v>
      </c>
      <c r="D349" s="709" t="s">
        <v>1308</v>
      </c>
      <c r="E349" s="2544">
        <v>1</v>
      </c>
      <c r="F349" s="8"/>
      <c r="G349" s="737"/>
      <c r="H349" s="4"/>
      <c r="I349" s="4"/>
      <c r="J349" s="3"/>
      <c r="K349" s="27"/>
      <c r="L349" s="27"/>
      <c r="M349" s="36" t="s">
        <v>1330</v>
      </c>
      <c r="N349" s="3"/>
      <c r="O349" s="3"/>
      <c r="P349" s="3"/>
      <c r="Q349" s="1786" t="str">
        <f>CHOOSE(2, "6722000003268", "PL (4) CAI Allocation Wages &amp; Salaries")</f>
        <v>PL (4) CAI Allocation Wages &amp; Salaries</v>
      </c>
      <c r="R349" s="37">
        <f t="shared" ref="R349:AC350" si="538">R333-R344</f>
        <v>0</v>
      </c>
      <c r="S349" s="37">
        <f t="shared" si="538"/>
        <v>0</v>
      </c>
      <c r="T349" s="37">
        <f t="shared" si="538"/>
        <v>0</v>
      </c>
      <c r="U349" s="37">
        <f t="shared" si="538"/>
        <v>0</v>
      </c>
      <c r="V349" s="37">
        <f t="shared" si="538"/>
        <v>0</v>
      </c>
      <c r="W349" s="37">
        <f t="shared" si="538"/>
        <v>0</v>
      </c>
      <c r="X349" s="17">
        <f t="shared" si="538"/>
        <v>0</v>
      </c>
      <c r="Y349" s="17">
        <f t="shared" si="538"/>
        <v>0</v>
      </c>
      <c r="Z349" s="17">
        <f t="shared" si="538"/>
        <v>0</v>
      </c>
      <c r="AA349" s="126">
        <f t="shared" si="538"/>
        <v>0</v>
      </c>
      <c r="AB349" s="126">
        <f t="shared" si="538"/>
        <v>0</v>
      </c>
      <c r="AC349" s="126">
        <f t="shared" si="538"/>
        <v>0</v>
      </c>
      <c r="AD349" s="125">
        <f>SUM(R349,S349,T349)</f>
        <v>0</v>
      </c>
      <c r="AE349" s="126">
        <f t="shared" si="535"/>
        <v>0</v>
      </c>
      <c r="AF349" s="126">
        <f t="shared" si="536"/>
        <v>0</v>
      </c>
      <c r="AG349" s="126">
        <f t="shared" si="537"/>
        <v>0</v>
      </c>
      <c r="AH349" s="126">
        <f>AD349+AE349</f>
        <v>0</v>
      </c>
      <c r="AI349" s="126">
        <f>AG349+AF349</f>
        <v>0</v>
      </c>
      <c r="AJ349" s="126">
        <f>AH349+AI349</f>
        <v>0</v>
      </c>
      <c r="AL349" s="37">
        <f ca="1">SUM((INDIRECT(AL$2&amp;(ROW())):INDIRECT(AL$3&amp;(ROW()))))</f>
        <v>0</v>
      </c>
      <c r="AM349" s="3108">
        <f ca="1">SUM(INDIRECT(AM$1&amp;AM$2&amp;$C349):INDIRECT(AM$1&amp;AM$3&amp;$C349))</f>
        <v>0</v>
      </c>
      <c r="AN349" s="3109">
        <f t="shared" ca="1" si="458"/>
        <v>0</v>
      </c>
      <c r="AO349" s="2756">
        <f ca="1">IFERROR(AL349/AM349,0)</f>
        <v>0</v>
      </c>
      <c r="AP349" s="1232">
        <f ca="1">SUM(INDIRECT(AP$1&amp;AP$2&amp;$A349):INDIRECT(AP$1&amp;AP$3&amp;$A349))+SUM(INDIRECT(AP$1&amp;AP$2&amp;$B349):INDIRECT(AP$1&amp;AP$3&amp;$B349))</f>
        <v>0</v>
      </c>
      <c r="AQ349" s="3110">
        <f ca="1">AL349-AP349</f>
        <v>0</v>
      </c>
      <c r="AR349" s="2758">
        <f ca="1">IFERROR(AL349/AP349,0)</f>
        <v>0</v>
      </c>
      <c r="AT349" s="37">
        <f ca="1">SUM((INDIRECT(AT$2&amp;(ROW())):INDIRECT(AT$3&amp;(ROW()))))</f>
        <v>0</v>
      </c>
      <c r="AU349" s="3108">
        <f ca="1">SUM(INDIRECT(AU$1&amp;AU$2&amp;$C349):INDIRECT(AU$1&amp;AU$3&amp;$C349))</f>
        <v>0</v>
      </c>
      <c r="AV349" s="3109">
        <f t="shared" ca="1" si="462"/>
        <v>0</v>
      </c>
      <c r="AW349" s="2756">
        <f ca="1">IFERROR(AT349/AU349,0)</f>
        <v>0</v>
      </c>
      <c r="AX349" s="1232">
        <f ca="1">SUM(INDIRECT(AX$1&amp;AX$2&amp;$A349):INDIRECT(AX$1&amp;AX$3&amp;$A349))+SUM(INDIRECT(AX$1&amp;AX$2&amp;$B349):INDIRECT(AX$1&amp;AX$3&amp;$B349))</f>
        <v>0</v>
      </c>
      <c r="AY349" s="3110">
        <f ca="1">AT349-AX349</f>
        <v>0</v>
      </c>
      <c r="AZ349" s="2758">
        <f ca="1">IFERROR(AT349/AX349,0)</f>
        <v>0</v>
      </c>
      <c r="BA349" s="69"/>
      <c r="BB349" s="1289">
        <f ca="1">SUM((INDIRECT(BB$2&amp;(ROW())):INDIRECT(BB$3&amp;(ROW()))))</f>
        <v>0</v>
      </c>
      <c r="BC349" s="1232">
        <f ca="1">SUM(INDIRECT(BC$1&amp;BC$2&amp;$C349):INDIRECT(BC$1&amp;BC$3&amp;$C349))</f>
        <v>0</v>
      </c>
      <c r="BD349" s="3110">
        <f t="shared" ca="1" si="466"/>
        <v>0</v>
      </c>
      <c r="BE349" s="2758">
        <f ca="1">IFERROR(BB349/BC349,0)</f>
        <v>0</v>
      </c>
      <c r="BF349" s="1232">
        <f ca="1">SUM(INDIRECT(BF$1&amp;BF$2&amp;$A349):INDIRECT(BF$1&amp;BF$3&amp;$A349))+SUM(INDIRECT(BF$1&amp;BF$2&amp;$B349):INDIRECT(BF$1&amp;BF$3&amp;$B349))</f>
        <v>0</v>
      </c>
      <c r="BG349" s="3110">
        <f ca="1">BB349-BF349</f>
        <v>0</v>
      </c>
      <c r="BH349" s="2758">
        <f ca="1">IFERROR(BB349/BF349,0)</f>
        <v>0</v>
      </c>
    </row>
    <row r="350" spans="1:60" ht="14.5">
      <c r="A350" s="616">
        <f t="shared" si="531"/>
        <v>323</v>
      </c>
      <c r="B350" s="616">
        <v>1</v>
      </c>
      <c r="C350" s="616">
        <f t="shared" si="518"/>
        <v>347</v>
      </c>
      <c r="D350" s="709" t="s">
        <v>1308</v>
      </c>
      <c r="E350" s="2544">
        <v>1</v>
      </c>
      <c r="F350" s="8"/>
      <c r="G350" s="737"/>
      <c r="H350" s="4"/>
      <c r="I350" s="4"/>
      <c r="J350" s="3"/>
      <c r="K350" s="25"/>
      <c r="L350" s="25"/>
      <c r="M350" s="104" t="s">
        <v>1331</v>
      </c>
      <c r="N350" s="1"/>
      <c r="O350" s="1"/>
      <c r="P350" s="1"/>
      <c r="Q350" s="1786" t="str">
        <f>CHOOSE(2, "6722000003269", "PL (4) CAI Allocation Fixed Expenses")</f>
        <v>PL (4) CAI Allocation Fixed Expenses</v>
      </c>
      <c r="R350" s="60">
        <f t="shared" si="538"/>
        <v>0</v>
      </c>
      <c r="S350" s="60">
        <f t="shared" si="538"/>
        <v>0</v>
      </c>
      <c r="T350" s="60">
        <f t="shared" si="538"/>
        <v>0</v>
      </c>
      <c r="U350" s="60">
        <f t="shared" si="538"/>
        <v>0</v>
      </c>
      <c r="V350" s="60">
        <f t="shared" si="538"/>
        <v>0</v>
      </c>
      <c r="W350" s="60">
        <f t="shared" si="538"/>
        <v>0</v>
      </c>
      <c r="X350" s="15">
        <f t="shared" si="538"/>
        <v>0</v>
      </c>
      <c r="Y350" s="15">
        <f t="shared" si="538"/>
        <v>0</v>
      </c>
      <c r="Z350" s="15">
        <f t="shared" si="538"/>
        <v>0</v>
      </c>
      <c r="AA350" s="123">
        <f t="shared" si="538"/>
        <v>0</v>
      </c>
      <c r="AB350" s="123">
        <f t="shared" si="538"/>
        <v>0</v>
      </c>
      <c r="AC350" s="123">
        <f t="shared" si="538"/>
        <v>0</v>
      </c>
      <c r="AD350" s="122">
        <f>SUM(R350,S350,T350)</f>
        <v>0</v>
      </c>
      <c r="AE350" s="123">
        <f t="shared" si="535"/>
        <v>0</v>
      </c>
      <c r="AF350" s="123">
        <f t="shared" si="536"/>
        <v>0</v>
      </c>
      <c r="AG350" s="123">
        <f t="shared" si="537"/>
        <v>0</v>
      </c>
      <c r="AH350" s="123">
        <f>AD350+AE350</f>
        <v>0</v>
      </c>
      <c r="AI350" s="123">
        <f>AG350+AF350</f>
        <v>0</v>
      </c>
      <c r="AJ350" s="123">
        <f>AH350+AI350</f>
        <v>0</v>
      </c>
      <c r="AL350" s="60">
        <f ca="1">SUM((INDIRECT(AL$2&amp;(ROW())):INDIRECT(AL$3&amp;(ROW()))))</f>
        <v>0</v>
      </c>
      <c r="AM350" s="80">
        <f ca="1">SUM(INDIRECT(AM$1&amp;AM$2&amp;$C350):INDIRECT(AM$1&amp;AM$3&amp;$C350))</f>
        <v>0</v>
      </c>
      <c r="AN350" s="3111">
        <f t="shared" ca="1" si="458"/>
        <v>0</v>
      </c>
      <c r="AO350" s="2760">
        <f ca="1">IFERROR(AL350/AM350,0)</f>
        <v>0</v>
      </c>
      <c r="AP350" s="1241">
        <f ca="1">SUM(INDIRECT(AP$1&amp;AP$2&amp;$A350):INDIRECT(AP$1&amp;AP$3&amp;$A350))+SUM(INDIRECT(AP$1&amp;AP$2&amp;$B350):INDIRECT(AP$1&amp;AP$3&amp;$B350))</f>
        <v>0</v>
      </c>
      <c r="AQ350" s="3098">
        <f ca="1">AL350-AP350</f>
        <v>0</v>
      </c>
      <c r="AR350" s="2743">
        <f ca="1">IFERROR(AL350/AP350,0)</f>
        <v>0</v>
      </c>
      <c r="AT350" s="60">
        <f ca="1">SUM((INDIRECT(AT$2&amp;(ROW())):INDIRECT(AT$3&amp;(ROW()))))</f>
        <v>0</v>
      </c>
      <c r="AU350" s="80">
        <f ca="1">SUM(INDIRECT(AU$1&amp;AU$2&amp;$C350):INDIRECT(AU$1&amp;AU$3&amp;$C350))</f>
        <v>0</v>
      </c>
      <c r="AV350" s="3111">
        <f t="shared" ca="1" si="462"/>
        <v>0</v>
      </c>
      <c r="AW350" s="2760">
        <f ca="1">IFERROR(AT350/AU350,0)</f>
        <v>0</v>
      </c>
      <c r="AX350" s="1241">
        <f ca="1">SUM(INDIRECT(AX$1&amp;AX$2&amp;$A350):INDIRECT(AX$1&amp;AX$3&amp;$A350))+SUM(INDIRECT(AX$1&amp;AX$2&amp;$B350):INDIRECT(AX$1&amp;AX$3&amp;$B350))</f>
        <v>0</v>
      </c>
      <c r="AY350" s="3098">
        <f ca="1">AT350-AX350</f>
        <v>0</v>
      </c>
      <c r="AZ350" s="2743">
        <f ca="1">IFERROR(AT350/AX350,0)</f>
        <v>0</v>
      </c>
      <c r="BA350" s="69"/>
      <c r="BB350" s="1290">
        <f ca="1">SUM((INDIRECT(BB$2&amp;(ROW())):INDIRECT(BB$3&amp;(ROW()))))</f>
        <v>0</v>
      </c>
      <c r="BC350" s="1241">
        <f ca="1">SUM(INDIRECT(BC$1&amp;BC$2&amp;$C350):INDIRECT(BC$1&amp;BC$3&amp;$C350))</f>
        <v>0</v>
      </c>
      <c r="BD350" s="3098">
        <f t="shared" ca="1" si="466"/>
        <v>0</v>
      </c>
      <c r="BE350" s="2743">
        <f ca="1">IFERROR(BB350/BC350,0)</f>
        <v>0</v>
      </c>
      <c r="BF350" s="1241">
        <f ca="1">SUM(INDIRECT(BF$1&amp;BF$2&amp;$A350):INDIRECT(BF$1&amp;BF$3&amp;$A350))+SUM(INDIRECT(BF$1&amp;BF$2&amp;$B350):INDIRECT(BF$1&amp;BF$3&amp;$B350))</f>
        <v>0</v>
      </c>
      <c r="BG350" s="3098">
        <f ca="1">BB350-BF350</f>
        <v>0</v>
      </c>
      <c r="BH350" s="2743">
        <f ca="1">IFERROR(BB350/BF350,0)</f>
        <v>0</v>
      </c>
    </row>
    <row r="351" spans="1:60" ht="14.5">
      <c r="A351" s="616">
        <f t="shared" si="531"/>
        <v>324</v>
      </c>
      <c r="B351" s="616">
        <v>1</v>
      </c>
      <c r="C351" s="616">
        <f t="shared" si="518"/>
        <v>348</v>
      </c>
      <c r="D351" s="709" t="s">
        <v>1308</v>
      </c>
      <c r="E351" s="2547">
        <v>1</v>
      </c>
      <c r="F351" s="4"/>
      <c r="G351" s="4"/>
      <c r="H351" s="4"/>
      <c r="I351" s="4"/>
      <c r="J351" s="3"/>
      <c r="K351" s="4"/>
      <c r="L351" s="4"/>
      <c r="M351" s="3"/>
      <c r="N351" s="3"/>
      <c r="O351" s="3"/>
      <c r="P351" s="3"/>
      <c r="Q351" s="1773" t="str">
        <f>CHOOSE(2, "6722000003270", "▷ Blank 15")</f>
        <v>▷ Blank 15</v>
      </c>
      <c r="R351" s="2562"/>
      <c r="S351" s="2563"/>
      <c r="T351" s="2563"/>
      <c r="U351" s="2563"/>
      <c r="V351" s="2563"/>
      <c r="W351" s="2563"/>
      <c r="AA351" s="2558"/>
      <c r="AB351" s="2558"/>
      <c r="AC351" s="2558"/>
      <c r="AD351" s="2558"/>
      <c r="AE351" s="2558"/>
      <c r="AF351" s="2558"/>
      <c r="AG351" s="2558"/>
      <c r="AH351" s="2558"/>
      <c r="AI351" s="2558"/>
      <c r="AJ351" s="2559"/>
      <c r="AL351" s="2558"/>
      <c r="AM351" s="2558"/>
      <c r="AN351" s="2558"/>
      <c r="AO351" s="2558"/>
      <c r="AP351" s="2558"/>
      <c r="AQ351" s="2558"/>
      <c r="AR351" s="2558"/>
      <c r="AT351" s="2558"/>
      <c r="AU351" s="2558"/>
      <c r="AV351" s="2558"/>
      <c r="AW351" s="2558"/>
      <c r="AX351" s="2558"/>
      <c r="AY351" s="2558"/>
      <c r="AZ351" s="2558"/>
      <c r="BB351" s="2558"/>
      <c r="BC351" s="2558"/>
      <c r="BD351" s="2558"/>
      <c r="BE351" s="2558"/>
      <c r="BF351" s="2558"/>
      <c r="BG351" s="2558"/>
      <c r="BH351" s="2558"/>
    </row>
    <row r="352" spans="1:60" ht="14.5">
      <c r="A352" s="616">
        <f t="shared" si="531"/>
        <v>325</v>
      </c>
      <c r="B352" s="616">
        <v>1</v>
      </c>
      <c r="C352" s="616">
        <f t="shared" si="518"/>
        <v>349</v>
      </c>
      <c r="D352" s="709" t="s">
        <v>1308</v>
      </c>
      <c r="E352" s="2544">
        <v>1</v>
      </c>
      <c r="F352" s="8"/>
      <c r="G352" s="4"/>
      <c r="H352" s="4" t="s">
        <v>1427</v>
      </c>
      <c r="I352" s="4"/>
      <c r="J352" s="3"/>
      <c r="K352" s="4"/>
      <c r="L352" s="4"/>
      <c r="M352" s="3"/>
      <c r="N352" s="3"/>
      <c r="O352" s="3"/>
      <c r="P352" s="3"/>
      <c r="Q352" s="1773" t="str">
        <f>CHOOSE(2, "6722000003271", "PL (5) DW-DX")</f>
        <v>PL (5) DW-DX</v>
      </c>
      <c r="R352" s="2562"/>
      <c r="S352" s="2562"/>
      <c r="T352" s="2562"/>
      <c r="U352" s="2562"/>
      <c r="V352" s="2562"/>
      <c r="W352" s="2562"/>
      <c r="AB352" s="1210"/>
      <c r="AC352" s="1210"/>
      <c r="AD352" s="1210"/>
      <c r="AE352" s="1210"/>
      <c r="AF352" s="1210"/>
      <c r="AG352" s="1210"/>
      <c r="AH352" s="1210"/>
      <c r="AI352" s="1210"/>
      <c r="AJ352" s="1210"/>
      <c r="AL352" s="1210"/>
      <c r="AM352" s="1210"/>
      <c r="AN352" s="1210"/>
      <c r="AO352" s="1210"/>
      <c r="AP352" s="1210"/>
      <c r="AQ352" s="1210"/>
      <c r="AR352" s="1210"/>
      <c r="AT352" s="1210"/>
      <c r="AU352" s="1210"/>
      <c r="AV352" s="1210"/>
      <c r="AW352" s="1210"/>
      <c r="AX352" s="1210"/>
      <c r="AY352" s="1210"/>
      <c r="AZ352" s="1210"/>
      <c r="BB352" s="1210"/>
      <c r="BC352" s="1210"/>
      <c r="BD352" s="1210"/>
      <c r="BE352" s="1210"/>
      <c r="BF352" s="1210"/>
      <c r="BG352" s="1210"/>
      <c r="BH352" s="1210"/>
    </row>
    <row r="353" spans="1:60" ht="14.5">
      <c r="A353" s="616">
        <f t="shared" si="531"/>
        <v>326</v>
      </c>
      <c r="B353" s="616">
        <v>1</v>
      </c>
      <c r="C353" s="616">
        <f t="shared" si="518"/>
        <v>350</v>
      </c>
      <c r="D353" s="709" t="s">
        <v>1308</v>
      </c>
      <c r="E353" s="2547">
        <v>1</v>
      </c>
      <c r="F353" s="4"/>
      <c r="G353" s="4"/>
      <c r="H353" s="4"/>
      <c r="I353" s="3167" t="s">
        <v>0</v>
      </c>
      <c r="J353" s="2056"/>
      <c r="K353" s="471"/>
      <c r="L353" s="471"/>
      <c r="M353" s="471"/>
      <c r="N353" s="471"/>
      <c r="O353" s="2057" t="s">
        <v>302</v>
      </c>
      <c r="P353" s="471"/>
      <c r="Q353" s="1801" t="str">
        <f>CHOOSE(2, "6722000003272", "PL (5) Net Sales")</f>
        <v>PL (5) Net Sales</v>
      </c>
      <c r="R353" s="1260">
        <f>SUM(R354,R358)</f>
        <v>360</v>
      </c>
      <c r="S353" s="3168">
        <f t="shared" ref="S353:AJ353" si="539">SUM(S354,S358)</f>
        <v>263</v>
      </c>
      <c r="T353" s="3168">
        <f t="shared" si="539"/>
        <v>439</v>
      </c>
      <c r="U353" s="3168">
        <f t="shared" si="539"/>
        <v>922</v>
      </c>
      <c r="V353" s="3168">
        <f t="shared" si="539"/>
        <v>3555</v>
      </c>
      <c r="W353" s="3168">
        <f t="shared" si="539"/>
        <v>44</v>
      </c>
      <c r="X353" s="3168">
        <f t="shared" si="539"/>
        <v>708</v>
      </c>
      <c r="Y353" s="3168">
        <f t="shared" si="539"/>
        <v>500</v>
      </c>
      <c r="Z353" s="3168">
        <f t="shared" si="539"/>
        <v>0</v>
      </c>
      <c r="AA353" s="3168">
        <f t="shared" si="539"/>
        <v>554</v>
      </c>
      <c r="AB353" s="3168">
        <f t="shared" si="539"/>
        <v>843</v>
      </c>
      <c r="AC353" s="3168">
        <f t="shared" si="539"/>
        <v>281</v>
      </c>
      <c r="AD353" s="3168">
        <f t="shared" si="539"/>
        <v>1062</v>
      </c>
      <c r="AE353" s="3168">
        <f t="shared" si="539"/>
        <v>4521</v>
      </c>
      <c r="AF353" s="3168">
        <f t="shared" si="539"/>
        <v>1208</v>
      </c>
      <c r="AG353" s="3168">
        <f t="shared" si="539"/>
        <v>1678</v>
      </c>
      <c r="AH353" s="3168">
        <f t="shared" si="539"/>
        <v>5583</v>
      </c>
      <c r="AI353" s="3168">
        <f t="shared" si="539"/>
        <v>2886</v>
      </c>
      <c r="AJ353" s="3168">
        <f t="shared" si="539"/>
        <v>8469</v>
      </c>
      <c r="AL353" s="1260">
        <f ca="1">SUM((INDIRECT(AL$2&amp;(ROW())):INDIRECT(AL$3&amp;(ROW()))))</f>
        <v>281</v>
      </c>
      <c r="AM353" s="3168">
        <f ca="1">SUM(INDIRECT(AM$1&amp;AM$2&amp;$C353):INDIRECT(AM$1&amp;AM$3&amp;$C353))</f>
        <v>0</v>
      </c>
      <c r="AN353" s="3169">
        <f t="shared" ref="AN353:AN396" ca="1" si="540">AL353-AM353</f>
        <v>281</v>
      </c>
      <c r="AO353" s="3170">
        <f t="shared" ref="AO353:AO371" ca="1" si="541">IFERROR(AL353/AM353,0)</f>
        <v>0</v>
      </c>
      <c r="AP353" s="3171">
        <f ca="1">SUM(AP354,AP358)</f>
        <v>0</v>
      </c>
      <c r="AQ353" s="3169">
        <f t="shared" ref="AQ353:AQ396" ca="1" si="542">AL353-AP353</f>
        <v>281</v>
      </c>
      <c r="AR353" s="3170">
        <f t="shared" ref="AR353:AR371" ca="1" si="543">IFERROR(AL353/AP353,0)</f>
        <v>0</v>
      </c>
      <c r="AT353" s="1260">
        <f ca="1">SUM((INDIRECT(AT$2&amp;(ROW())):INDIRECT(AT$3&amp;(ROW()))))</f>
        <v>1678</v>
      </c>
      <c r="AU353" s="3168">
        <f ca="1">SUM(INDIRECT(AU$1&amp;AU$2&amp;$C353):INDIRECT(AU$1&amp;AU$3&amp;$C353))</f>
        <v>0</v>
      </c>
      <c r="AV353" s="3169">
        <f t="shared" ref="AV353:AV396" ca="1" si="544">AT353-AU353</f>
        <v>1678</v>
      </c>
      <c r="AW353" s="3170">
        <f t="shared" ref="AW353:AW371" ca="1" si="545">IFERROR(AT353/AU353,0)</f>
        <v>0</v>
      </c>
      <c r="AX353" s="3171">
        <f ca="1">SUM(AX354,AX358)</f>
        <v>0</v>
      </c>
      <c r="AY353" s="3169">
        <f t="shared" ref="AY353:AY396" ca="1" si="546">AT353-AX353</f>
        <v>1678</v>
      </c>
      <c r="AZ353" s="3170">
        <f t="shared" ref="AZ353:AZ371" ca="1" si="547">IFERROR(AT353/AX353,0)</f>
        <v>0</v>
      </c>
      <c r="BB353" s="1260">
        <f ca="1">SUM((INDIRECT(BB$2&amp;(ROW())):INDIRECT(BB$3&amp;(ROW()))))</f>
        <v>8469</v>
      </c>
      <c r="BC353" s="3168">
        <f ca="1">SUM(INDIRECT(BC$1&amp;BC$2&amp;$C353):INDIRECT(BC$1&amp;BC$3&amp;$C353))</f>
        <v>0</v>
      </c>
      <c r="BD353" s="3169">
        <f t="shared" ref="BD353:BD396" ca="1" si="548">BB353-BC353</f>
        <v>8469</v>
      </c>
      <c r="BE353" s="3170">
        <f t="shared" ref="BE353:BE371" ca="1" si="549">IFERROR(BB353/BC353,0)</f>
        <v>0</v>
      </c>
      <c r="BF353" s="3171">
        <f ca="1">SUM(BF354,BF358)</f>
        <v>0</v>
      </c>
      <c r="BG353" s="3169">
        <f t="shared" ref="BG353:BG396" ca="1" si="550">BB353-BF353</f>
        <v>8469</v>
      </c>
      <c r="BH353" s="3170">
        <f t="shared" ref="BH353:BH371" ca="1" si="551">IFERROR(BB353/BF353,0)</f>
        <v>0</v>
      </c>
    </row>
    <row r="354" spans="1:60" s="69" customFormat="1" ht="14.5">
      <c r="A354" s="616"/>
      <c r="B354" s="616">
        <v>1</v>
      </c>
      <c r="C354" s="616">
        <f t="shared" si="518"/>
        <v>351</v>
      </c>
      <c r="D354" s="709" t="s">
        <v>1308</v>
      </c>
      <c r="E354" s="2578" t="s">
        <v>1369</v>
      </c>
      <c r="F354" s="2579"/>
      <c r="G354" s="4"/>
      <c r="H354" s="4"/>
      <c r="I354" s="762"/>
      <c r="J354" s="1071" t="s">
        <v>1428</v>
      </c>
      <c r="K354" s="1071"/>
      <c r="L354" s="1072"/>
      <c r="M354" s="1072"/>
      <c r="N354" s="1072"/>
      <c r="O354" s="1073"/>
      <c r="P354" s="1072"/>
      <c r="Q354" s="1802" t="str">
        <f>CHOOSE(2, "6722000003273", "PL (5) Net Sales ITS")</f>
        <v>PL (5) Net Sales ITS</v>
      </c>
      <c r="R354" s="1454">
        <f>SUM(R355:R357)</f>
        <v>360</v>
      </c>
      <c r="S354" s="1455">
        <f t="shared" ref="S354:AJ354" si="552">SUM(S355:S357)</f>
        <v>263</v>
      </c>
      <c r="T354" s="1455">
        <f t="shared" si="552"/>
        <v>439</v>
      </c>
      <c r="U354" s="1455">
        <f t="shared" si="552"/>
        <v>922</v>
      </c>
      <c r="V354" s="1455">
        <f t="shared" si="552"/>
        <v>3555</v>
      </c>
      <c r="W354" s="1455">
        <f t="shared" si="552"/>
        <v>44</v>
      </c>
      <c r="X354" s="1455">
        <f t="shared" si="552"/>
        <v>708</v>
      </c>
      <c r="Y354" s="1455">
        <f t="shared" si="552"/>
        <v>500</v>
      </c>
      <c r="Z354" s="1455">
        <f t="shared" si="552"/>
        <v>0</v>
      </c>
      <c r="AA354" s="1455">
        <f t="shared" si="552"/>
        <v>554</v>
      </c>
      <c r="AB354" s="1455">
        <f t="shared" si="552"/>
        <v>843</v>
      </c>
      <c r="AC354" s="1455">
        <f t="shared" si="552"/>
        <v>281</v>
      </c>
      <c r="AD354" s="1455">
        <f t="shared" si="552"/>
        <v>1062</v>
      </c>
      <c r="AE354" s="1455">
        <f t="shared" si="552"/>
        <v>4521</v>
      </c>
      <c r="AF354" s="1455">
        <f t="shared" si="552"/>
        <v>1208</v>
      </c>
      <c r="AG354" s="1455">
        <f t="shared" si="552"/>
        <v>1678</v>
      </c>
      <c r="AH354" s="1455">
        <f t="shared" si="552"/>
        <v>5583</v>
      </c>
      <c r="AI354" s="1455">
        <f t="shared" si="552"/>
        <v>2886</v>
      </c>
      <c r="AJ354" s="1455">
        <f t="shared" si="552"/>
        <v>8469</v>
      </c>
      <c r="AL354" s="3172">
        <f ca="1">SUM(AL355:AL357)</f>
        <v>281</v>
      </c>
      <c r="AM354" s="3173">
        <f ca="1">SUM(AM355:AM357)</f>
        <v>2400</v>
      </c>
      <c r="AN354" s="3174">
        <f t="shared" ca="1" si="540"/>
        <v>-2119</v>
      </c>
      <c r="AO354" s="2825">
        <f t="shared" ca="1" si="541"/>
        <v>0.11708333333333333</v>
      </c>
      <c r="AP354" s="3173">
        <f ca="1">SUM(AP355:AP357)</f>
        <v>0</v>
      </c>
      <c r="AQ354" s="3174">
        <f t="shared" ca="1" si="542"/>
        <v>281</v>
      </c>
      <c r="AR354" s="2825">
        <f t="shared" ca="1" si="543"/>
        <v>0</v>
      </c>
      <c r="AT354" s="3172">
        <f ca="1">SUM(AT355:AT357)</f>
        <v>1678</v>
      </c>
      <c r="AU354" s="3173">
        <f ca="1">SUM(AU355:AU357)</f>
        <v>7200</v>
      </c>
      <c r="AV354" s="3174">
        <f t="shared" ca="1" si="544"/>
        <v>-5522</v>
      </c>
      <c r="AW354" s="2825">
        <f t="shared" ca="1" si="545"/>
        <v>0.23305555555555554</v>
      </c>
      <c r="AX354" s="3173">
        <f ca="1">SUM(AX355:AX357)</f>
        <v>0</v>
      </c>
      <c r="AY354" s="3174">
        <f t="shared" ca="1" si="546"/>
        <v>1678</v>
      </c>
      <c r="AZ354" s="2825">
        <f t="shared" ca="1" si="547"/>
        <v>0</v>
      </c>
      <c r="BB354" s="3172">
        <f ca="1">SUM(BB355:BB357)</f>
        <v>8469</v>
      </c>
      <c r="BC354" s="3173">
        <f ca="1">SUM(BC355:BC357)</f>
        <v>11500</v>
      </c>
      <c r="BD354" s="3174">
        <f t="shared" ca="1" si="548"/>
        <v>-3031</v>
      </c>
      <c r="BE354" s="2825">
        <f t="shared" ca="1" si="549"/>
        <v>0.73643478260869566</v>
      </c>
      <c r="BF354" s="3173">
        <f ca="1">SUM(BF355:BF357)</f>
        <v>0</v>
      </c>
      <c r="BG354" s="3174">
        <f t="shared" ca="1" si="550"/>
        <v>8469</v>
      </c>
      <c r="BH354" s="2825">
        <f t="shared" ca="1" si="551"/>
        <v>0</v>
      </c>
    </row>
    <row r="355" spans="1:60" ht="14.5">
      <c r="A355" s="2580">
        <v>327</v>
      </c>
      <c r="B355" s="616">
        <v>1</v>
      </c>
      <c r="C355" s="616">
        <f t="shared" si="518"/>
        <v>352</v>
      </c>
      <c r="D355" s="709" t="s">
        <v>1308</v>
      </c>
      <c r="E355" s="2568" t="s">
        <v>1370</v>
      </c>
      <c r="F355" s="2569"/>
      <c r="G355" s="4"/>
      <c r="H355" s="4"/>
      <c r="I355" s="498"/>
      <c r="J355" s="3"/>
      <c r="K355" s="3" t="s">
        <v>1429</v>
      </c>
      <c r="L355" s="8"/>
      <c r="N355" s="3"/>
      <c r="O355" s="3"/>
      <c r="P355" s="3"/>
      <c r="Q355" s="1789" t="str">
        <f>CHOOSE(2, "6722000003274", "PL (5) Net Sales ITS IMS")</f>
        <v>PL (5) Net Sales ITS IMS</v>
      </c>
      <c r="R355" s="1214">
        <f t="shared" ref="R355:AC355" si="553">R756+R787</f>
        <v>0</v>
      </c>
      <c r="S355" s="1221">
        <f t="shared" si="553"/>
        <v>0</v>
      </c>
      <c r="T355" s="1221">
        <f t="shared" si="553"/>
        <v>0</v>
      </c>
      <c r="U355" s="1221">
        <f t="shared" si="553"/>
        <v>510</v>
      </c>
      <c r="V355" s="1221">
        <f t="shared" si="553"/>
        <v>0</v>
      </c>
      <c r="W355" s="1221">
        <f t="shared" si="553"/>
        <v>0</v>
      </c>
      <c r="X355" s="1221">
        <f t="shared" si="553"/>
        <v>510</v>
      </c>
      <c r="Y355" s="1221">
        <f t="shared" si="553"/>
        <v>0</v>
      </c>
      <c r="Z355" s="1221">
        <f t="shared" si="553"/>
        <v>0</v>
      </c>
      <c r="AA355" s="1221">
        <f t="shared" si="553"/>
        <v>510</v>
      </c>
      <c r="AB355" s="1221">
        <f t="shared" si="553"/>
        <v>0</v>
      </c>
      <c r="AC355" s="1221">
        <f t="shared" si="553"/>
        <v>0</v>
      </c>
      <c r="AD355" s="1221">
        <f>SUM(R355,S355,T355)</f>
        <v>0</v>
      </c>
      <c r="AE355" s="1221">
        <f t="shared" ref="AE355:AE361" si="554">SUM(U355,V355,W355)</f>
        <v>510</v>
      </c>
      <c r="AF355" s="1221">
        <f t="shared" ref="AF355:AF361" si="555">SUM(X355,Y355,Z355)</f>
        <v>510</v>
      </c>
      <c r="AG355" s="1221">
        <f t="shared" ref="AG355:AG361" si="556">SUM(AA355,AB355,AC355)</f>
        <v>510</v>
      </c>
      <c r="AH355" s="1221">
        <f t="shared" ref="AH355:AH361" si="557">AD355+AE355</f>
        <v>510</v>
      </c>
      <c r="AI355" s="1221">
        <f t="shared" ref="AI355:AI361" si="558">AG355+AF355</f>
        <v>1020</v>
      </c>
      <c r="AJ355" s="1221">
        <f t="shared" ref="AJ355:AJ361" si="559">AH355+AI355</f>
        <v>1530</v>
      </c>
      <c r="AL355" s="1214">
        <f ca="1">SUM((INDIRECT(AL$2&amp;(ROW())):INDIRECT(AL$3&amp;(ROW()))))</f>
        <v>0</v>
      </c>
      <c r="AM355" s="1221">
        <f ca="1">SUM(INDIRECT(AM$1&amp;AM$2&amp;$C355):INDIRECT(AM$1&amp;AM$3&amp;$C355))</f>
        <v>0</v>
      </c>
      <c r="AN355" s="3119">
        <f t="shared" ca="1" si="540"/>
        <v>0</v>
      </c>
      <c r="AO355" s="2768">
        <f t="shared" ca="1" si="541"/>
        <v>0</v>
      </c>
      <c r="AP355" s="1221">
        <f ca="1">SUM(INDIRECT(AP$1&amp;AP$2&amp;$A355):INDIRECT(AP$1&amp;AP$3&amp;$A355))+SUM(INDIRECT(AP$1&amp;AP$2&amp;$B355):INDIRECT(AP$1&amp;AP$3&amp;$B355))</f>
        <v>0</v>
      </c>
      <c r="AQ355" s="3119">
        <f t="shared" ca="1" si="542"/>
        <v>0</v>
      </c>
      <c r="AR355" s="2768">
        <f t="shared" ca="1" si="543"/>
        <v>0</v>
      </c>
      <c r="AT355" s="1214">
        <f ca="1">SUM((INDIRECT(AT$2&amp;(ROW())):INDIRECT(AT$3&amp;(ROW()))))</f>
        <v>510</v>
      </c>
      <c r="AU355" s="1221">
        <f ca="1">SUM(INDIRECT(AU$1&amp;AU$2&amp;$C355):INDIRECT(AU$1&amp;AU$3&amp;$C355))</f>
        <v>0</v>
      </c>
      <c r="AV355" s="3119">
        <f t="shared" ca="1" si="544"/>
        <v>510</v>
      </c>
      <c r="AW355" s="2768">
        <f t="shared" ca="1" si="545"/>
        <v>0</v>
      </c>
      <c r="AX355" s="1221">
        <f ca="1">SUM(INDIRECT(AX$1&amp;AX$2&amp;$A355):INDIRECT(AX$1&amp;AX$3&amp;$A355))+SUM(INDIRECT(AX$1&amp;AX$2&amp;$B355):INDIRECT(AX$1&amp;AX$3&amp;$B355))</f>
        <v>0</v>
      </c>
      <c r="AY355" s="3119">
        <f t="shared" ca="1" si="546"/>
        <v>510</v>
      </c>
      <c r="AZ355" s="2768">
        <f t="shared" ca="1" si="547"/>
        <v>0</v>
      </c>
      <c r="BB355" s="1214">
        <f ca="1">SUM((INDIRECT(BB$2&amp;(ROW())):INDIRECT(BB$3&amp;(ROW()))))</f>
        <v>1530</v>
      </c>
      <c r="BC355" s="1221">
        <f ca="1">SUM(INDIRECT(BC$1&amp;BC$2&amp;$C355):INDIRECT(BC$1&amp;BC$3&amp;$C355))</f>
        <v>0</v>
      </c>
      <c r="BD355" s="3119">
        <f t="shared" ca="1" si="548"/>
        <v>1530</v>
      </c>
      <c r="BE355" s="2768">
        <f t="shared" ca="1" si="549"/>
        <v>0</v>
      </c>
      <c r="BF355" s="1221">
        <f ca="1">SUM(INDIRECT(BF$1&amp;BF$2&amp;$A355):INDIRECT(BF$1&amp;BF$3&amp;$A355))+SUM(INDIRECT(BF$1&amp;BF$2&amp;$B355):INDIRECT(BF$1&amp;BF$3&amp;$B355))</f>
        <v>0</v>
      </c>
      <c r="BG355" s="3119">
        <f t="shared" ca="1" si="550"/>
        <v>1530</v>
      </c>
      <c r="BH355" s="2768">
        <f t="shared" ca="1" si="551"/>
        <v>0</v>
      </c>
    </row>
    <row r="356" spans="1:60" ht="14.5">
      <c r="A356" s="616">
        <f>A359+1</f>
        <v>329</v>
      </c>
      <c r="B356" s="616">
        <v>1</v>
      </c>
      <c r="C356" s="616">
        <f t="shared" si="518"/>
        <v>353</v>
      </c>
      <c r="D356" s="709" t="s">
        <v>1308</v>
      </c>
      <c r="E356" s="2568" t="s">
        <v>1370</v>
      </c>
      <c r="F356" s="2569"/>
      <c r="G356" s="4"/>
      <c r="H356" s="4"/>
      <c r="I356" s="498"/>
      <c r="J356" s="3"/>
      <c r="K356" s="3" t="s">
        <v>1430</v>
      </c>
      <c r="L356" s="8"/>
      <c r="N356" s="3"/>
      <c r="O356" s="3"/>
      <c r="P356" s="3"/>
      <c r="Q356" s="1789" t="str">
        <f>CHOOSE(2, "6722000003275", "PL (5) Net Sales ITS MCS")</f>
        <v>PL (5) Net Sales ITS MCS</v>
      </c>
      <c r="R356" s="1214">
        <f t="shared" ref="R356:AC356" si="560">R766+R789</f>
        <v>360</v>
      </c>
      <c r="S356" s="1221">
        <f t="shared" si="560"/>
        <v>263</v>
      </c>
      <c r="T356" s="1221">
        <f t="shared" si="560"/>
        <v>439</v>
      </c>
      <c r="U356" s="1221">
        <f t="shared" si="560"/>
        <v>412</v>
      </c>
      <c r="V356" s="1221">
        <f t="shared" si="560"/>
        <v>3555</v>
      </c>
      <c r="W356" s="1221">
        <f t="shared" si="560"/>
        <v>44</v>
      </c>
      <c r="X356" s="1221">
        <f t="shared" si="560"/>
        <v>198</v>
      </c>
      <c r="Y356" s="1221">
        <f t="shared" si="560"/>
        <v>500</v>
      </c>
      <c r="Z356" s="1221">
        <f t="shared" si="560"/>
        <v>0</v>
      </c>
      <c r="AA356" s="1221">
        <f t="shared" si="560"/>
        <v>44</v>
      </c>
      <c r="AB356" s="1221">
        <f t="shared" si="560"/>
        <v>843</v>
      </c>
      <c r="AC356" s="1221">
        <f t="shared" si="560"/>
        <v>281</v>
      </c>
      <c r="AD356" s="1221">
        <f>SUM(R356,S356,T356)</f>
        <v>1062</v>
      </c>
      <c r="AE356" s="1221">
        <f t="shared" si="554"/>
        <v>4011</v>
      </c>
      <c r="AF356" s="1221">
        <f t="shared" si="555"/>
        <v>698</v>
      </c>
      <c r="AG356" s="1221">
        <f t="shared" si="556"/>
        <v>1168</v>
      </c>
      <c r="AH356" s="1221">
        <f t="shared" si="557"/>
        <v>5073</v>
      </c>
      <c r="AI356" s="1221">
        <f t="shared" si="558"/>
        <v>1866</v>
      </c>
      <c r="AJ356" s="1221">
        <f t="shared" si="559"/>
        <v>6939</v>
      </c>
      <c r="AL356" s="1214">
        <f ca="1">SUM((INDIRECT(AL$2&amp;(ROW())):INDIRECT(AL$3&amp;(ROW()))))</f>
        <v>281</v>
      </c>
      <c r="AM356" s="1221">
        <f ca="1">SUM(INDIRECT(AM$1&amp;AM$2&amp;$C356):INDIRECT(AM$1&amp;AM$3&amp;$C356))</f>
        <v>1200</v>
      </c>
      <c r="AN356" s="3119">
        <f t="shared" ca="1" si="540"/>
        <v>-919</v>
      </c>
      <c r="AO356" s="2768">
        <f t="shared" ca="1" si="541"/>
        <v>0.23416666666666666</v>
      </c>
      <c r="AP356" s="1221">
        <f ca="1">SUM(INDIRECT(AP$1&amp;AP$2&amp;$A356):INDIRECT(AP$1&amp;AP$3&amp;$A356))+SUM(INDIRECT(AP$1&amp;AP$2&amp;$B356):INDIRECT(AP$1&amp;AP$3&amp;$B356))</f>
        <v>0</v>
      </c>
      <c r="AQ356" s="3119">
        <f t="shared" ca="1" si="542"/>
        <v>281</v>
      </c>
      <c r="AR356" s="2768">
        <f t="shared" ca="1" si="543"/>
        <v>0</v>
      </c>
      <c r="AT356" s="1214">
        <f ca="1">SUM((INDIRECT(AT$2&amp;(ROW())):INDIRECT(AT$3&amp;(ROW()))))</f>
        <v>1168</v>
      </c>
      <c r="AU356" s="1221">
        <f ca="1">SUM(INDIRECT(AU$1&amp;AU$2&amp;$C356):INDIRECT(AU$1&amp;AU$3&amp;$C356))</f>
        <v>3600</v>
      </c>
      <c r="AV356" s="3119">
        <f t="shared" ca="1" si="544"/>
        <v>-2432</v>
      </c>
      <c r="AW356" s="2768">
        <f t="shared" ca="1" si="545"/>
        <v>0.32444444444444442</v>
      </c>
      <c r="AX356" s="1221">
        <f ca="1">SUM(INDIRECT(AX$1&amp;AX$2&amp;$A356):INDIRECT(AX$1&amp;AX$3&amp;$A356))+SUM(INDIRECT(AX$1&amp;AX$2&amp;$B356):INDIRECT(AX$1&amp;AX$3&amp;$B356))</f>
        <v>0</v>
      </c>
      <c r="AY356" s="3119">
        <f t="shared" ca="1" si="546"/>
        <v>1168</v>
      </c>
      <c r="AZ356" s="2768">
        <f t="shared" ca="1" si="547"/>
        <v>0</v>
      </c>
      <c r="BB356" s="1214">
        <f ca="1">SUM((INDIRECT(BB$2&amp;(ROW())):INDIRECT(BB$3&amp;(ROW()))))</f>
        <v>6939</v>
      </c>
      <c r="BC356" s="1221">
        <f ca="1">SUM(INDIRECT(BC$1&amp;BC$2&amp;$C356):INDIRECT(BC$1&amp;BC$3&amp;$C356))</f>
        <v>5750</v>
      </c>
      <c r="BD356" s="3119">
        <f t="shared" ca="1" si="548"/>
        <v>1189</v>
      </c>
      <c r="BE356" s="2768">
        <f t="shared" ca="1" si="549"/>
        <v>1.2067826086956521</v>
      </c>
      <c r="BF356" s="1221">
        <f ca="1">SUM(INDIRECT(BF$1&amp;BF$2&amp;$A356):INDIRECT(BF$1&amp;BF$3&amp;$A356))+SUM(INDIRECT(BF$1&amp;BF$2&amp;$B356):INDIRECT(BF$1&amp;BF$3&amp;$B356))</f>
        <v>0</v>
      </c>
      <c r="BG356" s="3119">
        <f t="shared" ca="1" si="550"/>
        <v>6939</v>
      </c>
      <c r="BH356" s="2768">
        <f t="shared" ca="1" si="551"/>
        <v>0</v>
      </c>
    </row>
    <row r="357" spans="1:60" ht="14.5">
      <c r="A357" s="616">
        <f>A356+1</f>
        <v>330</v>
      </c>
      <c r="B357" s="616">
        <v>1</v>
      </c>
      <c r="C357" s="616">
        <f t="shared" si="518"/>
        <v>354</v>
      </c>
      <c r="D357" s="709" t="s">
        <v>1308</v>
      </c>
      <c r="E357" s="2568" t="s">
        <v>1370</v>
      </c>
      <c r="F357" s="2569"/>
      <c r="G357" s="4"/>
      <c r="H357" s="4"/>
      <c r="I357" s="498"/>
      <c r="J357" s="47"/>
      <c r="K357" s="47" t="s">
        <v>1431</v>
      </c>
      <c r="L357" s="285"/>
      <c r="M357" s="285"/>
      <c r="N357" s="47"/>
      <c r="O357" s="47"/>
      <c r="P357" s="47"/>
      <c r="Q357" s="1789" t="str">
        <f>CHOOSE(2, "6722000003276", "PL (5) Net Sales ITS BPS")</f>
        <v>PL (5) Net Sales ITS BPS</v>
      </c>
      <c r="R357" s="1257">
        <f t="shared" ref="R357:AC357" si="561">R771+R790</f>
        <v>0</v>
      </c>
      <c r="S357" s="1230">
        <f t="shared" si="561"/>
        <v>0</v>
      </c>
      <c r="T357" s="1230">
        <f t="shared" si="561"/>
        <v>0</v>
      </c>
      <c r="U357" s="1230">
        <f t="shared" si="561"/>
        <v>0</v>
      </c>
      <c r="V357" s="1230">
        <f t="shared" si="561"/>
        <v>0</v>
      </c>
      <c r="W357" s="1230">
        <f t="shared" si="561"/>
        <v>0</v>
      </c>
      <c r="X357" s="1230">
        <f t="shared" si="561"/>
        <v>0</v>
      </c>
      <c r="Y357" s="1230">
        <f t="shared" si="561"/>
        <v>0</v>
      </c>
      <c r="Z357" s="1230">
        <f t="shared" si="561"/>
        <v>0</v>
      </c>
      <c r="AA357" s="1230">
        <f t="shared" si="561"/>
        <v>0</v>
      </c>
      <c r="AB357" s="1230">
        <f t="shared" si="561"/>
        <v>0</v>
      </c>
      <c r="AC357" s="1230">
        <f t="shared" si="561"/>
        <v>0</v>
      </c>
      <c r="AD357" s="1230">
        <f>SUM(R357,S357,T357)</f>
        <v>0</v>
      </c>
      <c r="AE357" s="1230">
        <f t="shared" si="554"/>
        <v>0</v>
      </c>
      <c r="AF357" s="1230">
        <f t="shared" si="555"/>
        <v>0</v>
      </c>
      <c r="AG357" s="1230">
        <f t="shared" si="556"/>
        <v>0</v>
      </c>
      <c r="AH357" s="1230">
        <f t="shared" si="557"/>
        <v>0</v>
      </c>
      <c r="AI357" s="1230">
        <f t="shared" si="558"/>
        <v>0</v>
      </c>
      <c r="AJ357" s="1230">
        <f t="shared" si="559"/>
        <v>0</v>
      </c>
      <c r="AL357" s="1214">
        <f ca="1">SUM((INDIRECT(AL$2&amp;(ROW())):INDIRECT(AL$3&amp;(ROW()))))</f>
        <v>0</v>
      </c>
      <c r="AM357" s="1221">
        <f ca="1">SUM(INDIRECT(AM$1&amp;AM$2&amp;$C357):INDIRECT(AM$1&amp;AM$3&amp;$C357))</f>
        <v>1200</v>
      </c>
      <c r="AN357" s="3119">
        <f t="shared" ca="1" si="540"/>
        <v>-1200</v>
      </c>
      <c r="AO357" s="2768">
        <f t="shared" ca="1" si="541"/>
        <v>0</v>
      </c>
      <c r="AP357" s="1221">
        <f ca="1">SUM(INDIRECT(AP$1&amp;AP$2&amp;$A357):INDIRECT(AP$1&amp;AP$3&amp;$A357))+SUM(INDIRECT(AP$1&amp;AP$2&amp;$B357):INDIRECT(AP$1&amp;AP$3&amp;$B357))</f>
        <v>0</v>
      </c>
      <c r="AQ357" s="3119">
        <f t="shared" ca="1" si="542"/>
        <v>0</v>
      </c>
      <c r="AR357" s="2768">
        <f t="shared" ca="1" si="543"/>
        <v>0</v>
      </c>
      <c r="AT357" s="1214">
        <f ca="1">SUM((INDIRECT(AT$2&amp;(ROW())):INDIRECT(AT$3&amp;(ROW()))))</f>
        <v>0</v>
      </c>
      <c r="AU357" s="1221">
        <f ca="1">SUM(INDIRECT(AU$1&amp;AU$2&amp;$C357):INDIRECT(AU$1&amp;AU$3&amp;$C357))</f>
        <v>3600</v>
      </c>
      <c r="AV357" s="3119">
        <f t="shared" ca="1" si="544"/>
        <v>-3600</v>
      </c>
      <c r="AW357" s="2768">
        <f t="shared" ca="1" si="545"/>
        <v>0</v>
      </c>
      <c r="AX357" s="1221">
        <f ca="1">SUM(INDIRECT(AX$1&amp;AX$2&amp;$A357):INDIRECT(AX$1&amp;AX$3&amp;$A357))+SUM(INDIRECT(AX$1&amp;AX$2&amp;$B357):INDIRECT(AX$1&amp;AX$3&amp;$B357))</f>
        <v>0</v>
      </c>
      <c r="AY357" s="3119">
        <f t="shared" ca="1" si="546"/>
        <v>0</v>
      </c>
      <c r="AZ357" s="2768">
        <f t="shared" ca="1" si="547"/>
        <v>0</v>
      </c>
      <c r="BB357" s="1214">
        <f ca="1">SUM((INDIRECT(BB$2&amp;(ROW())):INDIRECT(BB$3&amp;(ROW()))))</f>
        <v>0</v>
      </c>
      <c r="BC357" s="1221">
        <f ca="1">SUM(INDIRECT(BC$1&amp;BC$2&amp;$C357):INDIRECT(BC$1&amp;BC$3&amp;$C357))</f>
        <v>5750</v>
      </c>
      <c r="BD357" s="3119">
        <f t="shared" ca="1" si="548"/>
        <v>-5750</v>
      </c>
      <c r="BE357" s="2768">
        <f t="shared" ca="1" si="549"/>
        <v>0</v>
      </c>
      <c r="BF357" s="1221">
        <f ca="1">SUM(INDIRECT(BF$1&amp;BF$2&amp;$A357):INDIRECT(BF$1&amp;BF$3&amp;$A357))+SUM(INDIRECT(BF$1&amp;BF$2&amp;$B357):INDIRECT(BF$1&amp;BF$3&amp;$B357))</f>
        <v>0</v>
      </c>
      <c r="BG357" s="3119">
        <f t="shared" ca="1" si="550"/>
        <v>0</v>
      </c>
      <c r="BH357" s="2768">
        <f t="shared" ca="1" si="551"/>
        <v>0</v>
      </c>
    </row>
    <row r="358" spans="1:60" ht="14.5">
      <c r="C358" s="616">
        <f t="shared" si="518"/>
        <v>355</v>
      </c>
      <c r="D358" s="709" t="s">
        <v>1308</v>
      </c>
      <c r="E358" s="2578" t="s">
        <v>1369</v>
      </c>
      <c r="F358" s="2579"/>
      <c r="G358" s="4"/>
      <c r="H358" s="4"/>
      <c r="I358" s="498"/>
      <c r="J358" s="301" t="s">
        <v>1432</v>
      </c>
      <c r="K358" s="301"/>
      <c r="L358" s="66"/>
      <c r="M358" s="66"/>
      <c r="N358" s="301"/>
      <c r="O358" s="301"/>
      <c r="P358" s="1072"/>
      <c r="Q358" s="1802" t="str">
        <f>CHOOSE(2, "6722000003277", "PL (5) Net Sales ICW")</f>
        <v>PL (5) Net Sales ICW</v>
      </c>
      <c r="R358" s="1454">
        <f t="shared" ref="R358" si="562">SUM(R359:R361)</f>
        <v>0</v>
      </c>
      <c r="S358" s="1455">
        <f t="shared" ref="S358:AJ358" si="563">SUM(S359:S361)</f>
        <v>0</v>
      </c>
      <c r="T358" s="1455">
        <f t="shared" si="563"/>
        <v>0</v>
      </c>
      <c r="U358" s="1455">
        <f t="shared" si="563"/>
        <v>0</v>
      </c>
      <c r="V358" s="1455">
        <f t="shared" si="563"/>
        <v>0</v>
      </c>
      <c r="W358" s="1455">
        <f t="shared" si="563"/>
        <v>0</v>
      </c>
      <c r="X358" s="1455">
        <f t="shared" si="563"/>
        <v>0</v>
      </c>
      <c r="Y358" s="1455">
        <f t="shared" si="563"/>
        <v>0</v>
      </c>
      <c r="Z358" s="1455">
        <f t="shared" si="563"/>
        <v>0</v>
      </c>
      <c r="AA358" s="1455">
        <f t="shared" si="563"/>
        <v>0</v>
      </c>
      <c r="AB358" s="1455">
        <f t="shared" si="563"/>
        <v>0</v>
      </c>
      <c r="AC358" s="1455">
        <f t="shared" si="563"/>
        <v>0</v>
      </c>
      <c r="AD358" s="1455">
        <f t="shared" si="563"/>
        <v>0</v>
      </c>
      <c r="AE358" s="1455">
        <f t="shared" si="563"/>
        <v>0</v>
      </c>
      <c r="AF358" s="1455">
        <f t="shared" si="563"/>
        <v>0</v>
      </c>
      <c r="AG358" s="1455">
        <f t="shared" si="563"/>
        <v>0</v>
      </c>
      <c r="AH358" s="1455">
        <f t="shared" si="563"/>
        <v>0</v>
      </c>
      <c r="AI358" s="1455">
        <f t="shared" si="563"/>
        <v>0</v>
      </c>
      <c r="AJ358" s="1455">
        <f t="shared" si="563"/>
        <v>0</v>
      </c>
      <c r="AL358" s="3172">
        <f ca="1">SUM(AL359:AL361)</f>
        <v>0</v>
      </c>
      <c r="AM358" s="3173">
        <f ca="1">SUM(AM359:AM361)</f>
        <v>2400</v>
      </c>
      <c r="AN358" s="3174">
        <f t="shared" ca="1" si="540"/>
        <v>-2400</v>
      </c>
      <c r="AO358" s="2825">
        <f t="shared" ca="1" si="541"/>
        <v>0</v>
      </c>
      <c r="AP358" s="3173">
        <f ca="1">SUM(AP359:AP361)</f>
        <v>0</v>
      </c>
      <c r="AQ358" s="3174">
        <f t="shared" ca="1" si="542"/>
        <v>0</v>
      </c>
      <c r="AR358" s="2825">
        <f t="shared" ca="1" si="543"/>
        <v>0</v>
      </c>
      <c r="AT358" s="3172">
        <f ca="1">SUM(AT359:AT361)</f>
        <v>0</v>
      </c>
      <c r="AU358" s="3173">
        <f ca="1">SUM(AU359:AU361)</f>
        <v>6200</v>
      </c>
      <c r="AV358" s="3174">
        <f t="shared" ca="1" si="544"/>
        <v>-6200</v>
      </c>
      <c r="AW358" s="2825">
        <f t="shared" ca="1" si="545"/>
        <v>0</v>
      </c>
      <c r="AX358" s="3173">
        <f ca="1">SUM(AX359:AX361)</f>
        <v>0</v>
      </c>
      <c r="AY358" s="3174">
        <f t="shared" ca="1" si="546"/>
        <v>0</v>
      </c>
      <c r="AZ358" s="2825">
        <f t="shared" ca="1" si="547"/>
        <v>0</v>
      </c>
      <c r="BB358" s="3172">
        <f ca="1">SUM(BB359:BB361)</f>
        <v>0</v>
      </c>
      <c r="BC358" s="3173">
        <f ca="1">SUM(BC359:BC361)</f>
        <v>9500</v>
      </c>
      <c r="BD358" s="3174">
        <f t="shared" ca="1" si="548"/>
        <v>-9500</v>
      </c>
      <c r="BE358" s="2825">
        <f t="shared" ca="1" si="549"/>
        <v>0</v>
      </c>
      <c r="BF358" s="3173">
        <f ca="1">SUM(BF359:BF361)</f>
        <v>0</v>
      </c>
      <c r="BG358" s="3174">
        <f t="shared" ca="1" si="550"/>
        <v>0</v>
      </c>
      <c r="BH358" s="2825">
        <f t="shared" ca="1" si="551"/>
        <v>0</v>
      </c>
    </row>
    <row r="359" spans="1:60" ht="14.5">
      <c r="A359" s="616">
        <f>A355+1</f>
        <v>328</v>
      </c>
      <c r="B359" s="616">
        <v>1</v>
      </c>
      <c r="C359" s="616">
        <f t="shared" si="518"/>
        <v>356</v>
      </c>
      <c r="D359" s="709" t="s">
        <v>1308</v>
      </c>
      <c r="E359" s="2568" t="s">
        <v>1370</v>
      </c>
      <c r="F359" s="2569"/>
      <c r="G359" s="737"/>
      <c r="H359" s="4"/>
      <c r="I359" s="27"/>
      <c r="J359" s="3"/>
      <c r="K359" s="3" t="s">
        <v>1433</v>
      </c>
      <c r="L359" s="8"/>
      <c r="N359" s="3"/>
      <c r="O359" s="3"/>
      <c r="P359" s="725"/>
      <c r="Q359" s="1789" t="str">
        <f>CHOOSE(2, "6722000003278", "PL (5) Net Sales ICW ICW-IT")</f>
        <v>PL (5) Net Sales ICW ICW-IT</v>
      </c>
      <c r="R359" s="1214">
        <f t="shared" ref="R359:AC359" si="564">R761+R788</f>
        <v>0</v>
      </c>
      <c r="S359" s="1221">
        <f t="shared" si="564"/>
        <v>0</v>
      </c>
      <c r="T359" s="1221">
        <f t="shared" si="564"/>
        <v>0</v>
      </c>
      <c r="U359" s="1221">
        <f t="shared" si="564"/>
        <v>0</v>
      </c>
      <c r="V359" s="1221">
        <f t="shared" si="564"/>
        <v>0</v>
      </c>
      <c r="W359" s="1221">
        <f t="shared" si="564"/>
        <v>0</v>
      </c>
      <c r="X359" s="1221">
        <f t="shared" si="564"/>
        <v>0</v>
      </c>
      <c r="Y359" s="1221">
        <f t="shared" si="564"/>
        <v>0</v>
      </c>
      <c r="Z359" s="1221">
        <f t="shared" si="564"/>
        <v>0</v>
      </c>
      <c r="AA359" s="1221">
        <f t="shared" si="564"/>
        <v>0</v>
      </c>
      <c r="AB359" s="1221">
        <f t="shared" si="564"/>
        <v>0</v>
      </c>
      <c r="AC359" s="1221">
        <f t="shared" si="564"/>
        <v>0</v>
      </c>
      <c r="AD359" s="1221">
        <f>SUM(R359,S359,T359)</f>
        <v>0</v>
      </c>
      <c r="AE359" s="1221">
        <f>SUM(U359,V359,W359)</f>
        <v>0</v>
      </c>
      <c r="AF359" s="1221">
        <f>SUM(X359,Y359,Z359)</f>
        <v>0</v>
      </c>
      <c r="AG359" s="1221">
        <f>SUM(AA359,AB359,AC359)</f>
        <v>0</v>
      </c>
      <c r="AH359" s="1221">
        <f>AD359+AE359</f>
        <v>0</v>
      </c>
      <c r="AI359" s="1221">
        <f>AG359+AF359</f>
        <v>0</v>
      </c>
      <c r="AJ359" s="1221">
        <f>AH359+AI359</f>
        <v>0</v>
      </c>
      <c r="AL359" s="1214">
        <f ca="1">SUM((INDIRECT(AL$2&amp;(ROW())):INDIRECT(AL$3&amp;(ROW()))))</f>
        <v>0</v>
      </c>
      <c r="AM359" s="1221">
        <f ca="1">SUM(INDIRECT(AM$1&amp;AM$2&amp;$C359):INDIRECT(AM$1&amp;AM$3&amp;$C359))</f>
        <v>1200</v>
      </c>
      <c r="AN359" s="3119">
        <f t="shared" ca="1" si="540"/>
        <v>-1200</v>
      </c>
      <c r="AO359" s="2768">
        <f t="shared" ca="1" si="541"/>
        <v>0</v>
      </c>
      <c r="AP359" s="1221">
        <f ca="1">SUM(INDIRECT(AP$1&amp;AP$2&amp;$A359):INDIRECT(AP$1&amp;AP$3&amp;$A359))+SUM(INDIRECT(AP$1&amp;AP$2&amp;$B359):INDIRECT(AP$1&amp;AP$3&amp;$B359))</f>
        <v>0</v>
      </c>
      <c r="AQ359" s="3119">
        <f t="shared" ca="1" si="542"/>
        <v>0</v>
      </c>
      <c r="AR359" s="2768">
        <f t="shared" ca="1" si="543"/>
        <v>0</v>
      </c>
      <c r="AT359" s="1214">
        <f ca="1">SUM((INDIRECT(AT$2&amp;(ROW())):INDIRECT(AT$3&amp;(ROW()))))</f>
        <v>0</v>
      </c>
      <c r="AU359" s="1221">
        <f ca="1">SUM(INDIRECT(AU$1&amp;AU$2&amp;$C359):INDIRECT(AU$1&amp;AU$3&amp;$C359))</f>
        <v>3100</v>
      </c>
      <c r="AV359" s="3119">
        <f t="shared" ca="1" si="544"/>
        <v>-3100</v>
      </c>
      <c r="AW359" s="2768">
        <f t="shared" ca="1" si="545"/>
        <v>0</v>
      </c>
      <c r="AX359" s="1221">
        <f ca="1">SUM(INDIRECT(AX$1&amp;AX$2&amp;$A359):INDIRECT(AX$1&amp;AX$3&amp;$A359))+SUM(INDIRECT(AX$1&amp;AX$2&amp;$B359):INDIRECT(AX$1&amp;AX$3&amp;$B359))</f>
        <v>0</v>
      </c>
      <c r="AY359" s="3119">
        <f t="shared" ca="1" si="546"/>
        <v>0</v>
      </c>
      <c r="AZ359" s="2768">
        <f t="shared" ca="1" si="547"/>
        <v>0</v>
      </c>
      <c r="BB359" s="1214">
        <f ca="1">SUM((INDIRECT(BB$2&amp;(ROW())):INDIRECT(BB$3&amp;(ROW()))))</f>
        <v>0</v>
      </c>
      <c r="BC359" s="1221">
        <f ca="1">SUM(INDIRECT(BC$1&amp;BC$2&amp;$C359):INDIRECT(BC$1&amp;BC$3&amp;$C359))</f>
        <v>4750</v>
      </c>
      <c r="BD359" s="3119">
        <f t="shared" ca="1" si="548"/>
        <v>-4750</v>
      </c>
      <c r="BE359" s="2768">
        <f t="shared" ca="1" si="549"/>
        <v>0</v>
      </c>
      <c r="BF359" s="1221">
        <f ca="1">SUM(INDIRECT(BF$1&amp;BF$2&amp;$A359):INDIRECT(BF$1&amp;BF$3&amp;$A359))+SUM(INDIRECT(BF$1&amp;BF$2&amp;$B359):INDIRECT(BF$1&amp;BF$3&amp;$B359))</f>
        <v>0</v>
      </c>
      <c r="BG359" s="3119">
        <f t="shared" ca="1" si="550"/>
        <v>0</v>
      </c>
      <c r="BH359" s="2768">
        <f t="shared" ca="1" si="551"/>
        <v>0</v>
      </c>
    </row>
    <row r="360" spans="1:60" ht="14.5">
      <c r="A360" s="616">
        <v>1</v>
      </c>
      <c r="B360" s="616">
        <v>1</v>
      </c>
      <c r="C360" s="616">
        <f t="shared" si="518"/>
        <v>357</v>
      </c>
      <c r="D360" s="709" t="s">
        <v>1308</v>
      </c>
      <c r="E360" s="2568" t="s">
        <v>1370</v>
      </c>
      <c r="F360" s="2569"/>
      <c r="G360" s="4"/>
      <c r="H360" s="4"/>
      <c r="I360" s="27"/>
      <c r="J360" s="3"/>
      <c r="K360" s="3" t="s">
        <v>1434</v>
      </c>
      <c r="L360" s="8"/>
      <c r="N360" s="3"/>
      <c r="O360" s="3"/>
      <c r="P360" s="3"/>
      <c r="Q360" s="1789" t="str">
        <f>CHOOSE(2, "6722000003279", "PL (5) Net Sales ICW ICW-WK")</f>
        <v>PL (5) Net Sales ICW ICW-WK</v>
      </c>
      <c r="R360" s="1214">
        <f t="shared" ref="R360:AC360" si="565">R776+R791</f>
        <v>0</v>
      </c>
      <c r="S360" s="1221">
        <f t="shared" si="565"/>
        <v>0</v>
      </c>
      <c r="T360" s="1221">
        <f t="shared" si="565"/>
        <v>0</v>
      </c>
      <c r="U360" s="1221">
        <f t="shared" si="565"/>
        <v>0</v>
      </c>
      <c r="V360" s="1221">
        <f t="shared" si="565"/>
        <v>0</v>
      </c>
      <c r="W360" s="1221">
        <f t="shared" si="565"/>
        <v>0</v>
      </c>
      <c r="X360" s="1221">
        <f t="shared" si="565"/>
        <v>0</v>
      </c>
      <c r="Y360" s="1221">
        <f t="shared" si="565"/>
        <v>0</v>
      </c>
      <c r="Z360" s="1221">
        <f t="shared" si="565"/>
        <v>0</v>
      </c>
      <c r="AA360" s="1221">
        <f t="shared" si="565"/>
        <v>0</v>
      </c>
      <c r="AB360" s="1221">
        <f t="shared" si="565"/>
        <v>0</v>
      </c>
      <c r="AC360" s="1221">
        <f t="shared" si="565"/>
        <v>0</v>
      </c>
      <c r="AD360" s="1221">
        <f>SUM(R360,S360,T360)</f>
        <v>0</v>
      </c>
      <c r="AE360" s="1221">
        <f t="shared" si="554"/>
        <v>0</v>
      </c>
      <c r="AF360" s="1221">
        <f t="shared" si="555"/>
        <v>0</v>
      </c>
      <c r="AG360" s="1221">
        <f t="shared" si="556"/>
        <v>0</v>
      </c>
      <c r="AH360" s="1221">
        <f t="shared" si="557"/>
        <v>0</v>
      </c>
      <c r="AI360" s="1221">
        <f t="shared" si="558"/>
        <v>0</v>
      </c>
      <c r="AJ360" s="1221">
        <f t="shared" si="559"/>
        <v>0</v>
      </c>
      <c r="AL360" s="1214">
        <f ca="1">SUM((INDIRECT(AL$2&amp;(ROW())):INDIRECT(AL$3&amp;(ROW()))))</f>
        <v>0</v>
      </c>
      <c r="AM360" s="1221">
        <f ca="1">SUM(INDIRECT(AM$1&amp;AM$2&amp;$C360):INDIRECT(AM$1&amp;AM$3&amp;$C360))</f>
        <v>1200</v>
      </c>
      <c r="AN360" s="3119">
        <f t="shared" ca="1" si="540"/>
        <v>-1200</v>
      </c>
      <c r="AO360" s="2768">
        <f t="shared" ca="1" si="541"/>
        <v>0</v>
      </c>
      <c r="AP360" s="1221">
        <f ca="1">SUM(INDIRECT(AP$1&amp;AP$2&amp;$A360):INDIRECT(AP$1&amp;AP$3&amp;$A360))+SUM(INDIRECT(AP$1&amp;AP$2&amp;$B360):INDIRECT(AP$1&amp;AP$3&amp;$B360))</f>
        <v>0</v>
      </c>
      <c r="AQ360" s="3119">
        <f t="shared" ca="1" si="542"/>
        <v>0</v>
      </c>
      <c r="AR360" s="2768">
        <f t="shared" ca="1" si="543"/>
        <v>0</v>
      </c>
      <c r="AT360" s="1214">
        <f ca="1">SUM((INDIRECT(AT$2&amp;(ROW())):INDIRECT(AT$3&amp;(ROW()))))</f>
        <v>0</v>
      </c>
      <c r="AU360" s="1221">
        <f ca="1">SUM(INDIRECT(AU$1&amp;AU$2&amp;$C360):INDIRECT(AU$1&amp;AU$3&amp;$C360))</f>
        <v>3100</v>
      </c>
      <c r="AV360" s="3119">
        <f t="shared" ca="1" si="544"/>
        <v>-3100</v>
      </c>
      <c r="AW360" s="2768">
        <f t="shared" ca="1" si="545"/>
        <v>0</v>
      </c>
      <c r="AX360" s="1221">
        <f ca="1">SUM(INDIRECT(AX$1&amp;AX$2&amp;$A360):INDIRECT(AX$1&amp;AX$3&amp;$A360))+SUM(INDIRECT(AX$1&amp;AX$2&amp;$B360):INDIRECT(AX$1&amp;AX$3&amp;$B360))</f>
        <v>0</v>
      </c>
      <c r="AY360" s="3119">
        <f t="shared" ca="1" si="546"/>
        <v>0</v>
      </c>
      <c r="AZ360" s="2768">
        <f t="shared" ca="1" si="547"/>
        <v>0</v>
      </c>
      <c r="BB360" s="1214">
        <f ca="1">SUM((INDIRECT(BB$2&amp;(ROW())):INDIRECT(BB$3&amp;(ROW()))))</f>
        <v>0</v>
      </c>
      <c r="BC360" s="1221">
        <f ca="1">SUM(INDIRECT(BC$1&amp;BC$2&amp;$C360):INDIRECT(BC$1&amp;BC$3&amp;$C360))</f>
        <v>4750</v>
      </c>
      <c r="BD360" s="3119">
        <f t="shared" ca="1" si="548"/>
        <v>-4750</v>
      </c>
      <c r="BE360" s="2768">
        <f t="shared" ca="1" si="549"/>
        <v>0</v>
      </c>
      <c r="BF360" s="1221">
        <f ca="1">SUM(INDIRECT(BF$1&amp;BF$2&amp;$A360):INDIRECT(BF$1&amp;BF$3&amp;$A360))+SUM(INDIRECT(BF$1&amp;BF$2&amp;$B360):INDIRECT(BF$1&amp;BF$3&amp;$B360))</f>
        <v>0</v>
      </c>
      <c r="BG360" s="3119">
        <f t="shared" ca="1" si="550"/>
        <v>0</v>
      </c>
      <c r="BH360" s="2768">
        <f t="shared" ca="1" si="551"/>
        <v>0</v>
      </c>
    </row>
    <row r="361" spans="1:60" ht="14.5">
      <c r="A361" s="616">
        <v>1</v>
      </c>
      <c r="B361" s="616">
        <v>1</v>
      </c>
      <c r="C361" s="616">
        <f t="shared" si="518"/>
        <v>358</v>
      </c>
      <c r="D361" s="709" t="s">
        <v>1308</v>
      </c>
      <c r="E361" s="2568" t="s">
        <v>1370</v>
      </c>
      <c r="F361" s="2569"/>
      <c r="G361" s="4"/>
      <c r="H361" s="4"/>
      <c r="I361" s="27"/>
      <c r="J361" s="3"/>
      <c r="K361" s="3" t="s">
        <v>1435</v>
      </c>
      <c r="L361" s="8"/>
      <c r="N361" s="3"/>
      <c r="O361" s="3"/>
      <c r="P361" s="3"/>
      <c r="Q361" s="1789" t="str">
        <f>CHOOSE(2, "6722000003280", "PL (5) Net Sales ICW ICW-P")</f>
        <v>PL (5) Net Sales ICW ICW-P</v>
      </c>
      <c r="R361" s="1214">
        <f t="shared" ref="R361:AC361" si="566">R781+R792</f>
        <v>0</v>
      </c>
      <c r="S361" s="1221">
        <f t="shared" si="566"/>
        <v>0</v>
      </c>
      <c r="T361" s="1221">
        <f t="shared" si="566"/>
        <v>0</v>
      </c>
      <c r="U361" s="1221">
        <f t="shared" si="566"/>
        <v>0</v>
      </c>
      <c r="V361" s="1221">
        <f t="shared" si="566"/>
        <v>0</v>
      </c>
      <c r="W361" s="1221">
        <f t="shared" si="566"/>
        <v>0</v>
      </c>
      <c r="X361" s="1221">
        <f t="shared" si="566"/>
        <v>0</v>
      </c>
      <c r="Y361" s="1221">
        <f t="shared" si="566"/>
        <v>0</v>
      </c>
      <c r="Z361" s="1221">
        <f t="shared" si="566"/>
        <v>0</v>
      </c>
      <c r="AA361" s="1221">
        <f t="shared" si="566"/>
        <v>0</v>
      </c>
      <c r="AB361" s="1221">
        <f t="shared" si="566"/>
        <v>0</v>
      </c>
      <c r="AC361" s="1221">
        <f t="shared" si="566"/>
        <v>0</v>
      </c>
      <c r="AD361" s="1221">
        <f>SUM(R361,S361,T361)</f>
        <v>0</v>
      </c>
      <c r="AE361" s="1221">
        <f t="shared" si="554"/>
        <v>0</v>
      </c>
      <c r="AF361" s="1221">
        <f t="shared" si="555"/>
        <v>0</v>
      </c>
      <c r="AG361" s="1221">
        <f t="shared" si="556"/>
        <v>0</v>
      </c>
      <c r="AH361" s="1221">
        <f t="shared" si="557"/>
        <v>0</v>
      </c>
      <c r="AI361" s="1221">
        <f t="shared" si="558"/>
        <v>0</v>
      </c>
      <c r="AJ361" s="1221">
        <f t="shared" si="559"/>
        <v>0</v>
      </c>
      <c r="AL361" s="1214">
        <f ca="1">SUM((INDIRECT(AL$2&amp;(ROW())):INDIRECT(AL$3&amp;(ROW()))))</f>
        <v>0</v>
      </c>
      <c r="AM361" s="1221">
        <f ca="1">SUM(INDIRECT(AM$1&amp;AM$2&amp;$C361):INDIRECT(AM$1&amp;AM$3&amp;$C361))</f>
        <v>0</v>
      </c>
      <c r="AN361" s="3119">
        <f t="shared" ca="1" si="540"/>
        <v>0</v>
      </c>
      <c r="AO361" s="2768">
        <f t="shared" ca="1" si="541"/>
        <v>0</v>
      </c>
      <c r="AP361" s="1221">
        <f ca="1">SUM(INDIRECT(AP$1&amp;AP$2&amp;$A361):INDIRECT(AP$1&amp;AP$3&amp;$A361))+SUM(INDIRECT(AP$1&amp;AP$2&amp;$B361):INDIRECT(AP$1&amp;AP$3&amp;$B361))</f>
        <v>0</v>
      </c>
      <c r="AQ361" s="3119">
        <f t="shared" ca="1" si="542"/>
        <v>0</v>
      </c>
      <c r="AR361" s="2768">
        <f t="shared" ca="1" si="543"/>
        <v>0</v>
      </c>
      <c r="AT361" s="1214">
        <f ca="1">SUM((INDIRECT(AT$2&amp;(ROW())):INDIRECT(AT$3&amp;(ROW()))))</f>
        <v>0</v>
      </c>
      <c r="AU361" s="1221">
        <f ca="1">SUM(INDIRECT(AU$1&amp;AU$2&amp;$C361):INDIRECT(AU$1&amp;AU$3&amp;$C361))</f>
        <v>0</v>
      </c>
      <c r="AV361" s="3119">
        <f t="shared" ca="1" si="544"/>
        <v>0</v>
      </c>
      <c r="AW361" s="2768">
        <f t="shared" ca="1" si="545"/>
        <v>0</v>
      </c>
      <c r="AX361" s="1221">
        <f ca="1">SUM(INDIRECT(AX$1&amp;AX$2&amp;$A361):INDIRECT(AX$1&amp;AX$3&amp;$A361))+SUM(INDIRECT(AX$1&amp;AX$2&amp;$B361):INDIRECT(AX$1&amp;AX$3&amp;$B361))</f>
        <v>0</v>
      </c>
      <c r="AY361" s="3119">
        <f t="shared" ca="1" si="546"/>
        <v>0</v>
      </c>
      <c r="AZ361" s="2768">
        <f t="shared" ca="1" si="547"/>
        <v>0</v>
      </c>
      <c r="BB361" s="1214">
        <f ca="1">SUM((INDIRECT(BB$2&amp;(ROW())):INDIRECT(BB$3&amp;(ROW()))))</f>
        <v>0</v>
      </c>
      <c r="BC361" s="1221">
        <f ca="1">SUM(INDIRECT(BC$1&amp;BC$2&amp;$C361):INDIRECT(BC$1&amp;BC$3&amp;$C361))</f>
        <v>0</v>
      </c>
      <c r="BD361" s="3119">
        <f t="shared" ca="1" si="548"/>
        <v>0</v>
      </c>
      <c r="BE361" s="2768">
        <f t="shared" ca="1" si="549"/>
        <v>0</v>
      </c>
      <c r="BF361" s="1221">
        <f ca="1">SUM(INDIRECT(BF$1&amp;BF$2&amp;$A361):INDIRECT(BF$1&amp;BF$3&amp;$A361))+SUM(INDIRECT(BF$1&amp;BF$2&amp;$B361):INDIRECT(BF$1&amp;BF$3&amp;$B361))</f>
        <v>0</v>
      </c>
      <c r="BG361" s="3119">
        <f t="shared" ca="1" si="550"/>
        <v>0</v>
      </c>
      <c r="BH361" s="2768">
        <f t="shared" ca="1" si="551"/>
        <v>0</v>
      </c>
    </row>
    <row r="362" spans="1:60" ht="14.5">
      <c r="A362" s="616">
        <v>332</v>
      </c>
      <c r="B362" s="616">
        <v>1</v>
      </c>
      <c r="C362" s="616">
        <f t="shared" si="518"/>
        <v>359</v>
      </c>
      <c r="D362" s="709" t="s">
        <v>1308</v>
      </c>
      <c r="E362" s="2547">
        <v>1</v>
      </c>
      <c r="F362" s="4"/>
      <c r="G362" s="4"/>
      <c r="H362" s="4"/>
      <c r="I362" s="3167" t="s">
        <v>48</v>
      </c>
      <c r="J362" s="2056"/>
      <c r="K362" s="2056"/>
      <c r="L362" s="471"/>
      <c r="M362" s="471"/>
      <c r="N362" s="471"/>
      <c r="O362" s="2057" t="s">
        <v>304</v>
      </c>
      <c r="P362" s="471"/>
      <c r="Q362" s="1801" t="str">
        <f>CHOOSE(2, "6722000003281", "PL (5) BT Cons. Sales")</f>
        <v>PL (5) BT Cons. Sales</v>
      </c>
      <c r="R362" s="1260">
        <f>SUM(R363,R367)</f>
        <v>360</v>
      </c>
      <c r="S362" s="3168">
        <f t="shared" ref="S362:AJ362" si="567">SUM(S363,S367)</f>
        <v>263</v>
      </c>
      <c r="T362" s="3168">
        <f t="shared" si="567"/>
        <v>439</v>
      </c>
      <c r="U362" s="3168">
        <f t="shared" si="567"/>
        <v>922</v>
      </c>
      <c r="V362" s="3168">
        <f t="shared" si="567"/>
        <v>3555</v>
      </c>
      <c r="W362" s="3168">
        <f t="shared" si="567"/>
        <v>44</v>
      </c>
      <c r="X362" s="3168">
        <f t="shared" si="567"/>
        <v>708</v>
      </c>
      <c r="Y362" s="3168">
        <f t="shared" si="567"/>
        <v>500</v>
      </c>
      <c r="Z362" s="3168">
        <f t="shared" si="567"/>
        <v>0</v>
      </c>
      <c r="AA362" s="3168">
        <f t="shared" si="567"/>
        <v>554</v>
      </c>
      <c r="AB362" s="3168">
        <f t="shared" si="567"/>
        <v>843</v>
      </c>
      <c r="AC362" s="3168">
        <f t="shared" si="567"/>
        <v>281</v>
      </c>
      <c r="AD362" s="3168">
        <f t="shared" si="567"/>
        <v>1062</v>
      </c>
      <c r="AE362" s="3168">
        <f t="shared" si="567"/>
        <v>4521</v>
      </c>
      <c r="AF362" s="3168">
        <f t="shared" si="567"/>
        <v>1208</v>
      </c>
      <c r="AG362" s="3168">
        <f t="shared" si="567"/>
        <v>1678</v>
      </c>
      <c r="AH362" s="3168">
        <f t="shared" si="567"/>
        <v>5583</v>
      </c>
      <c r="AI362" s="3168">
        <f t="shared" si="567"/>
        <v>2886</v>
      </c>
      <c r="AJ362" s="3168">
        <f t="shared" si="567"/>
        <v>8469</v>
      </c>
      <c r="AL362" s="1260">
        <f ca="1">SUM((INDIRECT(AL$2&amp;(ROW())):INDIRECT(AL$3&amp;(ROW()))))</f>
        <v>281</v>
      </c>
      <c r="AM362" s="3168">
        <f ca="1">SUM(INDIRECT(AM$1&amp;AM$2&amp;$C362):INDIRECT(AM$1&amp;AM$3&amp;$C362))</f>
        <v>0</v>
      </c>
      <c r="AN362" s="3169">
        <f t="shared" ca="1" si="540"/>
        <v>281</v>
      </c>
      <c r="AO362" s="3170">
        <f t="shared" ca="1" si="541"/>
        <v>0</v>
      </c>
      <c r="AP362" s="3171">
        <f ca="1">SUM(AP363,AP367)</f>
        <v>0</v>
      </c>
      <c r="AQ362" s="3169">
        <f t="shared" ca="1" si="542"/>
        <v>281</v>
      </c>
      <c r="AR362" s="3170">
        <f t="shared" ca="1" si="543"/>
        <v>0</v>
      </c>
      <c r="AT362" s="1260">
        <f ca="1">SUM((INDIRECT(AT$2&amp;(ROW())):INDIRECT(AT$3&amp;(ROW()))))</f>
        <v>1678</v>
      </c>
      <c r="AU362" s="3168">
        <f ca="1">SUM(INDIRECT(AU$1&amp;AU$2&amp;$C362):INDIRECT(AU$1&amp;AU$3&amp;$C362))</f>
        <v>0</v>
      </c>
      <c r="AV362" s="3169">
        <f t="shared" ca="1" si="544"/>
        <v>1678</v>
      </c>
      <c r="AW362" s="3170">
        <f t="shared" ca="1" si="545"/>
        <v>0</v>
      </c>
      <c r="AX362" s="3171">
        <f ca="1">SUM(AX363,AX367)</f>
        <v>0</v>
      </c>
      <c r="AY362" s="3169">
        <f t="shared" ca="1" si="546"/>
        <v>1678</v>
      </c>
      <c r="AZ362" s="3170">
        <f t="shared" ca="1" si="547"/>
        <v>0</v>
      </c>
      <c r="BB362" s="1260">
        <f ca="1">SUM((INDIRECT(BB$2&amp;(ROW())):INDIRECT(BB$3&amp;(ROW()))))</f>
        <v>8469</v>
      </c>
      <c r="BC362" s="3168">
        <f ca="1">SUM(INDIRECT(BC$1&amp;BC$2&amp;$C362):INDIRECT(BC$1&amp;BC$3&amp;$C362))</f>
        <v>0</v>
      </c>
      <c r="BD362" s="3169">
        <f t="shared" ca="1" si="548"/>
        <v>8469</v>
      </c>
      <c r="BE362" s="3170">
        <f t="shared" ca="1" si="549"/>
        <v>0</v>
      </c>
      <c r="BF362" s="3171">
        <f ca="1">SUM(BF363,BF367)</f>
        <v>0</v>
      </c>
      <c r="BG362" s="3169">
        <f t="shared" ca="1" si="550"/>
        <v>8469</v>
      </c>
      <c r="BH362" s="3170">
        <f t="shared" ca="1" si="551"/>
        <v>0</v>
      </c>
    </row>
    <row r="363" spans="1:60" s="69" customFormat="1" ht="14.5">
      <c r="A363" s="616">
        <v>1</v>
      </c>
      <c r="B363" s="616">
        <v>1</v>
      </c>
      <c r="C363" s="616">
        <f t="shared" si="518"/>
        <v>360</v>
      </c>
      <c r="D363" s="709" t="s">
        <v>1308</v>
      </c>
      <c r="E363" s="2578" t="s">
        <v>1369</v>
      </c>
      <c r="F363" s="2579"/>
      <c r="G363" s="4"/>
      <c r="H363" s="4"/>
      <c r="I363" s="762"/>
      <c r="J363" s="1071" t="s">
        <v>1428</v>
      </c>
      <c r="K363" s="1071"/>
      <c r="L363" s="1072"/>
      <c r="M363" s="1072"/>
      <c r="N363" s="1072"/>
      <c r="O363" s="1073"/>
      <c r="P363" s="1072"/>
      <c r="Q363" s="1802" t="str">
        <f>CHOOSE(2, "6722000003282", "PL (5) BT Cons. Sales ITS")</f>
        <v>PL (5) BT Cons. Sales ITS</v>
      </c>
      <c r="R363" s="1454">
        <f>SUM(R364:R366)</f>
        <v>360</v>
      </c>
      <c r="S363" s="1455">
        <f t="shared" ref="S363:AJ363" si="568">SUM(S364:S366)</f>
        <v>263</v>
      </c>
      <c r="T363" s="1455">
        <f t="shared" si="568"/>
        <v>439</v>
      </c>
      <c r="U363" s="1455">
        <f t="shared" si="568"/>
        <v>922</v>
      </c>
      <c r="V363" s="1455">
        <f t="shared" si="568"/>
        <v>3555</v>
      </c>
      <c r="W363" s="1455">
        <f t="shared" si="568"/>
        <v>44</v>
      </c>
      <c r="X363" s="1455">
        <f t="shared" si="568"/>
        <v>708</v>
      </c>
      <c r="Y363" s="1455">
        <f t="shared" si="568"/>
        <v>500</v>
      </c>
      <c r="Z363" s="1455">
        <f t="shared" si="568"/>
        <v>0</v>
      </c>
      <c r="AA363" s="1455">
        <f t="shared" si="568"/>
        <v>554</v>
      </c>
      <c r="AB363" s="1455">
        <f t="shared" si="568"/>
        <v>843</v>
      </c>
      <c r="AC363" s="1455">
        <f t="shared" si="568"/>
        <v>281</v>
      </c>
      <c r="AD363" s="1455">
        <f t="shared" si="568"/>
        <v>1062</v>
      </c>
      <c r="AE363" s="1455">
        <f t="shared" si="568"/>
        <v>4521</v>
      </c>
      <c r="AF363" s="1455">
        <f t="shared" si="568"/>
        <v>1208</v>
      </c>
      <c r="AG363" s="1455">
        <f t="shared" si="568"/>
        <v>1678</v>
      </c>
      <c r="AH363" s="1455">
        <f t="shared" si="568"/>
        <v>5583</v>
      </c>
      <c r="AI363" s="1455">
        <f t="shared" si="568"/>
        <v>2886</v>
      </c>
      <c r="AJ363" s="1455">
        <f t="shared" si="568"/>
        <v>8469</v>
      </c>
      <c r="AL363" s="3172">
        <f ca="1">SUM(AL364:AL366)</f>
        <v>281</v>
      </c>
      <c r="AM363" s="3173">
        <f ca="1">SUM(AM364:AM366)</f>
        <v>1200</v>
      </c>
      <c r="AN363" s="3174">
        <f t="shared" ca="1" si="540"/>
        <v>-919</v>
      </c>
      <c r="AO363" s="2825">
        <f t="shared" ca="1" si="541"/>
        <v>0.23416666666666666</v>
      </c>
      <c r="AP363" s="3173">
        <f ca="1">SUM(AP364:AP366)</f>
        <v>0</v>
      </c>
      <c r="AQ363" s="3174">
        <f t="shared" ca="1" si="542"/>
        <v>281</v>
      </c>
      <c r="AR363" s="2825">
        <f t="shared" ca="1" si="543"/>
        <v>0</v>
      </c>
      <c r="AT363" s="3172">
        <f ca="1">SUM(AT364:AT366)</f>
        <v>1678</v>
      </c>
      <c r="AU363" s="3173">
        <f ca="1">SUM(AU364:AU366)</f>
        <v>3600</v>
      </c>
      <c r="AV363" s="3174">
        <f t="shared" ca="1" si="544"/>
        <v>-1922</v>
      </c>
      <c r="AW363" s="2825">
        <f t="shared" ca="1" si="545"/>
        <v>0.46611111111111109</v>
      </c>
      <c r="AX363" s="3173">
        <f ca="1">SUM(AX364:AX366)</f>
        <v>0</v>
      </c>
      <c r="AY363" s="3174">
        <f t="shared" ca="1" si="546"/>
        <v>1678</v>
      </c>
      <c r="AZ363" s="2825">
        <f t="shared" ca="1" si="547"/>
        <v>0</v>
      </c>
      <c r="BB363" s="3172">
        <f ca="1">SUM(BB364:BB366)</f>
        <v>8469</v>
      </c>
      <c r="BC363" s="3173">
        <f ca="1">SUM(BC364:BC366)</f>
        <v>5750</v>
      </c>
      <c r="BD363" s="3174">
        <f t="shared" ca="1" si="548"/>
        <v>2719</v>
      </c>
      <c r="BE363" s="2825">
        <f t="shared" ca="1" si="549"/>
        <v>1.4728695652173913</v>
      </c>
      <c r="BF363" s="3173">
        <f ca="1">SUM(BF364:BF366)</f>
        <v>0</v>
      </c>
      <c r="BG363" s="3174">
        <f t="shared" ca="1" si="550"/>
        <v>8469</v>
      </c>
      <c r="BH363" s="2825">
        <f t="shared" ca="1" si="551"/>
        <v>0</v>
      </c>
    </row>
    <row r="364" spans="1:60" ht="14.5">
      <c r="A364" s="2580">
        <v>333</v>
      </c>
      <c r="B364" s="616">
        <v>1</v>
      </c>
      <c r="C364" s="616">
        <f t="shared" si="518"/>
        <v>361</v>
      </c>
      <c r="D364" s="709" t="s">
        <v>1308</v>
      </c>
      <c r="E364" s="2568" t="s">
        <v>1370</v>
      </c>
      <c r="F364" s="2569"/>
      <c r="G364" s="737"/>
      <c r="H364" s="4"/>
      <c r="I364" s="27"/>
      <c r="J364" s="3"/>
      <c r="K364" s="3" t="s">
        <v>1429</v>
      </c>
      <c r="L364" s="8"/>
      <c r="N364" s="3"/>
      <c r="O364" s="3"/>
      <c r="P364" s="3"/>
      <c r="Q364" s="1790" t="str">
        <f>CHOOSE(2, "6722000003283", "PL (5) BT Cons. Sales ITS IMS")</f>
        <v>PL (5) BT Cons. Sales ITS IMS</v>
      </c>
      <c r="R364" s="1215">
        <v>0</v>
      </c>
      <c r="S364" s="1222">
        <v>0</v>
      </c>
      <c r="T364" s="1222"/>
      <c r="U364" s="1222">
        <v>510</v>
      </c>
      <c r="V364" s="1222">
        <v>0</v>
      </c>
      <c r="W364" s="1222">
        <v>0</v>
      </c>
      <c r="X364" s="1222">
        <v>510</v>
      </c>
      <c r="Y364" s="1222">
        <v>0</v>
      </c>
      <c r="Z364" s="1222">
        <v>0</v>
      </c>
      <c r="AA364" s="1222">
        <v>510</v>
      </c>
      <c r="AB364" s="1222">
        <v>0</v>
      </c>
      <c r="AC364" s="1222">
        <v>0</v>
      </c>
      <c r="AD364" s="1221">
        <f>SUM(R364,S364,T364)</f>
        <v>0</v>
      </c>
      <c r="AE364" s="1221">
        <f t="shared" ref="AE364:AE366" si="569">SUM(U364,V364,W364)</f>
        <v>510</v>
      </c>
      <c r="AF364" s="1221">
        <f t="shared" ref="AF364:AF366" si="570">SUM(X364,Y364,Z364)</f>
        <v>510</v>
      </c>
      <c r="AG364" s="1221">
        <f t="shared" ref="AG364:AG366" si="571">SUM(AA364,AB364,AC364)</f>
        <v>510</v>
      </c>
      <c r="AH364" s="1221">
        <f>AD364+AE364</f>
        <v>510</v>
      </c>
      <c r="AI364" s="1221">
        <f>AG364+AF364</f>
        <v>1020</v>
      </c>
      <c r="AJ364" s="1221">
        <f>AH364+AI364</f>
        <v>1530</v>
      </c>
      <c r="AL364" s="1214">
        <f ca="1">SUM((INDIRECT(AL$2&amp;(ROW())):INDIRECT(AL$3&amp;(ROW()))))</f>
        <v>0</v>
      </c>
      <c r="AM364" s="1221">
        <f ca="1">SUM(INDIRECT(AM$1&amp;AM$2&amp;$C364):INDIRECT(AM$1&amp;AM$3&amp;$C364))</f>
        <v>0</v>
      </c>
      <c r="AN364" s="3119">
        <f t="shared" ca="1" si="540"/>
        <v>0</v>
      </c>
      <c r="AO364" s="2768">
        <f t="shared" ca="1" si="541"/>
        <v>0</v>
      </c>
      <c r="AP364" s="1221">
        <f ca="1">SUM(INDIRECT(AP$1&amp;AP$2&amp;$A364):INDIRECT(AP$1&amp;AP$3&amp;$A364))+SUM(INDIRECT(AP$1&amp;AP$2&amp;$B364):INDIRECT(AP$1&amp;AP$3&amp;$B364))</f>
        <v>0</v>
      </c>
      <c r="AQ364" s="3119">
        <f t="shared" ca="1" si="542"/>
        <v>0</v>
      </c>
      <c r="AR364" s="2768">
        <f t="shared" ca="1" si="543"/>
        <v>0</v>
      </c>
      <c r="AT364" s="1214">
        <f ca="1">SUM((INDIRECT(AT$2&amp;(ROW())):INDIRECT(AT$3&amp;(ROW()))))</f>
        <v>510</v>
      </c>
      <c r="AU364" s="1221">
        <f ca="1">SUM(INDIRECT(AU$1&amp;AU$2&amp;$C364):INDIRECT(AU$1&amp;AU$3&amp;$C364))</f>
        <v>0</v>
      </c>
      <c r="AV364" s="3119">
        <f t="shared" ca="1" si="544"/>
        <v>510</v>
      </c>
      <c r="AW364" s="2768">
        <f t="shared" ca="1" si="545"/>
        <v>0</v>
      </c>
      <c r="AX364" s="1221">
        <f ca="1">SUM(INDIRECT(AX$1&amp;AX$2&amp;$A364):INDIRECT(AX$1&amp;AX$3&amp;$A364))+SUM(INDIRECT(AX$1&amp;AX$2&amp;$B364):INDIRECT(AX$1&amp;AX$3&amp;$B364))</f>
        <v>0</v>
      </c>
      <c r="AY364" s="3119">
        <f t="shared" ca="1" si="546"/>
        <v>510</v>
      </c>
      <c r="AZ364" s="2768">
        <f t="shared" ca="1" si="547"/>
        <v>0</v>
      </c>
      <c r="BB364" s="1214">
        <f ca="1">SUM((INDIRECT(BB$2&amp;(ROW())):INDIRECT(BB$3&amp;(ROW()))))</f>
        <v>1530</v>
      </c>
      <c r="BC364" s="1221">
        <f ca="1">SUM(INDIRECT(BC$1&amp;BC$2&amp;$C364):INDIRECT(BC$1&amp;BC$3&amp;$C364))</f>
        <v>0</v>
      </c>
      <c r="BD364" s="3119">
        <f t="shared" ca="1" si="548"/>
        <v>1530</v>
      </c>
      <c r="BE364" s="2768">
        <f t="shared" ca="1" si="549"/>
        <v>0</v>
      </c>
      <c r="BF364" s="1221">
        <f ca="1">SUM(INDIRECT(BF$1&amp;BF$2&amp;$A364):INDIRECT(BF$1&amp;BF$3&amp;$A364))+SUM(INDIRECT(BF$1&amp;BF$2&amp;$B364):INDIRECT(BF$1&amp;BF$3&amp;$B364))</f>
        <v>0</v>
      </c>
      <c r="BG364" s="3119">
        <f t="shared" ca="1" si="550"/>
        <v>1530</v>
      </c>
      <c r="BH364" s="2768">
        <f t="shared" ca="1" si="551"/>
        <v>0</v>
      </c>
    </row>
    <row r="365" spans="1:60" ht="14.5">
      <c r="A365" s="616">
        <f>A368+1</f>
        <v>335</v>
      </c>
      <c r="B365" s="616">
        <v>1</v>
      </c>
      <c r="C365" s="616">
        <f t="shared" si="518"/>
        <v>362</v>
      </c>
      <c r="D365" s="709" t="s">
        <v>1308</v>
      </c>
      <c r="E365" s="2568" t="s">
        <v>1370</v>
      </c>
      <c r="F365" s="2569"/>
      <c r="G365" s="4"/>
      <c r="H365" s="4"/>
      <c r="I365" s="27"/>
      <c r="J365" s="3"/>
      <c r="K365" s="3" t="s">
        <v>1430</v>
      </c>
      <c r="L365" s="8"/>
      <c r="N365" s="3"/>
      <c r="O365" s="3"/>
      <c r="P365" s="3"/>
      <c r="Q365" s="1790" t="str">
        <f>CHOOSE(2, "6722000003284", "PL (5) BT Cons. Sales ITS MCS")</f>
        <v>PL (5) BT Cons. Sales ITS MCS</v>
      </c>
      <c r="R365" s="1215">
        <v>360</v>
      </c>
      <c r="S365" s="1222">
        <v>263</v>
      </c>
      <c r="T365" s="1222">
        <v>439</v>
      </c>
      <c r="U365" s="1222">
        <v>412</v>
      </c>
      <c r="V365" s="1222">
        <v>3555</v>
      </c>
      <c r="W365" s="1222">
        <v>44</v>
      </c>
      <c r="X365" s="1222">
        <v>198</v>
      </c>
      <c r="Y365" s="1222">
        <v>500</v>
      </c>
      <c r="Z365" s="1222">
        <v>0</v>
      </c>
      <c r="AA365" s="1222">
        <v>44</v>
      </c>
      <c r="AB365" s="1222">
        <v>843</v>
      </c>
      <c r="AC365" s="1222">
        <v>281</v>
      </c>
      <c r="AD365" s="1221">
        <f>SUM(R365,S365,T365)</f>
        <v>1062</v>
      </c>
      <c r="AE365" s="1221">
        <f t="shared" si="569"/>
        <v>4011</v>
      </c>
      <c r="AF365" s="1221">
        <f t="shared" si="570"/>
        <v>698</v>
      </c>
      <c r="AG365" s="1221">
        <f t="shared" si="571"/>
        <v>1168</v>
      </c>
      <c r="AH365" s="1221">
        <f>AD365+AE365</f>
        <v>5073</v>
      </c>
      <c r="AI365" s="1221">
        <f>AG365+AF365</f>
        <v>1866</v>
      </c>
      <c r="AJ365" s="1221">
        <f>AH365+AI365</f>
        <v>6939</v>
      </c>
      <c r="AL365" s="1214">
        <f ca="1">SUM((INDIRECT(AL$2&amp;(ROW())):INDIRECT(AL$3&amp;(ROW()))))</f>
        <v>281</v>
      </c>
      <c r="AM365" s="1221">
        <f ca="1">SUM(INDIRECT(AM$1&amp;AM$2&amp;$C365):INDIRECT(AM$1&amp;AM$3&amp;$C365))</f>
        <v>0</v>
      </c>
      <c r="AN365" s="3119">
        <f t="shared" ca="1" si="540"/>
        <v>281</v>
      </c>
      <c r="AO365" s="2768">
        <f t="shared" ca="1" si="541"/>
        <v>0</v>
      </c>
      <c r="AP365" s="1221">
        <f ca="1">SUM(INDIRECT(AP$1&amp;AP$2&amp;$A365):INDIRECT(AP$1&amp;AP$3&amp;$A365))+SUM(INDIRECT(AP$1&amp;AP$2&amp;$B365):INDIRECT(AP$1&amp;AP$3&amp;$B365))</f>
        <v>0</v>
      </c>
      <c r="AQ365" s="3119">
        <f t="shared" ca="1" si="542"/>
        <v>281</v>
      </c>
      <c r="AR365" s="2768">
        <f t="shared" ca="1" si="543"/>
        <v>0</v>
      </c>
      <c r="AT365" s="1214">
        <f ca="1">SUM((INDIRECT(AT$2&amp;(ROW())):INDIRECT(AT$3&amp;(ROW()))))</f>
        <v>1168</v>
      </c>
      <c r="AU365" s="1221">
        <f ca="1">SUM(INDIRECT(AU$1&amp;AU$2&amp;$C365):INDIRECT(AU$1&amp;AU$3&amp;$C365))</f>
        <v>0</v>
      </c>
      <c r="AV365" s="3119">
        <f t="shared" ca="1" si="544"/>
        <v>1168</v>
      </c>
      <c r="AW365" s="2768">
        <f t="shared" ca="1" si="545"/>
        <v>0</v>
      </c>
      <c r="AX365" s="1221">
        <f ca="1">SUM(INDIRECT(AX$1&amp;AX$2&amp;$A365):INDIRECT(AX$1&amp;AX$3&amp;$A365))+SUM(INDIRECT(AX$1&amp;AX$2&amp;$B365):INDIRECT(AX$1&amp;AX$3&amp;$B365))</f>
        <v>0</v>
      </c>
      <c r="AY365" s="3119">
        <f t="shared" ca="1" si="546"/>
        <v>1168</v>
      </c>
      <c r="AZ365" s="2768">
        <f t="shared" ca="1" si="547"/>
        <v>0</v>
      </c>
      <c r="BB365" s="1214">
        <f ca="1">SUM((INDIRECT(BB$2&amp;(ROW())):INDIRECT(BB$3&amp;(ROW()))))</f>
        <v>6939</v>
      </c>
      <c r="BC365" s="1221">
        <f ca="1">SUM(INDIRECT(BC$1&amp;BC$2&amp;$C365):INDIRECT(BC$1&amp;BC$3&amp;$C365))</f>
        <v>0</v>
      </c>
      <c r="BD365" s="3119">
        <f t="shared" ca="1" si="548"/>
        <v>6939</v>
      </c>
      <c r="BE365" s="2768">
        <f t="shared" ca="1" si="549"/>
        <v>0</v>
      </c>
      <c r="BF365" s="1221">
        <f ca="1">SUM(INDIRECT(BF$1&amp;BF$2&amp;$A365):INDIRECT(BF$1&amp;BF$3&amp;$A365))+SUM(INDIRECT(BF$1&amp;BF$2&amp;$B365):INDIRECT(BF$1&amp;BF$3&amp;$B365))</f>
        <v>0</v>
      </c>
      <c r="BG365" s="3119">
        <f t="shared" ca="1" si="550"/>
        <v>6939</v>
      </c>
      <c r="BH365" s="2768">
        <f t="shared" ca="1" si="551"/>
        <v>0</v>
      </c>
    </row>
    <row r="366" spans="1:60" ht="14.5">
      <c r="A366" s="616">
        <f>A365+1</f>
        <v>336</v>
      </c>
      <c r="B366" s="616">
        <v>1</v>
      </c>
      <c r="C366" s="616">
        <f t="shared" si="518"/>
        <v>363</v>
      </c>
      <c r="D366" s="709" t="s">
        <v>1308</v>
      </c>
      <c r="E366" s="2568" t="s">
        <v>1370</v>
      </c>
      <c r="F366" s="2569"/>
      <c r="G366" s="4"/>
      <c r="H366" s="4"/>
      <c r="I366" s="498"/>
      <c r="J366" s="47"/>
      <c r="K366" s="47" t="s">
        <v>1431</v>
      </c>
      <c r="L366" s="285"/>
      <c r="M366" s="285"/>
      <c r="N366" s="47"/>
      <c r="O366" s="47"/>
      <c r="P366" s="47"/>
      <c r="Q366" s="1790" t="str">
        <f>CHOOSE(2, "6722000003285", "PL (5) BT Cons. Sales ITS BPS")</f>
        <v>PL (5) BT Cons. Sales ITS BPS</v>
      </c>
      <c r="R366" s="1387">
        <v>0</v>
      </c>
      <c r="S366" s="1231">
        <v>0</v>
      </c>
      <c r="T366" s="1231">
        <v>0</v>
      </c>
      <c r="U366" s="1231">
        <v>0</v>
      </c>
      <c r="V366" s="1231">
        <v>0</v>
      </c>
      <c r="W366" s="1231">
        <v>0</v>
      </c>
      <c r="X366" s="1231">
        <v>0</v>
      </c>
      <c r="Y366" s="1231">
        <v>0</v>
      </c>
      <c r="Z366" s="1231">
        <v>0</v>
      </c>
      <c r="AA366" s="1231">
        <v>0</v>
      </c>
      <c r="AB366" s="1231">
        <v>0</v>
      </c>
      <c r="AC366" s="1231">
        <v>0</v>
      </c>
      <c r="AD366" s="1230">
        <f>SUM(R366,S366,T366)</f>
        <v>0</v>
      </c>
      <c r="AE366" s="1230">
        <f t="shared" si="569"/>
        <v>0</v>
      </c>
      <c r="AF366" s="1230">
        <f t="shared" si="570"/>
        <v>0</v>
      </c>
      <c r="AG366" s="1230">
        <f t="shared" si="571"/>
        <v>0</v>
      </c>
      <c r="AH366" s="1230">
        <f>AD366+AE366</f>
        <v>0</v>
      </c>
      <c r="AI366" s="1230">
        <f>AG366+AF366</f>
        <v>0</v>
      </c>
      <c r="AJ366" s="1230">
        <f>AH366+AI366</f>
        <v>0</v>
      </c>
      <c r="AL366" s="1214">
        <f ca="1">SUM((INDIRECT(AL$2&amp;(ROW())):INDIRECT(AL$3&amp;(ROW()))))</f>
        <v>0</v>
      </c>
      <c r="AM366" s="1221">
        <f ca="1">SUM(INDIRECT(AM$1&amp;AM$2&amp;$C366):INDIRECT(AM$1&amp;AM$3&amp;$C366))</f>
        <v>1200</v>
      </c>
      <c r="AN366" s="3119">
        <f t="shared" ca="1" si="540"/>
        <v>-1200</v>
      </c>
      <c r="AO366" s="2768">
        <f t="shared" ca="1" si="541"/>
        <v>0</v>
      </c>
      <c r="AP366" s="1221">
        <f ca="1">SUM(INDIRECT(AP$1&amp;AP$2&amp;$A366):INDIRECT(AP$1&amp;AP$3&amp;$A366))+SUM(INDIRECT(AP$1&amp;AP$2&amp;$B366):INDIRECT(AP$1&amp;AP$3&amp;$B366))</f>
        <v>0</v>
      </c>
      <c r="AQ366" s="3119">
        <f t="shared" ca="1" si="542"/>
        <v>0</v>
      </c>
      <c r="AR366" s="2768">
        <f t="shared" ca="1" si="543"/>
        <v>0</v>
      </c>
      <c r="AT366" s="1214">
        <f ca="1">SUM((INDIRECT(AT$2&amp;(ROW())):INDIRECT(AT$3&amp;(ROW()))))</f>
        <v>0</v>
      </c>
      <c r="AU366" s="1221">
        <f ca="1">SUM(INDIRECT(AU$1&amp;AU$2&amp;$C366):INDIRECT(AU$1&amp;AU$3&amp;$C366))</f>
        <v>3600</v>
      </c>
      <c r="AV366" s="3119">
        <f t="shared" ca="1" si="544"/>
        <v>-3600</v>
      </c>
      <c r="AW366" s="2768">
        <f t="shared" ca="1" si="545"/>
        <v>0</v>
      </c>
      <c r="AX366" s="1221">
        <f ca="1">SUM(INDIRECT(AX$1&amp;AX$2&amp;$A366):INDIRECT(AX$1&amp;AX$3&amp;$A366))+SUM(INDIRECT(AX$1&amp;AX$2&amp;$B366):INDIRECT(AX$1&amp;AX$3&amp;$B366))</f>
        <v>0</v>
      </c>
      <c r="AY366" s="3119">
        <f t="shared" ca="1" si="546"/>
        <v>0</v>
      </c>
      <c r="AZ366" s="2768">
        <f t="shared" ca="1" si="547"/>
        <v>0</v>
      </c>
      <c r="BB366" s="1214">
        <f ca="1">SUM((INDIRECT(BB$2&amp;(ROW())):INDIRECT(BB$3&amp;(ROW()))))</f>
        <v>0</v>
      </c>
      <c r="BC366" s="1221">
        <f ca="1">SUM(INDIRECT(BC$1&amp;BC$2&amp;$C366):INDIRECT(BC$1&amp;BC$3&amp;$C366))</f>
        <v>5750</v>
      </c>
      <c r="BD366" s="3119">
        <f t="shared" ca="1" si="548"/>
        <v>-5750</v>
      </c>
      <c r="BE366" s="2768">
        <f t="shared" ca="1" si="549"/>
        <v>0</v>
      </c>
      <c r="BF366" s="1221">
        <f ca="1">SUM(INDIRECT(BF$1&amp;BF$2&amp;$A366):INDIRECT(BF$1&amp;BF$3&amp;$A366))+SUM(INDIRECT(BF$1&amp;BF$2&amp;$B366):INDIRECT(BF$1&amp;BF$3&amp;$B366))</f>
        <v>0</v>
      </c>
      <c r="BG366" s="3119">
        <f t="shared" ca="1" si="550"/>
        <v>0</v>
      </c>
      <c r="BH366" s="2768">
        <f t="shared" ca="1" si="551"/>
        <v>0</v>
      </c>
    </row>
    <row r="367" spans="1:60" ht="14.5">
      <c r="A367" s="616">
        <v>1</v>
      </c>
      <c r="B367" s="616">
        <v>1</v>
      </c>
      <c r="C367" s="616">
        <f t="shared" si="518"/>
        <v>364</v>
      </c>
      <c r="D367" s="709" t="s">
        <v>1308</v>
      </c>
      <c r="E367" s="2578" t="s">
        <v>1369</v>
      </c>
      <c r="F367" s="2579"/>
      <c r="G367" s="4"/>
      <c r="H367" s="4"/>
      <c r="I367" s="498"/>
      <c r="J367" s="301" t="s">
        <v>1432</v>
      </c>
      <c r="K367" s="301"/>
      <c r="L367" s="66"/>
      <c r="M367" s="66"/>
      <c r="N367" s="301"/>
      <c r="O367" s="301"/>
      <c r="P367" s="1072"/>
      <c r="Q367" s="1802" t="str">
        <f>CHOOSE(2, "6722000003286", "PL (5) BT Cons. Sales ICW")</f>
        <v>PL (5) BT Cons. Sales ICW</v>
      </c>
      <c r="R367" s="1454">
        <f t="shared" ref="R367:AC367" si="572">SUM(R368:R370)</f>
        <v>0</v>
      </c>
      <c r="S367" s="1455">
        <f t="shared" si="572"/>
        <v>0</v>
      </c>
      <c r="T367" s="1455">
        <f t="shared" si="572"/>
        <v>0</v>
      </c>
      <c r="U367" s="1455">
        <f t="shared" si="572"/>
        <v>0</v>
      </c>
      <c r="V367" s="1455">
        <f t="shared" si="572"/>
        <v>0</v>
      </c>
      <c r="W367" s="1455">
        <f t="shared" si="572"/>
        <v>0</v>
      </c>
      <c r="X367" s="1455">
        <f t="shared" si="572"/>
        <v>0</v>
      </c>
      <c r="Y367" s="1455">
        <f t="shared" si="572"/>
        <v>0</v>
      </c>
      <c r="Z367" s="1455">
        <f t="shared" si="572"/>
        <v>0</v>
      </c>
      <c r="AA367" s="1455">
        <f t="shared" si="572"/>
        <v>0</v>
      </c>
      <c r="AB367" s="1455">
        <f t="shared" si="572"/>
        <v>0</v>
      </c>
      <c r="AC367" s="1455">
        <f t="shared" si="572"/>
        <v>0</v>
      </c>
      <c r="AD367" s="1455">
        <f t="shared" ref="AD367:AJ367" si="573">SUM(AD368:AD370)</f>
        <v>0</v>
      </c>
      <c r="AE367" s="1455">
        <f t="shared" si="573"/>
        <v>0</v>
      </c>
      <c r="AF367" s="1455">
        <f t="shared" si="573"/>
        <v>0</v>
      </c>
      <c r="AG367" s="1455">
        <f t="shared" si="573"/>
        <v>0</v>
      </c>
      <c r="AH367" s="1455">
        <f t="shared" si="573"/>
        <v>0</v>
      </c>
      <c r="AI367" s="1455">
        <f t="shared" si="573"/>
        <v>0</v>
      </c>
      <c r="AJ367" s="1455">
        <f t="shared" si="573"/>
        <v>0</v>
      </c>
      <c r="AL367" s="3172">
        <f ca="1">SUM(AL368:AL370)</f>
        <v>0</v>
      </c>
      <c r="AM367" s="3173">
        <f ca="1">SUM(AM368:AM370)</f>
        <v>2400</v>
      </c>
      <c r="AN367" s="3174">
        <f t="shared" ca="1" si="540"/>
        <v>-2400</v>
      </c>
      <c r="AO367" s="2825">
        <f t="shared" ca="1" si="541"/>
        <v>0</v>
      </c>
      <c r="AP367" s="3173">
        <f ca="1">SUM(AP368:AP370)</f>
        <v>0</v>
      </c>
      <c r="AQ367" s="3174">
        <f t="shared" ca="1" si="542"/>
        <v>0</v>
      </c>
      <c r="AR367" s="2825">
        <f t="shared" ca="1" si="543"/>
        <v>0</v>
      </c>
      <c r="AT367" s="3172">
        <f ca="1">SUM(AT368:AT370)</f>
        <v>0</v>
      </c>
      <c r="AU367" s="3173">
        <f ca="1">SUM(AU368:AU370)</f>
        <v>6700</v>
      </c>
      <c r="AV367" s="3174">
        <f t="shared" ca="1" si="544"/>
        <v>-6700</v>
      </c>
      <c r="AW367" s="2825">
        <f t="shared" ca="1" si="545"/>
        <v>0</v>
      </c>
      <c r="AX367" s="3173">
        <f ca="1">SUM(AX368:AX370)</f>
        <v>0</v>
      </c>
      <c r="AY367" s="3174">
        <f t="shared" ca="1" si="546"/>
        <v>0</v>
      </c>
      <c r="AZ367" s="2825">
        <f t="shared" ca="1" si="547"/>
        <v>0</v>
      </c>
      <c r="BB367" s="3172">
        <f ca="1">SUM(BB368:BB370)</f>
        <v>0</v>
      </c>
      <c r="BC367" s="3173">
        <f ca="1">SUM(BC368:BC370)</f>
        <v>10500</v>
      </c>
      <c r="BD367" s="3174">
        <f t="shared" ca="1" si="548"/>
        <v>-10500</v>
      </c>
      <c r="BE367" s="2825">
        <f t="shared" ca="1" si="549"/>
        <v>0</v>
      </c>
      <c r="BF367" s="3173">
        <f ca="1">SUM(BF368:BF370)</f>
        <v>0</v>
      </c>
      <c r="BG367" s="3174">
        <f t="shared" ca="1" si="550"/>
        <v>0</v>
      </c>
      <c r="BH367" s="2825">
        <f t="shared" ca="1" si="551"/>
        <v>0</v>
      </c>
    </row>
    <row r="368" spans="1:60" ht="14.5">
      <c r="A368" s="616">
        <f>A364+1</f>
        <v>334</v>
      </c>
      <c r="B368" s="616">
        <v>1</v>
      </c>
      <c r="C368" s="616">
        <f t="shared" si="518"/>
        <v>365</v>
      </c>
      <c r="D368" s="709" t="s">
        <v>1308</v>
      </c>
      <c r="E368" s="2568" t="s">
        <v>1370</v>
      </c>
      <c r="F368" s="2569"/>
      <c r="G368" s="4"/>
      <c r="H368" s="4"/>
      <c r="I368" s="27"/>
      <c r="J368" s="3"/>
      <c r="K368" s="3" t="s">
        <v>1433</v>
      </c>
      <c r="L368" s="8"/>
      <c r="N368" s="3"/>
      <c r="O368" s="3"/>
      <c r="P368" s="3"/>
      <c r="Q368" s="1790" t="str">
        <f>CHOOSE(2, "6722000003287", "PL (5) BT Cons. Sales ICW ICW-IT")</f>
        <v>PL (5) BT Cons. Sales ICW ICW-IT</v>
      </c>
      <c r="R368" s="1215">
        <v>0</v>
      </c>
      <c r="S368" s="1222">
        <v>0</v>
      </c>
      <c r="T368" s="1222">
        <v>0</v>
      </c>
      <c r="U368" s="1222">
        <v>0</v>
      </c>
      <c r="V368" s="1222">
        <v>0</v>
      </c>
      <c r="W368" s="1222">
        <v>0</v>
      </c>
      <c r="X368" s="1222">
        <v>0</v>
      </c>
      <c r="Y368" s="1222">
        <v>0</v>
      </c>
      <c r="Z368" s="1222">
        <v>0</v>
      </c>
      <c r="AA368" s="1222">
        <v>0</v>
      </c>
      <c r="AB368" s="1222">
        <v>0</v>
      </c>
      <c r="AC368" s="1222">
        <v>0</v>
      </c>
      <c r="AD368" s="1221">
        <f>SUM(R368,S368,T368)</f>
        <v>0</v>
      </c>
      <c r="AE368" s="1221">
        <f>SUM(U368,V368,W368)</f>
        <v>0</v>
      </c>
      <c r="AF368" s="1221">
        <f>SUM(X368,Y368,Z368)</f>
        <v>0</v>
      </c>
      <c r="AG368" s="1221">
        <f>SUM(AA368,AB368,AC368)</f>
        <v>0</v>
      </c>
      <c r="AH368" s="1221">
        <f>AD368+AE368</f>
        <v>0</v>
      </c>
      <c r="AI368" s="1221">
        <f>AG368+AF368</f>
        <v>0</v>
      </c>
      <c r="AJ368" s="1221">
        <f>AH368+AI368</f>
        <v>0</v>
      </c>
      <c r="AL368" s="1214">
        <f ca="1">SUM((INDIRECT(AL$2&amp;(ROW())):INDIRECT(AL$3&amp;(ROW()))))</f>
        <v>0</v>
      </c>
      <c r="AM368" s="1221">
        <f ca="1">SUM(INDIRECT(AM$1&amp;AM$2&amp;$C368):INDIRECT(AM$1&amp;AM$3&amp;$C368))</f>
        <v>0</v>
      </c>
      <c r="AN368" s="3119">
        <f t="shared" ca="1" si="540"/>
        <v>0</v>
      </c>
      <c r="AO368" s="2768">
        <f t="shared" ca="1" si="541"/>
        <v>0</v>
      </c>
      <c r="AP368" s="1221">
        <f ca="1">SUM(INDIRECT(AP$1&amp;AP$2&amp;$A368):INDIRECT(AP$1&amp;AP$3&amp;$A368))+SUM(INDIRECT(AP$1&amp;AP$2&amp;$B368):INDIRECT(AP$1&amp;AP$3&amp;$B368))</f>
        <v>0</v>
      </c>
      <c r="AQ368" s="3119">
        <f t="shared" ca="1" si="542"/>
        <v>0</v>
      </c>
      <c r="AR368" s="2768">
        <f t="shared" ca="1" si="543"/>
        <v>0</v>
      </c>
      <c r="AT368" s="1214">
        <f ca="1">SUM((INDIRECT(AT$2&amp;(ROW())):INDIRECT(AT$3&amp;(ROW()))))</f>
        <v>0</v>
      </c>
      <c r="AU368" s="1221">
        <f ca="1">SUM(INDIRECT(AU$1&amp;AU$2&amp;$C368):INDIRECT(AU$1&amp;AU$3&amp;$C368))</f>
        <v>500</v>
      </c>
      <c r="AV368" s="3119">
        <f t="shared" ca="1" si="544"/>
        <v>-500</v>
      </c>
      <c r="AW368" s="2768">
        <f t="shared" ca="1" si="545"/>
        <v>0</v>
      </c>
      <c r="AX368" s="1221">
        <f ca="1">SUM(INDIRECT(AX$1&amp;AX$2&amp;$A368):INDIRECT(AX$1&amp;AX$3&amp;$A368))+SUM(INDIRECT(AX$1&amp;AX$2&amp;$B368):INDIRECT(AX$1&amp;AX$3&amp;$B368))</f>
        <v>0</v>
      </c>
      <c r="AY368" s="3119">
        <f t="shared" ca="1" si="546"/>
        <v>0</v>
      </c>
      <c r="AZ368" s="2768">
        <f t="shared" ca="1" si="547"/>
        <v>0</v>
      </c>
      <c r="BB368" s="1214">
        <f ca="1">SUM((INDIRECT(BB$2&amp;(ROW())):INDIRECT(BB$3&amp;(ROW()))))</f>
        <v>0</v>
      </c>
      <c r="BC368" s="1221">
        <f ca="1">SUM(INDIRECT(BC$1&amp;BC$2&amp;$C368):INDIRECT(BC$1&amp;BC$3&amp;$C368))</f>
        <v>1000</v>
      </c>
      <c r="BD368" s="3119">
        <f t="shared" ca="1" si="548"/>
        <v>-1000</v>
      </c>
      <c r="BE368" s="2768">
        <f t="shared" ca="1" si="549"/>
        <v>0</v>
      </c>
      <c r="BF368" s="1221">
        <f ca="1">SUM(INDIRECT(BF$1&amp;BF$2&amp;$A368):INDIRECT(BF$1&amp;BF$3&amp;$A368))+SUM(INDIRECT(BF$1&amp;BF$2&amp;$B368):INDIRECT(BF$1&amp;BF$3&amp;$B368))</f>
        <v>0</v>
      </c>
      <c r="BG368" s="3119">
        <f t="shared" ca="1" si="550"/>
        <v>0</v>
      </c>
      <c r="BH368" s="2768">
        <f t="shared" ca="1" si="551"/>
        <v>0</v>
      </c>
    </row>
    <row r="369" spans="1:60" ht="14.5">
      <c r="A369" s="616">
        <v>1</v>
      </c>
      <c r="B369" s="616">
        <v>1</v>
      </c>
      <c r="C369" s="616">
        <f t="shared" si="518"/>
        <v>366</v>
      </c>
      <c r="D369" s="709" t="s">
        <v>1308</v>
      </c>
      <c r="E369" s="2568" t="s">
        <v>1370</v>
      </c>
      <c r="F369" s="2569"/>
      <c r="G369" s="4"/>
      <c r="H369" s="4"/>
      <c r="I369" s="27"/>
      <c r="J369" s="3"/>
      <c r="K369" s="3" t="s">
        <v>1434</v>
      </c>
      <c r="L369" s="8"/>
      <c r="N369" s="3"/>
      <c r="O369" s="3"/>
      <c r="P369" s="3"/>
      <c r="Q369" s="1790" t="str">
        <f>CHOOSE(2, "6722000003288", "PL (5) BT Cons. Sales ICW ICW-WK")</f>
        <v>PL (5) BT Cons. Sales ICW ICW-WK</v>
      </c>
      <c r="R369" s="1215">
        <v>0</v>
      </c>
      <c r="S369" s="1222">
        <v>0</v>
      </c>
      <c r="T369" s="1222">
        <v>0</v>
      </c>
      <c r="U369" s="1222">
        <v>0</v>
      </c>
      <c r="V369" s="1222">
        <v>0</v>
      </c>
      <c r="W369" s="1222">
        <v>0</v>
      </c>
      <c r="X369" s="1222">
        <v>0</v>
      </c>
      <c r="Y369" s="1222">
        <v>0</v>
      </c>
      <c r="Z369" s="1222">
        <v>0</v>
      </c>
      <c r="AA369" s="1222">
        <v>0</v>
      </c>
      <c r="AB369" s="1222">
        <v>0</v>
      </c>
      <c r="AC369" s="1222">
        <v>0</v>
      </c>
      <c r="AD369" s="1221">
        <f>SUM(R369,S369,T369)</f>
        <v>0</v>
      </c>
      <c r="AE369" s="1221">
        <f t="shared" ref="AE369:AE370" si="574">SUM(U369,V369,W369)</f>
        <v>0</v>
      </c>
      <c r="AF369" s="1221">
        <f t="shared" ref="AF369:AF370" si="575">SUM(X369,Y369,Z369)</f>
        <v>0</v>
      </c>
      <c r="AG369" s="1221">
        <f t="shared" ref="AG369:AG370" si="576">SUM(AA369,AB369,AC369)</f>
        <v>0</v>
      </c>
      <c r="AH369" s="1221">
        <f t="shared" ref="AH369:AH370" si="577">AD369+AE369</f>
        <v>0</v>
      </c>
      <c r="AI369" s="1221">
        <f t="shared" ref="AI369:AI370" si="578">AG369+AF369</f>
        <v>0</v>
      </c>
      <c r="AJ369" s="1221">
        <f t="shared" ref="AJ369:AJ370" si="579">AH369+AI369</f>
        <v>0</v>
      </c>
      <c r="AL369" s="1214">
        <f ca="1">SUM((INDIRECT(AL$2&amp;(ROW())):INDIRECT(AL$3&amp;(ROW()))))</f>
        <v>0</v>
      </c>
      <c r="AM369" s="1221">
        <f ca="1">SUM(INDIRECT(AM$1&amp;AM$2&amp;$C369):INDIRECT(AM$1&amp;AM$3&amp;$C369))</f>
        <v>1200</v>
      </c>
      <c r="AN369" s="3119">
        <f t="shared" ca="1" si="540"/>
        <v>-1200</v>
      </c>
      <c r="AO369" s="2768">
        <f t="shared" ca="1" si="541"/>
        <v>0</v>
      </c>
      <c r="AP369" s="1221">
        <f ca="1">SUM(INDIRECT(AP$1&amp;AP$2&amp;$A369):INDIRECT(AP$1&amp;AP$3&amp;$A369))+SUM(INDIRECT(AP$1&amp;AP$2&amp;$B369):INDIRECT(AP$1&amp;AP$3&amp;$B369))</f>
        <v>0</v>
      </c>
      <c r="AQ369" s="3119">
        <f t="shared" ca="1" si="542"/>
        <v>0</v>
      </c>
      <c r="AR369" s="2768">
        <f t="shared" ca="1" si="543"/>
        <v>0</v>
      </c>
      <c r="AT369" s="1214">
        <f ca="1">SUM((INDIRECT(AT$2&amp;(ROW())):INDIRECT(AT$3&amp;(ROW()))))</f>
        <v>0</v>
      </c>
      <c r="AU369" s="1221">
        <f ca="1">SUM(INDIRECT(AU$1&amp;AU$2&amp;$C369):INDIRECT(AU$1&amp;AU$3&amp;$C369))</f>
        <v>3100</v>
      </c>
      <c r="AV369" s="3119">
        <f t="shared" ca="1" si="544"/>
        <v>-3100</v>
      </c>
      <c r="AW369" s="2768">
        <f t="shared" ca="1" si="545"/>
        <v>0</v>
      </c>
      <c r="AX369" s="1221">
        <f ca="1">SUM(INDIRECT(AX$1&amp;AX$2&amp;$A369):INDIRECT(AX$1&amp;AX$3&amp;$A369))+SUM(INDIRECT(AX$1&amp;AX$2&amp;$B369):INDIRECT(AX$1&amp;AX$3&amp;$B369))</f>
        <v>0</v>
      </c>
      <c r="AY369" s="3119">
        <f t="shared" ca="1" si="546"/>
        <v>0</v>
      </c>
      <c r="AZ369" s="2768">
        <f t="shared" ca="1" si="547"/>
        <v>0</v>
      </c>
      <c r="BB369" s="1214">
        <f ca="1">SUM((INDIRECT(BB$2&amp;(ROW())):INDIRECT(BB$3&amp;(ROW()))))</f>
        <v>0</v>
      </c>
      <c r="BC369" s="1221">
        <f ca="1">SUM(INDIRECT(BC$1&amp;BC$2&amp;$C369):INDIRECT(BC$1&amp;BC$3&amp;$C369))</f>
        <v>4750</v>
      </c>
      <c r="BD369" s="3119">
        <f t="shared" ca="1" si="548"/>
        <v>-4750</v>
      </c>
      <c r="BE369" s="2768">
        <f t="shared" ca="1" si="549"/>
        <v>0</v>
      </c>
      <c r="BF369" s="1221">
        <f ca="1">SUM(INDIRECT(BF$1&amp;BF$2&amp;$A369):INDIRECT(BF$1&amp;BF$3&amp;$A369))+SUM(INDIRECT(BF$1&amp;BF$2&amp;$B369):INDIRECT(BF$1&amp;BF$3&amp;$B369))</f>
        <v>0</v>
      </c>
      <c r="BG369" s="3119">
        <f t="shared" ca="1" si="550"/>
        <v>0</v>
      </c>
      <c r="BH369" s="2768">
        <f t="shared" ca="1" si="551"/>
        <v>0</v>
      </c>
    </row>
    <row r="370" spans="1:60" ht="14.5">
      <c r="A370" s="616">
        <v>1</v>
      </c>
      <c r="B370" s="616">
        <v>1</v>
      </c>
      <c r="C370" s="616">
        <f t="shared" si="518"/>
        <v>367</v>
      </c>
      <c r="D370" s="709" t="s">
        <v>1308</v>
      </c>
      <c r="E370" s="2568" t="s">
        <v>1370</v>
      </c>
      <c r="F370" s="2569"/>
      <c r="G370" s="4"/>
      <c r="H370" s="4"/>
      <c r="I370" s="27"/>
      <c r="J370" s="3"/>
      <c r="K370" s="3" t="s">
        <v>1435</v>
      </c>
      <c r="L370" s="8"/>
      <c r="N370" s="3"/>
      <c r="O370" s="3"/>
      <c r="P370" s="3"/>
      <c r="Q370" s="1790" t="str">
        <f>CHOOSE(2, "6722000003289", "PL (5) BT Cons. Sales ICW ICW-P")</f>
        <v>PL (5) BT Cons. Sales ICW ICW-P</v>
      </c>
      <c r="R370" s="1215">
        <v>0</v>
      </c>
      <c r="S370" s="1222">
        <v>0</v>
      </c>
      <c r="T370" s="1222">
        <v>0</v>
      </c>
      <c r="U370" s="1222">
        <v>0</v>
      </c>
      <c r="V370" s="1222">
        <v>0</v>
      </c>
      <c r="W370" s="1222">
        <v>0</v>
      </c>
      <c r="X370" s="1222">
        <v>0</v>
      </c>
      <c r="Y370" s="1222">
        <v>0</v>
      </c>
      <c r="Z370" s="1222">
        <v>0</v>
      </c>
      <c r="AA370" s="1222">
        <v>0</v>
      </c>
      <c r="AB370" s="1222">
        <v>0</v>
      </c>
      <c r="AC370" s="1222">
        <v>0</v>
      </c>
      <c r="AD370" s="1221">
        <f>SUM(R370,S370,T370)</f>
        <v>0</v>
      </c>
      <c r="AE370" s="1221">
        <f t="shared" si="574"/>
        <v>0</v>
      </c>
      <c r="AF370" s="1221">
        <f t="shared" si="575"/>
        <v>0</v>
      </c>
      <c r="AG370" s="1221">
        <f t="shared" si="576"/>
        <v>0</v>
      </c>
      <c r="AH370" s="1221">
        <f t="shared" si="577"/>
        <v>0</v>
      </c>
      <c r="AI370" s="1221">
        <f t="shared" si="578"/>
        <v>0</v>
      </c>
      <c r="AJ370" s="1221">
        <f t="shared" si="579"/>
        <v>0</v>
      </c>
      <c r="AL370" s="1214">
        <f ca="1">SUM((INDIRECT(AL$2&amp;(ROW())):INDIRECT(AL$3&amp;(ROW()))))</f>
        <v>0</v>
      </c>
      <c r="AM370" s="1221">
        <f ca="1">SUM(INDIRECT(AM$1&amp;AM$2&amp;$C370):INDIRECT(AM$1&amp;AM$3&amp;$C370))</f>
        <v>1200</v>
      </c>
      <c r="AN370" s="3119">
        <f t="shared" ca="1" si="540"/>
        <v>-1200</v>
      </c>
      <c r="AO370" s="2768">
        <f t="shared" ca="1" si="541"/>
        <v>0</v>
      </c>
      <c r="AP370" s="1221">
        <f ca="1">SUM(INDIRECT(AP$1&amp;AP$2&amp;$A370):INDIRECT(AP$1&amp;AP$3&amp;$A370))+SUM(INDIRECT(AP$1&amp;AP$2&amp;$B370):INDIRECT(AP$1&amp;AP$3&amp;$B370))</f>
        <v>0</v>
      </c>
      <c r="AQ370" s="3119">
        <f t="shared" ca="1" si="542"/>
        <v>0</v>
      </c>
      <c r="AR370" s="2768">
        <f t="shared" ca="1" si="543"/>
        <v>0</v>
      </c>
      <c r="AT370" s="1214">
        <f ca="1">SUM((INDIRECT(AT$2&amp;(ROW())):INDIRECT(AT$3&amp;(ROW()))))</f>
        <v>0</v>
      </c>
      <c r="AU370" s="1221">
        <f ca="1">SUM(INDIRECT(AU$1&amp;AU$2&amp;$C370):INDIRECT(AU$1&amp;AU$3&amp;$C370))</f>
        <v>3100</v>
      </c>
      <c r="AV370" s="3119">
        <f t="shared" ca="1" si="544"/>
        <v>-3100</v>
      </c>
      <c r="AW370" s="2768">
        <f t="shared" ca="1" si="545"/>
        <v>0</v>
      </c>
      <c r="AX370" s="1221">
        <f ca="1">SUM(INDIRECT(AX$1&amp;AX$2&amp;$A370):INDIRECT(AX$1&amp;AX$3&amp;$A370))+SUM(INDIRECT(AX$1&amp;AX$2&amp;$B370):INDIRECT(AX$1&amp;AX$3&amp;$B370))</f>
        <v>0</v>
      </c>
      <c r="AY370" s="3119">
        <f t="shared" ca="1" si="546"/>
        <v>0</v>
      </c>
      <c r="AZ370" s="2768">
        <f t="shared" ca="1" si="547"/>
        <v>0</v>
      </c>
      <c r="BB370" s="1214">
        <f ca="1">SUM((INDIRECT(BB$2&amp;(ROW())):INDIRECT(BB$3&amp;(ROW()))))</f>
        <v>0</v>
      </c>
      <c r="BC370" s="1221">
        <f ca="1">SUM(INDIRECT(BC$1&amp;BC$2&amp;$C370):INDIRECT(BC$1&amp;BC$3&amp;$C370))</f>
        <v>4750</v>
      </c>
      <c r="BD370" s="3119">
        <f t="shared" ca="1" si="548"/>
        <v>-4750</v>
      </c>
      <c r="BE370" s="2768">
        <f t="shared" ca="1" si="549"/>
        <v>0</v>
      </c>
      <c r="BF370" s="1221">
        <f ca="1">SUM(INDIRECT(BF$1&amp;BF$2&amp;$A370):INDIRECT(BF$1&amp;BF$3&amp;$A370))+SUM(INDIRECT(BF$1&amp;BF$2&amp;$B370):INDIRECT(BF$1&amp;BF$3&amp;$B370))</f>
        <v>0</v>
      </c>
      <c r="BG370" s="3119">
        <f t="shared" ca="1" si="550"/>
        <v>0</v>
      </c>
      <c r="BH370" s="2768">
        <f t="shared" ca="1" si="551"/>
        <v>0</v>
      </c>
    </row>
    <row r="371" spans="1:60" ht="14.5">
      <c r="A371" s="616">
        <f>ROW()-3</f>
        <v>368</v>
      </c>
      <c r="B371" s="616">
        <v>1</v>
      </c>
      <c r="C371" s="616">
        <f t="shared" si="518"/>
        <v>368</v>
      </c>
      <c r="D371" s="709" t="s">
        <v>1308</v>
      </c>
      <c r="E371" s="2547">
        <v>1</v>
      </c>
      <c r="F371" s="4"/>
      <c r="G371" s="4"/>
      <c r="H371" s="4"/>
      <c r="I371" s="3167" t="s">
        <v>54</v>
      </c>
      <c r="J371" s="2056"/>
      <c r="K371" s="471"/>
      <c r="L371" s="471"/>
      <c r="M371" s="471"/>
      <c r="N371" s="471"/>
      <c r="O371" s="471"/>
      <c r="P371" s="471"/>
      <c r="Q371" s="1801" t="str">
        <f>CHOOSE(2, "6722000003290", "PL (5) Gross Profit")</f>
        <v>PL (5) Gross Profit</v>
      </c>
      <c r="R371" s="1260">
        <f t="shared" ref="R371:AC371" si="580">SUM(R381,R385)</f>
        <v>155</v>
      </c>
      <c r="S371" s="3168">
        <f t="shared" si="580"/>
        <v>130</v>
      </c>
      <c r="T371" s="3168">
        <f t="shared" si="580"/>
        <v>184</v>
      </c>
      <c r="U371" s="3168">
        <f t="shared" si="580"/>
        <v>686</v>
      </c>
      <c r="V371" s="3168">
        <f t="shared" si="580"/>
        <v>461</v>
      </c>
      <c r="W371" s="3168">
        <f t="shared" si="580"/>
        <v>22</v>
      </c>
      <c r="X371" s="3168">
        <f t="shared" si="580"/>
        <v>363</v>
      </c>
      <c r="Y371" s="3168">
        <f t="shared" si="580"/>
        <v>407</v>
      </c>
      <c r="Z371" s="3168">
        <f t="shared" si="580"/>
        <v>0</v>
      </c>
      <c r="AA371" s="3168">
        <f t="shared" si="580"/>
        <v>187</v>
      </c>
      <c r="AB371" s="3168">
        <f t="shared" si="580"/>
        <v>362</v>
      </c>
      <c r="AC371" s="3168">
        <f t="shared" si="580"/>
        <v>401</v>
      </c>
      <c r="AD371" s="3168">
        <f>SUM(AD381,AD385)</f>
        <v>469</v>
      </c>
      <c r="AE371" s="3168">
        <f t="shared" ref="AE371:AJ371" si="581">SUM(AE381,AE385)</f>
        <v>1169</v>
      </c>
      <c r="AF371" s="3168">
        <f t="shared" si="581"/>
        <v>770</v>
      </c>
      <c r="AG371" s="3168">
        <f t="shared" si="581"/>
        <v>950</v>
      </c>
      <c r="AH371" s="3168">
        <f t="shared" si="581"/>
        <v>1638</v>
      </c>
      <c r="AI371" s="3168">
        <f t="shared" si="581"/>
        <v>1720</v>
      </c>
      <c r="AJ371" s="3168">
        <f t="shared" si="581"/>
        <v>3358</v>
      </c>
      <c r="AL371" s="1260">
        <f ca="1">SUM((INDIRECT(AL$2&amp;(ROW())):INDIRECT(AL$3&amp;(ROW()))))</f>
        <v>401</v>
      </c>
      <c r="AM371" s="3168">
        <f ca="1">SUM(INDIRECT(AM$1&amp;AM$2&amp;$C371):INDIRECT(AM$1&amp;AM$3&amp;$C371))</f>
        <v>0</v>
      </c>
      <c r="AN371" s="3169">
        <f t="shared" ca="1" si="540"/>
        <v>401</v>
      </c>
      <c r="AO371" s="3170">
        <f t="shared" ca="1" si="541"/>
        <v>0</v>
      </c>
      <c r="AP371" s="3171">
        <f ca="1">SUM(AP381,AP385)</f>
        <v>0</v>
      </c>
      <c r="AQ371" s="3169">
        <f t="shared" ca="1" si="542"/>
        <v>401</v>
      </c>
      <c r="AR371" s="3170">
        <f t="shared" ca="1" si="543"/>
        <v>0</v>
      </c>
      <c r="AT371" s="1260">
        <f ca="1">SUM((INDIRECT(AT$2&amp;(ROW())):INDIRECT(AT$3&amp;(ROW()))))</f>
        <v>950</v>
      </c>
      <c r="AU371" s="3168">
        <f ca="1">SUM(INDIRECT(AU$1&amp;AU$2&amp;$C371):INDIRECT(AU$1&amp;AU$3&amp;$C371))</f>
        <v>0</v>
      </c>
      <c r="AV371" s="3169">
        <f t="shared" ca="1" si="544"/>
        <v>950</v>
      </c>
      <c r="AW371" s="3170">
        <f t="shared" ca="1" si="545"/>
        <v>0</v>
      </c>
      <c r="AX371" s="3171">
        <f ca="1">SUM(AX381,AX385)</f>
        <v>0</v>
      </c>
      <c r="AY371" s="3169">
        <f t="shared" ca="1" si="546"/>
        <v>950</v>
      </c>
      <c r="AZ371" s="3170">
        <f t="shared" ca="1" si="547"/>
        <v>0</v>
      </c>
      <c r="BB371" s="1260">
        <f ca="1">SUM((INDIRECT(BB$2&amp;(ROW())):INDIRECT(BB$3&amp;(ROW()))))</f>
        <v>3358</v>
      </c>
      <c r="BC371" s="3168">
        <f ca="1">SUM(INDIRECT(BC$1&amp;BC$2&amp;$C371):INDIRECT(BC$1&amp;BC$3&amp;$C371))</f>
        <v>0</v>
      </c>
      <c r="BD371" s="3169">
        <f t="shared" ca="1" si="548"/>
        <v>3358</v>
      </c>
      <c r="BE371" s="3170">
        <f t="shared" ca="1" si="549"/>
        <v>0</v>
      </c>
      <c r="BF371" s="3171">
        <f ca="1">SUM(BF381,BF385)</f>
        <v>0</v>
      </c>
      <c r="BG371" s="3169">
        <f t="shared" ca="1" si="550"/>
        <v>3358</v>
      </c>
      <c r="BH371" s="3170">
        <f t="shared" ca="1" si="551"/>
        <v>0</v>
      </c>
    </row>
    <row r="372" spans="1:60" ht="14.5">
      <c r="A372" s="616">
        <f>ROW()-3</f>
        <v>369</v>
      </c>
      <c r="B372" s="616">
        <v>1</v>
      </c>
      <c r="C372" s="616">
        <f t="shared" si="518"/>
        <v>369</v>
      </c>
      <c r="D372" s="709" t="s">
        <v>1308</v>
      </c>
      <c r="E372" s="2547">
        <v>1</v>
      </c>
      <c r="F372" s="4"/>
      <c r="G372" s="4"/>
      <c r="H372" s="4"/>
      <c r="I372" s="27"/>
      <c r="J372" s="503"/>
      <c r="K372" s="503" t="s">
        <v>1328</v>
      </c>
      <c r="L372" s="4"/>
      <c r="M372" s="4"/>
      <c r="N372" s="4"/>
      <c r="O372" s="478" t="s">
        <v>1388</v>
      </c>
      <c r="P372" s="4"/>
      <c r="Q372" s="1785" t="str">
        <f>CHOOSE(2, "6722000003291", "PL (5) Gross Profit (%)")</f>
        <v>PL (5) Gross Profit (%)</v>
      </c>
      <c r="R372" s="1306">
        <f t="shared" ref="R372:AJ372" si="582">IFERROR(R371/R353,0)</f>
        <v>0.43055555555555558</v>
      </c>
      <c r="S372" s="1284">
        <f t="shared" si="582"/>
        <v>0.49429657794676807</v>
      </c>
      <c r="T372" s="1284">
        <f t="shared" si="582"/>
        <v>0.4191343963553531</v>
      </c>
      <c r="U372" s="1284">
        <f t="shared" si="582"/>
        <v>0.7440347071583514</v>
      </c>
      <c r="V372" s="1284">
        <f t="shared" si="582"/>
        <v>0.12967651195499297</v>
      </c>
      <c r="W372" s="1284">
        <f t="shared" si="582"/>
        <v>0.5</v>
      </c>
      <c r="X372" s="1284">
        <f t="shared" si="582"/>
        <v>0.51271186440677963</v>
      </c>
      <c r="Y372" s="1284">
        <f t="shared" si="582"/>
        <v>0.81399999999999995</v>
      </c>
      <c r="Z372" s="1284">
        <f t="shared" si="582"/>
        <v>0</v>
      </c>
      <c r="AA372" s="1284">
        <f t="shared" si="582"/>
        <v>0.33754512635379064</v>
      </c>
      <c r="AB372" s="1284">
        <f t="shared" si="582"/>
        <v>0.42941874258600238</v>
      </c>
      <c r="AC372" s="1284">
        <f t="shared" si="582"/>
        <v>1.4270462633451957</v>
      </c>
      <c r="AD372" s="1284">
        <f t="shared" si="582"/>
        <v>0.4416195856873823</v>
      </c>
      <c r="AE372" s="1284">
        <f t="shared" si="582"/>
        <v>0.25857111258571114</v>
      </c>
      <c r="AF372" s="1284">
        <f t="shared" si="582"/>
        <v>0.63741721854304634</v>
      </c>
      <c r="AG372" s="1284">
        <f t="shared" si="582"/>
        <v>0.56615017878426699</v>
      </c>
      <c r="AH372" s="1284">
        <f t="shared" si="582"/>
        <v>0.29339065018807092</v>
      </c>
      <c r="AI372" s="1284">
        <f t="shared" si="582"/>
        <v>0.59598059598059594</v>
      </c>
      <c r="AJ372" s="1284">
        <f t="shared" si="582"/>
        <v>0.39650490022434765</v>
      </c>
      <c r="AK372" s="504"/>
      <c r="AL372" s="1306">
        <f ca="1">IFERROR(AL371/AL353,0)</f>
        <v>1.4270462633451957</v>
      </c>
      <c r="AM372" s="1284">
        <f ca="1">IFERROR(AM371/AM353,0)</f>
        <v>0</v>
      </c>
      <c r="AN372" s="1284">
        <f t="shared" ca="1" si="540"/>
        <v>1.4270462633451957</v>
      </c>
      <c r="AO372" s="609"/>
      <c r="AP372" s="1284">
        <f ca="1">IFERROR(AP371/AP353,0)</f>
        <v>0</v>
      </c>
      <c r="AQ372" s="1284">
        <f t="shared" ca="1" si="542"/>
        <v>1.4270462633451957</v>
      </c>
      <c r="AR372" s="609"/>
      <c r="AS372" s="504"/>
      <c r="AT372" s="1306">
        <f ca="1">IFERROR(AT371/AT353,0)</f>
        <v>0.56615017878426699</v>
      </c>
      <c r="AU372" s="1284">
        <f ca="1">IFERROR(AU371/AU353,0)</f>
        <v>0</v>
      </c>
      <c r="AV372" s="1284">
        <f t="shared" ca="1" si="544"/>
        <v>0.56615017878426699</v>
      </c>
      <c r="AW372" s="609"/>
      <c r="AX372" s="1284">
        <f ca="1">IFERROR(AX371/AX353,0)</f>
        <v>0</v>
      </c>
      <c r="AY372" s="1284">
        <f t="shared" ca="1" si="546"/>
        <v>0.56615017878426699</v>
      </c>
      <c r="AZ372" s="609"/>
      <c r="BA372" s="504"/>
      <c r="BB372" s="1306">
        <f ca="1">IFERROR(BB371/BB353,0)</f>
        <v>0.39650490022434765</v>
      </c>
      <c r="BC372" s="1284">
        <f ca="1">IFERROR(BC371/BC353,0)</f>
        <v>0</v>
      </c>
      <c r="BD372" s="1284">
        <f t="shared" ca="1" si="548"/>
        <v>0.39650490022434765</v>
      </c>
      <c r="BE372" s="609"/>
      <c r="BF372" s="1284">
        <f ca="1">IFERROR(BF371/BF353,0)</f>
        <v>0</v>
      </c>
      <c r="BG372" s="1284">
        <f t="shared" ca="1" si="550"/>
        <v>0.39650490022434765</v>
      </c>
      <c r="BH372" s="609"/>
    </row>
    <row r="373" spans="1:60" s="504" customFormat="1" ht="14.5" hidden="1" outlineLevel="1">
      <c r="A373" s="2580">
        <v>340</v>
      </c>
      <c r="B373" s="616">
        <v>1</v>
      </c>
      <c r="C373" s="616">
        <f t="shared" si="518"/>
        <v>370</v>
      </c>
      <c r="D373" s="709" t="s">
        <v>1308</v>
      </c>
      <c r="E373" s="2578" t="s">
        <v>1369</v>
      </c>
      <c r="F373" s="2579"/>
      <c r="G373" s="737"/>
      <c r="H373" s="501"/>
      <c r="I373" s="502"/>
      <c r="J373" s="1074" t="s">
        <v>1436</v>
      </c>
      <c r="K373" s="1075"/>
      <c r="L373" s="1076"/>
      <c r="M373" s="1077"/>
      <c r="N373" s="1078"/>
      <c r="O373" s="1078"/>
      <c r="P373" s="1078"/>
      <c r="Q373" s="1797" t="str">
        <f>CHOOSE(2, "6722000003292", "PL (5) Gross Profit ITS (%)")</f>
        <v>PL (5) Gross Profit ITS (%)</v>
      </c>
      <c r="R373" s="1456">
        <f t="shared" ref="R373:AJ380" si="583">IFERROR(R381/R354,0)</f>
        <v>0.43055555555555558</v>
      </c>
      <c r="S373" s="1457">
        <f t="shared" si="583"/>
        <v>0.49429657794676807</v>
      </c>
      <c r="T373" s="1457">
        <f t="shared" si="583"/>
        <v>0.4191343963553531</v>
      </c>
      <c r="U373" s="1457">
        <f t="shared" si="583"/>
        <v>0.7440347071583514</v>
      </c>
      <c r="V373" s="1457">
        <f t="shared" si="583"/>
        <v>0.12967651195499297</v>
      </c>
      <c r="W373" s="1457">
        <f t="shared" si="583"/>
        <v>0.5</v>
      </c>
      <c r="X373" s="1457">
        <f t="shared" si="583"/>
        <v>0.51271186440677963</v>
      </c>
      <c r="Y373" s="1457">
        <f t="shared" si="583"/>
        <v>0.81399999999999995</v>
      </c>
      <c r="Z373" s="1457">
        <f t="shared" si="583"/>
        <v>0</v>
      </c>
      <c r="AA373" s="1457">
        <f t="shared" si="583"/>
        <v>0.33754512635379064</v>
      </c>
      <c r="AB373" s="1457">
        <f t="shared" si="583"/>
        <v>0.42941874258600238</v>
      </c>
      <c r="AC373" s="1457">
        <f t="shared" si="583"/>
        <v>1.4270462633451957</v>
      </c>
      <c r="AD373" s="1457">
        <f t="shared" si="583"/>
        <v>0.4416195856873823</v>
      </c>
      <c r="AE373" s="1457">
        <f t="shared" si="583"/>
        <v>0.25857111258571114</v>
      </c>
      <c r="AF373" s="1457">
        <f t="shared" si="583"/>
        <v>0.63741721854304634</v>
      </c>
      <c r="AG373" s="1457">
        <f t="shared" si="583"/>
        <v>0.56615017878426699</v>
      </c>
      <c r="AH373" s="1457">
        <f t="shared" si="583"/>
        <v>0.29339065018807092</v>
      </c>
      <c r="AI373" s="1457">
        <f t="shared" si="583"/>
        <v>0.59598059598059594</v>
      </c>
      <c r="AJ373" s="1457">
        <f t="shared" si="583"/>
        <v>0.39650490022434765</v>
      </c>
      <c r="AL373" s="1456">
        <f ca="1">IFERROR(AL381/AL358,0)</f>
        <v>0</v>
      </c>
      <c r="AM373" s="1457">
        <f ca="1">IFERROR(AM388/AM358,0)</f>
        <v>0</v>
      </c>
      <c r="AN373" s="1457">
        <f t="shared" ca="1" si="540"/>
        <v>0</v>
      </c>
      <c r="AO373" s="2828"/>
      <c r="AP373" s="1457">
        <f ca="1">IFERROR(AP388/AP358,0)</f>
        <v>0</v>
      </c>
      <c r="AQ373" s="1457">
        <f t="shared" ca="1" si="542"/>
        <v>0</v>
      </c>
      <c r="AR373" s="2828"/>
      <c r="AT373" s="1456">
        <f ca="1">IFERROR(AT381/AT358,0)</f>
        <v>0</v>
      </c>
      <c r="AU373" s="1457">
        <f ca="1">IFERROR(AU388/AU358,0)</f>
        <v>2.4193548387096774E-2</v>
      </c>
      <c r="AV373" s="1457">
        <f t="shared" ca="1" si="544"/>
        <v>-2.4193548387096774E-2</v>
      </c>
      <c r="AW373" s="2828"/>
      <c r="AX373" s="1457">
        <f ca="1">IFERROR(AX388/AX358,0)</f>
        <v>0</v>
      </c>
      <c r="AY373" s="1457">
        <f t="shared" ca="1" si="546"/>
        <v>0</v>
      </c>
      <c r="AZ373" s="2828"/>
      <c r="BB373" s="1456">
        <f ca="1">IFERROR(BB381/BB358,0)</f>
        <v>0</v>
      </c>
      <c r="BC373" s="1457">
        <f ca="1">IFERROR(BC388/BC358,0)</f>
        <v>3.1578947368421054E-2</v>
      </c>
      <c r="BD373" s="1457">
        <f t="shared" ca="1" si="548"/>
        <v>-3.1578947368421054E-2</v>
      </c>
      <c r="BE373" s="2828"/>
      <c r="BF373" s="1457">
        <f ca="1">IFERROR(BF388/BF358,0)</f>
        <v>0</v>
      </c>
      <c r="BG373" s="1457">
        <f t="shared" ca="1" si="550"/>
        <v>0</v>
      </c>
      <c r="BH373" s="2828"/>
    </row>
    <row r="374" spans="1:60" s="504" customFormat="1" ht="14.5" hidden="1" outlineLevel="1">
      <c r="A374" s="2580">
        <v>340</v>
      </c>
      <c r="B374" s="616">
        <v>1</v>
      </c>
      <c r="C374" s="616">
        <f t="shared" si="518"/>
        <v>371</v>
      </c>
      <c r="D374" s="709" t="s">
        <v>1308</v>
      </c>
      <c r="E374" s="2568" t="s">
        <v>1370</v>
      </c>
      <c r="F374" s="2569"/>
      <c r="G374" s="737"/>
      <c r="H374" s="501"/>
      <c r="I374" s="502"/>
      <c r="J374" s="503"/>
      <c r="K374" s="503" t="s">
        <v>1437</v>
      </c>
      <c r="L374" s="501"/>
      <c r="M374" s="733"/>
      <c r="N374" s="505"/>
      <c r="O374" s="505"/>
      <c r="P374" s="505"/>
      <c r="Q374" s="1792" t="str">
        <f>CHOOSE(2, "6722000003293", "PL (5) Gross Profit ITS (%) IMS (%)")</f>
        <v>PL (5) Gross Profit ITS (%) IMS (%)</v>
      </c>
      <c r="R374" s="1304">
        <f t="shared" si="583"/>
        <v>0</v>
      </c>
      <c r="S374" s="1283">
        <f t="shared" si="583"/>
        <v>0</v>
      </c>
      <c r="T374" s="1283">
        <f t="shared" si="583"/>
        <v>0</v>
      </c>
      <c r="U374" s="1283">
        <f t="shared" si="583"/>
        <v>1</v>
      </c>
      <c r="V374" s="1283">
        <f t="shared" si="583"/>
        <v>0</v>
      </c>
      <c r="W374" s="1283">
        <f t="shared" si="583"/>
        <v>0</v>
      </c>
      <c r="X374" s="1283">
        <f t="shared" si="583"/>
        <v>0.3235294117647059</v>
      </c>
      <c r="Y374" s="1283">
        <f t="shared" si="583"/>
        <v>0</v>
      </c>
      <c r="Z374" s="1283">
        <f t="shared" si="583"/>
        <v>0</v>
      </c>
      <c r="AA374" s="1283">
        <f t="shared" si="583"/>
        <v>0.3235294117647059</v>
      </c>
      <c r="AB374" s="1283">
        <f t="shared" si="583"/>
        <v>0</v>
      </c>
      <c r="AC374" s="1283">
        <f t="shared" si="583"/>
        <v>0</v>
      </c>
      <c r="AD374" s="1283">
        <f t="shared" si="583"/>
        <v>0</v>
      </c>
      <c r="AE374" s="1283">
        <f t="shared" si="583"/>
        <v>1</v>
      </c>
      <c r="AF374" s="1283">
        <f t="shared" si="583"/>
        <v>0.3235294117647059</v>
      </c>
      <c r="AG374" s="1283">
        <f t="shared" si="583"/>
        <v>0.3235294117647059</v>
      </c>
      <c r="AH374" s="1283">
        <f t="shared" si="583"/>
        <v>1</v>
      </c>
      <c r="AI374" s="1283">
        <f t="shared" si="583"/>
        <v>0.3235294117647059</v>
      </c>
      <c r="AJ374" s="1283">
        <f t="shared" si="583"/>
        <v>0.5490196078431373</v>
      </c>
      <c r="AL374" s="1304">
        <f ca="1">IFERROR(AL382/AL359,0)</f>
        <v>0</v>
      </c>
      <c r="AM374" s="1283">
        <f ca="1">IFERROR(#REF!/AM359,0)</f>
        <v>0</v>
      </c>
      <c r="AN374" s="1283">
        <f t="shared" ca="1" si="540"/>
        <v>0</v>
      </c>
      <c r="AO374" s="2777"/>
      <c r="AP374" s="1283">
        <f ca="1">IFERROR(#REF!/AP359,0)</f>
        <v>0</v>
      </c>
      <c r="AQ374" s="1283">
        <f t="shared" ca="1" si="542"/>
        <v>0</v>
      </c>
      <c r="AR374" s="2777"/>
      <c r="AT374" s="1304">
        <f ca="1">IFERROR(AT382/AT359,0)</f>
        <v>0</v>
      </c>
      <c r="AU374" s="1283">
        <f ca="1">IFERROR(#REF!/AU359,0)</f>
        <v>0</v>
      </c>
      <c r="AV374" s="1283">
        <f t="shared" ca="1" si="544"/>
        <v>0</v>
      </c>
      <c r="AW374" s="2777"/>
      <c r="AX374" s="1283">
        <f ca="1">IFERROR(#REF!/AX359,0)</f>
        <v>0</v>
      </c>
      <c r="AY374" s="1283">
        <f t="shared" ca="1" si="546"/>
        <v>0</v>
      </c>
      <c r="AZ374" s="2777"/>
      <c r="BB374" s="1304">
        <f ca="1">IFERROR(BB382/BB359,0)</f>
        <v>0</v>
      </c>
      <c r="BC374" s="1283">
        <f ca="1">IFERROR(#REF!/BC359,0)</f>
        <v>0</v>
      </c>
      <c r="BD374" s="1283">
        <f t="shared" ca="1" si="548"/>
        <v>0</v>
      </c>
      <c r="BE374" s="2777"/>
      <c r="BF374" s="1283">
        <f ca="1">IFERROR(#REF!/BF359,0)</f>
        <v>0</v>
      </c>
      <c r="BG374" s="1283">
        <f t="shared" ca="1" si="550"/>
        <v>0</v>
      </c>
      <c r="BH374" s="2777"/>
    </row>
    <row r="375" spans="1:60" s="504" customFormat="1" ht="14.5" hidden="1" outlineLevel="1">
      <c r="A375" s="616">
        <f>A378+1</f>
        <v>342</v>
      </c>
      <c r="B375" s="616">
        <v>1</v>
      </c>
      <c r="C375" s="616">
        <f t="shared" si="518"/>
        <v>372</v>
      </c>
      <c r="D375" s="709" t="s">
        <v>1308</v>
      </c>
      <c r="E375" s="2568" t="s">
        <v>1370</v>
      </c>
      <c r="F375" s="2569"/>
      <c r="G375" s="4"/>
      <c r="H375" s="501"/>
      <c r="I375" s="502"/>
      <c r="J375" s="503"/>
      <c r="K375" s="503" t="s">
        <v>1438</v>
      </c>
      <c r="L375" s="501"/>
      <c r="M375" s="733"/>
      <c r="N375" s="505"/>
      <c r="O375" s="505"/>
      <c r="P375" s="505"/>
      <c r="Q375" s="1792" t="str">
        <f>CHOOSE(2, "6722000003294", "PL (5) Gross Profit ITS (%) MCS (%)")</f>
        <v>PL (5) Gross Profit ITS (%) MCS (%)</v>
      </c>
      <c r="R375" s="1304">
        <f t="shared" si="583"/>
        <v>0.43055555555555558</v>
      </c>
      <c r="S375" s="1283">
        <f t="shared" si="583"/>
        <v>0.49429657794676807</v>
      </c>
      <c r="T375" s="1283">
        <f t="shared" si="583"/>
        <v>0.4191343963553531</v>
      </c>
      <c r="U375" s="1283">
        <f t="shared" si="583"/>
        <v>0.42718446601941745</v>
      </c>
      <c r="V375" s="1283">
        <f t="shared" si="583"/>
        <v>0.12967651195499297</v>
      </c>
      <c r="W375" s="1283">
        <f t="shared" si="583"/>
        <v>0.5</v>
      </c>
      <c r="X375" s="1283">
        <f t="shared" si="583"/>
        <v>1</v>
      </c>
      <c r="Y375" s="1283">
        <f t="shared" si="583"/>
        <v>0.81399999999999995</v>
      </c>
      <c r="Z375" s="1283">
        <f t="shared" si="583"/>
        <v>0</v>
      </c>
      <c r="AA375" s="1283">
        <f t="shared" si="583"/>
        <v>0.5</v>
      </c>
      <c r="AB375" s="1283">
        <f t="shared" si="583"/>
        <v>0.42941874258600238</v>
      </c>
      <c r="AC375" s="1283">
        <f t="shared" si="583"/>
        <v>1.4270462633451957</v>
      </c>
      <c r="AD375" s="1283">
        <f t="shared" si="583"/>
        <v>0.4416195856873823</v>
      </c>
      <c r="AE375" s="1283">
        <f t="shared" si="583"/>
        <v>0.16429818000498628</v>
      </c>
      <c r="AF375" s="1283">
        <f t="shared" si="583"/>
        <v>0.86676217765042984</v>
      </c>
      <c r="AG375" s="1283">
        <f t="shared" si="583"/>
        <v>0.6720890410958904</v>
      </c>
      <c r="AH375" s="1283">
        <f t="shared" si="583"/>
        <v>0.22235363690124188</v>
      </c>
      <c r="AI375" s="1283">
        <f t="shared" si="583"/>
        <v>0.744908896034298</v>
      </c>
      <c r="AJ375" s="1283">
        <f t="shared" si="583"/>
        <v>0.36287649517221504</v>
      </c>
      <c r="AL375" s="1304">
        <f ca="1">IFERROR(AL383/AL361,0)</f>
        <v>0</v>
      </c>
      <c r="AM375" s="1283">
        <f ca="1">IFERROR(AM383/AM361,0)</f>
        <v>0</v>
      </c>
      <c r="AN375" s="1283">
        <f t="shared" ca="1" si="540"/>
        <v>0</v>
      </c>
      <c r="AO375" s="2777"/>
      <c r="AP375" s="1283">
        <f ca="1">IFERROR(AP383/AP361,0)</f>
        <v>0</v>
      </c>
      <c r="AQ375" s="1283">
        <f t="shared" ca="1" si="542"/>
        <v>0</v>
      </c>
      <c r="AR375" s="2777"/>
      <c r="AT375" s="1304">
        <f ca="1">IFERROR(AT383/AT361,0)</f>
        <v>0</v>
      </c>
      <c r="AU375" s="1283">
        <f ca="1">IFERROR(AU383/AU361,0)</f>
        <v>0</v>
      </c>
      <c r="AV375" s="1283">
        <f t="shared" ca="1" si="544"/>
        <v>0</v>
      </c>
      <c r="AW375" s="2777"/>
      <c r="AX375" s="1283">
        <f ca="1">IFERROR(AX383/AX361,0)</f>
        <v>0</v>
      </c>
      <c r="AY375" s="1283">
        <f t="shared" ca="1" si="546"/>
        <v>0</v>
      </c>
      <c r="AZ375" s="2777"/>
      <c r="BB375" s="1304">
        <f ca="1">IFERROR(BB383/BB361,0)</f>
        <v>0</v>
      </c>
      <c r="BC375" s="1283">
        <f ca="1">IFERROR(BC383/BC361,0)</f>
        <v>0</v>
      </c>
      <c r="BD375" s="1283">
        <f t="shared" ca="1" si="548"/>
        <v>0</v>
      </c>
      <c r="BE375" s="2777"/>
      <c r="BF375" s="1283">
        <f ca="1">IFERROR(BF383/BF361,0)</f>
        <v>0</v>
      </c>
      <c r="BG375" s="1283">
        <f t="shared" ca="1" si="550"/>
        <v>0</v>
      </c>
      <c r="BH375" s="2777"/>
    </row>
    <row r="376" spans="1:60" s="504" customFormat="1" ht="14.5" hidden="1" outlineLevel="1">
      <c r="A376" s="616">
        <f>A375+1</f>
        <v>343</v>
      </c>
      <c r="B376" s="616">
        <v>1</v>
      </c>
      <c r="C376" s="616">
        <f t="shared" si="518"/>
        <v>373</v>
      </c>
      <c r="D376" s="709" t="s">
        <v>1308</v>
      </c>
      <c r="E376" s="2568" t="s">
        <v>1370</v>
      </c>
      <c r="F376" s="2569"/>
      <c r="G376" s="4"/>
      <c r="H376" s="501"/>
      <c r="I376" s="502"/>
      <c r="J376" s="503"/>
      <c r="K376" s="503" t="s">
        <v>1439</v>
      </c>
      <c r="L376" s="501"/>
      <c r="M376" s="503"/>
      <c r="N376" s="505"/>
      <c r="O376" s="505"/>
      <c r="P376" s="505"/>
      <c r="Q376" s="1792" t="str">
        <f>CHOOSE(2, "6722000003295", "PL (5) Gross Profit ITS (%) BPS (%)")</f>
        <v>PL (5) Gross Profit ITS (%) BPS (%)</v>
      </c>
      <c r="R376" s="1304">
        <f t="shared" si="583"/>
        <v>0</v>
      </c>
      <c r="S376" s="1283">
        <f t="shared" si="583"/>
        <v>0</v>
      </c>
      <c r="T376" s="1283">
        <f t="shared" si="583"/>
        <v>0</v>
      </c>
      <c r="U376" s="1283">
        <f t="shared" si="583"/>
        <v>0</v>
      </c>
      <c r="V376" s="1283">
        <f t="shared" si="583"/>
        <v>0</v>
      </c>
      <c r="W376" s="1283">
        <f t="shared" si="583"/>
        <v>0</v>
      </c>
      <c r="X376" s="1283">
        <f t="shared" si="583"/>
        <v>0</v>
      </c>
      <c r="Y376" s="1283">
        <f t="shared" si="583"/>
        <v>0</v>
      </c>
      <c r="Z376" s="1283">
        <f t="shared" si="583"/>
        <v>0</v>
      </c>
      <c r="AA376" s="1283">
        <f t="shared" si="583"/>
        <v>0</v>
      </c>
      <c r="AB376" s="1283">
        <f t="shared" si="583"/>
        <v>0</v>
      </c>
      <c r="AC376" s="1283">
        <f t="shared" si="583"/>
        <v>0</v>
      </c>
      <c r="AD376" s="1283">
        <f t="shared" si="583"/>
        <v>0</v>
      </c>
      <c r="AE376" s="1283">
        <f t="shared" si="583"/>
        <v>0</v>
      </c>
      <c r="AF376" s="1283">
        <f t="shared" si="583"/>
        <v>0</v>
      </c>
      <c r="AG376" s="1283">
        <f t="shared" si="583"/>
        <v>0</v>
      </c>
      <c r="AH376" s="1283">
        <f t="shared" si="583"/>
        <v>0</v>
      </c>
      <c r="AI376" s="1283">
        <f t="shared" si="583"/>
        <v>0</v>
      </c>
      <c r="AJ376" s="1283">
        <f t="shared" si="583"/>
        <v>0</v>
      </c>
      <c r="AL376" s="1304">
        <f ca="1">IFERROR(AL388/#REF!,0)</f>
        <v>0</v>
      </c>
      <c r="AM376" s="1283">
        <f ca="1">IFERROR(AM388/#REF!,0)</f>
        <v>0</v>
      </c>
      <c r="AN376" s="1283">
        <f t="shared" ca="1" si="540"/>
        <v>0</v>
      </c>
      <c r="AO376" s="2777"/>
      <c r="AP376" s="1283">
        <f ca="1">IFERROR(AP388/#REF!,0)</f>
        <v>0</v>
      </c>
      <c r="AQ376" s="1283">
        <f t="shared" ca="1" si="542"/>
        <v>0</v>
      </c>
      <c r="AR376" s="2777"/>
      <c r="AT376" s="1304">
        <f ca="1">IFERROR(AT388/#REF!,0)</f>
        <v>0</v>
      </c>
      <c r="AU376" s="1283">
        <f ca="1">IFERROR(AU388/#REF!,0)</f>
        <v>0</v>
      </c>
      <c r="AV376" s="1283">
        <f t="shared" ca="1" si="544"/>
        <v>0</v>
      </c>
      <c r="AW376" s="2777"/>
      <c r="AX376" s="1283">
        <f ca="1">IFERROR(AX388/#REF!,0)</f>
        <v>0</v>
      </c>
      <c r="AY376" s="1283">
        <f t="shared" ca="1" si="546"/>
        <v>0</v>
      </c>
      <c r="AZ376" s="2777"/>
      <c r="BB376" s="1304">
        <f ca="1">IFERROR(BB388/#REF!,0)</f>
        <v>0</v>
      </c>
      <c r="BC376" s="1283">
        <f ca="1">IFERROR(BC388/#REF!,0)</f>
        <v>0</v>
      </c>
      <c r="BD376" s="1283">
        <f t="shared" ca="1" si="548"/>
        <v>0</v>
      </c>
      <c r="BE376" s="2777"/>
      <c r="BF376" s="1283">
        <f ca="1">IFERROR(BF388/#REF!,0)</f>
        <v>0</v>
      </c>
      <c r="BG376" s="1283">
        <f t="shared" ca="1" si="550"/>
        <v>0</v>
      </c>
      <c r="BH376" s="2777"/>
    </row>
    <row r="377" spans="1:60" s="504" customFormat="1" ht="14.5" hidden="1" outlineLevel="1">
      <c r="A377" s="616">
        <f>A373+1</f>
        <v>341</v>
      </c>
      <c r="B377" s="616">
        <v>1</v>
      </c>
      <c r="C377" s="616">
        <f t="shared" si="518"/>
        <v>374</v>
      </c>
      <c r="D377" s="709" t="s">
        <v>1308</v>
      </c>
      <c r="E377" s="2578" t="s">
        <v>1369</v>
      </c>
      <c r="F377" s="2579"/>
      <c r="G377" s="4"/>
      <c r="H377" s="501"/>
      <c r="I377" s="502"/>
      <c r="J377" s="1074" t="s">
        <v>1440</v>
      </c>
      <c r="K377" s="1075"/>
      <c r="L377" s="1076"/>
      <c r="M377" s="1079"/>
      <c r="N377" s="1078"/>
      <c r="O377" s="1078"/>
      <c r="P377" s="1078"/>
      <c r="Q377" s="1797" t="str">
        <f>CHOOSE(2, "6722000003296", "PL (5) Gross Profit ICW (%)")</f>
        <v>PL (5) Gross Profit ICW (%)</v>
      </c>
      <c r="R377" s="1456">
        <f t="shared" si="583"/>
        <v>0</v>
      </c>
      <c r="S377" s="1457">
        <f t="shared" si="583"/>
        <v>0</v>
      </c>
      <c r="T377" s="1457">
        <f t="shared" si="583"/>
        <v>0</v>
      </c>
      <c r="U377" s="1457">
        <f t="shared" si="583"/>
        <v>0</v>
      </c>
      <c r="V377" s="1457">
        <f t="shared" si="583"/>
        <v>0</v>
      </c>
      <c r="W377" s="1457">
        <f t="shared" si="583"/>
        <v>0</v>
      </c>
      <c r="X377" s="1457">
        <f t="shared" si="583"/>
        <v>0</v>
      </c>
      <c r="Y377" s="1457">
        <f t="shared" si="583"/>
        <v>0</v>
      </c>
      <c r="Z377" s="1457">
        <f t="shared" si="583"/>
        <v>0</v>
      </c>
      <c r="AA377" s="1457">
        <f t="shared" si="583"/>
        <v>0</v>
      </c>
      <c r="AB377" s="1457">
        <f t="shared" si="583"/>
        <v>0</v>
      </c>
      <c r="AC377" s="1457">
        <f t="shared" si="583"/>
        <v>0</v>
      </c>
      <c r="AD377" s="1457">
        <f t="shared" si="583"/>
        <v>0</v>
      </c>
      <c r="AE377" s="1457">
        <f t="shared" si="583"/>
        <v>0</v>
      </c>
      <c r="AF377" s="1457">
        <f t="shared" si="583"/>
        <v>0</v>
      </c>
      <c r="AG377" s="1457">
        <f t="shared" si="583"/>
        <v>0</v>
      </c>
      <c r="AH377" s="1457">
        <f t="shared" si="583"/>
        <v>0</v>
      </c>
      <c r="AI377" s="1457">
        <f t="shared" si="583"/>
        <v>0</v>
      </c>
      <c r="AJ377" s="1457">
        <f t="shared" si="583"/>
        <v>0</v>
      </c>
      <c r="AL377" s="1456">
        <f ca="1">IFERROR(AL385/AL355,0)</f>
        <v>0</v>
      </c>
      <c r="AM377" s="1457">
        <f ca="1">IFERROR(AM385/AM355,0)</f>
        <v>0</v>
      </c>
      <c r="AN377" s="1457">
        <f t="shared" ca="1" si="540"/>
        <v>0</v>
      </c>
      <c r="AO377" s="2828"/>
      <c r="AP377" s="1457">
        <f ca="1">IFERROR(AP385/AP355,0)</f>
        <v>0</v>
      </c>
      <c r="AQ377" s="1457">
        <f t="shared" ca="1" si="542"/>
        <v>0</v>
      </c>
      <c r="AR377" s="2828"/>
      <c r="AT377" s="1456">
        <f ca="1">IFERROR(AT385/AT355,0)</f>
        <v>0</v>
      </c>
      <c r="AU377" s="1457">
        <f ca="1">IFERROR(AU385/AU355,0)</f>
        <v>0</v>
      </c>
      <c r="AV377" s="1457">
        <f t="shared" ca="1" si="544"/>
        <v>0</v>
      </c>
      <c r="AW377" s="2828"/>
      <c r="AX377" s="1457">
        <f ca="1">IFERROR(AX385/AX355,0)</f>
        <v>0</v>
      </c>
      <c r="AY377" s="1457">
        <f t="shared" ca="1" si="546"/>
        <v>0</v>
      </c>
      <c r="AZ377" s="2828"/>
      <c r="BB377" s="1456">
        <f ca="1">IFERROR(BB385/BB355,0)</f>
        <v>0</v>
      </c>
      <c r="BC377" s="1457">
        <f ca="1">IFERROR(BC385/BC355,0)</f>
        <v>0</v>
      </c>
      <c r="BD377" s="1457">
        <f t="shared" ca="1" si="548"/>
        <v>0</v>
      </c>
      <c r="BE377" s="2828"/>
      <c r="BF377" s="1457">
        <f ca="1">IFERROR(BF385/BF355,0)</f>
        <v>0</v>
      </c>
      <c r="BG377" s="1457">
        <f t="shared" ca="1" si="550"/>
        <v>0</v>
      </c>
      <c r="BH377" s="2828"/>
    </row>
    <row r="378" spans="1:60" s="504" customFormat="1" ht="14.5" hidden="1" outlineLevel="1">
      <c r="A378" s="616">
        <f>A374+1</f>
        <v>341</v>
      </c>
      <c r="B378" s="616">
        <v>1</v>
      </c>
      <c r="C378" s="616">
        <f t="shared" si="518"/>
        <v>375</v>
      </c>
      <c r="D378" s="709" t="s">
        <v>1308</v>
      </c>
      <c r="E378" s="2568" t="s">
        <v>1370</v>
      </c>
      <c r="F378" s="2569"/>
      <c r="G378" s="4"/>
      <c r="H378" s="501"/>
      <c r="I378" s="502"/>
      <c r="J378" s="503"/>
      <c r="K378" s="503" t="s">
        <v>1441</v>
      </c>
      <c r="L378" s="501"/>
      <c r="M378" s="1081"/>
      <c r="N378" s="505"/>
      <c r="O378" s="505"/>
      <c r="P378" s="505"/>
      <c r="Q378" s="1792" t="str">
        <f>CHOOSE(2, "6722000003297", "PL (5) Gross Profit ICW (%) ICW-IT (%)")</f>
        <v>PL (5) Gross Profit ICW (%) ICW-IT (%)</v>
      </c>
      <c r="R378" s="1304">
        <f t="shared" si="583"/>
        <v>0</v>
      </c>
      <c r="S378" s="1283">
        <f t="shared" si="583"/>
        <v>0</v>
      </c>
      <c r="T378" s="1283">
        <f t="shared" si="583"/>
        <v>0</v>
      </c>
      <c r="U378" s="1283">
        <f t="shared" si="583"/>
        <v>0</v>
      </c>
      <c r="V378" s="1283">
        <f t="shared" si="583"/>
        <v>0</v>
      </c>
      <c r="W378" s="1283">
        <f t="shared" si="583"/>
        <v>0</v>
      </c>
      <c r="X378" s="1283">
        <f t="shared" si="583"/>
        <v>0</v>
      </c>
      <c r="Y378" s="1283">
        <f t="shared" si="583"/>
        <v>0</v>
      </c>
      <c r="Z378" s="1283">
        <f t="shared" si="583"/>
        <v>0</v>
      </c>
      <c r="AA378" s="1283">
        <f t="shared" si="583"/>
        <v>0</v>
      </c>
      <c r="AB378" s="1283">
        <f t="shared" si="583"/>
        <v>0</v>
      </c>
      <c r="AC378" s="1283">
        <f t="shared" si="583"/>
        <v>0</v>
      </c>
      <c r="AD378" s="1283">
        <f t="shared" si="583"/>
        <v>0</v>
      </c>
      <c r="AE378" s="1283">
        <f t="shared" si="583"/>
        <v>0</v>
      </c>
      <c r="AF378" s="1283">
        <f t="shared" si="583"/>
        <v>0</v>
      </c>
      <c r="AG378" s="1283">
        <f t="shared" si="583"/>
        <v>0</v>
      </c>
      <c r="AH378" s="1283">
        <f t="shared" si="583"/>
        <v>0</v>
      </c>
      <c r="AI378" s="1283">
        <f t="shared" si="583"/>
        <v>0</v>
      </c>
      <c r="AJ378" s="1283">
        <f t="shared" si="583"/>
        <v>0</v>
      </c>
      <c r="AL378" s="1304">
        <f ca="1">IFERROR(AL386/AL356,0)</f>
        <v>0</v>
      </c>
      <c r="AM378" s="1283">
        <f ca="1">IFERROR(AM386/AM356,0)</f>
        <v>0</v>
      </c>
      <c r="AN378" s="1283">
        <f t="shared" ca="1" si="540"/>
        <v>0</v>
      </c>
      <c r="AO378" s="2777"/>
      <c r="AP378" s="1283">
        <f ca="1">IFERROR(AP386/AP356,0)</f>
        <v>0</v>
      </c>
      <c r="AQ378" s="1283">
        <f t="shared" ca="1" si="542"/>
        <v>0</v>
      </c>
      <c r="AR378" s="2777"/>
      <c r="AT378" s="1304">
        <f ca="1">IFERROR(AT386/AT356,0)</f>
        <v>0</v>
      </c>
      <c r="AU378" s="1283">
        <f ca="1">IFERROR(AU386/AU356,0)</f>
        <v>0</v>
      </c>
      <c r="AV378" s="1283">
        <f t="shared" ca="1" si="544"/>
        <v>0</v>
      </c>
      <c r="AW378" s="2777"/>
      <c r="AX378" s="1283">
        <f ca="1">IFERROR(AX386/AX356,0)</f>
        <v>0</v>
      </c>
      <c r="AY378" s="1283">
        <f t="shared" ca="1" si="546"/>
        <v>0</v>
      </c>
      <c r="AZ378" s="2777"/>
      <c r="BB378" s="1304">
        <f ca="1">IFERROR(BB386/BB356,0)</f>
        <v>0</v>
      </c>
      <c r="BC378" s="1283">
        <f ca="1">IFERROR(BC386/BC356,0)</f>
        <v>0</v>
      </c>
      <c r="BD378" s="1283">
        <f t="shared" ca="1" si="548"/>
        <v>0</v>
      </c>
      <c r="BE378" s="2777"/>
      <c r="BF378" s="1283">
        <f ca="1">IFERROR(BF386/BF356,0)</f>
        <v>0</v>
      </c>
      <c r="BG378" s="1283">
        <f t="shared" ca="1" si="550"/>
        <v>0</v>
      </c>
      <c r="BH378" s="2777"/>
    </row>
    <row r="379" spans="1:60" s="504" customFormat="1" ht="14.5" hidden="1" outlineLevel="1">
      <c r="A379" s="616">
        <v>1</v>
      </c>
      <c r="B379" s="616">
        <v>1</v>
      </c>
      <c r="C379" s="616">
        <f t="shared" si="518"/>
        <v>376</v>
      </c>
      <c r="D379" s="709" t="s">
        <v>1308</v>
      </c>
      <c r="E379" s="2568" t="s">
        <v>1370</v>
      </c>
      <c r="F379" s="2569"/>
      <c r="G379" s="4"/>
      <c r="H379" s="501"/>
      <c r="I379" s="502"/>
      <c r="J379" s="503"/>
      <c r="K379" s="503" t="s">
        <v>1442</v>
      </c>
      <c r="L379" s="501"/>
      <c r="M379" s="1081"/>
      <c r="N379" s="505"/>
      <c r="O379" s="505"/>
      <c r="P379" s="505"/>
      <c r="Q379" s="1792" t="str">
        <f>CHOOSE(2, "6722000003298", "PL (5) Gross Profit ICW (%) ICW-WK (%)")</f>
        <v>PL (5) Gross Profit ICW (%) ICW-WK (%)</v>
      </c>
      <c r="R379" s="1304">
        <f t="shared" si="583"/>
        <v>0</v>
      </c>
      <c r="S379" s="1283">
        <f t="shared" si="583"/>
        <v>0</v>
      </c>
      <c r="T379" s="1283">
        <f t="shared" si="583"/>
        <v>0</v>
      </c>
      <c r="U379" s="1283">
        <f t="shared" si="583"/>
        <v>0</v>
      </c>
      <c r="V379" s="1283">
        <f t="shared" si="583"/>
        <v>0</v>
      </c>
      <c r="W379" s="1283">
        <f t="shared" si="583"/>
        <v>0</v>
      </c>
      <c r="X379" s="1283">
        <f t="shared" si="583"/>
        <v>0</v>
      </c>
      <c r="Y379" s="1283">
        <f t="shared" si="583"/>
        <v>0</v>
      </c>
      <c r="Z379" s="1283">
        <f t="shared" si="583"/>
        <v>0</v>
      </c>
      <c r="AA379" s="1283">
        <f t="shared" si="583"/>
        <v>0</v>
      </c>
      <c r="AB379" s="1283">
        <f t="shared" si="583"/>
        <v>0</v>
      </c>
      <c r="AC379" s="1283">
        <f t="shared" si="583"/>
        <v>0</v>
      </c>
      <c r="AD379" s="1283">
        <f t="shared" si="583"/>
        <v>0</v>
      </c>
      <c r="AE379" s="1283">
        <f t="shared" si="583"/>
        <v>0</v>
      </c>
      <c r="AF379" s="1283">
        <f t="shared" si="583"/>
        <v>0</v>
      </c>
      <c r="AG379" s="1283">
        <f t="shared" si="583"/>
        <v>0</v>
      </c>
      <c r="AH379" s="1283">
        <f t="shared" si="583"/>
        <v>0</v>
      </c>
      <c r="AI379" s="1283">
        <f t="shared" si="583"/>
        <v>0</v>
      </c>
      <c r="AJ379" s="1283">
        <f t="shared" si="583"/>
        <v>0</v>
      </c>
      <c r="AL379" s="1304">
        <f ca="1">IFERROR(AL389/AL355,0)</f>
        <v>0</v>
      </c>
      <c r="AM379" s="1283">
        <f ca="1">IFERROR(AM389/AM355,0)</f>
        <v>0</v>
      </c>
      <c r="AN379" s="1283">
        <f t="shared" ca="1" si="540"/>
        <v>0</v>
      </c>
      <c r="AO379" s="2777"/>
      <c r="AP379" s="1283">
        <f ca="1">IFERROR(AP389/AP355,0)</f>
        <v>0</v>
      </c>
      <c r="AQ379" s="1283">
        <f t="shared" ca="1" si="542"/>
        <v>0</v>
      </c>
      <c r="AR379" s="2777"/>
      <c r="AT379" s="1304">
        <f ca="1">IFERROR(AT389/AT355,0)</f>
        <v>10.556430627034612</v>
      </c>
      <c r="AU379" s="1283">
        <f ca="1">IFERROR(AU389/AU355,0)</f>
        <v>0</v>
      </c>
      <c r="AV379" s="1283">
        <f t="shared" ca="1" si="544"/>
        <v>10.556430627034612</v>
      </c>
      <c r="AW379" s="2777"/>
      <c r="AX379" s="1283">
        <f ca="1">IFERROR(AX389/AX355,0)</f>
        <v>0</v>
      </c>
      <c r="AY379" s="1283">
        <f t="shared" ca="1" si="546"/>
        <v>10.556430627034612</v>
      </c>
      <c r="AZ379" s="2777"/>
      <c r="BB379" s="1304">
        <f ca="1">IFERROR(BB389/BB355,0)</f>
        <v>11.757163665197865</v>
      </c>
      <c r="BC379" s="1283">
        <f ca="1">IFERROR(BC389/BC355,0)</f>
        <v>0</v>
      </c>
      <c r="BD379" s="1283">
        <f t="shared" ca="1" si="548"/>
        <v>11.757163665197865</v>
      </c>
      <c r="BE379" s="2777"/>
      <c r="BF379" s="1283">
        <f ca="1">IFERROR(BF389/BF355,0)</f>
        <v>0</v>
      </c>
      <c r="BG379" s="1283">
        <f t="shared" ca="1" si="550"/>
        <v>11.757163665197865</v>
      </c>
      <c r="BH379" s="2777"/>
    </row>
    <row r="380" spans="1:60" s="504" customFormat="1" ht="14.5" hidden="1" outlineLevel="1">
      <c r="A380" s="616">
        <v>1</v>
      </c>
      <c r="B380" s="616">
        <v>1</v>
      </c>
      <c r="C380" s="616">
        <f t="shared" si="518"/>
        <v>377</v>
      </c>
      <c r="D380" s="709" t="s">
        <v>1308</v>
      </c>
      <c r="E380" s="2568" t="s">
        <v>1370</v>
      </c>
      <c r="F380" s="2569"/>
      <c r="G380" s="4"/>
      <c r="H380" s="501"/>
      <c r="I380" s="502"/>
      <c r="J380" s="503"/>
      <c r="K380" s="503" t="s">
        <v>1443</v>
      </c>
      <c r="L380" s="501"/>
      <c r="M380" s="1081"/>
      <c r="N380" s="505"/>
      <c r="O380" s="505"/>
      <c r="P380" s="505"/>
      <c r="Q380" s="1792" t="str">
        <f>CHOOSE(2, "6722000003299", "PL (5) Gross Profit ICW (%) ICW-P (%)")</f>
        <v>PL (5) Gross Profit ICW (%) ICW-P (%)</v>
      </c>
      <c r="R380" s="1304">
        <f t="shared" si="583"/>
        <v>0</v>
      </c>
      <c r="S380" s="1283">
        <f t="shared" si="583"/>
        <v>0</v>
      </c>
      <c r="T380" s="1283">
        <f t="shared" si="583"/>
        <v>0</v>
      </c>
      <c r="U380" s="1283">
        <f t="shared" si="583"/>
        <v>0</v>
      </c>
      <c r="V380" s="1283">
        <f t="shared" si="583"/>
        <v>0</v>
      </c>
      <c r="W380" s="1283">
        <f t="shared" si="583"/>
        <v>0</v>
      </c>
      <c r="X380" s="1283">
        <f t="shared" si="583"/>
        <v>0</v>
      </c>
      <c r="Y380" s="1283">
        <f t="shared" si="583"/>
        <v>0</v>
      </c>
      <c r="Z380" s="1283">
        <f t="shared" si="583"/>
        <v>0</v>
      </c>
      <c r="AA380" s="1283">
        <f t="shared" si="583"/>
        <v>0</v>
      </c>
      <c r="AB380" s="1283">
        <f t="shared" si="583"/>
        <v>0</v>
      </c>
      <c r="AC380" s="1283">
        <f t="shared" si="583"/>
        <v>0</v>
      </c>
      <c r="AD380" s="1283">
        <f t="shared" si="583"/>
        <v>0</v>
      </c>
      <c r="AE380" s="1283">
        <f t="shared" si="583"/>
        <v>0</v>
      </c>
      <c r="AF380" s="1283">
        <f t="shared" si="583"/>
        <v>0</v>
      </c>
      <c r="AG380" s="1283">
        <f t="shared" si="583"/>
        <v>0</v>
      </c>
      <c r="AH380" s="1283">
        <f t="shared" si="583"/>
        <v>0</v>
      </c>
      <c r="AI380" s="1283">
        <f t="shared" si="583"/>
        <v>0</v>
      </c>
      <c r="AJ380" s="1283">
        <f t="shared" si="583"/>
        <v>0</v>
      </c>
      <c r="AL380" s="1304">
        <f ca="1">IFERROR(AL390/AL359,0)</f>
        <v>0</v>
      </c>
      <c r="AM380" s="1283">
        <f ca="1">IFERROR(AM390/AM359,0)</f>
        <v>0.37</v>
      </c>
      <c r="AN380" s="1283">
        <f t="shared" ca="1" si="540"/>
        <v>-0.37</v>
      </c>
      <c r="AO380" s="2777"/>
      <c r="AP380" s="1283">
        <f ca="1">IFERROR(AP390/AP359,0)</f>
        <v>0</v>
      </c>
      <c r="AQ380" s="1283">
        <f t="shared" ca="1" si="542"/>
        <v>0</v>
      </c>
      <c r="AR380" s="2777"/>
      <c r="AT380" s="1304">
        <f ca="1">IFERROR(AT390/AT359,0)</f>
        <v>0</v>
      </c>
      <c r="AU380" s="1283">
        <f ca="1">IFERROR(AU390/AU359,0)</f>
        <v>0.38129032258064516</v>
      </c>
      <c r="AV380" s="1283">
        <f t="shared" ca="1" si="544"/>
        <v>-0.38129032258064516</v>
      </c>
      <c r="AW380" s="2777"/>
      <c r="AX380" s="1283">
        <f ca="1">IFERROR(AX390/AX359,0)</f>
        <v>0</v>
      </c>
      <c r="AY380" s="1283">
        <f t="shared" ca="1" si="546"/>
        <v>0</v>
      </c>
      <c r="AZ380" s="2777"/>
      <c r="BB380" s="1304">
        <f ca="1">IFERROR(BB390/BB359,0)</f>
        <v>0</v>
      </c>
      <c r="BC380" s="1283">
        <f ca="1">IFERROR(BC390/BC359,0)</f>
        <v>0.38473684210526315</v>
      </c>
      <c r="BD380" s="1283">
        <f t="shared" ca="1" si="548"/>
        <v>-0.38473684210526315</v>
      </c>
      <c r="BE380" s="2777"/>
      <c r="BF380" s="1283">
        <f ca="1">IFERROR(BF390/BF359,0)</f>
        <v>0</v>
      </c>
      <c r="BG380" s="1283">
        <f t="shared" ca="1" si="550"/>
        <v>0</v>
      </c>
      <c r="BH380" s="2777"/>
    </row>
    <row r="381" spans="1:60" s="69" customFormat="1" ht="14.5" collapsed="1">
      <c r="A381" s="616">
        <v>1</v>
      </c>
      <c r="B381" s="616">
        <v>1</v>
      </c>
      <c r="C381" s="616">
        <v>1</v>
      </c>
      <c r="D381" s="709" t="s">
        <v>1308</v>
      </c>
      <c r="E381" s="2578" t="s">
        <v>1369</v>
      </c>
      <c r="F381" s="2579"/>
      <c r="G381" s="4"/>
      <c r="H381" s="4"/>
      <c r="I381" s="762"/>
      <c r="J381" s="1071" t="s">
        <v>1428</v>
      </c>
      <c r="K381" s="1071"/>
      <c r="L381" s="1072"/>
      <c r="M381" s="1072"/>
      <c r="N381" s="1072"/>
      <c r="O381" s="1073"/>
      <c r="P381" s="1072"/>
      <c r="Q381" s="1802" t="str">
        <f>CHOOSE(2, "6722000003300", "PL (5) Gross Profit ITS")</f>
        <v>PL (5) Gross Profit ITS</v>
      </c>
      <c r="R381" s="1454">
        <f>SUM(R382:R384)</f>
        <v>155</v>
      </c>
      <c r="S381" s="1455">
        <f t="shared" ref="S381:AJ381" si="584">SUM(S382:S384)</f>
        <v>130</v>
      </c>
      <c r="T381" s="1455">
        <f t="shared" si="584"/>
        <v>184</v>
      </c>
      <c r="U381" s="1455">
        <f t="shared" si="584"/>
        <v>686</v>
      </c>
      <c r="V381" s="1455">
        <f t="shared" si="584"/>
        <v>461</v>
      </c>
      <c r="W381" s="1455">
        <f t="shared" si="584"/>
        <v>22</v>
      </c>
      <c r="X381" s="1455">
        <f t="shared" si="584"/>
        <v>363</v>
      </c>
      <c r="Y381" s="1455">
        <f t="shared" si="584"/>
        <v>407</v>
      </c>
      <c r="Z381" s="1455">
        <f t="shared" si="584"/>
        <v>0</v>
      </c>
      <c r="AA381" s="1455">
        <f t="shared" si="584"/>
        <v>187</v>
      </c>
      <c r="AB381" s="1455">
        <f t="shared" si="584"/>
        <v>362</v>
      </c>
      <c r="AC381" s="1455">
        <f t="shared" si="584"/>
        <v>401</v>
      </c>
      <c r="AD381" s="1455">
        <f t="shared" si="584"/>
        <v>469</v>
      </c>
      <c r="AE381" s="1455">
        <f t="shared" si="584"/>
        <v>1169</v>
      </c>
      <c r="AF381" s="1455">
        <f t="shared" si="584"/>
        <v>770</v>
      </c>
      <c r="AG381" s="1455">
        <f t="shared" si="584"/>
        <v>950</v>
      </c>
      <c r="AH381" s="1455">
        <f t="shared" si="584"/>
        <v>1638</v>
      </c>
      <c r="AI381" s="1455">
        <f t="shared" si="584"/>
        <v>1720</v>
      </c>
      <c r="AJ381" s="1455">
        <f t="shared" si="584"/>
        <v>3358</v>
      </c>
      <c r="AL381" s="1454">
        <f ca="1">SUM(AL382:AL384)</f>
        <v>401</v>
      </c>
      <c r="AM381" s="1455">
        <f ca="1">SUM(AM382:AM384)</f>
        <v>0</v>
      </c>
      <c r="AN381" s="3175">
        <f t="shared" ca="1" si="540"/>
        <v>401</v>
      </c>
      <c r="AO381" s="2831">
        <f t="shared" ref="AO381:AO396" ca="1" si="585">IFERROR(AL381/AM381,0)</f>
        <v>0</v>
      </c>
      <c r="AP381" s="1455">
        <f ca="1">SUM(AP382:AP384)</f>
        <v>0</v>
      </c>
      <c r="AQ381" s="3175">
        <f t="shared" ca="1" si="542"/>
        <v>401</v>
      </c>
      <c r="AR381" s="2831">
        <f t="shared" ref="AR381:AR396" ca="1" si="586">IFERROR(AL381/AP381,0)</f>
        <v>0</v>
      </c>
      <c r="AS381" s="8"/>
      <c r="AT381" s="1454">
        <f ca="1">SUM(AT382:AT384)</f>
        <v>950</v>
      </c>
      <c r="AU381" s="1455">
        <f ca="1">SUM(AU382:AU384)</f>
        <v>0</v>
      </c>
      <c r="AV381" s="3175">
        <f t="shared" ca="1" si="544"/>
        <v>950</v>
      </c>
      <c r="AW381" s="2831">
        <f t="shared" ref="AW381:AW396" ca="1" si="587">IFERROR(AT381/AU381,0)</f>
        <v>0</v>
      </c>
      <c r="AX381" s="1455">
        <f ca="1">SUM(AX382:AX384)</f>
        <v>0</v>
      </c>
      <c r="AY381" s="3175">
        <f t="shared" ca="1" si="546"/>
        <v>950</v>
      </c>
      <c r="AZ381" s="2831">
        <f t="shared" ref="AZ381:AZ396" ca="1" si="588">IFERROR(AT381/AX381,0)</f>
        <v>0</v>
      </c>
      <c r="BA381" s="8"/>
      <c r="BB381" s="1454">
        <f ca="1">SUM(BB382:BB384)</f>
        <v>3358</v>
      </c>
      <c r="BC381" s="1455">
        <f ca="1">SUM(BC382:BC384)</f>
        <v>0</v>
      </c>
      <c r="BD381" s="3175">
        <f t="shared" ca="1" si="548"/>
        <v>3358</v>
      </c>
      <c r="BE381" s="2831">
        <f t="shared" ref="BE381:BE396" ca="1" si="589">IFERROR(BB381/BC381,0)</f>
        <v>0</v>
      </c>
      <c r="BF381" s="1455">
        <f ca="1">SUM(BF382:BF384)</f>
        <v>0</v>
      </c>
      <c r="BG381" s="3175">
        <f t="shared" ca="1" si="550"/>
        <v>3358</v>
      </c>
      <c r="BH381" s="2831">
        <f t="shared" ref="BH381:BH396" ca="1" si="590">IFERROR(BB381/BF381,0)</f>
        <v>0</v>
      </c>
    </row>
    <row r="382" spans="1:60" ht="14.5">
      <c r="A382" s="2580">
        <v>345</v>
      </c>
      <c r="B382" s="616">
        <v>1</v>
      </c>
      <c r="C382" s="616">
        <f>ROW()-3</f>
        <v>379</v>
      </c>
      <c r="D382" s="709" t="s">
        <v>1308</v>
      </c>
      <c r="E382" s="2568" t="s">
        <v>1370</v>
      </c>
      <c r="F382" s="2569"/>
      <c r="G382" s="737"/>
      <c r="H382" s="4"/>
      <c r="I382" s="27"/>
      <c r="J382" s="3"/>
      <c r="K382" s="3" t="s">
        <v>1429</v>
      </c>
      <c r="L382" s="4"/>
      <c r="M382" s="725"/>
      <c r="N382" s="3"/>
      <c r="O382" s="3"/>
      <c r="P382" s="3"/>
      <c r="Q382" s="1789" t="str">
        <f>CHOOSE(2, "6722000003301", "PL (5) Gross Profit ITS IMS")</f>
        <v>PL (5) Gross Profit ITS IMS</v>
      </c>
      <c r="R382" s="1214">
        <f t="shared" ref="R382:AC382" si="591">R795+R826</f>
        <v>0</v>
      </c>
      <c r="S382" s="1221">
        <f t="shared" si="591"/>
        <v>0</v>
      </c>
      <c r="T382" s="1221">
        <f t="shared" si="591"/>
        <v>0</v>
      </c>
      <c r="U382" s="1221">
        <f t="shared" si="591"/>
        <v>510</v>
      </c>
      <c r="V382" s="1221">
        <f t="shared" si="591"/>
        <v>0</v>
      </c>
      <c r="W382" s="1221">
        <f t="shared" si="591"/>
        <v>0</v>
      </c>
      <c r="X382" s="1221">
        <f t="shared" si="591"/>
        <v>165</v>
      </c>
      <c r="Y382" s="1221">
        <f t="shared" si="591"/>
        <v>0</v>
      </c>
      <c r="Z382" s="1221">
        <f t="shared" si="591"/>
        <v>0</v>
      </c>
      <c r="AA382" s="1221">
        <f t="shared" si="591"/>
        <v>165</v>
      </c>
      <c r="AB382" s="1221">
        <f t="shared" si="591"/>
        <v>0</v>
      </c>
      <c r="AC382" s="1221">
        <f t="shared" si="591"/>
        <v>0</v>
      </c>
      <c r="AD382" s="1221">
        <f>SUM(R382,S382,T382)</f>
        <v>0</v>
      </c>
      <c r="AE382" s="1221">
        <f t="shared" ref="AE382:AE388" si="592">SUM(U382,V382,W382)</f>
        <v>510</v>
      </c>
      <c r="AF382" s="1221">
        <f t="shared" ref="AF382:AF388" si="593">SUM(X382,Y382,Z382)</f>
        <v>165</v>
      </c>
      <c r="AG382" s="1221">
        <f t="shared" ref="AG382:AG388" si="594">SUM(AA382,AB382,AC382)</f>
        <v>165</v>
      </c>
      <c r="AH382" s="1221">
        <f>AD382+AE382</f>
        <v>510</v>
      </c>
      <c r="AI382" s="1221">
        <f>AG382+AF382</f>
        <v>330</v>
      </c>
      <c r="AJ382" s="1221">
        <f>AH382+AI382</f>
        <v>840</v>
      </c>
      <c r="AL382" s="1214">
        <f ca="1">SUM((INDIRECT(AL$2&amp;(ROW())):INDIRECT(AL$3&amp;(ROW()))))</f>
        <v>0</v>
      </c>
      <c r="AM382" s="1221">
        <f ca="1">SUM(INDIRECT(AM$1&amp;AM$2&amp;$C382):INDIRECT(AM$1&amp;AM$3&amp;$C382))</f>
        <v>0</v>
      </c>
      <c r="AN382" s="3119">
        <f t="shared" ca="1" si="540"/>
        <v>0</v>
      </c>
      <c r="AO382" s="2768">
        <f t="shared" ca="1" si="585"/>
        <v>0</v>
      </c>
      <c r="AP382" s="1221">
        <f ca="1">SUM(INDIRECT(AP$1&amp;AP$2&amp;$A382):INDIRECT(AP$1&amp;AP$3&amp;$A382))+SUM(INDIRECT(AP$1&amp;AP$2&amp;$B382):INDIRECT(AP$1&amp;AP$3&amp;$B382))</f>
        <v>0</v>
      </c>
      <c r="AQ382" s="3119">
        <f t="shared" ca="1" si="542"/>
        <v>0</v>
      </c>
      <c r="AR382" s="2768">
        <f t="shared" ca="1" si="586"/>
        <v>0</v>
      </c>
      <c r="AT382" s="1214">
        <f ca="1">SUM((INDIRECT(AT$2&amp;(ROW())):INDIRECT(AT$3&amp;(ROW()))))</f>
        <v>165</v>
      </c>
      <c r="AU382" s="1221">
        <f ca="1">SUM(INDIRECT(AU$1&amp;AU$2&amp;$C382):INDIRECT(AU$1&amp;AU$3&amp;$C382))</f>
        <v>0</v>
      </c>
      <c r="AV382" s="3119">
        <f t="shared" ca="1" si="544"/>
        <v>165</v>
      </c>
      <c r="AW382" s="2768">
        <f t="shared" ca="1" si="587"/>
        <v>0</v>
      </c>
      <c r="AX382" s="1221">
        <f ca="1">SUM(INDIRECT(AX$1&amp;AX$2&amp;$A382):INDIRECT(AX$1&amp;AX$3&amp;$A382))+SUM(INDIRECT(AX$1&amp;AX$2&amp;$B382):INDIRECT(AX$1&amp;AX$3&amp;$B382))</f>
        <v>0</v>
      </c>
      <c r="AY382" s="3119">
        <f t="shared" ca="1" si="546"/>
        <v>165</v>
      </c>
      <c r="AZ382" s="2768">
        <f t="shared" ca="1" si="588"/>
        <v>0</v>
      </c>
      <c r="BB382" s="1214">
        <f ca="1">SUM((INDIRECT(BB$2&amp;(ROW())):INDIRECT(BB$3&amp;(ROW()))))</f>
        <v>840</v>
      </c>
      <c r="BC382" s="1221">
        <f ca="1">SUM(INDIRECT(BC$1&amp;BC$2&amp;$C382):INDIRECT(BC$1&amp;BC$3&amp;$C382))</f>
        <v>0</v>
      </c>
      <c r="BD382" s="3119">
        <f t="shared" ca="1" si="548"/>
        <v>840</v>
      </c>
      <c r="BE382" s="2768">
        <f t="shared" ca="1" si="589"/>
        <v>0</v>
      </c>
      <c r="BF382" s="1221">
        <f ca="1">SUM(INDIRECT(BF$1&amp;BF$2&amp;$A382):INDIRECT(BF$1&amp;BF$3&amp;$A382))+SUM(INDIRECT(BF$1&amp;BF$2&amp;$B382):INDIRECT(BF$1&amp;BF$3&amp;$B382))</f>
        <v>0</v>
      </c>
      <c r="BG382" s="3119">
        <f t="shared" ca="1" si="550"/>
        <v>840</v>
      </c>
      <c r="BH382" s="2768">
        <f t="shared" ca="1" si="590"/>
        <v>0</v>
      </c>
    </row>
    <row r="383" spans="1:60" ht="14.5">
      <c r="A383" s="616">
        <f>A386+1</f>
        <v>347</v>
      </c>
      <c r="B383" s="616">
        <v>1</v>
      </c>
      <c r="C383" s="616">
        <f>ROW()-3</f>
        <v>380</v>
      </c>
      <c r="D383" s="709" t="s">
        <v>1308</v>
      </c>
      <c r="E383" s="2568" t="s">
        <v>1370</v>
      </c>
      <c r="F383" s="2569"/>
      <c r="G383" s="4"/>
      <c r="H383" s="4"/>
      <c r="I383" s="27"/>
      <c r="J383" s="3"/>
      <c r="K383" s="3" t="s">
        <v>1430</v>
      </c>
      <c r="L383" s="4"/>
      <c r="M383" s="725"/>
      <c r="N383" s="3"/>
      <c r="O383" s="3"/>
      <c r="P383" s="3"/>
      <c r="Q383" s="1789" t="str">
        <f>CHOOSE(2, "6722000003302", "PL (5) Gross Profit ITS MCS")</f>
        <v>PL (5) Gross Profit ITS MCS</v>
      </c>
      <c r="R383" s="1214">
        <f t="shared" ref="R383:AC383" si="595">R805+R828</f>
        <v>155</v>
      </c>
      <c r="S383" s="1221">
        <f t="shared" si="595"/>
        <v>130</v>
      </c>
      <c r="T383" s="1221">
        <f t="shared" si="595"/>
        <v>184</v>
      </c>
      <c r="U383" s="1221">
        <f t="shared" si="595"/>
        <v>176</v>
      </c>
      <c r="V383" s="1221">
        <f t="shared" si="595"/>
        <v>461</v>
      </c>
      <c r="W383" s="1221">
        <f t="shared" si="595"/>
        <v>22</v>
      </c>
      <c r="X383" s="1221">
        <f t="shared" si="595"/>
        <v>198</v>
      </c>
      <c r="Y383" s="1221">
        <f t="shared" si="595"/>
        <v>407</v>
      </c>
      <c r="Z383" s="1221">
        <f t="shared" si="595"/>
        <v>0</v>
      </c>
      <c r="AA383" s="1221">
        <f t="shared" si="595"/>
        <v>22</v>
      </c>
      <c r="AB383" s="1221">
        <f t="shared" si="595"/>
        <v>362</v>
      </c>
      <c r="AC383" s="1221">
        <f t="shared" si="595"/>
        <v>401</v>
      </c>
      <c r="AD383" s="1221">
        <f>SUM(R383,S383,T383)</f>
        <v>469</v>
      </c>
      <c r="AE383" s="1221">
        <f t="shared" si="592"/>
        <v>659</v>
      </c>
      <c r="AF383" s="1221">
        <f t="shared" si="593"/>
        <v>605</v>
      </c>
      <c r="AG383" s="1221">
        <f t="shared" si="594"/>
        <v>785</v>
      </c>
      <c r="AH383" s="1221">
        <f>AD383+AE383</f>
        <v>1128</v>
      </c>
      <c r="AI383" s="1221">
        <f>AG383+AF383</f>
        <v>1390</v>
      </c>
      <c r="AJ383" s="1221">
        <f>AH383+AI383</f>
        <v>2518</v>
      </c>
      <c r="AL383" s="1214">
        <f ca="1">SUM((INDIRECT(AL$2&amp;(ROW())):INDIRECT(AL$3&amp;(ROW()))))</f>
        <v>401</v>
      </c>
      <c r="AM383" s="1221">
        <f ca="1">SUM(INDIRECT(AM$1&amp;AM$2&amp;$C383):INDIRECT(AM$1&amp;AM$3&amp;$C383))</f>
        <v>0</v>
      </c>
      <c r="AN383" s="3119">
        <f t="shared" ca="1" si="540"/>
        <v>401</v>
      </c>
      <c r="AO383" s="2768">
        <f t="shared" ca="1" si="585"/>
        <v>0</v>
      </c>
      <c r="AP383" s="1221">
        <f ca="1">SUM(INDIRECT(AP$1&amp;AP$2&amp;$A383):INDIRECT(AP$1&amp;AP$3&amp;$A383))+SUM(INDIRECT(AP$1&amp;AP$2&amp;$B383):INDIRECT(AP$1&amp;AP$3&amp;$B383))</f>
        <v>0</v>
      </c>
      <c r="AQ383" s="3119">
        <f t="shared" ca="1" si="542"/>
        <v>401</v>
      </c>
      <c r="AR383" s="2768">
        <f t="shared" ca="1" si="586"/>
        <v>0</v>
      </c>
      <c r="AT383" s="1214">
        <f ca="1">SUM((INDIRECT(AT$2&amp;(ROW())):INDIRECT(AT$3&amp;(ROW()))))</f>
        <v>785</v>
      </c>
      <c r="AU383" s="1221">
        <f ca="1">SUM(INDIRECT(AU$1&amp;AU$2&amp;$C383):INDIRECT(AU$1&amp;AU$3&amp;$C383))</f>
        <v>0</v>
      </c>
      <c r="AV383" s="3119">
        <f t="shared" ca="1" si="544"/>
        <v>785</v>
      </c>
      <c r="AW383" s="2768">
        <f t="shared" ca="1" si="587"/>
        <v>0</v>
      </c>
      <c r="AX383" s="1221">
        <f ca="1">SUM(INDIRECT(AX$1&amp;AX$2&amp;$A383):INDIRECT(AX$1&amp;AX$3&amp;$A383))+SUM(INDIRECT(AX$1&amp;AX$2&amp;$B383):INDIRECT(AX$1&amp;AX$3&amp;$B383))</f>
        <v>0</v>
      </c>
      <c r="AY383" s="3119">
        <f t="shared" ca="1" si="546"/>
        <v>785</v>
      </c>
      <c r="AZ383" s="2768">
        <f t="shared" ca="1" si="588"/>
        <v>0</v>
      </c>
      <c r="BB383" s="1214">
        <f ca="1">SUM((INDIRECT(BB$2&amp;(ROW())):INDIRECT(BB$3&amp;(ROW()))))</f>
        <v>2518</v>
      </c>
      <c r="BC383" s="1221">
        <f ca="1">SUM(INDIRECT(BC$1&amp;BC$2&amp;$C383):INDIRECT(BC$1&amp;BC$3&amp;$C383))</f>
        <v>0</v>
      </c>
      <c r="BD383" s="3119">
        <f t="shared" ca="1" si="548"/>
        <v>2518</v>
      </c>
      <c r="BE383" s="2768">
        <f t="shared" ca="1" si="589"/>
        <v>0</v>
      </c>
      <c r="BF383" s="1221">
        <f ca="1">SUM(INDIRECT(BF$1&amp;BF$2&amp;$A383):INDIRECT(BF$1&amp;BF$3&amp;$A383))+SUM(INDIRECT(BF$1&amp;BF$2&amp;$B383):INDIRECT(BF$1&amp;BF$3&amp;$B383))</f>
        <v>0</v>
      </c>
      <c r="BG383" s="3119">
        <f t="shared" ca="1" si="550"/>
        <v>2518</v>
      </c>
      <c r="BH383" s="2768">
        <f t="shared" ca="1" si="590"/>
        <v>0</v>
      </c>
    </row>
    <row r="384" spans="1:60" ht="14.5">
      <c r="A384" s="616">
        <f>A383+1</f>
        <v>348</v>
      </c>
      <c r="B384" s="616">
        <v>1</v>
      </c>
      <c r="C384" s="616">
        <f>ROW()-3</f>
        <v>381</v>
      </c>
      <c r="D384" s="709" t="s">
        <v>1308</v>
      </c>
      <c r="E384" s="2568" t="s">
        <v>1370</v>
      </c>
      <c r="F384" s="2569"/>
      <c r="G384" s="4"/>
      <c r="H384" s="4"/>
      <c r="I384" s="27"/>
      <c r="J384" s="3"/>
      <c r="K384" s="3" t="s">
        <v>1431</v>
      </c>
      <c r="L384" s="4"/>
      <c r="M384" s="725"/>
      <c r="N384" s="3"/>
      <c r="O384" s="3"/>
      <c r="P384" s="3"/>
      <c r="Q384" s="1789" t="str">
        <f>CHOOSE(2, "6722000003303", "PL (5) Gross Profit ITS BPS")</f>
        <v>PL (5) Gross Profit ITS BPS</v>
      </c>
      <c r="R384" s="1214">
        <f t="shared" ref="R384:AC384" si="596">R810+R829</f>
        <v>0</v>
      </c>
      <c r="S384" s="1221">
        <f t="shared" si="596"/>
        <v>0</v>
      </c>
      <c r="T384" s="1221">
        <f t="shared" si="596"/>
        <v>0</v>
      </c>
      <c r="U384" s="1221">
        <f t="shared" si="596"/>
        <v>0</v>
      </c>
      <c r="V384" s="1221">
        <f t="shared" si="596"/>
        <v>0</v>
      </c>
      <c r="W384" s="1221">
        <f t="shared" si="596"/>
        <v>0</v>
      </c>
      <c r="X384" s="1221">
        <f t="shared" si="596"/>
        <v>0</v>
      </c>
      <c r="Y384" s="1221">
        <f t="shared" si="596"/>
        <v>0</v>
      </c>
      <c r="Z384" s="1221">
        <f t="shared" si="596"/>
        <v>0</v>
      </c>
      <c r="AA384" s="1221">
        <f t="shared" si="596"/>
        <v>0</v>
      </c>
      <c r="AB384" s="1221">
        <f t="shared" si="596"/>
        <v>0</v>
      </c>
      <c r="AC384" s="1221">
        <f t="shared" si="596"/>
        <v>0</v>
      </c>
      <c r="AD384" s="1221">
        <f>SUM(R384,S384,T384)</f>
        <v>0</v>
      </c>
      <c r="AE384" s="1221">
        <f t="shared" si="592"/>
        <v>0</v>
      </c>
      <c r="AF384" s="1221">
        <f t="shared" si="593"/>
        <v>0</v>
      </c>
      <c r="AG384" s="1221">
        <f t="shared" si="594"/>
        <v>0</v>
      </c>
      <c r="AH384" s="1221">
        <f t="shared" ref="AH384:AH387" si="597">AD384+AE384</f>
        <v>0</v>
      </c>
      <c r="AI384" s="1221">
        <f t="shared" ref="AI384:AI387" si="598">AG384+AF384</f>
        <v>0</v>
      </c>
      <c r="AJ384" s="1221">
        <f t="shared" ref="AJ384:AJ387" si="599">AH384+AI384</f>
        <v>0</v>
      </c>
      <c r="AL384" s="1214">
        <f ca="1">SUM((INDIRECT(AL$2&amp;(ROW())):INDIRECT(AL$3&amp;(ROW()))))</f>
        <v>0</v>
      </c>
      <c r="AM384" s="1221">
        <f ca="1">SUM(INDIRECT(AM$1&amp;AM$2&amp;$C384):INDIRECT(AM$1&amp;AM$3&amp;$C384))</f>
        <v>0</v>
      </c>
      <c r="AN384" s="3119">
        <f t="shared" ca="1" si="540"/>
        <v>0</v>
      </c>
      <c r="AO384" s="2768">
        <f t="shared" ca="1" si="585"/>
        <v>0</v>
      </c>
      <c r="AP384" s="1221">
        <f ca="1">SUM(INDIRECT(AP$1&amp;AP$2&amp;$A384):INDIRECT(AP$1&amp;AP$3&amp;$A384))+SUM(INDIRECT(AP$1&amp;AP$2&amp;$B384):INDIRECT(AP$1&amp;AP$3&amp;$B384))</f>
        <v>0</v>
      </c>
      <c r="AQ384" s="3119">
        <f t="shared" ca="1" si="542"/>
        <v>0</v>
      </c>
      <c r="AR384" s="2768">
        <f t="shared" ca="1" si="586"/>
        <v>0</v>
      </c>
      <c r="AT384" s="1214">
        <f ca="1">SUM((INDIRECT(AT$2&amp;(ROW())):INDIRECT(AT$3&amp;(ROW()))))</f>
        <v>0</v>
      </c>
      <c r="AU384" s="1221">
        <f ca="1">SUM(INDIRECT(AU$1&amp;AU$2&amp;$C384):INDIRECT(AU$1&amp;AU$3&amp;$C384))</f>
        <v>0</v>
      </c>
      <c r="AV384" s="3119">
        <f t="shared" ca="1" si="544"/>
        <v>0</v>
      </c>
      <c r="AW384" s="2768">
        <f t="shared" ca="1" si="587"/>
        <v>0</v>
      </c>
      <c r="AX384" s="1221">
        <f ca="1">SUM(INDIRECT(AX$1&amp;AX$2&amp;$A384):INDIRECT(AX$1&amp;AX$3&amp;$A384))+SUM(INDIRECT(AX$1&amp;AX$2&amp;$B384):INDIRECT(AX$1&amp;AX$3&amp;$B384))</f>
        <v>0</v>
      </c>
      <c r="AY384" s="3119">
        <f t="shared" ca="1" si="546"/>
        <v>0</v>
      </c>
      <c r="AZ384" s="2768">
        <f t="shared" ca="1" si="588"/>
        <v>0</v>
      </c>
      <c r="BB384" s="1214">
        <f ca="1">SUM((INDIRECT(BB$2&amp;(ROW())):INDIRECT(BB$3&amp;(ROW()))))</f>
        <v>0</v>
      </c>
      <c r="BC384" s="1221">
        <f ca="1">SUM(INDIRECT(BC$1&amp;BC$2&amp;$C384):INDIRECT(BC$1&amp;BC$3&amp;$C384))</f>
        <v>0</v>
      </c>
      <c r="BD384" s="3119">
        <f t="shared" ca="1" si="548"/>
        <v>0</v>
      </c>
      <c r="BE384" s="2768">
        <f t="shared" ca="1" si="589"/>
        <v>0</v>
      </c>
      <c r="BF384" s="1221">
        <f ca="1">SUM(INDIRECT(BF$1&amp;BF$2&amp;$A384):INDIRECT(BF$1&amp;BF$3&amp;$A384))+SUM(INDIRECT(BF$1&amp;BF$2&amp;$B384):INDIRECT(BF$1&amp;BF$3&amp;$B384))</f>
        <v>0</v>
      </c>
      <c r="BG384" s="3119">
        <f t="shared" ca="1" si="550"/>
        <v>0</v>
      </c>
      <c r="BH384" s="2768">
        <f t="shared" ca="1" si="590"/>
        <v>0</v>
      </c>
    </row>
    <row r="385" spans="1:60" ht="14.5">
      <c r="A385" s="616">
        <v>1</v>
      </c>
      <c r="B385" s="616">
        <v>1</v>
      </c>
      <c r="C385" s="616">
        <v>1</v>
      </c>
      <c r="D385" s="709" t="s">
        <v>1308</v>
      </c>
      <c r="E385" s="2578" t="s">
        <v>1369</v>
      </c>
      <c r="F385" s="2579"/>
      <c r="G385" s="4"/>
      <c r="H385" s="4"/>
      <c r="I385" s="498"/>
      <c r="J385" s="301" t="s">
        <v>1432</v>
      </c>
      <c r="K385" s="301"/>
      <c r="L385" s="66"/>
      <c r="M385" s="66"/>
      <c r="N385" s="301"/>
      <c r="O385" s="301"/>
      <c r="P385" s="1072"/>
      <c r="Q385" s="1802" t="str">
        <f>CHOOSE(2, "6722000003304", "PL (5) Gross Profit ICW")</f>
        <v>PL (5) Gross Profit ICW</v>
      </c>
      <c r="R385" s="1454">
        <f t="shared" ref="R385" si="600">SUM(R386:R388)</f>
        <v>0</v>
      </c>
      <c r="S385" s="1455">
        <f t="shared" ref="S385:AJ385" si="601">SUM(S386:S388)</f>
        <v>0</v>
      </c>
      <c r="T385" s="1455">
        <f t="shared" si="601"/>
        <v>0</v>
      </c>
      <c r="U385" s="1455">
        <f t="shared" si="601"/>
        <v>0</v>
      </c>
      <c r="V385" s="1455">
        <f t="shared" si="601"/>
        <v>0</v>
      </c>
      <c r="W385" s="1455">
        <f t="shared" si="601"/>
        <v>0</v>
      </c>
      <c r="X385" s="1455">
        <f t="shared" si="601"/>
        <v>0</v>
      </c>
      <c r="Y385" s="1455">
        <f t="shared" si="601"/>
        <v>0</v>
      </c>
      <c r="Z385" s="1455">
        <f t="shared" si="601"/>
        <v>0</v>
      </c>
      <c r="AA385" s="1455">
        <f t="shared" si="601"/>
        <v>0</v>
      </c>
      <c r="AB385" s="1455">
        <f t="shared" si="601"/>
        <v>0</v>
      </c>
      <c r="AC385" s="1455">
        <f t="shared" si="601"/>
        <v>0</v>
      </c>
      <c r="AD385" s="1455">
        <f t="shared" si="601"/>
        <v>0</v>
      </c>
      <c r="AE385" s="1455">
        <f t="shared" si="601"/>
        <v>0</v>
      </c>
      <c r="AF385" s="1455">
        <f t="shared" si="601"/>
        <v>0</v>
      </c>
      <c r="AG385" s="1455">
        <f t="shared" si="601"/>
        <v>0</v>
      </c>
      <c r="AH385" s="1455">
        <f t="shared" si="601"/>
        <v>0</v>
      </c>
      <c r="AI385" s="1455">
        <f t="shared" si="601"/>
        <v>0</v>
      </c>
      <c r="AJ385" s="1455">
        <f t="shared" si="601"/>
        <v>0</v>
      </c>
      <c r="AL385" s="1454">
        <f ca="1">SUM(AL386:AL388)</f>
        <v>0</v>
      </c>
      <c r="AM385" s="1455">
        <f ca="1">SUM(AM386:AM388)</f>
        <v>444</v>
      </c>
      <c r="AN385" s="3175">
        <f t="shared" ca="1" si="540"/>
        <v>-444</v>
      </c>
      <c r="AO385" s="2831">
        <f t="shared" ca="1" si="585"/>
        <v>0</v>
      </c>
      <c r="AP385" s="1455">
        <f ca="1">SUM(AP386:AP388)</f>
        <v>0</v>
      </c>
      <c r="AQ385" s="3175">
        <f t="shared" ca="1" si="542"/>
        <v>0</v>
      </c>
      <c r="AR385" s="2831">
        <f t="shared" ca="1" si="586"/>
        <v>0</v>
      </c>
      <c r="AT385" s="1454">
        <f ca="1">SUM(AT386:AT388)</f>
        <v>0</v>
      </c>
      <c r="AU385" s="1455">
        <f ca="1">SUM(AU386:AU388)</f>
        <v>1482</v>
      </c>
      <c r="AV385" s="3175">
        <f t="shared" ca="1" si="544"/>
        <v>-1482</v>
      </c>
      <c r="AW385" s="2831">
        <f t="shared" ca="1" si="587"/>
        <v>0</v>
      </c>
      <c r="AX385" s="1455">
        <f ca="1">SUM(AX386:AX388)</f>
        <v>0</v>
      </c>
      <c r="AY385" s="3175">
        <f t="shared" ca="1" si="546"/>
        <v>0</v>
      </c>
      <c r="AZ385" s="2831">
        <f t="shared" ca="1" si="588"/>
        <v>0</v>
      </c>
      <c r="BB385" s="1454">
        <f ca="1">SUM(BB386:BB388)</f>
        <v>0</v>
      </c>
      <c r="BC385" s="1455">
        <f ca="1">SUM(BC386:BC388)</f>
        <v>2427.5</v>
      </c>
      <c r="BD385" s="3175">
        <f t="shared" ca="1" si="548"/>
        <v>-2427.5</v>
      </c>
      <c r="BE385" s="2831">
        <f t="shared" ca="1" si="589"/>
        <v>0</v>
      </c>
      <c r="BF385" s="1455">
        <f ca="1">SUM(BF386:BF388)</f>
        <v>0</v>
      </c>
      <c r="BG385" s="3175">
        <f t="shared" ca="1" si="550"/>
        <v>0</v>
      </c>
      <c r="BH385" s="2831">
        <f t="shared" ca="1" si="590"/>
        <v>0</v>
      </c>
    </row>
    <row r="386" spans="1:60" ht="14.5">
      <c r="A386" s="616">
        <f>A382+1</f>
        <v>346</v>
      </c>
      <c r="B386" s="616">
        <v>1</v>
      </c>
      <c r="C386" s="616">
        <f t="shared" ref="C386:C449" si="602">ROW()-3</f>
        <v>383</v>
      </c>
      <c r="D386" s="709" t="s">
        <v>1308</v>
      </c>
      <c r="E386" s="2568" t="s">
        <v>1370</v>
      </c>
      <c r="F386" s="2569"/>
      <c r="G386" s="4"/>
      <c r="H386" s="4"/>
      <c r="I386" s="27"/>
      <c r="J386" s="3"/>
      <c r="K386" s="3" t="s">
        <v>1433</v>
      </c>
      <c r="L386" s="4"/>
      <c r="M386" s="3"/>
      <c r="N386" s="3"/>
      <c r="O386" s="3"/>
      <c r="P386" s="3"/>
      <c r="Q386" s="1789" t="str">
        <f>CHOOSE(2, "6722000003305", "PL (5) Gross Profit ICW ICW-IT")</f>
        <v>PL (5) Gross Profit ICW ICW-IT</v>
      </c>
      <c r="R386" s="1214">
        <f t="shared" ref="R386:AC386" si="603">R800+R827</f>
        <v>0</v>
      </c>
      <c r="S386" s="1221">
        <f t="shared" si="603"/>
        <v>0</v>
      </c>
      <c r="T386" s="1221">
        <f t="shared" si="603"/>
        <v>0</v>
      </c>
      <c r="U386" s="1221">
        <f t="shared" si="603"/>
        <v>0</v>
      </c>
      <c r="V386" s="1221">
        <f t="shared" si="603"/>
        <v>0</v>
      </c>
      <c r="W386" s="1221">
        <f t="shared" si="603"/>
        <v>0</v>
      </c>
      <c r="X386" s="1221">
        <f t="shared" si="603"/>
        <v>0</v>
      </c>
      <c r="Y386" s="1221">
        <f t="shared" si="603"/>
        <v>0</v>
      </c>
      <c r="Z386" s="1221">
        <f t="shared" si="603"/>
        <v>0</v>
      </c>
      <c r="AA386" s="1221">
        <f t="shared" si="603"/>
        <v>0</v>
      </c>
      <c r="AB386" s="1221">
        <f t="shared" si="603"/>
        <v>0</v>
      </c>
      <c r="AC386" s="1221">
        <f t="shared" si="603"/>
        <v>0</v>
      </c>
      <c r="AD386" s="1221">
        <f>SUM(R386,S386,T386)</f>
        <v>0</v>
      </c>
      <c r="AE386" s="1221">
        <f>SUM(U386,V386,W386)</f>
        <v>0</v>
      </c>
      <c r="AF386" s="1221">
        <f>SUM(X386,Y386,Z386)</f>
        <v>0</v>
      </c>
      <c r="AG386" s="1221">
        <f>SUM(AA386,AB386,AC386)</f>
        <v>0</v>
      </c>
      <c r="AH386" s="1221">
        <f>AD386+AE386</f>
        <v>0</v>
      </c>
      <c r="AI386" s="1221">
        <f>AG386+AF386</f>
        <v>0</v>
      </c>
      <c r="AJ386" s="1221">
        <f>AH386+AI386</f>
        <v>0</v>
      </c>
      <c r="AL386" s="1214">
        <f ca="1">SUM((INDIRECT(AL$2&amp;(ROW())):INDIRECT(AL$3&amp;(ROW()))))</f>
        <v>0</v>
      </c>
      <c r="AM386" s="1221">
        <f ca="1">SUM(INDIRECT(AM$1&amp;AM$2&amp;$C386):INDIRECT(AM$1&amp;AM$3&amp;$C386))</f>
        <v>0</v>
      </c>
      <c r="AN386" s="3119">
        <f t="shared" ca="1" si="540"/>
        <v>0</v>
      </c>
      <c r="AO386" s="2768">
        <f t="shared" ca="1" si="585"/>
        <v>0</v>
      </c>
      <c r="AP386" s="1221">
        <f ca="1">SUM(INDIRECT(AP$1&amp;AP$2&amp;$A386):INDIRECT(AP$1&amp;AP$3&amp;$A386))+SUM(INDIRECT(AP$1&amp;AP$2&amp;$B386):INDIRECT(AP$1&amp;AP$3&amp;$B386))</f>
        <v>0</v>
      </c>
      <c r="AQ386" s="3119">
        <f t="shared" ca="1" si="542"/>
        <v>0</v>
      </c>
      <c r="AR386" s="2768">
        <f t="shared" ca="1" si="586"/>
        <v>0</v>
      </c>
      <c r="AT386" s="1214">
        <f ca="1">SUM((INDIRECT(AT$2&amp;(ROW())):INDIRECT(AT$3&amp;(ROW()))))</f>
        <v>0</v>
      </c>
      <c r="AU386" s="1221">
        <f ca="1">SUM(INDIRECT(AU$1&amp;AU$2&amp;$C386):INDIRECT(AU$1&amp;AU$3&amp;$C386))</f>
        <v>0</v>
      </c>
      <c r="AV386" s="3119">
        <f t="shared" ca="1" si="544"/>
        <v>0</v>
      </c>
      <c r="AW386" s="2768">
        <f t="shared" ca="1" si="587"/>
        <v>0</v>
      </c>
      <c r="AX386" s="1221">
        <f ca="1">SUM(INDIRECT(AX$1&amp;AX$2&amp;$A386):INDIRECT(AX$1&amp;AX$3&amp;$A386))+SUM(INDIRECT(AX$1&amp;AX$2&amp;$B386):INDIRECT(AX$1&amp;AX$3&amp;$B386))</f>
        <v>0</v>
      </c>
      <c r="AY386" s="3119">
        <f t="shared" ca="1" si="546"/>
        <v>0</v>
      </c>
      <c r="AZ386" s="2768">
        <f t="shared" ca="1" si="588"/>
        <v>0</v>
      </c>
      <c r="BB386" s="1214">
        <f ca="1">SUM((INDIRECT(BB$2&amp;(ROW())):INDIRECT(BB$3&amp;(ROW()))))</f>
        <v>0</v>
      </c>
      <c r="BC386" s="1221">
        <f ca="1">SUM(INDIRECT(BC$1&amp;BC$2&amp;$C386):INDIRECT(BC$1&amp;BC$3&amp;$C386))</f>
        <v>0</v>
      </c>
      <c r="BD386" s="3119">
        <f t="shared" ca="1" si="548"/>
        <v>0</v>
      </c>
      <c r="BE386" s="2768">
        <f t="shared" ca="1" si="589"/>
        <v>0</v>
      </c>
      <c r="BF386" s="1221">
        <f ca="1">SUM(INDIRECT(BF$1&amp;BF$2&amp;$A386):INDIRECT(BF$1&amp;BF$3&amp;$A386))+SUM(INDIRECT(BF$1&amp;BF$2&amp;$B386):INDIRECT(BF$1&amp;BF$3&amp;$B386))</f>
        <v>0</v>
      </c>
      <c r="BG386" s="3119">
        <f t="shared" ca="1" si="550"/>
        <v>0</v>
      </c>
      <c r="BH386" s="2768">
        <f t="shared" ca="1" si="590"/>
        <v>0</v>
      </c>
    </row>
    <row r="387" spans="1:60" ht="14.5">
      <c r="A387" s="616">
        <v>1</v>
      </c>
      <c r="B387" s="616">
        <v>1</v>
      </c>
      <c r="C387" s="616">
        <f t="shared" si="602"/>
        <v>384</v>
      </c>
      <c r="D387" s="709" t="s">
        <v>1308</v>
      </c>
      <c r="E387" s="2568" t="s">
        <v>1370</v>
      </c>
      <c r="F387" s="2569"/>
      <c r="G387" s="4"/>
      <c r="H387" s="4"/>
      <c r="I387" s="27"/>
      <c r="J387" s="3"/>
      <c r="K387" s="3" t="s">
        <v>1434</v>
      </c>
      <c r="L387" s="4"/>
      <c r="M387" s="725"/>
      <c r="N387" s="3"/>
      <c r="O387" s="3"/>
      <c r="P387" s="3"/>
      <c r="Q387" s="1789" t="str">
        <f>CHOOSE(2, "6722000003306", "PL (5) Gross Profit ICW ICW-WK")</f>
        <v>PL (5) Gross Profit ICW ICW-WK</v>
      </c>
      <c r="R387" s="1214">
        <f t="shared" ref="R387:AC387" si="604">R815+R830</f>
        <v>0</v>
      </c>
      <c r="S387" s="1221">
        <f t="shared" si="604"/>
        <v>0</v>
      </c>
      <c r="T387" s="1221">
        <f t="shared" si="604"/>
        <v>0</v>
      </c>
      <c r="U387" s="1221">
        <f t="shared" si="604"/>
        <v>0</v>
      </c>
      <c r="V387" s="1221">
        <f t="shared" si="604"/>
        <v>0</v>
      </c>
      <c r="W387" s="1221">
        <f t="shared" si="604"/>
        <v>0</v>
      </c>
      <c r="X387" s="1221">
        <f t="shared" si="604"/>
        <v>0</v>
      </c>
      <c r="Y387" s="1221">
        <f t="shared" si="604"/>
        <v>0</v>
      </c>
      <c r="Z387" s="1221">
        <f t="shared" si="604"/>
        <v>0</v>
      </c>
      <c r="AA387" s="1221">
        <f t="shared" si="604"/>
        <v>0</v>
      </c>
      <c r="AB387" s="1221">
        <f t="shared" si="604"/>
        <v>0</v>
      </c>
      <c r="AC387" s="1221">
        <f t="shared" si="604"/>
        <v>0</v>
      </c>
      <c r="AD387" s="1221">
        <f>SUM(R387,S387,T387)</f>
        <v>0</v>
      </c>
      <c r="AE387" s="1221">
        <f t="shared" si="592"/>
        <v>0</v>
      </c>
      <c r="AF387" s="1221">
        <f t="shared" si="593"/>
        <v>0</v>
      </c>
      <c r="AG387" s="1221">
        <f t="shared" si="594"/>
        <v>0</v>
      </c>
      <c r="AH387" s="1221">
        <f t="shared" si="597"/>
        <v>0</v>
      </c>
      <c r="AI387" s="1221">
        <f t="shared" si="598"/>
        <v>0</v>
      </c>
      <c r="AJ387" s="1221">
        <f t="shared" si="599"/>
        <v>0</v>
      </c>
      <c r="AL387" s="1214">
        <f ca="1">SUM((INDIRECT(AL$2&amp;(ROW())):INDIRECT(AL$3&amp;(ROW()))))</f>
        <v>0</v>
      </c>
      <c r="AM387" s="1221">
        <f ca="1">SUM(INDIRECT(AM$1&amp;AM$2&amp;$C387):INDIRECT(AM$1&amp;AM$3&amp;$C387))</f>
        <v>444</v>
      </c>
      <c r="AN387" s="3119">
        <f t="shared" ca="1" si="540"/>
        <v>-444</v>
      </c>
      <c r="AO387" s="2768">
        <f t="shared" ca="1" si="585"/>
        <v>0</v>
      </c>
      <c r="AP387" s="1221">
        <f ca="1">SUM(INDIRECT(AP$1&amp;AP$2&amp;$A387):INDIRECT(AP$1&amp;AP$3&amp;$A387))+SUM(INDIRECT(AP$1&amp;AP$2&amp;$B387):INDIRECT(AP$1&amp;AP$3&amp;$B387))</f>
        <v>0</v>
      </c>
      <c r="AQ387" s="3119">
        <f t="shared" ca="1" si="542"/>
        <v>0</v>
      </c>
      <c r="AR387" s="2768">
        <f t="shared" ca="1" si="586"/>
        <v>0</v>
      </c>
      <c r="AT387" s="1214">
        <f ca="1">SUM((INDIRECT(AT$2&amp;(ROW())):INDIRECT(AT$3&amp;(ROW()))))</f>
        <v>0</v>
      </c>
      <c r="AU387" s="1221">
        <f ca="1">SUM(INDIRECT(AU$1&amp;AU$2&amp;$C387):INDIRECT(AU$1&amp;AU$3&amp;$C387))</f>
        <v>1332</v>
      </c>
      <c r="AV387" s="3119">
        <f t="shared" ca="1" si="544"/>
        <v>-1332</v>
      </c>
      <c r="AW387" s="2768">
        <f t="shared" ca="1" si="587"/>
        <v>0</v>
      </c>
      <c r="AX387" s="1221">
        <f ca="1">SUM(INDIRECT(AX$1&amp;AX$2&amp;$A387):INDIRECT(AX$1&amp;AX$3&amp;$A387))+SUM(INDIRECT(AX$1&amp;AX$2&amp;$B387):INDIRECT(AX$1&amp;AX$3&amp;$B387))</f>
        <v>0</v>
      </c>
      <c r="AY387" s="3119">
        <f t="shared" ca="1" si="546"/>
        <v>0</v>
      </c>
      <c r="AZ387" s="2768">
        <f t="shared" ca="1" si="588"/>
        <v>0</v>
      </c>
      <c r="BB387" s="1214">
        <f ca="1">SUM((INDIRECT(BB$2&amp;(ROW())):INDIRECT(BB$3&amp;(ROW()))))</f>
        <v>0</v>
      </c>
      <c r="BC387" s="1221">
        <f ca="1">SUM(INDIRECT(BC$1&amp;BC$2&amp;$C387):INDIRECT(BC$1&amp;BC$3&amp;$C387))</f>
        <v>2127.5</v>
      </c>
      <c r="BD387" s="3119">
        <f t="shared" ca="1" si="548"/>
        <v>-2127.5</v>
      </c>
      <c r="BE387" s="2768">
        <f t="shared" ca="1" si="589"/>
        <v>0</v>
      </c>
      <c r="BF387" s="1221">
        <f ca="1">SUM(INDIRECT(BF$1&amp;BF$2&amp;$A387):INDIRECT(BF$1&amp;BF$3&amp;$A387))+SUM(INDIRECT(BF$1&amp;BF$2&amp;$B387):INDIRECT(BF$1&amp;BF$3&amp;$B387))</f>
        <v>0</v>
      </c>
      <c r="BG387" s="3119">
        <f t="shared" ca="1" si="550"/>
        <v>0</v>
      </c>
      <c r="BH387" s="2768">
        <f t="shared" ca="1" si="590"/>
        <v>0</v>
      </c>
    </row>
    <row r="388" spans="1:60" ht="14.5">
      <c r="A388" s="616">
        <v>1</v>
      </c>
      <c r="B388" s="616">
        <v>1</v>
      </c>
      <c r="C388" s="616">
        <f t="shared" si="602"/>
        <v>385</v>
      </c>
      <c r="D388" s="709" t="s">
        <v>1308</v>
      </c>
      <c r="E388" s="2568" t="s">
        <v>1370</v>
      </c>
      <c r="F388" s="2569"/>
      <c r="G388" s="4"/>
      <c r="H388" s="4"/>
      <c r="I388" s="27"/>
      <c r="J388" s="3"/>
      <c r="K388" s="3" t="s">
        <v>1435</v>
      </c>
      <c r="L388" s="4"/>
      <c r="M388" s="3"/>
      <c r="N388" s="3"/>
      <c r="O388" s="3"/>
      <c r="P388" s="3"/>
      <c r="Q388" s="1789" t="str">
        <f>CHOOSE(2, "6722000003307", "PL (5) Gross Profit ICW ICW-P")</f>
        <v>PL (5) Gross Profit ICW ICW-P</v>
      </c>
      <c r="R388" s="1214">
        <f t="shared" ref="R388:AC388" si="605">R820+R831</f>
        <v>0</v>
      </c>
      <c r="S388" s="1221">
        <f t="shared" si="605"/>
        <v>0</v>
      </c>
      <c r="T388" s="1221">
        <f t="shared" si="605"/>
        <v>0</v>
      </c>
      <c r="U388" s="1221">
        <f t="shared" si="605"/>
        <v>0</v>
      </c>
      <c r="V388" s="1221">
        <f t="shared" si="605"/>
        <v>0</v>
      </c>
      <c r="W388" s="1221">
        <f t="shared" si="605"/>
        <v>0</v>
      </c>
      <c r="X388" s="1221">
        <f t="shared" si="605"/>
        <v>0</v>
      </c>
      <c r="Y388" s="1221">
        <f t="shared" si="605"/>
        <v>0</v>
      </c>
      <c r="Z388" s="1221">
        <f t="shared" si="605"/>
        <v>0</v>
      </c>
      <c r="AA388" s="1221">
        <f t="shared" si="605"/>
        <v>0</v>
      </c>
      <c r="AB388" s="1221">
        <f t="shared" si="605"/>
        <v>0</v>
      </c>
      <c r="AC388" s="1221">
        <f t="shared" si="605"/>
        <v>0</v>
      </c>
      <c r="AD388" s="1221">
        <f>SUM(R388,S388,T388)</f>
        <v>0</v>
      </c>
      <c r="AE388" s="1221">
        <f t="shared" si="592"/>
        <v>0</v>
      </c>
      <c r="AF388" s="1221">
        <f t="shared" si="593"/>
        <v>0</v>
      </c>
      <c r="AG388" s="1221">
        <f t="shared" si="594"/>
        <v>0</v>
      </c>
      <c r="AH388" s="1221">
        <f>AD388+AE388</f>
        <v>0</v>
      </c>
      <c r="AI388" s="1221">
        <f>AG388+AF388</f>
        <v>0</v>
      </c>
      <c r="AJ388" s="1221">
        <f>AH388+AI388</f>
        <v>0</v>
      </c>
      <c r="AL388" s="1214">
        <f ca="1">SUM((INDIRECT(AL$2&amp;(ROW())):INDIRECT(AL$3&amp;(ROW()))))</f>
        <v>0</v>
      </c>
      <c r="AM388" s="1221">
        <f ca="1">SUM(INDIRECT(AM$1&amp;AM$2&amp;$C388):INDIRECT(AM$1&amp;AM$3&amp;$C388))</f>
        <v>0</v>
      </c>
      <c r="AN388" s="3119">
        <f t="shared" ca="1" si="540"/>
        <v>0</v>
      </c>
      <c r="AO388" s="2768">
        <f t="shared" ca="1" si="585"/>
        <v>0</v>
      </c>
      <c r="AP388" s="1221">
        <f ca="1">SUM(INDIRECT(AP$1&amp;AP$2&amp;$A388):INDIRECT(AP$1&amp;AP$3&amp;$A388))+SUM(INDIRECT(AP$1&amp;AP$2&amp;$B388):INDIRECT(AP$1&amp;AP$3&amp;$B388))</f>
        <v>0</v>
      </c>
      <c r="AQ388" s="3119">
        <f t="shared" ca="1" si="542"/>
        <v>0</v>
      </c>
      <c r="AR388" s="2768">
        <f t="shared" ca="1" si="586"/>
        <v>0</v>
      </c>
      <c r="AT388" s="1214">
        <f ca="1">SUM((INDIRECT(AT$2&amp;(ROW())):INDIRECT(AT$3&amp;(ROW()))))</f>
        <v>0</v>
      </c>
      <c r="AU388" s="1221">
        <f ca="1">SUM(INDIRECT(AU$1&amp;AU$2&amp;$C388):INDIRECT(AU$1&amp;AU$3&amp;$C388))</f>
        <v>150</v>
      </c>
      <c r="AV388" s="3119">
        <f t="shared" ca="1" si="544"/>
        <v>-150</v>
      </c>
      <c r="AW388" s="2768">
        <f t="shared" ca="1" si="587"/>
        <v>0</v>
      </c>
      <c r="AX388" s="1221">
        <f ca="1">SUM(INDIRECT(AX$1&amp;AX$2&amp;$A388):INDIRECT(AX$1&amp;AX$3&amp;$A388))+SUM(INDIRECT(AX$1&amp;AX$2&amp;$B388):INDIRECT(AX$1&amp;AX$3&amp;$B388))</f>
        <v>0</v>
      </c>
      <c r="AY388" s="3119">
        <f t="shared" ca="1" si="546"/>
        <v>0</v>
      </c>
      <c r="AZ388" s="2768">
        <f t="shared" ca="1" si="588"/>
        <v>0</v>
      </c>
      <c r="BB388" s="1214">
        <f ca="1">SUM((INDIRECT(BB$2&amp;(ROW())):INDIRECT(BB$3&amp;(ROW()))))</f>
        <v>0</v>
      </c>
      <c r="BC388" s="1221">
        <f ca="1">SUM(INDIRECT(BC$1&amp;BC$2&amp;$C388):INDIRECT(BC$1&amp;BC$3&amp;$C388))</f>
        <v>300</v>
      </c>
      <c r="BD388" s="3119">
        <f t="shared" ca="1" si="548"/>
        <v>-300</v>
      </c>
      <c r="BE388" s="2768">
        <f t="shared" ca="1" si="589"/>
        <v>0</v>
      </c>
      <c r="BF388" s="1221">
        <f ca="1">SUM(INDIRECT(BF$1&amp;BF$2&amp;$A388):INDIRECT(BF$1&amp;BF$3&amp;$A388))+SUM(INDIRECT(BF$1&amp;BF$2&amp;$B388):INDIRECT(BF$1&amp;BF$3&amp;$B388))</f>
        <v>0</v>
      </c>
      <c r="BG388" s="3119">
        <f t="shared" ca="1" si="550"/>
        <v>0</v>
      </c>
      <c r="BH388" s="2768">
        <f t="shared" ca="1" si="590"/>
        <v>0</v>
      </c>
    </row>
    <row r="389" spans="1:60" ht="14.5">
      <c r="A389" s="2580">
        <v>350</v>
      </c>
      <c r="B389" s="616">
        <v>1</v>
      </c>
      <c r="C389" s="616">
        <f t="shared" si="602"/>
        <v>386</v>
      </c>
      <c r="D389" s="709" t="s">
        <v>1308</v>
      </c>
      <c r="E389" s="2547">
        <v>1</v>
      </c>
      <c r="F389" s="4"/>
      <c r="G389" s="4"/>
      <c r="H389" s="4"/>
      <c r="I389" s="3167" t="s">
        <v>29</v>
      </c>
      <c r="J389" s="471"/>
      <c r="K389" s="471"/>
      <c r="L389" s="471"/>
      <c r="M389" s="471"/>
      <c r="N389" s="471"/>
      <c r="O389" s="471"/>
      <c r="P389" s="471"/>
      <c r="Q389" s="1801" t="str">
        <f>CHOOSE(2, "6722000003308", "PL (5) SGA Expenses")</f>
        <v>PL (5) SGA Expenses</v>
      </c>
      <c r="R389" s="1260">
        <f>SUM(R390:R391,R396)</f>
        <v>1694</v>
      </c>
      <c r="S389" s="3168">
        <f t="shared" ref="S389:AJ389" si="606">SUM(S390:S391,S396)</f>
        <v>1791</v>
      </c>
      <c r="T389" s="3168">
        <f t="shared" si="606"/>
        <v>1557</v>
      </c>
      <c r="U389" s="3168">
        <f t="shared" si="606"/>
        <v>1543</v>
      </c>
      <c r="V389" s="3168">
        <f t="shared" si="606"/>
        <v>1234.1868567744368</v>
      </c>
      <c r="W389" s="3168">
        <f t="shared" si="606"/>
        <v>1032</v>
      </c>
      <c r="X389" s="3168">
        <f t="shared" si="606"/>
        <v>1216</v>
      </c>
      <c r="Y389" s="3168">
        <f t="shared" si="606"/>
        <v>1046.5941841461286</v>
      </c>
      <c r="Z389" s="3168">
        <f t="shared" si="606"/>
        <v>1490.8997470445147</v>
      </c>
      <c r="AA389" s="3168">
        <f t="shared" si="606"/>
        <v>1626.6104702177086</v>
      </c>
      <c r="AB389" s="3168">
        <f t="shared" si="606"/>
        <v>2004.748270848942</v>
      </c>
      <c r="AC389" s="3168">
        <f t="shared" si="606"/>
        <v>1752.4208787210021</v>
      </c>
      <c r="AD389" s="3168">
        <f t="shared" si="606"/>
        <v>5042</v>
      </c>
      <c r="AE389" s="3168">
        <f t="shared" si="606"/>
        <v>3809.1868567744368</v>
      </c>
      <c r="AF389" s="3168">
        <f t="shared" si="606"/>
        <v>3753.4939311906433</v>
      </c>
      <c r="AG389" s="3168">
        <f t="shared" si="606"/>
        <v>5383.7796197876523</v>
      </c>
      <c r="AH389" s="3168">
        <f t="shared" si="606"/>
        <v>8851.1868567744368</v>
      </c>
      <c r="AI389" s="3168">
        <f t="shared" si="606"/>
        <v>9137.273550978296</v>
      </c>
      <c r="AJ389" s="3168">
        <f t="shared" si="606"/>
        <v>17988.460407752733</v>
      </c>
      <c r="AL389" s="1260">
        <f ca="1">SUM((INDIRECT(AL$2&amp;(ROW())):INDIRECT(AL$3&amp;(ROW()))))</f>
        <v>1752.4208787210021</v>
      </c>
      <c r="AM389" s="3168">
        <f ca="1">SUM(INDIRECT(AM$1&amp;AM$2&amp;$C389):INDIRECT(AM$1&amp;AM$3&amp;$C389))</f>
        <v>444</v>
      </c>
      <c r="AN389" s="3169">
        <f t="shared" ca="1" si="540"/>
        <v>1308.4208787210021</v>
      </c>
      <c r="AO389" s="3170">
        <f t="shared" ca="1" si="585"/>
        <v>3.946893870993248</v>
      </c>
      <c r="AP389" s="3171">
        <f ca="1">SUM(AP390:AP391,AP396)</f>
        <v>0</v>
      </c>
      <c r="AQ389" s="3169">
        <f t="shared" ca="1" si="542"/>
        <v>1752.4208787210021</v>
      </c>
      <c r="AR389" s="3170">
        <f t="shared" ca="1" si="586"/>
        <v>0</v>
      </c>
      <c r="AT389" s="1260">
        <f ca="1">SUM((INDIRECT(AT$2&amp;(ROW())):INDIRECT(AT$3&amp;(ROW()))))</f>
        <v>5383.7796197876523</v>
      </c>
      <c r="AU389" s="3168">
        <f ca="1">SUM(INDIRECT(AU$1&amp;AU$2&amp;$C389):INDIRECT(AU$1&amp;AU$3&amp;$C389))</f>
        <v>1182</v>
      </c>
      <c r="AV389" s="3169">
        <f t="shared" ca="1" si="544"/>
        <v>4201.7796197876523</v>
      </c>
      <c r="AW389" s="3170">
        <f t="shared" ca="1" si="587"/>
        <v>4.5548050928829547</v>
      </c>
      <c r="AX389" s="3171">
        <f ca="1">SUM(AX390:AX391,AX396)</f>
        <v>0</v>
      </c>
      <c r="AY389" s="3169">
        <f t="shared" ca="1" si="546"/>
        <v>5383.7796197876523</v>
      </c>
      <c r="AZ389" s="3170">
        <f t="shared" ca="1" si="588"/>
        <v>0</v>
      </c>
      <c r="BB389" s="1260">
        <f ca="1">SUM((INDIRECT(BB$2&amp;(ROW())):INDIRECT(BB$3&amp;(ROW()))))</f>
        <v>17988.460407752733</v>
      </c>
      <c r="BC389" s="3168">
        <f ca="1">SUM(INDIRECT(BC$1&amp;BC$2&amp;$C389):INDIRECT(BC$1&amp;BC$3&amp;$C389))</f>
        <v>1827.5</v>
      </c>
      <c r="BD389" s="3169">
        <f t="shared" ca="1" si="548"/>
        <v>16160.960407752733</v>
      </c>
      <c r="BE389" s="3170">
        <f t="shared" ca="1" si="589"/>
        <v>9.8432067894679793</v>
      </c>
      <c r="BF389" s="3171">
        <f ca="1">SUM(BF390:BF391,BF396)</f>
        <v>0</v>
      </c>
      <c r="BG389" s="3169">
        <f t="shared" ca="1" si="550"/>
        <v>17988.460407752733</v>
      </c>
      <c r="BH389" s="3170">
        <f t="shared" ca="1" si="590"/>
        <v>0</v>
      </c>
    </row>
    <row r="390" spans="1:60" ht="14.5">
      <c r="A390" s="616">
        <f>A389+1</f>
        <v>351</v>
      </c>
      <c r="B390" s="616">
        <v>1</v>
      </c>
      <c r="C390" s="616">
        <f t="shared" si="602"/>
        <v>387</v>
      </c>
      <c r="D390" s="709" t="s">
        <v>1308</v>
      </c>
      <c r="E390" s="2547">
        <v>1</v>
      </c>
      <c r="F390" s="4"/>
      <c r="G390" s="4"/>
      <c r="H390" s="4"/>
      <c r="I390" s="27"/>
      <c r="J390" s="36"/>
      <c r="K390" s="2581" t="s">
        <v>1329</v>
      </c>
      <c r="L390" s="2582"/>
      <c r="M390" s="723"/>
      <c r="N390" s="723"/>
      <c r="O390" s="723"/>
      <c r="P390" s="723"/>
      <c r="Q390" s="1790" t="str">
        <f>CHOOSE(2, "6722000003309", "PL (5) SGA Expenses Variable Expenses")</f>
        <v>PL (5) SGA Expenses Variable Expenses</v>
      </c>
      <c r="R390" s="1386">
        <v>30</v>
      </c>
      <c r="S390" s="1279">
        <v>21</v>
      </c>
      <c r="T390" s="1279">
        <v>44</v>
      </c>
      <c r="U390" s="1279">
        <v>33</v>
      </c>
      <c r="V390" s="1279">
        <v>140.57616273656043</v>
      </c>
      <c r="W390" s="1279">
        <v>36</v>
      </c>
      <c r="X390" s="1279">
        <v>139</v>
      </c>
      <c r="Y390" s="1279">
        <v>46.497217636828026</v>
      </c>
      <c r="Z390" s="1279">
        <v>95.754747044514701</v>
      </c>
      <c r="AA390" s="1279">
        <v>51.465470217708592</v>
      </c>
      <c r="AB390" s="1279">
        <v>392.60327084894192</v>
      </c>
      <c r="AC390" s="1279">
        <v>46.280071758696181</v>
      </c>
      <c r="AD390" s="472">
        <f t="shared" ref="AD390:AD404" si="607">SUM(R390,S390,T390)</f>
        <v>95</v>
      </c>
      <c r="AE390" s="472">
        <f>SUM(U390,V390,W390)</f>
        <v>209.57616273656043</v>
      </c>
      <c r="AF390" s="472">
        <f t="shared" ref="AF390:AF404" si="608">SUM(X390,Y390,Z390)</f>
        <v>281.25196468134271</v>
      </c>
      <c r="AG390" s="472">
        <f t="shared" ref="AG390:AG404" si="609">SUM(AA390,AB390,AC390)</f>
        <v>490.34881282534667</v>
      </c>
      <c r="AH390" s="472">
        <f>AD390+AE390</f>
        <v>304.57616273656043</v>
      </c>
      <c r="AI390" s="472">
        <f>AG390+AF390</f>
        <v>771.60077750668938</v>
      </c>
      <c r="AJ390" s="472">
        <f>AH390+AI390</f>
        <v>1076.1769402432499</v>
      </c>
      <c r="AL390" s="3121">
        <f ca="1">SUM((INDIRECT(AL$2&amp;(ROW())):INDIRECT(AL$3&amp;(ROW()))))</f>
        <v>46.280071758696181</v>
      </c>
      <c r="AM390" s="472">
        <f ca="1">SUM(INDIRECT(AM$1&amp;AM$2&amp;$C390):INDIRECT(AM$1&amp;AM$3&amp;$C390))</f>
        <v>444</v>
      </c>
      <c r="AN390" s="3122">
        <f t="shared" ca="1" si="540"/>
        <v>-397.71992824130382</v>
      </c>
      <c r="AO390" s="2773">
        <f t="shared" ca="1" si="585"/>
        <v>0.10423439585291933</v>
      </c>
      <c r="AP390" s="3176">
        <f ca="1">SUM(INDIRECT(AP$1&amp;AP$2&amp;$A390):INDIRECT(AP$1&amp;AP$3&amp;$A390))+SUM(INDIRECT(AP$1&amp;AP$2&amp;$B390):INDIRECT(AP$1&amp;AP$3&amp;$B390))</f>
        <v>0</v>
      </c>
      <c r="AQ390" s="3177">
        <f t="shared" ca="1" si="542"/>
        <v>46.280071758696181</v>
      </c>
      <c r="AR390" s="3178">
        <f t="shared" ca="1" si="586"/>
        <v>0</v>
      </c>
      <c r="AS390" s="69"/>
      <c r="AT390" s="3121">
        <f ca="1">SUM((INDIRECT(AT$2&amp;(ROW())):INDIRECT(AT$3&amp;(ROW()))))</f>
        <v>490.34881282534667</v>
      </c>
      <c r="AU390" s="472">
        <f ca="1">SUM(INDIRECT(AU$1&amp;AU$2&amp;$C390):INDIRECT(AU$1&amp;AU$3&amp;$C390))</f>
        <v>1182</v>
      </c>
      <c r="AV390" s="3122">
        <f t="shared" ca="1" si="544"/>
        <v>-691.65118717465339</v>
      </c>
      <c r="AW390" s="2773">
        <f t="shared" ca="1" si="587"/>
        <v>0.41484671135816131</v>
      </c>
      <c r="AX390" s="472">
        <f ca="1">SUM(INDIRECT(AX$1&amp;AX$2&amp;$A390):INDIRECT(AX$1&amp;AX$3&amp;$A390))+SUM(INDIRECT(AX$1&amp;AX$2&amp;$B390):INDIRECT(AX$1&amp;AX$3&amp;$B390))</f>
        <v>0</v>
      </c>
      <c r="AY390" s="3122">
        <f t="shared" ca="1" si="546"/>
        <v>490.34881282534667</v>
      </c>
      <c r="AZ390" s="2773">
        <f t="shared" ca="1" si="588"/>
        <v>0</v>
      </c>
      <c r="BB390" s="3121">
        <f ca="1">SUM((INDIRECT(BB$2&amp;(ROW())):INDIRECT(BB$3&amp;(ROW()))))</f>
        <v>1076.1769402432496</v>
      </c>
      <c r="BC390" s="472">
        <f ca="1">SUM(INDIRECT(BC$1&amp;BC$2&amp;$C390):INDIRECT(BC$1&amp;BC$3&amp;$C390))</f>
        <v>1827.5</v>
      </c>
      <c r="BD390" s="3122">
        <f t="shared" ca="1" si="548"/>
        <v>-751.32305975675035</v>
      </c>
      <c r="BE390" s="2773">
        <f t="shared" ca="1" si="589"/>
        <v>0.58887931066662091</v>
      </c>
      <c r="BF390" s="472">
        <f ca="1">SUM(INDIRECT(BF$1&amp;BF$2&amp;$A390):INDIRECT(BF$1&amp;BF$3&amp;$A390))+SUM(INDIRECT(BF$1&amp;BF$2&amp;$B390):INDIRECT(BF$1&amp;BF$3&amp;$B390))</f>
        <v>0</v>
      </c>
      <c r="BG390" s="3122">
        <f t="shared" ca="1" si="550"/>
        <v>1076.1769402432496</v>
      </c>
      <c r="BH390" s="2773">
        <f t="shared" ca="1" si="590"/>
        <v>0</v>
      </c>
    </row>
    <row r="391" spans="1:60" ht="14.5">
      <c r="A391" s="616">
        <f t="shared" ref="A391:A396" si="610">A390+1</f>
        <v>352</v>
      </c>
      <c r="B391" s="616">
        <v>1</v>
      </c>
      <c r="C391" s="616">
        <f t="shared" si="602"/>
        <v>388</v>
      </c>
      <c r="D391" s="709" t="s">
        <v>1308</v>
      </c>
      <c r="E391" s="2547">
        <v>1</v>
      </c>
      <c r="F391" s="4"/>
      <c r="G391" s="4"/>
      <c r="H391" s="4"/>
      <c r="I391" s="27"/>
      <c r="J391" s="36"/>
      <c r="K391" s="721" t="s">
        <v>1330</v>
      </c>
      <c r="L391" s="722"/>
      <c r="M391" s="723"/>
      <c r="N391" s="723"/>
      <c r="O391" s="723"/>
      <c r="P391" s="723"/>
      <c r="Q391" s="1784" t="str">
        <f>CHOOSE(2, "6722000003310", "PL (5) SGA Expenses Wages &amp; Salaries")</f>
        <v>PL (5) SGA Expenses Wages &amp; Salaries</v>
      </c>
      <c r="R391" s="3179">
        <f>SUM(R392:R395)</f>
        <v>1634</v>
      </c>
      <c r="S391" s="3176">
        <f t="shared" ref="S391:AC391" si="611">SUM(S392:S395)</f>
        <v>1685</v>
      </c>
      <c r="T391" s="3176">
        <f t="shared" si="611"/>
        <v>1115</v>
      </c>
      <c r="U391" s="3176">
        <f t="shared" si="611"/>
        <v>1292</v>
      </c>
      <c r="V391" s="3176">
        <f t="shared" si="611"/>
        <v>808</v>
      </c>
      <c r="W391" s="3176">
        <f t="shared" si="611"/>
        <v>878</v>
      </c>
      <c r="X391" s="3176">
        <f t="shared" si="611"/>
        <v>887</v>
      </c>
      <c r="Y391" s="3176">
        <f t="shared" si="611"/>
        <v>861</v>
      </c>
      <c r="Z391" s="3176">
        <f t="shared" si="611"/>
        <v>1253.145</v>
      </c>
      <c r="AA391" s="3176">
        <f t="shared" si="611"/>
        <v>1432.145</v>
      </c>
      <c r="AB391" s="3176">
        <f t="shared" si="611"/>
        <v>1465.145</v>
      </c>
      <c r="AC391" s="3176">
        <f t="shared" si="611"/>
        <v>1474.145</v>
      </c>
      <c r="AD391" s="472">
        <f t="shared" si="607"/>
        <v>4434</v>
      </c>
      <c r="AE391" s="472">
        <f>SUM(U391,V391,W391)</f>
        <v>2978</v>
      </c>
      <c r="AF391" s="472">
        <f>SUM(X391,Y391,Z391)</f>
        <v>3001.145</v>
      </c>
      <c r="AG391" s="472">
        <f>SUM(AA391,AB391,AC391)</f>
        <v>4371.4349999999995</v>
      </c>
      <c r="AH391" s="472">
        <f>AD391+AE391</f>
        <v>7412</v>
      </c>
      <c r="AI391" s="472">
        <f>AG391+AF391</f>
        <v>7372.58</v>
      </c>
      <c r="AJ391" s="472">
        <f>AH391+AI391</f>
        <v>14784.58</v>
      </c>
      <c r="AL391" s="3121">
        <f ca="1">SUM((INDIRECT(AL$2&amp;(ROW())):INDIRECT(AL$3&amp;(ROW()))))</f>
        <v>1474.145</v>
      </c>
      <c r="AM391" s="472">
        <f ca="1">SUM(INDIRECT(AM$1&amp;AM$2&amp;$C391):INDIRECT(AM$1&amp;AM$3&amp;$C391))</f>
        <v>0</v>
      </c>
      <c r="AN391" s="3122">
        <f t="shared" ca="1" si="540"/>
        <v>1474.145</v>
      </c>
      <c r="AO391" s="2773">
        <f t="shared" ca="1" si="585"/>
        <v>0</v>
      </c>
      <c r="AP391" s="3176">
        <f ca="1">SUM(INDIRECT(AP$1&amp;AP$2&amp;$A391):INDIRECT(AP$1&amp;AP$3&amp;$A391))+SUM(INDIRECT(AP$1&amp;AP$2&amp;$B391):INDIRECT(AP$1&amp;AP$3&amp;$B391))</f>
        <v>0</v>
      </c>
      <c r="AQ391" s="3177">
        <f t="shared" ca="1" si="542"/>
        <v>1474.145</v>
      </c>
      <c r="AR391" s="3178">
        <f t="shared" ca="1" si="586"/>
        <v>0</v>
      </c>
      <c r="AS391" s="69"/>
      <c r="AT391" s="3121">
        <f ca="1">SUM((INDIRECT(AT$2&amp;(ROW())):INDIRECT(AT$3&amp;(ROW()))))</f>
        <v>4371.4349999999995</v>
      </c>
      <c r="AU391" s="472">
        <f ca="1">SUM(INDIRECT(AU$1&amp;AU$2&amp;$C391):INDIRECT(AU$1&amp;AU$3&amp;$C391))</f>
        <v>0</v>
      </c>
      <c r="AV391" s="3122">
        <f t="shared" ca="1" si="544"/>
        <v>4371.4349999999995</v>
      </c>
      <c r="AW391" s="2773">
        <f t="shared" ca="1" si="587"/>
        <v>0</v>
      </c>
      <c r="AX391" s="472">
        <f ca="1">SUM(INDIRECT(AX$1&amp;AX$2&amp;$A391):INDIRECT(AX$1&amp;AX$3&amp;$A391))+SUM(INDIRECT(AX$1&amp;AX$2&amp;$B391):INDIRECT(AX$1&amp;AX$3&amp;$B391))</f>
        <v>0</v>
      </c>
      <c r="AY391" s="3122">
        <f t="shared" ca="1" si="546"/>
        <v>4371.4349999999995</v>
      </c>
      <c r="AZ391" s="2773">
        <f t="shared" ca="1" si="588"/>
        <v>0</v>
      </c>
      <c r="BB391" s="3121">
        <f ca="1">SUM((INDIRECT(BB$2&amp;(ROW())):INDIRECT(BB$3&amp;(ROW()))))</f>
        <v>14784.580000000002</v>
      </c>
      <c r="BC391" s="472">
        <f ca="1">SUM(INDIRECT(BC$1&amp;BC$2&amp;$C391):INDIRECT(BC$1&amp;BC$3&amp;$C391))</f>
        <v>0</v>
      </c>
      <c r="BD391" s="3122">
        <f t="shared" ca="1" si="548"/>
        <v>14784.580000000002</v>
      </c>
      <c r="BE391" s="2773">
        <f t="shared" ca="1" si="589"/>
        <v>0</v>
      </c>
      <c r="BF391" s="472">
        <f ca="1">SUM(INDIRECT(BF$1&amp;BF$2&amp;$A391):INDIRECT(BF$1&amp;BF$3&amp;$A391))+SUM(INDIRECT(BF$1&amp;BF$2&amp;$B391):INDIRECT(BF$1&amp;BF$3&amp;$B391))</f>
        <v>0</v>
      </c>
      <c r="BG391" s="3122">
        <f t="shared" ca="1" si="550"/>
        <v>14784.580000000002</v>
      </c>
      <c r="BH391" s="2773">
        <f t="shared" ca="1" si="590"/>
        <v>0</v>
      </c>
    </row>
    <row r="392" spans="1:60" ht="14.5">
      <c r="A392" s="616">
        <f t="shared" si="610"/>
        <v>353</v>
      </c>
      <c r="B392" s="616">
        <v>1</v>
      </c>
      <c r="C392" s="616">
        <f t="shared" si="602"/>
        <v>389</v>
      </c>
      <c r="D392" s="709" t="s">
        <v>1308</v>
      </c>
      <c r="E392" s="2547">
        <v>1</v>
      </c>
      <c r="F392" s="4"/>
      <c r="G392" s="4"/>
      <c r="H392" s="4"/>
      <c r="I392" s="27"/>
      <c r="J392" s="36"/>
      <c r="K392" s="724"/>
      <c r="L392" s="4"/>
      <c r="M392" s="3" t="s">
        <v>926</v>
      </c>
      <c r="N392" s="3"/>
      <c r="O392" s="3"/>
      <c r="P392" s="3"/>
      <c r="Q392" s="1790" t="str">
        <f>CHOOSE(2, "6722000003311", "PL (5) SGA Expenses Wages &amp; Salaries Sales")</f>
        <v>PL (5) SGA Expenses Wages &amp; Salaries Sales</v>
      </c>
      <c r="R392" s="1215">
        <v>285</v>
      </c>
      <c r="S392" s="1215">
        <v>336</v>
      </c>
      <c r="T392" s="1215">
        <v>336</v>
      </c>
      <c r="U392" s="1222">
        <v>389</v>
      </c>
      <c r="V392" s="1222">
        <v>241</v>
      </c>
      <c r="W392" s="1222">
        <v>241</v>
      </c>
      <c r="X392" s="1222">
        <v>241</v>
      </c>
      <c r="Y392" s="1222">
        <v>241</v>
      </c>
      <c r="Z392" s="1222">
        <v>229.14500000000001</v>
      </c>
      <c r="AA392" s="1222">
        <v>229.14500000000001</v>
      </c>
      <c r="AB392" s="1222">
        <v>229.14500000000001</v>
      </c>
      <c r="AC392" s="1222">
        <v>229.14500000000001</v>
      </c>
      <c r="AD392" s="1221">
        <f t="shared" si="607"/>
        <v>957</v>
      </c>
      <c r="AE392" s="1221">
        <f>SUM(U392,V392,W392)</f>
        <v>871</v>
      </c>
      <c r="AF392" s="1221">
        <f t="shared" si="608"/>
        <v>711.14499999999998</v>
      </c>
      <c r="AG392" s="1221">
        <f>SUM(AA392,AB392,AC392)</f>
        <v>687.43500000000006</v>
      </c>
      <c r="AH392" s="1221">
        <f>AD392+AE392</f>
        <v>1828</v>
      </c>
      <c r="AI392" s="1221">
        <f>AG392+AF392</f>
        <v>1398.58</v>
      </c>
      <c r="AJ392" s="1221">
        <f t="shared" ref="AJ392:AJ395" si="612">AH392+AI392</f>
        <v>3226.58</v>
      </c>
      <c r="AL392" s="1214">
        <f ca="1">SUM((INDIRECT(AL$2&amp;(ROW())):INDIRECT(AL$3&amp;(ROW()))))</f>
        <v>229.14500000000001</v>
      </c>
      <c r="AM392" s="1221">
        <f ca="1">SUM(INDIRECT(AM$1&amp;AM$2&amp;$C392):INDIRECT(AM$1&amp;AM$3&amp;$C392))</f>
        <v>0</v>
      </c>
      <c r="AN392" s="3119">
        <f t="shared" ca="1" si="540"/>
        <v>229.14500000000001</v>
      </c>
      <c r="AO392" s="2768">
        <f t="shared" ca="1" si="585"/>
        <v>0</v>
      </c>
      <c r="AP392" s="1232">
        <f ca="1">SUM(INDIRECT(AP$1&amp;AP$2&amp;$A392):INDIRECT(AP$1&amp;AP$3&amp;$A392))+SUM(INDIRECT(AP$1&amp;AP$2&amp;$B392):INDIRECT(AP$1&amp;AP$3&amp;$B392))</f>
        <v>843</v>
      </c>
      <c r="AQ392" s="3110">
        <f t="shared" ca="1" si="542"/>
        <v>-613.85500000000002</v>
      </c>
      <c r="AR392" s="2758">
        <f t="shared" ca="1" si="586"/>
        <v>0.27182087781731912</v>
      </c>
      <c r="AS392" s="69"/>
      <c r="AT392" s="1214">
        <f ca="1">SUM((INDIRECT(AT$2&amp;(ROW())):INDIRECT(AT$3&amp;(ROW()))))</f>
        <v>687.43500000000006</v>
      </c>
      <c r="AU392" s="1221">
        <f ca="1">SUM(INDIRECT(AU$1&amp;AU$2&amp;$C392):INDIRECT(AU$1&amp;AU$3&amp;$C392))</f>
        <v>0</v>
      </c>
      <c r="AV392" s="3119">
        <f t="shared" ca="1" si="544"/>
        <v>687.43500000000006</v>
      </c>
      <c r="AW392" s="2768">
        <f t="shared" ca="1" si="587"/>
        <v>0</v>
      </c>
      <c r="AX392" s="1232">
        <f ca="1">SUM(INDIRECT(AX$1&amp;AX$2&amp;$A392):INDIRECT(AX$1&amp;AX$3&amp;$A392))+SUM(INDIRECT(AX$1&amp;AX$2&amp;$B392):INDIRECT(AX$1&amp;AX$3&amp;$B392))</f>
        <v>1397</v>
      </c>
      <c r="AY392" s="3110">
        <f t="shared" ca="1" si="546"/>
        <v>-709.56499999999994</v>
      </c>
      <c r="AZ392" s="2758">
        <f t="shared" ca="1" si="588"/>
        <v>0.49207945597709379</v>
      </c>
      <c r="BA392" s="69"/>
      <c r="BB392" s="1289">
        <f ca="1">SUM((INDIRECT(BB$2&amp;(ROW())):INDIRECT(BB$3&amp;(ROW()))))</f>
        <v>3226.58</v>
      </c>
      <c r="BC392" s="1232">
        <f ca="1">SUM(INDIRECT(BC$1&amp;BC$2&amp;$C392):INDIRECT(BC$1&amp;BC$3&amp;$C392))</f>
        <v>0</v>
      </c>
      <c r="BD392" s="3110">
        <f t="shared" ca="1" si="548"/>
        <v>3226.58</v>
      </c>
      <c r="BE392" s="2758">
        <f t="shared" ca="1" si="589"/>
        <v>0</v>
      </c>
      <c r="BF392" s="1232">
        <f ca="1">SUM(INDIRECT(BF$1&amp;BF$2&amp;$A392):INDIRECT(BF$1&amp;BF$3&amp;$A392))+SUM(INDIRECT(BF$1&amp;BF$2&amp;$B392):INDIRECT(BF$1&amp;BF$3&amp;$B392))</f>
        <v>8188</v>
      </c>
      <c r="BG392" s="3110">
        <f t="shared" ca="1" si="550"/>
        <v>-4961.42</v>
      </c>
      <c r="BH392" s="2758">
        <f t="shared" ca="1" si="590"/>
        <v>0.39406204201270151</v>
      </c>
    </row>
    <row r="393" spans="1:60" ht="14.5">
      <c r="A393" s="616">
        <f t="shared" si="610"/>
        <v>354</v>
      </c>
      <c r="B393" s="616">
        <v>1</v>
      </c>
      <c r="C393" s="616">
        <f t="shared" si="602"/>
        <v>390</v>
      </c>
      <c r="D393" s="709" t="s">
        <v>1308</v>
      </c>
      <c r="E393" s="2547">
        <v>1</v>
      </c>
      <c r="F393" s="4"/>
      <c r="G393" s="4"/>
      <c r="H393" s="4"/>
      <c r="I393" s="27"/>
      <c r="J393" s="36"/>
      <c r="K393" s="724"/>
      <c r="L393" s="4"/>
      <c r="M393" s="3" t="s">
        <v>927</v>
      </c>
      <c r="N393" s="3"/>
      <c r="O393" s="3"/>
      <c r="P393" s="3"/>
      <c r="Q393" s="1790" t="str">
        <f>CHOOSE(2, "6722000003312", "PL (5) SGA Expenses Wages &amp; Salaries Pre-sales / Consultant")</f>
        <v>PL (5) SGA Expenses Wages &amp; Salaries Pre-sales / Consultant</v>
      </c>
      <c r="R393" s="1215">
        <v>524</v>
      </c>
      <c r="S393" s="1215">
        <v>524</v>
      </c>
      <c r="T393" s="1215">
        <v>524</v>
      </c>
      <c r="U393" s="1222">
        <v>608</v>
      </c>
      <c r="V393" s="1222">
        <v>348</v>
      </c>
      <c r="W393" s="1222">
        <v>348</v>
      </c>
      <c r="X393" s="1222">
        <v>348</v>
      </c>
      <c r="Y393" s="1222">
        <v>348</v>
      </c>
      <c r="Z393" s="1222">
        <f>348+404</f>
        <v>752</v>
      </c>
      <c r="AA393" s="1222">
        <v>931</v>
      </c>
      <c r="AB393" s="1222">
        <f>931+33</f>
        <v>964</v>
      </c>
      <c r="AC393" s="1222">
        <f>931+33+9</f>
        <v>973</v>
      </c>
      <c r="AD393" s="1221">
        <f t="shared" si="607"/>
        <v>1572</v>
      </c>
      <c r="AE393" s="1221">
        <f t="shared" ref="AE393:AE404" si="613">SUM(U393,V393,W393)</f>
        <v>1304</v>
      </c>
      <c r="AF393" s="1221">
        <f t="shared" si="608"/>
        <v>1448</v>
      </c>
      <c r="AG393" s="1221">
        <f t="shared" si="609"/>
        <v>2868</v>
      </c>
      <c r="AH393" s="1221">
        <f t="shared" ref="AH393:AH395" si="614">AD393+AE393</f>
        <v>2876</v>
      </c>
      <c r="AI393" s="1221">
        <f t="shared" ref="AI393:AI395" si="615">AG393+AF393</f>
        <v>4316</v>
      </c>
      <c r="AJ393" s="1221">
        <f t="shared" si="612"/>
        <v>7192</v>
      </c>
      <c r="AL393" s="1214">
        <f ca="1">SUM((INDIRECT(AL$2&amp;(ROW())):INDIRECT(AL$3&amp;(ROW()))))</f>
        <v>973</v>
      </c>
      <c r="AM393" s="1221">
        <f ca="1">SUM(INDIRECT(AM$1&amp;AM$2&amp;$C393):INDIRECT(AM$1&amp;AM$3&amp;$C393))</f>
        <v>0</v>
      </c>
      <c r="AN393" s="3119">
        <f t="shared" ca="1" si="540"/>
        <v>973</v>
      </c>
      <c r="AO393" s="2768">
        <f t="shared" ca="1" si="585"/>
        <v>0</v>
      </c>
      <c r="AP393" s="1232">
        <f ca="1">SUM(INDIRECT(AP$1&amp;AP$2&amp;$A393):INDIRECT(AP$1&amp;AP$3&amp;$A393))+SUM(INDIRECT(AP$1&amp;AP$2&amp;$B393):INDIRECT(AP$1&amp;AP$3&amp;$B393))</f>
        <v>843</v>
      </c>
      <c r="AQ393" s="3110">
        <f t="shared" ca="1" si="542"/>
        <v>130</v>
      </c>
      <c r="AR393" s="2758">
        <f t="shared" ca="1" si="586"/>
        <v>1.1542111506524317</v>
      </c>
      <c r="AS393" s="69"/>
      <c r="AT393" s="1214">
        <f ca="1">SUM((INDIRECT(AT$2&amp;(ROW())):INDIRECT(AT$3&amp;(ROW()))))</f>
        <v>2868</v>
      </c>
      <c r="AU393" s="1221">
        <f ca="1">SUM(INDIRECT(AU$1&amp;AU$2&amp;$C393):INDIRECT(AU$1&amp;AU$3&amp;$C393))</f>
        <v>0</v>
      </c>
      <c r="AV393" s="3119">
        <f t="shared" ca="1" si="544"/>
        <v>2868</v>
      </c>
      <c r="AW393" s="2768">
        <f t="shared" ca="1" si="587"/>
        <v>0</v>
      </c>
      <c r="AX393" s="1232">
        <f ca="1">SUM(INDIRECT(AX$1&amp;AX$2&amp;$A393):INDIRECT(AX$1&amp;AX$3&amp;$A393))+SUM(INDIRECT(AX$1&amp;AX$2&amp;$B393):INDIRECT(AX$1&amp;AX$3&amp;$B393))</f>
        <v>1397</v>
      </c>
      <c r="AY393" s="3110">
        <f t="shared" ca="1" si="546"/>
        <v>1471</v>
      </c>
      <c r="AZ393" s="2758">
        <f t="shared" ca="1" si="588"/>
        <v>2.0529706513958481</v>
      </c>
      <c r="BA393" s="69"/>
      <c r="BB393" s="1289">
        <f ca="1">SUM((INDIRECT(BB$2&amp;(ROW())):INDIRECT(BB$3&amp;(ROW()))))</f>
        <v>7192</v>
      </c>
      <c r="BC393" s="1232">
        <f ca="1">SUM(INDIRECT(BC$1&amp;BC$2&amp;$C393):INDIRECT(BC$1&amp;BC$3&amp;$C393))</f>
        <v>0</v>
      </c>
      <c r="BD393" s="3110">
        <f t="shared" ca="1" si="548"/>
        <v>7192</v>
      </c>
      <c r="BE393" s="2758">
        <f t="shared" ca="1" si="589"/>
        <v>0</v>
      </c>
      <c r="BF393" s="1232">
        <f ca="1">SUM(INDIRECT(BF$1&amp;BF$2&amp;$A393):INDIRECT(BF$1&amp;BF$3&amp;$A393))+SUM(INDIRECT(BF$1&amp;BF$2&amp;$B393):INDIRECT(BF$1&amp;BF$3&amp;$B393))</f>
        <v>8188</v>
      </c>
      <c r="BG393" s="3110">
        <f t="shared" ca="1" si="550"/>
        <v>-996</v>
      </c>
      <c r="BH393" s="2758">
        <f t="shared" ca="1" si="590"/>
        <v>0.87835857352222768</v>
      </c>
    </row>
    <row r="394" spans="1:60" ht="14.5">
      <c r="A394" s="616">
        <f t="shared" si="610"/>
        <v>355</v>
      </c>
      <c r="B394" s="616">
        <v>1</v>
      </c>
      <c r="C394" s="616">
        <f t="shared" si="602"/>
        <v>391</v>
      </c>
      <c r="D394" s="709" t="s">
        <v>1308</v>
      </c>
      <c r="E394" s="2547">
        <v>1</v>
      </c>
      <c r="F394" s="4"/>
      <c r="G394" s="4"/>
      <c r="H394" s="4"/>
      <c r="I394" s="27"/>
      <c r="J394" s="36"/>
      <c r="K394" s="724"/>
      <c r="L394" s="4"/>
      <c r="M394" s="3" t="s">
        <v>928</v>
      </c>
      <c r="N394" s="3"/>
      <c r="O394" s="3"/>
      <c r="P394" s="3"/>
      <c r="Q394" s="1790" t="str">
        <f>CHOOSE(2, "6722000003313", "PL (5) SGA Expenses Wages &amp; Salaries Marketing / Business")</f>
        <v>PL (5) SGA Expenses Wages &amp; Salaries Marketing / Business</v>
      </c>
      <c r="R394" s="1215">
        <v>133</v>
      </c>
      <c r="S394" s="1215">
        <v>133</v>
      </c>
      <c r="T394" s="1215">
        <v>133</v>
      </c>
      <c r="U394" s="1222">
        <v>154</v>
      </c>
      <c r="V394" s="1222">
        <v>108</v>
      </c>
      <c r="W394" s="1222">
        <v>108</v>
      </c>
      <c r="X394" s="1222">
        <v>108</v>
      </c>
      <c r="Y394" s="1222">
        <v>108</v>
      </c>
      <c r="Z394" s="1222">
        <v>108</v>
      </c>
      <c r="AA394" s="1222">
        <v>108</v>
      </c>
      <c r="AB394" s="1222">
        <v>108</v>
      </c>
      <c r="AC394" s="1222">
        <v>108</v>
      </c>
      <c r="AD394" s="1221">
        <f t="shared" si="607"/>
        <v>399</v>
      </c>
      <c r="AE394" s="1221">
        <f t="shared" si="613"/>
        <v>370</v>
      </c>
      <c r="AF394" s="1221">
        <f t="shared" si="608"/>
        <v>324</v>
      </c>
      <c r="AG394" s="1221">
        <f t="shared" si="609"/>
        <v>324</v>
      </c>
      <c r="AH394" s="1221">
        <f t="shared" si="614"/>
        <v>769</v>
      </c>
      <c r="AI394" s="1221">
        <f t="shared" si="615"/>
        <v>648</v>
      </c>
      <c r="AJ394" s="1221">
        <f t="shared" si="612"/>
        <v>1417</v>
      </c>
      <c r="AL394" s="1214">
        <f ca="1">SUM((INDIRECT(AL$2&amp;(ROW())):INDIRECT(AL$3&amp;(ROW()))))</f>
        <v>108</v>
      </c>
      <c r="AM394" s="1221">
        <f ca="1">SUM(INDIRECT(AM$1&amp;AM$2&amp;$C394):INDIRECT(AM$1&amp;AM$3&amp;$C394))</f>
        <v>0</v>
      </c>
      <c r="AN394" s="3119">
        <f t="shared" ca="1" si="540"/>
        <v>108</v>
      </c>
      <c r="AO394" s="2768">
        <f t="shared" ca="1" si="585"/>
        <v>0</v>
      </c>
      <c r="AP394" s="1232">
        <f ca="1">SUM(INDIRECT(AP$1&amp;AP$2&amp;$A394):INDIRECT(AP$1&amp;AP$3&amp;$A394))+SUM(INDIRECT(AP$1&amp;AP$2&amp;$B394):INDIRECT(AP$1&amp;AP$3&amp;$B394))</f>
        <v>0</v>
      </c>
      <c r="AQ394" s="3110">
        <f t="shared" ca="1" si="542"/>
        <v>108</v>
      </c>
      <c r="AR394" s="2758">
        <f t="shared" ca="1" si="586"/>
        <v>0</v>
      </c>
      <c r="AS394" s="69"/>
      <c r="AT394" s="1214">
        <f ca="1">SUM((INDIRECT(AT$2&amp;(ROW())):INDIRECT(AT$3&amp;(ROW()))))</f>
        <v>324</v>
      </c>
      <c r="AU394" s="1221">
        <f ca="1">SUM(INDIRECT(AU$1&amp;AU$2&amp;$C394):INDIRECT(AU$1&amp;AU$3&amp;$C394))</f>
        <v>0</v>
      </c>
      <c r="AV394" s="3119">
        <f t="shared" ca="1" si="544"/>
        <v>324</v>
      </c>
      <c r="AW394" s="2768">
        <f t="shared" ca="1" si="587"/>
        <v>0</v>
      </c>
      <c r="AX394" s="1232">
        <f ca="1">SUM(INDIRECT(AX$1&amp;AX$2&amp;$A394):INDIRECT(AX$1&amp;AX$3&amp;$A394))+SUM(INDIRECT(AX$1&amp;AX$2&amp;$B394):INDIRECT(AX$1&amp;AX$3&amp;$B394))</f>
        <v>510</v>
      </c>
      <c r="AY394" s="3110">
        <f t="shared" ca="1" si="546"/>
        <v>-186</v>
      </c>
      <c r="AZ394" s="2758">
        <f t="shared" ca="1" si="588"/>
        <v>0.63529411764705879</v>
      </c>
      <c r="BA394" s="69"/>
      <c r="BB394" s="1289">
        <f ca="1">SUM((INDIRECT(BB$2&amp;(ROW())):INDIRECT(BB$3&amp;(ROW()))))</f>
        <v>1417</v>
      </c>
      <c r="BC394" s="1232">
        <f ca="1">SUM(INDIRECT(BC$1&amp;BC$2&amp;$C394):INDIRECT(BC$1&amp;BC$3&amp;$C394))</f>
        <v>0</v>
      </c>
      <c r="BD394" s="3110">
        <f t="shared" ca="1" si="548"/>
        <v>1417</v>
      </c>
      <c r="BE394" s="2758">
        <f t="shared" ca="1" si="589"/>
        <v>0</v>
      </c>
      <c r="BF394" s="1232">
        <f ca="1">SUM(INDIRECT(BF$1&amp;BF$2&amp;$A394):INDIRECT(BF$1&amp;BF$3&amp;$A394))+SUM(INDIRECT(BF$1&amp;BF$2&amp;$B394):INDIRECT(BF$1&amp;BF$3&amp;$B394))</f>
        <v>1530</v>
      </c>
      <c r="BG394" s="3110">
        <f t="shared" ca="1" si="550"/>
        <v>-113</v>
      </c>
      <c r="BH394" s="2758">
        <f t="shared" ca="1" si="590"/>
        <v>0.92614379084967324</v>
      </c>
    </row>
    <row r="395" spans="1:60" ht="14.5">
      <c r="A395" s="616">
        <f t="shared" si="610"/>
        <v>356</v>
      </c>
      <c r="B395" s="616">
        <v>1</v>
      </c>
      <c r="C395" s="616">
        <f t="shared" si="602"/>
        <v>392</v>
      </c>
      <c r="D395" s="709" t="s">
        <v>1308</v>
      </c>
      <c r="E395" s="2547">
        <v>1</v>
      </c>
      <c r="F395" s="4"/>
      <c r="G395" s="4"/>
      <c r="H395" s="4"/>
      <c r="I395" s="27"/>
      <c r="J395" s="36"/>
      <c r="K395" s="2583"/>
      <c r="L395" s="48"/>
      <c r="M395" s="47" t="s">
        <v>929</v>
      </c>
      <c r="N395" s="47"/>
      <c r="O395" s="47"/>
      <c r="P395" s="47"/>
      <c r="Q395" s="1790" t="str">
        <f>CHOOSE(2, "6722000003314", "PL (5) SGA Expenses Wages &amp; Salaries Admin / Others")</f>
        <v>PL (5) SGA Expenses Wages &amp; Salaries Admin / Others</v>
      </c>
      <c r="R395" s="1387">
        <v>692</v>
      </c>
      <c r="S395" s="1387">
        <v>692</v>
      </c>
      <c r="T395" s="1387">
        <f>692-570</f>
        <v>122</v>
      </c>
      <c r="U395" s="1231">
        <v>141</v>
      </c>
      <c r="V395" s="1231">
        <v>111</v>
      </c>
      <c r="W395" s="1231">
        <v>181</v>
      </c>
      <c r="X395" s="1231">
        <v>190</v>
      </c>
      <c r="Y395" s="1231">
        <v>164</v>
      </c>
      <c r="Z395" s="1231">
        <v>164</v>
      </c>
      <c r="AA395" s="1231">
        <v>164</v>
      </c>
      <c r="AB395" s="1231">
        <v>164</v>
      </c>
      <c r="AC395" s="1231">
        <v>164</v>
      </c>
      <c r="AD395" s="1230">
        <f t="shared" si="607"/>
        <v>1506</v>
      </c>
      <c r="AE395" s="1230">
        <f t="shared" si="613"/>
        <v>433</v>
      </c>
      <c r="AF395" s="1230">
        <f t="shared" si="608"/>
        <v>518</v>
      </c>
      <c r="AG395" s="1230">
        <f t="shared" si="609"/>
        <v>492</v>
      </c>
      <c r="AH395" s="1230">
        <f t="shared" si="614"/>
        <v>1939</v>
      </c>
      <c r="AI395" s="1230">
        <f t="shared" si="615"/>
        <v>1010</v>
      </c>
      <c r="AJ395" s="1230">
        <f t="shared" si="612"/>
        <v>2949</v>
      </c>
      <c r="AL395" s="1257">
        <f ca="1">SUM((INDIRECT(AL$2&amp;(ROW())):INDIRECT(AL$3&amp;(ROW()))))</f>
        <v>164</v>
      </c>
      <c r="AM395" s="1230">
        <f ca="1">SUM(INDIRECT(AM$1&amp;AM$2&amp;$C395):INDIRECT(AM$1&amp;AM$3&amp;$C395))</f>
        <v>0</v>
      </c>
      <c r="AN395" s="3123">
        <f t="shared" ca="1" si="540"/>
        <v>164</v>
      </c>
      <c r="AO395" s="2775">
        <f t="shared" ca="1" si="585"/>
        <v>0</v>
      </c>
      <c r="AP395" s="1240">
        <f ca="1">SUM(INDIRECT(AP$1&amp;AP$2&amp;$A395):INDIRECT(AP$1&amp;AP$3&amp;$A395))+SUM(INDIRECT(AP$1&amp;AP$2&amp;$B395):INDIRECT(AP$1&amp;AP$3&amp;$B395))</f>
        <v>843</v>
      </c>
      <c r="AQ395" s="3160">
        <f t="shared" ca="1" si="542"/>
        <v>-679</v>
      </c>
      <c r="AR395" s="2808">
        <f t="shared" ca="1" si="586"/>
        <v>0.19454329774614473</v>
      </c>
      <c r="AS395" s="69"/>
      <c r="AT395" s="1257">
        <f ca="1">SUM((INDIRECT(AT$2&amp;(ROW())):INDIRECT(AT$3&amp;(ROW()))))</f>
        <v>492</v>
      </c>
      <c r="AU395" s="1230">
        <f ca="1">SUM(INDIRECT(AU$1&amp;AU$2&amp;$C395):INDIRECT(AU$1&amp;AU$3&amp;$C395))</f>
        <v>0</v>
      </c>
      <c r="AV395" s="3123">
        <f t="shared" ca="1" si="544"/>
        <v>492</v>
      </c>
      <c r="AW395" s="2775">
        <f t="shared" ca="1" si="587"/>
        <v>0</v>
      </c>
      <c r="AX395" s="1240">
        <f ca="1">SUM(INDIRECT(AX$1&amp;AX$2&amp;$A395):INDIRECT(AX$1&amp;AX$3&amp;$A395))+SUM(INDIRECT(AX$1&amp;AX$2&amp;$B395):INDIRECT(AX$1&amp;AX$3&amp;$B395))</f>
        <v>887</v>
      </c>
      <c r="AY395" s="3160">
        <f t="shared" ca="1" si="546"/>
        <v>-395</v>
      </c>
      <c r="AZ395" s="2808">
        <f t="shared" ca="1" si="588"/>
        <v>0.55467869222096955</v>
      </c>
      <c r="BA395" s="69"/>
      <c r="BB395" s="1255">
        <f ca="1">SUM((INDIRECT(BB$2&amp;(ROW())):INDIRECT(BB$3&amp;(ROW()))))</f>
        <v>2949</v>
      </c>
      <c r="BC395" s="1240">
        <f ca="1">SUM(INDIRECT(BC$1&amp;BC$2&amp;$C395):INDIRECT(BC$1&amp;BC$3&amp;$C395))</f>
        <v>0</v>
      </c>
      <c r="BD395" s="3160">
        <f t="shared" ca="1" si="548"/>
        <v>2949</v>
      </c>
      <c r="BE395" s="2808">
        <f t="shared" ca="1" si="589"/>
        <v>0</v>
      </c>
      <c r="BF395" s="1240">
        <f ca="1">SUM(INDIRECT(BF$1&amp;BF$2&amp;$A395):INDIRECT(BF$1&amp;BF$3&amp;$A395))+SUM(INDIRECT(BF$1&amp;BF$2&amp;$B395):INDIRECT(BF$1&amp;BF$3&amp;$B395))</f>
        <v>6658</v>
      </c>
      <c r="BG395" s="3160">
        <f t="shared" ca="1" si="550"/>
        <v>-3709</v>
      </c>
      <c r="BH395" s="2808">
        <f t="shared" ca="1" si="590"/>
        <v>0.44292580354460798</v>
      </c>
    </row>
    <row r="396" spans="1:60" ht="14.5">
      <c r="A396" s="616">
        <f t="shared" si="610"/>
        <v>357</v>
      </c>
      <c r="B396" s="616">
        <v>1</v>
      </c>
      <c r="C396" s="616">
        <f t="shared" si="602"/>
        <v>393</v>
      </c>
      <c r="D396" s="709" t="s">
        <v>1308</v>
      </c>
      <c r="E396" s="2547">
        <v>1</v>
      </c>
      <c r="F396" s="4"/>
      <c r="G396" s="4"/>
      <c r="H396" s="4"/>
      <c r="I396" s="27"/>
      <c r="J396" s="36"/>
      <c r="K396" s="2584" t="s">
        <v>1331</v>
      </c>
      <c r="L396" s="2585"/>
      <c r="M396" s="2586"/>
      <c r="N396" s="2586"/>
      <c r="O396" s="2586"/>
      <c r="P396" s="2586"/>
      <c r="Q396" s="1790" t="str">
        <f>CHOOSE(2, "6722000003315", "PL (5) SGA Expenses Fixed Expenses")</f>
        <v>PL (5) SGA Expenses Fixed Expenses</v>
      </c>
      <c r="R396" s="3180">
        <v>30</v>
      </c>
      <c r="S396" s="3181">
        <v>85</v>
      </c>
      <c r="T396" s="3181">
        <v>398</v>
      </c>
      <c r="U396" s="3181">
        <v>218</v>
      </c>
      <c r="V396" s="3181">
        <v>285.61069403787621</v>
      </c>
      <c r="W396" s="3181">
        <v>118</v>
      </c>
      <c r="X396" s="3181">
        <v>190</v>
      </c>
      <c r="Y396" s="3181">
        <v>139.09696650930061</v>
      </c>
      <c r="Z396" s="3181">
        <v>142</v>
      </c>
      <c r="AA396" s="3181">
        <v>143</v>
      </c>
      <c r="AB396" s="3181">
        <v>147</v>
      </c>
      <c r="AC396" s="3181">
        <v>231.99580696230598</v>
      </c>
      <c r="AD396" s="3182">
        <f t="shared" si="607"/>
        <v>513</v>
      </c>
      <c r="AE396" s="3182">
        <f t="shared" si="613"/>
        <v>621.61069403787621</v>
      </c>
      <c r="AF396" s="3182">
        <f t="shared" si="608"/>
        <v>471.09696650930061</v>
      </c>
      <c r="AG396" s="3182">
        <f t="shared" si="609"/>
        <v>521.99580696230601</v>
      </c>
      <c r="AH396" s="3182">
        <f>AD396+AE396</f>
        <v>1134.6106940378763</v>
      </c>
      <c r="AI396" s="3182">
        <f>AG396+AF396</f>
        <v>993.09277347160662</v>
      </c>
      <c r="AJ396" s="3182">
        <f>AH396+AI396</f>
        <v>2127.7034675094828</v>
      </c>
      <c r="AL396" s="3183">
        <f ca="1">SUM((INDIRECT(AL$2&amp;(ROW())):INDIRECT(AL$3&amp;(ROW()))))</f>
        <v>231.99580696230598</v>
      </c>
      <c r="AM396" s="3182">
        <f ca="1">SUM(INDIRECT(AM$1&amp;AM$2&amp;$C396):INDIRECT(AM$1&amp;AM$3&amp;$C396))</f>
        <v>999.56654705422989</v>
      </c>
      <c r="AN396" s="3184">
        <f t="shared" ca="1" si="540"/>
        <v>-767.57074009192388</v>
      </c>
      <c r="AO396" s="3185">
        <f t="shared" ca="1" si="585"/>
        <v>0.23209640983485155</v>
      </c>
      <c r="AP396" s="3182">
        <f ca="1">SUM(INDIRECT(AP$1&amp;AP$2&amp;$A396):INDIRECT(AP$1&amp;AP$3&amp;$A396))+SUM(INDIRECT(AP$1&amp;AP$2&amp;$B396):INDIRECT(AP$1&amp;AP$3&amp;$B396))</f>
        <v>0</v>
      </c>
      <c r="AQ396" s="3184">
        <f t="shared" ca="1" si="542"/>
        <v>231.99580696230598</v>
      </c>
      <c r="AR396" s="3185">
        <f t="shared" ca="1" si="586"/>
        <v>0</v>
      </c>
      <c r="AT396" s="3183">
        <f ca="1">SUM((INDIRECT(AT$2&amp;(ROW())):INDIRECT(AT$3&amp;(ROW()))))</f>
        <v>521.99580696230601</v>
      </c>
      <c r="AU396" s="3182">
        <f ca="1">SUM(INDIRECT(AU$1&amp;AU$2&amp;$C396):INDIRECT(AU$1&amp;AU$3&amp;$C396))</f>
        <v>2951.5430795355869</v>
      </c>
      <c r="AV396" s="3184">
        <f t="shared" ca="1" si="544"/>
        <v>-2429.5472725732807</v>
      </c>
      <c r="AW396" s="3185">
        <f t="shared" ca="1" si="587"/>
        <v>0.17685522213161797</v>
      </c>
      <c r="AX396" s="3182">
        <f ca="1">SUM(INDIRECT(AX$1&amp;AX$2&amp;$A396):INDIRECT(AX$1&amp;AX$3&amp;$A396))+SUM(INDIRECT(AX$1&amp;AX$2&amp;$B396):INDIRECT(AX$1&amp;AX$3&amp;$B396))</f>
        <v>0</v>
      </c>
      <c r="AY396" s="3184">
        <f t="shared" ca="1" si="546"/>
        <v>521.99580696230601</v>
      </c>
      <c r="AZ396" s="3185">
        <f t="shared" ca="1" si="588"/>
        <v>0</v>
      </c>
      <c r="BB396" s="3183">
        <f ca="1">SUM((INDIRECT(BB$2&amp;(ROW())):INDIRECT(BB$3&amp;(ROW()))))</f>
        <v>2127.7034675094828</v>
      </c>
      <c r="BC396" s="3182">
        <f ca="1">SUM(INDIRECT(BC$1&amp;BC$2&amp;$C396):INDIRECT(BC$1&amp;BC$3&amp;$C396))</f>
        <v>4980.7694754617605</v>
      </c>
      <c r="BD396" s="3184">
        <f t="shared" ca="1" si="548"/>
        <v>-2853.0660079522777</v>
      </c>
      <c r="BE396" s="3185">
        <f t="shared" ca="1" si="589"/>
        <v>0.42718368677607316</v>
      </c>
      <c r="BF396" s="3182">
        <f ca="1">SUM(INDIRECT(BF$1&amp;BF$2&amp;$A396):INDIRECT(BF$1&amp;BF$3&amp;$A396))+SUM(INDIRECT(BF$1&amp;BF$2&amp;$B396):INDIRECT(BF$1&amp;BF$3&amp;$B396))</f>
        <v>0</v>
      </c>
      <c r="BG396" s="3184">
        <f t="shared" ca="1" si="550"/>
        <v>2127.7034675094828</v>
      </c>
      <c r="BH396" s="3185">
        <f t="shared" ca="1" si="590"/>
        <v>0</v>
      </c>
    </row>
    <row r="397" spans="1:60" ht="14.5">
      <c r="A397" s="616">
        <v>1</v>
      </c>
      <c r="B397" s="616">
        <v>1</v>
      </c>
      <c r="C397" s="616">
        <f t="shared" si="602"/>
        <v>394</v>
      </c>
      <c r="D397" s="709" t="s">
        <v>1308</v>
      </c>
      <c r="E397" s="2578" t="s">
        <v>1369</v>
      </c>
      <c r="F397" s="2567"/>
      <c r="G397" s="4"/>
      <c r="H397" s="4"/>
      <c r="I397" s="27"/>
      <c r="J397" s="36"/>
      <c r="K397" s="1016" t="s">
        <v>1444</v>
      </c>
      <c r="L397" s="673"/>
      <c r="M397" s="674"/>
      <c r="N397" s="674"/>
      <c r="O397" s="674"/>
      <c r="P397" s="674"/>
      <c r="Q397" s="1784" t="str">
        <f>CHOOSE(2, "6722000003316", "PL (5) SGA Expenses Breakdown of SG&amp;A: ICW")</f>
        <v>PL (5) SGA Expenses Breakdown of SG&amp;A: ICW</v>
      </c>
      <c r="R397" s="1422">
        <f>SUM(R398:R400)</f>
        <v>0</v>
      </c>
      <c r="S397" s="1422">
        <f t="shared" ref="S397:AC397" si="616">SUM(S398:S400)</f>
        <v>0</v>
      </c>
      <c r="T397" s="1422">
        <f t="shared" si="616"/>
        <v>0</v>
      </c>
      <c r="U397" s="1422">
        <f t="shared" si="616"/>
        <v>0</v>
      </c>
      <c r="V397" s="1422">
        <f t="shared" si="616"/>
        <v>0</v>
      </c>
      <c r="W397" s="1422">
        <f t="shared" si="616"/>
        <v>0</v>
      </c>
      <c r="X397" s="1422">
        <f t="shared" si="616"/>
        <v>0</v>
      </c>
      <c r="Y397" s="1422">
        <f t="shared" si="616"/>
        <v>0</v>
      </c>
      <c r="Z397" s="1422">
        <f t="shared" si="616"/>
        <v>0</v>
      </c>
      <c r="AA397" s="1422">
        <f t="shared" si="616"/>
        <v>0</v>
      </c>
      <c r="AB397" s="1422">
        <f t="shared" si="616"/>
        <v>0</v>
      </c>
      <c r="AC397" s="1422">
        <f t="shared" si="616"/>
        <v>0</v>
      </c>
      <c r="AD397" s="1017">
        <f t="shared" si="607"/>
        <v>0</v>
      </c>
      <c r="AE397" s="1017">
        <f t="shared" si="613"/>
        <v>0</v>
      </c>
      <c r="AF397" s="1017">
        <f t="shared" si="608"/>
        <v>0</v>
      </c>
      <c r="AG397" s="1017">
        <f t="shared" si="609"/>
        <v>0</v>
      </c>
      <c r="AH397" s="1017">
        <f t="shared" ref="AH397:AH404" si="617">AD397+AE397</f>
        <v>0</v>
      </c>
      <c r="AI397" s="1017">
        <f t="shared" ref="AI397:AI404" si="618">AG397+AF397</f>
        <v>0</v>
      </c>
      <c r="AJ397" s="1017">
        <f t="shared" ref="AJ397:AJ404" si="619">AH397+AI397</f>
        <v>0</v>
      </c>
      <c r="AL397" s="1214"/>
      <c r="AM397" s="1221"/>
      <c r="AN397" s="3119"/>
      <c r="AO397" s="2768"/>
      <c r="AP397" s="1221"/>
      <c r="AQ397" s="3119"/>
      <c r="AR397" s="2768"/>
      <c r="AT397" s="1214"/>
      <c r="AU397" s="1221"/>
      <c r="AV397" s="3119"/>
      <c r="AW397" s="2768"/>
      <c r="AX397" s="1221"/>
      <c r="AY397" s="3119"/>
      <c r="AZ397" s="2768"/>
      <c r="BB397" s="1214"/>
      <c r="BC397" s="1221"/>
      <c r="BD397" s="3119"/>
      <c r="BE397" s="2768"/>
      <c r="BF397" s="1221"/>
      <c r="BG397" s="3119"/>
      <c r="BH397" s="2768"/>
    </row>
    <row r="398" spans="1:60" ht="14.5">
      <c r="A398" s="616">
        <v>1</v>
      </c>
      <c r="B398" s="616">
        <v>1</v>
      </c>
      <c r="C398" s="616">
        <f t="shared" si="602"/>
        <v>395</v>
      </c>
      <c r="D398" s="709" t="s">
        <v>1308</v>
      </c>
      <c r="E398" s="2578" t="s">
        <v>1369</v>
      </c>
      <c r="F398" s="2567"/>
      <c r="G398" s="4"/>
      <c r="H398" s="4"/>
      <c r="I398" s="27"/>
      <c r="J398" s="36"/>
      <c r="K398" s="635"/>
      <c r="L398" s="635"/>
      <c r="M398" s="635" t="s">
        <v>63</v>
      </c>
      <c r="N398" s="674"/>
      <c r="O398" s="674"/>
      <c r="P398" s="674"/>
      <c r="Q398" s="1787" t="str">
        <f>CHOOSE(2, "6722000003317", "PL (5) SGA Expenses Breakdown of SG&amp;A: ICW Variable Expenses")</f>
        <v>PL (5) SGA Expenses Breakdown of SG&amp;A: ICW Variable Expenses</v>
      </c>
      <c r="R398" s="1423">
        <v>0</v>
      </c>
      <c r="S398" s="1424">
        <v>0</v>
      </c>
      <c r="T398" s="1424">
        <v>0</v>
      </c>
      <c r="U398" s="1424">
        <v>0</v>
      </c>
      <c r="V398" s="1424">
        <v>0</v>
      </c>
      <c r="W398" s="1424">
        <v>0</v>
      </c>
      <c r="X398" s="1424">
        <v>0</v>
      </c>
      <c r="Y398" s="1424">
        <v>0</v>
      </c>
      <c r="Z398" s="1424">
        <v>0</v>
      </c>
      <c r="AA398" s="1424">
        <v>0</v>
      </c>
      <c r="AB398" s="1424">
        <v>0</v>
      </c>
      <c r="AC398" s="1424"/>
      <c r="AD398" s="1017">
        <f t="shared" si="607"/>
        <v>0</v>
      </c>
      <c r="AE398" s="1017">
        <f t="shared" si="613"/>
        <v>0</v>
      </c>
      <c r="AF398" s="1017">
        <f t="shared" si="608"/>
        <v>0</v>
      </c>
      <c r="AG398" s="1017">
        <f t="shared" si="609"/>
        <v>0</v>
      </c>
      <c r="AH398" s="1017">
        <f t="shared" si="617"/>
        <v>0</v>
      </c>
      <c r="AI398" s="1017">
        <f t="shared" si="618"/>
        <v>0</v>
      </c>
      <c r="AJ398" s="1017">
        <f t="shared" si="619"/>
        <v>0</v>
      </c>
      <c r="AL398" s="1214"/>
      <c r="AM398" s="1221"/>
      <c r="AN398" s="3119"/>
      <c r="AO398" s="2768"/>
      <c r="AP398" s="1221"/>
      <c r="AQ398" s="3119"/>
      <c r="AR398" s="2768"/>
      <c r="AT398" s="1214"/>
      <c r="AU398" s="1221"/>
      <c r="AV398" s="3119"/>
      <c r="AW398" s="2768"/>
      <c r="AX398" s="1221"/>
      <c r="AY398" s="3119"/>
      <c r="AZ398" s="2768"/>
      <c r="BB398" s="1214"/>
      <c r="BC398" s="1221"/>
      <c r="BD398" s="3119"/>
      <c r="BE398" s="2768"/>
      <c r="BF398" s="1221"/>
      <c r="BG398" s="3119"/>
      <c r="BH398" s="2768"/>
    </row>
    <row r="399" spans="1:60" ht="14.5">
      <c r="A399" s="616">
        <v>1</v>
      </c>
      <c r="B399" s="616">
        <v>1</v>
      </c>
      <c r="C399" s="616">
        <f t="shared" si="602"/>
        <v>396</v>
      </c>
      <c r="D399" s="709" t="s">
        <v>1308</v>
      </c>
      <c r="E399" s="2578" t="s">
        <v>1369</v>
      </c>
      <c r="F399" s="2567"/>
      <c r="G399" s="4"/>
      <c r="H399" s="4"/>
      <c r="I399" s="27"/>
      <c r="J399" s="36"/>
      <c r="K399" s="635"/>
      <c r="L399" s="635"/>
      <c r="M399" s="635" t="s">
        <v>28</v>
      </c>
      <c r="N399" s="674"/>
      <c r="O399" s="674"/>
      <c r="P399" s="674"/>
      <c r="Q399" s="1787" t="str">
        <f>CHOOSE(2, "6722000003318", "PL (5) SGA Expenses Breakdown of SG&amp;A: ICW Wages &amp; Salaries")</f>
        <v>PL (5) SGA Expenses Breakdown of SG&amp;A: ICW Wages &amp; Salaries</v>
      </c>
      <c r="R399" s="1423">
        <v>0</v>
      </c>
      <c r="S399" s="1424">
        <v>0</v>
      </c>
      <c r="T399" s="1424">
        <v>0</v>
      </c>
      <c r="U399" s="1424">
        <v>0</v>
      </c>
      <c r="V399" s="1424">
        <v>0</v>
      </c>
      <c r="W399" s="1424">
        <v>0</v>
      </c>
      <c r="X399" s="1424">
        <v>0</v>
      </c>
      <c r="Y399" s="1424">
        <v>0</v>
      </c>
      <c r="Z399" s="1424">
        <v>0</v>
      </c>
      <c r="AA399" s="1424">
        <v>0</v>
      </c>
      <c r="AB399" s="1424">
        <v>0</v>
      </c>
      <c r="AC399" s="1424">
        <v>0</v>
      </c>
      <c r="AD399" s="1017">
        <f t="shared" si="607"/>
        <v>0</v>
      </c>
      <c r="AE399" s="1017">
        <f t="shared" si="613"/>
        <v>0</v>
      </c>
      <c r="AF399" s="1017">
        <f t="shared" si="608"/>
        <v>0</v>
      </c>
      <c r="AG399" s="1017">
        <f t="shared" si="609"/>
        <v>0</v>
      </c>
      <c r="AH399" s="1017">
        <f t="shared" si="617"/>
        <v>0</v>
      </c>
      <c r="AI399" s="1017">
        <f t="shared" si="618"/>
        <v>0</v>
      </c>
      <c r="AJ399" s="1017">
        <f t="shared" si="619"/>
        <v>0</v>
      </c>
      <c r="AL399" s="1214"/>
      <c r="AM399" s="1221"/>
      <c r="AN399" s="3119"/>
      <c r="AO399" s="2768"/>
      <c r="AP399" s="1221"/>
      <c r="AQ399" s="3119"/>
      <c r="AR399" s="2768"/>
      <c r="AT399" s="1214"/>
      <c r="AU399" s="1221"/>
      <c r="AV399" s="3119"/>
      <c r="AW399" s="2768"/>
      <c r="AX399" s="1221"/>
      <c r="AY399" s="3119"/>
      <c r="AZ399" s="2768"/>
      <c r="BB399" s="1214"/>
      <c r="BC399" s="1221"/>
      <c r="BD399" s="3119"/>
      <c r="BE399" s="2768"/>
      <c r="BF399" s="1221"/>
      <c r="BG399" s="3119"/>
      <c r="BH399" s="2768"/>
    </row>
    <row r="400" spans="1:60" ht="14.5">
      <c r="A400" s="616">
        <v>1</v>
      </c>
      <c r="B400" s="616">
        <v>1</v>
      </c>
      <c r="C400" s="616">
        <f t="shared" si="602"/>
        <v>397</v>
      </c>
      <c r="D400" s="709" t="s">
        <v>1308</v>
      </c>
      <c r="E400" s="2578" t="s">
        <v>1369</v>
      </c>
      <c r="F400" s="2567"/>
      <c r="G400" s="4"/>
      <c r="H400" s="4"/>
      <c r="I400" s="27"/>
      <c r="J400" s="36"/>
      <c r="K400" s="1018"/>
      <c r="L400" s="1018"/>
      <c r="M400" s="1018" t="s">
        <v>62</v>
      </c>
      <c r="N400" s="1019"/>
      <c r="O400" s="1019"/>
      <c r="P400" s="1019"/>
      <c r="Q400" s="1787" t="str">
        <f>CHOOSE(2, "6722000003319", "PL (5) SGA Expenses Breakdown of SG&amp;A: ICW Fixed Expenses")</f>
        <v>PL (5) SGA Expenses Breakdown of SG&amp;A: ICW Fixed Expenses</v>
      </c>
      <c r="R400" s="1425">
        <v>0</v>
      </c>
      <c r="S400" s="1426">
        <v>0</v>
      </c>
      <c r="T400" s="1426">
        <v>0</v>
      </c>
      <c r="U400" s="1426">
        <v>0</v>
      </c>
      <c r="V400" s="1426">
        <v>0</v>
      </c>
      <c r="W400" s="1426">
        <v>0</v>
      </c>
      <c r="X400" s="1426">
        <v>0</v>
      </c>
      <c r="Y400" s="1426">
        <v>0</v>
      </c>
      <c r="Z400" s="1426">
        <v>0</v>
      </c>
      <c r="AA400" s="1426">
        <v>0</v>
      </c>
      <c r="AB400" s="1426">
        <v>0</v>
      </c>
      <c r="AC400" s="1426">
        <v>0</v>
      </c>
      <c r="AD400" s="1020">
        <f t="shared" si="607"/>
        <v>0</v>
      </c>
      <c r="AE400" s="1020">
        <f t="shared" si="613"/>
        <v>0</v>
      </c>
      <c r="AF400" s="1020">
        <f t="shared" si="608"/>
        <v>0</v>
      </c>
      <c r="AG400" s="1020">
        <f t="shared" si="609"/>
        <v>0</v>
      </c>
      <c r="AH400" s="1020">
        <f t="shared" si="617"/>
        <v>0</v>
      </c>
      <c r="AI400" s="1020">
        <f t="shared" si="618"/>
        <v>0</v>
      </c>
      <c r="AJ400" s="1020">
        <f t="shared" si="619"/>
        <v>0</v>
      </c>
      <c r="AL400" s="1214"/>
      <c r="AM400" s="1221"/>
      <c r="AN400" s="3119"/>
      <c r="AO400" s="2768"/>
      <c r="AP400" s="1221"/>
      <c r="AQ400" s="3119"/>
      <c r="AR400" s="2768"/>
      <c r="AT400" s="1214"/>
      <c r="AU400" s="1221"/>
      <c r="AV400" s="3119"/>
      <c r="AW400" s="2768"/>
      <c r="AX400" s="1221"/>
      <c r="AY400" s="3119"/>
      <c r="AZ400" s="2768"/>
      <c r="BB400" s="1214"/>
      <c r="BC400" s="1221"/>
      <c r="BD400" s="3119"/>
      <c r="BE400" s="2768"/>
      <c r="BF400" s="1221"/>
      <c r="BG400" s="3119"/>
      <c r="BH400" s="2768"/>
    </row>
    <row r="401" spans="1:60" ht="14.5">
      <c r="A401" s="616">
        <v>1</v>
      </c>
      <c r="B401" s="616">
        <v>1</v>
      </c>
      <c r="C401" s="616">
        <f t="shared" si="602"/>
        <v>398</v>
      </c>
      <c r="D401" s="709" t="s">
        <v>1308</v>
      </c>
      <c r="E401" s="2578" t="s">
        <v>1369</v>
      </c>
      <c r="F401" s="2567"/>
      <c r="G401" s="4"/>
      <c r="H401" s="4"/>
      <c r="I401" s="27"/>
      <c r="J401" s="36"/>
      <c r="K401" s="1016" t="s">
        <v>1445</v>
      </c>
      <c r="L401" s="673"/>
      <c r="M401" s="674"/>
      <c r="N401" s="674"/>
      <c r="O401" s="674"/>
      <c r="P401" s="674"/>
      <c r="Q401" s="1784" t="str">
        <f>CHOOSE(2, "6722000003320", "PL (5) SGA Expenses Breakdown of SG&amp;A: ITS")</f>
        <v>PL (5) SGA Expenses Breakdown of SG&amp;A: ITS</v>
      </c>
      <c r="R401" s="1427">
        <f>SUM(R402:R404)</f>
        <v>1694</v>
      </c>
      <c r="S401" s="1427">
        <f t="shared" ref="S401:AC401" si="620">SUM(S402:S404)</f>
        <v>1791</v>
      </c>
      <c r="T401" s="1427">
        <f t="shared" si="620"/>
        <v>1557</v>
      </c>
      <c r="U401" s="1427">
        <f t="shared" si="620"/>
        <v>1543</v>
      </c>
      <c r="V401" s="1427">
        <f t="shared" si="620"/>
        <v>1234.1868567744368</v>
      </c>
      <c r="W401" s="1427">
        <f t="shared" si="620"/>
        <v>1032</v>
      </c>
      <c r="X401" s="1427">
        <f t="shared" si="620"/>
        <v>1216</v>
      </c>
      <c r="Y401" s="1427">
        <f t="shared" si="620"/>
        <v>1046.5941841461286</v>
      </c>
      <c r="Z401" s="1427">
        <f t="shared" si="620"/>
        <v>1490.8997470445147</v>
      </c>
      <c r="AA401" s="1427">
        <f t="shared" si="620"/>
        <v>1626.6104702177086</v>
      </c>
      <c r="AB401" s="1427">
        <f t="shared" si="620"/>
        <v>2004.748270848942</v>
      </c>
      <c r="AC401" s="1427">
        <f t="shared" si="620"/>
        <v>1752.4208787210021</v>
      </c>
      <c r="AD401" s="1017">
        <f t="shared" si="607"/>
        <v>5042</v>
      </c>
      <c r="AE401" s="1017">
        <f t="shared" si="613"/>
        <v>3809.1868567744368</v>
      </c>
      <c r="AF401" s="1017">
        <f t="shared" si="608"/>
        <v>3753.4939311906433</v>
      </c>
      <c r="AG401" s="1017">
        <f t="shared" si="609"/>
        <v>5383.7796197876523</v>
      </c>
      <c r="AH401" s="1017">
        <f t="shared" si="617"/>
        <v>8851.1868567744368</v>
      </c>
      <c r="AI401" s="1017">
        <f t="shared" si="618"/>
        <v>9137.273550978296</v>
      </c>
      <c r="AJ401" s="1017">
        <f t="shared" si="619"/>
        <v>17988.460407752733</v>
      </c>
      <c r="AL401" s="1214"/>
      <c r="AM401" s="1221"/>
      <c r="AN401" s="3119"/>
      <c r="AO401" s="2768"/>
      <c r="AP401" s="1221"/>
      <c r="AQ401" s="3119"/>
      <c r="AR401" s="2768"/>
      <c r="AT401" s="1214"/>
      <c r="AU401" s="1221"/>
      <c r="AV401" s="3119"/>
      <c r="AW401" s="2768"/>
      <c r="AX401" s="1221"/>
      <c r="AY401" s="3119"/>
      <c r="AZ401" s="2768"/>
      <c r="BB401" s="1214"/>
      <c r="BC401" s="1221"/>
      <c r="BD401" s="3119"/>
      <c r="BE401" s="2768"/>
      <c r="BF401" s="1221"/>
      <c r="BG401" s="3119"/>
      <c r="BH401" s="2768"/>
    </row>
    <row r="402" spans="1:60" ht="14.5">
      <c r="A402" s="616">
        <v>1</v>
      </c>
      <c r="B402" s="616">
        <v>1</v>
      </c>
      <c r="C402" s="616">
        <f t="shared" si="602"/>
        <v>399</v>
      </c>
      <c r="D402" s="709" t="s">
        <v>1308</v>
      </c>
      <c r="E402" s="2578" t="s">
        <v>1369</v>
      </c>
      <c r="F402" s="2567"/>
      <c r="G402" s="4"/>
      <c r="H402" s="4"/>
      <c r="I402" s="27"/>
      <c r="J402" s="36"/>
      <c r="K402" s="635"/>
      <c r="L402" s="635"/>
      <c r="M402" s="635" t="s">
        <v>63</v>
      </c>
      <c r="N402" s="674"/>
      <c r="O402" s="674"/>
      <c r="P402" s="674"/>
      <c r="Q402" s="1784" t="str">
        <f>CHOOSE(2, "6722000003321", "PL (5) SGA Expenses Breakdown of SG&amp;A: ITS Variable Expenses")</f>
        <v>PL (5) SGA Expenses Breakdown of SG&amp;A: ITS Variable Expenses</v>
      </c>
      <c r="R402" s="1327">
        <f>R390-R398</f>
        <v>30</v>
      </c>
      <c r="S402" s="3186">
        <f t="shared" ref="S402:AC403" si="621">S390-S398</f>
        <v>21</v>
      </c>
      <c r="T402" s="3186">
        <f t="shared" si="621"/>
        <v>44</v>
      </c>
      <c r="U402" s="3186">
        <f t="shared" si="621"/>
        <v>33</v>
      </c>
      <c r="V402" s="3186">
        <f t="shared" si="621"/>
        <v>140.57616273656043</v>
      </c>
      <c r="W402" s="3186">
        <f t="shared" si="621"/>
        <v>36</v>
      </c>
      <c r="X402" s="3186">
        <f t="shared" si="621"/>
        <v>139</v>
      </c>
      <c r="Y402" s="3186">
        <f t="shared" si="621"/>
        <v>46.497217636828026</v>
      </c>
      <c r="Z402" s="3186">
        <f t="shared" si="621"/>
        <v>95.754747044514701</v>
      </c>
      <c r="AA402" s="3186">
        <f t="shared" si="621"/>
        <v>51.465470217708592</v>
      </c>
      <c r="AB402" s="3186">
        <f t="shared" si="621"/>
        <v>392.60327084894192</v>
      </c>
      <c r="AC402" s="3186">
        <f t="shared" si="621"/>
        <v>46.280071758696181</v>
      </c>
      <c r="AD402" s="1017">
        <f t="shared" si="607"/>
        <v>95</v>
      </c>
      <c r="AE402" s="1017">
        <f t="shared" si="613"/>
        <v>209.57616273656043</v>
      </c>
      <c r="AF402" s="1017">
        <f t="shared" si="608"/>
        <v>281.25196468134271</v>
      </c>
      <c r="AG402" s="1017">
        <f t="shared" si="609"/>
        <v>490.34881282534667</v>
      </c>
      <c r="AH402" s="1017">
        <f t="shared" si="617"/>
        <v>304.57616273656043</v>
      </c>
      <c r="AI402" s="1017">
        <f t="shared" si="618"/>
        <v>771.60077750668938</v>
      </c>
      <c r="AJ402" s="1017">
        <f t="shared" si="619"/>
        <v>1076.1769402432499</v>
      </c>
      <c r="AL402" s="1214"/>
      <c r="AM402" s="1221"/>
      <c r="AN402" s="3119"/>
      <c r="AO402" s="2768"/>
      <c r="AP402" s="1221"/>
      <c r="AQ402" s="3119"/>
      <c r="AR402" s="2768"/>
      <c r="AT402" s="1214"/>
      <c r="AU402" s="1221"/>
      <c r="AV402" s="3119"/>
      <c r="AW402" s="2768"/>
      <c r="AX402" s="1221"/>
      <c r="AY402" s="3119"/>
      <c r="AZ402" s="2768"/>
      <c r="BB402" s="1214"/>
      <c r="BC402" s="1221"/>
      <c r="BD402" s="3119"/>
      <c r="BE402" s="2768"/>
      <c r="BF402" s="1221"/>
      <c r="BG402" s="3119"/>
      <c r="BH402" s="2768"/>
    </row>
    <row r="403" spans="1:60" ht="14.5">
      <c r="A403" s="616">
        <v>1</v>
      </c>
      <c r="B403" s="616">
        <v>1</v>
      </c>
      <c r="C403" s="616">
        <f t="shared" si="602"/>
        <v>400</v>
      </c>
      <c r="D403" s="709" t="s">
        <v>1308</v>
      </c>
      <c r="E403" s="2578" t="s">
        <v>1369</v>
      </c>
      <c r="F403" s="2567"/>
      <c r="G403" s="4"/>
      <c r="H403" s="4"/>
      <c r="I403" s="27"/>
      <c r="J403" s="36"/>
      <c r="K403" s="635"/>
      <c r="L403" s="635"/>
      <c r="M403" s="635" t="s">
        <v>28</v>
      </c>
      <c r="N403" s="674"/>
      <c r="O403" s="674"/>
      <c r="P403" s="674"/>
      <c r="Q403" s="1784" t="str">
        <f>CHOOSE(2, "6722000003322", "PL (5) SGA Expenses Breakdown of SG&amp;A: ITS Wages &amp; Salaries")</f>
        <v>PL (5) SGA Expenses Breakdown of SG&amp;A: ITS Wages &amp; Salaries</v>
      </c>
      <c r="R403" s="1327">
        <f>R391-R399</f>
        <v>1634</v>
      </c>
      <c r="S403" s="3186">
        <f t="shared" si="621"/>
        <v>1685</v>
      </c>
      <c r="T403" s="3186">
        <f t="shared" si="621"/>
        <v>1115</v>
      </c>
      <c r="U403" s="3186">
        <f t="shared" si="621"/>
        <v>1292</v>
      </c>
      <c r="V403" s="3186">
        <f t="shared" si="621"/>
        <v>808</v>
      </c>
      <c r="W403" s="3186">
        <f t="shared" si="621"/>
        <v>878</v>
      </c>
      <c r="X403" s="3186">
        <f t="shared" si="621"/>
        <v>887</v>
      </c>
      <c r="Y403" s="3186">
        <f t="shared" si="621"/>
        <v>861</v>
      </c>
      <c r="Z403" s="3186">
        <f t="shared" si="621"/>
        <v>1253.145</v>
      </c>
      <c r="AA403" s="3186">
        <f t="shared" si="621"/>
        <v>1432.145</v>
      </c>
      <c r="AB403" s="3186">
        <f t="shared" si="621"/>
        <v>1465.145</v>
      </c>
      <c r="AC403" s="3186">
        <f t="shared" si="621"/>
        <v>1474.145</v>
      </c>
      <c r="AD403" s="1017">
        <f t="shared" si="607"/>
        <v>4434</v>
      </c>
      <c r="AE403" s="1017">
        <f t="shared" si="613"/>
        <v>2978</v>
      </c>
      <c r="AF403" s="1017">
        <f t="shared" si="608"/>
        <v>3001.145</v>
      </c>
      <c r="AG403" s="1017">
        <f t="shared" si="609"/>
        <v>4371.4349999999995</v>
      </c>
      <c r="AH403" s="1017">
        <f t="shared" si="617"/>
        <v>7412</v>
      </c>
      <c r="AI403" s="1017">
        <f t="shared" si="618"/>
        <v>7372.58</v>
      </c>
      <c r="AJ403" s="1017">
        <f t="shared" si="619"/>
        <v>14784.58</v>
      </c>
      <c r="AL403" s="1214"/>
      <c r="AM403" s="1221"/>
      <c r="AN403" s="3119"/>
      <c r="AO403" s="2768"/>
      <c r="AP403" s="1221"/>
      <c r="AQ403" s="3119"/>
      <c r="AR403" s="2768"/>
      <c r="AT403" s="1214"/>
      <c r="AU403" s="1221"/>
      <c r="AV403" s="3119"/>
      <c r="AW403" s="2768"/>
      <c r="AX403" s="1221"/>
      <c r="AY403" s="3119"/>
      <c r="AZ403" s="2768"/>
      <c r="BB403" s="1214"/>
      <c r="BC403" s="1221"/>
      <c r="BD403" s="3119"/>
      <c r="BE403" s="2768"/>
      <c r="BF403" s="1221"/>
      <c r="BG403" s="3119"/>
      <c r="BH403" s="2768"/>
    </row>
    <row r="404" spans="1:60" ht="14.5">
      <c r="A404" s="616">
        <v>1</v>
      </c>
      <c r="B404" s="616">
        <v>1</v>
      </c>
      <c r="C404" s="616">
        <f t="shared" si="602"/>
        <v>401</v>
      </c>
      <c r="D404" s="709" t="s">
        <v>1308</v>
      </c>
      <c r="E404" s="2578" t="s">
        <v>1369</v>
      </c>
      <c r="F404" s="2567"/>
      <c r="G404" s="4"/>
      <c r="H404" s="4"/>
      <c r="I404" s="27"/>
      <c r="J404" s="36"/>
      <c r="K404" s="635"/>
      <c r="L404" s="635"/>
      <c r="M404" s="635" t="s">
        <v>62</v>
      </c>
      <c r="N404" s="674"/>
      <c r="O404" s="674"/>
      <c r="P404" s="674"/>
      <c r="Q404" s="1784" t="str">
        <f>CHOOSE(2, "6722000003323", "PL (5) SGA Expenses Breakdown of SG&amp;A: ITS Fixed Expenses")</f>
        <v>PL (5) SGA Expenses Breakdown of SG&amp;A: ITS Fixed Expenses</v>
      </c>
      <c r="R404" s="1329">
        <f>R396-R400</f>
        <v>30</v>
      </c>
      <c r="S404" s="1428">
        <f t="shared" ref="S404:AC404" si="622">S396-S400</f>
        <v>85</v>
      </c>
      <c r="T404" s="1428">
        <f t="shared" si="622"/>
        <v>398</v>
      </c>
      <c r="U404" s="1428">
        <f t="shared" si="622"/>
        <v>218</v>
      </c>
      <c r="V404" s="1428">
        <f t="shared" si="622"/>
        <v>285.61069403787621</v>
      </c>
      <c r="W404" s="1428">
        <f t="shared" si="622"/>
        <v>118</v>
      </c>
      <c r="X404" s="1428">
        <f t="shared" si="622"/>
        <v>190</v>
      </c>
      <c r="Y404" s="1428">
        <f t="shared" si="622"/>
        <v>139.09696650930061</v>
      </c>
      <c r="Z404" s="1428">
        <f t="shared" si="622"/>
        <v>142</v>
      </c>
      <c r="AA404" s="1428">
        <f t="shared" si="622"/>
        <v>143</v>
      </c>
      <c r="AB404" s="1428">
        <f t="shared" si="622"/>
        <v>147</v>
      </c>
      <c r="AC404" s="1428">
        <f t="shared" si="622"/>
        <v>231.99580696230598</v>
      </c>
      <c r="AD404" s="1017">
        <f t="shared" si="607"/>
        <v>513</v>
      </c>
      <c r="AE404" s="1017">
        <f t="shared" si="613"/>
        <v>621.61069403787621</v>
      </c>
      <c r="AF404" s="1017">
        <f t="shared" si="608"/>
        <v>471.09696650930061</v>
      </c>
      <c r="AG404" s="1017">
        <f t="shared" si="609"/>
        <v>521.99580696230601</v>
      </c>
      <c r="AH404" s="1017">
        <f t="shared" si="617"/>
        <v>1134.6106940378763</v>
      </c>
      <c r="AI404" s="1017">
        <f t="shared" si="618"/>
        <v>993.09277347160662</v>
      </c>
      <c r="AJ404" s="1017">
        <f t="shared" si="619"/>
        <v>2127.7034675094828</v>
      </c>
      <c r="AL404" s="1214"/>
      <c r="AM404" s="1221"/>
      <c r="AN404" s="3119"/>
      <c r="AO404" s="2768"/>
      <c r="AP404" s="1221"/>
      <c r="AQ404" s="3119"/>
      <c r="AR404" s="2768"/>
      <c r="AT404" s="1214"/>
      <c r="AU404" s="1221"/>
      <c r="AV404" s="3119"/>
      <c r="AW404" s="2768"/>
      <c r="AX404" s="1221"/>
      <c r="AY404" s="3119"/>
      <c r="AZ404" s="2768"/>
      <c r="BB404" s="1214"/>
      <c r="BC404" s="1221"/>
      <c r="BD404" s="3119"/>
      <c r="BE404" s="2768"/>
      <c r="BF404" s="1221"/>
      <c r="BG404" s="3119"/>
      <c r="BH404" s="2768"/>
    </row>
    <row r="405" spans="1:60" ht="14.5">
      <c r="A405" s="616">
        <f>A396+1</f>
        <v>358</v>
      </c>
      <c r="B405" s="616">
        <v>1</v>
      </c>
      <c r="C405" s="616">
        <f t="shared" si="602"/>
        <v>402</v>
      </c>
      <c r="D405" s="709" t="s">
        <v>1308</v>
      </c>
      <c r="E405" s="2547">
        <v>1</v>
      </c>
      <c r="F405" s="4"/>
      <c r="G405" s="4"/>
      <c r="H405" s="4"/>
      <c r="I405" s="3187" t="s">
        <v>56</v>
      </c>
      <c r="J405" s="2092"/>
      <c r="K405" s="868"/>
      <c r="L405" s="868"/>
      <c r="M405" s="868"/>
      <c r="N405" s="868"/>
      <c r="O405" s="868"/>
      <c r="P405" s="868"/>
      <c r="Q405" s="1804" t="str">
        <f>CHOOSE(2, "6722000003324", "PL (5) Business Contribution Profit")</f>
        <v>PL (5) Business Contribution Profit</v>
      </c>
      <c r="R405" s="1316">
        <f t="shared" ref="R405:AJ405" si="623">R371-R389</f>
        <v>-1539</v>
      </c>
      <c r="S405" s="3188">
        <f t="shared" si="623"/>
        <v>-1661</v>
      </c>
      <c r="T405" s="3188">
        <f t="shared" si="623"/>
        <v>-1373</v>
      </c>
      <c r="U405" s="3188">
        <f t="shared" si="623"/>
        <v>-857</v>
      </c>
      <c r="V405" s="3188">
        <f t="shared" si="623"/>
        <v>-773.18685677443682</v>
      </c>
      <c r="W405" s="3188">
        <f t="shared" si="623"/>
        <v>-1010</v>
      </c>
      <c r="X405" s="3188">
        <f t="shared" si="623"/>
        <v>-853</v>
      </c>
      <c r="Y405" s="3188">
        <f t="shared" si="623"/>
        <v>-639.59418414612855</v>
      </c>
      <c r="Z405" s="3188">
        <f t="shared" si="623"/>
        <v>-1490.8997470445147</v>
      </c>
      <c r="AA405" s="3188">
        <f t="shared" si="623"/>
        <v>-1439.6104702177086</v>
      </c>
      <c r="AB405" s="3188">
        <f t="shared" si="623"/>
        <v>-1642.748270848942</v>
      </c>
      <c r="AC405" s="3188">
        <f t="shared" si="623"/>
        <v>-1351.4208787210021</v>
      </c>
      <c r="AD405" s="3188">
        <f t="shared" si="623"/>
        <v>-4573</v>
      </c>
      <c r="AE405" s="3188">
        <f t="shared" si="623"/>
        <v>-2640.1868567744368</v>
      </c>
      <c r="AF405" s="3188">
        <f t="shared" si="623"/>
        <v>-2983.4939311906433</v>
      </c>
      <c r="AG405" s="3188">
        <f t="shared" si="623"/>
        <v>-4433.7796197876523</v>
      </c>
      <c r="AH405" s="3188">
        <f t="shared" si="623"/>
        <v>-7213.1868567744368</v>
      </c>
      <c r="AI405" s="3188">
        <f t="shared" si="623"/>
        <v>-7417.273550978296</v>
      </c>
      <c r="AJ405" s="3188">
        <f t="shared" si="623"/>
        <v>-14630.460407752733</v>
      </c>
      <c r="AL405" s="1316">
        <f ca="1">SUM((INDIRECT(AL$2&amp;(ROW())):INDIRECT(AL$3&amp;(ROW()))))</f>
        <v>-1351.4208787210021</v>
      </c>
      <c r="AM405" s="3188">
        <f ca="1">SUM(INDIRECT(AM$1&amp;AM$2&amp;$C405):INDIRECT(AM$1&amp;AM$3&amp;$C405))</f>
        <v>0</v>
      </c>
      <c r="AN405" s="3189">
        <f ca="1">AL405-AM405</f>
        <v>-1351.4208787210021</v>
      </c>
      <c r="AO405" s="3190">
        <f ca="1">IFERROR(AL405/AM405,0)</f>
        <v>0</v>
      </c>
      <c r="AP405" s="3191">
        <f ca="1">AP371-AP389</f>
        <v>0</v>
      </c>
      <c r="AQ405" s="3189">
        <f ca="1">AL405-AP405</f>
        <v>-1351.4208787210021</v>
      </c>
      <c r="AR405" s="3190">
        <f ca="1">IFERROR(AL405/AP405,0)</f>
        <v>0</v>
      </c>
      <c r="AT405" s="1316">
        <f ca="1">SUM((INDIRECT(AT$2&amp;(ROW())):INDIRECT(AT$3&amp;(ROW()))))</f>
        <v>-4433.7796197876523</v>
      </c>
      <c r="AU405" s="3188">
        <f ca="1">SUM(INDIRECT(AU$1&amp;AU$2&amp;$C405):INDIRECT(AU$1&amp;AU$3&amp;$C405))</f>
        <v>0</v>
      </c>
      <c r="AV405" s="3189">
        <f ca="1">AT405-AU405</f>
        <v>-4433.7796197876523</v>
      </c>
      <c r="AW405" s="3190">
        <f ca="1">IFERROR(AT405/AU405,0)</f>
        <v>0</v>
      </c>
      <c r="AX405" s="3191">
        <f ca="1">AX371-AX389</f>
        <v>0</v>
      </c>
      <c r="AY405" s="3189">
        <f ca="1">AT405-AX405</f>
        <v>-4433.7796197876523</v>
      </c>
      <c r="AZ405" s="3190">
        <f ca="1">IFERROR(AT405/AX405,0)</f>
        <v>0</v>
      </c>
      <c r="BB405" s="1316">
        <f ca="1">SUM((INDIRECT(BB$2&amp;(ROW())):INDIRECT(BB$3&amp;(ROW()))))</f>
        <v>-14630.460407752735</v>
      </c>
      <c r="BC405" s="3188">
        <f ca="1">SUM(INDIRECT(BC$1&amp;BC$2&amp;$C405):INDIRECT(BC$1&amp;BC$3&amp;$C405))</f>
        <v>0</v>
      </c>
      <c r="BD405" s="3189">
        <f ca="1">BB405-BC405</f>
        <v>-14630.460407752735</v>
      </c>
      <c r="BE405" s="3190">
        <f ca="1">IFERROR(BB405/BC405,0)</f>
        <v>0</v>
      </c>
      <c r="BF405" s="3191">
        <f ca="1">BF371-BF389</f>
        <v>0</v>
      </c>
      <c r="BG405" s="3189">
        <f ca="1">BB405-BF405</f>
        <v>-14630.460407752735</v>
      </c>
      <c r="BH405" s="3190">
        <f ca="1">IFERROR(BB405/BF405,0)</f>
        <v>0</v>
      </c>
    </row>
    <row r="406" spans="1:60" ht="14.5">
      <c r="A406" s="616">
        <f t="shared" ref="A406:A469" si="624">A405+1</f>
        <v>359</v>
      </c>
      <c r="B406" s="616">
        <v>1</v>
      </c>
      <c r="C406" s="616">
        <f t="shared" si="602"/>
        <v>403</v>
      </c>
      <c r="D406" s="709" t="s">
        <v>1308</v>
      </c>
      <c r="E406" s="2547">
        <v>1</v>
      </c>
      <c r="F406" s="4"/>
      <c r="G406" s="4"/>
      <c r="H406" s="4"/>
      <c r="I406" s="27"/>
      <c r="J406" s="503" t="s">
        <v>55</v>
      </c>
      <c r="K406" s="4"/>
      <c r="L406" s="4"/>
      <c r="M406" s="3"/>
      <c r="N406" s="3"/>
      <c r="O406" s="3"/>
      <c r="P406" s="3"/>
      <c r="Q406" s="1792" t="str">
        <f>CHOOSE(2, "6722000003325", "PL (5) Business Contribution Profit (%)")</f>
        <v>PL (5) Business Contribution Profit (%)</v>
      </c>
      <c r="R406" s="1304">
        <f t="shared" ref="R406:AJ406" si="625">IFERROR(R405/R353,0)</f>
        <v>-4.2750000000000004</v>
      </c>
      <c r="S406" s="1283">
        <f t="shared" si="625"/>
        <v>-6.3155893536121672</v>
      </c>
      <c r="T406" s="1283">
        <f t="shared" si="625"/>
        <v>-3.1275626423690204</v>
      </c>
      <c r="U406" s="1283">
        <f t="shared" si="625"/>
        <v>-0.92950108459869851</v>
      </c>
      <c r="V406" s="1283">
        <f t="shared" si="625"/>
        <v>-0.21749278671573469</v>
      </c>
      <c r="W406" s="1283">
        <f t="shared" si="625"/>
        <v>-22.954545454545453</v>
      </c>
      <c r="X406" s="1283">
        <f t="shared" si="625"/>
        <v>-1.2048022598870056</v>
      </c>
      <c r="Y406" s="1283">
        <f t="shared" si="625"/>
        <v>-1.2791883682922571</v>
      </c>
      <c r="Z406" s="1283">
        <f t="shared" si="625"/>
        <v>0</v>
      </c>
      <c r="AA406" s="1283">
        <f t="shared" si="625"/>
        <v>-2.5985748559886437</v>
      </c>
      <c r="AB406" s="1283">
        <f t="shared" si="625"/>
        <v>-1.9486930852300617</v>
      </c>
      <c r="AC406" s="1283">
        <f t="shared" si="625"/>
        <v>-4.8093269705373736</v>
      </c>
      <c r="AD406" s="1283">
        <f t="shared" si="625"/>
        <v>-4.3060263653483997</v>
      </c>
      <c r="AE406" s="1283">
        <f t="shared" si="625"/>
        <v>-0.58398293668976708</v>
      </c>
      <c r="AF406" s="1283">
        <f t="shared" si="625"/>
        <v>-2.4697797443631151</v>
      </c>
      <c r="AG406" s="1283">
        <f t="shared" si="625"/>
        <v>-2.6423001309819143</v>
      </c>
      <c r="AH406" s="1283">
        <f t="shared" si="625"/>
        <v>-1.291991197702747</v>
      </c>
      <c r="AI406" s="1283">
        <f t="shared" si="625"/>
        <v>-2.5700878555018352</v>
      </c>
      <c r="AJ406" s="1283">
        <f t="shared" si="625"/>
        <v>-1.7275310435414728</v>
      </c>
      <c r="AK406" s="504"/>
      <c r="AL406" s="1304">
        <f ca="1">IFERROR(AL405/AL353,0)</f>
        <v>-4.8093269705373736</v>
      </c>
      <c r="AM406" s="1283">
        <f ca="1">IFERROR(AM405/AM353,0)</f>
        <v>0</v>
      </c>
      <c r="AN406" s="1283">
        <f ca="1">AL406-AM406</f>
        <v>-4.8093269705373736</v>
      </c>
      <c r="AO406" s="2777"/>
      <c r="AP406" s="1283">
        <f ca="1">IFERROR(AP405/AP353,0)</f>
        <v>0</v>
      </c>
      <c r="AQ406" s="1283">
        <f ca="1">AL406-AP406</f>
        <v>-4.8093269705373736</v>
      </c>
      <c r="AR406" s="2777"/>
      <c r="AS406" s="504"/>
      <c r="AT406" s="1304">
        <f ca="1">IFERROR(AT405/AT353,0)</f>
        <v>-2.6423001309819143</v>
      </c>
      <c r="AU406" s="1283">
        <f ca="1">IFERROR(AU405/AU353,0)</f>
        <v>0</v>
      </c>
      <c r="AV406" s="1283">
        <f ca="1">AT406-AU406</f>
        <v>-2.6423001309819143</v>
      </c>
      <c r="AW406" s="2777"/>
      <c r="AX406" s="1283">
        <f ca="1">IFERROR(AX405/AX353,0)</f>
        <v>0</v>
      </c>
      <c r="AY406" s="1283">
        <f ca="1">AT406-AX406</f>
        <v>-2.6423001309819143</v>
      </c>
      <c r="AZ406" s="2777"/>
      <c r="BA406" s="504"/>
      <c r="BB406" s="1304">
        <f ca="1">IFERROR(BB405/BB353,0)</f>
        <v>-1.727531043541473</v>
      </c>
      <c r="BC406" s="1283">
        <f ca="1">IFERROR(BC405/BC353,0)</f>
        <v>0</v>
      </c>
      <c r="BD406" s="1283">
        <f ca="1">BB406-BC406</f>
        <v>-1.727531043541473</v>
      </c>
      <c r="BE406" s="2777"/>
      <c r="BF406" s="1283">
        <f ca="1">IFERROR(BF405/BF353,0)</f>
        <v>0</v>
      </c>
      <c r="BG406" s="1283">
        <f ca="1">BB406-BF406</f>
        <v>-1.727531043541473</v>
      </c>
      <c r="BH406" s="2777"/>
    </row>
    <row r="407" spans="1:60" ht="14.5">
      <c r="A407" s="616">
        <v>1</v>
      </c>
      <c r="B407" s="616">
        <v>1</v>
      </c>
      <c r="C407" s="616">
        <f t="shared" si="602"/>
        <v>404</v>
      </c>
      <c r="D407" s="709" t="s">
        <v>1308</v>
      </c>
      <c r="E407" s="2578" t="s">
        <v>1369</v>
      </c>
      <c r="F407" s="2567"/>
      <c r="G407" s="4"/>
      <c r="H407" s="4"/>
      <c r="I407" s="27"/>
      <c r="J407" s="301" t="s">
        <v>1446</v>
      </c>
      <c r="K407" s="1080"/>
      <c r="L407" s="1080"/>
      <c r="M407" s="301"/>
      <c r="N407" s="301"/>
      <c r="O407" s="301"/>
      <c r="P407" s="301"/>
      <c r="Q407" s="1796" t="str">
        <f>CHOOSE(2, "6722000003326", "PL (5) Business Contribution Profit BCP: ITS")</f>
        <v>PL (5) Business Contribution Profit BCP: ITS</v>
      </c>
      <c r="R407" s="1458">
        <f t="shared" ref="R407:AJ407" si="626">R381-R401</f>
        <v>-1539</v>
      </c>
      <c r="S407" s="1459">
        <f t="shared" si="626"/>
        <v>-1661</v>
      </c>
      <c r="T407" s="1459">
        <f t="shared" si="626"/>
        <v>-1373</v>
      </c>
      <c r="U407" s="1459">
        <f t="shared" si="626"/>
        <v>-857</v>
      </c>
      <c r="V407" s="1459">
        <f t="shared" si="626"/>
        <v>-773.18685677443682</v>
      </c>
      <c r="W407" s="1459">
        <f t="shared" si="626"/>
        <v>-1010</v>
      </c>
      <c r="X407" s="1459">
        <f t="shared" si="626"/>
        <v>-853</v>
      </c>
      <c r="Y407" s="1459">
        <f t="shared" si="626"/>
        <v>-639.59418414612855</v>
      </c>
      <c r="Z407" s="1459">
        <f t="shared" si="626"/>
        <v>-1490.8997470445147</v>
      </c>
      <c r="AA407" s="1459">
        <f t="shared" si="626"/>
        <v>-1439.6104702177086</v>
      </c>
      <c r="AB407" s="1459">
        <f t="shared" si="626"/>
        <v>-1642.748270848942</v>
      </c>
      <c r="AC407" s="1459">
        <f t="shared" si="626"/>
        <v>-1351.4208787210021</v>
      </c>
      <c r="AD407" s="1459">
        <f t="shared" si="626"/>
        <v>-4573</v>
      </c>
      <c r="AE407" s="1459">
        <f t="shared" si="626"/>
        <v>-2640.1868567744368</v>
      </c>
      <c r="AF407" s="1459">
        <f t="shared" si="626"/>
        <v>-2983.4939311906433</v>
      </c>
      <c r="AG407" s="1459">
        <f t="shared" si="626"/>
        <v>-4433.7796197876523</v>
      </c>
      <c r="AH407" s="1459">
        <f t="shared" si="626"/>
        <v>-7213.1868567744368</v>
      </c>
      <c r="AI407" s="1459">
        <f t="shared" si="626"/>
        <v>-7417.273550978296</v>
      </c>
      <c r="AJ407" s="1459">
        <f t="shared" si="626"/>
        <v>-14630.460407752733</v>
      </c>
      <c r="AK407" s="504"/>
      <c r="AL407" s="1304"/>
      <c r="AM407" s="1283"/>
      <c r="AN407" s="1283"/>
      <c r="AO407" s="2777"/>
      <c r="AP407" s="1283"/>
      <c r="AQ407" s="1283"/>
      <c r="AR407" s="2777"/>
      <c r="AS407" s="504"/>
      <c r="AT407" s="1304"/>
      <c r="AU407" s="1283"/>
      <c r="AV407" s="1283"/>
      <c r="AW407" s="2777"/>
      <c r="AX407" s="1283"/>
      <c r="AY407" s="1283"/>
      <c r="AZ407" s="2777"/>
      <c r="BA407" s="504"/>
      <c r="BB407" s="1304"/>
      <c r="BC407" s="1283"/>
      <c r="BD407" s="1283"/>
      <c r="BE407" s="2777"/>
      <c r="BF407" s="1283"/>
      <c r="BG407" s="1283"/>
      <c r="BH407" s="2777"/>
    </row>
    <row r="408" spans="1:60" ht="14.5">
      <c r="A408" s="616">
        <v>1</v>
      </c>
      <c r="B408" s="616">
        <v>1</v>
      </c>
      <c r="C408" s="616">
        <f t="shared" si="602"/>
        <v>405</v>
      </c>
      <c r="D408" s="709" t="s">
        <v>1308</v>
      </c>
      <c r="E408" s="2578" t="s">
        <v>1369</v>
      </c>
      <c r="F408" s="2567"/>
      <c r="G408" s="4"/>
      <c r="H408" s="4"/>
      <c r="I408" s="27"/>
      <c r="J408" s="301" t="s">
        <v>1447</v>
      </c>
      <c r="K408" s="1080"/>
      <c r="L408" s="1080"/>
      <c r="M408" s="301"/>
      <c r="N408" s="301"/>
      <c r="O408" s="301"/>
      <c r="P408" s="301"/>
      <c r="Q408" s="1796" t="str">
        <f>CHOOSE(2, "6722000003327", "PL (5) Business Contribution Profit BCP: ICW")</f>
        <v>PL (5) Business Contribution Profit BCP: ICW</v>
      </c>
      <c r="R408" s="1458">
        <f t="shared" ref="R408:AJ408" si="627">R385-R397</f>
        <v>0</v>
      </c>
      <c r="S408" s="1459">
        <f t="shared" si="627"/>
        <v>0</v>
      </c>
      <c r="T408" s="1459">
        <f t="shared" si="627"/>
        <v>0</v>
      </c>
      <c r="U408" s="1459">
        <f t="shared" si="627"/>
        <v>0</v>
      </c>
      <c r="V408" s="1459">
        <f t="shared" si="627"/>
        <v>0</v>
      </c>
      <c r="W408" s="1459">
        <f t="shared" si="627"/>
        <v>0</v>
      </c>
      <c r="X408" s="1459">
        <f t="shared" si="627"/>
        <v>0</v>
      </c>
      <c r="Y408" s="1459">
        <f t="shared" si="627"/>
        <v>0</v>
      </c>
      <c r="Z408" s="1459">
        <f t="shared" si="627"/>
        <v>0</v>
      </c>
      <c r="AA408" s="1459">
        <f t="shared" si="627"/>
        <v>0</v>
      </c>
      <c r="AB408" s="1459">
        <f t="shared" si="627"/>
        <v>0</v>
      </c>
      <c r="AC408" s="1459">
        <f t="shared" si="627"/>
        <v>0</v>
      </c>
      <c r="AD408" s="1459">
        <f t="shared" si="627"/>
        <v>0</v>
      </c>
      <c r="AE408" s="1459">
        <f t="shared" si="627"/>
        <v>0</v>
      </c>
      <c r="AF408" s="1459">
        <f t="shared" si="627"/>
        <v>0</v>
      </c>
      <c r="AG408" s="1459">
        <f t="shared" si="627"/>
        <v>0</v>
      </c>
      <c r="AH408" s="1459">
        <f t="shared" si="627"/>
        <v>0</v>
      </c>
      <c r="AI408" s="1459">
        <f t="shared" si="627"/>
        <v>0</v>
      </c>
      <c r="AJ408" s="1459">
        <f t="shared" si="627"/>
        <v>0</v>
      </c>
      <c r="AK408" s="504"/>
      <c r="AL408" s="1304"/>
      <c r="AM408" s="1283"/>
      <c r="AN408" s="1283"/>
      <c r="AO408" s="2777"/>
      <c r="AP408" s="1283"/>
      <c r="AQ408" s="1283"/>
      <c r="AR408" s="2777"/>
      <c r="AS408" s="504"/>
      <c r="AT408" s="1304"/>
      <c r="AU408" s="1283"/>
      <c r="AV408" s="1283"/>
      <c r="AW408" s="2777"/>
      <c r="AX408" s="1283"/>
      <c r="AY408" s="1283"/>
      <c r="AZ408" s="2777"/>
      <c r="BA408" s="504"/>
      <c r="BB408" s="1304"/>
      <c r="BC408" s="1283"/>
      <c r="BD408" s="1283"/>
      <c r="BE408" s="2777"/>
      <c r="BF408" s="1283"/>
      <c r="BG408" s="1283"/>
      <c r="BH408" s="2777"/>
    </row>
    <row r="409" spans="1:60" ht="14.5">
      <c r="A409" s="616">
        <f>A406+1</f>
        <v>360</v>
      </c>
      <c r="B409" s="616">
        <v>1</v>
      </c>
      <c r="C409" s="616">
        <f t="shared" si="602"/>
        <v>406</v>
      </c>
      <c r="D409" s="709" t="s">
        <v>1308</v>
      </c>
      <c r="E409" s="2547">
        <v>1</v>
      </c>
      <c r="F409" s="4"/>
      <c r="G409" s="4"/>
      <c r="H409" s="4"/>
      <c r="I409" s="3041" t="s">
        <v>1333</v>
      </c>
      <c r="J409" s="447"/>
      <c r="K409" s="514"/>
      <c r="L409" s="514"/>
      <c r="M409" s="447"/>
      <c r="N409" s="447"/>
      <c r="O409" s="447"/>
      <c r="P409" s="447"/>
      <c r="Q409" s="1790" t="str">
        <f>CHOOSE(2, "6722000003328", "PL (5) Other Income")</f>
        <v>PL (5) Other Income</v>
      </c>
      <c r="R409" s="1388">
        <v>0</v>
      </c>
      <c r="S409" s="3039">
        <v>0</v>
      </c>
      <c r="T409" s="3039">
        <v>0</v>
      </c>
      <c r="U409" s="3039">
        <v>0</v>
      </c>
      <c r="V409" s="3039">
        <v>0</v>
      </c>
      <c r="W409" s="3039">
        <v>0</v>
      </c>
      <c r="X409" s="3039">
        <v>0</v>
      </c>
      <c r="Y409" s="3039">
        <v>0</v>
      </c>
      <c r="Z409" s="3039">
        <v>0</v>
      </c>
      <c r="AA409" s="3039">
        <v>0</v>
      </c>
      <c r="AB409" s="3039">
        <v>0</v>
      </c>
      <c r="AC409" s="3039">
        <v>0</v>
      </c>
      <c r="AD409" s="3095">
        <f>SUM(R409,S409,T409)</f>
        <v>0</v>
      </c>
      <c r="AE409" s="3095">
        <f t="shared" ref="AE409:AE410" si="628">SUM(U409,V409,W409)</f>
        <v>0</v>
      </c>
      <c r="AF409" s="3095">
        <f t="shared" ref="AF409:AF410" si="629">SUM(X409,Y409,Z409)</f>
        <v>0</v>
      </c>
      <c r="AG409" s="3095">
        <f t="shared" ref="AG409:AG410" si="630">SUM(AA409,AB409,AC409)</f>
        <v>0</v>
      </c>
      <c r="AH409" s="3095">
        <f>AD409+AE409</f>
        <v>0</v>
      </c>
      <c r="AI409" s="3095">
        <f>AG409+AF409</f>
        <v>0</v>
      </c>
      <c r="AJ409" s="3095">
        <f>AH409+AI409</f>
        <v>0</v>
      </c>
      <c r="AL409" s="3112">
        <f ca="1">SUM((INDIRECT(AL$2&amp;(ROW())):INDIRECT(AL$3&amp;(ROW()))))</f>
        <v>0</v>
      </c>
      <c r="AM409" s="3095">
        <f ca="1">SUM(INDIRECT(AM$1&amp;AM$2&amp;$C409):INDIRECT(AM$1&amp;AM$3&amp;$C409))</f>
        <v>-555.56654705422989</v>
      </c>
      <c r="AN409" s="3129">
        <f t="shared" ref="AN409:AN422" ca="1" si="631">AL409-AM409</f>
        <v>555.56654705422989</v>
      </c>
      <c r="AO409" s="3130">
        <f ca="1">IFERROR(AL409/AM409,0)</f>
        <v>0</v>
      </c>
      <c r="AP409" s="3095">
        <f ca="1">SUM(INDIRECT(AP$1&amp;AP$2&amp;$A409):INDIRECT(AP$1&amp;AP$3&amp;$A409))+SUM(INDIRECT(AP$1&amp;AP$2&amp;$B409):INDIRECT(AP$1&amp;AP$3&amp;$B409))</f>
        <v>0</v>
      </c>
      <c r="AQ409" s="3129">
        <f t="shared" ref="AQ409:AQ418" ca="1" si="632">AL409-AP409</f>
        <v>0</v>
      </c>
      <c r="AR409" s="3130">
        <f ca="1">IFERROR(AL409/AP409,0)</f>
        <v>0</v>
      </c>
      <c r="AT409" s="3112">
        <f ca="1">SUM((INDIRECT(AT$2&amp;(ROW())):INDIRECT(AT$3&amp;(ROW()))))</f>
        <v>0</v>
      </c>
      <c r="AU409" s="3095">
        <f ca="1">SUM(INDIRECT(AU$1&amp;AU$2&amp;$C409):INDIRECT(AU$1&amp;AU$3&amp;$C409))</f>
        <v>-1619.5430795355871</v>
      </c>
      <c r="AV409" s="3129">
        <f t="shared" ref="AV409:AV422" ca="1" si="633">AT409-AU409</f>
        <v>1619.5430795355871</v>
      </c>
      <c r="AW409" s="3130">
        <f ca="1">IFERROR(AT409/AU409,0)</f>
        <v>0</v>
      </c>
      <c r="AX409" s="3095">
        <f ca="1">SUM(INDIRECT(AX$1&amp;AX$2&amp;$A409):INDIRECT(AX$1&amp;AX$3&amp;$A409))+SUM(INDIRECT(AX$1&amp;AX$2&amp;$B409):INDIRECT(AX$1&amp;AX$3&amp;$B409))</f>
        <v>0</v>
      </c>
      <c r="AY409" s="3129">
        <f t="shared" ref="AY409:AY418" ca="1" si="634">AT409-AX409</f>
        <v>0</v>
      </c>
      <c r="AZ409" s="3130">
        <f ca="1">IFERROR(AT409/AX409,0)</f>
        <v>0</v>
      </c>
      <c r="BB409" s="3112">
        <f ca="1">SUM((INDIRECT(BB$2&amp;(ROW())):INDIRECT(BB$3&amp;(ROW()))))</f>
        <v>0</v>
      </c>
      <c r="BC409" s="3095">
        <f ca="1">SUM(INDIRECT(BC$1&amp;BC$2&amp;$C409):INDIRECT(BC$1&amp;BC$3&amp;$C409))</f>
        <v>-2853.2694754617605</v>
      </c>
      <c r="BD409" s="3129">
        <f t="shared" ref="BD409:BD422" ca="1" si="635">BB409-BC409</f>
        <v>2853.2694754617605</v>
      </c>
      <c r="BE409" s="3130">
        <f ca="1">IFERROR(BB409/BC409,0)</f>
        <v>0</v>
      </c>
      <c r="BF409" s="3095">
        <f ca="1">SUM(INDIRECT(BF$1&amp;BF$2&amp;$A409):INDIRECT(BF$1&amp;BF$3&amp;$A409))+SUM(INDIRECT(BF$1&amp;BF$2&amp;$B409):INDIRECT(BF$1&amp;BF$3&amp;$B409))</f>
        <v>0</v>
      </c>
      <c r="BG409" s="3129">
        <f t="shared" ref="BG409:BG418" ca="1" si="636">BB409-BF409</f>
        <v>0</v>
      </c>
      <c r="BH409" s="3130">
        <f ca="1">IFERROR(BB409/BF409,0)</f>
        <v>0</v>
      </c>
    </row>
    <row r="410" spans="1:60" ht="14.5">
      <c r="A410" s="616">
        <f t="shared" si="624"/>
        <v>361</v>
      </c>
      <c r="B410" s="616">
        <v>1</v>
      </c>
      <c r="C410" s="616">
        <f t="shared" si="602"/>
        <v>407</v>
      </c>
      <c r="D410" s="709" t="s">
        <v>1308</v>
      </c>
      <c r="E410" s="2547">
        <v>1</v>
      </c>
      <c r="F410" s="4"/>
      <c r="G410" s="4"/>
      <c r="H410" s="4"/>
      <c r="I410" s="106" t="s">
        <v>1334</v>
      </c>
      <c r="J410" s="104"/>
      <c r="K410" s="105"/>
      <c r="L410" s="105"/>
      <c r="M410" s="104"/>
      <c r="N410" s="104"/>
      <c r="O410" s="104"/>
      <c r="P410" s="104"/>
      <c r="Q410" s="1790" t="str">
        <f>CHOOSE(2, "6722000003329", "PL (5) Other Expenses")</f>
        <v>PL (5) Other Expenses</v>
      </c>
      <c r="R410" s="1213">
        <v>0</v>
      </c>
      <c r="S410" s="1216">
        <v>0</v>
      </c>
      <c r="T410" s="1216">
        <v>0</v>
      </c>
      <c r="U410" s="1216">
        <v>0</v>
      </c>
      <c r="V410" s="1216">
        <v>0</v>
      </c>
      <c r="W410" s="1216">
        <v>0</v>
      </c>
      <c r="X410" s="1216">
        <v>0</v>
      </c>
      <c r="Y410" s="1216">
        <v>0</v>
      </c>
      <c r="Z410" s="1216">
        <v>0</v>
      </c>
      <c r="AA410" s="1216">
        <v>0</v>
      </c>
      <c r="AB410" s="1216">
        <v>0</v>
      </c>
      <c r="AC410" s="1216">
        <v>0</v>
      </c>
      <c r="AD410" s="80">
        <f>SUM(R410,S410,T410)</f>
        <v>0</v>
      </c>
      <c r="AE410" s="80">
        <f t="shared" si="628"/>
        <v>0</v>
      </c>
      <c r="AF410" s="80">
        <f t="shared" si="629"/>
        <v>0</v>
      </c>
      <c r="AG410" s="80">
        <f t="shared" si="630"/>
        <v>0</v>
      </c>
      <c r="AH410" s="80">
        <f>AD410+AE410</f>
        <v>0</v>
      </c>
      <c r="AI410" s="80">
        <f>AG410+AF410</f>
        <v>0</v>
      </c>
      <c r="AJ410" s="80">
        <f>AH410+AI410</f>
        <v>0</v>
      </c>
      <c r="AL410" s="60">
        <f ca="1">SUM((INDIRECT(AL$2&amp;(ROW())):INDIRECT(AL$3&amp;(ROW()))))</f>
        <v>0</v>
      </c>
      <c r="AM410" s="80">
        <f ca="1">SUM(INDIRECT(AM$1&amp;AM$2&amp;$C410):INDIRECT(AM$1&amp;AM$3&amp;$C410))</f>
        <v>-0.46297212254519154</v>
      </c>
      <c r="AN410" s="3111">
        <f t="shared" ca="1" si="631"/>
        <v>0.46297212254519154</v>
      </c>
      <c r="AO410" s="2760">
        <f ca="1">IFERROR(AL410/AM410,0)</f>
        <v>0</v>
      </c>
      <c r="AP410" s="80">
        <f ca="1">SUM(INDIRECT(AP$1&amp;AP$2&amp;$A410):INDIRECT(AP$1&amp;AP$3&amp;$A410))+SUM(INDIRECT(AP$1&amp;AP$2&amp;$B410):INDIRECT(AP$1&amp;AP$3&amp;$B410))</f>
        <v>0</v>
      </c>
      <c r="AQ410" s="3111">
        <f t="shared" ca="1" si="632"/>
        <v>0</v>
      </c>
      <c r="AR410" s="2760">
        <f ca="1">IFERROR(AL410/AP410,0)</f>
        <v>0</v>
      </c>
      <c r="AT410" s="60">
        <f ca="1">SUM((INDIRECT(AT$2&amp;(ROW())):INDIRECT(AT$3&amp;(ROW()))))</f>
        <v>0</v>
      </c>
      <c r="AU410" s="80">
        <f ca="1">SUM(INDIRECT(AU$1&amp;AU$2&amp;$C410):INDIRECT(AU$1&amp;AU$3&amp;$C410))</f>
        <v>-1.3593358087808409</v>
      </c>
      <c r="AV410" s="3111">
        <f t="shared" ca="1" si="633"/>
        <v>1.3593358087808409</v>
      </c>
      <c r="AW410" s="2760">
        <f ca="1">IFERROR(AT410/AU410,0)</f>
        <v>0</v>
      </c>
      <c r="AX410" s="80">
        <f ca="1">SUM(INDIRECT(AX$1&amp;AX$2&amp;$A410):INDIRECT(AX$1&amp;AX$3&amp;$A410))+SUM(INDIRECT(AX$1&amp;AX$2&amp;$B410):INDIRECT(AX$1&amp;AX$3&amp;$B410))</f>
        <v>0</v>
      </c>
      <c r="AY410" s="3111">
        <f t="shared" ca="1" si="634"/>
        <v>0</v>
      </c>
      <c r="AZ410" s="2760">
        <f ca="1">IFERROR(AT410/AX410,0)</f>
        <v>0</v>
      </c>
      <c r="BB410" s="60">
        <f ca="1">SUM((INDIRECT(BB$2&amp;(ROW())):INDIRECT(BB$3&amp;(ROW()))))</f>
        <v>0</v>
      </c>
      <c r="BC410" s="80">
        <f ca="1">SUM(INDIRECT(BC$1&amp;BC$2&amp;$C410):INDIRECT(BC$1&amp;BC$3&amp;$C410))</f>
        <v>-2.5234541593444368</v>
      </c>
      <c r="BD410" s="3111">
        <f t="shared" ca="1" si="635"/>
        <v>2.5234541593444368</v>
      </c>
      <c r="BE410" s="2760">
        <f ca="1">IFERROR(BB410/BC410,0)</f>
        <v>0</v>
      </c>
      <c r="BF410" s="80">
        <f ca="1">SUM(INDIRECT(BF$1&amp;BF$2&amp;$A410):INDIRECT(BF$1&amp;BF$3&amp;$A410))+SUM(INDIRECT(BF$1&amp;BF$2&amp;$B410):INDIRECT(BF$1&amp;BF$3&amp;$B410))</f>
        <v>0</v>
      </c>
      <c r="BG410" s="3111">
        <f t="shared" ca="1" si="636"/>
        <v>0</v>
      </c>
      <c r="BH410" s="2760">
        <f ca="1">IFERROR(BB410/BF410,0)</f>
        <v>0</v>
      </c>
    </row>
    <row r="411" spans="1:60" ht="14.5">
      <c r="A411" s="616">
        <f t="shared" si="624"/>
        <v>362</v>
      </c>
      <c r="B411" s="616">
        <v>1</v>
      </c>
      <c r="C411" s="616">
        <f t="shared" si="602"/>
        <v>408</v>
      </c>
      <c r="D411" s="709" t="s">
        <v>1308</v>
      </c>
      <c r="E411" s="2547">
        <v>1</v>
      </c>
      <c r="F411" s="4"/>
      <c r="G411" s="4"/>
      <c r="H411" s="4"/>
      <c r="I411" s="3187" t="s">
        <v>1335</v>
      </c>
      <c r="J411" s="2092"/>
      <c r="K411" s="868"/>
      <c r="L411" s="868"/>
      <c r="M411" s="868"/>
      <c r="N411" s="868"/>
      <c r="O411" s="868"/>
      <c r="P411" s="868"/>
      <c r="Q411" s="1804" t="str">
        <f>CHOOSE(2, "6722000003330", "PL (5) Operating Profit")</f>
        <v>PL (5) Operating Profit</v>
      </c>
      <c r="R411" s="1316">
        <f t="shared" ref="R411:AJ411" si="637">R405+R409-R410</f>
        <v>-1539</v>
      </c>
      <c r="S411" s="3188">
        <f t="shared" si="637"/>
        <v>-1661</v>
      </c>
      <c r="T411" s="3188">
        <f t="shared" si="637"/>
        <v>-1373</v>
      </c>
      <c r="U411" s="3188">
        <f t="shared" si="637"/>
        <v>-857</v>
      </c>
      <c r="V411" s="3188">
        <f t="shared" si="637"/>
        <v>-773.18685677443682</v>
      </c>
      <c r="W411" s="3188">
        <f t="shared" si="637"/>
        <v>-1010</v>
      </c>
      <c r="X411" s="3188">
        <f t="shared" si="637"/>
        <v>-853</v>
      </c>
      <c r="Y411" s="3188">
        <f t="shared" si="637"/>
        <v>-639.59418414612855</v>
      </c>
      <c r="Z411" s="3188">
        <f t="shared" si="637"/>
        <v>-1490.8997470445147</v>
      </c>
      <c r="AA411" s="3188">
        <f t="shared" si="637"/>
        <v>-1439.6104702177086</v>
      </c>
      <c r="AB411" s="3188">
        <f t="shared" si="637"/>
        <v>-1642.748270848942</v>
      </c>
      <c r="AC411" s="3188">
        <f t="shared" si="637"/>
        <v>-1351.4208787210021</v>
      </c>
      <c r="AD411" s="3188">
        <f t="shared" si="637"/>
        <v>-4573</v>
      </c>
      <c r="AE411" s="3188">
        <f t="shared" si="637"/>
        <v>-2640.1868567744368</v>
      </c>
      <c r="AF411" s="3188">
        <f t="shared" si="637"/>
        <v>-2983.4939311906433</v>
      </c>
      <c r="AG411" s="3188">
        <f t="shared" si="637"/>
        <v>-4433.7796197876523</v>
      </c>
      <c r="AH411" s="3188">
        <f t="shared" si="637"/>
        <v>-7213.1868567744368</v>
      </c>
      <c r="AI411" s="3188">
        <f t="shared" si="637"/>
        <v>-7417.273550978296</v>
      </c>
      <c r="AJ411" s="3188">
        <f t="shared" si="637"/>
        <v>-14630.460407752733</v>
      </c>
      <c r="AL411" s="1316">
        <f ca="1">SUM((INDIRECT(AL$2&amp;(ROW())):INDIRECT(AL$3&amp;(ROW()))))</f>
        <v>-1351.4208787210021</v>
      </c>
      <c r="AM411" s="3188">
        <f ca="1">SUM(INDIRECT(AM$1&amp;AM$2&amp;$C411):INDIRECT(AM$1&amp;AM$3&amp;$C411))</f>
        <v>-555.56654705422989</v>
      </c>
      <c r="AN411" s="3189">
        <f t="shared" ca="1" si="631"/>
        <v>-795.85433166677217</v>
      </c>
      <c r="AO411" s="3190">
        <f ca="1">IFERROR(AL411/AM411,0)</f>
        <v>2.4325094552337894</v>
      </c>
      <c r="AP411" s="3191">
        <f ca="1">AP405+AP409-AP410</f>
        <v>0</v>
      </c>
      <c r="AQ411" s="3189">
        <f t="shared" ca="1" si="632"/>
        <v>-1351.4208787210021</v>
      </c>
      <c r="AR411" s="3190">
        <f ca="1">IFERROR(AL411/AP411,0)</f>
        <v>0</v>
      </c>
      <c r="AT411" s="1316">
        <f ca="1">SUM((INDIRECT(AT$2&amp;(ROW())):INDIRECT(AT$3&amp;(ROW()))))</f>
        <v>-4433.7796197876523</v>
      </c>
      <c r="AU411" s="3188">
        <f ca="1">SUM(INDIRECT(AU$1&amp;AU$2&amp;$C411):INDIRECT(AU$1&amp;AU$3&amp;$C411))</f>
        <v>-1619.5430795355871</v>
      </c>
      <c r="AV411" s="3189">
        <f t="shared" ca="1" si="633"/>
        <v>-2814.2365402520654</v>
      </c>
      <c r="AW411" s="3190">
        <f ca="1">IFERROR(AT411/AU411,0)</f>
        <v>2.7376731596785082</v>
      </c>
      <c r="AX411" s="3191">
        <f ca="1">AX405+AX409-AX410</f>
        <v>0</v>
      </c>
      <c r="AY411" s="3189">
        <f t="shared" ca="1" si="634"/>
        <v>-4433.7796197876523</v>
      </c>
      <c r="AZ411" s="3190">
        <f ca="1">IFERROR(AT411/AX411,0)</f>
        <v>0</v>
      </c>
      <c r="BB411" s="1316">
        <f ca="1">SUM((INDIRECT(BB$2&amp;(ROW())):INDIRECT(BB$3&amp;(ROW()))))</f>
        <v>-14630.460407752735</v>
      </c>
      <c r="BC411" s="3188">
        <f ca="1">SUM(INDIRECT(BC$1&amp;BC$2&amp;$C411):INDIRECT(BC$1&amp;BC$3&amp;$C411))</f>
        <v>-2853.2694754617605</v>
      </c>
      <c r="BD411" s="3189">
        <f t="shared" ca="1" si="635"/>
        <v>-11777.190932290974</v>
      </c>
      <c r="BE411" s="3190">
        <f ca="1">IFERROR(BB411/BC411,0)</f>
        <v>5.1276125629125886</v>
      </c>
      <c r="BF411" s="3191">
        <f ca="1">BF405+BF409-BF410</f>
        <v>0</v>
      </c>
      <c r="BG411" s="3189">
        <f t="shared" ca="1" si="636"/>
        <v>-14630.460407752735</v>
      </c>
      <c r="BH411" s="3190">
        <f ca="1">IFERROR(BB411/BF411,0)</f>
        <v>0</v>
      </c>
    </row>
    <row r="412" spans="1:60" ht="14.15" customHeight="1">
      <c r="A412" s="616">
        <f t="shared" si="624"/>
        <v>363</v>
      </c>
      <c r="B412" s="616">
        <v>1</v>
      </c>
      <c r="C412" s="616">
        <f t="shared" si="602"/>
        <v>409</v>
      </c>
      <c r="D412" s="709" t="s">
        <v>1308</v>
      </c>
      <c r="E412" s="2547">
        <v>1</v>
      </c>
      <c r="F412" s="4"/>
      <c r="G412" s="4"/>
      <c r="H412" s="4"/>
      <c r="I412" s="25"/>
      <c r="J412" s="511" t="s">
        <v>55</v>
      </c>
      <c r="K412" s="2"/>
      <c r="L412" s="2"/>
      <c r="M412" s="1"/>
      <c r="N412" s="1"/>
      <c r="O412" s="1"/>
      <c r="P412" s="1"/>
      <c r="Q412" s="1792" t="str">
        <f>CHOOSE(2, "6722000003331", "PL (5) Operating Profit (%)")</f>
        <v>PL (5) Operating Profit (%)</v>
      </c>
      <c r="R412" s="1323">
        <f t="shared" ref="R412:AJ412" si="638">IFERROR(R411/R353,0)</f>
        <v>-4.2750000000000004</v>
      </c>
      <c r="S412" s="1322">
        <f t="shared" si="638"/>
        <v>-6.3155893536121672</v>
      </c>
      <c r="T412" s="1322">
        <f t="shared" si="638"/>
        <v>-3.1275626423690204</v>
      </c>
      <c r="U412" s="1322">
        <f t="shared" si="638"/>
        <v>-0.92950108459869851</v>
      </c>
      <c r="V412" s="1322">
        <f t="shared" si="638"/>
        <v>-0.21749278671573469</v>
      </c>
      <c r="W412" s="1322">
        <f t="shared" si="638"/>
        <v>-22.954545454545453</v>
      </c>
      <c r="X412" s="1322">
        <f t="shared" si="638"/>
        <v>-1.2048022598870056</v>
      </c>
      <c r="Y412" s="1322">
        <f t="shared" si="638"/>
        <v>-1.2791883682922571</v>
      </c>
      <c r="Z412" s="1322">
        <f t="shared" si="638"/>
        <v>0</v>
      </c>
      <c r="AA412" s="1322">
        <f t="shared" si="638"/>
        <v>-2.5985748559886437</v>
      </c>
      <c r="AB412" s="1322">
        <f t="shared" si="638"/>
        <v>-1.9486930852300617</v>
      </c>
      <c r="AC412" s="1322">
        <f t="shared" si="638"/>
        <v>-4.8093269705373736</v>
      </c>
      <c r="AD412" s="1322">
        <f t="shared" si="638"/>
        <v>-4.3060263653483997</v>
      </c>
      <c r="AE412" s="1322">
        <f t="shared" si="638"/>
        <v>-0.58398293668976708</v>
      </c>
      <c r="AF412" s="1322">
        <f t="shared" si="638"/>
        <v>-2.4697797443631151</v>
      </c>
      <c r="AG412" s="1322">
        <f t="shared" si="638"/>
        <v>-2.6423001309819143</v>
      </c>
      <c r="AH412" s="1322">
        <f t="shared" si="638"/>
        <v>-1.291991197702747</v>
      </c>
      <c r="AI412" s="1322">
        <f t="shared" si="638"/>
        <v>-2.5700878555018352</v>
      </c>
      <c r="AJ412" s="1322">
        <f t="shared" si="638"/>
        <v>-1.7275310435414728</v>
      </c>
      <c r="AK412" s="504"/>
      <c r="AL412" s="1323">
        <f ca="1">IFERROR(AL411/AL353,0)</f>
        <v>-4.8093269705373736</v>
      </c>
      <c r="AM412" s="1322">
        <f ca="1">IFERROR(AM411/AM353,0)</f>
        <v>0</v>
      </c>
      <c r="AN412" s="1322">
        <f t="shared" ca="1" si="631"/>
        <v>-4.8093269705373736</v>
      </c>
      <c r="AO412" s="2802"/>
      <c r="AP412" s="1322">
        <f ca="1">IFERROR(AP411/AP353,0)</f>
        <v>0</v>
      </c>
      <c r="AQ412" s="1322">
        <f t="shared" ca="1" si="632"/>
        <v>-4.8093269705373736</v>
      </c>
      <c r="AR412" s="2802"/>
      <c r="AS412" s="504"/>
      <c r="AT412" s="1323">
        <f ca="1">IFERROR(AT411/AT353,0)</f>
        <v>-2.6423001309819143</v>
      </c>
      <c r="AU412" s="1322">
        <f ca="1">IFERROR(AU411/AU353,0)</f>
        <v>0</v>
      </c>
      <c r="AV412" s="1322">
        <f t="shared" ca="1" si="633"/>
        <v>-2.6423001309819143</v>
      </c>
      <c r="AW412" s="2802"/>
      <c r="AX412" s="1322">
        <f ca="1">IFERROR(AX411/AX353,0)</f>
        <v>0</v>
      </c>
      <c r="AY412" s="1322">
        <f t="shared" ca="1" si="634"/>
        <v>-2.6423001309819143</v>
      </c>
      <c r="AZ412" s="2802"/>
      <c r="BA412" s="504"/>
      <c r="BB412" s="1323">
        <f ca="1">IFERROR(BB411/BB353,0)</f>
        <v>-1.727531043541473</v>
      </c>
      <c r="BC412" s="1322">
        <f ca="1">IFERROR(BC411/BC353,0)</f>
        <v>0</v>
      </c>
      <c r="BD412" s="1322">
        <f t="shared" ca="1" si="635"/>
        <v>-1.727531043541473</v>
      </c>
      <c r="BE412" s="2802"/>
      <c r="BF412" s="1322">
        <f ca="1">IFERROR(BF411/BF353,0)</f>
        <v>0</v>
      </c>
      <c r="BG412" s="1322">
        <f t="shared" ca="1" si="636"/>
        <v>-1.727531043541473</v>
      </c>
      <c r="BH412" s="2802"/>
    </row>
    <row r="413" spans="1:60" ht="14.5">
      <c r="A413" s="616">
        <f t="shared" si="624"/>
        <v>364</v>
      </c>
      <c r="B413" s="616">
        <v>1</v>
      </c>
      <c r="C413" s="616">
        <f t="shared" si="602"/>
        <v>410</v>
      </c>
      <c r="D413" s="709" t="s">
        <v>1308</v>
      </c>
      <c r="E413" s="2544">
        <v>1</v>
      </c>
      <c r="F413" s="8"/>
      <c r="G413" s="737"/>
      <c r="H413" s="4"/>
      <c r="I413" s="4"/>
      <c r="J413" s="3"/>
      <c r="K413" s="3153" t="s">
        <v>1448</v>
      </c>
      <c r="L413" s="707"/>
      <c r="M413" s="586"/>
      <c r="N413" s="586"/>
      <c r="O413" s="586"/>
      <c r="P413" s="586"/>
      <c r="Q413" s="1785" t="str">
        <f>CHOOSE(2, "6722000003332", "PL (5) CAI (%)")</f>
        <v>PL (5) CAI (%)</v>
      </c>
      <c r="R413" s="1368">
        <f>R447</f>
        <v>1.0679202289784197E-2</v>
      </c>
      <c r="S413" s="1368">
        <f t="shared" ref="S413:AJ413" si="639">S447</f>
        <v>-1.0100333090516534E-3</v>
      </c>
      <c r="T413" s="1368">
        <f t="shared" si="639"/>
        <v>5.2030725606533773E-6</v>
      </c>
      <c r="U413" s="1368">
        <f t="shared" si="639"/>
        <v>4.1043366035451315E-6</v>
      </c>
      <c r="V413" s="1368">
        <f t="shared" si="639"/>
        <v>0</v>
      </c>
      <c r="W413" s="1368">
        <f t="shared" si="639"/>
        <v>6.1041039597813449E-6</v>
      </c>
      <c r="X413" s="1368">
        <f t="shared" si="639"/>
        <v>-1.0248387915442546E-6</v>
      </c>
      <c r="Y413" s="1368">
        <f t="shared" si="639"/>
        <v>5.2492166824747101E-6</v>
      </c>
      <c r="Z413" s="1368">
        <f t="shared" si="639"/>
        <v>2.5597708717784588E-6</v>
      </c>
      <c r="AA413" s="1368">
        <f t="shared" si="639"/>
        <v>9.100471973312635E-6</v>
      </c>
      <c r="AB413" s="1368">
        <f t="shared" si="639"/>
        <v>1.0492897791402072E-5</v>
      </c>
      <c r="AC413" s="1368">
        <f t="shared" si="639"/>
        <v>-4.7581409327636271E-7</v>
      </c>
      <c r="AD413" s="3154">
        <f t="shared" si="639"/>
        <v>3.7421896590315957E-3</v>
      </c>
      <c r="AE413" s="1368">
        <f t="shared" si="639"/>
        <v>2.7985054926694584E-6</v>
      </c>
      <c r="AF413" s="1368">
        <f t="shared" si="639"/>
        <v>1.8896347875802529E-6</v>
      </c>
      <c r="AG413" s="1368">
        <f t="shared" si="639"/>
        <v>6.8610840366387708E-6</v>
      </c>
      <c r="AH413" s="1368">
        <f t="shared" si="639"/>
        <v>2.0151956013319669E-3</v>
      </c>
      <c r="AI413" s="1368">
        <f t="shared" si="639"/>
        <v>3.9125642401336748E-6</v>
      </c>
      <c r="AJ413" s="1368">
        <f t="shared" si="639"/>
        <v>9.4937238688851751E-4</v>
      </c>
      <c r="AL413" s="2746">
        <f ca="1">AL447</f>
        <v>0</v>
      </c>
      <c r="AM413" s="2746">
        <f ca="1">AM447</f>
        <v>0</v>
      </c>
      <c r="AN413" s="2746">
        <f t="shared" ca="1" si="631"/>
        <v>0</v>
      </c>
      <c r="AO413" s="2747"/>
      <c r="AP413" s="2746">
        <f ca="1">AP447</f>
        <v>0</v>
      </c>
      <c r="AQ413" s="2746">
        <f t="shared" ca="1" si="632"/>
        <v>0</v>
      </c>
      <c r="AR413" s="2847"/>
      <c r="AT413" s="2746">
        <f ca="1">AT447</f>
        <v>0</v>
      </c>
      <c r="AU413" s="2746">
        <f ca="1">AU447</f>
        <v>0</v>
      </c>
      <c r="AV413" s="2746">
        <f t="shared" ca="1" si="633"/>
        <v>0</v>
      </c>
      <c r="AW413" s="2747"/>
      <c r="AX413" s="2746">
        <f ca="1">AX447</f>
        <v>0</v>
      </c>
      <c r="AY413" s="2746">
        <f t="shared" ca="1" si="634"/>
        <v>0</v>
      </c>
      <c r="AZ413" s="2847"/>
      <c r="BB413" s="2746">
        <f ca="1">BB447</f>
        <v>0</v>
      </c>
      <c r="BC413" s="2746">
        <f ca="1">BC447</f>
        <v>0</v>
      </c>
      <c r="BD413" s="2746">
        <f t="shared" ca="1" si="635"/>
        <v>0</v>
      </c>
      <c r="BE413" s="2747"/>
      <c r="BF413" s="2746">
        <f ca="1">BF447</f>
        <v>0</v>
      </c>
      <c r="BG413" s="2746">
        <f t="shared" ca="1" si="636"/>
        <v>0</v>
      </c>
      <c r="BH413" s="2847"/>
    </row>
    <row r="414" spans="1:60" ht="14.5">
      <c r="A414" s="616">
        <f t="shared" si="624"/>
        <v>365</v>
      </c>
      <c r="B414" s="616">
        <v>1</v>
      </c>
      <c r="C414" s="616">
        <f t="shared" si="602"/>
        <v>411</v>
      </c>
      <c r="D414" s="709" t="s">
        <v>1308</v>
      </c>
      <c r="E414" s="2544">
        <v>1</v>
      </c>
      <c r="F414" s="8"/>
      <c r="G414" s="737"/>
      <c r="H414" s="4"/>
      <c r="I414" s="4"/>
      <c r="J414" s="3"/>
      <c r="K414" s="27"/>
      <c r="L414" s="3101" t="s">
        <v>509</v>
      </c>
      <c r="M414" s="251"/>
      <c r="N414" s="251"/>
      <c r="O414" s="251"/>
      <c r="P414" s="251"/>
      <c r="Q414" s="1786" t="str">
        <f>CHOOSE(2, "6722000003333", "PL (5) CAI Directly assigned")</f>
        <v>PL (5) CAI Directly assigned</v>
      </c>
      <c r="R414" s="3102">
        <f>SUM(R415:R417)</f>
        <v>482.31953065830163</v>
      </c>
      <c r="S414" s="3102">
        <f t="shared" ref="S414:AJ414" si="640">SUM(S415:S417)</f>
        <v>1868.6314986453242</v>
      </c>
      <c r="T414" s="3102">
        <f t="shared" si="640"/>
        <v>1556.4126816735416</v>
      </c>
      <c r="U414" s="3102">
        <f t="shared" si="640"/>
        <v>1542.5649226551141</v>
      </c>
      <c r="V414" s="3102">
        <f t="shared" si="640"/>
        <v>1234.1868567744368</v>
      </c>
      <c r="W414" s="3102">
        <f t="shared" si="640"/>
        <v>1031.7069049678385</v>
      </c>
      <c r="X414" s="3103">
        <f t="shared" si="640"/>
        <v>1216.1592070259946</v>
      </c>
      <c r="Y414" s="3103">
        <f t="shared" si="640"/>
        <v>1046</v>
      </c>
      <c r="Z414" s="3103">
        <f t="shared" si="640"/>
        <v>1490.6229223352591</v>
      </c>
      <c r="AA414" s="3104">
        <f t="shared" si="640"/>
        <v>1625.3409506575208</v>
      </c>
      <c r="AB414" s="3104">
        <f t="shared" si="640"/>
        <v>2004.2123296093521</v>
      </c>
      <c r="AC414" s="3104">
        <f t="shared" si="640"/>
        <v>1752.4531683874886</v>
      </c>
      <c r="AD414" s="3105">
        <f t="shared" si="640"/>
        <v>3907.3637109771671</v>
      </c>
      <c r="AE414" s="3104">
        <f t="shared" si="640"/>
        <v>3808.4586843973893</v>
      </c>
      <c r="AF414" s="3104">
        <f t="shared" si="640"/>
        <v>3752.7821293612542</v>
      </c>
      <c r="AG414" s="3104">
        <f t="shared" si="640"/>
        <v>5382.0064486543615</v>
      </c>
      <c r="AH414" s="3104">
        <f t="shared" si="640"/>
        <v>7715.8223953745564</v>
      </c>
      <c r="AI414" s="3104">
        <f t="shared" si="640"/>
        <v>9134.7885780156157</v>
      </c>
      <c r="AJ414" s="3104">
        <f t="shared" si="640"/>
        <v>16850.610973390172</v>
      </c>
      <c r="AL414" s="3102">
        <f ca="1">SUM((INDIRECT(AL$2&amp;(ROW())):INDIRECT(AL$3&amp;(ROW()))))</f>
        <v>1752.4531683874886</v>
      </c>
      <c r="AM414" s="745">
        <f ca="1">SUM(INDIRECT(AM$1&amp;AM$2&amp;$C414):INDIRECT(AM$1&amp;AM$3&amp;$C414))</f>
        <v>444</v>
      </c>
      <c r="AN414" s="3106">
        <f t="shared" ca="1" si="631"/>
        <v>1308.4531683874886</v>
      </c>
      <c r="AO414" s="2751">
        <f ca="1">IFERROR(AL414/AM414,0)</f>
        <v>3.9469665954673165</v>
      </c>
      <c r="AP414" s="745">
        <f ca="1">SUM(INDIRECT(AP$1&amp;AP$2&amp;$A414):INDIRECT(AP$1&amp;AP$3&amp;$A414))+SUM(INDIRECT(AP$1&amp;AP$2&amp;$B414):INDIRECT(AP$1&amp;AP$3&amp;$B414))</f>
        <v>843</v>
      </c>
      <c r="AQ414" s="3106">
        <f t="shared" ca="1" si="632"/>
        <v>909.45316838748863</v>
      </c>
      <c r="AR414" s="2751">
        <f ca="1">IFERROR(AL414/AP414,0)</f>
        <v>2.0788293812425724</v>
      </c>
      <c r="AT414" s="3102">
        <f ca="1">SUM((INDIRECT(AT$2&amp;(ROW())):INDIRECT(AT$3&amp;(ROW()))))</f>
        <v>5382.0064486543615</v>
      </c>
      <c r="AU414" s="745">
        <f ca="1">SUM(INDIRECT(AU$1&amp;AU$2&amp;$C414):INDIRECT(AU$1&amp;AU$3&amp;$C414))</f>
        <v>1182</v>
      </c>
      <c r="AV414" s="3106">
        <f t="shared" ca="1" si="633"/>
        <v>4200.0064486543615</v>
      </c>
      <c r="AW414" s="2751">
        <f ca="1">IFERROR(AT414/AU414,0)</f>
        <v>4.5533049481001369</v>
      </c>
      <c r="AX414" s="745">
        <f ca="1">SUM(INDIRECT(AX$1&amp;AX$2&amp;$A414):INDIRECT(AX$1&amp;AX$3&amp;$A414))+SUM(INDIRECT(AX$1&amp;AX$2&amp;$B414):INDIRECT(AX$1&amp;AX$3&amp;$B414))</f>
        <v>887</v>
      </c>
      <c r="AY414" s="3106">
        <f t="shared" ca="1" si="634"/>
        <v>4495.0064486543615</v>
      </c>
      <c r="AZ414" s="2751">
        <f ca="1">IFERROR(AT414/AX414,0)</f>
        <v>6.0676510131390771</v>
      </c>
      <c r="BB414" s="3102">
        <f ca="1">SUM((INDIRECT(BB$2&amp;(ROW())):INDIRECT(BB$3&amp;(ROW()))))</f>
        <v>16850.610973390172</v>
      </c>
      <c r="BC414" s="745">
        <f ca="1">SUM(INDIRECT(BC$1&amp;BC$2&amp;$C414):INDIRECT(BC$1&amp;BC$3&amp;$C414))</f>
        <v>1827.5</v>
      </c>
      <c r="BD414" s="3106">
        <f t="shared" ca="1" si="635"/>
        <v>15023.110973390172</v>
      </c>
      <c r="BE414" s="2751">
        <f ca="1">IFERROR(BB414/BC414,0)</f>
        <v>9.2205805599946231</v>
      </c>
      <c r="BF414" s="745">
        <f ca="1">SUM(INDIRECT(BF$1&amp;BF$2&amp;$A414):INDIRECT(BF$1&amp;BF$3&amp;$A414))+SUM(INDIRECT(BF$1&amp;BF$2&amp;$B414):INDIRECT(BF$1&amp;BF$3&amp;$B414))</f>
        <v>6658</v>
      </c>
      <c r="BG414" s="3106">
        <f t="shared" ca="1" si="636"/>
        <v>10192.610973390172</v>
      </c>
      <c r="BH414" s="2751">
        <f ca="1">IFERROR(BB414/BF414,0)</f>
        <v>2.5308817923385658</v>
      </c>
    </row>
    <row r="415" spans="1:60" ht="14.5">
      <c r="A415" s="616">
        <f t="shared" si="624"/>
        <v>366</v>
      </c>
      <c r="B415" s="616">
        <v>1</v>
      </c>
      <c r="C415" s="616">
        <f t="shared" si="602"/>
        <v>412</v>
      </c>
      <c r="D415" s="709" t="s">
        <v>1308</v>
      </c>
      <c r="E415" s="2544">
        <v>1</v>
      </c>
      <c r="F415" s="8"/>
      <c r="G415" s="737"/>
      <c r="H415" s="4"/>
      <c r="I415" s="4"/>
      <c r="J415" s="3"/>
      <c r="K415" s="27"/>
      <c r="L415" s="27"/>
      <c r="M415" s="36" t="s">
        <v>1329</v>
      </c>
      <c r="N415" s="3"/>
      <c r="O415" s="3"/>
      <c r="P415" s="3"/>
      <c r="Q415" s="1787" t="str">
        <f>CHOOSE(2, "6722000003334", "PL (5) CAI Directly assigned Variable Expenses")</f>
        <v>PL (5) CAI Directly assigned Variable Expenses</v>
      </c>
      <c r="R415" s="1350">
        <v>34.910076841698505</v>
      </c>
      <c r="S415" s="1350">
        <v>98</v>
      </c>
      <c r="T415" s="1350">
        <v>44.046579103624431</v>
      </c>
      <c r="U415" s="1350">
        <v>33.324484203356846</v>
      </c>
      <c r="V415" s="1350">
        <v>140.57616273656043</v>
      </c>
      <c r="W415" s="1350">
        <v>36.127423909024571</v>
      </c>
      <c r="X415" s="1281">
        <v>138.76395165752308</v>
      </c>
      <c r="Y415" s="1281">
        <v>46</v>
      </c>
      <c r="Z415" s="1281">
        <v>95.754747044514659</v>
      </c>
      <c r="AA415" s="1351">
        <v>51.465470217708571</v>
      </c>
      <c r="AB415" s="1351">
        <v>392.60327084894197</v>
      </c>
      <c r="AC415" s="1351">
        <v>46.280071758696181</v>
      </c>
      <c r="AD415" s="125">
        <f>SUM(R415,S415,T415)</f>
        <v>176.95665594532292</v>
      </c>
      <c r="AE415" s="126">
        <f t="shared" ref="AE415:AE417" si="641">SUM(U415,V415,W415)</f>
        <v>210.02807084894187</v>
      </c>
      <c r="AF415" s="126">
        <f t="shared" ref="AF415:AF417" si="642">SUM(X415,Y415,Z415)</f>
        <v>280.51869870203774</v>
      </c>
      <c r="AG415" s="126">
        <f t="shared" ref="AG415:AG417" si="643">SUM(AA415,AB415,AC415)</f>
        <v>490.34881282534673</v>
      </c>
      <c r="AH415" s="126">
        <f>AD415+AE415</f>
        <v>386.98472679426482</v>
      </c>
      <c r="AI415" s="126">
        <f>AG415+AF415</f>
        <v>770.86751152738452</v>
      </c>
      <c r="AJ415" s="126">
        <f>AH415+AI415</f>
        <v>1157.8522383216493</v>
      </c>
      <c r="AL415" s="37">
        <f ca="1">SUM((INDIRECT(AL$2&amp;(ROW())):INDIRECT(AL$3&amp;(ROW()))))</f>
        <v>46.280071758696181</v>
      </c>
      <c r="AM415" s="3108">
        <f ca="1">SUM(INDIRECT(AM$1&amp;AM$2&amp;$C415):INDIRECT(AM$1&amp;AM$3&amp;$C415))</f>
        <v>-999.56654705422989</v>
      </c>
      <c r="AN415" s="3109">
        <f t="shared" ca="1" si="631"/>
        <v>1045.846618812926</v>
      </c>
      <c r="AO415" s="2756">
        <f ca="1">IFERROR(AL415/AM415,0)</f>
        <v>-4.6300140691068296E-2</v>
      </c>
      <c r="AP415" s="3108">
        <f ca="1">SUM(INDIRECT(AP$1&amp;AP$2&amp;$A415):INDIRECT(AP$1&amp;AP$3&amp;$A415))+SUM(INDIRECT(AP$1&amp;AP$2&amp;$B415):INDIRECT(AP$1&amp;AP$3&amp;$B415))</f>
        <v>0</v>
      </c>
      <c r="AQ415" s="3109">
        <f t="shared" ca="1" si="632"/>
        <v>46.280071758696181</v>
      </c>
      <c r="AR415" s="2756">
        <f ca="1">IFERROR(AL415/AP415,0)</f>
        <v>0</v>
      </c>
      <c r="AT415" s="37">
        <f ca="1">SUM((INDIRECT(AT$2&amp;(ROW())):INDIRECT(AT$3&amp;(ROW()))))</f>
        <v>490.34881282534673</v>
      </c>
      <c r="AU415" s="3108">
        <f ca="1">SUM(INDIRECT(AU$1&amp;AU$2&amp;$C415):INDIRECT(AU$1&amp;AU$3&amp;$C415))</f>
        <v>-2951.5430795355869</v>
      </c>
      <c r="AV415" s="3109">
        <f t="shared" ca="1" si="633"/>
        <v>3441.8918923609335</v>
      </c>
      <c r="AW415" s="2756">
        <f ca="1">IFERROR(AT415/AU415,0)</f>
        <v>-0.16613303604652149</v>
      </c>
      <c r="AX415" s="3108">
        <f ca="1">SUM(INDIRECT(AX$1&amp;AX$2&amp;$A415):INDIRECT(AX$1&amp;AX$3&amp;$A415))+SUM(INDIRECT(AX$1&amp;AX$2&amp;$B415):INDIRECT(AX$1&amp;AX$3&amp;$B415))</f>
        <v>0</v>
      </c>
      <c r="AY415" s="3109">
        <f t="shared" ca="1" si="634"/>
        <v>490.34881282534673</v>
      </c>
      <c r="AZ415" s="2756">
        <f ca="1">IFERROR(AT415/AX415,0)</f>
        <v>0</v>
      </c>
      <c r="BB415" s="37">
        <f ca="1">SUM((INDIRECT(BB$2&amp;(ROW())):INDIRECT(BB$3&amp;(ROW()))))</f>
        <v>1157.8522383216491</v>
      </c>
      <c r="BC415" s="3108">
        <f ca="1">SUM(INDIRECT(BC$1&amp;BC$2&amp;$C415):INDIRECT(BC$1&amp;BC$3&amp;$C415))</f>
        <v>-4980.7694754617605</v>
      </c>
      <c r="BD415" s="3109">
        <f t="shared" ca="1" si="635"/>
        <v>6138.6217137834101</v>
      </c>
      <c r="BE415" s="2756">
        <f ca="1">IFERROR(BB415/BC415,0)</f>
        <v>-0.2324645306364648</v>
      </c>
      <c r="BF415" s="3108">
        <f ca="1">SUM(INDIRECT(BF$1&amp;BF$2&amp;$A415):INDIRECT(BF$1&amp;BF$3&amp;$A415))+SUM(INDIRECT(BF$1&amp;BF$2&amp;$B415):INDIRECT(BF$1&amp;BF$3&amp;$B415))</f>
        <v>0</v>
      </c>
      <c r="BG415" s="3109">
        <f t="shared" ca="1" si="636"/>
        <v>1157.8522383216491</v>
      </c>
      <c r="BH415" s="2756">
        <f ca="1">IFERROR(BB415/BF415,0)</f>
        <v>0</v>
      </c>
    </row>
    <row r="416" spans="1:60" ht="14.5">
      <c r="A416" s="616">
        <f t="shared" si="624"/>
        <v>367</v>
      </c>
      <c r="B416" s="616">
        <v>1</v>
      </c>
      <c r="C416" s="616">
        <f t="shared" si="602"/>
        <v>413</v>
      </c>
      <c r="D416" s="709" t="s">
        <v>1308</v>
      </c>
      <c r="E416" s="2544">
        <v>1</v>
      </c>
      <c r="F416" s="8"/>
      <c r="G416" s="737"/>
      <c r="H416" s="4"/>
      <c r="I416" s="4"/>
      <c r="J416" s="3"/>
      <c r="K416" s="27"/>
      <c r="L416" s="27"/>
      <c r="M416" s="36" t="s">
        <v>1330</v>
      </c>
      <c r="N416" s="3"/>
      <c r="O416" s="3"/>
      <c r="P416" s="3"/>
      <c r="Q416" s="1787" t="str">
        <f>CHOOSE(2, "6722000003335", "PL (5) CAI Directly assigned Wages &amp; Salaries")</f>
        <v>PL (5) CAI Directly assigned Wages &amp; Salaries</v>
      </c>
      <c r="R416" s="1350">
        <v>413.25829168885457</v>
      </c>
      <c r="S416" s="1350">
        <v>1685.331452501111</v>
      </c>
      <c r="T416" s="1350">
        <f>1611.76454496604-497</f>
        <v>1114.7645449660399</v>
      </c>
      <c r="U416" s="1350">
        <v>1291</v>
      </c>
      <c r="V416" s="1350">
        <v>808</v>
      </c>
      <c r="W416" s="1350">
        <v>877.76344532708117</v>
      </c>
      <c r="X416" s="1281">
        <v>887.00376155467757</v>
      </c>
      <c r="Y416" s="1281">
        <v>861</v>
      </c>
      <c r="Z416" s="1281">
        <v>1252.8681752907444</v>
      </c>
      <c r="AA416" s="1351">
        <v>1430.8754804398122</v>
      </c>
      <c r="AB416" s="1351">
        <v>1464.6090587604101</v>
      </c>
      <c r="AC416" s="1351">
        <v>1474.1772896664863</v>
      </c>
      <c r="AD416" s="125">
        <f>SUM(R416,S416,T416)</f>
        <v>3213.3542891560055</v>
      </c>
      <c r="AE416" s="126">
        <f t="shared" si="641"/>
        <v>2976.7634453270812</v>
      </c>
      <c r="AF416" s="126">
        <f t="shared" si="642"/>
        <v>3000.8719368454222</v>
      </c>
      <c r="AG416" s="126">
        <f t="shared" si="643"/>
        <v>4369.6618288667087</v>
      </c>
      <c r="AH416" s="126">
        <f>AD416+AE416</f>
        <v>6190.1177344830867</v>
      </c>
      <c r="AI416" s="126">
        <f>AG416+AF416</f>
        <v>7370.5337657121308</v>
      </c>
      <c r="AJ416" s="126">
        <f>AH416+AI416</f>
        <v>13560.651500195218</v>
      </c>
      <c r="AL416" s="37">
        <f ca="1">SUM((INDIRECT(AL$2&amp;(ROW())):INDIRECT(AL$3&amp;(ROW()))))</f>
        <v>1474.1772896664863</v>
      </c>
      <c r="AM416" s="3108">
        <f ca="1">SUM(INDIRECT(AM$1&amp;AM$2&amp;$C416):INDIRECT(AM$1&amp;AM$3&amp;$C416))</f>
        <v>0</v>
      </c>
      <c r="AN416" s="3109">
        <f t="shared" ca="1" si="631"/>
        <v>1474.1772896664863</v>
      </c>
      <c r="AO416" s="2756">
        <f ca="1">IFERROR(AL416/AM416,0)</f>
        <v>0</v>
      </c>
      <c r="AP416" s="3108">
        <f ca="1">SUM(INDIRECT(AP$1&amp;AP$2&amp;$A416):INDIRECT(AP$1&amp;AP$3&amp;$A416))+SUM(INDIRECT(AP$1&amp;AP$2&amp;$B416):INDIRECT(AP$1&amp;AP$3&amp;$B416))</f>
        <v>0</v>
      </c>
      <c r="AQ416" s="3109">
        <f t="shared" ca="1" si="632"/>
        <v>1474.1772896664863</v>
      </c>
      <c r="AR416" s="2756">
        <f ca="1">IFERROR(AL416/AP416,0)</f>
        <v>0</v>
      </c>
      <c r="AT416" s="37">
        <f ca="1">SUM((INDIRECT(AT$2&amp;(ROW())):INDIRECT(AT$3&amp;(ROW()))))</f>
        <v>4369.6618288667087</v>
      </c>
      <c r="AU416" s="3108">
        <f ca="1">SUM(INDIRECT(AU$1&amp;AU$2&amp;$C416):INDIRECT(AU$1&amp;AU$3&amp;$C416))</f>
        <v>0</v>
      </c>
      <c r="AV416" s="3109">
        <f t="shared" ca="1" si="633"/>
        <v>4369.6618288667087</v>
      </c>
      <c r="AW416" s="2756">
        <f ca="1">IFERROR(AT416/AU416,0)</f>
        <v>0</v>
      </c>
      <c r="AX416" s="3108">
        <f ca="1">SUM(INDIRECT(AX$1&amp;AX$2&amp;$A416):INDIRECT(AX$1&amp;AX$3&amp;$A416))+SUM(INDIRECT(AX$1&amp;AX$2&amp;$B416):INDIRECT(AX$1&amp;AX$3&amp;$B416))</f>
        <v>0</v>
      </c>
      <c r="AY416" s="3109">
        <f t="shared" ca="1" si="634"/>
        <v>4369.6618288667087</v>
      </c>
      <c r="AZ416" s="2756">
        <f ca="1">IFERROR(AT416/AX416,0)</f>
        <v>0</v>
      </c>
      <c r="BB416" s="37">
        <f ca="1">SUM((INDIRECT(BB$2&amp;(ROW())):INDIRECT(BB$3&amp;(ROW()))))</f>
        <v>13560.651500195218</v>
      </c>
      <c r="BC416" s="3108">
        <f ca="1">SUM(INDIRECT(BC$1&amp;BC$2&amp;$C416):INDIRECT(BC$1&amp;BC$3&amp;$C416))</f>
        <v>0</v>
      </c>
      <c r="BD416" s="3109">
        <f t="shared" ca="1" si="635"/>
        <v>13560.651500195218</v>
      </c>
      <c r="BE416" s="2756">
        <f ca="1">IFERROR(BB416/BC416,0)</f>
        <v>0</v>
      </c>
      <c r="BF416" s="3108">
        <f ca="1">SUM(INDIRECT(BF$1&amp;BF$2&amp;$A416):INDIRECT(BF$1&amp;BF$3&amp;$A416))+SUM(INDIRECT(BF$1&amp;BF$2&amp;$B416):INDIRECT(BF$1&amp;BF$3&amp;$B416))</f>
        <v>0</v>
      </c>
      <c r="BG416" s="3109">
        <f t="shared" ca="1" si="636"/>
        <v>13560.651500195218</v>
      </c>
      <c r="BH416" s="2756">
        <f ca="1">IFERROR(BB416/BF416,0)</f>
        <v>0</v>
      </c>
    </row>
    <row r="417" spans="1:60" ht="14.5">
      <c r="A417" s="616">
        <f t="shared" si="624"/>
        <v>368</v>
      </c>
      <c r="B417" s="616">
        <v>1</v>
      </c>
      <c r="C417" s="616">
        <f t="shared" si="602"/>
        <v>414</v>
      </c>
      <c r="D417" s="709" t="s">
        <v>1308</v>
      </c>
      <c r="E417" s="2544">
        <v>1</v>
      </c>
      <c r="F417" s="8"/>
      <c r="G417" s="737"/>
      <c r="H417" s="4"/>
      <c r="I417" s="4"/>
      <c r="J417" s="3"/>
      <c r="K417" s="27"/>
      <c r="L417" s="25"/>
      <c r="M417" s="104" t="s">
        <v>1331</v>
      </c>
      <c r="N417" s="1"/>
      <c r="O417" s="1"/>
      <c r="P417" s="1"/>
      <c r="Q417" s="1787" t="str">
        <f>CHOOSE(2, "6722000003336", "PL (5) CAI Directly assigned Fixed Expenses")</f>
        <v>PL (5) CAI Directly assigned Fixed Expenses</v>
      </c>
      <c r="R417" s="1352">
        <v>34.151162127748535</v>
      </c>
      <c r="S417" s="1352">
        <v>85.300046144213169</v>
      </c>
      <c r="T417" s="1352">
        <v>397.60155760387715</v>
      </c>
      <c r="U417" s="1352">
        <v>218.24043845175731</v>
      </c>
      <c r="V417" s="1352">
        <v>285.61069403787621</v>
      </c>
      <c r="W417" s="1352">
        <v>117.81603573173263</v>
      </c>
      <c r="X417" s="1282">
        <v>190.39149381379389</v>
      </c>
      <c r="Y417" s="1282">
        <v>139</v>
      </c>
      <c r="Z417" s="1282">
        <v>142</v>
      </c>
      <c r="AA417" s="1353">
        <v>143</v>
      </c>
      <c r="AB417" s="1353">
        <v>147</v>
      </c>
      <c r="AC417" s="1353">
        <v>231.99580696230598</v>
      </c>
      <c r="AD417" s="122">
        <f>SUM(R417,S417,T417)</f>
        <v>517.05276587583887</v>
      </c>
      <c r="AE417" s="123">
        <f t="shared" si="641"/>
        <v>621.66716822136618</v>
      </c>
      <c r="AF417" s="123">
        <f t="shared" si="642"/>
        <v>471.39149381379389</v>
      </c>
      <c r="AG417" s="123">
        <f t="shared" si="643"/>
        <v>521.99580696230601</v>
      </c>
      <c r="AH417" s="123">
        <f>AD417+AE417</f>
        <v>1138.7199340972052</v>
      </c>
      <c r="AI417" s="123">
        <f>AG417+AF417</f>
        <v>993.38730077609989</v>
      </c>
      <c r="AJ417" s="123">
        <f>AH417+AI417</f>
        <v>2132.1072348733051</v>
      </c>
      <c r="AL417" s="60">
        <f ca="1">SUM((INDIRECT(AL$2&amp;(ROW())):INDIRECT(AL$3&amp;(ROW()))))</f>
        <v>231.99580696230598</v>
      </c>
      <c r="AM417" s="80">
        <f ca="1">SUM(INDIRECT(AM$1&amp;AM$2&amp;$C417):INDIRECT(AM$1&amp;AM$3&amp;$C417))</f>
        <v>0</v>
      </c>
      <c r="AN417" s="3111">
        <f t="shared" ca="1" si="631"/>
        <v>231.99580696230598</v>
      </c>
      <c r="AO417" s="2760">
        <f ca="1">IFERROR(AL417/AM417,0)</f>
        <v>0</v>
      </c>
      <c r="AP417" s="80">
        <f ca="1">SUM(INDIRECT(AP$1&amp;AP$2&amp;$A417):INDIRECT(AP$1&amp;AP$3&amp;$A417))+SUM(INDIRECT(AP$1&amp;AP$2&amp;$B417):INDIRECT(AP$1&amp;AP$3&amp;$B417))</f>
        <v>0</v>
      </c>
      <c r="AQ417" s="3111">
        <f t="shared" ca="1" si="632"/>
        <v>231.99580696230598</v>
      </c>
      <c r="AR417" s="2760">
        <f ca="1">IFERROR(AL417/AP417,0)</f>
        <v>0</v>
      </c>
      <c r="AT417" s="60">
        <f ca="1">SUM((INDIRECT(AT$2&amp;(ROW())):INDIRECT(AT$3&amp;(ROW()))))</f>
        <v>521.99580696230601</v>
      </c>
      <c r="AU417" s="80">
        <f ca="1">SUM(INDIRECT(AU$1&amp;AU$2&amp;$C417):INDIRECT(AU$1&amp;AU$3&amp;$C417))</f>
        <v>0</v>
      </c>
      <c r="AV417" s="3111">
        <f t="shared" ca="1" si="633"/>
        <v>521.99580696230601</v>
      </c>
      <c r="AW417" s="2760">
        <f ca="1">IFERROR(AT417/AU417,0)</f>
        <v>0</v>
      </c>
      <c r="AX417" s="80">
        <f ca="1">SUM(INDIRECT(AX$1&amp;AX$2&amp;$A417):INDIRECT(AX$1&amp;AX$3&amp;$A417))+SUM(INDIRECT(AX$1&amp;AX$2&amp;$B417):INDIRECT(AX$1&amp;AX$3&amp;$B417))</f>
        <v>0</v>
      </c>
      <c r="AY417" s="3111">
        <f t="shared" ca="1" si="634"/>
        <v>521.99580696230601</v>
      </c>
      <c r="AZ417" s="2760">
        <f ca="1">IFERROR(AT417/AX417,0)</f>
        <v>0</v>
      </c>
      <c r="BB417" s="60">
        <f ca="1">SUM((INDIRECT(BB$2&amp;(ROW())):INDIRECT(BB$3&amp;(ROW()))))</f>
        <v>2132.1072348733046</v>
      </c>
      <c r="BC417" s="80">
        <f ca="1">SUM(INDIRECT(BC$1&amp;BC$2&amp;$C417):INDIRECT(BC$1&amp;BC$3&amp;$C417))</f>
        <v>0</v>
      </c>
      <c r="BD417" s="3111">
        <f t="shared" ca="1" si="635"/>
        <v>2132.1072348733046</v>
      </c>
      <c r="BE417" s="2760">
        <f ca="1">IFERROR(BB417/BC417,0)</f>
        <v>0</v>
      </c>
      <c r="BF417" s="80">
        <f ca="1">SUM(INDIRECT(BF$1&amp;BF$2&amp;$A417):INDIRECT(BF$1&amp;BF$3&amp;$A417))+SUM(INDIRECT(BF$1&amp;BF$2&amp;$B417):INDIRECT(BF$1&amp;BF$3&amp;$B417))</f>
        <v>0</v>
      </c>
      <c r="BG417" s="3111">
        <f t="shared" ca="1" si="636"/>
        <v>2132.1072348733046</v>
      </c>
      <c r="BH417" s="2760">
        <f ca="1">IFERROR(BB417/BF417,0)</f>
        <v>0</v>
      </c>
    </row>
    <row r="418" spans="1:60" ht="14.5">
      <c r="A418" s="616">
        <f t="shared" si="624"/>
        <v>369</v>
      </c>
      <c r="B418" s="616">
        <v>1</v>
      </c>
      <c r="C418" s="616">
        <f t="shared" si="602"/>
        <v>415</v>
      </c>
      <c r="D418" s="709" t="s">
        <v>1308</v>
      </c>
      <c r="E418" s="2544">
        <v>1</v>
      </c>
      <c r="F418" s="8"/>
      <c r="G418" s="737"/>
      <c r="H418" s="4"/>
      <c r="I418" s="4"/>
      <c r="J418" s="3"/>
      <c r="K418" s="27"/>
      <c r="L418" s="3101" t="s">
        <v>1372</v>
      </c>
      <c r="M418" s="586"/>
      <c r="N418" s="586"/>
      <c r="O418" s="586"/>
      <c r="P418" s="586"/>
      <c r="Q418" s="1786" t="str">
        <f>CHOOSE(2, "6722000003337", "PL (5) CAI Allocation")</f>
        <v>PL (5) CAI Allocation</v>
      </c>
      <c r="R418" s="3112">
        <f>SUM(R420:R422)</f>
        <v>1211.6804693416984</v>
      </c>
      <c r="S418" s="3112">
        <f t="shared" ref="S418:AJ418" si="644">SUM(S420:S422)</f>
        <v>-77.631498645324186</v>
      </c>
      <c r="T418" s="3112">
        <f t="shared" si="644"/>
        <v>0.5873183264584938</v>
      </c>
      <c r="U418" s="3112">
        <f t="shared" si="644"/>
        <v>0.43507734488584049</v>
      </c>
      <c r="V418" s="3112">
        <f t="shared" si="644"/>
        <v>0</v>
      </c>
      <c r="W418" s="3112">
        <f t="shared" si="644"/>
        <v>0.2930950321616308</v>
      </c>
      <c r="X418" s="3070">
        <f t="shared" si="644"/>
        <v>-0.15920702599453307</v>
      </c>
      <c r="Y418" s="3070">
        <f t="shared" si="644"/>
        <v>0.59418414612864012</v>
      </c>
      <c r="Z418" s="3070">
        <f t="shared" si="644"/>
        <v>0.27682470925560665</v>
      </c>
      <c r="AA418" s="3113">
        <f t="shared" si="644"/>
        <v>1.2695195601877458</v>
      </c>
      <c r="AB418" s="3113">
        <f t="shared" si="644"/>
        <v>0.53594123958987439</v>
      </c>
      <c r="AC418" s="3113">
        <f t="shared" si="644"/>
        <v>-3.2289666486349233E-2</v>
      </c>
      <c r="AD418" s="3114">
        <f t="shared" si="644"/>
        <v>1134.6362890228329</v>
      </c>
      <c r="AE418" s="3113">
        <f t="shared" si="644"/>
        <v>0.72817237704747129</v>
      </c>
      <c r="AF418" s="3113">
        <f t="shared" si="644"/>
        <v>0.7118018293897137</v>
      </c>
      <c r="AG418" s="3113">
        <f t="shared" si="644"/>
        <v>1.773171133291271</v>
      </c>
      <c r="AH418" s="3113">
        <f t="shared" si="644"/>
        <v>1135.3644613998802</v>
      </c>
      <c r="AI418" s="3113">
        <f t="shared" si="644"/>
        <v>2.4849729626809847</v>
      </c>
      <c r="AJ418" s="3113">
        <f t="shared" si="644"/>
        <v>1137.8494343625612</v>
      </c>
      <c r="AL418" s="37">
        <f ca="1">SUM((INDIRECT(AL$2&amp;(ROW())):INDIRECT(AL$3&amp;(ROW()))))</f>
        <v>-3.2289666486349233E-2</v>
      </c>
      <c r="AM418" s="3108">
        <f ca="1">SUM(INDIRECT(AM$1&amp;AM$2&amp;$C418):INDIRECT(AM$1&amp;AM$3&amp;$C418))</f>
        <v>0</v>
      </c>
      <c r="AN418" s="3109">
        <f t="shared" ca="1" si="631"/>
        <v>-3.2289666486349233E-2</v>
      </c>
      <c r="AO418" s="2756">
        <f ca="1">IFERROR(AL418/AM418,0)</f>
        <v>0</v>
      </c>
      <c r="AP418" s="3108">
        <f ca="1">SUM(INDIRECT(AP$1&amp;AP$2&amp;$A418):INDIRECT(AP$1&amp;AP$3&amp;$A418))+SUM(INDIRECT(AP$1&amp;AP$2&amp;$B418):INDIRECT(AP$1&amp;AP$3&amp;$B418))</f>
        <v>0</v>
      </c>
      <c r="AQ418" s="3109">
        <f t="shared" ca="1" si="632"/>
        <v>-3.2289666486349233E-2</v>
      </c>
      <c r="AR418" s="2756">
        <f ca="1">IFERROR(AL418/AP418,0)</f>
        <v>0</v>
      </c>
      <c r="AT418" s="37">
        <f ca="1">SUM((INDIRECT(AT$2&amp;(ROW())):INDIRECT(AT$3&amp;(ROW()))))</f>
        <v>1.773171133291271</v>
      </c>
      <c r="AU418" s="3108">
        <f ca="1">SUM(INDIRECT(AU$1&amp;AU$2&amp;$C418):INDIRECT(AU$1&amp;AU$3&amp;$C418))</f>
        <v>0</v>
      </c>
      <c r="AV418" s="3109">
        <f t="shared" ca="1" si="633"/>
        <v>1.773171133291271</v>
      </c>
      <c r="AW418" s="2756">
        <f ca="1">IFERROR(AT418/AU418,0)</f>
        <v>0</v>
      </c>
      <c r="AX418" s="3108">
        <f ca="1">SUM(INDIRECT(AX$1&amp;AX$2&amp;$A418):INDIRECT(AX$1&amp;AX$3&amp;$A418))+SUM(INDIRECT(AX$1&amp;AX$2&amp;$B418):INDIRECT(AX$1&amp;AX$3&amp;$B418))</f>
        <v>0</v>
      </c>
      <c r="AY418" s="3109">
        <f t="shared" ca="1" si="634"/>
        <v>1.773171133291271</v>
      </c>
      <c r="AZ418" s="2756">
        <f ca="1">IFERROR(AT418/AX418,0)</f>
        <v>0</v>
      </c>
      <c r="BB418" s="37">
        <f ca="1">SUM((INDIRECT(BB$2&amp;(ROW())):INDIRECT(BB$3&amp;(ROW()))))</f>
        <v>1137.8494343625609</v>
      </c>
      <c r="BC418" s="3108">
        <f ca="1">SUM(INDIRECT(BC$1&amp;BC$2&amp;$C418):INDIRECT(BC$1&amp;BC$3&amp;$C418))</f>
        <v>0</v>
      </c>
      <c r="BD418" s="3109">
        <f t="shared" ca="1" si="635"/>
        <v>1137.8494343625609</v>
      </c>
      <c r="BE418" s="2756">
        <f ca="1">IFERROR(BB418/BC418,0)</f>
        <v>0</v>
      </c>
      <c r="BF418" s="3108">
        <f ca="1">SUM(INDIRECT(BF$1&amp;BF$2&amp;$A418):INDIRECT(BF$1&amp;BF$3&amp;$A418))+SUM(INDIRECT(BF$1&amp;BF$2&amp;$B418):INDIRECT(BF$1&amp;BF$3&amp;$B418))</f>
        <v>0</v>
      </c>
      <c r="BG418" s="3109">
        <f t="shared" ca="1" si="636"/>
        <v>1137.8494343625609</v>
      </c>
      <c r="BH418" s="2756">
        <f ca="1">IFERROR(BB418/BF418,0)</f>
        <v>0</v>
      </c>
    </row>
    <row r="419" spans="1:60" ht="14.5">
      <c r="A419" s="616">
        <f t="shared" si="624"/>
        <v>370</v>
      </c>
      <c r="B419" s="616">
        <v>1</v>
      </c>
      <c r="C419" s="616">
        <f t="shared" si="602"/>
        <v>416</v>
      </c>
      <c r="D419" s="709" t="s">
        <v>1308</v>
      </c>
      <c r="E419" s="2544">
        <v>1</v>
      </c>
      <c r="F419" s="8"/>
      <c r="G419" s="737"/>
      <c r="H419" s="4"/>
      <c r="I419" s="4"/>
      <c r="J419" s="3"/>
      <c r="K419" s="27"/>
      <c r="L419" s="498"/>
      <c r="M419" s="553" t="s">
        <v>1373</v>
      </c>
      <c r="N419" s="47"/>
      <c r="O419" s="47"/>
      <c r="P419" s="47"/>
      <c r="Q419" s="1776" t="str">
        <f>CHOOSE(2, "6722000003338", "PL (5) CAI Allocation SGA (%)")</f>
        <v>PL (5) CAI Allocation SGA (%)</v>
      </c>
      <c r="R419" s="2571">
        <f t="shared" ref="R419:AJ419" si="645">IFERROR(R418/R389,0)</f>
        <v>0.7152777268841195</v>
      </c>
      <c r="S419" s="2571">
        <f t="shared" si="645"/>
        <v>-4.3345337043732099E-2</v>
      </c>
      <c r="T419" s="2571">
        <f t="shared" si="645"/>
        <v>3.772115134608181E-4</v>
      </c>
      <c r="U419" s="2571">
        <f t="shared" si="645"/>
        <v>2.8196846719756352E-4</v>
      </c>
      <c r="V419" s="2571">
        <f t="shared" si="645"/>
        <v>0</v>
      </c>
      <c r="W419" s="2571">
        <f t="shared" si="645"/>
        <v>2.8400681411010735E-4</v>
      </c>
      <c r="X419" s="2571">
        <f t="shared" si="645"/>
        <v>-1.3092683058760942E-4</v>
      </c>
      <c r="Y419" s="2571">
        <f t="shared" si="645"/>
        <v>5.6773117520561188E-4</v>
      </c>
      <c r="Z419" s="2571">
        <f t="shared" si="645"/>
        <v>1.8567627354177914E-4</v>
      </c>
      <c r="AA419" s="2571">
        <f t="shared" si="645"/>
        <v>7.804693154457754E-4</v>
      </c>
      <c r="AB419" s="2571">
        <f t="shared" si="645"/>
        <v>2.6733592809780635E-4</v>
      </c>
      <c r="AC419" s="2571">
        <f t="shared" si="645"/>
        <v>-1.8425748562135215E-5</v>
      </c>
      <c r="AD419" s="2572">
        <f t="shared" si="645"/>
        <v>0.22503694744602001</v>
      </c>
      <c r="AE419" s="2571">
        <f t="shared" si="645"/>
        <v>1.9116215728626055E-4</v>
      </c>
      <c r="AF419" s="2571">
        <f t="shared" si="645"/>
        <v>1.8963713341183517E-4</v>
      </c>
      <c r="AG419" s="2571">
        <f t="shared" si="645"/>
        <v>3.2935433069624954E-4</v>
      </c>
      <c r="AH419" s="2571">
        <f t="shared" si="645"/>
        <v>0.12827256725813055</v>
      </c>
      <c r="AI419" s="2571">
        <f t="shared" si="645"/>
        <v>2.7196000522660584E-4</v>
      </c>
      <c r="AJ419" s="2571">
        <f t="shared" si="645"/>
        <v>6.3254409136213052E-2</v>
      </c>
      <c r="AL419" s="2761">
        <f ca="1">IFERROR(AL418/AL389,0)</f>
        <v>-1.8425748562135215E-5</v>
      </c>
      <c r="AM419" s="2761">
        <f ca="1">IFERROR(AM418/AM389,0)</f>
        <v>0</v>
      </c>
      <c r="AN419" s="2761">
        <f t="shared" ca="1" si="631"/>
        <v>-1.8425748562135215E-5</v>
      </c>
      <c r="AO419" s="2762"/>
      <c r="AP419" s="2761">
        <f ca="1">IFERROR(AP418/AP389,0)</f>
        <v>0</v>
      </c>
      <c r="AQ419" s="2761">
        <f ca="1">IFERROR(AQ418/AQ389,0)</f>
        <v>-1.8425748562135215E-5</v>
      </c>
      <c r="AR419" s="2848"/>
      <c r="AT419" s="2761">
        <f ca="1">IFERROR(AT418/AT389,0)</f>
        <v>3.2935433069624954E-4</v>
      </c>
      <c r="AU419" s="2761">
        <f ca="1">IFERROR(AU418/AU389,0)</f>
        <v>0</v>
      </c>
      <c r="AV419" s="2761">
        <f t="shared" ca="1" si="633"/>
        <v>3.2935433069624954E-4</v>
      </c>
      <c r="AW419" s="2762"/>
      <c r="AX419" s="2761">
        <f ca="1">IFERROR(AX418/AX389,0)</f>
        <v>0</v>
      </c>
      <c r="AY419" s="2761">
        <f ca="1">IFERROR(AY418/AY389,0)</f>
        <v>3.2935433069624954E-4</v>
      </c>
      <c r="AZ419" s="2848"/>
      <c r="BB419" s="2761">
        <f ca="1">IFERROR(BB418/BB389,0)</f>
        <v>6.3254409136213038E-2</v>
      </c>
      <c r="BC419" s="2761">
        <f ca="1">IFERROR(BC418/BC389,0)</f>
        <v>0</v>
      </c>
      <c r="BD419" s="2761">
        <f t="shared" ca="1" si="635"/>
        <v>6.3254409136213038E-2</v>
      </c>
      <c r="BE419" s="2762"/>
      <c r="BF419" s="2761">
        <f ca="1">IFERROR(BF418/BF389,0)</f>
        <v>0</v>
      </c>
      <c r="BG419" s="2761">
        <f ca="1">IFERROR(BG418/BG389,0)</f>
        <v>6.3254409136213038E-2</v>
      </c>
      <c r="BH419" s="2848"/>
    </row>
    <row r="420" spans="1:60" ht="14.5">
      <c r="A420" s="616">
        <f t="shared" si="624"/>
        <v>371</v>
      </c>
      <c r="B420" s="616">
        <v>1</v>
      </c>
      <c r="C420" s="616">
        <f t="shared" si="602"/>
        <v>417</v>
      </c>
      <c r="D420" s="709" t="s">
        <v>1308</v>
      </c>
      <c r="E420" s="2544">
        <v>1</v>
      </c>
      <c r="F420" s="8"/>
      <c r="G420" s="737"/>
      <c r="H420" s="4"/>
      <c r="I420" s="4"/>
      <c r="J420" s="3"/>
      <c r="K420" s="27"/>
      <c r="L420" s="27"/>
      <c r="M420" s="36" t="s">
        <v>1329</v>
      </c>
      <c r="N420" s="3"/>
      <c r="O420" s="3"/>
      <c r="P420" s="3"/>
      <c r="Q420" s="1777" t="str">
        <f>CHOOSE(2, "6722000003339", "PL (5) CAI Allocation Variable Expenses")</f>
        <v>PL (5) CAI Allocation Variable Expenses</v>
      </c>
      <c r="R420" s="126">
        <f t="shared" ref="R420:AC421" si="646">R390-R415</f>
        <v>-4.9100768416985048</v>
      </c>
      <c r="S420" s="126">
        <f t="shared" si="646"/>
        <v>-77</v>
      </c>
      <c r="T420" s="126">
        <f t="shared" si="646"/>
        <v>-4.6579103624431184E-2</v>
      </c>
      <c r="U420" s="126">
        <f t="shared" si="646"/>
        <v>-0.32448420335684602</v>
      </c>
      <c r="V420" s="126">
        <f t="shared" si="646"/>
        <v>0</v>
      </c>
      <c r="W420" s="126">
        <f t="shared" si="646"/>
        <v>-0.12742390902457146</v>
      </c>
      <c r="X420" s="126">
        <f t="shared" si="646"/>
        <v>0.23604834247691997</v>
      </c>
      <c r="Y420" s="126">
        <f t="shared" si="646"/>
        <v>0.49721763682802589</v>
      </c>
      <c r="Z420" s="126">
        <f t="shared" si="646"/>
        <v>0</v>
      </c>
      <c r="AA420" s="126">
        <f t="shared" si="646"/>
        <v>0</v>
      </c>
      <c r="AB420" s="126">
        <f t="shared" si="646"/>
        <v>0</v>
      </c>
      <c r="AC420" s="126">
        <f t="shared" si="646"/>
        <v>0</v>
      </c>
      <c r="AD420" s="125">
        <f>SUM(R420,S420,T420)</f>
        <v>-81.956655945322922</v>
      </c>
      <c r="AE420" s="126">
        <f t="shared" ref="AE420:AE422" si="647">SUM(U420,V420,W420)</f>
        <v>-0.45190811238141748</v>
      </c>
      <c r="AF420" s="3192">
        <f t="shared" ref="AF420:AF422" si="648">SUM(X420,Y420,Z420)</f>
        <v>0.73326597930494586</v>
      </c>
      <c r="AG420" s="126">
        <f t="shared" ref="AG420:AG422" si="649">SUM(AA420,AB420,AC420)</f>
        <v>0</v>
      </c>
      <c r="AH420" s="126">
        <f>AD420+AE420</f>
        <v>-82.408564057704339</v>
      </c>
      <c r="AI420" s="126">
        <f>AG420+AF420</f>
        <v>0.73326597930494586</v>
      </c>
      <c r="AJ420" s="126">
        <f>AH420+AI420</f>
        <v>-81.675298078399393</v>
      </c>
      <c r="AL420" s="37">
        <f ca="1">SUM((INDIRECT(AL$2&amp;(ROW())):INDIRECT(AL$3&amp;(ROW()))))</f>
        <v>0</v>
      </c>
      <c r="AM420" s="3108">
        <f ca="1">SUM(INDIRECT(AM$1&amp;AM$2&amp;$C420):INDIRECT(AM$1&amp;AM$3&amp;$C420))</f>
        <v>0</v>
      </c>
      <c r="AN420" s="3109">
        <f t="shared" ca="1" si="631"/>
        <v>0</v>
      </c>
      <c r="AO420" s="2756">
        <f ca="1">IFERROR(AL420/AM420,0)</f>
        <v>0</v>
      </c>
      <c r="AP420" s="3108">
        <f ca="1">SUM(INDIRECT(AP$1&amp;AP$2&amp;$A420):INDIRECT(AP$1&amp;AP$3&amp;$A420))+SUM(INDIRECT(AP$1&amp;AP$2&amp;$B420):INDIRECT(AP$1&amp;AP$3&amp;$B420))</f>
        <v>362</v>
      </c>
      <c r="AQ420" s="3109">
        <f ca="1">AL420-AP420</f>
        <v>-362</v>
      </c>
      <c r="AR420" s="2756">
        <f ca="1">IFERROR(AL420/AP420,0)</f>
        <v>0</v>
      </c>
      <c r="AT420" s="37">
        <f ca="1">SUM((INDIRECT(AT$2&amp;(ROW())):INDIRECT(AT$3&amp;(ROW()))))</f>
        <v>0</v>
      </c>
      <c r="AU420" s="3108">
        <f ca="1">SUM(INDIRECT(AU$1&amp;AU$2&amp;$C420):INDIRECT(AU$1&amp;AU$3&amp;$C420))</f>
        <v>0</v>
      </c>
      <c r="AV420" s="3109">
        <f t="shared" ca="1" si="633"/>
        <v>0</v>
      </c>
      <c r="AW420" s="2756">
        <f ca="1">IFERROR(AT420/AU420,0)</f>
        <v>0</v>
      </c>
      <c r="AX420" s="3108">
        <f ca="1">SUM(INDIRECT(AX$1&amp;AX$2&amp;$A420):INDIRECT(AX$1&amp;AX$3&amp;$A420))+SUM(INDIRECT(AX$1&amp;AX$2&amp;$B420):INDIRECT(AX$1&amp;AX$3&amp;$B420))</f>
        <v>549</v>
      </c>
      <c r="AY420" s="3109">
        <f ca="1">AT420-AX420</f>
        <v>-549</v>
      </c>
      <c r="AZ420" s="2756">
        <f ca="1">IFERROR(AT420/AX420,0)</f>
        <v>0</v>
      </c>
      <c r="BB420" s="37">
        <f ca="1">SUM((INDIRECT(BB$2&amp;(ROW())):INDIRECT(BB$3&amp;(ROW()))))</f>
        <v>-81.675298078399393</v>
      </c>
      <c r="BC420" s="3108">
        <f ca="1">SUM(INDIRECT(BC$1&amp;BC$2&amp;$C420):INDIRECT(BC$1&amp;BC$3&amp;$C420))</f>
        <v>0</v>
      </c>
      <c r="BD420" s="3109">
        <f t="shared" ca="1" si="635"/>
        <v>-81.675298078399393</v>
      </c>
      <c r="BE420" s="2756">
        <f ca="1">IFERROR(BB420/BC420,0)</f>
        <v>0</v>
      </c>
      <c r="BF420" s="3108">
        <f ca="1">SUM(INDIRECT(BF$1&amp;BF$2&amp;$A420):INDIRECT(BF$1&amp;BF$3&amp;$A420))+SUM(INDIRECT(BF$1&amp;BF$2&amp;$B420):INDIRECT(BF$1&amp;BF$3&amp;$B420))</f>
        <v>2957</v>
      </c>
      <c r="BG420" s="3109">
        <f ca="1">BB420-BF420</f>
        <v>-3038.6752980783995</v>
      </c>
      <c r="BH420" s="2756">
        <f ca="1">IFERROR(BB420/BF420,0)</f>
        <v>-2.762100036469374E-2</v>
      </c>
    </row>
    <row r="421" spans="1:60" ht="14.5">
      <c r="A421" s="616">
        <f t="shared" si="624"/>
        <v>372</v>
      </c>
      <c r="B421" s="616">
        <v>1</v>
      </c>
      <c r="C421" s="616">
        <f t="shared" si="602"/>
        <v>418</v>
      </c>
      <c r="D421" s="709" t="s">
        <v>1308</v>
      </c>
      <c r="E421" s="2544">
        <v>1</v>
      </c>
      <c r="F421" s="8"/>
      <c r="G421" s="737"/>
      <c r="H421" s="4"/>
      <c r="I421" s="4"/>
      <c r="J421" s="3"/>
      <c r="K421" s="27"/>
      <c r="L421" s="27"/>
      <c r="M421" s="36" t="s">
        <v>1330</v>
      </c>
      <c r="N421" s="3"/>
      <c r="O421" s="3"/>
      <c r="P421" s="3"/>
      <c r="Q421" s="1777" t="str">
        <f>CHOOSE(2, "6722000003340", "PL (5) CAI Allocation Wages &amp; Salaries")</f>
        <v>PL (5) CAI Allocation Wages &amp; Salaries</v>
      </c>
      <c r="R421" s="126">
        <f t="shared" si="646"/>
        <v>1220.7417083111454</v>
      </c>
      <c r="S421" s="126">
        <f t="shared" si="646"/>
        <v>-0.33145250111101632</v>
      </c>
      <c r="T421" s="126">
        <f t="shared" si="646"/>
        <v>0.23545503396007916</v>
      </c>
      <c r="U421" s="126">
        <f t="shared" si="646"/>
        <v>1</v>
      </c>
      <c r="V421" s="126">
        <f t="shared" si="646"/>
        <v>0</v>
      </c>
      <c r="W421" s="126">
        <f t="shared" si="646"/>
        <v>0.23655467291882815</v>
      </c>
      <c r="X421" s="126">
        <f t="shared" si="646"/>
        <v>-3.7615546775668918E-3</v>
      </c>
      <c r="Y421" s="126">
        <f t="shared" si="646"/>
        <v>0</v>
      </c>
      <c r="Z421" s="126">
        <f t="shared" si="646"/>
        <v>0.27682470925560665</v>
      </c>
      <c r="AA421" s="126">
        <f t="shared" si="646"/>
        <v>1.2695195601877458</v>
      </c>
      <c r="AB421" s="126">
        <f t="shared" si="646"/>
        <v>0.53594123958987439</v>
      </c>
      <c r="AC421" s="126">
        <f t="shared" si="646"/>
        <v>-3.2289666486349233E-2</v>
      </c>
      <c r="AD421" s="125">
        <f>SUM(R421,S421,T421)</f>
        <v>1220.6457108439945</v>
      </c>
      <c r="AE421" s="126">
        <f t="shared" si="647"/>
        <v>1.2365546729188281</v>
      </c>
      <c r="AF421" s="126">
        <f t="shared" si="648"/>
        <v>0.27306315457803976</v>
      </c>
      <c r="AG421" s="126">
        <f t="shared" si="649"/>
        <v>1.773171133291271</v>
      </c>
      <c r="AH421" s="126">
        <f>AD421+AE421</f>
        <v>1221.8822655169133</v>
      </c>
      <c r="AI421" s="126">
        <f>AG421+AF421</f>
        <v>2.0462342878693107</v>
      </c>
      <c r="AJ421" s="126">
        <f>AH421+AI421</f>
        <v>1223.9284998047826</v>
      </c>
      <c r="AL421" s="37">
        <f ca="1">SUM((INDIRECT(AL$2&amp;(ROW())):INDIRECT(AL$3&amp;(ROW()))))</f>
        <v>-3.2289666486349233E-2</v>
      </c>
      <c r="AM421" s="3108">
        <f ca="1">SUM(INDIRECT(AM$1&amp;AM$2&amp;$C421):INDIRECT(AM$1&amp;AM$3&amp;$C421))</f>
        <v>0</v>
      </c>
      <c r="AN421" s="3109">
        <f t="shared" ca="1" si="631"/>
        <v>-3.2289666486349233E-2</v>
      </c>
      <c r="AO421" s="2756">
        <f ca="1">IFERROR(AL421/AM421,0)</f>
        <v>0</v>
      </c>
      <c r="AP421" s="3108">
        <f ca="1">SUM(INDIRECT(AP$1&amp;AP$2&amp;$A421):INDIRECT(AP$1&amp;AP$3&amp;$A421))+SUM(INDIRECT(AP$1&amp;AP$2&amp;$B421):INDIRECT(AP$1&amp;AP$3&amp;$B421))</f>
        <v>0.42941874258600238</v>
      </c>
      <c r="AQ421" s="3109">
        <f ca="1">AL421-AP421</f>
        <v>-0.46170840907235161</v>
      </c>
      <c r="AR421" s="2756">
        <f ca="1">IFERROR(AL421/AP421,0)</f>
        <v>-7.5193891845282884E-2</v>
      </c>
      <c r="AT421" s="37">
        <f ca="1">SUM((INDIRECT(AT$2&amp;(ROW())):INDIRECT(AT$3&amp;(ROW()))))</f>
        <v>1.773171133291271</v>
      </c>
      <c r="AU421" s="3108">
        <f ca="1">SUM(INDIRECT(AU$1&amp;AU$2&amp;$C421):INDIRECT(AU$1&amp;AU$3&amp;$C421))</f>
        <v>0</v>
      </c>
      <c r="AV421" s="3109">
        <f t="shared" ca="1" si="633"/>
        <v>1.773171133291271</v>
      </c>
      <c r="AW421" s="2756">
        <f ca="1">IFERROR(AT421/AU421,0)</f>
        <v>0</v>
      </c>
      <c r="AX421" s="3108">
        <f ca="1">SUM(INDIRECT(AX$1&amp;AX$2&amp;$A421):INDIRECT(AX$1&amp;AX$3&amp;$A421))+SUM(INDIRECT(AX$1&amp;AX$2&amp;$B421):INDIRECT(AX$1&amp;AX$3&amp;$B421))</f>
        <v>0.76696386893979307</v>
      </c>
      <c r="AY421" s="3109">
        <f ca="1">AT421-AX421</f>
        <v>1.0062072643514779</v>
      </c>
      <c r="AZ421" s="2756">
        <f ca="1">IFERROR(AT421/AX421,0)</f>
        <v>2.3119356792418411</v>
      </c>
      <c r="BB421" s="37">
        <f ca="1">SUM((INDIRECT(BB$2&amp;(ROW())):INDIRECT(BB$3&amp;(ROW()))))</f>
        <v>1223.9284998047826</v>
      </c>
      <c r="BC421" s="3108">
        <f ca="1">SUM(INDIRECT(BC$1&amp;BC$2&amp;$C421):INDIRECT(BC$1&amp;BC$3&amp;$C421))</f>
        <v>0</v>
      </c>
      <c r="BD421" s="3109">
        <f t="shared" ca="1" si="635"/>
        <v>1223.9284998047826</v>
      </c>
      <c r="BE421" s="2756">
        <f ca="1">IFERROR(BB421/BC421,0)</f>
        <v>0</v>
      </c>
      <c r="BF421" s="3108">
        <f ca="1">SUM(INDIRECT(BF$1&amp;BF$2&amp;$A421):INDIRECT(BF$1&amp;BF$3&amp;$A421))+SUM(INDIRECT(BF$1&amp;BF$2&amp;$B421):INDIRECT(BF$1&amp;BF$3&amp;$B421))</f>
        <v>4.8113734823175944</v>
      </c>
      <c r="BG421" s="3109">
        <f ca="1">BB421-BF421</f>
        <v>1219.1171263224651</v>
      </c>
      <c r="BH421" s="2756">
        <f ca="1">IFERROR(BB421/BF421,0)</f>
        <v>254.38235138113359</v>
      </c>
    </row>
    <row r="422" spans="1:60" ht="14.5">
      <c r="A422" s="616">
        <f t="shared" si="624"/>
        <v>373</v>
      </c>
      <c r="B422" s="616">
        <v>1</v>
      </c>
      <c r="C422" s="616">
        <f t="shared" si="602"/>
        <v>419</v>
      </c>
      <c r="D422" s="709" t="s">
        <v>1308</v>
      </c>
      <c r="E422" s="2544">
        <v>1</v>
      </c>
      <c r="F422" s="8"/>
      <c r="G422" s="737"/>
      <c r="H422" s="4"/>
      <c r="I422" s="4"/>
      <c r="J422" s="3"/>
      <c r="K422" s="25"/>
      <c r="L422" s="25"/>
      <c r="M422" s="104" t="s">
        <v>1331</v>
      </c>
      <c r="N422" s="1"/>
      <c r="O422" s="1"/>
      <c r="P422" s="1"/>
      <c r="Q422" s="1777" t="str">
        <f>CHOOSE(2, "6722000003341", "PL (5) CAI Allocation Fixed Expenses")</f>
        <v>PL (5) CAI Allocation Fixed Expenses</v>
      </c>
      <c r="R422" s="123">
        <f t="shared" ref="R422:AC422" si="650">R396-R417</f>
        <v>-4.1511621277485347</v>
      </c>
      <c r="S422" s="123">
        <f t="shared" si="650"/>
        <v>-0.30004614421316944</v>
      </c>
      <c r="T422" s="123">
        <f t="shared" si="650"/>
        <v>0.39844239612284582</v>
      </c>
      <c r="U422" s="123">
        <f t="shared" si="650"/>
        <v>-0.24043845175731349</v>
      </c>
      <c r="V422" s="123">
        <f t="shared" si="650"/>
        <v>0</v>
      </c>
      <c r="W422" s="123">
        <f t="shared" si="650"/>
        <v>0.18396426826737411</v>
      </c>
      <c r="X422" s="123">
        <f t="shared" si="650"/>
        <v>-0.39149381379388615</v>
      </c>
      <c r="Y422" s="123">
        <f t="shared" si="650"/>
        <v>9.6966509300614234E-2</v>
      </c>
      <c r="Z422" s="123">
        <f t="shared" si="650"/>
        <v>0</v>
      </c>
      <c r="AA422" s="123">
        <f t="shared" si="650"/>
        <v>0</v>
      </c>
      <c r="AB422" s="123">
        <f t="shared" si="650"/>
        <v>0</v>
      </c>
      <c r="AC422" s="123">
        <f t="shared" si="650"/>
        <v>0</v>
      </c>
      <c r="AD422" s="122">
        <f>SUM(R422,S422,T422)</f>
        <v>-4.0527658758388583</v>
      </c>
      <c r="AE422" s="123">
        <f t="shared" si="647"/>
        <v>-5.6474183489939378E-2</v>
      </c>
      <c r="AF422" s="3193">
        <f t="shared" si="648"/>
        <v>-0.29452730449327191</v>
      </c>
      <c r="AG422" s="123">
        <f t="shared" si="649"/>
        <v>0</v>
      </c>
      <c r="AH422" s="123">
        <f>AD422+AE422</f>
        <v>-4.1092400593287977</v>
      </c>
      <c r="AI422" s="123">
        <f>AG422+AF422</f>
        <v>-0.29452730449327191</v>
      </c>
      <c r="AJ422" s="123">
        <f>AH422+AI422</f>
        <v>-4.4037673638220696</v>
      </c>
      <c r="AL422" s="60">
        <f ca="1">SUM((INDIRECT(AL$2&amp;(ROW())):INDIRECT(AL$3&amp;(ROW()))))</f>
        <v>0</v>
      </c>
      <c r="AM422" s="80">
        <f ca="1">SUM(INDIRECT(AM$1&amp;AM$2&amp;$C422):INDIRECT(AM$1&amp;AM$3&amp;$C422))</f>
        <v>-555.56654705422989</v>
      </c>
      <c r="AN422" s="3111">
        <f t="shared" ca="1" si="631"/>
        <v>555.56654705422989</v>
      </c>
      <c r="AO422" s="2760">
        <f ca="1">IFERROR(AL422/AM422,0)</f>
        <v>0</v>
      </c>
      <c r="AP422" s="80">
        <f ca="1">SUM(INDIRECT(AP$1&amp;AP$2&amp;$A422):INDIRECT(AP$1&amp;AP$3&amp;$A422))+SUM(INDIRECT(AP$1&amp;AP$2&amp;$B422):INDIRECT(AP$1&amp;AP$3&amp;$B422))</f>
        <v>0.42941874258600238</v>
      </c>
      <c r="AQ422" s="3111">
        <f ca="1">AL422-AP422</f>
        <v>-0.42941874258600238</v>
      </c>
      <c r="AR422" s="2760">
        <f ca="1">IFERROR(AL422/AP422,0)</f>
        <v>0</v>
      </c>
      <c r="AT422" s="60">
        <f ca="1">SUM((INDIRECT(AT$2&amp;(ROW())):INDIRECT(AT$3&amp;(ROW()))))</f>
        <v>0</v>
      </c>
      <c r="AU422" s="80">
        <f ca="1">SUM(INDIRECT(AU$1&amp;AU$2&amp;$C422):INDIRECT(AU$1&amp;AU$3&amp;$C422))</f>
        <v>-1619.5430795355871</v>
      </c>
      <c r="AV422" s="3111">
        <f t="shared" ca="1" si="633"/>
        <v>1619.5430795355871</v>
      </c>
      <c r="AW422" s="2760">
        <f ca="1">IFERROR(AT422/AU422,0)</f>
        <v>0</v>
      </c>
      <c r="AX422" s="80">
        <f ca="1">SUM(INDIRECT(AX$1&amp;AX$2&amp;$A422):INDIRECT(AX$1&amp;AX$3&amp;$A422))+SUM(INDIRECT(AX$1&amp;AX$2&amp;$B422):INDIRECT(AX$1&amp;AX$3&amp;$B422))</f>
        <v>0.76696386893979307</v>
      </c>
      <c r="AY422" s="3111">
        <f ca="1">AT422-AX422</f>
        <v>-0.76696386893979307</v>
      </c>
      <c r="AZ422" s="2760">
        <f ca="1">IFERROR(AT422/AX422,0)</f>
        <v>0</v>
      </c>
      <c r="BB422" s="60">
        <f ca="1">SUM((INDIRECT(BB$2&amp;(ROW())):INDIRECT(BB$3&amp;(ROW()))))</f>
        <v>-4.4037673638220696</v>
      </c>
      <c r="BC422" s="80">
        <f ca="1">SUM(INDIRECT(BC$1&amp;BC$2&amp;$C422):INDIRECT(BC$1&amp;BC$3&amp;$C422))</f>
        <v>-2853.2694754617605</v>
      </c>
      <c r="BD422" s="3111">
        <f t="shared" ca="1" si="635"/>
        <v>2848.8657080979383</v>
      </c>
      <c r="BE422" s="2760">
        <f ca="1">IFERROR(BB422/BC422,0)</f>
        <v>1.5434109542385172E-3</v>
      </c>
      <c r="BF422" s="80">
        <f ca="1">SUM(INDIRECT(BF$1&amp;BF$2&amp;$A422):INDIRECT(BF$1&amp;BF$3&amp;$A422))+SUM(INDIRECT(BF$1&amp;BF$2&amp;$B422):INDIRECT(BF$1&amp;BF$3&amp;$B422))</f>
        <v>4.8113734823175944</v>
      </c>
      <c r="BG422" s="3111">
        <f ca="1">BB422-BF422</f>
        <v>-9.2151408461396649</v>
      </c>
      <c r="BH422" s="2760">
        <f ca="1">IFERROR(BB422/BF422,0)</f>
        <v>-0.91528279398938184</v>
      </c>
    </row>
    <row r="423" spans="1:60" ht="14.5">
      <c r="A423" s="616">
        <f t="shared" si="624"/>
        <v>374</v>
      </c>
      <c r="B423" s="616">
        <v>1</v>
      </c>
      <c r="C423" s="616">
        <f t="shared" si="602"/>
        <v>420</v>
      </c>
      <c r="D423" s="709" t="s">
        <v>1308</v>
      </c>
      <c r="E423" s="2547">
        <v>1</v>
      </c>
      <c r="Q423" s="1772" t="str">
        <f>CHOOSE(2, "6722000003342", "▷ Blank 16")</f>
        <v>▷ Blank 16</v>
      </c>
      <c r="R423" s="2557"/>
      <c r="AA423" s="2558"/>
    </row>
    <row r="424" spans="1:60" ht="15.5">
      <c r="A424" s="616">
        <f t="shared" si="624"/>
        <v>375</v>
      </c>
      <c r="B424" s="616">
        <v>1</v>
      </c>
      <c r="C424" s="616">
        <f t="shared" si="602"/>
        <v>421</v>
      </c>
      <c r="D424" s="709" t="s">
        <v>1308</v>
      </c>
      <c r="E424" s="2544">
        <v>1</v>
      </c>
      <c r="F424" s="8"/>
      <c r="G424" s="738" t="s">
        <v>1449</v>
      </c>
      <c r="Q424" s="1772" t="str">
        <f>CHOOSE(2, "6722000003343", "2-2. SG&amp;A: Allocation by BU")</f>
        <v>2-2. SG&amp;A: Allocation by BU</v>
      </c>
      <c r="R424" s="2557"/>
      <c r="AA424" s="2558"/>
    </row>
    <row r="425" spans="1:60" ht="14.5">
      <c r="A425" s="616">
        <f t="shared" si="624"/>
        <v>376</v>
      </c>
      <c r="B425" s="616">
        <v>1</v>
      </c>
      <c r="C425" s="616">
        <f t="shared" si="602"/>
        <v>422</v>
      </c>
      <c r="D425" s="709" t="s">
        <v>1308</v>
      </c>
      <c r="E425" s="2544">
        <v>1</v>
      </c>
      <c r="F425" s="8"/>
      <c r="G425" s="737"/>
      <c r="K425" s="2103" t="s">
        <v>1450</v>
      </c>
      <c r="L425" s="2104"/>
      <c r="M425" s="2104"/>
      <c r="N425" s="2104"/>
      <c r="O425" s="2104"/>
      <c r="P425" s="2104"/>
      <c r="Q425" s="1784" t="str">
        <f>CHOOSE(2, "6722000003344", "S/GP Office (0) Total")</f>
        <v>S/GP Office (0) Total</v>
      </c>
      <c r="R425" s="3194">
        <f t="shared" ref="R425:AC425" si="651">SUM(R426:R427)</f>
        <v>162497</v>
      </c>
      <c r="S425" s="3194">
        <f t="shared" si="651"/>
        <v>151508.95403988974</v>
      </c>
      <c r="T425" s="3194">
        <f t="shared" si="651"/>
        <v>167377.54578961336</v>
      </c>
      <c r="U425" s="3194">
        <f t="shared" si="651"/>
        <v>168497.84762551956</v>
      </c>
      <c r="V425" s="3194">
        <f t="shared" si="651"/>
        <v>191227.60087534133</v>
      </c>
      <c r="W425" s="3194">
        <f t="shared" si="651"/>
        <v>128979.04222774808</v>
      </c>
      <c r="X425" s="3195">
        <f t="shared" si="651"/>
        <v>215353.64339714393</v>
      </c>
      <c r="Y425" s="3195">
        <f t="shared" si="651"/>
        <v>173712.28747047842</v>
      </c>
      <c r="Z425" s="3195">
        <f t="shared" si="651"/>
        <v>187740.31472994853</v>
      </c>
      <c r="AA425" s="3196">
        <f t="shared" si="651"/>
        <v>220898.74405290553</v>
      </c>
      <c r="AB425" s="3196">
        <f t="shared" si="651"/>
        <v>170132.22598101624</v>
      </c>
      <c r="AC425" s="3196">
        <f t="shared" si="651"/>
        <v>121079.41308625741</v>
      </c>
      <c r="AD425" s="3197">
        <f t="shared" ref="AD425:AJ425" si="652">SUM(AD426:AD427)</f>
        <v>481383.49982950313</v>
      </c>
      <c r="AE425" s="3196">
        <f t="shared" si="652"/>
        <v>488704.49072860891</v>
      </c>
      <c r="AF425" s="3196">
        <f t="shared" si="652"/>
        <v>576806.2455975709</v>
      </c>
      <c r="AG425" s="3196">
        <f t="shared" si="652"/>
        <v>512110.38312017918</v>
      </c>
      <c r="AH425" s="3196">
        <f t="shared" si="652"/>
        <v>970087.99055811204</v>
      </c>
      <c r="AI425" s="3196">
        <f t="shared" si="652"/>
        <v>1088916.6287177501</v>
      </c>
      <c r="AJ425" s="3196">
        <f t="shared" si="652"/>
        <v>2059004.6192758621</v>
      </c>
      <c r="AL425" s="3198">
        <f ca="1">SUM((INDIRECT(AL$2&amp;(ROW())):INDIRECT(AL$3&amp;(ROW()))))</f>
        <v>121079.41308625741</v>
      </c>
      <c r="AM425" s="3198">
        <f ca="1">SUM(INDIRECT(AM$1&amp;AM$2&amp;$C425):INDIRECT(AM$1&amp;AM$3&amp;$C425))</f>
        <v>994.82508923559817</v>
      </c>
      <c r="AN425" s="3199">
        <f t="shared" ref="AN425:AN447" ca="1" si="653">AL425-AM425</f>
        <v>120084.58799702181</v>
      </c>
      <c r="AO425" s="2850">
        <f t="shared" ref="AO425:AO430" ca="1" si="654">IFERROR(AL425/AM425,0)</f>
        <v>121.70924758169517</v>
      </c>
      <c r="AP425" s="3198">
        <f ca="1">SUM(INDIRECT(AP$1&amp;AP$2&amp;$A425):INDIRECT(AP$1&amp;AP$3&amp;$A425))+SUM(INDIRECT(AP$1&amp;AP$2&amp;$B425):INDIRECT(AP$1&amp;AP$3&amp;$B425))</f>
        <v>0</v>
      </c>
      <c r="AQ425" s="3199">
        <f t="shared" ref="AQ425:AQ447" ca="1" si="655">AL425-AP425</f>
        <v>121079.41308625741</v>
      </c>
      <c r="AR425" s="2850">
        <f t="shared" ref="AR425:AR430" ca="1" si="656">IFERROR(AL425/AP425,0)</f>
        <v>0</v>
      </c>
      <c r="AT425" s="3198">
        <f ca="1">SUM((INDIRECT(AT$2&amp;(ROW())):INDIRECT(AT$3&amp;(ROW()))))</f>
        <v>512110.38312017918</v>
      </c>
      <c r="AU425" s="3198">
        <f ca="1">SUM(INDIRECT(AU$1&amp;AU$2&amp;$C425):INDIRECT(AU$1&amp;AU$3&amp;$C425))</f>
        <v>2958.4940157256797</v>
      </c>
      <c r="AV425" s="3199">
        <f t="shared" ref="AV425:AV447" ca="1" si="657">AT425-AU425</f>
        <v>509151.8891044535</v>
      </c>
      <c r="AW425" s="2850">
        <f t="shared" ref="AW425:AW430" ca="1" si="658">IFERROR(AT425/AU425,0)</f>
        <v>173.09833327297275</v>
      </c>
      <c r="AX425" s="3198">
        <f ca="1">SUM(INDIRECT(AX$1&amp;AX$2&amp;$A425):INDIRECT(AX$1&amp;AX$3&amp;$A425))+SUM(INDIRECT(AX$1&amp;AX$2&amp;$B425):INDIRECT(AX$1&amp;AX$3&amp;$B425))</f>
        <v>0</v>
      </c>
      <c r="AY425" s="3199">
        <f t="shared" ref="AY425:AY447" ca="1" si="659">AT425-AX425</f>
        <v>512110.38312017918</v>
      </c>
      <c r="AZ425" s="2850">
        <f t="shared" ref="AZ425:AZ430" ca="1" si="660">IFERROR(AT425/AX425,0)</f>
        <v>0</v>
      </c>
      <c r="BB425" s="3198">
        <f ca="1">SUM((INDIRECT(BB$2&amp;(ROW())):INDIRECT(BB$3&amp;(ROW()))))</f>
        <v>2059004.6192758621</v>
      </c>
      <c r="BC425" s="3198">
        <f ca="1">SUM(INDIRECT(BC$1&amp;BC$2&amp;$C425):INDIRECT(BC$1&amp;BC$3&amp;$C425))</f>
        <v>4830.523346228978</v>
      </c>
      <c r="BD425" s="3199">
        <f t="shared" ref="BD425:BD447" ca="1" si="661">BB425-BC425</f>
        <v>2054174.0959296331</v>
      </c>
      <c r="BE425" s="2850">
        <f t="shared" ref="BE425:BE430" ca="1" si="662">IFERROR(BB425/BC425,0)</f>
        <v>426.24876678905935</v>
      </c>
      <c r="BF425" s="3198">
        <f ca="1">SUM(INDIRECT(BF$1&amp;BF$2&amp;$A425):INDIRECT(BF$1&amp;BF$3&amp;$A425))+SUM(INDIRECT(BF$1&amp;BF$2&amp;$B425):INDIRECT(BF$1&amp;BF$3&amp;$B425))</f>
        <v>0</v>
      </c>
      <c r="BG425" s="3199">
        <f t="shared" ref="BG425:BG447" ca="1" si="663">BB425-BF425</f>
        <v>2059004.6192758621</v>
      </c>
      <c r="BH425" s="2850">
        <f t="shared" ref="BH425:BH430" ca="1" si="664">IFERROR(BB425/BF425,0)</f>
        <v>0</v>
      </c>
    </row>
    <row r="426" spans="1:60" ht="14.5">
      <c r="A426" s="616">
        <f t="shared" si="624"/>
        <v>377</v>
      </c>
      <c r="B426" s="616">
        <v>1</v>
      </c>
      <c r="C426" s="616">
        <f t="shared" si="602"/>
        <v>423</v>
      </c>
      <c r="D426" s="709" t="s">
        <v>1308</v>
      </c>
      <c r="E426" s="2544">
        <v>1</v>
      </c>
      <c r="F426" s="8"/>
      <c r="G426" s="737"/>
      <c r="K426" s="223"/>
      <c r="L426" s="36" t="s">
        <v>518</v>
      </c>
      <c r="M426" s="69"/>
      <c r="N426" s="69"/>
      <c r="O426" s="69"/>
      <c r="P426" s="69"/>
      <c r="Q426" s="1784" t="str">
        <f>CHOOSE(2, "6722000003345", "S/GP Office (0) Total Directly assigned")</f>
        <v>S/GP Office (0) Total Directly assigned</v>
      </c>
      <c r="R426" s="1289">
        <f>SUM(R429,R433,R437,R441,R445)</f>
        <v>49035.29785574894</v>
      </c>
      <c r="S426" s="1232">
        <f t="shared" ref="S426:AB426" si="665">SUM(S429,S433,S437,S441,S445)</f>
        <v>74648.618890928759</v>
      </c>
      <c r="T426" s="1232">
        <f t="shared" si="665"/>
        <v>54498.411468115235</v>
      </c>
      <c r="U426" s="1232">
        <f t="shared" si="665"/>
        <v>62493.543663207747</v>
      </c>
      <c r="V426" s="1232">
        <f t="shared" si="665"/>
        <v>85047.520605341342</v>
      </c>
      <c r="W426" s="1232">
        <f t="shared" si="665"/>
        <v>80962.980559602802</v>
      </c>
      <c r="X426" s="1232">
        <f t="shared" si="665"/>
        <v>60005.282944632505</v>
      </c>
      <c r="Y426" s="1232">
        <f t="shared" si="665"/>
        <v>60517.465829296758</v>
      </c>
      <c r="Z426" s="1232">
        <f t="shared" si="665"/>
        <v>79595.983412014422</v>
      </c>
      <c r="AA426" s="1232">
        <f t="shared" si="665"/>
        <v>81398.335292717704</v>
      </c>
      <c r="AB426" s="1232">
        <f t="shared" si="665"/>
        <v>119055.65492844893</v>
      </c>
      <c r="AC426" s="1232">
        <f>SUM(AC429,AC433,AC437,AC441,AC445)</f>
        <v>53217.475109580606</v>
      </c>
      <c r="AD426" s="125">
        <f>SUM(R426,S426,T426)</f>
        <v>178182.32821479294</v>
      </c>
      <c r="AE426" s="126">
        <f t="shared" ref="AE426:AE427" si="666">SUM(U426,V426,W426)</f>
        <v>228504.04482815188</v>
      </c>
      <c r="AF426" s="126">
        <f t="shared" ref="AF426:AF427" si="667">SUM(X426,Y426,Z426)</f>
        <v>200118.73218594369</v>
      </c>
      <c r="AG426" s="126">
        <f t="shared" ref="AG426:AG427" si="668">SUM(AA426,AB426,AC426)</f>
        <v>253671.46533074725</v>
      </c>
      <c r="AH426" s="126">
        <f>AD426+AE426</f>
        <v>406686.37304294482</v>
      </c>
      <c r="AI426" s="126">
        <f>AG426+AF426</f>
        <v>453790.19751669094</v>
      </c>
      <c r="AJ426" s="126">
        <f>AH426+AI426</f>
        <v>860476.57055963576</v>
      </c>
      <c r="AL426" s="3112">
        <f ca="1">SUM((INDIRECT(AL$2&amp;(ROW())):INDIRECT(AL$3&amp;(ROW()))))</f>
        <v>53217.475109580606</v>
      </c>
      <c r="AM426" s="3112">
        <f ca="1">SUM(INDIRECT(AM$1&amp;AM$2&amp;$C426):INDIRECT(AM$1&amp;AM$3&amp;$C426))</f>
        <v>369.5643934162091</v>
      </c>
      <c r="AN426" s="3200">
        <f t="shared" ca="1" si="653"/>
        <v>52847.910716164399</v>
      </c>
      <c r="AO426" s="2852">
        <f t="shared" ca="1" si="654"/>
        <v>144.00054782779429</v>
      </c>
      <c r="AP426" s="3112">
        <f ca="1">SUM(INDIRECT(AP$1&amp;AP$2&amp;$A426):INDIRECT(AP$1&amp;AP$3&amp;$A426))+SUM(INDIRECT(AP$1&amp;AP$2&amp;$B426):INDIRECT(AP$1&amp;AP$3&amp;$B426))</f>
        <v>0</v>
      </c>
      <c r="AQ426" s="3200">
        <f t="shared" ca="1" si="655"/>
        <v>53217.475109580606</v>
      </c>
      <c r="AR426" s="2852">
        <f t="shared" ca="1" si="656"/>
        <v>0</v>
      </c>
      <c r="AT426" s="3112">
        <f ca="1">SUM((INDIRECT(AT$2&amp;(ROW())):INDIRECT(AT$3&amp;(ROW()))))</f>
        <v>253671.46533074725</v>
      </c>
      <c r="AU426" s="3112">
        <f ca="1">SUM(INDIRECT(AU$1&amp;AU$2&amp;$C426):INDIRECT(AU$1&amp;AU$3&amp;$C426))</f>
        <v>1082.7119282675126</v>
      </c>
      <c r="AV426" s="3200">
        <f t="shared" ca="1" si="657"/>
        <v>252588.75340247972</v>
      </c>
      <c r="AW426" s="2852">
        <f t="shared" ca="1" si="658"/>
        <v>234.29266705933159</v>
      </c>
      <c r="AX426" s="3112">
        <f ca="1">SUM(INDIRECT(AX$1&amp;AX$2&amp;$A426):INDIRECT(AX$1&amp;AX$3&amp;$A426))+SUM(INDIRECT(AX$1&amp;AX$2&amp;$B426):INDIRECT(AX$1&amp;AX$3&amp;$B426))</f>
        <v>0</v>
      </c>
      <c r="AY426" s="3200">
        <f t="shared" ca="1" si="659"/>
        <v>253671.46533074725</v>
      </c>
      <c r="AZ426" s="2852">
        <f t="shared" ca="1" si="660"/>
        <v>0</v>
      </c>
      <c r="BB426" s="3112">
        <f ca="1">SUM((INDIRECT(BB$2&amp;(ROW())):INDIRECT(BB$3&amp;(ROW()))))</f>
        <v>860476.57055963576</v>
      </c>
      <c r="BC426" s="3112">
        <f ca="1">SUM(INDIRECT(BC$1&amp;BC$2&amp;$C426):INDIRECT(BC$1&amp;BC$3&amp;$C426))</f>
        <v>1704.219867132032</v>
      </c>
      <c r="BD426" s="3200">
        <f t="shared" ca="1" si="661"/>
        <v>858772.35069250374</v>
      </c>
      <c r="BE426" s="2852">
        <f t="shared" ca="1" si="662"/>
        <v>504.90936478032006</v>
      </c>
      <c r="BF426" s="3112">
        <f ca="1">SUM(INDIRECT(BF$1&amp;BF$2&amp;$A426):INDIRECT(BF$1&amp;BF$3&amp;$A426))+SUM(INDIRECT(BF$1&amp;BF$2&amp;$B426):INDIRECT(BF$1&amp;BF$3&amp;$B426))</f>
        <v>0</v>
      </c>
      <c r="BG426" s="3200">
        <f t="shared" ca="1" si="663"/>
        <v>860476.57055963576</v>
      </c>
      <c r="BH426" s="2852">
        <f t="shared" ca="1" si="664"/>
        <v>0</v>
      </c>
    </row>
    <row r="427" spans="1:60" ht="14.5">
      <c r="A427" s="616">
        <f t="shared" si="624"/>
        <v>378</v>
      </c>
      <c r="B427" s="616">
        <v>1</v>
      </c>
      <c r="C427" s="616">
        <f t="shared" si="602"/>
        <v>424</v>
      </c>
      <c r="D427" s="709" t="s">
        <v>1308</v>
      </c>
      <c r="E427" s="2544">
        <v>1</v>
      </c>
      <c r="F427" s="8"/>
      <c r="G427" s="737"/>
      <c r="K427" s="223"/>
      <c r="L427" s="36" t="s">
        <v>1451</v>
      </c>
      <c r="M427" s="69"/>
      <c r="N427" s="69"/>
      <c r="O427" s="69"/>
      <c r="P427" s="69"/>
      <c r="Q427" s="1784" t="str">
        <f>CHOOSE(2, "6722000003346", "S/GP Office (0) Total Allocation cost")</f>
        <v>S/GP Office (0) Total Allocation cost</v>
      </c>
      <c r="R427" s="1289">
        <f t="shared" ref="R427:AC427" si="669">SUM(R430,R434,R438,R442,R446)</f>
        <v>113461.70214425106</v>
      </c>
      <c r="S427" s="1232">
        <f t="shared" si="669"/>
        <v>76860.335148960992</v>
      </c>
      <c r="T427" s="1232">
        <f t="shared" si="669"/>
        <v>112879.13432149813</v>
      </c>
      <c r="U427" s="1232">
        <f t="shared" si="669"/>
        <v>106004.30396231179</v>
      </c>
      <c r="V427" s="1232">
        <f t="shared" si="669"/>
        <v>106180.08026999998</v>
      </c>
      <c r="W427" s="1232">
        <f t="shared" si="669"/>
        <v>48016.061668145274</v>
      </c>
      <c r="X427" s="1232">
        <f t="shared" si="669"/>
        <v>155348.36045251141</v>
      </c>
      <c r="Y427" s="1232">
        <f t="shared" si="669"/>
        <v>113194.82164118167</v>
      </c>
      <c r="Z427" s="1232">
        <f t="shared" si="669"/>
        <v>108144.33131793411</v>
      </c>
      <c r="AA427" s="1232">
        <f t="shared" si="669"/>
        <v>139500.40876018783</v>
      </c>
      <c r="AB427" s="1232">
        <f t="shared" si="669"/>
        <v>51076.571052567298</v>
      </c>
      <c r="AC427" s="1232">
        <f t="shared" si="669"/>
        <v>67861.937976676796</v>
      </c>
      <c r="AD427" s="125">
        <f>SUM(R427,S427,T427)</f>
        <v>303201.17161471018</v>
      </c>
      <c r="AE427" s="126">
        <f t="shared" si="666"/>
        <v>260200.44590045704</v>
      </c>
      <c r="AF427" s="126">
        <f t="shared" si="667"/>
        <v>376687.51341162715</v>
      </c>
      <c r="AG427" s="126">
        <f t="shared" si="668"/>
        <v>258438.91778943193</v>
      </c>
      <c r="AH427" s="126">
        <f>AD427+AE427</f>
        <v>563401.61751516722</v>
      </c>
      <c r="AI427" s="126">
        <f>AG427+AF427</f>
        <v>635126.43120105914</v>
      </c>
      <c r="AJ427" s="126">
        <f>AH427+AI427</f>
        <v>1198528.0487162264</v>
      </c>
      <c r="AL427" s="60">
        <f ca="1">SUM((INDIRECT(AL$2&amp;(ROW())):INDIRECT(AL$3&amp;(ROW()))))</f>
        <v>67861.937976676796</v>
      </c>
      <c r="AM427" s="60">
        <f ca="1">SUM(INDIRECT(AM$1&amp;AM$2&amp;$C427):INDIRECT(AM$1&amp;AM$3&amp;$C427))</f>
        <v>595.26163331938903</v>
      </c>
      <c r="AN427" s="3201">
        <f t="shared" ca="1" si="653"/>
        <v>67266.676343357409</v>
      </c>
      <c r="AO427" s="2854">
        <f t="shared" ca="1" si="654"/>
        <v>114.00354764719955</v>
      </c>
      <c r="AP427" s="60">
        <f ca="1">SUM(INDIRECT(AP$1&amp;AP$2&amp;$A427):INDIRECT(AP$1&amp;AP$3&amp;$A427))+SUM(INDIRECT(AP$1&amp;AP$2&amp;$B427):INDIRECT(AP$1&amp;AP$3&amp;$B427))</f>
        <v>0</v>
      </c>
      <c r="AQ427" s="3201">
        <f t="shared" ca="1" si="655"/>
        <v>67861.937976676796</v>
      </c>
      <c r="AR427" s="2854">
        <f t="shared" ca="1" si="656"/>
        <v>0</v>
      </c>
      <c r="AT427" s="60">
        <f ca="1">SUM((INDIRECT(AT$2&amp;(ROW())):INDIRECT(AT$3&amp;(ROW()))))</f>
        <v>258438.91778943193</v>
      </c>
      <c r="AU427" s="60">
        <f ca="1">SUM(INDIRECT(AU$1&amp;AU$2&amp;$C427):INDIRECT(AU$1&amp;AU$3&amp;$C427))</f>
        <v>1785.784899958167</v>
      </c>
      <c r="AV427" s="3201">
        <f t="shared" ca="1" si="657"/>
        <v>256653.13288947375</v>
      </c>
      <c r="AW427" s="2854">
        <f t="shared" ca="1" si="658"/>
        <v>144.7200711549784</v>
      </c>
      <c r="AX427" s="60">
        <f ca="1">SUM(INDIRECT(AX$1&amp;AX$2&amp;$A427):INDIRECT(AX$1&amp;AX$3&amp;$A427))+SUM(INDIRECT(AX$1&amp;AX$2&amp;$B427):INDIRECT(AX$1&amp;AX$3&amp;$B427))</f>
        <v>0</v>
      </c>
      <c r="AY427" s="3201">
        <f t="shared" ca="1" si="659"/>
        <v>258438.91778943193</v>
      </c>
      <c r="AZ427" s="2854">
        <f t="shared" ca="1" si="660"/>
        <v>0</v>
      </c>
      <c r="BB427" s="60">
        <f ca="1">SUM((INDIRECT(BB$2&amp;(ROW())):INDIRECT(BB$3&amp;(ROW()))))</f>
        <v>1198528.0487162264</v>
      </c>
      <c r="BC427" s="60">
        <f ca="1">SUM(INDIRECT(BC$1&amp;BC$2&amp;$C427):INDIRECT(BC$1&amp;BC$3&amp;$C427))</f>
        <v>2976.3081665969453</v>
      </c>
      <c r="BD427" s="3201">
        <f t="shared" ca="1" si="661"/>
        <v>1195551.7405496293</v>
      </c>
      <c r="BE427" s="2854">
        <f t="shared" ca="1" si="662"/>
        <v>402.68950042448085</v>
      </c>
      <c r="BF427" s="60">
        <f ca="1">SUM(INDIRECT(BF$1&amp;BF$2&amp;$A427):INDIRECT(BF$1&amp;BF$3&amp;$A427))+SUM(INDIRECT(BF$1&amp;BF$2&amp;$B427):INDIRECT(BF$1&amp;BF$3&amp;$B427))</f>
        <v>0</v>
      </c>
      <c r="BG427" s="3201">
        <f t="shared" ca="1" si="663"/>
        <v>1198528.0487162264</v>
      </c>
      <c r="BH427" s="2854">
        <f t="shared" ca="1" si="664"/>
        <v>0</v>
      </c>
    </row>
    <row r="428" spans="1:60" ht="14.5">
      <c r="A428" s="616">
        <f t="shared" si="624"/>
        <v>379</v>
      </c>
      <c r="B428" s="616">
        <v>1</v>
      </c>
      <c r="C428" s="616">
        <f t="shared" si="602"/>
        <v>425</v>
      </c>
      <c r="D428" s="709" t="s">
        <v>1308</v>
      </c>
      <c r="E428" s="2544">
        <v>1</v>
      </c>
      <c r="F428" s="8"/>
      <c r="G428" s="737"/>
      <c r="K428" s="3202" t="s">
        <v>1452</v>
      </c>
      <c r="L428" s="582"/>
      <c r="M428" s="582"/>
      <c r="N428" s="582"/>
      <c r="O428" s="582"/>
      <c r="P428" s="582"/>
      <c r="Q428" s="1805" t="str">
        <f>CHOOSE(2, "6722000003347", "S/GP Office (1) Office")</f>
        <v>S/GP Office (1) Office</v>
      </c>
      <c r="R428" s="1263">
        <f>SUM(R429:R430)</f>
        <v>55371.654876761728</v>
      </c>
      <c r="S428" s="1263">
        <f t="shared" ref="S428:AJ428" si="670">SUM(S429:S430)</f>
        <v>51065.781749495058</v>
      </c>
      <c r="T428" s="1263">
        <f t="shared" si="670"/>
        <v>57825.093540299531</v>
      </c>
      <c r="U428" s="1263">
        <f t="shared" si="670"/>
        <v>54730.75411129056</v>
      </c>
      <c r="V428" s="1263">
        <f t="shared" si="670"/>
        <v>61366.723091524465</v>
      </c>
      <c r="W428" s="1263">
        <f t="shared" si="670"/>
        <v>54133.565804311962</v>
      </c>
      <c r="X428" s="1354">
        <f t="shared" si="670"/>
        <v>70453.494490669866</v>
      </c>
      <c r="Y428" s="1354">
        <f t="shared" si="670"/>
        <v>55028.165540691596</v>
      </c>
      <c r="Z428" s="1354">
        <f t="shared" si="670"/>
        <v>78120.228639599794</v>
      </c>
      <c r="AA428" s="1355">
        <f t="shared" si="670"/>
        <v>72517.604514694103</v>
      </c>
      <c r="AB428" s="1355">
        <f t="shared" si="670"/>
        <v>62177.614876062995</v>
      </c>
      <c r="AC428" s="1355">
        <f t="shared" si="670"/>
        <v>75419.044609848192</v>
      </c>
      <c r="AD428" s="3203">
        <f t="shared" si="670"/>
        <v>164262.5301665563</v>
      </c>
      <c r="AE428" s="1355">
        <f t="shared" si="670"/>
        <v>170231.04300712698</v>
      </c>
      <c r="AF428" s="1355">
        <f t="shared" si="670"/>
        <v>203601.88867096126</v>
      </c>
      <c r="AG428" s="1355">
        <f t="shared" si="670"/>
        <v>210114.2640006053</v>
      </c>
      <c r="AH428" s="1355">
        <f t="shared" si="670"/>
        <v>334493.57317368331</v>
      </c>
      <c r="AI428" s="1355">
        <f t="shared" si="670"/>
        <v>413716.15267156658</v>
      </c>
      <c r="AJ428" s="1355">
        <f t="shared" si="670"/>
        <v>748209.72584524984</v>
      </c>
      <c r="AL428" s="1263">
        <f ca="1">SUM((INDIRECT(AL$2&amp;(ROW())):INDIRECT(AL$3&amp;(ROW()))))</f>
        <v>75419.044609848192</v>
      </c>
      <c r="AM428" s="1263">
        <f ca="1">SUM(INDIRECT(AM$1&amp;AM$2&amp;$C428):INDIRECT(AM$1&amp;AM$3&amp;$C428))</f>
        <v>29.999062499999997</v>
      </c>
      <c r="AN428" s="3204">
        <f t="shared" ca="1" si="653"/>
        <v>75389.045547348185</v>
      </c>
      <c r="AO428" s="2856">
        <f t="shared" ca="1" si="654"/>
        <v>2514.0467176215325</v>
      </c>
      <c r="AP428" s="1263">
        <f ca="1">SUM(INDIRECT(AP$1&amp;AP$2&amp;$A428):INDIRECT(AP$1&amp;AP$3&amp;$A428))+SUM(INDIRECT(AP$1&amp;AP$2&amp;$B428):INDIRECT(AP$1&amp;AP$3&amp;$B428))</f>
        <v>0</v>
      </c>
      <c r="AQ428" s="3204">
        <f t="shared" ca="1" si="655"/>
        <v>75419.044609848192</v>
      </c>
      <c r="AR428" s="2856">
        <f t="shared" ca="1" si="656"/>
        <v>0</v>
      </c>
      <c r="AT428" s="1263">
        <f ca="1">SUM((INDIRECT(AT$2&amp;(ROW())):INDIRECT(AT$3&amp;(ROW()))))</f>
        <v>210114.26400060527</v>
      </c>
      <c r="AU428" s="1263">
        <f ca="1">SUM(INDIRECT(AU$1&amp;AU$2&amp;$C428):INDIRECT(AU$1&amp;AU$3&amp;$C428))</f>
        <v>89.997187499999995</v>
      </c>
      <c r="AV428" s="3204">
        <f t="shared" ca="1" si="657"/>
        <v>210024.26681310526</v>
      </c>
      <c r="AW428" s="2856">
        <f t="shared" ca="1" si="658"/>
        <v>2334.6758919616823</v>
      </c>
      <c r="AX428" s="1263">
        <f ca="1">SUM(INDIRECT(AX$1&amp;AX$2&amp;$A428):INDIRECT(AX$1&amp;AX$3&amp;$A428))+SUM(INDIRECT(AX$1&amp;AX$2&amp;$B428):INDIRECT(AX$1&amp;AX$3&amp;$B428))</f>
        <v>0</v>
      </c>
      <c r="AY428" s="3204">
        <f t="shared" ca="1" si="659"/>
        <v>210114.26400060527</v>
      </c>
      <c r="AZ428" s="2856">
        <f t="shared" ca="1" si="660"/>
        <v>0</v>
      </c>
      <c r="BB428" s="1263">
        <f ca="1">SUM((INDIRECT(BB$2&amp;(ROW())):INDIRECT(BB$3&amp;(ROW()))))</f>
        <v>748209.72584524972</v>
      </c>
      <c r="BC428" s="1263">
        <f ca="1">SUM(INDIRECT(BC$1&amp;BC$2&amp;$C428):INDIRECT(BC$1&amp;BC$3&amp;$C428))</f>
        <v>149.99531249999998</v>
      </c>
      <c r="BD428" s="3204">
        <f t="shared" ca="1" si="661"/>
        <v>748059.73053274967</v>
      </c>
      <c r="BE428" s="2856">
        <f t="shared" ca="1" si="662"/>
        <v>4988.2207208658592</v>
      </c>
      <c r="BF428" s="1263">
        <f ca="1">SUM(INDIRECT(BF$1&amp;BF$2&amp;$A428):INDIRECT(BF$1&amp;BF$3&amp;$A428))+SUM(INDIRECT(BF$1&amp;BF$2&amp;$B428):INDIRECT(BF$1&amp;BF$3&amp;$B428))</f>
        <v>0</v>
      </c>
      <c r="BG428" s="3204">
        <f t="shared" ca="1" si="663"/>
        <v>748209.72584524972</v>
      </c>
      <c r="BH428" s="2856">
        <f t="shared" ca="1" si="664"/>
        <v>0</v>
      </c>
    </row>
    <row r="429" spans="1:60" ht="14.5">
      <c r="A429" s="616">
        <f t="shared" si="624"/>
        <v>380</v>
      </c>
      <c r="B429" s="616">
        <v>1</v>
      </c>
      <c r="C429" s="616">
        <f t="shared" si="602"/>
        <v>426</v>
      </c>
      <c r="D429" s="709" t="s">
        <v>1308</v>
      </c>
      <c r="E429" s="2544">
        <v>1</v>
      </c>
      <c r="F429" s="8"/>
      <c r="G429" s="737"/>
      <c r="K429" s="223"/>
      <c r="L429" s="36" t="s">
        <v>518</v>
      </c>
      <c r="Q429" s="1784" t="str">
        <f>CHOOSE(2, "6722000003348", "S/GP Office (1) Office Directly assigned")</f>
        <v>S/GP Office (1) Office Directly assigned</v>
      </c>
      <c r="R429" s="1289">
        <f t="shared" ref="R429:AC429" si="671">R91</f>
        <v>20047.31588891986</v>
      </c>
      <c r="S429" s="1232">
        <f t="shared" si="671"/>
        <v>27988.396486893151</v>
      </c>
      <c r="T429" s="1232">
        <f t="shared" si="671"/>
        <v>22673.291865933039</v>
      </c>
      <c r="U429" s="1232">
        <f t="shared" si="671"/>
        <v>21997.591846306044</v>
      </c>
      <c r="V429" s="1232">
        <f t="shared" si="671"/>
        <v>28671.985463392237</v>
      </c>
      <c r="W429" s="1232">
        <f t="shared" si="671"/>
        <v>39348.655569556773</v>
      </c>
      <c r="X429" s="1232">
        <f t="shared" si="671"/>
        <v>22618.91875601247</v>
      </c>
      <c r="Y429" s="1232">
        <f t="shared" si="671"/>
        <v>20173.850332796337</v>
      </c>
      <c r="Z429" s="1232">
        <f t="shared" si="671"/>
        <v>44820.748372608461</v>
      </c>
      <c r="AA429" s="1232">
        <f t="shared" si="671"/>
        <v>19763.33526546248</v>
      </c>
      <c r="AB429" s="1232">
        <f t="shared" si="671"/>
        <v>46450.394075289638</v>
      </c>
      <c r="AC429" s="1232">
        <f t="shared" si="671"/>
        <v>42023.135441722596</v>
      </c>
      <c r="AD429" s="125">
        <f>SUM(R429,S429,T429)</f>
        <v>70709.00424174605</v>
      </c>
      <c r="AE429" s="126">
        <f t="shared" ref="AE429:AE430" si="672">SUM(U429,V429,W429)</f>
        <v>90018.232879255054</v>
      </c>
      <c r="AF429" s="126">
        <f t="shared" ref="AF429:AF430" si="673">SUM(X429,Y429,Z429)</f>
        <v>87613.517461417272</v>
      </c>
      <c r="AG429" s="126">
        <f t="shared" ref="AG429:AG430" si="674">SUM(AA429,AB429,AC429)</f>
        <v>108236.86478247472</v>
      </c>
      <c r="AH429" s="126">
        <f>AD429+AE429</f>
        <v>160727.23712100112</v>
      </c>
      <c r="AI429" s="126">
        <f>AG429+AF429</f>
        <v>195850.382243892</v>
      </c>
      <c r="AJ429" s="126">
        <f>AH429+AI429</f>
        <v>356577.61936489312</v>
      </c>
      <c r="AL429" s="37">
        <f ca="1">SUM((INDIRECT(AL$2&amp;(ROW())):INDIRECT(AL$3&amp;(ROW()))))</f>
        <v>42023.135441722596</v>
      </c>
      <c r="AM429" s="37">
        <f ca="1">SUM(INDIRECT(AM$1&amp;AM$2&amp;$C429):INDIRECT(AM$1&amp;AM$3&amp;$C429))</f>
        <v>4.7414578186316589</v>
      </c>
      <c r="AN429" s="3205">
        <f t="shared" ca="1" si="653"/>
        <v>42018.393983903967</v>
      </c>
      <c r="AO429" s="2858">
        <f t="shared" ca="1" si="654"/>
        <v>8862.9145400369889</v>
      </c>
      <c r="AP429" s="37">
        <f ca="1">SUM(INDIRECT(AP$1&amp;AP$2&amp;$A429):INDIRECT(AP$1&amp;AP$3&amp;$A429))+SUM(INDIRECT(AP$1&amp;AP$2&amp;$B429):INDIRECT(AP$1&amp;AP$3&amp;$B429))</f>
        <v>0</v>
      </c>
      <c r="AQ429" s="3205">
        <f t="shared" ca="1" si="655"/>
        <v>42023.135441722596</v>
      </c>
      <c r="AR429" s="2858">
        <f t="shared" ca="1" si="656"/>
        <v>0</v>
      </c>
      <c r="AT429" s="37">
        <f ca="1">SUM((INDIRECT(AT$2&amp;(ROW())):INDIRECT(AT$3&amp;(ROW()))))</f>
        <v>108236.86478247472</v>
      </c>
      <c r="AU429" s="37">
        <f ca="1">SUM(INDIRECT(AU$1&amp;AU$2&amp;$C429):INDIRECT(AU$1&amp;AU$3&amp;$C429))</f>
        <v>-6.950936190092591</v>
      </c>
      <c r="AV429" s="3205">
        <f t="shared" ca="1" si="657"/>
        <v>108243.8157186648</v>
      </c>
      <c r="AW429" s="2858">
        <f t="shared" ca="1" si="658"/>
        <v>-15571.552064705824</v>
      </c>
      <c r="AX429" s="37">
        <f ca="1">SUM(INDIRECT(AX$1&amp;AX$2&amp;$A429):INDIRECT(AX$1&amp;AX$3&amp;$A429))+SUM(INDIRECT(AX$1&amp;AX$2&amp;$B429):INDIRECT(AX$1&amp;AX$3&amp;$B429))</f>
        <v>0</v>
      </c>
      <c r="AY429" s="3205">
        <f t="shared" ca="1" si="659"/>
        <v>108236.86478247472</v>
      </c>
      <c r="AZ429" s="2858">
        <f t="shared" ca="1" si="660"/>
        <v>0</v>
      </c>
      <c r="BB429" s="37">
        <f ca="1">SUM((INDIRECT(BB$2&amp;(ROW())):INDIRECT(BB$3&amp;(ROW()))))</f>
        <v>356577.61936489306</v>
      </c>
      <c r="BC429" s="37">
        <f ca="1">SUM(INDIRECT(BC$1&amp;BC$2&amp;$C429):INDIRECT(BC$1&amp;BC$3&amp;$C429))</f>
        <v>150.24612923278278</v>
      </c>
      <c r="BD429" s="3205">
        <f t="shared" ca="1" si="661"/>
        <v>356427.37323566026</v>
      </c>
      <c r="BE429" s="2858">
        <f t="shared" ca="1" si="662"/>
        <v>2373.289888969</v>
      </c>
      <c r="BF429" s="37">
        <f ca="1">SUM(INDIRECT(BF$1&amp;BF$2&amp;$A429):INDIRECT(BF$1&amp;BF$3&amp;$A429))+SUM(INDIRECT(BF$1&amp;BF$2&amp;$B429):INDIRECT(BF$1&amp;BF$3&amp;$B429))</f>
        <v>0</v>
      </c>
      <c r="BG429" s="3205">
        <f t="shared" ca="1" si="663"/>
        <v>356577.61936489306</v>
      </c>
      <c r="BH429" s="2858">
        <f t="shared" ca="1" si="664"/>
        <v>0</v>
      </c>
    </row>
    <row r="430" spans="1:60" ht="14.5">
      <c r="A430" s="616">
        <f t="shared" si="624"/>
        <v>381</v>
      </c>
      <c r="B430" s="616">
        <v>1</v>
      </c>
      <c r="C430" s="616">
        <f t="shared" si="602"/>
        <v>427</v>
      </c>
      <c r="D430" s="709" t="s">
        <v>1308</v>
      </c>
      <c r="E430" s="2544">
        <v>1</v>
      </c>
      <c r="F430" s="8"/>
      <c r="G430" s="737"/>
      <c r="K430" s="223"/>
      <c r="L430" s="36" t="s">
        <v>1451</v>
      </c>
      <c r="Q430" s="1784" t="str">
        <f>CHOOSE(2, "6722000003349", "S/GP Office (1) Office Allocation cost")</f>
        <v>S/GP Office (1) Office Allocation cost</v>
      </c>
      <c r="R430" s="1289">
        <f t="shared" ref="R430:AC430" si="675">R95</f>
        <v>35324.338987841867</v>
      </c>
      <c r="S430" s="1232">
        <f t="shared" si="675"/>
        <v>23077.385262601903</v>
      </c>
      <c r="T430" s="1232">
        <f t="shared" si="675"/>
        <v>35151.801674366492</v>
      </c>
      <c r="U430" s="1232">
        <f t="shared" si="675"/>
        <v>32733.162264984516</v>
      </c>
      <c r="V430" s="1232">
        <f t="shared" si="675"/>
        <v>32694.737628132229</v>
      </c>
      <c r="W430" s="1232">
        <f t="shared" si="675"/>
        <v>14784.910234755189</v>
      </c>
      <c r="X430" s="1232">
        <f t="shared" si="675"/>
        <v>47834.575734657403</v>
      </c>
      <c r="Y430" s="1232">
        <f t="shared" si="675"/>
        <v>34854.315207895255</v>
      </c>
      <c r="Z430" s="1232">
        <f t="shared" si="675"/>
        <v>33299.480266991333</v>
      </c>
      <c r="AA430" s="1232">
        <f t="shared" si="675"/>
        <v>52754.269249231627</v>
      </c>
      <c r="AB430" s="1232">
        <f t="shared" si="675"/>
        <v>15727.220800773355</v>
      </c>
      <c r="AC430" s="1232">
        <f t="shared" si="675"/>
        <v>33395.909168125596</v>
      </c>
      <c r="AD430" s="125">
        <f>SUM(R430,S430,T430)</f>
        <v>93553.525924810267</v>
      </c>
      <c r="AE430" s="126">
        <f t="shared" si="672"/>
        <v>80212.810127871926</v>
      </c>
      <c r="AF430" s="126">
        <f t="shared" si="673"/>
        <v>115988.37120954398</v>
      </c>
      <c r="AG430" s="126">
        <f t="shared" si="674"/>
        <v>101877.39921813058</v>
      </c>
      <c r="AH430" s="126">
        <f>AD430+AE430</f>
        <v>173766.33605268219</v>
      </c>
      <c r="AI430" s="126">
        <f>AG430+AF430</f>
        <v>217865.77042767458</v>
      </c>
      <c r="AJ430" s="126">
        <f>AH430+AI430</f>
        <v>391632.10648035677</v>
      </c>
      <c r="AL430" s="37">
        <f ca="1">SUM((INDIRECT(AL$2&amp;(ROW())):INDIRECT(AL$3&amp;(ROW()))))</f>
        <v>33395.909168125596</v>
      </c>
      <c r="AM430" s="37">
        <f ca="1">SUM(INDIRECT(AM$1&amp;AM$2&amp;$C430):INDIRECT(AM$1&amp;AM$3&amp;$C430))</f>
        <v>4.7435139087086903E-3</v>
      </c>
      <c r="AN430" s="3205">
        <f t="shared" ca="1" si="653"/>
        <v>33395.90442461169</v>
      </c>
      <c r="AO430" s="2858">
        <f t="shared" ca="1" si="654"/>
        <v>7040331.2419540994</v>
      </c>
      <c r="AP430" s="37">
        <f ca="1">SUM(INDIRECT(AP$1&amp;AP$2&amp;$A430):INDIRECT(AP$1&amp;AP$3&amp;$A430))+SUM(INDIRECT(AP$1&amp;AP$2&amp;$B430):INDIRECT(AP$1&amp;AP$3&amp;$B430))</f>
        <v>362</v>
      </c>
      <c r="AQ430" s="3205">
        <f t="shared" ca="1" si="655"/>
        <v>33033.909168125596</v>
      </c>
      <c r="AR430" s="2858">
        <f t="shared" ca="1" si="656"/>
        <v>92.253892729628717</v>
      </c>
      <c r="AT430" s="37">
        <f ca="1">SUM((INDIRECT(AT$2&amp;(ROW())):INDIRECT(AT$3&amp;(ROW()))))</f>
        <v>101877.39921813058</v>
      </c>
      <c r="AU430" s="37">
        <f ca="1">SUM(INDIRECT(AU$1&amp;AU$2&amp;$C430):INDIRECT(AU$1&amp;AU$3&amp;$C430))</f>
        <v>-6.4136488042951653E-3</v>
      </c>
      <c r="AV430" s="3205">
        <f t="shared" ca="1" si="657"/>
        <v>101877.40563177939</v>
      </c>
      <c r="AW430" s="2858">
        <f t="shared" ca="1" si="658"/>
        <v>-15884468.003596356</v>
      </c>
      <c r="AX430" s="37">
        <f ca="1">SUM(INDIRECT(AX$1&amp;AX$2&amp;$A430):INDIRECT(AX$1&amp;AX$3&amp;$A430))+SUM(INDIRECT(AX$1&amp;AX$2&amp;$B430):INDIRECT(AX$1&amp;AX$3&amp;$B430))</f>
        <v>549</v>
      </c>
      <c r="AY430" s="3205">
        <f t="shared" ca="1" si="659"/>
        <v>101328.39921813058</v>
      </c>
      <c r="AZ430" s="2858">
        <f t="shared" ca="1" si="660"/>
        <v>185.56903318420871</v>
      </c>
      <c r="BB430" s="37">
        <f ca="1">SUM((INDIRECT(BB$2&amp;(ROW())):INDIRECT(BB$3&amp;(ROW()))))</f>
        <v>391632.10648035671</v>
      </c>
      <c r="BC430" s="37">
        <f ca="1">SUM(INDIRECT(BC$1&amp;BC$2&amp;$C430):INDIRECT(BC$1&amp;BC$3&amp;$C430))</f>
        <v>0.14136774347056019</v>
      </c>
      <c r="BD430" s="3205">
        <f t="shared" ca="1" si="661"/>
        <v>391631.96511261322</v>
      </c>
      <c r="BE430" s="2858">
        <f t="shared" ca="1" si="662"/>
        <v>2770307.4044038486</v>
      </c>
      <c r="BF430" s="37">
        <f ca="1">SUM(INDIRECT(BF$1&amp;BF$2&amp;$A430):INDIRECT(BF$1&amp;BF$3&amp;$A430))+SUM(INDIRECT(BF$1&amp;BF$2&amp;$B430):INDIRECT(BF$1&amp;BF$3&amp;$B430))</f>
        <v>2957</v>
      </c>
      <c r="BG430" s="3205">
        <f t="shared" ca="1" si="663"/>
        <v>388675.10648035671</v>
      </c>
      <c r="BH430" s="2858">
        <f t="shared" ca="1" si="664"/>
        <v>132.44237621926166</v>
      </c>
    </row>
    <row r="431" spans="1:60" ht="14.5">
      <c r="A431" s="616">
        <f t="shared" si="624"/>
        <v>382</v>
      </c>
      <c r="B431" s="616">
        <v>1</v>
      </c>
      <c r="C431" s="616">
        <f t="shared" si="602"/>
        <v>428</v>
      </c>
      <c r="D431" s="709" t="s">
        <v>1308</v>
      </c>
      <c r="E431" s="2544">
        <v>1</v>
      </c>
      <c r="F431" s="8"/>
      <c r="G431" s="737"/>
      <c r="K431" s="711"/>
      <c r="L431" s="743" t="s">
        <v>1453</v>
      </c>
      <c r="M431" s="11"/>
      <c r="N431" s="11"/>
      <c r="O431" s="11"/>
      <c r="P431" s="11"/>
      <c r="Q431" s="1785" t="str">
        <f>CHOOSE(2, "6722000003350", "S/GP Office (1) Office Allocation rate to Office (%)")</f>
        <v>S/GP Office (1) Office Allocation rate to Office (%)</v>
      </c>
      <c r="R431" s="1369">
        <f>IFERROR(R430/R427,0)</f>
        <v>0.31133270804391594</v>
      </c>
      <c r="S431" s="1369">
        <f t="shared" ref="S431:AC431" si="676">IFERROR(S430/S427,0)</f>
        <v>0.30025090598260118</v>
      </c>
      <c r="T431" s="1369">
        <f t="shared" si="676"/>
        <v>0.31141097852724886</v>
      </c>
      <c r="U431" s="1369">
        <f t="shared" si="676"/>
        <v>0.30879087962902235</v>
      </c>
      <c r="V431" s="1369">
        <f t="shared" si="676"/>
        <v>0.30791780854746414</v>
      </c>
      <c r="W431" s="1369">
        <f t="shared" si="676"/>
        <v>0.30791592898514969</v>
      </c>
      <c r="X431" s="1369">
        <f t="shared" si="676"/>
        <v>0.30791812411357894</v>
      </c>
      <c r="Y431" s="1369">
        <f t="shared" si="676"/>
        <v>0.30791439663539188</v>
      </c>
      <c r="Z431" s="1369">
        <f t="shared" si="676"/>
        <v>0.30791702034842688</v>
      </c>
      <c r="AA431" s="1369">
        <f t="shared" si="676"/>
        <v>0.37816569656021842</v>
      </c>
      <c r="AB431" s="1369">
        <f t="shared" si="676"/>
        <v>0.30791457759737079</v>
      </c>
      <c r="AC431" s="1369">
        <f t="shared" si="676"/>
        <v>0.49211546507267895</v>
      </c>
      <c r="AD431" s="1365">
        <f t="shared" ref="AD431:AJ431" si="677">IFERROR(AD430/AD$427,0)</f>
        <v>0.30855265310020785</v>
      </c>
      <c r="AE431" s="1365">
        <f t="shared" si="677"/>
        <v>0.3082731463056691</v>
      </c>
      <c r="AF431" s="1365">
        <f t="shared" si="677"/>
        <v>0.30791668712096948</v>
      </c>
      <c r="AG431" s="1365">
        <f t="shared" si="677"/>
        <v>0.39420300970745104</v>
      </c>
      <c r="AH431" s="1365">
        <f t="shared" si="677"/>
        <v>0.30842356615705718</v>
      </c>
      <c r="AI431" s="1365">
        <f t="shared" si="677"/>
        <v>0.34302740324580477</v>
      </c>
      <c r="AJ431" s="1365">
        <f t="shared" si="677"/>
        <v>0.32676090217483339</v>
      </c>
      <c r="AL431" s="1369">
        <f ca="1">IFERROR(AL430/AL$424,0)</f>
        <v>0</v>
      </c>
      <c r="AM431" s="1365">
        <f ca="1">IFERROR(AM430/AM$424,0)</f>
        <v>0</v>
      </c>
      <c r="AN431" s="3201">
        <f t="shared" ca="1" si="653"/>
        <v>0</v>
      </c>
      <c r="AO431" s="2854"/>
      <c r="AP431" s="1365">
        <f ca="1">IFERROR(AP430/AP$424,0)</f>
        <v>0</v>
      </c>
      <c r="AQ431" s="3201">
        <f t="shared" ca="1" si="655"/>
        <v>0</v>
      </c>
      <c r="AR431" s="2854"/>
      <c r="AT431" s="1369">
        <f ca="1">IFERROR(AT430/AT$424,0)</f>
        <v>0</v>
      </c>
      <c r="AU431" s="1365">
        <f ca="1">IFERROR(AU430/AU$424,0)</f>
        <v>0</v>
      </c>
      <c r="AV431" s="3201">
        <f t="shared" ca="1" si="657"/>
        <v>0</v>
      </c>
      <c r="AW431" s="2854"/>
      <c r="AX431" s="1365">
        <f ca="1">IFERROR(AX430/AX$424,0)</f>
        <v>0</v>
      </c>
      <c r="AY431" s="3201">
        <f t="shared" ca="1" si="659"/>
        <v>0</v>
      </c>
      <c r="AZ431" s="2854"/>
      <c r="BB431" s="1369">
        <f ca="1">IFERROR(BB430/BB$424,0)</f>
        <v>0</v>
      </c>
      <c r="BC431" s="1365">
        <f ca="1">IFERROR(BC430/BC$424,0)</f>
        <v>0</v>
      </c>
      <c r="BD431" s="3201">
        <f t="shared" ca="1" si="661"/>
        <v>0</v>
      </c>
      <c r="BE431" s="2854"/>
      <c r="BF431" s="1365">
        <f ca="1">IFERROR(BF430/BF$424,0)</f>
        <v>0</v>
      </c>
      <c r="BG431" s="3201">
        <f t="shared" ca="1" si="663"/>
        <v>0</v>
      </c>
      <c r="BH431" s="2854"/>
    </row>
    <row r="432" spans="1:60" ht="14.5">
      <c r="A432" s="616">
        <f t="shared" si="624"/>
        <v>383</v>
      </c>
      <c r="B432" s="616">
        <v>1</v>
      </c>
      <c r="C432" s="616">
        <f t="shared" si="602"/>
        <v>429</v>
      </c>
      <c r="D432" s="709" t="s">
        <v>1308</v>
      </c>
      <c r="E432" s="2544">
        <v>1</v>
      </c>
      <c r="F432" s="8"/>
      <c r="G432" s="737"/>
      <c r="K432" s="3206" t="s">
        <v>1395</v>
      </c>
      <c r="L432" s="587"/>
      <c r="M432" s="588"/>
      <c r="N432" s="588"/>
      <c r="O432" s="588"/>
      <c r="P432" s="588"/>
      <c r="Q432" s="1806" t="str">
        <f>CHOOSE(2, "6722000003351", "S/GP Office (2) PP")</f>
        <v>S/GP Office (2) PP</v>
      </c>
      <c r="R432" s="1262">
        <f>SUM(R433:R434)</f>
        <v>102832.43428717846</v>
      </c>
      <c r="S432" s="1262">
        <f t="shared" ref="S432:AJ432" si="678">SUM(S433:S434)</f>
        <v>96374.58726737916</v>
      </c>
      <c r="T432" s="1262">
        <f t="shared" si="678"/>
        <v>105341.5652643849</v>
      </c>
      <c r="U432" s="1262">
        <f t="shared" si="678"/>
        <v>109581.6021147548</v>
      </c>
      <c r="V432" s="1262">
        <f t="shared" si="678"/>
        <v>125972.05612566469</v>
      </c>
      <c r="W432" s="1262">
        <f t="shared" si="678"/>
        <v>71051.648915335623</v>
      </c>
      <c r="X432" s="1244">
        <f t="shared" si="678"/>
        <v>140996.27414251596</v>
      </c>
      <c r="Y432" s="1244">
        <f t="shared" si="678"/>
        <v>114873.50444027773</v>
      </c>
      <c r="Z432" s="1244">
        <f t="shared" si="678"/>
        <v>105330.84492900592</v>
      </c>
      <c r="AA432" s="1356">
        <f t="shared" si="678"/>
        <v>143279.34918475087</v>
      </c>
      <c r="AB432" s="1356">
        <f t="shared" si="678"/>
        <v>102245.23734156511</v>
      </c>
      <c r="AC432" s="1356">
        <f t="shared" si="678"/>
        <v>42686.185673351632</v>
      </c>
      <c r="AD432" s="3207">
        <f t="shared" si="678"/>
        <v>304548.58681894251</v>
      </c>
      <c r="AE432" s="1356">
        <f t="shared" si="678"/>
        <v>306605.30715575512</v>
      </c>
      <c r="AF432" s="1356">
        <f t="shared" si="678"/>
        <v>361200.62351179961</v>
      </c>
      <c r="AG432" s="1356">
        <f t="shared" si="678"/>
        <v>288210.77219966764</v>
      </c>
      <c r="AH432" s="1356">
        <f t="shared" si="678"/>
        <v>611153.89397469757</v>
      </c>
      <c r="AI432" s="1356">
        <f t="shared" si="678"/>
        <v>649411.39571146725</v>
      </c>
      <c r="AJ432" s="1356">
        <f t="shared" si="678"/>
        <v>1260565.2896861648</v>
      </c>
      <c r="AL432" s="3208">
        <f ca="1">SUM((INDIRECT(AL$2&amp;(ROW())):INDIRECT(AL$3&amp;(ROW()))))</f>
        <v>42686.185673351632</v>
      </c>
      <c r="AM432" s="3208">
        <f ca="1">SUM(INDIRECT(AM$1&amp;AM$2&amp;$C432):INDIRECT(AM$1&amp;AM$3&amp;$C432))</f>
        <v>0</v>
      </c>
      <c r="AN432" s="3209">
        <f t="shared" ca="1" si="653"/>
        <v>42686.185673351632</v>
      </c>
      <c r="AO432" s="2861">
        <f ca="1">IFERROR(AL432/AM432,0)</f>
        <v>0</v>
      </c>
      <c r="AP432" s="3208">
        <f ca="1">SUM(INDIRECT(AP$1&amp;AP$2&amp;$A432):INDIRECT(AP$1&amp;AP$3&amp;$A432))+SUM(INDIRECT(AP$1&amp;AP$2&amp;$B432):INDIRECT(AP$1&amp;AP$3&amp;$B432))</f>
        <v>362</v>
      </c>
      <c r="AQ432" s="3209">
        <f t="shared" ca="1" si="655"/>
        <v>42324.185673351632</v>
      </c>
      <c r="AR432" s="2861">
        <f ca="1">IFERROR(AL432/AP432,0)</f>
        <v>117.91763998163434</v>
      </c>
      <c r="AT432" s="3208">
        <f ca="1">SUM((INDIRECT(AT$2&amp;(ROW())):INDIRECT(AT$3&amp;(ROW()))))</f>
        <v>288210.77219966764</v>
      </c>
      <c r="AU432" s="3208">
        <f ca="1">SUM(INDIRECT(AU$1&amp;AU$2&amp;$C432):INDIRECT(AU$1&amp;AU$3&amp;$C432))</f>
        <v>0</v>
      </c>
      <c r="AV432" s="3209">
        <f t="shared" ca="1" si="657"/>
        <v>288210.77219966764</v>
      </c>
      <c r="AW432" s="2861">
        <f ca="1">IFERROR(AT432/AU432,0)</f>
        <v>0</v>
      </c>
      <c r="AX432" s="3208">
        <f ca="1">SUM(INDIRECT(AX$1&amp;AX$2&amp;$A432):INDIRECT(AX$1&amp;AX$3&amp;$A432))+SUM(INDIRECT(AX$1&amp;AX$2&amp;$B432):INDIRECT(AX$1&amp;AX$3&amp;$B432))</f>
        <v>384</v>
      </c>
      <c r="AY432" s="3209">
        <f t="shared" ca="1" si="659"/>
        <v>287826.77219966764</v>
      </c>
      <c r="AZ432" s="2861">
        <f ca="1">IFERROR(AT432/AX432,0)</f>
        <v>750.54888593663452</v>
      </c>
      <c r="BB432" s="3208">
        <f ca="1">SUM((INDIRECT(BB$2&amp;(ROW())):INDIRECT(BB$3&amp;(ROW()))))</f>
        <v>1260565.2896861648</v>
      </c>
      <c r="BC432" s="3208">
        <f ca="1">SUM(INDIRECT(BC$1&amp;BC$2&amp;$C432):INDIRECT(BC$1&amp;BC$3&amp;$C432))</f>
        <v>0</v>
      </c>
      <c r="BD432" s="3209">
        <f t="shared" ca="1" si="661"/>
        <v>1260565.2896861648</v>
      </c>
      <c r="BE432" s="2861">
        <f ca="1">IFERROR(BB432/BC432,0)</f>
        <v>0</v>
      </c>
      <c r="BF432" s="3208">
        <f ca="1">SUM(INDIRECT(BF$1&amp;BF$2&amp;$A432):INDIRECT(BF$1&amp;BF$3&amp;$A432))+SUM(INDIRECT(BF$1&amp;BF$2&amp;$B432):INDIRECT(BF$1&amp;BF$3&amp;$B432))</f>
        <v>2117</v>
      </c>
      <c r="BG432" s="3209">
        <f t="shared" ca="1" si="663"/>
        <v>1258448.2896861648</v>
      </c>
      <c r="BH432" s="2861">
        <f ca="1">IFERROR(BB432/BF432,0)</f>
        <v>595.44888506668156</v>
      </c>
    </row>
    <row r="433" spans="1:60" ht="14.5">
      <c r="A433" s="616">
        <f t="shared" si="624"/>
        <v>384</v>
      </c>
      <c r="B433" s="616">
        <v>1</v>
      </c>
      <c r="C433" s="616">
        <f t="shared" si="602"/>
        <v>430</v>
      </c>
      <c r="D433" s="709" t="s">
        <v>1308</v>
      </c>
      <c r="E433" s="2544">
        <v>1</v>
      </c>
      <c r="F433" s="8"/>
      <c r="G433" s="737"/>
      <c r="K433" s="223"/>
      <c r="L433" s="36" t="s">
        <v>518</v>
      </c>
      <c r="Q433" s="1784" t="str">
        <f>CHOOSE(2, "6722000003352", "S/GP Office (2) PP Directly assigned")</f>
        <v>S/GP Office (2) PP Directly assigned</v>
      </c>
      <c r="R433" s="1289">
        <f t="shared" ref="R433:AC433" si="679">R197</f>
        <v>25906.751600110965</v>
      </c>
      <c r="S433" s="1232">
        <f t="shared" si="679"/>
        <v>42514.005882374753</v>
      </c>
      <c r="T433" s="1232">
        <f t="shared" si="679"/>
        <v>27614.819935579719</v>
      </c>
      <c r="U433" s="1232">
        <f t="shared" si="679"/>
        <v>36310.895494772398</v>
      </c>
      <c r="V433" s="1232">
        <f t="shared" si="679"/>
        <v>52486.713483796935</v>
      </c>
      <c r="W433" s="1232">
        <f t="shared" si="679"/>
        <v>37820.790576977706</v>
      </c>
      <c r="X433" s="1232">
        <f t="shared" si="679"/>
        <v>33482.330217635972</v>
      </c>
      <c r="Y433" s="1232">
        <f t="shared" si="679"/>
        <v>36533.592191137446</v>
      </c>
      <c r="Z433" s="1232">
        <f t="shared" si="679"/>
        <v>30486.270702772414</v>
      </c>
      <c r="AA433" s="1232">
        <f t="shared" si="679"/>
        <v>56534.47919335484</v>
      </c>
      <c r="AB433" s="1232">
        <f t="shared" si="679"/>
        <v>66896.423031010767</v>
      </c>
      <c r="AC433" s="1232">
        <f t="shared" si="679"/>
        <v>8220.1245751339466</v>
      </c>
      <c r="AD433" s="125">
        <f>SUM(R433,S433,T433)</f>
        <v>96035.577418065426</v>
      </c>
      <c r="AE433" s="126">
        <f t="shared" ref="AE433:AE434" si="680">SUM(U433,V433,W433)</f>
        <v>126618.39955554705</v>
      </c>
      <c r="AF433" s="126">
        <f t="shared" ref="AF433:AF434" si="681">SUM(X433,Y433,Z433)</f>
        <v>100502.19311154583</v>
      </c>
      <c r="AG433" s="126">
        <f t="shared" ref="AG433:AG434" si="682">SUM(AA433,AB433,AC433)</f>
        <v>131651.02679949955</v>
      </c>
      <c r="AH433" s="126">
        <f>AD433+AE433</f>
        <v>222653.97697361247</v>
      </c>
      <c r="AI433" s="126">
        <f>AG433+AF433</f>
        <v>232153.21991104539</v>
      </c>
      <c r="AJ433" s="126">
        <f>AH433+AI433</f>
        <v>454807.19688465784</v>
      </c>
      <c r="AL433" s="37">
        <f ca="1">SUM((INDIRECT(AL$2&amp;(ROW())):INDIRECT(AL$3&amp;(ROW()))))</f>
        <v>8220.1245751339466</v>
      </c>
      <c r="AM433" s="37">
        <f ca="1">SUM(INDIRECT(AM$1&amp;AM$2&amp;$C433):INDIRECT(AM$1&amp;AM$3&amp;$C433))</f>
        <v>0</v>
      </c>
      <c r="AN433" s="3205">
        <f t="shared" ca="1" si="653"/>
        <v>8220.1245751339466</v>
      </c>
      <c r="AO433" s="2858">
        <f ca="1">IFERROR(AL433/AM433,0)</f>
        <v>0</v>
      </c>
      <c r="AP433" s="37">
        <f ca="1">SUM(INDIRECT(AP$1&amp;AP$2&amp;$A433):INDIRECT(AP$1&amp;AP$3&amp;$A433))+SUM(INDIRECT(AP$1&amp;AP$2&amp;$B433):INDIRECT(AP$1&amp;AP$3&amp;$B433))</f>
        <v>0</v>
      </c>
      <c r="AQ433" s="3205">
        <f t="shared" ca="1" si="655"/>
        <v>8220.1245751339466</v>
      </c>
      <c r="AR433" s="2858">
        <f ca="1">IFERROR(AL433/AP433,0)</f>
        <v>0</v>
      </c>
      <c r="AT433" s="37">
        <f ca="1">SUM((INDIRECT(AT$2&amp;(ROW())):INDIRECT(AT$3&amp;(ROW()))))</f>
        <v>131651.02679949955</v>
      </c>
      <c r="AU433" s="37">
        <f ca="1">SUM(INDIRECT(AU$1&amp;AU$2&amp;$C433):INDIRECT(AU$1&amp;AU$3&amp;$C433))</f>
        <v>0</v>
      </c>
      <c r="AV433" s="3205">
        <f t="shared" ca="1" si="657"/>
        <v>131651.02679949955</v>
      </c>
      <c r="AW433" s="2858">
        <f ca="1">IFERROR(AT433/AU433,0)</f>
        <v>0</v>
      </c>
      <c r="AX433" s="37">
        <f ca="1">SUM(INDIRECT(AX$1&amp;AX$2&amp;$A433):INDIRECT(AX$1&amp;AX$3&amp;$A433))+SUM(INDIRECT(AX$1&amp;AX$2&amp;$B433):INDIRECT(AX$1&amp;AX$3&amp;$B433))</f>
        <v>0</v>
      </c>
      <c r="AY433" s="3205">
        <f t="shared" ca="1" si="659"/>
        <v>131651.02679949955</v>
      </c>
      <c r="AZ433" s="2858">
        <f ca="1">IFERROR(AT433/AX433,0)</f>
        <v>0</v>
      </c>
      <c r="BB433" s="37">
        <f ca="1">SUM((INDIRECT(BB$2&amp;(ROW())):INDIRECT(BB$3&amp;(ROW()))))</f>
        <v>454807.19688465784</v>
      </c>
      <c r="BC433" s="37">
        <f ca="1">SUM(INDIRECT(BC$1&amp;BC$2&amp;$C433):INDIRECT(BC$1&amp;BC$3&amp;$C433))</f>
        <v>0</v>
      </c>
      <c r="BD433" s="3205">
        <f t="shared" ca="1" si="661"/>
        <v>454807.19688465784</v>
      </c>
      <c r="BE433" s="2858">
        <f ca="1">IFERROR(BB433/BC433,0)</f>
        <v>0</v>
      </c>
      <c r="BF433" s="37">
        <f ca="1">SUM(INDIRECT(BF$1&amp;BF$2&amp;$A433):INDIRECT(BF$1&amp;BF$3&amp;$A433))+SUM(INDIRECT(BF$1&amp;BF$2&amp;$B433):INDIRECT(BF$1&amp;BF$3&amp;$B433))</f>
        <v>0</v>
      </c>
      <c r="BG433" s="3205">
        <f t="shared" ca="1" si="663"/>
        <v>454807.19688465784</v>
      </c>
      <c r="BH433" s="2858">
        <f ca="1">IFERROR(BB433/BF433,0)</f>
        <v>0</v>
      </c>
    </row>
    <row r="434" spans="1:60" ht="14.5">
      <c r="A434" s="616">
        <f t="shared" si="624"/>
        <v>385</v>
      </c>
      <c r="B434" s="616">
        <v>1</v>
      </c>
      <c r="C434" s="616">
        <f t="shared" si="602"/>
        <v>431</v>
      </c>
      <c r="D434" s="709" t="s">
        <v>1308</v>
      </c>
      <c r="E434" s="2544">
        <v>1</v>
      </c>
      <c r="F434" s="8"/>
      <c r="G434" s="737"/>
      <c r="K434" s="223"/>
      <c r="L434" s="36" t="s">
        <v>1451</v>
      </c>
      <c r="Q434" s="1784" t="str">
        <f>CHOOSE(2, "6722000003353", "S/GP Office (2) PP Allocation cost")</f>
        <v>S/GP Office (2) PP Allocation cost</v>
      </c>
      <c r="R434" s="1289">
        <f t="shared" ref="R434:AC434" si="683">R201</f>
        <v>76925.6826870675</v>
      </c>
      <c r="S434" s="1232">
        <f t="shared" si="683"/>
        <v>53860.581385004407</v>
      </c>
      <c r="T434" s="1232">
        <f t="shared" si="683"/>
        <v>77726.745328805177</v>
      </c>
      <c r="U434" s="1232">
        <f t="shared" si="683"/>
        <v>73270.706619982404</v>
      </c>
      <c r="V434" s="1232">
        <f t="shared" si="683"/>
        <v>73485.342641867755</v>
      </c>
      <c r="W434" s="1232">
        <f t="shared" si="683"/>
        <v>33230.858338357924</v>
      </c>
      <c r="X434" s="1232">
        <f t="shared" si="683"/>
        <v>107513.94392488</v>
      </c>
      <c r="Y434" s="1232">
        <f t="shared" si="683"/>
        <v>78339.912249140281</v>
      </c>
      <c r="Z434" s="1232">
        <f t="shared" si="683"/>
        <v>74844.574226233512</v>
      </c>
      <c r="AA434" s="1232">
        <f t="shared" si="683"/>
        <v>86744.86999139603</v>
      </c>
      <c r="AB434" s="1232">
        <f t="shared" si="683"/>
        <v>35348.81431055435</v>
      </c>
      <c r="AC434" s="1232">
        <f t="shared" si="683"/>
        <v>34466.061098217688</v>
      </c>
      <c r="AD434" s="125">
        <f>SUM(R434,S434,T434)</f>
        <v>208513.00940087708</v>
      </c>
      <c r="AE434" s="126">
        <f t="shared" si="680"/>
        <v>179986.90760020807</v>
      </c>
      <c r="AF434" s="126">
        <f t="shared" si="681"/>
        <v>260698.4304002538</v>
      </c>
      <c r="AG434" s="126">
        <f t="shared" si="682"/>
        <v>156559.74540016806</v>
      </c>
      <c r="AH434" s="126">
        <f>AD434+AE434</f>
        <v>388499.91700108512</v>
      </c>
      <c r="AI434" s="126">
        <f>AG434+AF434</f>
        <v>417258.17580042186</v>
      </c>
      <c r="AJ434" s="126">
        <f>AH434+AI434</f>
        <v>805758.09280150698</v>
      </c>
      <c r="AL434" s="37">
        <f ca="1">SUM((INDIRECT(AL$2&amp;(ROW())):INDIRECT(AL$3&amp;(ROW()))))</f>
        <v>34466.061098217688</v>
      </c>
      <c r="AM434" s="37">
        <f ca="1">SUM(INDIRECT(AM$1&amp;AM$2&amp;$C434):INDIRECT(AM$1&amp;AM$3&amp;$C434))</f>
        <v>0</v>
      </c>
      <c r="AN434" s="3205">
        <f t="shared" ca="1" si="653"/>
        <v>34466.061098217688</v>
      </c>
      <c r="AO434" s="2858">
        <f ca="1">IFERROR(AL434/AM434,0)</f>
        <v>0</v>
      </c>
      <c r="AP434" s="37">
        <f ca="1">SUM(INDIRECT(AP$1&amp;AP$2&amp;$A434):INDIRECT(AP$1&amp;AP$3&amp;$A434))+SUM(INDIRECT(AP$1&amp;AP$2&amp;$B434):INDIRECT(AP$1&amp;AP$3&amp;$B434))</f>
        <v>0</v>
      </c>
      <c r="AQ434" s="3205">
        <f t="shared" ca="1" si="655"/>
        <v>34466.061098217688</v>
      </c>
      <c r="AR434" s="2858">
        <f ca="1">IFERROR(AL434/AP434,0)</f>
        <v>0</v>
      </c>
      <c r="AT434" s="37">
        <f ca="1">SUM((INDIRECT(AT$2&amp;(ROW())):INDIRECT(AT$3&amp;(ROW()))))</f>
        <v>156559.74540016806</v>
      </c>
      <c r="AU434" s="37">
        <f ca="1">SUM(INDIRECT(AU$1&amp;AU$2&amp;$C434):INDIRECT(AU$1&amp;AU$3&amp;$C434))</f>
        <v>0</v>
      </c>
      <c r="AV434" s="3205">
        <f t="shared" ca="1" si="657"/>
        <v>156559.74540016806</v>
      </c>
      <c r="AW434" s="2858">
        <f ca="1">IFERROR(AT434/AU434,0)</f>
        <v>0</v>
      </c>
      <c r="AX434" s="37">
        <f ca="1">SUM(INDIRECT(AX$1&amp;AX$2&amp;$A434):INDIRECT(AX$1&amp;AX$3&amp;$A434))+SUM(INDIRECT(AX$1&amp;AX$2&amp;$B434):INDIRECT(AX$1&amp;AX$3&amp;$B434))</f>
        <v>0</v>
      </c>
      <c r="AY434" s="3205">
        <f t="shared" ca="1" si="659"/>
        <v>156559.74540016806</v>
      </c>
      <c r="AZ434" s="2858">
        <f ca="1">IFERROR(AT434/AX434,0)</f>
        <v>0</v>
      </c>
      <c r="BB434" s="37">
        <f ca="1">SUM((INDIRECT(BB$2&amp;(ROW())):INDIRECT(BB$3&amp;(ROW()))))</f>
        <v>805758.09280150698</v>
      </c>
      <c r="BC434" s="37">
        <f ca="1">SUM(INDIRECT(BC$1&amp;BC$2&amp;$C434):INDIRECT(BC$1&amp;BC$3&amp;$C434))</f>
        <v>0</v>
      </c>
      <c r="BD434" s="3205">
        <f t="shared" ca="1" si="661"/>
        <v>805758.09280150698</v>
      </c>
      <c r="BE434" s="2858">
        <f ca="1">IFERROR(BB434/BC434,0)</f>
        <v>0</v>
      </c>
      <c r="BF434" s="37">
        <f ca="1">SUM(INDIRECT(BF$1&amp;BF$2&amp;$A434):INDIRECT(BF$1&amp;BF$3&amp;$A434))+SUM(INDIRECT(BF$1&amp;BF$2&amp;$B434):INDIRECT(BF$1&amp;BF$3&amp;$B434))</f>
        <v>0</v>
      </c>
      <c r="BG434" s="3205">
        <f t="shared" ca="1" si="663"/>
        <v>805758.09280150698</v>
      </c>
      <c r="BH434" s="2858">
        <f ca="1">IFERROR(BB434/BF434,0)</f>
        <v>0</v>
      </c>
    </row>
    <row r="435" spans="1:60" ht="14.5">
      <c r="A435" s="616">
        <f t="shared" si="624"/>
        <v>386</v>
      </c>
      <c r="B435" s="616">
        <v>1</v>
      </c>
      <c r="C435" s="616">
        <f t="shared" si="602"/>
        <v>432</v>
      </c>
      <c r="D435" s="709" t="s">
        <v>1308</v>
      </c>
      <c r="E435" s="2544">
        <v>1</v>
      </c>
      <c r="F435" s="8"/>
      <c r="G435" s="737"/>
      <c r="K435" s="711"/>
      <c r="L435" s="743" t="s">
        <v>1454</v>
      </c>
      <c r="M435" s="11"/>
      <c r="N435" s="11"/>
      <c r="O435" s="11"/>
      <c r="P435" s="11"/>
      <c r="Q435" s="1785" t="str">
        <f>CHOOSE(2, "6722000003354", "S/GP Office (2) PP Allocation rate to PP (%)")</f>
        <v>S/GP Office (2) PP Allocation rate to PP (%)</v>
      </c>
      <c r="R435" s="1369">
        <f>IFERROR(R434/R427,0)</f>
        <v>0.67798808966629986</v>
      </c>
      <c r="S435" s="1369">
        <f t="shared" ref="S435:AC435" si="684">IFERROR(S434/S427,0)</f>
        <v>0.7007591273264504</v>
      </c>
      <c r="T435" s="1369">
        <f t="shared" si="684"/>
        <v>0.68858381840019045</v>
      </c>
      <c r="U435" s="1369">
        <f t="shared" si="684"/>
        <v>0.69120501603437423</v>
      </c>
      <c r="V435" s="1369">
        <f t="shared" si="684"/>
        <v>0.69208219145253591</v>
      </c>
      <c r="W435" s="1369">
        <f t="shared" si="684"/>
        <v>0.69207796691089052</v>
      </c>
      <c r="X435" s="1369">
        <f t="shared" si="684"/>
        <v>0.69208290072521261</v>
      </c>
      <c r="Y435" s="1369">
        <f t="shared" si="684"/>
        <v>0.69208035414792557</v>
      </c>
      <c r="Z435" s="1369">
        <f t="shared" si="684"/>
        <v>0.69208041988070135</v>
      </c>
      <c r="AA435" s="1369">
        <f t="shared" si="684"/>
        <v>0.62182520296780841</v>
      </c>
      <c r="AB435" s="1369">
        <f t="shared" si="684"/>
        <v>0.69207492950483773</v>
      </c>
      <c r="AC435" s="1369">
        <f t="shared" si="684"/>
        <v>0.50788501074141434</v>
      </c>
      <c r="AD435" s="1365">
        <f t="shared" ref="AD435:AJ435" si="685">IFERROR(AD434/AD$427,0)</f>
        <v>0.68770515724076053</v>
      </c>
      <c r="AE435" s="1365">
        <f t="shared" si="685"/>
        <v>0.69172405518883828</v>
      </c>
      <c r="AF435" s="1365">
        <f t="shared" si="685"/>
        <v>0.69208142324424304</v>
      </c>
      <c r="AG435" s="1365">
        <f t="shared" si="685"/>
        <v>0.60579012920851227</v>
      </c>
      <c r="AH435" s="1365">
        <f t="shared" si="685"/>
        <v>0.68956123824161086</v>
      </c>
      <c r="AI435" s="1365">
        <f t="shared" si="685"/>
        <v>0.65696868418995513</v>
      </c>
      <c r="AJ435" s="1365">
        <f t="shared" si="685"/>
        <v>0.67228972543827803</v>
      </c>
      <c r="AL435" s="1369">
        <f ca="1">IFERROR(AL434/AL$424,0)</f>
        <v>0</v>
      </c>
      <c r="AM435" s="1365">
        <f ca="1">IFERROR(AM434/AM$424,0)</f>
        <v>0</v>
      </c>
      <c r="AN435" s="3201">
        <f t="shared" ca="1" si="653"/>
        <v>0</v>
      </c>
      <c r="AO435" s="2854"/>
      <c r="AP435" s="1365">
        <f ca="1">IFERROR(AP434/AP$424,0)</f>
        <v>0</v>
      </c>
      <c r="AQ435" s="3201">
        <f t="shared" ca="1" si="655"/>
        <v>0</v>
      </c>
      <c r="AR435" s="2854"/>
      <c r="AT435" s="1369">
        <f ca="1">IFERROR(AT434/AT$424,0)</f>
        <v>0</v>
      </c>
      <c r="AU435" s="1365">
        <f ca="1">IFERROR(AU434/AU$424,0)</f>
        <v>0</v>
      </c>
      <c r="AV435" s="3201">
        <f t="shared" ca="1" si="657"/>
        <v>0</v>
      </c>
      <c r="AW435" s="2854"/>
      <c r="AX435" s="1365">
        <f ca="1">IFERROR(AX434/AX$424,0)</f>
        <v>0</v>
      </c>
      <c r="AY435" s="3201">
        <f t="shared" ca="1" si="659"/>
        <v>0</v>
      </c>
      <c r="AZ435" s="2854"/>
      <c r="BB435" s="1369">
        <f ca="1">IFERROR(BB434/BB$424,0)</f>
        <v>0</v>
      </c>
      <c r="BC435" s="1365">
        <f ca="1">IFERROR(BC434/BC$424,0)</f>
        <v>0</v>
      </c>
      <c r="BD435" s="3201">
        <f t="shared" ca="1" si="661"/>
        <v>0</v>
      </c>
      <c r="BE435" s="2854"/>
      <c r="BF435" s="1365">
        <f ca="1">IFERROR(BF434/BF$424,0)</f>
        <v>0</v>
      </c>
      <c r="BG435" s="3201">
        <f t="shared" ca="1" si="663"/>
        <v>0</v>
      </c>
      <c r="BH435" s="2854"/>
    </row>
    <row r="436" spans="1:60" ht="14.5">
      <c r="A436" s="616">
        <f t="shared" si="624"/>
        <v>387</v>
      </c>
      <c r="B436" s="616">
        <v>1</v>
      </c>
      <c r="C436" s="616">
        <f t="shared" si="602"/>
        <v>433</v>
      </c>
      <c r="D436" s="709" t="s">
        <v>1308</v>
      </c>
      <c r="E436" s="2544">
        <v>1</v>
      </c>
      <c r="F436" s="8"/>
      <c r="G436" s="737"/>
      <c r="I436" s="8"/>
      <c r="K436" s="3210" t="s">
        <v>1399</v>
      </c>
      <c r="L436" s="2224"/>
      <c r="M436" s="589"/>
      <c r="N436" s="589"/>
      <c r="O436" s="589"/>
      <c r="P436" s="589"/>
      <c r="Q436" s="1807" t="str">
        <f>CHOOSE(2, "6722000003355", "S/GP Office (3) IP")</f>
        <v>S/GP Office (3) IP</v>
      </c>
      <c r="R436" s="1357">
        <f>SUM(R437:R438)</f>
        <v>2598.9108360598129</v>
      </c>
      <c r="S436" s="1357">
        <f t="shared" ref="S436:AJ436" si="686">SUM(S437:S438)</f>
        <v>2277.5850230155347</v>
      </c>
      <c r="T436" s="1357">
        <f t="shared" si="686"/>
        <v>2653.8869849289322</v>
      </c>
      <c r="U436" s="1357">
        <f t="shared" si="686"/>
        <v>2642.4913994741919</v>
      </c>
      <c r="V436" s="1357">
        <f t="shared" si="686"/>
        <v>2654.6348013777306</v>
      </c>
      <c r="W436" s="1357">
        <f t="shared" si="686"/>
        <v>2761.8275081004808</v>
      </c>
      <c r="X436" s="1358">
        <f t="shared" si="686"/>
        <v>2687.8747639580652</v>
      </c>
      <c r="Y436" s="1358">
        <f t="shared" si="686"/>
        <v>2764.0233053629686</v>
      </c>
      <c r="Z436" s="1358">
        <f t="shared" si="686"/>
        <v>2798.3414142982901</v>
      </c>
      <c r="AA436" s="1359">
        <f t="shared" si="686"/>
        <v>3475.1798832428681</v>
      </c>
      <c r="AB436" s="1359">
        <f t="shared" si="686"/>
        <v>3704.6254925391677</v>
      </c>
      <c r="AC436" s="1359">
        <f t="shared" si="686"/>
        <v>1221.7619243365768</v>
      </c>
      <c r="AD436" s="3211">
        <f t="shared" si="686"/>
        <v>7530.3828440042798</v>
      </c>
      <c r="AE436" s="1359">
        <f t="shared" si="686"/>
        <v>8058.9537089524038</v>
      </c>
      <c r="AF436" s="1359">
        <f t="shared" si="686"/>
        <v>8250.2394836193234</v>
      </c>
      <c r="AG436" s="1359">
        <f t="shared" si="686"/>
        <v>8401.5673001186133</v>
      </c>
      <c r="AH436" s="1359">
        <f t="shared" si="686"/>
        <v>15589.336552956684</v>
      </c>
      <c r="AI436" s="1359">
        <f t="shared" si="686"/>
        <v>16651.806783737935</v>
      </c>
      <c r="AJ436" s="1359">
        <f t="shared" si="686"/>
        <v>32241.143336694618</v>
      </c>
      <c r="AL436" s="3212">
        <f ca="1">SUM((INDIRECT(AL$2&amp;(ROW())):INDIRECT(AL$3&amp;(ROW()))))</f>
        <v>1221.7619243365768</v>
      </c>
      <c r="AM436" s="3212">
        <f ca="1">SUM(INDIRECT(AM$1&amp;AM$2&amp;$C436):INDIRECT(AM$1&amp;AM$3&amp;$C436))</f>
        <v>170626.67016879705</v>
      </c>
      <c r="AN436" s="3213">
        <f t="shared" ca="1" si="653"/>
        <v>-169404.90824446047</v>
      </c>
      <c r="AO436" s="2864">
        <f ca="1">IFERROR(AL436/AM436,0)</f>
        <v>7.1604393564494682E-3</v>
      </c>
      <c r="AP436" s="3212">
        <f ca="1">SUM(INDIRECT(AP$1&amp;AP$2&amp;$A436):INDIRECT(AP$1&amp;AP$3&amp;$A436))+SUM(INDIRECT(AP$1&amp;AP$2&amp;$B436):INDIRECT(AP$1&amp;AP$3&amp;$B436))</f>
        <v>0</v>
      </c>
      <c r="AQ436" s="3213">
        <f t="shared" ca="1" si="655"/>
        <v>1221.7619243365768</v>
      </c>
      <c r="AR436" s="2864">
        <f ca="1">IFERROR(AL436/AP436,0)</f>
        <v>0</v>
      </c>
      <c r="AT436" s="3212">
        <f ca="1">SUM((INDIRECT(AT$2&amp;(ROW())):INDIRECT(AT$3&amp;(ROW()))))</f>
        <v>8401.5673001186133</v>
      </c>
      <c r="AU436" s="3212">
        <f ca="1">SUM(INDIRECT(AU$1&amp;AU$2&amp;$C436):INDIRECT(AU$1&amp;AU$3&amp;$C436))</f>
        <v>504004.77981766558</v>
      </c>
      <c r="AV436" s="3213">
        <f t="shared" ca="1" si="657"/>
        <v>-495603.21251754696</v>
      </c>
      <c r="AW436" s="2864">
        <f ca="1">IFERROR(AT436/AU436,0)</f>
        <v>1.666961829837816E-2</v>
      </c>
      <c r="AX436" s="3212">
        <f ca="1">SUM(INDIRECT(AX$1&amp;AX$2&amp;$A436):INDIRECT(AX$1&amp;AX$3&amp;$A436))+SUM(INDIRECT(AX$1&amp;AX$2&amp;$B436):INDIRECT(AX$1&amp;AX$3&amp;$B436))</f>
        <v>0</v>
      </c>
      <c r="AY436" s="3213">
        <f t="shared" ca="1" si="659"/>
        <v>8401.5673001186133</v>
      </c>
      <c r="AZ436" s="2864">
        <f ca="1">IFERROR(AT436/AX436,0)</f>
        <v>0</v>
      </c>
      <c r="BB436" s="3212">
        <f ca="1">SUM((INDIRECT(BB$2&amp;(ROW())):INDIRECT(BB$3&amp;(ROW()))))</f>
        <v>32241.143336694622</v>
      </c>
      <c r="BC436" s="3212">
        <f ca="1">SUM(INDIRECT(BC$1&amp;BC$2&amp;$C436):INDIRECT(BC$1&amp;BC$3&amp;$C436))</f>
        <v>863400.99262043636</v>
      </c>
      <c r="BD436" s="3213">
        <f t="shared" ca="1" si="661"/>
        <v>-831159.84928374179</v>
      </c>
      <c r="BE436" s="2864">
        <f ca="1">IFERROR(BB436/BC436,0)</f>
        <v>3.734202718350163E-2</v>
      </c>
      <c r="BF436" s="3212">
        <f ca="1">SUM(INDIRECT(BF$1&amp;BF$2&amp;$A436):INDIRECT(BF$1&amp;BF$3&amp;$A436))+SUM(INDIRECT(BF$1&amp;BF$2&amp;$B436):INDIRECT(BF$1&amp;BF$3&amp;$B436))</f>
        <v>0</v>
      </c>
      <c r="BG436" s="3213">
        <f t="shared" ca="1" si="663"/>
        <v>32241.143336694622</v>
      </c>
      <c r="BH436" s="2864">
        <f ca="1">IFERROR(BB436/BF436,0)</f>
        <v>0</v>
      </c>
    </row>
    <row r="437" spans="1:60" ht="14.5">
      <c r="A437" s="616">
        <f t="shared" si="624"/>
        <v>388</v>
      </c>
      <c r="B437" s="616">
        <v>1</v>
      </c>
      <c r="C437" s="616">
        <f t="shared" si="602"/>
        <v>434</v>
      </c>
      <c r="D437" s="709" t="s">
        <v>1308</v>
      </c>
      <c r="E437" s="2544">
        <v>1</v>
      </c>
      <c r="F437" s="8"/>
      <c r="G437" s="737"/>
      <c r="I437" s="8"/>
      <c r="K437" s="223"/>
      <c r="L437" s="36" t="s">
        <v>518</v>
      </c>
      <c r="Q437" s="1784" t="str">
        <f>CHOOSE(2, "6722000003356", "S/GP Office (3) IP Directly assigned")</f>
        <v>S/GP Office (3) IP Directly assigned</v>
      </c>
      <c r="R437" s="1289">
        <f t="shared" ref="R437:AC437" si="687">R279</f>
        <v>2598.9108360598129</v>
      </c>
      <c r="S437" s="1232">
        <f t="shared" si="687"/>
        <v>2277.5850230155347</v>
      </c>
      <c r="T437" s="1232">
        <f t="shared" si="687"/>
        <v>2653.8869849289322</v>
      </c>
      <c r="U437" s="1232">
        <f t="shared" si="687"/>
        <v>2642.4913994741919</v>
      </c>
      <c r="V437" s="1232">
        <f t="shared" si="687"/>
        <v>2654.6348013777306</v>
      </c>
      <c r="W437" s="1232">
        <f t="shared" si="687"/>
        <v>2761.8275081004808</v>
      </c>
      <c r="X437" s="1232">
        <f t="shared" si="687"/>
        <v>2687.8747639580652</v>
      </c>
      <c r="Y437" s="1232">
        <f t="shared" si="687"/>
        <v>2764.0233053629686</v>
      </c>
      <c r="Z437" s="1232">
        <f t="shared" si="687"/>
        <v>2798.3414142982901</v>
      </c>
      <c r="AA437" s="1232">
        <f t="shared" si="687"/>
        <v>3475.1798832428681</v>
      </c>
      <c r="AB437" s="1232">
        <f t="shared" si="687"/>
        <v>3704.6254925391677</v>
      </c>
      <c r="AC437" s="1232">
        <f t="shared" si="687"/>
        <v>1221.7619243365768</v>
      </c>
      <c r="AD437" s="125">
        <f>SUM(R437,S437,T437)</f>
        <v>7530.3828440042798</v>
      </c>
      <c r="AE437" s="126">
        <f t="shared" ref="AE437:AE438" si="688">SUM(U437,V437,W437)</f>
        <v>8058.9537089524038</v>
      </c>
      <c r="AF437" s="126">
        <f t="shared" ref="AF437:AF438" si="689">SUM(X437,Y437,Z437)</f>
        <v>8250.2394836193234</v>
      </c>
      <c r="AG437" s="126">
        <f t="shared" ref="AG437:AG438" si="690">SUM(AA437,AB437,AC437)</f>
        <v>8401.5673001186133</v>
      </c>
      <c r="AH437" s="126">
        <f>AD437+AE437</f>
        <v>15589.336552956684</v>
      </c>
      <c r="AI437" s="126">
        <f>AG437+AF437</f>
        <v>16651.806783737935</v>
      </c>
      <c r="AJ437" s="126">
        <f>AH437+AI437</f>
        <v>32241.143336694618</v>
      </c>
      <c r="AL437" s="37">
        <f ca="1">SUM((INDIRECT(AL$2&amp;(ROW())):INDIRECT(AL$3&amp;(ROW()))))</f>
        <v>1221.7619243365768</v>
      </c>
      <c r="AM437" s="37">
        <f ca="1">SUM(INDIRECT(AM$1&amp;AM$2&amp;$C437):INDIRECT(AM$1&amp;AM$3&amp;$C437))</f>
        <v>101366.81248966583</v>
      </c>
      <c r="AN437" s="3205">
        <f t="shared" ca="1" si="653"/>
        <v>-100145.05056532925</v>
      </c>
      <c r="AO437" s="2858">
        <f ca="1">IFERROR(AL437/AM437,0)</f>
        <v>1.2052878987993565E-2</v>
      </c>
      <c r="AP437" s="37">
        <f ca="1">SUM(INDIRECT(AP$1&amp;AP$2&amp;$A437):INDIRECT(AP$1&amp;AP$3&amp;$A437))+SUM(INDIRECT(AP$1&amp;AP$2&amp;$B437):INDIRECT(AP$1&amp;AP$3&amp;$B437))</f>
        <v>0</v>
      </c>
      <c r="AQ437" s="3205">
        <f t="shared" ca="1" si="655"/>
        <v>1221.7619243365768</v>
      </c>
      <c r="AR437" s="2858">
        <f ca="1">IFERROR(AL437/AP437,0)</f>
        <v>0</v>
      </c>
      <c r="AT437" s="37">
        <f ca="1">SUM((INDIRECT(AT$2&amp;(ROW())):INDIRECT(AT$3&amp;(ROW()))))</f>
        <v>8401.5673001186133</v>
      </c>
      <c r="AU437" s="37">
        <f ca="1">SUM(INDIRECT(AU$1&amp;AU$2&amp;$C437):INDIRECT(AU$1&amp;AU$3&amp;$C437))</f>
        <v>303984.6720214808</v>
      </c>
      <c r="AV437" s="3205">
        <f t="shared" ca="1" si="657"/>
        <v>-295583.10472136218</v>
      </c>
      <c r="AW437" s="2858">
        <f ca="1">IFERROR(AT437/AU437,0)</f>
        <v>2.7638128081421565E-2</v>
      </c>
      <c r="AX437" s="37">
        <f ca="1">SUM(INDIRECT(AX$1&amp;AX$2&amp;$A437):INDIRECT(AX$1&amp;AX$3&amp;$A437))+SUM(INDIRECT(AX$1&amp;AX$2&amp;$B437):INDIRECT(AX$1&amp;AX$3&amp;$B437))</f>
        <v>0</v>
      </c>
      <c r="AY437" s="3205">
        <f t="shared" ca="1" si="659"/>
        <v>8401.5673001186133</v>
      </c>
      <c r="AZ437" s="2858">
        <f ca="1">IFERROR(AT437/AX437,0)</f>
        <v>0</v>
      </c>
      <c r="BB437" s="37">
        <f ca="1">SUM((INDIRECT(BB$2&amp;(ROW())):INDIRECT(BB$3&amp;(ROW()))))</f>
        <v>32241.143336694622</v>
      </c>
      <c r="BC437" s="37">
        <f ca="1">SUM(INDIRECT(BC$1&amp;BC$2&amp;$C437):INDIRECT(BC$1&amp;BC$3&amp;$C437))</f>
        <v>506194.21024347725</v>
      </c>
      <c r="BD437" s="3205">
        <f t="shared" ca="1" si="661"/>
        <v>-473953.06690678262</v>
      </c>
      <c r="BE437" s="2858">
        <f ca="1">IFERROR(BB437/BC437,0)</f>
        <v>6.3693228180517453E-2</v>
      </c>
      <c r="BF437" s="37">
        <f ca="1">SUM(INDIRECT(BF$1&amp;BF$2&amp;$A437):INDIRECT(BF$1&amp;BF$3&amp;$A437))+SUM(INDIRECT(BF$1&amp;BF$2&amp;$B437):INDIRECT(BF$1&amp;BF$3&amp;$B437))</f>
        <v>0</v>
      </c>
      <c r="BG437" s="3205">
        <f t="shared" ca="1" si="663"/>
        <v>32241.143336694622</v>
      </c>
      <c r="BH437" s="2858">
        <f ca="1">IFERROR(BB437/BF437,0)</f>
        <v>0</v>
      </c>
    </row>
    <row r="438" spans="1:60" ht="14.5">
      <c r="A438" s="616">
        <f t="shared" si="624"/>
        <v>389</v>
      </c>
      <c r="B438" s="616">
        <v>1</v>
      </c>
      <c r="C438" s="616">
        <f t="shared" si="602"/>
        <v>435</v>
      </c>
      <c r="D438" s="709" t="s">
        <v>1308</v>
      </c>
      <c r="E438" s="2544">
        <v>1</v>
      </c>
      <c r="F438" s="8"/>
      <c r="G438" s="737"/>
      <c r="I438" s="8"/>
      <c r="K438" s="223"/>
      <c r="L438" s="36" t="s">
        <v>1451</v>
      </c>
      <c r="Q438" s="1784" t="str">
        <f>CHOOSE(2, "6722000003357", "S/GP Office (3) IP Allocation cost")</f>
        <v>S/GP Office (3) IP Allocation cost</v>
      </c>
      <c r="R438" s="1289">
        <f t="shared" ref="R438:AC438" si="691">R283</f>
        <v>0</v>
      </c>
      <c r="S438" s="1232">
        <f t="shared" si="691"/>
        <v>0</v>
      </c>
      <c r="T438" s="1232">
        <f t="shared" si="691"/>
        <v>0</v>
      </c>
      <c r="U438" s="1232">
        <f t="shared" si="691"/>
        <v>0</v>
      </c>
      <c r="V438" s="1232">
        <f t="shared" si="691"/>
        <v>0</v>
      </c>
      <c r="W438" s="1232">
        <f t="shared" si="691"/>
        <v>0</v>
      </c>
      <c r="X438" s="1232">
        <f t="shared" si="691"/>
        <v>0</v>
      </c>
      <c r="Y438" s="1232">
        <f t="shared" si="691"/>
        <v>0</v>
      </c>
      <c r="Z438" s="1232">
        <f t="shared" si="691"/>
        <v>0</v>
      </c>
      <c r="AA438" s="1232">
        <f t="shared" si="691"/>
        <v>0</v>
      </c>
      <c r="AB438" s="1232">
        <f t="shared" si="691"/>
        <v>0</v>
      </c>
      <c r="AC438" s="1232">
        <f t="shared" si="691"/>
        <v>0</v>
      </c>
      <c r="AD438" s="125">
        <f>SUM(R438,S438,T438)</f>
        <v>0</v>
      </c>
      <c r="AE438" s="126">
        <f t="shared" si="688"/>
        <v>0</v>
      </c>
      <c r="AF438" s="126">
        <f t="shared" si="689"/>
        <v>0</v>
      </c>
      <c r="AG438" s="126">
        <f t="shared" si="690"/>
        <v>0</v>
      </c>
      <c r="AH438" s="126">
        <f>AD438+AE438</f>
        <v>0</v>
      </c>
      <c r="AI438" s="126">
        <f>AG438+AF438</f>
        <v>0</v>
      </c>
      <c r="AJ438" s="126">
        <f>AH438+AI438</f>
        <v>0</v>
      </c>
      <c r="AL438" s="37">
        <f ca="1">SUM((INDIRECT(AL$2&amp;(ROW())):INDIRECT(AL$3&amp;(ROW()))))</f>
        <v>0</v>
      </c>
      <c r="AM438" s="37">
        <f ca="1">SUM(INDIRECT(AM$1&amp;AM$2&amp;$C438):INDIRECT(AM$1&amp;AM$3&amp;$C438))</f>
        <v>69259.857679131223</v>
      </c>
      <c r="AN438" s="3205">
        <f t="shared" ca="1" si="653"/>
        <v>-69259.857679131223</v>
      </c>
      <c r="AO438" s="2858">
        <f ca="1">IFERROR(AL438/AM438,0)</f>
        <v>0</v>
      </c>
      <c r="AP438" s="37">
        <f ca="1">SUM(INDIRECT(AP$1&amp;AP$2&amp;$A438):INDIRECT(AP$1&amp;AP$3&amp;$A438))+SUM(INDIRECT(AP$1&amp;AP$2&amp;$B438):INDIRECT(AP$1&amp;AP$3&amp;$B438))</f>
        <v>2004.748270848942</v>
      </c>
      <c r="AQ438" s="3205">
        <f t="shared" ca="1" si="655"/>
        <v>-2004.748270848942</v>
      </c>
      <c r="AR438" s="2858">
        <f ca="1">IFERROR(AL438/AP438,0)</f>
        <v>0</v>
      </c>
      <c r="AT438" s="37">
        <f ca="1">SUM((INDIRECT(AT$2&amp;(ROW())):INDIRECT(AT$3&amp;(ROW()))))</f>
        <v>0</v>
      </c>
      <c r="AU438" s="37">
        <f ca="1">SUM(INDIRECT(AU$1&amp;AU$2&amp;$C438):INDIRECT(AU$1&amp;AU$3&amp;$C438))</f>
        <v>200020.10779618478</v>
      </c>
      <c r="AV438" s="3205">
        <f t="shared" ca="1" si="657"/>
        <v>-200020.10779618478</v>
      </c>
      <c r="AW438" s="2858">
        <f ca="1">IFERROR(AT438/AU438,0)</f>
        <v>0</v>
      </c>
      <c r="AX438" s="37">
        <f ca="1">SUM(INDIRECT(AX$1&amp;AX$2&amp;$A438):INDIRECT(AX$1&amp;AX$3&amp;$A438))+SUM(INDIRECT(AX$1&amp;AX$2&amp;$B438):INDIRECT(AX$1&amp;AX$3&amp;$B438))</f>
        <v>5122.2584881111652</v>
      </c>
      <c r="AY438" s="3205">
        <f t="shared" ca="1" si="659"/>
        <v>-5122.2584881111652</v>
      </c>
      <c r="AZ438" s="2858">
        <f ca="1">IFERROR(AT438/AX438,0)</f>
        <v>0</v>
      </c>
      <c r="BB438" s="37">
        <f ca="1">SUM((INDIRECT(BB$2&amp;(ROW())):INDIRECT(BB$3&amp;(ROW()))))</f>
        <v>0</v>
      </c>
      <c r="BC438" s="37">
        <f ca="1">SUM(INDIRECT(BC$1&amp;BC$2&amp;$C438):INDIRECT(BC$1&amp;BC$3&amp;$C438))</f>
        <v>357206.78237695911</v>
      </c>
      <c r="BD438" s="3205">
        <f t="shared" ca="1" si="661"/>
        <v>-357206.78237695911</v>
      </c>
      <c r="BE438" s="2858">
        <f ca="1">IFERROR(BB438/BC438,0)</f>
        <v>0</v>
      </c>
      <c r="BF438" s="37">
        <f ca="1">SUM(INDIRECT(BF$1&amp;BF$2&amp;$A438):INDIRECT(BF$1&amp;BF$3&amp;$A438))+SUM(INDIRECT(BF$1&amp;BF$2&amp;$B438):INDIRECT(BF$1&amp;BF$3&amp;$B438))</f>
        <v>16236.039529031732</v>
      </c>
      <c r="BG438" s="3205">
        <f t="shared" ca="1" si="663"/>
        <v>-16236.039529031732</v>
      </c>
      <c r="BH438" s="2858">
        <f ca="1">IFERROR(BB438/BF438,0)</f>
        <v>0</v>
      </c>
    </row>
    <row r="439" spans="1:60" ht="14.5">
      <c r="A439" s="616">
        <f t="shared" si="624"/>
        <v>390</v>
      </c>
      <c r="B439" s="616">
        <v>1</v>
      </c>
      <c r="C439" s="616">
        <f t="shared" si="602"/>
        <v>436</v>
      </c>
      <c r="D439" s="709" t="s">
        <v>1308</v>
      </c>
      <c r="E439" s="2544">
        <v>1</v>
      </c>
      <c r="F439" s="8"/>
      <c r="G439" s="737"/>
      <c r="I439" s="8"/>
      <c r="K439" s="172"/>
      <c r="L439" s="743" t="s">
        <v>1455</v>
      </c>
      <c r="M439" s="9"/>
      <c r="N439" s="9"/>
      <c r="O439" s="9"/>
      <c r="Q439" s="1785" t="str">
        <f>CHOOSE(2, "6722000003358", "S/GP Office (3) IP Allocation rate to IP (%)")</f>
        <v>S/GP Office (3) IP Allocation rate to IP (%)</v>
      </c>
      <c r="R439" s="1369">
        <f>IFERROR(R438/R427,0)</f>
        <v>0</v>
      </c>
      <c r="S439" s="1369">
        <f t="shared" ref="S439:AC439" si="692">IFERROR(S438/S427,0)</f>
        <v>0</v>
      </c>
      <c r="T439" s="1369">
        <f t="shared" si="692"/>
        <v>0</v>
      </c>
      <c r="U439" s="1369">
        <f t="shared" si="692"/>
        <v>0</v>
      </c>
      <c r="V439" s="1369">
        <f t="shared" si="692"/>
        <v>0</v>
      </c>
      <c r="W439" s="1369">
        <f t="shared" si="692"/>
        <v>0</v>
      </c>
      <c r="X439" s="1369">
        <f t="shared" si="692"/>
        <v>0</v>
      </c>
      <c r="Y439" s="1369">
        <f t="shared" si="692"/>
        <v>0</v>
      </c>
      <c r="Z439" s="1369">
        <f t="shared" si="692"/>
        <v>0</v>
      </c>
      <c r="AA439" s="1369">
        <f t="shared" si="692"/>
        <v>0</v>
      </c>
      <c r="AB439" s="1369">
        <f t="shared" si="692"/>
        <v>0</v>
      </c>
      <c r="AC439" s="1369">
        <f t="shared" si="692"/>
        <v>0</v>
      </c>
      <c r="AD439" s="1365">
        <f t="shared" ref="AD439:AJ439" si="693">IFERROR(AD438/AD$427,0)</f>
        <v>0</v>
      </c>
      <c r="AE439" s="1365">
        <f t="shared" si="693"/>
        <v>0</v>
      </c>
      <c r="AF439" s="1365">
        <f t="shared" si="693"/>
        <v>0</v>
      </c>
      <c r="AG439" s="1365">
        <f t="shared" si="693"/>
        <v>0</v>
      </c>
      <c r="AH439" s="1365">
        <f t="shared" si="693"/>
        <v>0</v>
      </c>
      <c r="AI439" s="1365">
        <f t="shared" si="693"/>
        <v>0</v>
      </c>
      <c r="AJ439" s="1365">
        <f t="shared" si="693"/>
        <v>0</v>
      </c>
      <c r="AL439" s="1369">
        <f ca="1">IFERROR(AL438/AL$424,0)</f>
        <v>0</v>
      </c>
      <c r="AM439" s="1365">
        <f ca="1">IFERROR(AM438/AM$424,0)</f>
        <v>0</v>
      </c>
      <c r="AN439" s="3201">
        <f t="shared" ca="1" si="653"/>
        <v>0</v>
      </c>
      <c r="AO439" s="2854"/>
      <c r="AP439" s="1365">
        <f ca="1">IFERROR(AP438/AP$424,0)</f>
        <v>0</v>
      </c>
      <c r="AQ439" s="3201">
        <f t="shared" ca="1" si="655"/>
        <v>0</v>
      </c>
      <c r="AR439" s="2854"/>
      <c r="AT439" s="1369">
        <f ca="1">IFERROR(AT438/AT$424,0)</f>
        <v>0</v>
      </c>
      <c r="AU439" s="1365">
        <f ca="1">IFERROR(AU438/AU$424,0)</f>
        <v>0</v>
      </c>
      <c r="AV439" s="3201">
        <f t="shared" ca="1" si="657"/>
        <v>0</v>
      </c>
      <c r="AW439" s="2854"/>
      <c r="AX439" s="1365">
        <f ca="1">IFERROR(AX438/AX$424,0)</f>
        <v>0</v>
      </c>
      <c r="AY439" s="3201">
        <f t="shared" ca="1" si="659"/>
        <v>0</v>
      </c>
      <c r="AZ439" s="2854"/>
      <c r="BB439" s="1369">
        <f ca="1">IFERROR(BB438/BB$424,0)</f>
        <v>0</v>
      </c>
      <c r="BC439" s="1365">
        <f ca="1">IFERROR(BC438/BC$424,0)</f>
        <v>0</v>
      </c>
      <c r="BD439" s="3201">
        <f t="shared" ca="1" si="661"/>
        <v>0</v>
      </c>
      <c r="BE439" s="2854"/>
      <c r="BF439" s="1365">
        <f ca="1">IFERROR(BF438/BF$424,0)</f>
        <v>0</v>
      </c>
      <c r="BG439" s="3201">
        <f t="shared" ca="1" si="663"/>
        <v>0</v>
      </c>
      <c r="BH439" s="2854"/>
    </row>
    <row r="440" spans="1:60" ht="14.5">
      <c r="A440" s="616">
        <f t="shared" si="624"/>
        <v>391</v>
      </c>
      <c r="B440" s="616">
        <v>1</v>
      </c>
      <c r="C440" s="616">
        <f t="shared" si="602"/>
        <v>437</v>
      </c>
      <c r="D440" s="709" t="s">
        <v>1308</v>
      </c>
      <c r="E440" s="2544">
        <v>1</v>
      </c>
      <c r="F440" s="8"/>
      <c r="G440" s="737"/>
      <c r="I440" s="8"/>
      <c r="K440" s="3214" t="s">
        <v>1456</v>
      </c>
      <c r="L440" s="590"/>
      <c r="M440" s="590"/>
      <c r="N440" s="590"/>
      <c r="O440" s="590"/>
      <c r="P440" s="590"/>
      <c r="Q440" s="1808" t="str">
        <f>CHOOSE(2, "6722000003359", "S/GP Office (4) MS")</f>
        <v>S/GP Office (4) MS</v>
      </c>
      <c r="R440" s="1261">
        <f>SUM(R441:R442)</f>
        <v>0</v>
      </c>
      <c r="S440" s="1261">
        <f t="shared" ref="S440:AJ440" si="694">SUM(S441:S442)</f>
        <v>0</v>
      </c>
      <c r="T440" s="1261">
        <f t="shared" si="694"/>
        <v>0</v>
      </c>
      <c r="U440" s="1261">
        <f t="shared" si="694"/>
        <v>0</v>
      </c>
      <c r="V440" s="1261">
        <f t="shared" si="694"/>
        <v>0</v>
      </c>
      <c r="W440" s="1261">
        <f t="shared" si="694"/>
        <v>0</v>
      </c>
      <c r="X440" s="1360">
        <f t="shared" si="694"/>
        <v>0</v>
      </c>
      <c r="Y440" s="1360">
        <f t="shared" si="694"/>
        <v>0</v>
      </c>
      <c r="Z440" s="1360">
        <f t="shared" si="694"/>
        <v>0</v>
      </c>
      <c r="AA440" s="1361">
        <f t="shared" si="694"/>
        <v>0</v>
      </c>
      <c r="AB440" s="1361">
        <f t="shared" si="694"/>
        <v>0</v>
      </c>
      <c r="AC440" s="1361">
        <f t="shared" si="694"/>
        <v>0</v>
      </c>
      <c r="AD440" s="3215">
        <f t="shared" si="694"/>
        <v>0</v>
      </c>
      <c r="AE440" s="1361">
        <f t="shared" si="694"/>
        <v>0</v>
      </c>
      <c r="AF440" s="1361">
        <f t="shared" si="694"/>
        <v>0</v>
      </c>
      <c r="AG440" s="1361">
        <f t="shared" si="694"/>
        <v>0</v>
      </c>
      <c r="AH440" s="1361">
        <f t="shared" si="694"/>
        <v>0</v>
      </c>
      <c r="AI440" s="1361">
        <f t="shared" si="694"/>
        <v>0</v>
      </c>
      <c r="AJ440" s="1361">
        <f t="shared" si="694"/>
        <v>0</v>
      </c>
      <c r="AL440" s="3216">
        <f ca="1">SUM((INDIRECT(AL$2&amp;(ROW())):INDIRECT(AL$3&amp;(ROW()))))</f>
        <v>0</v>
      </c>
      <c r="AM440" s="3216">
        <f ca="1">SUM(INDIRECT(AM$1&amp;AM$2&amp;$C440):INDIRECT(AM$1&amp;AM$3&amp;$C440))</f>
        <v>41000</v>
      </c>
      <c r="AN440" s="3217">
        <f t="shared" ca="1" si="653"/>
        <v>-41000</v>
      </c>
      <c r="AO440" s="2867">
        <f ca="1">IFERROR(AL440/AM440,0)</f>
        <v>0</v>
      </c>
      <c r="AP440" s="3216">
        <f ca="1">SUM(INDIRECT(AP$1&amp;AP$2&amp;$A440):INDIRECT(AP$1&amp;AP$3&amp;$A440))+SUM(INDIRECT(AP$1&amp;AP$2&amp;$B440):INDIRECT(AP$1&amp;AP$3&amp;$B440))</f>
        <v>1465.145</v>
      </c>
      <c r="AQ440" s="3217">
        <f t="shared" ca="1" si="655"/>
        <v>-1465.145</v>
      </c>
      <c r="AR440" s="2867">
        <f ca="1">IFERROR(AL440/AP440,0)</f>
        <v>0</v>
      </c>
      <c r="AT440" s="3216">
        <f ca="1">SUM((INDIRECT(AT$2&amp;(ROW())):INDIRECT(AT$3&amp;(ROW()))))</f>
        <v>0</v>
      </c>
      <c r="AU440" s="3216">
        <f ca="1">SUM(INDIRECT(AU$1&amp;AU$2&amp;$C440):INDIRECT(AU$1&amp;AU$3&amp;$C440))</f>
        <v>123000</v>
      </c>
      <c r="AV440" s="3217">
        <f t="shared" ca="1" si="657"/>
        <v>-123000</v>
      </c>
      <c r="AW440" s="2867">
        <f ca="1">IFERROR(AT440/AU440,0)</f>
        <v>0</v>
      </c>
      <c r="AX440" s="3216">
        <f ca="1">SUM(INDIRECT(AX$1&amp;AX$2&amp;$A440):INDIRECT(AX$1&amp;AX$3&amp;$A440))+SUM(INDIRECT(AX$1&amp;AX$2&amp;$B440):INDIRECT(AX$1&amp;AX$3&amp;$B440))</f>
        <v>4150.4349999999995</v>
      </c>
      <c r="AY440" s="3217">
        <f t="shared" ca="1" si="659"/>
        <v>-4150.4349999999995</v>
      </c>
      <c r="AZ440" s="2867">
        <f ca="1">IFERROR(AT440/AX440,0)</f>
        <v>0</v>
      </c>
      <c r="BB440" s="3216">
        <f ca="1">SUM((INDIRECT(BB$2&amp;(ROW())):INDIRECT(BB$3&amp;(ROW()))))</f>
        <v>0</v>
      </c>
      <c r="BC440" s="3216">
        <f ca="1">SUM(INDIRECT(BC$1&amp;BC$2&amp;$C440):INDIRECT(BC$1&amp;BC$3&amp;$C440))</f>
        <v>205000</v>
      </c>
      <c r="BD440" s="3217">
        <f t="shared" ca="1" si="661"/>
        <v>-205000</v>
      </c>
      <c r="BE440" s="2867">
        <f ca="1">IFERROR(BB440/BC440,0)</f>
        <v>0</v>
      </c>
      <c r="BF440" s="3216">
        <f ca="1">SUM(INDIRECT(BF$1&amp;BF$2&amp;$A440):INDIRECT(BF$1&amp;BF$3&amp;$A440))+SUM(INDIRECT(BF$1&amp;BF$2&amp;$B440):INDIRECT(BF$1&amp;BF$3&amp;$B440))</f>
        <v>13310.435000000001</v>
      </c>
      <c r="BG440" s="3217">
        <f t="shared" ca="1" si="663"/>
        <v>-13310.435000000001</v>
      </c>
      <c r="BH440" s="2867">
        <f ca="1">IFERROR(BB440/BF440,0)</f>
        <v>0</v>
      </c>
    </row>
    <row r="441" spans="1:60" ht="14.5">
      <c r="A441" s="616">
        <f t="shared" si="624"/>
        <v>392</v>
      </c>
      <c r="B441" s="616">
        <v>1</v>
      </c>
      <c r="C441" s="616">
        <f t="shared" si="602"/>
        <v>438</v>
      </c>
      <c r="D441" s="709" t="s">
        <v>1308</v>
      </c>
      <c r="E441" s="2544">
        <v>1</v>
      </c>
      <c r="F441" s="8"/>
      <c r="G441" s="737"/>
      <c r="I441" s="8"/>
      <c r="K441" s="223"/>
      <c r="L441" s="36" t="s">
        <v>518</v>
      </c>
      <c r="Q441" s="1784" t="str">
        <f>CHOOSE(2, "6722000003360", "S/GP Office (4) MS Directly assigned")</f>
        <v>S/GP Office (4) MS Directly assigned</v>
      </c>
      <c r="R441" s="1289">
        <f t="shared" ref="R441:AC441" si="695">R342</f>
        <v>0</v>
      </c>
      <c r="S441" s="1232">
        <f t="shared" si="695"/>
        <v>0</v>
      </c>
      <c r="T441" s="1232">
        <f t="shared" si="695"/>
        <v>0</v>
      </c>
      <c r="U441" s="1232">
        <f t="shared" si="695"/>
        <v>0</v>
      </c>
      <c r="V441" s="1232">
        <f t="shared" si="695"/>
        <v>0</v>
      </c>
      <c r="W441" s="1232">
        <f t="shared" si="695"/>
        <v>0</v>
      </c>
      <c r="X441" s="1232">
        <f t="shared" si="695"/>
        <v>0</v>
      </c>
      <c r="Y441" s="1232">
        <f t="shared" si="695"/>
        <v>0</v>
      </c>
      <c r="Z441" s="1232">
        <f t="shared" si="695"/>
        <v>0</v>
      </c>
      <c r="AA441" s="1232">
        <f t="shared" si="695"/>
        <v>0</v>
      </c>
      <c r="AB441" s="1232">
        <f t="shared" si="695"/>
        <v>0</v>
      </c>
      <c r="AC441" s="1232">
        <f t="shared" si="695"/>
        <v>0</v>
      </c>
      <c r="AD441" s="125">
        <f>SUM(R441,S441,T441)</f>
        <v>0</v>
      </c>
      <c r="AE441" s="126">
        <f t="shared" ref="AE441:AE442" si="696">SUM(U441,V441,W441)</f>
        <v>0</v>
      </c>
      <c r="AF441" s="126">
        <f t="shared" ref="AF441:AF442" si="697">SUM(X441,Y441,Z441)</f>
        <v>0</v>
      </c>
      <c r="AG441" s="126">
        <f t="shared" ref="AG441:AG442" si="698">SUM(AA441,AB441,AC441)</f>
        <v>0</v>
      </c>
      <c r="AH441" s="126">
        <f>AD441+AE441</f>
        <v>0</v>
      </c>
      <c r="AI441" s="126">
        <f>AG441+AF441</f>
        <v>0</v>
      </c>
      <c r="AJ441" s="126">
        <f>AH441+AI441</f>
        <v>0</v>
      </c>
      <c r="AL441" s="37">
        <f ca="1">SUM((INDIRECT(AL$2&amp;(ROW())):INDIRECT(AL$3&amp;(ROW()))))</f>
        <v>0</v>
      </c>
      <c r="AM441" s="37">
        <f ca="1">SUM(INDIRECT(AM$1&amp;AM$2&amp;$C441):INDIRECT(AM$1&amp;AM$3&amp;$C441))</f>
        <v>19738.326305373546</v>
      </c>
      <c r="AN441" s="3205">
        <f t="shared" ca="1" si="653"/>
        <v>-19738.326305373546</v>
      </c>
      <c r="AO441" s="2858">
        <f ca="1">IFERROR(AL441/AM441,0)</f>
        <v>0</v>
      </c>
      <c r="AP441" s="37">
        <f ca="1">SUM(INDIRECT(AP$1&amp;AP$2&amp;$A441):INDIRECT(AP$1&amp;AP$3&amp;$A441))+SUM(INDIRECT(AP$1&amp;AP$2&amp;$B441):INDIRECT(AP$1&amp;AP$3&amp;$B441))</f>
        <v>229.14500000000001</v>
      </c>
      <c r="AQ441" s="3205">
        <f t="shared" ca="1" si="655"/>
        <v>-229.14500000000001</v>
      </c>
      <c r="AR441" s="2858">
        <f ca="1">IFERROR(AL441/AP441,0)</f>
        <v>0</v>
      </c>
      <c r="AT441" s="37">
        <f ca="1">SUM((INDIRECT(AT$2&amp;(ROW())):INDIRECT(AT$3&amp;(ROW()))))</f>
        <v>0</v>
      </c>
      <c r="AU441" s="37">
        <f ca="1">SUM(INDIRECT(AU$1&amp;AU$2&amp;$C441):INDIRECT(AU$1&amp;AU$3&amp;$C441))</f>
        <v>56367.75906672205</v>
      </c>
      <c r="AV441" s="3205">
        <f t="shared" ca="1" si="657"/>
        <v>-56367.75906672205</v>
      </c>
      <c r="AW441" s="2858">
        <f ca="1">IFERROR(AT441/AU441,0)</f>
        <v>0</v>
      </c>
      <c r="AX441" s="37">
        <f ca="1">SUM(INDIRECT(AX$1&amp;AX$2&amp;$A441):INDIRECT(AX$1&amp;AX$3&amp;$A441))+SUM(INDIRECT(AX$1&amp;AX$2&amp;$B441):INDIRECT(AX$1&amp;AX$3&amp;$B441))</f>
        <v>687.43500000000006</v>
      </c>
      <c r="AY441" s="3205">
        <f t="shared" ca="1" si="659"/>
        <v>-687.43500000000006</v>
      </c>
      <c r="AZ441" s="2858">
        <f ca="1">IFERROR(AT441/AX441,0)</f>
        <v>0</v>
      </c>
      <c r="BB441" s="37">
        <f ca="1">SUM((INDIRECT(BB$2&amp;(ROW())):INDIRECT(BB$3&amp;(ROW()))))</f>
        <v>0</v>
      </c>
      <c r="BC441" s="37">
        <f ca="1">SUM(INDIRECT(BC$1&amp;BC$2&amp;$C441):INDIRECT(BC$1&amp;BC$3&amp;$C441))</f>
        <v>100592.03560844646</v>
      </c>
      <c r="BD441" s="3205">
        <f t="shared" ca="1" si="661"/>
        <v>-100592.03560844646</v>
      </c>
      <c r="BE441" s="2858">
        <f ca="1">IFERROR(BB441/BC441,0)</f>
        <v>0</v>
      </c>
      <c r="BF441" s="37">
        <f ca="1">SUM(INDIRECT(BF$1&amp;BF$2&amp;$A441):INDIRECT(BF$1&amp;BF$3&amp;$A441))+SUM(INDIRECT(BF$1&amp;BF$2&amp;$B441):INDIRECT(BF$1&amp;BF$3&amp;$B441))</f>
        <v>2997.4349999999999</v>
      </c>
      <c r="BG441" s="3205">
        <f t="shared" ca="1" si="663"/>
        <v>-2997.4349999999999</v>
      </c>
      <c r="BH441" s="2858">
        <f ca="1">IFERROR(BB441/BF441,0)</f>
        <v>0</v>
      </c>
    </row>
    <row r="442" spans="1:60" ht="14.5">
      <c r="A442" s="616">
        <f t="shared" si="624"/>
        <v>393</v>
      </c>
      <c r="B442" s="616">
        <v>1</v>
      </c>
      <c r="C442" s="616">
        <f t="shared" si="602"/>
        <v>439</v>
      </c>
      <c r="D442" s="709" t="s">
        <v>1308</v>
      </c>
      <c r="E442" s="2544">
        <v>1</v>
      </c>
      <c r="F442" s="8"/>
      <c r="G442" s="737"/>
      <c r="I442" s="8"/>
      <c r="K442" s="223"/>
      <c r="L442" s="36" t="s">
        <v>1451</v>
      </c>
      <c r="Q442" s="1784" t="str">
        <f>CHOOSE(2, "6722000003361", "S/GP Office (4) MS Allocation cost")</f>
        <v>S/GP Office (4) MS Allocation cost</v>
      </c>
      <c r="R442" s="1289">
        <f t="shared" ref="R442:AC442" si="699">R346</f>
        <v>0</v>
      </c>
      <c r="S442" s="1232">
        <f t="shared" si="699"/>
        <v>0</v>
      </c>
      <c r="T442" s="1232">
        <f t="shared" si="699"/>
        <v>0</v>
      </c>
      <c r="U442" s="1232">
        <f t="shared" si="699"/>
        <v>0</v>
      </c>
      <c r="V442" s="1232">
        <f t="shared" si="699"/>
        <v>0</v>
      </c>
      <c r="W442" s="1232">
        <f t="shared" si="699"/>
        <v>0</v>
      </c>
      <c r="X442" s="1232">
        <f t="shared" si="699"/>
        <v>0</v>
      </c>
      <c r="Y442" s="1232">
        <f t="shared" si="699"/>
        <v>0</v>
      </c>
      <c r="Z442" s="1232">
        <f t="shared" si="699"/>
        <v>0</v>
      </c>
      <c r="AA442" s="1232">
        <f t="shared" si="699"/>
        <v>0</v>
      </c>
      <c r="AB442" s="1232">
        <f t="shared" si="699"/>
        <v>0</v>
      </c>
      <c r="AC442" s="1232">
        <f t="shared" si="699"/>
        <v>0</v>
      </c>
      <c r="AD442" s="125">
        <f>SUM(R442,S442,T442)</f>
        <v>0</v>
      </c>
      <c r="AE442" s="126">
        <f t="shared" si="696"/>
        <v>0</v>
      </c>
      <c r="AF442" s="126">
        <f t="shared" si="697"/>
        <v>0</v>
      </c>
      <c r="AG442" s="126">
        <f t="shared" si="698"/>
        <v>0</v>
      </c>
      <c r="AH442" s="126">
        <f>AD442+AE442</f>
        <v>0</v>
      </c>
      <c r="AI442" s="126">
        <f>AG442+AF442</f>
        <v>0</v>
      </c>
      <c r="AJ442" s="126">
        <f>AH442+AI442</f>
        <v>0</v>
      </c>
      <c r="AL442" s="37">
        <f ca="1">SUM((INDIRECT(AL$2&amp;(ROW())):INDIRECT(AL$3&amp;(ROW()))))</f>
        <v>0</v>
      </c>
      <c r="AM442" s="37">
        <f ca="1">SUM(INDIRECT(AM$1&amp;AM$2&amp;$C442):INDIRECT(AM$1&amp;AM$3&amp;$C442))</f>
        <v>0.28498941474609651</v>
      </c>
      <c r="AN442" s="3205">
        <f t="shared" ca="1" si="653"/>
        <v>-0.28498941474609651</v>
      </c>
      <c r="AO442" s="2858">
        <f ca="1">IFERROR(AL442/AM442,0)</f>
        <v>0</v>
      </c>
      <c r="AP442" s="37">
        <f ca="1">SUM(INDIRECT(AP$1&amp;AP$2&amp;$A442):INDIRECT(AP$1&amp;AP$3&amp;$A442))+SUM(INDIRECT(AP$1&amp;AP$2&amp;$B442):INDIRECT(AP$1&amp;AP$3&amp;$B442))</f>
        <v>964</v>
      </c>
      <c r="AQ442" s="3205">
        <f t="shared" ca="1" si="655"/>
        <v>-964</v>
      </c>
      <c r="AR442" s="2858">
        <f ca="1">IFERROR(AL442/AP442,0)</f>
        <v>0</v>
      </c>
      <c r="AT442" s="37">
        <f ca="1">SUM((INDIRECT(AT$2&amp;(ROW())):INDIRECT(AT$3&amp;(ROW()))))</f>
        <v>0</v>
      </c>
      <c r="AU442" s="37">
        <f ca="1">SUM(INDIRECT(AU$1&amp;AU$2&amp;$C442):INDIRECT(AU$1&amp;AU$3&amp;$C442))</f>
        <v>0.84526765489398392</v>
      </c>
      <c r="AV442" s="3205">
        <f t="shared" ca="1" si="657"/>
        <v>-0.84526765489398392</v>
      </c>
      <c r="AW442" s="2858">
        <f ca="1">IFERROR(AT442/AU442,0)</f>
        <v>0</v>
      </c>
      <c r="AX442" s="37">
        <f ca="1">SUM(INDIRECT(AX$1&amp;AX$2&amp;$A442):INDIRECT(AX$1&amp;AX$3&amp;$A442))+SUM(INDIRECT(AX$1&amp;AX$2&amp;$B442):INDIRECT(AX$1&amp;AX$3&amp;$B442))</f>
        <v>2647</v>
      </c>
      <c r="AY442" s="3205">
        <f t="shared" ca="1" si="659"/>
        <v>-2647</v>
      </c>
      <c r="AZ442" s="2858">
        <f ca="1">IFERROR(AT442/AX442,0)</f>
        <v>0</v>
      </c>
      <c r="BB442" s="37">
        <f ca="1">SUM((INDIRECT(BB$2&amp;(ROW())):INDIRECT(BB$3&amp;(ROW()))))</f>
        <v>0</v>
      </c>
      <c r="BC442" s="37">
        <f ca="1">SUM(INDIRECT(BC$1&amp;BC$2&amp;$C442):INDIRECT(BC$1&amp;BC$3&amp;$C442))</f>
        <v>1.4052710884676278</v>
      </c>
      <c r="BD442" s="3205">
        <f t="shared" ca="1" si="661"/>
        <v>-1.4052710884676278</v>
      </c>
      <c r="BE442" s="2858">
        <f ca="1">IFERROR(BB442/BC442,0)</f>
        <v>0</v>
      </c>
      <c r="BF442" s="37">
        <f ca="1">SUM(INDIRECT(BF$1&amp;BF$2&amp;$A442):INDIRECT(BF$1&amp;BF$3&amp;$A442))+SUM(INDIRECT(BF$1&amp;BF$2&amp;$B442):INDIRECT(BF$1&amp;BF$3&amp;$B442))</f>
        <v>6219</v>
      </c>
      <c r="BG442" s="3205">
        <f t="shared" ca="1" si="663"/>
        <v>-6219</v>
      </c>
      <c r="BH442" s="2858">
        <f ca="1">IFERROR(BB442/BF442,0)</f>
        <v>0</v>
      </c>
    </row>
    <row r="443" spans="1:60" ht="14.5">
      <c r="A443" s="616">
        <f t="shared" si="624"/>
        <v>394</v>
      </c>
      <c r="B443" s="616">
        <v>1</v>
      </c>
      <c r="C443" s="616">
        <f t="shared" si="602"/>
        <v>440</v>
      </c>
      <c r="D443" s="709" t="s">
        <v>1308</v>
      </c>
      <c r="E443" s="2544">
        <v>1</v>
      </c>
      <c r="F443" s="8"/>
      <c r="G443" s="737"/>
      <c r="I443" s="8"/>
      <c r="K443" s="172"/>
      <c r="L443" s="743" t="s">
        <v>1457</v>
      </c>
      <c r="M443" s="9"/>
      <c r="N443" s="9"/>
      <c r="O443" s="9"/>
      <c r="Q443" s="1785" t="str">
        <f>CHOOSE(2, "6722000003362", "S/GP Office (4) MS Allocation rate to MS (%)")</f>
        <v>S/GP Office (4) MS Allocation rate to MS (%)</v>
      </c>
      <c r="R443" s="1369">
        <f>IFERROR(R442/R427,0)</f>
        <v>0</v>
      </c>
      <c r="S443" s="1369">
        <f t="shared" ref="S443:AC443" si="700">IFERROR(S442/S427,0)</f>
        <v>0</v>
      </c>
      <c r="T443" s="1369">
        <f t="shared" si="700"/>
        <v>0</v>
      </c>
      <c r="U443" s="1369">
        <f t="shared" si="700"/>
        <v>0</v>
      </c>
      <c r="V443" s="1369">
        <f t="shared" si="700"/>
        <v>0</v>
      </c>
      <c r="W443" s="1369">
        <f t="shared" si="700"/>
        <v>0</v>
      </c>
      <c r="X443" s="1369">
        <f t="shared" si="700"/>
        <v>0</v>
      </c>
      <c r="Y443" s="1369">
        <f t="shared" si="700"/>
        <v>0</v>
      </c>
      <c r="Z443" s="1369">
        <f t="shared" si="700"/>
        <v>0</v>
      </c>
      <c r="AA443" s="1369">
        <f t="shared" si="700"/>
        <v>0</v>
      </c>
      <c r="AB443" s="1369">
        <f t="shared" si="700"/>
        <v>0</v>
      </c>
      <c r="AC443" s="1369">
        <f t="shared" si="700"/>
        <v>0</v>
      </c>
      <c r="AD443" s="1365">
        <f t="shared" ref="AD443:AJ443" si="701">IFERROR(AD442/AD$427,0)</f>
        <v>0</v>
      </c>
      <c r="AE443" s="1365">
        <f t="shared" si="701"/>
        <v>0</v>
      </c>
      <c r="AF443" s="1365">
        <f t="shared" si="701"/>
        <v>0</v>
      </c>
      <c r="AG443" s="1365">
        <f t="shared" si="701"/>
        <v>0</v>
      </c>
      <c r="AH443" s="1365">
        <f t="shared" si="701"/>
        <v>0</v>
      </c>
      <c r="AI443" s="1365">
        <f t="shared" si="701"/>
        <v>0</v>
      </c>
      <c r="AJ443" s="1365">
        <f t="shared" si="701"/>
        <v>0</v>
      </c>
      <c r="AL443" s="1369">
        <f ca="1">IFERROR(AL442/AL$424,0)</f>
        <v>0</v>
      </c>
      <c r="AM443" s="1365">
        <f ca="1">IFERROR(AM442/AM$424,0)</f>
        <v>0</v>
      </c>
      <c r="AN443" s="3201">
        <f t="shared" ca="1" si="653"/>
        <v>0</v>
      </c>
      <c r="AO443" s="2854"/>
      <c r="AP443" s="1365">
        <f ca="1">IFERROR(AP442/AP$424,0)</f>
        <v>0</v>
      </c>
      <c r="AQ443" s="3201">
        <f t="shared" ca="1" si="655"/>
        <v>0</v>
      </c>
      <c r="AR443" s="2854"/>
      <c r="AT443" s="1369">
        <f ca="1">IFERROR(AT442/AT$424,0)</f>
        <v>0</v>
      </c>
      <c r="AU443" s="1365">
        <f ca="1">IFERROR(AU442/AU$424,0)</f>
        <v>0</v>
      </c>
      <c r="AV443" s="3201">
        <f t="shared" ca="1" si="657"/>
        <v>0</v>
      </c>
      <c r="AW443" s="2854"/>
      <c r="AX443" s="1365">
        <f ca="1">IFERROR(AX442/AX$424,0)</f>
        <v>0</v>
      </c>
      <c r="AY443" s="3201">
        <f t="shared" ca="1" si="659"/>
        <v>0</v>
      </c>
      <c r="AZ443" s="2854"/>
      <c r="BB443" s="1369">
        <f ca="1">IFERROR(BB442/BB$424,0)</f>
        <v>0</v>
      </c>
      <c r="BC443" s="1365">
        <f ca="1">IFERROR(BC442/BC$424,0)</f>
        <v>0</v>
      </c>
      <c r="BD443" s="3201">
        <f t="shared" ca="1" si="661"/>
        <v>0</v>
      </c>
      <c r="BE443" s="2854"/>
      <c r="BF443" s="1365">
        <f ca="1">IFERROR(BF442/BF$424,0)</f>
        <v>0</v>
      </c>
      <c r="BG443" s="3201">
        <f t="shared" ca="1" si="663"/>
        <v>0</v>
      </c>
      <c r="BH443" s="2854"/>
    </row>
    <row r="444" spans="1:60" ht="14.5">
      <c r="A444" s="616">
        <f t="shared" si="624"/>
        <v>395</v>
      </c>
      <c r="B444" s="616">
        <v>1</v>
      </c>
      <c r="C444" s="616">
        <f t="shared" si="602"/>
        <v>441</v>
      </c>
      <c r="D444" s="709" t="s">
        <v>1308</v>
      </c>
      <c r="E444" s="2544">
        <v>1</v>
      </c>
      <c r="F444" s="8"/>
      <c r="G444" s="737"/>
      <c r="I444" s="8"/>
      <c r="K444" s="3218" t="s">
        <v>1427</v>
      </c>
      <c r="L444" s="592"/>
      <c r="M444" s="593"/>
      <c r="N444" s="593"/>
      <c r="O444" s="593"/>
      <c r="P444" s="594"/>
      <c r="Q444" s="1809" t="str">
        <f>CHOOSE(2, "6722000003363", "S/GP Office (5) DW-DX")</f>
        <v>S/GP Office (5) DW-DX</v>
      </c>
      <c r="R444" s="1389">
        <f>SUM(R445:R446)</f>
        <v>1694</v>
      </c>
      <c r="S444" s="3219">
        <f t="shared" ref="S444:AJ444" si="702">SUM(S445:S446)</f>
        <v>1791</v>
      </c>
      <c r="T444" s="3219">
        <f t="shared" si="702"/>
        <v>1557</v>
      </c>
      <c r="U444" s="3219">
        <f t="shared" si="702"/>
        <v>1543</v>
      </c>
      <c r="V444" s="3219">
        <f t="shared" si="702"/>
        <v>1234.1868567744368</v>
      </c>
      <c r="W444" s="3219">
        <f t="shared" si="702"/>
        <v>1032</v>
      </c>
      <c r="X444" s="3219">
        <f t="shared" si="702"/>
        <v>1216</v>
      </c>
      <c r="Y444" s="3219">
        <f t="shared" si="702"/>
        <v>1046.5941841461286</v>
      </c>
      <c r="Z444" s="3219">
        <f t="shared" si="702"/>
        <v>1490.8997470445147</v>
      </c>
      <c r="AA444" s="3219">
        <f t="shared" si="702"/>
        <v>1626.6104702177086</v>
      </c>
      <c r="AB444" s="3219">
        <f t="shared" si="702"/>
        <v>2004.748270848942</v>
      </c>
      <c r="AC444" s="3219">
        <f t="shared" si="702"/>
        <v>1752.4208787210023</v>
      </c>
      <c r="AD444" s="3219">
        <f t="shared" si="702"/>
        <v>5042</v>
      </c>
      <c r="AE444" s="3219">
        <f t="shared" si="702"/>
        <v>3809.1868567744368</v>
      </c>
      <c r="AF444" s="3219">
        <f t="shared" si="702"/>
        <v>3753.4939311906437</v>
      </c>
      <c r="AG444" s="3219">
        <f t="shared" si="702"/>
        <v>5383.7796197876523</v>
      </c>
      <c r="AH444" s="3219">
        <f t="shared" si="702"/>
        <v>8851.1868567744368</v>
      </c>
      <c r="AI444" s="3219">
        <f t="shared" si="702"/>
        <v>9137.273550978296</v>
      </c>
      <c r="AJ444" s="3219">
        <f t="shared" si="702"/>
        <v>17988.460407752733</v>
      </c>
      <c r="AL444" s="3220">
        <f ca="1">SUM((INDIRECT(AL$2&amp;(ROW())):INDIRECT(AL$3&amp;(ROW()))))</f>
        <v>1752.4208787210023</v>
      </c>
      <c r="AM444" s="3220">
        <f ca="1">SUM(INDIRECT(AM$1&amp;AM$2&amp;$C444):INDIRECT(AM$1&amp;AM$3&amp;$C444))</f>
        <v>56000</v>
      </c>
      <c r="AN444" s="3221">
        <f t="shared" ca="1" si="653"/>
        <v>-54247.579121278999</v>
      </c>
      <c r="AO444" s="2870">
        <f ca="1">IFERROR(AL444/AM444,0)</f>
        <v>3.1293229977160754E-2</v>
      </c>
      <c r="AP444" s="3220">
        <f ca="1">SUM(INDIRECT(AP$1&amp;AP$2&amp;$A444):INDIRECT(AP$1&amp;AP$3&amp;$A444))+SUM(INDIRECT(AP$1&amp;AP$2&amp;$B444):INDIRECT(AP$1&amp;AP$3&amp;$B444))</f>
        <v>164</v>
      </c>
      <c r="AQ444" s="3221">
        <f t="shared" ca="1" si="655"/>
        <v>1588.4208787210023</v>
      </c>
      <c r="AR444" s="2870">
        <f ca="1">IFERROR(AL444/AP444,0)</f>
        <v>10.685493162932941</v>
      </c>
      <c r="AT444" s="3220">
        <f ca="1">SUM((INDIRECT(AT$2&amp;(ROW())):INDIRECT(AT$3&amp;(ROW()))))</f>
        <v>5383.7796197876523</v>
      </c>
      <c r="AU444" s="3220">
        <f ca="1">SUM(INDIRECT(AU$1&amp;AU$2&amp;$C444):INDIRECT(AU$1&amp;AU$3&amp;$C444))</f>
        <v>168000</v>
      </c>
      <c r="AV444" s="3221">
        <f t="shared" ca="1" si="657"/>
        <v>-162616.22038021235</v>
      </c>
      <c r="AW444" s="2870">
        <f ca="1">IFERROR(AT444/AU444,0)</f>
        <v>3.204630726064079E-2</v>
      </c>
      <c r="AX444" s="3220">
        <f ca="1">SUM(INDIRECT(AX$1&amp;AX$2&amp;$A444):INDIRECT(AX$1&amp;AX$3&amp;$A444))+SUM(INDIRECT(AX$1&amp;AX$2&amp;$B444):INDIRECT(AX$1&amp;AX$3&amp;$B444))</f>
        <v>492</v>
      </c>
      <c r="AY444" s="3221">
        <f t="shared" ca="1" si="659"/>
        <v>4891.7796197876523</v>
      </c>
      <c r="AZ444" s="2870">
        <f ca="1">IFERROR(AT444/AX444,0)</f>
        <v>10.942641503633439</v>
      </c>
      <c r="BB444" s="3220">
        <f ca="1">SUM((INDIRECT(BB$2&amp;(ROW())):INDIRECT(BB$3&amp;(ROW()))))</f>
        <v>17988.460407752733</v>
      </c>
      <c r="BC444" s="3220">
        <f ca="1">SUM(INDIRECT(BC$1&amp;BC$2&amp;$C444):INDIRECT(BC$1&amp;BC$3&amp;$C444))</f>
        <v>280000</v>
      </c>
      <c r="BD444" s="3221">
        <f t="shared" ca="1" si="661"/>
        <v>-262011.53959224728</v>
      </c>
      <c r="BE444" s="2870">
        <f ca="1">IFERROR(BB444/BC444,0)</f>
        <v>6.4244501456259762E-2</v>
      </c>
      <c r="BF444" s="3220">
        <f ca="1">SUM(INDIRECT(BF$1&amp;BF$2&amp;$A444):INDIRECT(BF$1&amp;BF$3&amp;$A444))+SUM(INDIRECT(BF$1&amp;BF$2&amp;$B444):INDIRECT(BF$1&amp;BF$3&amp;$B444))</f>
        <v>2785</v>
      </c>
      <c r="BG444" s="3221">
        <f t="shared" ca="1" si="663"/>
        <v>15203.460407752733</v>
      </c>
      <c r="BH444" s="2870">
        <f ca="1">IFERROR(BB444/BF444,0)</f>
        <v>6.4590522110422741</v>
      </c>
    </row>
    <row r="445" spans="1:60" ht="14.5">
      <c r="A445" s="616">
        <f t="shared" si="624"/>
        <v>396</v>
      </c>
      <c r="B445" s="616">
        <v>1</v>
      </c>
      <c r="C445" s="616">
        <f t="shared" si="602"/>
        <v>442</v>
      </c>
      <c r="D445" s="709" t="s">
        <v>1308</v>
      </c>
      <c r="E445" s="2544">
        <v>1</v>
      </c>
      <c r="F445" s="8"/>
      <c r="G445" s="737"/>
      <c r="I445" s="8"/>
      <c r="K445" s="223"/>
      <c r="L445" s="36" t="s">
        <v>518</v>
      </c>
      <c r="Q445" s="1784" t="str">
        <f>CHOOSE(2, "6722000003364", "S/GP Office (5) DW-DX Directly assigned")</f>
        <v>S/GP Office (5) DW-DX Directly assigned</v>
      </c>
      <c r="R445" s="1289">
        <f t="shared" ref="R445:AC445" si="703">R414</f>
        <v>482.31953065830163</v>
      </c>
      <c r="S445" s="1232">
        <f t="shared" si="703"/>
        <v>1868.6314986453242</v>
      </c>
      <c r="T445" s="1232">
        <f t="shared" si="703"/>
        <v>1556.4126816735416</v>
      </c>
      <c r="U445" s="1232">
        <f t="shared" si="703"/>
        <v>1542.5649226551141</v>
      </c>
      <c r="V445" s="1232">
        <f t="shared" si="703"/>
        <v>1234.1868567744368</v>
      </c>
      <c r="W445" s="1232">
        <f t="shared" si="703"/>
        <v>1031.7069049678385</v>
      </c>
      <c r="X445" s="1232">
        <f t="shared" si="703"/>
        <v>1216.1592070259946</v>
      </c>
      <c r="Y445" s="1232">
        <f t="shared" si="703"/>
        <v>1046</v>
      </c>
      <c r="Z445" s="1232">
        <f t="shared" si="703"/>
        <v>1490.6229223352591</v>
      </c>
      <c r="AA445" s="1232">
        <f t="shared" si="703"/>
        <v>1625.3409506575208</v>
      </c>
      <c r="AB445" s="1232">
        <f t="shared" si="703"/>
        <v>2004.2123296093521</v>
      </c>
      <c r="AC445" s="1232">
        <f t="shared" si="703"/>
        <v>1752.4531683874886</v>
      </c>
      <c r="AD445" s="125">
        <f>SUM(R445,S445,T445)</f>
        <v>3907.3637109771676</v>
      </c>
      <c r="AE445" s="126">
        <f t="shared" ref="AE445:AE446" si="704">SUM(U445,V445,W445)</f>
        <v>3808.4586843973893</v>
      </c>
      <c r="AF445" s="126">
        <f t="shared" ref="AF445:AF446" si="705">SUM(X445,Y445,Z445)</f>
        <v>3752.7821293612542</v>
      </c>
      <c r="AG445" s="126">
        <f t="shared" ref="AG445:AG446" si="706">SUM(AA445,AB445,AC445)</f>
        <v>5382.0064486543615</v>
      </c>
      <c r="AH445" s="126">
        <f>AD445+AE445</f>
        <v>7715.8223953745564</v>
      </c>
      <c r="AI445" s="126">
        <f>AG445+AF445</f>
        <v>9134.7885780156157</v>
      </c>
      <c r="AJ445" s="126">
        <f>AH445+AI445</f>
        <v>16850.610973390172</v>
      </c>
      <c r="AL445" s="37">
        <f ca="1">SUM((INDIRECT(AL$2&amp;(ROW())):INDIRECT(AL$3&amp;(ROW()))))</f>
        <v>1752.4531683874886</v>
      </c>
      <c r="AM445" s="37">
        <f ca="1">SUM(INDIRECT(AM$1&amp;AM$2&amp;$C445):INDIRECT(AM$1&amp;AM$3&amp;$C445))</f>
        <v>49500.407997578877</v>
      </c>
      <c r="AN445" s="3205">
        <f t="shared" ca="1" si="653"/>
        <v>-47747.954829191389</v>
      </c>
      <c r="AO445" s="2858">
        <f ca="1">IFERROR(AL445/AM445,0)</f>
        <v>3.5402802507672325E-2</v>
      </c>
      <c r="AP445" s="37">
        <f ca="1">SUM(INDIRECT(AP$1&amp;AP$2&amp;$A445):INDIRECT(AP$1&amp;AP$3&amp;$A445))+SUM(INDIRECT(AP$1&amp;AP$2&amp;$B445):INDIRECT(AP$1&amp;AP$3&amp;$B445))</f>
        <v>147</v>
      </c>
      <c r="AQ445" s="3205">
        <f t="shared" ca="1" si="655"/>
        <v>1605.4531683874886</v>
      </c>
      <c r="AR445" s="2858">
        <f ca="1">IFERROR(AL445/AP445,0)</f>
        <v>11.921450125084956</v>
      </c>
      <c r="AT445" s="37">
        <f ca="1">SUM((INDIRECT(AT$2&amp;(ROW())):INDIRECT(AT$3&amp;(ROW()))))</f>
        <v>5382.0064486543615</v>
      </c>
      <c r="AU445" s="37">
        <f ca="1">SUM(INDIRECT(AU$1&amp;AU$2&amp;$C445):INDIRECT(AU$1&amp;AU$3&amp;$C445))</f>
        <v>143683.3300663312</v>
      </c>
      <c r="AV445" s="3205">
        <f t="shared" ca="1" si="657"/>
        <v>-138301.32361767683</v>
      </c>
      <c r="AW445" s="2858">
        <f ca="1">IFERROR(AT445/AU445,0)</f>
        <v>3.7457417267332031E-2</v>
      </c>
      <c r="AX445" s="37">
        <f ca="1">SUM(INDIRECT(AX$1&amp;AX$2&amp;$A445):INDIRECT(AX$1&amp;AX$3&amp;$A445))+SUM(INDIRECT(AX$1&amp;AX$2&amp;$B445):INDIRECT(AX$1&amp;AX$3&amp;$B445))</f>
        <v>432</v>
      </c>
      <c r="AY445" s="3205">
        <f t="shared" ca="1" si="659"/>
        <v>4950.0064486543615</v>
      </c>
      <c r="AZ445" s="2858">
        <f ca="1">IFERROR(AT445/AX445,0)</f>
        <v>12.458348260773985</v>
      </c>
      <c r="BB445" s="37">
        <f ca="1">SUM((INDIRECT(BB$2&amp;(ROW())):INDIRECT(BB$3&amp;(ROW()))))</f>
        <v>16850.610973390172</v>
      </c>
      <c r="BC445" s="37">
        <f ca="1">SUM(INDIRECT(BC$1&amp;BC$2&amp;$C445):INDIRECT(BC$1&amp;BC$3&amp;$C445))</f>
        <v>255945.30696377924</v>
      </c>
      <c r="BD445" s="3205">
        <f t="shared" ca="1" si="661"/>
        <v>-239094.69599038907</v>
      </c>
      <c r="BE445" s="2858">
        <f ca="1">IFERROR(BB445/BC445,0)</f>
        <v>6.5836764788872765E-2</v>
      </c>
      <c r="BF445" s="37">
        <f ca="1">SUM(INDIRECT(BF$1&amp;BF$2&amp;$A445):INDIRECT(BF$1&amp;BF$3&amp;$A445))+SUM(INDIRECT(BF$1&amp;BF$2&amp;$B445):INDIRECT(BF$1&amp;BF$3&amp;$B445))</f>
        <v>1895.7076605471771</v>
      </c>
      <c r="BG445" s="3205">
        <f t="shared" ca="1" si="663"/>
        <v>14954.903312842995</v>
      </c>
      <c r="BH445" s="2858">
        <f ca="1">IFERROR(BB445/BF445,0)</f>
        <v>8.8888235903031649</v>
      </c>
    </row>
    <row r="446" spans="1:60" ht="14.5">
      <c r="A446" s="616">
        <f t="shared" si="624"/>
        <v>397</v>
      </c>
      <c r="B446" s="616">
        <v>1</v>
      </c>
      <c r="C446" s="616">
        <f t="shared" si="602"/>
        <v>443</v>
      </c>
      <c r="D446" s="709" t="s">
        <v>1308</v>
      </c>
      <c r="E446" s="2544">
        <v>1</v>
      </c>
      <c r="F446" s="8"/>
      <c r="G446" s="737"/>
      <c r="I446" s="8"/>
      <c r="K446" s="223"/>
      <c r="L446" s="36" t="s">
        <v>1451</v>
      </c>
      <c r="Q446" s="1784" t="str">
        <f>CHOOSE(2, "6722000003365", "S/GP Office (5) DW-DX Allocation cost")</f>
        <v>S/GP Office (5) DW-DX Allocation cost</v>
      </c>
      <c r="R446" s="1289">
        <f t="shared" ref="R446:AC446" si="707">R418</f>
        <v>1211.6804693416984</v>
      </c>
      <c r="S446" s="1232">
        <f t="shared" si="707"/>
        <v>-77.631498645324186</v>
      </c>
      <c r="T446" s="1232">
        <f t="shared" si="707"/>
        <v>0.5873183264584938</v>
      </c>
      <c r="U446" s="1232">
        <f t="shared" si="707"/>
        <v>0.43507734488584049</v>
      </c>
      <c r="V446" s="1232">
        <f t="shared" si="707"/>
        <v>0</v>
      </c>
      <c r="W446" s="1232">
        <f t="shared" si="707"/>
        <v>0.2930950321616308</v>
      </c>
      <c r="X446" s="1232">
        <f t="shared" si="707"/>
        <v>-0.15920702599453307</v>
      </c>
      <c r="Y446" s="1232">
        <f t="shared" si="707"/>
        <v>0.59418414612864012</v>
      </c>
      <c r="Z446" s="1232">
        <f t="shared" si="707"/>
        <v>0.27682470925560665</v>
      </c>
      <c r="AA446" s="1232">
        <f t="shared" si="707"/>
        <v>1.2695195601877458</v>
      </c>
      <c r="AB446" s="1232">
        <f t="shared" si="707"/>
        <v>0.53594123958987439</v>
      </c>
      <c r="AC446" s="1232">
        <f t="shared" si="707"/>
        <v>-3.2289666486349233E-2</v>
      </c>
      <c r="AD446" s="125">
        <f>SUM(R446,S446,T446)</f>
        <v>1134.6362890228327</v>
      </c>
      <c r="AE446" s="126">
        <f t="shared" si="704"/>
        <v>0.72817237704747129</v>
      </c>
      <c r="AF446" s="126">
        <f t="shared" si="705"/>
        <v>0.7118018293897137</v>
      </c>
      <c r="AG446" s="126">
        <f t="shared" si="706"/>
        <v>1.773171133291271</v>
      </c>
      <c r="AH446" s="126">
        <f>AD446+AE446</f>
        <v>1135.3644613998802</v>
      </c>
      <c r="AI446" s="126">
        <f>AG446+AF446</f>
        <v>2.4849729626809847</v>
      </c>
      <c r="AJ446" s="126">
        <f>AH446+AI446</f>
        <v>1137.8494343625612</v>
      </c>
      <c r="AL446" s="37">
        <f ca="1">SUM((INDIRECT(AL$2&amp;(ROW())):INDIRECT(AL$3&amp;(ROW()))))</f>
        <v>-3.2289666486349233E-2</v>
      </c>
      <c r="AM446" s="37">
        <f ca="1">SUM(INDIRECT(AM$1&amp;AM$2&amp;$C446):INDIRECT(AM$1&amp;AM$3&amp;$C446))</f>
        <v>0.71470559796564392</v>
      </c>
      <c r="AN446" s="3205">
        <f t="shared" ca="1" si="653"/>
        <v>-0.74699526445199316</v>
      </c>
      <c r="AO446" s="2858">
        <f ca="1">IFERROR(AL446/AM446,0)</f>
        <v>-4.5178975200781069E-2</v>
      </c>
      <c r="AP446" s="37">
        <f ca="1">SUM(INDIRECT(AP$1&amp;AP$2&amp;$A446):INDIRECT(AP$1&amp;AP$3&amp;$A446))+SUM(INDIRECT(AP$1&amp;AP$2&amp;$B446):INDIRECT(AP$1&amp;AP$3&amp;$B446))</f>
        <v>0</v>
      </c>
      <c r="AQ446" s="3205">
        <f t="shared" ca="1" si="655"/>
        <v>-3.2289666486349233E-2</v>
      </c>
      <c r="AR446" s="2858">
        <f ca="1">IFERROR(AL446/AP446,0)</f>
        <v>0</v>
      </c>
      <c r="AT446" s="37">
        <f ca="1">SUM((INDIRECT(AT$2&amp;(ROW())):INDIRECT(AT$3&amp;(ROW()))))</f>
        <v>1.773171133291271</v>
      </c>
      <c r="AU446" s="37">
        <f ca="1">SUM(INDIRECT(AU$1&amp;AU$2&amp;$C446):INDIRECT(AU$1&amp;AU$3&amp;$C446))</f>
        <v>2.1551311257015882</v>
      </c>
      <c r="AV446" s="3205">
        <f t="shared" ca="1" si="657"/>
        <v>-0.3819599924103172</v>
      </c>
      <c r="AW446" s="2858">
        <f ca="1">IFERROR(AT446/AU446,0)</f>
        <v>0.82276716815271611</v>
      </c>
      <c r="AX446" s="37">
        <f ca="1">SUM(INDIRECT(AX$1&amp;AX$2&amp;$A446):INDIRECT(AX$1&amp;AX$3&amp;$A446))+SUM(INDIRECT(AX$1&amp;AX$2&amp;$B446):INDIRECT(AX$1&amp;AX$3&amp;$B446))</f>
        <v>0</v>
      </c>
      <c r="AY446" s="3205">
        <f t="shared" ca="1" si="659"/>
        <v>1.773171133291271</v>
      </c>
      <c r="AZ446" s="2858">
        <f ca="1">IFERROR(AT446/AX446,0)</f>
        <v>0</v>
      </c>
      <c r="BB446" s="37">
        <f ca="1">SUM((INDIRECT(BB$2&amp;(ROW())):INDIRECT(BB$3&amp;(ROW()))))</f>
        <v>1137.8494343625609</v>
      </c>
      <c r="BC446" s="37">
        <f ca="1">SUM(INDIRECT(BC$1&amp;BC$2&amp;$C446):INDIRECT(BC$1&amp;BC$3&amp;$C446))</f>
        <v>3.5875479597161077</v>
      </c>
      <c r="BD446" s="3205">
        <f t="shared" ca="1" si="661"/>
        <v>1134.2618864028448</v>
      </c>
      <c r="BE446" s="2858">
        <f ca="1">IFERROR(BB446/BC446,0)</f>
        <v>317.16633398055035</v>
      </c>
      <c r="BF446" s="37">
        <f ca="1">SUM(INDIRECT(BF$1&amp;BF$2&amp;$A446):INDIRECT(BF$1&amp;BF$3&amp;$A446))+SUM(INDIRECT(BF$1&amp;BF$2&amp;$B446):INDIRECT(BF$1&amp;BF$3&amp;$B446))</f>
        <v>0</v>
      </c>
      <c r="BG446" s="3205">
        <f t="shared" ca="1" si="663"/>
        <v>1137.8494343625609</v>
      </c>
      <c r="BH446" s="2858">
        <f ca="1">IFERROR(BB446/BF446,0)</f>
        <v>0</v>
      </c>
    </row>
    <row r="447" spans="1:60" ht="14.5">
      <c r="A447" s="616">
        <f t="shared" si="624"/>
        <v>398</v>
      </c>
      <c r="B447" s="616">
        <v>1</v>
      </c>
      <c r="C447" s="616">
        <f t="shared" si="602"/>
        <v>444</v>
      </c>
      <c r="D447" s="709" t="s">
        <v>1308</v>
      </c>
      <c r="E447" s="2544">
        <v>1</v>
      </c>
      <c r="F447" s="8"/>
      <c r="G447" s="737"/>
      <c r="I447" s="8"/>
      <c r="K447" s="171"/>
      <c r="L447" s="743" t="s">
        <v>1458</v>
      </c>
      <c r="M447" s="16"/>
      <c r="N447" s="16"/>
      <c r="O447" s="16"/>
      <c r="P447" s="11"/>
      <c r="Q447" s="1785" t="str">
        <f>CHOOSE(2, "6722000003366", "S/GP Office (5) DW-DX Allocation rate to DW-DX (%)")</f>
        <v>S/GP Office (5) DW-DX Allocation rate to DW-DX (%)</v>
      </c>
      <c r="R447" s="1369">
        <f>IFERROR(R446/R427,0)</f>
        <v>1.0679202289784197E-2</v>
      </c>
      <c r="S447" s="1369">
        <f t="shared" ref="S447:AC447" si="708">IFERROR(S446/S427,0)</f>
        <v>-1.0100333090516534E-3</v>
      </c>
      <c r="T447" s="1369">
        <f t="shared" si="708"/>
        <v>5.2030725606533773E-6</v>
      </c>
      <c r="U447" s="1369">
        <f t="shared" si="708"/>
        <v>4.1043366035451315E-6</v>
      </c>
      <c r="V447" s="1369">
        <f t="shared" si="708"/>
        <v>0</v>
      </c>
      <c r="W447" s="1369">
        <f t="shared" si="708"/>
        <v>6.1041039597813449E-6</v>
      </c>
      <c r="X447" s="1369">
        <f t="shared" si="708"/>
        <v>-1.0248387915442546E-6</v>
      </c>
      <c r="Y447" s="1369">
        <f t="shared" si="708"/>
        <v>5.2492166824747101E-6</v>
      </c>
      <c r="Z447" s="1369">
        <f t="shared" si="708"/>
        <v>2.5597708717784588E-6</v>
      </c>
      <c r="AA447" s="1369">
        <f t="shared" si="708"/>
        <v>9.100471973312635E-6</v>
      </c>
      <c r="AB447" s="1369">
        <f t="shared" si="708"/>
        <v>1.0492897791402072E-5</v>
      </c>
      <c r="AC447" s="1369">
        <f t="shared" si="708"/>
        <v>-4.7581409327636271E-7</v>
      </c>
      <c r="AD447" s="1365">
        <f t="shared" ref="AD447:AJ447" si="709">IFERROR(AD446/AD$427,0)</f>
        <v>3.7421896590315957E-3</v>
      </c>
      <c r="AE447" s="1365">
        <f t="shared" si="709"/>
        <v>2.7985054926694584E-6</v>
      </c>
      <c r="AF447" s="1365">
        <f t="shared" si="709"/>
        <v>1.8896347875802529E-6</v>
      </c>
      <c r="AG447" s="1365">
        <f t="shared" si="709"/>
        <v>6.8610840366387708E-6</v>
      </c>
      <c r="AH447" s="1365">
        <f t="shared" si="709"/>
        <v>2.0151956013319669E-3</v>
      </c>
      <c r="AI447" s="1365">
        <f t="shared" si="709"/>
        <v>3.9125642401336748E-6</v>
      </c>
      <c r="AJ447" s="1365">
        <f t="shared" si="709"/>
        <v>9.4937238688851751E-4</v>
      </c>
      <c r="AL447" s="1369">
        <f ca="1">IFERROR(AL446/AL$424,0)</f>
        <v>0</v>
      </c>
      <c r="AM447" s="1365">
        <f ca="1">IFERROR(AM446/AM$424,0)</f>
        <v>0</v>
      </c>
      <c r="AN447" s="3201">
        <f t="shared" ca="1" si="653"/>
        <v>0</v>
      </c>
      <c r="AO447" s="2854"/>
      <c r="AP447" s="1365">
        <f ca="1">IFERROR(AP446/AP$424,0)</f>
        <v>0</v>
      </c>
      <c r="AQ447" s="3201">
        <f t="shared" ca="1" si="655"/>
        <v>0</v>
      </c>
      <c r="AR447" s="2854"/>
      <c r="AT447" s="1369">
        <f ca="1">IFERROR(AT446/AT$424,0)</f>
        <v>0</v>
      </c>
      <c r="AU447" s="1365">
        <f ca="1">IFERROR(AU446/AU$424,0)</f>
        <v>0</v>
      </c>
      <c r="AV447" s="3201">
        <f t="shared" ca="1" si="657"/>
        <v>0</v>
      </c>
      <c r="AW447" s="2854"/>
      <c r="AX447" s="1365">
        <f ca="1">IFERROR(AX446/AX$424,0)</f>
        <v>0</v>
      </c>
      <c r="AY447" s="3201">
        <f t="shared" ca="1" si="659"/>
        <v>0</v>
      </c>
      <c r="AZ447" s="2854"/>
      <c r="BB447" s="1369">
        <f ca="1">IFERROR(BB446/BB$424,0)</f>
        <v>0</v>
      </c>
      <c r="BC447" s="1365">
        <f ca="1">IFERROR(BC446/BC$424,0)</f>
        <v>0</v>
      </c>
      <c r="BD447" s="3201">
        <f t="shared" ca="1" si="661"/>
        <v>0</v>
      </c>
      <c r="BE447" s="2854"/>
      <c r="BF447" s="1365">
        <f ca="1">IFERROR(BF446/BF$424,0)</f>
        <v>0</v>
      </c>
      <c r="BG447" s="3201">
        <f t="shared" ca="1" si="663"/>
        <v>0</v>
      </c>
      <c r="BH447" s="2854"/>
    </row>
    <row r="448" spans="1:60" ht="14.5">
      <c r="A448" s="616">
        <f t="shared" si="624"/>
        <v>399</v>
      </c>
      <c r="B448" s="616">
        <v>1</v>
      </c>
      <c r="C448" s="616">
        <f t="shared" si="602"/>
        <v>445</v>
      </c>
      <c r="E448" s="2547">
        <v>1</v>
      </c>
      <c r="Q448" s="1772" t="str">
        <f>CHOOSE(2, "6722000003367", "▷ Blank 17")</f>
        <v>▷ Blank 17</v>
      </c>
      <c r="R448" s="2557"/>
      <c r="AA448" s="2558"/>
    </row>
    <row r="449" spans="1:60" ht="15.5">
      <c r="A449" s="616">
        <f t="shared" si="624"/>
        <v>400</v>
      </c>
      <c r="B449" s="616">
        <v>1</v>
      </c>
      <c r="C449" s="616">
        <f t="shared" si="602"/>
        <v>446</v>
      </c>
      <c r="E449" s="2547">
        <v>1</v>
      </c>
      <c r="F449" s="8"/>
      <c r="G449" s="368" t="s">
        <v>1459</v>
      </c>
      <c r="Q449" s="1772" t="str">
        <f>CHOOSE(2, "6722000003368", "2-3. Sales/GP Details by BU")</f>
        <v>2-3. Sales/GP Details by BU</v>
      </c>
      <c r="R449" s="2557"/>
    </row>
    <row r="450" spans="1:60" ht="14.5">
      <c r="A450" s="616">
        <f t="shared" si="624"/>
        <v>401</v>
      </c>
      <c r="B450" s="616">
        <v>1</v>
      </c>
      <c r="C450" s="616">
        <f t="shared" ref="C450:C513" si="710">ROW()-3</f>
        <v>447</v>
      </c>
      <c r="E450" s="2547">
        <v>1</v>
      </c>
      <c r="H450" s="4" t="s">
        <v>1374</v>
      </c>
      <c r="L450" s="3"/>
      <c r="Q450" s="1772" t="str">
        <f>CHOOSE(2, "6722000003369", "(1)-1 Office: Excluding ""Office Solution""")</f>
        <v>(1)-1 Office: Excluding "Office Solution"</v>
      </c>
      <c r="R450" s="2557"/>
    </row>
    <row r="451" spans="1:60" ht="14.5">
      <c r="A451" s="616">
        <f t="shared" si="624"/>
        <v>402</v>
      </c>
      <c r="B451" s="616">
        <v>1</v>
      </c>
      <c r="C451" s="616">
        <f t="shared" si="710"/>
        <v>448</v>
      </c>
      <c r="E451" s="2547">
        <v>1</v>
      </c>
      <c r="F451" s="81"/>
      <c r="G451" s="81"/>
      <c r="H451" s="12"/>
      <c r="I451" s="3041"/>
      <c r="J451" s="447"/>
      <c r="K451" s="514"/>
      <c r="L451" s="514"/>
      <c r="M451" s="447"/>
      <c r="N451" s="447"/>
      <c r="O451" s="447"/>
      <c r="P451" s="447"/>
      <c r="Q451" s="1773" t="str">
        <f>CHOOSE(2, "6722000003370", "▷ Blank 18")</f>
        <v>▷ Blank 18</v>
      </c>
      <c r="R451" s="1878">
        <f>R13</f>
        <v>44652</v>
      </c>
      <c r="S451" s="1878">
        <f t="shared" ref="S451:AC451" si="711">S13</f>
        <v>44682</v>
      </c>
      <c r="T451" s="1878">
        <f t="shared" si="711"/>
        <v>44713</v>
      </c>
      <c r="U451" s="1878">
        <f t="shared" si="711"/>
        <v>44743</v>
      </c>
      <c r="V451" s="1878">
        <f t="shared" si="711"/>
        <v>44774</v>
      </c>
      <c r="W451" s="1878">
        <f t="shared" si="711"/>
        <v>44805</v>
      </c>
      <c r="X451" s="1878">
        <f t="shared" si="711"/>
        <v>44835</v>
      </c>
      <c r="Y451" s="1878">
        <f t="shared" si="711"/>
        <v>44866</v>
      </c>
      <c r="Z451" s="1878">
        <f t="shared" si="711"/>
        <v>44896</v>
      </c>
      <c r="AA451" s="1878">
        <f t="shared" si="711"/>
        <v>44927</v>
      </c>
      <c r="AB451" s="1878">
        <f t="shared" si="711"/>
        <v>44958</v>
      </c>
      <c r="AC451" s="1878">
        <f t="shared" si="711"/>
        <v>44986</v>
      </c>
      <c r="AD451" s="2545" t="str">
        <f t="shared" ref="AD451:AJ451" si="712">AD$13</f>
        <v>Q1</v>
      </c>
      <c r="AE451" s="2546" t="str">
        <f t="shared" si="712"/>
        <v>Q2</v>
      </c>
      <c r="AF451" s="2546" t="str">
        <f t="shared" si="712"/>
        <v>Q3</v>
      </c>
      <c r="AG451" s="2546" t="str">
        <f t="shared" si="712"/>
        <v>Q4</v>
      </c>
      <c r="AH451" s="2546" t="str">
        <f t="shared" si="712"/>
        <v>1st H</v>
      </c>
      <c r="AI451" s="2546" t="str">
        <f t="shared" si="712"/>
        <v>2nd H</v>
      </c>
      <c r="AJ451" s="2546" t="str">
        <f t="shared" si="712"/>
        <v>Yr.</v>
      </c>
      <c r="AL451" s="2723">
        <f>AL$10</f>
        <v>0</v>
      </c>
      <c r="AM451" s="2724">
        <f t="shared" ref="AM451:AR451" si="713">AM$10</f>
        <v>0</v>
      </c>
      <c r="AN451" s="2725">
        <f t="shared" si="713"/>
        <v>0</v>
      </c>
      <c r="AO451" s="2726">
        <f t="shared" si="713"/>
        <v>0</v>
      </c>
      <c r="AP451" s="2724">
        <f t="shared" si="713"/>
        <v>0</v>
      </c>
      <c r="AQ451" s="2725">
        <f t="shared" si="713"/>
        <v>0</v>
      </c>
      <c r="AR451" s="2727">
        <f t="shared" si="713"/>
        <v>0</v>
      </c>
      <c r="AT451" s="2723">
        <f>AT$10</f>
        <v>0</v>
      </c>
      <c r="AU451" s="2724">
        <f t="shared" ref="AU451:AZ451" si="714">AU$10</f>
        <v>0</v>
      </c>
      <c r="AV451" s="2725">
        <f t="shared" si="714"/>
        <v>0</v>
      </c>
      <c r="AW451" s="2726">
        <f t="shared" si="714"/>
        <v>0</v>
      </c>
      <c r="AX451" s="2724">
        <f t="shared" si="714"/>
        <v>0</v>
      </c>
      <c r="AY451" s="2725">
        <f t="shared" si="714"/>
        <v>0</v>
      </c>
      <c r="AZ451" s="2727">
        <f t="shared" si="714"/>
        <v>0</v>
      </c>
      <c r="BB451" s="2723">
        <f>BB$10</f>
        <v>0</v>
      </c>
      <c r="BC451" s="2724">
        <f t="shared" ref="BC451:BH451" si="715">BC$10</f>
        <v>0</v>
      </c>
      <c r="BD451" s="2725">
        <f t="shared" si="715"/>
        <v>0</v>
      </c>
      <c r="BE451" s="2726">
        <f t="shared" si="715"/>
        <v>0</v>
      </c>
      <c r="BF451" s="2724">
        <f t="shared" si="715"/>
        <v>0</v>
      </c>
      <c r="BG451" s="2725">
        <f t="shared" si="715"/>
        <v>0</v>
      </c>
      <c r="BH451" s="2727">
        <f t="shared" si="715"/>
        <v>0</v>
      </c>
    </row>
    <row r="452" spans="1:60" ht="14.5">
      <c r="A452" s="616">
        <f t="shared" si="624"/>
        <v>403</v>
      </c>
      <c r="B452" s="616">
        <v>1</v>
      </c>
      <c r="C452" s="616">
        <f t="shared" si="710"/>
        <v>449</v>
      </c>
      <c r="E452" s="2547">
        <v>1</v>
      </c>
      <c r="I452" s="3222" t="s">
        <v>1375</v>
      </c>
      <c r="J452" s="582"/>
      <c r="K452" s="2135"/>
      <c r="L452" s="2135"/>
      <c r="M452" s="582"/>
      <c r="N452" s="582"/>
      <c r="O452" s="582"/>
      <c r="P452" s="582"/>
      <c r="Q452" s="1810" t="str">
        <f>CHOOSE(2, "6722000003371", "S/GP (1)-1 Net Sales")</f>
        <v>S/GP (1)-1 Net Sales</v>
      </c>
      <c r="R452" s="1317">
        <f>R453+R469</f>
        <v>162913</v>
      </c>
      <c r="S452" s="3223">
        <f t="shared" ref="S452:AJ452" si="716">S453+S469</f>
        <v>182873</v>
      </c>
      <c r="T452" s="3223">
        <f t="shared" si="716"/>
        <v>197175</v>
      </c>
      <c r="U452" s="3223">
        <f t="shared" si="716"/>
        <v>209023</v>
      </c>
      <c r="V452" s="3223">
        <f t="shared" si="716"/>
        <v>260971.35994000002</v>
      </c>
      <c r="W452" s="3223">
        <f t="shared" si="716"/>
        <v>269233</v>
      </c>
      <c r="X452" s="3223">
        <f t="shared" si="716"/>
        <v>232877</v>
      </c>
      <c r="Y452" s="3223">
        <f t="shared" si="716"/>
        <v>251690</v>
      </c>
      <c r="Z452" s="3223">
        <f t="shared" si="716"/>
        <v>327190</v>
      </c>
      <c r="AA452" s="3223">
        <f t="shared" si="716"/>
        <v>240979</v>
      </c>
      <c r="AB452" s="3223">
        <f t="shared" si="716"/>
        <v>261070.37031000003</v>
      </c>
      <c r="AC452" s="3223">
        <f t="shared" si="716"/>
        <v>279063</v>
      </c>
      <c r="AD452" s="3223">
        <f t="shared" si="716"/>
        <v>542961</v>
      </c>
      <c r="AE452" s="3223">
        <f t="shared" si="716"/>
        <v>739227.35994000011</v>
      </c>
      <c r="AF452" s="3223">
        <f t="shared" si="716"/>
        <v>811757</v>
      </c>
      <c r="AG452" s="3223">
        <f t="shared" si="716"/>
        <v>781112.37030999991</v>
      </c>
      <c r="AH452" s="3223">
        <f t="shared" si="716"/>
        <v>1282188.3599399999</v>
      </c>
      <c r="AI452" s="3223">
        <f t="shared" si="716"/>
        <v>1592869.3703099999</v>
      </c>
      <c r="AJ452" s="3223">
        <f t="shared" si="716"/>
        <v>2875057.73025</v>
      </c>
      <c r="AL452" s="1317">
        <f ca="1">SUM((INDIRECT(AL$2&amp;(ROW())):INDIRECT(AL$3&amp;(ROW()))))</f>
        <v>279063</v>
      </c>
      <c r="AM452" s="3223">
        <f ca="1">SUM(INDIRECT(AM$1&amp;AM$2&amp;$C452):INDIRECT(AM$1&amp;AM$3&amp;$C452))</f>
        <v>0</v>
      </c>
      <c r="AN452" s="3224">
        <f t="shared" ref="AN452:AN515" ca="1" si="717">AL452-AM452</f>
        <v>279063</v>
      </c>
      <c r="AO452" s="3225">
        <f t="shared" ref="AO452:AO515" ca="1" si="718">IFERROR(AL452/AM452,0)</f>
        <v>0</v>
      </c>
      <c r="AP452" s="3223">
        <f ca="1">SUM(INDIRECT(AP$1&amp;AP$2&amp;$A452):INDIRECT(AP$1&amp;AP$3&amp;$A452))</f>
        <v>1465.145</v>
      </c>
      <c r="AQ452" s="3224">
        <f t="shared" ref="AQ452:AQ515" ca="1" si="719">AL452-AP452</f>
        <v>277597.85499999998</v>
      </c>
      <c r="AR452" s="3225">
        <f t="shared" ref="AR452:AR515" ca="1" si="720">IFERROR(AL452/AP452,0)</f>
        <v>190.46783765429362</v>
      </c>
      <c r="AT452" s="1317">
        <f ca="1">SUM((INDIRECT(AT$2&amp;(ROW())):INDIRECT(AT$3&amp;(ROW()))))</f>
        <v>781112.37031000003</v>
      </c>
      <c r="AU452" s="3223">
        <f ca="1">SUM(INDIRECT(AU$1&amp;AU$2&amp;$C452):INDIRECT(AU$1&amp;AU$3&amp;$C452))</f>
        <v>0</v>
      </c>
      <c r="AV452" s="3224">
        <f t="shared" ref="AV452:AV515" ca="1" si="721">AT452-AU452</f>
        <v>781112.37031000003</v>
      </c>
      <c r="AW452" s="3225">
        <f t="shared" ref="AW452:AW515" ca="1" si="722">IFERROR(AT452/AU452,0)</f>
        <v>0</v>
      </c>
      <c r="AX452" s="3223">
        <f ca="1">SUM(INDIRECT(AX$1&amp;AX$2&amp;$A452):INDIRECT(AX$1&amp;AX$3&amp;$A452))</f>
        <v>4150.4349999999995</v>
      </c>
      <c r="AY452" s="3224">
        <f t="shared" ref="AY452:AY515" ca="1" si="723">AT452-AX452</f>
        <v>776961.93530999997</v>
      </c>
      <c r="AZ452" s="3225">
        <f t="shared" ref="AZ452:AZ515" ca="1" si="724">IFERROR(AT452/AX452,0)</f>
        <v>188.200121266807</v>
      </c>
      <c r="BB452" s="1317">
        <f ca="1">SUM((INDIRECT(BB$2&amp;(ROW())):INDIRECT(BB$3&amp;(ROW()))))</f>
        <v>2875057.73025</v>
      </c>
      <c r="BC452" s="3223">
        <f ca="1">SUM(INDIRECT(BC$1&amp;BC$2&amp;$C452):INDIRECT(BC$1&amp;BC$3&amp;$C452))</f>
        <v>0</v>
      </c>
      <c r="BD452" s="3224">
        <f t="shared" ref="BD452:BD515" ca="1" si="725">BB452-BC452</f>
        <v>2875057.73025</v>
      </c>
      <c r="BE452" s="3225">
        <f t="shared" ref="BE452:BE515" ca="1" si="726">IFERROR(BB452/BC452,0)</f>
        <v>0</v>
      </c>
      <c r="BF452" s="3223">
        <f ca="1">SUM(INDIRECT(BF$1&amp;BF$2&amp;$A452):INDIRECT(BF$1&amp;BF$3&amp;$A452))</f>
        <v>13310.435000000001</v>
      </c>
      <c r="BG452" s="3224">
        <f t="shared" ref="BG452:BG515" ca="1" si="727">BB452-BF452</f>
        <v>2861747.29525</v>
      </c>
      <c r="BH452" s="3225">
        <f t="shared" ref="BH452:BH515" ca="1" si="728">IFERROR(BB452/BF452,0)</f>
        <v>216.00028325520537</v>
      </c>
    </row>
    <row r="453" spans="1:60" ht="14.5">
      <c r="A453" s="616">
        <f t="shared" si="624"/>
        <v>404</v>
      </c>
      <c r="B453" s="616">
        <v>1</v>
      </c>
      <c r="C453" s="616">
        <f t="shared" si="710"/>
        <v>450</v>
      </c>
      <c r="E453" s="2547">
        <v>1</v>
      </c>
      <c r="I453" s="94"/>
      <c r="J453" s="93"/>
      <c r="K453" s="68" t="s">
        <v>1381</v>
      </c>
      <c r="L453" s="68"/>
      <c r="M453" s="283"/>
      <c r="N453" s="283"/>
      <c r="O453" s="283"/>
      <c r="P453" s="283"/>
      <c r="Q453" s="1811" t="str">
        <f>CHOOSE(2, "6722000003372", "S/GP (1)-1 Net Sales Direct")</f>
        <v>S/GP (1)-1 Net Sales Direct</v>
      </c>
      <c r="R453" s="1318">
        <f>R454+R459+R468</f>
        <v>45015</v>
      </c>
      <c r="S453" s="1259">
        <f t="shared" ref="S453:AJ453" si="729">S454+S459+S468</f>
        <v>48917</v>
      </c>
      <c r="T453" s="1259">
        <f t="shared" si="729"/>
        <v>54091</v>
      </c>
      <c r="U453" s="1259">
        <f t="shared" si="729"/>
        <v>54386</v>
      </c>
      <c r="V453" s="1259">
        <f t="shared" si="729"/>
        <v>55687.342109999998</v>
      </c>
      <c r="W453" s="1259">
        <f t="shared" si="729"/>
        <v>54748</v>
      </c>
      <c r="X453" s="1259">
        <f t="shared" si="729"/>
        <v>54726</v>
      </c>
      <c r="Y453" s="1259">
        <f t="shared" si="729"/>
        <v>59235</v>
      </c>
      <c r="Z453" s="1259">
        <f t="shared" si="729"/>
        <v>64370</v>
      </c>
      <c r="AA453" s="1259">
        <f t="shared" si="729"/>
        <v>59350</v>
      </c>
      <c r="AB453" s="1259">
        <f t="shared" si="729"/>
        <v>63186.224000000002</v>
      </c>
      <c r="AC453" s="1259">
        <f t="shared" si="729"/>
        <v>44964</v>
      </c>
      <c r="AD453" s="1259">
        <f t="shared" si="729"/>
        <v>148023</v>
      </c>
      <c r="AE453" s="1259">
        <f t="shared" si="729"/>
        <v>164821.34211000003</v>
      </c>
      <c r="AF453" s="1259">
        <f t="shared" si="729"/>
        <v>178331</v>
      </c>
      <c r="AG453" s="1259">
        <f t="shared" si="729"/>
        <v>167500.22399999999</v>
      </c>
      <c r="AH453" s="1259">
        <f t="shared" si="729"/>
        <v>312844.34210999997</v>
      </c>
      <c r="AI453" s="1259">
        <f t="shared" si="729"/>
        <v>345831.22399999999</v>
      </c>
      <c r="AJ453" s="1259">
        <f t="shared" si="729"/>
        <v>658675.56611000001</v>
      </c>
      <c r="AL453" s="1318">
        <f ca="1">SUM((INDIRECT(AL$2&amp;(ROW())):INDIRECT(AL$3&amp;(ROW()))))</f>
        <v>44964</v>
      </c>
      <c r="AM453" s="1259">
        <f ca="1">SUM(INDIRECT(AM$1&amp;AM$2&amp;$C453):INDIRECT(AM$1&amp;AM$3&amp;$C453))</f>
        <v>0</v>
      </c>
      <c r="AN453" s="2873">
        <f t="shared" ca="1" si="717"/>
        <v>44964</v>
      </c>
      <c r="AO453" s="2874">
        <f t="shared" ca="1" si="718"/>
        <v>0</v>
      </c>
      <c r="AP453" s="1259">
        <f ca="1">SUM(INDIRECT(AP$1&amp;AP$2&amp;$A453):INDIRECT(AP$1&amp;AP$3&amp;$A453))</f>
        <v>147</v>
      </c>
      <c r="AQ453" s="2873">
        <f t="shared" ca="1" si="719"/>
        <v>44817</v>
      </c>
      <c r="AR453" s="2874">
        <f t="shared" ca="1" si="720"/>
        <v>305.87755102040819</v>
      </c>
      <c r="AT453" s="1318">
        <f ca="1">SUM((INDIRECT(AT$2&amp;(ROW())):INDIRECT(AT$3&amp;(ROW()))))</f>
        <v>167500.22399999999</v>
      </c>
      <c r="AU453" s="1259">
        <f ca="1">SUM(INDIRECT(AU$1&amp;AU$2&amp;$C453):INDIRECT(AU$1&amp;AU$3&amp;$C453))</f>
        <v>0</v>
      </c>
      <c r="AV453" s="2873">
        <f t="shared" ca="1" si="721"/>
        <v>167500.22399999999</v>
      </c>
      <c r="AW453" s="2874">
        <f t="shared" ca="1" si="722"/>
        <v>0</v>
      </c>
      <c r="AX453" s="1259">
        <f ca="1">SUM(INDIRECT(AX$1&amp;AX$2&amp;$A453):INDIRECT(AX$1&amp;AX$3&amp;$A453))</f>
        <v>432</v>
      </c>
      <c r="AY453" s="2873">
        <f t="shared" ca="1" si="723"/>
        <v>167068.22399999999</v>
      </c>
      <c r="AZ453" s="2874">
        <f t="shared" ca="1" si="724"/>
        <v>387.73199999999997</v>
      </c>
      <c r="BB453" s="1318">
        <f ca="1">SUM((INDIRECT(BB$2&amp;(ROW())):INDIRECT(BB$3&amp;(ROW()))))</f>
        <v>658675.56611000001</v>
      </c>
      <c r="BC453" s="1259">
        <f ca="1">SUM(INDIRECT(BC$1&amp;BC$2&amp;$C453):INDIRECT(BC$1&amp;BC$3&amp;$C453))</f>
        <v>0</v>
      </c>
      <c r="BD453" s="2873">
        <f t="shared" ca="1" si="725"/>
        <v>658675.56611000001</v>
      </c>
      <c r="BE453" s="2874">
        <f t="shared" ca="1" si="726"/>
        <v>0</v>
      </c>
      <c r="BF453" s="1259">
        <f ca="1">SUM(INDIRECT(BF$1&amp;BF$2&amp;$A453):INDIRECT(BF$1&amp;BF$3&amp;$A453))</f>
        <v>1895.7076605471771</v>
      </c>
      <c r="BG453" s="2873">
        <f t="shared" ca="1" si="727"/>
        <v>656779.85844945279</v>
      </c>
      <c r="BH453" s="2874">
        <f t="shared" ca="1" si="728"/>
        <v>347.45629815088677</v>
      </c>
    </row>
    <row r="454" spans="1:60" ht="14.5">
      <c r="A454" s="616">
        <f t="shared" si="624"/>
        <v>405</v>
      </c>
      <c r="B454" s="616">
        <v>1</v>
      </c>
      <c r="C454" s="616">
        <f t="shared" si="710"/>
        <v>451</v>
      </c>
      <c r="E454" s="2547">
        <v>1</v>
      </c>
      <c r="I454" s="94"/>
      <c r="J454" s="93"/>
      <c r="K454" s="68"/>
      <c r="L454" s="68"/>
      <c r="M454" s="8" t="s">
        <v>1460</v>
      </c>
      <c r="N454" s="285"/>
      <c r="O454" s="285"/>
      <c r="P454" s="285"/>
      <c r="Q454" s="1777" t="str">
        <f>CHOOSE(2, "6722000003373", "S/GP (1)-1 Net Sales Direct HW")</f>
        <v>S/GP (1)-1 Net Sales Direct HW</v>
      </c>
      <c r="R454" s="287">
        <f>R455+R458</f>
        <v>22518</v>
      </c>
      <c r="S454" s="287">
        <f t="shared" ref="S454:AJ454" si="730">S455+S458</f>
        <v>23635</v>
      </c>
      <c r="T454" s="287">
        <f t="shared" si="730"/>
        <v>29493</v>
      </c>
      <c r="U454" s="287">
        <f t="shared" si="730"/>
        <v>31693</v>
      </c>
      <c r="V454" s="287">
        <f t="shared" si="730"/>
        <v>27377.857</v>
      </c>
      <c r="W454" s="287">
        <f t="shared" si="730"/>
        <v>31593</v>
      </c>
      <c r="X454" s="287">
        <f t="shared" si="730"/>
        <v>30066</v>
      </c>
      <c r="Y454" s="287">
        <f t="shared" si="730"/>
        <v>30010</v>
      </c>
      <c r="Z454" s="287">
        <f t="shared" si="730"/>
        <v>38145</v>
      </c>
      <c r="AA454" s="287">
        <f t="shared" si="730"/>
        <v>33315</v>
      </c>
      <c r="AB454" s="287">
        <f t="shared" si="730"/>
        <v>35922.224000000002</v>
      </c>
      <c r="AC454" s="287">
        <f t="shared" si="730"/>
        <v>23681</v>
      </c>
      <c r="AD454" s="895">
        <f t="shared" si="730"/>
        <v>75646</v>
      </c>
      <c r="AE454" s="287">
        <f t="shared" si="730"/>
        <v>90663.857000000004</v>
      </c>
      <c r="AF454" s="287">
        <f t="shared" si="730"/>
        <v>98221</v>
      </c>
      <c r="AG454" s="287">
        <f t="shared" si="730"/>
        <v>92918.224000000002</v>
      </c>
      <c r="AH454" s="287">
        <f t="shared" si="730"/>
        <v>166309.85699999999</v>
      </c>
      <c r="AI454" s="287">
        <f t="shared" si="730"/>
        <v>191139.22399999999</v>
      </c>
      <c r="AJ454" s="287">
        <f t="shared" si="730"/>
        <v>357449.08100000001</v>
      </c>
      <c r="AL454" s="287">
        <f ca="1">SUM((INDIRECT(AL$2&amp;(ROW())):INDIRECT(AL$3&amp;(ROW()))))</f>
        <v>23681</v>
      </c>
      <c r="AM454" s="287">
        <f ca="1">SUM(INDIRECT(AM$1&amp;AM$2&amp;$C454):INDIRECT(AM$1&amp;AM$3&amp;$C454))</f>
        <v>0</v>
      </c>
      <c r="AN454" s="3226">
        <f t="shared" ca="1" si="717"/>
        <v>23681</v>
      </c>
      <c r="AO454" s="2876">
        <f t="shared" ca="1" si="718"/>
        <v>0</v>
      </c>
      <c r="AP454" s="287">
        <f ca="1">SUM(INDIRECT(AP$1&amp;AP$2&amp;$A454):INDIRECT(AP$1&amp;AP$3&amp;$A454))</f>
        <v>-1642.748270848942</v>
      </c>
      <c r="AQ454" s="3226">
        <f t="shared" ca="1" si="719"/>
        <v>25323.748270848941</v>
      </c>
      <c r="AR454" s="2876">
        <f t="shared" ca="1" si="720"/>
        <v>-14.415477051613085</v>
      </c>
      <c r="AT454" s="287">
        <f ca="1">SUM((INDIRECT(AT$2&amp;(ROW())):INDIRECT(AT$3&amp;(ROW()))))</f>
        <v>92918.224000000002</v>
      </c>
      <c r="AU454" s="287">
        <f ca="1">SUM(INDIRECT(AU$1&amp;AU$2&amp;$C454):INDIRECT(AU$1&amp;AU$3&amp;$C454))</f>
        <v>0</v>
      </c>
      <c r="AV454" s="3226">
        <f t="shared" ca="1" si="721"/>
        <v>92918.224000000002</v>
      </c>
      <c r="AW454" s="2876">
        <f t="shared" ca="1" si="722"/>
        <v>0</v>
      </c>
      <c r="AX454" s="287">
        <f ca="1">SUM(INDIRECT(AX$1&amp;AX$2&amp;$A454):INDIRECT(AX$1&amp;AX$3&amp;$A454))</f>
        <v>-4573.2584881111652</v>
      </c>
      <c r="AY454" s="3226">
        <f t="shared" ca="1" si="723"/>
        <v>97491.482488111171</v>
      </c>
      <c r="AZ454" s="2876">
        <f t="shared" ca="1" si="724"/>
        <v>-20.317728429642479</v>
      </c>
      <c r="BB454" s="287">
        <f ca="1">SUM((INDIRECT(BB$2&amp;(ROW())):INDIRECT(BB$3&amp;(ROW()))))</f>
        <v>357449.08099999995</v>
      </c>
      <c r="BC454" s="287">
        <f ca="1">SUM(INDIRECT(BC$1&amp;BC$2&amp;$C454):INDIRECT(BC$1&amp;BC$3&amp;$C454))</f>
        <v>0</v>
      </c>
      <c r="BD454" s="3226">
        <f t="shared" ca="1" si="725"/>
        <v>357449.08099999995</v>
      </c>
      <c r="BE454" s="2876">
        <f t="shared" ca="1" si="726"/>
        <v>0</v>
      </c>
      <c r="BF454" s="287">
        <f ca="1">SUM(INDIRECT(BF$1&amp;BF$2&amp;$A454):INDIRECT(BF$1&amp;BF$3&amp;$A454))</f>
        <v>-13279.039529031732</v>
      </c>
      <c r="BG454" s="3226">
        <f t="shared" ca="1" si="727"/>
        <v>370728.12052903167</v>
      </c>
      <c r="BH454" s="2876">
        <f t="shared" ca="1" si="728"/>
        <v>-26.918293316208246</v>
      </c>
    </row>
    <row r="455" spans="1:60" ht="14.5">
      <c r="A455" s="616">
        <f t="shared" si="624"/>
        <v>406</v>
      </c>
      <c r="B455" s="616">
        <v>1</v>
      </c>
      <c r="C455" s="616">
        <f t="shared" si="710"/>
        <v>452</v>
      </c>
      <c r="E455" s="2547">
        <v>1</v>
      </c>
      <c r="I455" s="94"/>
      <c r="J455" s="93"/>
      <c r="K455" s="68"/>
      <c r="L455" s="68"/>
      <c r="N455" s="97" t="s">
        <v>1461</v>
      </c>
      <c r="O455" s="97"/>
      <c r="P455" s="97"/>
      <c r="Q455" s="1777" t="str">
        <f>CHOOSE(2, "6722000003374", "S/GP (1)-1 Net Sales Direct HW KMI")</f>
        <v>S/GP (1)-1 Net Sales Direct HW KMI</v>
      </c>
      <c r="R455" s="96">
        <f>SUM(R456:R457)</f>
        <v>22518</v>
      </c>
      <c r="S455" s="96">
        <f t="shared" ref="S455:AJ455" si="731">SUM(S456:S457)</f>
        <v>23635</v>
      </c>
      <c r="T455" s="96">
        <f t="shared" si="731"/>
        <v>29493</v>
      </c>
      <c r="U455" s="96">
        <f t="shared" si="731"/>
        <v>31693</v>
      </c>
      <c r="V455" s="96">
        <f>SUM(V456:V457)</f>
        <v>27377.857</v>
      </c>
      <c r="W455" s="96">
        <f t="shared" si="731"/>
        <v>31593</v>
      </c>
      <c r="X455" s="96">
        <f t="shared" si="731"/>
        <v>30066</v>
      </c>
      <c r="Y455" s="96">
        <f t="shared" si="731"/>
        <v>30010</v>
      </c>
      <c r="Z455" s="96">
        <f t="shared" si="731"/>
        <v>38145</v>
      </c>
      <c r="AA455" s="96">
        <f t="shared" si="731"/>
        <v>33315</v>
      </c>
      <c r="AB455" s="96">
        <f t="shared" si="731"/>
        <v>35922.224000000002</v>
      </c>
      <c r="AC455" s="96">
        <f t="shared" si="731"/>
        <v>23681</v>
      </c>
      <c r="AD455" s="896">
        <f t="shared" si="731"/>
        <v>75646</v>
      </c>
      <c r="AE455" s="96">
        <f t="shared" si="731"/>
        <v>90663.857000000004</v>
      </c>
      <c r="AF455" s="96">
        <f t="shared" si="731"/>
        <v>98221</v>
      </c>
      <c r="AG455" s="96">
        <f t="shared" si="731"/>
        <v>92918.224000000002</v>
      </c>
      <c r="AH455" s="96">
        <f t="shared" si="731"/>
        <v>166309.85699999999</v>
      </c>
      <c r="AI455" s="96">
        <f t="shared" si="731"/>
        <v>191139.22399999999</v>
      </c>
      <c r="AJ455" s="96">
        <f t="shared" si="731"/>
        <v>357449.08100000001</v>
      </c>
      <c r="AL455" s="96">
        <f ca="1">SUM((INDIRECT(AL$2&amp;(ROW())):INDIRECT(AL$3&amp;(ROW()))))</f>
        <v>23681</v>
      </c>
      <c r="AM455" s="96">
        <f ca="1">SUM(INDIRECT(AM$1&amp;AM$2&amp;$C455):INDIRECT(AM$1&amp;AM$3&amp;$C455))</f>
        <v>999.56654705422989</v>
      </c>
      <c r="AN455" s="3227">
        <f t="shared" ca="1" si="717"/>
        <v>22681.43345294577</v>
      </c>
      <c r="AO455" s="2878">
        <f t="shared" ca="1" si="718"/>
        <v>23.691269050358912</v>
      </c>
      <c r="AP455" s="96">
        <f ca="1">SUM(INDIRECT(AP$1&amp;AP$2&amp;$A455):INDIRECT(AP$1&amp;AP$3&amp;$A455))</f>
        <v>-1.9486930852300617</v>
      </c>
      <c r="AQ455" s="3227">
        <f t="shared" ca="1" si="719"/>
        <v>23682.948693085229</v>
      </c>
      <c r="AR455" s="2878">
        <f t="shared" ca="1" si="720"/>
        <v>-12152.247154509831</v>
      </c>
      <c r="AT455" s="96">
        <f ca="1">SUM((INDIRECT(AT$2&amp;(ROW())):INDIRECT(AT$3&amp;(ROW()))))</f>
        <v>92918.224000000002</v>
      </c>
      <c r="AU455" s="96">
        <f ca="1">SUM(INDIRECT(AU$1&amp;AU$2&amp;$C455):INDIRECT(AU$1&amp;AU$3&amp;$C455))</f>
        <v>2951.5430795355869</v>
      </c>
      <c r="AV455" s="3227">
        <f t="shared" ca="1" si="721"/>
        <v>89966.680920464409</v>
      </c>
      <c r="AW455" s="2878">
        <f t="shared" ca="1" si="722"/>
        <v>31.48123591495073</v>
      </c>
      <c r="AX455" s="96">
        <f ca="1">SUM(INDIRECT(AX$1&amp;AX$2&amp;$A455):INDIRECT(AX$1&amp;AX$3&amp;$A455))</f>
        <v>-4.5472679412187054</v>
      </c>
      <c r="AY455" s="3227">
        <f t="shared" ca="1" si="723"/>
        <v>92922.771267941222</v>
      </c>
      <c r="AZ455" s="2878">
        <f t="shared" ca="1" si="724"/>
        <v>-20433.85725255881</v>
      </c>
      <c r="BB455" s="96">
        <f ca="1">SUM((INDIRECT(BB$2&amp;(ROW())):INDIRECT(BB$3&amp;(ROW()))))</f>
        <v>357449.08099999995</v>
      </c>
      <c r="BC455" s="96">
        <f ca="1">SUM(INDIRECT(BC$1&amp;BC$2&amp;$C455):INDIRECT(BC$1&amp;BC$3&amp;$C455))</f>
        <v>4980.7694754617605</v>
      </c>
      <c r="BD455" s="3227">
        <f t="shared" ca="1" si="725"/>
        <v>352468.31152453821</v>
      </c>
      <c r="BE455" s="2878">
        <f t="shared" ca="1" si="726"/>
        <v>71.76583513069761</v>
      </c>
      <c r="BF455" s="96">
        <f ca="1">SUM(INDIRECT(BF$1&amp;BF$2&amp;$A455):INDIRECT(BF$1&amp;BF$3&amp;$A455))</f>
        <v>-44.850949891239047</v>
      </c>
      <c r="BG455" s="3227">
        <f t="shared" ca="1" si="727"/>
        <v>357493.93194989121</v>
      </c>
      <c r="BH455" s="2878">
        <f t="shared" ca="1" si="728"/>
        <v>-7969.7103822058007</v>
      </c>
    </row>
    <row r="456" spans="1:60" ht="14.5">
      <c r="A456" s="616">
        <f t="shared" si="624"/>
        <v>407</v>
      </c>
      <c r="B456" s="616">
        <v>1</v>
      </c>
      <c r="C456" s="616">
        <f t="shared" si="710"/>
        <v>453</v>
      </c>
      <c r="E456" s="2547">
        <v>1</v>
      </c>
      <c r="I456" s="94"/>
      <c r="J456" s="93"/>
      <c r="K456" s="68"/>
      <c r="L456" s="68"/>
      <c r="O456" s="97" t="s">
        <v>1462</v>
      </c>
      <c r="P456" s="97"/>
      <c r="Q456" s="1779" t="str">
        <f>CHOOSE(2, "6722000003375", "S/GP (1)-1 Net Sales Direct HW KMI Office A3")</f>
        <v>S/GP (1)-1 Net Sales Direct HW KMI Office A3</v>
      </c>
      <c r="R456" s="1227">
        <v>21795</v>
      </c>
      <c r="S456" s="1227">
        <v>23167</v>
      </c>
      <c r="T456" s="1227">
        <v>27951</v>
      </c>
      <c r="U456" s="1227">
        <v>30952</v>
      </c>
      <c r="V456" s="1227">
        <v>26680</v>
      </c>
      <c r="W456" s="1227">
        <v>30741</v>
      </c>
      <c r="X456" s="1227">
        <v>29576</v>
      </c>
      <c r="Y456" s="1227">
        <v>29344</v>
      </c>
      <c r="Z456" s="1227">
        <v>36217</v>
      </c>
      <c r="AA456" s="1227">
        <v>32267</v>
      </c>
      <c r="AB456" s="1227">
        <v>34917.224000000002</v>
      </c>
      <c r="AC456" s="1227">
        <v>22529</v>
      </c>
      <c r="AD456" s="896">
        <f>SUM(R456,S456,T456)</f>
        <v>72913</v>
      </c>
      <c r="AE456" s="95">
        <f t="shared" ref="AE456:AE458" si="732">SUM(U456,V456,W456)</f>
        <v>88373</v>
      </c>
      <c r="AF456" s="95">
        <f t="shared" ref="AF456:AF458" si="733">SUM(X456,Y456,Z456)</f>
        <v>95137</v>
      </c>
      <c r="AG456" s="95">
        <f t="shared" ref="AG456:AG458" si="734">SUM(AA456,AB456,AC456)</f>
        <v>89713.224000000002</v>
      </c>
      <c r="AH456" s="95">
        <f>AD456+AE456</f>
        <v>161286</v>
      </c>
      <c r="AI456" s="95">
        <f>AG456+AF456</f>
        <v>184850.22399999999</v>
      </c>
      <c r="AJ456" s="95">
        <f>AH456+AI456</f>
        <v>346136.22399999999</v>
      </c>
      <c r="AL456" s="95">
        <f ca="1">SUM((INDIRECT(AL$2&amp;(ROW())):INDIRECT(AL$3&amp;(ROW()))))</f>
        <v>22529</v>
      </c>
      <c r="AM456" s="95">
        <f ca="1">SUM(INDIRECT(AM$1&amp;AM$2&amp;$C456):INDIRECT(AM$1&amp;AM$3&amp;$C456))</f>
        <v>994.82508923559817</v>
      </c>
      <c r="AN456" s="3228">
        <f t="shared" ca="1" si="717"/>
        <v>21534.174910764403</v>
      </c>
      <c r="AO456" s="2880">
        <f t="shared" ca="1" si="718"/>
        <v>22.646192022871869</v>
      </c>
      <c r="AP456" s="95">
        <f ca="1">SUM(INDIRECT(AP$1&amp;AP$2&amp;$A456):INDIRECT(AP$1&amp;AP$3&amp;$A456))</f>
        <v>-1642.748270848942</v>
      </c>
      <c r="AQ456" s="3228">
        <f t="shared" ca="1" si="719"/>
        <v>24171.748270848941</v>
      </c>
      <c r="AR456" s="2880">
        <f t="shared" ca="1" si="720"/>
        <v>-13.71421318760995</v>
      </c>
      <c r="AT456" s="95">
        <f ca="1">SUM((INDIRECT(AT$2&amp;(ROW())):INDIRECT(AT$3&amp;(ROW()))))</f>
        <v>89713.224000000002</v>
      </c>
      <c r="AU456" s="95">
        <f ca="1">SUM(INDIRECT(AU$1&amp;AU$2&amp;$C456):INDIRECT(AU$1&amp;AU$3&amp;$C456))</f>
        <v>2958.4940157256797</v>
      </c>
      <c r="AV456" s="3228">
        <f t="shared" ca="1" si="721"/>
        <v>86754.729984274323</v>
      </c>
      <c r="AW456" s="2880">
        <f t="shared" ca="1" si="722"/>
        <v>30.323949794434359</v>
      </c>
      <c r="AX456" s="95">
        <f ca="1">SUM(INDIRECT(AX$1&amp;AX$2&amp;$A456):INDIRECT(AX$1&amp;AX$3&amp;$A456))</f>
        <v>-4573.2584881111652</v>
      </c>
      <c r="AY456" s="3228">
        <f t="shared" ca="1" si="723"/>
        <v>94286.482488111171</v>
      </c>
      <c r="AZ456" s="2880">
        <f t="shared" ca="1" si="724"/>
        <v>-19.616915211161203</v>
      </c>
      <c r="BB456" s="95">
        <f ca="1">SUM((INDIRECT(BB$2&amp;(ROW())):INDIRECT(BB$3&amp;(ROW()))))</f>
        <v>346136.22399999999</v>
      </c>
      <c r="BC456" s="95">
        <f ca="1">SUM(INDIRECT(BC$1&amp;BC$2&amp;$C456):INDIRECT(BC$1&amp;BC$3&amp;$C456))</f>
        <v>4830.523346228978</v>
      </c>
      <c r="BD456" s="3228">
        <f t="shared" ca="1" si="725"/>
        <v>341305.700653771</v>
      </c>
      <c r="BE456" s="2880">
        <f t="shared" ca="1" si="726"/>
        <v>71.656050326351604</v>
      </c>
      <c r="BF456" s="95">
        <f ca="1">SUM(INDIRECT(BF$1&amp;BF$2&amp;$A456):INDIRECT(BF$1&amp;BF$3&amp;$A456))</f>
        <v>-13279.039529031732</v>
      </c>
      <c r="BG456" s="3228">
        <f t="shared" ca="1" si="727"/>
        <v>359415.26352903171</v>
      </c>
      <c r="BH456" s="2880">
        <f t="shared" ca="1" si="728"/>
        <v>-26.066359938401298</v>
      </c>
    </row>
    <row r="457" spans="1:60" ht="14.5">
      <c r="A457" s="616">
        <f t="shared" si="624"/>
        <v>408</v>
      </c>
      <c r="B457" s="616">
        <v>1</v>
      </c>
      <c r="C457" s="616">
        <f t="shared" si="710"/>
        <v>454</v>
      </c>
      <c r="E457" s="2547">
        <v>1</v>
      </c>
      <c r="I457" s="94"/>
      <c r="J457" s="93"/>
      <c r="K457" s="68"/>
      <c r="L457" s="68"/>
      <c r="N457" s="285"/>
      <c r="O457" s="285" t="s">
        <v>1463</v>
      </c>
      <c r="P457" s="285"/>
      <c r="Q457" s="1779" t="str">
        <f>CHOOSE(2, "6722000003376", "S/GP (1)-1 Net Sales Direct HW KMI Office A4")</f>
        <v>S/GP (1)-1 Net Sales Direct HW KMI Office A4</v>
      </c>
      <c r="R457" s="1245">
        <v>723</v>
      </c>
      <c r="S457" s="1245">
        <v>468</v>
      </c>
      <c r="T457" s="1245">
        <v>1542</v>
      </c>
      <c r="U457" s="1245">
        <v>741</v>
      </c>
      <c r="V457" s="1245">
        <v>697.85699999999997</v>
      </c>
      <c r="W457" s="1245">
        <v>852</v>
      </c>
      <c r="X457" s="1245">
        <v>490</v>
      </c>
      <c r="Y457" s="1245">
        <v>666</v>
      </c>
      <c r="Z457" s="1245">
        <v>1928</v>
      </c>
      <c r="AA457" s="1245">
        <v>1048</v>
      </c>
      <c r="AB457" s="1245">
        <v>1005</v>
      </c>
      <c r="AC457" s="1245">
        <v>1152</v>
      </c>
      <c r="AD457" s="895">
        <f>SUM(R457,S457,T457)</f>
        <v>2733</v>
      </c>
      <c r="AE457" s="1248">
        <f t="shared" si="732"/>
        <v>2290.857</v>
      </c>
      <c r="AF457" s="1248">
        <f t="shared" si="733"/>
        <v>3084</v>
      </c>
      <c r="AG457" s="1248">
        <f t="shared" si="734"/>
        <v>3205</v>
      </c>
      <c r="AH457" s="1248">
        <f>AD457+AE457</f>
        <v>5023.857</v>
      </c>
      <c r="AI457" s="1248">
        <f>AG457+AF457</f>
        <v>6289</v>
      </c>
      <c r="AJ457" s="1248">
        <f>AH457+AI457</f>
        <v>11312.857</v>
      </c>
      <c r="AL457" s="1248">
        <f ca="1">SUM((INDIRECT(AL$2&amp;(ROW())):INDIRECT(AL$3&amp;(ROW()))))</f>
        <v>1152</v>
      </c>
      <c r="AM457" s="1248">
        <f ca="1">SUM(INDIRECT(AM$1&amp;AM$2&amp;$C457):INDIRECT(AM$1&amp;AM$3&amp;$C457))</f>
        <v>4.7414578186316589</v>
      </c>
      <c r="AN457" s="3229">
        <f t="shared" ca="1" si="717"/>
        <v>1147.2585421813683</v>
      </c>
      <c r="AO457" s="2882">
        <f t="shared" ca="1" si="718"/>
        <v>242.96324971471677</v>
      </c>
      <c r="AP457" s="1248">
        <f ca="1">SUM(INDIRECT(AP$1&amp;AP$2&amp;$A457):INDIRECT(AP$1&amp;AP$3&amp;$A457))</f>
        <v>0</v>
      </c>
      <c r="AQ457" s="3229">
        <f t="shared" ca="1" si="719"/>
        <v>1152</v>
      </c>
      <c r="AR457" s="2882">
        <f t="shared" ca="1" si="720"/>
        <v>0</v>
      </c>
      <c r="AT457" s="1248">
        <f ca="1">SUM((INDIRECT(AT$2&amp;(ROW())):INDIRECT(AT$3&amp;(ROW()))))</f>
        <v>3205</v>
      </c>
      <c r="AU457" s="1248">
        <f ca="1">SUM(INDIRECT(AU$1&amp;AU$2&amp;$C457):INDIRECT(AU$1&amp;AU$3&amp;$C457))</f>
        <v>-6.950936190092591</v>
      </c>
      <c r="AV457" s="3229">
        <f t="shared" ca="1" si="721"/>
        <v>3211.9509361900928</v>
      </c>
      <c r="AW457" s="2882">
        <f t="shared" ca="1" si="722"/>
        <v>-461.08896878785868</v>
      </c>
      <c r="AX457" s="1248">
        <f ca="1">SUM(INDIRECT(AX$1&amp;AX$2&amp;$A457):INDIRECT(AX$1&amp;AX$3&amp;$A457))</f>
        <v>0</v>
      </c>
      <c r="AY457" s="3229">
        <f t="shared" ca="1" si="723"/>
        <v>3205</v>
      </c>
      <c r="AZ457" s="2882">
        <f t="shared" ca="1" si="724"/>
        <v>0</v>
      </c>
      <c r="BB457" s="1248">
        <f ca="1">SUM((INDIRECT(BB$2&amp;(ROW())):INDIRECT(BB$3&amp;(ROW()))))</f>
        <v>11312.857</v>
      </c>
      <c r="BC457" s="1248">
        <f ca="1">SUM(INDIRECT(BC$1&amp;BC$2&amp;$C457):INDIRECT(BC$1&amp;BC$3&amp;$C457))</f>
        <v>150.24612923278278</v>
      </c>
      <c r="BD457" s="3229">
        <f t="shared" ca="1" si="725"/>
        <v>11162.610870767217</v>
      </c>
      <c r="BE457" s="2882">
        <f t="shared" ca="1" si="726"/>
        <v>75.295497180313404</v>
      </c>
      <c r="BF457" s="1248">
        <f ca="1">SUM(INDIRECT(BF$1&amp;BF$2&amp;$A457):INDIRECT(BF$1&amp;BF$3&amp;$A457))</f>
        <v>0</v>
      </c>
      <c r="BG457" s="3229">
        <f t="shared" ca="1" si="727"/>
        <v>11312.857</v>
      </c>
      <c r="BH457" s="2882">
        <f t="shared" ca="1" si="728"/>
        <v>0</v>
      </c>
    </row>
    <row r="458" spans="1:60" ht="14.5" collapsed="1">
      <c r="A458" s="616">
        <f t="shared" si="624"/>
        <v>409</v>
      </c>
      <c r="B458" s="616">
        <v>1</v>
      </c>
      <c r="C458" s="616">
        <f t="shared" si="710"/>
        <v>455</v>
      </c>
      <c r="E458" s="2547">
        <v>1</v>
      </c>
      <c r="I458" s="94"/>
      <c r="J458" s="93"/>
      <c r="K458" s="68"/>
      <c r="L458" s="68"/>
      <c r="M458" s="11"/>
      <c r="N458" s="288" t="s">
        <v>1464</v>
      </c>
      <c r="O458" s="288"/>
      <c r="P458" s="288"/>
      <c r="Q458" s="1779" t="str">
        <f>CHOOSE(2, "6722000003377", "S/GP (1)-1 Net Sales Direct HW 3rd Party")</f>
        <v>S/GP (1)-1 Net Sales Direct HW 3rd Party</v>
      </c>
      <c r="R458" s="1246">
        <v>0</v>
      </c>
      <c r="S458" s="1246">
        <v>0</v>
      </c>
      <c r="T458" s="1246">
        <v>0</v>
      </c>
      <c r="U458" s="1246">
        <v>0</v>
      </c>
      <c r="V458" s="1246">
        <v>0</v>
      </c>
      <c r="W458" s="1246">
        <v>0</v>
      </c>
      <c r="X458" s="1246">
        <v>0</v>
      </c>
      <c r="Y458" s="1246">
        <v>0</v>
      </c>
      <c r="Z458" s="1246">
        <v>0</v>
      </c>
      <c r="AA458" s="1246">
        <v>0</v>
      </c>
      <c r="AB458" s="1246">
        <v>0</v>
      </c>
      <c r="AC458" s="1246">
        <v>0</v>
      </c>
      <c r="AD458" s="897">
        <f>SUM(R458,S458,T458)</f>
        <v>0</v>
      </c>
      <c r="AE458" s="297">
        <f t="shared" si="732"/>
        <v>0</v>
      </c>
      <c r="AF458" s="297">
        <f t="shared" si="733"/>
        <v>0</v>
      </c>
      <c r="AG458" s="297">
        <f t="shared" si="734"/>
        <v>0</v>
      </c>
      <c r="AH458" s="297">
        <f>AD458+AE458</f>
        <v>0</v>
      </c>
      <c r="AI458" s="297">
        <f>AG458+AF458</f>
        <v>0</v>
      </c>
      <c r="AJ458" s="297">
        <f>AH458+AI458</f>
        <v>0</v>
      </c>
      <c r="AL458" s="297">
        <f ca="1">SUM((INDIRECT(AL$2&amp;(ROW())):INDIRECT(AL$3&amp;(ROW()))))</f>
        <v>0</v>
      </c>
      <c r="AM458" s="297">
        <f ca="1">SUM(INDIRECT(AM$1&amp;AM$2&amp;$C458):INDIRECT(AM$1&amp;AM$3&amp;$C458))</f>
        <v>6.8458959886952151E-5</v>
      </c>
      <c r="AN458" s="3230">
        <f t="shared" ca="1" si="717"/>
        <v>-6.8458959886952151E-5</v>
      </c>
      <c r="AO458" s="2884">
        <f t="shared" ca="1" si="718"/>
        <v>0</v>
      </c>
      <c r="AP458" s="297">
        <f ca="1">SUM(INDIRECT(AP$1&amp;AP$2&amp;$A458):INDIRECT(AP$1&amp;AP$3&amp;$A458))</f>
        <v>0</v>
      </c>
      <c r="AQ458" s="3230">
        <f t="shared" ca="1" si="719"/>
        <v>0</v>
      </c>
      <c r="AR458" s="2884">
        <f t="shared" ca="1" si="720"/>
        <v>0</v>
      </c>
      <c r="AT458" s="297">
        <f ca="1">SUM((INDIRECT(AT$2&amp;(ROW())):INDIRECT(AT$3&amp;(ROW()))))</f>
        <v>0</v>
      </c>
      <c r="AU458" s="297">
        <f ca="1">SUM(INDIRECT(AU$1&amp;AU$2&amp;$C458):INDIRECT(AU$1&amp;AU$3&amp;$C458))</f>
        <v>-8.9465212436815939E-5</v>
      </c>
      <c r="AV458" s="3230">
        <f t="shared" ca="1" si="721"/>
        <v>8.9465212436815939E-5</v>
      </c>
      <c r="AW458" s="2884">
        <f t="shared" ca="1" si="722"/>
        <v>0</v>
      </c>
      <c r="AX458" s="297">
        <f ca="1">SUM(INDIRECT(AX$1&amp;AX$2&amp;$A458):INDIRECT(AX$1&amp;AX$3&amp;$A458))</f>
        <v>0</v>
      </c>
      <c r="AY458" s="3230">
        <f t="shared" ca="1" si="723"/>
        <v>0</v>
      </c>
      <c r="AZ458" s="2884">
        <f t="shared" ca="1" si="724"/>
        <v>0</v>
      </c>
      <c r="BB458" s="297">
        <f ca="1">SUM((INDIRECT(BB$2&amp;(ROW())):INDIRECT(BB$3&amp;(ROW()))))</f>
        <v>0</v>
      </c>
      <c r="BC458" s="297">
        <f ca="1">SUM(INDIRECT(BC$1&amp;BC$2&amp;$C458):INDIRECT(BC$1&amp;BC$3&amp;$C458))</f>
        <v>1.6116745354386708E-3</v>
      </c>
      <c r="BD458" s="3230">
        <f t="shared" ca="1" si="725"/>
        <v>-1.6116745354386708E-3</v>
      </c>
      <c r="BE458" s="2884">
        <f t="shared" ca="1" si="726"/>
        <v>0</v>
      </c>
      <c r="BF458" s="297">
        <f ca="1">SUM(INDIRECT(BF$1&amp;BF$2&amp;$A458):INDIRECT(BF$1&amp;BF$3&amp;$A458))</f>
        <v>0</v>
      </c>
      <c r="BG458" s="3230">
        <f t="shared" ca="1" si="727"/>
        <v>0</v>
      </c>
      <c r="BH458" s="2884">
        <f t="shared" ca="1" si="728"/>
        <v>0</v>
      </c>
    </row>
    <row r="459" spans="1:60" ht="14.5">
      <c r="A459" s="616">
        <f t="shared" si="624"/>
        <v>410</v>
      </c>
      <c r="B459" s="616">
        <v>1</v>
      </c>
      <c r="C459" s="616">
        <f t="shared" si="710"/>
        <v>456</v>
      </c>
      <c r="E459" s="2547">
        <v>1</v>
      </c>
      <c r="I459" s="94"/>
      <c r="J459" s="93"/>
      <c r="K459" s="68"/>
      <c r="L459" s="68"/>
      <c r="M459" s="8" t="s">
        <v>1405</v>
      </c>
      <c r="N459" s="284"/>
      <c r="O459" s="284"/>
      <c r="P459" s="284"/>
      <c r="Q459" s="1777" t="str">
        <f>CHOOSE(2, "6722000003378", "S/GP (1)-1 Net Sales Direct NH")</f>
        <v>S/GP (1)-1 Net Sales Direct NH</v>
      </c>
      <c r="R459" s="3103">
        <f>R460+R467</f>
        <v>22497</v>
      </c>
      <c r="S459" s="3103">
        <f t="shared" ref="S459:AJ459" si="735">S460+S467</f>
        <v>25282</v>
      </c>
      <c r="T459" s="3103">
        <f t="shared" si="735"/>
        <v>24598</v>
      </c>
      <c r="U459" s="3103">
        <f t="shared" si="735"/>
        <v>22693</v>
      </c>
      <c r="V459" s="3103">
        <f t="shared" si="735"/>
        <v>28309.485109999998</v>
      </c>
      <c r="W459" s="3103">
        <f t="shared" si="735"/>
        <v>23155</v>
      </c>
      <c r="X459" s="3103">
        <f t="shared" si="735"/>
        <v>24660</v>
      </c>
      <c r="Y459" s="3103">
        <f t="shared" si="735"/>
        <v>29225</v>
      </c>
      <c r="Z459" s="3103">
        <f t="shared" si="735"/>
        <v>26225</v>
      </c>
      <c r="AA459" s="3103">
        <f t="shared" si="735"/>
        <v>26035</v>
      </c>
      <c r="AB459" s="3103">
        <f t="shared" si="735"/>
        <v>27264</v>
      </c>
      <c r="AC459" s="3103">
        <f t="shared" si="735"/>
        <v>21283</v>
      </c>
      <c r="AD459" s="898">
        <f t="shared" si="735"/>
        <v>72377</v>
      </c>
      <c r="AE459" s="1249">
        <f t="shared" si="735"/>
        <v>74157.485110000009</v>
      </c>
      <c r="AF459" s="1249">
        <f t="shared" si="735"/>
        <v>80110</v>
      </c>
      <c r="AG459" s="1249">
        <f t="shared" si="735"/>
        <v>74582</v>
      </c>
      <c r="AH459" s="1249">
        <f t="shared" si="735"/>
        <v>146534.48511000001</v>
      </c>
      <c r="AI459" s="1249">
        <f t="shared" si="735"/>
        <v>154692</v>
      </c>
      <c r="AJ459" s="1249">
        <f t="shared" si="735"/>
        <v>301226.48511000001</v>
      </c>
      <c r="AL459" s="1249">
        <f ca="1">SUM((INDIRECT(AL$2&amp;(ROW())):INDIRECT(AL$3&amp;(ROW()))))</f>
        <v>21283</v>
      </c>
      <c r="AM459" s="1249">
        <f ca="1">SUM(INDIRECT(AM$1&amp;AM$2&amp;$C459):INDIRECT(AM$1&amp;AM$3&amp;$C459))</f>
        <v>0</v>
      </c>
      <c r="AN459" s="3231">
        <f t="shared" ca="1" si="717"/>
        <v>21283</v>
      </c>
      <c r="AO459" s="2886">
        <f t="shared" ca="1" si="718"/>
        <v>0</v>
      </c>
      <c r="AP459" s="1249">
        <f ca="1">SUM(INDIRECT(AP$1&amp;AP$2&amp;$A459):INDIRECT(AP$1&amp;AP$3&amp;$A459))</f>
        <v>0</v>
      </c>
      <c r="AQ459" s="3231">
        <f t="shared" ca="1" si="719"/>
        <v>21283</v>
      </c>
      <c r="AR459" s="2886">
        <f t="shared" ca="1" si="720"/>
        <v>0</v>
      </c>
      <c r="AT459" s="1249">
        <f ca="1">SUM((INDIRECT(AT$2&amp;(ROW())):INDIRECT(AT$3&amp;(ROW()))))</f>
        <v>74582</v>
      </c>
      <c r="AU459" s="1249">
        <f ca="1">SUM(INDIRECT(AU$1&amp;AU$2&amp;$C459):INDIRECT(AU$1&amp;AU$3&amp;$C459))</f>
        <v>0</v>
      </c>
      <c r="AV459" s="3231">
        <f t="shared" ca="1" si="721"/>
        <v>74582</v>
      </c>
      <c r="AW459" s="2886">
        <f t="shared" ca="1" si="722"/>
        <v>0</v>
      </c>
      <c r="AX459" s="1249">
        <f ca="1">SUM(INDIRECT(AX$1&amp;AX$2&amp;$A459):INDIRECT(AX$1&amp;AX$3&amp;$A459))</f>
        <v>0</v>
      </c>
      <c r="AY459" s="3231">
        <f t="shared" ca="1" si="723"/>
        <v>74582</v>
      </c>
      <c r="AZ459" s="2886">
        <f t="shared" ca="1" si="724"/>
        <v>0</v>
      </c>
      <c r="BB459" s="1249">
        <f ca="1">SUM((INDIRECT(BB$2&amp;(ROW())):INDIRECT(BB$3&amp;(ROW()))))</f>
        <v>301226.48511000001</v>
      </c>
      <c r="BC459" s="1249">
        <f ca="1">SUM(INDIRECT(BC$1&amp;BC$2&amp;$C459):INDIRECT(BC$1&amp;BC$3&amp;$C459))</f>
        <v>0</v>
      </c>
      <c r="BD459" s="3231">
        <f t="shared" ca="1" si="725"/>
        <v>301226.48511000001</v>
      </c>
      <c r="BE459" s="2886">
        <f t="shared" ca="1" si="726"/>
        <v>0</v>
      </c>
      <c r="BF459" s="1249">
        <f ca="1">SUM(INDIRECT(BF$1&amp;BF$2&amp;$A459):INDIRECT(BF$1&amp;BF$3&amp;$A459))</f>
        <v>0</v>
      </c>
      <c r="BG459" s="3231">
        <f t="shared" ca="1" si="727"/>
        <v>301226.48511000001</v>
      </c>
      <c r="BH459" s="2886">
        <f t="shared" ca="1" si="728"/>
        <v>0</v>
      </c>
    </row>
    <row r="460" spans="1:60" ht="14.5">
      <c r="A460" s="616">
        <f t="shared" si="624"/>
        <v>411</v>
      </c>
      <c r="B460" s="616">
        <v>1</v>
      </c>
      <c r="C460" s="616">
        <f t="shared" si="710"/>
        <v>457</v>
      </c>
      <c r="E460" s="2547">
        <v>1</v>
      </c>
      <c r="I460" s="94"/>
      <c r="J460" s="93"/>
      <c r="K460" s="68"/>
      <c r="L460" s="68"/>
      <c r="N460" s="97" t="s">
        <v>1461</v>
      </c>
      <c r="O460" s="97"/>
      <c r="P460" s="97"/>
      <c r="Q460" s="1777" t="str">
        <f>CHOOSE(2, "6722000003379", "S/GP (1)-1 Net Sales Direct NH KMI")</f>
        <v>S/GP (1)-1 Net Sales Direct NH KMI</v>
      </c>
      <c r="R460" s="96">
        <f>R461+R464</f>
        <v>22497</v>
      </c>
      <c r="S460" s="96">
        <f t="shared" ref="S460:AJ460" si="736">S461+S464</f>
        <v>25282</v>
      </c>
      <c r="T460" s="96">
        <f t="shared" si="736"/>
        <v>24598</v>
      </c>
      <c r="U460" s="96">
        <f t="shared" si="736"/>
        <v>22693</v>
      </c>
      <c r="V460" s="96">
        <f t="shared" si="736"/>
        <v>28309.485109999998</v>
      </c>
      <c r="W460" s="96">
        <f t="shared" si="736"/>
        <v>23155</v>
      </c>
      <c r="X460" s="96">
        <f t="shared" si="736"/>
        <v>24660</v>
      </c>
      <c r="Y460" s="96">
        <f t="shared" si="736"/>
        <v>29225</v>
      </c>
      <c r="Z460" s="96">
        <f t="shared" si="736"/>
        <v>26225</v>
      </c>
      <c r="AA460" s="96">
        <f t="shared" si="736"/>
        <v>26035</v>
      </c>
      <c r="AB460" s="96">
        <f t="shared" si="736"/>
        <v>27264</v>
      </c>
      <c r="AC460" s="96">
        <f t="shared" si="736"/>
        <v>21283</v>
      </c>
      <c r="AD460" s="896">
        <f t="shared" si="736"/>
        <v>72377</v>
      </c>
      <c r="AE460" s="95">
        <f t="shared" si="736"/>
        <v>74157.485110000009</v>
      </c>
      <c r="AF460" s="95">
        <f t="shared" si="736"/>
        <v>80110</v>
      </c>
      <c r="AG460" s="95">
        <f t="shared" si="736"/>
        <v>74582</v>
      </c>
      <c r="AH460" s="95">
        <f t="shared" si="736"/>
        <v>146534.48511000001</v>
      </c>
      <c r="AI460" s="95">
        <f t="shared" si="736"/>
        <v>154692</v>
      </c>
      <c r="AJ460" s="95">
        <f t="shared" si="736"/>
        <v>301226.48511000001</v>
      </c>
      <c r="AL460" s="95">
        <f ca="1">SUM((INDIRECT(AL$2&amp;(ROW())):INDIRECT(AL$3&amp;(ROW()))))</f>
        <v>21283</v>
      </c>
      <c r="AM460" s="95">
        <f ca="1">SUM(INDIRECT(AM$1&amp;AM$2&amp;$C460):INDIRECT(AM$1&amp;AM$3&amp;$C460))</f>
        <v>0</v>
      </c>
      <c r="AN460" s="3228">
        <f t="shared" ca="1" si="717"/>
        <v>21283</v>
      </c>
      <c r="AO460" s="2880">
        <f t="shared" ca="1" si="718"/>
        <v>0</v>
      </c>
      <c r="AP460" s="95">
        <f ca="1">SUM(INDIRECT(AP$1&amp;AP$2&amp;$A460):INDIRECT(AP$1&amp;AP$3&amp;$A460))</f>
        <v>-1642.748270848942</v>
      </c>
      <c r="AQ460" s="3228">
        <f t="shared" ca="1" si="719"/>
        <v>22925.748270848941</v>
      </c>
      <c r="AR460" s="2880">
        <f t="shared" ca="1" si="720"/>
        <v>-12.955728140259334</v>
      </c>
      <c r="AT460" s="95">
        <f ca="1">SUM((INDIRECT(AT$2&amp;(ROW())):INDIRECT(AT$3&amp;(ROW()))))</f>
        <v>74582</v>
      </c>
      <c r="AU460" s="95">
        <f ca="1">SUM(INDIRECT(AU$1&amp;AU$2&amp;$C460):INDIRECT(AU$1&amp;AU$3&amp;$C460))</f>
        <v>0</v>
      </c>
      <c r="AV460" s="3228">
        <f t="shared" ca="1" si="721"/>
        <v>74582</v>
      </c>
      <c r="AW460" s="2880">
        <f t="shared" ca="1" si="722"/>
        <v>0</v>
      </c>
      <c r="AX460" s="95">
        <f ca="1">SUM(INDIRECT(AX$1&amp;AX$2&amp;$A460):INDIRECT(AX$1&amp;AX$3&amp;$A460))</f>
        <v>-4573.2584881111652</v>
      </c>
      <c r="AY460" s="3228">
        <f t="shared" ca="1" si="723"/>
        <v>79155.258488111169</v>
      </c>
      <c r="AZ460" s="2880">
        <f t="shared" ca="1" si="724"/>
        <v>-16.308284387135888</v>
      </c>
      <c r="BB460" s="95">
        <f ca="1">SUM((INDIRECT(BB$2&amp;(ROW())):INDIRECT(BB$3&amp;(ROW()))))</f>
        <v>301226.48511000001</v>
      </c>
      <c r="BC460" s="95">
        <f ca="1">SUM(INDIRECT(BC$1&amp;BC$2&amp;$C460):INDIRECT(BC$1&amp;BC$3&amp;$C460))</f>
        <v>0</v>
      </c>
      <c r="BD460" s="3228">
        <f t="shared" ca="1" si="725"/>
        <v>301226.48511000001</v>
      </c>
      <c r="BE460" s="2880">
        <f t="shared" ca="1" si="726"/>
        <v>0</v>
      </c>
      <c r="BF460" s="95">
        <f ca="1">SUM(INDIRECT(BF$1&amp;BF$2&amp;$A460):INDIRECT(BF$1&amp;BF$3&amp;$A460))</f>
        <v>-13279.039529031732</v>
      </c>
      <c r="BG460" s="3228">
        <f t="shared" ca="1" si="727"/>
        <v>314505.52463903173</v>
      </c>
      <c r="BH460" s="2880">
        <f t="shared" ca="1" si="728"/>
        <v>-22.684357889848421</v>
      </c>
    </row>
    <row r="461" spans="1:60" ht="14.5">
      <c r="A461" s="616">
        <f t="shared" si="624"/>
        <v>412</v>
      </c>
      <c r="B461" s="616">
        <v>1</v>
      </c>
      <c r="C461" s="616">
        <f t="shared" si="710"/>
        <v>458</v>
      </c>
      <c r="E461" s="2547">
        <v>1</v>
      </c>
      <c r="I461" s="94"/>
      <c r="J461" s="93"/>
      <c r="K461" s="68"/>
      <c r="L461" s="68"/>
      <c r="O461" s="97" t="s">
        <v>1462</v>
      </c>
      <c r="P461" s="869"/>
      <c r="Q461" s="1777" t="str">
        <f>CHOOSE(2, "6722000003380", "S/GP (1)-1 Net Sales Direct NH KMI Office A3")</f>
        <v>S/GP (1)-1 Net Sales Direct NH KMI Office A3</v>
      </c>
      <c r="R461" s="58">
        <f>SUM(R462:R463)</f>
        <v>22106</v>
      </c>
      <c r="S461" s="58">
        <f t="shared" ref="S461:AJ461" si="737">SUM(S462:S463)</f>
        <v>24665</v>
      </c>
      <c r="T461" s="58">
        <f t="shared" si="737"/>
        <v>23445</v>
      </c>
      <c r="U461" s="58">
        <f t="shared" si="737"/>
        <v>21979</v>
      </c>
      <c r="V461" s="58">
        <f t="shared" si="737"/>
        <v>27543.439109999999</v>
      </c>
      <c r="W461" s="58">
        <f t="shared" si="737"/>
        <v>22769</v>
      </c>
      <c r="X461" s="58">
        <f t="shared" si="737"/>
        <v>24122</v>
      </c>
      <c r="Y461" s="58">
        <f t="shared" si="737"/>
        <v>28412</v>
      </c>
      <c r="Z461" s="58">
        <f t="shared" si="737"/>
        <v>25331</v>
      </c>
      <c r="AA461" s="58">
        <f t="shared" si="737"/>
        <v>25538</v>
      </c>
      <c r="AB461" s="58">
        <f t="shared" si="737"/>
        <v>26309</v>
      </c>
      <c r="AC461" s="58">
        <f t="shared" si="737"/>
        <v>20639</v>
      </c>
      <c r="AD461" s="899">
        <f t="shared" si="737"/>
        <v>70216</v>
      </c>
      <c r="AE461" s="1250">
        <f t="shared" si="737"/>
        <v>72291.439110000007</v>
      </c>
      <c r="AF461" s="1250">
        <f t="shared" si="737"/>
        <v>77865</v>
      </c>
      <c r="AG461" s="1250">
        <f t="shared" si="737"/>
        <v>72486</v>
      </c>
      <c r="AH461" s="1250">
        <f t="shared" si="737"/>
        <v>142507.43911000001</v>
      </c>
      <c r="AI461" s="1250">
        <f t="shared" si="737"/>
        <v>150351</v>
      </c>
      <c r="AJ461" s="1250">
        <f t="shared" si="737"/>
        <v>292858.43911000004</v>
      </c>
      <c r="AL461" s="1250">
        <f ca="1">SUM((INDIRECT(AL$2&amp;(ROW())):INDIRECT(AL$3&amp;(ROW()))))</f>
        <v>20639</v>
      </c>
      <c r="AM461" s="1250">
        <f ca="1">SUM(INDIRECT(AM$1&amp;AM$2&amp;$C461):INDIRECT(AM$1&amp;AM$3&amp;$C461))</f>
        <v>0</v>
      </c>
      <c r="AN461" s="3232">
        <f t="shared" ca="1" si="717"/>
        <v>20639</v>
      </c>
      <c r="AO461" s="2888">
        <f t="shared" ca="1" si="718"/>
        <v>0</v>
      </c>
      <c r="AP461" s="1250">
        <f ca="1">SUM(INDIRECT(AP$1&amp;AP$2&amp;$A461):INDIRECT(AP$1&amp;AP$3&amp;$A461))</f>
        <v>-1.9486930852300617</v>
      </c>
      <c r="AQ461" s="3232">
        <f t="shared" ca="1" si="719"/>
        <v>20640.948693085229</v>
      </c>
      <c r="AR461" s="2888">
        <f t="shared" ca="1" si="720"/>
        <v>-10591.200921495223</v>
      </c>
      <c r="AT461" s="1250">
        <f ca="1">SUM((INDIRECT(AT$2&amp;(ROW())):INDIRECT(AT$3&amp;(ROW()))))</f>
        <v>72486</v>
      </c>
      <c r="AU461" s="1250">
        <f ca="1">SUM(INDIRECT(AU$1&amp;AU$2&amp;$C461):INDIRECT(AU$1&amp;AU$3&amp;$C461))</f>
        <v>0</v>
      </c>
      <c r="AV461" s="3232">
        <f t="shared" ca="1" si="721"/>
        <v>72486</v>
      </c>
      <c r="AW461" s="2888">
        <f t="shared" ca="1" si="722"/>
        <v>0</v>
      </c>
      <c r="AX461" s="1250">
        <f ca="1">SUM(INDIRECT(AX$1&amp;AX$2&amp;$A461):INDIRECT(AX$1&amp;AX$3&amp;$A461))</f>
        <v>-4.5472679412187054</v>
      </c>
      <c r="AY461" s="3232">
        <f t="shared" ca="1" si="723"/>
        <v>72490.54726794122</v>
      </c>
      <c r="AZ461" s="2888">
        <f t="shared" ca="1" si="724"/>
        <v>-15940.560560100435</v>
      </c>
      <c r="BB461" s="1250">
        <f ca="1">SUM((INDIRECT(BB$2&amp;(ROW())):INDIRECT(BB$3&amp;(ROW()))))</f>
        <v>292858.43911000004</v>
      </c>
      <c r="BC461" s="1250">
        <f ca="1">SUM(INDIRECT(BC$1&amp;BC$2&amp;$C461):INDIRECT(BC$1&amp;BC$3&amp;$C461))</f>
        <v>0</v>
      </c>
      <c r="BD461" s="3232">
        <f t="shared" ca="1" si="725"/>
        <v>292858.43911000004</v>
      </c>
      <c r="BE461" s="2888">
        <f t="shared" ca="1" si="726"/>
        <v>0</v>
      </c>
      <c r="BF461" s="1250">
        <f ca="1">SUM(INDIRECT(BF$1&amp;BF$2&amp;$A461):INDIRECT(BF$1&amp;BF$3&amp;$A461))</f>
        <v>-44.850949891239047</v>
      </c>
      <c r="BG461" s="3232">
        <f t="shared" ca="1" si="727"/>
        <v>292903.2900598913</v>
      </c>
      <c r="BH461" s="2888">
        <f t="shared" ca="1" si="728"/>
        <v>-6529.5927916836717</v>
      </c>
    </row>
    <row r="462" spans="1:60" ht="14.5">
      <c r="A462" s="616">
        <f t="shared" si="624"/>
        <v>413</v>
      </c>
      <c r="B462" s="616">
        <v>1</v>
      </c>
      <c r="C462" s="616">
        <f t="shared" si="710"/>
        <v>459</v>
      </c>
      <c r="E462" s="2547">
        <v>1</v>
      </c>
      <c r="I462" s="94"/>
      <c r="J462" s="93"/>
      <c r="K462" s="68"/>
      <c r="L462" s="68"/>
      <c r="P462" s="8" t="s">
        <v>1465</v>
      </c>
      <c r="Q462" s="1779" t="str">
        <f>CHOOSE(2, "6722000003381", "S/GP (1)-1 Net Sales Direct NH KMI Office A3 Copy Click")</f>
        <v>S/GP (1)-1 Net Sales Direct NH KMI Office A3 Copy Click</v>
      </c>
      <c r="R462" s="1217">
        <v>22106</v>
      </c>
      <c r="S462" s="1217">
        <v>24665</v>
      </c>
      <c r="T462" s="1217">
        <v>23445</v>
      </c>
      <c r="U462" s="1217">
        <v>21979</v>
      </c>
      <c r="V462" s="1217">
        <v>27543.439109999999</v>
      </c>
      <c r="W462" s="1217">
        <v>22769</v>
      </c>
      <c r="X462" s="1217">
        <v>24122</v>
      </c>
      <c r="Y462" s="1217">
        <v>28412</v>
      </c>
      <c r="Z462" s="1217">
        <v>25331</v>
      </c>
      <c r="AA462" s="1217">
        <v>25538</v>
      </c>
      <c r="AB462" s="1217">
        <v>26309</v>
      </c>
      <c r="AC462" s="1217">
        <v>20639</v>
      </c>
      <c r="AD462" s="783">
        <f>SUM(R462,S462,T462)</f>
        <v>70216</v>
      </c>
      <c r="AE462" s="1226">
        <f t="shared" ref="AE462:AE463" si="738">SUM(U462,V462,W462)</f>
        <v>72291.439110000007</v>
      </c>
      <c r="AF462" s="1226">
        <f t="shared" ref="AF462:AF463" si="739">SUM(X462,Y462,Z462)</f>
        <v>77865</v>
      </c>
      <c r="AG462" s="1226">
        <f t="shared" ref="AG462:AG463" si="740">SUM(AA462,AB462,AC462)</f>
        <v>72486</v>
      </c>
      <c r="AH462" s="1226">
        <f>AD462+AE462</f>
        <v>142507.43911000001</v>
      </c>
      <c r="AI462" s="1226">
        <f>AG462+AF462</f>
        <v>150351</v>
      </c>
      <c r="AJ462" s="1226">
        <f>AH462+AI462</f>
        <v>292858.43911000004</v>
      </c>
      <c r="AL462" s="1226">
        <f ca="1">SUM((INDIRECT(AL$2&amp;(ROW())):INDIRECT(AL$3&amp;(ROW()))))</f>
        <v>20639</v>
      </c>
      <c r="AM462" s="1226">
        <f ca="1">SUM(INDIRECT(AM$1&amp;AM$2&amp;$C462):INDIRECT(AM$1&amp;AM$3&amp;$C462))</f>
        <v>45139</v>
      </c>
      <c r="AN462" s="3233">
        <f t="shared" ca="1" si="717"/>
        <v>-24500</v>
      </c>
      <c r="AO462" s="2890">
        <f t="shared" ca="1" si="718"/>
        <v>0.45723210527481778</v>
      </c>
      <c r="AP462" s="1226">
        <f ca="1">SUM(INDIRECT(AP$1&amp;AP$2&amp;$A462):INDIRECT(AP$1&amp;AP$3&amp;$A462))</f>
        <v>1.0492897791402072E-5</v>
      </c>
      <c r="AQ462" s="3233">
        <f t="shared" ca="1" si="719"/>
        <v>20638.999989507101</v>
      </c>
      <c r="AR462" s="2890">
        <f t="shared" ca="1" si="720"/>
        <v>1966949493.8673365</v>
      </c>
      <c r="AT462" s="1226">
        <f ca="1">SUM((INDIRECT(AT$2&amp;(ROW())):INDIRECT(AT$3&amp;(ROW()))))</f>
        <v>72486</v>
      </c>
      <c r="AU462" s="1226">
        <f ca="1">SUM(INDIRECT(AU$1&amp;AU$2&amp;$C462):INDIRECT(AU$1&amp;AU$3&amp;$C462))</f>
        <v>135325</v>
      </c>
      <c r="AV462" s="3233">
        <f t="shared" ca="1" si="721"/>
        <v>-62839</v>
      </c>
      <c r="AW462" s="2890">
        <f t="shared" ca="1" si="722"/>
        <v>0.53564382043229264</v>
      </c>
      <c r="AX462" s="1226">
        <f ca="1">SUM(INDIRECT(AX$1&amp;AX$2&amp;$A462):INDIRECT(AX$1&amp;AX$3&amp;$A462))</f>
        <v>2.2153140636493166E-5</v>
      </c>
      <c r="AY462" s="3233">
        <f t="shared" ca="1" si="723"/>
        <v>72485.999977846863</v>
      </c>
      <c r="AZ462" s="2890">
        <f t="shared" ca="1" si="724"/>
        <v>3272041702.321559</v>
      </c>
      <c r="BB462" s="1226">
        <f ca="1">SUM((INDIRECT(BB$2&amp;(ROW())):INDIRECT(BB$3&amp;(ROW()))))</f>
        <v>292858.43911000004</v>
      </c>
      <c r="BC462" s="1226">
        <f ca="1">SUM(INDIRECT(BC$1&amp;BC$2&amp;$C462):INDIRECT(BC$1&amp;BC$3&amp;$C462))</f>
        <v>225389</v>
      </c>
      <c r="BD462" s="3233">
        <f t="shared" ca="1" si="725"/>
        <v>67469.439110000036</v>
      </c>
      <c r="BE462" s="2890">
        <f t="shared" ca="1" si="726"/>
        <v>1.2993466367480224</v>
      </c>
      <c r="BF462" s="1226">
        <f ca="1">SUM(INDIRECT(BF$1&amp;BF$2&amp;$A462):INDIRECT(BF$1&amp;BF$3&amp;$A462))</f>
        <v>9.7109580123839502E-3</v>
      </c>
      <c r="BG462" s="3233">
        <f t="shared" ca="1" si="727"/>
        <v>292858.42939904204</v>
      </c>
      <c r="BH462" s="2890">
        <f t="shared" ca="1" si="728"/>
        <v>30157522.948459953</v>
      </c>
    </row>
    <row r="463" spans="1:60" ht="14.5">
      <c r="A463" s="616">
        <f t="shared" si="624"/>
        <v>414</v>
      </c>
      <c r="B463" s="616">
        <v>1</v>
      </c>
      <c r="C463" s="616">
        <f t="shared" si="710"/>
        <v>460</v>
      </c>
      <c r="E463" s="2547">
        <v>1</v>
      </c>
      <c r="I463" s="94"/>
      <c r="J463" s="93"/>
      <c r="K463" s="68"/>
      <c r="L463" s="68"/>
      <c r="P463" s="8" t="s">
        <v>1466</v>
      </c>
      <c r="Q463" s="1779" t="str">
        <f>CHOOSE(2, "6722000003382", "S/GP (1)-1 Net Sales Direct NH KMI Office A3 NonContract")</f>
        <v>S/GP (1)-1 Net Sales Direct NH KMI Office A3 NonContract</v>
      </c>
      <c r="R463" s="1217">
        <v>0</v>
      </c>
      <c r="S463" s="1217">
        <v>0</v>
      </c>
      <c r="T463" s="1217">
        <v>0</v>
      </c>
      <c r="U463" s="1217">
        <v>0</v>
      </c>
      <c r="V463" s="1217">
        <v>0</v>
      </c>
      <c r="W463" s="1217">
        <v>0</v>
      </c>
      <c r="X463" s="1217">
        <v>0</v>
      </c>
      <c r="Y463" s="1217">
        <v>0</v>
      </c>
      <c r="Z463" s="1217">
        <v>0</v>
      </c>
      <c r="AA463" s="1217">
        <v>0</v>
      </c>
      <c r="AB463" s="1217">
        <v>0</v>
      </c>
      <c r="AC463" s="1217">
        <v>0</v>
      </c>
      <c r="AD463" s="783">
        <f>SUM(R463,S463,T463)</f>
        <v>0</v>
      </c>
      <c r="AE463" s="1226">
        <f t="shared" si="738"/>
        <v>0</v>
      </c>
      <c r="AF463" s="1226">
        <f t="shared" si="739"/>
        <v>0</v>
      </c>
      <c r="AG463" s="1226">
        <f t="shared" si="740"/>
        <v>0</v>
      </c>
      <c r="AH463" s="1226">
        <f>AD463+AE463</f>
        <v>0</v>
      </c>
      <c r="AI463" s="1226">
        <f>AG463+AF463</f>
        <v>0</v>
      </c>
      <c r="AJ463" s="1226">
        <f>AH463+AI463</f>
        <v>0</v>
      </c>
      <c r="AL463" s="1226">
        <f ca="1">SUM((INDIRECT(AL$2&amp;(ROW())):INDIRECT(AL$3&amp;(ROW()))))</f>
        <v>0</v>
      </c>
      <c r="AM463" s="1226">
        <f ca="1">SUM(INDIRECT(AM$1&amp;AM$2&amp;$C463):INDIRECT(AM$1&amp;AM$3&amp;$C463))</f>
        <v>236704.56693899591</v>
      </c>
      <c r="AN463" s="3233">
        <f t="shared" ca="1" si="717"/>
        <v>-236704.56693899591</v>
      </c>
      <c r="AO463" s="2890">
        <f t="shared" ca="1" si="718"/>
        <v>0</v>
      </c>
      <c r="AP463" s="1226">
        <f ca="1">SUM(INDIRECT(AP$1&amp;AP$2&amp;$A463):INDIRECT(AP$1&amp;AP$3&amp;$A463))</f>
        <v>2004.2123296093521</v>
      </c>
      <c r="AQ463" s="3233">
        <f t="shared" ca="1" si="719"/>
        <v>-2004.2123296093521</v>
      </c>
      <c r="AR463" s="2890">
        <f t="shared" ca="1" si="720"/>
        <v>0</v>
      </c>
      <c r="AT463" s="1226">
        <f ca="1">SUM((INDIRECT(AT$2&amp;(ROW())):INDIRECT(AT$3&amp;(ROW()))))</f>
        <v>0</v>
      </c>
      <c r="AU463" s="1226">
        <f ca="1">SUM(INDIRECT(AU$1&amp;AU$2&amp;$C463):INDIRECT(AU$1&amp;AU$3&amp;$C463))</f>
        <v>684604.38137088367</v>
      </c>
      <c r="AV463" s="3233">
        <f t="shared" ca="1" si="721"/>
        <v>-684604.38137088367</v>
      </c>
      <c r="AW463" s="2890">
        <f t="shared" ca="1" si="722"/>
        <v>0</v>
      </c>
      <c r="AX463" s="1226">
        <f ca="1">SUM(INDIRECT(AX$1&amp;AX$2&amp;$A463):INDIRECT(AX$1&amp;AX$3&amp;$A463))</f>
        <v>5120.1762026021324</v>
      </c>
      <c r="AY463" s="3233">
        <f t="shared" ca="1" si="723"/>
        <v>-5120.1762026021324</v>
      </c>
      <c r="AZ463" s="2890">
        <f t="shared" ca="1" si="724"/>
        <v>0</v>
      </c>
      <c r="BB463" s="1226">
        <f ca="1">SUM((INDIRECT(BB$2&amp;(ROW())):INDIRECT(BB$3&amp;(ROW()))))</f>
        <v>0</v>
      </c>
      <c r="BC463" s="1226">
        <f ca="1">SUM(INDIRECT(BC$1&amp;BC$2&amp;$C463):INDIRECT(BC$1&amp;BC$3&amp;$C463))</f>
        <v>1140994.7664350886</v>
      </c>
      <c r="BD463" s="3233">
        <f t="shared" ca="1" si="725"/>
        <v>-1140994.7664350886</v>
      </c>
      <c r="BE463" s="2890">
        <f t="shared" ca="1" si="726"/>
        <v>0</v>
      </c>
      <c r="BF463" s="1226">
        <f ca="1">SUM(INDIRECT(BF$1&amp;BF$2&amp;$A463):INDIRECT(BF$1&amp;BF$3&amp;$A463))</f>
        <v>15098.157805002684</v>
      </c>
      <c r="BG463" s="3233">
        <f t="shared" ca="1" si="727"/>
        <v>-15098.157805002684</v>
      </c>
      <c r="BH463" s="2890">
        <f t="shared" ca="1" si="728"/>
        <v>0</v>
      </c>
    </row>
    <row r="464" spans="1:60" ht="14.5">
      <c r="A464" s="616">
        <f t="shared" si="624"/>
        <v>415</v>
      </c>
      <c r="B464" s="616">
        <v>1</v>
      </c>
      <c r="C464" s="616">
        <f t="shared" si="710"/>
        <v>461</v>
      </c>
      <c r="E464" s="2547">
        <v>1</v>
      </c>
      <c r="I464" s="94"/>
      <c r="J464" s="93"/>
      <c r="K464" s="68"/>
      <c r="L464" s="68"/>
      <c r="O464" s="97" t="s">
        <v>1463</v>
      </c>
      <c r="P464" s="869"/>
      <c r="Q464" s="1777" t="str">
        <f>CHOOSE(2, "6722000003383", "S/GP (1)-1 Net Sales Direct NH KMI Office A4")</f>
        <v>S/GP (1)-1 Net Sales Direct NH KMI Office A4</v>
      </c>
      <c r="R464" s="58">
        <f>SUM(R465:R466)</f>
        <v>391</v>
      </c>
      <c r="S464" s="58">
        <f t="shared" ref="S464:AJ464" si="741">SUM(S465:S466)</f>
        <v>617</v>
      </c>
      <c r="T464" s="58">
        <f t="shared" si="741"/>
        <v>1153</v>
      </c>
      <c r="U464" s="58">
        <f t="shared" si="741"/>
        <v>714</v>
      </c>
      <c r="V464" s="58">
        <f t="shared" si="741"/>
        <v>766.04600000000005</v>
      </c>
      <c r="W464" s="58">
        <f t="shared" si="741"/>
        <v>386</v>
      </c>
      <c r="X464" s="58">
        <f t="shared" si="741"/>
        <v>538</v>
      </c>
      <c r="Y464" s="58">
        <f t="shared" si="741"/>
        <v>813</v>
      </c>
      <c r="Z464" s="58">
        <f t="shared" si="741"/>
        <v>894</v>
      </c>
      <c r="AA464" s="58">
        <f t="shared" si="741"/>
        <v>497</v>
      </c>
      <c r="AB464" s="58">
        <f t="shared" si="741"/>
        <v>955</v>
      </c>
      <c r="AC464" s="58">
        <f t="shared" si="741"/>
        <v>644</v>
      </c>
      <c r="AD464" s="899">
        <f t="shared" si="741"/>
        <v>2161</v>
      </c>
      <c r="AE464" s="1250">
        <f t="shared" si="741"/>
        <v>1866.046</v>
      </c>
      <c r="AF464" s="1250">
        <f t="shared" si="741"/>
        <v>2245</v>
      </c>
      <c r="AG464" s="1250">
        <f t="shared" si="741"/>
        <v>2096</v>
      </c>
      <c r="AH464" s="1250">
        <f t="shared" si="741"/>
        <v>4027.0460000000003</v>
      </c>
      <c r="AI464" s="1250">
        <f t="shared" si="741"/>
        <v>4341</v>
      </c>
      <c r="AJ464" s="1250">
        <f t="shared" si="741"/>
        <v>8368.0460000000003</v>
      </c>
      <c r="AL464" s="1250">
        <f ca="1">SUM((INDIRECT(AL$2&amp;(ROW())):INDIRECT(AL$3&amp;(ROW()))))</f>
        <v>644</v>
      </c>
      <c r="AM464" s="1250">
        <f ca="1">SUM(INDIRECT(AM$1&amp;AM$2&amp;$C464):INDIRECT(AM$1&amp;AM$3&amp;$C464))</f>
        <v>57048.932703830753</v>
      </c>
      <c r="AN464" s="3232">
        <f t="shared" ca="1" si="717"/>
        <v>-56404.932703830753</v>
      </c>
      <c r="AO464" s="2888">
        <f t="shared" ca="1" si="718"/>
        <v>1.1288554745508085E-2</v>
      </c>
      <c r="AP464" s="1250">
        <f ca="1">SUM(INDIRECT(AP$1&amp;AP$2&amp;$A464):INDIRECT(AP$1&amp;AP$3&amp;$A464))</f>
        <v>392.60327084894197</v>
      </c>
      <c r="AQ464" s="3232">
        <f t="shared" ca="1" si="719"/>
        <v>251.39672915105803</v>
      </c>
      <c r="AR464" s="2888">
        <f t="shared" ca="1" si="720"/>
        <v>1.6403327425353658</v>
      </c>
      <c r="AT464" s="1250">
        <f ca="1">SUM((INDIRECT(AT$2&amp;(ROW())):INDIRECT(AT$3&amp;(ROW()))))</f>
        <v>2096</v>
      </c>
      <c r="AU464" s="1250">
        <f ca="1">SUM(INDIRECT(AU$1&amp;AU$2&amp;$C464):INDIRECT(AU$1&amp;AU$3&amp;$C464))</f>
        <v>169321.66957147844</v>
      </c>
      <c r="AV464" s="3232">
        <f t="shared" ca="1" si="721"/>
        <v>-167225.66957147844</v>
      </c>
      <c r="AW464" s="2888">
        <f t="shared" ca="1" si="722"/>
        <v>1.2378805414006282E-2</v>
      </c>
      <c r="AX464" s="1250">
        <f ca="1">SUM(INDIRECT(AX$1&amp;AX$2&amp;$A464):INDIRECT(AX$1&amp;AX$3&amp;$A464))</f>
        <v>539.82348811116526</v>
      </c>
      <c r="AY464" s="3232">
        <f t="shared" ca="1" si="723"/>
        <v>1556.1765118888347</v>
      </c>
      <c r="AZ464" s="2888">
        <f t="shared" ca="1" si="724"/>
        <v>3.8827506512061456</v>
      </c>
      <c r="BB464" s="1250">
        <f ca="1">SUM((INDIRECT(BB$2&amp;(ROW())):INDIRECT(BB$3&amp;(ROW()))))</f>
        <v>8368.0460000000003</v>
      </c>
      <c r="BC464" s="1250">
        <f ca="1">SUM(INDIRECT(BC$1&amp;BC$2&amp;$C464):INDIRECT(BC$1&amp;BC$3&amp;$C464))</f>
        <v>291613.99503379071</v>
      </c>
      <c r="BD464" s="3232">
        <f t="shared" ca="1" si="725"/>
        <v>-283245.94903379073</v>
      </c>
      <c r="BE464" s="2888">
        <f t="shared" ca="1" si="726"/>
        <v>2.8695625527267149E-2</v>
      </c>
      <c r="BF464" s="1250">
        <f ca="1">SUM(INDIRECT(BF$1&amp;BF$2&amp;$A464):INDIRECT(BF$1&amp;BF$3&amp;$A464))</f>
        <v>1111.572166562953</v>
      </c>
      <c r="BG464" s="3232">
        <f t="shared" ca="1" si="727"/>
        <v>7256.4738334370468</v>
      </c>
      <c r="BH464" s="2888">
        <f t="shared" ca="1" si="728"/>
        <v>7.5281176083011276</v>
      </c>
    </row>
    <row r="465" spans="1:60" ht="14.5">
      <c r="A465" s="616">
        <f t="shared" si="624"/>
        <v>416</v>
      </c>
      <c r="B465" s="616">
        <v>1</v>
      </c>
      <c r="C465" s="616">
        <f t="shared" si="710"/>
        <v>462</v>
      </c>
      <c r="E465" s="2547">
        <v>1</v>
      </c>
      <c r="I465" s="94"/>
      <c r="J465" s="93"/>
      <c r="K465" s="68"/>
      <c r="L465" s="68"/>
      <c r="P465" s="8" t="s">
        <v>1465</v>
      </c>
      <c r="Q465" s="1779" t="str">
        <f>CHOOSE(2, "6722000003384", "S/GP (1)-1 Net Sales Direct NH KMI Office A4 Copy Click")</f>
        <v>S/GP (1)-1 Net Sales Direct NH KMI Office A4 Copy Click</v>
      </c>
      <c r="R465" s="1217">
        <v>391</v>
      </c>
      <c r="S465" s="1217">
        <v>617</v>
      </c>
      <c r="T465" s="1217">
        <v>1153</v>
      </c>
      <c r="U465" s="1217">
        <v>714</v>
      </c>
      <c r="V465" s="1217">
        <v>766.04600000000005</v>
      </c>
      <c r="W465" s="1217">
        <v>386</v>
      </c>
      <c r="X465" s="1217">
        <v>538</v>
      </c>
      <c r="Y465" s="1217">
        <v>813</v>
      </c>
      <c r="Z465" s="1217">
        <v>894</v>
      </c>
      <c r="AA465" s="1217">
        <v>497</v>
      </c>
      <c r="AB465" s="1217">
        <v>955</v>
      </c>
      <c r="AC465" s="1217">
        <v>644</v>
      </c>
      <c r="AD465" s="783">
        <f>SUM(R465,S465,T465)</f>
        <v>2161</v>
      </c>
      <c r="AE465" s="1226">
        <f t="shared" ref="AE465:AE468" si="742">SUM(U465,V465,W465)</f>
        <v>1866.046</v>
      </c>
      <c r="AF465" s="1226">
        <f t="shared" ref="AF465:AF468" si="743">SUM(X465,Y465,Z465)</f>
        <v>2245</v>
      </c>
      <c r="AG465" s="1226">
        <f t="shared" ref="AG465:AG468" si="744">SUM(AA465,AB465,AC465)</f>
        <v>2096</v>
      </c>
      <c r="AH465" s="1226">
        <f>AD465+AE465</f>
        <v>4027.0460000000003</v>
      </c>
      <c r="AI465" s="1226">
        <f>AG465+AF465</f>
        <v>4341</v>
      </c>
      <c r="AJ465" s="1226">
        <f>AH465+AI465</f>
        <v>8368.0460000000003</v>
      </c>
      <c r="AL465" s="1226">
        <f ca="1">SUM((INDIRECT(AL$2&amp;(ROW())):INDIRECT(AL$3&amp;(ROW()))))</f>
        <v>644</v>
      </c>
      <c r="AM465" s="1226">
        <f ca="1">SUM(INDIRECT(AM$1&amp;AM$2&amp;$C465):INDIRECT(AM$1&amp;AM$3&amp;$C465))</f>
        <v>31093.982703830756</v>
      </c>
      <c r="AN465" s="3233">
        <f t="shared" ca="1" si="717"/>
        <v>-30449.982703830756</v>
      </c>
      <c r="AO465" s="2890">
        <f t="shared" ca="1" si="718"/>
        <v>2.071140278600141E-2</v>
      </c>
      <c r="AP465" s="1226">
        <f ca="1">SUM(INDIRECT(AP$1&amp;AP$2&amp;$A465):INDIRECT(AP$1&amp;AP$3&amp;$A465))</f>
        <v>1464.6090587604101</v>
      </c>
      <c r="AQ465" s="3233">
        <f t="shared" ca="1" si="719"/>
        <v>-820.60905876041011</v>
      </c>
      <c r="AR465" s="2890">
        <f t="shared" ca="1" si="720"/>
        <v>0.43970778150522799</v>
      </c>
      <c r="AT465" s="1226">
        <f ca="1">SUM((INDIRECT(AT$2&amp;(ROW())):INDIRECT(AT$3&amp;(ROW()))))</f>
        <v>2096</v>
      </c>
      <c r="AU465" s="1226">
        <f ca="1">SUM(INDIRECT(AU$1&amp;AU$2&amp;$C465):INDIRECT(AU$1&amp;AU$3&amp;$C465))</f>
        <v>92079.819571478467</v>
      </c>
      <c r="AV465" s="3233">
        <f t="shared" ca="1" si="721"/>
        <v>-89983.819571478467</v>
      </c>
      <c r="AW465" s="2890">
        <f t="shared" ca="1" si="722"/>
        <v>2.2762859546797284E-2</v>
      </c>
      <c r="AX465" s="1226">
        <f ca="1">SUM(INDIRECT(AX$1&amp;AX$2&amp;$A465):INDIRECT(AX$1&amp;AX$3&amp;$A465))</f>
        <v>4148.3527144909667</v>
      </c>
      <c r="AY465" s="3233">
        <f t="shared" ca="1" si="723"/>
        <v>-2052.3527144909667</v>
      </c>
      <c r="AZ465" s="2890">
        <f t="shared" ca="1" si="724"/>
        <v>0.50526079729871631</v>
      </c>
      <c r="BB465" s="1226">
        <f ca="1">SUM((INDIRECT(BB$2&amp;(ROW())):INDIRECT(BB$3&amp;(ROW()))))</f>
        <v>8368.0460000000003</v>
      </c>
      <c r="BC465" s="1226">
        <f ca="1">SUM(INDIRECT(BC$1&amp;BC$2&amp;$C465):INDIRECT(BC$1&amp;BC$3&amp;$C465))</f>
        <v>156208.24503379074</v>
      </c>
      <c r="BD465" s="3233">
        <f t="shared" ca="1" si="725"/>
        <v>-147840.19903379073</v>
      </c>
      <c r="BE465" s="2890">
        <f t="shared" ca="1" si="726"/>
        <v>5.3569809955869081E-2</v>
      </c>
      <c r="BF465" s="1226">
        <f ca="1">SUM(INDIRECT(BF$1&amp;BF$2&amp;$A465):INDIRECT(BF$1&amp;BF$3&amp;$A465))</f>
        <v>12086.474210528731</v>
      </c>
      <c r="BG465" s="3233">
        <f t="shared" ca="1" si="727"/>
        <v>-3718.4282105287311</v>
      </c>
      <c r="BH465" s="2890">
        <f t="shared" ca="1" si="728"/>
        <v>0.69234797958783167</v>
      </c>
    </row>
    <row r="466" spans="1:60" ht="14.5">
      <c r="A466" s="616">
        <f t="shared" si="624"/>
        <v>417</v>
      </c>
      <c r="B466" s="616">
        <v>1</v>
      </c>
      <c r="C466" s="616">
        <f t="shared" si="710"/>
        <v>463</v>
      </c>
      <c r="E466" s="2547">
        <v>1</v>
      </c>
      <c r="I466" s="94"/>
      <c r="J466" s="93"/>
      <c r="K466" s="68"/>
      <c r="L466" s="68"/>
      <c r="N466" s="285"/>
      <c r="O466" s="285"/>
      <c r="P466" s="285" t="s">
        <v>1466</v>
      </c>
      <c r="Q466" s="1779" t="str">
        <f>CHOOSE(2, "6722000003385", "S/GP (1)-1 Net Sales Direct NH KMI Office A4 NonContract")</f>
        <v>S/GP (1)-1 Net Sales Direct NH KMI Office A4 NonContract</v>
      </c>
      <c r="R466" s="1245">
        <v>0</v>
      </c>
      <c r="S466" s="1245">
        <v>0</v>
      </c>
      <c r="T466" s="1245">
        <v>0</v>
      </c>
      <c r="U466" s="1245">
        <v>0</v>
      </c>
      <c r="V466" s="1245">
        <v>0</v>
      </c>
      <c r="W466" s="1245">
        <v>0</v>
      </c>
      <c r="X466" s="1245">
        <v>0</v>
      </c>
      <c r="Y466" s="1245">
        <v>0</v>
      </c>
      <c r="Z466" s="1245">
        <v>0</v>
      </c>
      <c r="AA466" s="1245">
        <v>0</v>
      </c>
      <c r="AB466" s="1245">
        <v>0</v>
      </c>
      <c r="AC466" s="1245">
        <v>0</v>
      </c>
      <c r="AD466" s="895">
        <f>SUM(R466,S466,T466)</f>
        <v>0</v>
      </c>
      <c r="AE466" s="1248">
        <f t="shared" si="742"/>
        <v>0</v>
      </c>
      <c r="AF466" s="1248">
        <f t="shared" si="743"/>
        <v>0</v>
      </c>
      <c r="AG466" s="1248">
        <f t="shared" si="744"/>
        <v>0</v>
      </c>
      <c r="AH466" s="1248">
        <f>AD466+AE466</f>
        <v>0</v>
      </c>
      <c r="AI466" s="1248">
        <f>AG466+AF466</f>
        <v>0</v>
      </c>
      <c r="AJ466" s="1248">
        <f>AH466+AI466</f>
        <v>0</v>
      </c>
      <c r="AL466" s="1248">
        <f ca="1">SUM((INDIRECT(AL$2&amp;(ROW())):INDIRECT(AL$3&amp;(ROW()))))</f>
        <v>0</v>
      </c>
      <c r="AM466" s="1248">
        <f ca="1">SUM(INDIRECT(AM$1&amp;AM$2&amp;$C466):INDIRECT(AM$1&amp;AM$3&amp;$C466))</f>
        <v>31093.982703830756</v>
      </c>
      <c r="AN466" s="3229">
        <f t="shared" ca="1" si="717"/>
        <v>-31093.982703830756</v>
      </c>
      <c r="AO466" s="2882">
        <f t="shared" ca="1" si="718"/>
        <v>0</v>
      </c>
      <c r="AP466" s="1248">
        <f ca="1">SUM(INDIRECT(AP$1&amp;AP$2&amp;$A466):INDIRECT(AP$1&amp;AP$3&amp;$A466))</f>
        <v>147</v>
      </c>
      <c r="AQ466" s="3229">
        <f t="shared" ca="1" si="719"/>
        <v>-147</v>
      </c>
      <c r="AR466" s="2882">
        <f t="shared" ca="1" si="720"/>
        <v>0</v>
      </c>
      <c r="AT466" s="1248">
        <f ca="1">SUM((INDIRECT(AT$2&amp;(ROW())):INDIRECT(AT$3&amp;(ROW()))))</f>
        <v>0</v>
      </c>
      <c r="AU466" s="1248">
        <f ca="1">SUM(INDIRECT(AU$1&amp;AU$2&amp;$C466):INDIRECT(AU$1&amp;AU$3&amp;$C466))</f>
        <v>92079.819571478467</v>
      </c>
      <c r="AV466" s="3229">
        <f t="shared" ca="1" si="721"/>
        <v>-92079.819571478467</v>
      </c>
      <c r="AW466" s="2882">
        <f t="shared" ca="1" si="722"/>
        <v>0</v>
      </c>
      <c r="AX466" s="1248">
        <f ca="1">SUM(INDIRECT(AX$1&amp;AX$2&amp;$A466):INDIRECT(AX$1&amp;AX$3&amp;$A466))</f>
        <v>432</v>
      </c>
      <c r="AY466" s="3229">
        <f t="shared" ca="1" si="723"/>
        <v>-432</v>
      </c>
      <c r="AZ466" s="2882">
        <f t="shared" ca="1" si="724"/>
        <v>0</v>
      </c>
      <c r="BB466" s="1248">
        <f ca="1">SUM((INDIRECT(BB$2&amp;(ROW())):INDIRECT(BB$3&amp;(ROW()))))</f>
        <v>0</v>
      </c>
      <c r="BC466" s="1248">
        <f ca="1">SUM(INDIRECT(BC$1&amp;BC$2&amp;$C466):INDIRECT(BC$1&amp;BC$3&amp;$C466))</f>
        <v>156208.24503379074</v>
      </c>
      <c r="BD466" s="3229">
        <f t="shared" ca="1" si="725"/>
        <v>-156208.24503379074</v>
      </c>
      <c r="BE466" s="2882">
        <f t="shared" ca="1" si="726"/>
        <v>0</v>
      </c>
      <c r="BF466" s="1248">
        <f ca="1">SUM(INDIRECT(BF$1&amp;BF$2&amp;$A466):INDIRECT(BF$1&amp;BF$3&amp;$A466))</f>
        <v>1900.1114279109988</v>
      </c>
      <c r="BG466" s="3229">
        <f t="shared" ca="1" si="727"/>
        <v>-1900.1114279109988</v>
      </c>
      <c r="BH466" s="2882">
        <f t="shared" ca="1" si="728"/>
        <v>0</v>
      </c>
    </row>
    <row r="467" spans="1:60" ht="14.5" collapsed="1">
      <c r="A467" s="616">
        <f t="shared" si="624"/>
        <v>418</v>
      </c>
      <c r="B467" s="616">
        <v>1</v>
      </c>
      <c r="C467" s="616">
        <f t="shared" si="710"/>
        <v>464</v>
      </c>
      <c r="E467" s="2547">
        <v>1</v>
      </c>
      <c r="I467" s="94"/>
      <c r="J467" s="93"/>
      <c r="K467" s="68"/>
      <c r="L467" s="68"/>
      <c r="N467" s="288" t="s">
        <v>1464</v>
      </c>
      <c r="O467" s="288"/>
      <c r="P467" s="288"/>
      <c r="Q467" s="1779" t="str">
        <f>CHOOSE(2, "6722000003386", "S/GP (1)-1 Net Sales Direct NH 3rd Party")</f>
        <v>S/GP (1)-1 Net Sales Direct NH 3rd Party</v>
      </c>
      <c r="R467" s="1246">
        <v>0</v>
      </c>
      <c r="S467" s="1246">
        <v>0</v>
      </c>
      <c r="T467" s="1246">
        <v>0</v>
      </c>
      <c r="U467" s="1246">
        <v>0</v>
      </c>
      <c r="V467" s="1246">
        <v>0</v>
      </c>
      <c r="W467" s="1246">
        <v>0</v>
      </c>
      <c r="X467" s="1246">
        <v>0</v>
      </c>
      <c r="Y467" s="1246">
        <v>0</v>
      </c>
      <c r="Z467" s="1246">
        <v>0</v>
      </c>
      <c r="AA467" s="1246">
        <v>0</v>
      </c>
      <c r="AB467" s="1246">
        <v>0</v>
      </c>
      <c r="AC467" s="1246">
        <v>0</v>
      </c>
      <c r="AD467" s="897">
        <f>SUM(R467,S467,T467)</f>
        <v>0</v>
      </c>
      <c r="AE467" s="297">
        <f t="shared" si="742"/>
        <v>0</v>
      </c>
      <c r="AF467" s="297">
        <f t="shared" si="743"/>
        <v>0</v>
      </c>
      <c r="AG467" s="297">
        <f t="shared" si="744"/>
        <v>0</v>
      </c>
      <c r="AH467" s="297">
        <f>AD467+AE467</f>
        <v>0</v>
      </c>
      <c r="AI467" s="297">
        <f>AG467+AF467</f>
        <v>0</v>
      </c>
      <c r="AJ467" s="297">
        <f>AH467+AI467</f>
        <v>0</v>
      </c>
      <c r="AL467" s="297">
        <f ca="1">SUM((INDIRECT(AL$2&amp;(ROW())):INDIRECT(AL$3&amp;(ROW()))))</f>
        <v>0</v>
      </c>
      <c r="AM467" s="297">
        <f ca="1">SUM(INDIRECT(AM$1&amp;AM$2&amp;$C467):INDIRECT(AM$1&amp;AM$3&amp;$C467))</f>
        <v>31093.982703830756</v>
      </c>
      <c r="AN467" s="3230">
        <f t="shared" ca="1" si="717"/>
        <v>-31093.982703830756</v>
      </c>
      <c r="AO467" s="2884">
        <f t="shared" ca="1" si="718"/>
        <v>0</v>
      </c>
      <c r="AP467" s="297">
        <f ca="1">SUM(INDIRECT(AP$1&amp;AP$2&amp;$A467):INDIRECT(AP$1&amp;AP$3&amp;$A467))</f>
        <v>0.53594123958987439</v>
      </c>
      <c r="AQ467" s="3230">
        <f t="shared" ca="1" si="719"/>
        <v>-0.53594123958987439</v>
      </c>
      <c r="AR467" s="2884">
        <f t="shared" ca="1" si="720"/>
        <v>0</v>
      </c>
      <c r="AT467" s="297">
        <f ca="1">SUM((INDIRECT(AT$2&amp;(ROW())):INDIRECT(AT$3&amp;(ROW()))))</f>
        <v>0</v>
      </c>
      <c r="AU467" s="297">
        <f ca="1">SUM(INDIRECT(AU$1&amp;AU$2&amp;$C467):INDIRECT(AU$1&amp;AU$3&amp;$C467))</f>
        <v>92079.819571478467</v>
      </c>
      <c r="AV467" s="3230">
        <f t="shared" ca="1" si="721"/>
        <v>-92079.819571478467</v>
      </c>
      <c r="AW467" s="2884">
        <f t="shared" ca="1" si="722"/>
        <v>0</v>
      </c>
      <c r="AX467" s="297">
        <f ca="1">SUM(INDIRECT(AX$1&amp;AX$2&amp;$A467):INDIRECT(AX$1&amp;AX$3&amp;$A467))</f>
        <v>2.0822855090332268</v>
      </c>
      <c r="AY467" s="3230">
        <f t="shared" ca="1" si="723"/>
        <v>-2.0822855090332268</v>
      </c>
      <c r="AZ467" s="2884">
        <f t="shared" ca="1" si="724"/>
        <v>0</v>
      </c>
      <c r="BB467" s="297">
        <f ca="1">SUM((INDIRECT(BB$2&amp;(ROW())):INDIRECT(BB$3&amp;(ROW()))))</f>
        <v>0</v>
      </c>
      <c r="BC467" s="297">
        <f ca="1">SUM(INDIRECT(BC$1&amp;BC$2&amp;$C467):INDIRECT(BC$1&amp;BC$3&amp;$C467))</f>
        <v>156208.24503379074</v>
      </c>
      <c r="BD467" s="3230">
        <f t="shared" ca="1" si="725"/>
        <v>-156208.24503379074</v>
      </c>
      <c r="BE467" s="2884">
        <f t="shared" ca="1" si="726"/>
        <v>0</v>
      </c>
      <c r="BF467" s="297">
        <f ca="1">SUM(INDIRECT(BF$1&amp;BF$2&amp;$A467):INDIRECT(BF$1&amp;BF$3&amp;$A467))</f>
        <v>1137.8817240290473</v>
      </c>
      <c r="BG467" s="3230">
        <f t="shared" ca="1" si="727"/>
        <v>-1137.8817240290473</v>
      </c>
      <c r="BH467" s="2884">
        <f t="shared" ca="1" si="728"/>
        <v>0</v>
      </c>
    </row>
    <row r="468" spans="1:60" ht="14.5">
      <c r="A468" s="616">
        <f t="shared" si="624"/>
        <v>419</v>
      </c>
      <c r="B468" s="616">
        <v>1</v>
      </c>
      <c r="C468" s="616">
        <f t="shared" si="710"/>
        <v>465</v>
      </c>
      <c r="E468" s="2547">
        <v>1</v>
      </c>
      <c r="I468" s="94"/>
      <c r="J468" s="93"/>
      <c r="K468" s="67"/>
      <c r="L468" s="67"/>
      <c r="M468" s="1475" t="s">
        <v>1386</v>
      </c>
      <c r="N468" s="1475"/>
      <c r="O468" s="1475"/>
      <c r="P468" s="1475"/>
      <c r="Q468" s="1779" t="str">
        <f>CHOOSE(2, "6722000003387", "S/GP (1)-1 Net Sales Direct Others")</f>
        <v>S/GP (1)-1 Net Sales Direct Others</v>
      </c>
      <c r="R468" s="3234">
        <v>0</v>
      </c>
      <c r="S468" s="3234">
        <v>0</v>
      </c>
      <c r="T468" s="3234">
        <v>0</v>
      </c>
      <c r="U468" s="3234">
        <v>0</v>
      </c>
      <c r="V468" s="3234">
        <v>0</v>
      </c>
      <c r="W468" s="3234">
        <v>0</v>
      </c>
      <c r="X468" s="3234">
        <v>0</v>
      </c>
      <c r="Y468" s="3234">
        <v>0</v>
      </c>
      <c r="Z468" s="3234">
        <v>0</v>
      </c>
      <c r="AA468" s="3234">
        <v>0</v>
      </c>
      <c r="AB468" s="3234">
        <v>0</v>
      </c>
      <c r="AC468" s="3234">
        <v>0</v>
      </c>
      <c r="AD468" s="3235">
        <f>SUM(R468,S468,T468)</f>
        <v>0</v>
      </c>
      <c r="AE468" s="3236">
        <f t="shared" si="742"/>
        <v>0</v>
      </c>
      <c r="AF468" s="3236">
        <f t="shared" si="743"/>
        <v>0</v>
      </c>
      <c r="AG468" s="3236">
        <f t="shared" si="744"/>
        <v>0</v>
      </c>
      <c r="AH468" s="3236">
        <f>AD468+AE468</f>
        <v>0</v>
      </c>
      <c r="AI468" s="3236">
        <f>AG468+AF468</f>
        <v>0</v>
      </c>
      <c r="AJ468" s="3236">
        <f>AH468+AI468</f>
        <v>0</v>
      </c>
      <c r="AL468" s="3236">
        <f ca="1">SUM((INDIRECT(AL$2&amp;(ROW())):INDIRECT(AL$3&amp;(ROW()))))</f>
        <v>0</v>
      </c>
      <c r="AM468" s="3236">
        <f ca="1">SUM(INDIRECT(AM$1&amp;AM$2&amp;$C468):INDIRECT(AM$1&amp;AM$3&amp;$C468))</f>
        <v>0</v>
      </c>
      <c r="AN468" s="3237">
        <f t="shared" ca="1" si="717"/>
        <v>0</v>
      </c>
      <c r="AO468" s="2892">
        <f t="shared" ca="1" si="718"/>
        <v>0</v>
      </c>
      <c r="AP468" s="3236">
        <f ca="1">SUM(INDIRECT(AP$1&amp;AP$2&amp;$A468):INDIRECT(AP$1&amp;AP$3&amp;$A468))</f>
        <v>2.6733592809780635E-4</v>
      </c>
      <c r="AQ468" s="3237">
        <f t="shared" ca="1" si="719"/>
        <v>-2.6733592809780635E-4</v>
      </c>
      <c r="AR468" s="2892">
        <f t="shared" ca="1" si="720"/>
        <v>0</v>
      </c>
      <c r="AT468" s="3236">
        <f ca="1">SUM((INDIRECT(AT$2&amp;(ROW())):INDIRECT(AT$3&amp;(ROW()))))</f>
        <v>0</v>
      </c>
      <c r="AU468" s="3236">
        <f ca="1">SUM(INDIRECT(AU$1&amp;AU$2&amp;$C468):INDIRECT(AU$1&amp;AU$3&amp;$C468))</f>
        <v>0</v>
      </c>
      <c r="AV468" s="3237">
        <f t="shared" ca="1" si="721"/>
        <v>0</v>
      </c>
      <c r="AW468" s="2892">
        <f t="shared" ca="1" si="722"/>
        <v>0</v>
      </c>
      <c r="AX468" s="3236">
        <f ca="1">SUM(INDIRECT(AX$1&amp;AX$2&amp;$A468):INDIRECT(AX$1&amp;AX$3&amp;$A468))</f>
        <v>1.2334815170853609E-3</v>
      </c>
      <c r="AY468" s="3237">
        <f t="shared" ca="1" si="723"/>
        <v>-1.2334815170853609E-3</v>
      </c>
      <c r="AZ468" s="2892">
        <f t="shared" ca="1" si="724"/>
        <v>0</v>
      </c>
      <c r="BB468" s="3236">
        <f ca="1">SUM((INDIRECT(BB$2&amp;(ROW())):INDIRECT(BB$3&amp;(ROW()))))</f>
        <v>0</v>
      </c>
      <c r="BC468" s="3236">
        <f ca="1">SUM(INDIRECT(BC$1&amp;BC$2&amp;$C468):INDIRECT(BC$1&amp;BC$3&amp;$C468))</f>
        <v>0</v>
      </c>
      <c r="BD468" s="3237">
        <f t="shared" ca="1" si="725"/>
        <v>0</v>
      </c>
      <c r="BE468" s="2892">
        <f t="shared" ca="1" si="726"/>
        <v>0</v>
      </c>
      <c r="BF468" s="3236">
        <f ca="1">SUM(INDIRECT(BF$1&amp;BF$2&amp;$A468):INDIRECT(BF$1&amp;BF$3&amp;$A468))</f>
        <v>0.67454586249685922</v>
      </c>
      <c r="BG468" s="3237">
        <f t="shared" ca="1" si="727"/>
        <v>-0.67454586249685922</v>
      </c>
      <c r="BH468" s="2892">
        <f t="shared" ca="1" si="728"/>
        <v>0</v>
      </c>
    </row>
    <row r="469" spans="1:60" ht="14.5">
      <c r="A469" s="616">
        <f t="shared" si="624"/>
        <v>420</v>
      </c>
      <c r="B469" s="616">
        <v>1</v>
      </c>
      <c r="C469" s="616">
        <f t="shared" si="710"/>
        <v>466</v>
      </c>
      <c r="E469" s="2547">
        <v>1</v>
      </c>
      <c r="I469" s="94"/>
      <c r="J469" s="93"/>
      <c r="K469" s="583" t="s">
        <v>1382</v>
      </c>
      <c r="L469" s="583"/>
      <c r="M469" s="583"/>
      <c r="N469" s="583"/>
      <c r="O469" s="583"/>
      <c r="P469" s="583"/>
      <c r="Q469" s="1812" t="str">
        <f>CHOOSE(2, "6722000003388", "S/GP (1)-1 Net Sales Indirect")</f>
        <v>S/GP (1)-1 Net Sales Indirect</v>
      </c>
      <c r="R469" s="1319">
        <f>+R470+R475+R484</f>
        <v>117898</v>
      </c>
      <c r="S469" s="3238">
        <f t="shared" ref="S469:AJ469" si="745">+S470+S475+S484</f>
        <v>133956</v>
      </c>
      <c r="T469" s="3238">
        <f t="shared" si="745"/>
        <v>143084</v>
      </c>
      <c r="U469" s="3238">
        <f t="shared" si="745"/>
        <v>154637</v>
      </c>
      <c r="V469" s="3238">
        <f t="shared" si="745"/>
        <v>205284.01783000003</v>
      </c>
      <c r="W469" s="3238">
        <f t="shared" si="745"/>
        <v>214485</v>
      </c>
      <c r="X469" s="3238">
        <f t="shared" si="745"/>
        <v>178151</v>
      </c>
      <c r="Y469" s="3238">
        <f t="shared" si="745"/>
        <v>192455</v>
      </c>
      <c r="Z469" s="3238">
        <f t="shared" si="745"/>
        <v>262820</v>
      </c>
      <c r="AA469" s="3238">
        <f t="shared" si="745"/>
        <v>181629</v>
      </c>
      <c r="AB469" s="3238">
        <f t="shared" si="745"/>
        <v>197884.14631000001</v>
      </c>
      <c r="AC469" s="3238">
        <f t="shared" si="745"/>
        <v>234099</v>
      </c>
      <c r="AD469" s="3238">
        <f t="shared" si="745"/>
        <v>394938</v>
      </c>
      <c r="AE469" s="3238">
        <f t="shared" si="745"/>
        <v>574406.01783000003</v>
      </c>
      <c r="AF469" s="3238">
        <f t="shared" si="745"/>
        <v>633426</v>
      </c>
      <c r="AG469" s="3238">
        <f t="shared" si="745"/>
        <v>613612.14630999998</v>
      </c>
      <c r="AH469" s="3238">
        <f t="shared" si="745"/>
        <v>969344.01783000003</v>
      </c>
      <c r="AI469" s="3238">
        <f t="shared" si="745"/>
        <v>1247038.14631</v>
      </c>
      <c r="AJ469" s="3238">
        <f t="shared" si="745"/>
        <v>2216382.16414</v>
      </c>
      <c r="AL469" s="1319">
        <f ca="1">SUM((INDIRECT(AL$2&amp;(ROW())):INDIRECT(AL$3&amp;(ROW()))))</f>
        <v>234099</v>
      </c>
      <c r="AM469" s="3238">
        <f ca="1">SUM(INDIRECT(AM$1&amp;AM$2&amp;$C469):INDIRECT(AM$1&amp;AM$3&amp;$C469))</f>
        <v>0</v>
      </c>
      <c r="AN469" s="3239">
        <f t="shared" ca="1" si="717"/>
        <v>234099</v>
      </c>
      <c r="AO469" s="3240">
        <f t="shared" ca="1" si="718"/>
        <v>0</v>
      </c>
      <c r="AP469" s="3238">
        <f ca="1">SUM(INDIRECT(AP$1&amp;AP$2&amp;$A469):INDIRECT(AP$1&amp;AP$3&amp;$A469))</f>
        <v>0</v>
      </c>
      <c r="AQ469" s="3239">
        <f t="shared" ca="1" si="719"/>
        <v>234099</v>
      </c>
      <c r="AR469" s="3240">
        <f t="shared" ca="1" si="720"/>
        <v>0</v>
      </c>
      <c r="AT469" s="1319">
        <f ca="1">SUM((INDIRECT(AT$2&amp;(ROW())):INDIRECT(AT$3&amp;(ROW()))))</f>
        <v>613612.14630999998</v>
      </c>
      <c r="AU469" s="3238">
        <f ca="1">SUM(INDIRECT(AU$1&amp;AU$2&amp;$C469):INDIRECT(AU$1&amp;AU$3&amp;$C469))</f>
        <v>0</v>
      </c>
      <c r="AV469" s="3239">
        <f t="shared" ca="1" si="721"/>
        <v>613612.14630999998</v>
      </c>
      <c r="AW469" s="3240">
        <f t="shared" ca="1" si="722"/>
        <v>0</v>
      </c>
      <c r="AX469" s="3238">
        <f ca="1">SUM(INDIRECT(AX$1&amp;AX$2&amp;$A469):INDIRECT(AX$1&amp;AX$3&amp;$A469))</f>
        <v>0</v>
      </c>
      <c r="AY469" s="3239">
        <f t="shared" ca="1" si="723"/>
        <v>613612.14630999998</v>
      </c>
      <c r="AZ469" s="3240">
        <f t="shared" ca="1" si="724"/>
        <v>0</v>
      </c>
      <c r="BB469" s="1319">
        <f ca="1">SUM((INDIRECT(BB$2&amp;(ROW())):INDIRECT(BB$3&amp;(ROW()))))</f>
        <v>2216382.16414</v>
      </c>
      <c r="BC469" s="3238">
        <f ca="1">SUM(INDIRECT(BC$1&amp;BC$2&amp;$C469):INDIRECT(BC$1&amp;BC$3&amp;$C469))</f>
        <v>0</v>
      </c>
      <c r="BD469" s="3239">
        <f t="shared" ca="1" si="725"/>
        <v>2216382.16414</v>
      </c>
      <c r="BE469" s="3240">
        <f t="shared" ca="1" si="726"/>
        <v>0</v>
      </c>
      <c r="BF469" s="3238">
        <f ca="1">SUM(INDIRECT(BF$1&amp;BF$2&amp;$A469):INDIRECT(BF$1&amp;BF$3&amp;$A469))</f>
        <v>-81.675298078399393</v>
      </c>
      <c r="BG469" s="3239">
        <f t="shared" ca="1" si="727"/>
        <v>2216463.8394380785</v>
      </c>
      <c r="BH469" s="3240">
        <f t="shared" ca="1" si="728"/>
        <v>-27136.505360684627</v>
      </c>
    </row>
    <row r="470" spans="1:60" ht="14.5">
      <c r="A470" s="616">
        <f t="shared" ref="A470:A533" si="746">A469+1</f>
        <v>421</v>
      </c>
      <c r="B470" s="616">
        <v>1</v>
      </c>
      <c r="C470" s="616">
        <f t="shared" si="710"/>
        <v>467</v>
      </c>
      <c r="E470" s="2547">
        <v>1</v>
      </c>
      <c r="I470" s="94"/>
      <c r="J470" s="93"/>
      <c r="K470" s="63"/>
      <c r="L470" s="63"/>
      <c r="M470" s="8" t="s">
        <v>1460</v>
      </c>
      <c r="N470" s="285"/>
      <c r="O470" s="285"/>
      <c r="P470" s="285"/>
      <c r="Q470" s="1777" t="str">
        <f>CHOOSE(2, "6722000003389", "S/GP (1)-1 Net Sales Indirect HW")</f>
        <v>S/GP (1)-1 Net Sales Indirect HW</v>
      </c>
      <c r="R470" s="287">
        <f>R471+R474</f>
        <v>51668</v>
      </c>
      <c r="S470" s="287">
        <f t="shared" ref="S470:AJ470" si="747">S471+S474</f>
        <v>98025</v>
      </c>
      <c r="T470" s="287">
        <f t="shared" si="747"/>
        <v>74833</v>
      </c>
      <c r="U470" s="287">
        <f t="shared" si="747"/>
        <v>96945</v>
      </c>
      <c r="V470" s="287">
        <f t="shared" si="747"/>
        <v>139067.27900000001</v>
      </c>
      <c r="W470" s="287">
        <f t="shared" si="747"/>
        <v>160331</v>
      </c>
      <c r="X470" s="287">
        <f t="shared" si="747"/>
        <v>117005</v>
      </c>
      <c r="Y470" s="287">
        <f t="shared" si="747"/>
        <v>119625</v>
      </c>
      <c r="Z470" s="287">
        <f t="shared" si="747"/>
        <v>204402</v>
      </c>
      <c r="AA470" s="287">
        <f t="shared" si="747"/>
        <v>123094</v>
      </c>
      <c r="AB470" s="287">
        <f t="shared" si="747"/>
        <v>144048.14631000001</v>
      </c>
      <c r="AC470" s="287">
        <f t="shared" si="747"/>
        <v>176045</v>
      </c>
      <c r="AD470" s="895">
        <f t="shared" si="747"/>
        <v>224526</v>
      </c>
      <c r="AE470" s="287">
        <f t="shared" si="747"/>
        <v>396343.27899999998</v>
      </c>
      <c r="AF470" s="287">
        <f t="shared" si="747"/>
        <v>441032</v>
      </c>
      <c r="AG470" s="287">
        <f t="shared" si="747"/>
        <v>443187.14630999998</v>
      </c>
      <c r="AH470" s="287">
        <f t="shared" si="747"/>
        <v>620869.27899999998</v>
      </c>
      <c r="AI470" s="287">
        <f t="shared" si="747"/>
        <v>884219.14630999998</v>
      </c>
      <c r="AJ470" s="287">
        <f t="shared" si="747"/>
        <v>1505088.4253099998</v>
      </c>
      <c r="AL470" s="287">
        <f ca="1">SUM((INDIRECT(AL$2&amp;(ROW())):INDIRECT(AL$3&amp;(ROW()))))</f>
        <v>176045</v>
      </c>
      <c r="AM470" s="287">
        <f ca="1">SUM(INDIRECT(AM$1&amp;AM$2&amp;$C470):INDIRECT(AM$1&amp;AM$3&amp;$C470))</f>
        <v>25954.95</v>
      </c>
      <c r="AN470" s="3226">
        <f t="shared" ca="1" si="717"/>
        <v>150090.04999999999</v>
      </c>
      <c r="AO470" s="2876">
        <f t="shared" ca="1" si="718"/>
        <v>6.7827138946520797</v>
      </c>
      <c r="AP470" s="287">
        <f ca="1">SUM(INDIRECT(AP$1&amp;AP$2&amp;$A470):INDIRECT(AP$1&amp;AP$3&amp;$A470))</f>
        <v>0.53594123958987439</v>
      </c>
      <c r="AQ470" s="3226">
        <f t="shared" ca="1" si="719"/>
        <v>176044.46405876041</v>
      </c>
      <c r="AR470" s="2876">
        <f t="shared" ca="1" si="720"/>
        <v>328478.17446315067</v>
      </c>
      <c r="AT470" s="287">
        <f ca="1">SUM((INDIRECT(AT$2&amp;(ROW())):INDIRECT(AT$3&amp;(ROW()))))</f>
        <v>443187.14630999998</v>
      </c>
      <c r="AU470" s="287">
        <f ca="1">SUM(INDIRECT(AU$1&amp;AU$2&amp;$C470):INDIRECT(AU$1&amp;AU$3&amp;$C470))</f>
        <v>77241.849999999991</v>
      </c>
      <c r="AV470" s="3226">
        <f t="shared" ca="1" si="721"/>
        <v>365945.29631000001</v>
      </c>
      <c r="AW470" s="2876">
        <f t="shared" ca="1" si="722"/>
        <v>5.7376557696378327</v>
      </c>
      <c r="AX470" s="287">
        <f ca="1">SUM(INDIRECT(AX$1&amp;AX$2&amp;$A470):INDIRECT(AX$1&amp;AX$3&amp;$A470))</f>
        <v>2.0822855090332268</v>
      </c>
      <c r="AY470" s="3226">
        <f t="shared" ca="1" si="723"/>
        <v>443185.06402449094</v>
      </c>
      <c r="AZ470" s="2876">
        <f t="shared" ca="1" si="724"/>
        <v>212836.87774197926</v>
      </c>
      <c r="BB470" s="287">
        <f ca="1">SUM((INDIRECT(BB$2&amp;(ROW())):INDIRECT(BB$3&amp;(ROW()))))</f>
        <v>1505088.4253100001</v>
      </c>
      <c r="BC470" s="287">
        <f ca="1">SUM(INDIRECT(BC$1&amp;BC$2&amp;$C470):INDIRECT(BC$1&amp;BC$3&amp;$C470))</f>
        <v>135405.75</v>
      </c>
      <c r="BD470" s="3226">
        <f t="shared" ca="1" si="725"/>
        <v>1369682.6753100001</v>
      </c>
      <c r="BE470" s="2876">
        <f t="shared" ca="1" si="726"/>
        <v>11.115395212610986</v>
      </c>
      <c r="BF470" s="287">
        <f ca="1">SUM(INDIRECT(BF$1&amp;BF$2&amp;$A470):INDIRECT(BF$1&amp;BF$3&amp;$A470))</f>
        <v>1223.960789471269</v>
      </c>
      <c r="BG470" s="3226">
        <f t="shared" ca="1" si="727"/>
        <v>1503864.4645205289</v>
      </c>
      <c r="BH470" s="2876">
        <f t="shared" ca="1" si="728"/>
        <v>1229.6867990029107</v>
      </c>
    </row>
    <row r="471" spans="1:60" ht="14.5">
      <c r="A471" s="616">
        <f t="shared" si="746"/>
        <v>422</v>
      </c>
      <c r="B471" s="616">
        <v>1</v>
      </c>
      <c r="C471" s="616">
        <f t="shared" si="710"/>
        <v>468</v>
      </c>
      <c r="E471" s="2547">
        <v>1</v>
      </c>
      <c r="I471" s="94"/>
      <c r="J471" s="93"/>
      <c r="K471" s="63"/>
      <c r="L471" s="63"/>
      <c r="N471" s="97" t="s">
        <v>1461</v>
      </c>
      <c r="O471" s="97"/>
      <c r="P471" s="97"/>
      <c r="Q471" s="1777" t="str">
        <f>CHOOSE(2, "6722000003390", "S/GP (1)-1 Net Sales Indirect HW KMI")</f>
        <v>S/GP (1)-1 Net Sales Indirect HW KMI</v>
      </c>
      <c r="R471" s="96">
        <f>SUM(R472:R473)</f>
        <v>51668</v>
      </c>
      <c r="S471" s="96">
        <f t="shared" ref="S471:AJ471" si="748">SUM(S472:S473)</f>
        <v>98025</v>
      </c>
      <c r="T471" s="96">
        <f t="shared" si="748"/>
        <v>74833</v>
      </c>
      <c r="U471" s="96">
        <f t="shared" si="748"/>
        <v>96945</v>
      </c>
      <c r="V471" s="96">
        <f t="shared" si="748"/>
        <v>139067.27900000001</v>
      </c>
      <c r="W471" s="96">
        <f t="shared" si="748"/>
        <v>160331</v>
      </c>
      <c r="X471" s="96">
        <f t="shared" si="748"/>
        <v>117005</v>
      </c>
      <c r="Y471" s="96">
        <f t="shared" si="748"/>
        <v>119625</v>
      </c>
      <c r="Z471" s="96">
        <f t="shared" si="748"/>
        <v>204402</v>
      </c>
      <c r="AA471" s="96">
        <f t="shared" si="748"/>
        <v>123094</v>
      </c>
      <c r="AB471" s="96">
        <f t="shared" si="748"/>
        <v>144048.14631000001</v>
      </c>
      <c r="AC471" s="96">
        <f t="shared" si="748"/>
        <v>176045</v>
      </c>
      <c r="AD471" s="896">
        <f t="shared" si="748"/>
        <v>224526</v>
      </c>
      <c r="AE471" s="96">
        <f t="shared" si="748"/>
        <v>396343.27899999998</v>
      </c>
      <c r="AF471" s="96">
        <f t="shared" si="748"/>
        <v>441032</v>
      </c>
      <c r="AG471" s="96">
        <f t="shared" si="748"/>
        <v>443187.14630999998</v>
      </c>
      <c r="AH471" s="96">
        <f t="shared" si="748"/>
        <v>620869.27899999998</v>
      </c>
      <c r="AI471" s="96">
        <f t="shared" si="748"/>
        <v>884219.14630999998</v>
      </c>
      <c r="AJ471" s="96">
        <f t="shared" si="748"/>
        <v>1505088.4253099998</v>
      </c>
      <c r="AL471" s="96">
        <f ca="1">SUM((INDIRECT(AL$2&amp;(ROW())):INDIRECT(AL$3&amp;(ROW()))))</f>
        <v>176045</v>
      </c>
      <c r="AM471" s="96">
        <f ca="1">SUM(INDIRECT(AM$1&amp;AM$2&amp;$C471):INDIRECT(AM$1&amp;AM$3&amp;$C471))</f>
        <v>25954.95</v>
      </c>
      <c r="AN471" s="3227">
        <f t="shared" ca="1" si="717"/>
        <v>150090.04999999999</v>
      </c>
      <c r="AO471" s="2878">
        <f t="shared" ca="1" si="718"/>
        <v>6.7827138946520797</v>
      </c>
      <c r="AP471" s="96">
        <f ca="1">SUM(INDIRECT(AP$1&amp;AP$2&amp;$A471):INDIRECT(AP$1&amp;AP$3&amp;$A471))</f>
        <v>0</v>
      </c>
      <c r="AQ471" s="3227">
        <f t="shared" ca="1" si="719"/>
        <v>176045</v>
      </c>
      <c r="AR471" s="2878">
        <f t="shared" ca="1" si="720"/>
        <v>0</v>
      </c>
      <c r="AT471" s="96">
        <f ca="1">SUM((INDIRECT(AT$2&amp;(ROW())):INDIRECT(AT$3&amp;(ROW()))))</f>
        <v>443187.14630999998</v>
      </c>
      <c r="AU471" s="96">
        <f ca="1">SUM(INDIRECT(AU$1&amp;AU$2&amp;$C471):INDIRECT(AU$1&amp;AU$3&amp;$C471))</f>
        <v>77241.849999999991</v>
      </c>
      <c r="AV471" s="3227">
        <f t="shared" ca="1" si="721"/>
        <v>365945.29631000001</v>
      </c>
      <c r="AW471" s="2878">
        <f t="shared" ca="1" si="722"/>
        <v>5.7376557696378327</v>
      </c>
      <c r="AX471" s="96">
        <f ca="1">SUM(INDIRECT(AX$1&amp;AX$2&amp;$A471):INDIRECT(AX$1&amp;AX$3&amp;$A471))</f>
        <v>0</v>
      </c>
      <c r="AY471" s="3227">
        <f t="shared" ca="1" si="723"/>
        <v>443187.14630999998</v>
      </c>
      <c r="AZ471" s="2878">
        <f t="shared" ca="1" si="724"/>
        <v>0</v>
      </c>
      <c r="BB471" s="96">
        <f ca="1">SUM((INDIRECT(BB$2&amp;(ROW())):INDIRECT(BB$3&amp;(ROW()))))</f>
        <v>1505088.4253100001</v>
      </c>
      <c r="BC471" s="96">
        <f ca="1">SUM(INDIRECT(BC$1&amp;BC$2&amp;$C471):INDIRECT(BC$1&amp;BC$3&amp;$C471))</f>
        <v>135405.75</v>
      </c>
      <c r="BD471" s="3227">
        <f t="shared" ca="1" si="725"/>
        <v>1369682.6753100001</v>
      </c>
      <c r="BE471" s="2878">
        <f t="shared" ca="1" si="726"/>
        <v>11.115395212610986</v>
      </c>
      <c r="BF471" s="96">
        <f ca="1">SUM(INDIRECT(BF$1&amp;BF$2&amp;$A471):INDIRECT(BF$1&amp;BF$3&amp;$A471))</f>
        <v>-4.4037673638220696</v>
      </c>
      <c r="BG471" s="3227">
        <f t="shared" ca="1" si="727"/>
        <v>1505092.8290773639</v>
      </c>
      <c r="BH471" s="2878">
        <f t="shared" ca="1" si="728"/>
        <v>-341772.9187228728</v>
      </c>
    </row>
    <row r="472" spans="1:60" ht="14.5">
      <c r="A472" s="616">
        <f t="shared" si="746"/>
        <v>423</v>
      </c>
      <c r="B472" s="616">
        <v>1</v>
      </c>
      <c r="C472" s="616">
        <f t="shared" si="710"/>
        <v>469</v>
      </c>
      <c r="E472" s="2547">
        <v>1</v>
      </c>
      <c r="I472" s="94"/>
      <c r="J472" s="93"/>
      <c r="K472" s="63"/>
      <c r="L472" s="63"/>
      <c r="O472" s="97" t="s">
        <v>1462</v>
      </c>
      <c r="P472" s="97"/>
      <c r="Q472" s="1779" t="str">
        <f>CHOOSE(2, "6722000003391", "S/GP (1)-1 Net Sales Indirect HW KMI Office A3")</f>
        <v>S/GP (1)-1 Net Sales Indirect HW KMI Office A3</v>
      </c>
      <c r="R472" s="1227">
        <v>51629</v>
      </c>
      <c r="S472" s="1227">
        <v>98025</v>
      </c>
      <c r="T472" s="1227">
        <v>74833</v>
      </c>
      <c r="U472" s="1227">
        <v>96945</v>
      </c>
      <c r="V472" s="1227">
        <v>139067.27900000001</v>
      </c>
      <c r="W472" s="1227">
        <v>160331</v>
      </c>
      <c r="X472" s="1227">
        <v>117005</v>
      </c>
      <c r="Y472" s="1227">
        <v>119625</v>
      </c>
      <c r="Z472" s="1227">
        <v>204402</v>
      </c>
      <c r="AA472" s="1227">
        <v>123094</v>
      </c>
      <c r="AB472" s="1227">
        <v>144048.14631000001</v>
      </c>
      <c r="AC472" s="1227">
        <v>176045</v>
      </c>
      <c r="AD472" s="896">
        <f>SUM(R472,S472,T472)</f>
        <v>224487</v>
      </c>
      <c r="AE472" s="95">
        <f t="shared" ref="AE472:AE474" si="749">SUM(U472,V472,W472)</f>
        <v>396343.27899999998</v>
      </c>
      <c r="AF472" s="95">
        <f t="shared" ref="AF472:AF474" si="750">SUM(X472,Y472,Z472)</f>
        <v>441032</v>
      </c>
      <c r="AG472" s="95">
        <f t="shared" ref="AG472:AG474" si="751">SUM(AA472,AB472,AC472)</f>
        <v>443187.14630999998</v>
      </c>
      <c r="AH472" s="95">
        <f>AD472+AE472</f>
        <v>620830.27899999998</v>
      </c>
      <c r="AI472" s="95">
        <f>AG472+AF472</f>
        <v>884219.14630999998</v>
      </c>
      <c r="AJ472" s="95">
        <f>AH472+AI472</f>
        <v>1505049.4253099998</v>
      </c>
      <c r="AL472" s="95">
        <f ca="1">SUM((INDIRECT(AL$2&amp;(ROW())):INDIRECT(AL$3&amp;(ROW()))))</f>
        <v>176045</v>
      </c>
      <c r="AM472" s="95">
        <f ca="1">SUM(INDIRECT(AM$1&amp;AM$2&amp;$C472):INDIRECT(AM$1&amp;AM$3&amp;$C472))</f>
        <v>25954.95</v>
      </c>
      <c r="AN472" s="3228">
        <f t="shared" ca="1" si="717"/>
        <v>150090.04999999999</v>
      </c>
      <c r="AO472" s="2880">
        <f t="shared" ca="1" si="718"/>
        <v>6.7827138946520797</v>
      </c>
      <c r="AP472" s="95">
        <f ca="1">SUM(INDIRECT(AP$1&amp;AP$2&amp;$A472):INDIRECT(AP$1&amp;AP$3&amp;$A472))</f>
        <v>0</v>
      </c>
      <c r="AQ472" s="3228">
        <f t="shared" ca="1" si="719"/>
        <v>176045</v>
      </c>
      <c r="AR472" s="2880">
        <f t="shared" ca="1" si="720"/>
        <v>0</v>
      </c>
      <c r="AT472" s="95">
        <f ca="1">SUM((INDIRECT(AT$2&amp;(ROW())):INDIRECT(AT$3&amp;(ROW()))))</f>
        <v>443187.14630999998</v>
      </c>
      <c r="AU472" s="95">
        <f ca="1">SUM(INDIRECT(AU$1&amp;AU$2&amp;$C472):INDIRECT(AU$1&amp;AU$3&amp;$C472))</f>
        <v>77241.849999999991</v>
      </c>
      <c r="AV472" s="3228">
        <f t="shared" ca="1" si="721"/>
        <v>365945.29631000001</v>
      </c>
      <c r="AW472" s="2880">
        <f t="shared" ca="1" si="722"/>
        <v>5.7376557696378327</v>
      </c>
      <c r="AX472" s="95">
        <f ca="1">SUM(INDIRECT(AX$1&amp;AX$2&amp;$A472):INDIRECT(AX$1&amp;AX$3&amp;$A472))</f>
        <v>0</v>
      </c>
      <c r="AY472" s="3228">
        <f t="shared" ca="1" si="723"/>
        <v>443187.14630999998</v>
      </c>
      <c r="AZ472" s="2880">
        <f t="shared" ca="1" si="724"/>
        <v>0</v>
      </c>
      <c r="BB472" s="95">
        <f ca="1">SUM((INDIRECT(BB$2&amp;(ROW())):INDIRECT(BB$3&amp;(ROW()))))</f>
        <v>1505049.4253100001</v>
      </c>
      <c r="BC472" s="95">
        <f ca="1">SUM(INDIRECT(BC$1&amp;BC$2&amp;$C472):INDIRECT(BC$1&amp;BC$3&amp;$C472))</f>
        <v>135405.75</v>
      </c>
      <c r="BD472" s="3228">
        <f t="shared" ca="1" si="725"/>
        <v>1369643.6753100001</v>
      </c>
      <c r="BE472" s="2880">
        <f t="shared" ca="1" si="726"/>
        <v>11.115107189391884</v>
      </c>
      <c r="BF472" s="95">
        <f ca="1">SUM(INDIRECT(BF$1&amp;BF$2&amp;$A472):INDIRECT(BF$1&amp;BF$3&amp;$A472))</f>
        <v>0</v>
      </c>
      <c r="BG472" s="3228">
        <f t="shared" ca="1" si="727"/>
        <v>1505049.4253100001</v>
      </c>
      <c r="BH472" s="2880">
        <f t="shared" ca="1" si="728"/>
        <v>0</v>
      </c>
    </row>
    <row r="473" spans="1:60" ht="15" customHeight="1">
      <c r="A473" s="616">
        <f t="shared" si="746"/>
        <v>424</v>
      </c>
      <c r="B473" s="616">
        <v>1</v>
      </c>
      <c r="C473" s="616">
        <f t="shared" si="710"/>
        <v>470</v>
      </c>
      <c r="E473" s="2547">
        <v>1</v>
      </c>
      <c r="I473" s="94"/>
      <c r="J473" s="93"/>
      <c r="K473" s="63"/>
      <c r="L473" s="63"/>
      <c r="N473" s="285"/>
      <c r="O473" s="285" t="s">
        <v>1463</v>
      </c>
      <c r="P473" s="285"/>
      <c r="Q473" s="1779" t="str">
        <f>CHOOSE(2, "6722000003392", "S/GP (1)-1 Net Sales Indirect HW KMI Office A4")</f>
        <v>S/GP (1)-1 Net Sales Indirect HW KMI Office A4</v>
      </c>
      <c r="R473" s="1245">
        <v>39</v>
      </c>
      <c r="S473" s="1245">
        <v>0</v>
      </c>
      <c r="T473" s="1245">
        <v>0</v>
      </c>
      <c r="U473" s="1245">
        <v>0</v>
      </c>
      <c r="V473" s="1245">
        <v>0</v>
      </c>
      <c r="W473" s="1245">
        <v>0</v>
      </c>
      <c r="X473" s="1245">
        <v>0</v>
      </c>
      <c r="Y473" s="1245">
        <v>0</v>
      </c>
      <c r="Z473" s="1245">
        <v>0</v>
      </c>
      <c r="AA473" s="1245">
        <v>0</v>
      </c>
      <c r="AB473" s="1245">
        <v>0</v>
      </c>
      <c r="AC473" s="1245">
        <v>0</v>
      </c>
      <c r="AD473" s="895">
        <f>SUM(R473,S473,T473)</f>
        <v>39</v>
      </c>
      <c r="AE473" s="1248">
        <f t="shared" si="749"/>
        <v>0</v>
      </c>
      <c r="AF473" s="1248">
        <f t="shared" si="750"/>
        <v>0</v>
      </c>
      <c r="AG473" s="1248">
        <f t="shared" si="751"/>
        <v>0</v>
      </c>
      <c r="AH473" s="1248">
        <f>AD473+AE473</f>
        <v>39</v>
      </c>
      <c r="AI473" s="1248">
        <f>AG473+AF473</f>
        <v>0</v>
      </c>
      <c r="AJ473" s="1248">
        <f>AH473+AI473</f>
        <v>39</v>
      </c>
      <c r="AL473" s="1248">
        <f ca="1">SUM((INDIRECT(AL$2&amp;(ROW())):INDIRECT(AL$3&amp;(ROW()))))</f>
        <v>0</v>
      </c>
      <c r="AM473" s="1248">
        <f ca="1">SUM(INDIRECT(AM$1&amp;AM$2&amp;$C473):INDIRECT(AM$1&amp;AM$3&amp;$C473))</f>
        <v>25954.95</v>
      </c>
      <c r="AN473" s="3229">
        <f t="shared" ca="1" si="717"/>
        <v>-25954.95</v>
      </c>
      <c r="AO473" s="2882">
        <f t="shared" ca="1" si="718"/>
        <v>0</v>
      </c>
      <c r="AP473" s="1248">
        <f ca="1">SUM(INDIRECT(AP$1&amp;AP$2&amp;$A473):INDIRECT(AP$1&amp;AP$3&amp;$A473))</f>
        <v>0</v>
      </c>
      <c r="AQ473" s="3229">
        <f t="shared" ca="1" si="719"/>
        <v>0</v>
      </c>
      <c r="AR473" s="2882">
        <f t="shared" ca="1" si="720"/>
        <v>0</v>
      </c>
      <c r="AT473" s="1248">
        <f ca="1">SUM((INDIRECT(AT$2&amp;(ROW())):INDIRECT(AT$3&amp;(ROW()))))</f>
        <v>0</v>
      </c>
      <c r="AU473" s="1248">
        <f ca="1">SUM(INDIRECT(AU$1&amp;AU$2&amp;$C473):INDIRECT(AU$1&amp;AU$3&amp;$C473))</f>
        <v>77241.849999999991</v>
      </c>
      <c r="AV473" s="3229">
        <f t="shared" ca="1" si="721"/>
        <v>-77241.849999999991</v>
      </c>
      <c r="AW473" s="2882">
        <f t="shared" ca="1" si="722"/>
        <v>0</v>
      </c>
      <c r="AX473" s="1248">
        <f ca="1">SUM(INDIRECT(AX$1&amp;AX$2&amp;$A473):INDIRECT(AX$1&amp;AX$3&amp;$A473))</f>
        <v>0</v>
      </c>
      <c r="AY473" s="3229">
        <f t="shared" ca="1" si="723"/>
        <v>0</v>
      </c>
      <c r="AZ473" s="2882">
        <f t="shared" ca="1" si="724"/>
        <v>0</v>
      </c>
      <c r="BB473" s="1248">
        <f ca="1">SUM((INDIRECT(BB$2&amp;(ROW())):INDIRECT(BB$3&amp;(ROW()))))</f>
        <v>39</v>
      </c>
      <c r="BC473" s="1248">
        <f ca="1">SUM(INDIRECT(BC$1&amp;BC$2&amp;$C473):INDIRECT(BC$1&amp;BC$3&amp;$C473))</f>
        <v>135405.75</v>
      </c>
      <c r="BD473" s="3229">
        <f t="shared" ca="1" si="725"/>
        <v>-135366.75</v>
      </c>
      <c r="BE473" s="2882">
        <f t="shared" ca="1" si="726"/>
        <v>2.8802321910258611E-4</v>
      </c>
      <c r="BF473" s="1248">
        <f ca="1">SUM(INDIRECT(BF$1&amp;BF$2&amp;$A473):INDIRECT(BF$1&amp;BF$3&amp;$A473))</f>
        <v>0</v>
      </c>
      <c r="BG473" s="3229">
        <f t="shared" ca="1" si="727"/>
        <v>39</v>
      </c>
      <c r="BH473" s="2882">
        <f t="shared" ca="1" si="728"/>
        <v>0</v>
      </c>
    </row>
    <row r="474" spans="1:60" ht="14.5" collapsed="1">
      <c r="A474" s="616">
        <f t="shared" si="746"/>
        <v>425</v>
      </c>
      <c r="B474" s="616">
        <v>1</v>
      </c>
      <c r="C474" s="616">
        <f t="shared" si="710"/>
        <v>471</v>
      </c>
      <c r="E474" s="2547">
        <v>1</v>
      </c>
      <c r="I474" s="94"/>
      <c r="J474" s="93"/>
      <c r="K474" s="63"/>
      <c r="L474" s="63"/>
      <c r="M474" s="11"/>
      <c r="N474" s="288" t="s">
        <v>1464</v>
      </c>
      <c r="O474" s="288"/>
      <c r="P474" s="288"/>
      <c r="Q474" s="1779" t="str">
        <f>CHOOSE(2, "6722000003393", "S/GP (1)-1 Net Sales Indirect HW 3rd Party")</f>
        <v>S/GP (1)-1 Net Sales Indirect HW 3rd Party</v>
      </c>
      <c r="R474" s="1246">
        <v>0</v>
      </c>
      <c r="S474" s="1246">
        <v>0</v>
      </c>
      <c r="T474" s="1246">
        <v>0</v>
      </c>
      <c r="U474" s="1246">
        <v>0</v>
      </c>
      <c r="V474" s="1246">
        <v>0</v>
      </c>
      <c r="W474" s="1246">
        <v>0</v>
      </c>
      <c r="X474" s="1246">
        <v>0</v>
      </c>
      <c r="Y474" s="1246">
        <v>0</v>
      </c>
      <c r="Z474" s="1246">
        <v>0</v>
      </c>
      <c r="AA474" s="1246">
        <v>0</v>
      </c>
      <c r="AB474" s="1246">
        <v>0</v>
      </c>
      <c r="AC474" s="1246">
        <v>0</v>
      </c>
      <c r="AD474" s="897">
        <f>SUM(R474,S474,T474)</f>
        <v>0</v>
      </c>
      <c r="AE474" s="297">
        <f t="shared" si="749"/>
        <v>0</v>
      </c>
      <c r="AF474" s="297">
        <f t="shared" si="750"/>
        <v>0</v>
      </c>
      <c r="AG474" s="297">
        <f t="shared" si="751"/>
        <v>0</v>
      </c>
      <c r="AH474" s="297">
        <f>AD474+AE474</f>
        <v>0</v>
      </c>
      <c r="AI474" s="297">
        <f>AG474+AF474</f>
        <v>0</v>
      </c>
      <c r="AJ474" s="297">
        <f>AH474+AI474</f>
        <v>0</v>
      </c>
      <c r="AL474" s="297">
        <f ca="1">SUM((INDIRECT(AL$2&amp;(ROW())):INDIRECT(AL$3&amp;(ROW()))))</f>
        <v>0</v>
      </c>
      <c r="AM474" s="297">
        <f ca="1">SUM(INDIRECT(AM$1&amp;AM$2&amp;$C474):INDIRECT(AM$1&amp;AM$3&amp;$C474))</f>
        <v>0</v>
      </c>
      <c r="AN474" s="3230">
        <f t="shared" ca="1" si="717"/>
        <v>0</v>
      </c>
      <c r="AO474" s="2884">
        <f t="shared" ca="1" si="718"/>
        <v>0</v>
      </c>
      <c r="AP474" s="297">
        <f ca="1">SUM(INDIRECT(AP$1&amp;AP$2&amp;$A474):INDIRECT(AP$1&amp;AP$3&amp;$A474))</f>
        <v>170132.22598101624</v>
      </c>
      <c r="AQ474" s="3230">
        <f t="shared" ca="1" si="719"/>
        <v>-170132.22598101624</v>
      </c>
      <c r="AR474" s="2884">
        <f t="shared" ca="1" si="720"/>
        <v>0</v>
      </c>
      <c r="AT474" s="297">
        <f ca="1">SUM((INDIRECT(AT$2&amp;(ROW())):INDIRECT(AT$3&amp;(ROW()))))</f>
        <v>0</v>
      </c>
      <c r="AU474" s="297">
        <f ca="1">SUM(INDIRECT(AU$1&amp;AU$2&amp;$C474):INDIRECT(AU$1&amp;AU$3&amp;$C474))</f>
        <v>0</v>
      </c>
      <c r="AV474" s="3230">
        <f t="shared" ca="1" si="721"/>
        <v>0</v>
      </c>
      <c r="AW474" s="2884">
        <f t="shared" ca="1" si="722"/>
        <v>0</v>
      </c>
      <c r="AX474" s="297">
        <f ca="1">SUM(INDIRECT(AX$1&amp;AX$2&amp;$A474):INDIRECT(AX$1&amp;AX$3&amp;$A474))</f>
        <v>578771.2847638703</v>
      </c>
      <c r="AY474" s="3230">
        <f t="shared" ca="1" si="723"/>
        <v>-578771.2847638703</v>
      </c>
      <c r="AZ474" s="2884">
        <f t="shared" ca="1" si="724"/>
        <v>0</v>
      </c>
      <c r="BB474" s="297">
        <f ca="1">SUM((INDIRECT(BB$2&amp;(ROW())):INDIRECT(BB$3&amp;(ROW()))))</f>
        <v>0</v>
      </c>
      <c r="BC474" s="297">
        <f ca="1">SUM(INDIRECT(BC$1&amp;BC$2&amp;$C474):INDIRECT(BC$1&amp;BC$3&amp;$C474))</f>
        <v>0</v>
      </c>
      <c r="BD474" s="3230">
        <f t="shared" ca="1" si="725"/>
        <v>0</v>
      </c>
      <c r="BE474" s="2884">
        <f t="shared" ca="1" si="726"/>
        <v>0</v>
      </c>
      <c r="BF474" s="297">
        <f ca="1">SUM(INDIRECT(BF$1&amp;BF$2&amp;$A474):INDIRECT(BF$1&amp;BF$3&amp;$A474))</f>
        <v>1937925.2061896047</v>
      </c>
      <c r="BG474" s="3230">
        <f t="shared" ca="1" si="727"/>
        <v>-1937925.2061896047</v>
      </c>
      <c r="BH474" s="2884">
        <f t="shared" ca="1" si="728"/>
        <v>0</v>
      </c>
    </row>
    <row r="475" spans="1:60" ht="14.5">
      <c r="A475" s="616">
        <f t="shared" si="746"/>
        <v>426</v>
      </c>
      <c r="B475" s="616">
        <v>1</v>
      </c>
      <c r="C475" s="616">
        <f t="shared" si="710"/>
        <v>472</v>
      </c>
      <c r="E475" s="2547">
        <v>1</v>
      </c>
      <c r="I475" s="94"/>
      <c r="J475" s="93"/>
      <c r="K475" s="63"/>
      <c r="L475" s="63"/>
      <c r="M475" s="8" t="s">
        <v>1405</v>
      </c>
      <c r="N475" s="284"/>
      <c r="O475" s="284"/>
      <c r="P475" s="284"/>
      <c r="Q475" s="1777" t="str">
        <f>CHOOSE(2, "6722000003394", "S/GP (1)-1 Net Sales Indirect NH")</f>
        <v>S/GP (1)-1 Net Sales Indirect NH</v>
      </c>
      <c r="R475" s="3103">
        <f>R476+R483</f>
        <v>66230</v>
      </c>
      <c r="S475" s="3103">
        <f t="shared" ref="S475:AJ475" si="752">S476+S483</f>
        <v>35931</v>
      </c>
      <c r="T475" s="3103">
        <f t="shared" si="752"/>
        <v>68251</v>
      </c>
      <c r="U475" s="3103">
        <f t="shared" si="752"/>
        <v>57692</v>
      </c>
      <c r="V475" s="3103">
        <f t="shared" si="752"/>
        <v>66216.738830000002</v>
      </c>
      <c r="W475" s="3103">
        <f t="shared" si="752"/>
        <v>54154</v>
      </c>
      <c r="X475" s="3103">
        <f t="shared" si="752"/>
        <v>61146</v>
      </c>
      <c r="Y475" s="3103">
        <f t="shared" si="752"/>
        <v>72830</v>
      </c>
      <c r="Z475" s="3103">
        <f t="shared" si="752"/>
        <v>58418</v>
      </c>
      <c r="AA475" s="3103">
        <f t="shared" si="752"/>
        <v>58535</v>
      </c>
      <c r="AB475" s="3103">
        <f t="shared" si="752"/>
        <v>53836</v>
      </c>
      <c r="AC475" s="3103">
        <f t="shared" si="752"/>
        <v>58054</v>
      </c>
      <c r="AD475" s="898">
        <f t="shared" si="752"/>
        <v>170412</v>
      </c>
      <c r="AE475" s="1249">
        <f t="shared" si="752"/>
        <v>178062.73883000002</v>
      </c>
      <c r="AF475" s="1249">
        <f t="shared" si="752"/>
        <v>192394</v>
      </c>
      <c r="AG475" s="1249">
        <f t="shared" si="752"/>
        <v>170425</v>
      </c>
      <c r="AH475" s="1249">
        <f t="shared" si="752"/>
        <v>348474.73883000005</v>
      </c>
      <c r="AI475" s="1249">
        <f t="shared" si="752"/>
        <v>362819</v>
      </c>
      <c r="AJ475" s="1249">
        <f t="shared" si="752"/>
        <v>711293.73883000005</v>
      </c>
      <c r="AL475" s="1249">
        <f ca="1">SUM((INDIRECT(AL$2&amp;(ROW())):INDIRECT(AL$3&amp;(ROW()))))</f>
        <v>58054</v>
      </c>
      <c r="AM475" s="1249">
        <f ca="1">SUM(INDIRECT(AM$1&amp;AM$2&amp;$C475):INDIRECT(AM$1&amp;AM$3&amp;$C475))</f>
        <v>0</v>
      </c>
      <c r="AN475" s="3231">
        <f t="shared" ca="1" si="717"/>
        <v>58054</v>
      </c>
      <c r="AO475" s="2886">
        <f t="shared" ca="1" si="718"/>
        <v>0</v>
      </c>
      <c r="AP475" s="1249">
        <f ca="1">SUM(INDIRECT(AP$1&amp;AP$2&amp;$A475):INDIRECT(AP$1&amp;AP$3&amp;$A475))</f>
        <v>119055.65492844893</v>
      </c>
      <c r="AQ475" s="3231">
        <f t="shared" ca="1" si="719"/>
        <v>-61001.65492844893</v>
      </c>
      <c r="AR475" s="2886">
        <f t="shared" ca="1" si="720"/>
        <v>0.4876206849216006</v>
      </c>
      <c r="AT475" s="1249">
        <f ca="1">SUM((INDIRECT(AT$2&amp;(ROW())):INDIRECT(AT$3&amp;(ROW()))))</f>
        <v>170425</v>
      </c>
      <c r="AU475" s="1249">
        <f ca="1">SUM(INDIRECT(AU$1&amp;AU$2&amp;$C475):INDIRECT(AU$1&amp;AU$3&amp;$C475))</f>
        <v>0</v>
      </c>
      <c r="AV475" s="3231">
        <f t="shared" ca="1" si="721"/>
        <v>170425</v>
      </c>
      <c r="AW475" s="2886">
        <f t="shared" ca="1" si="722"/>
        <v>0</v>
      </c>
      <c r="AX475" s="1249">
        <f ca="1">SUM(INDIRECT(AX$1&amp;AX$2&amp;$A475):INDIRECT(AX$1&amp;AX$3&amp;$A475))</f>
        <v>280049.97363318107</v>
      </c>
      <c r="AY475" s="3231">
        <f t="shared" ca="1" si="723"/>
        <v>-109624.97363318107</v>
      </c>
      <c r="AZ475" s="2886">
        <f t="shared" ca="1" si="724"/>
        <v>0.60855210157323003</v>
      </c>
      <c r="BB475" s="1249">
        <f ca="1">SUM((INDIRECT(BB$2&amp;(ROW())):INDIRECT(BB$3&amp;(ROW()))))</f>
        <v>711293.73882999993</v>
      </c>
      <c r="BC475" s="1249">
        <f ca="1">SUM(INDIRECT(BC$1&amp;BC$2&amp;$C475):INDIRECT(BC$1&amp;BC$3&amp;$C475))</f>
        <v>0</v>
      </c>
      <c r="BD475" s="3231">
        <f t="shared" ca="1" si="725"/>
        <v>711293.73882999993</v>
      </c>
      <c r="BE475" s="2886">
        <f t="shared" ca="1" si="726"/>
        <v>0</v>
      </c>
      <c r="BF475" s="1249">
        <f ca="1">SUM(INDIRECT(BF$1&amp;BF$2&amp;$A475):INDIRECT(BF$1&amp;BF$3&amp;$A475))</f>
        <v>807259.0954500552</v>
      </c>
      <c r="BG475" s="3231">
        <f t="shared" ca="1" si="727"/>
        <v>-95965.356620055274</v>
      </c>
      <c r="BH475" s="2886">
        <f t="shared" ca="1" si="728"/>
        <v>0.88112198777202555</v>
      </c>
    </row>
    <row r="476" spans="1:60" ht="14.5">
      <c r="A476" s="616">
        <f t="shared" si="746"/>
        <v>427</v>
      </c>
      <c r="B476" s="616">
        <v>1</v>
      </c>
      <c r="C476" s="616">
        <f t="shared" si="710"/>
        <v>473</v>
      </c>
      <c r="E476" s="2547">
        <v>1</v>
      </c>
      <c r="I476" s="94"/>
      <c r="J476" s="93"/>
      <c r="K476" s="63"/>
      <c r="L476" s="63"/>
      <c r="N476" s="97" t="s">
        <v>1461</v>
      </c>
      <c r="O476" s="97"/>
      <c r="P476" s="97"/>
      <c r="Q476" s="1777" t="str">
        <f>CHOOSE(2, "6722000003395", "S/GP (1)-1 Net Sales Indirect NH KMI")</f>
        <v>S/GP (1)-1 Net Sales Indirect NH KMI</v>
      </c>
      <c r="R476" s="96">
        <f>R477+R480</f>
        <v>66230</v>
      </c>
      <c r="S476" s="96">
        <f t="shared" ref="S476:AJ476" si="753">S477+S480</f>
        <v>35931</v>
      </c>
      <c r="T476" s="96">
        <f t="shared" si="753"/>
        <v>68251</v>
      </c>
      <c r="U476" s="96">
        <f t="shared" si="753"/>
        <v>57692</v>
      </c>
      <c r="V476" s="96">
        <f t="shared" si="753"/>
        <v>66216.738830000002</v>
      </c>
      <c r="W476" s="96">
        <f t="shared" si="753"/>
        <v>54154</v>
      </c>
      <c r="X476" s="96">
        <f t="shared" si="753"/>
        <v>61146</v>
      </c>
      <c r="Y476" s="96">
        <f t="shared" si="753"/>
        <v>72830</v>
      </c>
      <c r="Z476" s="96">
        <f t="shared" si="753"/>
        <v>58418</v>
      </c>
      <c r="AA476" s="96">
        <f t="shared" si="753"/>
        <v>58535</v>
      </c>
      <c r="AB476" s="96">
        <f t="shared" si="753"/>
        <v>53836</v>
      </c>
      <c r="AC476" s="96">
        <f t="shared" si="753"/>
        <v>58054</v>
      </c>
      <c r="AD476" s="896">
        <f t="shared" si="753"/>
        <v>170412</v>
      </c>
      <c r="AE476" s="95">
        <f t="shared" si="753"/>
        <v>178062.73883000002</v>
      </c>
      <c r="AF476" s="95">
        <f t="shared" si="753"/>
        <v>192394</v>
      </c>
      <c r="AG476" s="95">
        <f t="shared" si="753"/>
        <v>170425</v>
      </c>
      <c r="AH476" s="95">
        <f t="shared" si="753"/>
        <v>348474.73883000005</v>
      </c>
      <c r="AI476" s="95">
        <f t="shared" si="753"/>
        <v>362819</v>
      </c>
      <c r="AJ476" s="95">
        <f t="shared" si="753"/>
        <v>711293.73883000005</v>
      </c>
      <c r="AL476" s="95">
        <f ca="1">SUM((INDIRECT(AL$2&amp;(ROW())):INDIRECT(AL$3&amp;(ROW()))))</f>
        <v>58054</v>
      </c>
      <c r="AM476" s="95">
        <f ca="1">SUM(INDIRECT(AM$1&amp;AM$2&amp;$C476):INDIRECT(AM$1&amp;AM$3&amp;$C476))</f>
        <v>0</v>
      </c>
      <c r="AN476" s="3228">
        <f t="shared" ca="1" si="717"/>
        <v>58054</v>
      </c>
      <c r="AO476" s="2880">
        <f t="shared" ca="1" si="718"/>
        <v>0</v>
      </c>
      <c r="AP476" s="95">
        <f ca="1">SUM(INDIRECT(AP$1&amp;AP$2&amp;$A476):INDIRECT(AP$1&amp;AP$3&amp;$A476))</f>
        <v>51076.571052567298</v>
      </c>
      <c r="AQ476" s="3228">
        <f t="shared" ca="1" si="719"/>
        <v>6977.4289474327015</v>
      </c>
      <c r="AR476" s="2880">
        <f t="shared" ca="1" si="720"/>
        <v>1.1366072311363977</v>
      </c>
      <c r="AT476" s="95">
        <f ca="1">SUM((INDIRECT(AT$2&amp;(ROW())):INDIRECT(AT$3&amp;(ROW()))))</f>
        <v>170425</v>
      </c>
      <c r="AU476" s="95">
        <f ca="1">SUM(INDIRECT(AU$1&amp;AU$2&amp;$C476):INDIRECT(AU$1&amp;AU$3&amp;$C476))</f>
        <v>0</v>
      </c>
      <c r="AV476" s="3228">
        <f t="shared" ca="1" si="721"/>
        <v>170425</v>
      </c>
      <c r="AW476" s="2880">
        <f t="shared" ca="1" si="722"/>
        <v>0</v>
      </c>
      <c r="AX476" s="95">
        <f ca="1">SUM(INDIRECT(AX$1&amp;AX$2&amp;$A476):INDIRECT(AX$1&amp;AX$3&amp;$A476))</f>
        <v>298721.31113068922</v>
      </c>
      <c r="AY476" s="3228">
        <f t="shared" ca="1" si="723"/>
        <v>-128296.31113068922</v>
      </c>
      <c r="AZ476" s="2880">
        <f t="shared" ca="1" si="724"/>
        <v>0.57051503742710818</v>
      </c>
      <c r="BB476" s="95">
        <f ca="1">SUM((INDIRECT(BB$2&amp;(ROW())):INDIRECT(BB$3&amp;(ROW()))))</f>
        <v>711293.73882999993</v>
      </c>
      <c r="BC476" s="95">
        <f ca="1">SUM(INDIRECT(BC$1&amp;BC$2&amp;$C476):INDIRECT(BC$1&amp;BC$3&amp;$C476))</f>
        <v>0</v>
      </c>
      <c r="BD476" s="3228">
        <f t="shared" ca="1" si="725"/>
        <v>711293.73882999993</v>
      </c>
      <c r="BE476" s="2880">
        <f t="shared" ca="1" si="726"/>
        <v>0</v>
      </c>
      <c r="BF476" s="95">
        <f ca="1">SUM(INDIRECT(BF$1&amp;BF$2&amp;$A476):INDIRECT(BF$1&amp;BF$3&amp;$A476))</f>
        <v>1130666.1107395496</v>
      </c>
      <c r="BG476" s="3228">
        <f t="shared" ca="1" si="727"/>
        <v>-419372.37190954969</v>
      </c>
      <c r="BH476" s="2880">
        <f t="shared" ca="1" si="728"/>
        <v>0.62909264907989038</v>
      </c>
    </row>
    <row r="477" spans="1:60" ht="14.5">
      <c r="A477" s="616">
        <f t="shared" si="746"/>
        <v>428</v>
      </c>
      <c r="B477" s="616">
        <v>1</v>
      </c>
      <c r="C477" s="616">
        <f t="shared" si="710"/>
        <v>474</v>
      </c>
      <c r="E477" s="2547">
        <v>1</v>
      </c>
      <c r="I477" s="94"/>
      <c r="J477" s="93"/>
      <c r="K477" s="63"/>
      <c r="L477" s="63"/>
      <c r="O477" s="97" t="s">
        <v>1462</v>
      </c>
      <c r="P477" s="869"/>
      <c r="Q477" s="1777" t="str">
        <f>CHOOSE(2, "6722000003396", "S/GP (1)-1 Net Sales Indirect NH KMI Office A3")</f>
        <v>S/GP (1)-1 Net Sales Indirect NH KMI Office A3</v>
      </c>
      <c r="R477" s="58">
        <f>SUM(R478:R479)</f>
        <v>66129</v>
      </c>
      <c r="S477" s="58">
        <f t="shared" ref="S477:AJ477" si="754">SUM(S478:S479)</f>
        <v>35931</v>
      </c>
      <c r="T477" s="58">
        <f t="shared" si="754"/>
        <v>68218</v>
      </c>
      <c r="U477" s="58">
        <f t="shared" si="754"/>
        <v>57603</v>
      </c>
      <c r="V477" s="58">
        <f t="shared" si="754"/>
        <v>66081.702830000009</v>
      </c>
      <c r="W477" s="58">
        <f t="shared" si="754"/>
        <v>53718</v>
      </c>
      <c r="X477" s="58">
        <f t="shared" si="754"/>
        <v>60777</v>
      </c>
      <c r="Y477" s="58">
        <f t="shared" si="754"/>
        <v>72411</v>
      </c>
      <c r="Z477" s="58">
        <f t="shared" si="754"/>
        <v>58318</v>
      </c>
      <c r="AA477" s="58">
        <f t="shared" si="754"/>
        <v>58307</v>
      </c>
      <c r="AB477" s="58">
        <f t="shared" si="754"/>
        <v>53836</v>
      </c>
      <c r="AC477" s="58">
        <f t="shared" si="754"/>
        <v>58054</v>
      </c>
      <c r="AD477" s="899">
        <f t="shared" si="754"/>
        <v>170278</v>
      </c>
      <c r="AE477" s="1250">
        <f t="shared" si="754"/>
        <v>177402.70283000002</v>
      </c>
      <c r="AF477" s="1250">
        <f t="shared" si="754"/>
        <v>191506</v>
      </c>
      <c r="AG477" s="1250">
        <f t="shared" si="754"/>
        <v>170197</v>
      </c>
      <c r="AH477" s="1250">
        <f t="shared" si="754"/>
        <v>347680.70283000002</v>
      </c>
      <c r="AI477" s="1250">
        <f t="shared" si="754"/>
        <v>361703</v>
      </c>
      <c r="AJ477" s="1250">
        <f t="shared" si="754"/>
        <v>709383.70283000008</v>
      </c>
      <c r="AL477" s="1250">
        <f ca="1">SUM((INDIRECT(AL$2&amp;(ROW())):INDIRECT(AL$3&amp;(ROW()))))</f>
        <v>58054</v>
      </c>
      <c r="AM477" s="1250">
        <f ca="1">SUM(INDIRECT(AM$1&amp;AM$2&amp;$C477):INDIRECT(AM$1&amp;AM$3&amp;$C477))</f>
        <v>0</v>
      </c>
      <c r="AN477" s="3232">
        <f t="shared" ca="1" si="717"/>
        <v>58054</v>
      </c>
      <c r="AO477" s="2888">
        <f t="shared" ca="1" si="718"/>
        <v>0</v>
      </c>
      <c r="AP477" s="1250">
        <f ca="1">SUM(INDIRECT(AP$1&amp;AP$2&amp;$A477):INDIRECT(AP$1&amp;AP$3&amp;$A477))</f>
        <v>62177.614876062995</v>
      </c>
      <c r="AQ477" s="3232">
        <f t="shared" ca="1" si="719"/>
        <v>-4123.6148760629949</v>
      </c>
      <c r="AR477" s="2888">
        <f t="shared" ca="1" si="720"/>
        <v>0.93368007305712053</v>
      </c>
      <c r="AT477" s="1250">
        <f ca="1">SUM((INDIRECT(AT$2&amp;(ROW())):INDIRECT(AT$3&amp;(ROW()))))</f>
        <v>170197</v>
      </c>
      <c r="AU477" s="1250">
        <f ca="1">SUM(INDIRECT(AU$1&amp;AU$2&amp;$C477):INDIRECT(AU$1&amp;AU$3&amp;$C477))</f>
        <v>0</v>
      </c>
      <c r="AV477" s="3232">
        <f t="shared" ca="1" si="721"/>
        <v>170197</v>
      </c>
      <c r="AW477" s="2888">
        <f t="shared" ca="1" si="722"/>
        <v>0</v>
      </c>
      <c r="AX477" s="1250">
        <f ca="1">SUM(INDIRECT(AX$1&amp;AX$2&amp;$A477):INDIRECT(AX$1&amp;AX$3&amp;$A477))</f>
        <v>212815.44803035687</v>
      </c>
      <c r="AY477" s="3232">
        <f t="shared" ca="1" si="723"/>
        <v>-42618.448030356871</v>
      </c>
      <c r="AZ477" s="2888">
        <f t="shared" ca="1" si="724"/>
        <v>0.79973987591221485</v>
      </c>
      <c r="BB477" s="1250">
        <f ca="1">SUM((INDIRECT(BB$2&amp;(ROW())):INDIRECT(BB$3&amp;(ROW()))))</f>
        <v>709383.70283000008</v>
      </c>
      <c r="BC477" s="1250">
        <f ca="1">SUM(INDIRECT(BC$1&amp;BC$2&amp;$C477):INDIRECT(BC$1&amp;BC$3&amp;$C477))</f>
        <v>0</v>
      </c>
      <c r="BD477" s="3232">
        <f t="shared" ca="1" si="725"/>
        <v>709383.70283000008</v>
      </c>
      <c r="BE477" s="2888">
        <f t="shared" ca="1" si="726"/>
        <v>0</v>
      </c>
      <c r="BF477" s="1250">
        <f ca="1">SUM(INDIRECT(BF$1&amp;BF$2&amp;$A477):INDIRECT(BF$1&amp;BF$3&amp;$A477))</f>
        <v>672790.68123540154</v>
      </c>
      <c r="BG477" s="3232">
        <f t="shared" ca="1" si="727"/>
        <v>36593.02159459854</v>
      </c>
      <c r="BH477" s="2888">
        <f t="shared" ca="1" si="728"/>
        <v>1.054389905531101</v>
      </c>
    </row>
    <row r="478" spans="1:60" ht="15" customHeight="1">
      <c r="A478" s="616">
        <f t="shared" si="746"/>
        <v>429</v>
      </c>
      <c r="B478" s="616">
        <v>1</v>
      </c>
      <c r="C478" s="616">
        <f t="shared" si="710"/>
        <v>475</v>
      </c>
      <c r="E478" s="2547">
        <v>1</v>
      </c>
      <c r="I478" s="94"/>
      <c r="J478" s="93"/>
      <c r="K478" s="63"/>
      <c r="L478" s="63"/>
      <c r="P478" s="8" t="s">
        <v>1467</v>
      </c>
      <c r="Q478" s="1779" t="str">
        <f>CHOOSE(2, "6722000003397", "S/GP (1)-1 Net Sales Indirect NH KMI Office A3 Consumables")</f>
        <v>S/GP (1)-1 Net Sales Indirect NH KMI Office A3 Consumables</v>
      </c>
      <c r="R478" s="1217">
        <v>66129</v>
      </c>
      <c r="S478" s="1217">
        <v>35931</v>
      </c>
      <c r="T478" s="1217">
        <v>68218</v>
      </c>
      <c r="U478" s="1217">
        <v>57603</v>
      </c>
      <c r="V478" s="1217">
        <v>66081.702830000009</v>
      </c>
      <c r="W478" s="1217">
        <v>53718</v>
      </c>
      <c r="X478" s="1217">
        <v>60777</v>
      </c>
      <c r="Y478" s="1217">
        <v>72411</v>
      </c>
      <c r="Z478" s="1217">
        <v>58318</v>
      </c>
      <c r="AA478" s="1217">
        <v>58307</v>
      </c>
      <c r="AB478" s="1217">
        <v>53836</v>
      </c>
      <c r="AC478" s="1217">
        <v>58054</v>
      </c>
      <c r="AD478" s="783">
        <f>SUM(R478,S478,T478)</f>
        <v>170278</v>
      </c>
      <c r="AE478" s="1226">
        <f t="shared" ref="AE478:AE479" si="755">SUM(U478,V478,W478)</f>
        <v>177402.70283000002</v>
      </c>
      <c r="AF478" s="1226">
        <f t="shared" ref="AF478:AF479" si="756">SUM(X478,Y478,Z478)</f>
        <v>191506</v>
      </c>
      <c r="AG478" s="1226">
        <f t="shared" ref="AG478:AG479" si="757">SUM(AA478,AB478,AC478)</f>
        <v>170197</v>
      </c>
      <c r="AH478" s="1226">
        <f>AD478+AE478</f>
        <v>347680.70283000002</v>
      </c>
      <c r="AI478" s="1226">
        <f>AG478+AF478</f>
        <v>361703</v>
      </c>
      <c r="AJ478" s="1226">
        <f>AH478+AI478</f>
        <v>709383.70283000008</v>
      </c>
      <c r="AL478" s="1226">
        <f ca="1">SUM((INDIRECT(AL$2&amp;(ROW())):INDIRECT(AL$3&amp;(ROW()))))</f>
        <v>58054</v>
      </c>
      <c r="AM478" s="1226">
        <f ca="1">SUM(INDIRECT(AM$1&amp;AM$2&amp;$C478):INDIRECT(AM$1&amp;AM$3&amp;$C478))</f>
        <v>0</v>
      </c>
      <c r="AN478" s="3233">
        <f t="shared" ca="1" si="717"/>
        <v>58054</v>
      </c>
      <c r="AO478" s="2890">
        <f t="shared" ca="1" si="718"/>
        <v>0</v>
      </c>
      <c r="AP478" s="1226">
        <f ca="1">SUM(INDIRECT(AP$1&amp;AP$2&amp;$A478):INDIRECT(AP$1&amp;AP$3&amp;$A478))</f>
        <v>46450.394075289638</v>
      </c>
      <c r="AQ478" s="3233">
        <f t="shared" ca="1" si="719"/>
        <v>11603.605924710362</v>
      </c>
      <c r="AR478" s="2890">
        <f t="shared" ca="1" si="720"/>
        <v>1.2498064043526202</v>
      </c>
      <c r="AT478" s="1226">
        <f ca="1">SUM((INDIRECT(AT$2&amp;(ROW())):INDIRECT(AT$3&amp;(ROW()))))</f>
        <v>170197</v>
      </c>
      <c r="AU478" s="1226">
        <f ca="1">SUM(INDIRECT(AU$1&amp;AU$2&amp;$C478):INDIRECT(AU$1&amp;AU$3&amp;$C478))</f>
        <v>0</v>
      </c>
      <c r="AV478" s="3233">
        <f t="shared" ca="1" si="721"/>
        <v>170197</v>
      </c>
      <c r="AW478" s="2890">
        <f t="shared" ca="1" si="722"/>
        <v>0</v>
      </c>
      <c r="AX478" s="1226">
        <f ca="1">SUM(INDIRECT(AX$1&amp;AX$2&amp;$A478):INDIRECT(AX$1&amp;AX$3&amp;$A478))</f>
        <v>111034.47771336057</v>
      </c>
      <c r="AY478" s="3233">
        <f t="shared" ca="1" si="723"/>
        <v>59162.522286639432</v>
      </c>
      <c r="AZ478" s="2890">
        <f t="shared" ca="1" si="724"/>
        <v>1.5328301938733804</v>
      </c>
      <c r="BB478" s="1226">
        <f ca="1">SUM((INDIRECT(BB$2&amp;(ROW())):INDIRECT(BB$3&amp;(ROW()))))</f>
        <v>709383.70283000008</v>
      </c>
      <c r="BC478" s="1226">
        <f ca="1">SUM(INDIRECT(BC$1&amp;BC$2&amp;$C478):INDIRECT(BC$1&amp;BC$3&amp;$C478))</f>
        <v>0</v>
      </c>
      <c r="BD478" s="3233">
        <f t="shared" ca="1" si="725"/>
        <v>709383.70283000008</v>
      </c>
      <c r="BE478" s="2890">
        <f t="shared" ca="1" si="726"/>
        <v>0</v>
      </c>
      <c r="BF478" s="1226">
        <f ca="1">SUM(INDIRECT(BF$1&amp;BF$2&amp;$A478):INDIRECT(BF$1&amp;BF$3&amp;$A478))</f>
        <v>314554.48392317048</v>
      </c>
      <c r="BG478" s="3233">
        <f t="shared" ca="1" si="727"/>
        <v>394829.2189068296</v>
      </c>
      <c r="BH478" s="2890">
        <f t="shared" ca="1" si="728"/>
        <v>2.2552013691951251</v>
      </c>
    </row>
    <row r="479" spans="1:60" ht="14.5">
      <c r="A479" s="616">
        <f t="shared" si="746"/>
        <v>430</v>
      </c>
      <c r="B479" s="616">
        <v>1</v>
      </c>
      <c r="C479" s="616">
        <f t="shared" si="710"/>
        <v>476</v>
      </c>
      <c r="E479" s="2547">
        <v>1</v>
      </c>
      <c r="I479" s="94"/>
      <c r="J479" s="93"/>
      <c r="K479" s="63"/>
      <c r="L479" s="63"/>
      <c r="P479" s="8" t="s">
        <v>1468</v>
      </c>
      <c r="Q479" s="1779" t="str">
        <f>CHOOSE(2, "6722000003398", "S/GP (1)-1 Net Sales Indirect NH KMI Office A3 Parts")</f>
        <v>S/GP (1)-1 Net Sales Indirect NH KMI Office A3 Parts</v>
      </c>
      <c r="R479" s="1217">
        <v>0</v>
      </c>
      <c r="S479" s="1217">
        <v>0</v>
      </c>
      <c r="T479" s="1217">
        <v>0</v>
      </c>
      <c r="U479" s="1217">
        <v>0</v>
      </c>
      <c r="V479" s="1217">
        <v>0</v>
      </c>
      <c r="W479" s="1217">
        <v>0</v>
      </c>
      <c r="X479" s="1217">
        <v>0</v>
      </c>
      <c r="Y479" s="1217">
        <v>0</v>
      </c>
      <c r="Z479" s="1217">
        <v>0</v>
      </c>
      <c r="AA479" s="1217">
        <v>0</v>
      </c>
      <c r="AB479" s="1217">
        <v>0</v>
      </c>
      <c r="AC479" s="1217">
        <v>0</v>
      </c>
      <c r="AD479" s="783">
        <f>SUM(R479,S479,T479)</f>
        <v>0</v>
      </c>
      <c r="AE479" s="1226">
        <f t="shared" si="755"/>
        <v>0</v>
      </c>
      <c r="AF479" s="1226">
        <f t="shared" si="756"/>
        <v>0</v>
      </c>
      <c r="AG479" s="1226">
        <f t="shared" si="757"/>
        <v>0</v>
      </c>
      <c r="AH479" s="1226">
        <f>AD479+AE479</f>
        <v>0</v>
      </c>
      <c r="AI479" s="1226">
        <f>AG479+AF479</f>
        <v>0</v>
      </c>
      <c r="AJ479" s="1226">
        <f>AH479+AI479</f>
        <v>0</v>
      </c>
      <c r="AL479" s="1226">
        <f ca="1">SUM((INDIRECT(AL$2&amp;(ROW())):INDIRECT(AL$3&amp;(ROW()))))</f>
        <v>0</v>
      </c>
      <c r="AM479" s="1226">
        <f ca="1">SUM(INDIRECT(AM$1&amp;AM$2&amp;$C479):INDIRECT(AM$1&amp;AM$3&amp;$C479))</f>
        <v>0</v>
      </c>
      <c r="AN479" s="3233">
        <f t="shared" ca="1" si="717"/>
        <v>0</v>
      </c>
      <c r="AO479" s="2890">
        <f t="shared" ca="1" si="718"/>
        <v>0</v>
      </c>
      <c r="AP479" s="1226">
        <f ca="1">SUM(INDIRECT(AP$1&amp;AP$2&amp;$A479):INDIRECT(AP$1&amp;AP$3&amp;$A479))</f>
        <v>15727.220800773355</v>
      </c>
      <c r="AQ479" s="3233">
        <f t="shared" ca="1" si="719"/>
        <v>-15727.220800773355</v>
      </c>
      <c r="AR479" s="2890">
        <f t="shared" ca="1" si="720"/>
        <v>0</v>
      </c>
      <c r="AT479" s="1226">
        <f ca="1">SUM((INDIRECT(AT$2&amp;(ROW())):INDIRECT(AT$3&amp;(ROW()))))</f>
        <v>0</v>
      </c>
      <c r="AU479" s="1226">
        <f ca="1">SUM(INDIRECT(AU$1&amp;AU$2&amp;$C479):INDIRECT(AU$1&amp;AU$3&amp;$C479))</f>
        <v>0</v>
      </c>
      <c r="AV479" s="3233">
        <f t="shared" ca="1" si="721"/>
        <v>0</v>
      </c>
      <c r="AW479" s="2890">
        <f t="shared" ca="1" si="722"/>
        <v>0</v>
      </c>
      <c r="AX479" s="1226">
        <f ca="1">SUM(INDIRECT(AX$1&amp;AX$2&amp;$A479):INDIRECT(AX$1&amp;AX$3&amp;$A479))</f>
        <v>101780.97031699632</v>
      </c>
      <c r="AY479" s="3233">
        <f t="shared" ca="1" si="723"/>
        <v>-101780.97031699632</v>
      </c>
      <c r="AZ479" s="2890">
        <f t="shared" ca="1" si="724"/>
        <v>0</v>
      </c>
      <c r="BB479" s="1226">
        <f ca="1">SUM((INDIRECT(BB$2&amp;(ROW())):INDIRECT(BB$3&amp;(ROW()))))</f>
        <v>0</v>
      </c>
      <c r="BC479" s="1226">
        <f ca="1">SUM(INDIRECT(BC$1&amp;BC$2&amp;$C479):INDIRECT(BC$1&amp;BC$3&amp;$C479))</f>
        <v>0</v>
      </c>
      <c r="BD479" s="3233">
        <f t="shared" ca="1" si="725"/>
        <v>0</v>
      </c>
      <c r="BE479" s="2890">
        <f t="shared" ca="1" si="726"/>
        <v>0</v>
      </c>
      <c r="BF479" s="1226">
        <f ca="1">SUM(INDIRECT(BF$1&amp;BF$2&amp;$A479):INDIRECT(BF$1&amp;BF$3&amp;$A479))</f>
        <v>358236.19731223112</v>
      </c>
      <c r="BG479" s="3233">
        <f t="shared" ca="1" si="727"/>
        <v>-358236.19731223112</v>
      </c>
      <c r="BH479" s="2890">
        <f t="shared" ca="1" si="728"/>
        <v>0</v>
      </c>
    </row>
    <row r="480" spans="1:60" ht="14.5">
      <c r="A480" s="616">
        <f t="shared" si="746"/>
        <v>431</v>
      </c>
      <c r="B480" s="616">
        <v>1</v>
      </c>
      <c r="C480" s="616">
        <f t="shared" si="710"/>
        <v>477</v>
      </c>
      <c r="E480" s="2547">
        <v>1</v>
      </c>
      <c r="I480" s="94"/>
      <c r="J480" s="93"/>
      <c r="K480" s="63"/>
      <c r="L480" s="63"/>
      <c r="O480" s="97" t="s">
        <v>1463</v>
      </c>
      <c r="P480" s="869"/>
      <c r="Q480" s="1777" t="str">
        <f>CHOOSE(2, "6722000003399", "S/GP (1)-1 Net Sales Indirect NH KMI Office A4")</f>
        <v>S/GP (1)-1 Net Sales Indirect NH KMI Office A4</v>
      </c>
      <c r="R480" s="58">
        <f>SUM(R481:R482)</f>
        <v>101</v>
      </c>
      <c r="S480" s="58">
        <f t="shared" ref="S480:AJ480" si="758">SUM(S481:S482)</f>
        <v>0</v>
      </c>
      <c r="T480" s="58">
        <f t="shared" si="758"/>
        <v>33</v>
      </c>
      <c r="U480" s="58">
        <f t="shared" si="758"/>
        <v>89</v>
      </c>
      <c r="V480" s="58">
        <f t="shared" si="758"/>
        <v>135.036</v>
      </c>
      <c r="W480" s="58">
        <f t="shared" si="758"/>
        <v>436</v>
      </c>
      <c r="X480" s="58">
        <f t="shared" si="758"/>
        <v>369</v>
      </c>
      <c r="Y480" s="58">
        <f t="shared" si="758"/>
        <v>419</v>
      </c>
      <c r="Z480" s="58">
        <f t="shared" si="758"/>
        <v>100</v>
      </c>
      <c r="AA480" s="58">
        <f t="shared" si="758"/>
        <v>228</v>
      </c>
      <c r="AB480" s="58">
        <f t="shared" si="758"/>
        <v>0</v>
      </c>
      <c r="AC480" s="58">
        <f t="shared" si="758"/>
        <v>0</v>
      </c>
      <c r="AD480" s="899">
        <f t="shared" si="758"/>
        <v>134</v>
      </c>
      <c r="AE480" s="1250">
        <f t="shared" si="758"/>
        <v>660.03600000000006</v>
      </c>
      <c r="AF480" s="1250">
        <f t="shared" si="758"/>
        <v>888</v>
      </c>
      <c r="AG480" s="1250">
        <f t="shared" si="758"/>
        <v>228</v>
      </c>
      <c r="AH480" s="1250">
        <f t="shared" si="758"/>
        <v>794.03600000000006</v>
      </c>
      <c r="AI480" s="1250">
        <f t="shared" si="758"/>
        <v>1116</v>
      </c>
      <c r="AJ480" s="1250">
        <f t="shared" si="758"/>
        <v>1910.0360000000001</v>
      </c>
      <c r="AL480" s="1250">
        <f ca="1">SUM((INDIRECT(AL$2&amp;(ROW())):INDIRECT(AL$3&amp;(ROW()))))</f>
        <v>0</v>
      </c>
      <c r="AM480" s="1250">
        <f ca="1">SUM(INDIRECT(AM$1&amp;AM$2&amp;$C480):INDIRECT(AM$1&amp;AM$3&amp;$C480))</f>
        <v>179655.63423516517</v>
      </c>
      <c r="AN480" s="3232">
        <f t="shared" ca="1" si="717"/>
        <v>-179655.63423516517</v>
      </c>
      <c r="AO480" s="2888">
        <f t="shared" ca="1" si="718"/>
        <v>0</v>
      </c>
      <c r="AP480" s="1250">
        <f ca="1">SUM(INDIRECT(AP$1&amp;AP$2&amp;$A480):INDIRECT(AP$1&amp;AP$3&amp;$A480))</f>
        <v>0.30791457759737079</v>
      </c>
      <c r="AQ480" s="3232">
        <f t="shared" ca="1" si="719"/>
        <v>-0.30791457759737079</v>
      </c>
      <c r="AR480" s="2888">
        <f t="shared" ca="1" si="720"/>
        <v>0</v>
      </c>
      <c r="AT480" s="1250">
        <f ca="1">SUM((INDIRECT(AT$2&amp;(ROW())):INDIRECT(AT$3&amp;(ROW()))))</f>
        <v>228</v>
      </c>
      <c r="AU480" s="1250">
        <f ca="1">SUM(INDIRECT(AU$1&amp;AU$2&amp;$C480):INDIRECT(AU$1&amp;AU$3&amp;$C480))</f>
        <v>515282.71179940528</v>
      </c>
      <c r="AV480" s="3232">
        <f t="shared" ca="1" si="721"/>
        <v>-515054.71179940528</v>
      </c>
      <c r="AW480" s="2888">
        <f t="shared" ca="1" si="722"/>
        <v>4.4247554745977631E-4</v>
      </c>
      <c r="AX480" s="1250">
        <f ca="1">SUM(INDIRECT(AX$1&amp;AX$2&amp;$A480):INDIRECT(AX$1&amp;AX$3&amp;$A480))</f>
        <v>0.99399729450601604</v>
      </c>
      <c r="AY480" s="3232">
        <f t="shared" ca="1" si="723"/>
        <v>227.00600270549398</v>
      </c>
      <c r="AZ480" s="2888">
        <f t="shared" ca="1" si="724"/>
        <v>229.37688186898788</v>
      </c>
      <c r="BB480" s="1250">
        <f ca="1">SUM((INDIRECT(BB$2&amp;(ROW())):INDIRECT(BB$3&amp;(ROW()))))</f>
        <v>1910.0360000000001</v>
      </c>
      <c r="BC480" s="1250">
        <f ca="1">SUM(INDIRECT(BC$1&amp;BC$2&amp;$C480):INDIRECT(BC$1&amp;BC$3&amp;$C480))</f>
        <v>849380.77140129812</v>
      </c>
      <c r="BD480" s="3232">
        <f t="shared" ca="1" si="725"/>
        <v>-847470.73540129815</v>
      </c>
      <c r="BE480" s="2888">
        <f t="shared" ca="1" si="726"/>
        <v>2.248739392638764E-3</v>
      </c>
      <c r="BF480" s="1250">
        <f ca="1">SUM(INDIRECT(BF$1&amp;BF$2&amp;$A480):INDIRECT(BF$1&amp;BF$3&amp;$A480))</f>
        <v>3.4574490249703889</v>
      </c>
      <c r="BG480" s="3232">
        <f t="shared" ca="1" si="727"/>
        <v>1906.5785509750297</v>
      </c>
      <c r="BH480" s="2888">
        <f t="shared" ca="1" si="728"/>
        <v>552.44082738612713</v>
      </c>
    </row>
    <row r="481" spans="1:60" ht="14.5">
      <c r="A481" s="616">
        <f t="shared" si="746"/>
        <v>432</v>
      </c>
      <c r="B481" s="616">
        <v>1</v>
      </c>
      <c r="C481" s="616">
        <f t="shared" si="710"/>
        <v>478</v>
      </c>
      <c r="E481" s="2547">
        <v>1</v>
      </c>
      <c r="I481" s="94"/>
      <c r="J481" s="93"/>
      <c r="K481" s="63"/>
      <c r="L481" s="63"/>
      <c r="P481" s="8" t="s">
        <v>1467</v>
      </c>
      <c r="Q481" s="1779" t="str">
        <f>CHOOSE(2, "6722000003400", "S/GP (1)-1 Net Sales Indirect NH KMI Office A4 Consumables")</f>
        <v>S/GP (1)-1 Net Sales Indirect NH KMI Office A4 Consumables</v>
      </c>
      <c r="R481" s="1217">
        <v>101</v>
      </c>
      <c r="S481" s="1217">
        <v>0</v>
      </c>
      <c r="T481" s="1217">
        <v>33</v>
      </c>
      <c r="U481" s="1217">
        <v>89</v>
      </c>
      <c r="V481" s="1217">
        <v>135.036</v>
      </c>
      <c r="W481" s="1217">
        <v>436</v>
      </c>
      <c r="X481" s="1217">
        <v>369</v>
      </c>
      <c r="Y481" s="1217">
        <v>419</v>
      </c>
      <c r="Z481" s="1217">
        <v>100</v>
      </c>
      <c r="AA481" s="1217">
        <v>228</v>
      </c>
      <c r="AB481" s="1217">
        <v>0</v>
      </c>
      <c r="AC481" s="1217">
        <v>0</v>
      </c>
      <c r="AD481" s="783">
        <f>SUM(R481,S481,T481)</f>
        <v>134</v>
      </c>
      <c r="AE481" s="1226">
        <f t="shared" ref="AE481:AE484" si="759">SUM(U481,V481,W481)</f>
        <v>660.03600000000006</v>
      </c>
      <c r="AF481" s="1226">
        <f t="shared" ref="AF481:AF484" si="760">SUM(X481,Y481,Z481)</f>
        <v>888</v>
      </c>
      <c r="AG481" s="1226">
        <f t="shared" ref="AG481:AG484" si="761">SUM(AA481,AB481,AC481)</f>
        <v>228</v>
      </c>
      <c r="AH481" s="1226">
        <f>AD481+AE481</f>
        <v>794.03600000000006</v>
      </c>
      <c r="AI481" s="1226">
        <f>AG481+AF481</f>
        <v>1116</v>
      </c>
      <c r="AJ481" s="1226">
        <f>AH481+AI481</f>
        <v>1910.0360000000001</v>
      </c>
      <c r="AL481" s="1226">
        <f ca="1">SUM((INDIRECT(AL$2&amp;(ROW())):INDIRECT(AL$3&amp;(ROW()))))</f>
        <v>0</v>
      </c>
      <c r="AM481" s="1226">
        <f ca="1">SUM(INDIRECT(AM$1&amp;AM$2&amp;$C481):INDIRECT(AM$1&amp;AM$3&amp;$C481))</f>
        <v>118091.66078204017</v>
      </c>
      <c r="AN481" s="3233">
        <f t="shared" ca="1" si="717"/>
        <v>-118091.66078204017</v>
      </c>
      <c r="AO481" s="2890">
        <f t="shared" ca="1" si="718"/>
        <v>0</v>
      </c>
      <c r="AP481" s="1226">
        <f ca="1">SUM(INDIRECT(AP$1&amp;AP$2&amp;$A481):INDIRECT(AP$1&amp;AP$3&amp;$A481))</f>
        <v>102245.23734156511</v>
      </c>
      <c r="AQ481" s="3233">
        <f t="shared" ca="1" si="719"/>
        <v>-102245.23734156511</v>
      </c>
      <c r="AR481" s="2890">
        <f t="shared" ca="1" si="720"/>
        <v>0</v>
      </c>
      <c r="AT481" s="1226">
        <f ca="1">SUM((INDIRECT(AT$2&amp;(ROW())):INDIRECT(AT$3&amp;(ROW()))))</f>
        <v>228</v>
      </c>
      <c r="AU481" s="1226">
        <f ca="1">SUM(INDIRECT(AU$1&amp;AU$2&amp;$C481):INDIRECT(AU$1&amp;AU$3&amp;$C481))</f>
        <v>337833.61184628028</v>
      </c>
      <c r="AV481" s="3233">
        <f t="shared" ca="1" si="721"/>
        <v>-337605.61184628028</v>
      </c>
      <c r="AW481" s="2890">
        <f t="shared" ca="1" si="722"/>
        <v>6.7488844213566197E-4</v>
      </c>
      <c r="AX481" s="1226">
        <f ca="1">SUM(INDIRECT(AX$1&amp;AX$2&amp;$A481):INDIRECT(AX$1&amp;AX$3&amp;$A481))</f>
        <v>350855.4314553219</v>
      </c>
      <c r="AY481" s="3233">
        <f t="shared" ca="1" si="723"/>
        <v>-350627.4314553219</v>
      </c>
      <c r="AZ481" s="2890">
        <f t="shared" ca="1" si="724"/>
        <v>6.4984030332457211E-4</v>
      </c>
      <c r="BB481" s="1226">
        <f ca="1">SUM((INDIRECT(BB$2&amp;(ROW())):INDIRECT(BB$3&amp;(ROW()))))</f>
        <v>1910.0360000000001</v>
      </c>
      <c r="BC481" s="1226">
        <f ca="1">SUM(INDIRECT(BC$1&amp;BC$2&amp;$C481):INDIRECT(BC$1&amp;BC$3&amp;$C481))</f>
        <v>552425.13474504813</v>
      </c>
      <c r="BD481" s="3233">
        <f t="shared" ca="1" si="725"/>
        <v>-550515.09874504816</v>
      </c>
      <c r="BE481" s="2890">
        <f t="shared" ca="1" si="726"/>
        <v>3.4575472401007028E-3</v>
      </c>
      <c r="BF481" s="1226">
        <f ca="1">SUM(INDIRECT(BF$1&amp;BF$2&amp;$A481):INDIRECT(BF$1&amp;BF$3&amp;$A481))</f>
        <v>1217879.1040128132</v>
      </c>
      <c r="BG481" s="3233">
        <f t="shared" ca="1" si="727"/>
        <v>-1215969.0680128131</v>
      </c>
      <c r="BH481" s="2890">
        <f t="shared" ca="1" si="728"/>
        <v>1.5683297247703701E-3</v>
      </c>
    </row>
    <row r="482" spans="1:60" ht="14.5">
      <c r="A482" s="616">
        <f t="shared" si="746"/>
        <v>433</v>
      </c>
      <c r="B482" s="616">
        <v>1</v>
      </c>
      <c r="C482" s="616">
        <f t="shared" si="710"/>
        <v>479</v>
      </c>
      <c r="E482" s="2547">
        <v>1</v>
      </c>
      <c r="I482" s="94"/>
      <c r="J482" s="93"/>
      <c r="K482" s="63"/>
      <c r="L482" s="63"/>
      <c r="N482" s="285"/>
      <c r="O482" s="285"/>
      <c r="P482" s="285" t="s">
        <v>1468</v>
      </c>
      <c r="Q482" s="1779" t="str">
        <f>CHOOSE(2, "6722000003401", "S/GP (1)-1 Net Sales Indirect NH KMI Office A4 Parts")</f>
        <v>S/GP (1)-1 Net Sales Indirect NH KMI Office A4 Parts</v>
      </c>
      <c r="R482" s="1245">
        <v>0</v>
      </c>
      <c r="S482" s="1245">
        <v>0</v>
      </c>
      <c r="T482" s="1245">
        <v>0</v>
      </c>
      <c r="U482" s="1245">
        <v>0</v>
      </c>
      <c r="V482" s="1245">
        <v>0</v>
      </c>
      <c r="W482" s="1245">
        <v>0</v>
      </c>
      <c r="X482" s="1245">
        <v>0</v>
      </c>
      <c r="Y482" s="1245">
        <v>0</v>
      </c>
      <c r="Z482" s="1245">
        <v>0</v>
      </c>
      <c r="AA482" s="1245">
        <v>0</v>
      </c>
      <c r="AB482" s="1245">
        <v>0</v>
      </c>
      <c r="AC482" s="1245">
        <v>0</v>
      </c>
      <c r="AD482" s="895">
        <f>SUM(R482,S482,T482)</f>
        <v>0</v>
      </c>
      <c r="AE482" s="1248">
        <f t="shared" si="759"/>
        <v>0</v>
      </c>
      <c r="AF482" s="1248">
        <f t="shared" si="760"/>
        <v>0</v>
      </c>
      <c r="AG482" s="1248">
        <f t="shared" si="761"/>
        <v>0</v>
      </c>
      <c r="AH482" s="1248">
        <f>AD482+AE482</f>
        <v>0</v>
      </c>
      <c r="AI482" s="1248">
        <f>AG482+AF482</f>
        <v>0</v>
      </c>
      <c r="AJ482" s="1248">
        <f>AH482+AI482</f>
        <v>0</v>
      </c>
      <c r="AL482" s="1248">
        <f ca="1">SUM((INDIRECT(AL$2&amp;(ROW())):INDIRECT(AL$3&amp;(ROW()))))</f>
        <v>0</v>
      </c>
      <c r="AM482" s="1248">
        <f ca="1">SUM(INDIRECT(AM$1&amp;AM$2&amp;$C482):INDIRECT(AM$1&amp;AM$3&amp;$C482))</f>
        <v>118091.66078204017</v>
      </c>
      <c r="AN482" s="3229">
        <f t="shared" ca="1" si="717"/>
        <v>-118091.66078204017</v>
      </c>
      <c r="AO482" s="2882">
        <f t="shared" ca="1" si="718"/>
        <v>0</v>
      </c>
      <c r="AP482" s="1248">
        <f ca="1">SUM(INDIRECT(AP$1&amp;AP$2&amp;$A482):INDIRECT(AP$1&amp;AP$3&amp;$A482))</f>
        <v>66896.423031010767</v>
      </c>
      <c r="AQ482" s="3229">
        <f t="shared" ca="1" si="719"/>
        <v>-66896.423031010767</v>
      </c>
      <c r="AR482" s="2882">
        <f t="shared" ca="1" si="720"/>
        <v>0</v>
      </c>
      <c r="AT482" s="1248">
        <f ca="1">SUM((INDIRECT(AT$2&amp;(ROW())):INDIRECT(AT$3&amp;(ROW()))))</f>
        <v>0</v>
      </c>
      <c r="AU482" s="1248">
        <f ca="1">SUM(INDIRECT(AU$1&amp;AU$2&amp;$C482):INDIRECT(AU$1&amp;AU$3&amp;$C482))</f>
        <v>337833.61184628028</v>
      </c>
      <c r="AV482" s="3229">
        <f t="shared" ca="1" si="721"/>
        <v>-337833.61184628028</v>
      </c>
      <c r="AW482" s="2882">
        <f t="shared" ca="1" si="722"/>
        <v>0</v>
      </c>
      <c r="AX482" s="1248">
        <f ca="1">SUM(INDIRECT(AX$1&amp;AX$2&amp;$A482):INDIRECT(AX$1&amp;AX$3&amp;$A482))</f>
        <v>153917.17292713802</v>
      </c>
      <c r="AY482" s="3229">
        <f t="shared" ca="1" si="723"/>
        <v>-153917.17292713802</v>
      </c>
      <c r="AZ482" s="2882">
        <f t="shared" ca="1" si="724"/>
        <v>0</v>
      </c>
      <c r="BB482" s="1248">
        <f ca="1">SUM((INDIRECT(BB$2&amp;(ROW())):INDIRECT(BB$3&amp;(ROW()))))</f>
        <v>0</v>
      </c>
      <c r="BC482" s="1248">
        <f ca="1">SUM(INDIRECT(BC$1&amp;BC$2&amp;$C482):INDIRECT(BC$1&amp;BC$3&amp;$C482))</f>
        <v>552425.13474504813</v>
      </c>
      <c r="BD482" s="3229">
        <f t="shared" ca="1" si="725"/>
        <v>-552425.13474504813</v>
      </c>
      <c r="BE482" s="2882">
        <f t="shared" ca="1" si="726"/>
        <v>0</v>
      </c>
      <c r="BF482" s="1248">
        <f ca="1">SUM(INDIRECT(BF$1&amp;BF$2&amp;$A482):INDIRECT(BF$1&amp;BF$3&amp;$A482))</f>
        <v>446587.07230952388</v>
      </c>
      <c r="BG482" s="3229">
        <f t="shared" ca="1" si="727"/>
        <v>-446587.07230952388</v>
      </c>
      <c r="BH482" s="2882">
        <f t="shared" ca="1" si="728"/>
        <v>0</v>
      </c>
    </row>
    <row r="483" spans="1:60" ht="14.5" collapsed="1">
      <c r="A483" s="616">
        <f t="shared" si="746"/>
        <v>434</v>
      </c>
      <c r="B483" s="616">
        <v>1</v>
      </c>
      <c r="C483" s="616">
        <f t="shared" si="710"/>
        <v>480</v>
      </c>
      <c r="E483" s="2547">
        <v>1</v>
      </c>
      <c r="I483" s="94"/>
      <c r="J483" s="93"/>
      <c r="K483" s="63"/>
      <c r="L483" s="63"/>
      <c r="N483" s="288" t="s">
        <v>1464</v>
      </c>
      <c r="O483" s="288"/>
      <c r="P483" s="288"/>
      <c r="Q483" s="1779" t="str">
        <f>CHOOSE(2, "6722000003402", "S/GP (1)-1 Net Sales Indirect NH 3rd Party")</f>
        <v>S/GP (1)-1 Net Sales Indirect NH 3rd Party</v>
      </c>
      <c r="R483" s="1246">
        <v>0</v>
      </c>
      <c r="S483" s="1246">
        <v>0</v>
      </c>
      <c r="T483" s="1246">
        <v>0</v>
      </c>
      <c r="U483" s="1246">
        <v>0</v>
      </c>
      <c r="V483" s="1246">
        <v>0</v>
      </c>
      <c r="W483" s="1246">
        <v>0</v>
      </c>
      <c r="X483" s="1246">
        <v>0</v>
      </c>
      <c r="Y483" s="1246">
        <v>0</v>
      </c>
      <c r="Z483" s="1246">
        <v>0</v>
      </c>
      <c r="AA483" s="1246">
        <v>0</v>
      </c>
      <c r="AB483" s="1246">
        <v>0</v>
      </c>
      <c r="AC483" s="1246">
        <v>0</v>
      </c>
      <c r="AD483" s="897">
        <f>SUM(R483,S483,T483)</f>
        <v>0</v>
      </c>
      <c r="AE483" s="297">
        <f t="shared" si="759"/>
        <v>0</v>
      </c>
      <c r="AF483" s="297">
        <f t="shared" si="760"/>
        <v>0</v>
      </c>
      <c r="AG483" s="297">
        <f t="shared" si="761"/>
        <v>0</v>
      </c>
      <c r="AH483" s="297">
        <f>AD483+AE483</f>
        <v>0</v>
      </c>
      <c r="AI483" s="297">
        <f>AG483+AF483</f>
        <v>0</v>
      </c>
      <c r="AJ483" s="297">
        <f>AH483+AI483</f>
        <v>0</v>
      </c>
      <c r="AL483" s="297">
        <f ca="1">SUM((INDIRECT(AL$2&amp;(ROW())):INDIRECT(AL$3&amp;(ROW()))))</f>
        <v>0</v>
      </c>
      <c r="AM483" s="297">
        <f ca="1">SUM(INDIRECT(AM$1&amp;AM$2&amp;$C483):INDIRECT(AM$1&amp;AM$3&amp;$C483))</f>
        <v>118091.66078204017</v>
      </c>
      <c r="AN483" s="3230">
        <f t="shared" ca="1" si="717"/>
        <v>-118091.66078204017</v>
      </c>
      <c r="AO483" s="2884">
        <f t="shared" ca="1" si="718"/>
        <v>0</v>
      </c>
      <c r="AP483" s="297">
        <f ca="1">SUM(INDIRECT(AP$1&amp;AP$2&amp;$A483):INDIRECT(AP$1&amp;AP$3&amp;$A483))</f>
        <v>35348.81431055435</v>
      </c>
      <c r="AQ483" s="3230">
        <f t="shared" ca="1" si="719"/>
        <v>-35348.81431055435</v>
      </c>
      <c r="AR483" s="2884">
        <f t="shared" ca="1" si="720"/>
        <v>0</v>
      </c>
      <c r="AT483" s="297">
        <f ca="1">SUM((INDIRECT(AT$2&amp;(ROW())):INDIRECT(AT$3&amp;(ROW()))))</f>
        <v>0</v>
      </c>
      <c r="AU483" s="297">
        <f ca="1">SUM(INDIRECT(AU$1&amp;AU$2&amp;$C483):INDIRECT(AU$1&amp;AU$3&amp;$C483))</f>
        <v>337833.61184628028</v>
      </c>
      <c r="AV483" s="3230">
        <f t="shared" ca="1" si="721"/>
        <v>-337833.61184628028</v>
      </c>
      <c r="AW483" s="2884">
        <f t="shared" ca="1" si="722"/>
        <v>0</v>
      </c>
      <c r="AX483" s="297">
        <f ca="1">SUM(INDIRECT(AX$1&amp;AX$2&amp;$A483):INDIRECT(AX$1&amp;AX$3&amp;$A483))</f>
        <v>196938.25852818391</v>
      </c>
      <c r="AY483" s="3230">
        <f t="shared" ca="1" si="723"/>
        <v>-196938.25852818391</v>
      </c>
      <c r="AZ483" s="2884">
        <f t="shared" ca="1" si="724"/>
        <v>0</v>
      </c>
      <c r="BB483" s="297">
        <f ca="1">SUM((INDIRECT(BB$2&amp;(ROW())):INDIRECT(BB$3&amp;(ROW()))))</f>
        <v>0</v>
      </c>
      <c r="BC483" s="297">
        <f ca="1">SUM(INDIRECT(BC$1&amp;BC$2&amp;$C483):INDIRECT(BC$1&amp;BC$3&amp;$C483))</f>
        <v>552425.13474504813</v>
      </c>
      <c r="BD483" s="3230">
        <f t="shared" ca="1" si="725"/>
        <v>-552425.13474504813</v>
      </c>
      <c r="BE483" s="2884">
        <f t="shared" ca="1" si="726"/>
        <v>0</v>
      </c>
      <c r="BF483" s="297">
        <f ca="1">SUM(INDIRECT(BF$1&amp;BF$2&amp;$A483):INDIRECT(BF$1&amp;BF$3&amp;$A483))</f>
        <v>771292.03170328925</v>
      </c>
      <c r="BG483" s="3230">
        <f t="shared" ca="1" si="727"/>
        <v>-771292.03170328925</v>
      </c>
      <c r="BH483" s="2884">
        <f t="shared" ca="1" si="728"/>
        <v>0</v>
      </c>
    </row>
    <row r="484" spans="1:60" ht="14.5">
      <c r="A484" s="616">
        <f t="shared" si="746"/>
        <v>435</v>
      </c>
      <c r="B484" s="616">
        <v>1</v>
      </c>
      <c r="C484" s="616">
        <f t="shared" si="710"/>
        <v>481</v>
      </c>
      <c r="E484" s="2547">
        <v>1</v>
      </c>
      <c r="I484" s="92"/>
      <c r="J484" s="91"/>
      <c r="K484" s="62"/>
      <c r="L484" s="62"/>
      <c r="M484" s="1475" t="s">
        <v>1386</v>
      </c>
      <c r="N484" s="1475"/>
      <c r="O484" s="1475"/>
      <c r="P484" s="1475"/>
      <c r="Q484" s="1779" t="str">
        <f>CHOOSE(2, "6722000003403", "S/GP (1)-1 Net Sales Indirect Others")</f>
        <v>S/GP (1)-1 Net Sales Indirect Others</v>
      </c>
      <c r="R484" s="3234">
        <v>0</v>
      </c>
      <c r="S484" s="3234">
        <v>0</v>
      </c>
      <c r="T484" s="3234">
        <v>0</v>
      </c>
      <c r="U484" s="3234">
        <v>0</v>
      </c>
      <c r="V484" s="3234">
        <v>0</v>
      </c>
      <c r="W484" s="3234">
        <v>0</v>
      </c>
      <c r="X484" s="3234">
        <v>0</v>
      </c>
      <c r="Y484" s="3234">
        <v>0</v>
      </c>
      <c r="Z484" s="3234">
        <v>0</v>
      </c>
      <c r="AA484" s="3234">
        <v>0</v>
      </c>
      <c r="AB484" s="3234">
        <v>0</v>
      </c>
      <c r="AC484" s="3234">
        <v>0</v>
      </c>
      <c r="AD484" s="3235">
        <f>SUM(R484,S484,T484)</f>
        <v>0</v>
      </c>
      <c r="AE484" s="3236">
        <f t="shared" si="759"/>
        <v>0</v>
      </c>
      <c r="AF484" s="3236">
        <f t="shared" si="760"/>
        <v>0</v>
      </c>
      <c r="AG484" s="3236">
        <f t="shared" si="761"/>
        <v>0</v>
      </c>
      <c r="AH484" s="3236">
        <f>AD484+AE484</f>
        <v>0</v>
      </c>
      <c r="AI484" s="3236">
        <f>AG484+AF484</f>
        <v>0</v>
      </c>
      <c r="AJ484" s="3236">
        <f>AH484+AI484</f>
        <v>0</v>
      </c>
      <c r="AL484" s="3236">
        <f ca="1">SUM((INDIRECT(AL$2&amp;(ROW())):INDIRECT(AL$3&amp;(ROW()))))</f>
        <v>0</v>
      </c>
      <c r="AM484" s="3236">
        <f ca="1">SUM(INDIRECT(AM$1&amp;AM$2&amp;$C484):INDIRECT(AM$1&amp;AM$3&amp;$C484))</f>
        <v>0</v>
      </c>
      <c r="AN484" s="3237">
        <f t="shared" ca="1" si="717"/>
        <v>0</v>
      </c>
      <c r="AO484" s="2892">
        <f t="shared" ca="1" si="718"/>
        <v>0</v>
      </c>
      <c r="AP484" s="3236">
        <f ca="1">SUM(INDIRECT(AP$1&amp;AP$2&amp;$A484):INDIRECT(AP$1&amp;AP$3&amp;$A484))</f>
        <v>0.69207492950483773</v>
      </c>
      <c r="AQ484" s="3237">
        <f t="shared" ca="1" si="719"/>
        <v>-0.69207492950483773</v>
      </c>
      <c r="AR484" s="2892">
        <f t="shared" ca="1" si="720"/>
        <v>0</v>
      </c>
      <c r="AT484" s="3236">
        <f ca="1">SUM((INDIRECT(AT$2&amp;(ROW())):INDIRECT(AT$3&amp;(ROW()))))</f>
        <v>0</v>
      </c>
      <c r="AU484" s="3236">
        <f ca="1">SUM(INDIRECT(AU$1&amp;AU$2&amp;$C484):INDIRECT(AU$1&amp;AU$3&amp;$C484))</f>
        <v>0</v>
      </c>
      <c r="AV484" s="3237">
        <f t="shared" ca="1" si="721"/>
        <v>0</v>
      </c>
      <c r="AW484" s="2892">
        <f t="shared" ca="1" si="722"/>
        <v>0</v>
      </c>
      <c r="AX484" s="3236">
        <f ca="1">SUM(INDIRECT(AX$1&amp;AX$2&amp;$A484):INDIRECT(AX$1&amp;AX$3&amp;$A484))</f>
        <v>2.0059805523533476</v>
      </c>
      <c r="AY484" s="3237">
        <f t="shared" ca="1" si="723"/>
        <v>-2.0059805523533476</v>
      </c>
      <c r="AZ484" s="2892">
        <f t="shared" ca="1" si="724"/>
        <v>0</v>
      </c>
      <c r="BB484" s="3236">
        <f ca="1">SUM((INDIRECT(BB$2&amp;(ROW())):INDIRECT(BB$3&amp;(ROW()))))</f>
        <v>0</v>
      </c>
      <c r="BC484" s="3236">
        <f ca="1">SUM(INDIRECT(BC$1&amp;BC$2&amp;$C484):INDIRECT(BC$1&amp;BC$3&amp;$C484))</f>
        <v>0</v>
      </c>
      <c r="BD484" s="3237">
        <f t="shared" ca="1" si="725"/>
        <v>0</v>
      </c>
      <c r="BE484" s="2892">
        <f t="shared" ca="1" si="726"/>
        <v>0</v>
      </c>
      <c r="BF484" s="3236">
        <f ca="1">SUM(INDIRECT(BF$1&amp;BF$2&amp;$A484):INDIRECT(BF$1&amp;BF$3&amp;$A484))</f>
        <v>7.5328400170172269</v>
      </c>
      <c r="BG484" s="3237">
        <f t="shared" ca="1" si="727"/>
        <v>-7.5328400170172269</v>
      </c>
      <c r="BH484" s="2892">
        <f t="shared" ca="1" si="728"/>
        <v>0</v>
      </c>
    </row>
    <row r="485" spans="1:60" ht="14.5">
      <c r="A485" s="616">
        <f t="shared" si="746"/>
        <v>436</v>
      </c>
      <c r="B485" s="616">
        <v>1</v>
      </c>
      <c r="C485" s="616">
        <f t="shared" si="710"/>
        <v>482</v>
      </c>
      <c r="E485" s="2547">
        <v>1</v>
      </c>
      <c r="I485" s="3222" t="s">
        <v>1469</v>
      </c>
      <c r="J485" s="582"/>
      <c r="K485" s="2135"/>
      <c r="L485" s="2135"/>
      <c r="M485" s="582"/>
      <c r="N485" s="582"/>
      <c r="O485" s="582"/>
      <c r="P485" s="582"/>
      <c r="Q485" s="1813" t="str">
        <f>CHOOSE(2, "6722000003404", "S/GP (1)-1 Gross Profit")</f>
        <v>S/GP (1)-1 Gross Profit</v>
      </c>
      <c r="R485" s="1320">
        <f t="shared" ref="R485:AJ485" si="762">R486+R510</f>
        <v>62164</v>
      </c>
      <c r="S485" s="3241">
        <f t="shared" si="762"/>
        <v>51719</v>
      </c>
      <c r="T485" s="3241">
        <f t="shared" si="762"/>
        <v>68190</v>
      </c>
      <c r="U485" s="3241">
        <f t="shared" si="762"/>
        <v>66780</v>
      </c>
      <c r="V485" s="3241">
        <f t="shared" si="762"/>
        <v>80882.624250359484</v>
      </c>
      <c r="W485" s="3241">
        <f t="shared" si="762"/>
        <v>85832</v>
      </c>
      <c r="X485" s="3241">
        <f t="shared" si="762"/>
        <v>86366</v>
      </c>
      <c r="Y485" s="3241">
        <f t="shared" si="762"/>
        <v>83645</v>
      </c>
      <c r="Z485" s="3241">
        <f t="shared" si="762"/>
        <v>96219</v>
      </c>
      <c r="AA485" s="3241">
        <f t="shared" si="762"/>
        <v>81821</v>
      </c>
      <c r="AB485" s="3241">
        <f t="shared" si="762"/>
        <v>65831</v>
      </c>
      <c r="AC485" s="3241">
        <f t="shared" si="762"/>
        <v>74124</v>
      </c>
      <c r="AD485" s="3241">
        <f t="shared" si="762"/>
        <v>182073</v>
      </c>
      <c r="AE485" s="3241">
        <f t="shared" si="762"/>
        <v>233494.62425035948</v>
      </c>
      <c r="AF485" s="3241">
        <f t="shared" si="762"/>
        <v>266230</v>
      </c>
      <c r="AG485" s="3241">
        <f t="shared" si="762"/>
        <v>221776</v>
      </c>
      <c r="AH485" s="3241">
        <f t="shared" si="762"/>
        <v>415567.62425035948</v>
      </c>
      <c r="AI485" s="3241">
        <f t="shared" si="762"/>
        <v>488006</v>
      </c>
      <c r="AJ485" s="3241">
        <f t="shared" si="762"/>
        <v>903573.62425035937</v>
      </c>
      <c r="AL485" s="1320">
        <f ca="1">SUM((INDIRECT(AL$2&amp;(ROW())):INDIRECT(AL$3&amp;(ROW()))))</f>
        <v>74124</v>
      </c>
      <c r="AM485" s="3241">
        <f ca="1">SUM(INDIRECT(AM$1&amp;AM$2&amp;$C485):INDIRECT(AM$1&amp;AM$3&amp;$C485))</f>
        <v>0</v>
      </c>
      <c r="AN485" s="3242">
        <f t="shared" ca="1" si="717"/>
        <v>74124</v>
      </c>
      <c r="AO485" s="3225">
        <f t="shared" ca="1" si="718"/>
        <v>0</v>
      </c>
      <c r="AP485" s="3241">
        <f ca="1">SUM(INDIRECT(AP$1&amp;AP$2&amp;$A485):INDIRECT(AP$1&amp;AP$3&amp;$A485))</f>
        <v>3704.6254925391677</v>
      </c>
      <c r="AQ485" s="3242">
        <f t="shared" ca="1" si="719"/>
        <v>70419.374507460831</v>
      </c>
      <c r="AR485" s="3225">
        <f t="shared" ca="1" si="720"/>
        <v>20.008500224727186</v>
      </c>
      <c r="AT485" s="1320">
        <f ca="1">SUM((INDIRECT(AT$2&amp;(ROW())):INDIRECT(AT$3&amp;(ROW()))))</f>
        <v>221776</v>
      </c>
      <c r="AU485" s="3241">
        <f ca="1">SUM(INDIRECT(AU$1&amp;AU$2&amp;$C485):INDIRECT(AU$1&amp;AU$3&amp;$C485))</f>
        <v>0</v>
      </c>
      <c r="AV485" s="3242">
        <f t="shared" ca="1" si="721"/>
        <v>221776</v>
      </c>
      <c r="AW485" s="3225">
        <f t="shared" ca="1" si="722"/>
        <v>0</v>
      </c>
      <c r="AX485" s="3241">
        <f ca="1">SUM(INDIRECT(AX$1&amp;AX$2&amp;$A485):INDIRECT(AX$1&amp;AX$3&amp;$A485))</f>
        <v>9978.1467900803254</v>
      </c>
      <c r="AY485" s="3242">
        <f t="shared" ca="1" si="723"/>
        <v>211797.85320991967</v>
      </c>
      <c r="AZ485" s="3225">
        <f t="shared" ca="1" si="724"/>
        <v>22.226171318753938</v>
      </c>
      <c r="BB485" s="1320">
        <f ca="1">SUM((INDIRECT(BB$2&amp;(ROW())):INDIRECT(BB$3&amp;(ROW()))))</f>
        <v>903573.62425035948</v>
      </c>
      <c r="BC485" s="3241">
        <f ca="1">SUM(INDIRECT(BC$1&amp;BC$2&amp;$C485):INDIRECT(BC$1&amp;BC$3&amp;$C485))</f>
        <v>0</v>
      </c>
      <c r="BD485" s="3242">
        <f t="shared" ca="1" si="725"/>
        <v>903573.62425035948</v>
      </c>
      <c r="BE485" s="3225">
        <f t="shared" ca="1" si="726"/>
        <v>0</v>
      </c>
      <c r="BF485" s="3241">
        <f ca="1">SUM(INDIRECT(BF$1&amp;BF$2&amp;$A485):INDIRECT(BF$1&amp;BF$3&amp;$A485))</f>
        <v>31019.381412358045</v>
      </c>
      <c r="BG485" s="3242">
        <f t="shared" ca="1" si="727"/>
        <v>872554.24283800146</v>
      </c>
      <c r="BH485" s="3225">
        <f t="shared" ca="1" si="728"/>
        <v>29.129324412974206</v>
      </c>
    </row>
    <row r="486" spans="1:60" ht="14.5">
      <c r="A486" s="616">
        <f t="shared" si="746"/>
        <v>437</v>
      </c>
      <c r="B486" s="616">
        <v>1</v>
      </c>
      <c r="C486" s="616">
        <f t="shared" si="710"/>
        <v>483</v>
      </c>
      <c r="E486" s="2547">
        <v>1</v>
      </c>
      <c r="I486" s="94"/>
      <c r="J486" s="93"/>
      <c r="K486" s="68" t="s">
        <v>1381</v>
      </c>
      <c r="L486" s="68"/>
      <c r="M486" s="283"/>
      <c r="N486" s="283"/>
      <c r="O486" s="283"/>
      <c r="P486" s="283"/>
      <c r="Q486" s="1811" t="str">
        <f>CHOOSE(2, "6722000003405", "S/GP (1)-1 Gross Profit Direct")</f>
        <v>S/GP (1)-1 Gross Profit Direct</v>
      </c>
      <c r="R486" s="1318">
        <f>R487+R492+R509</f>
        <v>22005</v>
      </c>
      <c r="S486" s="1259">
        <f t="shared" ref="S486:AJ486" si="763">S487+S492+S509</f>
        <v>22223</v>
      </c>
      <c r="T486" s="1259">
        <f t="shared" si="763"/>
        <v>25667</v>
      </c>
      <c r="U486" s="1259">
        <f t="shared" si="763"/>
        <v>23660</v>
      </c>
      <c r="V486" s="1259">
        <f t="shared" si="763"/>
        <v>25829.068577887272</v>
      </c>
      <c r="W486" s="1259">
        <f t="shared" si="763"/>
        <v>24939</v>
      </c>
      <c r="X486" s="1259">
        <f t="shared" si="763"/>
        <v>23532</v>
      </c>
      <c r="Y486" s="1259">
        <f t="shared" si="763"/>
        <v>30035</v>
      </c>
      <c r="Z486" s="1259">
        <f t="shared" si="763"/>
        <v>28563</v>
      </c>
      <c r="AA486" s="1259">
        <f t="shared" si="763"/>
        <v>27710</v>
      </c>
      <c r="AB486" s="1259">
        <f t="shared" si="763"/>
        <v>28589</v>
      </c>
      <c r="AC486" s="1259">
        <f t="shared" si="763"/>
        <v>18930</v>
      </c>
      <c r="AD486" s="1259">
        <f t="shared" si="763"/>
        <v>69895</v>
      </c>
      <c r="AE486" s="1259">
        <f t="shared" si="763"/>
        <v>74428.068577887272</v>
      </c>
      <c r="AF486" s="1259">
        <f t="shared" si="763"/>
        <v>82130</v>
      </c>
      <c r="AG486" s="1259">
        <f t="shared" si="763"/>
        <v>75229</v>
      </c>
      <c r="AH486" s="1259">
        <f t="shared" si="763"/>
        <v>144323.06857788729</v>
      </c>
      <c r="AI486" s="1259">
        <f t="shared" si="763"/>
        <v>157359</v>
      </c>
      <c r="AJ486" s="1259">
        <f t="shared" si="763"/>
        <v>301682.06857788726</v>
      </c>
      <c r="AL486" s="1318">
        <f ca="1">SUM((INDIRECT(AL$2&amp;(ROW())):INDIRECT(AL$3&amp;(ROW()))))</f>
        <v>18930</v>
      </c>
      <c r="AM486" s="1259">
        <f ca="1">SUM(INDIRECT(AM$1&amp;AM$2&amp;$C486):INDIRECT(AM$1&amp;AM$3&amp;$C486))</f>
        <v>61563.973453124992</v>
      </c>
      <c r="AN486" s="2873">
        <f t="shared" ca="1" si="717"/>
        <v>-42633.973453124992</v>
      </c>
      <c r="AO486" s="2874">
        <f t="shared" ca="1" si="718"/>
        <v>0.30748502635901764</v>
      </c>
      <c r="AP486" s="1259">
        <f ca="1">SUM(INDIRECT(AP$1&amp;AP$2&amp;$A486):INDIRECT(AP$1&amp;AP$3&amp;$A486))</f>
        <v>3704.6254925391677</v>
      </c>
      <c r="AQ486" s="2873">
        <f t="shared" ca="1" si="719"/>
        <v>15225.374507460832</v>
      </c>
      <c r="AR486" s="2874">
        <f t="shared" ca="1" si="720"/>
        <v>5.1098282506891914</v>
      </c>
      <c r="AT486" s="1318">
        <f ca="1">SUM((INDIRECT(AT$2&amp;(ROW())):INDIRECT(AT$3&amp;(ROW()))))</f>
        <v>75229</v>
      </c>
      <c r="AU486" s="1259">
        <f ca="1">SUM(INDIRECT(AU$1&amp;AU$2&amp;$C486):INDIRECT(AU$1&amp;AU$3&amp;$C486))</f>
        <v>177449.09995312497</v>
      </c>
      <c r="AV486" s="2873">
        <f t="shared" ca="1" si="721"/>
        <v>-102220.09995312497</v>
      </c>
      <c r="AW486" s="2874">
        <f t="shared" ca="1" si="722"/>
        <v>0.42394692348325536</v>
      </c>
      <c r="AX486" s="1259">
        <f ca="1">SUM(INDIRECT(AX$1&amp;AX$2&amp;$A486):INDIRECT(AX$1&amp;AX$3&amp;$A486))</f>
        <v>9978.1467900803254</v>
      </c>
      <c r="AY486" s="2873">
        <f t="shared" ca="1" si="723"/>
        <v>65250.853209919675</v>
      </c>
      <c r="AZ486" s="2874">
        <f t="shared" ca="1" si="724"/>
        <v>7.5393759565441707</v>
      </c>
      <c r="BB486" s="1318">
        <f ca="1">SUM((INDIRECT(BB$2&amp;(ROW())):INDIRECT(BB$3&amp;(ROW()))))</f>
        <v>301682.06857788726</v>
      </c>
      <c r="BC486" s="1259">
        <f ca="1">SUM(INDIRECT(BC$1&amp;BC$2&amp;$C486):INDIRECT(BC$1&amp;BC$3&amp;$C486))</f>
        <v>296955.63665624999</v>
      </c>
      <c r="BD486" s="2873">
        <f t="shared" ca="1" si="725"/>
        <v>4726.4319216372678</v>
      </c>
      <c r="BE486" s="2874">
        <f t="shared" ca="1" si="726"/>
        <v>1.0159162896345642</v>
      </c>
      <c r="BF486" s="1259">
        <f ca="1">SUM(INDIRECT(BF$1&amp;BF$2&amp;$A486):INDIRECT(BF$1&amp;BF$3&amp;$A486))</f>
        <v>31019.381412358045</v>
      </c>
      <c r="BG486" s="2873">
        <f t="shared" ca="1" si="727"/>
        <v>270662.68716552923</v>
      </c>
      <c r="BH486" s="2874">
        <f t="shared" ca="1" si="728"/>
        <v>9.7255991203518288</v>
      </c>
    </row>
    <row r="487" spans="1:60" s="9" customFormat="1" ht="14.5">
      <c r="A487" s="616">
        <f t="shared" si="746"/>
        <v>438</v>
      </c>
      <c r="B487" s="616">
        <v>1</v>
      </c>
      <c r="C487" s="616">
        <f t="shared" si="710"/>
        <v>484</v>
      </c>
      <c r="E487" s="2547">
        <v>1</v>
      </c>
      <c r="H487" s="22"/>
      <c r="I487" s="94"/>
      <c r="J487" s="214"/>
      <c r="K487" s="68"/>
      <c r="L487" s="68"/>
      <c r="M487" s="8" t="s">
        <v>1460</v>
      </c>
      <c r="N487" s="285"/>
      <c r="O487" s="285"/>
      <c r="P487" s="285"/>
      <c r="Q487" s="1777" t="str">
        <f>CHOOSE(2, "6722000003406", "S/GP (1)-1 Gross Profit Direct HW")</f>
        <v>S/GP (1)-1 Gross Profit Direct HW</v>
      </c>
      <c r="R487" s="287">
        <f>R488+R491</f>
        <v>11204</v>
      </c>
      <c r="S487" s="287">
        <f t="shared" ref="S487:AJ487" si="764">S488+S491</f>
        <v>11626</v>
      </c>
      <c r="T487" s="287">
        <f t="shared" si="764"/>
        <v>15279</v>
      </c>
      <c r="U487" s="287">
        <f t="shared" si="764"/>
        <v>14908</v>
      </c>
      <c r="V487" s="287">
        <f t="shared" si="764"/>
        <v>13543.85455</v>
      </c>
      <c r="W487" s="287">
        <f t="shared" si="764"/>
        <v>15879</v>
      </c>
      <c r="X487" s="287">
        <f t="shared" si="764"/>
        <v>16572</v>
      </c>
      <c r="Y487" s="287">
        <f t="shared" si="764"/>
        <v>15084</v>
      </c>
      <c r="Z487" s="287">
        <f t="shared" si="764"/>
        <v>17324</v>
      </c>
      <c r="AA487" s="287">
        <f t="shared" si="764"/>
        <v>16194</v>
      </c>
      <c r="AB487" s="287">
        <f t="shared" si="764"/>
        <v>17670</v>
      </c>
      <c r="AC487" s="287">
        <f t="shared" si="764"/>
        <v>9166</v>
      </c>
      <c r="AD487" s="895">
        <f t="shared" si="764"/>
        <v>38109</v>
      </c>
      <c r="AE487" s="287">
        <f t="shared" si="764"/>
        <v>44330.854550000004</v>
      </c>
      <c r="AF487" s="287">
        <f t="shared" si="764"/>
        <v>48980</v>
      </c>
      <c r="AG487" s="287">
        <f t="shared" si="764"/>
        <v>43030</v>
      </c>
      <c r="AH487" s="287">
        <f t="shared" si="764"/>
        <v>82439.854550000004</v>
      </c>
      <c r="AI487" s="287">
        <f t="shared" si="764"/>
        <v>92010</v>
      </c>
      <c r="AJ487" s="287">
        <f t="shared" si="764"/>
        <v>174449.85454999999</v>
      </c>
      <c r="AL487" s="287">
        <f ca="1">SUM((INDIRECT(AL$2&amp;(ROW())):INDIRECT(AL$3&amp;(ROW()))))</f>
        <v>9166</v>
      </c>
      <c r="AM487" s="287">
        <f ca="1">SUM(INDIRECT(AM$1&amp;AM$2&amp;$C487):INDIRECT(AM$1&amp;AM$3&amp;$C487))</f>
        <v>61563.973453124992</v>
      </c>
      <c r="AN487" s="3226">
        <f t="shared" ca="1" si="717"/>
        <v>-52397.973453124992</v>
      </c>
      <c r="AO487" s="2876">
        <f t="shared" ca="1" si="718"/>
        <v>0.14888577663004521</v>
      </c>
      <c r="AP487" s="287">
        <f ca="1">SUM(INDIRECT(AP$1&amp;AP$2&amp;$A487):INDIRECT(AP$1&amp;AP$3&amp;$A487))</f>
        <v>0</v>
      </c>
      <c r="AQ487" s="3226">
        <f t="shared" ca="1" si="719"/>
        <v>9166</v>
      </c>
      <c r="AR487" s="2876">
        <f t="shared" ca="1" si="720"/>
        <v>0</v>
      </c>
      <c r="AT487" s="287">
        <f ca="1">SUM((INDIRECT(AT$2&amp;(ROW())):INDIRECT(AT$3&amp;(ROW()))))</f>
        <v>43030</v>
      </c>
      <c r="AU487" s="287">
        <f ca="1">SUM(INDIRECT(AU$1&amp;AU$2&amp;$C487):INDIRECT(AU$1&amp;AU$3&amp;$C487))</f>
        <v>177449.09995312497</v>
      </c>
      <c r="AV487" s="3226">
        <f t="shared" ca="1" si="721"/>
        <v>-134419.09995312497</v>
      </c>
      <c r="AW487" s="2876">
        <f t="shared" ca="1" si="722"/>
        <v>0.24249207243861379</v>
      </c>
      <c r="AX487" s="287">
        <f ca="1">SUM(INDIRECT(AX$1&amp;AX$2&amp;$A487):INDIRECT(AX$1&amp;AX$3&amp;$A487))</f>
        <v>0</v>
      </c>
      <c r="AY487" s="3226">
        <f t="shared" ca="1" si="723"/>
        <v>43030</v>
      </c>
      <c r="AZ487" s="2876">
        <f t="shared" ca="1" si="724"/>
        <v>0</v>
      </c>
      <c r="BB487" s="287">
        <f ca="1">SUM((INDIRECT(BB$2&amp;(ROW())):INDIRECT(BB$3&amp;(ROW()))))</f>
        <v>174449.85454999999</v>
      </c>
      <c r="BC487" s="287">
        <f ca="1">SUM(INDIRECT(BC$1&amp;BC$2&amp;$C487):INDIRECT(BC$1&amp;BC$3&amp;$C487))</f>
        <v>296955.63665624999</v>
      </c>
      <c r="BD487" s="3226">
        <f t="shared" ca="1" si="725"/>
        <v>-122505.78210625</v>
      </c>
      <c r="BE487" s="2876">
        <f t="shared" ca="1" si="726"/>
        <v>0.58746099758981751</v>
      </c>
      <c r="BF487" s="287">
        <f ca="1">SUM(INDIRECT(BF$1&amp;BF$2&amp;$A487):INDIRECT(BF$1&amp;BF$3&amp;$A487))</f>
        <v>0</v>
      </c>
      <c r="BG487" s="3226">
        <f t="shared" ca="1" si="727"/>
        <v>174449.85454999999</v>
      </c>
      <c r="BH487" s="2876">
        <f t="shared" ca="1" si="728"/>
        <v>0</v>
      </c>
    </row>
    <row r="488" spans="1:60" ht="14.5">
      <c r="A488" s="616">
        <f t="shared" si="746"/>
        <v>439</v>
      </c>
      <c r="B488" s="616">
        <v>1</v>
      </c>
      <c r="C488" s="616">
        <f t="shared" si="710"/>
        <v>485</v>
      </c>
      <c r="E488" s="2547">
        <v>1</v>
      </c>
      <c r="I488" s="94"/>
      <c r="J488" s="93"/>
      <c r="K488" s="68"/>
      <c r="L488" s="68"/>
      <c r="N488" s="97" t="s">
        <v>1461</v>
      </c>
      <c r="O488" s="97"/>
      <c r="P488" s="97"/>
      <c r="Q488" s="1777" t="str">
        <f>CHOOSE(2, "6722000003407", "S/GP (1)-1 Gross Profit Direct HW KMI")</f>
        <v>S/GP (1)-1 Gross Profit Direct HW KMI</v>
      </c>
      <c r="R488" s="96">
        <f>SUM(R489:R490)</f>
        <v>11204</v>
      </c>
      <c r="S488" s="96">
        <f t="shared" ref="S488:AJ488" si="765">SUM(S489:S490)</f>
        <v>11626</v>
      </c>
      <c r="T488" s="96">
        <f t="shared" si="765"/>
        <v>15279</v>
      </c>
      <c r="U488" s="96">
        <f t="shared" si="765"/>
        <v>14908</v>
      </c>
      <c r="V488" s="96">
        <f t="shared" si="765"/>
        <v>13543.85455</v>
      </c>
      <c r="W488" s="96">
        <f t="shared" si="765"/>
        <v>15879</v>
      </c>
      <c r="X488" s="96">
        <f t="shared" si="765"/>
        <v>16572</v>
      </c>
      <c r="Y488" s="96">
        <f t="shared" si="765"/>
        <v>15084</v>
      </c>
      <c r="Z488" s="96">
        <f t="shared" si="765"/>
        <v>17324</v>
      </c>
      <c r="AA488" s="96">
        <f t="shared" si="765"/>
        <v>16194</v>
      </c>
      <c r="AB488" s="96">
        <f t="shared" si="765"/>
        <v>17670</v>
      </c>
      <c r="AC488" s="96">
        <f t="shared" si="765"/>
        <v>9166</v>
      </c>
      <c r="AD488" s="896">
        <f t="shared" si="765"/>
        <v>38109</v>
      </c>
      <c r="AE488" s="96">
        <f t="shared" si="765"/>
        <v>44330.854550000004</v>
      </c>
      <c r="AF488" s="96">
        <f t="shared" si="765"/>
        <v>48980</v>
      </c>
      <c r="AG488" s="96">
        <f t="shared" si="765"/>
        <v>43030</v>
      </c>
      <c r="AH488" s="96">
        <f t="shared" si="765"/>
        <v>82439.854550000004</v>
      </c>
      <c r="AI488" s="96">
        <f t="shared" si="765"/>
        <v>92010</v>
      </c>
      <c r="AJ488" s="96">
        <f t="shared" si="765"/>
        <v>174449.85454999999</v>
      </c>
      <c r="AL488" s="96">
        <f ca="1">SUM((INDIRECT(AL$2&amp;(ROW())):INDIRECT(AL$3&amp;(ROW()))))</f>
        <v>9166</v>
      </c>
      <c r="AM488" s="96">
        <f ca="1">SUM(INDIRECT(AM$1&amp;AM$2&amp;$C488):INDIRECT(AM$1&amp;AM$3&amp;$C488))</f>
        <v>61563.973453124992</v>
      </c>
      <c r="AN488" s="3227">
        <f t="shared" ca="1" si="717"/>
        <v>-52397.973453124992</v>
      </c>
      <c r="AO488" s="2878">
        <f t="shared" ca="1" si="718"/>
        <v>0.14888577663004521</v>
      </c>
      <c r="AP488" s="96">
        <f ca="1">SUM(INDIRECT(AP$1&amp;AP$2&amp;$A488):INDIRECT(AP$1&amp;AP$3&amp;$A488))</f>
        <v>0</v>
      </c>
      <c r="AQ488" s="3227">
        <f t="shared" ca="1" si="719"/>
        <v>9166</v>
      </c>
      <c r="AR488" s="2878">
        <f t="shared" ca="1" si="720"/>
        <v>0</v>
      </c>
      <c r="AT488" s="96">
        <f ca="1">SUM((INDIRECT(AT$2&amp;(ROW())):INDIRECT(AT$3&amp;(ROW()))))</f>
        <v>43030</v>
      </c>
      <c r="AU488" s="96">
        <f ca="1">SUM(INDIRECT(AU$1&amp;AU$2&amp;$C488):INDIRECT(AU$1&amp;AU$3&amp;$C488))</f>
        <v>177449.09995312497</v>
      </c>
      <c r="AV488" s="3227">
        <f t="shared" ca="1" si="721"/>
        <v>-134419.09995312497</v>
      </c>
      <c r="AW488" s="2878">
        <f t="shared" ca="1" si="722"/>
        <v>0.24249207243861379</v>
      </c>
      <c r="AX488" s="96">
        <f ca="1">SUM(INDIRECT(AX$1&amp;AX$2&amp;$A488):INDIRECT(AX$1&amp;AX$3&amp;$A488))</f>
        <v>0</v>
      </c>
      <c r="AY488" s="3227">
        <f t="shared" ca="1" si="723"/>
        <v>43030</v>
      </c>
      <c r="AZ488" s="2878">
        <f t="shared" ca="1" si="724"/>
        <v>0</v>
      </c>
      <c r="BB488" s="96">
        <f ca="1">SUM((INDIRECT(BB$2&amp;(ROW())):INDIRECT(BB$3&amp;(ROW()))))</f>
        <v>174449.85454999999</v>
      </c>
      <c r="BC488" s="96">
        <f ca="1">SUM(INDIRECT(BC$1&amp;BC$2&amp;$C488):INDIRECT(BC$1&amp;BC$3&amp;$C488))</f>
        <v>296955.63665624999</v>
      </c>
      <c r="BD488" s="3227">
        <f t="shared" ca="1" si="725"/>
        <v>-122505.78210625</v>
      </c>
      <c r="BE488" s="2878">
        <f t="shared" ca="1" si="726"/>
        <v>0.58746099758981751</v>
      </c>
      <c r="BF488" s="96">
        <f ca="1">SUM(INDIRECT(BF$1&amp;BF$2&amp;$A488):INDIRECT(BF$1&amp;BF$3&amp;$A488))</f>
        <v>0</v>
      </c>
      <c r="BG488" s="3227">
        <f t="shared" ca="1" si="727"/>
        <v>174449.85454999999</v>
      </c>
      <c r="BH488" s="2878">
        <f t="shared" ca="1" si="728"/>
        <v>0</v>
      </c>
    </row>
    <row r="489" spans="1:60" ht="14.5">
      <c r="A489" s="616">
        <f t="shared" si="746"/>
        <v>440</v>
      </c>
      <c r="B489" s="616">
        <v>1</v>
      </c>
      <c r="C489" s="616">
        <f t="shared" si="710"/>
        <v>486</v>
      </c>
      <c r="E489" s="2547">
        <v>1</v>
      </c>
      <c r="I489" s="94"/>
      <c r="J489" s="93"/>
      <c r="K489" s="68"/>
      <c r="L489" s="68"/>
      <c r="O489" s="97" t="s">
        <v>1462</v>
      </c>
      <c r="P489" s="97"/>
      <c r="Q489" s="1779" t="str">
        <f>CHOOSE(2, "6722000003408", "S/GP (1)-1 Gross Profit Direct HW KMI Office A3")</f>
        <v>S/GP (1)-1 Gross Profit Direct HW KMI Office A3</v>
      </c>
      <c r="R489" s="1227">
        <v>10816</v>
      </c>
      <c r="S489" s="1227">
        <v>11158</v>
      </c>
      <c r="T489" s="1227">
        <v>14444</v>
      </c>
      <c r="U489" s="1227">
        <v>14325</v>
      </c>
      <c r="V489" s="1227">
        <v>12966</v>
      </c>
      <c r="W489" s="1227">
        <v>15201</v>
      </c>
      <c r="X489" s="1227">
        <v>16082</v>
      </c>
      <c r="Y489" s="1227">
        <v>14537</v>
      </c>
      <c r="Z489" s="1227">
        <v>16469</v>
      </c>
      <c r="AA489" s="1227">
        <v>15625</v>
      </c>
      <c r="AB489" s="1227">
        <v>17010</v>
      </c>
      <c r="AC489" s="1227">
        <v>8457</v>
      </c>
      <c r="AD489" s="896">
        <f>SUM(R489,S489,T489)</f>
        <v>36418</v>
      </c>
      <c r="AE489" s="95">
        <f t="shared" ref="AE489:AE491" si="766">SUM(U489,V489,W489)</f>
        <v>42492</v>
      </c>
      <c r="AF489" s="95">
        <f t="shared" ref="AF489:AF491" si="767">SUM(X489,Y489,Z489)</f>
        <v>47088</v>
      </c>
      <c r="AG489" s="95">
        <f t="shared" ref="AG489:AG491" si="768">SUM(AA489,AB489,AC489)</f>
        <v>41092</v>
      </c>
      <c r="AH489" s="95">
        <f>AD489+AE489</f>
        <v>78910</v>
      </c>
      <c r="AI489" s="95">
        <f>AG489+AF489</f>
        <v>88180</v>
      </c>
      <c r="AJ489" s="95">
        <f>AH489+AI489</f>
        <v>167090</v>
      </c>
      <c r="AL489" s="95">
        <f ca="1">SUM((INDIRECT(AL$2&amp;(ROW())):INDIRECT(AL$3&amp;(ROW()))))</f>
        <v>8457</v>
      </c>
      <c r="AM489" s="95">
        <f ca="1">SUM(INDIRECT(AM$1&amp;AM$2&amp;$C489):INDIRECT(AM$1&amp;AM$3&amp;$C489))</f>
        <v>61563.973453124992</v>
      </c>
      <c r="AN489" s="3228">
        <f t="shared" ca="1" si="717"/>
        <v>-53106.973453124992</v>
      </c>
      <c r="AO489" s="2880">
        <f t="shared" ca="1" si="718"/>
        <v>0.1373693009993773</v>
      </c>
      <c r="AP489" s="95">
        <f ca="1">SUM(INDIRECT(AP$1&amp;AP$2&amp;$A489):INDIRECT(AP$1&amp;AP$3&amp;$A489))</f>
        <v>0</v>
      </c>
      <c r="AQ489" s="3228">
        <f t="shared" ca="1" si="719"/>
        <v>8457</v>
      </c>
      <c r="AR489" s="2880">
        <f t="shared" ca="1" si="720"/>
        <v>0</v>
      </c>
      <c r="AT489" s="95">
        <f ca="1">SUM((INDIRECT(AT$2&amp;(ROW())):INDIRECT(AT$3&amp;(ROW()))))</f>
        <v>41092</v>
      </c>
      <c r="AU489" s="95">
        <f ca="1">SUM(INDIRECT(AU$1&amp;AU$2&amp;$C489):INDIRECT(AU$1&amp;AU$3&amp;$C489))</f>
        <v>177449.09995312497</v>
      </c>
      <c r="AV489" s="3228">
        <f t="shared" ca="1" si="721"/>
        <v>-136357.09995312497</v>
      </c>
      <c r="AW489" s="2880">
        <f t="shared" ca="1" si="722"/>
        <v>0.23157063073779963</v>
      </c>
      <c r="AX489" s="95">
        <f ca="1">SUM(INDIRECT(AX$1&amp;AX$2&amp;$A489):INDIRECT(AX$1&amp;AX$3&amp;$A489))</f>
        <v>0</v>
      </c>
      <c r="AY489" s="3228">
        <f t="shared" ca="1" si="723"/>
        <v>41092</v>
      </c>
      <c r="AZ489" s="2880">
        <f t="shared" ca="1" si="724"/>
        <v>0</v>
      </c>
      <c r="BB489" s="95">
        <f ca="1">SUM((INDIRECT(BB$2&amp;(ROW())):INDIRECT(BB$3&amp;(ROW()))))</f>
        <v>167090</v>
      </c>
      <c r="BC489" s="95">
        <f ca="1">SUM(INDIRECT(BC$1&amp;BC$2&amp;$C489):INDIRECT(BC$1&amp;BC$3&amp;$C489))</f>
        <v>296955.63665624999</v>
      </c>
      <c r="BD489" s="3228">
        <f t="shared" ca="1" si="725"/>
        <v>-129865.63665624999</v>
      </c>
      <c r="BE489" s="2880">
        <f t="shared" ca="1" si="726"/>
        <v>0.56267664046202326</v>
      </c>
      <c r="BF489" s="95">
        <f ca="1">SUM(INDIRECT(BF$1&amp;BF$2&amp;$A489):INDIRECT(BF$1&amp;BF$3&amp;$A489))</f>
        <v>0</v>
      </c>
      <c r="BG489" s="3228">
        <f t="shared" ca="1" si="727"/>
        <v>167090</v>
      </c>
      <c r="BH489" s="2880">
        <f t="shared" ca="1" si="728"/>
        <v>0</v>
      </c>
    </row>
    <row r="490" spans="1:60" ht="14.5">
      <c r="A490" s="616">
        <f t="shared" si="746"/>
        <v>441</v>
      </c>
      <c r="B490" s="616">
        <v>1</v>
      </c>
      <c r="C490" s="616">
        <f t="shared" si="710"/>
        <v>487</v>
      </c>
      <c r="E490" s="2547">
        <v>1</v>
      </c>
      <c r="I490" s="94"/>
      <c r="J490" s="93"/>
      <c r="K490" s="68"/>
      <c r="L490" s="68"/>
      <c r="N490" s="285"/>
      <c r="O490" s="285" t="s">
        <v>1463</v>
      </c>
      <c r="P490" s="285"/>
      <c r="Q490" s="1779" t="str">
        <f>CHOOSE(2, "6722000003409", "S/GP (1)-1 Gross Profit Direct HW KMI Office A4")</f>
        <v>S/GP (1)-1 Gross Profit Direct HW KMI Office A4</v>
      </c>
      <c r="R490" s="1245">
        <v>388</v>
      </c>
      <c r="S490" s="1245">
        <v>468</v>
      </c>
      <c r="T490" s="1245">
        <v>835</v>
      </c>
      <c r="U490" s="1245">
        <v>583</v>
      </c>
      <c r="V490" s="1245">
        <v>577.85455000000002</v>
      </c>
      <c r="W490" s="1245">
        <v>678</v>
      </c>
      <c r="X490" s="1245">
        <v>490</v>
      </c>
      <c r="Y490" s="1245">
        <v>547</v>
      </c>
      <c r="Z490" s="1245">
        <v>855</v>
      </c>
      <c r="AA490" s="1245">
        <v>569</v>
      </c>
      <c r="AB490" s="1245">
        <v>660</v>
      </c>
      <c r="AC490" s="1245">
        <v>709</v>
      </c>
      <c r="AD490" s="895">
        <f>SUM(R490,S490,T490)</f>
        <v>1691</v>
      </c>
      <c r="AE490" s="1248">
        <f t="shared" si="766"/>
        <v>1838.85455</v>
      </c>
      <c r="AF490" s="1248">
        <f t="shared" si="767"/>
        <v>1892</v>
      </c>
      <c r="AG490" s="1248">
        <f t="shared" si="768"/>
        <v>1938</v>
      </c>
      <c r="AH490" s="1248">
        <f>AD490+AE490</f>
        <v>3529.85455</v>
      </c>
      <c r="AI490" s="1248">
        <f>AG490+AF490</f>
        <v>3830</v>
      </c>
      <c r="AJ490" s="1248">
        <f>AH490+AI490</f>
        <v>7359.85455</v>
      </c>
      <c r="AL490" s="1248">
        <f ca="1">SUM((INDIRECT(AL$2&amp;(ROW())):INDIRECT(AL$3&amp;(ROW()))))</f>
        <v>709</v>
      </c>
      <c r="AM490" s="1248">
        <f ca="1">SUM(INDIRECT(AM$1&amp;AM$2&amp;$C490):INDIRECT(AM$1&amp;AM$3&amp;$C490))</f>
        <v>0</v>
      </c>
      <c r="AN490" s="3229">
        <f t="shared" ca="1" si="717"/>
        <v>709</v>
      </c>
      <c r="AO490" s="2882">
        <f t="shared" ca="1" si="718"/>
        <v>0</v>
      </c>
      <c r="AP490" s="1248">
        <f ca="1">SUM(INDIRECT(AP$1&amp;AP$2&amp;$A490):INDIRECT(AP$1&amp;AP$3&amp;$A490))</f>
        <v>0</v>
      </c>
      <c r="AQ490" s="3229">
        <f t="shared" ca="1" si="719"/>
        <v>709</v>
      </c>
      <c r="AR490" s="2882">
        <f t="shared" ca="1" si="720"/>
        <v>0</v>
      </c>
      <c r="AT490" s="1248">
        <f ca="1">SUM((INDIRECT(AT$2&amp;(ROW())):INDIRECT(AT$3&amp;(ROW()))))</f>
        <v>1938</v>
      </c>
      <c r="AU490" s="1248">
        <f ca="1">SUM(INDIRECT(AU$1&amp;AU$2&amp;$C490):INDIRECT(AU$1&amp;AU$3&amp;$C490))</f>
        <v>0</v>
      </c>
      <c r="AV490" s="3229">
        <f t="shared" ca="1" si="721"/>
        <v>1938</v>
      </c>
      <c r="AW490" s="2882">
        <f t="shared" ca="1" si="722"/>
        <v>0</v>
      </c>
      <c r="AX490" s="1248">
        <f ca="1">SUM(INDIRECT(AX$1&amp;AX$2&amp;$A490):INDIRECT(AX$1&amp;AX$3&amp;$A490))</f>
        <v>0</v>
      </c>
      <c r="AY490" s="3229">
        <f t="shared" ca="1" si="723"/>
        <v>1938</v>
      </c>
      <c r="AZ490" s="2882">
        <f t="shared" ca="1" si="724"/>
        <v>0</v>
      </c>
      <c r="BB490" s="1248">
        <f ca="1">SUM((INDIRECT(BB$2&amp;(ROW())):INDIRECT(BB$3&amp;(ROW()))))</f>
        <v>7359.85455</v>
      </c>
      <c r="BC490" s="1248">
        <f ca="1">SUM(INDIRECT(BC$1&amp;BC$2&amp;$C490):INDIRECT(BC$1&amp;BC$3&amp;$C490))</f>
        <v>0</v>
      </c>
      <c r="BD490" s="3229">
        <f t="shared" ca="1" si="725"/>
        <v>7359.85455</v>
      </c>
      <c r="BE490" s="2882">
        <f t="shared" ca="1" si="726"/>
        <v>0</v>
      </c>
      <c r="BF490" s="1248">
        <f ca="1">SUM(INDIRECT(BF$1&amp;BF$2&amp;$A490):INDIRECT(BF$1&amp;BF$3&amp;$A490))</f>
        <v>0</v>
      </c>
      <c r="BG490" s="3229">
        <f t="shared" ca="1" si="727"/>
        <v>7359.85455</v>
      </c>
      <c r="BH490" s="2882">
        <f t="shared" ca="1" si="728"/>
        <v>0</v>
      </c>
    </row>
    <row r="491" spans="1:60" ht="14.5" collapsed="1">
      <c r="A491" s="616">
        <f t="shared" si="746"/>
        <v>442</v>
      </c>
      <c r="B491" s="616">
        <v>1</v>
      </c>
      <c r="C491" s="616">
        <f t="shared" si="710"/>
        <v>488</v>
      </c>
      <c r="E491" s="2547">
        <v>1</v>
      </c>
      <c r="I491" s="94"/>
      <c r="J491" s="93"/>
      <c r="K491" s="68"/>
      <c r="L491" s="68"/>
      <c r="M491" s="11"/>
      <c r="N491" s="288" t="s">
        <v>1464</v>
      </c>
      <c r="O491" s="288"/>
      <c r="P491" s="288"/>
      <c r="Q491" s="1779" t="str">
        <f>CHOOSE(2, "6722000003410", "S/GP (1)-1 Gross Profit Direct HW 3rd Party")</f>
        <v>S/GP (1)-1 Gross Profit Direct HW 3rd Party</v>
      </c>
      <c r="R491" s="1246">
        <v>0</v>
      </c>
      <c r="S491" s="1246">
        <v>0</v>
      </c>
      <c r="T491" s="1246">
        <v>0</v>
      </c>
      <c r="U491" s="1246">
        <v>0</v>
      </c>
      <c r="V491" s="1246">
        <v>0</v>
      </c>
      <c r="W491" s="1246">
        <v>0</v>
      </c>
      <c r="X491" s="1246">
        <v>0</v>
      </c>
      <c r="Y491" s="1246">
        <v>0</v>
      </c>
      <c r="Z491" s="1246">
        <v>0</v>
      </c>
      <c r="AA491" s="1246">
        <v>0</v>
      </c>
      <c r="AB491" s="1246">
        <v>0</v>
      </c>
      <c r="AC491" s="1246">
        <v>0</v>
      </c>
      <c r="AD491" s="897">
        <f>SUM(R491,S491,T491)</f>
        <v>0</v>
      </c>
      <c r="AE491" s="297">
        <f t="shared" si="766"/>
        <v>0</v>
      </c>
      <c r="AF491" s="297">
        <f t="shared" si="767"/>
        <v>0</v>
      </c>
      <c r="AG491" s="297">
        <f t="shared" si="768"/>
        <v>0</v>
      </c>
      <c r="AH491" s="297">
        <f>AD491+AE491</f>
        <v>0</v>
      </c>
      <c r="AI491" s="297">
        <f>AG491+AF491</f>
        <v>0</v>
      </c>
      <c r="AJ491" s="297">
        <f>AH491+AI491</f>
        <v>0</v>
      </c>
      <c r="AL491" s="297">
        <f ca="1">SUM((INDIRECT(AL$2&amp;(ROW())):INDIRECT(AL$3&amp;(ROW()))))</f>
        <v>0</v>
      </c>
      <c r="AM491" s="297">
        <f ca="1">SUM(INDIRECT(AM$1&amp;AM$2&amp;$C491):INDIRECT(AM$1&amp;AM$3&amp;$C491))</f>
        <v>0</v>
      </c>
      <c r="AN491" s="3230">
        <f t="shared" ca="1" si="717"/>
        <v>0</v>
      </c>
      <c r="AO491" s="2884">
        <f t="shared" ca="1" si="718"/>
        <v>0</v>
      </c>
      <c r="AP491" s="297">
        <f ca="1">SUM(INDIRECT(AP$1&amp;AP$2&amp;$A491):INDIRECT(AP$1&amp;AP$3&amp;$A491))</f>
        <v>0</v>
      </c>
      <c r="AQ491" s="3230">
        <f t="shared" ca="1" si="719"/>
        <v>0</v>
      </c>
      <c r="AR491" s="2884">
        <f t="shared" ca="1" si="720"/>
        <v>0</v>
      </c>
      <c r="AT491" s="297">
        <f ca="1">SUM((INDIRECT(AT$2&amp;(ROW())):INDIRECT(AT$3&amp;(ROW()))))</f>
        <v>0</v>
      </c>
      <c r="AU491" s="297">
        <f ca="1">SUM(INDIRECT(AU$1&amp;AU$2&amp;$C491):INDIRECT(AU$1&amp;AU$3&amp;$C491))</f>
        <v>0</v>
      </c>
      <c r="AV491" s="3230">
        <f t="shared" ca="1" si="721"/>
        <v>0</v>
      </c>
      <c r="AW491" s="2884">
        <f t="shared" ca="1" si="722"/>
        <v>0</v>
      </c>
      <c r="AX491" s="297">
        <f ca="1">SUM(INDIRECT(AX$1&amp;AX$2&amp;$A491):INDIRECT(AX$1&amp;AX$3&amp;$A491))</f>
        <v>0</v>
      </c>
      <c r="AY491" s="3230">
        <f t="shared" ca="1" si="723"/>
        <v>0</v>
      </c>
      <c r="AZ491" s="2884">
        <f t="shared" ca="1" si="724"/>
        <v>0</v>
      </c>
      <c r="BB491" s="297">
        <f ca="1">SUM((INDIRECT(BB$2&amp;(ROW())):INDIRECT(BB$3&amp;(ROW()))))</f>
        <v>0</v>
      </c>
      <c r="BC491" s="297">
        <f ca="1">SUM(INDIRECT(BC$1&amp;BC$2&amp;$C491):INDIRECT(BC$1&amp;BC$3&amp;$C491))</f>
        <v>0</v>
      </c>
      <c r="BD491" s="3230">
        <f t="shared" ca="1" si="725"/>
        <v>0</v>
      </c>
      <c r="BE491" s="2884">
        <f t="shared" ca="1" si="726"/>
        <v>0</v>
      </c>
      <c r="BF491" s="297">
        <f ca="1">SUM(INDIRECT(BF$1&amp;BF$2&amp;$A491):INDIRECT(BF$1&amp;BF$3&amp;$A491))</f>
        <v>0</v>
      </c>
      <c r="BG491" s="3230">
        <f t="shared" ca="1" si="727"/>
        <v>0</v>
      </c>
      <c r="BH491" s="2884">
        <f t="shared" ca="1" si="728"/>
        <v>0</v>
      </c>
    </row>
    <row r="492" spans="1:60" s="9" customFormat="1" ht="14.5">
      <c r="A492" s="616">
        <f t="shared" si="746"/>
        <v>443</v>
      </c>
      <c r="B492" s="616">
        <v>1</v>
      </c>
      <c r="C492" s="616">
        <f t="shared" si="710"/>
        <v>489</v>
      </c>
      <c r="E492" s="2547">
        <v>1</v>
      </c>
      <c r="H492" s="22"/>
      <c r="I492" s="94"/>
      <c r="J492" s="214"/>
      <c r="K492" s="68"/>
      <c r="L492" s="68"/>
      <c r="M492" s="8" t="s">
        <v>1405</v>
      </c>
      <c r="N492" s="284"/>
      <c r="O492" s="284"/>
      <c r="P492" s="284"/>
      <c r="Q492" s="1777" t="str">
        <f>CHOOSE(2, "6722000003411", "S/GP (1)-1 Gross Profit Direct NH")</f>
        <v>S/GP (1)-1 Gross Profit Direct NH</v>
      </c>
      <c r="R492" s="3103">
        <f>R493+R500+R501+R505+R508</f>
        <v>10801</v>
      </c>
      <c r="S492" s="3103">
        <f t="shared" ref="S492:AJ492" si="769">S493+S500+S501+S505+S508</f>
        <v>10597</v>
      </c>
      <c r="T492" s="3103">
        <f t="shared" si="769"/>
        <v>10388</v>
      </c>
      <c r="U492" s="3103">
        <f t="shared" si="769"/>
        <v>8752</v>
      </c>
      <c r="V492" s="3103">
        <f t="shared" si="769"/>
        <v>12285.21402788727</v>
      </c>
      <c r="W492" s="3103">
        <f t="shared" si="769"/>
        <v>9060</v>
      </c>
      <c r="X492" s="3103">
        <f t="shared" si="769"/>
        <v>6960</v>
      </c>
      <c r="Y492" s="3103">
        <f t="shared" si="769"/>
        <v>14951</v>
      </c>
      <c r="Z492" s="3103">
        <f t="shared" si="769"/>
        <v>11239</v>
      </c>
      <c r="AA492" s="3103">
        <f t="shared" si="769"/>
        <v>11516</v>
      </c>
      <c r="AB492" s="3103">
        <f t="shared" si="769"/>
        <v>10919</v>
      </c>
      <c r="AC492" s="3103">
        <f t="shared" si="769"/>
        <v>9764</v>
      </c>
      <c r="AD492" s="898">
        <f t="shared" si="769"/>
        <v>31786</v>
      </c>
      <c r="AE492" s="1249">
        <f t="shared" si="769"/>
        <v>30097.214027887268</v>
      </c>
      <c r="AF492" s="1249">
        <f t="shared" si="769"/>
        <v>33150</v>
      </c>
      <c r="AG492" s="1249">
        <f t="shared" si="769"/>
        <v>32199</v>
      </c>
      <c r="AH492" s="1249">
        <f t="shared" si="769"/>
        <v>61883.214027887276</v>
      </c>
      <c r="AI492" s="1249">
        <f t="shared" si="769"/>
        <v>65349</v>
      </c>
      <c r="AJ492" s="1249">
        <f t="shared" si="769"/>
        <v>127232.21402788725</v>
      </c>
      <c r="AL492" s="1249">
        <f ca="1">SUM((INDIRECT(AL$2&amp;(ROW())):INDIRECT(AL$3&amp;(ROW()))))</f>
        <v>9764</v>
      </c>
      <c r="AM492" s="1249">
        <f ca="1">SUM(INDIRECT(AM$1&amp;AM$2&amp;$C492):INDIRECT(AM$1&amp;AM$3&amp;$C492))</f>
        <v>0</v>
      </c>
      <c r="AN492" s="3231">
        <f t="shared" ca="1" si="717"/>
        <v>9764</v>
      </c>
      <c r="AO492" s="2886">
        <f t="shared" ca="1" si="718"/>
        <v>0</v>
      </c>
      <c r="AP492" s="1249">
        <f ca="1">SUM(INDIRECT(AP$1&amp;AP$2&amp;$A492):INDIRECT(AP$1&amp;AP$3&amp;$A492))</f>
        <v>0</v>
      </c>
      <c r="AQ492" s="3231">
        <f t="shared" ca="1" si="719"/>
        <v>9764</v>
      </c>
      <c r="AR492" s="2886">
        <f t="shared" ca="1" si="720"/>
        <v>0</v>
      </c>
      <c r="AT492" s="1249">
        <f ca="1">SUM((INDIRECT(AT$2&amp;(ROW())):INDIRECT(AT$3&amp;(ROW()))))</f>
        <v>32199</v>
      </c>
      <c r="AU492" s="1249">
        <f ca="1">SUM(INDIRECT(AU$1&amp;AU$2&amp;$C492):INDIRECT(AU$1&amp;AU$3&amp;$C492))</f>
        <v>0</v>
      </c>
      <c r="AV492" s="3231">
        <f t="shared" ca="1" si="721"/>
        <v>32199</v>
      </c>
      <c r="AW492" s="2886">
        <f t="shared" ca="1" si="722"/>
        <v>0</v>
      </c>
      <c r="AX492" s="1249">
        <f ca="1">SUM(INDIRECT(AX$1&amp;AX$2&amp;$A492):INDIRECT(AX$1&amp;AX$3&amp;$A492))</f>
        <v>0</v>
      </c>
      <c r="AY492" s="3231">
        <f t="shared" ca="1" si="723"/>
        <v>32199</v>
      </c>
      <c r="AZ492" s="2886">
        <f t="shared" ca="1" si="724"/>
        <v>0</v>
      </c>
      <c r="BB492" s="1249">
        <f ca="1">SUM((INDIRECT(BB$2&amp;(ROW())):INDIRECT(BB$3&amp;(ROW()))))</f>
        <v>127232.21402788727</v>
      </c>
      <c r="BC492" s="1249">
        <f ca="1">SUM(INDIRECT(BC$1&amp;BC$2&amp;$C492):INDIRECT(BC$1&amp;BC$3&amp;$C492))</f>
        <v>0</v>
      </c>
      <c r="BD492" s="3231">
        <f t="shared" ca="1" si="725"/>
        <v>127232.21402788727</v>
      </c>
      <c r="BE492" s="2886">
        <f t="shared" ca="1" si="726"/>
        <v>0</v>
      </c>
      <c r="BF492" s="1249">
        <f ca="1">SUM(INDIRECT(BF$1&amp;BF$2&amp;$A492):INDIRECT(BF$1&amp;BF$3&amp;$A492))</f>
        <v>0</v>
      </c>
      <c r="BG492" s="3231">
        <f t="shared" ca="1" si="727"/>
        <v>127232.21402788727</v>
      </c>
      <c r="BH492" s="2886">
        <f t="shared" ca="1" si="728"/>
        <v>0</v>
      </c>
    </row>
    <row r="493" spans="1:60" ht="14.5">
      <c r="A493" s="616">
        <f t="shared" si="746"/>
        <v>444</v>
      </c>
      <c r="B493" s="616">
        <v>1</v>
      </c>
      <c r="C493" s="616">
        <f t="shared" si="710"/>
        <v>490</v>
      </c>
      <c r="E493" s="2547">
        <v>1</v>
      </c>
      <c r="I493" s="94"/>
      <c r="J493" s="93"/>
      <c r="K493" s="68"/>
      <c r="L493" s="68"/>
      <c r="N493" s="97" t="s">
        <v>1461</v>
      </c>
      <c r="O493" s="97"/>
      <c r="P493" s="97"/>
      <c r="Q493" s="1777" t="str">
        <f>CHOOSE(2, "6722000003412", "S/GP (1)-1 Gross Profit Direct NH KMI")</f>
        <v>S/GP (1)-1 Gross Profit Direct NH KMI</v>
      </c>
      <c r="R493" s="96">
        <f>R494+R497</f>
        <v>18348</v>
      </c>
      <c r="S493" s="96">
        <f t="shared" ref="S493:AC493" si="770">S494+S497</f>
        <v>18418</v>
      </c>
      <c r="T493" s="96">
        <f t="shared" si="770"/>
        <v>18321</v>
      </c>
      <c r="U493" s="96">
        <f t="shared" si="770"/>
        <v>16494</v>
      </c>
      <c r="V493" s="96">
        <f t="shared" si="770"/>
        <v>19791.801501411399</v>
      </c>
      <c r="W493" s="96">
        <f t="shared" si="770"/>
        <v>16601</v>
      </c>
      <c r="X493" s="96">
        <f t="shared" si="770"/>
        <v>18648</v>
      </c>
      <c r="Y493" s="96">
        <f t="shared" si="770"/>
        <v>22296</v>
      </c>
      <c r="Z493" s="96">
        <f t="shared" si="770"/>
        <v>18964</v>
      </c>
      <c r="AA493" s="96">
        <f t="shared" si="770"/>
        <v>19424</v>
      </c>
      <c r="AB493" s="96">
        <f t="shared" si="770"/>
        <v>19061</v>
      </c>
      <c r="AC493" s="96">
        <f t="shared" si="770"/>
        <v>18604</v>
      </c>
      <c r="AD493" s="896">
        <f>AD494+AD497</f>
        <v>55087</v>
      </c>
      <c r="AE493" s="95">
        <f t="shared" ref="AE493:AJ493" si="771">AE494+AE497</f>
        <v>52886.801501411399</v>
      </c>
      <c r="AF493" s="95">
        <f t="shared" si="771"/>
        <v>59908</v>
      </c>
      <c r="AG493" s="95">
        <f t="shared" si="771"/>
        <v>57089</v>
      </c>
      <c r="AH493" s="95">
        <f t="shared" si="771"/>
        <v>107973.80150141141</v>
      </c>
      <c r="AI493" s="95">
        <f t="shared" si="771"/>
        <v>116997</v>
      </c>
      <c r="AJ493" s="95">
        <f t="shared" si="771"/>
        <v>224970.80150141139</v>
      </c>
      <c r="AL493" s="95">
        <f ca="1">SUM((INDIRECT(AL$2&amp;(ROW())):INDIRECT(AL$3&amp;(ROW()))))</f>
        <v>18604</v>
      </c>
      <c r="AM493" s="95">
        <f ca="1">SUM(INDIRECT(AM$1&amp;AM$2&amp;$C493):INDIRECT(AM$1&amp;AM$3&amp;$C493))</f>
        <v>0</v>
      </c>
      <c r="AN493" s="3228">
        <f t="shared" ca="1" si="717"/>
        <v>18604</v>
      </c>
      <c r="AO493" s="2880">
        <f t="shared" ca="1" si="718"/>
        <v>0</v>
      </c>
      <c r="AP493" s="95">
        <f ca="1">SUM(INDIRECT(AP$1&amp;AP$2&amp;$A493):INDIRECT(AP$1&amp;AP$3&amp;$A493))</f>
        <v>2004.748270848942</v>
      </c>
      <c r="AQ493" s="3228">
        <f t="shared" ca="1" si="719"/>
        <v>16599.251729151059</v>
      </c>
      <c r="AR493" s="2880">
        <f t="shared" ca="1" si="720"/>
        <v>9.2799680989982072</v>
      </c>
      <c r="AT493" s="95">
        <f ca="1">SUM((INDIRECT(AT$2&amp;(ROW())):INDIRECT(AT$3&amp;(ROW()))))</f>
        <v>57089</v>
      </c>
      <c r="AU493" s="95">
        <f ca="1">SUM(INDIRECT(AU$1&amp;AU$2&amp;$C493):INDIRECT(AU$1&amp;AU$3&amp;$C493))</f>
        <v>0</v>
      </c>
      <c r="AV493" s="3228">
        <f t="shared" ca="1" si="721"/>
        <v>57089</v>
      </c>
      <c r="AW493" s="2880">
        <f t="shared" ca="1" si="722"/>
        <v>0</v>
      </c>
      <c r="AX493" s="95">
        <f ca="1">SUM(INDIRECT(AX$1&amp;AX$2&amp;$A493):INDIRECT(AX$1&amp;AX$3&amp;$A493))</f>
        <v>5122.2584881111652</v>
      </c>
      <c r="AY493" s="3228">
        <f t="shared" ca="1" si="723"/>
        <v>51966.741511888831</v>
      </c>
      <c r="AZ493" s="2880">
        <f t="shared" ca="1" si="724"/>
        <v>11.14527900778619</v>
      </c>
      <c r="BB493" s="95">
        <f ca="1">SUM((INDIRECT(BB$2&amp;(ROW())):INDIRECT(BB$3&amp;(ROW()))))</f>
        <v>224970.80150141139</v>
      </c>
      <c r="BC493" s="95">
        <f ca="1">SUM(INDIRECT(BC$1&amp;BC$2&amp;$C493):INDIRECT(BC$1&amp;BC$3&amp;$C493))</f>
        <v>0</v>
      </c>
      <c r="BD493" s="3228">
        <f t="shared" ca="1" si="725"/>
        <v>224970.80150141139</v>
      </c>
      <c r="BE493" s="2880">
        <f t="shared" ca="1" si="726"/>
        <v>0</v>
      </c>
      <c r="BF493" s="95">
        <f ca="1">SUM(INDIRECT(BF$1&amp;BF$2&amp;$A493):INDIRECT(BF$1&amp;BF$3&amp;$A493))</f>
        <v>16236.039529031732</v>
      </c>
      <c r="BG493" s="3228">
        <f t="shared" ca="1" si="727"/>
        <v>208734.76197237967</v>
      </c>
      <c r="BH493" s="2880">
        <f t="shared" ca="1" si="728"/>
        <v>13.856261011137608</v>
      </c>
    </row>
    <row r="494" spans="1:60" ht="14.5">
      <c r="A494" s="616">
        <f t="shared" si="746"/>
        <v>445</v>
      </c>
      <c r="B494" s="616">
        <v>1</v>
      </c>
      <c r="C494" s="616">
        <f t="shared" si="710"/>
        <v>491</v>
      </c>
      <c r="E494" s="2547">
        <v>1</v>
      </c>
      <c r="I494" s="94"/>
      <c r="J494" s="93"/>
      <c r="K494" s="68"/>
      <c r="L494" s="68"/>
      <c r="O494" s="97" t="s">
        <v>1462</v>
      </c>
      <c r="P494" s="869"/>
      <c r="Q494" s="1777" t="str">
        <f>CHOOSE(2, "6722000003413", "S/GP (1)-1 Gross Profit Direct NH KMI Office A3")</f>
        <v>S/GP (1)-1 Gross Profit Direct NH KMI Office A3</v>
      </c>
      <c r="R494" s="58">
        <f>SUM(R495:R496)</f>
        <v>18056</v>
      </c>
      <c r="S494" s="58">
        <f t="shared" ref="S494:AC494" si="772">SUM(S495:S496)</f>
        <v>17989</v>
      </c>
      <c r="T494" s="58">
        <f t="shared" si="772"/>
        <v>17485</v>
      </c>
      <c r="U494" s="58">
        <f t="shared" si="772"/>
        <v>16179</v>
      </c>
      <c r="V494" s="58">
        <f t="shared" si="772"/>
        <v>19468.321401411398</v>
      </c>
      <c r="W494" s="58">
        <f t="shared" si="772"/>
        <v>16601</v>
      </c>
      <c r="X494" s="58">
        <f t="shared" si="772"/>
        <v>18460</v>
      </c>
      <c r="Y494" s="58">
        <f t="shared" si="772"/>
        <v>21938</v>
      </c>
      <c r="Z494" s="58">
        <f t="shared" si="772"/>
        <v>18375</v>
      </c>
      <c r="AA494" s="58">
        <f t="shared" si="772"/>
        <v>19424</v>
      </c>
      <c r="AB494" s="58">
        <f t="shared" si="772"/>
        <v>18616</v>
      </c>
      <c r="AC494" s="58">
        <f t="shared" si="772"/>
        <v>18294</v>
      </c>
      <c r="AD494" s="899">
        <f>SUM(AD495:AD496)</f>
        <v>53530</v>
      </c>
      <c r="AE494" s="1250">
        <f t="shared" ref="AE494:AJ494" si="773">SUM(AE495:AE496)</f>
        <v>52248.321401411398</v>
      </c>
      <c r="AF494" s="1250">
        <f t="shared" si="773"/>
        <v>58773</v>
      </c>
      <c r="AG494" s="1250">
        <f t="shared" si="773"/>
        <v>56334</v>
      </c>
      <c r="AH494" s="1250">
        <f t="shared" si="773"/>
        <v>105778.32140141141</v>
      </c>
      <c r="AI494" s="1250">
        <f t="shared" si="773"/>
        <v>115107</v>
      </c>
      <c r="AJ494" s="1250">
        <f t="shared" si="773"/>
        <v>220885.32140141141</v>
      </c>
      <c r="AL494" s="1250">
        <f ca="1">SUM((INDIRECT(AL$2&amp;(ROW())):INDIRECT(AL$3&amp;(ROW()))))</f>
        <v>18294</v>
      </c>
      <c r="AM494" s="1250">
        <f ca="1">SUM(INDIRECT(AM$1&amp;AM$2&amp;$C494):INDIRECT(AM$1&amp;AM$3&amp;$C494))</f>
        <v>0</v>
      </c>
      <c r="AN494" s="3232">
        <f t="shared" ca="1" si="717"/>
        <v>18294</v>
      </c>
      <c r="AO494" s="2888">
        <f t="shared" ca="1" si="718"/>
        <v>0</v>
      </c>
      <c r="AP494" s="1250">
        <f ca="1">SUM(INDIRECT(AP$1&amp;AP$2&amp;$A494):INDIRECT(AP$1&amp;AP$3&amp;$A494))</f>
        <v>2004.2123296093521</v>
      </c>
      <c r="AQ494" s="3232">
        <f t="shared" ca="1" si="719"/>
        <v>16289.787670390648</v>
      </c>
      <c r="AR494" s="2888">
        <f t="shared" ca="1" si="720"/>
        <v>9.1277754007060459</v>
      </c>
      <c r="AT494" s="1250">
        <f ca="1">SUM((INDIRECT(AT$2&amp;(ROW())):INDIRECT(AT$3&amp;(ROW()))))</f>
        <v>56334</v>
      </c>
      <c r="AU494" s="1250">
        <f ca="1">SUM(INDIRECT(AU$1&amp;AU$2&amp;$C494):INDIRECT(AU$1&amp;AU$3&amp;$C494))</f>
        <v>0</v>
      </c>
      <c r="AV494" s="3232">
        <f t="shared" ca="1" si="721"/>
        <v>56334</v>
      </c>
      <c r="AW494" s="2888">
        <f t="shared" ca="1" si="722"/>
        <v>0</v>
      </c>
      <c r="AX494" s="1250">
        <f ca="1">SUM(INDIRECT(AX$1&amp;AX$2&amp;$A494):INDIRECT(AX$1&amp;AX$3&amp;$A494))</f>
        <v>5120.1762026021324</v>
      </c>
      <c r="AY494" s="3232">
        <f t="shared" ca="1" si="723"/>
        <v>51213.823797397868</v>
      </c>
      <c r="AZ494" s="2888">
        <f t="shared" ca="1" si="724"/>
        <v>11.002355733650418</v>
      </c>
      <c r="BB494" s="1250">
        <f ca="1">SUM((INDIRECT(BB$2&amp;(ROW())):INDIRECT(BB$3&amp;(ROW()))))</f>
        <v>220885.32140141141</v>
      </c>
      <c r="BC494" s="1250">
        <f ca="1">SUM(INDIRECT(BC$1&amp;BC$2&amp;$C494):INDIRECT(BC$1&amp;BC$3&amp;$C494))</f>
        <v>0</v>
      </c>
      <c r="BD494" s="3232">
        <f t="shared" ca="1" si="725"/>
        <v>220885.32140141141</v>
      </c>
      <c r="BE494" s="2888">
        <f t="shared" ca="1" si="726"/>
        <v>0</v>
      </c>
      <c r="BF494" s="1250">
        <f ca="1">SUM(INDIRECT(BF$1&amp;BF$2&amp;$A494):INDIRECT(BF$1&amp;BF$3&amp;$A494))</f>
        <v>15098.157805002684</v>
      </c>
      <c r="BG494" s="3232">
        <f t="shared" ca="1" si="727"/>
        <v>205787.16359640873</v>
      </c>
      <c r="BH494" s="2888">
        <f t="shared" ca="1" si="728"/>
        <v>14.629951829502165</v>
      </c>
    </row>
    <row r="495" spans="1:60" ht="14.5">
      <c r="A495" s="616">
        <f t="shared" si="746"/>
        <v>446</v>
      </c>
      <c r="B495" s="616">
        <v>1</v>
      </c>
      <c r="C495" s="616">
        <f t="shared" si="710"/>
        <v>492</v>
      </c>
      <c r="E495" s="2547">
        <v>1</v>
      </c>
      <c r="I495" s="94"/>
      <c r="J495" s="93"/>
      <c r="K495" s="68"/>
      <c r="L495" s="68"/>
      <c r="P495" s="8" t="s">
        <v>1465</v>
      </c>
      <c r="Q495" s="1779" t="str">
        <f>CHOOSE(2, "6722000003414", "S/GP (1)-1 Gross Profit Direct NH KMI Office A3 Copy Click")</f>
        <v>S/GP (1)-1 Gross Profit Direct NH KMI Office A3 Copy Click</v>
      </c>
      <c r="R495" s="1217">
        <f>10509+7547</f>
        <v>18056</v>
      </c>
      <c r="S495" s="1217">
        <f>10167+7822</f>
        <v>17989</v>
      </c>
      <c r="T495" s="1217">
        <f>9552+7933</f>
        <v>17485</v>
      </c>
      <c r="U495" s="1217">
        <f>8437+7742</f>
        <v>16179</v>
      </c>
      <c r="V495" s="1217">
        <f>11961.3214014114+7507</f>
        <v>19468.321401411398</v>
      </c>
      <c r="W495" s="1217">
        <f>9060+7541</f>
        <v>16601</v>
      </c>
      <c r="X495" s="1217">
        <f>6772+11688</f>
        <v>18460</v>
      </c>
      <c r="Y495" s="1217">
        <f>14593+7345</f>
        <v>21938</v>
      </c>
      <c r="Z495" s="1217">
        <f>10650+7725</f>
        <v>18375</v>
      </c>
      <c r="AA495" s="1217">
        <f>11516+7908</f>
        <v>19424</v>
      </c>
      <c r="AB495" s="1217">
        <f>10474+8142</f>
        <v>18616</v>
      </c>
      <c r="AC495" s="1217">
        <f>9454+8840</f>
        <v>18294</v>
      </c>
      <c r="AD495" s="783">
        <f>SUM(R495,S495,T495)</f>
        <v>53530</v>
      </c>
      <c r="AE495" s="1226">
        <f t="shared" ref="AE495:AE496" si="774">SUM(U495,V495,W495)</f>
        <v>52248.321401411398</v>
      </c>
      <c r="AF495" s="1226">
        <f t="shared" ref="AF495:AF496" si="775">SUM(X495,Y495,Z495)</f>
        <v>58773</v>
      </c>
      <c r="AG495" s="1226">
        <f t="shared" ref="AG495:AG496" si="776">SUM(AA495,AB495,AC495)</f>
        <v>56334</v>
      </c>
      <c r="AH495" s="1226">
        <f>AD495+AE495</f>
        <v>105778.32140141141</v>
      </c>
      <c r="AI495" s="1226">
        <f>AG495+AF495</f>
        <v>115107</v>
      </c>
      <c r="AJ495" s="1226">
        <f>AH495+AI495</f>
        <v>220885.32140141141</v>
      </c>
      <c r="AL495" s="1226">
        <f ca="1">SUM((INDIRECT(AL$2&amp;(ROW())):INDIRECT(AL$3&amp;(ROW()))))</f>
        <v>18294</v>
      </c>
      <c r="AM495" s="1226">
        <f ca="1">SUM(INDIRECT(AM$1&amp;AM$2&amp;$C495):INDIRECT(AM$1&amp;AM$3&amp;$C495))</f>
        <v>0</v>
      </c>
      <c r="AN495" s="3233">
        <f t="shared" ca="1" si="717"/>
        <v>18294</v>
      </c>
      <c r="AO495" s="2890">
        <f t="shared" ca="1" si="718"/>
        <v>0</v>
      </c>
      <c r="AP495" s="1226">
        <f ca="1">SUM(INDIRECT(AP$1&amp;AP$2&amp;$A495):INDIRECT(AP$1&amp;AP$3&amp;$A495))</f>
        <v>0.53594123958987439</v>
      </c>
      <c r="AQ495" s="3233">
        <f t="shared" ca="1" si="719"/>
        <v>18293.464058760412</v>
      </c>
      <c r="AR495" s="2890">
        <f t="shared" ca="1" si="720"/>
        <v>34134.33908164889</v>
      </c>
      <c r="AT495" s="1226">
        <f ca="1">SUM((INDIRECT(AT$2&amp;(ROW())):INDIRECT(AT$3&amp;(ROW()))))</f>
        <v>56334</v>
      </c>
      <c r="AU495" s="1226">
        <f ca="1">SUM(INDIRECT(AU$1&amp;AU$2&amp;$C495):INDIRECT(AU$1&amp;AU$3&amp;$C495))</f>
        <v>0</v>
      </c>
      <c r="AV495" s="3233">
        <f t="shared" ca="1" si="721"/>
        <v>56334</v>
      </c>
      <c r="AW495" s="2890">
        <f t="shared" ca="1" si="722"/>
        <v>0</v>
      </c>
      <c r="AX495" s="1226">
        <f ca="1">SUM(INDIRECT(AX$1&amp;AX$2&amp;$A495):INDIRECT(AX$1&amp;AX$3&amp;$A495))</f>
        <v>2.0822855090332268</v>
      </c>
      <c r="AY495" s="3233">
        <f t="shared" ca="1" si="723"/>
        <v>56331.91771449097</v>
      </c>
      <c r="AZ495" s="2890">
        <f t="shared" ca="1" si="724"/>
        <v>27053.926925782147</v>
      </c>
      <c r="BB495" s="1226">
        <f ca="1">SUM((INDIRECT(BB$2&amp;(ROW())):INDIRECT(BB$3&amp;(ROW()))))</f>
        <v>220885.32140141141</v>
      </c>
      <c r="BC495" s="1226">
        <f ca="1">SUM(INDIRECT(BC$1&amp;BC$2&amp;$C495):INDIRECT(BC$1&amp;BC$3&amp;$C495))</f>
        <v>0</v>
      </c>
      <c r="BD495" s="3233">
        <f t="shared" ca="1" si="725"/>
        <v>220885.32140141141</v>
      </c>
      <c r="BE495" s="2890">
        <f t="shared" ca="1" si="726"/>
        <v>0</v>
      </c>
      <c r="BF495" s="1226">
        <f ca="1">SUM(INDIRECT(BF$1&amp;BF$2&amp;$A495):INDIRECT(BF$1&amp;BF$3&amp;$A495))</f>
        <v>1137.8817240290473</v>
      </c>
      <c r="BG495" s="3233">
        <f t="shared" ca="1" si="727"/>
        <v>219747.43967738235</v>
      </c>
      <c r="BH495" s="2890">
        <f t="shared" ca="1" si="728"/>
        <v>194.11975492434638</v>
      </c>
    </row>
    <row r="496" spans="1:60" ht="14.5">
      <c r="A496" s="616">
        <f t="shared" si="746"/>
        <v>447</v>
      </c>
      <c r="B496" s="616">
        <v>1</v>
      </c>
      <c r="C496" s="616">
        <f t="shared" si="710"/>
        <v>493</v>
      </c>
      <c r="E496" s="2547">
        <v>1</v>
      </c>
      <c r="I496" s="94"/>
      <c r="J496" s="93"/>
      <c r="K496" s="68"/>
      <c r="L496" s="68"/>
      <c r="P496" s="8" t="s">
        <v>1466</v>
      </c>
      <c r="Q496" s="1779" t="str">
        <f>CHOOSE(2, "6722000003415", "S/GP (1)-1 Gross Profit Direct NH KMI Office A3 NonContract")</f>
        <v>S/GP (1)-1 Gross Profit Direct NH KMI Office A3 NonContract</v>
      </c>
      <c r="R496" s="1217">
        <v>0</v>
      </c>
      <c r="S496" s="1217">
        <v>0</v>
      </c>
      <c r="T496" s="1217">
        <v>0</v>
      </c>
      <c r="U496" s="1217">
        <v>0</v>
      </c>
      <c r="V496" s="1217">
        <v>0</v>
      </c>
      <c r="W496" s="1217">
        <v>0</v>
      </c>
      <c r="X496" s="1217">
        <v>0</v>
      </c>
      <c r="Y496" s="1217">
        <v>0</v>
      </c>
      <c r="Z496" s="1217">
        <v>0</v>
      </c>
      <c r="AA496" s="1217">
        <v>0</v>
      </c>
      <c r="AB496" s="1217">
        <v>0</v>
      </c>
      <c r="AC496" s="1217">
        <v>0</v>
      </c>
      <c r="AD496" s="783">
        <f>SUM(R496,S496,T496)</f>
        <v>0</v>
      </c>
      <c r="AE496" s="1226">
        <f t="shared" si="774"/>
        <v>0</v>
      </c>
      <c r="AF496" s="1226">
        <f t="shared" si="775"/>
        <v>0</v>
      </c>
      <c r="AG496" s="1226">
        <f t="shared" si="776"/>
        <v>0</v>
      </c>
      <c r="AH496" s="1226">
        <f>AD496+AE496</f>
        <v>0</v>
      </c>
      <c r="AI496" s="1226">
        <f>AG496+AF496</f>
        <v>0</v>
      </c>
      <c r="AJ496" s="1226">
        <f>AH496+AI496</f>
        <v>0</v>
      </c>
      <c r="AL496" s="1226">
        <f ca="1">SUM((INDIRECT(AL$2&amp;(ROW())):INDIRECT(AL$3&amp;(ROW()))))</f>
        <v>0</v>
      </c>
      <c r="AM496" s="1226">
        <f ca="1">SUM(INDIRECT(AM$1&amp;AM$2&amp;$C496):INDIRECT(AM$1&amp;AM$3&amp;$C496))</f>
        <v>66976.18102130531</v>
      </c>
      <c r="AN496" s="3233">
        <f t="shared" ca="1" si="717"/>
        <v>-66976.18102130531</v>
      </c>
      <c r="AO496" s="2890">
        <f t="shared" ca="1" si="718"/>
        <v>0</v>
      </c>
      <c r="AP496" s="1226">
        <f ca="1">SUM(INDIRECT(AP$1&amp;AP$2&amp;$A496):INDIRECT(AP$1&amp;AP$3&amp;$A496))</f>
        <v>1.0492897791402072E-5</v>
      </c>
      <c r="AQ496" s="3233">
        <f t="shared" ca="1" si="719"/>
        <v>-1.0492897791402072E-5</v>
      </c>
      <c r="AR496" s="2890">
        <f t="shared" ca="1" si="720"/>
        <v>0</v>
      </c>
      <c r="AT496" s="1226">
        <f ca="1">SUM((INDIRECT(AT$2&amp;(ROW())):INDIRECT(AT$3&amp;(ROW()))))</f>
        <v>0</v>
      </c>
      <c r="AU496" s="1226">
        <f ca="1">SUM(INDIRECT(AU$1&amp;AU$2&amp;$C496):INDIRECT(AU$1&amp;AU$3&amp;$C496))</f>
        <v>194242.11848511291</v>
      </c>
      <c r="AV496" s="3233">
        <f t="shared" ca="1" si="721"/>
        <v>-194242.11848511291</v>
      </c>
      <c r="AW496" s="2890">
        <f t="shared" ca="1" si="722"/>
        <v>0</v>
      </c>
      <c r="AX496" s="1226">
        <f ca="1">SUM(INDIRECT(AX$1&amp;AX$2&amp;$A496):INDIRECT(AX$1&amp;AX$3&amp;$A496))</f>
        <v>2.2153140636493166E-5</v>
      </c>
      <c r="AY496" s="3233">
        <f t="shared" ca="1" si="723"/>
        <v>-2.2153140636493166E-5</v>
      </c>
      <c r="AZ496" s="2890">
        <f t="shared" ca="1" si="724"/>
        <v>0</v>
      </c>
      <c r="BB496" s="1226">
        <f ca="1">SUM((INDIRECT(BB$2&amp;(ROW())):INDIRECT(BB$3&amp;(ROW()))))</f>
        <v>0</v>
      </c>
      <c r="BC496" s="1226">
        <f ca="1">SUM(INDIRECT(BC$1&amp;BC$2&amp;$C496):INDIRECT(BC$1&amp;BC$3&amp;$C496))</f>
        <v>327023.06932479347</v>
      </c>
      <c r="BD496" s="3233">
        <f t="shared" ca="1" si="725"/>
        <v>-327023.06932479347</v>
      </c>
      <c r="BE496" s="2890">
        <f t="shared" ca="1" si="726"/>
        <v>0</v>
      </c>
      <c r="BF496" s="1226">
        <f ca="1">SUM(INDIRECT(BF$1&amp;BF$2&amp;$A496):INDIRECT(BF$1&amp;BF$3&amp;$A496))</f>
        <v>9.7109580123839502E-3</v>
      </c>
      <c r="BG496" s="3233">
        <f t="shared" ca="1" si="727"/>
        <v>-9.7109580123839502E-3</v>
      </c>
      <c r="BH496" s="2890">
        <f t="shared" ca="1" si="728"/>
        <v>0</v>
      </c>
    </row>
    <row r="497" spans="1:60" ht="14.5">
      <c r="A497" s="616">
        <f t="shared" si="746"/>
        <v>448</v>
      </c>
      <c r="B497" s="616">
        <v>1</v>
      </c>
      <c r="C497" s="616">
        <f t="shared" si="710"/>
        <v>494</v>
      </c>
      <c r="E497" s="2547">
        <v>1</v>
      </c>
      <c r="I497" s="94"/>
      <c r="J497" s="93"/>
      <c r="K497" s="68"/>
      <c r="L497" s="68"/>
      <c r="O497" s="97" t="s">
        <v>1463</v>
      </c>
      <c r="P497" s="869"/>
      <c r="Q497" s="1777" t="str">
        <f>CHOOSE(2, "6722000003416", "S/GP (1)-1 Gross Profit Direct NH KMI Office A4")</f>
        <v>S/GP (1)-1 Gross Profit Direct NH KMI Office A4</v>
      </c>
      <c r="R497" s="58">
        <f>SUM(R498:R499)</f>
        <v>292</v>
      </c>
      <c r="S497" s="58">
        <f t="shared" ref="S497:AC497" si="777">SUM(S498:S499)</f>
        <v>429</v>
      </c>
      <c r="T497" s="58">
        <f t="shared" si="777"/>
        <v>836</v>
      </c>
      <c r="U497" s="58">
        <f t="shared" si="777"/>
        <v>315</v>
      </c>
      <c r="V497" s="58">
        <f t="shared" si="777"/>
        <v>323.48009999999999</v>
      </c>
      <c r="W497" s="58">
        <f t="shared" si="777"/>
        <v>0</v>
      </c>
      <c r="X497" s="58">
        <f t="shared" si="777"/>
        <v>188</v>
      </c>
      <c r="Y497" s="58">
        <f t="shared" si="777"/>
        <v>358</v>
      </c>
      <c r="Z497" s="58">
        <f t="shared" si="777"/>
        <v>589</v>
      </c>
      <c r="AA497" s="58">
        <f t="shared" si="777"/>
        <v>0</v>
      </c>
      <c r="AB497" s="58">
        <f t="shared" si="777"/>
        <v>445</v>
      </c>
      <c r="AC497" s="58">
        <f t="shared" si="777"/>
        <v>310</v>
      </c>
      <c r="AD497" s="899">
        <f>SUM(AD498:AD499)</f>
        <v>1557</v>
      </c>
      <c r="AE497" s="1250">
        <f t="shared" ref="AE497:AJ497" si="778">SUM(AE498:AE499)</f>
        <v>638.48009999999999</v>
      </c>
      <c r="AF497" s="1250">
        <f t="shared" si="778"/>
        <v>1135</v>
      </c>
      <c r="AG497" s="1250">
        <f t="shared" si="778"/>
        <v>755</v>
      </c>
      <c r="AH497" s="1250">
        <f t="shared" si="778"/>
        <v>2195.4800999999998</v>
      </c>
      <c r="AI497" s="1250">
        <f t="shared" si="778"/>
        <v>1890</v>
      </c>
      <c r="AJ497" s="1250">
        <f t="shared" si="778"/>
        <v>4085.4800999999998</v>
      </c>
      <c r="AL497" s="1250">
        <f ca="1">SUM((INDIRECT(AL$2&amp;(ROW())):INDIRECT(AL$3&amp;(ROW()))))</f>
        <v>310</v>
      </c>
      <c r="AM497" s="1250">
        <f ca="1">SUM(INDIRECT(AM$1&amp;AM$2&amp;$C497):INDIRECT(AM$1&amp;AM$3&amp;$C497))</f>
        <v>21999.505199606487</v>
      </c>
      <c r="AN497" s="3232">
        <f t="shared" ca="1" si="717"/>
        <v>-21689.505199606487</v>
      </c>
      <c r="AO497" s="2888">
        <f t="shared" ca="1" si="718"/>
        <v>1.4091226015644437E-2</v>
      </c>
      <c r="AP497" s="1250">
        <f ca="1">SUM(INDIRECT(AP$1&amp;AP$2&amp;$A497):INDIRECT(AP$1&amp;AP$3&amp;$A497))</f>
        <v>0</v>
      </c>
      <c r="AQ497" s="3232">
        <f t="shared" ca="1" si="719"/>
        <v>310</v>
      </c>
      <c r="AR497" s="2888">
        <f t="shared" ca="1" si="720"/>
        <v>0</v>
      </c>
      <c r="AT497" s="1250">
        <f ca="1">SUM((INDIRECT(AT$2&amp;(ROW())):INDIRECT(AT$3&amp;(ROW()))))</f>
        <v>755</v>
      </c>
      <c r="AU497" s="1250">
        <f ca="1">SUM(INDIRECT(AU$1&amp;AU$2&amp;$C497):INDIRECT(AU$1&amp;AU$3&amp;$C497))</f>
        <v>64923.515633138806</v>
      </c>
      <c r="AV497" s="3232">
        <f t="shared" ca="1" si="721"/>
        <v>-64168.515633138806</v>
      </c>
      <c r="AW497" s="2888">
        <f t="shared" ca="1" si="722"/>
        <v>1.1629068337368757E-2</v>
      </c>
      <c r="AX497" s="1250">
        <f ca="1">SUM(INDIRECT(AX$1&amp;AX$2&amp;$A497):INDIRECT(AX$1&amp;AX$3&amp;$A497))</f>
        <v>0</v>
      </c>
      <c r="AY497" s="3232">
        <f t="shared" ca="1" si="723"/>
        <v>755</v>
      </c>
      <c r="AZ497" s="2888">
        <f t="shared" ca="1" si="724"/>
        <v>0</v>
      </c>
      <c r="BB497" s="1250">
        <f ca="1">SUM((INDIRECT(BB$2&amp;(ROW())):INDIRECT(BB$3&amp;(ROW()))))</f>
        <v>4085.4800999999998</v>
      </c>
      <c r="BC497" s="1250">
        <f ca="1">SUM(INDIRECT(BC$1&amp;BC$2&amp;$C497):INDIRECT(BC$1&amp;BC$3&amp;$C497))</f>
        <v>111659.19020132856</v>
      </c>
      <c r="BD497" s="3232">
        <f t="shared" ca="1" si="725"/>
        <v>-107573.71010132856</v>
      </c>
      <c r="BE497" s="2888">
        <f t="shared" ca="1" si="726"/>
        <v>3.6588838703143216E-2</v>
      </c>
      <c r="BF497" s="1250">
        <f ca="1">SUM(INDIRECT(BF$1&amp;BF$2&amp;$A497):INDIRECT(BF$1&amp;BF$3&amp;$A497))</f>
        <v>0</v>
      </c>
      <c r="BG497" s="3232">
        <f t="shared" ca="1" si="727"/>
        <v>4085.4800999999998</v>
      </c>
      <c r="BH497" s="2888">
        <f t="shared" ca="1" si="728"/>
        <v>0</v>
      </c>
    </row>
    <row r="498" spans="1:60" ht="14.5">
      <c r="A498" s="616">
        <f t="shared" si="746"/>
        <v>449</v>
      </c>
      <c r="B498" s="616">
        <v>1</v>
      </c>
      <c r="C498" s="616">
        <f t="shared" si="710"/>
        <v>495</v>
      </c>
      <c r="E498" s="2547">
        <v>1</v>
      </c>
      <c r="I498" s="94"/>
      <c r="J498" s="93"/>
      <c r="K498" s="68"/>
      <c r="L498" s="68"/>
      <c r="P498" s="8" t="s">
        <v>1465</v>
      </c>
      <c r="Q498" s="1779" t="str">
        <f>CHOOSE(2, "6722000003417", "S/GP (1)-1 Gross Profit Direct NH KMI Office A4 Copy Click")</f>
        <v>S/GP (1)-1 Gross Profit Direct NH KMI Office A4 Copy Click</v>
      </c>
      <c r="R498" s="1217">
        <v>292</v>
      </c>
      <c r="S498" s="1217">
        <v>429</v>
      </c>
      <c r="T498" s="1217">
        <v>836</v>
      </c>
      <c r="U498" s="1217">
        <v>315</v>
      </c>
      <c r="V498" s="1217">
        <v>323.48009999999999</v>
      </c>
      <c r="W498" s="1217">
        <v>0</v>
      </c>
      <c r="X498" s="1217">
        <v>188</v>
      </c>
      <c r="Y498" s="1217">
        <v>358</v>
      </c>
      <c r="Z498" s="1217">
        <v>589</v>
      </c>
      <c r="AA498" s="1217">
        <v>0</v>
      </c>
      <c r="AB498" s="1217">
        <v>445</v>
      </c>
      <c r="AC498" s="1217">
        <v>310</v>
      </c>
      <c r="AD498" s="783">
        <f>SUM(R498,S498,T498)</f>
        <v>1557</v>
      </c>
      <c r="AE498" s="1226">
        <f t="shared" ref="AE498:AE500" si="779">SUM(U498,V498,W498)</f>
        <v>638.48009999999999</v>
      </c>
      <c r="AF498" s="1226">
        <f t="shared" ref="AF498:AF500" si="780">SUM(X498,Y498,Z498)</f>
        <v>1135</v>
      </c>
      <c r="AG498" s="1226">
        <f t="shared" ref="AG498:AG500" si="781">SUM(AA498,AB498,AC498)</f>
        <v>755</v>
      </c>
      <c r="AH498" s="1226">
        <f>AD498+AE498</f>
        <v>2195.4800999999998</v>
      </c>
      <c r="AI498" s="1226">
        <f>AG498+AF498</f>
        <v>1890</v>
      </c>
      <c r="AJ498" s="1226">
        <f>AH498+AI498</f>
        <v>4085.4800999999998</v>
      </c>
      <c r="AL498" s="1226">
        <f ca="1">SUM((INDIRECT(AL$2&amp;(ROW())):INDIRECT(AL$3&amp;(ROW()))))</f>
        <v>310</v>
      </c>
      <c r="AM498" s="1226">
        <f ca="1">SUM(INDIRECT(AM$1&amp;AM$2&amp;$C498):INDIRECT(AM$1&amp;AM$3&amp;$C498))</f>
        <v>11815.713427455687</v>
      </c>
      <c r="AN498" s="3233">
        <f t="shared" ca="1" si="717"/>
        <v>-11505.713427455687</v>
      </c>
      <c r="AO498" s="2890">
        <f t="shared" ca="1" si="718"/>
        <v>2.6236249034245006E-2</v>
      </c>
      <c r="AP498" s="1226">
        <f ca="1">SUM(INDIRECT(AP$1&amp;AP$2&amp;$A498):INDIRECT(AP$1&amp;AP$3&amp;$A498))</f>
        <v>0</v>
      </c>
      <c r="AQ498" s="3233">
        <f t="shared" ca="1" si="719"/>
        <v>310</v>
      </c>
      <c r="AR498" s="2890">
        <f t="shared" ca="1" si="720"/>
        <v>0</v>
      </c>
      <c r="AT498" s="1226">
        <f ca="1">SUM((INDIRECT(AT$2&amp;(ROW())):INDIRECT(AT$3&amp;(ROW()))))</f>
        <v>755</v>
      </c>
      <c r="AU498" s="1226">
        <f ca="1">SUM(INDIRECT(AU$1&amp;AU$2&amp;$C498):INDIRECT(AU$1&amp;AU$3&amp;$C498))</f>
        <v>34990.331437161818</v>
      </c>
      <c r="AV498" s="3233">
        <f t="shared" ca="1" si="721"/>
        <v>-34235.331437161818</v>
      </c>
      <c r="AW498" s="2890">
        <f t="shared" ca="1" si="722"/>
        <v>2.1577389209813114E-2</v>
      </c>
      <c r="AX498" s="1226">
        <f ca="1">SUM(INDIRECT(AX$1&amp;AX$2&amp;$A498):INDIRECT(AX$1&amp;AX$3&amp;$A498))</f>
        <v>0</v>
      </c>
      <c r="AY498" s="3233">
        <f t="shared" ca="1" si="723"/>
        <v>755</v>
      </c>
      <c r="AZ498" s="2890">
        <f t="shared" ca="1" si="724"/>
        <v>0</v>
      </c>
      <c r="BB498" s="1226">
        <f ca="1">SUM((INDIRECT(BB$2&amp;(ROW())):INDIRECT(BB$3&amp;(ROW()))))</f>
        <v>4085.4800999999998</v>
      </c>
      <c r="BC498" s="1226">
        <f ca="1">SUM(INDIRECT(BC$1&amp;BC$2&amp;$C498):INDIRECT(BC$1&amp;BC$3&amp;$C498))</f>
        <v>59359.133112840485</v>
      </c>
      <c r="BD498" s="3233">
        <f t="shared" ca="1" si="725"/>
        <v>-55273.653012840485</v>
      </c>
      <c r="BE498" s="2890">
        <f t="shared" ca="1" si="726"/>
        <v>6.8826478517359513E-2</v>
      </c>
      <c r="BF498" s="1226">
        <f ca="1">SUM(INDIRECT(BF$1&amp;BF$2&amp;$A498):INDIRECT(BF$1&amp;BF$3&amp;$A498))</f>
        <v>0</v>
      </c>
      <c r="BG498" s="3233">
        <f t="shared" ca="1" si="727"/>
        <v>4085.4800999999998</v>
      </c>
      <c r="BH498" s="2890">
        <f t="shared" ca="1" si="728"/>
        <v>0</v>
      </c>
    </row>
    <row r="499" spans="1:60" ht="14.5">
      <c r="A499" s="616">
        <f t="shared" si="746"/>
        <v>450</v>
      </c>
      <c r="B499" s="616">
        <v>1</v>
      </c>
      <c r="C499" s="616">
        <f t="shared" si="710"/>
        <v>496</v>
      </c>
      <c r="E499" s="2547">
        <v>1</v>
      </c>
      <c r="I499" s="94"/>
      <c r="J499" s="93"/>
      <c r="K499" s="68"/>
      <c r="L499" s="68"/>
      <c r="N499" s="285"/>
      <c r="O499" s="285"/>
      <c r="P499" s="285" t="s">
        <v>1466</v>
      </c>
      <c r="Q499" s="1779" t="str">
        <f>CHOOSE(2, "6722000003418", "S/GP (1)-1 Gross Profit Direct NH KMI Office A4 NonContract")</f>
        <v>S/GP (1)-1 Gross Profit Direct NH KMI Office A4 NonContract</v>
      </c>
      <c r="R499" s="1245">
        <v>0</v>
      </c>
      <c r="S499" s="1245">
        <v>0</v>
      </c>
      <c r="T499" s="1245">
        <v>0</v>
      </c>
      <c r="U499" s="1245">
        <v>0</v>
      </c>
      <c r="V499" s="1245">
        <v>0</v>
      </c>
      <c r="W499" s="1245">
        <v>0</v>
      </c>
      <c r="X499" s="1245">
        <v>0</v>
      </c>
      <c r="Y499" s="1245">
        <v>0</v>
      </c>
      <c r="Z499" s="1245">
        <v>0</v>
      </c>
      <c r="AA499" s="1245">
        <v>0</v>
      </c>
      <c r="AB499" s="1245">
        <v>0</v>
      </c>
      <c r="AC499" s="1245">
        <v>0</v>
      </c>
      <c r="AD499" s="895">
        <f>SUM(R499,S499,T499)</f>
        <v>0</v>
      </c>
      <c r="AE499" s="1248">
        <f t="shared" si="779"/>
        <v>0</v>
      </c>
      <c r="AF499" s="1248">
        <f t="shared" si="780"/>
        <v>0</v>
      </c>
      <c r="AG499" s="1248">
        <f t="shared" si="781"/>
        <v>0</v>
      </c>
      <c r="AH499" s="1248">
        <f>AD499+AE499</f>
        <v>0</v>
      </c>
      <c r="AI499" s="1248">
        <f>AG499+AF499</f>
        <v>0</v>
      </c>
      <c r="AJ499" s="1248">
        <f>AH499+AI499</f>
        <v>0</v>
      </c>
      <c r="AL499" s="1248">
        <f ca="1">SUM((INDIRECT(AL$2&amp;(ROW())):INDIRECT(AL$3&amp;(ROW()))))</f>
        <v>0</v>
      </c>
      <c r="AM499" s="1248">
        <f ca="1">SUM(INDIRECT(AM$1&amp;AM$2&amp;$C499):INDIRECT(AM$1&amp;AM$3&amp;$C499))</f>
        <v>11815.713427455687</v>
      </c>
      <c r="AN499" s="3229">
        <f t="shared" ca="1" si="717"/>
        <v>-11815.713427455687</v>
      </c>
      <c r="AO499" s="2882">
        <f t="shared" ca="1" si="718"/>
        <v>0</v>
      </c>
      <c r="AP499" s="1248">
        <f ca="1">SUM(INDIRECT(AP$1&amp;AP$2&amp;$A499):INDIRECT(AP$1&amp;AP$3&amp;$A499))</f>
        <v>0</v>
      </c>
      <c r="AQ499" s="3229">
        <f t="shared" ca="1" si="719"/>
        <v>0</v>
      </c>
      <c r="AR499" s="2882">
        <f t="shared" ca="1" si="720"/>
        <v>0</v>
      </c>
      <c r="AT499" s="1248">
        <f ca="1">SUM((INDIRECT(AT$2&amp;(ROW())):INDIRECT(AT$3&amp;(ROW()))))</f>
        <v>0</v>
      </c>
      <c r="AU499" s="1248">
        <f ca="1">SUM(INDIRECT(AU$1&amp;AU$2&amp;$C499):INDIRECT(AU$1&amp;AU$3&amp;$C499))</f>
        <v>34990.331437161818</v>
      </c>
      <c r="AV499" s="3229">
        <f t="shared" ca="1" si="721"/>
        <v>-34990.331437161818</v>
      </c>
      <c r="AW499" s="2882">
        <f t="shared" ca="1" si="722"/>
        <v>0</v>
      </c>
      <c r="AX499" s="1248">
        <f ca="1">SUM(INDIRECT(AX$1&amp;AX$2&amp;$A499):INDIRECT(AX$1&amp;AX$3&amp;$A499))</f>
        <v>0</v>
      </c>
      <c r="AY499" s="3229">
        <f t="shared" ca="1" si="723"/>
        <v>0</v>
      </c>
      <c r="AZ499" s="2882">
        <f t="shared" ca="1" si="724"/>
        <v>0</v>
      </c>
      <c r="BB499" s="1248">
        <f ca="1">SUM((INDIRECT(BB$2&amp;(ROW())):INDIRECT(BB$3&amp;(ROW()))))</f>
        <v>0</v>
      </c>
      <c r="BC499" s="1248">
        <f ca="1">SUM(INDIRECT(BC$1&amp;BC$2&amp;$C499):INDIRECT(BC$1&amp;BC$3&amp;$C499))</f>
        <v>59359.133112840485</v>
      </c>
      <c r="BD499" s="3229">
        <f t="shared" ca="1" si="725"/>
        <v>-59359.133112840485</v>
      </c>
      <c r="BE499" s="2882">
        <f t="shared" ca="1" si="726"/>
        <v>0</v>
      </c>
      <c r="BF499" s="1248">
        <f ca="1">SUM(INDIRECT(BF$1&amp;BF$2&amp;$A499):INDIRECT(BF$1&amp;BF$3&amp;$A499))</f>
        <v>0</v>
      </c>
      <c r="BG499" s="3229">
        <f t="shared" ca="1" si="727"/>
        <v>0</v>
      </c>
      <c r="BH499" s="2882">
        <f t="shared" ca="1" si="728"/>
        <v>0</v>
      </c>
    </row>
    <row r="500" spans="1:60" ht="14.5" collapsed="1">
      <c r="A500" s="616">
        <f t="shared" si="746"/>
        <v>451</v>
      </c>
      <c r="B500" s="616">
        <v>1</v>
      </c>
      <c r="C500" s="616">
        <f t="shared" si="710"/>
        <v>497</v>
      </c>
      <c r="E500" s="2547">
        <v>1</v>
      </c>
      <c r="I500" s="94"/>
      <c r="J500" s="93"/>
      <c r="K500" s="68"/>
      <c r="L500" s="68"/>
      <c r="N500" s="288" t="s">
        <v>1464</v>
      </c>
      <c r="O500" s="288"/>
      <c r="P500" s="288"/>
      <c r="Q500" s="1779" t="str">
        <f>CHOOSE(2, "6722000003419", "S/GP (1)-1 Gross Profit Direct NH 3rd Party")</f>
        <v>S/GP (1)-1 Gross Profit Direct NH 3rd Party</v>
      </c>
      <c r="R500" s="1246">
        <v>0</v>
      </c>
      <c r="S500" s="1246">
        <v>0</v>
      </c>
      <c r="T500" s="1246">
        <v>0</v>
      </c>
      <c r="U500" s="1246">
        <v>0</v>
      </c>
      <c r="V500" s="1246">
        <v>0</v>
      </c>
      <c r="W500" s="1246">
        <v>0</v>
      </c>
      <c r="X500" s="1246">
        <v>0</v>
      </c>
      <c r="Y500" s="1246">
        <v>0</v>
      </c>
      <c r="Z500" s="1246">
        <v>0</v>
      </c>
      <c r="AA500" s="1246">
        <v>0</v>
      </c>
      <c r="AB500" s="1246">
        <v>0</v>
      </c>
      <c r="AC500" s="1246">
        <v>0</v>
      </c>
      <c r="AD500" s="897">
        <f>SUM(R500,S500,T500)</f>
        <v>0</v>
      </c>
      <c r="AE500" s="297">
        <f t="shared" si="779"/>
        <v>0</v>
      </c>
      <c r="AF500" s="297">
        <f t="shared" si="780"/>
        <v>0</v>
      </c>
      <c r="AG500" s="297">
        <f t="shared" si="781"/>
        <v>0</v>
      </c>
      <c r="AH500" s="297">
        <f>AD500+AE500</f>
        <v>0</v>
      </c>
      <c r="AI500" s="297">
        <f>AG500+AF500</f>
        <v>0</v>
      </c>
      <c r="AJ500" s="297">
        <f>AH500+AI500</f>
        <v>0</v>
      </c>
      <c r="AL500" s="297">
        <f ca="1">SUM((INDIRECT(AL$2&amp;(ROW())):INDIRECT(AL$3&amp;(ROW()))))</f>
        <v>0</v>
      </c>
      <c r="AM500" s="297">
        <f ca="1">SUM(INDIRECT(AM$1&amp;AM$2&amp;$C500):INDIRECT(AM$1&amp;AM$3&amp;$C500))</f>
        <v>11815.713427455687</v>
      </c>
      <c r="AN500" s="3230">
        <f t="shared" ca="1" si="717"/>
        <v>-11815.713427455687</v>
      </c>
      <c r="AO500" s="2884">
        <f t="shared" ca="1" si="718"/>
        <v>0</v>
      </c>
      <c r="AP500" s="297">
        <f ca="1">SUM(INDIRECT(AP$1&amp;AP$2&amp;$A500):INDIRECT(AP$1&amp;AP$3&amp;$A500))</f>
        <v>44958</v>
      </c>
      <c r="AQ500" s="3230">
        <f t="shared" ca="1" si="719"/>
        <v>-44958</v>
      </c>
      <c r="AR500" s="2884">
        <f t="shared" ca="1" si="720"/>
        <v>0</v>
      </c>
      <c r="AT500" s="297">
        <f ca="1">SUM((INDIRECT(AT$2&amp;(ROW())):INDIRECT(AT$3&amp;(ROW()))))</f>
        <v>0</v>
      </c>
      <c r="AU500" s="297">
        <f ca="1">SUM(INDIRECT(AU$1&amp;AU$2&amp;$C500):INDIRECT(AU$1&amp;AU$3&amp;$C500))</f>
        <v>34990.331437161818</v>
      </c>
      <c r="AV500" s="3230">
        <f t="shared" ca="1" si="721"/>
        <v>-34990.331437161818</v>
      </c>
      <c r="AW500" s="2884">
        <f t="shared" ca="1" si="722"/>
        <v>0</v>
      </c>
      <c r="AX500" s="297">
        <f ca="1">SUM(INDIRECT(AX$1&amp;AX$2&amp;$A500):INDIRECT(AX$1&amp;AX$3&amp;$A500))</f>
        <v>134781</v>
      </c>
      <c r="AY500" s="3230">
        <f t="shared" ca="1" si="723"/>
        <v>-134781</v>
      </c>
      <c r="AZ500" s="2884">
        <f t="shared" ca="1" si="724"/>
        <v>0</v>
      </c>
      <c r="BB500" s="297">
        <f ca="1">SUM((INDIRECT(BB$2&amp;(ROW())):INDIRECT(BB$3&amp;(ROW()))))</f>
        <v>0</v>
      </c>
      <c r="BC500" s="297">
        <f ca="1">SUM(INDIRECT(BC$1&amp;BC$2&amp;$C500):INDIRECT(BC$1&amp;BC$3&amp;$C500))</f>
        <v>59359.133112840485</v>
      </c>
      <c r="BD500" s="3230">
        <f t="shared" ca="1" si="725"/>
        <v>-59359.133112840485</v>
      </c>
      <c r="BE500" s="2884">
        <f t="shared" ca="1" si="726"/>
        <v>0</v>
      </c>
      <c r="BF500" s="297">
        <f ca="1">SUM(INDIRECT(BF$1&amp;BF$2&amp;$A500):INDIRECT(BF$1&amp;BF$3&amp;$A500))</f>
        <v>492851</v>
      </c>
      <c r="BG500" s="3230">
        <f t="shared" ca="1" si="727"/>
        <v>-492851</v>
      </c>
      <c r="BH500" s="2884">
        <f t="shared" ca="1" si="728"/>
        <v>0</v>
      </c>
    </row>
    <row r="501" spans="1:60" ht="14.5">
      <c r="A501" s="616">
        <f t="shared" si="746"/>
        <v>452</v>
      </c>
      <c r="B501" s="616">
        <v>1</v>
      </c>
      <c r="C501" s="616">
        <f t="shared" si="710"/>
        <v>498</v>
      </c>
      <c r="E501" s="2547">
        <v>1</v>
      </c>
      <c r="I501" s="94"/>
      <c r="J501" s="93"/>
      <c r="K501" s="68"/>
      <c r="L501" s="68"/>
      <c r="N501" s="298" t="s">
        <v>1470</v>
      </c>
      <c r="O501" s="298"/>
      <c r="P501" s="298"/>
      <c r="Q501" s="1777" t="str">
        <f>CHOOSE(2, "6722000003420", "S/GP (1)-1 Gross Profit Direct NH &lt;Direct&gt;FSC(-)")</f>
        <v>S/GP (1)-1 Gross Profit Direct NH &lt;Direct&gt;FSC(-)</v>
      </c>
      <c r="R501" s="287">
        <f>SUM(R502:R504)</f>
        <v>-7512</v>
      </c>
      <c r="S501" s="287">
        <f t="shared" ref="S501:AJ501" si="782">SUM(S502:S504)</f>
        <v>-7786</v>
      </c>
      <c r="T501" s="287">
        <f t="shared" si="782"/>
        <v>-7914</v>
      </c>
      <c r="U501" s="287">
        <f t="shared" si="782"/>
        <v>-7712</v>
      </c>
      <c r="V501" s="287">
        <f t="shared" si="782"/>
        <v>-7474.6154735241298</v>
      </c>
      <c r="W501" s="287">
        <f t="shared" si="782"/>
        <v>-7509</v>
      </c>
      <c r="X501" s="287">
        <f t="shared" si="782"/>
        <v>-11656</v>
      </c>
      <c r="Y501" s="287">
        <f t="shared" si="782"/>
        <v>-7319</v>
      </c>
      <c r="Z501" s="287">
        <f t="shared" si="782"/>
        <v>-7693</v>
      </c>
      <c r="AA501" s="287">
        <f t="shared" si="782"/>
        <v>-7876</v>
      </c>
      <c r="AB501" s="287">
        <f t="shared" si="782"/>
        <v>-8110</v>
      </c>
      <c r="AC501" s="287">
        <f t="shared" si="782"/>
        <v>-8798</v>
      </c>
      <c r="AD501" s="895">
        <f t="shared" si="782"/>
        <v>-23212</v>
      </c>
      <c r="AE501" s="1248">
        <f t="shared" si="782"/>
        <v>-22695.615473524129</v>
      </c>
      <c r="AF501" s="1248">
        <f t="shared" si="782"/>
        <v>-26668</v>
      </c>
      <c r="AG501" s="1248">
        <f t="shared" si="782"/>
        <v>-24784</v>
      </c>
      <c r="AH501" s="1248">
        <f t="shared" si="782"/>
        <v>-45907.615473524129</v>
      </c>
      <c r="AI501" s="1248">
        <f t="shared" si="782"/>
        <v>-51452</v>
      </c>
      <c r="AJ501" s="1248">
        <f t="shared" si="782"/>
        <v>-97359.615473524143</v>
      </c>
      <c r="AL501" s="1248">
        <f ca="1">SUM((INDIRECT(AL$2&amp;(ROW())):INDIRECT(AL$3&amp;(ROW()))))</f>
        <v>-8798</v>
      </c>
      <c r="AM501" s="1248">
        <f ca="1">SUM(INDIRECT(AM$1&amp;AM$2&amp;$C501):INDIRECT(AM$1&amp;AM$3&amp;$C501))</f>
        <v>0</v>
      </c>
      <c r="AN501" s="3229">
        <f t="shared" ca="1" si="717"/>
        <v>-8798</v>
      </c>
      <c r="AO501" s="2882">
        <f t="shared" ca="1" si="718"/>
        <v>0</v>
      </c>
      <c r="AP501" s="1248">
        <f ca="1">SUM(INDIRECT(AP$1&amp;AP$2&amp;$A501):INDIRECT(AP$1&amp;AP$3&amp;$A501))</f>
        <v>261070.37031000003</v>
      </c>
      <c r="AQ501" s="3229">
        <f t="shared" ca="1" si="719"/>
        <v>-269868.37031000003</v>
      </c>
      <c r="AR501" s="2882">
        <f t="shared" ca="1" si="720"/>
        <v>-3.3699726206206718E-2</v>
      </c>
      <c r="AT501" s="1248">
        <f ca="1">SUM((INDIRECT(AT$2&amp;(ROW())):INDIRECT(AT$3&amp;(ROW()))))</f>
        <v>-24784</v>
      </c>
      <c r="AU501" s="1248">
        <f ca="1">SUM(INDIRECT(AU$1&amp;AU$2&amp;$C501):INDIRECT(AU$1&amp;AU$3&amp;$C501))</f>
        <v>0</v>
      </c>
      <c r="AV501" s="3229">
        <f t="shared" ca="1" si="721"/>
        <v>-24784</v>
      </c>
      <c r="AW501" s="2882">
        <f t="shared" ca="1" si="722"/>
        <v>0</v>
      </c>
      <c r="AX501" s="1248">
        <f ca="1">SUM(INDIRECT(AX$1&amp;AX$2&amp;$A501):INDIRECT(AX$1&amp;AX$3&amp;$A501))</f>
        <v>829239.37031000003</v>
      </c>
      <c r="AY501" s="3229">
        <f t="shared" ca="1" si="723"/>
        <v>-854023.37031000003</v>
      </c>
      <c r="AZ501" s="2882">
        <f t="shared" ca="1" si="724"/>
        <v>-2.9887630625563322E-2</v>
      </c>
      <c r="BB501" s="1248">
        <f ca="1">SUM((INDIRECT(BB$2&amp;(ROW())):INDIRECT(BB$3&amp;(ROW()))))</f>
        <v>-97359.615473524129</v>
      </c>
      <c r="BC501" s="1248">
        <f ca="1">SUM(INDIRECT(BC$1&amp;BC$2&amp;$C501):INDIRECT(BC$1&amp;BC$3&amp;$C501))</f>
        <v>0</v>
      </c>
      <c r="BD501" s="3229">
        <f t="shared" ca="1" si="725"/>
        <v>-97359.615473524129</v>
      </c>
      <c r="BE501" s="2882">
        <f t="shared" ca="1" si="726"/>
        <v>0</v>
      </c>
      <c r="BF501" s="1248">
        <f ca="1">SUM(INDIRECT(BF$1&amp;BF$2&amp;$A501):INDIRECT(BF$1&amp;BF$3&amp;$A501))</f>
        <v>2595994.73025</v>
      </c>
      <c r="BG501" s="3229">
        <f t="shared" ca="1" si="727"/>
        <v>-2693354.3457235242</v>
      </c>
      <c r="BH501" s="2882">
        <f t="shared" ca="1" si="728"/>
        <v>-3.7503780088239312E-2</v>
      </c>
    </row>
    <row r="502" spans="1:60" ht="14.5">
      <c r="A502" s="616">
        <f t="shared" si="746"/>
        <v>453</v>
      </c>
      <c r="B502" s="616">
        <v>1</v>
      </c>
      <c r="C502" s="616">
        <f t="shared" si="710"/>
        <v>499</v>
      </c>
      <c r="E502" s="2547">
        <v>1</v>
      </c>
      <c r="I502" s="94"/>
      <c r="J502" s="93"/>
      <c r="K502" s="68"/>
      <c r="L502" s="68"/>
      <c r="N502" s="291"/>
      <c r="O502" s="291"/>
      <c r="P502" s="291" t="s">
        <v>1471</v>
      </c>
      <c r="Q502" s="1779" t="str">
        <f>CHOOSE(2, "6722000003421", "S/GP (1)-1 Gross Profit Direct NH &lt;Direct&gt;FSC(-) PC")</f>
        <v>S/GP (1)-1 Gross Profit Direct NH &lt;Direct&gt;FSC(-) PC</v>
      </c>
      <c r="R502" s="1227">
        <v>-2466</v>
      </c>
      <c r="S502" s="1227">
        <v>-2763</v>
      </c>
      <c r="T502" s="1227">
        <v>-2495</v>
      </c>
      <c r="U502" s="1227">
        <v>-2713</v>
      </c>
      <c r="V502" s="1227">
        <v>-2375.5518235241302</v>
      </c>
      <c r="W502" s="1227">
        <v>-2341</v>
      </c>
      <c r="X502" s="1227">
        <v>-6039</v>
      </c>
      <c r="Y502" s="1227">
        <v>-2188</v>
      </c>
      <c r="Z502" s="1227">
        <v>-2234</v>
      </c>
      <c r="AA502" s="1227">
        <v>-2231</v>
      </c>
      <c r="AB502" s="1227">
        <v>-2247</v>
      </c>
      <c r="AC502" s="1227">
        <v>-1875</v>
      </c>
      <c r="AD502" s="896">
        <f>SUM(R502,S502,T502)</f>
        <v>-7724</v>
      </c>
      <c r="AE502" s="95">
        <f t="shared" ref="AE502:AE504" si="783">SUM(U502,V502,W502)</f>
        <v>-7429.5518235241307</v>
      </c>
      <c r="AF502" s="95">
        <f t="shared" ref="AF502:AF504" si="784">SUM(X502,Y502,Z502)</f>
        <v>-10461</v>
      </c>
      <c r="AG502" s="95">
        <f t="shared" ref="AG502:AG504" si="785">SUM(AA502,AB502,AC502)</f>
        <v>-6353</v>
      </c>
      <c r="AH502" s="95">
        <f>AD502+AE502</f>
        <v>-15153.551823524131</v>
      </c>
      <c r="AI502" s="95">
        <f>AG502+AF502</f>
        <v>-16814</v>
      </c>
      <c r="AJ502" s="95">
        <f>AH502+AI502</f>
        <v>-31967.551823524132</v>
      </c>
      <c r="AL502" s="95">
        <f ca="1">SUM((INDIRECT(AL$2&amp;(ROW())):INDIRECT(AL$3&amp;(ROW()))))</f>
        <v>-1875</v>
      </c>
      <c r="AM502" s="95">
        <f ca="1">SUM(INDIRECT(AM$1&amp;AM$2&amp;$C502):INDIRECT(AM$1&amp;AM$3&amp;$C502))</f>
        <v>0</v>
      </c>
      <c r="AN502" s="3228">
        <f t="shared" ca="1" si="717"/>
        <v>-1875</v>
      </c>
      <c r="AO502" s="2880">
        <f t="shared" ca="1" si="718"/>
        <v>0</v>
      </c>
      <c r="AP502" s="95">
        <f ca="1">SUM(INDIRECT(AP$1&amp;AP$2&amp;$A502):INDIRECT(AP$1&amp;AP$3&amp;$A502))</f>
        <v>63186.224000000002</v>
      </c>
      <c r="AQ502" s="3228">
        <f t="shared" ca="1" si="719"/>
        <v>-65061.224000000002</v>
      </c>
      <c r="AR502" s="2880">
        <f t="shared" ca="1" si="720"/>
        <v>-2.9674189741105594E-2</v>
      </c>
      <c r="AT502" s="95">
        <f ca="1">SUM((INDIRECT(AT$2&amp;(ROW())):INDIRECT(AT$3&amp;(ROW()))))</f>
        <v>-6353</v>
      </c>
      <c r="AU502" s="95">
        <f ca="1">SUM(INDIRECT(AU$1&amp;AU$2&amp;$C502):INDIRECT(AU$1&amp;AU$3&amp;$C502))</f>
        <v>0</v>
      </c>
      <c r="AV502" s="3228">
        <f t="shared" ca="1" si="721"/>
        <v>-6353</v>
      </c>
      <c r="AW502" s="2880">
        <f t="shared" ca="1" si="722"/>
        <v>0</v>
      </c>
      <c r="AX502" s="95">
        <f ca="1">SUM(INDIRECT(AX$1&amp;AX$2&amp;$A502):INDIRECT(AX$1&amp;AX$3&amp;$A502))</f>
        <v>186906.22399999999</v>
      </c>
      <c r="AY502" s="3228">
        <f t="shared" ca="1" si="723"/>
        <v>-193259.22399999999</v>
      </c>
      <c r="AZ502" s="2880">
        <f t="shared" ca="1" si="724"/>
        <v>-3.3990307353274657E-2</v>
      </c>
      <c r="BB502" s="95">
        <f ca="1">SUM((INDIRECT(BB$2&amp;(ROW())):INDIRECT(BB$3&amp;(ROW()))))</f>
        <v>-31967.551823524132</v>
      </c>
      <c r="BC502" s="95">
        <f ca="1">SUM(INDIRECT(BC$1&amp;BC$2&amp;$C502):INDIRECT(BC$1&amp;BC$3&amp;$C502))</f>
        <v>0</v>
      </c>
      <c r="BD502" s="3228">
        <f t="shared" ca="1" si="725"/>
        <v>-31967.551823524132</v>
      </c>
      <c r="BE502" s="2880">
        <f t="shared" ca="1" si="726"/>
        <v>0</v>
      </c>
      <c r="BF502" s="95">
        <f ca="1">SUM(INDIRECT(BF$1&amp;BF$2&amp;$A502):INDIRECT(BF$1&amp;BF$3&amp;$A502))</f>
        <v>613711.56611000001</v>
      </c>
      <c r="BG502" s="3228">
        <f t="shared" ca="1" si="727"/>
        <v>-645679.11793352419</v>
      </c>
      <c r="BH502" s="2880">
        <f t="shared" ca="1" si="728"/>
        <v>-5.2088886031837235E-2</v>
      </c>
    </row>
    <row r="503" spans="1:60" ht="14.5">
      <c r="A503" s="616">
        <f t="shared" si="746"/>
        <v>454</v>
      </c>
      <c r="B503" s="616">
        <v>1</v>
      </c>
      <c r="C503" s="616">
        <f t="shared" si="710"/>
        <v>500</v>
      </c>
      <c r="E503" s="2547">
        <v>1</v>
      </c>
      <c r="F503" s="8"/>
      <c r="G503" s="8"/>
      <c r="I503" s="94"/>
      <c r="J503" s="93"/>
      <c r="K503" s="68"/>
      <c r="L503" s="68"/>
      <c r="N503" s="229"/>
      <c r="O503" s="229"/>
      <c r="P503" s="229" t="s">
        <v>1472</v>
      </c>
      <c r="Q503" s="1779" t="str">
        <f>CHOOSE(2, "6722000003422", "S/GP (1)-1 Gross Profit Direct NH &lt;Direct&gt;FSC(-) TE")</f>
        <v>S/GP (1)-1 Gross Profit Direct NH &lt;Direct&gt;FSC(-) TE</v>
      </c>
      <c r="R503" s="1217">
        <v>0</v>
      </c>
      <c r="S503" s="1217">
        <v>-177</v>
      </c>
      <c r="T503" s="1217">
        <v>-335</v>
      </c>
      <c r="U503" s="1217">
        <v>-312</v>
      </c>
      <c r="V503" s="1217">
        <v>-299.49299999999999</v>
      </c>
      <c r="W503" s="1217">
        <v>-469</v>
      </c>
      <c r="X503" s="1217">
        <v>-487</v>
      </c>
      <c r="Y503" s="1217">
        <v>-256</v>
      </c>
      <c r="Z503" s="1217">
        <v>-349</v>
      </c>
      <c r="AA503" s="1217">
        <v>-389</v>
      </c>
      <c r="AB503" s="1217">
        <v>-512</v>
      </c>
      <c r="AC503" s="1217">
        <v>-910</v>
      </c>
      <c r="AD503" s="783">
        <f>SUM(R503,S503,T503)</f>
        <v>-512</v>
      </c>
      <c r="AE503" s="1226">
        <f t="shared" si="783"/>
        <v>-1080.4929999999999</v>
      </c>
      <c r="AF503" s="1226">
        <f t="shared" si="784"/>
        <v>-1092</v>
      </c>
      <c r="AG503" s="1226">
        <f t="shared" si="785"/>
        <v>-1811</v>
      </c>
      <c r="AH503" s="1226">
        <f>AD503+AE503</f>
        <v>-1592.4929999999999</v>
      </c>
      <c r="AI503" s="1226">
        <f>AG503+AF503</f>
        <v>-2903</v>
      </c>
      <c r="AJ503" s="1226">
        <f>AH503+AI503</f>
        <v>-4495.4930000000004</v>
      </c>
      <c r="AL503" s="1226">
        <f ca="1">SUM((INDIRECT(AL$2&amp;(ROW())):INDIRECT(AL$3&amp;(ROW()))))</f>
        <v>-910</v>
      </c>
      <c r="AM503" s="1226">
        <f ca="1">SUM(INDIRECT(AM$1&amp;AM$2&amp;$C503):INDIRECT(AM$1&amp;AM$3&amp;$C503))</f>
        <v>10183.791772150802</v>
      </c>
      <c r="AN503" s="3233">
        <f t="shared" ca="1" si="717"/>
        <v>-11093.791772150802</v>
      </c>
      <c r="AO503" s="2890">
        <f t="shared" ca="1" si="718"/>
        <v>-8.9357679375234256E-2</v>
      </c>
      <c r="AP503" s="1226">
        <f ca="1">SUM(INDIRECT(AP$1&amp;AP$2&amp;$A503):INDIRECT(AP$1&amp;AP$3&amp;$A503))</f>
        <v>35922.224000000002</v>
      </c>
      <c r="AQ503" s="3233">
        <f t="shared" ca="1" si="719"/>
        <v>-36832.224000000002</v>
      </c>
      <c r="AR503" s="2890">
        <f t="shared" ca="1" si="720"/>
        <v>-2.5332507252334931E-2</v>
      </c>
      <c r="AT503" s="1226">
        <f ca="1">SUM((INDIRECT(AT$2&amp;(ROW())):INDIRECT(AT$3&amp;(ROW()))))</f>
        <v>-1811</v>
      </c>
      <c r="AU503" s="1226">
        <f ca="1">SUM(INDIRECT(AU$1&amp;AU$2&amp;$C503):INDIRECT(AU$1&amp;AU$3&amp;$C503))</f>
        <v>29933.184195976992</v>
      </c>
      <c r="AV503" s="3233">
        <f t="shared" ca="1" si="721"/>
        <v>-31744.184195976992</v>
      </c>
      <c r="AW503" s="2890">
        <f t="shared" ca="1" si="722"/>
        <v>-6.0501415022976332E-2</v>
      </c>
      <c r="AX503" s="1226">
        <f ca="1">SUM(INDIRECT(AX$1&amp;AX$2&amp;$A503):INDIRECT(AX$1&amp;AX$3&amp;$A503))</f>
        <v>107382.224</v>
      </c>
      <c r="AY503" s="3233">
        <f t="shared" ca="1" si="723"/>
        <v>-109193.224</v>
      </c>
      <c r="AZ503" s="2890">
        <f t="shared" ca="1" si="724"/>
        <v>-1.6864988752700819E-2</v>
      </c>
      <c r="BB503" s="1226">
        <f ca="1">SUM((INDIRECT(BB$2&amp;(ROW())):INDIRECT(BB$3&amp;(ROW()))))</f>
        <v>-4495.4930000000004</v>
      </c>
      <c r="BC503" s="1226">
        <f ca="1">SUM(INDIRECT(BC$1&amp;BC$2&amp;$C503):INDIRECT(BC$1&amp;BC$3&amp;$C503))</f>
        <v>52300.057088488087</v>
      </c>
      <c r="BD503" s="3233">
        <f t="shared" ca="1" si="725"/>
        <v>-56795.550088488089</v>
      </c>
      <c r="BE503" s="2890">
        <f t="shared" ca="1" si="726"/>
        <v>-8.5955795275594757E-2</v>
      </c>
      <c r="BF503" s="1226">
        <f ca="1">SUM(INDIRECT(BF$1&amp;BF$2&amp;$A503):INDIRECT(BF$1&amp;BF$3&amp;$A503))</f>
        <v>333768.08099999995</v>
      </c>
      <c r="BG503" s="3233">
        <f t="shared" ca="1" si="727"/>
        <v>-338263.57399999996</v>
      </c>
      <c r="BH503" s="2890">
        <f t="shared" ca="1" si="728"/>
        <v>-1.3468912265460162E-2</v>
      </c>
    </row>
    <row r="504" spans="1:60" ht="14.5">
      <c r="A504" s="616">
        <f t="shared" si="746"/>
        <v>455</v>
      </c>
      <c r="B504" s="616">
        <v>1</v>
      </c>
      <c r="C504" s="616">
        <f t="shared" si="710"/>
        <v>501</v>
      </c>
      <c r="E504" s="2547">
        <v>1</v>
      </c>
      <c r="I504" s="94"/>
      <c r="J504" s="93"/>
      <c r="K504" s="68"/>
      <c r="L504" s="68"/>
      <c r="N504" s="228"/>
      <c r="O504" s="228"/>
      <c r="P504" s="228" t="s">
        <v>1473</v>
      </c>
      <c r="Q504" s="1779" t="str">
        <f>CHOOSE(2, "6722000003423", "S/GP (1)-1 Gross Profit Direct NH &lt;Direct&gt;FSC(-) OFC")</f>
        <v>S/GP (1)-1 Gross Profit Direct NH &lt;Direct&gt;FSC(-) OFC</v>
      </c>
      <c r="R504" s="1218">
        <v>-5046</v>
      </c>
      <c r="S504" s="1218">
        <v>-4846</v>
      </c>
      <c r="T504" s="1218">
        <v>-5084</v>
      </c>
      <c r="U504" s="1218">
        <v>-4687</v>
      </c>
      <c r="V504" s="1218">
        <v>-4799.5706499999997</v>
      </c>
      <c r="W504" s="1218">
        <v>-4699</v>
      </c>
      <c r="X504" s="1218">
        <v>-5130</v>
      </c>
      <c r="Y504" s="1218">
        <v>-4875</v>
      </c>
      <c r="Z504" s="1218">
        <v>-5110</v>
      </c>
      <c r="AA504" s="1218">
        <v>-5256</v>
      </c>
      <c r="AB504" s="1218">
        <v>-5351</v>
      </c>
      <c r="AC504" s="1218">
        <v>-6013</v>
      </c>
      <c r="AD504" s="784">
        <f>SUM(R504,S504,T504)</f>
        <v>-14976</v>
      </c>
      <c r="AE504" s="1228">
        <f t="shared" si="783"/>
        <v>-14185.57065</v>
      </c>
      <c r="AF504" s="1228">
        <f t="shared" si="784"/>
        <v>-15115</v>
      </c>
      <c r="AG504" s="1228">
        <f t="shared" si="785"/>
        <v>-16620</v>
      </c>
      <c r="AH504" s="1228">
        <f>AD504+AE504</f>
        <v>-29161.570650000001</v>
      </c>
      <c r="AI504" s="1228">
        <f>AG504+AF504</f>
        <v>-31735</v>
      </c>
      <c r="AJ504" s="1228">
        <f>AH504+AI504</f>
        <v>-60896.570650000001</v>
      </c>
      <c r="AL504" s="1228">
        <f ca="1">SUM((INDIRECT(AL$2&amp;(ROW())):INDIRECT(AL$3&amp;(ROW()))))</f>
        <v>-6013</v>
      </c>
      <c r="AM504" s="1228">
        <f ca="1">SUM(INDIRECT(AM$1&amp;AM$2&amp;$C504):INDIRECT(AM$1&amp;AM$3&amp;$C504))</f>
        <v>19045.758438817469</v>
      </c>
      <c r="AN504" s="3243">
        <f t="shared" ca="1" si="717"/>
        <v>-25058.758438817469</v>
      </c>
      <c r="AO504" s="2897">
        <f t="shared" ca="1" si="718"/>
        <v>-0.31571333949845792</v>
      </c>
      <c r="AP504" s="1228">
        <f ca="1">SUM(INDIRECT(AP$1&amp;AP$2&amp;$A504):INDIRECT(AP$1&amp;AP$3&amp;$A504))</f>
        <v>35922.224000000002</v>
      </c>
      <c r="AQ504" s="3243">
        <f t="shared" ca="1" si="719"/>
        <v>-41935.224000000002</v>
      </c>
      <c r="AR504" s="2897">
        <f t="shared" ca="1" si="720"/>
        <v>-0.16738941330581314</v>
      </c>
      <c r="AT504" s="1228">
        <f ca="1">SUM((INDIRECT(AT$2&amp;(ROW())):INDIRECT(AT$3&amp;(ROW()))))</f>
        <v>-16620</v>
      </c>
      <c r="AU504" s="1228">
        <f ca="1">SUM(INDIRECT(AU$1&amp;AU$2&amp;$C504):INDIRECT(AU$1&amp;AU$3&amp;$C504))</f>
        <v>56680.11752931033</v>
      </c>
      <c r="AV504" s="3243">
        <f t="shared" ca="1" si="721"/>
        <v>-73300.11752931033</v>
      </c>
      <c r="AW504" s="2897">
        <f t="shared" ca="1" si="722"/>
        <v>-0.29322451548209111</v>
      </c>
      <c r="AX504" s="1228">
        <f ca="1">SUM(INDIRECT(AX$1&amp;AX$2&amp;$A504):INDIRECT(AX$1&amp;AX$3&amp;$A504))</f>
        <v>107382.224</v>
      </c>
      <c r="AY504" s="3243">
        <f t="shared" ca="1" si="723"/>
        <v>-124002.224</v>
      </c>
      <c r="AZ504" s="2897">
        <f t="shared" ca="1" si="724"/>
        <v>-0.15477422035885566</v>
      </c>
      <c r="BB504" s="1228">
        <f ca="1">SUM((INDIRECT(BB$2&amp;(ROW())):INDIRECT(BB$3&amp;(ROW()))))</f>
        <v>-60896.570650000001</v>
      </c>
      <c r="BC504" s="1228">
        <f ca="1">SUM(INDIRECT(BC$1&amp;BC$2&amp;$C504):INDIRECT(BC$1&amp;BC$3&amp;$C504))</f>
        <v>97092.990421821436</v>
      </c>
      <c r="BD504" s="3243">
        <f t="shared" ca="1" si="725"/>
        <v>-157989.56107182143</v>
      </c>
      <c r="BE504" s="2897">
        <f t="shared" ca="1" si="726"/>
        <v>-0.62719842478261578</v>
      </c>
      <c r="BF504" s="1228">
        <f ca="1">SUM(INDIRECT(BF$1&amp;BF$2&amp;$A504):INDIRECT(BF$1&amp;BF$3&amp;$A504))</f>
        <v>333768.08099999995</v>
      </c>
      <c r="BG504" s="3243">
        <f t="shared" ca="1" si="727"/>
        <v>-394664.65164999996</v>
      </c>
      <c r="BH504" s="2897">
        <f t="shared" ca="1" si="728"/>
        <v>-0.18245175053153154</v>
      </c>
    </row>
    <row r="505" spans="1:60" ht="14.5">
      <c r="A505" s="616">
        <f t="shared" si="746"/>
        <v>456</v>
      </c>
      <c r="B505" s="616">
        <v>1</v>
      </c>
      <c r="C505" s="616">
        <f t="shared" si="710"/>
        <v>502</v>
      </c>
      <c r="E505" s="2547">
        <v>1</v>
      </c>
      <c r="I505" s="94"/>
      <c r="J505" s="93"/>
      <c r="K505" s="68"/>
      <c r="L505" s="68"/>
      <c r="N505" s="290" t="s">
        <v>1474</v>
      </c>
      <c r="O505" s="290"/>
      <c r="P505" s="290"/>
      <c r="Q505" s="1777" t="str">
        <f>CHOOSE(2, "6722000003424", "S/GP (1)-1 Gross Profit Direct NH &lt;Direct&gt;SDC(-)")</f>
        <v>S/GP (1)-1 Gross Profit Direct NH &lt;Direct&gt;SDC(-)</v>
      </c>
      <c r="R505" s="3103">
        <f>SUM(R506:R507)</f>
        <v>-35</v>
      </c>
      <c r="S505" s="3103">
        <f t="shared" ref="S505:AC505" si="786">SUM(S506:S507)</f>
        <v>-35</v>
      </c>
      <c r="T505" s="3103">
        <f t="shared" si="786"/>
        <v>-19</v>
      </c>
      <c r="U505" s="3103">
        <f t="shared" si="786"/>
        <v>-30</v>
      </c>
      <c r="V505" s="3103">
        <f t="shared" si="786"/>
        <v>-31.972000000000001</v>
      </c>
      <c r="W505" s="3103">
        <f t="shared" si="786"/>
        <v>-32</v>
      </c>
      <c r="X505" s="3103">
        <f t="shared" si="786"/>
        <v>-32</v>
      </c>
      <c r="Y505" s="3103">
        <f t="shared" si="786"/>
        <v>-26</v>
      </c>
      <c r="Z505" s="3103">
        <f t="shared" si="786"/>
        <v>-32</v>
      </c>
      <c r="AA505" s="3103">
        <f t="shared" si="786"/>
        <v>-32</v>
      </c>
      <c r="AB505" s="3103">
        <f t="shared" si="786"/>
        <v>-32</v>
      </c>
      <c r="AC505" s="3103">
        <f t="shared" si="786"/>
        <v>-42</v>
      </c>
      <c r="AD505" s="898">
        <f>SUM(AD506:AD507)</f>
        <v>-89</v>
      </c>
      <c r="AE505" s="1249">
        <f t="shared" ref="AE505:AJ505" si="787">SUM(AE506:AE507)</f>
        <v>-93.972000000000008</v>
      </c>
      <c r="AF505" s="1249">
        <f>SUM(AF506:AF507)</f>
        <v>-90</v>
      </c>
      <c r="AG505" s="1249">
        <f t="shared" si="787"/>
        <v>-106</v>
      </c>
      <c r="AH505" s="1249">
        <f t="shared" si="787"/>
        <v>-182.97200000000001</v>
      </c>
      <c r="AI505" s="1249">
        <f t="shared" si="787"/>
        <v>-196</v>
      </c>
      <c r="AJ505" s="1249">
        <f t="shared" si="787"/>
        <v>-378.97199999999998</v>
      </c>
      <c r="AL505" s="1249">
        <f ca="1">SUM((INDIRECT(AL$2&amp;(ROW())):INDIRECT(AL$3&amp;(ROW()))))</f>
        <v>-42</v>
      </c>
      <c r="AM505" s="1249">
        <f ca="1">SUM(INDIRECT(AM$1&amp;AM$2&amp;$C505):INDIRECT(AM$1&amp;AM$3&amp;$C505))</f>
        <v>19045.758438817469</v>
      </c>
      <c r="AN505" s="3231">
        <f t="shared" ca="1" si="717"/>
        <v>-19087.758438817469</v>
      </c>
      <c r="AO505" s="2886">
        <f t="shared" ca="1" si="718"/>
        <v>-2.2052154097680415E-3</v>
      </c>
      <c r="AP505" s="1249">
        <f ca="1">SUM(INDIRECT(AP$1&amp;AP$2&amp;$A505):INDIRECT(AP$1&amp;AP$3&amp;$A505))</f>
        <v>34917.224000000002</v>
      </c>
      <c r="AQ505" s="3231">
        <f t="shared" ca="1" si="719"/>
        <v>-34959.224000000002</v>
      </c>
      <c r="AR505" s="2886">
        <f t="shared" ca="1" si="720"/>
        <v>-1.2028447622296663E-3</v>
      </c>
      <c r="AT505" s="1249">
        <f ca="1">SUM((INDIRECT(AT$2&amp;(ROW())):INDIRECT(AT$3&amp;(ROW()))))</f>
        <v>-106</v>
      </c>
      <c r="AU505" s="1249">
        <f ca="1">SUM(INDIRECT(AU$1&amp;AU$2&amp;$C505):INDIRECT(AU$1&amp;AU$3&amp;$C505))</f>
        <v>56680.11752931033</v>
      </c>
      <c r="AV505" s="3231">
        <f t="shared" ca="1" si="721"/>
        <v>-56786.11752931033</v>
      </c>
      <c r="AW505" s="2886">
        <f t="shared" ca="1" si="722"/>
        <v>-1.8701443225692933E-3</v>
      </c>
      <c r="AX505" s="1249">
        <f ca="1">SUM(INDIRECT(AX$1&amp;AX$2&amp;$A505):INDIRECT(AX$1&amp;AX$3&amp;$A505))</f>
        <v>103401.224</v>
      </c>
      <c r="AY505" s="3231">
        <f t="shared" ca="1" si="723"/>
        <v>-103507.224</v>
      </c>
      <c r="AZ505" s="2886">
        <f t="shared" ca="1" si="724"/>
        <v>-1.0251329326623831E-3</v>
      </c>
      <c r="BB505" s="1249">
        <f ca="1">SUM((INDIRECT(BB$2&amp;(ROW())):INDIRECT(BB$3&amp;(ROW()))))</f>
        <v>-378.97199999999998</v>
      </c>
      <c r="BC505" s="1249">
        <f ca="1">SUM(INDIRECT(BC$1&amp;BC$2&amp;$C505):INDIRECT(BC$1&amp;BC$3&amp;$C505))</f>
        <v>97092.990421821436</v>
      </c>
      <c r="BD505" s="3231">
        <f t="shared" ca="1" si="725"/>
        <v>-97471.96242182143</v>
      </c>
      <c r="BE505" s="2886">
        <f t="shared" ca="1" si="726"/>
        <v>-3.9031859906008917E-3</v>
      </c>
      <c r="BF505" s="1249">
        <f ca="1">SUM(INDIRECT(BF$1&amp;BF$2&amp;$A505):INDIRECT(BF$1&amp;BF$3&amp;$A505))</f>
        <v>323607.22399999999</v>
      </c>
      <c r="BG505" s="3231">
        <f t="shared" ca="1" si="727"/>
        <v>-323986.196</v>
      </c>
      <c r="BH505" s="2886">
        <f t="shared" ca="1" si="728"/>
        <v>-1.171086341385259E-3</v>
      </c>
    </row>
    <row r="506" spans="1:60" ht="14.5">
      <c r="A506" s="616">
        <f t="shared" si="746"/>
        <v>457</v>
      </c>
      <c r="B506" s="616">
        <v>1</v>
      </c>
      <c r="C506" s="616">
        <f t="shared" si="710"/>
        <v>503</v>
      </c>
      <c r="E506" s="2547">
        <v>1</v>
      </c>
      <c r="I506" s="94"/>
      <c r="J506" s="93"/>
      <c r="K506" s="68"/>
      <c r="L506" s="68"/>
      <c r="N506" s="291"/>
      <c r="O506" s="291"/>
      <c r="P506" s="291" t="s">
        <v>1471</v>
      </c>
      <c r="Q506" s="1779" t="str">
        <f>CHOOSE(2, "6722000003425", "S/GP (1)-1 Gross Profit Direct NH &lt;Direct&gt;SDC(-) PC")</f>
        <v>S/GP (1)-1 Gross Profit Direct NH &lt;Direct&gt;SDC(-) PC</v>
      </c>
      <c r="R506" s="1227">
        <v>-35</v>
      </c>
      <c r="S506" s="1227">
        <v>-35</v>
      </c>
      <c r="T506" s="1227">
        <v>-19</v>
      </c>
      <c r="U506" s="1227">
        <v>-30</v>
      </c>
      <c r="V506" s="1227">
        <v>-31.972000000000001</v>
      </c>
      <c r="W506" s="1227">
        <v>-32</v>
      </c>
      <c r="X506" s="1227">
        <v>-32</v>
      </c>
      <c r="Y506" s="1227">
        <v>-26</v>
      </c>
      <c r="Z506" s="1227">
        <v>-32</v>
      </c>
      <c r="AA506" s="1227">
        <v>-32</v>
      </c>
      <c r="AB506" s="1227">
        <v>-32</v>
      </c>
      <c r="AC506" s="1227">
        <v>-42</v>
      </c>
      <c r="AD506" s="896">
        <f>SUM(R506,S506,T506)</f>
        <v>-89</v>
      </c>
      <c r="AE506" s="95">
        <f t="shared" ref="AE506:AE509" si="788">SUM(U506,V506,W506)</f>
        <v>-93.972000000000008</v>
      </c>
      <c r="AF506" s="95">
        <f t="shared" ref="AF506:AF509" si="789">SUM(X506,Y506,Z506)</f>
        <v>-90</v>
      </c>
      <c r="AG506" s="95">
        <f t="shared" ref="AG506:AG509" si="790">SUM(AA506,AB506,AC506)</f>
        <v>-106</v>
      </c>
      <c r="AH506" s="95">
        <f>AD506+AE506</f>
        <v>-182.97200000000001</v>
      </c>
      <c r="AI506" s="95">
        <f>AG506+AF506</f>
        <v>-196</v>
      </c>
      <c r="AJ506" s="95">
        <f>AH506+AI506</f>
        <v>-378.97199999999998</v>
      </c>
      <c r="AL506" s="95">
        <f ca="1">SUM((INDIRECT(AL$2&amp;(ROW())):INDIRECT(AL$3&amp;(ROW()))))</f>
        <v>-42</v>
      </c>
      <c r="AM506" s="95">
        <f ca="1">SUM(INDIRECT(AM$1&amp;AM$2&amp;$C506):INDIRECT(AM$1&amp;AM$3&amp;$C506))</f>
        <v>19045.758438817469</v>
      </c>
      <c r="AN506" s="3228">
        <f t="shared" ca="1" si="717"/>
        <v>-19087.758438817469</v>
      </c>
      <c r="AO506" s="2880">
        <f t="shared" ca="1" si="718"/>
        <v>-2.2052154097680415E-3</v>
      </c>
      <c r="AP506" s="95">
        <f ca="1">SUM(INDIRECT(AP$1&amp;AP$2&amp;$A506):INDIRECT(AP$1&amp;AP$3&amp;$A506))</f>
        <v>1005</v>
      </c>
      <c r="AQ506" s="3228">
        <f t="shared" ca="1" si="719"/>
        <v>-1047</v>
      </c>
      <c r="AR506" s="2880">
        <f t="shared" ca="1" si="720"/>
        <v>-4.1791044776119404E-2</v>
      </c>
      <c r="AT506" s="95">
        <f ca="1">SUM((INDIRECT(AT$2&amp;(ROW())):INDIRECT(AT$3&amp;(ROW()))))</f>
        <v>-106</v>
      </c>
      <c r="AU506" s="95">
        <f ca="1">SUM(INDIRECT(AU$1&amp;AU$2&amp;$C506):INDIRECT(AU$1&amp;AU$3&amp;$C506))</f>
        <v>56680.11752931033</v>
      </c>
      <c r="AV506" s="3228">
        <f t="shared" ca="1" si="721"/>
        <v>-56786.11752931033</v>
      </c>
      <c r="AW506" s="2880">
        <f t="shared" ca="1" si="722"/>
        <v>-1.8701443225692933E-3</v>
      </c>
      <c r="AX506" s="95">
        <f ca="1">SUM(INDIRECT(AX$1&amp;AX$2&amp;$A506):INDIRECT(AX$1&amp;AX$3&amp;$A506))</f>
        <v>3981</v>
      </c>
      <c r="AY506" s="3228">
        <f t="shared" ca="1" si="723"/>
        <v>-4087</v>
      </c>
      <c r="AZ506" s="2880">
        <f t="shared" ca="1" si="724"/>
        <v>-2.6626475759859332E-2</v>
      </c>
      <c r="BB506" s="95">
        <f ca="1">SUM((INDIRECT(BB$2&amp;(ROW())):INDIRECT(BB$3&amp;(ROW()))))</f>
        <v>-378.97199999999998</v>
      </c>
      <c r="BC506" s="95">
        <f ca="1">SUM(INDIRECT(BC$1&amp;BC$2&amp;$C506):INDIRECT(BC$1&amp;BC$3&amp;$C506))</f>
        <v>97092.990421821436</v>
      </c>
      <c r="BD506" s="3228">
        <f t="shared" ca="1" si="725"/>
        <v>-97471.96242182143</v>
      </c>
      <c r="BE506" s="2880">
        <f t="shared" ca="1" si="726"/>
        <v>-3.9031859906008917E-3</v>
      </c>
      <c r="BF506" s="95">
        <f ca="1">SUM(INDIRECT(BF$1&amp;BF$2&amp;$A506):INDIRECT(BF$1&amp;BF$3&amp;$A506))</f>
        <v>10160.857</v>
      </c>
      <c r="BG506" s="3228">
        <f t="shared" ca="1" si="727"/>
        <v>-10539.829</v>
      </c>
      <c r="BH506" s="2880">
        <f t="shared" ca="1" si="728"/>
        <v>-3.7297247663263047E-2</v>
      </c>
    </row>
    <row r="507" spans="1:60" ht="14.5">
      <c r="A507" s="616">
        <f t="shared" si="746"/>
        <v>458</v>
      </c>
      <c r="B507" s="616">
        <v>1</v>
      </c>
      <c r="C507" s="616">
        <f t="shared" si="710"/>
        <v>504</v>
      </c>
      <c r="E507" s="2547">
        <v>1</v>
      </c>
      <c r="I507" s="94"/>
      <c r="J507" s="93"/>
      <c r="K507" s="68"/>
      <c r="L507" s="68"/>
      <c r="N507" s="228"/>
      <c r="O507" s="228"/>
      <c r="P507" s="228" t="s">
        <v>224</v>
      </c>
      <c r="Q507" s="1779" t="str">
        <f>CHOOSE(2, "6722000003426", "S/GP (1)-1 Gross Profit Direct NH &lt;Direct&gt;SDC(-) OFC")</f>
        <v>S/GP (1)-1 Gross Profit Direct NH &lt;Direct&gt;SDC(-) OFC</v>
      </c>
      <c r="R507" s="1218">
        <v>0</v>
      </c>
      <c r="S507" s="1218">
        <v>0</v>
      </c>
      <c r="T507" s="1218">
        <v>0</v>
      </c>
      <c r="U507" s="1218">
        <v>0</v>
      </c>
      <c r="V507" s="1218">
        <v>0</v>
      </c>
      <c r="W507" s="1218">
        <v>0</v>
      </c>
      <c r="X507" s="1218">
        <v>0</v>
      </c>
      <c r="Y507" s="1218">
        <v>0</v>
      </c>
      <c r="Z507" s="1218">
        <v>0</v>
      </c>
      <c r="AA507" s="1218">
        <v>0</v>
      </c>
      <c r="AB507" s="1218">
        <v>0</v>
      </c>
      <c r="AC507" s="1218">
        <v>0</v>
      </c>
      <c r="AD507" s="784">
        <f>SUM(R507,S507,T507)</f>
        <v>0</v>
      </c>
      <c r="AE507" s="1228">
        <f t="shared" si="788"/>
        <v>0</v>
      </c>
      <c r="AF507" s="1228">
        <f t="shared" si="789"/>
        <v>0</v>
      </c>
      <c r="AG507" s="1228">
        <f t="shared" si="790"/>
        <v>0</v>
      </c>
      <c r="AH507" s="1228">
        <f>AD507+AE507</f>
        <v>0</v>
      </c>
      <c r="AI507" s="1228">
        <f>AG507+AF507</f>
        <v>0</v>
      </c>
      <c r="AJ507" s="1228">
        <f>AH507+AI507</f>
        <v>0</v>
      </c>
      <c r="AL507" s="1228">
        <f ca="1">SUM((INDIRECT(AL$2&amp;(ROW())):INDIRECT(AL$3&amp;(ROW()))))</f>
        <v>0</v>
      </c>
      <c r="AM507" s="1228">
        <f ca="1">SUM(INDIRECT(AM$1&amp;AM$2&amp;$C507):INDIRECT(AM$1&amp;AM$3&amp;$C507))</f>
        <v>0</v>
      </c>
      <c r="AN507" s="3243">
        <f t="shared" ca="1" si="717"/>
        <v>0</v>
      </c>
      <c r="AO507" s="2897">
        <f t="shared" ca="1" si="718"/>
        <v>0</v>
      </c>
      <c r="AP507" s="1228">
        <f ca="1">SUM(INDIRECT(AP$1&amp;AP$2&amp;$A507):INDIRECT(AP$1&amp;AP$3&amp;$A507))</f>
        <v>0</v>
      </c>
      <c r="AQ507" s="3243">
        <f t="shared" ca="1" si="719"/>
        <v>0</v>
      </c>
      <c r="AR507" s="2897">
        <f t="shared" ca="1" si="720"/>
        <v>0</v>
      </c>
      <c r="AT507" s="1228">
        <f ca="1">SUM((INDIRECT(AT$2&amp;(ROW())):INDIRECT(AT$3&amp;(ROW()))))</f>
        <v>0</v>
      </c>
      <c r="AU507" s="1228">
        <f ca="1">SUM(INDIRECT(AU$1&amp;AU$2&amp;$C507):INDIRECT(AU$1&amp;AU$3&amp;$C507))</f>
        <v>0</v>
      </c>
      <c r="AV507" s="3243">
        <f t="shared" ca="1" si="721"/>
        <v>0</v>
      </c>
      <c r="AW507" s="2897">
        <f t="shared" ca="1" si="722"/>
        <v>0</v>
      </c>
      <c r="AX507" s="1228">
        <f ca="1">SUM(INDIRECT(AX$1&amp;AX$2&amp;$A507):INDIRECT(AX$1&amp;AX$3&amp;$A507))</f>
        <v>0</v>
      </c>
      <c r="AY507" s="3243">
        <f t="shared" ca="1" si="723"/>
        <v>0</v>
      </c>
      <c r="AZ507" s="2897">
        <f t="shared" ca="1" si="724"/>
        <v>0</v>
      </c>
      <c r="BB507" s="1228">
        <f ca="1">SUM((INDIRECT(BB$2&amp;(ROW())):INDIRECT(BB$3&amp;(ROW()))))</f>
        <v>0</v>
      </c>
      <c r="BC507" s="1228">
        <f ca="1">SUM(INDIRECT(BC$1&amp;BC$2&amp;$C507):INDIRECT(BC$1&amp;BC$3&amp;$C507))</f>
        <v>0</v>
      </c>
      <c r="BD507" s="3243">
        <f t="shared" ca="1" si="725"/>
        <v>0</v>
      </c>
      <c r="BE507" s="2897">
        <f t="shared" ca="1" si="726"/>
        <v>0</v>
      </c>
      <c r="BF507" s="1228">
        <f ca="1">SUM(INDIRECT(BF$1&amp;BF$2&amp;$A507):INDIRECT(BF$1&amp;BF$3&amp;$A507))</f>
        <v>0</v>
      </c>
      <c r="BG507" s="3243">
        <f t="shared" ca="1" si="727"/>
        <v>0</v>
      </c>
      <c r="BH507" s="2897">
        <f t="shared" ca="1" si="728"/>
        <v>0</v>
      </c>
    </row>
    <row r="508" spans="1:60" ht="14.5">
      <c r="A508" s="616">
        <f t="shared" si="746"/>
        <v>459</v>
      </c>
      <c r="B508" s="616">
        <v>1</v>
      </c>
      <c r="C508" s="616">
        <f t="shared" si="710"/>
        <v>505</v>
      </c>
      <c r="E508" s="2547">
        <v>1</v>
      </c>
      <c r="I508" s="94"/>
      <c r="J508" s="93"/>
      <c r="K508" s="68"/>
      <c r="L508" s="68"/>
      <c r="N508" s="309" t="s">
        <v>1475</v>
      </c>
      <c r="O508" s="229"/>
      <c r="P508" s="229"/>
      <c r="Q508" s="1779" t="str">
        <f>CHOOSE(2, "6722000003427", "S/GP (1)-1 Gross Profit Direct NH &lt;Direct&gt;D&amp;A (-)")</f>
        <v>S/GP (1)-1 Gross Profit Direct NH &lt;Direct&gt;D&amp;A (-)</v>
      </c>
      <c r="R508" s="1217">
        <v>0</v>
      </c>
      <c r="S508" s="1217">
        <v>0</v>
      </c>
      <c r="T508" s="1217">
        <v>0</v>
      </c>
      <c r="U508" s="1217">
        <v>0</v>
      </c>
      <c r="V508" s="1217">
        <v>0</v>
      </c>
      <c r="W508" s="1217">
        <v>0</v>
      </c>
      <c r="X508" s="1217">
        <v>0</v>
      </c>
      <c r="Y508" s="1217">
        <v>0</v>
      </c>
      <c r="Z508" s="1217">
        <v>0</v>
      </c>
      <c r="AA508" s="1217">
        <v>0</v>
      </c>
      <c r="AB508" s="1217">
        <v>0</v>
      </c>
      <c r="AC508" s="1217">
        <v>0</v>
      </c>
      <c r="AD508" s="783">
        <f>SUM(R508,S508,T508)</f>
        <v>0</v>
      </c>
      <c r="AE508" s="1226">
        <f t="shared" si="788"/>
        <v>0</v>
      </c>
      <c r="AF508" s="1226">
        <f t="shared" si="789"/>
        <v>0</v>
      </c>
      <c r="AG508" s="1226">
        <f t="shared" si="790"/>
        <v>0</v>
      </c>
      <c r="AH508" s="1226">
        <f>AD508+AE508</f>
        <v>0</v>
      </c>
      <c r="AI508" s="1226">
        <f>AG508+AF508</f>
        <v>0</v>
      </c>
      <c r="AJ508" s="1226">
        <f>AH508+AI508</f>
        <v>0</v>
      </c>
      <c r="AL508" s="1226">
        <f ca="1">SUM((INDIRECT(AL$2&amp;(ROW())):INDIRECT(AL$3&amp;(ROW()))))</f>
        <v>0</v>
      </c>
      <c r="AM508" s="1226">
        <f ca="1">SUM(INDIRECT(AM$1&amp;AM$2&amp;$C508):INDIRECT(AM$1&amp;AM$3&amp;$C508))</f>
        <v>0</v>
      </c>
      <c r="AN508" s="3233">
        <f t="shared" ca="1" si="717"/>
        <v>0</v>
      </c>
      <c r="AO508" s="2890">
        <f t="shared" ca="1" si="718"/>
        <v>0</v>
      </c>
      <c r="AP508" s="1226">
        <f ca="1">SUM(INDIRECT(AP$1&amp;AP$2&amp;$A508):INDIRECT(AP$1&amp;AP$3&amp;$A508))</f>
        <v>27264</v>
      </c>
      <c r="AQ508" s="3233">
        <f t="shared" ca="1" si="719"/>
        <v>-27264</v>
      </c>
      <c r="AR508" s="2890">
        <f t="shared" ca="1" si="720"/>
        <v>0</v>
      </c>
      <c r="AT508" s="1226">
        <f ca="1">SUM((INDIRECT(AT$2&amp;(ROW())):INDIRECT(AT$3&amp;(ROW()))))</f>
        <v>0</v>
      </c>
      <c r="AU508" s="1226">
        <f ca="1">SUM(INDIRECT(AU$1&amp;AU$2&amp;$C508):INDIRECT(AU$1&amp;AU$3&amp;$C508))</f>
        <v>0</v>
      </c>
      <c r="AV508" s="3233">
        <f t="shared" ca="1" si="721"/>
        <v>0</v>
      </c>
      <c r="AW508" s="2890">
        <f t="shared" ca="1" si="722"/>
        <v>0</v>
      </c>
      <c r="AX508" s="1226">
        <f ca="1">SUM(INDIRECT(AX$1&amp;AX$2&amp;$A508):INDIRECT(AX$1&amp;AX$3&amp;$A508))</f>
        <v>79524</v>
      </c>
      <c r="AY508" s="3233">
        <f t="shared" ca="1" si="723"/>
        <v>-79524</v>
      </c>
      <c r="AZ508" s="2890">
        <f t="shared" ca="1" si="724"/>
        <v>0</v>
      </c>
      <c r="BB508" s="1226">
        <f ca="1">SUM((INDIRECT(BB$2&amp;(ROW())):INDIRECT(BB$3&amp;(ROW()))))</f>
        <v>0</v>
      </c>
      <c r="BC508" s="1226">
        <f ca="1">SUM(INDIRECT(BC$1&amp;BC$2&amp;$C508):INDIRECT(BC$1&amp;BC$3&amp;$C508))</f>
        <v>0</v>
      </c>
      <c r="BD508" s="3233">
        <f t="shared" ca="1" si="725"/>
        <v>0</v>
      </c>
      <c r="BE508" s="2890">
        <f t="shared" ca="1" si="726"/>
        <v>0</v>
      </c>
      <c r="BF508" s="1226">
        <f ca="1">SUM(INDIRECT(BF$1&amp;BF$2&amp;$A508):INDIRECT(BF$1&amp;BF$3&amp;$A508))</f>
        <v>279943.48511000001</v>
      </c>
      <c r="BG508" s="3233">
        <f t="shared" ca="1" si="727"/>
        <v>-279943.48511000001</v>
      </c>
      <c r="BH508" s="2890">
        <f t="shared" ca="1" si="728"/>
        <v>0</v>
      </c>
    </row>
    <row r="509" spans="1:60" s="9" customFormat="1" ht="14.5">
      <c r="A509" s="616">
        <f t="shared" si="746"/>
        <v>460</v>
      </c>
      <c r="B509" s="616">
        <v>1</v>
      </c>
      <c r="C509" s="616">
        <f t="shared" si="710"/>
        <v>506</v>
      </c>
      <c r="E509" s="2547">
        <v>1</v>
      </c>
      <c r="H509" s="22"/>
      <c r="I509" s="94"/>
      <c r="J509" s="214"/>
      <c r="K509" s="67"/>
      <c r="L509" s="67"/>
      <c r="M509" s="1475" t="s">
        <v>1386</v>
      </c>
      <c r="N509" s="1475"/>
      <c r="O509" s="1475"/>
      <c r="P509" s="1475"/>
      <c r="Q509" s="1779" t="str">
        <f>CHOOSE(2, "6722000003428", "S/GP (1)-1 Gross Profit Direct Others")</f>
        <v>S/GP (1)-1 Gross Profit Direct Others</v>
      </c>
      <c r="R509" s="3234">
        <v>0</v>
      </c>
      <c r="S509" s="3234">
        <v>0</v>
      </c>
      <c r="T509" s="3234">
        <v>0</v>
      </c>
      <c r="U509" s="3234">
        <v>0</v>
      </c>
      <c r="V509" s="3234">
        <v>0</v>
      </c>
      <c r="W509" s="3234">
        <v>0</v>
      </c>
      <c r="X509" s="3234">
        <v>0</v>
      </c>
      <c r="Y509" s="3234">
        <v>0</v>
      </c>
      <c r="Z509" s="3234">
        <v>0</v>
      </c>
      <c r="AA509" s="3234">
        <v>0</v>
      </c>
      <c r="AB509" s="3234">
        <v>0</v>
      </c>
      <c r="AC509" s="3234">
        <v>0</v>
      </c>
      <c r="AD509" s="3235">
        <f>SUM(R509,S509,T509)</f>
        <v>0</v>
      </c>
      <c r="AE509" s="3236">
        <f t="shared" si="788"/>
        <v>0</v>
      </c>
      <c r="AF509" s="3236">
        <f t="shared" si="789"/>
        <v>0</v>
      </c>
      <c r="AG509" s="3236">
        <f t="shared" si="790"/>
        <v>0</v>
      </c>
      <c r="AH509" s="3236">
        <f>AD509+AE509</f>
        <v>0</v>
      </c>
      <c r="AI509" s="3236">
        <f>AG509+AF509</f>
        <v>0</v>
      </c>
      <c r="AJ509" s="3236">
        <f>AH509+AI509</f>
        <v>0</v>
      </c>
      <c r="AL509" s="3236">
        <f ca="1">SUM((INDIRECT(AL$2&amp;(ROW())):INDIRECT(AL$3&amp;(ROW()))))</f>
        <v>0</v>
      </c>
      <c r="AM509" s="3236">
        <f ca="1">SUM(INDIRECT(AM$1&amp;AM$2&amp;$C509):INDIRECT(AM$1&amp;AM$3&amp;$C509))</f>
        <v>0</v>
      </c>
      <c r="AN509" s="3237">
        <f t="shared" ca="1" si="717"/>
        <v>0</v>
      </c>
      <c r="AO509" s="2892">
        <f t="shared" ca="1" si="718"/>
        <v>0</v>
      </c>
      <c r="AP509" s="3236">
        <f ca="1">SUM(INDIRECT(AP$1&amp;AP$2&amp;$A509):INDIRECT(AP$1&amp;AP$3&amp;$A509))</f>
        <v>27264</v>
      </c>
      <c r="AQ509" s="3237">
        <f t="shared" ca="1" si="719"/>
        <v>-27264</v>
      </c>
      <c r="AR509" s="2892">
        <f t="shared" ca="1" si="720"/>
        <v>0</v>
      </c>
      <c r="AT509" s="3236">
        <f ca="1">SUM((INDIRECT(AT$2&amp;(ROW())):INDIRECT(AT$3&amp;(ROW()))))</f>
        <v>0</v>
      </c>
      <c r="AU509" s="3236">
        <f ca="1">SUM(INDIRECT(AU$1&amp;AU$2&amp;$C509):INDIRECT(AU$1&amp;AU$3&amp;$C509))</f>
        <v>0</v>
      </c>
      <c r="AV509" s="3237">
        <f t="shared" ca="1" si="721"/>
        <v>0</v>
      </c>
      <c r="AW509" s="2892">
        <f t="shared" ca="1" si="722"/>
        <v>0</v>
      </c>
      <c r="AX509" s="3236">
        <f ca="1">SUM(INDIRECT(AX$1&amp;AX$2&amp;$A509):INDIRECT(AX$1&amp;AX$3&amp;$A509))</f>
        <v>79524</v>
      </c>
      <c r="AY509" s="3237">
        <f t="shared" ca="1" si="723"/>
        <v>-79524</v>
      </c>
      <c r="AZ509" s="2892">
        <f t="shared" ca="1" si="724"/>
        <v>0</v>
      </c>
      <c r="BB509" s="3236">
        <f ca="1">SUM((INDIRECT(BB$2&amp;(ROW())):INDIRECT(BB$3&amp;(ROW()))))</f>
        <v>0</v>
      </c>
      <c r="BC509" s="3236">
        <f ca="1">SUM(INDIRECT(BC$1&amp;BC$2&amp;$C509):INDIRECT(BC$1&amp;BC$3&amp;$C509))</f>
        <v>0</v>
      </c>
      <c r="BD509" s="3237">
        <f t="shared" ca="1" si="725"/>
        <v>0</v>
      </c>
      <c r="BE509" s="2892">
        <f t="shared" ca="1" si="726"/>
        <v>0</v>
      </c>
      <c r="BF509" s="3236">
        <f ca="1">SUM(INDIRECT(BF$1&amp;BF$2&amp;$A509):INDIRECT(BF$1&amp;BF$3&amp;$A509))</f>
        <v>279943.48511000001</v>
      </c>
      <c r="BG509" s="3237">
        <f t="shared" ca="1" si="727"/>
        <v>-279943.48511000001</v>
      </c>
      <c r="BH509" s="2892">
        <f t="shared" ca="1" si="728"/>
        <v>0</v>
      </c>
    </row>
    <row r="510" spans="1:60" ht="14.5">
      <c r="A510" s="616">
        <f t="shared" si="746"/>
        <v>461</v>
      </c>
      <c r="B510" s="616">
        <v>1</v>
      </c>
      <c r="C510" s="616">
        <f t="shared" si="710"/>
        <v>507</v>
      </c>
      <c r="E510" s="2547">
        <v>1</v>
      </c>
      <c r="I510" s="94"/>
      <c r="J510" s="93"/>
      <c r="K510" s="583" t="s">
        <v>1382</v>
      </c>
      <c r="L510" s="583"/>
      <c r="M510" s="583"/>
      <c r="N510" s="583"/>
      <c r="O510" s="583"/>
      <c r="P510" s="583"/>
      <c r="Q510" s="1812" t="str">
        <f>CHOOSE(2, "6722000003429", "S/GP (1)-1 Gross Profit Indirect")</f>
        <v>S/GP (1)-1 Gross Profit Indirect</v>
      </c>
      <c r="R510" s="1319">
        <f t="shared" ref="R510:AJ510" si="791">R511+R516+R533</f>
        <v>40159</v>
      </c>
      <c r="S510" s="3238">
        <f t="shared" si="791"/>
        <v>29496</v>
      </c>
      <c r="T510" s="3238">
        <f t="shared" si="791"/>
        <v>42523</v>
      </c>
      <c r="U510" s="3238">
        <f t="shared" si="791"/>
        <v>43120</v>
      </c>
      <c r="V510" s="3238">
        <f t="shared" si="791"/>
        <v>55053.555672472212</v>
      </c>
      <c r="W510" s="3238">
        <f t="shared" si="791"/>
        <v>60893</v>
      </c>
      <c r="X510" s="3238">
        <f t="shared" si="791"/>
        <v>62834</v>
      </c>
      <c r="Y510" s="3238">
        <f t="shared" si="791"/>
        <v>53610</v>
      </c>
      <c r="Z510" s="3238">
        <f t="shared" si="791"/>
        <v>67656</v>
      </c>
      <c r="AA510" s="3238">
        <f t="shared" si="791"/>
        <v>54111</v>
      </c>
      <c r="AB510" s="3238">
        <f t="shared" si="791"/>
        <v>37242</v>
      </c>
      <c r="AC510" s="3238">
        <f t="shared" si="791"/>
        <v>55194</v>
      </c>
      <c r="AD510" s="3238">
        <f t="shared" si="791"/>
        <v>112178</v>
      </c>
      <c r="AE510" s="3238">
        <f t="shared" si="791"/>
        <v>159066.55567247223</v>
      </c>
      <c r="AF510" s="3238">
        <f t="shared" si="791"/>
        <v>184100</v>
      </c>
      <c r="AG510" s="3238">
        <f t="shared" si="791"/>
        <v>146547</v>
      </c>
      <c r="AH510" s="3238">
        <f t="shared" si="791"/>
        <v>271244.55567247223</v>
      </c>
      <c r="AI510" s="3238">
        <f t="shared" si="791"/>
        <v>330647</v>
      </c>
      <c r="AJ510" s="3238">
        <f t="shared" si="791"/>
        <v>601891.55567247211</v>
      </c>
      <c r="AL510" s="1319">
        <f ca="1">SUM((INDIRECT(AL$2&amp;(ROW())):INDIRECT(AL$3&amp;(ROW()))))</f>
        <v>55194</v>
      </c>
      <c r="AM510" s="3238">
        <f ca="1">SUM(INDIRECT(AM$1&amp;AM$2&amp;$C510):INDIRECT(AM$1&amp;AM$3&amp;$C510))</f>
        <v>0</v>
      </c>
      <c r="AN510" s="3239">
        <f t="shared" ca="1" si="717"/>
        <v>55194</v>
      </c>
      <c r="AO510" s="3240">
        <f t="shared" ca="1" si="718"/>
        <v>0</v>
      </c>
      <c r="AP510" s="3238">
        <f ca="1">SUM(INDIRECT(AP$1&amp;AP$2&amp;$A510):INDIRECT(AP$1&amp;AP$3&amp;$A510))</f>
        <v>26309</v>
      </c>
      <c r="AQ510" s="3239">
        <f t="shared" ca="1" si="719"/>
        <v>28885</v>
      </c>
      <c r="AR510" s="3240">
        <f t="shared" ca="1" si="720"/>
        <v>2.0979132616214984</v>
      </c>
      <c r="AT510" s="1319">
        <f ca="1">SUM((INDIRECT(AT$2&amp;(ROW())):INDIRECT(AT$3&amp;(ROW()))))</f>
        <v>146547</v>
      </c>
      <c r="AU510" s="3238">
        <f ca="1">SUM(INDIRECT(AU$1&amp;AU$2&amp;$C510):INDIRECT(AU$1&amp;AU$3&amp;$C510))</f>
        <v>0</v>
      </c>
      <c r="AV510" s="3239">
        <f t="shared" ca="1" si="721"/>
        <v>146547</v>
      </c>
      <c r="AW510" s="3240">
        <f t="shared" ca="1" si="722"/>
        <v>0</v>
      </c>
      <c r="AX510" s="3238">
        <f ca="1">SUM(INDIRECT(AX$1&amp;AX$2&amp;$A510):INDIRECT(AX$1&amp;AX$3&amp;$A510))</f>
        <v>77178</v>
      </c>
      <c r="AY510" s="3239">
        <f t="shared" ca="1" si="723"/>
        <v>69369</v>
      </c>
      <c r="AZ510" s="3240">
        <f t="shared" ca="1" si="724"/>
        <v>1.898818316100443</v>
      </c>
      <c r="BB510" s="1319">
        <f ca="1">SUM((INDIRECT(BB$2&amp;(ROW())):INDIRECT(BB$3&amp;(ROW()))))</f>
        <v>601891.55567247223</v>
      </c>
      <c r="BC510" s="3238">
        <f ca="1">SUM(INDIRECT(BC$1&amp;BC$2&amp;$C510):INDIRECT(BC$1&amp;BC$3&amp;$C510))</f>
        <v>0</v>
      </c>
      <c r="BD510" s="3239">
        <f t="shared" ca="1" si="725"/>
        <v>601891.55567247223</v>
      </c>
      <c r="BE510" s="3240">
        <f t="shared" ca="1" si="726"/>
        <v>0</v>
      </c>
      <c r="BF510" s="3238">
        <f ca="1">SUM(INDIRECT(BF$1&amp;BF$2&amp;$A510):INDIRECT(BF$1&amp;BF$3&amp;$A510))</f>
        <v>272219.43911000004</v>
      </c>
      <c r="BG510" s="3239">
        <f t="shared" ca="1" si="727"/>
        <v>329672.11656247219</v>
      </c>
      <c r="BH510" s="3240">
        <f t="shared" ca="1" si="728"/>
        <v>2.2110528096020956</v>
      </c>
    </row>
    <row r="511" spans="1:60" s="9" customFormat="1" ht="14.5">
      <c r="A511" s="616">
        <f t="shared" si="746"/>
        <v>462</v>
      </c>
      <c r="B511" s="616">
        <v>1</v>
      </c>
      <c r="C511" s="616">
        <f t="shared" si="710"/>
        <v>508</v>
      </c>
      <c r="E511" s="2547">
        <v>1</v>
      </c>
      <c r="H511" s="22"/>
      <c r="I511" s="94"/>
      <c r="J511" s="214"/>
      <c r="K511" s="63"/>
      <c r="L511" s="63"/>
      <c r="M511" s="8" t="s">
        <v>1460</v>
      </c>
      <c r="N511" s="285"/>
      <c r="O511" s="285"/>
      <c r="P511" s="285"/>
      <c r="Q511" s="1777" t="str">
        <f>CHOOSE(2, "6722000003430", "S/GP (1)-1 Gross Profit Indirect HW")</f>
        <v>S/GP (1)-1 Gross Profit Indirect HW</v>
      </c>
      <c r="R511" s="287">
        <f>R512+R515</f>
        <v>14322</v>
      </c>
      <c r="S511" s="287">
        <f t="shared" ref="S511:AJ511" si="792">S512+S515</f>
        <v>20718</v>
      </c>
      <c r="T511" s="287">
        <f t="shared" si="792"/>
        <v>12824</v>
      </c>
      <c r="U511" s="287">
        <f t="shared" si="792"/>
        <v>19281</v>
      </c>
      <c r="V511" s="287">
        <f t="shared" si="792"/>
        <v>28157.382709815749</v>
      </c>
      <c r="W511" s="287">
        <f t="shared" si="792"/>
        <v>38590</v>
      </c>
      <c r="X511" s="287">
        <f t="shared" si="792"/>
        <v>37238</v>
      </c>
      <c r="Y511" s="287">
        <f t="shared" si="792"/>
        <v>23884</v>
      </c>
      <c r="Z511" s="287">
        <f t="shared" si="792"/>
        <v>45828</v>
      </c>
      <c r="AA511" s="287">
        <f t="shared" si="792"/>
        <v>32045</v>
      </c>
      <c r="AB511" s="287">
        <f t="shared" si="792"/>
        <v>18705</v>
      </c>
      <c r="AC511" s="287">
        <f t="shared" si="792"/>
        <v>31974</v>
      </c>
      <c r="AD511" s="895">
        <f t="shared" si="792"/>
        <v>47864</v>
      </c>
      <c r="AE511" s="287">
        <f t="shared" si="792"/>
        <v>86028.382709815749</v>
      </c>
      <c r="AF511" s="287">
        <f t="shared" si="792"/>
        <v>106950</v>
      </c>
      <c r="AG511" s="287">
        <f t="shared" si="792"/>
        <v>82724</v>
      </c>
      <c r="AH511" s="287">
        <f t="shared" si="792"/>
        <v>133892.38270981575</v>
      </c>
      <c r="AI511" s="287">
        <f t="shared" si="792"/>
        <v>189674</v>
      </c>
      <c r="AJ511" s="287">
        <f t="shared" si="792"/>
        <v>323566.38270981575</v>
      </c>
      <c r="AL511" s="287">
        <f ca="1">SUM((INDIRECT(AL$2&amp;(ROW())):INDIRECT(AL$3&amp;(ROW()))))</f>
        <v>31974</v>
      </c>
      <c r="AM511" s="287">
        <f ca="1">SUM(INDIRECT(AM$1&amp;AM$2&amp;$C511):INDIRECT(AM$1&amp;AM$3&amp;$C511))</f>
        <v>0</v>
      </c>
      <c r="AN511" s="3226">
        <f t="shared" ca="1" si="717"/>
        <v>31974</v>
      </c>
      <c r="AO511" s="2876">
        <f t="shared" ca="1" si="718"/>
        <v>0</v>
      </c>
      <c r="AP511" s="287">
        <f ca="1">SUM(INDIRECT(AP$1&amp;AP$2&amp;$A511):INDIRECT(AP$1&amp;AP$3&amp;$A511))</f>
        <v>26309</v>
      </c>
      <c r="AQ511" s="3226">
        <f t="shared" ca="1" si="719"/>
        <v>5665</v>
      </c>
      <c r="AR511" s="2876">
        <f t="shared" ca="1" si="720"/>
        <v>1.2153255539929302</v>
      </c>
      <c r="AT511" s="287">
        <f ca="1">SUM((INDIRECT(AT$2&amp;(ROW())):INDIRECT(AT$3&amp;(ROW()))))</f>
        <v>82724</v>
      </c>
      <c r="AU511" s="287">
        <f ca="1">SUM(INDIRECT(AU$1&amp;AU$2&amp;$C511):INDIRECT(AU$1&amp;AU$3&amp;$C511))</f>
        <v>0</v>
      </c>
      <c r="AV511" s="3226">
        <f t="shared" ca="1" si="721"/>
        <v>82724</v>
      </c>
      <c r="AW511" s="2876">
        <f t="shared" ca="1" si="722"/>
        <v>0</v>
      </c>
      <c r="AX511" s="287">
        <f ca="1">SUM(INDIRECT(AX$1&amp;AX$2&amp;$A511):INDIRECT(AX$1&amp;AX$3&amp;$A511))</f>
        <v>77178</v>
      </c>
      <c r="AY511" s="3226">
        <f t="shared" ca="1" si="723"/>
        <v>5546</v>
      </c>
      <c r="AZ511" s="2876">
        <f t="shared" ca="1" si="724"/>
        <v>1.0718598564357718</v>
      </c>
      <c r="BB511" s="287">
        <f ca="1">SUM((INDIRECT(BB$2&amp;(ROW())):INDIRECT(BB$3&amp;(ROW()))))</f>
        <v>323566.38270981575</v>
      </c>
      <c r="BC511" s="287">
        <f ca="1">SUM(INDIRECT(BC$1&amp;BC$2&amp;$C511):INDIRECT(BC$1&amp;BC$3&amp;$C511))</f>
        <v>0</v>
      </c>
      <c r="BD511" s="3226">
        <f t="shared" ca="1" si="725"/>
        <v>323566.38270981575</v>
      </c>
      <c r="BE511" s="2876">
        <f t="shared" ca="1" si="726"/>
        <v>0</v>
      </c>
      <c r="BF511" s="287">
        <f ca="1">SUM(INDIRECT(BF$1&amp;BF$2&amp;$A511):INDIRECT(BF$1&amp;BF$3&amp;$A511))</f>
        <v>272219.43911000004</v>
      </c>
      <c r="BG511" s="3226">
        <f t="shared" ca="1" si="727"/>
        <v>51346.943599815713</v>
      </c>
      <c r="BH511" s="2876">
        <f t="shared" ca="1" si="728"/>
        <v>1.1886233538930595</v>
      </c>
    </row>
    <row r="512" spans="1:60" ht="14.5">
      <c r="A512" s="616">
        <f t="shared" si="746"/>
        <v>463</v>
      </c>
      <c r="B512" s="616">
        <v>1</v>
      </c>
      <c r="C512" s="616">
        <f t="shared" si="710"/>
        <v>509</v>
      </c>
      <c r="E512" s="2547">
        <v>1</v>
      </c>
      <c r="I512" s="94"/>
      <c r="J512" s="93"/>
      <c r="K512" s="63"/>
      <c r="L512" s="63"/>
      <c r="N512" s="97" t="s">
        <v>1461</v>
      </c>
      <c r="O512" s="97"/>
      <c r="P512" s="97"/>
      <c r="Q512" s="1777" t="str">
        <f>CHOOSE(2, "6722000003431", "S/GP (1)-1 Gross Profit Indirect HW KMI")</f>
        <v>S/GP (1)-1 Gross Profit Indirect HW KMI</v>
      </c>
      <c r="R512" s="96">
        <f>SUM(R513:R514)</f>
        <v>14322</v>
      </c>
      <c r="S512" s="96">
        <f t="shared" ref="S512:AJ512" si="793">SUM(S513:S514)</f>
        <v>20718</v>
      </c>
      <c r="T512" s="96">
        <f t="shared" si="793"/>
        <v>12824</v>
      </c>
      <c r="U512" s="96">
        <f t="shared" si="793"/>
        <v>19281</v>
      </c>
      <c r="V512" s="96">
        <f t="shared" si="793"/>
        <v>28157.382709815749</v>
      </c>
      <c r="W512" s="96">
        <f t="shared" si="793"/>
        <v>38590</v>
      </c>
      <c r="X512" s="96">
        <f t="shared" si="793"/>
        <v>37238</v>
      </c>
      <c r="Y512" s="96">
        <f t="shared" si="793"/>
        <v>23884</v>
      </c>
      <c r="Z512" s="96">
        <f t="shared" si="793"/>
        <v>45828</v>
      </c>
      <c r="AA512" s="96">
        <f t="shared" si="793"/>
        <v>32045</v>
      </c>
      <c r="AB512" s="96">
        <f t="shared" si="793"/>
        <v>18705</v>
      </c>
      <c r="AC512" s="96">
        <f t="shared" si="793"/>
        <v>31974</v>
      </c>
      <c r="AD512" s="896">
        <f t="shared" si="793"/>
        <v>47864</v>
      </c>
      <c r="AE512" s="96">
        <f t="shared" si="793"/>
        <v>86028.382709815749</v>
      </c>
      <c r="AF512" s="96">
        <f t="shared" si="793"/>
        <v>106950</v>
      </c>
      <c r="AG512" s="96">
        <f t="shared" si="793"/>
        <v>82724</v>
      </c>
      <c r="AH512" s="96">
        <f t="shared" si="793"/>
        <v>133892.38270981575</v>
      </c>
      <c r="AI512" s="96">
        <f t="shared" si="793"/>
        <v>189674</v>
      </c>
      <c r="AJ512" s="96">
        <f t="shared" si="793"/>
        <v>323566.38270981575</v>
      </c>
      <c r="AL512" s="96">
        <f ca="1">SUM((INDIRECT(AL$2&amp;(ROW())):INDIRECT(AL$3&amp;(ROW()))))</f>
        <v>31974</v>
      </c>
      <c r="AM512" s="96">
        <f ca="1">SUM(INDIRECT(AM$1&amp;AM$2&amp;$C512):INDIRECT(AM$1&amp;AM$3&amp;$C512))</f>
        <v>-8828.9666666666672</v>
      </c>
      <c r="AN512" s="3227">
        <f t="shared" ca="1" si="717"/>
        <v>40802.966666666667</v>
      </c>
      <c r="AO512" s="2878">
        <f t="shared" ca="1" si="718"/>
        <v>-3.6214883583960371</v>
      </c>
      <c r="AP512" s="96">
        <f ca="1">SUM(INDIRECT(AP$1&amp;AP$2&amp;$A512):INDIRECT(AP$1&amp;AP$3&amp;$A512))</f>
        <v>0</v>
      </c>
      <c r="AQ512" s="3227">
        <f t="shared" ca="1" si="719"/>
        <v>31974</v>
      </c>
      <c r="AR512" s="2878">
        <f t="shared" ca="1" si="720"/>
        <v>0</v>
      </c>
      <c r="AT512" s="96">
        <f ca="1">SUM((INDIRECT(AT$2&amp;(ROW())):INDIRECT(AT$3&amp;(ROW()))))</f>
        <v>82724</v>
      </c>
      <c r="AU512" s="96">
        <f ca="1">SUM(INDIRECT(AU$1&amp;AU$2&amp;$C512):INDIRECT(AU$1&amp;AU$3&amp;$C512))</f>
        <v>-26647.933333333334</v>
      </c>
      <c r="AV512" s="3227">
        <f t="shared" ca="1" si="721"/>
        <v>109371.93333333333</v>
      </c>
      <c r="AW512" s="2878">
        <f t="shared" ca="1" si="722"/>
        <v>-3.1043307923816479</v>
      </c>
      <c r="AX512" s="96">
        <f ca="1">SUM(INDIRECT(AX$1&amp;AX$2&amp;$A512):INDIRECT(AX$1&amp;AX$3&amp;$A512))</f>
        <v>0</v>
      </c>
      <c r="AY512" s="3227">
        <f t="shared" ca="1" si="723"/>
        <v>82724</v>
      </c>
      <c r="AZ512" s="2878">
        <f t="shared" ca="1" si="724"/>
        <v>0</v>
      </c>
      <c r="BB512" s="96">
        <f ca="1">SUM((INDIRECT(BB$2&amp;(ROW())):INDIRECT(BB$3&amp;(ROW()))))</f>
        <v>323566.38270981575</v>
      </c>
      <c r="BC512" s="96">
        <f ca="1">SUM(INDIRECT(BC$1&amp;BC$2&amp;$C512):INDIRECT(BC$1&amp;BC$3&amp;$C512))</f>
        <v>-44627.933333333342</v>
      </c>
      <c r="BD512" s="3227">
        <f t="shared" ca="1" si="725"/>
        <v>368194.3160431491</v>
      </c>
      <c r="BE512" s="2878">
        <f t="shared" ca="1" si="726"/>
        <v>-7.2503107032325573</v>
      </c>
      <c r="BF512" s="96">
        <f ca="1">SUM(INDIRECT(BF$1&amp;BF$2&amp;$A512):INDIRECT(BF$1&amp;BF$3&amp;$A512))</f>
        <v>0</v>
      </c>
      <c r="BG512" s="3227">
        <f t="shared" ca="1" si="727"/>
        <v>323566.38270981575</v>
      </c>
      <c r="BH512" s="2878">
        <f t="shared" ca="1" si="728"/>
        <v>0</v>
      </c>
    </row>
    <row r="513" spans="1:60" ht="14.5">
      <c r="A513" s="616">
        <f t="shared" si="746"/>
        <v>464</v>
      </c>
      <c r="B513" s="616">
        <v>1</v>
      </c>
      <c r="C513" s="616">
        <f t="shared" si="710"/>
        <v>510</v>
      </c>
      <c r="E513" s="2547">
        <v>1</v>
      </c>
      <c r="I513" s="94"/>
      <c r="J513" s="93"/>
      <c r="K513" s="63"/>
      <c r="L513" s="63"/>
      <c r="O513" s="97" t="s">
        <v>1462</v>
      </c>
      <c r="P513" s="97"/>
      <c r="Q513" s="1779" t="str">
        <f>CHOOSE(2, "6722000003432", "S/GP (1)-1 Gross Profit Indirect HW KMI Office A3")</f>
        <v>S/GP (1)-1 Gross Profit Indirect HW KMI Office A3</v>
      </c>
      <c r="R513" s="1227">
        <v>14284</v>
      </c>
      <c r="S513" s="1227">
        <v>20718</v>
      </c>
      <c r="T513" s="1227">
        <v>12824</v>
      </c>
      <c r="U513" s="1227">
        <v>19281</v>
      </c>
      <c r="V513" s="1227">
        <v>28157.382709815749</v>
      </c>
      <c r="W513" s="1227">
        <v>38590</v>
      </c>
      <c r="X513" s="1227">
        <v>37238</v>
      </c>
      <c r="Y513" s="1227">
        <v>23884</v>
      </c>
      <c r="Z513" s="1227">
        <v>45828</v>
      </c>
      <c r="AA513" s="1227">
        <v>32045</v>
      </c>
      <c r="AB513" s="1227">
        <v>18705</v>
      </c>
      <c r="AC513" s="1227">
        <v>31974</v>
      </c>
      <c r="AD513" s="896">
        <f>SUM(R513,S513,T513)</f>
        <v>47826</v>
      </c>
      <c r="AE513" s="95">
        <f t="shared" ref="AE513:AE515" si="794">SUM(U513,V513,W513)</f>
        <v>86028.382709815749</v>
      </c>
      <c r="AF513" s="95">
        <f t="shared" ref="AF513:AF515" si="795">SUM(X513,Y513,Z513)</f>
        <v>106950</v>
      </c>
      <c r="AG513" s="95">
        <f t="shared" ref="AG513:AG515" si="796">SUM(AA513,AB513,AC513)</f>
        <v>82724</v>
      </c>
      <c r="AH513" s="95">
        <f>AD513+AE513</f>
        <v>133854.38270981575</v>
      </c>
      <c r="AI513" s="95">
        <f>AG513+AF513</f>
        <v>189674</v>
      </c>
      <c r="AJ513" s="95">
        <f>AH513+AI513</f>
        <v>323528.38270981575</v>
      </c>
      <c r="AL513" s="95">
        <f ca="1">SUM((INDIRECT(AL$2&amp;(ROW())):INDIRECT(AL$3&amp;(ROW()))))</f>
        <v>31974</v>
      </c>
      <c r="AM513" s="95">
        <f ca="1">SUM(INDIRECT(AM$1&amp;AM$2&amp;$C513):INDIRECT(AM$1&amp;AM$3&amp;$C513))</f>
        <v>-2991</v>
      </c>
      <c r="AN513" s="3228">
        <f t="shared" ca="1" si="717"/>
        <v>34965</v>
      </c>
      <c r="AO513" s="2880">
        <f t="shared" ca="1" si="718"/>
        <v>-10.690070210631896</v>
      </c>
      <c r="AP513" s="95">
        <f ca="1">SUM(INDIRECT(AP$1&amp;AP$2&amp;$A513):INDIRECT(AP$1&amp;AP$3&amp;$A513))</f>
        <v>955</v>
      </c>
      <c r="AQ513" s="3228">
        <f t="shared" ca="1" si="719"/>
        <v>31019</v>
      </c>
      <c r="AR513" s="2880">
        <f t="shared" ca="1" si="720"/>
        <v>33.480628272251309</v>
      </c>
      <c r="AT513" s="95">
        <f ca="1">SUM((INDIRECT(AT$2&amp;(ROW())):INDIRECT(AT$3&amp;(ROW()))))</f>
        <v>82724</v>
      </c>
      <c r="AU513" s="95">
        <f ca="1">SUM(INDIRECT(AU$1&amp;AU$2&amp;$C513):INDIRECT(AU$1&amp;AU$3&amp;$C513))</f>
        <v>-9080.8000000000011</v>
      </c>
      <c r="AV513" s="3228">
        <f t="shared" ca="1" si="721"/>
        <v>91804.800000000003</v>
      </c>
      <c r="AW513" s="2880">
        <f t="shared" ca="1" si="722"/>
        <v>-9.1097700643115136</v>
      </c>
      <c r="AX513" s="95">
        <f ca="1">SUM(INDIRECT(AX$1&amp;AX$2&amp;$A513):INDIRECT(AX$1&amp;AX$3&amp;$A513))</f>
        <v>2346</v>
      </c>
      <c r="AY513" s="3228">
        <f t="shared" ca="1" si="723"/>
        <v>80378</v>
      </c>
      <c r="AZ513" s="2880">
        <f t="shared" ca="1" si="724"/>
        <v>35.261722080136401</v>
      </c>
      <c r="BB513" s="95">
        <f ca="1">SUM((INDIRECT(BB$2&amp;(ROW())):INDIRECT(BB$3&amp;(ROW()))))</f>
        <v>323528.38270981575</v>
      </c>
      <c r="BC513" s="95">
        <f ca="1">SUM(INDIRECT(BC$1&amp;BC$2&amp;$C513):INDIRECT(BC$1&amp;BC$3&amp;$C513))</f>
        <v>-15278.400000000001</v>
      </c>
      <c r="BD513" s="3228">
        <f t="shared" ca="1" si="725"/>
        <v>338806.78270981577</v>
      </c>
      <c r="BE513" s="2880">
        <f t="shared" ca="1" si="726"/>
        <v>-21.175540809889497</v>
      </c>
      <c r="BF513" s="95">
        <f ca="1">SUM(INDIRECT(BF$1&amp;BF$2&amp;$A513):INDIRECT(BF$1&amp;BF$3&amp;$A513))</f>
        <v>7724.0460000000003</v>
      </c>
      <c r="BG513" s="3228">
        <f t="shared" ca="1" si="727"/>
        <v>315804.33670981578</v>
      </c>
      <c r="BH513" s="2880">
        <f t="shared" ca="1" si="728"/>
        <v>41.885869492467513</v>
      </c>
    </row>
    <row r="514" spans="1:60" ht="14.5">
      <c r="A514" s="616">
        <f t="shared" si="746"/>
        <v>465</v>
      </c>
      <c r="B514" s="616">
        <v>1</v>
      </c>
      <c r="C514" s="616">
        <f t="shared" ref="C514:C577" si="797">ROW()-3</f>
        <v>511</v>
      </c>
      <c r="E514" s="2547">
        <v>1</v>
      </c>
      <c r="I514" s="94"/>
      <c r="J514" s="93"/>
      <c r="K514" s="63"/>
      <c r="L514" s="63"/>
      <c r="N514" s="285"/>
      <c r="O514" s="285" t="s">
        <v>1463</v>
      </c>
      <c r="P514" s="285"/>
      <c r="Q514" s="1779" t="str">
        <f>CHOOSE(2, "6722000003433", "S/GP (1)-1 Gross Profit Indirect HW KMI Office A4")</f>
        <v>S/GP (1)-1 Gross Profit Indirect HW KMI Office A4</v>
      </c>
      <c r="R514" s="1245">
        <v>38</v>
      </c>
      <c r="S514" s="1245">
        <v>0</v>
      </c>
      <c r="T514" s="1245">
        <v>0</v>
      </c>
      <c r="U514" s="1245">
        <v>0</v>
      </c>
      <c r="V514" s="1245">
        <v>0</v>
      </c>
      <c r="W514" s="1245">
        <v>0</v>
      </c>
      <c r="X514" s="1245">
        <v>0</v>
      </c>
      <c r="Y514" s="1245">
        <v>0</v>
      </c>
      <c r="Z514" s="1245">
        <v>0</v>
      </c>
      <c r="AA514" s="1245">
        <v>0</v>
      </c>
      <c r="AB514" s="1245">
        <v>0</v>
      </c>
      <c r="AC514" s="1245">
        <v>0</v>
      </c>
      <c r="AD514" s="895">
        <f>SUM(R514,S514,T514)</f>
        <v>38</v>
      </c>
      <c r="AE514" s="1248">
        <f t="shared" si="794"/>
        <v>0</v>
      </c>
      <c r="AF514" s="1248">
        <f t="shared" si="795"/>
        <v>0</v>
      </c>
      <c r="AG514" s="1248">
        <f t="shared" si="796"/>
        <v>0</v>
      </c>
      <c r="AH514" s="1248">
        <f>AD514+AE514</f>
        <v>38</v>
      </c>
      <c r="AI514" s="1248">
        <f>AG514+AF514</f>
        <v>0</v>
      </c>
      <c r="AJ514" s="1248">
        <f>AH514+AI514</f>
        <v>38</v>
      </c>
      <c r="AL514" s="1248">
        <f ca="1">SUM((INDIRECT(AL$2&amp;(ROW())):INDIRECT(AL$3&amp;(ROW()))))</f>
        <v>0</v>
      </c>
      <c r="AM514" s="1248">
        <f ca="1">SUM(INDIRECT(AM$1&amp;AM$2&amp;$C514):INDIRECT(AM$1&amp;AM$3&amp;$C514))</f>
        <v>-400</v>
      </c>
      <c r="AN514" s="3229">
        <f t="shared" ca="1" si="717"/>
        <v>400</v>
      </c>
      <c r="AO514" s="2882">
        <f t="shared" ca="1" si="718"/>
        <v>0</v>
      </c>
      <c r="AP514" s="1248">
        <f ca="1">SUM(INDIRECT(AP$1&amp;AP$2&amp;$A514):INDIRECT(AP$1&amp;AP$3&amp;$A514))</f>
        <v>955</v>
      </c>
      <c r="AQ514" s="3229">
        <f t="shared" ca="1" si="719"/>
        <v>-955</v>
      </c>
      <c r="AR514" s="2882">
        <f t="shared" ca="1" si="720"/>
        <v>0</v>
      </c>
      <c r="AT514" s="1248">
        <f ca="1">SUM((INDIRECT(AT$2&amp;(ROW())):INDIRECT(AT$3&amp;(ROW()))))</f>
        <v>0</v>
      </c>
      <c r="AU514" s="1248">
        <f ca="1">SUM(INDIRECT(AU$1&amp;AU$2&amp;$C514):INDIRECT(AU$1&amp;AU$3&amp;$C514))</f>
        <v>-1200</v>
      </c>
      <c r="AV514" s="3229">
        <f t="shared" ca="1" si="721"/>
        <v>1200</v>
      </c>
      <c r="AW514" s="2882">
        <f t="shared" ca="1" si="722"/>
        <v>0</v>
      </c>
      <c r="AX514" s="1248">
        <f ca="1">SUM(INDIRECT(AX$1&amp;AX$2&amp;$A514):INDIRECT(AX$1&amp;AX$3&amp;$A514))</f>
        <v>2346</v>
      </c>
      <c r="AY514" s="3229">
        <f t="shared" ca="1" si="723"/>
        <v>-2346</v>
      </c>
      <c r="AZ514" s="2882">
        <f t="shared" ca="1" si="724"/>
        <v>0</v>
      </c>
      <c r="BB514" s="1248">
        <f ca="1">SUM((INDIRECT(BB$2&amp;(ROW())):INDIRECT(BB$3&amp;(ROW()))))</f>
        <v>38</v>
      </c>
      <c r="BC514" s="1248">
        <f ca="1">SUM(INDIRECT(BC$1&amp;BC$2&amp;$C514):INDIRECT(BC$1&amp;BC$3&amp;$C514))</f>
        <v>-2000</v>
      </c>
      <c r="BD514" s="3229">
        <f t="shared" ca="1" si="725"/>
        <v>2038</v>
      </c>
      <c r="BE514" s="2882">
        <f t="shared" ca="1" si="726"/>
        <v>-1.9E-2</v>
      </c>
      <c r="BF514" s="1248">
        <f ca="1">SUM(INDIRECT(BF$1&amp;BF$2&amp;$A514):INDIRECT(BF$1&amp;BF$3&amp;$A514))</f>
        <v>7724.0460000000003</v>
      </c>
      <c r="BG514" s="3229">
        <f t="shared" ca="1" si="727"/>
        <v>-7686.0460000000003</v>
      </c>
      <c r="BH514" s="2882">
        <f t="shared" ca="1" si="728"/>
        <v>4.9197014103748212E-3</v>
      </c>
    </row>
    <row r="515" spans="1:60" ht="14.5" collapsed="1">
      <c r="A515" s="616">
        <f t="shared" si="746"/>
        <v>466</v>
      </c>
      <c r="B515" s="616">
        <v>1</v>
      </c>
      <c r="C515" s="616">
        <f t="shared" si="797"/>
        <v>512</v>
      </c>
      <c r="E515" s="2547">
        <v>1</v>
      </c>
      <c r="I515" s="94"/>
      <c r="J515" s="93"/>
      <c r="K515" s="63"/>
      <c r="L515" s="63"/>
      <c r="M515" s="11"/>
      <c r="N515" s="288" t="s">
        <v>1464</v>
      </c>
      <c r="O515" s="288"/>
      <c r="P515" s="288"/>
      <c r="Q515" s="1779" t="str">
        <f>CHOOSE(2, "6722000003434", "S/GP (1)-1 Gross Profit Indirect HW 3rd Party")</f>
        <v>S/GP (1)-1 Gross Profit Indirect HW 3rd Party</v>
      </c>
      <c r="R515" s="1246">
        <v>0</v>
      </c>
      <c r="S515" s="1246">
        <v>0</v>
      </c>
      <c r="T515" s="1246">
        <v>0</v>
      </c>
      <c r="U515" s="1246">
        <v>0</v>
      </c>
      <c r="V515" s="1246">
        <v>0</v>
      </c>
      <c r="W515" s="1246">
        <v>0</v>
      </c>
      <c r="X515" s="1246">
        <v>0</v>
      </c>
      <c r="Y515" s="1246">
        <v>0</v>
      </c>
      <c r="Z515" s="1246">
        <v>0</v>
      </c>
      <c r="AA515" s="1246">
        <v>0</v>
      </c>
      <c r="AB515" s="1246">
        <v>0</v>
      </c>
      <c r="AC515" s="1246">
        <v>0</v>
      </c>
      <c r="AD515" s="897">
        <f>SUM(R515,S515,T515)</f>
        <v>0</v>
      </c>
      <c r="AE515" s="297">
        <f t="shared" si="794"/>
        <v>0</v>
      </c>
      <c r="AF515" s="297">
        <f t="shared" si="795"/>
        <v>0</v>
      </c>
      <c r="AG515" s="297">
        <f t="shared" si="796"/>
        <v>0</v>
      </c>
      <c r="AH515" s="297">
        <f>AD515+AE515</f>
        <v>0</v>
      </c>
      <c r="AI515" s="297">
        <f>AG515+AF515</f>
        <v>0</v>
      </c>
      <c r="AJ515" s="297">
        <f>AH515+AI515</f>
        <v>0</v>
      </c>
      <c r="AL515" s="297">
        <f ca="1">SUM((INDIRECT(AL$2&amp;(ROW())):INDIRECT(AL$3&amp;(ROW()))))</f>
        <v>0</v>
      </c>
      <c r="AM515" s="297">
        <f ca="1">SUM(INDIRECT(AM$1&amp;AM$2&amp;$C515):INDIRECT(AM$1&amp;AM$3&amp;$C515))</f>
        <v>-5437.9666666666662</v>
      </c>
      <c r="AN515" s="3230">
        <f t="shared" ca="1" si="717"/>
        <v>5437.9666666666662</v>
      </c>
      <c r="AO515" s="2884">
        <f t="shared" ca="1" si="718"/>
        <v>0</v>
      </c>
      <c r="AP515" s="297">
        <f ca="1">SUM(INDIRECT(AP$1&amp;AP$2&amp;$A515):INDIRECT(AP$1&amp;AP$3&amp;$A515))</f>
        <v>0</v>
      </c>
      <c r="AQ515" s="3230">
        <f t="shared" ca="1" si="719"/>
        <v>0</v>
      </c>
      <c r="AR515" s="2884">
        <f t="shared" ca="1" si="720"/>
        <v>0</v>
      </c>
      <c r="AT515" s="297">
        <f ca="1">SUM((INDIRECT(AT$2&amp;(ROW())):INDIRECT(AT$3&amp;(ROW()))))</f>
        <v>0</v>
      </c>
      <c r="AU515" s="297">
        <f ca="1">SUM(INDIRECT(AU$1&amp;AU$2&amp;$C515):INDIRECT(AU$1&amp;AU$3&amp;$C515))</f>
        <v>-16367.133333333335</v>
      </c>
      <c r="AV515" s="3230">
        <f t="shared" ca="1" si="721"/>
        <v>16367.133333333335</v>
      </c>
      <c r="AW515" s="2884">
        <f t="shared" ca="1" si="722"/>
        <v>0</v>
      </c>
      <c r="AX515" s="297">
        <f ca="1">SUM(INDIRECT(AX$1&amp;AX$2&amp;$A515):INDIRECT(AX$1&amp;AX$3&amp;$A515))</f>
        <v>0</v>
      </c>
      <c r="AY515" s="3230">
        <f t="shared" ca="1" si="723"/>
        <v>0</v>
      </c>
      <c r="AZ515" s="2884">
        <f t="shared" ca="1" si="724"/>
        <v>0</v>
      </c>
      <c r="BB515" s="297">
        <f ca="1">SUM((INDIRECT(BB$2&amp;(ROW())):INDIRECT(BB$3&amp;(ROW()))))</f>
        <v>0</v>
      </c>
      <c r="BC515" s="297">
        <f ca="1">SUM(INDIRECT(BC$1&amp;BC$2&amp;$C515):INDIRECT(BC$1&amp;BC$3&amp;$C515))</f>
        <v>-27349.533333333336</v>
      </c>
      <c r="BD515" s="3230">
        <f t="shared" ca="1" si="725"/>
        <v>27349.533333333336</v>
      </c>
      <c r="BE515" s="2884">
        <f t="shared" ca="1" si="726"/>
        <v>0</v>
      </c>
      <c r="BF515" s="297">
        <f ca="1">SUM(INDIRECT(BF$1&amp;BF$2&amp;$A515):INDIRECT(BF$1&amp;BF$3&amp;$A515))</f>
        <v>0</v>
      </c>
      <c r="BG515" s="3230">
        <f t="shared" ca="1" si="727"/>
        <v>0</v>
      </c>
      <c r="BH515" s="2884">
        <f t="shared" ca="1" si="728"/>
        <v>0</v>
      </c>
    </row>
    <row r="516" spans="1:60" s="9" customFormat="1" ht="14.5">
      <c r="A516" s="616">
        <f t="shared" si="746"/>
        <v>467</v>
      </c>
      <c r="B516" s="616">
        <v>1</v>
      </c>
      <c r="C516" s="616">
        <f t="shared" si="797"/>
        <v>513</v>
      </c>
      <c r="E516" s="2547">
        <v>1</v>
      </c>
      <c r="H516" s="22"/>
      <c r="I516" s="94"/>
      <c r="J516" s="214"/>
      <c r="K516" s="63"/>
      <c r="L516" s="63"/>
      <c r="M516" s="8" t="s">
        <v>1405</v>
      </c>
      <c r="N516" s="285"/>
      <c r="O516" s="285"/>
      <c r="P516" s="285"/>
      <c r="Q516" s="1777" t="str">
        <f>CHOOSE(2, "6722000003435", "S/GP (1)-1 Gross Profit Indirect NH")</f>
        <v>S/GP (1)-1 Gross Profit Indirect NH</v>
      </c>
      <c r="R516" s="287">
        <f t="shared" ref="R516:AJ516" si="798">R517+R525+R529+R532+R524</f>
        <v>25837</v>
      </c>
      <c r="S516" s="287">
        <f t="shared" si="798"/>
        <v>8778</v>
      </c>
      <c r="T516" s="287">
        <f t="shared" si="798"/>
        <v>29699</v>
      </c>
      <c r="U516" s="287">
        <f t="shared" si="798"/>
        <v>23839</v>
      </c>
      <c r="V516" s="287">
        <f t="shared" si="798"/>
        <v>26896.172962656459</v>
      </c>
      <c r="W516" s="287">
        <f t="shared" si="798"/>
        <v>22303</v>
      </c>
      <c r="X516" s="287">
        <f t="shared" si="798"/>
        <v>25596</v>
      </c>
      <c r="Y516" s="287">
        <f t="shared" si="798"/>
        <v>29726</v>
      </c>
      <c r="Z516" s="287">
        <f t="shared" si="798"/>
        <v>21828</v>
      </c>
      <c r="AA516" s="287">
        <f t="shared" si="798"/>
        <v>22066</v>
      </c>
      <c r="AB516" s="287">
        <f t="shared" si="798"/>
        <v>18537</v>
      </c>
      <c r="AC516" s="287">
        <f t="shared" si="798"/>
        <v>23220</v>
      </c>
      <c r="AD516" s="315">
        <f t="shared" si="798"/>
        <v>64314</v>
      </c>
      <c r="AE516" s="287">
        <f t="shared" si="798"/>
        <v>73038.172962656463</v>
      </c>
      <c r="AF516" s="287">
        <f t="shared" si="798"/>
        <v>77150</v>
      </c>
      <c r="AG516" s="287">
        <f t="shared" si="798"/>
        <v>63823</v>
      </c>
      <c r="AH516" s="287">
        <f t="shared" si="798"/>
        <v>137352.17296265648</v>
      </c>
      <c r="AI516" s="287">
        <f t="shared" si="798"/>
        <v>140973</v>
      </c>
      <c r="AJ516" s="287">
        <f t="shared" si="798"/>
        <v>278325.17296265642</v>
      </c>
      <c r="AL516" s="287">
        <f ca="1">SUM((INDIRECT(AL$2&amp;(ROW())):INDIRECT(AL$3&amp;(ROW()))))</f>
        <v>23220</v>
      </c>
      <c r="AM516" s="287">
        <f ca="1">SUM(INDIRECT(AM$1&amp;AM$2&amp;$C516):INDIRECT(AM$1&amp;AM$3&amp;$C516))</f>
        <v>-33</v>
      </c>
      <c r="AN516" s="3226">
        <f t="shared" ref="AN516:AN533" ca="1" si="799">AL516-AM516</f>
        <v>23253</v>
      </c>
      <c r="AO516" s="2876">
        <f t="shared" ref="AO516:AO533" ca="1" si="800">IFERROR(AL516/AM516,0)</f>
        <v>-703.63636363636363</v>
      </c>
      <c r="AP516" s="287">
        <f ca="1">SUM(INDIRECT(AP$1&amp;AP$2&amp;$A516):INDIRECT(AP$1&amp;AP$3&amp;$A516))</f>
        <v>0</v>
      </c>
      <c r="AQ516" s="3226">
        <f t="shared" ref="AQ516:AQ533" ca="1" si="801">AL516-AP516</f>
        <v>23220</v>
      </c>
      <c r="AR516" s="2876">
        <f t="shared" ref="AR516:AR533" ca="1" si="802">IFERROR(AL516/AP516,0)</f>
        <v>0</v>
      </c>
      <c r="AT516" s="287">
        <f ca="1">SUM((INDIRECT(AT$2&amp;(ROW())):INDIRECT(AT$3&amp;(ROW()))))</f>
        <v>63823</v>
      </c>
      <c r="AU516" s="287">
        <f ca="1">SUM(INDIRECT(AU$1&amp;AU$2&amp;$C516):INDIRECT(AU$1&amp;AU$3&amp;$C516))</f>
        <v>-99</v>
      </c>
      <c r="AV516" s="3226">
        <f t="shared" ref="AV516:AV533" ca="1" si="803">AT516-AU516</f>
        <v>63922</v>
      </c>
      <c r="AW516" s="2876">
        <f t="shared" ref="AW516:AW533" ca="1" si="804">IFERROR(AT516/AU516,0)</f>
        <v>-644.67676767676767</v>
      </c>
      <c r="AX516" s="287">
        <f ca="1">SUM(INDIRECT(AX$1&amp;AX$2&amp;$A516):INDIRECT(AX$1&amp;AX$3&amp;$A516))</f>
        <v>0</v>
      </c>
      <c r="AY516" s="3226">
        <f t="shared" ref="AY516:AY533" ca="1" si="805">AT516-AX516</f>
        <v>63823</v>
      </c>
      <c r="AZ516" s="2876">
        <f t="shared" ref="AZ516:AZ533" ca="1" si="806">IFERROR(AT516/AX516,0)</f>
        <v>0</v>
      </c>
      <c r="BB516" s="287">
        <f ca="1">SUM((INDIRECT(BB$2&amp;(ROW())):INDIRECT(BB$3&amp;(ROW()))))</f>
        <v>278325.17296265648</v>
      </c>
      <c r="BC516" s="287">
        <f ca="1">SUM(INDIRECT(BC$1&amp;BC$2&amp;$C516):INDIRECT(BC$1&amp;BC$3&amp;$C516))</f>
        <v>-165</v>
      </c>
      <c r="BD516" s="3226">
        <f t="shared" ref="BD516:BD533" ca="1" si="807">BB516-BC516</f>
        <v>278490.17296265648</v>
      </c>
      <c r="BE516" s="2876">
        <f t="shared" ref="BE516:BE533" ca="1" si="808">IFERROR(BB516/BC516,0)</f>
        <v>-1686.8192300767059</v>
      </c>
      <c r="BF516" s="287">
        <f ca="1">SUM(INDIRECT(BF$1&amp;BF$2&amp;$A516):INDIRECT(BF$1&amp;BF$3&amp;$A516))</f>
        <v>0</v>
      </c>
      <c r="BG516" s="3226">
        <f t="shared" ref="BG516:BG533" ca="1" si="809">BB516-BF516</f>
        <v>278325.17296265648</v>
      </c>
      <c r="BH516" s="2876">
        <f t="shared" ref="BH516:BH533" ca="1" si="810">IFERROR(BB516/BF516,0)</f>
        <v>0</v>
      </c>
    </row>
    <row r="517" spans="1:60" ht="14.5">
      <c r="A517" s="616">
        <f t="shared" si="746"/>
        <v>468</v>
      </c>
      <c r="B517" s="616">
        <v>1</v>
      </c>
      <c r="C517" s="616">
        <f t="shared" si="797"/>
        <v>514</v>
      </c>
      <c r="E517" s="2547">
        <v>1</v>
      </c>
      <c r="I517" s="94"/>
      <c r="J517" s="93"/>
      <c r="K517" s="63"/>
      <c r="L517" s="63"/>
      <c r="N517" s="97" t="s">
        <v>1461</v>
      </c>
      <c r="O517" s="97"/>
      <c r="P517" s="97"/>
      <c r="Q517" s="1777" t="str">
        <f>CHOOSE(2, "6722000003436", "S/GP (1)-1 Gross Profit Indirect NH KMI")</f>
        <v>S/GP (1)-1 Gross Profit Indirect NH KMI</v>
      </c>
      <c r="R517" s="96">
        <f>R518+R521</f>
        <v>25837</v>
      </c>
      <c r="S517" s="96">
        <f t="shared" ref="S517:AC517" si="811">S518+S521</f>
        <v>8778</v>
      </c>
      <c r="T517" s="96">
        <f t="shared" si="811"/>
        <v>29699</v>
      </c>
      <c r="U517" s="96">
        <f t="shared" si="811"/>
        <v>23839</v>
      </c>
      <c r="V517" s="96">
        <f t="shared" si="811"/>
        <v>26896.172962656459</v>
      </c>
      <c r="W517" s="96">
        <f t="shared" si="811"/>
        <v>22303</v>
      </c>
      <c r="X517" s="96">
        <f t="shared" si="811"/>
        <v>25596</v>
      </c>
      <c r="Y517" s="96">
        <f t="shared" si="811"/>
        <v>29726</v>
      </c>
      <c r="Z517" s="96">
        <f t="shared" si="811"/>
        <v>21828</v>
      </c>
      <c r="AA517" s="96">
        <f t="shared" si="811"/>
        <v>22066</v>
      </c>
      <c r="AB517" s="96">
        <f t="shared" si="811"/>
        <v>18537</v>
      </c>
      <c r="AC517" s="96">
        <f t="shared" si="811"/>
        <v>23220</v>
      </c>
      <c r="AD517" s="896">
        <f>AD518+AD521</f>
        <v>64314</v>
      </c>
      <c r="AE517" s="95">
        <f t="shared" ref="AE517:AJ517" si="812">AE518+AE521</f>
        <v>73038.172962656463</v>
      </c>
      <c r="AF517" s="95">
        <f t="shared" si="812"/>
        <v>77150</v>
      </c>
      <c r="AG517" s="95">
        <f t="shared" si="812"/>
        <v>63823</v>
      </c>
      <c r="AH517" s="95">
        <f t="shared" si="812"/>
        <v>137352.17296265648</v>
      </c>
      <c r="AI517" s="95">
        <f t="shared" si="812"/>
        <v>140973</v>
      </c>
      <c r="AJ517" s="95">
        <f t="shared" si="812"/>
        <v>278325.17296265642</v>
      </c>
      <c r="AL517" s="95">
        <f ca="1">SUM((INDIRECT(AL$2&amp;(ROW())):INDIRECT(AL$3&amp;(ROW()))))</f>
        <v>23220</v>
      </c>
      <c r="AM517" s="95">
        <f ca="1">SUM(INDIRECT(AM$1&amp;AM$2&amp;$C517):INDIRECT(AM$1&amp;AM$3&amp;$C517))</f>
        <v>-33</v>
      </c>
      <c r="AN517" s="3228">
        <f t="shared" ca="1" si="799"/>
        <v>23253</v>
      </c>
      <c r="AO517" s="2880">
        <f t="shared" ca="1" si="800"/>
        <v>-703.63636363636363</v>
      </c>
      <c r="AP517" s="95">
        <f ca="1">SUM(INDIRECT(AP$1&amp;AP$2&amp;$A517):INDIRECT(AP$1&amp;AP$3&amp;$A517))</f>
        <v>0</v>
      </c>
      <c r="AQ517" s="3228">
        <f t="shared" ca="1" si="801"/>
        <v>23220</v>
      </c>
      <c r="AR517" s="2880">
        <f t="shared" ca="1" si="802"/>
        <v>0</v>
      </c>
      <c r="AT517" s="95">
        <f ca="1">SUM((INDIRECT(AT$2&amp;(ROW())):INDIRECT(AT$3&amp;(ROW()))))</f>
        <v>63823</v>
      </c>
      <c r="AU517" s="95">
        <f ca="1">SUM(INDIRECT(AU$1&amp;AU$2&amp;$C517):INDIRECT(AU$1&amp;AU$3&amp;$C517))</f>
        <v>-99</v>
      </c>
      <c r="AV517" s="3228">
        <f t="shared" ca="1" si="803"/>
        <v>63922</v>
      </c>
      <c r="AW517" s="2880">
        <f t="shared" ca="1" si="804"/>
        <v>-644.67676767676767</v>
      </c>
      <c r="AX517" s="95">
        <f ca="1">SUM(INDIRECT(AX$1&amp;AX$2&amp;$A517):INDIRECT(AX$1&amp;AX$3&amp;$A517))</f>
        <v>0</v>
      </c>
      <c r="AY517" s="3228">
        <f t="shared" ca="1" si="805"/>
        <v>63823</v>
      </c>
      <c r="AZ517" s="2880">
        <f t="shared" ca="1" si="806"/>
        <v>0</v>
      </c>
      <c r="BB517" s="95">
        <f ca="1">SUM((INDIRECT(BB$2&amp;(ROW())):INDIRECT(BB$3&amp;(ROW()))))</f>
        <v>278325.17296265648</v>
      </c>
      <c r="BC517" s="95">
        <f ca="1">SUM(INDIRECT(BC$1&amp;BC$2&amp;$C517):INDIRECT(BC$1&amp;BC$3&amp;$C517))</f>
        <v>-165</v>
      </c>
      <c r="BD517" s="3228">
        <f t="shared" ca="1" si="807"/>
        <v>278490.17296265648</v>
      </c>
      <c r="BE517" s="2880">
        <f t="shared" ca="1" si="808"/>
        <v>-1686.8192300767059</v>
      </c>
      <c r="BF517" s="95">
        <f ca="1">SUM(INDIRECT(BF$1&amp;BF$2&amp;$A517):INDIRECT(BF$1&amp;BF$3&amp;$A517))</f>
        <v>0</v>
      </c>
      <c r="BG517" s="3228">
        <f t="shared" ca="1" si="809"/>
        <v>278325.17296265648</v>
      </c>
      <c r="BH517" s="2880">
        <f t="shared" ca="1" si="810"/>
        <v>0</v>
      </c>
    </row>
    <row r="518" spans="1:60" ht="14.5">
      <c r="A518" s="616">
        <f t="shared" si="746"/>
        <v>469</v>
      </c>
      <c r="B518" s="616">
        <v>1</v>
      </c>
      <c r="C518" s="616">
        <f t="shared" si="797"/>
        <v>515</v>
      </c>
      <c r="E518" s="2547">
        <v>1</v>
      </c>
      <c r="I518" s="94"/>
      <c r="J518" s="93"/>
      <c r="K518" s="63"/>
      <c r="L518" s="63"/>
      <c r="O518" s="97" t="s">
        <v>1462</v>
      </c>
      <c r="P518" s="97"/>
      <c r="Q518" s="1777" t="str">
        <f>CHOOSE(2, "6722000003437", "S/GP (1)-1 Gross Profit Indirect NH KMI Office A3")</f>
        <v>S/GP (1)-1 Gross Profit Indirect NH KMI Office A3</v>
      </c>
      <c r="R518" s="96">
        <f>SUM(R519:R520)</f>
        <v>25782</v>
      </c>
      <c r="S518" s="96">
        <f t="shared" ref="S518:AJ518" si="813">SUM(S519:S520)</f>
        <v>8746</v>
      </c>
      <c r="T518" s="96">
        <f t="shared" si="813"/>
        <v>29683</v>
      </c>
      <c r="U518" s="96">
        <f t="shared" si="813"/>
        <v>23765</v>
      </c>
      <c r="V518" s="96">
        <f t="shared" si="813"/>
        <v>26791.81679265646</v>
      </c>
      <c r="W518" s="96">
        <f t="shared" si="813"/>
        <v>22148</v>
      </c>
      <c r="X518" s="96">
        <f t="shared" si="813"/>
        <v>25398</v>
      </c>
      <c r="Y518" s="96">
        <f t="shared" si="813"/>
        <v>29557</v>
      </c>
      <c r="Z518" s="96">
        <f t="shared" si="813"/>
        <v>21745</v>
      </c>
      <c r="AA518" s="96">
        <f t="shared" si="813"/>
        <v>22066</v>
      </c>
      <c r="AB518" s="96">
        <f t="shared" si="813"/>
        <v>18537</v>
      </c>
      <c r="AC518" s="96">
        <f t="shared" si="813"/>
        <v>23220</v>
      </c>
      <c r="AD518" s="896">
        <f t="shared" si="813"/>
        <v>64211</v>
      </c>
      <c r="AE518" s="95">
        <f t="shared" si="813"/>
        <v>72704.816792656464</v>
      </c>
      <c r="AF518" s="95">
        <f t="shared" si="813"/>
        <v>76700</v>
      </c>
      <c r="AG518" s="95">
        <f t="shared" si="813"/>
        <v>63823</v>
      </c>
      <c r="AH518" s="95">
        <f t="shared" si="813"/>
        <v>136915.81679265646</v>
      </c>
      <c r="AI518" s="95">
        <f t="shared" si="813"/>
        <v>140523</v>
      </c>
      <c r="AJ518" s="95">
        <f t="shared" si="813"/>
        <v>277438.81679265643</v>
      </c>
      <c r="AL518" s="95">
        <f ca="1">SUM((INDIRECT(AL$2&amp;(ROW())):INDIRECT(AL$3&amp;(ROW()))))</f>
        <v>23220</v>
      </c>
      <c r="AM518" s="95">
        <f ca="1">SUM(INDIRECT(AM$1&amp;AM$2&amp;$C518):INDIRECT(AM$1&amp;AM$3&amp;$C518))</f>
        <v>0</v>
      </c>
      <c r="AN518" s="3228">
        <f t="shared" ca="1" si="799"/>
        <v>23220</v>
      </c>
      <c r="AO518" s="2880">
        <f t="shared" ca="1" si="800"/>
        <v>0</v>
      </c>
      <c r="AP518" s="95">
        <f ca="1">SUM(INDIRECT(AP$1&amp;AP$2&amp;$A518):INDIRECT(AP$1&amp;AP$3&amp;$A518))</f>
        <v>197884.14631000001</v>
      </c>
      <c r="AQ518" s="3228">
        <f t="shared" ca="1" si="801"/>
        <v>-174664.14631000001</v>
      </c>
      <c r="AR518" s="2880">
        <f t="shared" ca="1" si="802"/>
        <v>0.11734138602303273</v>
      </c>
      <c r="AT518" s="95">
        <f ca="1">SUM((INDIRECT(AT$2&amp;(ROW())):INDIRECT(AT$3&amp;(ROW()))))</f>
        <v>63823</v>
      </c>
      <c r="AU518" s="95">
        <f ca="1">SUM(INDIRECT(AU$1&amp;AU$2&amp;$C518):INDIRECT(AU$1&amp;AU$3&amp;$C518))</f>
        <v>0</v>
      </c>
      <c r="AV518" s="3228">
        <f t="shared" ca="1" si="803"/>
        <v>63823</v>
      </c>
      <c r="AW518" s="2880">
        <f t="shared" ca="1" si="804"/>
        <v>0</v>
      </c>
      <c r="AX518" s="95">
        <f ca="1">SUM(INDIRECT(AX$1&amp;AX$2&amp;$A518):INDIRECT(AX$1&amp;AX$3&amp;$A518))</f>
        <v>642333.14630999998</v>
      </c>
      <c r="AY518" s="3228">
        <f t="shared" ca="1" si="805"/>
        <v>-578510.14630999998</v>
      </c>
      <c r="AZ518" s="2880">
        <f t="shared" ca="1" si="806"/>
        <v>9.9361212116551786E-2</v>
      </c>
      <c r="BB518" s="95">
        <f ca="1">SUM((INDIRECT(BB$2&amp;(ROW())):INDIRECT(BB$3&amp;(ROW()))))</f>
        <v>277438.81679265643</v>
      </c>
      <c r="BC518" s="95">
        <f ca="1">SUM(INDIRECT(BC$1&amp;BC$2&amp;$C518):INDIRECT(BC$1&amp;BC$3&amp;$C518))</f>
        <v>0</v>
      </c>
      <c r="BD518" s="3228">
        <f t="shared" ca="1" si="807"/>
        <v>277438.81679265643</v>
      </c>
      <c r="BE518" s="2880">
        <f t="shared" ca="1" si="808"/>
        <v>0</v>
      </c>
      <c r="BF518" s="95">
        <f ca="1">SUM(INDIRECT(BF$1&amp;BF$2&amp;$A518):INDIRECT(BF$1&amp;BF$3&amp;$A518))</f>
        <v>1982283.16414</v>
      </c>
      <c r="BG518" s="3228">
        <f t="shared" ca="1" si="809"/>
        <v>-1704844.3473473436</v>
      </c>
      <c r="BH518" s="2880">
        <f t="shared" ca="1" si="810"/>
        <v>0.139959225710834</v>
      </c>
    </row>
    <row r="519" spans="1:60" ht="14.5">
      <c r="A519" s="616">
        <f t="shared" si="746"/>
        <v>470</v>
      </c>
      <c r="B519" s="616">
        <v>1</v>
      </c>
      <c r="C519" s="616">
        <f t="shared" si="797"/>
        <v>516</v>
      </c>
      <c r="E519" s="2547">
        <v>1</v>
      </c>
      <c r="I519" s="94"/>
      <c r="J519" s="93"/>
      <c r="K519" s="63"/>
      <c r="L519" s="63"/>
      <c r="P519" s="8" t="s">
        <v>1467</v>
      </c>
      <c r="Q519" s="1779" t="str">
        <f>CHOOSE(2, "6722000003438", "S/GP (1)-1 Gross Profit Indirect NH KMI Office A3 Cons")</f>
        <v>S/GP (1)-1 Gross Profit Indirect NH KMI Office A3 Cons</v>
      </c>
      <c r="R519" s="1217">
        <v>25782</v>
      </c>
      <c r="S519" s="1217">
        <v>8746</v>
      </c>
      <c r="T519" s="1217">
        <v>29683</v>
      </c>
      <c r="U519" s="1217">
        <v>23765</v>
      </c>
      <c r="V519" s="1217">
        <v>26791.81679265646</v>
      </c>
      <c r="W519" s="1217">
        <v>22148</v>
      </c>
      <c r="X519" s="1217">
        <v>25398</v>
      </c>
      <c r="Y519" s="1217">
        <v>29557</v>
      </c>
      <c r="Z519" s="1217">
        <v>21745</v>
      </c>
      <c r="AA519" s="1217">
        <v>22066</v>
      </c>
      <c r="AB519" s="1217">
        <v>18537</v>
      </c>
      <c r="AC519" s="1217">
        <v>23220</v>
      </c>
      <c r="AD519" s="783">
        <f>SUM(R519,S519,T519)</f>
        <v>64211</v>
      </c>
      <c r="AE519" s="1226">
        <f t="shared" ref="AE519:AE520" si="814">SUM(U519,V519,W519)</f>
        <v>72704.816792656464</v>
      </c>
      <c r="AF519" s="1226">
        <f t="shared" ref="AF519:AF520" si="815">SUM(X519,Y519,Z519)</f>
        <v>76700</v>
      </c>
      <c r="AG519" s="1226">
        <f t="shared" ref="AG519:AG520" si="816">SUM(AA519,AB519,AC519)</f>
        <v>63823</v>
      </c>
      <c r="AH519" s="1226">
        <f>AD519+AE519</f>
        <v>136915.81679265646</v>
      </c>
      <c r="AI519" s="1226">
        <f>AG519+AF519</f>
        <v>140523</v>
      </c>
      <c r="AJ519" s="1226">
        <f>AH519+AI519</f>
        <v>277438.81679265643</v>
      </c>
      <c r="AL519" s="1226">
        <f ca="1">SUM((INDIRECT(AL$2&amp;(ROW())):INDIRECT(AL$3&amp;(ROW()))))</f>
        <v>23220</v>
      </c>
      <c r="AM519" s="1226">
        <f ca="1">SUM(INDIRECT(AM$1&amp;AM$2&amp;$C519):INDIRECT(AM$1&amp;AM$3&amp;$C519))</f>
        <v>0</v>
      </c>
      <c r="AN519" s="3233">
        <f t="shared" ca="1" si="799"/>
        <v>23220</v>
      </c>
      <c r="AO519" s="2890">
        <f t="shared" ca="1" si="800"/>
        <v>0</v>
      </c>
      <c r="AP519" s="1226">
        <f ca="1">SUM(INDIRECT(AP$1&amp;AP$2&amp;$A519):INDIRECT(AP$1&amp;AP$3&amp;$A519))</f>
        <v>144048.14631000001</v>
      </c>
      <c r="AQ519" s="3233">
        <f t="shared" ca="1" si="801"/>
        <v>-120828.14631000001</v>
      </c>
      <c r="AR519" s="2890">
        <f t="shared" ca="1" si="802"/>
        <v>0.16119610418331387</v>
      </c>
      <c r="AT519" s="1226">
        <f ca="1">SUM((INDIRECT(AT$2&amp;(ROW())):INDIRECT(AT$3&amp;(ROW()))))</f>
        <v>63823</v>
      </c>
      <c r="AU519" s="1226">
        <f ca="1">SUM(INDIRECT(AU$1&amp;AU$2&amp;$C519):INDIRECT(AU$1&amp;AU$3&amp;$C519))</f>
        <v>0</v>
      </c>
      <c r="AV519" s="3233">
        <f t="shared" ca="1" si="803"/>
        <v>63823</v>
      </c>
      <c r="AW519" s="2890">
        <f t="shared" ca="1" si="804"/>
        <v>0</v>
      </c>
      <c r="AX519" s="1226">
        <f ca="1">SUM(INDIRECT(AX$1&amp;AX$2&amp;$A519):INDIRECT(AX$1&amp;AX$3&amp;$A519))</f>
        <v>471544.14630999998</v>
      </c>
      <c r="AY519" s="3233">
        <f t="shared" ca="1" si="805"/>
        <v>-407721.14630999998</v>
      </c>
      <c r="AZ519" s="2890">
        <f t="shared" ca="1" si="806"/>
        <v>0.13534893922326804</v>
      </c>
      <c r="BB519" s="1226">
        <f ca="1">SUM((INDIRECT(BB$2&amp;(ROW())):INDIRECT(BB$3&amp;(ROW()))))</f>
        <v>277438.81679265643</v>
      </c>
      <c r="BC519" s="1226">
        <f ca="1">SUM(INDIRECT(BC$1&amp;BC$2&amp;$C519):INDIRECT(BC$1&amp;BC$3&amp;$C519))</f>
        <v>0</v>
      </c>
      <c r="BD519" s="3233">
        <f t="shared" ca="1" si="807"/>
        <v>277438.81679265643</v>
      </c>
      <c r="BE519" s="2890">
        <f t="shared" ca="1" si="808"/>
        <v>0</v>
      </c>
      <c r="BF519" s="1226">
        <f ca="1">SUM(INDIRECT(BF$1&amp;BF$2&amp;$A519):INDIRECT(BF$1&amp;BF$3&amp;$A519))</f>
        <v>1329043.4253100001</v>
      </c>
      <c r="BG519" s="3233">
        <f t="shared" ca="1" si="809"/>
        <v>-1051604.6085173436</v>
      </c>
      <c r="BH519" s="2890">
        <f t="shared" ca="1" si="810"/>
        <v>0.20875075374451643</v>
      </c>
    </row>
    <row r="520" spans="1:60" ht="14.5">
      <c r="A520" s="616">
        <f t="shared" si="746"/>
        <v>471</v>
      </c>
      <c r="B520" s="616">
        <v>1</v>
      </c>
      <c r="C520" s="616">
        <f t="shared" si="797"/>
        <v>517</v>
      </c>
      <c r="E520" s="2547">
        <v>1</v>
      </c>
      <c r="I520" s="94"/>
      <c r="J520" s="93"/>
      <c r="K520" s="63"/>
      <c r="L520" s="63"/>
      <c r="P520" s="8" t="s">
        <v>1468</v>
      </c>
      <c r="Q520" s="1779" t="str">
        <f>CHOOSE(2, "6722000003439", "S/GP (1)-1 Gross Profit Indirect NH KMI Office A3 Parts")</f>
        <v>S/GP (1)-1 Gross Profit Indirect NH KMI Office A3 Parts</v>
      </c>
      <c r="R520" s="1217">
        <v>0</v>
      </c>
      <c r="S520" s="1217">
        <v>0</v>
      </c>
      <c r="T520" s="1217">
        <v>0</v>
      </c>
      <c r="U520" s="1217">
        <v>0</v>
      </c>
      <c r="V520" s="1217">
        <v>0</v>
      </c>
      <c r="W520" s="1217">
        <v>0</v>
      </c>
      <c r="X520" s="1217">
        <v>0</v>
      </c>
      <c r="Y520" s="1217">
        <v>0</v>
      </c>
      <c r="Z520" s="1217">
        <v>0</v>
      </c>
      <c r="AA520" s="1217">
        <v>0</v>
      </c>
      <c r="AB520" s="1217">
        <v>0</v>
      </c>
      <c r="AC520" s="1217">
        <v>0</v>
      </c>
      <c r="AD520" s="783">
        <f>SUM(R520,S520,T520)</f>
        <v>0</v>
      </c>
      <c r="AE520" s="1226">
        <f t="shared" si="814"/>
        <v>0</v>
      </c>
      <c r="AF520" s="1226">
        <f t="shared" si="815"/>
        <v>0</v>
      </c>
      <c r="AG520" s="1226">
        <f t="shared" si="816"/>
        <v>0</v>
      </c>
      <c r="AH520" s="1226">
        <f>AD520+AE520</f>
        <v>0</v>
      </c>
      <c r="AI520" s="1226">
        <f>AG520+AF520</f>
        <v>0</v>
      </c>
      <c r="AJ520" s="1226">
        <f>AH520+AI520</f>
        <v>0</v>
      </c>
      <c r="AL520" s="1226">
        <f ca="1">SUM((INDIRECT(AL$2&amp;(ROW())):INDIRECT(AL$3&amp;(ROW()))))</f>
        <v>0</v>
      </c>
      <c r="AM520" s="1226">
        <f ca="1">SUM(INDIRECT(AM$1&amp;AM$2&amp;$C520):INDIRECT(AM$1&amp;AM$3&amp;$C520))</f>
        <v>0</v>
      </c>
      <c r="AN520" s="3233">
        <f t="shared" ca="1" si="799"/>
        <v>0</v>
      </c>
      <c r="AO520" s="2890">
        <f t="shared" ca="1" si="800"/>
        <v>0</v>
      </c>
      <c r="AP520" s="1226">
        <f ca="1">SUM(INDIRECT(AP$1&amp;AP$2&amp;$A520):INDIRECT(AP$1&amp;AP$3&amp;$A520))</f>
        <v>144048.14631000001</v>
      </c>
      <c r="AQ520" s="3233">
        <f t="shared" ca="1" si="801"/>
        <v>-144048.14631000001</v>
      </c>
      <c r="AR520" s="2890">
        <f t="shared" ca="1" si="802"/>
        <v>0</v>
      </c>
      <c r="AT520" s="1226">
        <f ca="1">SUM((INDIRECT(AT$2&amp;(ROW())):INDIRECT(AT$3&amp;(ROW()))))</f>
        <v>0</v>
      </c>
      <c r="AU520" s="1226">
        <f ca="1">SUM(INDIRECT(AU$1&amp;AU$2&amp;$C520):INDIRECT(AU$1&amp;AU$3&amp;$C520))</f>
        <v>0</v>
      </c>
      <c r="AV520" s="3233">
        <f t="shared" ca="1" si="803"/>
        <v>0</v>
      </c>
      <c r="AW520" s="2890">
        <f t="shared" ca="1" si="804"/>
        <v>0</v>
      </c>
      <c r="AX520" s="1226">
        <f ca="1">SUM(INDIRECT(AX$1&amp;AX$2&amp;$A520):INDIRECT(AX$1&amp;AX$3&amp;$A520))</f>
        <v>471544.14630999998</v>
      </c>
      <c r="AY520" s="3233">
        <f t="shared" ca="1" si="805"/>
        <v>-471544.14630999998</v>
      </c>
      <c r="AZ520" s="2890">
        <f t="shared" ca="1" si="806"/>
        <v>0</v>
      </c>
      <c r="BB520" s="1226">
        <f ca="1">SUM((INDIRECT(BB$2&amp;(ROW())):INDIRECT(BB$3&amp;(ROW()))))</f>
        <v>0</v>
      </c>
      <c r="BC520" s="1226">
        <f ca="1">SUM(INDIRECT(BC$1&amp;BC$2&amp;$C520):INDIRECT(BC$1&amp;BC$3&amp;$C520))</f>
        <v>0</v>
      </c>
      <c r="BD520" s="3233">
        <f t="shared" ca="1" si="807"/>
        <v>0</v>
      </c>
      <c r="BE520" s="2890">
        <f t="shared" ca="1" si="808"/>
        <v>0</v>
      </c>
      <c r="BF520" s="1226">
        <f ca="1">SUM(INDIRECT(BF$1&amp;BF$2&amp;$A520):INDIRECT(BF$1&amp;BF$3&amp;$A520))</f>
        <v>1329043.4253100001</v>
      </c>
      <c r="BG520" s="3233">
        <f t="shared" ca="1" si="809"/>
        <v>-1329043.4253100001</v>
      </c>
      <c r="BH520" s="2890">
        <f t="shared" ca="1" si="810"/>
        <v>0</v>
      </c>
    </row>
    <row r="521" spans="1:60" ht="14.5">
      <c r="A521" s="616">
        <f t="shared" si="746"/>
        <v>472</v>
      </c>
      <c r="B521" s="616">
        <v>1</v>
      </c>
      <c r="C521" s="616">
        <f t="shared" si="797"/>
        <v>518</v>
      </c>
      <c r="E521" s="2547">
        <v>1</v>
      </c>
      <c r="I521" s="94"/>
      <c r="J521" s="93"/>
      <c r="K521" s="63"/>
      <c r="L521" s="63"/>
      <c r="O521" s="97" t="s">
        <v>1463</v>
      </c>
      <c r="P521" s="97"/>
      <c r="Q521" s="1777" t="str">
        <f>CHOOSE(2, "6722000003440", "S/GP (1)-1 Gross Profit Indirect NH KMI Office A4")</f>
        <v>S/GP (1)-1 Gross Profit Indirect NH KMI Office A4</v>
      </c>
      <c r="R521" s="96">
        <f>SUM(R522:R523)</f>
        <v>55</v>
      </c>
      <c r="S521" s="96">
        <f t="shared" ref="S521:AJ521" si="817">SUM(S522:S523)</f>
        <v>32</v>
      </c>
      <c r="T521" s="96">
        <f t="shared" si="817"/>
        <v>16</v>
      </c>
      <c r="U521" s="96">
        <f t="shared" si="817"/>
        <v>74</v>
      </c>
      <c r="V521" s="96">
        <f t="shared" si="817"/>
        <v>104.35617000000001</v>
      </c>
      <c r="W521" s="96">
        <f t="shared" si="817"/>
        <v>155</v>
      </c>
      <c r="X521" s="96">
        <f t="shared" si="817"/>
        <v>198</v>
      </c>
      <c r="Y521" s="96">
        <f t="shared" si="817"/>
        <v>169</v>
      </c>
      <c r="Z521" s="96">
        <f t="shared" si="817"/>
        <v>83</v>
      </c>
      <c r="AA521" s="96">
        <f t="shared" si="817"/>
        <v>0</v>
      </c>
      <c r="AB521" s="96">
        <f t="shared" si="817"/>
        <v>0</v>
      </c>
      <c r="AC521" s="96">
        <f t="shared" si="817"/>
        <v>0</v>
      </c>
      <c r="AD521" s="896">
        <f t="shared" si="817"/>
        <v>103</v>
      </c>
      <c r="AE521" s="95">
        <f t="shared" si="817"/>
        <v>333.35617000000002</v>
      </c>
      <c r="AF521" s="95">
        <f t="shared" si="817"/>
        <v>450</v>
      </c>
      <c r="AG521" s="95">
        <f t="shared" si="817"/>
        <v>0</v>
      </c>
      <c r="AH521" s="95">
        <f t="shared" si="817"/>
        <v>436.35617000000002</v>
      </c>
      <c r="AI521" s="95">
        <f t="shared" si="817"/>
        <v>450</v>
      </c>
      <c r="AJ521" s="95">
        <f t="shared" si="817"/>
        <v>886.35617000000002</v>
      </c>
      <c r="AL521" s="95">
        <f ca="1">SUM((INDIRECT(AL$2&amp;(ROW())):INDIRECT(AL$3&amp;(ROW()))))</f>
        <v>0</v>
      </c>
      <c r="AM521" s="95">
        <f ca="1">SUM(INDIRECT(AM$1&amp;AM$2&amp;$C521):INDIRECT(AM$1&amp;AM$3&amp;$C521))</f>
        <v>44976.675821698824</v>
      </c>
      <c r="AN521" s="3228">
        <f t="shared" ca="1" si="799"/>
        <v>-44976.675821698824</v>
      </c>
      <c r="AO521" s="2880">
        <f t="shared" ca="1" si="800"/>
        <v>0</v>
      </c>
      <c r="AP521" s="95">
        <f ca="1">SUM(INDIRECT(AP$1&amp;AP$2&amp;$A521):INDIRECT(AP$1&amp;AP$3&amp;$A521))</f>
        <v>144048.14631000001</v>
      </c>
      <c r="AQ521" s="3228">
        <f t="shared" ca="1" si="801"/>
        <v>-144048.14631000001</v>
      </c>
      <c r="AR521" s="2880">
        <f t="shared" ca="1" si="802"/>
        <v>0</v>
      </c>
      <c r="AT521" s="95">
        <f ca="1">SUM((INDIRECT(AT$2&amp;(ROW())):INDIRECT(AT$3&amp;(ROW()))))</f>
        <v>0</v>
      </c>
      <c r="AU521" s="95">
        <f ca="1">SUM(INDIRECT(AU$1&amp;AU$2&amp;$C521):INDIRECT(AU$1&amp;AU$3&amp;$C521))</f>
        <v>129318.60285197408</v>
      </c>
      <c r="AV521" s="3228">
        <f t="shared" ca="1" si="803"/>
        <v>-129318.60285197408</v>
      </c>
      <c r="AW521" s="2880">
        <f t="shared" ca="1" si="804"/>
        <v>0</v>
      </c>
      <c r="AX521" s="95">
        <f ca="1">SUM(INDIRECT(AX$1&amp;AX$2&amp;$A521):INDIRECT(AX$1&amp;AX$3&amp;$A521))</f>
        <v>471544.14630999998</v>
      </c>
      <c r="AY521" s="3228">
        <f t="shared" ca="1" si="805"/>
        <v>-471544.14630999998</v>
      </c>
      <c r="AZ521" s="2880">
        <f t="shared" ca="1" si="806"/>
        <v>0</v>
      </c>
      <c r="BB521" s="95">
        <f ca="1">SUM((INDIRECT(BB$2&amp;(ROW())):INDIRECT(BB$3&amp;(ROW()))))</f>
        <v>886.35617000000002</v>
      </c>
      <c r="BC521" s="95">
        <f ca="1">SUM(INDIRECT(BC$1&amp;BC$2&amp;$C521):INDIRECT(BC$1&amp;BC$3&amp;$C521))</f>
        <v>215363.8791234649</v>
      </c>
      <c r="BD521" s="3228">
        <f t="shared" ca="1" si="807"/>
        <v>-214477.52295346488</v>
      </c>
      <c r="BE521" s="2880">
        <f t="shared" ca="1" si="808"/>
        <v>4.1156213084918725E-3</v>
      </c>
      <c r="BF521" s="95">
        <f ca="1">SUM(INDIRECT(BF$1&amp;BF$2&amp;$A521):INDIRECT(BF$1&amp;BF$3&amp;$A521))</f>
        <v>1329004.4253100001</v>
      </c>
      <c r="BG521" s="3228">
        <f t="shared" ca="1" si="809"/>
        <v>-1328118.06914</v>
      </c>
      <c r="BH521" s="2880">
        <f t="shared" ca="1" si="810"/>
        <v>6.6693244440721173E-4</v>
      </c>
    </row>
    <row r="522" spans="1:60" ht="14.5">
      <c r="A522" s="616">
        <f t="shared" si="746"/>
        <v>473</v>
      </c>
      <c r="B522" s="616">
        <v>1</v>
      </c>
      <c r="C522" s="616">
        <f t="shared" si="797"/>
        <v>519</v>
      </c>
      <c r="E522" s="2547">
        <v>1</v>
      </c>
      <c r="I522" s="94"/>
      <c r="J522" s="93"/>
      <c r="K522" s="63"/>
      <c r="L522" s="63"/>
      <c r="P522" s="8" t="s">
        <v>1467</v>
      </c>
      <c r="Q522" s="1779" t="str">
        <f>CHOOSE(2, "6722000003441", "S/GP (1)-1 Gross Profit Indirect NH KMI Office A4 Cons")</f>
        <v>S/GP (1)-1 Gross Profit Indirect NH KMI Office A4 Cons</v>
      </c>
      <c r="R522" s="1217">
        <v>55</v>
      </c>
      <c r="S522" s="1217">
        <v>32</v>
      </c>
      <c r="T522" s="1217">
        <v>16</v>
      </c>
      <c r="U522" s="1217">
        <v>74</v>
      </c>
      <c r="V522" s="1217">
        <v>104.35617000000001</v>
      </c>
      <c r="W522" s="1217">
        <v>155</v>
      </c>
      <c r="X522" s="1217">
        <v>198</v>
      </c>
      <c r="Y522" s="1217">
        <v>169</v>
      </c>
      <c r="Z522" s="1217">
        <v>83</v>
      </c>
      <c r="AA522" s="1217">
        <v>0</v>
      </c>
      <c r="AB522" s="1217">
        <v>0</v>
      </c>
      <c r="AC522" s="1217">
        <v>0</v>
      </c>
      <c r="AD522" s="783">
        <f>SUM(R522,S522,T522)</f>
        <v>103</v>
      </c>
      <c r="AE522" s="1226">
        <f t="shared" ref="AE522:AE524" si="818">SUM(U522,V522,W522)</f>
        <v>333.35617000000002</v>
      </c>
      <c r="AF522" s="1226">
        <f t="shared" ref="AF522:AF524" si="819">SUM(X522,Y522,Z522)</f>
        <v>450</v>
      </c>
      <c r="AG522" s="1226">
        <f t="shared" ref="AG522:AG524" si="820">SUM(AA522,AB522,AC522)</f>
        <v>0</v>
      </c>
      <c r="AH522" s="1226">
        <f>AD522+AE522</f>
        <v>436.35617000000002</v>
      </c>
      <c r="AI522" s="1226">
        <f>AG522+AF522</f>
        <v>450</v>
      </c>
      <c r="AJ522" s="1226">
        <f>AH522+AI522</f>
        <v>886.35617000000002</v>
      </c>
      <c r="AL522" s="1226">
        <f ca="1">SUM((INDIRECT(AL$2&amp;(ROW())):INDIRECT(AL$3&amp;(ROW()))))</f>
        <v>0</v>
      </c>
      <c r="AM522" s="1226">
        <f ca="1">SUM(INDIRECT(AM$1&amp;AM$2&amp;$C522):INDIRECT(AM$1&amp;AM$3&amp;$C522))</f>
        <v>24288.952051276949</v>
      </c>
      <c r="AN522" s="3233">
        <f t="shared" ca="1" si="799"/>
        <v>-24288.952051276949</v>
      </c>
      <c r="AO522" s="2890">
        <f t="shared" ca="1" si="800"/>
        <v>0</v>
      </c>
      <c r="AP522" s="1226">
        <f ca="1">SUM(INDIRECT(AP$1&amp;AP$2&amp;$A522):INDIRECT(AP$1&amp;AP$3&amp;$A522))</f>
        <v>0</v>
      </c>
      <c r="AQ522" s="3233">
        <f t="shared" ca="1" si="801"/>
        <v>0</v>
      </c>
      <c r="AR522" s="2890">
        <f t="shared" ca="1" si="802"/>
        <v>0</v>
      </c>
      <c r="AT522" s="1226">
        <f ca="1">SUM((INDIRECT(AT$2&amp;(ROW())):INDIRECT(AT$3&amp;(ROW()))))</f>
        <v>0</v>
      </c>
      <c r="AU522" s="1226">
        <f ca="1">SUM(INDIRECT(AU$1&amp;AU$2&amp;$C522):INDIRECT(AU$1&amp;AU$3&amp;$C522))</f>
        <v>69689.281396052218</v>
      </c>
      <c r="AV522" s="3233">
        <f t="shared" ca="1" si="803"/>
        <v>-69689.281396052218</v>
      </c>
      <c r="AW522" s="2890">
        <f t="shared" ca="1" si="804"/>
        <v>0</v>
      </c>
      <c r="AX522" s="1226">
        <f ca="1">SUM(INDIRECT(AX$1&amp;AX$2&amp;$A522):INDIRECT(AX$1&amp;AX$3&amp;$A522))</f>
        <v>0</v>
      </c>
      <c r="AY522" s="3233">
        <f t="shared" ca="1" si="805"/>
        <v>0</v>
      </c>
      <c r="AZ522" s="2890">
        <f t="shared" ca="1" si="806"/>
        <v>0</v>
      </c>
      <c r="BB522" s="1226">
        <f ca="1">SUM((INDIRECT(BB$2&amp;(ROW())):INDIRECT(BB$3&amp;(ROW()))))</f>
        <v>886.35617000000002</v>
      </c>
      <c r="BC522" s="1226">
        <f ca="1">SUM(INDIRECT(BC$1&amp;BC$2&amp;$C522):INDIRECT(BC$1&amp;BC$3&amp;$C522))</f>
        <v>115576.03505437115</v>
      </c>
      <c r="BD522" s="3233">
        <f t="shared" ca="1" si="807"/>
        <v>-114689.67888437115</v>
      </c>
      <c r="BE522" s="2890">
        <f t="shared" ca="1" si="808"/>
        <v>7.6690307777302269E-3</v>
      </c>
      <c r="BF522" s="1226">
        <f ca="1">SUM(INDIRECT(BF$1&amp;BF$2&amp;$A522):INDIRECT(BF$1&amp;BF$3&amp;$A522))</f>
        <v>39</v>
      </c>
      <c r="BG522" s="3233">
        <f t="shared" ca="1" si="809"/>
        <v>847.35617000000002</v>
      </c>
      <c r="BH522" s="2890">
        <f t="shared" ca="1" si="810"/>
        <v>22.727081282051284</v>
      </c>
    </row>
    <row r="523" spans="1:60" ht="14.5">
      <c r="A523" s="616">
        <f t="shared" si="746"/>
        <v>474</v>
      </c>
      <c r="B523" s="616">
        <v>1</v>
      </c>
      <c r="C523" s="616">
        <f t="shared" si="797"/>
        <v>520</v>
      </c>
      <c r="E523" s="2547">
        <v>1</v>
      </c>
      <c r="I523" s="94"/>
      <c r="J523" s="93"/>
      <c r="K523" s="63"/>
      <c r="L523" s="63"/>
      <c r="N523" s="285"/>
      <c r="O523" s="285"/>
      <c r="P523" s="285" t="s">
        <v>1468</v>
      </c>
      <c r="Q523" s="1779" t="str">
        <f>CHOOSE(2, "6722000003442", "S/GP (1)-1 Gross Profit Indirect NH KMI Office A4 Parts")</f>
        <v>S/GP (1)-1 Gross Profit Indirect NH KMI Office A4 Parts</v>
      </c>
      <c r="R523" s="1245">
        <v>0</v>
      </c>
      <c r="S523" s="1245">
        <v>0</v>
      </c>
      <c r="T523" s="1245">
        <v>0</v>
      </c>
      <c r="U523" s="1245">
        <v>0</v>
      </c>
      <c r="V523" s="1245">
        <v>0</v>
      </c>
      <c r="W523" s="1245">
        <v>0</v>
      </c>
      <c r="X523" s="1245">
        <v>0</v>
      </c>
      <c r="Y523" s="1245">
        <v>0</v>
      </c>
      <c r="Z523" s="1245">
        <v>0</v>
      </c>
      <c r="AA523" s="1245">
        <v>0</v>
      </c>
      <c r="AB523" s="1245">
        <v>0</v>
      </c>
      <c r="AC523" s="1245">
        <v>0</v>
      </c>
      <c r="AD523" s="895">
        <f>SUM(R523,S523,T523)</f>
        <v>0</v>
      </c>
      <c r="AE523" s="1248">
        <f t="shared" si="818"/>
        <v>0</v>
      </c>
      <c r="AF523" s="1248">
        <f t="shared" si="819"/>
        <v>0</v>
      </c>
      <c r="AG523" s="1248">
        <f t="shared" si="820"/>
        <v>0</v>
      </c>
      <c r="AH523" s="1248">
        <f>AD523+AE523</f>
        <v>0</v>
      </c>
      <c r="AI523" s="1248">
        <f>AG523+AF523</f>
        <v>0</v>
      </c>
      <c r="AJ523" s="1248">
        <f>AH523+AI523</f>
        <v>0</v>
      </c>
      <c r="AL523" s="1248">
        <f ca="1">SUM((INDIRECT(AL$2&amp;(ROW())):INDIRECT(AL$3&amp;(ROW()))))</f>
        <v>0</v>
      </c>
      <c r="AM523" s="1248">
        <f ca="1">SUM(INDIRECT(AM$1&amp;AM$2&amp;$C523):INDIRECT(AM$1&amp;AM$3&amp;$C523))</f>
        <v>24288.952051276949</v>
      </c>
      <c r="AN523" s="3229">
        <f t="shared" ca="1" si="799"/>
        <v>-24288.952051276949</v>
      </c>
      <c r="AO523" s="2882">
        <f t="shared" ca="1" si="800"/>
        <v>0</v>
      </c>
      <c r="AP523" s="1248">
        <f ca="1">SUM(INDIRECT(AP$1&amp;AP$2&amp;$A523):INDIRECT(AP$1&amp;AP$3&amp;$A523))</f>
        <v>0</v>
      </c>
      <c r="AQ523" s="3229">
        <f t="shared" ca="1" si="801"/>
        <v>0</v>
      </c>
      <c r="AR523" s="2882">
        <f t="shared" ca="1" si="802"/>
        <v>0</v>
      </c>
      <c r="AT523" s="1248">
        <f ca="1">SUM((INDIRECT(AT$2&amp;(ROW())):INDIRECT(AT$3&amp;(ROW()))))</f>
        <v>0</v>
      </c>
      <c r="AU523" s="1248">
        <f ca="1">SUM(INDIRECT(AU$1&amp;AU$2&amp;$C523):INDIRECT(AU$1&amp;AU$3&amp;$C523))</f>
        <v>69689.281396052218</v>
      </c>
      <c r="AV523" s="3229">
        <f t="shared" ca="1" si="803"/>
        <v>-69689.281396052218</v>
      </c>
      <c r="AW523" s="2882">
        <f t="shared" ca="1" si="804"/>
        <v>0</v>
      </c>
      <c r="AX523" s="1248">
        <f ca="1">SUM(INDIRECT(AX$1&amp;AX$2&amp;$A523):INDIRECT(AX$1&amp;AX$3&amp;$A523))</f>
        <v>0</v>
      </c>
      <c r="AY523" s="3229">
        <f t="shared" ca="1" si="805"/>
        <v>0</v>
      </c>
      <c r="AZ523" s="2882">
        <f t="shared" ca="1" si="806"/>
        <v>0</v>
      </c>
      <c r="BB523" s="1248">
        <f ca="1">SUM((INDIRECT(BB$2&amp;(ROW())):INDIRECT(BB$3&amp;(ROW()))))</f>
        <v>0</v>
      </c>
      <c r="BC523" s="1248">
        <f ca="1">SUM(INDIRECT(BC$1&amp;BC$2&amp;$C523):INDIRECT(BC$1&amp;BC$3&amp;$C523))</f>
        <v>115576.03505437115</v>
      </c>
      <c r="BD523" s="3229">
        <f t="shared" ca="1" si="807"/>
        <v>-115576.03505437115</v>
      </c>
      <c r="BE523" s="2882">
        <f t="shared" ca="1" si="808"/>
        <v>0</v>
      </c>
      <c r="BF523" s="1248">
        <f ca="1">SUM(INDIRECT(BF$1&amp;BF$2&amp;$A523):INDIRECT(BF$1&amp;BF$3&amp;$A523))</f>
        <v>0</v>
      </c>
      <c r="BG523" s="3229">
        <f t="shared" ca="1" si="809"/>
        <v>0</v>
      </c>
      <c r="BH523" s="2882">
        <f t="shared" ca="1" si="810"/>
        <v>0</v>
      </c>
    </row>
    <row r="524" spans="1:60" ht="14.5" collapsed="1">
      <c r="A524" s="616">
        <f t="shared" si="746"/>
        <v>475</v>
      </c>
      <c r="B524" s="616">
        <v>1</v>
      </c>
      <c r="C524" s="616">
        <f t="shared" si="797"/>
        <v>521</v>
      </c>
      <c r="E524" s="2547">
        <v>1</v>
      </c>
      <c r="I524" s="94"/>
      <c r="J524" s="93"/>
      <c r="K524" s="63"/>
      <c r="L524" s="63"/>
      <c r="N524" s="11" t="s">
        <v>1464</v>
      </c>
      <c r="O524" s="11"/>
      <c r="P524" s="11"/>
      <c r="Q524" s="1779" t="str">
        <f>CHOOSE(2, "6722000003443", "S/GP (1)-1 Gross Profit Indirect NH 3rd Party")</f>
        <v>S/GP (1)-1 Gross Profit Indirect NH 3rd Party</v>
      </c>
      <c r="R524" s="1218">
        <v>0</v>
      </c>
      <c r="S524" s="1218">
        <v>0</v>
      </c>
      <c r="T524" s="1218">
        <v>0</v>
      </c>
      <c r="U524" s="1218">
        <v>0</v>
      </c>
      <c r="V524" s="1218">
        <v>0</v>
      </c>
      <c r="W524" s="1218">
        <v>0</v>
      </c>
      <c r="X524" s="1218">
        <v>0</v>
      </c>
      <c r="Y524" s="1218">
        <v>0</v>
      </c>
      <c r="Z524" s="1218">
        <v>0</v>
      </c>
      <c r="AA524" s="1218">
        <v>0</v>
      </c>
      <c r="AB524" s="1218">
        <v>0</v>
      </c>
      <c r="AC524" s="1218">
        <v>0</v>
      </c>
      <c r="AD524" s="784">
        <f>SUM(R524,S524,T524)</f>
        <v>0</v>
      </c>
      <c r="AE524" s="1228">
        <f t="shared" si="818"/>
        <v>0</v>
      </c>
      <c r="AF524" s="1228">
        <f t="shared" si="819"/>
        <v>0</v>
      </c>
      <c r="AG524" s="1228">
        <f t="shared" si="820"/>
        <v>0</v>
      </c>
      <c r="AH524" s="1228">
        <f>AD524+AE524</f>
        <v>0</v>
      </c>
      <c r="AI524" s="1228">
        <f>AG524+AF524</f>
        <v>0</v>
      </c>
      <c r="AJ524" s="1228">
        <f>AH524+AI524</f>
        <v>0</v>
      </c>
      <c r="AL524" s="1228">
        <f ca="1">SUM((INDIRECT(AL$2&amp;(ROW())):INDIRECT(AL$3&amp;(ROW()))))</f>
        <v>0</v>
      </c>
      <c r="AM524" s="1228">
        <f ca="1">SUM(INDIRECT(AM$1&amp;AM$2&amp;$C524):INDIRECT(AM$1&amp;AM$3&amp;$C524))</f>
        <v>24288.952051276949</v>
      </c>
      <c r="AN524" s="3243">
        <f t="shared" ca="1" si="799"/>
        <v>-24288.952051276949</v>
      </c>
      <c r="AO524" s="2897">
        <f t="shared" ca="1" si="800"/>
        <v>0</v>
      </c>
      <c r="AP524" s="1228">
        <f ca="1">SUM(INDIRECT(AP$1&amp;AP$2&amp;$A524):INDIRECT(AP$1&amp;AP$3&amp;$A524))</f>
        <v>53836</v>
      </c>
      <c r="AQ524" s="3243">
        <f t="shared" ca="1" si="801"/>
        <v>-53836</v>
      </c>
      <c r="AR524" s="2897">
        <f t="shared" ca="1" si="802"/>
        <v>0</v>
      </c>
      <c r="AT524" s="1228">
        <f ca="1">SUM((INDIRECT(AT$2&amp;(ROW())):INDIRECT(AT$3&amp;(ROW()))))</f>
        <v>0</v>
      </c>
      <c r="AU524" s="1228">
        <f ca="1">SUM(INDIRECT(AU$1&amp;AU$2&amp;$C524):INDIRECT(AU$1&amp;AU$3&amp;$C524))</f>
        <v>69689.281396052218</v>
      </c>
      <c r="AV524" s="3243">
        <f t="shared" ca="1" si="803"/>
        <v>-69689.281396052218</v>
      </c>
      <c r="AW524" s="2897">
        <f t="shared" ca="1" si="804"/>
        <v>0</v>
      </c>
      <c r="AX524" s="1228">
        <f ca="1">SUM(INDIRECT(AX$1&amp;AX$2&amp;$A524):INDIRECT(AX$1&amp;AX$3&amp;$A524))</f>
        <v>170789</v>
      </c>
      <c r="AY524" s="3243">
        <f t="shared" ca="1" si="805"/>
        <v>-170789</v>
      </c>
      <c r="AZ524" s="2897">
        <f t="shared" ca="1" si="806"/>
        <v>0</v>
      </c>
      <c r="BB524" s="1228">
        <f ca="1">SUM((INDIRECT(BB$2&amp;(ROW())):INDIRECT(BB$3&amp;(ROW()))))</f>
        <v>0</v>
      </c>
      <c r="BC524" s="1228">
        <f ca="1">SUM(INDIRECT(BC$1&amp;BC$2&amp;$C524):INDIRECT(BC$1&amp;BC$3&amp;$C524))</f>
        <v>115576.03505437115</v>
      </c>
      <c r="BD524" s="3243">
        <f t="shared" ca="1" si="807"/>
        <v>-115576.03505437115</v>
      </c>
      <c r="BE524" s="2897">
        <f t="shared" ca="1" si="808"/>
        <v>0</v>
      </c>
      <c r="BF524" s="1228">
        <f ca="1">SUM(INDIRECT(BF$1&amp;BF$2&amp;$A524):INDIRECT(BF$1&amp;BF$3&amp;$A524))</f>
        <v>653239.73882999993</v>
      </c>
      <c r="BG524" s="3243">
        <f t="shared" ca="1" si="809"/>
        <v>-653239.73882999993</v>
      </c>
      <c r="BH524" s="2897">
        <f t="shared" ca="1" si="810"/>
        <v>0</v>
      </c>
    </row>
    <row r="525" spans="1:60" ht="14.5">
      <c r="A525" s="616">
        <f t="shared" si="746"/>
        <v>476</v>
      </c>
      <c r="B525" s="616">
        <v>1</v>
      </c>
      <c r="C525" s="616">
        <f t="shared" si="797"/>
        <v>522</v>
      </c>
      <c r="E525" s="2547">
        <v>1</v>
      </c>
      <c r="I525" s="94"/>
      <c r="J525" s="93"/>
      <c r="K525" s="63"/>
      <c r="L525" s="63"/>
      <c r="N525" s="298" t="s">
        <v>1476</v>
      </c>
      <c r="O525" s="298"/>
      <c r="P525" s="298"/>
      <c r="Q525" s="1777" t="str">
        <f>CHOOSE(2, "6722000003444", "S/GP (1)-1 Gross Profit Indirect NH &lt;Direct&gt;FSC(-)")</f>
        <v>S/GP (1)-1 Gross Profit Indirect NH &lt;Direct&gt;FSC(-)</v>
      </c>
      <c r="R525" s="287">
        <f>SUM(R526:R528)</f>
        <v>0</v>
      </c>
      <c r="S525" s="287">
        <f t="shared" ref="S525:AJ525" si="821">SUM(S526:S528)</f>
        <v>0</v>
      </c>
      <c r="T525" s="287">
        <f t="shared" si="821"/>
        <v>0</v>
      </c>
      <c r="U525" s="287">
        <f t="shared" si="821"/>
        <v>0</v>
      </c>
      <c r="V525" s="287">
        <f t="shared" si="821"/>
        <v>0</v>
      </c>
      <c r="W525" s="287">
        <f t="shared" si="821"/>
        <v>0</v>
      </c>
      <c r="X525" s="287">
        <f t="shared" si="821"/>
        <v>0</v>
      </c>
      <c r="Y525" s="287">
        <f t="shared" si="821"/>
        <v>0</v>
      </c>
      <c r="Z525" s="287">
        <f t="shared" si="821"/>
        <v>0</v>
      </c>
      <c r="AA525" s="287">
        <f t="shared" si="821"/>
        <v>0</v>
      </c>
      <c r="AB525" s="287">
        <f t="shared" si="821"/>
        <v>0</v>
      </c>
      <c r="AC525" s="287">
        <f t="shared" si="821"/>
        <v>0</v>
      </c>
      <c r="AD525" s="895">
        <f t="shared" si="821"/>
        <v>0</v>
      </c>
      <c r="AE525" s="1248">
        <f t="shared" si="821"/>
        <v>0</v>
      </c>
      <c r="AF525" s="1248">
        <f t="shared" si="821"/>
        <v>0</v>
      </c>
      <c r="AG525" s="1248">
        <f t="shared" si="821"/>
        <v>0</v>
      </c>
      <c r="AH525" s="1248">
        <f t="shared" si="821"/>
        <v>0</v>
      </c>
      <c r="AI525" s="1248">
        <f t="shared" si="821"/>
        <v>0</v>
      </c>
      <c r="AJ525" s="1248">
        <f t="shared" si="821"/>
        <v>0</v>
      </c>
      <c r="AL525" s="1248">
        <f ca="1">SUM((INDIRECT(AL$2&amp;(ROW())):INDIRECT(AL$3&amp;(ROW()))))</f>
        <v>0</v>
      </c>
      <c r="AM525" s="1248">
        <f ca="1">SUM(INDIRECT(AM$1&amp;AM$2&amp;$C525):INDIRECT(AM$1&amp;AM$3&amp;$C525))</f>
        <v>0</v>
      </c>
      <c r="AN525" s="3229">
        <f t="shared" ca="1" si="799"/>
        <v>0</v>
      </c>
      <c r="AO525" s="2882">
        <f t="shared" ca="1" si="800"/>
        <v>0</v>
      </c>
      <c r="AP525" s="1248">
        <f ca="1">SUM(INDIRECT(AP$1&amp;AP$2&amp;$A525):INDIRECT(AP$1&amp;AP$3&amp;$A525))</f>
        <v>53836</v>
      </c>
      <c r="AQ525" s="3229">
        <f t="shared" ca="1" si="801"/>
        <v>-53836</v>
      </c>
      <c r="AR525" s="2882">
        <f t="shared" ca="1" si="802"/>
        <v>0</v>
      </c>
      <c r="AT525" s="1248">
        <f ca="1">SUM((INDIRECT(AT$2&amp;(ROW())):INDIRECT(AT$3&amp;(ROW()))))</f>
        <v>0</v>
      </c>
      <c r="AU525" s="1248">
        <f ca="1">SUM(INDIRECT(AU$1&amp;AU$2&amp;$C525):INDIRECT(AU$1&amp;AU$3&amp;$C525))</f>
        <v>0</v>
      </c>
      <c r="AV525" s="3229">
        <f t="shared" ca="1" si="803"/>
        <v>0</v>
      </c>
      <c r="AW525" s="2882">
        <f t="shared" ca="1" si="804"/>
        <v>0</v>
      </c>
      <c r="AX525" s="1248">
        <f ca="1">SUM(INDIRECT(AX$1&amp;AX$2&amp;$A525):INDIRECT(AX$1&amp;AX$3&amp;$A525))</f>
        <v>170789</v>
      </c>
      <c r="AY525" s="3229">
        <f t="shared" ca="1" si="805"/>
        <v>-170789</v>
      </c>
      <c r="AZ525" s="2882">
        <f t="shared" ca="1" si="806"/>
        <v>0</v>
      </c>
      <c r="BB525" s="1248">
        <f ca="1">SUM((INDIRECT(BB$2&amp;(ROW())):INDIRECT(BB$3&amp;(ROW()))))</f>
        <v>0</v>
      </c>
      <c r="BC525" s="1248">
        <f ca="1">SUM(INDIRECT(BC$1&amp;BC$2&amp;$C525):INDIRECT(BC$1&amp;BC$3&amp;$C525))</f>
        <v>0</v>
      </c>
      <c r="BD525" s="3229">
        <f t="shared" ca="1" si="807"/>
        <v>0</v>
      </c>
      <c r="BE525" s="2882">
        <f t="shared" ca="1" si="808"/>
        <v>0</v>
      </c>
      <c r="BF525" s="1248">
        <f ca="1">SUM(INDIRECT(BF$1&amp;BF$2&amp;$A525):INDIRECT(BF$1&amp;BF$3&amp;$A525))</f>
        <v>653239.73882999993</v>
      </c>
      <c r="BG525" s="3229">
        <f t="shared" ca="1" si="809"/>
        <v>-653239.73882999993</v>
      </c>
      <c r="BH525" s="2882">
        <f t="shared" ca="1" si="810"/>
        <v>0</v>
      </c>
    </row>
    <row r="526" spans="1:60" ht="14.5">
      <c r="A526" s="616">
        <f t="shared" si="746"/>
        <v>477</v>
      </c>
      <c r="B526" s="616">
        <v>1</v>
      </c>
      <c r="C526" s="616">
        <f t="shared" si="797"/>
        <v>523</v>
      </c>
      <c r="E526" s="2547">
        <v>1</v>
      </c>
      <c r="I526" s="94"/>
      <c r="J526" s="93"/>
      <c r="K526" s="63"/>
      <c r="L526" s="63"/>
      <c r="N526" s="291"/>
      <c r="O526" s="291"/>
      <c r="P526" s="291" t="s">
        <v>1471</v>
      </c>
      <c r="Q526" s="1779" t="str">
        <f>CHOOSE(2, "6722000003445", "S/GP (1)-1 Gross Profit Indirect NH &lt;Direct&gt;FSC(-) PC")</f>
        <v>S/GP (1)-1 Gross Profit Indirect NH &lt;Direct&gt;FSC(-) PC</v>
      </c>
      <c r="R526" s="1227">
        <v>0</v>
      </c>
      <c r="S526" s="1227">
        <v>0</v>
      </c>
      <c r="T526" s="1227">
        <v>0</v>
      </c>
      <c r="U526" s="1227">
        <v>0</v>
      </c>
      <c r="V526" s="1227">
        <v>0</v>
      </c>
      <c r="W526" s="1227">
        <v>0</v>
      </c>
      <c r="X526" s="1227">
        <v>0</v>
      </c>
      <c r="Y526" s="1227">
        <v>0</v>
      </c>
      <c r="Z526" s="1227">
        <v>0</v>
      </c>
      <c r="AA526" s="1227">
        <v>0</v>
      </c>
      <c r="AB526" s="1227">
        <v>0</v>
      </c>
      <c r="AC526" s="1227">
        <v>0</v>
      </c>
      <c r="AD526" s="896">
        <f>SUM(R526,S526,T526)</f>
        <v>0</v>
      </c>
      <c r="AE526" s="95">
        <f t="shared" ref="AE526:AE528" si="822">SUM(U526,V526,W526)</f>
        <v>0</v>
      </c>
      <c r="AF526" s="95">
        <f t="shared" ref="AF526:AF528" si="823">SUM(X526,Y526,Z526)</f>
        <v>0</v>
      </c>
      <c r="AG526" s="95">
        <f t="shared" ref="AG526:AG528" si="824">SUM(AA526,AB526,AC526)</f>
        <v>0</v>
      </c>
      <c r="AH526" s="95">
        <f>AD526+AE526</f>
        <v>0</v>
      </c>
      <c r="AI526" s="95">
        <f>AG526+AF526</f>
        <v>0</v>
      </c>
      <c r="AJ526" s="95">
        <f>AH526+AI526</f>
        <v>0</v>
      </c>
      <c r="AL526" s="95">
        <f ca="1">SUM((INDIRECT(AL$2&amp;(ROW())):INDIRECT(AL$3&amp;(ROW()))))</f>
        <v>0</v>
      </c>
      <c r="AM526" s="95">
        <f ca="1">SUM(INDIRECT(AM$1&amp;AM$2&amp;$C526):INDIRECT(AM$1&amp;AM$3&amp;$C526))</f>
        <v>0</v>
      </c>
      <c r="AN526" s="3228">
        <f t="shared" ca="1" si="799"/>
        <v>0</v>
      </c>
      <c r="AO526" s="2880">
        <f t="shared" ca="1" si="800"/>
        <v>0</v>
      </c>
      <c r="AP526" s="95">
        <f ca="1">SUM(INDIRECT(AP$1&amp;AP$2&amp;$A526):INDIRECT(AP$1&amp;AP$3&amp;$A526))</f>
        <v>53836</v>
      </c>
      <c r="AQ526" s="3228">
        <f t="shared" ca="1" si="801"/>
        <v>-53836</v>
      </c>
      <c r="AR526" s="2880">
        <f t="shared" ca="1" si="802"/>
        <v>0</v>
      </c>
      <c r="AT526" s="95">
        <f ca="1">SUM((INDIRECT(AT$2&amp;(ROW())):INDIRECT(AT$3&amp;(ROW()))))</f>
        <v>0</v>
      </c>
      <c r="AU526" s="95">
        <f ca="1">SUM(INDIRECT(AU$1&amp;AU$2&amp;$C526):INDIRECT(AU$1&amp;AU$3&amp;$C526))</f>
        <v>0</v>
      </c>
      <c r="AV526" s="3228">
        <f t="shared" ca="1" si="803"/>
        <v>0</v>
      </c>
      <c r="AW526" s="2880">
        <f t="shared" ca="1" si="804"/>
        <v>0</v>
      </c>
      <c r="AX526" s="95">
        <f ca="1">SUM(INDIRECT(AX$1&amp;AX$2&amp;$A526):INDIRECT(AX$1&amp;AX$3&amp;$A526))</f>
        <v>170461</v>
      </c>
      <c r="AY526" s="3228">
        <f t="shared" ca="1" si="805"/>
        <v>-170461</v>
      </c>
      <c r="AZ526" s="2880">
        <f t="shared" ca="1" si="806"/>
        <v>0</v>
      </c>
      <c r="BB526" s="95">
        <f ca="1">SUM((INDIRECT(BB$2&amp;(ROW())):INDIRECT(BB$3&amp;(ROW()))))</f>
        <v>0</v>
      </c>
      <c r="BC526" s="95">
        <f ca="1">SUM(INDIRECT(BC$1&amp;BC$2&amp;$C526):INDIRECT(BC$1&amp;BC$3&amp;$C526))</f>
        <v>0</v>
      </c>
      <c r="BD526" s="3228">
        <f t="shared" ca="1" si="807"/>
        <v>0</v>
      </c>
      <c r="BE526" s="2880">
        <f t="shared" ca="1" si="808"/>
        <v>0</v>
      </c>
      <c r="BF526" s="95">
        <f ca="1">SUM(INDIRECT(BF$1&amp;BF$2&amp;$A526):INDIRECT(BF$1&amp;BF$3&amp;$A526))</f>
        <v>651329.70283000008</v>
      </c>
      <c r="BG526" s="3228">
        <f t="shared" ca="1" si="809"/>
        <v>-651329.70283000008</v>
      </c>
      <c r="BH526" s="2880">
        <f t="shared" ca="1" si="810"/>
        <v>0</v>
      </c>
    </row>
    <row r="527" spans="1:60" ht="14.5">
      <c r="A527" s="616">
        <f t="shared" si="746"/>
        <v>478</v>
      </c>
      <c r="B527" s="616">
        <v>1</v>
      </c>
      <c r="C527" s="616">
        <f t="shared" si="797"/>
        <v>524</v>
      </c>
      <c r="E527" s="2547">
        <v>1</v>
      </c>
      <c r="I527" s="94"/>
      <c r="J527" s="93"/>
      <c r="K527" s="63"/>
      <c r="L527" s="63"/>
      <c r="N527" s="229"/>
      <c r="O527" s="229"/>
      <c r="P527" s="229" t="s">
        <v>1472</v>
      </c>
      <c r="Q527" s="1779" t="str">
        <f>CHOOSE(2, "6722000003446", "S/GP (1)-1 Gross Profit Indirect NH &lt;Direct&gt;FSC(-) TE")</f>
        <v>S/GP (1)-1 Gross Profit Indirect NH &lt;Direct&gt;FSC(-) TE</v>
      </c>
      <c r="R527" s="1217">
        <v>0</v>
      </c>
      <c r="S527" s="1217">
        <v>0</v>
      </c>
      <c r="T527" s="1217">
        <v>0</v>
      </c>
      <c r="U527" s="1217">
        <v>0</v>
      </c>
      <c r="V527" s="1217">
        <v>0</v>
      </c>
      <c r="W527" s="1217">
        <v>0</v>
      </c>
      <c r="X527" s="1217">
        <v>0</v>
      </c>
      <c r="Y527" s="1217">
        <v>0</v>
      </c>
      <c r="Z527" s="1217">
        <v>0</v>
      </c>
      <c r="AA527" s="1217">
        <v>0</v>
      </c>
      <c r="AB527" s="1217">
        <v>0</v>
      </c>
      <c r="AC527" s="1217">
        <v>0</v>
      </c>
      <c r="AD527" s="783">
        <f>SUM(R527,S527,T527)</f>
        <v>0</v>
      </c>
      <c r="AE527" s="1226">
        <f t="shared" si="822"/>
        <v>0</v>
      </c>
      <c r="AF527" s="1226">
        <f t="shared" si="823"/>
        <v>0</v>
      </c>
      <c r="AG527" s="1226">
        <f t="shared" si="824"/>
        <v>0</v>
      </c>
      <c r="AH527" s="1226">
        <f>AD527+AE527</f>
        <v>0</v>
      </c>
      <c r="AI527" s="1226">
        <f>AG527+AF527</f>
        <v>0</v>
      </c>
      <c r="AJ527" s="1226">
        <f>AH527+AI527</f>
        <v>0</v>
      </c>
      <c r="AL527" s="1226">
        <f ca="1">SUM((INDIRECT(AL$2&amp;(ROW())):INDIRECT(AL$3&amp;(ROW()))))</f>
        <v>0</v>
      </c>
      <c r="AM527" s="1226">
        <f ca="1">SUM(INDIRECT(AM$1&amp;AM$2&amp;$C527):INDIRECT(AM$1&amp;AM$3&amp;$C527))</f>
        <v>20687.723770421871</v>
      </c>
      <c r="AN527" s="3233">
        <f t="shared" ca="1" si="799"/>
        <v>-20687.723770421871</v>
      </c>
      <c r="AO527" s="2890">
        <f t="shared" ca="1" si="800"/>
        <v>0</v>
      </c>
      <c r="AP527" s="1226">
        <f ca="1">SUM(INDIRECT(AP$1&amp;AP$2&amp;$A527):INDIRECT(AP$1&amp;AP$3&amp;$A527))</f>
        <v>53836</v>
      </c>
      <c r="AQ527" s="3233">
        <f t="shared" ca="1" si="801"/>
        <v>-53836</v>
      </c>
      <c r="AR527" s="2890">
        <f t="shared" ca="1" si="802"/>
        <v>0</v>
      </c>
      <c r="AT527" s="1226">
        <f ca="1">SUM((INDIRECT(AT$2&amp;(ROW())):INDIRECT(AT$3&amp;(ROW()))))</f>
        <v>0</v>
      </c>
      <c r="AU527" s="1226">
        <f ca="1">SUM(INDIRECT(AU$1&amp;AU$2&amp;$C527):INDIRECT(AU$1&amp;AU$3&amp;$C527))</f>
        <v>59629.321455921861</v>
      </c>
      <c r="AV527" s="3233">
        <f t="shared" ca="1" si="803"/>
        <v>-59629.321455921861</v>
      </c>
      <c r="AW527" s="2890">
        <f t="shared" ca="1" si="804"/>
        <v>0</v>
      </c>
      <c r="AX527" s="1226">
        <f ca="1">SUM(INDIRECT(AX$1&amp;AX$2&amp;$A527):INDIRECT(AX$1&amp;AX$3&amp;$A527))</f>
        <v>170461</v>
      </c>
      <c r="AY527" s="3233">
        <f t="shared" ca="1" si="805"/>
        <v>-170461</v>
      </c>
      <c r="AZ527" s="2890">
        <f t="shared" ca="1" si="806"/>
        <v>0</v>
      </c>
      <c r="BB527" s="1226">
        <f ca="1">SUM((INDIRECT(BB$2&amp;(ROW())):INDIRECT(BB$3&amp;(ROW()))))</f>
        <v>0</v>
      </c>
      <c r="BC527" s="1226">
        <f ca="1">SUM(INDIRECT(BC$1&amp;BC$2&amp;$C527):INDIRECT(BC$1&amp;BC$3&amp;$C527))</f>
        <v>99787.844069093728</v>
      </c>
      <c r="BD527" s="3233">
        <f t="shared" ca="1" si="807"/>
        <v>-99787.844069093728</v>
      </c>
      <c r="BE527" s="2890">
        <f t="shared" ca="1" si="808"/>
        <v>0</v>
      </c>
      <c r="BF527" s="1226">
        <f ca="1">SUM(INDIRECT(BF$1&amp;BF$2&amp;$A527):INDIRECT(BF$1&amp;BF$3&amp;$A527))</f>
        <v>651329.70283000008</v>
      </c>
      <c r="BG527" s="3233">
        <f t="shared" ca="1" si="809"/>
        <v>-651329.70283000008</v>
      </c>
      <c r="BH527" s="2890">
        <f t="shared" ca="1" si="810"/>
        <v>0</v>
      </c>
    </row>
    <row r="528" spans="1:60" ht="14.5">
      <c r="A528" s="616">
        <f t="shared" si="746"/>
        <v>479</v>
      </c>
      <c r="B528" s="616">
        <v>1</v>
      </c>
      <c r="C528" s="616">
        <f t="shared" si="797"/>
        <v>525</v>
      </c>
      <c r="E528" s="2547">
        <v>1</v>
      </c>
      <c r="I528" s="94"/>
      <c r="J528" s="93"/>
      <c r="K528" s="63"/>
      <c r="L528" s="63"/>
      <c r="N528" s="228"/>
      <c r="O528" s="228"/>
      <c r="P528" s="228" t="s">
        <v>224</v>
      </c>
      <c r="Q528" s="1779" t="str">
        <f>CHOOSE(2, "6722000003447", "S/GP (1)-1 Gross Profit Indirect NH &lt;Direct&gt;FSC(-) OFC")</f>
        <v>S/GP (1)-1 Gross Profit Indirect NH &lt;Direct&gt;FSC(-) OFC</v>
      </c>
      <c r="R528" s="1218">
        <v>0</v>
      </c>
      <c r="S528" s="1218">
        <v>0</v>
      </c>
      <c r="T528" s="1218">
        <v>0</v>
      </c>
      <c r="U528" s="1218">
        <v>0</v>
      </c>
      <c r="V528" s="1218">
        <v>0</v>
      </c>
      <c r="W528" s="1218">
        <v>0</v>
      </c>
      <c r="X528" s="1218">
        <v>0</v>
      </c>
      <c r="Y528" s="1218">
        <v>0</v>
      </c>
      <c r="Z528" s="1218">
        <v>0</v>
      </c>
      <c r="AA528" s="1218">
        <v>0</v>
      </c>
      <c r="AB528" s="1218">
        <v>0</v>
      </c>
      <c r="AC528" s="1218">
        <v>0</v>
      </c>
      <c r="AD528" s="784">
        <f>SUM(R528,S528,T528)</f>
        <v>0</v>
      </c>
      <c r="AE528" s="1228">
        <f t="shared" si="822"/>
        <v>0</v>
      </c>
      <c r="AF528" s="1228">
        <f t="shared" si="823"/>
        <v>0</v>
      </c>
      <c r="AG528" s="1228">
        <f t="shared" si="824"/>
        <v>0</v>
      </c>
      <c r="AH528" s="1228">
        <f>AD528+AE528</f>
        <v>0</v>
      </c>
      <c r="AI528" s="1228">
        <f>AG528+AF528</f>
        <v>0</v>
      </c>
      <c r="AJ528" s="1228">
        <f>AH528+AI528</f>
        <v>0</v>
      </c>
      <c r="AL528" s="1228">
        <f ca="1">SUM((INDIRECT(AL$2&amp;(ROW())):INDIRECT(AL$3&amp;(ROW()))))</f>
        <v>0</v>
      </c>
      <c r="AM528" s="1228">
        <f ca="1">SUM(INDIRECT(AM$1&amp;AM$2&amp;$C528):INDIRECT(AM$1&amp;AM$3&amp;$C528))</f>
        <v>20687.723770421871</v>
      </c>
      <c r="AN528" s="3243">
        <f t="shared" ca="1" si="799"/>
        <v>-20687.723770421871</v>
      </c>
      <c r="AO528" s="2897">
        <f t="shared" ca="1" si="800"/>
        <v>0</v>
      </c>
      <c r="AP528" s="1228">
        <f ca="1">SUM(INDIRECT(AP$1&amp;AP$2&amp;$A528):INDIRECT(AP$1&amp;AP$3&amp;$A528))</f>
        <v>0</v>
      </c>
      <c r="AQ528" s="3243">
        <f t="shared" ca="1" si="801"/>
        <v>0</v>
      </c>
      <c r="AR528" s="2897">
        <f t="shared" ca="1" si="802"/>
        <v>0</v>
      </c>
      <c r="AT528" s="1228">
        <f ca="1">SUM((INDIRECT(AT$2&amp;(ROW())):INDIRECT(AT$3&amp;(ROW()))))</f>
        <v>0</v>
      </c>
      <c r="AU528" s="1228">
        <f ca="1">SUM(INDIRECT(AU$1&amp;AU$2&amp;$C528):INDIRECT(AU$1&amp;AU$3&amp;$C528))</f>
        <v>59629.321455921861</v>
      </c>
      <c r="AV528" s="3243">
        <f t="shared" ca="1" si="803"/>
        <v>-59629.321455921861</v>
      </c>
      <c r="AW528" s="2897">
        <f t="shared" ca="1" si="804"/>
        <v>0</v>
      </c>
      <c r="AX528" s="1228">
        <f ca="1">SUM(INDIRECT(AX$1&amp;AX$2&amp;$A528):INDIRECT(AX$1&amp;AX$3&amp;$A528))</f>
        <v>0</v>
      </c>
      <c r="AY528" s="3243">
        <f t="shared" ca="1" si="805"/>
        <v>0</v>
      </c>
      <c r="AZ528" s="2897">
        <f t="shared" ca="1" si="806"/>
        <v>0</v>
      </c>
      <c r="BB528" s="1228">
        <f ca="1">SUM((INDIRECT(BB$2&amp;(ROW())):INDIRECT(BB$3&amp;(ROW()))))</f>
        <v>0</v>
      </c>
      <c r="BC528" s="1228">
        <f ca="1">SUM(INDIRECT(BC$1&amp;BC$2&amp;$C528):INDIRECT(BC$1&amp;BC$3&amp;$C528))</f>
        <v>99787.844069093728</v>
      </c>
      <c r="BD528" s="3243">
        <f t="shared" ca="1" si="807"/>
        <v>-99787.844069093728</v>
      </c>
      <c r="BE528" s="2897">
        <f t="shared" ca="1" si="808"/>
        <v>0</v>
      </c>
      <c r="BF528" s="1228">
        <f ca="1">SUM(INDIRECT(BF$1&amp;BF$2&amp;$A528):INDIRECT(BF$1&amp;BF$3&amp;$A528))</f>
        <v>0</v>
      </c>
      <c r="BG528" s="3243">
        <f t="shared" ca="1" si="809"/>
        <v>0</v>
      </c>
      <c r="BH528" s="2897">
        <f t="shared" ca="1" si="810"/>
        <v>0</v>
      </c>
    </row>
    <row r="529" spans="1:60" ht="14.5">
      <c r="A529" s="616">
        <f t="shared" si="746"/>
        <v>480</v>
      </c>
      <c r="B529" s="616">
        <v>1</v>
      </c>
      <c r="C529" s="616">
        <f t="shared" si="797"/>
        <v>526</v>
      </c>
      <c r="E529" s="2547">
        <v>1</v>
      </c>
      <c r="I529" s="94"/>
      <c r="J529" s="93"/>
      <c r="K529" s="63"/>
      <c r="L529" s="63"/>
      <c r="N529" s="290" t="s">
        <v>1477</v>
      </c>
      <c r="O529" s="290"/>
      <c r="P529" s="290"/>
      <c r="Q529" s="1777" t="str">
        <f>CHOOSE(2, "6722000003448", "S/GP (1)-1 Gross Profit Indirect NH &lt;Direct&gt;SDC(-)")</f>
        <v>S/GP (1)-1 Gross Profit Indirect NH &lt;Direct&gt;SDC(-)</v>
      </c>
      <c r="R529" s="3103">
        <f>SUM(R530:R531)</f>
        <v>0</v>
      </c>
      <c r="S529" s="3103">
        <f t="shared" ref="S529:AJ529" si="825">SUM(S530:S531)</f>
        <v>0</v>
      </c>
      <c r="T529" s="3103">
        <f t="shared" si="825"/>
        <v>0</v>
      </c>
      <c r="U529" s="3103">
        <f t="shared" si="825"/>
        <v>0</v>
      </c>
      <c r="V529" s="3103">
        <f t="shared" si="825"/>
        <v>0</v>
      </c>
      <c r="W529" s="3103">
        <f t="shared" si="825"/>
        <v>0</v>
      </c>
      <c r="X529" s="3103">
        <f t="shared" si="825"/>
        <v>0</v>
      </c>
      <c r="Y529" s="3103">
        <f t="shared" si="825"/>
        <v>0</v>
      </c>
      <c r="Z529" s="3103">
        <f t="shared" si="825"/>
        <v>0</v>
      </c>
      <c r="AA529" s="3103">
        <f t="shared" si="825"/>
        <v>0</v>
      </c>
      <c r="AB529" s="3103">
        <f t="shared" si="825"/>
        <v>0</v>
      </c>
      <c r="AC529" s="3103">
        <f t="shared" si="825"/>
        <v>0</v>
      </c>
      <c r="AD529" s="898">
        <f t="shared" si="825"/>
        <v>0</v>
      </c>
      <c r="AE529" s="1249">
        <f t="shared" si="825"/>
        <v>0</v>
      </c>
      <c r="AF529" s="1249">
        <f t="shared" si="825"/>
        <v>0</v>
      </c>
      <c r="AG529" s="1249">
        <f t="shared" si="825"/>
        <v>0</v>
      </c>
      <c r="AH529" s="1249">
        <f t="shared" si="825"/>
        <v>0</v>
      </c>
      <c r="AI529" s="1249">
        <f t="shared" si="825"/>
        <v>0</v>
      </c>
      <c r="AJ529" s="1249">
        <f t="shared" si="825"/>
        <v>0</v>
      </c>
      <c r="AL529" s="1249">
        <f ca="1">SUM((INDIRECT(AL$2&amp;(ROW())):INDIRECT(AL$3&amp;(ROW()))))</f>
        <v>0</v>
      </c>
      <c r="AM529" s="1249">
        <f ca="1">SUM(INDIRECT(AM$1&amp;AM$2&amp;$C529):INDIRECT(AM$1&amp;AM$3&amp;$C529))</f>
        <v>20687.723770421871</v>
      </c>
      <c r="AN529" s="3231">
        <f t="shared" ca="1" si="799"/>
        <v>-20687.723770421871</v>
      </c>
      <c r="AO529" s="2886">
        <f t="shared" ca="1" si="800"/>
        <v>0</v>
      </c>
      <c r="AP529" s="1249">
        <f ca="1">SUM(INDIRECT(AP$1&amp;AP$2&amp;$A529):INDIRECT(AP$1&amp;AP$3&amp;$A529))</f>
        <v>0</v>
      </c>
      <c r="AQ529" s="3231">
        <f t="shared" ca="1" si="801"/>
        <v>0</v>
      </c>
      <c r="AR529" s="2886">
        <f t="shared" ca="1" si="802"/>
        <v>0</v>
      </c>
      <c r="AT529" s="1249">
        <f ca="1">SUM((INDIRECT(AT$2&amp;(ROW())):INDIRECT(AT$3&amp;(ROW()))))</f>
        <v>0</v>
      </c>
      <c r="AU529" s="1249">
        <f ca="1">SUM(INDIRECT(AU$1&amp;AU$2&amp;$C529):INDIRECT(AU$1&amp;AU$3&amp;$C529))</f>
        <v>59629.321455921861</v>
      </c>
      <c r="AV529" s="3231">
        <f t="shared" ca="1" si="803"/>
        <v>-59629.321455921861</v>
      </c>
      <c r="AW529" s="2886">
        <f t="shared" ca="1" si="804"/>
        <v>0</v>
      </c>
      <c r="AX529" s="1249">
        <f ca="1">SUM(INDIRECT(AX$1&amp;AX$2&amp;$A529):INDIRECT(AX$1&amp;AX$3&amp;$A529))</f>
        <v>328</v>
      </c>
      <c r="AY529" s="3231">
        <f t="shared" ca="1" si="805"/>
        <v>-328</v>
      </c>
      <c r="AZ529" s="2886">
        <f t="shared" ca="1" si="806"/>
        <v>0</v>
      </c>
      <c r="BB529" s="1249">
        <f ca="1">SUM((INDIRECT(BB$2&amp;(ROW())):INDIRECT(BB$3&amp;(ROW()))))</f>
        <v>0</v>
      </c>
      <c r="BC529" s="1249">
        <f ca="1">SUM(INDIRECT(BC$1&amp;BC$2&amp;$C529):INDIRECT(BC$1&amp;BC$3&amp;$C529))</f>
        <v>99787.844069093728</v>
      </c>
      <c r="BD529" s="3231">
        <f t="shared" ca="1" si="807"/>
        <v>-99787.844069093728</v>
      </c>
      <c r="BE529" s="2886">
        <f t="shared" ca="1" si="808"/>
        <v>0</v>
      </c>
      <c r="BF529" s="1249">
        <f ca="1">SUM(INDIRECT(BF$1&amp;BF$2&amp;$A529):INDIRECT(BF$1&amp;BF$3&amp;$A529))</f>
        <v>1910.0360000000001</v>
      </c>
      <c r="BG529" s="3231">
        <f t="shared" ca="1" si="809"/>
        <v>-1910.0360000000001</v>
      </c>
      <c r="BH529" s="2886">
        <f t="shared" ca="1" si="810"/>
        <v>0</v>
      </c>
    </row>
    <row r="530" spans="1:60" ht="14.5">
      <c r="A530" s="616">
        <f t="shared" si="746"/>
        <v>481</v>
      </c>
      <c r="B530" s="616">
        <v>1</v>
      </c>
      <c r="C530" s="616">
        <f t="shared" si="797"/>
        <v>527</v>
      </c>
      <c r="E530" s="2547">
        <v>1</v>
      </c>
      <c r="I530" s="94"/>
      <c r="J530" s="93"/>
      <c r="K530" s="63"/>
      <c r="L530" s="63"/>
      <c r="N530" s="291"/>
      <c r="O530" s="291"/>
      <c r="P530" s="291" t="s">
        <v>223</v>
      </c>
      <c r="Q530" s="1779" t="str">
        <f>CHOOSE(2, "6722000003449", "S/GP (1)-1 Gross Profit Indirect NH &lt;Direct&gt;SDC(-) PC")</f>
        <v>S/GP (1)-1 Gross Profit Indirect NH &lt;Direct&gt;SDC(-) PC</v>
      </c>
      <c r="R530" s="1227">
        <v>0</v>
      </c>
      <c r="S530" s="1227">
        <v>0</v>
      </c>
      <c r="T530" s="1227">
        <v>0</v>
      </c>
      <c r="U530" s="1227">
        <v>0</v>
      </c>
      <c r="V530" s="1227">
        <v>0</v>
      </c>
      <c r="W530" s="1227">
        <v>0</v>
      </c>
      <c r="X530" s="1227">
        <v>0</v>
      </c>
      <c r="Y530" s="1227">
        <v>0</v>
      </c>
      <c r="Z530" s="1227">
        <v>0</v>
      </c>
      <c r="AA530" s="1227">
        <v>0</v>
      </c>
      <c r="AB530" s="1227">
        <v>0</v>
      </c>
      <c r="AC530" s="1227">
        <v>0</v>
      </c>
      <c r="AD530" s="896">
        <f>SUM(R530,S530,T530)</f>
        <v>0</v>
      </c>
      <c r="AE530" s="95">
        <f t="shared" ref="AE530:AE533" si="826">SUM(U530,V530,W530)</f>
        <v>0</v>
      </c>
      <c r="AF530" s="95">
        <f t="shared" ref="AF530:AF533" si="827">SUM(X530,Y530,Z530)</f>
        <v>0</v>
      </c>
      <c r="AG530" s="95">
        <f t="shared" ref="AG530:AG533" si="828">SUM(AA530,AB530,AC530)</f>
        <v>0</v>
      </c>
      <c r="AH530" s="95">
        <f>AD530+AE530</f>
        <v>0</v>
      </c>
      <c r="AI530" s="95">
        <f>AG530+AF530</f>
        <v>0</v>
      </c>
      <c r="AJ530" s="95">
        <f>AH530+AI530</f>
        <v>0</v>
      </c>
      <c r="AL530" s="95">
        <f ca="1">SUM((INDIRECT(AL$2&amp;(ROW())):INDIRECT(AL$3&amp;(ROW()))))</f>
        <v>0</v>
      </c>
      <c r="AM530" s="95">
        <f ca="1">SUM(INDIRECT(AM$1&amp;AM$2&amp;$C530):INDIRECT(AM$1&amp;AM$3&amp;$C530))</f>
        <v>20687.723770421871</v>
      </c>
      <c r="AN530" s="3228">
        <f t="shared" ca="1" si="799"/>
        <v>-20687.723770421871</v>
      </c>
      <c r="AO530" s="2880">
        <f t="shared" ca="1" si="800"/>
        <v>0</v>
      </c>
      <c r="AP530" s="95">
        <f ca="1">SUM(INDIRECT(AP$1&amp;AP$2&amp;$A530):INDIRECT(AP$1&amp;AP$3&amp;$A530))</f>
        <v>0</v>
      </c>
      <c r="AQ530" s="3228">
        <f t="shared" ca="1" si="801"/>
        <v>0</v>
      </c>
      <c r="AR530" s="2880">
        <f t="shared" ca="1" si="802"/>
        <v>0</v>
      </c>
      <c r="AT530" s="95">
        <f ca="1">SUM((INDIRECT(AT$2&amp;(ROW())):INDIRECT(AT$3&amp;(ROW()))))</f>
        <v>0</v>
      </c>
      <c r="AU530" s="95">
        <f ca="1">SUM(INDIRECT(AU$1&amp;AU$2&amp;$C530):INDIRECT(AU$1&amp;AU$3&amp;$C530))</f>
        <v>59629.321455921861</v>
      </c>
      <c r="AV530" s="3228">
        <f t="shared" ca="1" si="803"/>
        <v>-59629.321455921861</v>
      </c>
      <c r="AW530" s="2880">
        <f t="shared" ca="1" si="804"/>
        <v>0</v>
      </c>
      <c r="AX530" s="95">
        <f ca="1">SUM(INDIRECT(AX$1&amp;AX$2&amp;$A530):INDIRECT(AX$1&amp;AX$3&amp;$A530))</f>
        <v>328</v>
      </c>
      <c r="AY530" s="3228">
        <f t="shared" ca="1" si="805"/>
        <v>-328</v>
      </c>
      <c r="AZ530" s="2880">
        <f t="shared" ca="1" si="806"/>
        <v>0</v>
      </c>
      <c r="BB530" s="95">
        <f ca="1">SUM((INDIRECT(BB$2&amp;(ROW())):INDIRECT(BB$3&amp;(ROW()))))</f>
        <v>0</v>
      </c>
      <c r="BC530" s="95">
        <f ca="1">SUM(INDIRECT(BC$1&amp;BC$2&amp;$C530):INDIRECT(BC$1&amp;BC$3&amp;$C530))</f>
        <v>99787.844069093728</v>
      </c>
      <c r="BD530" s="3228">
        <f t="shared" ca="1" si="807"/>
        <v>-99787.844069093728</v>
      </c>
      <c r="BE530" s="2880">
        <f t="shared" ca="1" si="808"/>
        <v>0</v>
      </c>
      <c r="BF530" s="95">
        <f ca="1">SUM(INDIRECT(BF$1&amp;BF$2&amp;$A530):INDIRECT(BF$1&amp;BF$3&amp;$A530))</f>
        <v>1910.0360000000001</v>
      </c>
      <c r="BG530" s="3228">
        <f t="shared" ca="1" si="809"/>
        <v>-1910.0360000000001</v>
      </c>
      <c r="BH530" s="2880">
        <f t="shared" ca="1" si="810"/>
        <v>0</v>
      </c>
    </row>
    <row r="531" spans="1:60" ht="14.5">
      <c r="A531" s="616">
        <f t="shared" si="746"/>
        <v>482</v>
      </c>
      <c r="B531" s="616">
        <v>1</v>
      </c>
      <c r="C531" s="616">
        <f t="shared" si="797"/>
        <v>528</v>
      </c>
      <c r="E531" s="2547">
        <v>1</v>
      </c>
      <c r="I531" s="94"/>
      <c r="J531" s="93"/>
      <c r="K531" s="63"/>
      <c r="L531" s="63"/>
      <c r="N531" s="228"/>
      <c r="O531" s="228"/>
      <c r="P531" s="228" t="s">
        <v>224</v>
      </c>
      <c r="Q531" s="1779" t="str">
        <f>CHOOSE(2, "6722000003450", "S/GP (1)-1 Gross Profit Indirect NH &lt;Direct&gt;SDC(-) OFC")</f>
        <v>S/GP (1)-1 Gross Profit Indirect NH &lt;Direct&gt;SDC(-) OFC</v>
      </c>
      <c r="R531" s="1218">
        <v>0</v>
      </c>
      <c r="S531" s="1218">
        <v>0</v>
      </c>
      <c r="T531" s="1218">
        <v>0</v>
      </c>
      <c r="U531" s="1218">
        <v>0</v>
      </c>
      <c r="V531" s="1218">
        <v>0</v>
      </c>
      <c r="W531" s="1218">
        <v>0</v>
      </c>
      <c r="X531" s="1218">
        <v>0</v>
      </c>
      <c r="Y531" s="1218">
        <v>0</v>
      </c>
      <c r="Z531" s="1218">
        <v>0</v>
      </c>
      <c r="AA531" s="1218">
        <v>0</v>
      </c>
      <c r="AB531" s="1218">
        <v>0</v>
      </c>
      <c r="AC531" s="1218">
        <v>0</v>
      </c>
      <c r="AD531" s="784">
        <f>SUM(R531,S531,T531)</f>
        <v>0</v>
      </c>
      <c r="AE531" s="1228">
        <f t="shared" si="826"/>
        <v>0</v>
      </c>
      <c r="AF531" s="1228">
        <f t="shared" si="827"/>
        <v>0</v>
      </c>
      <c r="AG531" s="1228">
        <f t="shared" si="828"/>
        <v>0</v>
      </c>
      <c r="AH531" s="1228">
        <f>AD531+AE531</f>
        <v>0</v>
      </c>
      <c r="AI531" s="1228">
        <f>AG531+AF531</f>
        <v>0</v>
      </c>
      <c r="AJ531" s="1228">
        <f>AH531+AI531</f>
        <v>0</v>
      </c>
      <c r="AL531" s="1228">
        <f ca="1">SUM((INDIRECT(AL$2&amp;(ROW())):INDIRECT(AL$3&amp;(ROW()))))</f>
        <v>0</v>
      </c>
      <c r="AM531" s="1228">
        <f ca="1">SUM(INDIRECT(AM$1&amp;AM$2&amp;$C531):INDIRECT(AM$1&amp;AM$3&amp;$C531))</f>
        <v>0</v>
      </c>
      <c r="AN531" s="3243">
        <f t="shared" ca="1" si="799"/>
        <v>0</v>
      </c>
      <c r="AO531" s="2897">
        <f t="shared" ca="1" si="800"/>
        <v>0</v>
      </c>
      <c r="AP531" s="1228">
        <f ca="1">SUM(INDIRECT(AP$1&amp;AP$2&amp;$A531):INDIRECT(AP$1&amp;AP$3&amp;$A531))</f>
        <v>0</v>
      </c>
      <c r="AQ531" s="3243">
        <f t="shared" ca="1" si="801"/>
        <v>0</v>
      </c>
      <c r="AR531" s="2897">
        <f t="shared" ca="1" si="802"/>
        <v>0</v>
      </c>
      <c r="AT531" s="1228">
        <f ca="1">SUM((INDIRECT(AT$2&amp;(ROW())):INDIRECT(AT$3&amp;(ROW()))))</f>
        <v>0</v>
      </c>
      <c r="AU531" s="1228">
        <f ca="1">SUM(INDIRECT(AU$1&amp;AU$2&amp;$C531):INDIRECT(AU$1&amp;AU$3&amp;$C531))</f>
        <v>0</v>
      </c>
      <c r="AV531" s="3243">
        <f t="shared" ca="1" si="803"/>
        <v>0</v>
      </c>
      <c r="AW531" s="2897">
        <f t="shared" ca="1" si="804"/>
        <v>0</v>
      </c>
      <c r="AX531" s="1228">
        <f ca="1">SUM(INDIRECT(AX$1&amp;AX$2&amp;$A531):INDIRECT(AX$1&amp;AX$3&amp;$A531))</f>
        <v>0</v>
      </c>
      <c r="AY531" s="3243">
        <f t="shared" ca="1" si="805"/>
        <v>0</v>
      </c>
      <c r="AZ531" s="2897">
        <f t="shared" ca="1" si="806"/>
        <v>0</v>
      </c>
      <c r="BB531" s="1228">
        <f ca="1">SUM((INDIRECT(BB$2&amp;(ROW())):INDIRECT(BB$3&amp;(ROW()))))</f>
        <v>0</v>
      </c>
      <c r="BC531" s="1228">
        <f ca="1">SUM(INDIRECT(BC$1&amp;BC$2&amp;$C531):INDIRECT(BC$1&amp;BC$3&amp;$C531))</f>
        <v>0</v>
      </c>
      <c r="BD531" s="3243">
        <f t="shared" ca="1" si="807"/>
        <v>0</v>
      </c>
      <c r="BE531" s="2897">
        <f t="shared" ca="1" si="808"/>
        <v>0</v>
      </c>
      <c r="BF531" s="1228">
        <f ca="1">SUM(INDIRECT(BF$1&amp;BF$2&amp;$A531):INDIRECT(BF$1&amp;BF$3&amp;$A531))</f>
        <v>0</v>
      </c>
      <c r="BG531" s="3243">
        <f t="shared" ca="1" si="809"/>
        <v>0</v>
      </c>
      <c r="BH531" s="2897">
        <f t="shared" ca="1" si="810"/>
        <v>0</v>
      </c>
    </row>
    <row r="532" spans="1:60" ht="14.5">
      <c r="A532" s="616">
        <f t="shared" si="746"/>
        <v>483</v>
      </c>
      <c r="B532" s="616">
        <v>1</v>
      </c>
      <c r="C532" s="616">
        <f t="shared" si="797"/>
        <v>529</v>
      </c>
      <c r="E532" s="2547">
        <v>1</v>
      </c>
      <c r="I532" s="94"/>
      <c r="J532" s="93"/>
      <c r="K532" s="63"/>
      <c r="L532" s="63"/>
      <c r="N532" s="2155" t="s">
        <v>1478</v>
      </c>
      <c r="O532" s="2156"/>
      <c r="P532" s="2156"/>
      <c r="Q532" s="1779" t="str">
        <f>CHOOSE(2, "6722000003451", "S/GP (1)-1 Gross Profit Indirect NH &lt;Direct&gt;D&amp;A (-)")</f>
        <v>S/GP (1)-1 Gross Profit Indirect NH &lt;Direct&gt;D&amp;A (-)</v>
      </c>
      <c r="R532" s="3234">
        <v>0</v>
      </c>
      <c r="S532" s="3234">
        <v>0</v>
      </c>
      <c r="T532" s="3234">
        <v>0</v>
      </c>
      <c r="U532" s="3234">
        <v>0</v>
      </c>
      <c r="V532" s="3234">
        <v>0</v>
      </c>
      <c r="W532" s="3234">
        <v>0</v>
      </c>
      <c r="X532" s="3234">
        <v>0</v>
      </c>
      <c r="Y532" s="3234">
        <v>0</v>
      </c>
      <c r="Z532" s="3234">
        <v>0</v>
      </c>
      <c r="AA532" s="3234">
        <v>0</v>
      </c>
      <c r="AB532" s="3234">
        <v>0</v>
      </c>
      <c r="AC532" s="3234">
        <v>0</v>
      </c>
      <c r="AD532" s="3235">
        <f>SUM(R532,S532,T532)</f>
        <v>0</v>
      </c>
      <c r="AE532" s="3236">
        <f t="shared" si="826"/>
        <v>0</v>
      </c>
      <c r="AF532" s="3236">
        <f t="shared" si="827"/>
        <v>0</v>
      </c>
      <c r="AG532" s="3236">
        <f t="shared" si="828"/>
        <v>0</v>
      </c>
      <c r="AH532" s="3236">
        <f>AD532+AE532</f>
        <v>0</v>
      </c>
      <c r="AI532" s="3236">
        <f>AG532+AF532</f>
        <v>0</v>
      </c>
      <c r="AJ532" s="3236">
        <f>AH532+AI532</f>
        <v>0</v>
      </c>
      <c r="AL532" s="3236">
        <f ca="1">SUM((INDIRECT(AL$2&amp;(ROW())):INDIRECT(AL$3&amp;(ROW()))))</f>
        <v>0</v>
      </c>
      <c r="AM532" s="3236">
        <f ca="1">SUM(INDIRECT(AM$1&amp;AM$2&amp;$C532):INDIRECT(AM$1&amp;AM$3&amp;$C532))</f>
        <v>0</v>
      </c>
      <c r="AN532" s="3237">
        <f t="shared" ca="1" si="799"/>
        <v>0</v>
      </c>
      <c r="AO532" s="2892">
        <f t="shared" ca="1" si="800"/>
        <v>0</v>
      </c>
      <c r="AP532" s="3236">
        <f ca="1">SUM(INDIRECT(AP$1&amp;AP$2&amp;$A532):INDIRECT(AP$1&amp;AP$3&amp;$A532))</f>
        <v>0</v>
      </c>
      <c r="AQ532" s="3237">
        <f t="shared" ca="1" si="801"/>
        <v>0</v>
      </c>
      <c r="AR532" s="2892">
        <f t="shared" ca="1" si="802"/>
        <v>0</v>
      </c>
      <c r="AT532" s="3236">
        <f ca="1">SUM((INDIRECT(AT$2&amp;(ROW())):INDIRECT(AT$3&amp;(ROW()))))</f>
        <v>0</v>
      </c>
      <c r="AU532" s="3236">
        <f ca="1">SUM(INDIRECT(AU$1&amp;AU$2&amp;$C532):INDIRECT(AU$1&amp;AU$3&amp;$C532))</f>
        <v>0</v>
      </c>
      <c r="AV532" s="3237">
        <f t="shared" ca="1" si="803"/>
        <v>0</v>
      </c>
      <c r="AW532" s="2892">
        <f t="shared" ca="1" si="804"/>
        <v>0</v>
      </c>
      <c r="AX532" s="3236">
        <f ca="1">SUM(INDIRECT(AX$1&amp;AX$2&amp;$A532):INDIRECT(AX$1&amp;AX$3&amp;$A532))</f>
        <v>0</v>
      </c>
      <c r="AY532" s="3237">
        <f t="shared" ca="1" si="805"/>
        <v>0</v>
      </c>
      <c r="AZ532" s="2892">
        <f t="shared" ca="1" si="806"/>
        <v>0</v>
      </c>
      <c r="BB532" s="3236">
        <f ca="1">SUM((INDIRECT(BB$2&amp;(ROW())):INDIRECT(BB$3&amp;(ROW()))))</f>
        <v>0</v>
      </c>
      <c r="BC532" s="3236">
        <f ca="1">SUM(INDIRECT(BC$1&amp;BC$2&amp;$C532):INDIRECT(BC$1&amp;BC$3&amp;$C532))</f>
        <v>0</v>
      </c>
      <c r="BD532" s="3237">
        <f t="shared" ca="1" si="807"/>
        <v>0</v>
      </c>
      <c r="BE532" s="2892">
        <f t="shared" ca="1" si="808"/>
        <v>0</v>
      </c>
      <c r="BF532" s="3236">
        <f ca="1">SUM(INDIRECT(BF$1&amp;BF$2&amp;$A532):INDIRECT(BF$1&amp;BF$3&amp;$A532))</f>
        <v>0</v>
      </c>
      <c r="BG532" s="3237">
        <f t="shared" ca="1" si="809"/>
        <v>0</v>
      </c>
      <c r="BH532" s="2892">
        <f t="shared" ca="1" si="810"/>
        <v>0</v>
      </c>
    </row>
    <row r="533" spans="1:60" s="9" customFormat="1" ht="14.5">
      <c r="A533" s="616">
        <f t="shared" si="746"/>
        <v>484</v>
      </c>
      <c r="B533" s="616">
        <v>1</v>
      </c>
      <c r="C533" s="616">
        <f t="shared" si="797"/>
        <v>530</v>
      </c>
      <c r="E533" s="2547">
        <v>1</v>
      </c>
      <c r="H533" s="22"/>
      <c r="I533" s="92"/>
      <c r="J533" s="215"/>
      <c r="K533" s="62"/>
      <c r="L533" s="62"/>
      <c r="M533" s="1475" t="s">
        <v>1386</v>
      </c>
      <c r="N533" s="1475"/>
      <c r="O533" s="1475"/>
      <c r="P533" s="1475"/>
      <c r="Q533" s="1779" t="str">
        <f>CHOOSE(2, "6722000003452", "S/GP (1)-1 Gross Profit Indirect Others")</f>
        <v>S/GP (1)-1 Gross Profit Indirect Others</v>
      </c>
      <c r="R533" s="3234">
        <v>0</v>
      </c>
      <c r="S533" s="3234">
        <v>0</v>
      </c>
      <c r="T533" s="3234">
        <v>0</v>
      </c>
      <c r="U533" s="3234">
        <v>0</v>
      </c>
      <c r="V533" s="3234">
        <v>0</v>
      </c>
      <c r="W533" s="3234">
        <v>0</v>
      </c>
      <c r="X533" s="3234">
        <v>0</v>
      </c>
      <c r="Y533" s="3234">
        <v>0</v>
      </c>
      <c r="Z533" s="3234">
        <v>0</v>
      </c>
      <c r="AA533" s="3234">
        <v>0</v>
      </c>
      <c r="AB533" s="3234">
        <v>0</v>
      </c>
      <c r="AC533" s="3234">
        <v>0</v>
      </c>
      <c r="AD533" s="3235">
        <f>SUM(R533,S533,T533)</f>
        <v>0</v>
      </c>
      <c r="AE533" s="3236">
        <f t="shared" si="826"/>
        <v>0</v>
      </c>
      <c r="AF533" s="3236">
        <f t="shared" si="827"/>
        <v>0</v>
      </c>
      <c r="AG533" s="3236">
        <f t="shared" si="828"/>
        <v>0</v>
      </c>
      <c r="AH533" s="3236">
        <f>AD533+AE533</f>
        <v>0</v>
      </c>
      <c r="AI533" s="3236">
        <f>AG533+AF533</f>
        <v>0</v>
      </c>
      <c r="AJ533" s="3236">
        <f>AH533+AI533</f>
        <v>0</v>
      </c>
      <c r="AL533" s="3236">
        <f ca="1">SUM((INDIRECT(AL$2&amp;(ROW())):INDIRECT(AL$3&amp;(ROW()))))</f>
        <v>0</v>
      </c>
      <c r="AM533" s="3236">
        <f ca="1">SUM(INDIRECT(AM$1&amp;AM$2&amp;$C533):INDIRECT(AM$1&amp;AM$3&amp;$C533))</f>
        <v>0</v>
      </c>
      <c r="AN533" s="3237">
        <f t="shared" ca="1" si="799"/>
        <v>0</v>
      </c>
      <c r="AO533" s="2892">
        <f t="shared" ca="1" si="800"/>
        <v>0</v>
      </c>
      <c r="AP533" s="3236">
        <f ca="1">SUM(INDIRECT(AP$1&amp;AP$2&amp;$A533):INDIRECT(AP$1&amp;AP$3&amp;$A533))</f>
        <v>0</v>
      </c>
      <c r="AQ533" s="3237">
        <f t="shared" ca="1" si="801"/>
        <v>0</v>
      </c>
      <c r="AR533" s="2892">
        <f t="shared" ca="1" si="802"/>
        <v>0</v>
      </c>
      <c r="AT533" s="3236">
        <f ca="1">SUM((INDIRECT(AT$2&amp;(ROW())):INDIRECT(AT$3&amp;(ROW()))))</f>
        <v>0</v>
      </c>
      <c r="AU533" s="3236">
        <f ca="1">SUM(INDIRECT(AU$1&amp;AU$2&amp;$C533):INDIRECT(AU$1&amp;AU$3&amp;$C533))</f>
        <v>0</v>
      </c>
      <c r="AV533" s="3237">
        <f t="shared" ca="1" si="803"/>
        <v>0</v>
      </c>
      <c r="AW533" s="2892">
        <f t="shared" ca="1" si="804"/>
        <v>0</v>
      </c>
      <c r="AX533" s="3236">
        <f ca="1">SUM(INDIRECT(AX$1&amp;AX$2&amp;$A533):INDIRECT(AX$1&amp;AX$3&amp;$A533))</f>
        <v>0</v>
      </c>
      <c r="AY533" s="3237">
        <f t="shared" ca="1" si="805"/>
        <v>0</v>
      </c>
      <c r="AZ533" s="2892">
        <f t="shared" ca="1" si="806"/>
        <v>0</v>
      </c>
      <c r="BB533" s="3236">
        <f ca="1">SUM((INDIRECT(BB$2&amp;(ROW())):INDIRECT(BB$3&amp;(ROW()))))</f>
        <v>0</v>
      </c>
      <c r="BC533" s="3236">
        <f ca="1">SUM(INDIRECT(BC$1&amp;BC$2&amp;$C533):INDIRECT(BC$1&amp;BC$3&amp;$C533))</f>
        <v>0</v>
      </c>
      <c r="BD533" s="3237">
        <f t="shared" ca="1" si="807"/>
        <v>0</v>
      </c>
      <c r="BE533" s="2892">
        <f t="shared" ca="1" si="808"/>
        <v>0</v>
      </c>
      <c r="BF533" s="3236">
        <f ca="1">SUM(INDIRECT(BF$1&amp;BF$2&amp;$A533):INDIRECT(BF$1&amp;BF$3&amp;$A533))</f>
        <v>0</v>
      </c>
      <c r="BG533" s="3237">
        <f t="shared" ca="1" si="809"/>
        <v>0</v>
      </c>
      <c r="BH533" s="2892">
        <f t="shared" ca="1" si="810"/>
        <v>0</v>
      </c>
    </row>
    <row r="534" spans="1:60" ht="14.5">
      <c r="A534" s="616">
        <f t="shared" ref="A534:A597" si="829">A533+1</f>
        <v>485</v>
      </c>
      <c r="B534" s="616">
        <v>1</v>
      </c>
      <c r="C534" s="616">
        <f t="shared" si="797"/>
        <v>531</v>
      </c>
      <c r="E534" s="2547">
        <v>1</v>
      </c>
      <c r="I534" s="22"/>
      <c r="J534" s="69"/>
      <c r="K534" s="22"/>
      <c r="L534" s="22"/>
      <c r="M534" s="69"/>
      <c r="N534" s="69"/>
      <c r="O534" s="69"/>
      <c r="P534" s="69"/>
      <c r="Q534" s="1772" t="str">
        <f>CHOOSE(2, "6722000003453", "▷ Blank 19")</f>
        <v>▷ Blank 19</v>
      </c>
      <c r="R534" s="2557"/>
      <c r="AA534" s="2558"/>
      <c r="AB534" s="2558"/>
      <c r="AC534" s="2558"/>
      <c r="AD534" s="2558"/>
      <c r="AE534" s="2558"/>
      <c r="AF534" s="2558"/>
      <c r="AG534" s="2558"/>
      <c r="AH534" s="2558"/>
      <c r="AI534" s="2558"/>
      <c r="AJ534" s="2559"/>
      <c r="AL534" s="2558"/>
      <c r="AM534" s="2558"/>
      <c r="AN534" s="2558"/>
      <c r="AO534" s="2558"/>
      <c r="AP534" s="2558"/>
      <c r="AQ534" s="2558"/>
      <c r="AR534" s="2558"/>
      <c r="AT534" s="2558"/>
      <c r="AU534" s="2558"/>
      <c r="AV534" s="2558"/>
      <c r="AW534" s="2558"/>
      <c r="AX534" s="2558"/>
      <c r="AY534" s="2558"/>
      <c r="AZ534" s="2558"/>
      <c r="BB534" s="2558"/>
      <c r="BC534" s="2558"/>
      <c r="BD534" s="2558"/>
      <c r="BE534" s="2558"/>
      <c r="BF534" s="2558"/>
      <c r="BG534" s="2558"/>
      <c r="BH534" s="2558"/>
    </row>
    <row r="535" spans="1:60" ht="14.5">
      <c r="A535" s="616">
        <v>1</v>
      </c>
      <c r="B535" s="616">
        <v>1</v>
      </c>
      <c r="C535" s="616">
        <f t="shared" si="797"/>
        <v>532</v>
      </c>
      <c r="E535" s="2578" t="s">
        <v>1369</v>
      </c>
      <c r="F535" s="2579"/>
      <c r="H535" s="4" t="s">
        <v>1479</v>
      </c>
      <c r="L535" s="3"/>
      <c r="Q535" s="1772" t="str">
        <f>CHOOSE(2, "6722000003454", "S/GP (1)-2 ""Office Solution"" only")</f>
        <v>S/GP (1)-2 "Office Solution" only</v>
      </c>
      <c r="R535" s="2557"/>
    </row>
    <row r="536" spans="1:60" ht="14.5">
      <c r="A536" s="616">
        <v>1</v>
      </c>
      <c r="B536" s="616">
        <v>1</v>
      </c>
      <c r="C536" s="616">
        <f t="shared" si="797"/>
        <v>533</v>
      </c>
      <c r="E536" s="2578" t="s">
        <v>1369</v>
      </c>
      <c r="F536" s="2569"/>
      <c r="I536" s="3222" t="s">
        <v>1375</v>
      </c>
      <c r="J536" s="582"/>
      <c r="K536" s="2135"/>
      <c r="L536" s="2135"/>
      <c r="M536" s="582"/>
      <c r="N536" s="582"/>
      <c r="O536" s="582"/>
      <c r="P536" s="582"/>
      <c r="Q536" s="1810" t="str">
        <f>CHOOSE(2, "6722000003455", "S/GP (1)-2 Net Sales")</f>
        <v>S/GP (1)-2 Net Sales</v>
      </c>
      <c r="R536" s="1317">
        <f>R537+R542</f>
        <v>1285</v>
      </c>
      <c r="S536" s="3223">
        <f t="shared" ref="S536:AJ536" si="830">S537+S542</f>
        <v>1777</v>
      </c>
      <c r="T536" s="3223">
        <f t="shared" si="830"/>
        <v>1492</v>
      </c>
      <c r="U536" s="3223">
        <f t="shared" si="830"/>
        <v>1267</v>
      </c>
      <c r="V536" s="3223">
        <f t="shared" si="830"/>
        <v>1554.885</v>
      </c>
      <c r="W536" s="3223">
        <f t="shared" si="830"/>
        <v>2374</v>
      </c>
      <c r="X536" s="3223">
        <f t="shared" si="830"/>
        <v>1320</v>
      </c>
      <c r="Y536" s="3223">
        <f t="shared" si="830"/>
        <v>3871</v>
      </c>
      <c r="Z536" s="3223">
        <f t="shared" si="830"/>
        <v>3249</v>
      </c>
      <c r="AA536" s="3223">
        <f t="shared" si="830"/>
        <v>1808</v>
      </c>
      <c r="AB536" s="3223">
        <f t="shared" si="830"/>
        <v>2870</v>
      </c>
      <c r="AC536" s="3223">
        <f t="shared" si="830"/>
        <v>3229</v>
      </c>
      <c r="AD536" s="3223">
        <f t="shared" si="830"/>
        <v>4554</v>
      </c>
      <c r="AE536" s="3223">
        <f t="shared" si="830"/>
        <v>5195.8850000000002</v>
      </c>
      <c r="AF536" s="3223">
        <f t="shared" si="830"/>
        <v>8440</v>
      </c>
      <c r="AG536" s="3223">
        <f t="shared" si="830"/>
        <v>7907</v>
      </c>
      <c r="AH536" s="3223">
        <f t="shared" si="830"/>
        <v>9749.8850000000002</v>
      </c>
      <c r="AI536" s="3223">
        <f t="shared" si="830"/>
        <v>16347</v>
      </c>
      <c r="AJ536" s="3223">
        <f t="shared" si="830"/>
        <v>26096.885000000002</v>
      </c>
      <c r="AL536" s="1317">
        <f ca="1">AL537+AL542</f>
        <v>3229</v>
      </c>
      <c r="AM536" s="3223">
        <f ca="1">AM537+AM542</f>
        <v>0</v>
      </c>
      <c r="AN536" s="3224">
        <f t="shared" ref="AN536:AN549" ca="1" si="831">AL536-AM536</f>
        <v>3229</v>
      </c>
      <c r="AO536" s="3225">
        <f t="shared" ref="AO536:AO549" ca="1" si="832">IFERROR(AL536/AM536,0)</f>
        <v>0</v>
      </c>
      <c r="AP536" s="3223">
        <f ca="1">AP537+AP542</f>
        <v>0</v>
      </c>
      <c r="AQ536" s="3224">
        <f t="shared" ref="AQ536:AQ549" ca="1" si="833">AL536-AP536</f>
        <v>3229</v>
      </c>
      <c r="AR536" s="3225">
        <f t="shared" ref="AR536:AR549" ca="1" si="834">IFERROR(AL536/AP536,0)</f>
        <v>0</v>
      </c>
      <c r="AT536" s="1317">
        <f ca="1">AT537+AT542</f>
        <v>7907</v>
      </c>
      <c r="AU536" s="3223">
        <f ca="1">AU537+AU542</f>
        <v>0</v>
      </c>
      <c r="AV536" s="3224">
        <f t="shared" ref="AV536:AV549" ca="1" si="835">AT536-AU536</f>
        <v>7907</v>
      </c>
      <c r="AW536" s="3225">
        <f t="shared" ref="AW536:AW549" ca="1" si="836">IFERROR(AT536/AU536,0)</f>
        <v>0</v>
      </c>
      <c r="AX536" s="3223">
        <f ca="1">AX537+AX542</f>
        <v>0</v>
      </c>
      <c r="AY536" s="3224">
        <f t="shared" ref="AY536:AY549" ca="1" si="837">AT536-AX536</f>
        <v>7907</v>
      </c>
      <c r="AZ536" s="3225">
        <f t="shared" ref="AZ536:AZ549" ca="1" si="838">IFERROR(AT536/AX536,0)</f>
        <v>0</v>
      </c>
      <c r="BB536" s="1317">
        <f ca="1">BB537+BB542</f>
        <v>26096.885000000002</v>
      </c>
      <c r="BC536" s="3223">
        <f ca="1">BC537+BC542</f>
        <v>0</v>
      </c>
      <c r="BD536" s="3224">
        <f t="shared" ref="BD536:BD549" ca="1" si="839">BB536-BC536</f>
        <v>26096.885000000002</v>
      </c>
      <c r="BE536" s="3225">
        <f t="shared" ref="BE536:BE549" ca="1" si="840">IFERROR(BB536/BC536,0)</f>
        <v>0</v>
      </c>
      <c r="BF536" s="3223">
        <f ca="1">BF537+BF542</f>
        <v>0</v>
      </c>
      <c r="BG536" s="3224">
        <f t="shared" ref="BG536:BG549" ca="1" si="841">BB536-BF536</f>
        <v>26096.885000000002</v>
      </c>
      <c r="BH536" s="3225">
        <f t="shared" ref="BH536:BH549" ca="1" si="842">IFERROR(BB536/BF536,0)</f>
        <v>0</v>
      </c>
    </row>
    <row r="537" spans="1:60" ht="14.5">
      <c r="A537" s="2580">
        <v>711</v>
      </c>
      <c r="B537" s="616">
        <v>1</v>
      </c>
      <c r="C537" s="616">
        <f t="shared" si="797"/>
        <v>534</v>
      </c>
      <c r="E537" s="2578" t="s">
        <v>1369</v>
      </c>
      <c r="F537" s="2569"/>
      <c r="G537" s="22"/>
      <c r="I537" s="94"/>
      <c r="J537" s="93"/>
      <c r="K537" s="68" t="s">
        <v>1381</v>
      </c>
      <c r="L537" s="68"/>
      <c r="M537" s="283" t="s">
        <v>175</v>
      </c>
      <c r="N537" s="1082"/>
      <c r="O537" s="1082"/>
      <c r="P537" s="1082"/>
      <c r="Q537" s="1814" t="str">
        <f>CHOOSE(2, "6722000003456", "S/GP (1)-2 Net Sales Direct Office Solution")</f>
        <v>S/GP (1)-2 Net Sales Direct Office Solution</v>
      </c>
      <c r="R537" s="1460">
        <f t="shared" ref="R537" si="843">SUM(R538:R541)</f>
        <v>1285</v>
      </c>
      <c r="S537" s="1460">
        <f t="shared" ref="S537:AJ537" si="844">SUM(S538:S541)</f>
        <v>1157</v>
      </c>
      <c r="T537" s="1460">
        <f t="shared" si="844"/>
        <v>1345</v>
      </c>
      <c r="U537" s="1460">
        <f t="shared" si="844"/>
        <v>1230</v>
      </c>
      <c r="V537" s="1460">
        <f t="shared" si="844"/>
        <v>1264</v>
      </c>
      <c r="W537" s="1460">
        <f t="shared" si="844"/>
        <v>1398</v>
      </c>
      <c r="X537" s="1460">
        <f t="shared" si="844"/>
        <v>938</v>
      </c>
      <c r="Y537" s="1460">
        <f t="shared" si="844"/>
        <v>2372</v>
      </c>
      <c r="Z537" s="1460">
        <f t="shared" si="844"/>
        <v>2120</v>
      </c>
      <c r="AA537" s="1460">
        <f t="shared" si="844"/>
        <v>1294</v>
      </c>
      <c r="AB537" s="1460">
        <f t="shared" si="844"/>
        <v>2212</v>
      </c>
      <c r="AC537" s="1460">
        <f t="shared" si="844"/>
        <v>2272</v>
      </c>
      <c r="AD537" s="1083">
        <f t="shared" si="844"/>
        <v>3787</v>
      </c>
      <c r="AE537" s="1460">
        <f t="shared" si="844"/>
        <v>3892</v>
      </c>
      <c r="AF537" s="1460">
        <f t="shared" si="844"/>
        <v>5430</v>
      </c>
      <c r="AG537" s="1460">
        <f t="shared" si="844"/>
        <v>5778</v>
      </c>
      <c r="AH537" s="1460">
        <f t="shared" si="844"/>
        <v>7679</v>
      </c>
      <c r="AI537" s="1460">
        <f t="shared" si="844"/>
        <v>11208</v>
      </c>
      <c r="AJ537" s="1083">
        <f t="shared" si="844"/>
        <v>18887</v>
      </c>
      <c r="AL537" s="3103">
        <f ca="1">SUM((INDIRECT(AL$2&amp;(ROW())):INDIRECT(AL$3&amp;(ROW()))))</f>
        <v>2272</v>
      </c>
      <c r="AM537" s="3244">
        <f ca="1">SUM(INDIRECT(AM$1&amp;AM$2&amp;$C537):INDIRECT(AM$1&amp;AM$3&amp;$C537))</f>
        <v>0</v>
      </c>
      <c r="AN537" s="3245">
        <f t="shared" ca="1" si="831"/>
        <v>2272</v>
      </c>
      <c r="AO537" s="2899">
        <f t="shared" ca="1" si="832"/>
        <v>0</v>
      </c>
      <c r="AP537" s="3244">
        <f ca="1">SUM(INDIRECT(AP$1&amp;AP$2&amp;$A537):INDIRECT(AP$1&amp;AP$3&amp;$A537))+SUM(INDIRECT(AP$1&amp;AP$2&amp;$B537):INDIRECT(AP$1&amp;AP$3&amp;$B537))</f>
        <v>0</v>
      </c>
      <c r="AQ537" s="3245">
        <f t="shared" ca="1" si="833"/>
        <v>2272</v>
      </c>
      <c r="AR537" s="2899">
        <f t="shared" ca="1" si="834"/>
        <v>0</v>
      </c>
      <c r="AT537" s="3103">
        <f ca="1">SUM((INDIRECT(AT$2&amp;(ROW())):INDIRECT(AT$3&amp;(ROW()))))</f>
        <v>5778</v>
      </c>
      <c r="AU537" s="3244">
        <f ca="1">SUM(INDIRECT(AU$1&amp;AU$2&amp;$C537):INDIRECT(AU$1&amp;AU$3&amp;$C537))</f>
        <v>0</v>
      </c>
      <c r="AV537" s="3245">
        <f t="shared" ca="1" si="835"/>
        <v>5778</v>
      </c>
      <c r="AW537" s="2899">
        <f t="shared" ca="1" si="836"/>
        <v>0</v>
      </c>
      <c r="AX537" s="3244">
        <f ca="1">SUM(INDIRECT(AX$1&amp;AX$2&amp;$A537):INDIRECT(AX$1&amp;AX$3&amp;$A537))+SUM(INDIRECT(AX$1&amp;AX$2&amp;$B537):INDIRECT(AX$1&amp;AX$3&amp;$B537))</f>
        <v>0</v>
      </c>
      <c r="AY537" s="3245">
        <f t="shared" ca="1" si="837"/>
        <v>5778</v>
      </c>
      <c r="AZ537" s="2899">
        <f t="shared" ca="1" si="838"/>
        <v>0</v>
      </c>
      <c r="BB537" s="3103">
        <f ca="1">SUM((INDIRECT(BB$2&amp;(ROW())):INDIRECT(BB$3&amp;(ROW()))))</f>
        <v>18887</v>
      </c>
      <c r="BC537" s="3244">
        <f ca="1">SUM(INDIRECT(BC$1&amp;BC$2&amp;$C537):INDIRECT(BC$1&amp;BC$3&amp;$C537))</f>
        <v>0</v>
      </c>
      <c r="BD537" s="3245">
        <f t="shared" ca="1" si="839"/>
        <v>18887</v>
      </c>
      <c r="BE537" s="2899">
        <f t="shared" ca="1" si="840"/>
        <v>0</v>
      </c>
      <c r="BF537" s="3244">
        <f ca="1">SUM(INDIRECT(BF$1&amp;BF$2&amp;$A537):INDIRECT(BF$1&amp;BF$3&amp;$A537))+SUM(INDIRECT(BF$1&amp;BF$2&amp;$B537):INDIRECT(BF$1&amp;BF$3&amp;$B537))</f>
        <v>0</v>
      </c>
      <c r="BG537" s="3245">
        <f t="shared" ca="1" si="841"/>
        <v>18887</v>
      </c>
      <c r="BH537" s="2899">
        <f t="shared" ca="1" si="842"/>
        <v>0</v>
      </c>
    </row>
    <row r="538" spans="1:60" ht="14.5">
      <c r="A538" s="616">
        <f>A537+1</f>
        <v>712</v>
      </c>
      <c r="B538" s="616">
        <v>1</v>
      </c>
      <c r="C538" s="616">
        <f t="shared" si="797"/>
        <v>535</v>
      </c>
      <c r="E538" s="2578" t="s">
        <v>1369</v>
      </c>
      <c r="F538" s="2569"/>
      <c r="G538" s="22"/>
      <c r="I538" s="94"/>
      <c r="J538" s="93"/>
      <c r="K538" s="68"/>
      <c r="L538" s="68"/>
      <c r="M538" s="69"/>
      <c r="N538" s="296" t="s">
        <v>523</v>
      </c>
      <c r="O538" s="296"/>
      <c r="P538" s="296"/>
      <c r="Q538" s="1779" t="str">
        <f>CHOOSE(2, "6722000003457", "S/GP (1)-2 Net Sales Direct Office Solution OSP")</f>
        <v>S/GP (1)-2 Net Sales Direct Office Solution OSP</v>
      </c>
      <c r="R538" s="1227">
        <v>0</v>
      </c>
      <c r="S538" s="1227">
        <v>0</v>
      </c>
      <c r="T538" s="1227">
        <v>0</v>
      </c>
      <c r="U538" s="1227">
        <v>0</v>
      </c>
      <c r="V538" s="1227">
        <v>0</v>
      </c>
      <c r="W538" s="1227">
        <v>0</v>
      </c>
      <c r="X538" s="1227">
        <v>0</v>
      </c>
      <c r="Y538" s="1227">
        <v>0</v>
      </c>
      <c r="Z538" s="1227">
        <v>0</v>
      </c>
      <c r="AA538" s="1227">
        <v>0</v>
      </c>
      <c r="AB538" s="1227">
        <v>0</v>
      </c>
      <c r="AC538" s="1227">
        <v>0</v>
      </c>
      <c r="AD538" s="295">
        <f>SUM(R538,S538,T538)</f>
        <v>0</v>
      </c>
      <c r="AE538" s="96">
        <f t="shared" ref="AE538:AE541" si="845">SUM(U538,V538,W538)</f>
        <v>0</v>
      </c>
      <c r="AF538" s="96">
        <f t="shared" ref="AF538:AF541" si="846">SUM(X538,Y538,Z538)</f>
        <v>0</v>
      </c>
      <c r="AG538" s="96">
        <f t="shared" ref="AG538:AG541" si="847">SUM(AA538,AB538,AC538)</f>
        <v>0</v>
      </c>
      <c r="AH538" s="96">
        <f>AD538+AE538</f>
        <v>0</v>
      </c>
      <c r="AI538" s="96">
        <f>AG538+AF538</f>
        <v>0</v>
      </c>
      <c r="AJ538" s="295">
        <f>AH538+AI538</f>
        <v>0</v>
      </c>
      <c r="AL538" s="96">
        <f ca="1">SUM((INDIRECT(AL$2&amp;(ROW())):INDIRECT(AL$3&amp;(ROW()))))</f>
        <v>0</v>
      </c>
      <c r="AM538" s="295">
        <f ca="1">SUM(INDIRECT(AM$1&amp;AM$2&amp;$C538):INDIRECT(AM$1&amp;AM$3&amp;$C538))</f>
        <v>0</v>
      </c>
      <c r="AN538" s="3246">
        <f t="shared" ca="1" si="831"/>
        <v>0</v>
      </c>
      <c r="AO538" s="2901">
        <f t="shared" ca="1" si="832"/>
        <v>0</v>
      </c>
      <c r="AP538" s="295">
        <f ca="1">SUM(INDIRECT(AP$1&amp;AP$2&amp;$A538):INDIRECT(AP$1&amp;AP$3&amp;$A538))+SUM(INDIRECT(AP$1&amp;AP$2&amp;$B538):INDIRECT(AP$1&amp;AP$3&amp;$B538))</f>
        <v>0</v>
      </c>
      <c r="AQ538" s="3246">
        <f t="shared" ca="1" si="833"/>
        <v>0</v>
      </c>
      <c r="AR538" s="2901">
        <f t="shared" ca="1" si="834"/>
        <v>0</v>
      </c>
      <c r="AT538" s="96">
        <f ca="1">SUM((INDIRECT(AT$2&amp;(ROW())):INDIRECT(AT$3&amp;(ROW()))))</f>
        <v>0</v>
      </c>
      <c r="AU538" s="295">
        <f ca="1">SUM(INDIRECT(AU$1&amp;AU$2&amp;$C538):INDIRECT(AU$1&amp;AU$3&amp;$C538))</f>
        <v>0</v>
      </c>
      <c r="AV538" s="3246">
        <f t="shared" ca="1" si="835"/>
        <v>0</v>
      </c>
      <c r="AW538" s="2901">
        <f t="shared" ca="1" si="836"/>
        <v>0</v>
      </c>
      <c r="AX538" s="295">
        <f ca="1">SUM(INDIRECT(AX$1&amp;AX$2&amp;$A538):INDIRECT(AX$1&amp;AX$3&amp;$A538))+SUM(INDIRECT(AX$1&amp;AX$2&amp;$B538):INDIRECT(AX$1&amp;AX$3&amp;$B538))</f>
        <v>0</v>
      </c>
      <c r="AY538" s="3246">
        <f t="shared" ca="1" si="837"/>
        <v>0</v>
      </c>
      <c r="AZ538" s="2901">
        <f t="shared" ca="1" si="838"/>
        <v>0</v>
      </c>
      <c r="BB538" s="96">
        <f ca="1">SUM((INDIRECT(BB$2&amp;(ROW())):INDIRECT(BB$3&amp;(ROW()))))</f>
        <v>0</v>
      </c>
      <c r="BC538" s="295">
        <f ca="1">SUM(INDIRECT(BC$1&amp;BC$2&amp;$C538):INDIRECT(BC$1&amp;BC$3&amp;$C538))</f>
        <v>0</v>
      </c>
      <c r="BD538" s="3246">
        <f t="shared" ca="1" si="839"/>
        <v>0</v>
      </c>
      <c r="BE538" s="2901">
        <f t="shared" ca="1" si="840"/>
        <v>0</v>
      </c>
      <c r="BF538" s="295">
        <f ca="1">SUM(INDIRECT(BF$1&amp;BF$2&amp;$A538):INDIRECT(BF$1&amp;BF$3&amp;$A538))+SUM(INDIRECT(BF$1&amp;BF$2&amp;$B538):INDIRECT(BF$1&amp;BF$3&amp;$B538))</f>
        <v>0</v>
      </c>
      <c r="BG538" s="3246">
        <f t="shared" ca="1" si="841"/>
        <v>0</v>
      </c>
      <c r="BH538" s="2901">
        <f t="shared" ca="1" si="842"/>
        <v>0</v>
      </c>
    </row>
    <row r="539" spans="1:60" ht="14.5">
      <c r="A539" s="616">
        <f>A538+1</f>
        <v>713</v>
      </c>
      <c r="B539" s="616">
        <v>1</v>
      </c>
      <c r="C539" s="616">
        <f t="shared" si="797"/>
        <v>536</v>
      </c>
      <c r="E539" s="2578" t="s">
        <v>1369</v>
      </c>
      <c r="F539" s="2569"/>
      <c r="G539" s="22"/>
      <c r="I539" s="94"/>
      <c r="J539" s="93"/>
      <c r="K539" s="68"/>
      <c r="L539" s="68"/>
      <c r="M539" s="69"/>
      <c r="N539" s="69" t="s">
        <v>524</v>
      </c>
      <c r="O539" s="69"/>
      <c r="P539" s="69"/>
      <c r="Q539" s="1779" t="str">
        <f>CHOOSE(2, "6722000003458", "S/GP (1)-2 Net Sales Direct Office Solution RP")</f>
        <v>S/GP (1)-2 Net Sales Direct Office Solution RP</v>
      </c>
      <c r="R539" s="1217">
        <v>1285</v>
      </c>
      <c r="S539" s="1217">
        <v>1157</v>
      </c>
      <c r="T539" s="1217">
        <f>1130+215</f>
        <v>1345</v>
      </c>
      <c r="U539" s="1217">
        <f>1740-510</f>
        <v>1230</v>
      </c>
      <c r="V539" s="1217">
        <v>1264</v>
      </c>
      <c r="W539" s="1217">
        <v>1398</v>
      </c>
      <c r="X539" s="1217">
        <v>938</v>
      </c>
      <c r="Y539" s="1217">
        <v>2372</v>
      </c>
      <c r="Z539" s="1217">
        <v>2120</v>
      </c>
      <c r="AA539" s="1217">
        <v>1294</v>
      </c>
      <c r="AB539" s="1217">
        <v>2212</v>
      </c>
      <c r="AC539" s="1217">
        <v>2272</v>
      </c>
      <c r="AD539" s="88">
        <f>SUM(R539,S539,T539)</f>
        <v>3787</v>
      </c>
      <c r="AE539" s="17">
        <f t="shared" si="845"/>
        <v>3892</v>
      </c>
      <c r="AF539" s="17">
        <f t="shared" si="846"/>
        <v>5430</v>
      </c>
      <c r="AG539" s="17">
        <f t="shared" si="847"/>
        <v>5778</v>
      </c>
      <c r="AH539" s="17">
        <f>AD539+AE539</f>
        <v>7679</v>
      </c>
      <c r="AI539" s="17">
        <f>AG539+AF539</f>
        <v>11208</v>
      </c>
      <c r="AJ539" s="88">
        <f>AH539+AI539</f>
        <v>18887</v>
      </c>
      <c r="AL539" s="17">
        <f ca="1">SUM((INDIRECT(AL$2&amp;(ROW())):INDIRECT(AL$3&amp;(ROW()))))</f>
        <v>2272</v>
      </c>
      <c r="AM539" s="88">
        <f ca="1">SUM(INDIRECT(AM$1&amp;AM$2&amp;$C539):INDIRECT(AM$1&amp;AM$3&amp;$C539))</f>
        <v>0</v>
      </c>
      <c r="AN539" s="3247">
        <f t="shared" ca="1" si="831"/>
        <v>2272</v>
      </c>
      <c r="AO539" s="2903">
        <f t="shared" ca="1" si="832"/>
        <v>0</v>
      </c>
      <c r="AP539" s="88">
        <f ca="1">SUM(INDIRECT(AP$1&amp;AP$2&amp;$A539):INDIRECT(AP$1&amp;AP$3&amp;$A539))+SUM(INDIRECT(AP$1&amp;AP$2&amp;$B539):INDIRECT(AP$1&amp;AP$3&amp;$B539))</f>
        <v>0</v>
      </c>
      <c r="AQ539" s="3247">
        <f t="shared" ca="1" si="833"/>
        <v>2272</v>
      </c>
      <c r="AR539" s="2903">
        <f t="shared" ca="1" si="834"/>
        <v>0</v>
      </c>
      <c r="AT539" s="17">
        <f ca="1">SUM((INDIRECT(AT$2&amp;(ROW())):INDIRECT(AT$3&amp;(ROW()))))</f>
        <v>5778</v>
      </c>
      <c r="AU539" s="88">
        <f ca="1">SUM(INDIRECT(AU$1&amp;AU$2&amp;$C539):INDIRECT(AU$1&amp;AU$3&amp;$C539))</f>
        <v>0</v>
      </c>
      <c r="AV539" s="3247">
        <f t="shared" ca="1" si="835"/>
        <v>5778</v>
      </c>
      <c r="AW539" s="2903">
        <f t="shared" ca="1" si="836"/>
        <v>0</v>
      </c>
      <c r="AX539" s="88">
        <f ca="1">SUM(INDIRECT(AX$1&amp;AX$2&amp;$A539):INDIRECT(AX$1&amp;AX$3&amp;$A539))+SUM(INDIRECT(AX$1&amp;AX$2&amp;$B539):INDIRECT(AX$1&amp;AX$3&amp;$B539))</f>
        <v>0</v>
      </c>
      <c r="AY539" s="3247">
        <f t="shared" ca="1" si="837"/>
        <v>5778</v>
      </c>
      <c r="AZ539" s="2903">
        <f t="shared" ca="1" si="838"/>
        <v>0</v>
      </c>
      <c r="BB539" s="17">
        <f ca="1">SUM((INDIRECT(BB$2&amp;(ROW())):INDIRECT(BB$3&amp;(ROW()))))</f>
        <v>18887</v>
      </c>
      <c r="BC539" s="88">
        <f ca="1">SUM(INDIRECT(BC$1&amp;BC$2&amp;$C539):INDIRECT(BC$1&amp;BC$3&amp;$C539))</f>
        <v>0</v>
      </c>
      <c r="BD539" s="3247">
        <f t="shared" ca="1" si="839"/>
        <v>18887</v>
      </c>
      <c r="BE539" s="2903">
        <f t="shared" ca="1" si="840"/>
        <v>0</v>
      </c>
      <c r="BF539" s="88">
        <f ca="1">SUM(INDIRECT(BF$1&amp;BF$2&amp;$A539):INDIRECT(BF$1&amp;BF$3&amp;$A539))+SUM(INDIRECT(BF$1&amp;BF$2&amp;$B539):INDIRECT(BF$1&amp;BF$3&amp;$B539))</f>
        <v>0</v>
      </c>
      <c r="BG539" s="3247">
        <f t="shared" ca="1" si="841"/>
        <v>18887</v>
      </c>
      <c r="BH539" s="2903">
        <f t="shared" ca="1" si="842"/>
        <v>0</v>
      </c>
    </row>
    <row r="540" spans="1:60" ht="14.5">
      <c r="A540" s="616">
        <f>A539+1</f>
        <v>714</v>
      </c>
      <c r="B540" s="616">
        <v>1</v>
      </c>
      <c r="C540" s="616">
        <f t="shared" si="797"/>
        <v>537</v>
      </c>
      <c r="E540" s="2578" t="s">
        <v>1369</v>
      </c>
      <c r="F540" s="2569"/>
      <c r="G540" s="22"/>
      <c r="I540" s="94"/>
      <c r="J540" s="93"/>
      <c r="K540" s="68"/>
      <c r="L540" s="68"/>
      <c r="M540" s="69"/>
      <c r="N540" s="69" t="s">
        <v>525</v>
      </c>
      <c r="O540" s="69"/>
      <c r="P540" s="69"/>
      <c r="Q540" s="1779" t="str">
        <f>CHOOSE(2, "6722000003459", "S/GP (1)-2 Net Sales Direct Office Solution OSP service")</f>
        <v>S/GP (1)-2 Net Sales Direct Office Solution OSP service</v>
      </c>
      <c r="R540" s="1217">
        <v>0</v>
      </c>
      <c r="S540" s="1217">
        <v>0</v>
      </c>
      <c r="T540" s="1217">
        <v>0</v>
      </c>
      <c r="U540" s="1217">
        <v>0</v>
      </c>
      <c r="V540" s="1217">
        <v>0</v>
      </c>
      <c r="W540" s="1217">
        <v>0</v>
      </c>
      <c r="X540" s="1217">
        <v>0</v>
      </c>
      <c r="Y540" s="1217">
        <v>0</v>
      </c>
      <c r="Z540" s="1217">
        <v>0</v>
      </c>
      <c r="AA540" s="1217">
        <v>0</v>
      </c>
      <c r="AB540" s="1217">
        <v>0</v>
      </c>
      <c r="AC540" s="1217">
        <v>0</v>
      </c>
      <c r="AD540" s="88">
        <f>SUM(R540,S540,T540)</f>
        <v>0</v>
      </c>
      <c r="AE540" s="17">
        <f t="shared" si="845"/>
        <v>0</v>
      </c>
      <c r="AF540" s="17">
        <f t="shared" si="846"/>
        <v>0</v>
      </c>
      <c r="AG540" s="17">
        <f t="shared" si="847"/>
        <v>0</v>
      </c>
      <c r="AH540" s="17">
        <f>AD540+AE540</f>
        <v>0</v>
      </c>
      <c r="AI540" s="17">
        <f>AG540+AF540</f>
        <v>0</v>
      </c>
      <c r="AJ540" s="88">
        <f>AH540+AI540</f>
        <v>0</v>
      </c>
      <c r="AL540" s="17">
        <f ca="1">SUM((INDIRECT(AL$2&amp;(ROW())):INDIRECT(AL$3&amp;(ROW()))))</f>
        <v>0</v>
      </c>
      <c r="AM540" s="88">
        <f ca="1">SUM(INDIRECT(AM$1&amp;AM$2&amp;$C540):INDIRECT(AM$1&amp;AM$3&amp;$C540))</f>
        <v>0</v>
      </c>
      <c r="AN540" s="3247">
        <f t="shared" ca="1" si="831"/>
        <v>0</v>
      </c>
      <c r="AO540" s="2903">
        <f t="shared" ca="1" si="832"/>
        <v>0</v>
      </c>
      <c r="AP540" s="88">
        <f ca="1">SUM(INDIRECT(AP$1&amp;AP$2&amp;$A540):INDIRECT(AP$1&amp;AP$3&amp;$A540))+SUM(INDIRECT(AP$1&amp;AP$2&amp;$B540):INDIRECT(AP$1&amp;AP$3&amp;$B540))</f>
        <v>0</v>
      </c>
      <c r="AQ540" s="3247">
        <f t="shared" ca="1" si="833"/>
        <v>0</v>
      </c>
      <c r="AR540" s="2903">
        <f t="shared" ca="1" si="834"/>
        <v>0</v>
      </c>
      <c r="AT540" s="17">
        <f ca="1">SUM((INDIRECT(AT$2&amp;(ROW())):INDIRECT(AT$3&amp;(ROW()))))</f>
        <v>0</v>
      </c>
      <c r="AU540" s="88">
        <f ca="1">SUM(INDIRECT(AU$1&amp;AU$2&amp;$C540):INDIRECT(AU$1&amp;AU$3&amp;$C540))</f>
        <v>0</v>
      </c>
      <c r="AV540" s="3247">
        <f t="shared" ca="1" si="835"/>
        <v>0</v>
      </c>
      <c r="AW540" s="2903">
        <f t="shared" ca="1" si="836"/>
        <v>0</v>
      </c>
      <c r="AX540" s="88">
        <f ca="1">SUM(INDIRECT(AX$1&amp;AX$2&amp;$A540):INDIRECT(AX$1&amp;AX$3&amp;$A540))+SUM(INDIRECT(AX$1&amp;AX$2&amp;$B540):INDIRECT(AX$1&amp;AX$3&amp;$B540))</f>
        <v>0</v>
      </c>
      <c r="AY540" s="3247">
        <f t="shared" ca="1" si="837"/>
        <v>0</v>
      </c>
      <c r="AZ540" s="2903">
        <f t="shared" ca="1" si="838"/>
        <v>0</v>
      </c>
      <c r="BB540" s="17">
        <f ca="1">SUM((INDIRECT(BB$2&amp;(ROW())):INDIRECT(BB$3&amp;(ROW()))))</f>
        <v>0</v>
      </c>
      <c r="BC540" s="88">
        <f ca="1">SUM(INDIRECT(BC$1&amp;BC$2&amp;$C540):INDIRECT(BC$1&amp;BC$3&amp;$C540))</f>
        <v>0</v>
      </c>
      <c r="BD540" s="3247">
        <f t="shared" ca="1" si="839"/>
        <v>0</v>
      </c>
      <c r="BE540" s="2903">
        <f t="shared" ca="1" si="840"/>
        <v>0</v>
      </c>
      <c r="BF540" s="88">
        <f ca="1">SUM(INDIRECT(BF$1&amp;BF$2&amp;$A540):INDIRECT(BF$1&amp;BF$3&amp;$A540))+SUM(INDIRECT(BF$1&amp;BF$2&amp;$B540):INDIRECT(BF$1&amp;BF$3&amp;$B540))</f>
        <v>0</v>
      </c>
      <c r="BG540" s="3247">
        <f t="shared" ca="1" si="841"/>
        <v>0</v>
      </c>
      <c r="BH540" s="2903">
        <f t="shared" ca="1" si="842"/>
        <v>0</v>
      </c>
    </row>
    <row r="541" spans="1:60" ht="14.5">
      <c r="A541" s="616">
        <f>A540+1</f>
        <v>715</v>
      </c>
      <c r="B541" s="616">
        <v>1</v>
      </c>
      <c r="C541" s="616">
        <f t="shared" si="797"/>
        <v>538</v>
      </c>
      <c r="E541" s="2578" t="s">
        <v>1369</v>
      </c>
      <c r="F541" s="2569"/>
      <c r="G541" s="22"/>
      <c r="I541" s="94"/>
      <c r="J541" s="93"/>
      <c r="K541" s="68"/>
      <c r="L541" s="68"/>
      <c r="M541" s="211"/>
      <c r="N541" s="211" t="s">
        <v>526</v>
      </c>
      <c r="O541" s="211"/>
      <c r="P541" s="211"/>
      <c r="Q541" s="1779" t="str">
        <f>CHOOSE(2, "6722000003460", "S/GP (1)-2 Net Sales Direct Office Solution RP service")</f>
        <v>S/GP (1)-2 Net Sales Direct Office Solution RP service</v>
      </c>
      <c r="R541" s="1218">
        <v>0</v>
      </c>
      <c r="S541" s="1218">
        <v>0</v>
      </c>
      <c r="T541" s="1218">
        <v>0</v>
      </c>
      <c r="U541" s="1218">
        <v>0</v>
      </c>
      <c r="V541" s="1218">
        <v>0</v>
      </c>
      <c r="W541" s="1218">
        <v>0</v>
      </c>
      <c r="X541" s="1218">
        <v>0</v>
      </c>
      <c r="Y541" s="1218">
        <v>0</v>
      </c>
      <c r="Z541" s="1218">
        <v>0</v>
      </c>
      <c r="AA541" s="1218">
        <v>0</v>
      </c>
      <c r="AB541" s="1218">
        <v>0</v>
      </c>
      <c r="AC541" s="1218">
        <v>0</v>
      </c>
      <c r="AD541" s="87">
        <f>SUM(R541,S541,T541)</f>
        <v>0</v>
      </c>
      <c r="AE541" s="15">
        <f t="shared" si="845"/>
        <v>0</v>
      </c>
      <c r="AF541" s="15">
        <f t="shared" si="846"/>
        <v>0</v>
      </c>
      <c r="AG541" s="15">
        <f t="shared" si="847"/>
        <v>0</v>
      </c>
      <c r="AH541" s="15">
        <f>AD541+AE541</f>
        <v>0</v>
      </c>
      <c r="AI541" s="15">
        <f>AG541+AF541</f>
        <v>0</v>
      </c>
      <c r="AJ541" s="87">
        <f>AH541+AI541</f>
        <v>0</v>
      </c>
      <c r="AL541" s="17">
        <f ca="1">SUM((INDIRECT(AL$2&amp;(ROW())):INDIRECT(AL$3&amp;(ROW()))))</f>
        <v>0</v>
      </c>
      <c r="AM541" s="88">
        <f ca="1">SUM(INDIRECT(AM$1&amp;AM$2&amp;$C541):INDIRECT(AM$1&amp;AM$3&amp;$C541))</f>
        <v>0</v>
      </c>
      <c r="AN541" s="3247">
        <f t="shared" ca="1" si="831"/>
        <v>0</v>
      </c>
      <c r="AO541" s="2903">
        <f t="shared" ca="1" si="832"/>
        <v>0</v>
      </c>
      <c r="AP541" s="88">
        <f ca="1">SUM(INDIRECT(AP$1&amp;AP$2&amp;$A541):INDIRECT(AP$1&amp;AP$3&amp;$A541))+SUM(INDIRECT(AP$1&amp;AP$2&amp;$B541):INDIRECT(AP$1&amp;AP$3&amp;$B541))</f>
        <v>0</v>
      </c>
      <c r="AQ541" s="3247">
        <f t="shared" ca="1" si="833"/>
        <v>0</v>
      </c>
      <c r="AR541" s="2903">
        <f t="shared" ca="1" si="834"/>
        <v>0</v>
      </c>
      <c r="AT541" s="17">
        <f ca="1">SUM((INDIRECT(AT$2&amp;(ROW())):INDIRECT(AT$3&amp;(ROW()))))</f>
        <v>0</v>
      </c>
      <c r="AU541" s="88">
        <f ca="1">SUM(INDIRECT(AU$1&amp;AU$2&amp;$C541):INDIRECT(AU$1&amp;AU$3&amp;$C541))</f>
        <v>0</v>
      </c>
      <c r="AV541" s="3247">
        <f t="shared" ca="1" si="835"/>
        <v>0</v>
      </c>
      <c r="AW541" s="2903">
        <f t="shared" ca="1" si="836"/>
        <v>0</v>
      </c>
      <c r="AX541" s="88">
        <f ca="1">SUM(INDIRECT(AX$1&amp;AX$2&amp;$A541):INDIRECT(AX$1&amp;AX$3&amp;$A541))+SUM(INDIRECT(AX$1&amp;AX$2&amp;$B541):INDIRECT(AX$1&amp;AX$3&amp;$B541))</f>
        <v>0</v>
      </c>
      <c r="AY541" s="3247">
        <f t="shared" ca="1" si="837"/>
        <v>0</v>
      </c>
      <c r="AZ541" s="2903">
        <f t="shared" ca="1" si="838"/>
        <v>0</v>
      </c>
      <c r="BB541" s="17">
        <f ca="1">SUM((INDIRECT(BB$2&amp;(ROW())):INDIRECT(BB$3&amp;(ROW()))))</f>
        <v>0</v>
      </c>
      <c r="BC541" s="88">
        <f ca="1">SUM(INDIRECT(BC$1&amp;BC$2&amp;$C541):INDIRECT(BC$1&amp;BC$3&amp;$C541))</f>
        <v>0</v>
      </c>
      <c r="BD541" s="3247">
        <f t="shared" ca="1" si="839"/>
        <v>0</v>
      </c>
      <c r="BE541" s="2903">
        <f t="shared" ca="1" si="840"/>
        <v>0</v>
      </c>
      <c r="BF541" s="88">
        <f ca="1">SUM(INDIRECT(BF$1&amp;BF$2&amp;$A541):INDIRECT(BF$1&amp;BF$3&amp;$A541))+SUM(INDIRECT(BF$1&amp;BF$2&amp;$B541):INDIRECT(BF$1&amp;BF$3&amp;$B541))</f>
        <v>0</v>
      </c>
      <c r="BG541" s="3247">
        <f t="shared" ca="1" si="841"/>
        <v>0</v>
      </c>
      <c r="BH541" s="2903">
        <f t="shared" ca="1" si="842"/>
        <v>0</v>
      </c>
    </row>
    <row r="542" spans="1:60" ht="14.5">
      <c r="A542" s="2580">
        <v>721</v>
      </c>
      <c r="B542" s="616">
        <v>1</v>
      </c>
      <c r="C542" s="616">
        <f t="shared" si="797"/>
        <v>539</v>
      </c>
      <c r="E542" s="2578" t="s">
        <v>1369</v>
      </c>
      <c r="F542" s="2569"/>
      <c r="G542" s="22"/>
      <c r="I542" s="94"/>
      <c r="J542" s="93"/>
      <c r="K542" s="63" t="s">
        <v>1382</v>
      </c>
      <c r="L542" s="63"/>
      <c r="M542" s="301" t="s">
        <v>175</v>
      </c>
      <c r="N542" s="66"/>
      <c r="O542" s="66"/>
      <c r="P542" s="66"/>
      <c r="Q542" s="1779" t="str">
        <f>CHOOSE(2, "6722000003461", "S/GP (1)-2 Net Sales Indirect Office Solution")</f>
        <v>S/GP (1)-2 Net Sales Indirect Office Solution</v>
      </c>
      <c r="R542" s="1217">
        <v>0</v>
      </c>
      <c r="S542" s="1224">
        <v>620</v>
      </c>
      <c r="T542" s="1217">
        <v>147</v>
      </c>
      <c r="U542" s="1217">
        <v>37</v>
      </c>
      <c r="V542" s="1217">
        <v>290.88499999999999</v>
      </c>
      <c r="W542" s="1217">
        <v>976</v>
      </c>
      <c r="X542" s="1217">
        <v>382</v>
      </c>
      <c r="Y542" s="1217">
        <v>1499</v>
      </c>
      <c r="Z542" s="1217">
        <v>1129</v>
      </c>
      <c r="AA542" s="1217">
        <v>514</v>
      </c>
      <c r="AB542" s="1217">
        <v>658</v>
      </c>
      <c r="AC542" s="1217">
        <v>957</v>
      </c>
      <c r="AD542" s="1085">
        <f>SUM(R542,S542,T542)</f>
        <v>767</v>
      </c>
      <c r="AE542" s="1084">
        <f>SUM(U542,V542,W542)</f>
        <v>1303.885</v>
      </c>
      <c r="AF542" s="1084">
        <f>SUM(X542,Y542,Z542)</f>
        <v>3010</v>
      </c>
      <c r="AG542" s="1084">
        <f>SUM(AA542,AB542,AC542)</f>
        <v>2129</v>
      </c>
      <c r="AH542" s="1084">
        <f>AD542+AE542</f>
        <v>2070.8850000000002</v>
      </c>
      <c r="AI542" s="1084">
        <f>AG542+AF542</f>
        <v>5139</v>
      </c>
      <c r="AJ542" s="1085">
        <f>AH542+AI542</f>
        <v>7209.8850000000002</v>
      </c>
      <c r="AL542" s="17">
        <f ca="1">SUM((INDIRECT(AL$2&amp;(ROW())):INDIRECT(AL$3&amp;(ROW()))))</f>
        <v>957</v>
      </c>
      <c r="AM542" s="88">
        <f ca="1">SUM(INDIRECT(AM$1&amp;AM$2&amp;$C542):INDIRECT(AM$1&amp;AM$3&amp;$C542))</f>
        <v>0</v>
      </c>
      <c r="AN542" s="3247">
        <f t="shared" ca="1" si="831"/>
        <v>957</v>
      </c>
      <c r="AO542" s="2903">
        <f t="shared" ca="1" si="832"/>
        <v>0</v>
      </c>
      <c r="AP542" s="88">
        <f ca="1">SUM(INDIRECT(AP$1&amp;AP$2&amp;$A542):INDIRECT(AP$1&amp;AP$3&amp;$A542))+SUM(INDIRECT(AP$1&amp;AP$2&amp;$B542):INDIRECT(AP$1&amp;AP$3&amp;$B542))</f>
        <v>0</v>
      </c>
      <c r="AQ542" s="3247">
        <f t="shared" ca="1" si="833"/>
        <v>957</v>
      </c>
      <c r="AR542" s="2903">
        <f t="shared" ca="1" si="834"/>
        <v>0</v>
      </c>
      <c r="AT542" s="17">
        <f ca="1">SUM((INDIRECT(AT$2&amp;(ROW())):INDIRECT(AT$3&amp;(ROW()))))</f>
        <v>2129</v>
      </c>
      <c r="AU542" s="88">
        <f ca="1">SUM(INDIRECT(AU$1&amp;AU$2&amp;$C542):INDIRECT(AU$1&amp;AU$3&amp;$C542))</f>
        <v>0</v>
      </c>
      <c r="AV542" s="3247">
        <f t="shared" ca="1" si="835"/>
        <v>2129</v>
      </c>
      <c r="AW542" s="2903">
        <f t="shared" ca="1" si="836"/>
        <v>0</v>
      </c>
      <c r="AX542" s="88">
        <f ca="1">SUM(INDIRECT(AX$1&amp;AX$2&amp;$A542):INDIRECT(AX$1&amp;AX$3&amp;$A542))+SUM(INDIRECT(AX$1&amp;AX$2&amp;$B542):INDIRECT(AX$1&amp;AX$3&amp;$B542))</f>
        <v>0</v>
      </c>
      <c r="AY542" s="3247">
        <f t="shared" ca="1" si="837"/>
        <v>2129</v>
      </c>
      <c r="AZ542" s="2903">
        <f t="shared" ca="1" si="838"/>
        <v>0</v>
      </c>
      <c r="BB542" s="17">
        <f ca="1">SUM((INDIRECT(BB$2&amp;(ROW())):INDIRECT(BB$3&amp;(ROW()))))</f>
        <v>7209.8850000000002</v>
      </c>
      <c r="BC542" s="88">
        <f ca="1">SUM(INDIRECT(BC$1&amp;BC$2&amp;$C542):INDIRECT(BC$1&amp;BC$3&amp;$C542))</f>
        <v>0</v>
      </c>
      <c r="BD542" s="3247">
        <f t="shared" ca="1" si="839"/>
        <v>7209.8850000000002</v>
      </c>
      <c r="BE542" s="2903">
        <f t="shared" ca="1" si="840"/>
        <v>0</v>
      </c>
      <c r="BF542" s="88">
        <f ca="1">SUM(INDIRECT(BF$1&amp;BF$2&amp;$A542):INDIRECT(BF$1&amp;BF$3&amp;$A542))+SUM(INDIRECT(BF$1&amp;BF$2&amp;$B542):INDIRECT(BF$1&amp;BF$3&amp;$B542))</f>
        <v>0</v>
      </c>
      <c r="BG542" s="3247">
        <f t="shared" ca="1" si="841"/>
        <v>7209.8850000000002</v>
      </c>
      <c r="BH542" s="2903">
        <f t="shared" ca="1" si="842"/>
        <v>0</v>
      </c>
    </row>
    <row r="543" spans="1:60" ht="14.5">
      <c r="A543" s="616">
        <v>1</v>
      </c>
      <c r="B543" s="616">
        <v>1</v>
      </c>
      <c r="C543" s="616">
        <f t="shared" si="797"/>
        <v>540</v>
      </c>
      <c r="E543" s="2578" t="s">
        <v>1369</v>
      </c>
      <c r="F543" s="2569"/>
      <c r="I543" s="3222" t="s">
        <v>1469</v>
      </c>
      <c r="J543" s="582"/>
      <c r="K543" s="2135"/>
      <c r="L543" s="2135"/>
      <c r="M543" s="582"/>
      <c r="N543" s="582"/>
      <c r="O543" s="582"/>
      <c r="P543" s="582"/>
      <c r="Q543" s="1810" t="str">
        <f>CHOOSE(2, "6722000003462", "S/GP (1)-2 Gross Profit")</f>
        <v>S/GP (1)-2 Gross Profit</v>
      </c>
      <c r="R543" s="1317">
        <f>R544+R549</f>
        <v>835</v>
      </c>
      <c r="S543" s="3223">
        <f t="shared" ref="S543:AJ543" si="848">S544+S549</f>
        <v>1141</v>
      </c>
      <c r="T543" s="3223">
        <f t="shared" si="848"/>
        <v>1015</v>
      </c>
      <c r="U543" s="3223">
        <f t="shared" si="848"/>
        <v>1045</v>
      </c>
      <c r="V543" s="3223">
        <f t="shared" si="848"/>
        <v>1115</v>
      </c>
      <c r="W543" s="3223">
        <f t="shared" si="848"/>
        <v>1553</v>
      </c>
      <c r="X543" s="3223">
        <f t="shared" si="848"/>
        <v>976</v>
      </c>
      <c r="Y543" s="3223">
        <f t="shared" si="848"/>
        <v>2358</v>
      </c>
      <c r="Z543" s="3223">
        <f t="shared" si="848"/>
        <v>1616</v>
      </c>
      <c r="AA543" s="3223">
        <f t="shared" si="848"/>
        <v>1427</v>
      </c>
      <c r="AB543" s="3223">
        <f t="shared" si="848"/>
        <v>1988.8565899999999</v>
      </c>
      <c r="AC543" s="3223">
        <f t="shared" si="848"/>
        <v>1903</v>
      </c>
      <c r="AD543" s="3223">
        <f t="shared" si="848"/>
        <v>2991</v>
      </c>
      <c r="AE543" s="3223">
        <f t="shared" si="848"/>
        <v>3713</v>
      </c>
      <c r="AF543" s="3223">
        <f t="shared" si="848"/>
        <v>4950</v>
      </c>
      <c r="AG543" s="3223">
        <f t="shared" si="848"/>
        <v>5318.8565900000003</v>
      </c>
      <c r="AH543" s="3223">
        <f t="shared" si="848"/>
        <v>6704</v>
      </c>
      <c r="AI543" s="3223">
        <f t="shared" si="848"/>
        <v>10268.856589999999</v>
      </c>
      <c r="AJ543" s="3223">
        <f t="shared" si="848"/>
        <v>16972.856590000003</v>
      </c>
      <c r="AL543" s="1317">
        <f ca="1">AL544+AL549</f>
        <v>1903</v>
      </c>
      <c r="AM543" s="3223">
        <f ca="1">AM544+AM549</f>
        <v>0</v>
      </c>
      <c r="AN543" s="3224">
        <f t="shared" ca="1" si="831"/>
        <v>1903</v>
      </c>
      <c r="AO543" s="3225">
        <f t="shared" ca="1" si="832"/>
        <v>0</v>
      </c>
      <c r="AP543" s="3223">
        <f ca="1">AP544+AP549</f>
        <v>843</v>
      </c>
      <c r="AQ543" s="3224">
        <f t="shared" ca="1" si="833"/>
        <v>1060</v>
      </c>
      <c r="AR543" s="3225">
        <f t="shared" ca="1" si="834"/>
        <v>2.2574139976275207</v>
      </c>
      <c r="AT543" s="1317">
        <f ca="1">AT544+AT549</f>
        <v>5318.8565900000003</v>
      </c>
      <c r="AU543" s="3223">
        <f ca="1">AU544+AU549</f>
        <v>0</v>
      </c>
      <c r="AV543" s="3224">
        <f t="shared" ca="1" si="835"/>
        <v>5318.8565900000003</v>
      </c>
      <c r="AW543" s="3225">
        <f t="shared" ca="1" si="836"/>
        <v>0</v>
      </c>
      <c r="AX543" s="3223">
        <f ca="1">AX544+AX549</f>
        <v>1397</v>
      </c>
      <c r="AY543" s="3224">
        <f t="shared" ca="1" si="837"/>
        <v>3921.8565900000003</v>
      </c>
      <c r="AZ543" s="3225">
        <f t="shared" ca="1" si="838"/>
        <v>3.8073418682891913</v>
      </c>
      <c r="BB543" s="1317">
        <f ca="1">BB544+BB549</f>
        <v>16972.856589999999</v>
      </c>
      <c r="BC543" s="3223">
        <f ca="1">BC544+BC549</f>
        <v>0</v>
      </c>
      <c r="BD543" s="3224">
        <f t="shared" ca="1" si="839"/>
        <v>16972.856589999999</v>
      </c>
      <c r="BE543" s="3225">
        <f t="shared" ca="1" si="840"/>
        <v>0</v>
      </c>
      <c r="BF543" s="3223">
        <f ca="1">BF544+BF549</f>
        <v>8188</v>
      </c>
      <c r="BG543" s="3224">
        <f t="shared" ca="1" si="841"/>
        <v>8784.8565899999994</v>
      </c>
      <c r="BH543" s="3225">
        <f t="shared" ca="1" si="842"/>
        <v>2.0728940632633122</v>
      </c>
    </row>
    <row r="544" spans="1:60" ht="14.5">
      <c r="A544" s="2580">
        <v>744</v>
      </c>
      <c r="B544" s="616">
        <v>1</v>
      </c>
      <c r="C544" s="616">
        <f t="shared" si="797"/>
        <v>541</v>
      </c>
      <c r="E544" s="2578" t="s">
        <v>1369</v>
      </c>
      <c r="F544" s="2569"/>
      <c r="G544" s="22"/>
      <c r="I544" s="94"/>
      <c r="J544" s="93"/>
      <c r="K544" s="68" t="s">
        <v>1381</v>
      </c>
      <c r="L544" s="68"/>
      <c r="M544" s="283" t="s">
        <v>175</v>
      </c>
      <c r="N544" s="1082"/>
      <c r="O544" s="1082"/>
      <c r="P544" s="1082"/>
      <c r="Q544" s="1814" t="str">
        <f>CHOOSE(2, "6722000003463", "S/GP (1)-2 Gross Profit Direct Office Solution")</f>
        <v>S/GP (1)-2 Gross Profit Direct Office Solution</v>
      </c>
      <c r="R544" s="1460">
        <f>SUM(R545:R548)</f>
        <v>835</v>
      </c>
      <c r="S544" s="1460">
        <f t="shared" ref="S544:AJ544" si="849">SUM(S545:S548)</f>
        <v>715</v>
      </c>
      <c r="T544" s="1460">
        <f t="shared" si="849"/>
        <v>896</v>
      </c>
      <c r="U544" s="1460">
        <f t="shared" si="849"/>
        <v>1025</v>
      </c>
      <c r="V544" s="1460">
        <f t="shared" si="849"/>
        <v>927</v>
      </c>
      <c r="W544" s="1460">
        <f t="shared" si="849"/>
        <v>953</v>
      </c>
      <c r="X544" s="1460">
        <f t="shared" si="849"/>
        <v>765</v>
      </c>
      <c r="Y544" s="1460">
        <f t="shared" si="849"/>
        <v>1688</v>
      </c>
      <c r="Z544" s="1460">
        <f t="shared" si="849"/>
        <v>1065</v>
      </c>
      <c r="AA544" s="1460">
        <f t="shared" si="849"/>
        <v>1081</v>
      </c>
      <c r="AB544" s="1460">
        <f t="shared" si="849"/>
        <v>1647.68688</v>
      </c>
      <c r="AC544" s="1460">
        <f t="shared" si="849"/>
        <v>1357</v>
      </c>
      <c r="AD544" s="1083">
        <f t="shared" si="849"/>
        <v>2446</v>
      </c>
      <c r="AE544" s="1460">
        <f t="shared" si="849"/>
        <v>2905</v>
      </c>
      <c r="AF544" s="1460">
        <f t="shared" si="849"/>
        <v>3518</v>
      </c>
      <c r="AG544" s="1460">
        <f t="shared" si="849"/>
        <v>4085.6868800000002</v>
      </c>
      <c r="AH544" s="1460">
        <f t="shared" si="849"/>
        <v>5351</v>
      </c>
      <c r="AI544" s="1460">
        <f t="shared" si="849"/>
        <v>7603.6868800000002</v>
      </c>
      <c r="AJ544" s="1083">
        <f t="shared" si="849"/>
        <v>12954.686880000001</v>
      </c>
      <c r="AL544" s="3103">
        <f ca="1">SUM((INDIRECT(AL$2&amp;(ROW())):INDIRECT(AL$3&amp;(ROW()))))</f>
        <v>1357</v>
      </c>
      <c r="AM544" s="3244">
        <f ca="1">SUM(INDIRECT(AM$1&amp;AM$2&amp;$C544):INDIRECT(AM$1&amp;AM$3&amp;$C544))</f>
        <v>0</v>
      </c>
      <c r="AN544" s="3245">
        <f t="shared" ca="1" si="831"/>
        <v>1357</v>
      </c>
      <c r="AO544" s="2899">
        <f t="shared" ca="1" si="832"/>
        <v>0</v>
      </c>
      <c r="AP544" s="3244">
        <f ca="1">SUM(INDIRECT(AP$1&amp;AP$2&amp;$A544):INDIRECT(AP$1&amp;AP$3&amp;$A544))+SUM(INDIRECT(AP$1&amp;AP$2&amp;$B544):INDIRECT(AP$1&amp;AP$3&amp;$B544))</f>
        <v>0</v>
      </c>
      <c r="AQ544" s="3245">
        <f t="shared" ca="1" si="833"/>
        <v>1357</v>
      </c>
      <c r="AR544" s="2899">
        <f t="shared" ca="1" si="834"/>
        <v>0</v>
      </c>
      <c r="AT544" s="3103">
        <f ca="1">SUM((INDIRECT(AT$2&amp;(ROW())):INDIRECT(AT$3&amp;(ROW()))))</f>
        <v>4085.6868800000002</v>
      </c>
      <c r="AU544" s="3244">
        <f ca="1">SUM(INDIRECT(AU$1&amp;AU$2&amp;$C544):INDIRECT(AU$1&amp;AU$3&amp;$C544))</f>
        <v>0</v>
      </c>
      <c r="AV544" s="3245">
        <f t="shared" ca="1" si="835"/>
        <v>4085.6868800000002</v>
      </c>
      <c r="AW544" s="2899">
        <f t="shared" ca="1" si="836"/>
        <v>0</v>
      </c>
      <c r="AX544" s="3244">
        <f ca="1">SUM(INDIRECT(AX$1&amp;AX$2&amp;$A544):INDIRECT(AX$1&amp;AX$3&amp;$A544))+SUM(INDIRECT(AX$1&amp;AX$2&amp;$B544):INDIRECT(AX$1&amp;AX$3&amp;$B544))</f>
        <v>0</v>
      </c>
      <c r="AY544" s="3245">
        <f t="shared" ca="1" si="837"/>
        <v>4085.6868800000002</v>
      </c>
      <c r="AZ544" s="2899">
        <f t="shared" ca="1" si="838"/>
        <v>0</v>
      </c>
      <c r="BB544" s="3103">
        <f ca="1">SUM((INDIRECT(BB$2&amp;(ROW())):INDIRECT(BB$3&amp;(ROW()))))</f>
        <v>12954.686879999999</v>
      </c>
      <c r="BC544" s="3244">
        <f ca="1">SUM(INDIRECT(BC$1&amp;BC$2&amp;$C544):INDIRECT(BC$1&amp;BC$3&amp;$C544))</f>
        <v>0</v>
      </c>
      <c r="BD544" s="3245">
        <f t="shared" ca="1" si="839"/>
        <v>12954.686879999999</v>
      </c>
      <c r="BE544" s="2899">
        <f t="shared" ca="1" si="840"/>
        <v>0</v>
      </c>
      <c r="BF544" s="3244">
        <f ca="1">SUM(INDIRECT(BF$1&amp;BF$2&amp;$A544):INDIRECT(BF$1&amp;BF$3&amp;$A544))+SUM(INDIRECT(BF$1&amp;BF$2&amp;$B544):INDIRECT(BF$1&amp;BF$3&amp;$B544))</f>
        <v>0</v>
      </c>
      <c r="BG544" s="3245">
        <f t="shared" ca="1" si="841"/>
        <v>12954.686879999999</v>
      </c>
      <c r="BH544" s="2899">
        <f t="shared" ca="1" si="842"/>
        <v>0</v>
      </c>
    </row>
    <row r="545" spans="1:60" ht="14.5">
      <c r="A545" s="616">
        <f>A544+1</f>
        <v>745</v>
      </c>
      <c r="B545" s="616">
        <v>1</v>
      </c>
      <c r="C545" s="616">
        <f t="shared" si="797"/>
        <v>542</v>
      </c>
      <c r="E545" s="2578" t="s">
        <v>1369</v>
      </c>
      <c r="F545" s="2569"/>
      <c r="G545" s="22"/>
      <c r="I545" s="94"/>
      <c r="J545" s="93"/>
      <c r="K545" s="68"/>
      <c r="L545" s="68"/>
      <c r="M545" s="69"/>
      <c r="N545" s="296" t="s">
        <v>523</v>
      </c>
      <c r="O545" s="296"/>
      <c r="P545" s="296"/>
      <c r="Q545" s="1779" t="str">
        <f>CHOOSE(2, "6722000003464", "S/GP (1)-2 Gross Profit Direct Office Solution OSP")</f>
        <v>S/GP (1)-2 Gross Profit Direct Office Solution OSP</v>
      </c>
      <c r="R545" s="1227">
        <v>0</v>
      </c>
      <c r="S545" s="1227">
        <v>0</v>
      </c>
      <c r="T545" s="1227">
        <v>0</v>
      </c>
      <c r="U545" s="1227">
        <v>0</v>
      </c>
      <c r="V545" s="1227">
        <v>0</v>
      </c>
      <c r="W545" s="1227">
        <v>0</v>
      </c>
      <c r="X545" s="1227">
        <v>0</v>
      </c>
      <c r="Y545" s="1227">
        <v>0</v>
      </c>
      <c r="Z545" s="1227">
        <v>0</v>
      </c>
      <c r="AA545" s="1227">
        <v>0</v>
      </c>
      <c r="AB545" s="1227">
        <v>0</v>
      </c>
      <c r="AC545" s="1227">
        <v>0</v>
      </c>
      <c r="AD545" s="295">
        <f>SUM(R545,S545,T545)</f>
        <v>0</v>
      </c>
      <c r="AE545" s="96">
        <f t="shared" ref="AE545:AE548" si="850">SUM(U545,V545,W545)</f>
        <v>0</v>
      </c>
      <c r="AF545" s="96">
        <f t="shared" ref="AF545:AF548" si="851">SUM(X545,Y545,Z545)</f>
        <v>0</v>
      </c>
      <c r="AG545" s="96">
        <f t="shared" ref="AG545:AG548" si="852">SUM(AA545,AB545,AC545)</f>
        <v>0</v>
      </c>
      <c r="AH545" s="96">
        <f>AD545+AE545</f>
        <v>0</v>
      </c>
      <c r="AI545" s="96">
        <f>AG545+AF545</f>
        <v>0</v>
      </c>
      <c r="AJ545" s="295">
        <f>AH545+AI545</f>
        <v>0</v>
      </c>
      <c r="AL545" s="96">
        <f ca="1">SUM((INDIRECT(AL$2&amp;(ROW())):INDIRECT(AL$3&amp;(ROW()))))</f>
        <v>0</v>
      </c>
      <c r="AM545" s="295">
        <f ca="1">SUM(INDIRECT(AM$1&amp;AM$2&amp;$C545):INDIRECT(AM$1&amp;AM$3&amp;$C545))</f>
        <v>0</v>
      </c>
      <c r="AN545" s="3246">
        <f t="shared" ca="1" si="831"/>
        <v>0</v>
      </c>
      <c r="AO545" s="2901">
        <f t="shared" ca="1" si="832"/>
        <v>0</v>
      </c>
      <c r="AP545" s="295">
        <f ca="1">SUM(INDIRECT(AP$1&amp;AP$2&amp;$A545):INDIRECT(AP$1&amp;AP$3&amp;$A545))+SUM(INDIRECT(AP$1&amp;AP$2&amp;$B545):INDIRECT(AP$1&amp;AP$3&amp;$B545))</f>
        <v>0</v>
      </c>
      <c r="AQ545" s="3246">
        <f t="shared" ca="1" si="833"/>
        <v>0</v>
      </c>
      <c r="AR545" s="2901">
        <f t="shared" ca="1" si="834"/>
        <v>0</v>
      </c>
      <c r="AT545" s="96">
        <f ca="1">SUM((INDIRECT(AT$2&amp;(ROW())):INDIRECT(AT$3&amp;(ROW()))))</f>
        <v>0</v>
      </c>
      <c r="AU545" s="295">
        <f ca="1">SUM(INDIRECT(AU$1&amp;AU$2&amp;$C545):INDIRECT(AU$1&amp;AU$3&amp;$C545))</f>
        <v>0</v>
      </c>
      <c r="AV545" s="3246">
        <f t="shared" ca="1" si="835"/>
        <v>0</v>
      </c>
      <c r="AW545" s="2901">
        <f t="shared" ca="1" si="836"/>
        <v>0</v>
      </c>
      <c r="AX545" s="295">
        <f ca="1">SUM(INDIRECT(AX$1&amp;AX$2&amp;$A545):INDIRECT(AX$1&amp;AX$3&amp;$A545))+SUM(INDIRECT(AX$1&amp;AX$2&amp;$B545):INDIRECT(AX$1&amp;AX$3&amp;$B545))</f>
        <v>0</v>
      </c>
      <c r="AY545" s="3246">
        <f t="shared" ca="1" si="837"/>
        <v>0</v>
      </c>
      <c r="AZ545" s="2901">
        <f t="shared" ca="1" si="838"/>
        <v>0</v>
      </c>
      <c r="BB545" s="96">
        <f ca="1">SUM((INDIRECT(BB$2&amp;(ROW())):INDIRECT(BB$3&amp;(ROW()))))</f>
        <v>0</v>
      </c>
      <c r="BC545" s="295">
        <f ca="1">SUM(INDIRECT(BC$1&amp;BC$2&amp;$C545):INDIRECT(BC$1&amp;BC$3&amp;$C545))</f>
        <v>0</v>
      </c>
      <c r="BD545" s="3246">
        <f t="shared" ca="1" si="839"/>
        <v>0</v>
      </c>
      <c r="BE545" s="2901">
        <f t="shared" ca="1" si="840"/>
        <v>0</v>
      </c>
      <c r="BF545" s="295">
        <f ca="1">SUM(INDIRECT(BF$1&amp;BF$2&amp;$A545):INDIRECT(BF$1&amp;BF$3&amp;$A545))+SUM(INDIRECT(BF$1&amp;BF$2&amp;$B545):INDIRECT(BF$1&amp;BF$3&amp;$B545))</f>
        <v>0</v>
      </c>
      <c r="BG545" s="3246">
        <f t="shared" ca="1" si="841"/>
        <v>0</v>
      </c>
      <c r="BH545" s="2901">
        <f t="shared" ca="1" si="842"/>
        <v>0</v>
      </c>
    </row>
    <row r="546" spans="1:60" ht="14.5">
      <c r="A546" s="616">
        <f>A545+1</f>
        <v>746</v>
      </c>
      <c r="B546" s="616">
        <v>1</v>
      </c>
      <c r="C546" s="616">
        <f t="shared" si="797"/>
        <v>543</v>
      </c>
      <c r="E546" s="2578" t="s">
        <v>1369</v>
      </c>
      <c r="F546" s="2569"/>
      <c r="G546" s="22"/>
      <c r="I546" s="94"/>
      <c r="J546" s="93"/>
      <c r="K546" s="68"/>
      <c r="L546" s="68"/>
      <c r="M546" s="69"/>
      <c r="N546" s="69" t="s">
        <v>524</v>
      </c>
      <c r="O546" s="69"/>
      <c r="P546" s="69"/>
      <c r="Q546" s="1779" t="str">
        <f>CHOOSE(2, "6722000003465", "S/GP (1)-2 Gross Profit Direct Office Solution RP")</f>
        <v>S/GP (1)-2 Gross Profit Direct Office Solution RP</v>
      </c>
      <c r="R546" s="1217">
        <v>835</v>
      </c>
      <c r="S546" s="1217">
        <v>715</v>
      </c>
      <c r="T546" s="1217">
        <f>735+161</f>
        <v>896</v>
      </c>
      <c r="U546" s="1217">
        <f>1535-510</f>
        <v>1025</v>
      </c>
      <c r="V546" s="1217">
        <v>927</v>
      </c>
      <c r="W546" s="1217">
        <v>953</v>
      </c>
      <c r="X546" s="1217">
        <v>765</v>
      </c>
      <c r="Y546" s="1217">
        <v>1688</v>
      </c>
      <c r="Z546" s="1217">
        <v>1065</v>
      </c>
      <c r="AA546" s="1217">
        <v>1081</v>
      </c>
      <c r="AB546" s="1217">
        <v>1647.68688</v>
      </c>
      <c r="AC546" s="1217">
        <v>1357</v>
      </c>
      <c r="AD546" s="88">
        <f>SUM(R546,S546,T546)</f>
        <v>2446</v>
      </c>
      <c r="AE546" s="17">
        <f t="shared" si="850"/>
        <v>2905</v>
      </c>
      <c r="AF546" s="17">
        <f t="shared" si="851"/>
        <v>3518</v>
      </c>
      <c r="AG546" s="17">
        <f t="shared" si="852"/>
        <v>4085.6868800000002</v>
      </c>
      <c r="AH546" s="17">
        <f>AD546+AE546</f>
        <v>5351</v>
      </c>
      <c r="AI546" s="17">
        <f>AG546+AF546</f>
        <v>7603.6868800000002</v>
      </c>
      <c r="AJ546" s="88">
        <f>AH546+AI546</f>
        <v>12954.686880000001</v>
      </c>
      <c r="AL546" s="17">
        <f ca="1">SUM((INDIRECT(AL$2&amp;(ROW())):INDIRECT(AL$3&amp;(ROW()))))</f>
        <v>1357</v>
      </c>
      <c r="AM546" s="88">
        <f ca="1">SUM(INDIRECT(AM$1&amp;AM$2&amp;$C546):INDIRECT(AM$1&amp;AM$3&amp;$C546))</f>
        <v>0</v>
      </c>
      <c r="AN546" s="3247">
        <f t="shared" ca="1" si="831"/>
        <v>1357</v>
      </c>
      <c r="AO546" s="2903">
        <f t="shared" ca="1" si="832"/>
        <v>0</v>
      </c>
      <c r="AP546" s="88">
        <f ca="1">SUM(INDIRECT(AP$1&amp;AP$2&amp;$A546):INDIRECT(AP$1&amp;AP$3&amp;$A546))+SUM(INDIRECT(AP$1&amp;AP$2&amp;$B546):INDIRECT(AP$1&amp;AP$3&amp;$B546))</f>
        <v>0</v>
      </c>
      <c r="AQ546" s="3247">
        <f t="shared" ca="1" si="833"/>
        <v>1357</v>
      </c>
      <c r="AR546" s="2903">
        <f t="shared" ca="1" si="834"/>
        <v>0</v>
      </c>
      <c r="AT546" s="17">
        <f ca="1">SUM((INDIRECT(AT$2&amp;(ROW())):INDIRECT(AT$3&amp;(ROW()))))</f>
        <v>4085.6868800000002</v>
      </c>
      <c r="AU546" s="88">
        <f ca="1">SUM(INDIRECT(AU$1&amp;AU$2&amp;$C546):INDIRECT(AU$1&amp;AU$3&amp;$C546))</f>
        <v>0</v>
      </c>
      <c r="AV546" s="3247">
        <f t="shared" ca="1" si="835"/>
        <v>4085.6868800000002</v>
      </c>
      <c r="AW546" s="2903">
        <f t="shared" ca="1" si="836"/>
        <v>0</v>
      </c>
      <c r="AX546" s="88">
        <f ca="1">SUM(INDIRECT(AX$1&amp;AX$2&amp;$A546):INDIRECT(AX$1&amp;AX$3&amp;$A546))+SUM(INDIRECT(AX$1&amp;AX$2&amp;$B546):INDIRECT(AX$1&amp;AX$3&amp;$B546))</f>
        <v>0</v>
      </c>
      <c r="AY546" s="3247">
        <f t="shared" ca="1" si="837"/>
        <v>4085.6868800000002</v>
      </c>
      <c r="AZ546" s="2903">
        <f t="shared" ca="1" si="838"/>
        <v>0</v>
      </c>
      <c r="BB546" s="17">
        <f ca="1">SUM((INDIRECT(BB$2&amp;(ROW())):INDIRECT(BB$3&amp;(ROW()))))</f>
        <v>12954.686879999999</v>
      </c>
      <c r="BC546" s="88">
        <f ca="1">SUM(INDIRECT(BC$1&amp;BC$2&amp;$C546):INDIRECT(BC$1&amp;BC$3&amp;$C546))</f>
        <v>0</v>
      </c>
      <c r="BD546" s="3247">
        <f t="shared" ca="1" si="839"/>
        <v>12954.686879999999</v>
      </c>
      <c r="BE546" s="2903">
        <f t="shared" ca="1" si="840"/>
        <v>0</v>
      </c>
      <c r="BF546" s="88">
        <f ca="1">SUM(INDIRECT(BF$1&amp;BF$2&amp;$A546):INDIRECT(BF$1&amp;BF$3&amp;$A546))+SUM(INDIRECT(BF$1&amp;BF$2&amp;$B546):INDIRECT(BF$1&amp;BF$3&amp;$B546))</f>
        <v>0</v>
      </c>
      <c r="BG546" s="3247">
        <f t="shared" ca="1" si="841"/>
        <v>12954.686879999999</v>
      </c>
      <c r="BH546" s="2903">
        <f t="shared" ca="1" si="842"/>
        <v>0</v>
      </c>
    </row>
    <row r="547" spans="1:60" ht="14.5">
      <c r="A547" s="616">
        <f>A546+1</f>
        <v>747</v>
      </c>
      <c r="B547" s="616">
        <v>1</v>
      </c>
      <c r="C547" s="616">
        <f t="shared" si="797"/>
        <v>544</v>
      </c>
      <c r="E547" s="2578" t="s">
        <v>1369</v>
      </c>
      <c r="F547" s="2569"/>
      <c r="G547" s="22"/>
      <c r="I547" s="94"/>
      <c r="J547" s="93"/>
      <c r="K547" s="68"/>
      <c r="L547" s="68"/>
      <c r="M547" s="69"/>
      <c r="N547" s="69" t="s">
        <v>525</v>
      </c>
      <c r="O547" s="69"/>
      <c r="P547" s="69"/>
      <c r="Q547" s="1779" t="str">
        <f>CHOOSE(2, "6722000003466", "S/GP (1)-2 Gross Profit Direct Office Solution OSP service")</f>
        <v>S/GP (1)-2 Gross Profit Direct Office Solution OSP service</v>
      </c>
      <c r="R547" s="1217">
        <v>0</v>
      </c>
      <c r="S547" s="1217">
        <v>0</v>
      </c>
      <c r="T547" s="1217">
        <v>0</v>
      </c>
      <c r="U547" s="1217">
        <v>0</v>
      </c>
      <c r="V547" s="1217">
        <v>0</v>
      </c>
      <c r="W547" s="1217">
        <v>0</v>
      </c>
      <c r="X547" s="1217">
        <v>0</v>
      </c>
      <c r="Y547" s="1217">
        <v>0</v>
      </c>
      <c r="Z547" s="1217">
        <v>0</v>
      </c>
      <c r="AA547" s="1217">
        <v>0</v>
      </c>
      <c r="AB547" s="1217">
        <v>0</v>
      </c>
      <c r="AC547" s="1217">
        <v>0</v>
      </c>
      <c r="AD547" s="88">
        <f>SUM(R547,S547,T547)</f>
        <v>0</v>
      </c>
      <c r="AE547" s="17">
        <f t="shared" si="850"/>
        <v>0</v>
      </c>
      <c r="AF547" s="17">
        <f t="shared" si="851"/>
        <v>0</v>
      </c>
      <c r="AG547" s="17">
        <f t="shared" si="852"/>
        <v>0</v>
      </c>
      <c r="AH547" s="17">
        <f>AD547+AE547</f>
        <v>0</v>
      </c>
      <c r="AI547" s="17">
        <f>AG547+AF547</f>
        <v>0</v>
      </c>
      <c r="AJ547" s="88">
        <f>AH547+AI547</f>
        <v>0</v>
      </c>
      <c r="AL547" s="17">
        <f ca="1">SUM((INDIRECT(AL$2&amp;(ROW())):INDIRECT(AL$3&amp;(ROW()))))</f>
        <v>0</v>
      </c>
      <c r="AM547" s="88">
        <f ca="1">SUM(INDIRECT(AM$1&amp;AM$2&amp;$C547):INDIRECT(AM$1&amp;AM$3&amp;$C547))</f>
        <v>2000</v>
      </c>
      <c r="AN547" s="3247">
        <f t="shared" ca="1" si="831"/>
        <v>-2000</v>
      </c>
      <c r="AO547" s="2903">
        <f t="shared" ca="1" si="832"/>
        <v>0</v>
      </c>
      <c r="AP547" s="88">
        <f ca="1">SUM(INDIRECT(AP$1&amp;AP$2&amp;$A547):INDIRECT(AP$1&amp;AP$3&amp;$A547))+SUM(INDIRECT(AP$1&amp;AP$2&amp;$B547):INDIRECT(AP$1&amp;AP$3&amp;$B547))</f>
        <v>0</v>
      </c>
      <c r="AQ547" s="3247">
        <f t="shared" ca="1" si="833"/>
        <v>0</v>
      </c>
      <c r="AR547" s="2903">
        <f t="shared" ca="1" si="834"/>
        <v>0</v>
      </c>
      <c r="AT547" s="17">
        <f ca="1">SUM((INDIRECT(AT$2&amp;(ROW())):INDIRECT(AT$3&amp;(ROW()))))</f>
        <v>0</v>
      </c>
      <c r="AU547" s="88">
        <f ca="1">SUM(INDIRECT(AU$1&amp;AU$2&amp;$C547):INDIRECT(AU$1&amp;AU$3&amp;$C547))</f>
        <v>5800</v>
      </c>
      <c r="AV547" s="3247">
        <f t="shared" ca="1" si="835"/>
        <v>-5800</v>
      </c>
      <c r="AW547" s="2903">
        <f t="shared" ca="1" si="836"/>
        <v>0</v>
      </c>
      <c r="AX547" s="88">
        <f ca="1">SUM(INDIRECT(AX$1&amp;AX$2&amp;$A547):INDIRECT(AX$1&amp;AX$3&amp;$A547))+SUM(INDIRECT(AX$1&amp;AX$2&amp;$B547):INDIRECT(AX$1&amp;AX$3&amp;$B547))</f>
        <v>0</v>
      </c>
      <c r="AY547" s="3247">
        <f t="shared" ca="1" si="837"/>
        <v>0</v>
      </c>
      <c r="AZ547" s="2903">
        <f t="shared" ca="1" si="838"/>
        <v>0</v>
      </c>
      <c r="BB547" s="17">
        <f ca="1">SUM((INDIRECT(BB$2&amp;(ROW())):INDIRECT(BB$3&amp;(ROW()))))</f>
        <v>0</v>
      </c>
      <c r="BC547" s="88">
        <f ca="1">SUM(INDIRECT(BC$1&amp;BC$2&amp;$C547):INDIRECT(BC$1&amp;BC$3&amp;$C547))</f>
        <v>9100</v>
      </c>
      <c r="BD547" s="3247">
        <f t="shared" ca="1" si="839"/>
        <v>-9100</v>
      </c>
      <c r="BE547" s="2903">
        <f t="shared" ca="1" si="840"/>
        <v>0</v>
      </c>
      <c r="BF547" s="88">
        <f ca="1">SUM(INDIRECT(BF$1&amp;BF$2&amp;$A547):INDIRECT(BF$1&amp;BF$3&amp;$A547))+SUM(INDIRECT(BF$1&amp;BF$2&amp;$B547):INDIRECT(BF$1&amp;BF$3&amp;$B547))</f>
        <v>0</v>
      </c>
      <c r="BG547" s="3247">
        <f t="shared" ca="1" si="841"/>
        <v>0</v>
      </c>
      <c r="BH547" s="2903">
        <f t="shared" ca="1" si="842"/>
        <v>0</v>
      </c>
    </row>
    <row r="548" spans="1:60" ht="14.5">
      <c r="A548" s="616">
        <f>A547+1</f>
        <v>748</v>
      </c>
      <c r="B548" s="616">
        <v>1</v>
      </c>
      <c r="C548" s="616">
        <f t="shared" si="797"/>
        <v>545</v>
      </c>
      <c r="E548" s="2578" t="s">
        <v>1369</v>
      </c>
      <c r="F548" s="2569"/>
      <c r="G548" s="22"/>
      <c r="I548" s="94"/>
      <c r="J548" s="93"/>
      <c r="K548" s="68"/>
      <c r="L548" s="68"/>
      <c r="M548" s="211"/>
      <c r="N548" s="211" t="s">
        <v>526</v>
      </c>
      <c r="O548" s="211"/>
      <c r="P548" s="211"/>
      <c r="Q548" s="1779" t="str">
        <f>CHOOSE(2, "6722000003467", "S/GP (1)-2 Gross Profit Direct Office Solution RP service")</f>
        <v>S/GP (1)-2 Gross Profit Direct Office Solution RP service</v>
      </c>
      <c r="R548" s="1218">
        <v>0</v>
      </c>
      <c r="S548" s="1218">
        <v>0</v>
      </c>
      <c r="T548" s="1218">
        <v>0</v>
      </c>
      <c r="U548" s="1218">
        <v>0</v>
      </c>
      <c r="V548" s="1218">
        <v>0</v>
      </c>
      <c r="W548" s="1218">
        <v>0</v>
      </c>
      <c r="X548" s="1218">
        <v>0</v>
      </c>
      <c r="Y548" s="1218">
        <v>0</v>
      </c>
      <c r="Z548" s="1218">
        <v>0</v>
      </c>
      <c r="AA548" s="1218">
        <v>0</v>
      </c>
      <c r="AB548" s="1218">
        <v>0</v>
      </c>
      <c r="AC548" s="1218">
        <v>0</v>
      </c>
      <c r="AD548" s="87">
        <f>SUM(R548,S548,T548)</f>
        <v>0</v>
      </c>
      <c r="AE548" s="15">
        <f t="shared" si="850"/>
        <v>0</v>
      </c>
      <c r="AF548" s="15">
        <f t="shared" si="851"/>
        <v>0</v>
      </c>
      <c r="AG548" s="15">
        <f t="shared" si="852"/>
        <v>0</v>
      </c>
      <c r="AH548" s="15">
        <f>AD548+AE548</f>
        <v>0</v>
      </c>
      <c r="AI548" s="15">
        <f>AG548+AF548</f>
        <v>0</v>
      </c>
      <c r="AJ548" s="87">
        <f>AH548+AI548</f>
        <v>0</v>
      </c>
      <c r="AL548" s="17">
        <f ca="1">SUM((INDIRECT(AL$2&amp;(ROW())):INDIRECT(AL$3&amp;(ROW()))))</f>
        <v>0</v>
      </c>
      <c r="AM548" s="88">
        <f ca="1">SUM(INDIRECT(AM$1&amp;AM$2&amp;$C548):INDIRECT(AM$1&amp;AM$3&amp;$C548))</f>
        <v>1600</v>
      </c>
      <c r="AN548" s="3247">
        <f t="shared" ca="1" si="831"/>
        <v>-1600</v>
      </c>
      <c r="AO548" s="2903">
        <f t="shared" ca="1" si="832"/>
        <v>0</v>
      </c>
      <c r="AP548" s="88">
        <f ca="1">SUM(INDIRECT(AP$1&amp;AP$2&amp;$A548):INDIRECT(AP$1&amp;AP$3&amp;$A548))+SUM(INDIRECT(AP$1&amp;AP$2&amp;$B548):INDIRECT(AP$1&amp;AP$3&amp;$B548))</f>
        <v>0</v>
      </c>
      <c r="AQ548" s="3247">
        <f t="shared" ca="1" si="833"/>
        <v>0</v>
      </c>
      <c r="AR548" s="2903">
        <f t="shared" ca="1" si="834"/>
        <v>0</v>
      </c>
      <c r="AT548" s="17">
        <f ca="1">SUM((INDIRECT(AT$2&amp;(ROW())):INDIRECT(AT$3&amp;(ROW()))))</f>
        <v>0</v>
      </c>
      <c r="AU548" s="88">
        <f ca="1">SUM(INDIRECT(AU$1&amp;AU$2&amp;$C548):INDIRECT(AU$1&amp;AU$3&amp;$C548))</f>
        <v>4600</v>
      </c>
      <c r="AV548" s="3247">
        <f t="shared" ca="1" si="835"/>
        <v>-4600</v>
      </c>
      <c r="AW548" s="2903">
        <f t="shared" ca="1" si="836"/>
        <v>0</v>
      </c>
      <c r="AX548" s="88">
        <f ca="1">SUM(INDIRECT(AX$1&amp;AX$2&amp;$A548):INDIRECT(AX$1&amp;AX$3&amp;$A548))+SUM(INDIRECT(AX$1&amp;AX$2&amp;$B548):INDIRECT(AX$1&amp;AX$3&amp;$B548))</f>
        <v>0</v>
      </c>
      <c r="AY548" s="3247">
        <f t="shared" ca="1" si="837"/>
        <v>0</v>
      </c>
      <c r="AZ548" s="2903">
        <f t="shared" ca="1" si="838"/>
        <v>0</v>
      </c>
      <c r="BB548" s="17">
        <f ca="1">SUM((INDIRECT(BB$2&amp;(ROW())):INDIRECT(BB$3&amp;(ROW()))))</f>
        <v>0</v>
      </c>
      <c r="BC548" s="88">
        <f ca="1">SUM(INDIRECT(BC$1&amp;BC$2&amp;$C548):INDIRECT(BC$1&amp;BC$3&amp;$C548))</f>
        <v>7200</v>
      </c>
      <c r="BD548" s="3247">
        <f t="shared" ca="1" si="839"/>
        <v>-7200</v>
      </c>
      <c r="BE548" s="2903">
        <f t="shared" ca="1" si="840"/>
        <v>0</v>
      </c>
      <c r="BF548" s="88">
        <f ca="1">SUM(INDIRECT(BF$1&amp;BF$2&amp;$A548):INDIRECT(BF$1&amp;BF$3&amp;$A548))+SUM(INDIRECT(BF$1&amp;BF$2&amp;$B548):INDIRECT(BF$1&amp;BF$3&amp;$B548))</f>
        <v>0</v>
      </c>
      <c r="BG548" s="3247">
        <f t="shared" ca="1" si="841"/>
        <v>0</v>
      </c>
      <c r="BH548" s="2903">
        <f t="shared" ca="1" si="842"/>
        <v>0</v>
      </c>
    </row>
    <row r="549" spans="1:60" ht="14.5">
      <c r="A549" s="2580">
        <v>754</v>
      </c>
      <c r="B549" s="616">
        <v>1</v>
      </c>
      <c r="C549" s="616">
        <f t="shared" si="797"/>
        <v>546</v>
      </c>
      <c r="E549" s="2578" t="s">
        <v>1369</v>
      </c>
      <c r="F549" s="2569"/>
      <c r="G549" s="22"/>
      <c r="I549" s="92"/>
      <c r="J549" s="91"/>
      <c r="K549" s="62" t="s">
        <v>1382</v>
      </c>
      <c r="L549" s="62"/>
      <c r="M549" s="1086" t="s">
        <v>175</v>
      </c>
      <c r="N549" s="1087"/>
      <c r="O549" s="1087"/>
      <c r="P549" s="1087"/>
      <c r="Q549" s="1779" t="str">
        <f>CHOOSE(2, "6722000003468", "S/GP (1)-2 Gross Profit Indirect Office Solution")</f>
        <v>S/GP (1)-2 Gross Profit Indirect Office Solution</v>
      </c>
      <c r="R549" s="1218">
        <v>0</v>
      </c>
      <c r="S549" s="1225">
        <v>426</v>
      </c>
      <c r="T549" s="1218">
        <v>119</v>
      </c>
      <c r="U549" s="1218">
        <v>20</v>
      </c>
      <c r="V549" s="1218">
        <v>188</v>
      </c>
      <c r="W549" s="1218">
        <v>600</v>
      </c>
      <c r="X549" s="1218">
        <v>211</v>
      </c>
      <c r="Y549" s="1218">
        <v>670</v>
      </c>
      <c r="Z549" s="1218">
        <v>551</v>
      </c>
      <c r="AA549" s="1218">
        <v>346</v>
      </c>
      <c r="AB549" s="1218">
        <v>341.16971000000001</v>
      </c>
      <c r="AC549" s="1218">
        <v>546</v>
      </c>
      <c r="AD549" s="1089">
        <f>SUM(R549,S549,T549)</f>
        <v>545</v>
      </c>
      <c r="AE549" s="1088">
        <f>SUM(U549,V549,W549)</f>
        <v>808</v>
      </c>
      <c r="AF549" s="1088">
        <f>SUM(X549,Y549,Z549)</f>
        <v>1432</v>
      </c>
      <c r="AG549" s="1088">
        <f>SUM(AA549,AB549,AC549)</f>
        <v>1233.1697100000001</v>
      </c>
      <c r="AH549" s="1088">
        <f>AD549+AE549</f>
        <v>1353</v>
      </c>
      <c r="AI549" s="1088">
        <f>AG549+AF549</f>
        <v>2665.1697100000001</v>
      </c>
      <c r="AJ549" s="1089">
        <f>AH549+AI549</f>
        <v>4018.1697100000001</v>
      </c>
      <c r="AL549" s="15">
        <f ca="1">SUM((INDIRECT(AL$2&amp;(ROW())):INDIRECT(AL$3&amp;(ROW()))))</f>
        <v>546</v>
      </c>
      <c r="AM549" s="87">
        <f ca="1">SUM(INDIRECT(AM$1&amp;AM$2&amp;$C549):INDIRECT(AM$1&amp;AM$3&amp;$C549))</f>
        <v>0</v>
      </c>
      <c r="AN549" s="3248">
        <f t="shared" ca="1" si="831"/>
        <v>546</v>
      </c>
      <c r="AO549" s="2905">
        <f t="shared" ca="1" si="832"/>
        <v>0</v>
      </c>
      <c r="AP549" s="87">
        <f ca="1">SUM(INDIRECT(AP$1&amp;AP$2&amp;$A549):INDIRECT(AP$1&amp;AP$3&amp;$A549))+SUM(INDIRECT(AP$1&amp;AP$2&amp;$B549):INDIRECT(AP$1&amp;AP$3&amp;$B549))</f>
        <v>843</v>
      </c>
      <c r="AQ549" s="3248">
        <f t="shared" ca="1" si="833"/>
        <v>-297</v>
      </c>
      <c r="AR549" s="2905">
        <f t="shared" ca="1" si="834"/>
        <v>0.64768683274021355</v>
      </c>
      <c r="AT549" s="15">
        <f ca="1">SUM((INDIRECT(AT$2&amp;(ROW())):INDIRECT(AT$3&amp;(ROW()))))</f>
        <v>1233.1697100000001</v>
      </c>
      <c r="AU549" s="87">
        <f ca="1">SUM(INDIRECT(AU$1&amp;AU$2&amp;$C549):INDIRECT(AU$1&amp;AU$3&amp;$C549))</f>
        <v>0</v>
      </c>
      <c r="AV549" s="3248">
        <f t="shared" ca="1" si="835"/>
        <v>1233.1697100000001</v>
      </c>
      <c r="AW549" s="2905">
        <f t="shared" ca="1" si="836"/>
        <v>0</v>
      </c>
      <c r="AX549" s="87">
        <f ca="1">SUM(INDIRECT(AX$1&amp;AX$2&amp;$A549):INDIRECT(AX$1&amp;AX$3&amp;$A549))+SUM(INDIRECT(AX$1&amp;AX$2&amp;$B549):INDIRECT(AX$1&amp;AX$3&amp;$B549))</f>
        <v>1397</v>
      </c>
      <c r="AY549" s="3248">
        <f t="shared" ca="1" si="837"/>
        <v>-163.83028999999988</v>
      </c>
      <c r="AZ549" s="2905">
        <f t="shared" ca="1" si="838"/>
        <v>0.88272706513958488</v>
      </c>
      <c r="BB549" s="15">
        <f ca="1">SUM((INDIRECT(BB$2&amp;(ROW())):INDIRECT(BB$3&amp;(ROW()))))</f>
        <v>4018.1697100000001</v>
      </c>
      <c r="BC549" s="87">
        <f ca="1">SUM(INDIRECT(BC$1&amp;BC$2&amp;$C549):INDIRECT(BC$1&amp;BC$3&amp;$C549))</f>
        <v>0</v>
      </c>
      <c r="BD549" s="3248">
        <f t="shared" ca="1" si="839"/>
        <v>4018.1697100000001</v>
      </c>
      <c r="BE549" s="2905">
        <f t="shared" ca="1" si="840"/>
        <v>0</v>
      </c>
      <c r="BF549" s="87">
        <f ca="1">SUM(INDIRECT(BF$1&amp;BF$2&amp;$A549):INDIRECT(BF$1&amp;BF$3&amp;$A549))+SUM(INDIRECT(BF$1&amp;BF$2&amp;$B549):INDIRECT(BF$1&amp;BF$3&amp;$B549))</f>
        <v>8188</v>
      </c>
      <c r="BG549" s="3248">
        <f t="shared" ca="1" si="841"/>
        <v>-4169.8302899999999</v>
      </c>
      <c r="BH549" s="2905">
        <f t="shared" ca="1" si="842"/>
        <v>0.49073885075720569</v>
      </c>
    </row>
    <row r="550" spans="1:60" ht="14.5">
      <c r="A550" s="616">
        <v>1</v>
      </c>
      <c r="B550" s="616">
        <v>1</v>
      </c>
      <c r="C550" s="616">
        <f t="shared" si="797"/>
        <v>547</v>
      </c>
      <c r="E550" s="2578" t="s">
        <v>1369</v>
      </c>
      <c r="I550" s="22"/>
      <c r="J550" s="69"/>
      <c r="K550" s="22"/>
      <c r="L550" s="22"/>
      <c r="M550" s="69"/>
      <c r="N550" s="1030" t="s">
        <v>1480</v>
      </c>
      <c r="O550" s="69"/>
      <c r="P550" s="69"/>
      <c r="Q550" s="1772" t="str">
        <f>CHOOSE(2, "6722000003469", "▷ Blank 20")</f>
        <v>▷ Blank 20</v>
      </c>
      <c r="R550" s="2557"/>
      <c r="AA550" s="2558"/>
      <c r="AB550" s="2558"/>
      <c r="AC550" s="2558"/>
      <c r="AD550" s="2558"/>
      <c r="AE550" s="2558"/>
      <c r="AF550" s="2558"/>
      <c r="AG550" s="2558"/>
      <c r="AH550" s="2558"/>
      <c r="AI550" s="2558"/>
      <c r="AJ550" s="2559"/>
      <c r="AL550" s="2558"/>
      <c r="AM550" s="2558"/>
      <c r="AN550" s="2558"/>
      <c r="AO550" s="2558"/>
      <c r="AP550" s="2558"/>
      <c r="AQ550" s="2558"/>
      <c r="AR550" s="2558"/>
      <c r="AT550" s="2558"/>
      <c r="AU550" s="2558"/>
      <c r="AV550" s="2558"/>
      <c r="AW550" s="2558"/>
      <c r="AX550" s="2558"/>
      <c r="AY550" s="2558"/>
      <c r="AZ550" s="2558"/>
      <c r="BB550" s="2558"/>
      <c r="BC550" s="2558"/>
      <c r="BD550" s="2558"/>
      <c r="BE550" s="2558"/>
      <c r="BF550" s="2558"/>
      <c r="BG550" s="2558"/>
      <c r="BH550" s="2558"/>
    </row>
    <row r="551" spans="1:60" ht="14.5">
      <c r="A551" s="616">
        <f>A534+1</f>
        <v>486</v>
      </c>
      <c r="B551" s="616">
        <v>1</v>
      </c>
      <c r="C551" s="616">
        <f t="shared" si="797"/>
        <v>548</v>
      </c>
      <c r="E551" s="2578" t="s">
        <v>1369</v>
      </c>
      <c r="H551" s="22" t="s">
        <v>1395</v>
      </c>
      <c r="P551" s="222"/>
      <c r="Q551" s="1772" t="str">
        <f>CHOOSE(2, "6722000003470", "S/GP (2) PP")</f>
        <v>S/GP (2) PP</v>
      </c>
      <c r="R551" s="2587"/>
      <c r="S551" s="2588"/>
      <c r="T551" s="2588"/>
      <c r="U551" s="2588"/>
      <c r="V551" s="2588"/>
      <c r="W551" s="2588"/>
      <c r="AB551" s="1210"/>
      <c r="AC551" s="1210"/>
      <c r="AD551" s="1210"/>
      <c r="AE551" s="1210"/>
      <c r="AF551" s="1210"/>
      <c r="AG551" s="1210"/>
      <c r="AH551" s="1210"/>
      <c r="AI551" s="1210"/>
      <c r="AJ551" s="1210"/>
      <c r="AL551" s="1210"/>
      <c r="AM551" s="1210"/>
      <c r="AN551" s="1210"/>
      <c r="AO551" s="1210"/>
      <c r="AP551" s="1210"/>
      <c r="AQ551" s="1210"/>
      <c r="AR551" s="1210"/>
      <c r="AT551" s="1210"/>
      <c r="AU551" s="1210"/>
      <c r="AV551" s="1210"/>
      <c r="AW551" s="1210"/>
      <c r="AX551" s="1210"/>
      <c r="AY551" s="1210"/>
      <c r="AZ551" s="1210"/>
      <c r="BB551" s="1210"/>
      <c r="BC551" s="1210"/>
      <c r="BD551" s="1210"/>
      <c r="BE551" s="1210"/>
      <c r="BF551" s="1210"/>
      <c r="BG551" s="1210"/>
      <c r="BH551" s="1210"/>
    </row>
    <row r="552" spans="1:60" ht="14.5">
      <c r="A552" s="616">
        <f t="shared" si="829"/>
        <v>487</v>
      </c>
      <c r="B552" s="616">
        <v>1</v>
      </c>
      <c r="C552" s="616">
        <f t="shared" si="797"/>
        <v>549</v>
      </c>
      <c r="E552" s="2578" t="s">
        <v>1369</v>
      </c>
      <c r="I552" s="3249" t="s">
        <v>1375</v>
      </c>
      <c r="J552" s="497"/>
      <c r="K552" s="1690"/>
      <c r="L552" s="1690"/>
      <c r="M552" s="497"/>
      <c r="N552" s="497"/>
      <c r="O552" s="497"/>
      <c r="P552" s="497"/>
      <c r="Q552" s="1815" t="str">
        <f>CHOOSE(2, "6722000003471", "S/GP (2) Net Sales")</f>
        <v>S/GP (2) Net Sales</v>
      </c>
      <c r="R552" s="3250">
        <f>R553+R568</f>
        <v>469389</v>
      </c>
      <c r="S552" s="1244">
        <f t="shared" ref="S552:AJ552" si="853">S553+S568</f>
        <v>465913</v>
      </c>
      <c r="T552" s="1244">
        <f t="shared" si="853"/>
        <v>468237</v>
      </c>
      <c r="U552" s="1244">
        <f t="shared" si="853"/>
        <v>490672</v>
      </c>
      <c r="V552" s="1244">
        <f t="shared" si="853"/>
        <v>544123.20207</v>
      </c>
      <c r="W552" s="1244">
        <f t="shared" si="853"/>
        <v>420374</v>
      </c>
      <c r="X552" s="1244">
        <f t="shared" si="853"/>
        <v>631088</v>
      </c>
      <c r="Y552" s="1244">
        <f t="shared" si="853"/>
        <v>524580</v>
      </c>
      <c r="Z552" s="1244">
        <f t="shared" si="853"/>
        <v>514753</v>
      </c>
      <c r="AA552" s="1244">
        <f t="shared" si="853"/>
        <v>565106</v>
      </c>
      <c r="AB552" s="1244">
        <f t="shared" si="853"/>
        <v>597727</v>
      </c>
      <c r="AC552" s="1244">
        <f t="shared" si="853"/>
        <v>455797</v>
      </c>
      <c r="AD552" s="3251">
        <f t="shared" si="853"/>
        <v>1403539</v>
      </c>
      <c r="AE552" s="1244">
        <f t="shared" si="853"/>
        <v>1455169.2020700001</v>
      </c>
      <c r="AF552" s="1244">
        <f t="shared" si="853"/>
        <v>1670421</v>
      </c>
      <c r="AG552" s="1244">
        <f t="shared" si="853"/>
        <v>1618630</v>
      </c>
      <c r="AH552" s="1244">
        <f t="shared" si="853"/>
        <v>2858708.2020700001</v>
      </c>
      <c r="AI552" s="1244">
        <f t="shared" si="853"/>
        <v>3289051</v>
      </c>
      <c r="AJ552" s="1244">
        <f t="shared" si="853"/>
        <v>6147759.2020699997</v>
      </c>
      <c r="AL552" s="1244">
        <f ca="1">SUM((INDIRECT(AL$2&amp;(ROW())):INDIRECT(AL$3&amp;(ROW()))))</f>
        <v>455797</v>
      </c>
      <c r="AM552" s="1244">
        <f ca="1">SUM(INDIRECT(AM$1&amp;AM$2&amp;$C552):INDIRECT(AM$1&amp;AM$3&amp;$C552))</f>
        <v>0</v>
      </c>
      <c r="AN552" s="3252">
        <f t="shared" ref="AN552:AN615" ca="1" si="854">AL552-AM552</f>
        <v>455797</v>
      </c>
      <c r="AO552" s="2907">
        <f t="shared" ref="AO552:AO615" ca="1" si="855">IFERROR(AL552/AM552,0)</f>
        <v>0</v>
      </c>
      <c r="AP552" s="1244">
        <f ca="1">SUM(INDIRECT(AP$1&amp;AP$2&amp;$A552):INDIRECT(AP$1&amp;AP$3&amp;$A552))</f>
        <v>17670</v>
      </c>
      <c r="AQ552" s="3252">
        <f t="shared" ref="AQ552:AQ615" ca="1" si="856">AL552-AP552</f>
        <v>438127</v>
      </c>
      <c r="AR552" s="2907">
        <f t="shared" ref="AR552:AR615" ca="1" si="857">IFERROR(AL552/AP552,0)</f>
        <v>25.794963214487833</v>
      </c>
      <c r="AT552" s="1244">
        <f ca="1">SUM((INDIRECT(AT$2&amp;(ROW())):INDIRECT(AT$3&amp;(ROW()))))</f>
        <v>1618630</v>
      </c>
      <c r="AU552" s="1244">
        <f ca="1">SUM(INDIRECT(AU$1&amp;AU$2&amp;$C552):INDIRECT(AU$1&amp;AU$3&amp;$C552))</f>
        <v>0</v>
      </c>
      <c r="AV552" s="3252">
        <f t="shared" ref="AV552:AV615" ca="1" si="858">AT552-AU552</f>
        <v>1618630</v>
      </c>
      <c r="AW552" s="2907">
        <f t="shared" ref="AW552:AW615" ca="1" si="859">IFERROR(AT552/AU552,0)</f>
        <v>0</v>
      </c>
      <c r="AX552" s="1244">
        <f ca="1">SUM(INDIRECT(AX$1&amp;AX$2&amp;$A552):INDIRECT(AX$1&amp;AX$3&amp;$A552))</f>
        <v>51188</v>
      </c>
      <c r="AY552" s="3252">
        <f t="shared" ref="AY552:AY615" ca="1" si="860">AT552-AX552</f>
        <v>1567442</v>
      </c>
      <c r="AZ552" s="2907">
        <f t="shared" ref="AZ552:AZ615" ca="1" si="861">IFERROR(AT552/AX552,0)</f>
        <v>31.621278424630773</v>
      </c>
      <c r="BB552" s="1244">
        <f ca="1">SUM((INDIRECT(BB$2&amp;(ROW())):INDIRECT(BB$3&amp;(ROW()))))</f>
        <v>6147759.2020699997</v>
      </c>
      <c r="BC552" s="1244">
        <f ca="1">SUM(INDIRECT(BC$1&amp;BC$2&amp;$C552):INDIRECT(BC$1&amp;BC$3&amp;$C552))</f>
        <v>0</v>
      </c>
      <c r="BD552" s="3252">
        <f t="shared" ref="BD552:BD615" ca="1" si="862">BB552-BC552</f>
        <v>6147759.2020699997</v>
      </c>
      <c r="BE552" s="2907">
        <f t="shared" ref="BE552:BE615" ca="1" si="863">IFERROR(BB552/BC552,0)</f>
        <v>0</v>
      </c>
      <c r="BF552" s="1244">
        <f ca="1">SUM(INDIRECT(BF$1&amp;BF$2&amp;$A552):INDIRECT(BF$1&amp;BF$3&amp;$A552))</f>
        <v>165283.85454999999</v>
      </c>
      <c r="BG552" s="3252">
        <f t="shared" ref="BG552:BG615" ca="1" si="864">BB552-BF552</f>
        <v>5982475.3475199994</v>
      </c>
      <c r="BH552" s="2907">
        <f t="shared" ref="BH552:BH615" ca="1" si="865">IFERROR(BB552/BF552,0)</f>
        <v>37.195158709287256</v>
      </c>
    </row>
    <row r="553" spans="1:60" ht="14.5">
      <c r="A553" s="616">
        <f t="shared" si="829"/>
        <v>488</v>
      </c>
      <c r="B553" s="616">
        <v>1</v>
      </c>
      <c r="C553" s="616">
        <f t="shared" si="797"/>
        <v>550</v>
      </c>
      <c r="E553" s="2547"/>
      <c r="I553" s="73"/>
      <c r="J553" s="72"/>
      <c r="K553" s="68" t="s">
        <v>1381</v>
      </c>
      <c r="L553" s="68"/>
      <c r="M553" s="283"/>
      <c r="N553" s="283"/>
      <c r="O553" s="283"/>
      <c r="P553" s="283"/>
      <c r="Q553" s="1814" t="str">
        <f>CHOOSE(2, "6722000003472", "S/GP (2) Net Sales Direct")</f>
        <v>S/GP (2) Net Sales Direct</v>
      </c>
      <c r="R553" s="3253">
        <f>R554+R557+R562+R567</f>
        <v>403399</v>
      </c>
      <c r="S553" s="3254">
        <f t="shared" ref="S553:AJ553" si="866">S554+S557+S562+S567</f>
        <v>411071</v>
      </c>
      <c r="T553" s="3254">
        <f t="shared" si="866"/>
        <v>406421</v>
      </c>
      <c r="U553" s="3254">
        <f t="shared" si="866"/>
        <v>418493</v>
      </c>
      <c r="V553" s="3254">
        <f t="shared" si="866"/>
        <v>485754.99407000002</v>
      </c>
      <c r="W553" s="3254">
        <f t="shared" si="866"/>
        <v>380095</v>
      </c>
      <c r="X553" s="3254">
        <f t="shared" si="866"/>
        <v>573097</v>
      </c>
      <c r="Y553" s="3254">
        <f t="shared" si="866"/>
        <v>465202</v>
      </c>
      <c r="Z553" s="3254">
        <f t="shared" si="866"/>
        <v>458861</v>
      </c>
      <c r="AA553" s="3254">
        <f t="shared" si="866"/>
        <v>501709</v>
      </c>
      <c r="AB553" s="3254">
        <f t="shared" si="866"/>
        <v>509314</v>
      </c>
      <c r="AC553" s="3254">
        <f t="shared" si="866"/>
        <v>394604</v>
      </c>
      <c r="AD553" s="3255">
        <f t="shared" si="866"/>
        <v>1220891</v>
      </c>
      <c r="AE553" s="3254">
        <f t="shared" si="866"/>
        <v>1284342.99407</v>
      </c>
      <c r="AF553" s="3254">
        <f t="shared" si="866"/>
        <v>1497160</v>
      </c>
      <c r="AG553" s="3254">
        <f t="shared" si="866"/>
        <v>1405627</v>
      </c>
      <c r="AH553" s="3254">
        <f t="shared" si="866"/>
        <v>2505233.99407</v>
      </c>
      <c r="AI553" s="3254">
        <f t="shared" si="866"/>
        <v>2902787</v>
      </c>
      <c r="AJ553" s="3254">
        <f t="shared" si="866"/>
        <v>5408020.99407</v>
      </c>
      <c r="AL553" s="3254">
        <f ca="1">SUM((INDIRECT(AL$2&amp;(ROW())):INDIRECT(AL$3&amp;(ROW()))))</f>
        <v>394604</v>
      </c>
      <c r="AM553" s="3254">
        <f ca="1">SUM(INDIRECT(AM$1&amp;AM$2&amp;$C553):INDIRECT(AM$1&amp;AM$3&amp;$C553))</f>
        <v>400</v>
      </c>
      <c r="AN553" s="3256">
        <f t="shared" ca="1" si="854"/>
        <v>394204</v>
      </c>
      <c r="AO553" s="2909">
        <f t="shared" ca="1" si="855"/>
        <v>986.51</v>
      </c>
      <c r="AP553" s="3254">
        <f ca="1">SUM(INDIRECT(AP$1&amp;AP$2&amp;$A553):INDIRECT(AP$1&amp;AP$3&amp;$A553))</f>
        <v>17670</v>
      </c>
      <c r="AQ553" s="3256">
        <f t="shared" ca="1" si="856"/>
        <v>376934</v>
      </c>
      <c r="AR553" s="2909">
        <f t="shared" ca="1" si="857"/>
        <v>22.331861912846634</v>
      </c>
      <c r="AT553" s="3254">
        <f ca="1">SUM((INDIRECT(AT$2&amp;(ROW())):INDIRECT(AT$3&amp;(ROW()))))</f>
        <v>1405627</v>
      </c>
      <c r="AU553" s="3254">
        <f ca="1">SUM(INDIRECT(AU$1&amp;AU$2&amp;$C553):INDIRECT(AU$1&amp;AU$3&amp;$C553))</f>
        <v>1200</v>
      </c>
      <c r="AV553" s="3256">
        <f t="shared" ca="1" si="858"/>
        <v>1404427</v>
      </c>
      <c r="AW553" s="2909">
        <f t="shared" ca="1" si="859"/>
        <v>1171.3558333333333</v>
      </c>
      <c r="AX553" s="3254">
        <f ca="1">SUM(INDIRECT(AX$1&amp;AX$2&amp;$A553):INDIRECT(AX$1&amp;AX$3&amp;$A553))</f>
        <v>51188</v>
      </c>
      <c r="AY553" s="3256">
        <f t="shared" ca="1" si="860"/>
        <v>1354439</v>
      </c>
      <c r="AZ553" s="2909">
        <f t="shared" ca="1" si="861"/>
        <v>27.460088301945767</v>
      </c>
      <c r="BB553" s="3254">
        <f ca="1">SUM((INDIRECT(BB$2&amp;(ROW())):INDIRECT(BB$3&amp;(ROW()))))</f>
        <v>5408020.99407</v>
      </c>
      <c r="BC553" s="3254">
        <f ca="1">SUM(INDIRECT(BC$1&amp;BC$2&amp;$C553):INDIRECT(BC$1&amp;BC$3&amp;$C553))</f>
        <v>1900</v>
      </c>
      <c r="BD553" s="3256">
        <f t="shared" ca="1" si="862"/>
        <v>5406120.99407</v>
      </c>
      <c r="BE553" s="2909">
        <f t="shared" ca="1" si="863"/>
        <v>2846.3268389842106</v>
      </c>
      <c r="BF553" s="3254">
        <f ca="1">SUM(INDIRECT(BF$1&amp;BF$2&amp;$A553):INDIRECT(BF$1&amp;BF$3&amp;$A553))</f>
        <v>165283.85454999999</v>
      </c>
      <c r="BG553" s="3256">
        <f t="shared" ca="1" si="864"/>
        <v>5242737.1395199997</v>
      </c>
      <c r="BH553" s="2909">
        <f t="shared" ca="1" si="865"/>
        <v>32.719596289630459</v>
      </c>
    </row>
    <row r="554" spans="1:60" ht="14.5">
      <c r="A554" s="616">
        <f t="shared" si="829"/>
        <v>489</v>
      </c>
      <c r="B554" s="616">
        <v>1</v>
      </c>
      <c r="C554" s="616">
        <f t="shared" si="797"/>
        <v>551</v>
      </c>
      <c r="E554" s="2547">
        <v>1</v>
      </c>
      <c r="I554" s="73"/>
      <c r="J554" s="72"/>
      <c r="K554" s="68"/>
      <c r="L554" s="68"/>
      <c r="M554" s="8" t="s">
        <v>1460</v>
      </c>
      <c r="N554" s="285"/>
      <c r="O554" s="285"/>
      <c r="P554" s="285"/>
      <c r="Q554" s="1777" t="str">
        <f>CHOOSE(2, "6722000003473", "S/GP (2) Net Sales Direct HW")</f>
        <v>S/GP (2) Net Sales Direct HW</v>
      </c>
      <c r="R554" s="3257">
        <f>SUM(R555:R556)</f>
        <v>109550</v>
      </c>
      <c r="S554" s="287">
        <f t="shared" ref="S554:AJ554" si="867">SUM(S555:S556)</f>
        <v>104685</v>
      </c>
      <c r="T554" s="287">
        <f t="shared" si="867"/>
        <v>95888</v>
      </c>
      <c r="U554" s="287">
        <f t="shared" si="867"/>
        <v>122248</v>
      </c>
      <c r="V554" s="287">
        <f t="shared" si="867"/>
        <v>146168.747</v>
      </c>
      <c r="W554" s="287">
        <f t="shared" si="867"/>
        <v>114818</v>
      </c>
      <c r="X554" s="287">
        <f t="shared" si="867"/>
        <v>171297</v>
      </c>
      <c r="Y554" s="287">
        <f t="shared" si="867"/>
        <v>132244</v>
      </c>
      <c r="Z554" s="287">
        <f t="shared" si="867"/>
        <v>117597</v>
      </c>
      <c r="AA554" s="287">
        <f t="shared" si="867"/>
        <v>150636</v>
      </c>
      <c r="AB554" s="287">
        <f t="shared" si="867"/>
        <v>151240</v>
      </c>
      <c r="AC554" s="287">
        <f t="shared" si="867"/>
        <v>97886</v>
      </c>
      <c r="AD554" s="315">
        <f t="shared" si="867"/>
        <v>310123</v>
      </c>
      <c r="AE554" s="287">
        <f t="shared" si="867"/>
        <v>383234.74699999997</v>
      </c>
      <c r="AF554" s="287">
        <f t="shared" si="867"/>
        <v>421138</v>
      </c>
      <c r="AG554" s="287">
        <f t="shared" si="867"/>
        <v>399762</v>
      </c>
      <c r="AH554" s="287">
        <f t="shared" si="867"/>
        <v>693357.74699999997</v>
      </c>
      <c r="AI554" s="287">
        <f t="shared" si="867"/>
        <v>820900</v>
      </c>
      <c r="AJ554" s="287">
        <f t="shared" si="867"/>
        <v>1514257.747</v>
      </c>
      <c r="AL554" s="287">
        <f ca="1">SUM((INDIRECT(AL$2&amp;(ROW())):INDIRECT(AL$3&amp;(ROW()))))</f>
        <v>97886</v>
      </c>
      <c r="AM554" s="287">
        <f ca="1">SUM(INDIRECT(AM$1&amp;AM$2&amp;$C554):INDIRECT(AM$1&amp;AM$3&amp;$C554))</f>
        <v>960</v>
      </c>
      <c r="AN554" s="3226">
        <f t="shared" ca="1" si="854"/>
        <v>96926</v>
      </c>
      <c r="AO554" s="2876">
        <f t="shared" ca="1" si="855"/>
        <v>101.96458333333334</v>
      </c>
      <c r="AP554" s="287">
        <f ca="1">SUM(INDIRECT(AP$1&amp;AP$2&amp;$A554):INDIRECT(AP$1&amp;AP$3&amp;$A554))</f>
        <v>17010</v>
      </c>
      <c r="AQ554" s="3226">
        <f t="shared" ca="1" si="856"/>
        <v>80876</v>
      </c>
      <c r="AR554" s="2876">
        <f t="shared" ca="1" si="857"/>
        <v>5.7546149323927098</v>
      </c>
      <c r="AT554" s="287">
        <f ca="1">SUM((INDIRECT(AT$2&amp;(ROW())):INDIRECT(AT$3&amp;(ROW()))))</f>
        <v>399762</v>
      </c>
      <c r="AU554" s="287">
        <f ca="1">SUM(INDIRECT(AU$1&amp;AU$2&amp;$C554):INDIRECT(AU$1&amp;AU$3&amp;$C554))</f>
        <v>2780</v>
      </c>
      <c r="AV554" s="3226">
        <f t="shared" ca="1" si="858"/>
        <v>396982</v>
      </c>
      <c r="AW554" s="2876">
        <f t="shared" ca="1" si="859"/>
        <v>143.79928057553957</v>
      </c>
      <c r="AX554" s="287">
        <f ca="1">SUM(INDIRECT(AX$1&amp;AX$2&amp;$A554):INDIRECT(AX$1&amp;AX$3&amp;$A554))</f>
        <v>49104</v>
      </c>
      <c r="AY554" s="3226">
        <f t="shared" ca="1" si="860"/>
        <v>350658</v>
      </c>
      <c r="AZ554" s="2876">
        <f t="shared" ca="1" si="861"/>
        <v>8.1411290322580641</v>
      </c>
      <c r="BB554" s="287">
        <f ca="1">SUM((INDIRECT(BB$2&amp;(ROW())):INDIRECT(BB$3&amp;(ROW()))))</f>
        <v>1514257.747</v>
      </c>
      <c r="BC554" s="287">
        <f ca="1">SUM(INDIRECT(BC$1&amp;BC$2&amp;$C554):INDIRECT(BC$1&amp;BC$3&amp;$C554))</f>
        <v>4360</v>
      </c>
      <c r="BD554" s="3226">
        <f t="shared" ca="1" si="862"/>
        <v>1509897.747</v>
      </c>
      <c r="BE554" s="2876">
        <f t="shared" ca="1" si="863"/>
        <v>347.306822706422</v>
      </c>
      <c r="BF554" s="287">
        <f ca="1">SUM(INDIRECT(BF$1&amp;BF$2&amp;$A554):INDIRECT(BF$1&amp;BF$3&amp;$A554))</f>
        <v>158633</v>
      </c>
      <c r="BG554" s="3226">
        <f t="shared" ca="1" si="864"/>
        <v>1355624.747</v>
      </c>
      <c r="BH554" s="2876">
        <f t="shared" ca="1" si="865"/>
        <v>9.5456667086923908</v>
      </c>
    </row>
    <row r="555" spans="1:60" ht="14.5">
      <c r="A555" s="616">
        <f t="shared" si="829"/>
        <v>490</v>
      </c>
      <c r="B555" s="616">
        <v>1</v>
      </c>
      <c r="C555" s="616">
        <f t="shared" si="797"/>
        <v>552</v>
      </c>
      <c r="E555" s="2547">
        <v>1</v>
      </c>
      <c r="I555" s="73"/>
      <c r="J555" s="72"/>
      <c r="K555" s="68"/>
      <c r="L555" s="68"/>
      <c r="N555" s="97" t="s">
        <v>1461</v>
      </c>
      <c r="O555" s="97"/>
      <c r="P555" s="97"/>
      <c r="Q555" s="1779" t="str">
        <f>CHOOSE(2, "6722000003474", "S/GP (2) Net Sales Direct HW KMI")</f>
        <v>S/GP (2) Net Sales Direct HW KMI</v>
      </c>
      <c r="R555" s="1247">
        <v>109550</v>
      </c>
      <c r="S555" s="1227">
        <v>104685</v>
      </c>
      <c r="T555" s="1227">
        <v>95888</v>
      </c>
      <c r="U555" s="1227">
        <v>122248</v>
      </c>
      <c r="V555" s="1227">
        <v>146168.747</v>
      </c>
      <c r="W555" s="1227">
        <v>114818</v>
      </c>
      <c r="X555" s="1227">
        <v>171297</v>
      </c>
      <c r="Y555" s="1227">
        <v>132244</v>
      </c>
      <c r="Z555" s="1227">
        <v>117597</v>
      </c>
      <c r="AA555" s="1227">
        <v>150636</v>
      </c>
      <c r="AB555" s="1227">
        <v>151240</v>
      </c>
      <c r="AC555" s="1227">
        <v>97886</v>
      </c>
      <c r="AD555" s="295">
        <f>SUM(R555,S555,T555)</f>
        <v>310123</v>
      </c>
      <c r="AE555" s="96">
        <f t="shared" ref="AE555:AE556" si="868">SUM(U555,V555,W555)</f>
        <v>383234.74699999997</v>
      </c>
      <c r="AF555" s="96">
        <f t="shared" ref="AF555:AF556" si="869">SUM(X555,Y555,Z555)</f>
        <v>421138</v>
      </c>
      <c r="AG555" s="96">
        <f t="shared" ref="AG555:AG556" si="870">SUM(AA555,AB555,AC555)</f>
        <v>399762</v>
      </c>
      <c r="AH555" s="96">
        <f>AD555+AE555</f>
        <v>693357.74699999997</v>
      </c>
      <c r="AI555" s="96">
        <f>AG555+AF555</f>
        <v>820900</v>
      </c>
      <c r="AJ555" s="96">
        <f>AH555+AI555</f>
        <v>1514257.747</v>
      </c>
      <c r="AL555" s="96">
        <f ca="1">SUM((INDIRECT(AL$2&amp;(ROW())):INDIRECT(AL$3&amp;(ROW()))))</f>
        <v>97886</v>
      </c>
      <c r="AM555" s="96">
        <f ca="1">SUM(INDIRECT(AM$1&amp;AM$2&amp;$C555):INDIRECT(AM$1&amp;AM$3&amp;$C555))</f>
        <v>800</v>
      </c>
      <c r="AN555" s="3227">
        <f t="shared" ca="1" si="854"/>
        <v>97086</v>
      </c>
      <c r="AO555" s="2878">
        <f t="shared" ca="1" si="855"/>
        <v>122.3575</v>
      </c>
      <c r="AP555" s="96">
        <f ca="1">SUM(INDIRECT(AP$1&amp;AP$2&amp;$A555):INDIRECT(AP$1&amp;AP$3&amp;$A555))</f>
        <v>660</v>
      </c>
      <c r="AQ555" s="3227">
        <f t="shared" ca="1" si="856"/>
        <v>97226</v>
      </c>
      <c r="AR555" s="2878">
        <f t="shared" ca="1" si="857"/>
        <v>148.31212121212121</v>
      </c>
      <c r="AT555" s="96">
        <f ca="1">SUM((INDIRECT(AT$2&amp;(ROW())):INDIRECT(AT$3&amp;(ROW()))))</f>
        <v>399762</v>
      </c>
      <c r="AU555" s="96">
        <f ca="1">SUM(INDIRECT(AU$1&amp;AU$2&amp;$C555):INDIRECT(AU$1&amp;AU$3&amp;$C555))</f>
        <v>2300</v>
      </c>
      <c r="AV555" s="3227">
        <f t="shared" ca="1" si="858"/>
        <v>397462</v>
      </c>
      <c r="AW555" s="2878">
        <f t="shared" ca="1" si="859"/>
        <v>173.80956521739131</v>
      </c>
      <c r="AX555" s="96">
        <f ca="1">SUM(INDIRECT(AX$1&amp;AX$2&amp;$A555):INDIRECT(AX$1&amp;AX$3&amp;$A555))</f>
        <v>2084</v>
      </c>
      <c r="AY555" s="3227">
        <f t="shared" ca="1" si="860"/>
        <v>397678</v>
      </c>
      <c r="AZ555" s="2878">
        <f t="shared" ca="1" si="861"/>
        <v>191.82437619961613</v>
      </c>
      <c r="BB555" s="96">
        <f ca="1">SUM((INDIRECT(BB$2&amp;(ROW())):INDIRECT(BB$3&amp;(ROW()))))</f>
        <v>1514257.747</v>
      </c>
      <c r="BC555" s="96">
        <f ca="1">SUM(INDIRECT(BC$1&amp;BC$2&amp;$C555):INDIRECT(BC$1&amp;BC$3&amp;$C555))</f>
        <v>3600</v>
      </c>
      <c r="BD555" s="3227">
        <f t="shared" ca="1" si="862"/>
        <v>1510657.747</v>
      </c>
      <c r="BE555" s="2878">
        <f t="shared" ca="1" si="863"/>
        <v>420.62715194444445</v>
      </c>
      <c r="BF555" s="96">
        <f ca="1">SUM(INDIRECT(BF$1&amp;BF$2&amp;$A555):INDIRECT(BF$1&amp;BF$3&amp;$A555))</f>
        <v>6650.85455</v>
      </c>
      <c r="BG555" s="3227">
        <f t="shared" ca="1" si="864"/>
        <v>1507606.8924499999</v>
      </c>
      <c r="BH555" s="2878">
        <f t="shared" ca="1" si="865"/>
        <v>227.678674314115</v>
      </c>
    </row>
    <row r="556" spans="1:60" ht="14.5">
      <c r="A556" s="616">
        <f t="shared" si="829"/>
        <v>491</v>
      </c>
      <c r="B556" s="616">
        <v>1</v>
      </c>
      <c r="C556" s="616">
        <f t="shared" si="797"/>
        <v>553</v>
      </c>
      <c r="E556" s="2547">
        <v>1</v>
      </c>
      <c r="I556" s="73"/>
      <c r="J556" s="72"/>
      <c r="K556" s="68"/>
      <c r="L556" s="68"/>
      <c r="N556" s="11" t="s">
        <v>1464</v>
      </c>
      <c r="O556" s="11"/>
      <c r="P556" s="11"/>
      <c r="Q556" s="1779" t="str">
        <f>CHOOSE(2, "6722000003475", "S/GP (2) Net Sales Direct HW 3rd Party")</f>
        <v>S/GP (2) Net Sales Direct HW 3rd Party</v>
      </c>
      <c r="R556" s="1225">
        <v>0</v>
      </c>
      <c r="S556" s="1218">
        <v>0</v>
      </c>
      <c r="T556" s="1218">
        <v>0</v>
      </c>
      <c r="U556" s="1218">
        <v>0</v>
      </c>
      <c r="V556" s="1218">
        <v>0</v>
      </c>
      <c r="W556" s="1218">
        <v>0</v>
      </c>
      <c r="X556" s="1218">
        <v>0</v>
      </c>
      <c r="Y556" s="1218">
        <v>0</v>
      </c>
      <c r="Z556" s="1218">
        <v>0</v>
      </c>
      <c r="AA556" s="1218">
        <v>0</v>
      </c>
      <c r="AB556" s="1218">
        <v>0</v>
      </c>
      <c r="AC556" s="1218">
        <v>0</v>
      </c>
      <c r="AD556" s="87">
        <f>SUM(R556,S556,T556)</f>
        <v>0</v>
      </c>
      <c r="AE556" s="15">
        <f t="shared" si="868"/>
        <v>0</v>
      </c>
      <c r="AF556" s="15">
        <f t="shared" si="869"/>
        <v>0</v>
      </c>
      <c r="AG556" s="15">
        <f t="shared" si="870"/>
        <v>0</v>
      </c>
      <c r="AH556" s="15">
        <f>AD556+AE556</f>
        <v>0</v>
      </c>
      <c r="AI556" s="15">
        <f>AG556+AF556</f>
        <v>0</v>
      </c>
      <c r="AJ556" s="15">
        <f>AH556+AI556</f>
        <v>0</v>
      </c>
      <c r="AL556" s="15">
        <f ca="1">SUM((INDIRECT(AL$2&amp;(ROW())):INDIRECT(AL$3&amp;(ROW()))))</f>
        <v>0</v>
      </c>
      <c r="AM556" s="15">
        <f ca="1">SUM(INDIRECT(AM$1&amp;AM$2&amp;$C556):INDIRECT(AM$1&amp;AM$3&amp;$C556))</f>
        <v>0</v>
      </c>
      <c r="AN556" s="3073">
        <f t="shared" ca="1" si="854"/>
        <v>0</v>
      </c>
      <c r="AO556" s="2710">
        <f t="shared" ca="1" si="855"/>
        <v>0</v>
      </c>
      <c r="AP556" s="15">
        <f ca="1">SUM(INDIRECT(AP$1&amp;AP$2&amp;$A556):INDIRECT(AP$1&amp;AP$3&amp;$A556))</f>
        <v>0</v>
      </c>
      <c r="AQ556" s="3073">
        <f t="shared" ca="1" si="856"/>
        <v>0</v>
      </c>
      <c r="AR556" s="2710">
        <f t="shared" ca="1" si="857"/>
        <v>0</v>
      </c>
      <c r="AT556" s="15">
        <f ca="1">SUM((INDIRECT(AT$2&amp;(ROW())):INDIRECT(AT$3&amp;(ROW()))))</f>
        <v>0</v>
      </c>
      <c r="AU556" s="15">
        <f ca="1">SUM(INDIRECT(AU$1&amp;AU$2&amp;$C556):INDIRECT(AU$1&amp;AU$3&amp;$C556))</f>
        <v>0</v>
      </c>
      <c r="AV556" s="3073">
        <f t="shared" ca="1" si="858"/>
        <v>0</v>
      </c>
      <c r="AW556" s="2710">
        <f t="shared" ca="1" si="859"/>
        <v>0</v>
      </c>
      <c r="AX556" s="15">
        <f ca="1">SUM(INDIRECT(AX$1&amp;AX$2&amp;$A556):INDIRECT(AX$1&amp;AX$3&amp;$A556))</f>
        <v>0</v>
      </c>
      <c r="AY556" s="3073">
        <f t="shared" ca="1" si="860"/>
        <v>0</v>
      </c>
      <c r="AZ556" s="2710">
        <f t="shared" ca="1" si="861"/>
        <v>0</v>
      </c>
      <c r="BB556" s="15">
        <f ca="1">SUM((INDIRECT(BB$2&amp;(ROW())):INDIRECT(BB$3&amp;(ROW()))))</f>
        <v>0</v>
      </c>
      <c r="BC556" s="15">
        <f ca="1">SUM(INDIRECT(BC$1&amp;BC$2&amp;$C556):INDIRECT(BC$1&amp;BC$3&amp;$C556))</f>
        <v>0</v>
      </c>
      <c r="BD556" s="3073">
        <f t="shared" ca="1" si="862"/>
        <v>0</v>
      </c>
      <c r="BE556" s="2710">
        <f t="shared" ca="1" si="863"/>
        <v>0</v>
      </c>
      <c r="BF556" s="15">
        <f ca="1">SUM(INDIRECT(BF$1&amp;BF$2&amp;$A556):INDIRECT(BF$1&amp;BF$3&amp;$A556))</f>
        <v>0</v>
      </c>
      <c r="BG556" s="3073">
        <f t="shared" ca="1" si="864"/>
        <v>0</v>
      </c>
      <c r="BH556" s="2710">
        <f t="shared" ca="1" si="865"/>
        <v>0</v>
      </c>
    </row>
    <row r="557" spans="1:60" ht="14.5">
      <c r="A557" s="616">
        <f t="shared" si="829"/>
        <v>492</v>
      </c>
      <c r="B557" s="616">
        <v>1</v>
      </c>
      <c r="C557" s="616">
        <f t="shared" si="797"/>
        <v>554</v>
      </c>
      <c r="E557" s="2547">
        <v>1</v>
      </c>
      <c r="I557" s="73"/>
      <c r="J557" s="72"/>
      <c r="K557" s="68"/>
      <c r="L557" s="68"/>
      <c r="M557" s="487" t="s">
        <v>1405</v>
      </c>
      <c r="N557" s="284"/>
      <c r="O557" s="284"/>
      <c r="P557" s="284"/>
      <c r="Q557" s="1777" t="str">
        <f>CHOOSE(2, "6722000003476", "S/GP (2) Net Sales Direct NH")</f>
        <v>S/GP (2) Net Sales Direct NH</v>
      </c>
      <c r="R557" s="3258">
        <f>R558+R561</f>
        <v>293849</v>
      </c>
      <c r="S557" s="3103">
        <f t="shared" ref="S557:AJ557" si="871">S558+S561</f>
        <v>306386</v>
      </c>
      <c r="T557" s="3103">
        <f t="shared" si="871"/>
        <v>310533</v>
      </c>
      <c r="U557" s="3103">
        <f t="shared" si="871"/>
        <v>296245</v>
      </c>
      <c r="V557" s="3103">
        <f t="shared" si="871"/>
        <v>339586.24706999998</v>
      </c>
      <c r="W557" s="3103">
        <f t="shared" si="871"/>
        <v>265277</v>
      </c>
      <c r="X557" s="3103">
        <f t="shared" si="871"/>
        <v>401800</v>
      </c>
      <c r="Y557" s="3103">
        <f t="shared" si="871"/>
        <v>332958</v>
      </c>
      <c r="Z557" s="3103">
        <f t="shared" si="871"/>
        <v>341264</v>
      </c>
      <c r="AA557" s="3103">
        <f t="shared" si="871"/>
        <v>351073</v>
      </c>
      <c r="AB557" s="3103">
        <f t="shared" si="871"/>
        <v>358074</v>
      </c>
      <c r="AC557" s="3103">
        <f t="shared" si="871"/>
        <v>296718</v>
      </c>
      <c r="AD557" s="3244">
        <f t="shared" si="871"/>
        <v>910768</v>
      </c>
      <c r="AE557" s="3103">
        <f t="shared" si="871"/>
        <v>901108.24707000004</v>
      </c>
      <c r="AF557" s="3103">
        <f t="shared" si="871"/>
        <v>1076022</v>
      </c>
      <c r="AG557" s="3103">
        <f t="shared" si="871"/>
        <v>1005865</v>
      </c>
      <c r="AH557" s="3103">
        <f t="shared" si="871"/>
        <v>1811876.24707</v>
      </c>
      <c r="AI557" s="3103">
        <f t="shared" si="871"/>
        <v>2081887</v>
      </c>
      <c r="AJ557" s="3103">
        <f t="shared" si="871"/>
        <v>3893763.24707</v>
      </c>
      <c r="AL557" s="3103">
        <f ca="1">SUM((INDIRECT(AL$2&amp;(ROW())):INDIRECT(AL$3&amp;(ROW()))))</f>
        <v>296718</v>
      </c>
      <c r="AM557" s="3103">
        <f ca="1">SUM(INDIRECT(AM$1&amp;AM$2&amp;$C557):INDIRECT(AM$1&amp;AM$3&amp;$C557))</f>
        <v>800</v>
      </c>
      <c r="AN557" s="3259">
        <f t="shared" ca="1" si="854"/>
        <v>295918</v>
      </c>
      <c r="AO557" s="2911">
        <f t="shared" ca="1" si="855"/>
        <v>370.89749999999998</v>
      </c>
      <c r="AP557" s="3103">
        <f ca="1">SUM(INDIRECT(AP$1&amp;AP$2&amp;$A557):INDIRECT(AP$1&amp;AP$3&amp;$A557))</f>
        <v>10919</v>
      </c>
      <c r="AQ557" s="3259">
        <f t="shared" ca="1" si="856"/>
        <v>285799</v>
      </c>
      <c r="AR557" s="2911">
        <f t="shared" ca="1" si="857"/>
        <v>27.174466526238668</v>
      </c>
      <c r="AT557" s="3103">
        <f ca="1">SUM((INDIRECT(AT$2&amp;(ROW())):INDIRECT(AT$3&amp;(ROW()))))</f>
        <v>1005865</v>
      </c>
      <c r="AU557" s="3103">
        <f ca="1">SUM(INDIRECT(AU$1&amp;AU$2&amp;$C557):INDIRECT(AU$1&amp;AU$3&amp;$C557))</f>
        <v>2300</v>
      </c>
      <c r="AV557" s="3259">
        <f t="shared" ca="1" si="858"/>
        <v>1003565</v>
      </c>
      <c r="AW557" s="2911">
        <f t="shared" ca="1" si="859"/>
        <v>437.3326086956522</v>
      </c>
      <c r="AX557" s="3103">
        <f ca="1">SUM(INDIRECT(AX$1&amp;AX$2&amp;$A557):INDIRECT(AX$1&amp;AX$3&amp;$A557))</f>
        <v>33674</v>
      </c>
      <c r="AY557" s="3259">
        <f t="shared" ca="1" si="860"/>
        <v>972191</v>
      </c>
      <c r="AZ557" s="2911">
        <f t="shared" ca="1" si="861"/>
        <v>29.870671734869632</v>
      </c>
      <c r="BB557" s="3103">
        <f ca="1">SUM((INDIRECT(BB$2&amp;(ROW())):INDIRECT(BB$3&amp;(ROW()))))</f>
        <v>3893763.24707</v>
      </c>
      <c r="BC557" s="3103">
        <f ca="1">SUM(INDIRECT(BC$1&amp;BC$2&amp;$C557):INDIRECT(BC$1&amp;BC$3&amp;$C557))</f>
        <v>3600</v>
      </c>
      <c r="BD557" s="3259">
        <f t="shared" ca="1" si="862"/>
        <v>3890163.24707</v>
      </c>
      <c r="BE557" s="2911">
        <f t="shared" ca="1" si="863"/>
        <v>1081.6009019638889</v>
      </c>
      <c r="BF557" s="3103">
        <f ca="1">SUM(INDIRECT(BF$1&amp;BF$2&amp;$A557):INDIRECT(BF$1&amp;BF$3&amp;$A557))</f>
        <v>117468.21402788727</v>
      </c>
      <c r="BG557" s="3259">
        <f t="shared" ca="1" si="864"/>
        <v>3776295.0330421128</v>
      </c>
      <c r="BH557" s="2911">
        <f t="shared" ca="1" si="865"/>
        <v>33.147377605873963</v>
      </c>
    </row>
    <row r="558" spans="1:60" ht="14.5">
      <c r="A558" s="616">
        <f t="shared" si="829"/>
        <v>493</v>
      </c>
      <c r="B558" s="616">
        <v>1</v>
      </c>
      <c r="C558" s="616">
        <f t="shared" si="797"/>
        <v>555</v>
      </c>
      <c r="E558" s="2547">
        <v>1</v>
      </c>
      <c r="I558" s="73"/>
      <c r="J558" s="72"/>
      <c r="K558" s="68"/>
      <c r="L558" s="68"/>
      <c r="N558" s="97" t="s">
        <v>1461</v>
      </c>
      <c r="O558" s="97"/>
      <c r="P558" s="869"/>
      <c r="Q558" s="1777" t="str">
        <f>CHOOSE(2, "6722000003477", "S/GP (2) Net Sales Direct NH KMI")</f>
        <v>S/GP (2) Net Sales Direct NH KMI</v>
      </c>
      <c r="R558" s="3260">
        <f>SUM(R559:R560)</f>
        <v>293849</v>
      </c>
      <c r="S558" s="58">
        <f t="shared" ref="S558:AJ558" si="872">SUM(S559:S560)</f>
        <v>306386</v>
      </c>
      <c r="T558" s="58">
        <f t="shared" si="872"/>
        <v>310533</v>
      </c>
      <c r="U558" s="58">
        <f t="shared" si="872"/>
        <v>296245</v>
      </c>
      <c r="V558" s="58">
        <f t="shared" si="872"/>
        <v>339586.24706999998</v>
      </c>
      <c r="W558" s="58">
        <f t="shared" si="872"/>
        <v>265277</v>
      </c>
      <c r="X558" s="58">
        <f t="shared" si="872"/>
        <v>401800</v>
      </c>
      <c r="Y558" s="58">
        <f t="shared" si="872"/>
        <v>332958</v>
      </c>
      <c r="Z558" s="58">
        <f t="shared" si="872"/>
        <v>341264</v>
      </c>
      <c r="AA558" s="58">
        <f t="shared" si="872"/>
        <v>351073</v>
      </c>
      <c r="AB558" s="58">
        <f t="shared" si="872"/>
        <v>358074</v>
      </c>
      <c r="AC558" s="58">
        <f t="shared" si="872"/>
        <v>296718</v>
      </c>
      <c r="AD558" s="903">
        <f t="shared" si="872"/>
        <v>910768</v>
      </c>
      <c r="AE558" s="58">
        <f t="shared" si="872"/>
        <v>901108.24707000004</v>
      </c>
      <c r="AF558" s="58">
        <f t="shared" si="872"/>
        <v>1076022</v>
      </c>
      <c r="AG558" s="58">
        <f t="shared" si="872"/>
        <v>1005865</v>
      </c>
      <c r="AH558" s="58">
        <f t="shared" si="872"/>
        <v>1811876.24707</v>
      </c>
      <c r="AI558" s="58">
        <f t="shared" si="872"/>
        <v>2081887</v>
      </c>
      <c r="AJ558" s="58">
        <f t="shared" si="872"/>
        <v>3893763.24707</v>
      </c>
      <c r="AL558" s="58">
        <f ca="1">SUM((INDIRECT(AL$2&amp;(ROW())):INDIRECT(AL$3&amp;(ROW()))))</f>
        <v>296718</v>
      </c>
      <c r="AM558" s="58">
        <f ca="1">SUM(INDIRECT(AM$1&amp;AM$2&amp;$C558):INDIRECT(AM$1&amp;AM$3&amp;$C558))</f>
        <v>0</v>
      </c>
      <c r="AN558" s="3261">
        <f t="shared" ca="1" si="854"/>
        <v>296718</v>
      </c>
      <c r="AO558" s="2913">
        <f t="shared" ca="1" si="855"/>
        <v>0</v>
      </c>
      <c r="AP558" s="58">
        <f ca="1">SUM(INDIRECT(AP$1&amp;AP$2&amp;$A558):INDIRECT(AP$1&amp;AP$3&amp;$A558))</f>
        <v>19061</v>
      </c>
      <c r="AQ558" s="3261">
        <f t="shared" ca="1" si="856"/>
        <v>277657</v>
      </c>
      <c r="AR558" s="2913">
        <f t="shared" ca="1" si="857"/>
        <v>15.566759351555532</v>
      </c>
      <c r="AT558" s="58">
        <f ca="1">SUM((INDIRECT(AT$2&amp;(ROW())):INDIRECT(AT$3&amp;(ROW()))))</f>
        <v>1005865</v>
      </c>
      <c r="AU558" s="58">
        <f ca="1">SUM(INDIRECT(AU$1&amp;AU$2&amp;$C558):INDIRECT(AU$1&amp;AU$3&amp;$C558))</f>
        <v>0</v>
      </c>
      <c r="AV558" s="3261">
        <f t="shared" ca="1" si="858"/>
        <v>1005865</v>
      </c>
      <c r="AW558" s="2913">
        <f t="shared" ca="1" si="859"/>
        <v>0</v>
      </c>
      <c r="AX558" s="58">
        <f ca="1">SUM(INDIRECT(AX$1&amp;AX$2&amp;$A558):INDIRECT(AX$1&amp;AX$3&amp;$A558))</f>
        <v>57449</v>
      </c>
      <c r="AY558" s="3261">
        <f t="shared" ca="1" si="860"/>
        <v>948416</v>
      </c>
      <c r="AZ558" s="2913">
        <f t="shared" ca="1" si="861"/>
        <v>17.508833922261484</v>
      </c>
      <c r="BB558" s="58">
        <f ca="1">SUM((INDIRECT(BB$2&amp;(ROW())):INDIRECT(BB$3&amp;(ROW()))))</f>
        <v>3893763.24707</v>
      </c>
      <c r="BC558" s="58">
        <f ca="1">SUM(INDIRECT(BC$1&amp;BC$2&amp;$C558):INDIRECT(BC$1&amp;BC$3&amp;$C558))</f>
        <v>0</v>
      </c>
      <c r="BD558" s="3261">
        <f t="shared" ca="1" si="862"/>
        <v>3893763.24707</v>
      </c>
      <c r="BE558" s="2913">
        <f t="shared" ca="1" si="863"/>
        <v>0</v>
      </c>
      <c r="BF558" s="58">
        <f ca="1">SUM(INDIRECT(BF$1&amp;BF$2&amp;$A558):INDIRECT(BF$1&amp;BF$3&amp;$A558))</f>
        <v>206366.80150141139</v>
      </c>
      <c r="BG558" s="3261">
        <f t="shared" ca="1" si="864"/>
        <v>3687396.4455685886</v>
      </c>
      <c r="BH558" s="2913">
        <f t="shared" ca="1" si="865"/>
        <v>18.868166869579404</v>
      </c>
    </row>
    <row r="559" spans="1:60" ht="14.5">
      <c r="A559" s="616">
        <f t="shared" si="829"/>
        <v>494</v>
      </c>
      <c r="B559" s="616">
        <v>1</v>
      </c>
      <c r="C559" s="616">
        <f t="shared" si="797"/>
        <v>556</v>
      </c>
      <c r="E559" s="2547">
        <v>1</v>
      </c>
      <c r="I559" s="73"/>
      <c r="J559" s="72"/>
      <c r="K559" s="68"/>
      <c r="L559" s="68"/>
      <c r="P559" s="97" t="s">
        <v>1465</v>
      </c>
      <c r="Q559" s="1779" t="str">
        <f>CHOOSE(2, "6722000003478", "S/GP (2) Net Sales Direct NH KMI Copy Click")</f>
        <v>S/GP (2) Net Sales Direct NH KMI Copy Click</v>
      </c>
      <c r="R559" s="1247">
        <v>293849</v>
      </c>
      <c r="S559" s="1227">
        <v>306386</v>
      </c>
      <c r="T559" s="1227">
        <v>310533</v>
      </c>
      <c r="U559" s="1227">
        <v>296245</v>
      </c>
      <c r="V559" s="1227">
        <v>339586.24706999998</v>
      </c>
      <c r="W559" s="1227">
        <v>265277</v>
      </c>
      <c r="X559" s="1227">
        <v>401800</v>
      </c>
      <c r="Y559" s="1227">
        <v>332958</v>
      </c>
      <c r="Z559" s="1227">
        <v>341264</v>
      </c>
      <c r="AA559" s="1227">
        <v>351073</v>
      </c>
      <c r="AB559" s="1227">
        <v>358074</v>
      </c>
      <c r="AC559" s="1227">
        <v>296718</v>
      </c>
      <c r="AD559" s="295">
        <f>SUM(R559,S559,T559)</f>
        <v>910768</v>
      </c>
      <c r="AE559" s="96">
        <f t="shared" ref="AE559:AE561" si="873">SUM(U559,V559,W559)</f>
        <v>901108.24707000004</v>
      </c>
      <c r="AF559" s="96">
        <f t="shared" ref="AF559:AF561" si="874">SUM(X559,Y559,Z559)</f>
        <v>1076022</v>
      </c>
      <c r="AG559" s="96">
        <f t="shared" ref="AG559:AG561" si="875">SUM(AA559,AB559,AC559)</f>
        <v>1005865</v>
      </c>
      <c r="AH559" s="96">
        <f>AD559+AE559</f>
        <v>1811876.24707</v>
      </c>
      <c r="AI559" s="96">
        <f>AG559+AF559</f>
        <v>2081887</v>
      </c>
      <c r="AJ559" s="96">
        <f>AH559+AI559</f>
        <v>3893763.24707</v>
      </c>
      <c r="AL559" s="96">
        <f ca="1">SUM((INDIRECT(AL$2&amp;(ROW())):INDIRECT(AL$3&amp;(ROW()))))</f>
        <v>296718</v>
      </c>
      <c r="AM559" s="96">
        <f ca="1">SUM(INDIRECT(AM$1&amp;AM$2&amp;$C559):INDIRECT(AM$1&amp;AM$3&amp;$C559))</f>
        <v>0</v>
      </c>
      <c r="AN559" s="3227">
        <f t="shared" ca="1" si="854"/>
        <v>296718</v>
      </c>
      <c r="AO559" s="2878">
        <f t="shared" ca="1" si="855"/>
        <v>0</v>
      </c>
      <c r="AP559" s="96">
        <f ca="1">SUM(INDIRECT(AP$1&amp;AP$2&amp;$A559):INDIRECT(AP$1&amp;AP$3&amp;$A559))</f>
        <v>18616</v>
      </c>
      <c r="AQ559" s="3227">
        <f t="shared" ca="1" si="856"/>
        <v>278102</v>
      </c>
      <c r="AR559" s="2878">
        <f t="shared" ca="1" si="857"/>
        <v>15.938869789428448</v>
      </c>
      <c r="AT559" s="96">
        <f ca="1">SUM((INDIRECT(AT$2&amp;(ROW())):INDIRECT(AT$3&amp;(ROW()))))</f>
        <v>1005865</v>
      </c>
      <c r="AU559" s="96">
        <f ca="1">SUM(INDIRECT(AU$1&amp;AU$2&amp;$C559):INDIRECT(AU$1&amp;AU$3&amp;$C559))</f>
        <v>0</v>
      </c>
      <c r="AV559" s="3227">
        <f t="shared" ca="1" si="858"/>
        <v>1005865</v>
      </c>
      <c r="AW559" s="2878">
        <f t="shared" ca="1" si="859"/>
        <v>0</v>
      </c>
      <c r="AX559" s="96">
        <f ca="1">SUM(INDIRECT(AX$1&amp;AX$2&amp;$A559):INDIRECT(AX$1&amp;AX$3&amp;$A559))</f>
        <v>56415</v>
      </c>
      <c r="AY559" s="3227">
        <f t="shared" ca="1" si="860"/>
        <v>949450</v>
      </c>
      <c r="AZ559" s="2878">
        <f t="shared" ca="1" si="861"/>
        <v>17.829743862447931</v>
      </c>
      <c r="BB559" s="96">
        <f ca="1">SUM((INDIRECT(BB$2&amp;(ROW())):INDIRECT(BB$3&amp;(ROW()))))</f>
        <v>3893763.24707</v>
      </c>
      <c r="BC559" s="96">
        <f ca="1">SUM(INDIRECT(BC$1&amp;BC$2&amp;$C559):INDIRECT(BC$1&amp;BC$3&amp;$C559))</f>
        <v>0</v>
      </c>
      <c r="BD559" s="3227">
        <f t="shared" ca="1" si="862"/>
        <v>3893763.24707</v>
      </c>
      <c r="BE559" s="2878">
        <f t="shared" ca="1" si="863"/>
        <v>0</v>
      </c>
      <c r="BF559" s="96">
        <f ca="1">SUM(INDIRECT(BF$1&amp;BF$2&amp;$A559):INDIRECT(BF$1&amp;BF$3&amp;$A559))</f>
        <v>202591.32140141141</v>
      </c>
      <c r="BG559" s="3227">
        <f t="shared" ca="1" si="864"/>
        <v>3691171.9256685888</v>
      </c>
      <c r="BH559" s="2878">
        <f t="shared" ca="1" si="865"/>
        <v>19.219792931578525</v>
      </c>
    </row>
    <row r="560" spans="1:60" ht="14.5">
      <c r="A560" s="616">
        <f t="shared" si="829"/>
        <v>495</v>
      </c>
      <c r="B560" s="616">
        <v>1</v>
      </c>
      <c r="C560" s="616">
        <f t="shared" si="797"/>
        <v>557</v>
      </c>
      <c r="E560" s="2547">
        <v>1</v>
      </c>
      <c r="I560" s="73"/>
      <c r="J560" s="72"/>
      <c r="K560" s="68"/>
      <c r="L560" s="68"/>
      <c r="N560" s="285"/>
      <c r="O560" s="285"/>
      <c r="P560" s="285" t="s">
        <v>1466</v>
      </c>
      <c r="Q560" s="1779" t="str">
        <f>CHOOSE(2, "6722000003479", "S/GP (2) Net Sales Direct NH KMI NonContract")</f>
        <v>S/GP (2) Net Sales Direct NH KMI NonContract</v>
      </c>
      <c r="R560" s="1390">
        <v>0</v>
      </c>
      <c r="S560" s="1245">
        <v>0</v>
      </c>
      <c r="T560" s="1245">
        <v>0</v>
      </c>
      <c r="U560" s="1245">
        <v>0</v>
      </c>
      <c r="V560" s="1245">
        <v>0</v>
      </c>
      <c r="W560" s="1245">
        <v>0</v>
      </c>
      <c r="X560" s="1245">
        <v>0</v>
      </c>
      <c r="Y560" s="1245">
        <v>0</v>
      </c>
      <c r="Z560" s="1245">
        <v>0</v>
      </c>
      <c r="AA560" s="1245">
        <v>0</v>
      </c>
      <c r="AB560" s="1245">
        <v>0</v>
      </c>
      <c r="AC560" s="1245">
        <v>0</v>
      </c>
      <c r="AD560" s="315">
        <f>SUM(R560,S560,T560)</f>
        <v>0</v>
      </c>
      <c r="AE560" s="287">
        <f t="shared" si="873"/>
        <v>0</v>
      </c>
      <c r="AF560" s="287">
        <f t="shared" si="874"/>
        <v>0</v>
      </c>
      <c r="AG560" s="287">
        <f t="shared" si="875"/>
        <v>0</v>
      </c>
      <c r="AH560" s="287">
        <f>AD560+AE560</f>
        <v>0</v>
      </c>
      <c r="AI560" s="287">
        <f>AG560+AF560</f>
        <v>0</v>
      </c>
      <c r="AJ560" s="287">
        <f>AH560+AI560</f>
        <v>0</v>
      </c>
      <c r="AL560" s="287">
        <f ca="1">SUM((INDIRECT(AL$2&amp;(ROW())):INDIRECT(AL$3&amp;(ROW()))))</f>
        <v>0</v>
      </c>
      <c r="AM560" s="287">
        <f ca="1">SUM(INDIRECT(AM$1&amp;AM$2&amp;$C560):INDIRECT(AM$1&amp;AM$3&amp;$C560))</f>
        <v>160.00000000000003</v>
      </c>
      <c r="AN560" s="3226">
        <f t="shared" ca="1" si="854"/>
        <v>-160.00000000000003</v>
      </c>
      <c r="AO560" s="2876">
        <f t="shared" ca="1" si="855"/>
        <v>0</v>
      </c>
      <c r="AP560" s="287">
        <f ca="1">SUM(INDIRECT(AP$1&amp;AP$2&amp;$A560):INDIRECT(AP$1&amp;AP$3&amp;$A560))</f>
        <v>18616</v>
      </c>
      <c r="AQ560" s="3226">
        <f t="shared" ca="1" si="856"/>
        <v>-18616</v>
      </c>
      <c r="AR560" s="2876">
        <f t="shared" ca="1" si="857"/>
        <v>0</v>
      </c>
      <c r="AT560" s="287">
        <f ca="1">SUM((INDIRECT(AT$2&amp;(ROW())):INDIRECT(AT$3&amp;(ROW()))))</f>
        <v>0</v>
      </c>
      <c r="AU560" s="287">
        <f ca="1">SUM(INDIRECT(AU$1&amp;AU$2&amp;$C560):INDIRECT(AU$1&amp;AU$3&amp;$C560))</f>
        <v>480</v>
      </c>
      <c r="AV560" s="3226">
        <f t="shared" ca="1" si="858"/>
        <v>-480</v>
      </c>
      <c r="AW560" s="2876">
        <f t="shared" ca="1" si="859"/>
        <v>0</v>
      </c>
      <c r="AX560" s="287">
        <f ca="1">SUM(INDIRECT(AX$1&amp;AX$2&amp;$A560):INDIRECT(AX$1&amp;AX$3&amp;$A560))</f>
        <v>56415</v>
      </c>
      <c r="AY560" s="3226">
        <f t="shared" ca="1" si="860"/>
        <v>-56415</v>
      </c>
      <c r="AZ560" s="2876">
        <f t="shared" ca="1" si="861"/>
        <v>0</v>
      </c>
      <c r="BB560" s="287">
        <f ca="1">SUM((INDIRECT(BB$2&amp;(ROW())):INDIRECT(BB$3&amp;(ROW()))))</f>
        <v>0</v>
      </c>
      <c r="BC560" s="287">
        <f ca="1">SUM(INDIRECT(BC$1&amp;BC$2&amp;$C560):INDIRECT(BC$1&amp;BC$3&amp;$C560))</f>
        <v>760</v>
      </c>
      <c r="BD560" s="3226">
        <f t="shared" ca="1" si="862"/>
        <v>-760</v>
      </c>
      <c r="BE560" s="2876">
        <f t="shared" ca="1" si="863"/>
        <v>0</v>
      </c>
      <c r="BF560" s="287">
        <f ca="1">SUM(INDIRECT(BF$1&amp;BF$2&amp;$A560):INDIRECT(BF$1&amp;BF$3&amp;$A560))</f>
        <v>202591.32140141141</v>
      </c>
      <c r="BG560" s="3226">
        <f t="shared" ca="1" si="864"/>
        <v>-202591.32140141141</v>
      </c>
      <c r="BH560" s="2876">
        <f t="shared" ca="1" si="865"/>
        <v>0</v>
      </c>
    </row>
    <row r="561" spans="1:60" ht="14.5">
      <c r="A561" s="616">
        <f t="shared" si="829"/>
        <v>496</v>
      </c>
      <c r="B561" s="616">
        <v>1</v>
      </c>
      <c r="C561" s="616">
        <f t="shared" si="797"/>
        <v>558</v>
      </c>
      <c r="E561" s="2547">
        <v>1</v>
      </c>
      <c r="I561" s="73"/>
      <c r="J561" s="72"/>
      <c r="K561" s="68"/>
      <c r="L561" s="68"/>
      <c r="N561" s="288" t="s">
        <v>1464</v>
      </c>
      <c r="O561" s="288"/>
      <c r="P561" s="288"/>
      <c r="Q561" s="1779" t="str">
        <f>CHOOSE(2, "6722000003480", "S/GP (2) Net Sales Direct NH 3rd Party")</f>
        <v>S/GP (2) Net Sales Direct NH 3rd Party</v>
      </c>
      <c r="R561" s="1391">
        <v>0</v>
      </c>
      <c r="S561" s="1246">
        <v>0</v>
      </c>
      <c r="T561" s="1246">
        <v>0</v>
      </c>
      <c r="U561" s="1246">
        <v>0</v>
      </c>
      <c r="V561" s="1246">
        <v>0</v>
      </c>
      <c r="W561" s="1246">
        <v>0</v>
      </c>
      <c r="X561" s="1246">
        <v>0</v>
      </c>
      <c r="Y561" s="1246">
        <v>0</v>
      </c>
      <c r="Z561" s="1246">
        <v>0</v>
      </c>
      <c r="AA561" s="1246">
        <v>0</v>
      </c>
      <c r="AB561" s="1246">
        <v>0</v>
      </c>
      <c r="AC561" s="1246">
        <v>0</v>
      </c>
      <c r="AD561" s="904">
        <f>SUM(R561,S561,T561)</f>
        <v>0</v>
      </c>
      <c r="AE561" s="289">
        <f t="shared" si="873"/>
        <v>0</v>
      </c>
      <c r="AF561" s="289">
        <f t="shared" si="874"/>
        <v>0</v>
      </c>
      <c r="AG561" s="289">
        <f t="shared" si="875"/>
        <v>0</v>
      </c>
      <c r="AH561" s="289">
        <f>AD561+AE561</f>
        <v>0</v>
      </c>
      <c r="AI561" s="289">
        <f>AG561+AF561</f>
        <v>0</v>
      </c>
      <c r="AJ561" s="289">
        <f>AH561+AI561</f>
        <v>0</v>
      </c>
      <c r="AL561" s="289">
        <f ca="1">SUM((INDIRECT(AL$2&amp;(ROW())):INDIRECT(AL$3&amp;(ROW()))))</f>
        <v>0</v>
      </c>
      <c r="AM561" s="289">
        <f ca="1">SUM(INDIRECT(AM$1&amp;AM$2&amp;$C561):INDIRECT(AM$1&amp;AM$3&amp;$C561))</f>
        <v>0</v>
      </c>
      <c r="AN561" s="3262">
        <f t="shared" ca="1" si="854"/>
        <v>0</v>
      </c>
      <c r="AO561" s="2915">
        <f t="shared" ca="1" si="855"/>
        <v>0</v>
      </c>
      <c r="AP561" s="289">
        <f ca="1">SUM(INDIRECT(AP$1&amp;AP$2&amp;$A561):INDIRECT(AP$1&amp;AP$3&amp;$A561))</f>
        <v>0</v>
      </c>
      <c r="AQ561" s="3262">
        <f t="shared" ca="1" si="856"/>
        <v>0</v>
      </c>
      <c r="AR561" s="2915">
        <f t="shared" ca="1" si="857"/>
        <v>0</v>
      </c>
      <c r="AT561" s="289">
        <f ca="1">SUM((INDIRECT(AT$2&amp;(ROW())):INDIRECT(AT$3&amp;(ROW()))))</f>
        <v>0</v>
      </c>
      <c r="AU561" s="289">
        <f ca="1">SUM(INDIRECT(AU$1&amp;AU$2&amp;$C561):INDIRECT(AU$1&amp;AU$3&amp;$C561))</f>
        <v>0</v>
      </c>
      <c r="AV561" s="3262">
        <f t="shared" ca="1" si="858"/>
        <v>0</v>
      </c>
      <c r="AW561" s="2915">
        <f t="shared" ca="1" si="859"/>
        <v>0</v>
      </c>
      <c r="AX561" s="289">
        <f ca="1">SUM(INDIRECT(AX$1&amp;AX$2&amp;$A561):INDIRECT(AX$1&amp;AX$3&amp;$A561))</f>
        <v>0</v>
      </c>
      <c r="AY561" s="3262">
        <f t="shared" ca="1" si="860"/>
        <v>0</v>
      </c>
      <c r="AZ561" s="2915">
        <f t="shared" ca="1" si="861"/>
        <v>0</v>
      </c>
      <c r="BB561" s="289">
        <f ca="1">SUM((INDIRECT(BB$2&amp;(ROW())):INDIRECT(BB$3&amp;(ROW()))))</f>
        <v>0</v>
      </c>
      <c r="BC561" s="289">
        <f ca="1">SUM(INDIRECT(BC$1&amp;BC$2&amp;$C561):INDIRECT(BC$1&amp;BC$3&amp;$C561))</f>
        <v>0</v>
      </c>
      <c r="BD561" s="3262">
        <f t="shared" ca="1" si="862"/>
        <v>0</v>
      </c>
      <c r="BE561" s="2915">
        <f t="shared" ca="1" si="863"/>
        <v>0</v>
      </c>
      <c r="BF561" s="289">
        <f ca="1">SUM(INDIRECT(BF$1&amp;BF$2&amp;$A561):INDIRECT(BF$1&amp;BF$3&amp;$A561))</f>
        <v>0</v>
      </c>
      <c r="BG561" s="3262">
        <f t="shared" ca="1" si="864"/>
        <v>0</v>
      </c>
      <c r="BH561" s="2915">
        <f t="shared" ca="1" si="865"/>
        <v>0</v>
      </c>
    </row>
    <row r="562" spans="1:60" ht="14.5">
      <c r="A562" s="616">
        <f t="shared" si="829"/>
        <v>497</v>
      </c>
      <c r="B562" s="616">
        <v>1</v>
      </c>
      <c r="C562" s="616">
        <f t="shared" si="797"/>
        <v>559</v>
      </c>
      <c r="E562" s="2547">
        <v>1</v>
      </c>
      <c r="I562" s="73"/>
      <c r="J562" s="72"/>
      <c r="K562" s="68"/>
      <c r="L562" s="68"/>
      <c r="M562" s="487" t="s">
        <v>1397</v>
      </c>
      <c r="N562" s="284"/>
      <c r="O562" s="284"/>
      <c r="P562" s="284"/>
      <c r="Q562" s="1777" t="str">
        <f>CHOOSE(2, "6722000003481", "S/GP (2) Net Sales Direct Solution")</f>
        <v>S/GP (2) Net Sales Direct Solution</v>
      </c>
      <c r="R562" s="3258">
        <f>SUM(R563:R566)</f>
        <v>0</v>
      </c>
      <c r="S562" s="3103">
        <f t="shared" ref="S562:AJ562" si="876">SUM(S563:S566)</f>
        <v>0</v>
      </c>
      <c r="T562" s="3103">
        <f t="shared" si="876"/>
        <v>0</v>
      </c>
      <c r="U562" s="3103">
        <f t="shared" si="876"/>
        <v>0</v>
      </c>
      <c r="V562" s="3103">
        <f t="shared" si="876"/>
        <v>0</v>
      </c>
      <c r="W562" s="3103">
        <f t="shared" si="876"/>
        <v>0</v>
      </c>
      <c r="X562" s="3103">
        <f t="shared" si="876"/>
        <v>0</v>
      </c>
      <c r="Y562" s="3103">
        <f t="shared" si="876"/>
        <v>0</v>
      </c>
      <c r="Z562" s="3103">
        <f t="shared" si="876"/>
        <v>0</v>
      </c>
      <c r="AA562" s="3103">
        <f t="shared" si="876"/>
        <v>0</v>
      </c>
      <c r="AB562" s="3103">
        <f t="shared" si="876"/>
        <v>0</v>
      </c>
      <c r="AC562" s="3103">
        <f t="shared" si="876"/>
        <v>0</v>
      </c>
      <c r="AD562" s="3244">
        <f t="shared" si="876"/>
        <v>0</v>
      </c>
      <c r="AE562" s="3103">
        <f t="shared" si="876"/>
        <v>0</v>
      </c>
      <c r="AF562" s="3103">
        <f t="shared" si="876"/>
        <v>0</v>
      </c>
      <c r="AG562" s="3103">
        <f t="shared" si="876"/>
        <v>0</v>
      </c>
      <c r="AH562" s="3103">
        <f t="shared" si="876"/>
        <v>0</v>
      </c>
      <c r="AI562" s="3103">
        <f t="shared" si="876"/>
        <v>0</v>
      </c>
      <c r="AJ562" s="3103">
        <f t="shared" si="876"/>
        <v>0</v>
      </c>
      <c r="AL562" s="3103">
        <f ca="1">SUM((INDIRECT(AL$2&amp;(ROW())):INDIRECT(AL$3&amp;(ROW()))))</f>
        <v>0</v>
      </c>
      <c r="AM562" s="3103">
        <f ca="1">SUM(INDIRECT(AM$1&amp;AM$2&amp;$C562):INDIRECT(AM$1&amp;AM$3&amp;$C562))</f>
        <v>0</v>
      </c>
      <c r="AN562" s="3259">
        <f t="shared" ca="1" si="854"/>
        <v>0</v>
      </c>
      <c r="AO562" s="2911">
        <f t="shared" ca="1" si="855"/>
        <v>0</v>
      </c>
      <c r="AP562" s="3103">
        <f ca="1">SUM(INDIRECT(AP$1&amp;AP$2&amp;$A562):INDIRECT(AP$1&amp;AP$3&amp;$A562))</f>
        <v>445</v>
      </c>
      <c r="AQ562" s="3259">
        <f t="shared" ca="1" si="856"/>
        <v>-445</v>
      </c>
      <c r="AR562" s="2911">
        <f t="shared" ca="1" si="857"/>
        <v>0</v>
      </c>
      <c r="AT562" s="3103">
        <f ca="1">SUM((INDIRECT(AT$2&amp;(ROW())):INDIRECT(AT$3&amp;(ROW()))))</f>
        <v>0</v>
      </c>
      <c r="AU562" s="3103">
        <f ca="1">SUM(INDIRECT(AU$1&amp;AU$2&amp;$C562):INDIRECT(AU$1&amp;AU$3&amp;$C562))</f>
        <v>0</v>
      </c>
      <c r="AV562" s="3259">
        <f t="shared" ca="1" si="858"/>
        <v>0</v>
      </c>
      <c r="AW562" s="2911">
        <f t="shared" ca="1" si="859"/>
        <v>0</v>
      </c>
      <c r="AX562" s="3103">
        <f ca="1">SUM(INDIRECT(AX$1&amp;AX$2&amp;$A562):INDIRECT(AX$1&amp;AX$3&amp;$A562))</f>
        <v>1034</v>
      </c>
      <c r="AY562" s="3259">
        <f t="shared" ca="1" si="860"/>
        <v>-1034</v>
      </c>
      <c r="AZ562" s="2911">
        <f t="shared" ca="1" si="861"/>
        <v>0</v>
      </c>
      <c r="BB562" s="3103">
        <f ca="1">SUM((INDIRECT(BB$2&amp;(ROW())):INDIRECT(BB$3&amp;(ROW()))))</f>
        <v>0</v>
      </c>
      <c r="BC562" s="3103">
        <f ca="1">SUM(INDIRECT(BC$1&amp;BC$2&amp;$C562):INDIRECT(BC$1&amp;BC$3&amp;$C562))</f>
        <v>0</v>
      </c>
      <c r="BD562" s="3259">
        <f t="shared" ca="1" si="862"/>
        <v>0</v>
      </c>
      <c r="BE562" s="2911">
        <f t="shared" ca="1" si="863"/>
        <v>0</v>
      </c>
      <c r="BF562" s="3103">
        <f ca="1">SUM(INDIRECT(BF$1&amp;BF$2&amp;$A562):INDIRECT(BF$1&amp;BF$3&amp;$A562))</f>
        <v>3775.4800999999998</v>
      </c>
      <c r="BG562" s="3259">
        <f t="shared" ca="1" si="864"/>
        <v>-3775.4800999999998</v>
      </c>
      <c r="BH562" s="2911">
        <f t="shared" ca="1" si="865"/>
        <v>0</v>
      </c>
    </row>
    <row r="563" spans="1:60" ht="14.5">
      <c r="A563" s="616">
        <f t="shared" si="829"/>
        <v>498</v>
      </c>
      <c r="B563" s="616">
        <v>1</v>
      </c>
      <c r="C563" s="616">
        <f t="shared" si="797"/>
        <v>560</v>
      </c>
      <c r="E563" s="2547">
        <v>1</v>
      </c>
      <c r="I563" s="73"/>
      <c r="J563" s="72"/>
      <c r="K563" s="68"/>
      <c r="L563" s="68"/>
      <c r="N563" s="97"/>
      <c r="O563" s="97"/>
      <c r="P563" s="97" t="s">
        <v>1481</v>
      </c>
      <c r="Q563" s="1779" t="str">
        <f>CHOOSE(2, "6722000003482", "S/GP (2) Net Sales Direct Solution HWware")</f>
        <v>S/GP (2) Net Sales Direct Solution HWware</v>
      </c>
      <c r="R563" s="1247">
        <v>0</v>
      </c>
      <c r="S563" s="1227">
        <v>0</v>
      </c>
      <c r="T563" s="1227">
        <v>0</v>
      </c>
      <c r="U563" s="1227">
        <v>0</v>
      </c>
      <c r="V563" s="1227">
        <v>0</v>
      </c>
      <c r="W563" s="1227">
        <v>0</v>
      </c>
      <c r="X563" s="1227">
        <v>0</v>
      </c>
      <c r="Y563" s="1227">
        <v>0</v>
      </c>
      <c r="Z563" s="1227">
        <v>0</v>
      </c>
      <c r="AA563" s="1227">
        <v>0</v>
      </c>
      <c r="AB563" s="1227">
        <v>0</v>
      </c>
      <c r="AC563" s="1227">
        <v>0</v>
      </c>
      <c r="AD563" s="295">
        <f>SUM(R563,S563,T563)</f>
        <v>0</v>
      </c>
      <c r="AE563" s="96">
        <f t="shared" ref="AE563:AE567" si="877">SUM(U563,V563,W563)</f>
        <v>0</v>
      </c>
      <c r="AF563" s="96">
        <f t="shared" ref="AF563:AF567" si="878">SUM(X563,Y563,Z563)</f>
        <v>0</v>
      </c>
      <c r="AG563" s="96">
        <f t="shared" ref="AG563:AG567" si="879">SUM(AA563,AB563,AC563)</f>
        <v>0</v>
      </c>
      <c r="AH563" s="96">
        <f>AD563+AE563</f>
        <v>0</v>
      </c>
      <c r="AI563" s="96">
        <f>AG563+AF563</f>
        <v>0</v>
      </c>
      <c r="AJ563" s="96">
        <f>AH563+AI563</f>
        <v>0</v>
      </c>
      <c r="AL563" s="96">
        <f ca="1">SUM((INDIRECT(AL$2&amp;(ROW())):INDIRECT(AL$3&amp;(ROW()))))</f>
        <v>0</v>
      </c>
      <c r="AM563" s="96">
        <f ca="1">SUM(INDIRECT(AM$1&amp;AM$2&amp;$C563):INDIRECT(AM$1&amp;AM$3&amp;$C563))</f>
        <v>467561.37320136622</v>
      </c>
      <c r="AN563" s="3227">
        <f t="shared" ca="1" si="854"/>
        <v>-467561.37320136622</v>
      </c>
      <c r="AO563" s="2878">
        <f t="shared" ca="1" si="855"/>
        <v>0</v>
      </c>
      <c r="AP563" s="96">
        <f ca="1">SUM(INDIRECT(AP$1&amp;AP$2&amp;$A563):INDIRECT(AP$1&amp;AP$3&amp;$A563))</f>
        <v>445</v>
      </c>
      <c r="AQ563" s="3227">
        <f t="shared" ca="1" si="856"/>
        <v>-445</v>
      </c>
      <c r="AR563" s="2878">
        <f t="shared" ca="1" si="857"/>
        <v>0</v>
      </c>
      <c r="AT563" s="96">
        <f ca="1">SUM((INDIRECT(AT$2&amp;(ROW())):INDIRECT(AT$3&amp;(ROW()))))</f>
        <v>0</v>
      </c>
      <c r="AU563" s="96">
        <f ca="1">SUM(INDIRECT(AU$1&amp;AU$2&amp;$C563):INDIRECT(AU$1&amp;AU$3&amp;$C563))</f>
        <v>1390647.2468032332</v>
      </c>
      <c r="AV563" s="3227">
        <f t="shared" ca="1" si="858"/>
        <v>-1390647.2468032332</v>
      </c>
      <c r="AW563" s="2878">
        <f t="shared" ca="1" si="859"/>
        <v>0</v>
      </c>
      <c r="AX563" s="96">
        <f ca="1">SUM(INDIRECT(AX$1&amp;AX$2&amp;$A563):INDIRECT(AX$1&amp;AX$3&amp;$A563))</f>
        <v>1034</v>
      </c>
      <c r="AY563" s="3227">
        <f t="shared" ca="1" si="860"/>
        <v>-1034</v>
      </c>
      <c r="AZ563" s="2878">
        <f t="shared" ca="1" si="861"/>
        <v>0</v>
      </c>
      <c r="BB563" s="96">
        <f ca="1">SUM((INDIRECT(BB$2&amp;(ROW())):INDIRECT(BB$3&amp;(ROW()))))</f>
        <v>0</v>
      </c>
      <c r="BC563" s="96">
        <f ca="1">SUM(INDIRECT(BC$1&amp;BC$2&amp;$C563):INDIRECT(BC$1&amp;BC$3&amp;$C563))</f>
        <v>2447847.7448072075</v>
      </c>
      <c r="BD563" s="3227">
        <f t="shared" ca="1" si="862"/>
        <v>-2447847.7448072075</v>
      </c>
      <c r="BE563" s="2878">
        <f t="shared" ca="1" si="863"/>
        <v>0</v>
      </c>
      <c r="BF563" s="96">
        <f ca="1">SUM(INDIRECT(BF$1&amp;BF$2&amp;$A563):INDIRECT(BF$1&amp;BF$3&amp;$A563))</f>
        <v>3775.4800999999998</v>
      </c>
      <c r="BG563" s="3227">
        <f t="shared" ca="1" si="864"/>
        <v>-3775.4800999999998</v>
      </c>
      <c r="BH563" s="2878">
        <f t="shared" ca="1" si="865"/>
        <v>0</v>
      </c>
    </row>
    <row r="564" spans="1:60" ht="14.5">
      <c r="A564" s="616">
        <f t="shared" si="829"/>
        <v>499</v>
      </c>
      <c r="B564" s="616">
        <v>1</v>
      </c>
      <c r="C564" s="616">
        <f t="shared" si="797"/>
        <v>561</v>
      </c>
      <c r="E564" s="2547">
        <v>1</v>
      </c>
      <c r="I564" s="73"/>
      <c r="J564" s="72"/>
      <c r="K564" s="68"/>
      <c r="L564" s="68"/>
      <c r="P564" s="8" t="s">
        <v>1482</v>
      </c>
      <c r="Q564" s="1779" t="str">
        <f>CHOOSE(2, "6722000003483", "S/GP (2) Net Sales Direct Solution Software")</f>
        <v>S/GP (2) Net Sales Direct Solution Software</v>
      </c>
      <c r="R564" s="1224">
        <v>0</v>
      </c>
      <c r="S564" s="1217">
        <v>0</v>
      </c>
      <c r="T564" s="1217">
        <v>0</v>
      </c>
      <c r="U564" s="1217">
        <v>0</v>
      </c>
      <c r="V564" s="1217">
        <v>0</v>
      </c>
      <c r="W564" s="1217">
        <v>0</v>
      </c>
      <c r="X564" s="1217">
        <v>0</v>
      </c>
      <c r="Y564" s="1217">
        <v>0</v>
      </c>
      <c r="Z564" s="1217">
        <v>0</v>
      </c>
      <c r="AA564" s="1217">
        <v>0</v>
      </c>
      <c r="AB564" s="1217">
        <v>0</v>
      </c>
      <c r="AC564" s="1217">
        <v>0</v>
      </c>
      <c r="AD564" s="88">
        <f>SUM(R564,S564,T564)</f>
        <v>0</v>
      </c>
      <c r="AE564" s="17">
        <f t="shared" si="877"/>
        <v>0</v>
      </c>
      <c r="AF564" s="17">
        <f t="shared" si="878"/>
        <v>0</v>
      </c>
      <c r="AG564" s="17">
        <f t="shared" si="879"/>
        <v>0</v>
      </c>
      <c r="AH564" s="17">
        <f>AD564+AE564</f>
        <v>0</v>
      </c>
      <c r="AI564" s="17">
        <f>AG564+AF564</f>
        <v>0</v>
      </c>
      <c r="AJ564" s="17">
        <f>AH564+AI564</f>
        <v>0</v>
      </c>
      <c r="AL564" s="17">
        <f ca="1">SUM((INDIRECT(AL$2&amp;(ROW())):INDIRECT(AL$3&amp;(ROW()))))</f>
        <v>0</v>
      </c>
      <c r="AM564" s="17">
        <f ca="1">SUM(INDIRECT(AM$1&amp;AM$2&amp;$C564):INDIRECT(AM$1&amp;AM$3&amp;$C564))</f>
        <v>415016.30798305373</v>
      </c>
      <c r="AN564" s="3072">
        <f t="shared" ca="1" si="854"/>
        <v>-415016.30798305373</v>
      </c>
      <c r="AO564" s="2708">
        <f t="shared" ca="1" si="855"/>
        <v>0</v>
      </c>
      <c r="AP564" s="17">
        <f ca="1">SUM(INDIRECT(AP$1&amp;AP$2&amp;$A564):INDIRECT(AP$1&amp;AP$3&amp;$A564))</f>
        <v>0</v>
      </c>
      <c r="AQ564" s="3072">
        <f t="shared" ca="1" si="856"/>
        <v>0</v>
      </c>
      <c r="AR564" s="2708">
        <f t="shared" ca="1" si="857"/>
        <v>0</v>
      </c>
      <c r="AT564" s="17">
        <f ca="1">SUM((INDIRECT(AT$2&amp;(ROW())):INDIRECT(AT$3&amp;(ROW()))))</f>
        <v>0</v>
      </c>
      <c r="AU564" s="17">
        <f ca="1">SUM(INDIRECT(AU$1&amp;AU$2&amp;$C564):INDIRECT(AU$1&amp;AU$3&amp;$C564))</f>
        <v>1229991.1847521914</v>
      </c>
      <c r="AV564" s="3072">
        <f t="shared" ca="1" si="858"/>
        <v>-1229991.1847521914</v>
      </c>
      <c r="AW564" s="2708">
        <f t="shared" ca="1" si="859"/>
        <v>0</v>
      </c>
      <c r="AX564" s="17">
        <f ca="1">SUM(INDIRECT(AX$1&amp;AX$2&amp;$A564):INDIRECT(AX$1&amp;AX$3&amp;$A564))</f>
        <v>0</v>
      </c>
      <c r="AY564" s="3072">
        <f t="shared" ca="1" si="860"/>
        <v>0</v>
      </c>
      <c r="AZ564" s="2708">
        <f t="shared" ca="1" si="861"/>
        <v>0</v>
      </c>
      <c r="BB564" s="17">
        <f ca="1">SUM((INDIRECT(BB$2&amp;(ROW())):INDIRECT(BB$3&amp;(ROW()))))</f>
        <v>0</v>
      </c>
      <c r="BC564" s="17">
        <f ca="1">SUM(INDIRECT(BC$1&amp;BC$2&amp;$C564):INDIRECT(BC$1&amp;BC$3&amp;$C564))</f>
        <v>2165018.8188218535</v>
      </c>
      <c r="BD564" s="3072">
        <f t="shared" ca="1" si="862"/>
        <v>-2165018.8188218535</v>
      </c>
      <c r="BE564" s="2708">
        <f t="shared" ca="1" si="863"/>
        <v>0</v>
      </c>
      <c r="BF564" s="17">
        <f ca="1">SUM(INDIRECT(BF$1&amp;BF$2&amp;$A564):INDIRECT(BF$1&amp;BF$3&amp;$A564))</f>
        <v>0</v>
      </c>
      <c r="BG564" s="3072">
        <f t="shared" ca="1" si="864"/>
        <v>0</v>
      </c>
      <c r="BH564" s="2708">
        <f t="shared" ca="1" si="865"/>
        <v>0</v>
      </c>
    </row>
    <row r="565" spans="1:60" ht="14.5">
      <c r="A565" s="616">
        <f t="shared" si="829"/>
        <v>500</v>
      </c>
      <c r="B565" s="616">
        <v>1</v>
      </c>
      <c r="C565" s="616">
        <f t="shared" si="797"/>
        <v>562</v>
      </c>
      <c r="E565" s="2547">
        <v>1</v>
      </c>
      <c r="I565" s="73"/>
      <c r="J565" s="72"/>
      <c r="K565" s="68"/>
      <c r="L565" s="68"/>
      <c r="P565" s="8" t="s">
        <v>1483</v>
      </c>
      <c r="Q565" s="1779" t="str">
        <f>CHOOSE(2, "6722000003484", "S/GP (2) Net Sales Direct Solution Professional Service")</f>
        <v>S/GP (2) Net Sales Direct Solution Professional Service</v>
      </c>
      <c r="R565" s="1224">
        <v>0</v>
      </c>
      <c r="S565" s="1217">
        <v>0</v>
      </c>
      <c r="T565" s="1217">
        <v>0</v>
      </c>
      <c r="U565" s="1217">
        <v>0</v>
      </c>
      <c r="V565" s="1217">
        <v>0</v>
      </c>
      <c r="W565" s="1217">
        <v>0</v>
      </c>
      <c r="X565" s="1217">
        <v>0</v>
      </c>
      <c r="Y565" s="1217">
        <v>0</v>
      </c>
      <c r="Z565" s="1217">
        <v>0</v>
      </c>
      <c r="AA565" s="1217">
        <v>0</v>
      </c>
      <c r="AB565" s="1217">
        <v>0</v>
      </c>
      <c r="AC565" s="1217">
        <v>0</v>
      </c>
      <c r="AD565" s="88">
        <f>SUM(R565,S565,T565)</f>
        <v>0</v>
      </c>
      <c r="AE565" s="17">
        <f t="shared" si="877"/>
        <v>0</v>
      </c>
      <c r="AF565" s="17">
        <f t="shared" si="878"/>
        <v>0</v>
      </c>
      <c r="AG565" s="17">
        <f t="shared" si="879"/>
        <v>0</v>
      </c>
      <c r="AH565" s="17">
        <f>AD565+AE565</f>
        <v>0</v>
      </c>
      <c r="AI565" s="17">
        <f>AG565+AF565</f>
        <v>0</v>
      </c>
      <c r="AJ565" s="17">
        <f>AH565+AI565</f>
        <v>0</v>
      </c>
      <c r="AL565" s="17">
        <f ca="1">SUM((INDIRECT(AL$2&amp;(ROW())):INDIRECT(AL$3&amp;(ROW()))))</f>
        <v>0</v>
      </c>
      <c r="AM565" s="17">
        <f ca="1">SUM(INDIRECT(AM$1&amp;AM$2&amp;$C565):INDIRECT(AM$1&amp;AM$3&amp;$C565))</f>
        <v>105907.15038305374</v>
      </c>
      <c r="AN565" s="3072">
        <f t="shared" ca="1" si="854"/>
        <v>-105907.15038305374</v>
      </c>
      <c r="AO565" s="2708">
        <f t="shared" ca="1" si="855"/>
        <v>0</v>
      </c>
      <c r="AP565" s="17">
        <f ca="1">SUM(INDIRECT(AP$1&amp;AP$2&amp;$A565):INDIRECT(AP$1&amp;AP$3&amp;$A565))</f>
        <v>0</v>
      </c>
      <c r="AQ565" s="3072">
        <f t="shared" ca="1" si="856"/>
        <v>0</v>
      </c>
      <c r="AR565" s="2708">
        <f t="shared" ca="1" si="857"/>
        <v>0</v>
      </c>
      <c r="AT565" s="17">
        <f ca="1">SUM((INDIRECT(AT$2&amp;(ROW())):INDIRECT(AT$3&amp;(ROW()))))</f>
        <v>0</v>
      </c>
      <c r="AU565" s="17">
        <f ca="1">SUM(INDIRECT(AU$1&amp;AU$2&amp;$C565):INDIRECT(AU$1&amp;AU$3&amp;$C565))</f>
        <v>300108.05995219154</v>
      </c>
      <c r="AV565" s="3072">
        <f t="shared" ca="1" si="858"/>
        <v>-300108.05995219154</v>
      </c>
      <c r="AW565" s="2708">
        <f t="shared" ca="1" si="859"/>
        <v>0</v>
      </c>
      <c r="AX565" s="17">
        <f ca="1">SUM(INDIRECT(AX$1&amp;AX$2&amp;$A565):INDIRECT(AX$1&amp;AX$3&amp;$A565))</f>
        <v>0</v>
      </c>
      <c r="AY565" s="3072">
        <f t="shared" ca="1" si="860"/>
        <v>0</v>
      </c>
      <c r="AZ565" s="2708">
        <f t="shared" ca="1" si="861"/>
        <v>0</v>
      </c>
      <c r="BB565" s="17">
        <f ca="1">SUM((INDIRECT(BB$2&amp;(ROW())):INDIRECT(BB$3&amp;(ROW()))))</f>
        <v>0</v>
      </c>
      <c r="BC565" s="17">
        <f ca="1">SUM(INDIRECT(BC$1&amp;BC$2&amp;$C565):INDIRECT(BC$1&amp;BC$3&amp;$C565))</f>
        <v>530306.07482185343</v>
      </c>
      <c r="BD565" s="3072">
        <f t="shared" ca="1" si="862"/>
        <v>-530306.07482185343</v>
      </c>
      <c r="BE565" s="2708">
        <f t="shared" ca="1" si="863"/>
        <v>0</v>
      </c>
      <c r="BF565" s="17">
        <f ca="1">SUM(INDIRECT(BF$1&amp;BF$2&amp;$A565):INDIRECT(BF$1&amp;BF$3&amp;$A565))</f>
        <v>0</v>
      </c>
      <c r="BG565" s="3072">
        <f t="shared" ca="1" si="864"/>
        <v>0</v>
      </c>
      <c r="BH565" s="2708">
        <f t="shared" ca="1" si="865"/>
        <v>0</v>
      </c>
    </row>
    <row r="566" spans="1:60" ht="14.5">
      <c r="A566" s="616">
        <f t="shared" si="829"/>
        <v>501</v>
      </c>
      <c r="B566" s="616">
        <v>1</v>
      </c>
      <c r="C566" s="616">
        <f t="shared" si="797"/>
        <v>563</v>
      </c>
      <c r="E566" s="2547">
        <v>1</v>
      </c>
      <c r="I566" s="73"/>
      <c r="J566" s="72"/>
      <c r="K566" s="68"/>
      <c r="L566" s="68"/>
      <c r="N566" s="11"/>
      <c r="O566" s="11"/>
      <c r="P566" s="11" t="s">
        <v>1386</v>
      </c>
      <c r="Q566" s="1779" t="str">
        <f>CHOOSE(2, "6722000003485", "S/GP (2) Net Sales Direct Solution Others")</f>
        <v>S/GP (2) Net Sales Direct Solution Others</v>
      </c>
      <c r="R566" s="1225">
        <v>0</v>
      </c>
      <c r="S566" s="1218">
        <v>0</v>
      </c>
      <c r="T566" s="1218">
        <v>0</v>
      </c>
      <c r="U566" s="1218">
        <v>0</v>
      </c>
      <c r="V566" s="1218">
        <v>0</v>
      </c>
      <c r="W566" s="1218">
        <v>0</v>
      </c>
      <c r="X566" s="1218">
        <v>0</v>
      </c>
      <c r="Y566" s="1218">
        <v>0</v>
      </c>
      <c r="Z566" s="1218">
        <v>0</v>
      </c>
      <c r="AA566" s="1218">
        <v>0</v>
      </c>
      <c r="AB566" s="1218">
        <v>0</v>
      </c>
      <c r="AC566" s="1218">
        <v>0</v>
      </c>
      <c r="AD566" s="87">
        <f>SUM(R566,S566,T566)</f>
        <v>0</v>
      </c>
      <c r="AE566" s="15">
        <f t="shared" si="877"/>
        <v>0</v>
      </c>
      <c r="AF566" s="15">
        <f t="shared" si="878"/>
        <v>0</v>
      </c>
      <c r="AG566" s="15">
        <f t="shared" si="879"/>
        <v>0</v>
      </c>
      <c r="AH566" s="15">
        <f>AD566+AE566</f>
        <v>0</v>
      </c>
      <c r="AI566" s="15">
        <f>AG566+AF566</f>
        <v>0</v>
      </c>
      <c r="AJ566" s="15">
        <f>AH566+AI566</f>
        <v>0</v>
      </c>
      <c r="AL566" s="15">
        <f ca="1">SUM((INDIRECT(AL$2&amp;(ROW())):INDIRECT(AL$3&amp;(ROW()))))</f>
        <v>0</v>
      </c>
      <c r="AM566" s="15">
        <f ca="1">SUM(INDIRECT(AM$1&amp;AM$2&amp;$C566):INDIRECT(AM$1&amp;AM$3&amp;$C566))</f>
        <v>105907.15038305374</v>
      </c>
      <c r="AN566" s="3073">
        <f t="shared" ca="1" si="854"/>
        <v>-105907.15038305374</v>
      </c>
      <c r="AO566" s="2710">
        <f t="shared" ca="1" si="855"/>
        <v>0</v>
      </c>
      <c r="AP566" s="15">
        <f ca="1">SUM(INDIRECT(AP$1&amp;AP$2&amp;$A566):INDIRECT(AP$1&amp;AP$3&amp;$A566))</f>
        <v>-8110</v>
      </c>
      <c r="AQ566" s="3073">
        <f t="shared" ca="1" si="856"/>
        <v>8110</v>
      </c>
      <c r="AR566" s="2710">
        <f t="shared" ca="1" si="857"/>
        <v>0</v>
      </c>
      <c r="AT566" s="15">
        <f ca="1">SUM((INDIRECT(AT$2&amp;(ROW())):INDIRECT(AT$3&amp;(ROW()))))</f>
        <v>0</v>
      </c>
      <c r="AU566" s="15">
        <f ca="1">SUM(INDIRECT(AU$1&amp;AU$2&amp;$C566):INDIRECT(AU$1&amp;AU$3&amp;$C566))</f>
        <v>300108.05995219154</v>
      </c>
      <c r="AV566" s="3073">
        <f t="shared" ca="1" si="858"/>
        <v>-300108.05995219154</v>
      </c>
      <c r="AW566" s="2710">
        <f t="shared" ca="1" si="859"/>
        <v>0</v>
      </c>
      <c r="AX566" s="15">
        <f ca="1">SUM(INDIRECT(AX$1&amp;AX$2&amp;$A566):INDIRECT(AX$1&amp;AX$3&amp;$A566))</f>
        <v>-23679</v>
      </c>
      <c r="AY566" s="3073">
        <f t="shared" ca="1" si="860"/>
        <v>23679</v>
      </c>
      <c r="AZ566" s="2710">
        <f t="shared" ca="1" si="861"/>
        <v>0</v>
      </c>
      <c r="BB566" s="15">
        <f ca="1">SUM((INDIRECT(BB$2&amp;(ROW())):INDIRECT(BB$3&amp;(ROW()))))</f>
        <v>0</v>
      </c>
      <c r="BC566" s="15">
        <f ca="1">SUM(INDIRECT(BC$1&amp;BC$2&amp;$C566):INDIRECT(BC$1&amp;BC$3&amp;$C566))</f>
        <v>530306.07482185343</v>
      </c>
      <c r="BD566" s="3073">
        <f t="shared" ca="1" si="862"/>
        <v>-530306.07482185343</v>
      </c>
      <c r="BE566" s="2710">
        <f t="shared" ca="1" si="863"/>
        <v>0</v>
      </c>
      <c r="BF566" s="15">
        <f ca="1">SUM(INDIRECT(BF$1&amp;BF$2&amp;$A566):INDIRECT(BF$1&amp;BF$3&amp;$A566))</f>
        <v>-88561.615473524129</v>
      </c>
      <c r="BG566" s="3073">
        <f t="shared" ca="1" si="864"/>
        <v>88561.615473524129</v>
      </c>
      <c r="BH566" s="2710">
        <f t="shared" ca="1" si="865"/>
        <v>0</v>
      </c>
    </row>
    <row r="567" spans="1:60" ht="14.5">
      <c r="A567" s="616">
        <f t="shared" si="829"/>
        <v>502</v>
      </c>
      <c r="B567" s="616">
        <v>1</v>
      </c>
      <c r="C567" s="616">
        <f t="shared" si="797"/>
        <v>564</v>
      </c>
      <c r="E567" s="2547">
        <v>1</v>
      </c>
      <c r="I567" s="73"/>
      <c r="J567" s="72"/>
      <c r="K567" s="68"/>
      <c r="L567" s="68"/>
      <c r="M567" s="1475" t="s">
        <v>1386</v>
      </c>
      <c r="N567" s="11"/>
      <c r="O567" s="11"/>
      <c r="P567" s="11"/>
      <c r="Q567" s="1779" t="str">
        <f>CHOOSE(2, "6722000003486", "S/GP (2) Net Sales Direct Others")</f>
        <v>S/GP (2) Net Sales Direct Others</v>
      </c>
      <c r="R567" s="3234">
        <v>0</v>
      </c>
      <c r="S567" s="1218">
        <v>0</v>
      </c>
      <c r="T567" s="1218">
        <v>0</v>
      </c>
      <c r="U567" s="1218">
        <v>0</v>
      </c>
      <c r="V567" s="1218">
        <v>0</v>
      </c>
      <c r="W567" s="1218">
        <v>0</v>
      </c>
      <c r="X567" s="1218">
        <v>0</v>
      </c>
      <c r="Y567" s="1218">
        <v>0</v>
      </c>
      <c r="Z567" s="1218">
        <v>0</v>
      </c>
      <c r="AA567" s="1218">
        <v>0</v>
      </c>
      <c r="AB567" s="1218">
        <v>0</v>
      </c>
      <c r="AC567" s="1218">
        <v>0</v>
      </c>
      <c r="AD567" s="87">
        <f>SUM(R567,S567,T567)</f>
        <v>0</v>
      </c>
      <c r="AE567" s="15">
        <f t="shared" si="877"/>
        <v>0</v>
      </c>
      <c r="AF567" s="15">
        <f t="shared" si="878"/>
        <v>0</v>
      </c>
      <c r="AG567" s="15">
        <f t="shared" si="879"/>
        <v>0</v>
      </c>
      <c r="AH567" s="15">
        <f>AD567+AE567</f>
        <v>0</v>
      </c>
      <c r="AI567" s="15">
        <f>AG567+AF567</f>
        <v>0</v>
      </c>
      <c r="AJ567" s="15">
        <f>AH567+AI567</f>
        <v>0</v>
      </c>
      <c r="AL567" s="15">
        <f ca="1">SUM((INDIRECT(AL$2&amp;(ROW())):INDIRECT(AL$3&amp;(ROW()))))</f>
        <v>0</v>
      </c>
      <c r="AM567" s="15">
        <f ca="1">SUM(INDIRECT(AM$1&amp;AM$2&amp;$C567):INDIRECT(AM$1&amp;AM$3&amp;$C567))</f>
        <v>0</v>
      </c>
      <c r="AN567" s="3073">
        <f t="shared" ca="1" si="854"/>
        <v>0</v>
      </c>
      <c r="AO567" s="2710">
        <f t="shared" ca="1" si="855"/>
        <v>0</v>
      </c>
      <c r="AP567" s="15">
        <f ca="1">SUM(INDIRECT(AP$1&amp;AP$2&amp;$A567):INDIRECT(AP$1&amp;AP$3&amp;$A567))</f>
        <v>-2247</v>
      </c>
      <c r="AQ567" s="3073">
        <f t="shared" ca="1" si="856"/>
        <v>2247</v>
      </c>
      <c r="AR567" s="2710">
        <f t="shared" ca="1" si="857"/>
        <v>0</v>
      </c>
      <c r="AT567" s="15">
        <f ca="1">SUM((INDIRECT(AT$2&amp;(ROW())):INDIRECT(AT$3&amp;(ROW()))))</f>
        <v>0</v>
      </c>
      <c r="AU567" s="15">
        <f ca="1">SUM(INDIRECT(AU$1&amp;AU$2&amp;$C567):INDIRECT(AU$1&amp;AU$3&amp;$C567))</f>
        <v>0</v>
      </c>
      <c r="AV567" s="3073">
        <f t="shared" ca="1" si="858"/>
        <v>0</v>
      </c>
      <c r="AW567" s="2710">
        <f t="shared" ca="1" si="859"/>
        <v>0</v>
      </c>
      <c r="AX567" s="15">
        <f ca="1">SUM(INDIRECT(AX$1&amp;AX$2&amp;$A567):INDIRECT(AX$1&amp;AX$3&amp;$A567))</f>
        <v>-6712</v>
      </c>
      <c r="AY567" s="3073">
        <f t="shared" ca="1" si="860"/>
        <v>6712</v>
      </c>
      <c r="AZ567" s="2710">
        <f t="shared" ca="1" si="861"/>
        <v>0</v>
      </c>
      <c r="BB567" s="15">
        <f ca="1">SUM((INDIRECT(BB$2&amp;(ROW())):INDIRECT(BB$3&amp;(ROW()))))</f>
        <v>0</v>
      </c>
      <c r="BC567" s="15">
        <f ca="1">SUM(INDIRECT(BC$1&amp;BC$2&amp;$C567):INDIRECT(BC$1&amp;BC$3&amp;$C567))</f>
        <v>0</v>
      </c>
      <c r="BD567" s="3073">
        <f t="shared" ca="1" si="862"/>
        <v>0</v>
      </c>
      <c r="BE567" s="2710">
        <f t="shared" ca="1" si="863"/>
        <v>0</v>
      </c>
      <c r="BF567" s="15">
        <f ca="1">SUM(INDIRECT(BF$1&amp;BF$2&amp;$A567):INDIRECT(BF$1&amp;BF$3&amp;$A567))</f>
        <v>-30092.551823524132</v>
      </c>
      <c r="BG567" s="3073">
        <f t="shared" ca="1" si="864"/>
        <v>30092.551823524132</v>
      </c>
      <c r="BH567" s="2710">
        <f t="shared" ca="1" si="865"/>
        <v>0</v>
      </c>
    </row>
    <row r="568" spans="1:60" ht="14.5">
      <c r="A568" s="616">
        <f t="shared" si="829"/>
        <v>503</v>
      </c>
      <c r="B568" s="616">
        <v>1</v>
      </c>
      <c r="C568" s="616">
        <f t="shared" si="797"/>
        <v>565</v>
      </c>
      <c r="E568" s="2547">
        <v>1</v>
      </c>
      <c r="I568" s="73"/>
      <c r="J568" s="72"/>
      <c r="K568" s="583" t="s">
        <v>1382</v>
      </c>
      <c r="L568" s="583"/>
      <c r="M568" s="495"/>
      <c r="N568" s="495"/>
      <c r="O568" s="495"/>
      <c r="P568" s="495"/>
      <c r="Q568" s="1802" t="str">
        <f>CHOOSE(2, "6722000003487", "S/GP (2) Net Sales Indirect")</f>
        <v>S/GP (2) Net Sales Indirect</v>
      </c>
      <c r="R568" s="1253">
        <f>R569+R572+R577+R582</f>
        <v>65990</v>
      </c>
      <c r="S568" s="1253">
        <f t="shared" ref="S568:AJ568" si="880">S569+S572+S577+S582</f>
        <v>54842</v>
      </c>
      <c r="T568" s="1253">
        <f t="shared" si="880"/>
        <v>61816</v>
      </c>
      <c r="U568" s="1253">
        <f t="shared" si="880"/>
        <v>72179</v>
      </c>
      <c r="V568" s="1253">
        <f t="shared" si="880"/>
        <v>58368.207999999999</v>
      </c>
      <c r="W568" s="1253">
        <f t="shared" si="880"/>
        <v>40279</v>
      </c>
      <c r="X568" s="1253">
        <f t="shared" si="880"/>
        <v>57991</v>
      </c>
      <c r="Y568" s="1253">
        <f t="shared" si="880"/>
        <v>59378</v>
      </c>
      <c r="Z568" s="1253">
        <f t="shared" si="880"/>
        <v>55892</v>
      </c>
      <c r="AA568" s="1253">
        <f t="shared" si="880"/>
        <v>63397</v>
      </c>
      <c r="AB568" s="1253">
        <f t="shared" si="880"/>
        <v>88413</v>
      </c>
      <c r="AC568" s="1253">
        <f t="shared" si="880"/>
        <v>61193</v>
      </c>
      <c r="AD568" s="3263">
        <f t="shared" si="880"/>
        <v>182648</v>
      </c>
      <c r="AE568" s="1253">
        <f t="shared" si="880"/>
        <v>170826.20800000001</v>
      </c>
      <c r="AF568" s="1253">
        <f t="shared" si="880"/>
        <v>173261</v>
      </c>
      <c r="AG568" s="1253">
        <f t="shared" si="880"/>
        <v>213003</v>
      </c>
      <c r="AH568" s="1253">
        <f t="shared" si="880"/>
        <v>353474.20799999998</v>
      </c>
      <c r="AI568" s="1253">
        <f t="shared" si="880"/>
        <v>386264</v>
      </c>
      <c r="AJ568" s="1253">
        <f t="shared" si="880"/>
        <v>739738.2080000001</v>
      </c>
      <c r="AL568" s="1253">
        <f ca="1">SUM((INDIRECT(AL$2&amp;(ROW())):INDIRECT(AL$3&amp;(ROW()))))</f>
        <v>61193</v>
      </c>
      <c r="AM568" s="1253">
        <f ca="1">SUM(INDIRECT(AM$1&amp;AM$2&amp;$C568):INDIRECT(AM$1&amp;AM$3&amp;$C568))</f>
        <v>308359.15759999998</v>
      </c>
      <c r="AN568" s="3264">
        <f t="shared" ca="1" si="854"/>
        <v>-247166.15759999998</v>
      </c>
      <c r="AO568" s="2917">
        <f t="shared" ca="1" si="855"/>
        <v>0.19844716296500872</v>
      </c>
      <c r="AP568" s="1253">
        <f ca="1">SUM(INDIRECT(AP$1&amp;AP$2&amp;$A568):INDIRECT(AP$1&amp;AP$3&amp;$A568))</f>
        <v>-512</v>
      </c>
      <c r="AQ568" s="3264">
        <f t="shared" ca="1" si="856"/>
        <v>61705</v>
      </c>
      <c r="AR568" s="2917">
        <f t="shared" ca="1" si="857"/>
        <v>-119.517578125</v>
      </c>
      <c r="AT568" s="1253">
        <f ca="1">SUM((INDIRECT(AT$2&amp;(ROW())):INDIRECT(AT$3&amp;(ROW()))))</f>
        <v>213003</v>
      </c>
      <c r="AU568" s="1253">
        <f ca="1">SUM(INDIRECT(AU$1&amp;AU$2&amp;$C568):INDIRECT(AU$1&amp;AU$3&amp;$C568))</f>
        <v>928383.12479999987</v>
      </c>
      <c r="AV568" s="3264">
        <f t="shared" ca="1" si="858"/>
        <v>-715380.12479999987</v>
      </c>
      <c r="AW568" s="2917">
        <f t="shared" ca="1" si="859"/>
        <v>0.22943437284675647</v>
      </c>
      <c r="AX568" s="1253">
        <f ca="1">SUM(INDIRECT(AX$1&amp;AX$2&amp;$A568):INDIRECT(AX$1&amp;AX$3&amp;$A568))</f>
        <v>-1250</v>
      </c>
      <c r="AY568" s="3264">
        <f t="shared" ca="1" si="860"/>
        <v>214253</v>
      </c>
      <c r="AZ568" s="2917">
        <f t="shared" ca="1" si="861"/>
        <v>-170.4024</v>
      </c>
      <c r="BB568" s="1253">
        <f ca="1">SUM((INDIRECT(BB$2&amp;(ROW())):INDIRECT(BB$3&amp;(ROW()))))</f>
        <v>739738.20799999998</v>
      </c>
      <c r="BC568" s="1253">
        <f ca="1">SUM(INDIRECT(BC$1&amp;BC$2&amp;$C568):INDIRECT(BC$1&amp;BC$3&amp;$C568))</f>
        <v>1631712.7439999999</v>
      </c>
      <c r="BD568" s="3264">
        <f t="shared" ca="1" si="862"/>
        <v>-891974.53599999996</v>
      </c>
      <c r="BE568" s="2917">
        <f t="shared" ca="1" si="863"/>
        <v>0.45335075718450113</v>
      </c>
      <c r="BF568" s="1253">
        <f ca="1">SUM(INDIRECT(BF$1&amp;BF$2&amp;$A568):INDIRECT(BF$1&amp;BF$3&amp;$A568))</f>
        <v>-3585.4929999999999</v>
      </c>
      <c r="BG568" s="3264">
        <f t="shared" ca="1" si="864"/>
        <v>743323.701</v>
      </c>
      <c r="BH568" s="2917">
        <f t="shared" ca="1" si="865"/>
        <v>-206.31422457107016</v>
      </c>
    </row>
    <row r="569" spans="1:60" ht="14.5">
      <c r="A569" s="616">
        <f t="shared" si="829"/>
        <v>504</v>
      </c>
      <c r="B569" s="616">
        <v>1</v>
      </c>
      <c r="C569" s="616">
        <f t="shared" si="797"/>
        <v>566</v>
      </c>
      <c r="E569" s="2547">
        <v>1</v>
      </c>
      <c r="I569" s="73"/>
      <c r="J569" s="72"/>
      <c r="K569" s="63"/>
      <c r="L569" s="63"/>
      <c r="M569" s="8" t="s">
        <v>1460</v>
      </c>
      <c r="N569" s="285"/>
      <c r="O569" s="285"/>
      <c r="P569" s="285"/>
      <c r="Q569" s="1777" t="str">
        <f>CHOOSE(2, "6722000003488", "S/GP (2) Net Sales Indirect HW")</f>
        <v>S/GP (2) Net Sales Indirect HW</v>
      </c>
      <c r="R569" s="3257">
        <f>SUM(R570:R571)</f>
        <v>14904</v>
      </c>
      <c r="S569" s="287">
        <f t="shared" ref="S569:AJ569" si="881">SUM(S570:S571)</f>
        <v>12202</v>
      </c>
      <c r="T569" s="287">
        <f t="shared" si="881"/>
        <v>11739</v>
      </c>
      <c r="U569" s="287">
        <f t="shared" si="881"/>
        <v>24361</v>
      </c>
      <c r="V569" s="287">
        <f t="shared" si="881"/>
        <v>21912.361000000001</v>
      </c>
      <c r="W569" s="287">
        <f t="shared" si="881"/>
        <v>10950</v>
      </c>
      <c r="X569" s="287">
        <f t="shared" si="881"/>
        <v>13738</v>
      </c>
      <c r="Y569" s="287">
        <f t="shared" si="881"/>
        <v>18724</v>
      </c>
      <c r="Z569" s="287">
        <f t="shared" si="881"/>
        <v>9392</v>
      </c>
      <c r="AA569" s="287">
        <f t="shared" si="881"/>
        <v>15378</v>
      </c>
      <c r="AB569" s="287">
        <f t="shared" si="881"/>
        <v>14712</v>
      </c>
      <c r="AC569" s="287">
        <f t="shared" si="881"/>
        <v>13993</v>
      </c>
      <c r="AD569" s="315">
        <f t="shared" si="881"/>
        <v>38845</v>
      </c>
      <c r="AE569" s="287">
        <f t="shared" si="881"/>
        <v>57223.361000000004</v>
      </c>
      <c r="AF569" s="287">
        <f t="shared" si="881"/>
        <v>41854</v>
      </c>
      <c r="AG569" s="287">
        <f t="shared" si="881"/>
        <v>44083</v>
      </c>
      <c r="AH569" s="287">
        <f t="shared" si="881"/>
        <v>96068.361000000004</v>
      </c>
      <c r="AI569" s="287">
        <f t="shared" si="881"/>
        <v>85937</v>
      </c>
      <c r="AJ569" s="287">
        <f t="shared" si="881"/>
        <v>182005.361</v>
      </c>
      <c r="AL569" s="287">
        <f ca="1">SUM((INDIRECT(AL$2&amp;(ROW())):INDIRECT(AL$3&amp;(ROW()))))</f>
        <v>13993</v>
      </c>
      <c r="AM569" s="287">
        <f ca="1">SUM(INDIRECT(AM$1&amp;AM$2&amp;$C569):INDIRECT(AM$1&amp;AM$3&amp;$C569))</f>
        <v>308359.15759999998</v>
      </c>
      <c r="AN569" s="3226">
        <f t="shared" ca="1" si="854"/>
        <v>-294366.15759999998</v>
      </c>
      <c r="AO569" s="2876">
        <f t="shared" ca="1" si="855"/>
        <v>4.5378902020972445E-2</v>
      </c>
      <c r="AP569" s="287">
        <f ca="1">SUM(INDIRECT(AP$1&amp;AP$2&amp;$A569):INDIRECT(AP$1&amp;AP$3&amp;$A569))</f>
        <v>-5351</v>
      </c>
      <c r="AQ569" s="3226">
        <f t="shared" ca="1" si="856"/>
        <v>19344</v>
      </c>
      <c r="AR569" s="2876">
        <f t="shared" ca="1" si="857"/>
        <v>-2.6150252289291722</v>
      </c>
      <c r="AT569" s="287">
        <f ca="1">SUM((INDIRECT(AT$2&amp;(ROW())):INDIRECT(AT$3&amp;(ROW()))))</f>
        <v>44083</v>
      </c>
      <c r="AU569" s="287">
        <f ca="1">SUM(INDIRECT(AU$1&amp;AU$2&amp;$C569):INDIRECT(AU$1&amp;AU$3&amp;$C569))</f>
        <v>928383.12479999987</v>
      </c>
      <c r="AV569" s="3226">
        <f t="shared" ca="1" si="858"/>
        <v>-884300.12479999987</v>
      </c>
      <c r="AW569" s="2876">
        <f t="shared" ca="1" si="859"/>
        <v>4.7483629142329287E-2</v>
      </c>
      <c r="AX569" s="287">
        <f ca="1">SUM(INDIRECT(AX$1&amp;AX$2&amp;$A569):INDIRECT(AX$1&amp;AX$3&amp;$A569))</f>
        <v>-15717</v>
      </c>
      <c r="AY569" s="3226">
        <f t="shared" ca="1" si="860"/>
        <v>59800</v>
      </c>
      <c r="AZ569" s="2876">
        <f t="shared" ca="1" si="861"/>
        <v>-2.8047973531844499</v>
      </c>
      <c r="BB569" s="287">
        <f ca="1">SUM((INDIRECT(BB$2&amp;(ROW())):INDIRECT(BB$3&amp;(ROW()))))</f>
        <v>182005.361</v>
      </c>
      <c r="BC569" s="287">
        <f ca="1">SUM(INDIRECT(BC$1&amp;BC$2&amp;$C569):INDIRECT(BC$1&amp;BC$3&amp;$C569))</f>
        <v>1631712.7439999999</v>
      </c>
      <c r="BD569" s="3226">
        <f t="shared" ca="1" si="862"/>
        <v>-1449707.3829999999</v>
      </c>
      <c r="BE569" s="2876">
        <f t="shared" ca="1" si="863"/>
        <v>0.11154252589449655</v>
      </c>
      <c r="BF569" s="287">
        <f ca="1">SUM(INDIRECT(BF$1&amp;BF$2&amp;$A569):INDIRECT(BF$1&amp;BF$3&amp;$A569))</f>
        <v>-54883.570650000001</v>
      </c>
      <c r="BG569" s="3226">
        <f t="shared" ca="1" si="864"/>
        <v>236888.93165000001</v>
      </c>
      <c r="BH569" s="2876">
        <f t="shared" ca="1" si="865"/>
        <v>-3.3162084544512047</v>
      </c>
    </row>
    <row r="570" spans="1:60" ht="14.5">
      <c r="A570" s="616">
        <f t="shared" si="829"/>
        <v>505</v>
      </c>
      <c r="B570" s="616">
        <v>1</v>
      </c>
      <c r="C570" s="616">
        <f t="shared" si="797"/>
        <v>567</v>
      </c>
      <c r="E570" s="2547">
        <v>1</v>
      </c>
      <c r="I570" s="73"/>
      <c r="J570" s="72"/>
      <c r="K570" s="63"/>
      <c r="L570" s="63"/>
      <c r="N570" s="97" t="s">
        <v>1461</v>
      </c>
      <c r="O570" s="97"/>
      <c r="P570" s="97"/>
      <c r="Q570" s="1779" t="str">
        <f>CHOOSE(2, "6722000003489", "S/GP (2) Net Sales Indirect HW KMI")</f>
        <v>S/GP (2) Net Sales Indirect HW KMI</v>
      </c>
      <c r="R570" s="1247">
        <v>14904</v>
      </c>
      <c r="S570" s="1227">
        <v>12202</v>
      </c>
      <c r="T570" s="1227">
        <v>11739</v>
      </c>
      <c r="U570" s="1227">
        <v>24361</v>
      </c>
      <c r="V570" s="1227">
        <v>21912.361000000001</v>
      </c>
      <c r="W570" s="1227">
        <f>8749+2201</f>
        <v>10950</v>
      </c>
      <c r="X570" s="1227">
        <v>13738</v>
      </c>
      <c r="Y570" s="1227">
        <v>18724</v>
      </c>
      <c r="Z570" s="1227">
        <v>9392</v>
      </c>
      <c r="AA570" s="1227">
        <v>15378</v>
      </c>
      <c r="AB570" s="1227">
        <v>14712</v>
      </c>
      <c r="AC570" s="1227">
        <v>13993</v>
      </c>
      <c r="AD570" s="295">
        <f>SUM(R570,S570,T570)</f>
        <v>38845</v>
      </c>
      <c r="AE570" s="96">
        <f t="shared" ref="AE570:AE571" si="882">SUM(U570,V570,W570)</f>
        <v>57223.361000000004</v>
      </c>
      <c r="AF570" s="96">
        <f t="shared" ref="AF570:AF571" si="883">SUM(X570,Y570,Z570)</f>
        <v>41854</v>
      </c>
      <c r="AG570" s="96">
        <f t="shared" ref="AG570:AG571" si="884">SUM(AA570,AB570,AC570)</f>
        <v>44083</v>
      </c>
      <c r="AH570" s="96">
        <f>AD570+AE570</f>
        <v>96068.361000000004</v>
      </c>
      <c r="AI570" s="96">
        <f>AG570+AF570</f>
        <v>85937</v>
      </c>
      <c r="AJ570" s="96">
        <f>AH570+AI570</f>
        <v>182005.361</v>
      </c>
      <c r="AL570" s="96">
        <f ca="1">SUM((INDIRECT(AL$2&amp;(ROW())):INDIRECT(AL$3&amp;(ROW()))))</f>
        <v>13993</v>
      </c>
      <c r="AM570" s="96">
        <f ca="1">SUM(INDIRECT(AM$1&amp;AM$2&amp;$C570):INDIRECT(AM$1&amp;AM$3&amp;$C570))</f>
        <v>308359.15759999998</v>
      </c>
      <c r="AN570" s="3227">
        <f t="shared" ca="1" si="854"/>
        <v>-294366.15759999998</v>
      </c>
      <c r="AO570" s="2878">
        <f t="shared" ca="1" si="855"/>
        <v>4.5378902020972445E-2</v>
      </c>
      <c r="AP570" s="96">
        <f ca="1">SUM(INDIRECT(AP$1&amp;AP$2&amp;$A570):INDIRECT(AP$1&amp;AP$3&amp;$A570))</f>
        <v>-32</v>
      </c>
      <c r="AQ570" s="3227">
        <f t="shared" ca="1" si="856"/>
        <v>14025</v>
      </c>
      <c r="AR570" s="2878">
        <f t="shared" ca="1" si="857"/>
        <v>-437.28125</v>
      </c>
      <c r="AT570" s="96">
        <f ca="1">SUM((INDIRECT(AT$2&amp;(ROW())):INDIRECT(AT$3&amp;(ROW()))))</f>
        <v>44083</v>
      </c>
      <c r="AU570" s="96">
        <f ca="1">SUM(INDIRECT(AU$1&amp;AU$2&amp;$C570):INDIRECT(AU$1&amp;AU$3&amp;$C570))</f>
        <v>928383.12479999987</v>
      </c>
      <c r="AV570" s="3227">
        <f t="shared" ca="1" si="858"/>
        <v>-884300.12479999987</v>
      </c>
      <c r="AW570" s="2878">
        <f t="shared" ca="1" si="859"/>
        <v>4.7483629142329287E-2</v>
      </c>
      <c r="AX570" s="96">
        <f ca="1">SUM(INDIRECT(AX$1&amp;AX$2&amp;$A570):INDIRECT(AX$1&amp;AX$3&amp;$A570))</f>
        <v>-96</v>
      </c>
      <c r="AY570" s="3227">
        <f t="shared" ca="1" si="860"/>
        <v>44179</v>
      </c>
      <c r="AZ570" s="2878">
        <f t="shared" ca="1" si="861"/>
        <v>-459.19791666666669</v>
      </c>
      <c r="BB570" s="96">
        <f ca="1">SUM((INDIRECT(BB$2&amp;(ROW())):INDIRECT(BB$3&amp;(ROW()))))</f>
        <v>182005.361</v>
      </c>
      <c r="BC570" s="96">
        <f ca="1">SUM(INDIRECT(BC$1&amp;BC$2&amp;$C570):INDIRECT(BC$1&amp;BC$3&amp;$C570))</f>
        <v>1631712.7439999999</v>
      </c>
      <c r="BD570" s="3227">
        <f t="shared" ca="1" si="862"/>
        <v>-1449707.3829999999</v>
      </c>
      <c r="BE570" s="2878">
        <f t="shared" ca="1" si="863"/>
        <v>0.11154252589449655</v>
      </c>
      <c r="BF570" s="96">
        <f ca="1">SUM(INDIRECT(BF$1&amp;BF$2&amp;$A570):INDIRECT(BF$1&amp;BF$3&amp;$A570))</f>
        <v>-336.97199999999998</v>
      </c>
      <c r="BG570" s="3227">
        <f t="shared" ca="1" si="864"/>
        <v>182342.33300000001</v>
      </c>
      <c r="BH570" s="2878">
        <f t="shared" ca="1" si="865"/>
        <v>-540.12013164298526</v>
      </c>
    </row>
    <row r="571" spans="1:60" ht="14.5">
      <c r="A571" s="616">
        <f t="shared" si="829"/>
        <v>506</v>
      </c>
      <c r="B571" s="616">
        <v>1</v>
      </c>
      <c r="C571" s="616">
        <f t="shared" si="797"/>
        <v>568</v>
      </c>
      <c r="E571" s="2547">
        <v>1</v>
      </c>
      <c r="I571" s="73"/>
      <c r="J571" s="72"/>
      <c r="K571" s="63"/>
      <c r="L571" s="63"/>
      <c r="N571" s="11" t="s">
        <v>1464</v>
      </c>
      <c r="O571" s="11"/>
      <c r="P571" s="11"/>
      <c r="Q571" s="1779" t="str">
        <f>CHOOSE(2, "6722000003490", "S/GP (2) Net Sales Indirect HW 3rd Party")</f>
        <v>S/GP (2) Net Sales Indirect HW 3rd Party</v>
      </c>
      <c r="R571" s="1225">
        <v>0</v>
      </c>
      <c r="S571" s="1218">
        <v>0</v>
      </c>
      <c r="T571" s="1218">
        <v>0</v>
      </c>
      <c r="U571" s="1218">
        <v>0</v>
      </c>
      <c r="V571" s="1218">
        <v>0</v>
      </c>
      <c r="W571" s="1218">
        <v>0</v>
      </c>
      <c r="X571" s="1218">
        <v>0</v>
      </c>
      <c r="Y571" s="1218">
        <v>0</v>
      </c>
      <c r="Z571" s="1218">
        <v>0</v>
      </c>
      <c r="AA571" s="1218">
        <v>0</v>
      </c>
      <c r="AB571" s="1218">
        <v>0</v>
      </c>
      <c r="AC571" s="1218">
        <v>0</v>
      </c>
      <c r="AD571" s="87">
        <f>SUM(R571,S571,T571)</f>
        <v>0</v>
      </c>
      <c r="AE571" s="15">
        <f t="shared" si="882"/>
        <v>0</v>
      </c>
      <c r="AF571" s="15">
        <f t="shared" si="883"/>
        <v>0</v>
      </c>
      <c r="AG571" s="15">
        <f t="shared" si="884"/>
        <v>0</v>
      </c>
      <c r="AH571" s="15">
        <f>AD571+AE571</f>
        <v>0</v>
      </c>
      <c r="AI571" s="15">
        <f>AG571+AF571</f>
        <v>0</v>
      </c>
      <c r="AJ571" s="15">
        <f>AH571+AI571</f>
        <v>0</v>
      </c>
      <c r="AL571" s="15">
        <f ca="1">SUM((INDIRECT(AL$2&amp;(ROW())):INDIRECT(AL$3&amp;(ROW()))))</f>
        <v>0</v>
      </c>
      <c r="AM571" s="15">
        <f ca="1">SUM(INDIRECT(AM$1&amp;AM$2&amp;$C571):INDIRECT(AM$1&amp;AM$3&amp;$C571))</f>
        <v>0</v>
      </c>
      <c r="AN571" s="3073">
        <f t="shared" ca="1" si="854"/>
        <v>0</v>
      </c>
      <c r="AO571" s="2710">
        <f t="shared" ca="1" si="855"/>
        <v>0</v>
      </c>
      <c r="AP571" s="15">
        <f ca="1">SUM(INDIRECT(AP$1&amp;AP$2&amp;$A571):INDIRECT(AP$1&amp;AP$3&amp;$A571))</f>
        <v>-32</v>
      </c>
      <c r="AQ571" s="3073">
        <f t="shared" ca="1" si="856"/>
        <v>32</v>
      </c>
      <c r="AR571" s="2710">
        <f t="shared" ca="1" si="857"/>
        <v>0</v>
      </c>
      <c r="AT571" s="15">
        <f ca="1">SUM((INDIRECT(AT$2&amp;(ROW())):INDIRECT(AT$3&amp;(ROW()))))</f>
        <v>0</v>
      </c>
      <c r="AU571" s="15">
        <f ca="1">SUM(INDIRECT(AU$1&amp;AU$2&amp;$C571):INDIRECT(AU$1&amp;AU$3&amp;$C571))</f>
        <v>0</v>
      </c>
      <c r="AV571" s="3073">
        <f t="shared" ca="1" si="858"/>
        <v>0</v>
      </c>
      <c r="AW571" s="2710">
        <f t="shared" ca="1" si="859"/>
        <v>0</v>
      </c>
      <c r="AX571" s="15">
        <f ca="1">SUM(INDIRECT(AX$1&amp;AX$2&amp;$A571):INDIRECT(AX$1&amp;AX$3&amp;$A571))</f>
        <v>-96</v>
      </c>
      <c r="AY571" s="3073">
        <f t="shared" ca="1" si="860"/>
        <v>96</v>
      </c>
      <c r="AZ571" s="2710">
        <f t="shared" ca="1" si="861"/>
        <v>0</v>
      </c>
      <c r="BB571" s="15">
        <f ca="1">SUM((INDIRECT(BB$2&amp;(ROW())):INDIRECT(BB$3&amp;(ROW()))))</f>
        <v>0</v>
      </c>
      <c r="BC571" s="15">
        <f ca="1">SUM(INDIRECT(BC$1&amp;BC$2&amp;$C571):INDIRECT(BC$1&amp;BC$3&amp;$C571))</f>
        <v>0</v>
      </c>
      <c r="BD571" s="3073">
        <f t="shared" ca="1" si="862"/>
        <v>0</v>
      </c>
      <c r="BE571" s="2710">
        <f t="shared" ca="1" si="863"/>
        <v>0</v>
      </c>
      <c r="BF571" s="15">
        <f ca="1">SUM(INDIRECT(BF$1&amp;BF$2&amp;$A571):INDIRECT(BF$1&amp;BF$3&amp;$A571))</f>
        <v>-336.97199999999998</v>
      </c>
      <c r="BG571" s="3073">
        <f t="shared" ca="1" si="864"/>
        <v>336.97199999999998</v>
      </c>
      <c r="BH571" s="2710">
        <f t="shared" ca="1" si="865"/>
        <v>0</v>
      </c>
    </row>
    <row r="572" spans="1:60" ht="14.5">
      <c r="A572" s="616">
        <f t="shared" si="829"/>
        <v>507</v>
      </c>
      <c r="B572" s="616">
        <v>1</v>
      </c>
      <c r="C572" s="616">
        <f t="shared" si="797"/>
        <v>569</v>
      </c>
      <c r="E572" s="2547">
        <v>1</v>
      </c>
      <c r="I572" s="73"/>
      <c r="J572" s="72"/>
      <c r="K572" s="63"/>
      <c r="L572" s="63"/>
      <c r="M572" s="487" t="s">
        <v>1405</v>
      </c>
      <c r="N572" s="284"/>
      <c r="O572" s="284"/>
      <c r="P572" s="284"/>
      <c r="Q572" s="1777" t="str">
        <f>CHOOSE(2, "6722000003491", "S/GP (2) Net Sales Indirect NH")</f>
        <v>S/GP (2) Net Sales Indirect NH</v>
      </c>
      <c r="R572" s="3258">
        <f>R573+R576</f>
        <v>51086</v>
      </c>
      <c r="S572" s="3103">
        <f t="shared" ref="S572:AJ572" si="885">S573+S576</f>
        <v>42640</v>
      </c>
      <c r="T572" s="3103">
        <f t="shared" si="885"/>
        <v>50077</v>
      </c>
      <c r="U572" s="3103">
        <f t="shared" si="885"/>
        <v>47818</v>
      </c>
      <c r="V572" s="3103">
        <f t="shared" si="885"/>
        <v>36455.847000000002</v>
      </c>
      <c r="W572" s="3103">
        <f t="shared" si="885"/>
        <v>29329</v>
      </c>
      <c r="X572" s="3103">
        <f t="shared" si="885"/>
        <v>44253</v>
      </c>
      <c r="Y572" s="3103">
        <f t="shared" si="885"/>
        <v>40654</v>
      </c>
      <c r="Z572" s="3103">
        <f t="shared" si="885"/>
        <v>46500</v>
      </c>
      <c r="AA572" s="3103">
        <f t="shared" si="885"/>
        <v>48019</v>
      </c>
      <c r="AB572" s="3103">
        <f t="shared" si="885"/>
        <v>73701</v>
      </c>
      <c r="AC572" s="3103">
        <f t="shared" si="885"/>
        <v>47200</v>
      </c>
      <c r="AD572" s="3244">
        <f t="shared" si="885"/>
        <v>143803</v>
      </c>
      <c r="AE572" s="3103">
        <f t="shared" si="885"/>
        <v>113602.84700000001</v>
      </c>
      <c r="AF572" s="3103">
        <f t="shared" si="885"/>
        <v>131407</v>
      </c>
      <c r="AG572" s="3103">
        <f t="shared" si="885"/>
        <v>168920</v>
      </c>
      <c r="AH572" s="3103">
        <f t="shared" si="885"/>
        <v>257405.84700000001</v>
      </c>
      <c r="AI572" s="3103">
        <f t="shared" si="885"/>
        <v>300327</v>
      </c>
      <c r="AJ572" s="3103">
        <f t="shared" si="885"/>
        <v>557732.84700000007</v>
      </c>
      <c r="AL572" s="3103">
        <f ca="1">SUM((INDIRECT(AL$2&amp;(ROW())):INDIRECT(AL$3&amp;(ROW()))))</f>
        <v>47200</v>
      </c>
      <c r="AM572" s="3103">
        <f ca="1">SUM(INDIRECT(AM$1&amp;AM$2&amp;$C572):INDIRECT(AM$1&amp;AM$3&amp;$C572))</f>
        <v>0</v>
      </c>
      <c r="AN572" s="3259">
        <f t="shared" ca="1" si="854"/>
        <v>47200</v>
      </c>
      <c r="AO572" s="2911">
        <f t="shared" ca="1" si="855"/>
        <v>0</v>
      </c>
      <c r="AP572" s="3103">
        <f ca="1">SUM(INDIRECT(AP$1&amp;AP$2&amp;$A572):INDIRECT(AP$1&amp;AP$3&amp;$A572))</f>
        <v>0</v>
      </c>
      <c r="AQ572" s="3259">
        <f t="shared" ca="1" si="856"/>
        <v>47200</v>
      </c>
      <c r="AR572" s="2911">
        <f t="shared" ca="1" si="857"/>
        <v>0</v>
      </c>
      <c r="AT572" s="3103">
        <f ca="1">SUM((INDIRECT(AT$2&amp;(ROW())):INDIRECT(AT$3&amp;(ROW()))))</f>
        <v>168920</v>
      </c>
      <c r="AU572" s="3103">
        <f ca="1">SUM(INDIRECT(AU$1&amp;AU$2&amp;$C572):INDIRECT(AU$1&amp;AU$3&amp;$C572))</f>
        <v>0</v>
      </c>
      <c r="AV572" s="3259">
        <f t="shared" ca="1" si="858"/>
        <v>168920</v>
      </c>
      <c r="AW572" s="2911">
        <f t="shared" ca="1" si="859"/>
        <v>0</v>
      </c>
      <c r="AX572" s="3103">
        <f ca="1">SUM(INDIRECT(AX$1&amp;AX$2&amp;$A572):INDIRECT(AX$1&amp;AX$3&amp;$A572))</f>
        <v>0</v>
      </c>
      <c r="AY572" s="3259">
        <f t="shared" ca="1" si="860"/>
        <v>168920</v>
      </c>
      <c r="AZ572" s="2911">
        <f t="shared" ca="1" si="861"/>
        <v>0</v>
      </c>
      <c r="BB572" s="3103">
        <f ca="1">SUM((INDIRECT(BB$2&amp;(ROW())):INDIRECT(BB$3&amp;(ROW()))))</f>
        <v>557732.84700000007</v>
      </c>
      <c r="BC572" s="3103">
        <f ca="1">SUM(INDIRECT(BC$1&amp;BC$2&amp;$C572):INDIRECT(BC$1&amp;BC$3&amp;$C572))</f>
        <v>0</v>
      </c>
      <c r="BD572" s="3259">
        <f t="shared" ca="1" si="862"/>
        <v>557732.84700000007</v>
      </c>
      <c r="BE572" s="2911">
        <f t="shared" ca="1" si="863"/>
        <v>0</v>
      </c>
      <c r="BF572" s="3103">
        <f ca="1">SUM(INDIRECT(BF$1&amp;BF$2&amp;$A572):INDIRECT(BF$1&amp;BF$3&amp;$A572))</f>
        <v>0</v>
      </c>
      <c r="BG572" s="3259">
        <f t="shared" ca="1" si="864"/>
        <v>557732.84700000007</v>
      </c>
      <c r="BH572" s="2911">
        <f t="shared" ca="1" si="865"/>
        <v>0</v>
      </c>
    </row>
    <row r="573" spans="1:60" ht="14.5">
      <c r="A573" s="616">
        <f t="shared" si="829"/>
        <v>508</v>
      </c>
      <c r="B573" s="616">
        <v>1</v>
      </c>
      <c r="C573" s="616">
        <f t="shared" si="797"/>
        <v>570</v>
      </c>
      <c r="E573" s="2547">
        <v>1</v>
      </c>
      <c r="I573" s="73"/>
      <c r="J573" s="72"/>
      <c r="K573" s="63"/>
      <c r="L573" s="63"/>
      <c r="N573" s="97" t="s">
        <v>1461</v>
      </c>
      <c r="O573" s="97"/>
      <c r="P573" s="869"/>
      <c r="Q573" s="1777" t="str">
        <f>CHOOSE(2, "6722000003492", "S/GP (2) Net Sales Indirect NH KMI")</f>
        <v>S/GP (2) Net Sales Indirect NH KMI</v>
      </c>
      <c r="R573" s="3260">
        <f>SUM(R574:R575)</f>
        <v>51086</v>
      </c>
      <c r="S573" s="58">
        <f t="shared" ref="S573:AJ573" si="886">SUM(S574:S575)</f>
        <v>42640</v>
      </c>
      <c r="T573" s="58">
        <f t="shared" si="886"/>
        <v>50077</v>
      </c>
      <c r="U573" s="58">
        <f t="shared" si="886"/>
        <v>47818</v>
      </c>
      <c r="V573" s="58">
        <f t="shared" si="886"/>
        <v>36455.847000000002</v>
      </c>
      <c r="W573" s="58">
        <f t="shared" si="886"/>
        <v>29329</v>
      </c>
      <c r="X573" s="58">
        <f t="shared" si="886"/>
        <v>44253</v>
      </c>
      <c r="Y573" s="58">
        <f t="shared" si="886"/>
        <v>40654</v>
      </c>
      <c r="Z573" s="58">
        <f t="shared" si="886"/>
        <v>46500</v>
      </c>
      <c r="AA573" s="58">
        <f t="shared" si="886"/>
        <v>48019</v>
      </c>
      <c r="AB573" s="58">
        <f>SUM(AB574:AB575)</f>
        <v>73701</v>
      </c>
      <c r="AC573" s="58">
        <f t="shared" si="886"/>
        <v>47200</v>
      </c>
      <c r="AD573" s="903">
        <f t="shared" si="886"/>
        <v>143803</v>
      </c>
      <c r="AE573" s="58">
        <f t="shared" si="886"/>
        <v>113602.84700000001</v>
      </c>
      <c r="AF573" s="58">
        <f t="shared" si="886"/>
        <v>131407</v>
      </c>
      <c r="AG573" s="58">
        <f t="shared" si="886"/>
        <v>168920</v>
      </c>
      <c r="AH573" s="58">
        <f t="shared" si="886"/>
        <v>257405.84700000001</v>
      </c>
      <c r="AI573" s="58">
        <f t="shared" si="886"/>
        <v>300327</v>
      </c>
      <c r="AJ573" s="58">
        <f t="shared" si="886"/>
        <v>557732.84700000007</v>
      </c>
      <c r="AL573" s="58">
        <f ca="1">SUM((INDIRECT(AL$2&amp;(ROW())):INDIRECT(AL$3&amp;(ROW()))))</f>
        <v>47200</v>
      </c>
      <c r="AM573" s="58">
        <f ca="1">SUM(INDIRECT(AM$1&amp;AM$2&amp;$C573):INDIRECT(AM$1&amp;AM$3&amp;$C573))</f>
        <v>750</v>
      </c>
      <c r="AN573" s="3261">
        <f t="shared" ca="1" si="854"/>
        <v>46450</v>
      </c>
      <c r="AO573" s="2913">
        <f t="shared" ca="1" si="855"/>
        <v>62.93333333333333</v>
      </c>
      <c r="AP573" s="58">
        <f ca="1">SUM(INDIRECT(AP$1&amp;AP$2&amp;$A573):INDIRECT(AP$1&amp;AP$3&amp;$A573))</f>
        <v>0</v>
      </c>
      <c r="AQ573" s="3261">
        <f t="shared" ca="1" si="856"/>
        <v>47200</v>
      </c>
      <c r="AR573" s="2913">
        <f t="shared" ca="1" si="857"/>
        <v>0</v>
      </c>
      <c r="AT573" s="58">
        <f ca="1">SUM((INDIRECT(AT$2&amp;(ROW())):INDIRECT(AT$3&amp;(ROW()))))</f>
        <v>168920</v>
      </c>
      <c r="AU573" s="58">
        <f ca="1">SUM(INDIRECT(AU$1&amp;AU$2&amp;$C573):INDIRECT(AU$1&amp;AU$3&amp;$C573))</f>
        <v>1500</v>
      </c>
      <c r="AV573" s="3261">
        <f t="shared" ca="1" si="858"/>
        <v>167420</v>
      </c>
      <c r="AW573" s="2913">
        <f t="shared" ca="1" si="859"/>
        <v>112.61333333333333</v>
      </c>
      <c r="AX573" s="58">
        <f ca="1">SUM(INDIRECT(AX$1&amp;AX$2&amp;$A573):INDIRECT(AX$1&amp;AX$3&amp;$A573))</f>
        <v>0</v>
      </c>
      <c r="AY573" s="3261">
        <f t="shared" ca="1" si="860"/>
        <v>168920</v>
      </c>
      <c r="AZ573" s="2913">
        <f t="shared" ca="1" si="861"/>
        <v>0</v>
      </c>
      <c r="BB573" s="58">
        <f ca="1">SUM((INDIRECT(BB$2&amp;(ROW())):INDIRECT(BB$3&amp;(ROW()))))</f>
        <v>557732.84700000007</v>
      </c>
      <c r="BC573" s="58">
        <f ca="1">SUM(INDIRECT(BC$1&amp;BC$2&amp;$C573):INDIRECT(BC$1&amp;BC$3&amp;$C573))</f>
        <v>3000</v>
      </c>
      <c r="BD573" s="3261">
        <f t="shared" ca="1" si="862"/>
        <v>554732.84700000007</v>
      </c>
      <c r="BE573" s="2913">
        <f t="shared" ca="1" si="863"/>
        <v>185.91094900000002</v>
      </c>
      <c r="BF573" s="58">
        <f ca="1">SUM(INDIRECT(BF$1&amp;BF$2&amp;$A573):INDIRECT(BF$1&amp;BF$3&amp;$A573))</f>
        <v>0</v>
      </c>
      <c r="BG573" s="3261">
        <f t="shared" ca="1" si="864"/>
        <v>557732.84700000007</v>
      </c>
      <c r="BH573" s="2913">
        <f t="shared" ca="1" si="865"/>
        <v>0</v>
      </c>
    </row>
    <row r="574" spans="1:60" ht="14.5">
      <c r="A574" s="616">
        <f t="shared" si="829"/>
        <v>509</v>
      </c>
      <c r="B574" s="616">
        <v>1</v>
      </c>
      <c r="C574" s="616">
        <f t="shared" si="797"/>
        <v>571</v>
      </c>
      <c r="E574" s="2547">
        <v>1</v>
      </c>
      <c r="I574" s="73"/>
      <c r="J574" s="72"/>
      <c r="K574" s="63"/>
      <c r="L574" s="63"/>
      <c r="P574" s="97" t="s">
        <v>1467</v>
      </c>
      <c r="Q574" s="1779" t="str">
        <f>CHOOSE(2, "6722000003493", "S/GP (2) Net Sales Indirect NH KMI Consumables")</f>
        <v>S/GP (2) Net Sales Indirect NH KMI Consumables</v>
      </c>
      <c r="R574" s="1247">
        <v>51086</v>
      </c>
      <c r="S574" s="1227">
        <v>42640</v>
      </c>
      <c r="T574" s="1227">
        <v>50077</v>
      </c>
      <c r="U574" s="1227">
        <v>47818</v>
      </c>
      <c r="V574" s="1227">
        <v>36455.847000000002</v>
      </c>
      <c r="W574" s="1227">
        <v>29329</v>
      </c>
      <c r="X574" s="1227">
        <v>44253</v>
      </c>
      <c r="Y574" s="1227">
        <v>40654</v>
      </c>
      <c r="Z574" s="1227">
        <v>46500</v>
      </c>
      <c r="AA574" s="1227">
        <v>48019</v>
      </c>
      <c r="AB574" s="1227">
        <v>73701</v>
      </c>
      <c r="AC574" s="1227">
        <v>47200</v>
      </c>
      <c r="AD574" s="295">
        <f>SUM(R574,S574,T574)</f>
        <v>143803</v>
      </c>
      <c r="AE574" s="96">
        <f t="shared" ref="AE574:AE576" si="887">SUM(U574,V574,W574)</f>
        <v>113602.84700000001</v>
      </c>
      <c r="AF574" s="96">
        <f t="shared" ref="AF574:AF576" si="888">SUM(X574,Y574,Z574)</f>
        <v>131407</v>
      </c>
      <c r="AG574" s="96">
        <f t="shared" ref="AG574:AG576" si="889">SUM(AA574,AB574,AC574)</f>
        <v>168920</v>
      </c>
      <c r="AH574" s="96">
        <f>AD574+AE574</f>
        <v>257405.84700000001</v>
      </c>
      <c r="AI574" s="96">
        <f>AG574+AF574</f>
        <v>300327</v>
      </c>
      <c r="AJ574" s="96">
        <f>AH574+AI574</f>
        <v>557732.84700000007</v>
      </c>
      <c r="AL574" s="96">
        <f ca="1">SUM((INDIRECT(AL$2&amp;(ROW())):INDIRECT(AL$3&amp;(ROW()))))</f>
        <v>47200</v>
      </c>
      <c r="AM574" s="96">
        <f ca="1">SUM(INDIRECT(AM$1&amp;AM$2&amp;$C574):INDIRECT(AM$1&amp;AM$3&amp;$C574))</f>
        <v>750</v>
      </c>
      <c r="AN574" s="3227">
        <f t="shared" ca="1" si="854"/>
        <v>46450</v>
      </c>
      <c r="AO574" s="2878">
        <f t="shared" ca="1" si="855"/>
        <v>62.93333333333333</v>
      </c>
      <c r="AP574" s="96">
        <f ca="1">SUM(INDIRECT(AP$1&amp;AP$2&amp;$A574):INDIRECT(AP$1&amp;AP$3&amp;$A574))</f>
        <v>0</v>
      </c>
      <c r="AQ574" s="3227">
        <f t="shared" ca="1" si="856"/>
        <v>47200</v>
      </c>
      <c r="AR574" s="2878">
        <f t="shared" ca="1" si="857"/>
        <v>0</v>
      </c>
      <c r="AT574" s="96">
        <f ca="1">SUM((INDIRECT(AT$2&amp;(ROW())):INDIRECT(AT$3&amp;(ROW()))))</f>
        <v>168920</v>
      </c>
      <c r="AU574" s="96">
        <f ca="1">SUM(INDIRECT(AU$1&amp;AU$2&amp;$C574):INDIRECT(AU$1&amp;AU$3&amp;$C574))</f>
        <v>1500</v>
      </c>
      <c r="AV574" s="3227">
        <f t="shared" ca="1" si="858"/>
        <v>167420</v>
      </c>
      <c r="AW574" s="2878">
        <f t="shared" ca="1" si="859"/>
        <v>112.61333333333333</v>
      </c>
      <c r="AX574" s="96">
        <f ca="1">SUM(INDIRECT(AX$1&amp;AX$2&amp;$A574):INDIRECT(AX$1&amp;AX$3&amp;$A574))</f>
        <v>0</v>
      </c>
      <c r="AY574" s="3227">
        <f t="shared" ca="1" si="860"/>
        <v>168920</v>
      </c>
      <c r="AZ574" s="2878">
        <f t="shared" ca="1" si="861"/>
        <v>0</v>
      </c>
      <c r="BB574" s="96">
        <f ca="1">SUM((INDIRECT(BB$2&amp;(ROW())):INDIRECT(BB$3&amp;(ROW()))))</f>
        <v>557732.84700000007</v>
      </c>
      <c r="BC574" s="96">
        <f ca="1">SUM(INDIRECT(BC$1&amp;BC$2&amp;$C574):INDIRECT(BC$1&amp;BC$3&amp;$C574))</f>
        <v>3000</v>
      </c>
      <c r="BD574" s="3227">
        <f t="shared" ca="1" si="862"/>
        <v>554732.84700000007</v>
      </c>
      <c r="BE574" s="2878">
        <f t="shared" ca="1" si="863"/>
        <v>185.91094900000002</v>
      </c>
      <c r="BF574" s="96">
        <f ca="1">SUM(INDIRECT(BF$1&amp;BF$2&amp;$A574):INDIRECT(BF$1&amp;BF$3&amp;$A574))</f>
        <v>0</v>
      </c>
      <c r="BG574" s="3227">
        <f t="shared" ca="1" si="864"/>
        <v>557732.84700000007</v>
      </c>
      <c r="BH574" s="2878">
        <f t="shared" ca="1" si="865"/>
        <v>0</v>
      </c>
    </row>
    <row r="575" spans="1:60" ht="14.5">
      <c r="A575" s="616">
        <f t="shared" si="829"/>
        <v>510</v>
      </c>
      <c r="B575" s="616">
        <v>1</v>
      </c>
      <c r="C575" s="616">
        <f t="shared" si="797"/>
        <v>572</v>
      </c>
      <c r="E575" s="2547">
        <v>1</v>
      </c>
      <c r="I575" s="73"/>
      <c r="J575" s="72"/>
      <c r="K575" s="63"/>
      <c r="L575" s="63"/>
      <c r="N575" s="285"/>
      <c r="O575" s="285"/>
      <c r="P575" s="285" t="s">
        <v>1468</v>
      </c>
      <c r="Q575" s="1779" t="str">
        <f>CHOOSE(2, "6722000003494", "S/GP (2) Net Sales Indirect NH KMI Parts")</f>
        <v>S/GP (2) Net Sales Indirect NH KMI Parts</v>
      </c>
      <c r="R575" s="1390">
        <v>0</v>
      </c>
      <c r="S575" s="1245">
        <v>0</v>
      </c>
      <c r="T575" s="1245">
        <v>0</v>
      </c>
      <c r="U575" s="1245">
        <v>0</v>
      </c>
      <c r="V575" s="1245">
        <v>0</v>
      </c>
      <c r="W575" s="1245">
        <v>0</v>
      </c>
      <c r="X575" s="1245">
        <v>0</v>
      </c>
      <c r="Y575" s="1245">
        <v>0</v>
      </c>
      <c r="Z575" s="1245">
        <v>0</v>
      </c>
      <c r="AA575" s="1245">
        <v>0</v>
      </c>
      <c r="AB575" s="1245">
        <v>0</v>
      </c>
      <c r="AC575" s="1245">
        <v>0</v>
      </c>
      <c r="AD575" s="315">
        <f>SUM(R575,S575,T575)</f>
        <v>0</v>
      </c>
      <c r="AE575" s="287">
        <f t="shared" si="887"/>
        <v>0</v>
      </c>
      <c r="AF575" s="287">
        <f t="shared" si="888"/>
        <v>0</v>
      </c>
      <c r="AG575" s="287">
        <f t="shared" si="889"/>
        <v>0</v>
      </c>
      <c r="AH575" s="287">
        <f>AD575+AE575</f>
        <v>0</v>
      </c>
      <c r="AI575" s="287">
        <f>AG575+AF575</f>
        <v>0</v>
      </c>
      <c r="AJ575" s="287">
        <f>AH575+AI575</f>
        <v>0</v>
      </c>
      <c r="AL575" s="287">
        <f ca="1">SUM((INDIRECT(AL$2&amp;(ROW())):INDIRECT(AL$3&amp;(ROW()))))</f>
        <v>0</v>
      </c>
      <c r="AM575" s="287">
        <f ca="1">SUM(INDIRECT(AM$1&amp;AM$2&amp;$C575):INDIRECT(AM$1&amp;AM$3&amp;$C575))</f>
        <v>0</v>
      </c>
      <c r="AN575" s="3226">
        <f t="shared" ca="1" si="854"/>
        <v>0</v>
      </c>
      <c r="AO575" s="2876">
        <f t="shared" ca="1" si="855"/>
        <v>0</v>
      </c>
      <c r="AP575" s="287">
        <f ca="1">SUM(INDIRECT(AP$1&amp;AP$2&amp;$A575):INDIRECT(AP$1&amp;AP$3&amp;$A575))</f>
        <v>37242</v>
      </c>
      <c r="AQ575" s="3226">
        <f t="shared" ca="1" si="856"/>
        <v>-37242</v>
      </c>
      <c r="AR575" s="2876">
        <f t="shared" ca="1" si="857"/>
        <v>0</v>
      </c>
      <c r="AT575" s="287">
        <f ca="1">SUM((INDIRECT(AT$2&amp;(ROW())):INDIRECT(AT$3&amp;(ROW()))))</f>
        <v>0</v>
      </c>
      <c r="AU575" s="287">
        <f ca="1">SUM(INDIRECT(AU$1&amp;AU$2&amp;$C575):INDIRECT(AU$1&amp;AU$3&amp;$C575))</f>
        <v>0</v>
      </c>
      <c r="AV575" s="3226">
        <f t="shared" ca="1" si="858"/>
        <v>0</v>
      </c>
      <c r="AW575" s="2876">
        <f t="shared" ca="1" si="859"/>
        <v>0</v>
      </c>
      <c r="AX575" s="287">
        <f ca="1">SUM(INDIRECT(AX$1&amp;AX$2&amp;$A575):INDIRECT(AX$1&amp;AX$3&amp;$A575))</f>
        <v>159009</v>
      </c>
      <c r="AY575" s="3226">
        <f t="shared" ca="1" si="860"/>
        <v>-159009</v>
      </c>
      <c r="AZ575" s="2876">
        <f t="shared" ca="1" si="861"/>
        <v>0</v>
      </c>
      <c r="BB575" s="287">
        <f ca="1">SUM((INDIRECT(BB$2&amp;(ROW())):INDIRECT(BB$3&amp;(ROW()))))</f>
        <v>0</v>
      </c>
      <c r="BC575" s="287">
        <f ca="1">SUM(INDIRECT(BC$1&amp;BC$2&amp;$C575):INDIRECT(BC$1&amp;BC$3&amp;$C575))</f>
        <v>0</v>
      </c>
      <c r="BD575" s="3226">
        <f t="shared" ca="1" si="862"/>
        <v>0</v>
      </c>
      <c r="BE575" s="2876">
        <f t="shared" ca="1" si="863"/>
        <v>0</v>
      </c>
      <c r="BF575" s="287">
        <f ca="1">SUM(INDIRECT(BF$1&amp;BF$2&amp;$A575):INDIRECT(BF$1&amp;BF$3&amp;$A575))</f>
        <v>546697.55567247223</v>
      </c>
      <c r="BG575" s="3226">
        <f t="shared" ca="1" si="864"/>
        <v>-546697.55567247223</v>
      </c>
      <c r="BH575" s="2876">
        <f t="shared" ca="1" si="865"/>
        <v>0</v>
      </c>
    </row>
    <row r="576" spans="1:60" ht="14.5">
      <c r="A576" s="616">
        <f t="shared" si="829"/>
        <v>511</v>
      </c>
      <c r="B576" s="616">
        <v>1</v>
      </c>
      <c r="C576" s="616">
        <f t="shared" si="797"/>
        <v>573</v>
      </c>
      <c r="E576" s="2547">
        <v>1</v>
      </c>
      <c r="I576" s="73"/>
      <c r="J576" s="72"/>
      <c r="K576" s="63"/>
      <c r="L576" s="63"/>
      <c r="N576" s="288" t="s">
        <v>1464</v>
      </c>
      <c r="O576" s="288"/>
      <c r="P576" s="288"/>
      <c r="Q576" s="1779" t="str">
        <f>CHOOSE(2, "6722000003495", "S/GP (2) Net Sales Indirect NH 3rd Party")</f>
        <v>S/GP (2) Net Sales Indirect NH 3rd Party</v>
      </c>
      <c r="R576" s="1391">
        <v>0</v>
      </c>
      <c r="S576" s="1246">
        <v>0</v>
      </c>
      <c r="T576" s="1246">
        <v>0</v>
      </c>
      <c r="U576" s="1246">
        <v>0</v>
      </c>
      <c r="V576" s="1246">
        <v>0</v>
      </c>
      <c r="W576" s="1246">
        <v>0</v>
      </c>
      <c r="X576" s="1246">
        <v>0</v>
      </c>
      <c r="Y576" s="1246">
        <v>0</v>
      </c>
      <c r="Z576" s="1246">
        <v>0</v>
      </c>
      <c r="AA576" s="1246">
        <v>0</v>
      </c>
      <c r="AB576" s="1246">
        <v>0</v>
      </c>
      <c r="AC576" s="1246">
        <v>0</v>
      </c>
      <c r="AD576" s="904">
        <f>SUM(R576,S576,T576)</f>
        <v>0</v>
      </c>
      <c r="AE576" s="289">
        <f t="shared" si="887"/>
        <v>0</v>
      </c>
      <c r="AF576" s="289">
        <f t="shared" si="888"/>
        <v>0</v>
      </c>
      <c r="AG576" s="289">
        <f t="shared" si="889"/>
        <v>0</v>
      </c>
      <c r="AH576" s="289">
        <f>AD576+AE576</f>
        <v>0</v>
      </c>
      <c r="AI576" s="289">
        <f>AG576+AF576</f>
        <v>0</v>
      </c>
      <c r="AJ576" s="289">
        <f>AH576+AI576</f>
        <v>0</v>
      </c>
      <c r="AL576" s="289">
        <f ca="1">SUM((INDIRECT(AL$2&amp;(ROW())):INDIRECT(AL$3&amp;(ROW()))))</f>
        <v>0</v>
      </c>
      <c r="AM576" s="289">
        <f ca="1">SUM(INDIRECT(AM$1&amp;AM$2&amp;$C576):INDIRECT(AM$1&amp;AM$3&amp;$C576))</f>
        <v>0</v>
      </c>
      <c r="AN576" s="3262">
        <f t="shared" ca="1" si="854"/>
        <v>0</v>
      </c>
      <c r="AO576" s="2915">
        <f t="shared" ca="1" si="855"/>
        <v>0</v>
      </c>
      <c r="AP576" s="289">
        <f ca="1">SUM(INDIRECT(AP$1&amp;AP$2&amp;$A576):INDIRECT(AP$1&amp;AP$3&amp;$A576))</f>
        <v>18705</v>
      </c>
      <c r="AQ576" s="3262">
        <f t="shared" ca="1" si="856"/>
        <v>-18705</v>
      </c>
      <c r="AR576" s="2915">
        <f t="shared" ca="1" si="857"/>
        <v>0</v>
      </c>
      <c r="AT576" s="289">
        <f ca="1">SUM((INDIRECT(AT$2&amp;(ROW())):INDIRECT(AT$3&amp;(ROW()))))</f>
        <v>0</v>
      </c>
      <c r="AU576" s="289">
        <f ca="1">SUM(INDIRECT(AU$1&amp;AU$2&amp;$C576):INDIRECT(AU$1&amp;AU$3&amp;$C576))</f>
        <v>0</v>
      </c>
      <c r="AV576" s="3262">
        <f t="shared" ca="1" si="858"/>
        <v>0</v>
      </c>
      <c r="AW576" s="2915">
        <f t="shared" ca="1" si="859"/>
        <v>0</v>
      </c>
      <c r="AX576" s="289">
        <f ca="1">SUM(INDIRECT(AX$1&amp;AX$2&amp;$A576):INDIRECT(AX$1&amp;AX$3&amp;$A576))</f>
        <v>96578</v>
      </c>
      <c r="AY576" s="3262">
        <f t="shared" ca="1" si="860"/>
        <v>-96578</v>
      </c>
      <c r="AZ576" s="2915">
        <f t="shared" ca="1" si="861"/>
        <v>0</v>
      </c>
      <c r="BB576" s="289">
        <f ca="1">SUM((INDIRECT(BB$2&amp;(ROW())):INDIRECT(BB$3&amp;(ROW()))))</f>
        <v>0</v>
      </c>
      <c r="BC576" s="289">
        <f ca="1">SUM(INDIRECT(BC$1&amp;BC$2&amp;$C576):INDIRECT(BC$1&amp;BC$3&amp;$C576))</f>
        <v>0</v>
      </c>
      <c r="BD576" s="3262">
        <f t="shared" ca="1" si="862"/>
        <v>0</v>
      </c>
      <c r="BE576" s="2915">
        <f t="shared" ca="1" si="863"/>
        <v>0</v>
      </c>
      <c r="BF576" s="289">
        <f ca="1">SUM(INDIRECT(BF$1&amp;BF$2&amp;$A576):INDIRECT(BF$1&amp;BF$3&amp;$A576))</f>
        <v>291592.38270981575</v>
      </c>
      <c r="BG576" s="3262">
        <f t="shared" ca="1" si="864"/>
        <v>-291592.38270981575</v>
      </c>
      <c r="BH576" s="2915">
        <f t="shared" ca="1" si="865"/>
        <v>0</v>
      </c>
    </row>
    <row r="577" spans="1:60" ht="14.5">
      <c r="A577" s="616">
        <f t="shared" si="829"/>
        <v>512</v>
      </c>
      <c r="B577" s="616">
        <v>1</v>
      </c>
      <c r="C577" s="616">
        <f t="shared" si="797"/>
        <v>574</v>
      </c>
      <c r="E577" s="2547">
        <v>1</v>
      </c>
      <c r="I577" s="73"/>
      <c r="J577" s="72"/>
      <c r="K577" s="63"/>
      <c r="L577" s="63"/>
      <c r="M577" s="487" t="s">
        <v>1397</v>
      </c>
      <c r="N577" s="284"/>
      <c r="O577" s="284"/>
      <c r="P577" s="284"/>
      <c r="Q577" s="1777" t="str">
        <f>CHOOSE(2, "6722000003496", "S/GP (2) Net Sales Indirect Solution")</f>
        <v>S/GP (2) Net Sales Indirect Solution</v>
      </c>
      <c r="R577" s="3258">
        <f>SUM(R578:R581)</f>
        <v>0</v>
      </c>
      <c r="S577" s="3103">
        <f t="shared" ref="S577:AJ577" si="890">SUM(S578:S581)</f>
        <v>0</v>
      </c>
      <c r="T577" s="3103">
        <f t="shared" si="890"/>
        <v>0</v>
      </c>
      <c r="U577" s="3103">
        <f t="shared" si="890"/>
        <v>0</v>
      </c>
      <c r="V577" s="3103">
        <f t="shared" si="890"/>
        <v>0</v>
      </c>
      <c r="W577" s="3103">
        <f t="shared" si="890"/>
        <v>0</v>
      </c>
      <c r="X577" s="3103">
        <f t="shared" si="890"/>
        <v>0</v>
      </c>
      <c r="Y577" s="3103">
        <f t="shared" si="890"/>
        <v>0</v>
      </c>
      <c r="Z577" s="3103">
        <f t="shared" si="890"/>
        <v>0</v>
      </c>
      <c r="AA577" s="3103">
        <f t="shared" si="890"/>
        <v>0</v>
      </c>
      <c r="AB577" s="3103">
        <f t="shared" si="890"/>
        <v>0</v>
      </c>
      <c r="AC577" s="3103">
        <f t="shared" si="890"/>
        <v>0</v>
      </c>
      <c r="AD577" s="3244">
        <f t="shared" si="890"/>
        <v>0</v>
      </c>
      <c r="AE577" s="3103">
        <f t="shared" si="890"/>
        <v>0</v>
      </c>
      <c r="AF577" s="3103">
        <f t="shared" si="890"/>
        <v>0</v>
      </c>
      <c r="AG577" s="3103">
        <f t="shared" si="890"/>
        <v>0</v>
      </c>
      <c r="AH577" s="3103">
        <f t="shared" si="890"/>
        <v>0</v>
      </c>
      <c r="AI577" s="3103">
        <f t="shared" si="890"/>
        <v>0</v>
      </c>
      <c r="AJ577" s="3103">
        <f t="shared" si="890"/>
        <v>0</v>
      </c>
      <c r="AL577" s="3103">
        <f ca="1">SUM((INDIRECT(AL$2&amp;(ROW())):INDIRECT(AL$3&amp;(ROW()))))</f>
        <v>0</v>
      </c>
      <c r="AM577" s="3103">
        <f ca="1">SUM(INDIRECT(AM$1&amp;AM$2&amp;$C577):INDIRECT(AM$1&amp;AM$3&amp;$C577))</f>
        <v>0</v>
      </c>
      <c r="AN577" s="3259">
        <f t="shared" ca="1" si="854"/>
        <v>0</v>
      </c>
      <c r="AO577" s="2911">
        <f t="shared" ca="1" si="855"/>
        <v>0</v>
      </c>
      <c r="AP577" s="3103">
        <f ca="1">SUM(INDIRECT(AP$1&amp;AP$2&amp;$A577):INDIRECT(AP$1&amp;AP$3&amp;$A577))</f>
        <v>18705</v>
      </c>
      <c r="AQ577" s="3259">
        <f t="shared" ca="1" si="856"/>
        <v>-18705</v>
      </c>
      <c r="AR577" s="2911">
        <f t="shared" ca="1" si="857"/>
        <v>0</v>
      </c>
      <c r="AT577" s="3103">
        <f ca="1">SUM((INDIRECT(AT$2&amp;(ROW())):INDIRECT(AT$3&amp;(ROW()))))</f>
        <v>0</v>
      </c>
      <c r="AU577" s="3103">
        <f ca="1">SUM(INDIRECT(AU$1&amp;AU$2&amp;$C577):INDIRECT(AU$1&amp;AU$3&amp;$C577))</f>
        <v>0</v>
      </c>
      <c r="AV577" s="3259">
        <f t="shared" ca="1" si="858"/>
        <v>0</v>
      </c>
      <c r="AW577" s="2911">
        <f t="shared" ca="1" si="859"/>
        <v>0</v>
      </c>
      <c r="AX577" s="3103">
        <f ca="1">SUM(INDIRECT(AX$1&amp;AX$2&amp;$A577):INDIRECT(AX$1&amp;AX$3&amp;$A577))</f>
        <v>96578</v>
      </c>
      <c r="AY577" s="3259">
        <f t="shared" ca="1" si="860"/>
        <v>-96578</v>
      </c>
      <c r="AZ577" s="2911">
        <f t="shared" ca="1" si="861"/>
        <v>0</v>
      </c>
      <c r="BB577" s="3103">
        <f ca="1">SUM((INDIRECT(BB$2&amp;(ROW())):INDIRECT(BB$3&amp;(ROW()))))</f>
        <v>0</v>
      </c>
      <c r="BC577" s="3103">
        <f ca="1">SUM(INDIRECT(BC$1&amp;BC$2&amp;$C577):INDIRECT(BC$1&amp;BC$3&amp;$C577))</f>
        <v>0</v>
      </c>
      <c r="BD577" s="3259">
        <f t="shared" ca="1" si="862"/>
        <v>0</v>
      </c>
      <c r="BE577" s="2911">
        <f t="shared" ca="1" si="863"/>
        <v>0</v>
      </c>
      <c r="BF577" s="3103">
        <f ca="1">SUM(INDIRECT(BF$1&amp;BF$2&amp;$A577):INDIRECT(BF$1&amp;BF$3&amp;$A577))</f>
        <v>291592.38270981575</v>
      </c>
      <c r="BG577" s="3259">
        <f t="shared" ca="1" si="864"/>
        <v>-291592.38270981575</v>
      </c>
      <c r="BH577" s="2911">
        <f t="shared" ca="1" si="865"/>
        <v>0</v>
      </c>
    </row>
    <row r="578" spans="1:60" ht="14.5">
      <c r="A578" s="616">
        <f t="shared" si="829"/>
        <v>513</v>
      </c>
      <c r="B578" s="616">
        <v>1</v>
      </c>
      <c r="C578" s="616">
        <f t="shared" ref="C578:C641" si="891">ROW()-3</f>
        <v>575</v>
      </c>
      <c r="E578" s="2547">
        <v>1</v>
      </c>
      <c r="I578" s="73"/>
      <c r="J578" s="72"/>
      <c r="K578" s="63"/>
      <c r="L578" s="63"/>
      <c r="N578" s="97"/>
      <c r="O578" s="97"/>
      <c r="P578" s="97" t="s">
        <v>1481</v>
      </c>
      <c r="Q578" s="1779" t="str">
        <f>CHOOSE(2, "6722000003497", "S/GP (2) Net Sales Indirect Solution HWware")</f>
        <v>S/GP (2) Net Sales Indirect Solution HWware</v>
      </c>
      <c r="R578" s="1247">
        <v>0</v>
      </c>
      <c r="S578" s="1227">
        <v>0</v>
      </c>
      <c r="T578" s="1227">
        <v>0</v>
      </c>
      <c r="U578" s="1227">
        <v>0</v>
      </c>
      <c r="V578" s="1227">
        <v>0</v>
      </c>
      <c r="W578" s="1227">
        <v>0</v>
      </c>
      <c r="X578" s="1227">
        <v>0</v>
      </c>
      <c r="Y578" s="1227">
        <v>0</v>
      </c>
      <c r="Z578" s="1227">
        <v>0</v>
      </c>
      <c r="AA578" s="1227">
        <v>0</v>
      </c>
      <c r="AB578" s="1227">
        <v>0</v>
      </c>
      <c r="AC578" s="1227">
        <v>0</v>
      </c>
      <c r="AD578" s="295">
        <f>SUM(R578,S578,T578)</f>
        <v>0</v>
      </c>
      <c r="AE578" s="96">
        <f t="shared" ref="AE578:AE582" si="892">SUM(U578,V578,W578)</f>
        <v>0</v>
      </c>
      <c r="AF578" s="96">
        <f t="shared" ref="AF578:AF582" si="893">SUM(X578,Y578,Z578)</f>
        <v>0</v>
      </c>
      <c r="AG578" s="96">
        <f t="shared" ref="AG578:AG582" si="894">SUM(AA578,AB578,AC578)</f>
        <v>0</v>
      </c>
      <c r="AH578" s="96">
        <f>AD578+AE578</f>
        <v>0</v>
      </c>
      <c r="AI578" s="96">
        <f>AG578+AF578</f>
        <v>0</v>
      </c>
      <c r="AJ578" s="96">
        <f>AH578+AI578</f>
        <v>0</v>
      </c>
      <c r="AL578" s="96">
        <f ca="1">SUM((INDIRECT(AL$2&amp;(ROW())):INDIRECT(AL$3&amp;(ROW()))))</f>
        <v>0</v>
      </c>
      <c r="AM578" s="96">
        <f ca="1">SUM(INDIRECT(AM$1&amp;AM$2&amp;$C578):INDIRECT(AM$1&amp;AM$3&amp;$C578))</f>
        <v>0</v>
      </c>
      <c r="AN578" s="3227">
        <f t="shared" ca="1" si="854"/>
        <v>0</v>
      </c>
      <c r="AO578" s="2878">
        <f t="shared" ca="1" si="855"/>
        <v>0</v>
      </c>
      <c r="AP578" s="96">
        <f ca="1">SUM(INDIRECT(AP$1&amp;AP$2&amp;$A578):INDIRECT(AP$1&amp;AP$3&amp;$A578))</f>
        <v>18705</v>
      </c>
      <c r="AQ578" s="3227">
        <f t="shared" ca="1" si="856"/>
        <v>-18705</v>
      </c>
      <c r="AR578" s="2878">
        <f t="shared" ca="1" si="857"/>
        <v>0</v>
      </c>
      <c r="AT578" s="96">
        <f ca="1">SUM((INDIRECT(AT$2&amp;(ROW())):INDIRECT(AT$3&amp;(ROW()))))</f>
        <v>0</v>
      </c>
      <c r="AU578" s="96">
        <f ca="1">SUM(INDIRECT(AU$1&amp;AU$2&amp;$C578):INDIRECT(AU$1&amp;AU$3&amp;$C578))</f>
        <v>0</v>
      </c>
      <c r="AV578" s="3227">
        <f t="shared" ca="1" si="858"/>
        <v>0</v>
      </c>
      <c r="AW578" s="2878">
        <f t="shared" ca="1" si="859"/>
        <v>0</v>
      </c>
      <c r="AX578" s="96">
        <f ca="1">SUM(INDIRECT(AX$1&amp;AX$2&amp;$A578):INDIRECT(AX$1&amp;AX$3&amp;$A578))</f>
        <v>96578</v>
      </c>
      <c r="AY578" s="3227">
        <f t="shared" ca="1" si="860"/>
        <v>-96578</v>
      </c>
      <c r="AZ578" s="2878">
        <f t="shared" ca="1" si="861"/>
        <v>0</v>
      </c>
      <c r="BB578" s="96">
        <f ca="1">SUM((INDIRECT(BB$2&amp;(ROW())):INDIRECT(BB$3&amp;(ROW()))))</f>
        <v>0</v>
      </c>
      <c r="BC578" s="96">
        <f ca="1">SUM(INDIRECT(BC$1&amp;BC$2&amp;$C578):INDIRECT(BC$1&amp;BC$3&amp;$C578))</f>
        <v>0</v>
      </c>
      <c r="BD578" s="3227">
        <f t="shared" ca="1" si="862"/>
        <v>0</v>
      </c>
      <c r="BE578" s="2878">
        <f t="shared" ca="1" si="863"/>
        <v>0</v>
      </c>
      <c r="BF578" s="96">
        <f ca="1">SUM(INDIRECT(BF$1&amp;BF$2&amp;$A578):INDIRECT(BF$1&amp;BF$3&amp;$A578))</f>
        <v>291554.38270981575</v>
      </c>
      <c r="BG578" s="3227">
        <f t="shared" ca="1" si="864"/>
        <v>-291554.38270981575</v>
      </c>
      <c r="BH578" s="2878">
        <f t="shared" ca="1" si="865"/>
        <v>0</v>
      </c>
    </row>
    <row r="579" spans="1:60" ht="14.5">
      <c r="A579" s="616">
        <f t="shared" si="829"/>
        <v>514</v>
      </c>
      <c r="B579" s="616">
        <v>1</v>
      </c>
      <c r="C579" s="616">
        <f t="shared" si="891"/>
        <v>576</v>
      </c>
      <c r="E579" s="2547">
        <v>1</v>
      </c>
      <c r="I579" s="73"/>
      <c r="J579" s="72"/>
      <c r="K579" s="63"/>
      <c r="L579" s="63"/>
      <c r="P579" s="8" t="s">
        <v>1482</v>
      </c>
      <c r="Q579" s="1779" t="str">
        <f>CHOOSE(2, "6722000003498", "S/GP (2) Net Sales Indirect Solution Software")</f>
        <v>S/GP (2) Net Sales Indirect Solution Software</v>
      </c>
      <c r="R579" s="1224">
        <v>0</v>
      </c>
      <c r="S579" s="1217">
        <v>0</v>
      </c>
      <c r="T579" s="1217">
        <v>0</v>
      </c>
      <c r="U579" s="1217">
        <v>0</v>
      </c>
      <c r="V579" s="1217">
        <v>0</v>
      </c>
      <c r="W579" s="1217">
        <v>0</v>
      </c>
      <c r="X579" s="1217">
        <v>0</v>
      </c>
      <c r="Y579" s="1217">
        <v>0</v>
      </c>
      <c r="Z579" s="1217">
        <v>0</v>
      </c>
      <c r="AA579" s="1217">
        <v>0</v>
      </c>
      <c r="AB579" s="1217">
        <v>0</v>
      </c>
      <c r="AC579" s="1217">
        <v>0</v>
      </c>
      <c r="AD579" s="88">
        <f>SUM(R579,S579,T579)</f>
        <v>0</v>
      </c>
      <c r="AE579" s="17">
        <f t="shared" si="892"/>
        <v>0</v>
      </c>
      <c r="AF579" s="17">
        <f t="shared" si="893"/>
        <v>0</v>
      </c>
      <c r="AG579" s="17">
        <f t="shared" si="894"/>
        <v>0</v>
      </c>
      <c r="AH579" s="17">
        <f>AD579+AE579</f>
        <v>0</v>
      </c>
      <c r="AI579" s="17">
        <f>AG579+AF579</f>
        <v>0</v>
      </c>
      <c r="AJ579" s="17">
        <f>AH579+AI579</f>
        <v>0</v>
      </c>
      <c r="AL579" s="17">
        <f ca="1">SUM((INDIRECT(AL$2&amp;(ROW())):INDIRECT(AL$3&amp;(ROW()))))</f>
        <v>0</v>
      </c>
      <c r="AM579" s="17">
        <f ca="1">SUM(INDIRECT(AM$1&amp;AM$2&amp;$C579):INDIRECT(AM$1&amp;AM$3&amp;$C579))</f>
        <v>52545.065218312506</v>
      </c>
      <c r="AN579" s="3072">
        <f t="shared" ca="1" si="854"/>
        <v>-52545.065218312506</v>
      </c>
      <c r="AO579" s="2708">
        <f t="shared" ca="1" si="855"/>
        <v>0</v>
      </c>
      <c r="AP579" s="17">
        <f ca="1">SUM(INDIRECT(AP$1&amp;AP$2&amp;$A579):INDIRECT(AP$1&amp;AP$3&amp;$A579))</f>
        <v>0</v>
      </c>
      <c r="AQ579" s="3072">
        <f t="shared" ca="1" si="856"/>
        <v>0</v>
      </c>
      <c r="AR579" s="2708">
        <f t="shared" ca="1" si="857"/>
        <v>0</v>
      </c>
      <c r="AT579" s="17">
        <f ca="1">SUM((INDIRECT(AT$2&amp;(ROW())):INDIRECT(AT$3&amp;(ROW()))))</f>
        <v>0</v>
      </c>
      <c r="AU579" s="17">
        <f ca="1">SUM(INDIRECT(AU$1&amp;AU$2&amp;$C579):INDIRECT(AU$1&amp;AU$3&amp;$C579))</f>
        <v>160656.06205104169</v>
      </c>
      <c r="AV579" s="3072">
        <f t="shared" ca="1" si="858"/>
        <v>-160656.06205104169</v>
      </c>
      <c r="AW579" s="2708">
        <f t="shared" ca="1" si="859"/>
        <v>0</v>
      </c>
      <c r="AX579" s="17">
        <f ca="1">SUM(INDIRECT(AX$1&amp;AX$2&amp;$A579):INDIRECT(AX$1&amp;AX$3&amp;$A579))</f>
        <v>0</v>
      </c>
      <c r="AY579" s="3072">
        <f t="shared" ca="1" si="860"/>
        <v>0</v>
      </c>
      <c r="AZ579" s="2708">
        <f t="shared" ca="1" si="861"/>
        <v>0</v>
      </c>
      <c r="BB579" s="17">
        <f ca="1">SUM((INDIRECT(BB$2&amp;(ROW())):INDIRECT(BB$3&amp;(ROW()))))</f>
        <v>0</v>
      </c>
      <c r="BC579" s="17">
        <f ca="1">SUM(INDIRECT(BC$1&amp;BC$2&amp;$C579):INDIRECT(BC$1&amp;BC$3&amp;$C579))</f>
        <v>282828.92598535417</v>
      </c>
      <c r="BD579" s="3072">
        <f t="shared" ca="1" si="862"/>
        <v>-282828.92598535417</v>
      </c>
      <c r="BE579" s="2708">
        <f t="shared" ca="1" si="863"/>
        <v>0</v>
      </c>
      <c r="BF579" s="17">
        <f ca="1">SUM(INDIRECT(BF$1&amp;BF$2&amp;$A579):INDIRECT(BF$1&amp;BF$3&amp;$A579))</f>
        <v>38</v>
      </c>
      <c r="BG579" s="3072">
        <f t="shared" ca="1" si="864"/>
        <v>-38</v>
      </c>
      <c r="BH579" s="2708">
        <f t="shared" ca="1" si="865"/>
        <v>0</v>
      </c>
    </row>
    <row r="580" spans="1:60" ht="14.5">
      <c r="A580" s="616">
        <f t="shared" si="829"/>
        <v>515</v>
      </c>
      <c r="B580" s="616">
        <v>1</v>
      </c>
      <c r="C580" s="616">
        <f t="shared" si="891"/>
        <v>577</v>
      </c>
      <c r="E580" s="2547">
        <v>1</v>
      </c>
      <c r="I580" s="73"/>
      <c r="J580" s="72"/>
      <c r="K580" s="63"/>
      <c r="L580" s="63"/>
      <c r="P580" s="8" t="s">
        <v>1483</v>
      </c>
      <c r="Q580" s="1779" t="str">
        <f>CHOOSE(2, "6722000003499", "S/GP (2) Net Sales Indirect Solution Professional Service")</f>
        <v>S/GP (2) Net Sales Indirect Solution Professional Service</v>
      </c>
      <c r="R580" s="1224">
        <v>0</v>
      </c>
      <c r="S580" s="1217">
        <v>0</v>
      </c>
      <c r="T580" s="1217">
        <v>0</v>
      </c>
      <c r="U580" s="1217">
        <v>0</v>
      </c>
      <c r="V580" s="1217">
        <v>0</v>
      </c>
      <c r="W580" s="1217">
        <v>0</v>
      </c>
      <c r="X580" s="1217">
        <v>0</v>
      </c>
      <c r="Y580" s="1217">
        <v>0</v>
      </c>
      <c r="Z580" s="1217">
        <v>0</v>
      </c>
      <c r="AA580" s="1217">
        <v>0</v>
      </c>
      <c r="AB580" s="1217">
        <v>0</v>
      </c>
      <c r="AC580" s="1217">
        <v>0</v>
      </c>
      <c r="AD580" s="88">
        <f>SUM(R580,S580,T580)</f>
        <v>0</v>
      </c>
      <c r="AE580" s="17">
        <f t="shared" si="892"/>
        <v>0</v>
      </c>
      <c r="AF580" s="17">
        <f t="shared" si="893"/>
        <v>0</v>
      </c>
      <c r="AG580" s="17">
        <f t="shared" si="894"/>
        <v>0</v>
      </c>
      <c r="AH580" s="17">
        <f>AD580+AE580</f>
        <v>0</v>
      </c>
      <c r="AI580" s="17">
        <f>AG580+AF580</f>
        <v>0</v>
      </c>
      <c r="AJ580" s="17">
        <f>AH580+AI580</f>
        <v>0</v>
      </c>
      <c r="AL580" s="17">
        <f ca="1">SUM((INDIRECT(AL$2&amp;(ROW())):INDIRECT(AL$3&amp;(ROW()))))</f>
        <v>0</v>
      </c>
      <c r="AM580" s="17">
        <f ca="1">SUM(INDIRECT(AM$1&amp;AM$2&amp;$C580):INDIRECT(AM$1&amp;AM$3&amp;$C580))</f>
        <v>13857.029468312501</v>
      </c>
      <c r="AN580" s="3072">
        <f t="shared" ca="1" si="854"/>
        <v>-13857.029468312501</v>
      </c>
      <c r="AO580" s="2708">
        <f t="shared" ca="1" si="855"/>
        <v>0</v>
      </c>
      <c r="AP580" s="17">
        <f ca="1">SUM(INDIRECT(AP$1&amp;AP$2&amp;$A580):INDIRECT(AP$1&amp;AP$3&amp;$A580))</f>
        <v>0</v>
      </c>
      <c r="AQ580" s="3072">
        <f t="shared" ca="1" si="856"/>
        <v>0</v>
      </c>
      <c r="AR580" s="2708">
        <f t="shared" ca="1" si="857"/>
        <v>0</v>
      </c>
      <c r="AT580" s="17">
        <f ca="1">SUM((INDIRECT(AT$2&amp;(ROW())):INDIRECT(AT$3&amp;(ROW()))))</f>
        <v>0</v>
      </c>
      <c r="AU580" s="17">
        <f ca="1">SUM(INDIRECT(AU$1&amp;AU$2&amp;$C580):INDIRECT(AU$1&amp;AU$3&amp;$C580))</f>
        <v>45381.506551041668</v>
      </c>
      <c r="AV580" s="3072">
        <f t="shared" ca="1" si="858"/>
        <v>-45381.506551041668</v>
      </c>
      <c r="AW580" s="2708">
        <f t="shared" ca="1" si="859"/>
        <v>0</v>
      </c>
      <c r="AX580" s="17">
        <f ca="1">SUM(INDIRECT(AX$1&amp;AX$2&amp;$A580):INDIRECT(AX$1&amp;AX$3&amp;$A580))</f>
        <v>0</v>
      </c>
      <c r="AY580" s="3072">
        <f t="shared" ca="1" si="860"/>
        <v>0</v>
      </c>
      <c r="AZ580" s="2708">
        <f t="shared" ca="1" si="861"/>
        <v>0</v>
      </c>
      <c r="BB580" s="17">
        <f ca="1">SUM((INDIRECT(BB$2&amp;(ROW())):INDIRECT(BB$3&amp;(ROW()))))</f>
        <v>0</v>
      </c>
      <c r="BC580" s="17">
        <f ca="1">SUM(INDIRECT(BC$1&amp;BC$2&amp;$C580):INDIRECT(BC$1&amp;BC$3&amp;$C580))</f>
        <v>80057.402485354149</v>
      </c>
      <c r="BD580" s="3072">
        <f t="shared" ca="1" si="862"/>
        <v>-80057.402485354149</v>
      </c>
      <c r="BE580" s="2708">
        <f t="shared" ca="1" si="863"/>
        <v>0</v>
      </c>
      <c r="BF580" s="17">
        <f ca="1">SUM(INDIRECT(BF$1&amp;BF$2&amp;$A580):INDIRECT(BF$1&amp;BF$3&amp;$A580))</f>
        <v>0</v>
      </c>
      <c r="BG580" s="3072">
        <f t="shared" ca="1" si="864"/>
        <v>0</v>
      </c>
      <c r="BH580" s="2708">
        <f t="shared" ca="1" si="865"/>
        <v>0</v>
      </c>
    </row>
    <row r="581" spans="1:60" ht="14.5">
      <c r="A581" s="616">
        <f t="shared" si="829"/>
        <v>516</v>
      </c>
      <c r="B581" s="616">
        <v>1</v>
      </c>
      <c r="C581" s="616">
        <f t="shared" si="891"/>
        <v>578</v>
      </c>
      <c r="E581" s="2547">
        <v>1</v>
      </c>
      <c r="I581" s="73"/>
      <c r="J581" s="72"/>
      <c r="K581" s="63"/>
      <c r="L581" s="63"/>
      <c r="N581" s="11"/>
      <c r="O581" s="11"/>
      <c r="P581" s="11" t="s">
        <v>1386</v>
      </c>
      <c r="Q581" s="1779" t="str">
        <f>CHOOSE(2, "6722000003500", "S/GP (2) Net Sales Indirect Solution Others")</f>
        <v>S/GP (2) Net Sales Indirect Solution Others</v>
      </c>
      <c r="R581" s="1225">
        <v>0</v>
      </c>
      <c r="S581" s="1218">
        <v>0</v>
      </c>
      <c r="T581" s="1218">
        <v>0</v>
      </c>
      <c r="U581" s="1218">
        <v>0</v>
      </c>
      <c r="V581" s="1218">
        <v>0</v>
      </c>
      <c r="W581" s="1218">
        <v>0</v>
      </c>
      <c r="X581" s="1218">
        <v>0</v>
      </c>
      <c r="Y581" s="1218">
        <v>0</v>
      </c>
      <c r="Z581" s="1218">
        <v>0</v>
      </c>
      <c r="AA581" s="1218">
        <v>0</v>
      </c>
      <c r="AB581" s="1218">
        <v>0</v>
      </c>
      <c r="AC581" s="1218">
        <v>0</v>
      </c>
      <c r="AD581" s="87">
        <f>SUM(R581,S581,T581)</f>
        <v>0</v>
      </c>
      <c r="AE581" s="15">
        <f t="shared" si="892"/>
        <v>0</v>
      </c>
      <c r="AF581" s="15">
        <f t="shared" si="893"/>
        <v>0</v>
      </c>
      <c r="AG581" s="15">
        <f t="shared" si="894"/>
        <v>0</v>
      </c>
      <c r="AH581" s="15">
        <f>AD581+AE581</f>
        <v>0</v>
      </c>
      <c r="AI581" s="15">
        <f>AG581+AF581</f>
        <v>0</v>
      </c>
      <c r="AJ581" s="15">
        <f>AH581+AI581</f>
        <v>0</v>
      </c>
      <c r="AL581" s="15">
        <f ca="1">SUM((INDIRECT(AL$2&amp;(ROW())):INDIRECT(AL$3&amp;(ROW()))))</f>
        <v>0</v>
      </c>
      <c r="AM581" s="15">
        <f ca="1">SUM(INDIRECT(AM$1&amp;AM$2&amp;$C581):INDIRECT(AM$1&amp;AM$3&amp;$C581))</f>
        <v>13857.029468312501</v>
      </c>
      <c r="AN581" s="3073">
        <f t="shared" ca="1" si="854"/>
        <v>-13857.029468312501</v>
      </c>
      <c r="AO581" s="2710">
        <f t="shared" ca="1" si="855"/>
        <v>0</v>
      </c>
      <c r="AP581" s="15">
        <f ca="1">SUM(INDIRECT(AP$1&amp;AP$2&amp;$A581):INDIRECT(AP$1&amp;AP$3&amp;$A581))</f>
        <v>18537</v>
      </c>
      <c r="AQ581" s="3073">
        <f t="shared" ca="1" si="856"/>
        <v>-18537</v>
      </c>
      <c r="AR581" s="2710">
        <f t="shared" ca="1" si="857"/>
        <v>0</v>
      </c>
      <c r="AT581" s="15">
        <f ca="1">SUM((INDIRECT(AT$2&amp;(ROW())):INDIRECT(AT$3&amp;(ROW()))))</f>
        <v>0</v>
      </c>
      <c r="AU581" s="15">
        <f ca="1">SUM(INDIRECT(AU$1&amp;AU$2&amp;$C581):INDIRECT(AU$1&amp;AU$3&amp;$C581))</f>
        <v>45381.506551041668</v>
      </c>
      <c r="AV581" s="3073">
        <f t="shared" ca="1" si="858"/>
        <v>-45381.506551041668</v>
      </c>
      <c r="AW581" s="2710">
        <f t="shared" ca="1" si="859"/>
        <v>0</v>
      </c>
      <c r="AX581" s="15">
        <f ca="1">SUM(INDIRECT(AX$1&amp;AX$2&amp;$A581):INDIRECT(AX$1&amp;AX$3&amp;$A581))</f>
        <v>62431</v>
      </c>
      <c r="AY581" s="3073">
        <f t="shared" ca="1" si="860"/>
        <v>-62431</v>
      </c>
      <c r="AZ581" s="2710">
        <f t="shared" ca="1" si="861"/>
        <v>0</v>
      </c>
      <c r="BB581" s="15">
        <f ca="1">SUM((INDIRECT(BB$2&amp;(ROW())):INDIRECT(BB$3&amp;(ROW()))))</f>
        <v>0</v>
      </c>
      <c r="BC581" s="15">
        <f ca="1">SUM(INDIRECT(BC$1&amp;BC$2&amp;$C581):INDIRECT(BC$1&amp;BC$3&amp;$C581))</f>
        <v>80057.402485354149</v>
      </c>
      <c r="BD581" s="3073">
        <f t="shared" ca="1" si="862"/>
        <v>-80057.402485354149</v>
      </c>
      <c r="BE581" s="2710">
        <f t="shared" ca="1" si="863"/>
        <v>0</v>
      </c>
      <c r="BF581" s="15">
        <f ca="1">SUM(INDIRECT(BF$1&amp;BF$2&amp;$A581):INDIRECT(BF$1&amp;BF$3&amp;$A581))</f>
        <v>255105.17296265648</v>
      </c>
      <c r="BG581" s="3073">
        <f t="shared" ca="1" si="864"/>
        <v>-255105.17296265648</v>
      </c>
      <c r="BH581" s="2710">
        <f t="shared" ca="1" si="865"/>
        <v>0</v>
      </c>
    </row>
    <row r="582" spans="1:60" ht="14.5">
      <c r="A582" s="616">
        <f t="shared" si="829"/>
        <v>517</v>
      </c>
      <c r="B582" s="616">
        <v>1</v>
      </c>
      <c r="C582" s="616">
        <f t="shared" si="891"/>
        <v>579</v>
      </c>
      <c r="E582" s="2547">
        <v>1</v>
      </c>
      <c r="I582" s="73"/>
      <c r="J582" s="72"/>
      <c r="K582" s="62"/>
      <c r="L582" s="62"/>
      <c r="M582" s="1475" t="s">
        <v>1386</v>
      </c>
      <c r="N582" s="11"/>
      <c r="O582" s="11"/>
      <c r="P582" s="11"/>
      <c r="Q582" s="1779" t="str">
        <f>CHOOSE(2, "6722000003501", "S/GP (2) Net Sales Indirect Others")</f>
        <v>S/GP (2) Net Sales Indirect Others</v>
      </c>
      <c r="R582" s="3234"/>
      <c r="S582" s="3234"/>
      <c r="T582" s="3234"/>
      <c r="U582" s="1218">
        <v>0</v>
      </c>
      <c r="V582" s="1218">
        <v>0</v>
      </c>
      <c r="W582" s="1218">
        <v>0</v>
      </c>
      <c r="X582" s="1218">
        <v>0</v>
      </c>
      <c r="Y582" s="1218">
        <v>0</v>
      </c>
      <c r="Z582" s="1218">
        <v>0</v>
      </c>
      <c r="AA582" s="1218">
        <v>0</v>
      </c>
      <c r="AB582" s="1218">
        <v>0</v>
      </c>
      <c r="AC582" s="1218">
        <v>0</v>
      </c>
      <c r="AD582" s="87">
        <f>SUM(R582,S582,T582)</f>
        <v>0</v>
      </c>
      <c r="AE582" s="15">
        <f t="shared" si="892"/>
        <v>0</v>
      </c>
      <c r="AF582" s="15">
        <f t="shared" si="893"/>
        <v>0</v>
      </c>
      <c r="AG582" s="15">
        <f t="shared" si="894"/>
        <v>0</v>
      </c>
      <c r="AH582" s="15">
        <f>AD582+AE582</f>
        <v>0</v>
      </c>
      <c r="AI582" s="15">
        <f>AG582+AF582</f>
        <v>0</v>
      </c>
      <c r="AJ582" s="15">
        <f>AH582+AI582</f>
        <v>0</v>
      </c>
      <c r="AL582" s="15">
        <f ca="1">SUM((INDIRECT(AL$2&amp;(ROW())):INDIRECT(AL$3&amp;(ROW()))))</f>
        <v>0</v>
      </c>
      <c r="AM582" s="15">
        <f ca="1">SUM(INDIRECT(AM$1&amp;AM$2&amp;$C582):INDIRECT(AM$1&amp;AM$3&amp;$C582))</f>
        <v>0</v>
      </c>
      <c r="AN582" s="3073">
        <f t="shared" ca="1" si="854"/>
        <v>0</v>
      </c>
      <c r="AO582" s="2710">
        <f t="shared" ca="1" si="855"/>
        <v>0</v>
      </c>
      <c r="AP582" s="15">
        <f ca="1">SUM(INDIRECT(AP$1&amp;AP$2&amp;$A582):INDIRECT(AP$1&amp;AP$3&amp;$A582))</f>
        <v>18537</v>
      </c>
      <c r="AQ582" s="3073">
        <f t="shared" ca="1" si="856"/>
        <v>-18537</v>
      </c>
      <c r="AR582" s="2710">
        <f t="shared" ca="1" si="857"/>
        <v>0</v>
      </c>
      <c r="AT582" s="15">
        <f ca="1">SUM((INDIRECT(AT$2&amp;(ROW())):INDIRECT(AT$3&amp;(ROW()))))</f>
        <v>0</v>
      </c>
      <c r="AU582" s="15">
        <f ca="1">SUM(INDIRECT(AU$1&amp;AU$2&amp;$C582):INDIRECT(AU$1&amp;AU$3&amp;$C582))</f>
        <v>0</v>
      </c>
      <c r="AV582" s="3073">
        <f t="shared" ca="1" si="858"/>
        <v>0</v>
      </c>
      <c r="AW582" s="2710">
        <f t="shared" ca="1" si="859"/>
        <v>0</v>
      </c>
      <c r="AX582" s="15">
        <f ca="1">SUM(INDIRECT(AX$1&amp;AX$2&amp;$A582):INDIRECT(AX$1&amp;AX$3&amp;$A582))</f>
        <v>62431</v>
      </c>
      <c r="AY582" s="3073">
        <f t="shared" ca="1" si="860"/>
        <v>-62431</v>
      </c>
      <c r="AZ582" s="2710">
        <f t="shared" ca="1" si="861"/>
        <v>0</v>
      </c>
      <c r="BB582" s="15">
        <f ca="1">SUM((INDIRECT(BB$2&amp;(ROW())):INDIRECT(BB$3&amp;(ROW()))))</f>
        <v>0</v>
      </c>
      <c r="BC582" s="15">
        <f ca="1">SUM(INDIRECT(BC$1&amp;BC$2&amp;$C582):INDIRECT(BC$1&amp;BC$3&amp;$C582))</f>
        <v>0</v>
      </c>
      <c r="BD582" s="3073">
        <f t="shared" ca="1" si="862"/>
        <v>0</v>
      </c>
      <c r="BE582" s="2710">
        <f t="shared" ca="1" si="863"/>
        <v>0</v>
      </c>
      <c r="BF582" s="15">
        <f ca="1">SUM(INDIRECT(BF$1&amp;BF$2&amp;$A582):INDIRECT(BF$1&amp;BF$3&amp;$A582))</f>
        <v>255105.17296265648</v>
      </c>
      <c r="BG582" s="3073">
        <f t="shared" ca="1" si="864"/>
        <v>-255105.17296265648</v>
      </c>
      <c r="BH582" s="2710">
        <f t="shared" ca="1" si="865"/>
        <v>0</v>
      </c>
    </row>
    <row r="583" spans="1:60" ht="14.5">
      <c r="A583" s="616">
        <f t="shared" si="829"/>
        <v>518</v>
      </c>
      <c r="B583" s="616">
        <v>1</v>
      </c>
      <c r="C583" s="616">
        <f t="shared" si="891"/>
        <v>580</v>
      </c>
      <c r="E583" s="2547">
        <v>1</v>
      </c>
      <c r="I583" s="3249" t="s">
        <v>1469</v>
      </c>
      <c r="J583" s="497"/>
      <c r="K583" s="1690"/>
      <c r="L583" s="1690"/>
      <c r="M583" s="497"/>
      <c r="N583" s="497"/>
      <c r="O583" s="497"/>
      <c r="P583" s="497"/>
      <c r="Q583" s="1815" t="str">
        <f>CHOOSE(2, "6722000003502", "S/GP (2) Gross Profit")</f>
        <v>S/GP (2) Gross Profit</v>
      </c>
      <c r="R583" s="1244">
        <f t="shared" ref="R583:AJ583" si="895">R584+R607</f>
        <v>142665</v>
      </c>
      <c r="S583" s="1244">
        <f t="shared" si="895"/>
        <v>141450</v>
      </c>
      <c r="T583" s="1244">
        <f t="shared" si="895"/>
        <v>145026</v>
      </c>
      <c r="U583" s="1244">
        <f t="shared" si="895"/>
        <v>165436</v>
      </c>
      <c r="V583" s="1244">
        <f t="shared" si="895"/>
        <v>192046.95069008577</v>
      </c>
      <c r="W583" s="1244">
        <f t="shared" si="895"/>
        <v>100777.25200000001</v>
      </c>
      <c r="X583" s="1244">
        <f t="shared" si="895"/>
        <v>220153.25200000001</v>
      </c>
      <c r="Y583" s="1244">
        <f t="shared" si="895"/>
        <v>168432</v>
      </c>
      <c r="Z583" s="1244">
        <f t="shared" si="895"/>
        <v>167133</v>
      </c>
      <c r="AA583" s="1244">
        <f t="shared" si="895"/>
        <v>204845</v>
      </c>
      <c r="AB583" s="1244">
        <f t="shared" si="895"/>
        <v>190302.96372958334</v>
      </c>
      <c r="AC583" s="1244">
        <f t="shared" si="895"/>
        <v>89819</v>
      </c>
      <c r="AD583" s="3251">
        <f t="shared" si="895"/>
        <v>429141</v>
      </c>
      <c r="AE583" s="1244">
        <f t="shared" si="895"/>
        <v>458260.20269008575</v>
      </c>
      <c r="AF583" s="1244">
        <f t="shared" si="895"/>
        <v>555718.25199999998</v>
      </c>
      <c r="AG583" s="1244">
        <f t="shared" si="895"/>
        <v>484966.96372958331</v>
      </c>
      <c r="AH583" s="1244">
        <f t="shared" si="895"/>
        <v>887401.20269008575</v>
      </c>
      <c r="AI583" s="1244">
        <f t="shared" si="895"/>
        <v>1040685.2157295834</v>
      </c>
      <c r="AJ583" s="1244">
        <f t="shared" si="895"/>
        <v>1928086.4184196691</v>
      </c>
      <c r="AL583" s="1244">
        <f ca="1">SUM((INDIRECT(AL$2&amp;(ROW())):INDIRECT(AL$3&amp;(ROW()))))</f>
        <v>89819</v>
      </c>
      <c r="AM583" s="1244">
        <f ca="1">SUM(INDIRECT(AM$1&amp;AM$2&amp;$C583):INDIRECT(AM$1&amp;AM$3&amp;$C583))</f>
        <v>38688.035750000003</v>
      </c>
      <c r="AN583" s="3252">
        <f t="shared" ca="1" si="854"/>
        <v>51130.964249999997</v>
      </c>
      <c r="AO583" s="2907">
        <f t="shared" ca="1" si="855"/>
        <v>2.3216221309452236</v>
      </c>
      <c r="AP583" s="1244">
        <f ca="1">SUM(INDIRECT(AP$1&amp;AP$2&amp;$A583):INDIRECT(AP$1&amp;AP$3&amp;$A583))</f>
        <v>18537</v>
      </c>
      <c r="AQ583" s="3252">
        <f t="shared" ca="1" si="856"/>
        <v>71282</v>
      </c>
      <c r="AR583" s="2907">
        <f t="shared" ca="1" si="857"/>
        <v>4.8453903004801209</v>
      </c>
      <c r="AT583" s="1244">
        <f ca="1">SUM((INDIRECT(AT$2&amp;(ROW())):INDIRECT(AT$3&amp;(ROW()))))</f>
        <v>484966.96372958331</v>
      </c>
      <c r="AU583" s="1244">
        <f ca="1">SUM(INDIRECT(AU$1&amp;AU$2&amp;$C583):INDIRECT(AU$1&amp;AU$3&amp;$C583))</f>
        <v>115274.55550000002</v>
      </c>
      <c r="AV583" s="3252">
        <f t="shared" ca="1" si="858"/>
        <v>369692.40822958329</v>
      </c>
      <c r="AW583" s="2907">
        <f t="shared" ca="1" si="859"/>
        <v>4.2070599329232135</v>
      </c>
      <c r="AX583" s="1244">
        <f ca="1">SUM(INDIRECT(AX$1&amp;AX$2&amp;$A583):INDIRECT(AX$1&amp;AX$3&amp;$A583))</f>
        <v>62348</v>
      </c>
      <c r="AY583" s="3252">
        <f t="shared" ca="1" si="860"/>
        <v>422618.96372958331</v>
      </c>
      <c r="AZ583" s="2907">
        <f t="shared" ca="1" si="861"/>
        <v>7.7783884604090474</v>
      </c>
      <c r="BB583" s="1244">
        <f ca="1">SUM((INDIRECT(BB$2&amp;(ROW())):INDIRECT(BB$3&amp;(ROW()))))</f>
        <v>1928086.4184196691</v>
      </c>
      <c r="BC583" s="1244">
        <f ca="1">SUM(INDIRECT(BC$1&amp;BC$2&amp;$C583):INDIRECT(BC$1&amp;BC$3&amp;$C583))</f>
        <v>202771.52350000001</v>
      </c>
      <c r="BD583" s="3252">
        <f t="shared" ca="1" si="862"/>
        <v>1725314.8949196693</v>
      </c>
      <c r="BE583" s="2907">
        <f t="shared" ca="1" si="863"/>
        <v>9.508664654382148</v>
      </c>
      <c r="BF583" s="1244">
        <f ca="1">SUM(INDIRECT(BF$1&amp;BF$2&amp;$A583):INDIRECT(BF$1&amp;BF$3&amp;$A583))</f>
        <v>254218.81679265646</v>
      </c>
      <c r="BG583" s="3252">
        <f t="shared" ca="1" si="864"/>
        <v>1673867.6016270127</v>
      </c>
      <c r="BH583" s="2907">
        <f t="shared" ca="1" si="865"/>
        <v>7.5843576126476773</v>
      </c>
    </row>
    <row r="584" spans="1:60" ht="14.5">
      <c r="A584" s="616">
        <f t="shared" si="829"/>
        <v>519</v>
      </c>
      <c r="B584" s="616">
        <v>1</v>
      </c>
      <c r="C584" s="616">
        <f t="shared" si="891"/>
        <v>581</v>
      </c>
      <c r="E584" s="2547">
        <v>1</v>
      </c>
      <c r="I584" s="73"/>
      <c r="J584" s="72"/>
      <c r="K584" s="68" t="s">
        <v>1381</v>
      </c>
      <c r="L584" s="68"/>
      <c r="M584" s="283"/>
      <c r="N584" s="283"/>
      <c r="O584" s="283"/>
      <c r="P584" s="283"/>
      <c r="Q584" s="1814" t="str">
        <f>CHOOSE(2, "6722000003503", "S/GP (2) Gross Profit Direct")</f>
        <v>S/GP (2) Gross Profit Direct</v>
      </c>
      <c r="R584" s="3254">
        <f>R585+R588+R601+R606</f>
        <v>123231</v>
      </c>
      <c r="S584" s="3254">
        <f t="shared" ref="S584:AJ584" si="896">S585+S588+S601+S606</f>
        <v>126447</v>
      </c>
      <c r="T584" s="3254">
        <f t="shared" si="896"/>
        <v>129875</v>
      </c>
      <c r="U584" s="3254">
        <f t="shared" si="896"/>
        <v>144282</v>
      </c>
      <c r="V584" s="3254">
        <f t="shared" si="896"/>
        <v>174059.38558742512</v>
      </c>
      <c r="W584" s="3254">
        <f t="shared" si="896"/>
        <v>93658.252000000008</v>
      </c>
      <c r="X584" s="3254">
        <f t="shared" si="896"/>
        <v>199687.25200000001</v>
      </c>
      <c r="Y584" s="3254">
        <f t="shared" si="896"/>
        <v>150590</v>
      </c>
      <c r="Z584" s="3254">
        <f t="shared" si="896"/>
        <v>155379</v>
      </c>
      <c r="AA584" s="3254">
        <f t="shared" si="896"/>
        <v>186175</v>
      </c>
      <c r="AB584" s="3254">
        <f t="shared" si="896"/>
        <v>166099.85702958333</v>
      </c>
      <c r="AC584" s="3254">
        <f t="shared" si="896"/>
        <v>73638</v>
      </c>
      <c r="AD584" s="3255">
        <f t="shared" si="896"/>
        <v>379553</v>
      </c>
      <c r="AE584" s="3254">
        <f t="shared" si="896"/>
        <v>411999.63758742512</v>
      </c>
      <c r="AF584" s="3254">
        <f t="shared" si="896"/>
        <v>505656.25199999998</v>
      </c>
      <c r="AG584" s="3254">
        <f t="shared" si="896"/>
        <v>425912.85702958331</v>
      </c>
      <c r="AH584" s="3254">
        <f t="shared" si="896"/>
        <v>791552.63758742507</v>
      </c>
      <c r="AI584" s="3254">
        <f t="shared" si="896"/>
        <v>931569.1090295834</v>
      </c>
      <c r="AJ584" s="3254">
        <f t="shared" si="896"/>
        <v>1723121.7466170085</v>
      </c>
      <c r="AL584" s="3254">
        <f ca="1">SUM((INDIRECT(AL$2&amp;(ROW())):INDIRECT(AL$3&amp;(ROW()))))</f>
        <v>73638</v>
      </c>
      <c r="AM584" s="3254">
        <f ca="1">SUM(INDIRECT(AM$1&amp;AM$2&amp;$C584):INDIRECT(AM$1&amp;AM$3&amp;$C584))</f>
        <v>38688.035750000003</v>
      </c>
      <c r="AN584" s="3256">
        <f t="shared" ca="1" si="854"/>
        <v>34949.964249999997</v>
      </c>
      <c r="AO584" s="2909">
        <f t="shared" ca="1" si="855"/>
        <v>1.9033791344653623</v>
      </c>
      <c r="AP584" s="3254">
        <f ca="1">SUM(INDIRECT(AP$1&amp;AP$2&amp;$A584):INDIRECT(AP$1&amp;AP$3&amp;$A584))</f>
        <v>18537</v>
      </c>
      <c r="AQ584" s="3256">
        <f t="shared" ca="1" si="856"/>
        <v>55101</v>
      </c>
      <c r="AR584" s="2909">
        <f t="shared" ca="1" si="857"/>
        <v>3.9724874575173978</v>
      </c>
      <c r="AT584" s="3254">
        <f ca="1">SUM((INDIRECT(AT$2&amp;(ROW())):INDIRECT(AT$3&amp;(ROW()))))</f>
        <v>425912.85702958331</v>
      </c>
      <c r="AU584" s="3254">
        <f ca="1">SUM(INDIRECT(AU$1&amp;AU$2&amp;$C584):INDIRECT(AU$1&amp;AU$3&amp;$C584))</f>
        <v>115274.55550000002</v>
      </c>
      <c r="AV584" s="3256">
        <f t="shared" ca="1" si="858"/>
        <v>310638.30152958329</v>
      </c>
      <c r="AW584" s="2909">
        <f t="shared" ca="1" si="859"/>
        <v>3.6947690249786582</v>
      </c>
      <c r="AX584" s="3254">
        <f ca="1">SUM(INDIRECT(AX$1&amp;AX$2&amp;$A584):INDIRECT(AX$1&amp;AX$3&amp;$A584))</f>
        <v>62348</v>
      </c>
      <c r="AY584" s="3256">
        <f t="shared" ca="1" si="860"/>
        <v>363564.85702958331</v>
      </c>
      <c r="AZ584" s="2909">
        <f t="shared" ca="1" si="861"/>
        <v>6.8312192376593206</v>
      </c>
      <c r="BB584" s="3254">
        <f ca="1">SUM((INDIRECT(BB$2&amp;(ROW())):INDIRECT(BB$3&amp;(ROW()))))</f>
        <v>1723121.7466170085</v>
      </c>
      <c r="BC584" s="3254">
        <f ca="1">SUM(INDIRECT(BC$1&amp;BC$2&amp;$C584):INDIRECT(BC$1&amp;BC$3&amp;$C584))</f>
        <v>202771.52350000001</v>
      </c>
      <c r="BD584" s="3256">
        <f t="shared" ca="1" si="862"/>
        <v>1520350.2231170083</v>
      </c>
      <c r="BE584" s="2909">
        <f t="shared" ca="1" si="863"/>
        <v>8.4978487949123114</v>
      </c>
      <c r="BF584" s="3254">
        <f ca="1">SUM(INDIRECT(BF$1&amp;BF$2&amp;$A584):INDIRECT(BF$1&amp;BF$3&amp;$A584))</f>
        <v>254218.81679265646</v>
      </c>
      <c r="BG584" s="3256">
        <f t="shared" ca="1" si="864"/>
        <v>1468902.929824352</v>
      </c>
      <c r="BH584" s="2909">
        <f t="shared" ca="1" si="865"/>
        <v>6.7781046594296939</v>
      </c>
    </row>
    <row r="585" spans="1:60" ht="14.5">
      <c r="A585" s="616">
        <f t="shared" si="829"/>
        <v>520</v>
      </c>
      <c r="B585" s="616">
        <v>1</v>
      </c>
      <c r="C585" s="616">
        <f t="shared" si="891"/>
        <v>582</v>
      </c>
      <c r="E585" s="2547">
        <v>1</v>
      </c>
      <c r="I585" s="73"/>
      <c r="J585" s="72"/>
      <c r="K585" s="68"/>
      <c r="L585" s="68"/>
      <c r="M585" s="8" t="s">
        <v>1460</v>
      </c>
      <c r="N585" s="285"/>
      <c r="O585" s="285"/>
      <c r="P585" s="285"/>
      <c r="Q585" s="1777" t="str">
        <f>CHOOSE(2, "6722000003504", "S/GP (2) Gross Profit Direct HW")</f>
        <v>S/GP (2) Gross Profit Direct HW</v>
      </c>
      <c r="R585" s="3257">
        <f>SUM(R586:R587)</f>
        <v>36876</v>
      </c>
      <c r="S585" s="287">
        <f t="shared" ref="S585:AC585" si="897">SUM(S586:S587)</f>
        <v>33128</v>
      </c>
      <c r="T585" s="287">
        <f t="shared" si="897"/>
        <v>33993</v>
      </c>
      <c r="U585" s="287">
        <f t="shared" si="897"/>
        <v>45586</v>
      </c>
      <c r="V585" s="287">
        <f t="shared" si="897"/>
        <v>49772.13257300407</v>
      </c>
      <c r="W585" s="287">
        <f t="shared" si="897"/>
        <v>43448</v>
      </c>
      <c r="X585" s="287">
        <f t="shared" si="897"/>
        <v>64807</v>
      </c>
      <c r="Y585" s="287">
        <f t="shared" si="897"/>
        <v>46291</v>
      </c>
      <c r="Z585" s="287">
        <f t="shared" si="897"/>
        <v>43405</v>
      </c>
      <c r="AA585" s="287">
        <f t="shared" si="897"/>
        <v>55552</v>
      </c>
      <c r="AB585" s="287">
        <f t="shared" si="897"/>
        <v>53956.949029583338</v>
      </c>
      <c r="AC585" s="287">
        <f t="shared" si="897"/>
        <v>31460</v>
      </c>
      <c r="AD585" s="315">
        <f>SUM(AD586:AD587)</f>
        <v>103997</v>
      </c>
      <c r="AE585" s="287">
        <f t="shared" ref="AE585:AJ585" si="898">SUM(AE586:AE587)</f>
        <v>138806.13257300406</v>
      </c>
      <c r="AF585" s="287">
        <f t="shared" si="898"/>
        <v>154503</v>
      </c>
      <c r="AG585" s="287">
        <f t="shared" si="898"/>
        <v>140968.94902958334</v>
      </c>
      <c r="AH585" s="287">
        <f t="shared" si="898"/>
        <v>242803.13257300406</v>
      </c>
      <c r="AI585" s="287">
        <f t="shared" si="898"/>
        <v>295471.94902958337</v>
      </c>
      <c r="AJ585" s="287">
        <f t="shared" si="898"/>
        <v>538275.08160258736</v>
      </c>
      <c r="AL585" s="287">
        <f ca="1">SUM((INDIRECT(AL$2&amp;(ROW())):INDIRECT(AL$3&amp;(ROW()))))</f>
        <v>31460</v>
      </c>
      <c r="AM585" s="287">
        <f ca="1">SUM(INDIRECT(AM$1&amp;AM$2&amp;$C585):INDIRECT(AM$1&amp;AM$3&amp;$C585))</f>
        <v>38688.035750000003</v>
      </c>
      <c r="AN585" s="3226">
        <f t="shared" ca="1" si="854"/>
        <v>-7228.0357500000027</v>
      </c>
      <c r="AO585" s="2876">
        <f t="shared" ca="1" si="855"/>
        <v>0.81317129159238843</v>
      </c>
      <c r="AP585" s="287">
        <f ca="1">SUM(INDIRECT(AP$1&amp;AP$2&amp;$A585):INDIRECT(AP$1&amp;AP$3&amp;$A585))</f>
        <v>0</v>
      </c>
      <c r="AQ585" s="3226">
        <f t="shared" ca="1" si="856"/>
        <v>31460</v>
      </c>
      <c r="AR585" s="2876">
        <f t="shared" ca="1" si="857"/>
        <v>0</v>
      </c>
      <c r="AT585" s="287">
        <f ca="1">SUM((INDIRECT(AT$2&amp;(ROW())):INDIRECT(AT$3&amp;(ROW()))))</f>
        <v>140968.94902958334</v>
      </c>
      <c r="AU585" s="287">
        <f ca="1">SUM(INDIRECT(AU$1&amp;AU$2&amp;$C585):INDIRECT(AU$1&amp;AU$3&amp;$C585))</f>
        <v>115274.55550000002</v>
      </c>
      <c r="AV585" s="3226">
        <f t="shared" ca="1" si="858"/>
        <v>25694.393529583322</v>
      </c>
      <c r="AW585" s="2876">
        <f t="shared" ca="1" si="859"/>
        <v>1.2228973550852973</v>
      </c>
      <c r="AX585" s="287">
        <f ca="1">SUM(INDIRECT(AX$1&amp;AX$2&amp;$A585):INDIRECT(AX$1&amp;AX$3&amp;$A585))</f>
        <v>0</v>
      </c>
      <c r="AY585" s="3226">
        <f t="shared" ca="1" si="860"/>
        <v>140968.94902958334</v>
      </c>
      <c r="AZ585" s="2876">
        <f t="shared" ca="1" si="861"/>
        <v>0</v>
      </c>
      <c r="BB585" s="287">
        <f ca="1">SUM((INDIRECT(BB$2&amp;(ROW())):INDIRECT(BB$3&amp;(ROW()))))</f>
        <v>538275.08160258736</v>
      </c>
      <c r="BC585" s="287">
        <f ca="1">SUM(INDIRECT(BC$1&amp;BC$2&amp;$C585):INDIRECT(BC$1&amp;BC$3&amp;$C585))</f>
        <v>202771.52350000001</v>
      </c>
      <c r="BD585" s="3226">
        <f t="shared" ca="1" si="862"/>
        <v>335503.55810258735</v>
      </c>
      <c r="BE585" s="2876">
        <f t="shared" ca="1" si="863"/>
        <v>2.6545891272676032</v>
      </c>
      <c r="BF585" s="287">
        <f ca="1">SUM(INDIRECT(BF$1&amp;BF$2&amp;$A585):INDIRECT(BF$1&amp;BF$3&amp;$A585))</f>
        <v>0</v>
      </c>
      <c r="BG585" s="3226">
        <f t="shared" ca="1" si="864"/>
        <v>538275.08160258736</v>
      </c>
      <c r="BH585" s="2876">
        <f t="shared" ca="1" si="865"/>
        <v>0</v>
      </c>
    </row>
    <row r="586" spans="1:60" ht="14.5">
      <c r="A586" s="616">
        <f t="shared" si="829"/>
        <v>521</v>
      </c>
      <c r="B586" s="616">
        <v>1</v>
      </c>
      <c r="C586" s="616">
        <f t="shared" si="891"/>
        <v>583</v>
      </c>
      <c r="E586" s="2547">
        <v>1</v>
      </c>
      <c r="I586" s="73"/>
      <c r="J586" s="72"/>
      <c r="K586" s="68"/>
      <c r="L586" s="68"/>
      <c r="N586" s="97" t="s">
        <v>1461</v>
      </c>
      <c r="O586" s="97"/>
      <c r="P586" s="97"/>
      <c r="Q586" s="1779" t="str">
        <f>CHOOSE(2, "6722000003505", "S/GP (2) Gross Profit Direct HW KMI")</f>
        <v>S/GP (2) Gross Profit Direct HW KMI</v>
      </c>
      <c r="R586" s="1247">
        <v>36876</v>
      </c>
      <c r="S586" s="1227">
        <v>33128</v>
      </c>
      <c r="T586" s="1227">
        <v>33993</v>
      </c>
      <c r="U586" s="1227">
        <v>45586</v>
      </c>
      <c r="V586" s="1227">
        <v>49772.13257300407</v>
      </c>
      <c r="W586" s="1227">
        <v>43448</v>
      </c>
      <c r="X586" s="1227">
        <v>64807</v>
      </c>
      <c r="Y586" s="1227">
        <v>46291</v>
      </c>
      <c r="Z586" s="1227">
        <v>43405</v>
      </c>
      <c r="AA586" s="1227">
        <v>55552</v>
      </c>
      <c r="AB586" s="1227">
        <v>53956.949029583338</v>
      </c>
      <c r="AC586" s="1227">
        <v>31460</v>
      </c>
      <c r="AD586" s="295">
        <f>SUM(R586,S586,T586)</f>
        <v>103997</v>
      </c>
      <c r="AE586" s="96">
        <f t="shared" ref="AE586:AE587" si="899">SUM(U586,V586,W586)</f>
        <v>138806.13257300406</v>
      </c>
      <c r="AF586" s="96">
        <f t="shared" ref="AF586:AF587" si="900">SUM(X586,Y586,Z586)</f>
        <v>154503</v>
      </c>
      <c r="AG586" s="96">
        <f t="shared" ref="AG586:AG587" si="901">SUM(AA586,AB586,AC586)</f>
        <v>140968.94902958334</v>
      </c>
      <c r="AH586" s="96">
        <f>AD586+AE586</f>
        <v>242803.13257300406</v>
      </c>
      <c r="AI586" s="96">
        <f>AG586+AF586</f>
        <v>295471.94902958337</v>
      </c>
      <c r="AJ586" s="96">
        <f>AH586+AI586</f>
        <v>538275.08160258736</v>
      </c>
      <c r="AL586" s="96">
        <f ca="1">SUM((INDIRECT(AL$2&amp;(ROW())):INDIRECT(AL$3&amp;(ROW()))))</f>
        <v>31460</v>
      </c>
      <c r="AM586" s="96">
        <f ca="1">SUM(INDIRECT(AM$1&amp;AM$2&amp;$C586):INDIRECT(AM$1&amp;AM$3&amp;$C586))</f>
        <v>0</v>
      </c>
      <c r="AN586" s="3227">
        <f t="shared" ca="1" si="854"/>
        <v>31460</v>
      </c>
      <c r="AO586" s="2878">
        <f t="shared" ca="1" si="855"/>
        <v>0</v>
      </c>
      <c r="AP586" s="96">
        <f ca="1">SUM(INDIRECT(AP$1&amp;AP$2&amp;$A586):INDIRECT(AP$1&amp;AP$3&amp;$A586))</f>
        <v>0</v>
      </c>
      <c r="AQ586" s="3227">
        <f t="shared" ca="1" si="856"/>
        <v>31460</v>
      </c>
      <c r="AR586" s="2878">
        <f t="shared" ca="1" si="857"/>
        <v>0</v>
      </c>
      <c r="AT586" s="96">
        <f ca="1">SUM((INDIRECT(AT$2&amp;(ROW())):INDIRECT(AT$3&amp;(ROW()))))</f>
        <v>140968.94902958334</v>
      </c>
      <c r="AU586" s="96">
        <f ca="1">SUM(INDIRECT(AU$1&amp;AU$2&amp;$C586):INDIRECT(AU$1&amp;AU$3&amp;$C586))</f>
        <v>0</v>
      </c>
      <c r="AV586" s="3227">
        <f t="shared" ca="1" si="858"/>
        <v>140968.94902958334</v>
      </c>
      <c r="AW586" s="2878">
        <f t="shared" ca="1" si="859"/>
        <v>0</v>
      </c>
      <c r="AX586" s="96">
        <f ca="1">SUM(INDIRECT(AX$1&amp;AX$2&amp;$A586):INDIRECT(AX$1&amp;AX$3&amp;$A586))</f>
        <v>83</v>
      </c>
      <c r="AY586" s="3227">
        <f t="shared" ca="1" si="860"/>
        <v>140885.94902958334</v>
      </c>
      <c r="AZ586" s="2878">
        <f t="shared" ca="1" si="861"/>
        <v>1698.4210726455824</v>
      </c>
      <c r="BB586" s="96">
        <f ca="1">SUM((INDIRECT(BB$2&amp;(ROW())):INDIRECT(BB$3&amp;(ROW()))))</f>
        <v>538275.08160258736</v>
      </c>
      <c r="BC586" s="96">
        <f ca="1">SUM(INDIRECT(BC$1&amp;BC$2&amp;$C586):INDIRECT(BC$1&amp;BC$3&amp;$C586))</f>
        <v>0</v>
      </c>
      <c r="BD586" s="3227">
        <f t="shared" ca="1" si="862"/>
        <v>538275.08160258736</v>
      </c>
      <c r="BE586" s="2878">
        <f t="shared" ca="1" si="863"/>
        <v>0</v>
      </c>
      <c r="BF586" s="96">
        <f ca="1">SUM(INDIRECT(BF$1&amp;BF$2&amp;$A586):INDIRECT(BF$1&amp;BF$3&amp;$A586))</f>
        <v>886.35617000000002</v>
      </c>
      <c r="BG586" s="3227">
        <f t="shared" ca="1" si="864"/>
        <v>537388.72543258732</v>
      </c>
      <c r="BH586" s="2878">
        <f t="shared" ca="1" si="865"/>
        <v>607.28982300939742</v>
      </c>
    </row>
    <row r="587" spans="1:60" ht="14.5">
      <c r="A587" s="616">
        <f t="shared" si="829"/>
        <v>522</v>
      </c>
      <c r="B587" s="616">
        <v>1</v>
      </c>
      <c r="C587" s="616">
        <f t="shared" si="891"/>
        <v>584</v>
      </c>
      <c r="E587" s="2547">
        <v>1</v>
      </c>
      <c r="I587" s="73"/>
      <c r="J587" s="72"/>
      <c r="K587" s="68"/>
      <c r="L587" s="68"/>
      <c r="N587" s="11" t="s">
        <v>1464</v>
      </c>
      <c r="O587" s="11"/>
      <c r="P587" s="11"/>
      <c r="Q587" s="1779" t="str">
        <f>CHOOSE(2, "6722000003506", "S/GP (2) Gross Profit Direct HW 3rd Party")</f>
        <v>S/GP (2) Gross Profit Direct HW 3rd Party</v>
      </c>
      <c r="R587" s="1225">
        <v>0</v>
      </c>
      <c r="S587" s="1218">
        <v>0</v>
      </c>
      <c r="T587" s="1218">
        <v>0</v>
      </c>
      <c r="U587" s="1218">
        <v>0</v>
      </c>
      <c r="V587" s="1218">
        <v>0</v>
      </c>
      <c r="W587" s="1218">
        <v>0</v>
      </c>
      <c r="X587" s="1218">
        <v>0</v>
      </c>
      <c r="Y587" s="1218">
        <v>0</v>
      </c>
      <c r="Z587" s="1218">
        <v>0</v>
      </c>
      <c r="AA587" s="1218">
        <v>0</v>
      </c>
      <c r="AB587" s="1218">
        <v>0</v>
      </c>
      <c r="AC587" s="1218">
        <v>0</v>
      </c>
      <c r="AD587" s="87">
        <f>SUM(R587,S587,T587)</f>
        <v>0</v>
      </c>
      <c r="AE587" s="15">
        <f t="shared" si="899"/>
        <v>0</v>
      </c>
      <c r="AF587" s="15">
        <f t="shared" si="900"/>
        <v>0</v>
      </c>
      <c r="AG587" s="15">
        <f t="shared" si="901"/>
        <v>0</v>
      </c>
      <c r="AH587" s="15">
        <f>AD587+AE587</f>
        <v>0</v>
      </c>
      <c r="AI587" s="15">
        <f>AG587+AF587</f>
        <v>0</v>
      </c>
      <c r="AJ587" s="15">
        <f>AH587+AI587</f>
        <v>0</v>
      </c>
      <c r="AL587" s="15">
        <f ca="1">SUM((INDIRECT(AL$2&amp;(ROW())):INDIRECT(AL$3&amp;(ROW()))))</f>
        <v>0</v>
      </c>
      <c r="AM587" s="15">
        <f ca="1">SUM(INDIRECT(AM$1&amp;AM$2&amp;$C587):INDIRECT(AM$1&amp;AM$3&amp;$C587))</f>
        <v>0</v>
      </c>
      <c r="AN587" s="3073">
        <f t="shared" ca="1" si="854"/>
        <v>0</v>
      </c>
      <c r="AO587" s="2710">
        <f t="shared" ca="1" si="855"/>
        <v>0</v>
      </c>
      <c r="AP587" s="15">
        <f ca="1">SUM(INDIRECT(AP$1&amp;AP$2&amp;$A587):INDIRECT(AP$1&amp;AP$3&amp;$A587))</f>
        <v>0</v>
      </c>
      <c r="AQ587" s="3073">
        <f t="shared" ca="1" si="856"/>
        <v>0</v>
      </c>
      <c r="AR587" s="2710">
        <f t="shared" ca="1" si="857"/>
        <v>0</v>
      </c>
      <c r="AT587" s="15">
        <f ca="1">SUM((INDIRECT(AT$2&amp;(ROW())):INDIRECT(AT$3&amp;(ROW()))))</f>
        <v>0</v>
      </c>
      <c r="AU587" s="15">
        <f ca="1">SUM(INDIRECT(AU$1&amp;AU$2&amp;$C587):INDIRECT(AU$1&amp;AU$3&amp;$C587))</f>
        <v>0</v>
      </c>
      <c r="AV587" s="3073">
        <f t="shared" ca="1" si="858"/>
        <v>0</v>
      </c>
      <c r="AW587" s="2710">
        <f t="shared" ca="1" si="859"/>
        <v>0</v>
      </c>
      <c r="AX587" s="15">
        <f ca="1">SUM(INDIRECT(AX$1&amp;AX$2&amp;$A587):INDIRECT(AX$1&amp;AX$3&amp;$A587))</f>
        <v>83</v>
      </c>
      <c r="AY587" s="3073">
        <f t="shared" ca="1" si="860"/>
        <v>-83</v>
      </c>
      <c r="AZ587" s="2710">
        <f t="shared" ca="1" si="861"/>
        <v>0</v>
      </c>
      <c r="BB587" s="15">
        <f ca="1">SUM((INDIRECT(BB$2&amp;(ROW())):INDIRECT(BB$3&amp;(ROW()))))</f>
        <v>0</v>
      </c>
      <c r="BC587" s="15">
        <f ca="1">SUM(INDIRECT(BC$1&amp;BC$2&amp;$C587):INDIRECT(BC$1&amp;BC$3&amp;$C587))</f>
        <v>0</v>
      </c>
      <c r="BD587" s="3073">
        <f t="shared" ca="1" si="862"/>
        <v>0</v>
      </c>
      <c r="BE587" s="2710">
        <f t="shared" ca="1" si="863"/>
        <v>0</v>
      </c>
      <c r="BF587" s="15">
        <f ca="1">SUM(INDIRECT(BF$1&amp;BF$2&amp;$A587):INDIRECT(BF$1&amp;BF$3&amp;$A587))</f>
        <v>886.35617000000002</v>
      </c>
      <c r="BG587" s="3073">
        <f t="shared" ca="1" si="864"/>
        <v>-886.35617000000002</v>
      </c>
      <c r="BH587" s="2710">
        <f t="shared" ca="1" si="865"/>
        <v>0</v>
      </c>
    </row>
    <row r="588" spans="1:60" ht="14.5">
      <c r="A588" s="616">
        <f t="shared" si="829"/>
        <v>523</v>
      </c>
      <c r="B588" s="616">
        <v>1</v>
      </c>
      <c r="C588" s="616">
        <f t="shared" si="891"/>
        <v>585</v>
      </c>
      <c r="E588" s="2547">
        <v>1</v>
      </c>
      <c r="I588" s="73"/>
      <c r="J588" s="72"/>
      <c r="K588" s="68"/>
      <c r="L588" s="68"/>
      <c r="M588" s="487" t="s">
        <v>1405</v>
      </c>
      <c r="N588" s="284"/>
      <c r="O588" s="284"/>
      <c r="P588" s="284"/>
      <c r="Q588" s="1777" t="str">
        <f>CHOOSE(2, "6722000003507", "S/GP (2) Gross Profit Direct NH")</f>
        <v>S/GP (2) Gross Profit Direct NH</v>
      </c>
      <c r="R588" s="3258">
        <f>R589+R592+R593+R597+R600</f>
        <v>86355</v>
      </c>
      <c r="S588" s="3103">
        <f t="shared" ref="S588:AJ588" si="902">S589+S592+S593+S597+S600</f>
        <v>93319</v>
      </c>
      <c r="T588" s="3103">
        <f t="shared" si="902"/>
        <v>95882</v>
      </c>
      <c r="U588" s="3103">
        <f t="shared" si="902"/>
        <v>98696</v>
      </c>
      <c r="V588" s="3103">
        <f>V589+V592+V593+V597+V600</f>
        <v>124287.25301442105</v>
      </c>
      <c r="W588" s="3103">
        <f t="shared" si="902"/>
        <v>50210.252</v>
      </c>
      <c r="X588" s="3103">
        <f t="shared" si="902"/>
        <v>134880.25200000001</v>
      </c>
      <c r="Y588" s="3103">
        <f t="shared" si="902"/>
        <v>104299</v>
      </c>
      <c r="Z588" s="3103">
        <f t="shared" si="902"/>
        <v>111974</v>
      </c>
      <c r="AA588" s="3103">
        <f t="shared" si="902"/>
        <v>130623</v>
      </c>
      <c r="AB588" s="3103">
        <f t="shared" si="902"/>
        <v>112142.908</v>
      </c>
      <c r="AC588" s="3103">
        <f t="shared" si="902"/>
        <v>42178</v>
      </c>
      <c r="AD588" s="3244">
        <f t="shared" si="902"/>
        <v>275556</v>
      </c>
      <c r="AE588" s="3103">
        <f t="shared" si="902"/>
        <v>273193.50501442107</v>
      </c>
      <c r="AF588" s="3103">
        <f t="shared" si="902"/>
        <v>351153.25199999998</v>
      </c>
      <c r="AG588" s="3103">
        <f t="shared" si="902"/>
        <v>284943.908</v>
      </c>
      <c r="AH588" s="3103">
        <f t="shared" si="902"/>
        <v>548749.50501442107</v>
      </c>
      <c r="AI588" s="3103">
        <f t="shared" si="902"/>
        <v>636097.16</v>
      </c>
      <c r="AJ588" s="3103">
        <f t="shared" si="902"/>
        <v>1184846.6650144211</v>
      </c>
      <c r="AK588" s="221"/>
      <c r="AL588" s="3103">
        <f ca="1">SUM((INDIRECT(AL$2&amp;(ROW())):INDIRECT(AL$3&amp;(ROW()))))</f>
        <v>42178</v>
      </c>
      <c r="AM588" s="3103">
        <f ca="1">SUM(INDIRECT(AM$1&amp;AM$2&amp;$C588):INDIRECT(AM$1&amp;AM$3&amp;$C588))</f>
        <v>0</v>
      </c>
      <c r="AN588" s="3259">
        <f t="shared" ca="1" si="854"/>
        <v>42178</v>
      </c>
      <c r="AO588" s="2911">
        <f t="shared" ca="1" si="855"/>
        <v>0</v>
      </c>
      <c r="AP588" s="3103">
        <f ca="1">SUM(INDIRECT(AP$1&amp;AP$2&amp;$A588):INDIRECT(AP$1&amp;AP$3&amp;$A588))</f>
        <v>0</v>
      </c>
      <c r="AQ588" s="3259">
        <f t="shared" ca="1" si="856"/>
        <v>42178</v>
      </c>
      <c r="AR588" s="2911">
        <f t="shared" ca="1" si="857"/>
        <v>0</v>
      </c>
      <c r="AT588" s="3103">
        <f ca="1">SUM((INDIRECT(AT$2&amp;(ROW())):INDIRECT(AT$3&amp;(ROW()))))</f>
        <v>284943.908</v>
      </c>
      <c r="AU588" s="3103">
        <f ca="1">SUM(INDIRECT(AU$1&amp;AU$2&amp;$C588):INDIRECT(AU$1&amp;AU$3&amp;$C588))</f>
        <v>0</v>
      </c>
      <c r="AV588" s="3259">
        <f t="shared" ca="1" si="858"/>
        <v>284943.908</v>
      </c>
      <c r="AW588" s="2911">
        <f t="shared" ca="1" si="859"/>
        <v>0</v>
      </c>
      <c r="AX588" s="3103">
        <f ca="1">SUM(INDIRECT(AX$1&amp;AX$2&amp;$A588):INDIRECT(AX$1&amp;AX$3&amp;$A588))</f>
        <v>0</v>
      </c>
      <c r="AY588" s="3259">
        <f t="shared" ca="1" si="860"/>
        <v>284943.908</v>
      </c>
      <c r="AZ588" s="2911">
        <f t="shared" ca="1" si="861"/>
        <v>0</v>
      </c>
      <c r="BB588" s="3103">
        <f ca="1">SUM((INDIRECT(BB$2&amp;(ROW())):INDIRECT(BB$3&amp;(ROW()))))</f>
        <v>1184846.6650144211</v>
      </c>
      <c r="BC588" s="3103">
        <f ca="1">SUM(INDIRECT(BC$1&amp;BC$2&amp;$C588):INDIRECT(BC$1&amp;BC$3&amp;$C588))</f>
        <v>0</v>
      </c>
      <c r="BD588" s="3259">
        <f t="shared" ca="1" si="862"/>
        <v>1184846.6650144211</v>
      </c>
      <c r="BE588" s="2911">
        <f t="shared" ca="1" si="863"/>
        <v>0</v>
      </c>
      <c r="BF588" s="3103">
        <f ca="1">SUM(INDIRECT(BF$1&amp;BF$2&amp;$A588):INDIRECT(BF$1&amp;BF$3&amp;$A588))</f>
        <v>0</v>
      </c>
      <c r="BG588" s="3259">
        <f t="shared" ca="1" si="864"/>
        <v>1184846.6650144211</v>
      </c>
      <c r="BH588" s="2911">
        <f t="shared" ca="1" si="865"/>
        <v>0</v>
      </c>
    </row>
    <row r="589" spans="1:60" ht="14.5">
      <c r="A589" s="616">
        <f t="shared" si="829"/>
        <v>524</v>
      </c>
      <c r="B589" s="616">
        <v>1</v>
      </c>
      <c r="C589" s="616">
        <f t="shared" si="891"/>
        <v>586</v>
      </c>
      <c r="E589" s="2547">
        <v>1</v>
      </c>
      <c r="I589" s="73"/>
      <c r="J589" s="72"/>
      <c r="K589" s="68"/>
      <c r="L589" s="68"/>
      <c r="N589" s="97" t="s">
        <v>1461</v>
      </c>
      <c r="O589" s="97"/>
      <c r="P589" s="869"/>
      <c r="Q589" s="1777" t="str">
        <f>CHOOSE(2, "6722000003508", "S/GP (2) Gross Profit Direct NH KMI")</f>
        <v>S/GP (2) Gross Profit Direct NH KMI</v>
      </c>
      <c r="R589" s="3260">
        <f>SUM(R590:R591)</f>
        <v>100042</v>
      </c>
      <c r="S589" s="58">
        <f t="shared" ref="S589:AJ589" si="903">SUM(S590:S591)</f>
        <v>107961</v>
      </c>
      <c r="T589" s="58">
        <f t="shared" si="903"/>
        <v>111963</v>
      </c>
      <c r="U589" s="58">
        <f t="shared" si="903"/>
        <v>116316</v>
      </c>
      <c r="V589" s="58">
        <f t="shared" si="903"/>
        <v>141146.10871554</v>
      </c>
      <c r="W589" s="58">
        <f t="shared" si="903"/>
        <v>67232</v>
      </c>
      <c r="X589" s="58">
        <f t="shared" si="903"/>
        <v>161975</v>
      </c>
      <c r="Y589" s="58">
        <f t="shared" si="903"/>
        <v>120002</v>
      </c>
      <c r="Z589" s="58">
        <f t="shared" si="903"/>
        <v>128348</v>
      </c>
      <c r="AA589" s="58">
        <f t="shared" si="903"/>
        <v>146200</v>
      </c>
      <c r="AB589" s="58">
        <f t="shared" si="903"/>
        <v>138441</v>
      </c>
      <c r="AC589" s="58">
        <f t="shared" si="903"/>
        <v>63249</v>
      </c>
      <c r="AD589" s="903">
        <f t="shared" si="903"/>
        <v>319966</v>
      </c>
      <c r="AE589" s="58">
        <f t="shared" si="903"/>
        <v>324694.10871554003</v>
      </c>
      <c r="AF589" s="58">
        <f t="shared" si="903"/>
        <v>410325</v>
      </c>
      <c r="AG589" s="58">
        <f t="shared" si="903"/>
        <v>347890</v>
      </c>
      <c r="AH589" s="58">
        <f t="shared" si="903"/>
        <v>644660.10871554003</v>
      </c>
      <c r="AI589" s="58">
        <f t="shared" si="903"/>
        <v>758215</v>
      </c>
      <c r="AJ589" s="58">
        <f t="shared" si="903"/>
        <v>1402875.10871554</v>
      </c>
      <c r="AL589" s="58">
        <f ca="1">SUM((INDIRECT(AL$2&amp;(ROW())):INDIRECT(AL$3&amp;(ROW()))))</f>
        <v>63249</v>
      </c>
      <c r="AM589" s="58">
        <f ca="1">SUM(INDIRECT(AM$1&amp;AM$2&amp;$C589):INDIRECT(AM$1&amp;AM$3&amp;$C589))</f>
        <v>0</v>
      </c>
      <c r="AN589" s="3261">
        <f t="shared" ca="1" si="854"/>
        <v>63249</v>
      </c>
      <c r="AO589" s="2913">
        <f t="shared" ca="1" si="855"/>
        <v>0</v>
      </c>
      <c r="AP589" s="58">
        <f ca="1">SUM(INDIRECT(AP$1&amp;AP$2&amp;$A589):INDIRECT(AP$1&amp;AP$3&amp;$A589))</f>
        <v>0</v>
      </c>
      <c r="AQ589" s="3261">
        <f t="shared" ca="1" si="856"/>
        <v>63249</v>
      </c>
      <c r="AR589" s="2913">
        <f t="shared" ca="1" si="857"/>
        <v>0</v>
      </c>
      <c r="AT589" s="58">
        <f ca="1">SUM((INDIRECT(AT$2&amp;(ROW())):INDIRECT(AT$3&amp;(ROW()))))</f>
        <v>347890</v>
      </c>
      <c r="AU589" s="58">
        <f ca="1">SUM(INDIRECT(AU$1&amp;AU$2&amp;$C589):INDIRECT(AU$1&amp;AU$3&amp;$C589))</f>
        <v>0</v>
      </c>
      <c r="AV589" s="3261">
        <f t="shared" ca="1" si="858"/>
        <v>347890</v>
      </c>
      <c r="AW589" s="2913">
        <f t="shared" ca="1" si="859"/>
        <v>0</v>
      </c>
      <c r="AX589" s="58">
        <f ca="1">SUM(INDIRECT(AX$1&amp;AX$2&amp;$A589):INDIRECT(AX$1&amp;AX$3&amp;$A589))</f>
        <v>0</v>
      </c>
      <c r="AY589" s="3261">
        <f t="shared" ca="1" si="860"/>
        <v>347890</v>
      </c>
      <c r="AZ589" s="2913">
        <f t="shared" ca="1" si="861"/>
        <v>0</v>
      </c>
      <c r="BB589" s="58">
        <f ca="1">SUM((INDIRECT(BB$2&amp;(ROW())):INDIRECT(BB$3&amp;(ROW()))))</f>
        <v>1402875.10871554</v>
      </c>
      <c r="BC589" s="58">
        <f ca="1">SUM(INDIRECT(BC$1&amp;BC$2&amp;$C589):INDIRECT(BC$1&amp;BC$3&amp;$C589))</f>
        <v>0</v>
      </c>
      <c r="BD589" s="3261">
        <f t="shared" ca="1" si="862"/>
        <v>1402875.10871554</v>
      </c>
      <c r="BE589" s="2913">
        <f t="shared" ca="1" si="863"/>
        <v>0</v>
      </c>
      <c r="BF589" s="58">
        <f ca="1">SUM(INDIRECT(BF$1&amp;BF$2&amp;$A589):INDIRECT(BF$1&amp;BF$3&amp;$A589))</f>
        <v>0</v>
      </c>
      <c r="BG589" s="3261">
        <f t="shared" ca="1" si="864"/>
        <v>1402875.10871554</v>
      </c>
      <c r="BH589" s="2913">
        <f t="shared" ca="1" si="865"/>
        <v>0</v>
      </c>
    </row>
    <row r="590" spans="1:60" ht="14.5">
      <c r="A590" s="616">
        <f t="shared" si="829"/>
        <v>525</v>
      </c>
      <c r="B590" s="616">
        <v>1</v>
      </c>
      <c r="C590" s="616">
        <f t="shared" si="891"/>
        <v>587</v>
      </c>
      <c r="E590" s="2547">
        <v>1</v>
      </c>
      <c r="I590" s="73"/>
      <c r="J590" s="72"/>
      <c r="K590" s="68"/>
      <c r="L590" s="68"/>
      <c r="P590" s="97" t="s">
        <v>1465</v>
      </c>
      <c r="Q590" s="1779" t="str">
        <f>CHOOSE(2, "6722000003509", "S/GP (2) Gross Profit Direct NH KMI Copy Click")</f>
        <v>S/GP (2) Gross Profit Direct NH KMI Copy Click</v>
      </c>
      <c r="R590" s="1247">
        <f>86355+13687</f>
        <v>100042</v>
      </c>
      <c r="S590" s="1227">
        <f>93319+14642</f>
        <v>107961</v>
      </c>
      <c r="T590" s="1227">
        <f>95882+16081</f>
        <v>111963</v>
      </c>
      <c r="U590" s="1227">
        <f>98696+17620</f>
        <v>116316</v>
      </c>
      <c r="V590" s="1227">
        <f>124287.10871554+16859</f>
        <v>141146.10871554</v>
      </c>
      <c r="W590" s="1227">
        <f>50210+17022</f>
        <v>67232</v>
      </c>
      <c r="X590" s="1227">
        <f>134880+27095</f>
        <v>161975</v>
      </c>
      <c r="Y590" s="1227">
        <f>104299+15703</f>
        <v>120002</v>
      </c>
      <c r="Z590" s="1227">
        <f>111974+16374</f>
        <v>128348</v>
      </c>
      <c r="AA590" s="1227">
        <f>130623+15577</f>
        <v>146200</v>
      </c>
      <c r="AB590" s="1227">
        <f>112143+26298</f>
        <v>138441</v>
      </c>
      <c r="AC590" s="1227">
        <f>42178+21071</f>
        <v>63249</v>
      </c>
      <c r="AD590" s="295">
        <f>SUM(R590,S590,T590)</f>
        <v>319966</v>
      </c>
      <c r="AE590" s="96">
        <f t="shared" ref="AE590:AE592" si="904">SUM(U590,V590,W590)</f>
        <v>324694.10871554003</v>
      </c>
      <c r="AF590" s="96">
        <f t="shared" ref="AF590:AF592" si="905">SUM(X590,Y590,Z590)</f>
        <v>410325</v>
      </c>
      <c r="AG590" s="96">
        <f t="shared" ref="AG590:AG592" si="906">SUM(AA590,AB590,AC590)</f>
        <v>347890</v>
      </c>
      <c r="AH590" s="96">
        <f>AD590+AE590</f>
        <v>644660.10871554003</v>
      </c>
      <c r="AI590" s="96">
        <f>AG590+AF590</f>
        <v>758215</v>
      </c>
      <c r="AJ590" s="96">
        <f>AH590+AI590</f>
        <v>1402875.10871554</v>
      </c>
      <c r="AL590" s="96">
        <f ca="1">SUM((INDIRECT(AL$2&amp;(ROW())):INDIRECT(AL$3&amp;(ROW()))))</f>
        <v>63249</v>
      </c>
      <c r="AM590" s="96">
        <f ca="1">SUM(INDIRECT(AM$1&amp;AM$2&amp;$C590):INDIRECT(AM$1&amp;AM$3&amp;$C590))</f>
        <v>0</v>
      </c>
      <c r="AN590" s="3227">
        <f t="shared" ca="1" si="854"/>
        <v>63249</v>
      </c>
      <c r="AO590" s="2878">
        <f t="shared" ca="1" si="855"/>
        <v>0</v>
      </c>
      <c r="AP590" s="96">
        <f ca="1">SUM(INDIRECT(AP$1&amp;AP$2&amp;$A590):INDIRECT(AP$1&amp;AP$3&amp;$A590))</f>
        <v>0</v>
      </c>
      <c r="AQ590" s="3227">
        <f t="shared" ca="1" si="856"/>
        <v>63249</v>
      </c>
      <c r="AR590" s="2878">
        <f t="shared" ca="1" si="857"/>
        <v>0</v>
      </c>
      <c r="AT590" s="96">
        <f ca="1">SUM((INDIRECT(AT$2&amp;(ROW())):INDIRECT(AT$3&amp;(ROW()))))</f>
        <v>347890</v>
      </c>
      <c r="AU590" s="96">
        <f ca="1">SUM(INDIRECT(AU$1&amp;AU$2&amp;$C590):INDIRECT(AU$1&amp;AU$3&amp;$C590))</f>
        <v>0</v>
      </c>
      <c r="AV590" s="3227">
        <f t="shared" ca="1" si="858"/>
        <v>347890</v>
      </c>
      <c r="AW590" s="2878">
        <f t="shared" ca="1" si="859"/>
        <v>0</v>
      </c>
      <c r="AX590" s="96">
        <f ca="1">SUM(INDIRECT(AX$1&amp;AX$2&amp;$A590):INDIRECT(AX$1&amp;AX$3&amp;$A590))</f>
        <v>0</v>
      </c>
      <c r="AY590" s="3227">
        <f t="shared" ca="1" si="860"/>
        <v>347890</v>
      </c>
      <c r="AZ590" s="2878">
        <f t="shared" ca="1" si="861"/>
        <v>0</v>
      </c>
      <c r="BB590" s="96">
        <f ca="1">SUM((INDIRECT(BB$2&amp;(ROW())):INDIRECT(BB$3&amp;(ROW()))))</f>
        <v>1402875.10871554</v>
      </c>
      <c r="BC590" s="96">
        <f ca="1">SUM(INDIRECT(BC$1&amp;BC$2&amp;$C590):INDIRECT(BC$1&amp;BC$3&amp;$C590))</f>
        <v>0</v>
      </c>
      <c r="BD590" s="3227">
        <f t="shared" ca="1" si="862"/>
        <v>1402875.10871554</v>
      </c>
      <c r="BE590" s="2878">
        <f t="shared" ca="1" si="863"/>
        <v>0</v>
      </c>
      <c r="BF590" s="96">
        <f ca="1">SUM(INDIRECT(BF$1&amp;BF$2&amp;$A590):INDIRECT(BF$1&amp;BF$3&amp;$A590))</f>
        <v>0</v>
      </c>
      <c r="BG590" s="3227">
        <f t="shared" ca="1" si="864"/>
        <v>1402875.10871554</v>
      </c>
      <c r="BH590" s="2878">
        <f t="shared" ca="1" si="865"/>
        <v>0</v>
      </c>
    </row>
    <row r="591" spans="1:60" ht="14.5">
      <c r="A591" s="616">
        <f t="shared" si="829"/>
        <v>526</v>
      </c>
      <c r="B591" s="616">
        <v>1</v>
      </c>
      <c r="C591" s="616">
        <f t="shared" si="891"/>
        <v>588</v>
      </c>
      <c r="E591" s="2547">
        <v>1</v>
      </c>
      <c r="I591" s="73"/>
      <c r="J591" s="72"/>
      <c r="K591" s="68"/>
      <c r="L591" s="68"/>
      <c r="N591" s="285"/>
      <c r="O591" s="285"/>
      <c r="P591" s="285" t="s">
        <v>1466</v>
      </c>
      <c r="Q591" s="1779" t="str">
        <f>CHOOSE(2, "6722000003510", "S/GP (2) Gross Profit Direct NH KMI NonContract")</f>
        <v>S/GP (2) Gross Profit Direct NH KMI NonContract</v>
      </c>
      <c r="R591" s="1390">
        <v>0</v>
      </c>
      <c r="S591" s="1245">
        <v>0</v>
      </c>
      <c r="T591" s="1245">
        <v>0</v>
      </c>
      <c r="U591" s="1245">
        <v>0</v>
      </c>
      <c r="V591" s="1245">
        <v>0</v>
      </c>
      <c r="W591" s="1245">
        <v>0</v>
      </c>
      <c r="X591" s="1245">
        <v>0</v>
      </c>
      <c r="Y591" s="1245">
        <v>0</v>
      </c>
      <c r="Z591" s="1245">
        <v>0</v>
      </c>
      <c r="AA591" s="1245">
        <v>0</v>
      </c>
      <c r="AB591" s="1245">
        <v>0</v>
      </c>
      <c r="AC591" s="1245">
        <v>0</v>
      </c>
      <c r="AD591" s="315">
        <f>SUM(R591,S591,T591)</f>
        <v>0</v>
      </c>
      <c r="AE591" s="287">
        <f t="shared" si="904"/>
        <v>0</v>
      </c>
      <c r="AF591" s="287">
        <f t="shared" si="905"/>
        <v>0</v>
      </c>
      <c r="AG591" s="287">
        <f t="shared" si="906"/>
        <v>0</v>
      </c>
      <c r="AH591" s="287">
        <f>AD591+AE591</f>
        <v>0</v>
      </c>
      <c r="AI591" s="287">
        <f>AG591+AF591</f>
        <v>0</v>
      </c>
      <c r="AJ591" s="287">
        <f>AH591+AI591</f>
        <v>0</v>
      </c>
      <c r="AL591" s="287">
        <f ca="1">SUM((INDIRECT(AL$2&amp;(ROW())):INDIRECT(AL$3&amp;(ROW()))))</f>
        <v>0</v>
      </c>
      <c r="AM591" s="287">
        <f ca="1">SUM(INDIRECT(AM$1&amp;AM$2&amp;$C591):INDIRECT(AM$1&amp;AM$3&amp;$C591))</f>
        <v>0</v>
      </c>
      <c r="AN591" s="3226">
        <f t="shared" ca="1" si="854"/>
        <v>0</v>
      </c>
      <c r="AO591" s="2876">
        <f t="shared" ca="1" si="855"/>
        <v>0</v>
      </c>
      <c r="AP591" s="287">
        <f ca="1">SUM(INDIRECT(AP$1&amp;AP$2&amp;$A591):INDIRECT(AP$1&amp;AP$3&amp;$A591))</f>
        <v>0</v>
      </c>
      <c r="AQ591" s="3226">
        <f t="shared" ca="1" si="856"/>
        <v>0</v>
      </c>
      <c r="AR591" s="2876">
        <f t="shared" ca="1" si="857"/>
        <v>0</v>
      </c>
      <c r="AT591" s="287">
        <f ca="1">SUM((INDIRECT(AT$2&amp;(ROW())):INDIRECT(AT$3&amp;(ROW()))))</f>
        <v>0</v>
      </c>
      <c r="AU591" s="287">
        <f ca="1">SUM(INDIRECT(AU$1&amp;AU$2&amp;$C591):INDIRECT(AU$1&amp;AU$3&amp;$C591))</f>
        <v>0</v>
      </c>
      <c r="AV591" s="3226">
        <f t="shared" ca="1" si="858"/>
        <v>0</v>
      </c>
      <c r="AW591" s="2876">
        <f t="shared" ca="1" si="859"/>
        <v>0</v>
      </c>
      <c r="AX591" s="287">
        <f ca="1">SUM(INDIRECT(AX$1&amp;AX$2&amp;$A591):INDIRECT(AX$1&amp;AX$3&amp;$A591))</f>
        <v>0</v>
      </c>
      <c r="AY591" s="3226">
        <f t="shared" ca="1" si="860"/>
        <v>0</v>
      </c>
      <c r="AZ591" s="2876">
        <f t="shared" ca="1" si="861"/>
        <v>0</v>
      </c>
      <c r="BB591" s="287">
        <f ca="1">SUM((INDIRECT(BB$2&amp;(ROW())):INDIRECT(BB$3&amp;(ROW()))))</f>
        <v>0</v>
      </c>
      <c r="BC591" s="287">
        <f ca="1">SUM(INDIRECT(BC$1&amp;BC$2&amp;$C591):INDIRECT(BC$1&amp;BC$3&amp;$C591))</f>
        <v>0</v>
      </c>
      <c r="BD591" s="3226">
        <f t="shared" ca="1" si="862"/>
        <v>0</v>
      </c>
      <c r="BE591" s="2876">
        <f t="shared" ca="1" si="863"/>
        <v>0</v>
      </c>
      <c r="BF591" s="287">
        <f ca="1">SUM(INDIRECT(BF$1&amp;BF$2&amp;$A591):INDIRECT(BF$1&amp;BF$3&amp;$A591))</f>
        <v>0</v>
      </c>
      <c r="BG591" s="3226">
        <f t="shared" ca="1" si="864"/>
        <v>0</v>
      </c>
      <c r="BH591" s="2876">
        <f t="shared" ca="1" si="865"/>
        <v>0</v>
      </c>
    </row>
    <row r="592" spans="1:60" ht="14.5">
      <c r="A592" s="616">
        <f t="shared" si="829"/>
        <v>527</v>
      </c>
      <c r="B592" s="616">
        <v>1</v>
      </c>
      <c r="C592" s="616">
        <f t="shared" si="891"/>
        <v>589</v>
      </c>
      <c r="E592" s="2547">
        <v>1</v>
      </c>
      <c r="I592" s="73"/>
      <c r="J592" s="72"/>
      <c r="K592" s="68"/>
      <c r="L592" s="68"/>
      <c r="N592" s="288" t="s">
        <v>1464</v>
      </c>
      <c r="Q592" s="1779" t="str">
        <f>CHOOSE(2, "6722000003511", "S/GP (2) Gross Profit Direct NH 3rd Party")</f>
        <v>S/GP (2) Gross Profit Direct NH 3rd Party</v>
      </c>
      <c r="R592" s="1217">
        <v>0</v>
      </c>
      <c r="S592" s="1217">
        <v>0</v>
      </c>
      <c r="T592" s="1217">
        <v>0</v>
      </c>
      <c r="U592" s="1217">
        <v>0</v>
      </c>
      <c r="V592" s="1217">
        <v>0</v>
      </c>
      <c r="W592" s="1217">
        <v>0</v>
      </c>
      <c r="X592" s="1217">
        <v>0</v>
      </c>
      <c r="Y592" s="1217">
        <v>0</v>
      </c>
      <c r="Z592" s="1217">
        <v>0</v>
      </c>
      <c r="AA592" s="1217">
        <v>0</v>
      </c>
      <c r="AB592" s="1217">
        <v>0</v>
      </c>
      <c r="AC592" s="1217">
        <v>0</v>
      </c>
      <c r="AD592" s="88">
        <f>SUM(R592,S592,T592)</f>
        <v>0</v>
      </c>
      <c r="AE592" s="17">
        <f t="shared" si="904"/>
        <v>0</v>
      </c>
      <c r="AF592" s="17">
        <f t="shared" si="905"/>
        <v>0</v>
      </c>
      <c r="AG592" s="17">
        <f t="shared" si="906"/>
        <v>0</v>
      </c>
      <c r="AH592" s="17">
        <f>AD592+AE592</f>
        <v>0</v>
      </c>
      <c r="AI592" s="17">
        <f>AG592+AF592</f>
        <v>0</v>
      </c>
      <c r="AJ592" s="17">
        <f>AH592+AI592</f>
        <v>0</v>
      </c>
      <c r="AL592" s="17">
        <f ca="1">SUM((INDIRECT(AL$2&amp;(ROW())):INDIRECT(AL$3&amp;(ROW()))))</f>
        <v>0</v>
      </c>
      <c r="AM592" s="17">
        <f ca="1">SUM(INDIRECT(AM$1&amp;AM$2&amp;$C592):INDIRECT(AM$1&amp;AM$3&amp;$C592))</f>
        <v>0</v>
      </c>
      <c r="AN592" s="3072">
        <f t="shared" ca="1" si="854"/>
        <v>0</v>
      </c>
      <c r="AO592" s="2708">
        <f t="shared" ca="1" si="855"/>
        <v>0</v>
      </c>
      <c r="AP592" s="17">
        <f ca="1">SUM(INDIRECT(AP$1&amp;AP$2&amp;$A592):INDIRECT(AP$1&amp;AP$3&amp;$A592))</f>
        <v>0</v>
      </c>
      <c r="AQ592" s="3072">
        <f t="shared" ca="1" si="856"/>
        <v>0</v>
      </c>
      <c r="AR592" s="2708">
        <f t="shared" ca="1" si="857"/>
        <v>0</v>
      </c>
      <c r="AT592" s="17">
        <f ca="1">SUM((INDIRECT(AT$2&amp;(ROW())):INDIRECT(AT$3&amp;(ROW()))))</f>
        <v>0</v>
      </c>
      <c r="AU592" s="17">
        <f ca="1">SUM(INDIRECT(AU$1&amp;AU$2&amp;$C592):INDIRECT(AU$1&amp;AU$3&amp;$C592))</f>
        <v>0</v>
      </c>
      <c r="AV592" s="3072">
        <f t="shared" ca="1" si="858"/>
        <v>0</v>
      </c>
      <c r="AW592" s="2708">
        <f t="shared" ca="1" si="859"/>
        <v>0</v>
      </c>
      <c r="AX592" s="17">
        <f ca="1">SUM(INDIRECT(AX$1&amp;AX$2&amp;$A592):INDIRECT(AX$1&amp;AX$3&amp;$A592))</f>
        <v>0</v>
      </c>
      <c r="AY592" s="3072">
        <f t="shared" ca="1" si="860"/>
        <v>0</v>
      </c>
      <c r="AZ592" s="2708">
        <f t="shared" ca="1" si="861"/>
        <v>0</v>
      </c>
      <c r="BB592" s="17">
        <f ca="1">SUM((INDIRECT(BB$2&amp;(ROW())):INDIRECT(BB$3&amp;(ROW()))))</f>
        <v>0</v>
      </c>
      <c r="BC592" s="17">
        <f ca="1">SUM(INDIRECT(BC$1&amp;BC$2&amp;$C592):INDIRECT(BC$1&amp;BC$3&amp;$C592))</f>
        <v>0</v>
      </c>
      <c r="BD592" s="3072">
        <f t="shared" ca="1" si="862"/>
        <v>0</v>
      </c>
      <c r="BE592" s="2708">
        <f t="shared" ca="1" si="863"/>
        <v>0</v>
      </c>
      <c r="BF592" s="17">
        <f ca="1">SUM(INDIRECT(BF$1&amp;BF$2&amp;$A592):INDIRECT(BF$1&amp;BF$3&amp;$A592))</f>
        <v>0</v>
      </c>
      <c r="BG592" s="3072">
        <f t="shared" ca="1" si="864"/>
        <v>0</v>
      </c>
      <c r="BH592" s="2708">
        <f t="shared" ca="1" si="865"/>
        <v>0</v>
      </c>
    </row>
    <row r="593" spans="1:60" ht="14.5">
      <c r="A593" s="616">
        <f t="shared" si="829"/>
        <v>528</v>
      </c>
      <c r="B593" s="616">
        <v>1</v>
      </c>
      <c r="C593" s="616">
        <f t="shared" si="891"/>
        <v>590</v>
      </c>
      <c r="E593" s="2547">
        <v>1</v>
      </c>
      <c r="I593" s="73"/>
      <c r="J593" s="72"/>
      <c r="K593" s="68"/>
      <c r="L593" s="68"/>
      <c r="M593" s="208"/>
      <c r="N593" s="290" t="s">
        <v>1484</v>
      </c>
      <c r="O593" s="290"/>
      <c r="P593" s="290"/>
      <c r="Q593" s="1777" t="str">
        <f>CHOOSE(2, "6722000003512", "S/GP (2) Gross Profit Direct NH &lt;Direct&gt;FSC(-)")</f>
        <v>S/GP (2) Gross Profit Direct NH &lt;Direct&gt;FSC(-)</v>
      </c>
      <c r="R593" s="3103">
        <f t="shared" ref="R593:AC593" si="907">SUM(R594:R596)</f>
        <v>-13687</v>
      </c>
      <c r="S593" s="3103">
        <f t="shared" si="907"/>
        <v>-14642</v>
      </c>
      <c r="T593" s="3103">
        <f t="shared" si="907"/>
        <v>-16081</v>
      </c>
      <c r="U593" s="3103">
        <f t="shared" si="907"/>
        <v>-17620</v>
      </c>
      <c r="V593" s="3103">
        <f t="shared" si="907"/>
        <v>-16858.855701118951</v>
      </c>
      <c r="W593" s="3103">
        <f t="shared" si="907"/>
        <v>-17021.748</v>
      </c>
      <c r="X593" s="3103">
        <f t="shared" si="907"/>
        <v>-27094.748</v>
      </c>
      <c r="Y593" s="3103">
        <f t="shared" si="907"/>
        <v>-15703</v>
      </c>
      <c r="Z593" s="3103">
        <f t="shared" si="907"/>
        <v>-16374</v>
      </c>
      <c r="AA593" s="3103">
        <f t="shared" si="907"/>
        <v>-15577</v>
      </c>
      <c r="AB593" s="3103">
        <f t="shared" si="907"/>
        <v>-26298.092000000001</v>
      </c>
      <c r="AC593" s="3103">
        <f t="shared" si="907"/>
        <v>-21071</v>
      </c>
      <c r="AD593" s="3244">
        <f t="shared" ref="AD593:AJ593" si="908">SUM(AD594:AD596)</f>
        <v>-44410</v>
      </c>
      <c r="AE593" s="3103">
        <f t="shared" si="908"/>
        <v>-51500.603701118947</v>
      </c>
      <c r="AF593" s="3103">
        <f t="shared" si="908"/>
        <v>-59171.748</v>
      </c>
      <c r="AG593" s="3103">
        <f t="shared" si="908"/>
        <v>-62946.091999999997</v>
      </c>
      <c r="AH593" s="3103">
        <f t="shared" si="908"/>
        <v>-95910.603701118947</v>
      </c>
      <c r="AI593" s="3103">
        <f t="shared" si="908"/>
        <v>-122117.84</v>
      </c>
      <c r="AJ593" s="3103">
        <f t="shared" si="908"/>
        <v>-218028.44370111896</v>
      </c>
      <c r="AL593" s="3103">
        <f ca="1">SUM((INDIRECT(AL$2&amp;(ROW())):INDIRECT(AL$3&amp;(ROW()))))</f>
        <v>-21071</v>
      </c>
      <c r="AM593" s="3103">
        <f ca="1">SUM(INDIRECT(AM$1&amp;AM$2&amp;$C593):INDIRECT(AM$1&amp;AM$3&amp;$C593))</f>
        <v>0</v>
      </c>
      <c r="AN593" s="3259">
        <f t="shared" ca="1" si="854"/>
        <v>-21071</v>
      </c>
      <c r="AO593" s="2911">
        <f t="shared" ca="1" si="855"/>
        <v>0</v>
      </c>
      <c r="AP593" s="3103">
        <f ca="1">SUM(INDIRECT(AP$1&amp;AP$2&amp;$A593):INDIRECT(AP$1&amp;AP$3&amp;$A593))</f>
        <v>0</v>
      </c>
      <c r="AQ593" s="3259">
        <f t="shared" ca="1" si="856"/>
        <v>-21071</v>
      </c>
      <c r="AR593" s="2911">
        <f t="shared" ca="1" si="857"/>
        <v>0</v>
      </c>
      <c r="AT593" s="3103">
        <f ca="1">SUM((INDIRECT(AT$2&amp;(ROW())):INDIRECT(AT$3&amp;(ROW()))))</f>
        <v>-62946.092000000004</v>
      </c>
      <c r="AU593" s="3103">
        <f ca="1">SUM(INDIRECT(AU$1&amp;AU$2&amp;$C593):INDIRECT(AU$1&amp;AU$3&amp;$C593))</f>
        <v>0</v>
      </c>
      <c r="AV593" s="3259">
        <f t="shared" ca="1" si="858"/>
        <v>-62946.092000000004</v>
      </c>
      <c r="AW593" s="2911">
        <f t="shared" ca="1" si="859"/>
        <v>0</v>
      </c>
      <c r="AX593" s="3103">
        <f ca="1">SUM(INDIRECT(AX$1&amp;AX$2&amp;$A593):INDIRECT(AX$1&amp;AX$3&amp;$A593))</f>
        <v>0</v>
      </c>
      <c r="AY593" s="3259">
        <f t="shared" ca="1" si="860"/>
        <v>-62946.092000000004</v>
      </c>
      <c r="AZ593" s="2911">
        <f t="shared" ca="1" si="861"/>
        <v>0</v>
      </c>
      <c r="BB593" s="3103">
        <f ca="1">SUM((INDIRECT(BB$2&amp;(ROW())):INDIRECT(BB$3&amp;(ROW()))))</f>
        <v>-218028.44370111896</v>
      </c>
      <c r="BC593" s="3103">
        <f ca="1">SUM(INDIRECT(BC$1&amp;BC$2&amp;$C593):INDIRECT(BC$1&amp;BC$3&amp;$C593))</f>
        <v>0</v>
      </c>
      <c r="BD593" s="3259">
        <f t="shared" ca="1" si="862"/>
        <v>-218028.44370111896</v>
      </c>
      <c r="BE593" s="2911">
        <f t="shared" ca="1" si="863"/>
        <v>0</v>
      </c>
      <c r="BF593" s="3103">
        <f ca="1">SUM(INDIRECT(BF$1&amp;BF$2&amp;$A593):INDIRECT(BF$1&amp;BF$3&amp;$A593))</f>
        <v>0</v>
      </c>
      <c r="BG593" s="3259">
        <f t="shared" ca="1" si="864"/>
        <v>-218028.44370111896</v>
      </c>
      <c r="BH593" s="2911">
        <f t="shared" ca="1" si="865"/>
        <v>0</v>
      </c>
    </row>
    <row r="594" spans="1:60" ht="14.5">
      <c r="A594" s="616">
        <f t="shared" si="829"/>
        <v>529</v>
      </c>
      <c r="B594" s="616">
        <v>1</v>
      </c>
      <c r="C594" s="616">
        <f t="shared" si="891"/>
        <v>591</v>
      </c>
      <c r="E594" s="2547">
        <v>1</v>
      </c>
      <c r="I594" s="73"/>
      <c r="J594" s="72"/>
      <c r="K594" s="68"/>
      <c r="L594" s="68"/>
      <c r="M594" s="208"/>
      <c r="N594" s="291"/>
      <c r="O594" s="291"/>
      <c r="P594" s="291" t="s">
        <v>1471</v>
      </c>
      <c r="Q594" s="1779" t="str">
        <f>CHOOSE(2, "6722000003513", "S/GP (2) Gross Profit Direct NH &lt;Direct&gt;FSC(-) PC")</f>
        <v>S/GP (2) Gross Profit Direct NH &lt;Direct&gt;FSC(-) PC</v>
      </c>
      <c r="R594" s="1227">
        <v>-13368</v>
      </c>
      <c r="S594" s="1227">
        <v>-13249</v>
      </c>
      <c r="T594" s="1227">
        <v>-13514</v>
      </c>
      <c r="U594" s="1227">
        <v>-15078</v>
      </c>
      <c r="V594" s="1227">
        <v>-14059.14570111895</v>
      </c>
      <c r="W594" s="1227">
        <v>-13264</v>
      </c>
      <c r="X594" s="1227">
        <v>-22029</v>
      </c>
      <c r="Y594" s="1227">
        <v>-13234</v>
      </c>
      <c r="Z594" s="1227">
        <v>-13397</v>
      </c>
      <c r="AA594" s="1227">
        <v>-13114</v>
      </c>
      <c r="AB594" s="1227">
        <v>-22624</v>
      </c>
      <c r="AC594" s="1227">
        <v>-10762</v>
      </c>
      <c r="AD594" s="295">
        <f>SUM(R594,S594,T594)</f>
        <v>-40131</v>
      </c>
      <c r="AE594" s="96">
        <f t="shared" ref="AE594:AE596" si="909">SUM(U594,V594,W594)</f>
        <v>-42401.145701118949</v>
      </c>
      <c r="AF594" s="96">
        <f t="shared" ref="AF594:AF596" si="910">SUM(X594,Y594,Z594)</f>
        <v>-48660</v>
      </c>
      <c r="AG594" s="96">
        <f t="shared" ref="AG594:AG596" si="911">SUM(AA594,AB594,AC594)</f>
        <v>-46500</v>
      </c>
      <c r="AH594" s="96">
        <f>AD594+AE594</f>
        <v>-82532.145701118949</v>
      </c>
      <c r="AI594" s="96">
        <f>AG594+AF594</f>
        <v>-95160</v>
      </c>
      <c r="AJ594" s="96">
        <f>AH594+AI594</f>
        <v>-177692.14570111895</v>
      </c>
      <c r="AL594" s="96">
        <f ca="1">SUM((INDIRECT(AL$2&amp;(ROW())):INDIRECT(AL$3&amp;(ROW()))))</f>
        <v>-10762</v>
      </c>
      <c r="AM594" s="96">
        <f ca="1">SUM(INDIRECT(AM$1&amp;AM$2&amp;$C594):INDIRECT(AM$1&amp;AM$3&amp;$C594))</f>
        <v>143174.93346550182</v>
      </c>
      <c r="AN594" s="3227">
        <f t="shared" ca="1" si="854"/>
        <v>-153936.93346550182</v>
      </c>
      <c r="AO594" s="2878">
        <f t="shared" ca="1" si="855"/>
        <v>-7.5166788902982923E-2</v>
      </c>
      <c r="AP594" s="96">
        <f ca="1">SUM(INDIRECT(AP$1&amp;AP$2&amp;$A594):INDIRECT(AP$1&amp;AP$3&amp;$A594))</f>
        <v>0</v>
      </c>
      <c r="AQ594" s="3227">
        <f t="shared" ca="1" si="856"/>
        <v>-10762</v>
      </c>
      <c r="AR594" s="2878">
        <f t="shared" ca="1" si="857"/>
        <v>0</v>
      </c>
      <c r="AT594" s="96">
        <f ca="1">SUM((INDIRECT(AT$2&amp;(ROW())):INDIRECT(AT$3&amp;(ROW()))))</f>
        <v>-46500</v>
      </c>
      <c r="AU594" s="96">
        <f ca="1">SUM(INDIRECT(AU$1&amp;AU$2&amp;$C594):INDIRECT(AU$1&amp;AU$3&amp;$C594))</f>
        <v>426940.57287839166</v>
      </c>
      <c r="AV594" s="3227">
        <f t="shared" ca="1" si="858"/>
        <v>-473440.57287839166</v>
      </c>
      <c r="AW594" s="2878">
        <f t="shared" ca="1" si="859"/>
        <v>-0.10891445543931685</v>
      </c>
      <c r="AX594" s="96">
        <f ca="1">SUM(INDIRECT(AX$1&amp;AX$2&amp;$A594):INDIRECT(AX$1&amp;AX$3&amp;$A594))</f>
        <v>0</v>
      </c>
      <c r="AY594" s="3227">
        <f t="shared" ca="1" si="860"/>
        <v>-46500</v>
      </c>
      <c r="AZ594" s="2878">
        <f t="shared" ca="1" si="861"/>
        <v>0</v>
      </c>
      <c r="BB594" s="96">
        <f ca="1">SUM((INDIRECT(BB$2&amp;(ROW())):INDIRECT(BB$3&amp;(ROW()))))</f>
        <v>-177692.14570111895</v>
      </c>
      <c r="BC594" s="96">
        <f ca="1">SUM(INDIRECT(BC$1&amp;BC$2&amp;$C594):INDIRECT(BC$1&amp;BC$3&amp;$C594))</f>
        <v>819851.03177779354</v>
      </c>
      <c r="BD594" s="3227">
        <f t="shared" ca="1" si="862"/>
        <v>-997543.17747891252</v>
      </c>
      <c r="BE594" s="2878">
        <f t="shared" ca="1" si="863"/>
        <v>-0.21673711297990941</v>
      </c>
      <c r="BF594" s="96">
        <f ca="1">SUM(INDIRECT(BF$1&amp;BF$2&amp;$A594):INDIRECT(BF$1&amp;BF$3&amp;$A594))</f>
        <v>0</v>
      </c>
      <c r="BG594" s="3227">
        <f t="shared" ca="1" si="864"/>
        <v>-177692.14570111895</v>
      </c>
      <c r="BH594" s="2878">
        <f t="shared" ca="1" si="865"/>
        <v>0</v>
      </c>
    </row>
    <row r="595" spans="1:60" ht="14.5">
      <c r="A595" s="616">
        <f t="shared" si="829"/>
        <v>530</v>
      </c>
      <c r="B595" s="616">
        <v>1</v>
      </c>
      <c r="C595" s="616">
        <f t="shared" si="891"/>
        <v>592</v>
      </c>
      <c r="E595" s="2547">
        <v>1</v>
      </c>
      <c r="I595" s="73"/>
      <c r="J595" s="72"/>
      <c r="K595" s="68"/>
      <c r="L595" s="68"/>
      <c r="M595" s="208"/>
      <c r="N595" s="229"/>
      <c r="O595" s="229"/>
      <c r="P595" s="229" t="s">
        <v>1472</v>
      </c>
      <c r="Q595" s="1779" t="str">
        <f>CHOOSE(2, "6722000003514", "S/GP (2) Gross Profit Direct NH &lt;Direct&gt;FSC(-) TE")</f>
        <v>S/GP (2) Gross Profit Direct NH &lt;Direct&gt;FSC(-) TE</v>
      </c>
      <c r="R595" s="1217">
        <v>0</v>
      </c>
      <c r="S595" s="1217">
        <v>-1074</v>
      </c>
      <c r="T595" s="1217">
        <v>-2392</v>
      </c>
      <c r="U595" s="1217">
        <v>-2268</v>
      </c>
      <c r="V595" s="1217">
        <v>-2511.962</v>
      </c>
      <c r="W595" s="1217">
        <v>-3470</v>
      </c>
      <c r="X595" s="1217">
        <v>-4778</v>
      </c>
      <c r="Y595" s="1217">
        <v>-2231</v>
      </c>
      <c r="Z595" s="1217">
        <v>-2689</v>
      </c>
      <c r="AA595" s="1217">
        <v>-2175</v>
      </c>
      <c r="AB595" s="1217">
        <v>-3386.3440000000001</v>
      </c>
      <c r="AC595" s="1217">
        <v>-9936</v>
      </c>
      <c r="AD595" s="88">
        <f>SUM(R595,S595,T595)</f>
        <v>-3466</v>
      </c>
      <c r="AE595" s="17">
        <f t="shared" si="909"/>
        <v>-8249.9619999999995</v>
      </c>
      <c r="AF595" s="17">
        <f t="shared" si="910"/>
        <v>-9698</v>
      </c>
      <c r="AG595" s="17">
        <f t="shared" si="911"/>
        <v>-15497.344000000001</v>
      </c>
      <c r="AH595" s="17">
        <f>AD595+AE595</f>
        <v>-11715.962</v>
      </c>
      <c r="AI595" s="17">
        <f>AG595+AF595</f>
        <v>-25195.344000000001</v>
      </c>
      <c r="AJ595" s="17">
        <f>AH595+AI595</f>
        <v>-36911.305999999997</v>
      </c>
      <c r="AL595" s="17">
        <f ca="1">SUM((INDIRECT(AL$2&amp;(ROW())):INDIRECT(AL$3&amp;(ROW()))))</f>
        <v>-9936</v>
      </c>
      <c r="AM595" s="17">
        <f ca="1">SUM(INDIRECT(AM$1&amp;AM$2&amp;$C595):INDIRECT(AM$1&amp;AM$3&amp;$C595))</f>
        <v>129669.75360233025</v>
      </c>
      <c r="AN595" s="3072">
        <f t="shared" ca="1" si="854"/>
        <v>-139605.75360233025</v>
      </c>
      <c r="AO595" s="2708">
        <f t="shared" ca="1" si="855"/>
        <v>-7.6625425158681287E-2</v>
      </c>
      <c r="AP595" s="17">
        <f ca="1">SUM(INDIRECT(AP$1&amp;AP$2&amp;$A595):INDIRECT(AP$1&amp;AP$3&amp;$A595))</f>
        <v>0</v>
      </c>
      <c r="AQ595" s="3072">
        <f t="shared" ca="1" si="856"/>
        <v>-9936</v>
      </c>
      <c r="AR595" s="2708">
        <f t="shared" ca="1" si="857"/>
        <v>0</v>
      </c>
      <c r="AT595" s="17">
        <f ca="1">SUM((INDIRECT(AT$2&amp;(ROW())):INDIRECT(AT$3&amp;(ROW()))))</f>
        <v>-15497.344000000001</v>
      </c>
      <c r="AU595" s="17">
        <f ca="1">SUM(INDIRECT(AU$1&amp;AU$2&amp;$C595):INDIRECT(AU$1&amp;AU$3&amp;$C595))</f>
        <v>384418.6090242319</v>
      </c>
      <c r="AV595" s="3072">
        <f t="shared" ca="1" si="858"/>
        <v>-399915.95302423189</v>
      </c>
      <c r="AW595" s="2708">
        <f t="shared" ca="1" si="859"/>
        <v>-4.0313719565597622E-2</v>
      </c>
      <c r="AX595" s="17">
        <f ca="1">SUM(INDIRECT(AX$1&amp;AX$2&amp;$A595):INDIRECT(AX$1&amp;AX$3&amp;$A595))</f>
        <v>0</v>
      </c>
      <c r="AY595" s="3072">
        <f t="shared" ca="1" si="860"/>
        <v>-15497.344000000001</v>
      </c>
      <c r="AZ595" s="2708">
        <f t="shared" ca="1" si="861"/>
        <v>0</v>
      </c>
      <c r="BB595" s="17">
        <f ca="1">SUM((INDIRECT(BB$2&amp;(ROW())):INDIRECT(BB$3&amp;(ROW()))))</f>
        <v>-36911.305999999997</v>
      </c>
      <c r="BC595" s="17">
        <f ca="1">SUM(INDIRECT(BC$1&amp;BC$2&amp;$C595):INDIRECT(BC$1&amp;BC$3&amp;$C595))</f>
        <v>741032.58278618508</v>
      </c>
      <c r="BD595" s="3072">
        <f t="shared" ca="1" si="862"/>
        <v>-777943.88878618507</v>
      </c>
      <c r="BE595" s="2708">
        <f t="shared" ca="1" si="863"/>
        <v>-4.9810638367908652E-2</v>
      </c>
      <c r="BF595" s="17">
        <f ca="1">SUM(INDIRECT(BF$1&amp;BF$2&amp;$A595):INDIRECT(BF$1&amp;BF$3&amp;$A595))</f>
        <v>0</v>
      </c>
      <c r="BG595" s="3072">
        <f t="shared" ca="1" si="864"/>
        <v>-36911.305999999997</v>
      </c>
      <c r="BH595" s="2708">
        <f t="shared" ca="1" si="865"/>
        <v>0</v>
      </c>
    </row>
    <row r="596" spans="1:60" ht="14.5">
      <c r="A596" s="616">
        <f t="shared" si="829"/>
        <v>531</v>
      </c>
      <c r="B596" s="616">
        <v>1</v>
      </c>
      <c r="C596" s="616">
        <f t="shared" si="891"/>
        <v>593</v>
      </c>
      <c r="E596" s="2547">
        <v>1</v>
      </c>
      <c r="I596" s="73"/>
      <c r="J596" s="72"/>
      <c r="K596" s="68"/>
      <c r="L596" s="68"/>
      <c r="M596" s="208"/>
      <c r="N596" s="229"/>
      <c r="O596" s="229"/>
      <c r="P596" s="228" t="s">
        <v>1473</v>
      </c>
      <c r="Q596" s="1779" t="str">
        <f>CHOOSE(2, "6722000003515", "S/GP (2) Gross Profit Direct NH &lt;Direct&gt;FSC(-) OFC")</f>
        <v>S/GP (2) Gross Profit Direct NH &lt;Direct&gt;FSC(-) OFC</v>
      </c>
      <c r="R596" s="1218">
        <v>-319</v>
      </c>
      <c r="S596" s="1218">
        <v>-319</v>
      </c>
      <c r="T596" s="1218">
        <v>-175</v>
      </c>
      <c r="U596" s="1218">
        <v>-274</v>
      </c>
      <c r="V596" s="1218">
        <v>-287.74799999999999</v>
      </c>
      <c r="W596" s="1218">
        <v>-287.74799999999999</v>
      </c>
      <c r="X596" s="1218">
        <v>-287.74799999999999</v>
      </c>
      <c r="Y596" s="1218">
        <v>-238</v>
      </c>
      <c r="Z596" s="1218">
        <v>-288</v>
      </c>
      <c r="AA596" s="1218">
        <v>-288</v>
      </c>
      <c r="AB596" s="1218">
        <v>-287.74799999999999</v>
      </c>
      <c r="AC596" s="1218">
        <v>-373</v>
      </c>
      <c r="AD596" s="87">
        <f>SUM(R596,S596,T596)</f>
        <v>-813</v>
      </c>
      <c r="AE596" s="15">
        <f t="shared" si="909"/>
        <v>-849.49600000000009</v>
      </c>
      <c r="AF596" s="15">
        <f t="shared" si="910"/>
        <v>-813.74800000000005</v>
      </c>
      <c r="AG596" s="15">
        <f t="shared" si="911"/>
        <v>-948.74800000000005</v>
      </c>
      <c r="AH596" s="15">
        <f>AD596+AE596</f>
        <v>-1662.4960000000001</v>
      </c>
      <c r="AI596" s="15">
        <f>AG596+AF596</f>
        <v>-1762.4960000000001</v>
      </c>
      <c r="AJ596" s="15">
        <f>AH596+AI596</f>
        <v>-3424.9920000000002</v>
      </c>
      <c r="AL596" s="15">
        <f ca="1">SUM((INDIRECT(AL$2&amp;(ROW())):INDIRECT(AL$3&amp;(ROW()))))</f>
        <v>-373</v>
      </c>
      <c r="AM596" s="15">
        <f ca="1">SUM(INDIRECT(AM$1&amp;AM$2&amp;$C596):INDIRECT(AM$1&amp;AM$3&amp;$C596))</f>
        <v>36496.930795359956</v>
      </c>
      <c r="AN596" s="3073">
        <f t="shared" ca="1" si="854"/>
        <v>-36869.930795359956</v>
      </c>
      <c r="AO596" s="2710">
        <f t="shared" ca="1" si="855"/>
        <v>-1.0220037462641144E-2</v>
      </c>
      <c r="AP596" s="15">
        <f ca="1">SUM(INDIRECT(AP$1&amp;AP$2&amp;$A596):INDIRECT(AP$1&amp;AP$3&amp;$A596))</f>
        <v>0</v>
      </c>
      <c r="AQ596" s="3073">
        <f t="shared" ca="1" si="856"/>
        <v>-373</v>
      </c>
      <c r="AR596" s="2710">
        <f t="shared" ca="1" si="857"/>
        <v>0</v>
      </c>
      <c r="AT596" s="15">
        <f ca="1">SUM((INDIRECT(AT$2&amp;(ROW())):INDIRECT(AT$3&amp;(ROW()))))</f>
        <v>-948.74800000000005</v>
      </c>
      <c r="AU596" s="15">
        <f ca="1">SUM(INDIRECT(AU$1&amp;AU$2&amp;$C596):INDIRECT(AU$1&amp;AU$3&amp;$C596))</f>
        <v>103072.38277594029</v>
      </c>
      <c r="AV596" s="3073">
        <f t="shared" ca="1" si="858"/>
        <v>-104021.1307759403</v>
      </c>
      <c r="AW596" s="2710">
        <f t="shared" ca="1" si="859"/>
        <v>-9.2046770866100695E-3</v>
      </c>
      <c r="AX596" s="15">
        <f ca="1">SUM(INDIRECT(AX$1&amp;AX$2&amp;$A596):INDIRECT(AX$1&amp;AX$3&amp;$A596))</f>
        <v>0</v>
      </c>
      <c r="AY596" s="3073">
        <f t="shared" ca="1" si="860"/>
        <v>-948.74800000000005</v>
      </c>
      <c r="AZ596" s="2710">
        <f t="shared" ca="1" si="861"/>
        <v>0</v>
      </c>
      <c r="BB596" s="15">
        <f ca="1">SUM((INDIRECT(BB$2&amp;(ROW())):INDIRECT(BB$3&amp;(ROW()))))</f>
        <v>-3424.9920000000002</v>
      </c>
      <c r="BC596" s="15">
        <f ca="1">SUM(INDIRECT(BC$1&amp;BC$2&amp;$C596):INDIRECT(BC$1&amp;BC$3&amp;$C596))</f>
        <v>186734.32548912527</v>
      </c>
      <c r="BD596" s="3073">
        <f t="shared" ca="1" si="862"/>
        <v>-190159.31748912527</v>
      </c>
      <c r="BE596" s="2710">
        <f t="shared" ca="1" si="863"/>
        <v>-1.834152339709744E-2</v>
      </c>
      <c r="BF596" s="15">
        <f ca="1">SUM(INDIRECT(BF$1&amp;BF$2&amp;$A596):INDIRECT(BF$1&amp;BF$3&amp;$A596))</f>
        <v>0</v>
      </c>
      <c r="BG596" s="3073">
        <f t="shared" ca="1" si="864"/>
        <v>-3424.9920000000002</v>
      </c>
      <c r="BH596" s="2710">
        <f t="shared" ca="1" si="865"/>
        <v>0</v>
      </c>
    </row>
    <row r="597" spans="1:60" ht="14.5">
      <c r="A597" s="616">
        <f t="shared" si="829"/>
        <v>532</v>
      </c>
      <c r="B597" s="616">
        <v>1</v>
      </c>
      <c r="C597" s="616">
        <f t="shared" si="891"/>
        <v>594</v>
      </c>
      <c r="E597" s="2547">
        <v>1</v>
      </c>
      <c r="I597" s="73"/>
      <c r="J597" s="72"/>
      <c r="K597" s="68"/>
      <c r="L597" s="68"/>
      <c r="M597" s="208"/>
      <c r="N597" s="290" t="s">
        <v>1485</v>
      </c>
      <c r="O597" s="290"/>
      <c r="P597" s="290"/>
      <c r="Q597" s="1777" t="str">
        <f>CHOOSE(2, "6722000003516", "S/GP (2) Gross Profit Direct NH &lt;Direct&gt;SDC(-)")</f>
        <v>S/GP (2) Gross Profit Direct NH &lt;Direct&gt;SDC(-)</v>
      </c>
      <c r="R597" s="3103">
        <f t="shared" ref="R597:AC597" si="912">SUM(R598:R599)</f>
        <v>0</v>
      </c>
      <c r="S597" s="3103">
        <f t="shared" si="912"/>
        <v>0</v>
      </c>
      <c r="T597" s="3103">
        <f t="shared" si="912"/>
        <v>0</v>
      </c>
      <c r="U597" s="3103">
        <f t="shared" si="912"/>
        <v>0</v>
      </c>
      <c r="V597" s="3103">
        <f t="shared" si="912"/>
        <v>0</v>
      </c>
      <c r="W597" s="3103">
        <f t="shared" si="912"/>
        <v>0</v>
      </c>
      <c r="X597" s="3103">
        <f t="shared" si="912"/>
        <v>0</v>
      </c>
      <c r="Y597" s="3103">
        <f t="shared" si="912"/>
        <v>0</v>
      </c>
      <c r="Z597" s="3103">
        <f t="shared" si="912"/>
        <v>0</v>
      </c>
      <c r="AA597" s="3103">
        <f t="shared" si="912"/>
        <v>0</v>
      </c>
      <c r="AB597" s="3103">
        <f t="shared" si="912"/>
        <v>0</v>
      </c>
      <c r="AC597" s="3103">
        <f t="shared" si="912"/>
        <v>0</v>
      </c>
      <c r="AD597" s="3244">
        <f t="shared" ref="AD597:AJ597" si="913">SUM(AD598:AD599)</f>
        <v>0</v>
      </c>
      <c r="AE597" s="3103">
        <f t="shared" si="913"/>
        <v>0</v>
      </c>
      <c r="AF597" s="3103">
        <f t="shared" si="913"/>
        <v>0</v>
      </c>
      <c r="AG597" s="3103">
        <f t="shared" si="913"/>
        <v>0</v>
      </c>
      <c r="AH597" s="3103">
        <f t="shared" si="913"/>
        <v>0</v>
      </c>
      <c r="AI597" s="3103">
        <f t="shared" si="913"/>
        <v>0</v>
      </c>
      <c r="AJ597" s="3103">
        <f t="shared" si="913"/>
        <v>0</v>
      </c>
      <c r="AL597" s="3103">
        <f ca="1">SUM((INDIRECT(AL$2&amp;(ROW())):INDIRECT(AL$3&amp;(ROW()))))</f>
        <v>0</v>
      </c>
      <c r="AM597" s="3103">
        <f ca="1">SUM(INDIRECT(AM$1&amp;AM$2&amp;$C597):INDIRECT(AM$1&amp;AM$3&amp;$C597))</f>
        <v>36496.930795359956</v>
      </c>
      <c r="AN597" s="3259">
        <f t="shared" ca="1" si="854"/>
        <v>-36496.930795359956</v>
      </c>
      <c r="AO597" s="2911">
        <f t="shared" ca="1" si="855"/>
        <v>0</v>
      </c>
      <c r="AP597" s="3103">
        <f ca="1">SUM(INDIRECT(AP$1&amp;AP$2&amp;$A597):INDIRECT(AP$1&amp;AP$3&amp;$A597))</f>
        <v>0</v>
      </c>
      <c r="AQ597" s="3259">
        <f t="shared" ca="1" si="856"/>
        <v>0</v>
      </c>
      <c r="AR597" s="2911">
        <f t="shared" ca="1" si="857"/>
        <v>0</v>
      </c>
      <c r="AT597" s="3103">
        <f ca="1">SUM((INDIRECT(AT$2&amp;(ROW())):INDIRECT(AT$3&amp;(ROW()))))</f>
        <v>0</v>
      </c>
      <c r="AU597" s="3103">
        <f ca="1">SUM(INDIRECT(AU$1&amp;AU$2&amp;$C597):INDIRECT(AU$1&amp;AU$3&amp;$C597))</f>
        <v>103072.38277594029</v>
      </c>
      <c r="AV597" s="3259">
        <f t="shared" ca="1" si="858"/>
        <v>-103072.38277594029</v>
      </c>
      <c r="AW597" s="2911">
        <f t="shared" ca="1" si="859"/>
        <v>0</v>
      </c>
      <c r="AX597" s="3103">
        <f ca="1">SUM(INDIRECT(AX$1&amp;AX$2&amp;$A597):INDIRECT(AX$1&amp;AX$3&amp;$A597))</f>
        <v>0</v>
      </c>
      <c r="AY597" s="3259">
        <f t="shared" ca="1" si="860"/>
        <v>0</v>
      </c>
      <c r="AZ597" s="2911">
        <f t="shared" ca="1" si="861"/>
        <v>0</v>
      </c>
      <c r="BB597" s="3103">
        <f ca="1">SUM((INDIRECT(BB$2&amp;(ROW())):INDIRECT(BB$3&amp;(ROW()))))</f>
        <v>0</v>
      </c>
      <c r="BC597" s="3103">
        <f ca="1">SUM(INDIRECT(BC$1&amp;BC$2&amp;$C597):INDIRECT(BC$1&amp;BC$3&amp;$C597))</f>
        <v>186734.32548912527</v>
      </c>
      <c r="BD597" s="3259">
        <f t="shared" ca="1" si="862"/>
        <v>-186734.32548912527</v>
      </c>
      <c r="BE597" s="2911">
        <f t="shared" ca="1" si="863"/>
        <v>0</v>
      </c>
      <c r="BF597" s="3103">
        <f ca="1">SUM(INDIRECT(BF$1&amp;BF$2&amp;$A597):INDIRECT(BF$1&amp;BF$3&amp;$A597))</f>
        <v>0</v>
      </c>
      <c r="BG597" s="3259">
        <f t="shared" ca="1" si="864"/>
        <v>0</v>
      </c>
      <c r="BH597" s="2911">
        <f t="shared" ca="1" si="865"/>
        <v>0</v>
      </c>
    </row>
    <row r="598" spans="1:60" ht="14.5">
      <c r="A598" s="616">
        <f t="shared" ref="A598:A661" si="914">A597+1</f>
        <v>533</v>
      </c>
      <c r="B598" s="616">
        <v>1</v>
      </c>
      <c r="C598" s="616">
        <f t="shared" si="891"/>
        <v>595</v>
      </c>
      <c r="E598" s="2547">
        <v>1</v>
      </c>
      <c r="I598" s="73"/>
      <c r="J598" s="72"/>
      <c r="K598" s="68"/>
      <c r="L598" s="68"/>
      <c r="M598" s="208"/>
      <c r="N598" s="292"/>
      <c r="O598" s="291"/>
      <c r="P598" s="291" t="s">
        <v>223</v>
      </c>
      <c r="Q598" s="1779" t="str">
        <f>CHOOSE(2, "6722000003517", "S/GP (2) Gross Profit Direct NH &lt;Direct&gt;SDC(-) PC")</f>
        <v>S/GP (2) Gross Profit Direct NH &lt;Direct&gt;SDC(-) PC</v>
      </c>
      <c r="R598" s="1227">
        <v>0</v>
      </c>
      <c r="S598" s="1227">
        <v>0</v>
      </c>
      <c r="T598" s="1227">
        <v>0</v>
      </c>
      <c r="U598" s="1227">
        <v>0</v>
      </c>
      <c r="V598" s="1227">
        <v>0</v>
      </c>
      <c r="W598" s="1227">
        <v>0</v>
      </c>
      <c r="X598" s="1227">
        <v>0</v>
      </c>
      <c r="Y598" s="1227">
        <v>0</v>
      </c>
      <c r="Z598" s="1227">
        <v>0</v>
      </c>
      <c r="AA598" s="1227">
        <v>0</v>
      </c>
      <c r="AB598" s="1227">
        <v>0</v>
      </c>
      <c r="AC598" s="1227">
        <v>0</v>
      </c>
      <c r="AD598" s="295">
        <f>SUM(R598,S598,T598)</f>
        <v>0</v>
      </c>
      <c r="AE598" s="96">
        <f t="shared" ref="AE598:AE600" si="915">SUM(U598,V598,W598)</f>
        <v>0</v>
      </c>
      <c r="AF598" s="96">
        <f t="shared" ref="AF598:AF600" si="916">SUM(X598,Y598,Z598)</f>
        <v>0</v>
      </c>
      <c r="AG598" s="96">
        <f t="shared" ref="AG598:AG600" si="917">SUM(AA598,AB598,AC598)</f>
        <v>0</v>
      </c>
      <c r="AH598" s="96">
        <f>AD598+AE598</f>
        <v>0</v>
      </c>
      <c r="AI598" s="96">
        <f>AG598+AF598</f>
        <v>0</v>
      </c>
      <c r="AJ598" s="96">
        <f>AH598+AI598</f>
        <v>0</v>
      </c>
      <c r="AL598" s="96">
        <f ca="1">SUM((INDIRECT(AL$2&amp;(ROW())):INDIRECT(AL$3&amp;(ROW()))))</f>
        <v>0</v>
      </c>
      <c r="AM598" s="96">
        <f ca="1">SUM(INDIRECT(AM$1&amp;AM$2&amp;$C598):INDIRECT(AM$1&amp;AM$3&amp;$C598))</f>
        <v>0</v>
      </c>
      <c r="AN598" s="3227">
        <f t="shared" ca="1" si="854"/>
        <v>0</v>
      </c>
      <c r="AO598" s="2878">
        <f t="shared" ca="1" si="855"/>
        <v>0</v>
      </c>
      <c r="AP598" s="96">
        <f ca="1">SUM(INDIRECT(AP$1&amp;AP$2&amp;$A598):INDIRECT(AP$1&amp;AP$3&amp;$A598))</f>
        <v>0</v>
      </c>
      <c r="AQ598" s="3227">
        <f t="shared" ca="1" si="856"/>
        <v>0</v>
      </c>
      <c r="AR598" s="2878">
        <f t="shared" ca="1" si="857"/>
        <v>0</v>
      </c>
      <c r="AT598" s="96">
        <f ca="1">SUM((INDIRECT(AT$2&amp;(ROW())):INDIRECT(AT$3&amp;(ROW()))))</f>
        <v>0</v>
      </c>
      <c r="AU598" s="96">
        <f ca="1">SUM(INDIRECT(AU$1&amp;AU$2&amp;$C598):INDIRECT(AU$1&amp;AU$3&amp;$C598))</f>
        <v>0</v>
      </c>
      <c r="AV598" s="3227">
        <f t="shared" ca="1" si="858"/>
        <v>0</v>
      </c>
      <c r="AW598" s="2878">
        <f t="shared" ca="1" si="859"/>
        <v>0</v>
      </c>
      <c r="AX598" s="96">
        <f ca="1">SUM(INDIRECT(AX$1&amp;AX$2&amp;$A598):INDIRECT(AX$1&amp;AX$3&amp;$A598))</f>
        <v>0</v>
      </c>
      <c r="AY598" s="3227">
        <f t="shared" ca="1" si="860"/>
        <v>0</v>
      </c>
      <c r="AZ598" s="2878">
        <f t="shared" ca="1" si="861"/>
        <v>0</v>
      </c>
      <c r="BB598" s="96">
        <f ca="1">SUM((INDIRECT(BB$2&amp;(ROW())):INDIRECT(BB$3&amp;(ROW()))))</f>
        <v>0</v>
      </c>
      <c r="BC598" s="96">
        <f ca="1">SUM(INDIRECT(BC$1&amp;BC$2&amp;$C598):INDIRECT(BC$1&amp;BC$3&amp;$C598))</f>
        <v>0</v>
      </c>
      <c r="BD598" s="3227">
        <f t="shared" ca="1" si="862"/>
        <v>0</v>
      </c>
      <c r="BE598" s="2878">
        <f t="shared" ca="1" si="863"/>
        <v>0</v>
      </c>
      <c r="BF598" s="96">
        <f ca="1">SUM(INDIRECT(BF$1&amp;BF$2&amp;$A598):INDIRECT(BF$1&amp;BF$3&amp;$A598))</f>
        <v>0</v>
      </c>
      <c r="BG598" s="3227">
        <f t="shared" ca="1" si="864"/>
        <v>0</v>
      </c>
      <c r="BH598" s="2878">
        <f t="shared" ca="1" si="865"/>
        <v>0</v>
      </c>
    </row>
    <row r="599" spans="1:60" ht="14.5">
      <c r="A599" s="616">
        <f t="shared" si="914"/>
        <v>534</v>
      </c>
      <c r="B599" s="616">
        <v>1</v>
      </c>
      <c r="C599" s="616">
        <f t="shared" si="891"/>
        <v>596</v>
      </c>
      <c r="E599" s="2547">
        <v>1</v>
      </c>
      <c r="I599" s="73"/>
      <c r="J599" s="72"/>
      <c r="K599" s="68"/>
      <c r="L599" s="68"/>
      <c r="M599" s="208"/>
      <c r="N599" s="230"/>
      <c r="O599" s="228"/>
      <c r="P599" s="228" t="s">
        <v>224</v>
      </c>
      <c r="Q599" s="1779" t="str">
        <f>CHOOSE(2, "6722000003518", "S/GP (2) Gross Profit Direct NH &lt;Direct&gt;SDC(-) OFC")</f>
        <v>S/GP (2) Gross Profit Direct NH &lt;Direct&gt;SDC(-) OFC</v>
      </c>
      <c r="R599" s="1218">
        <v>0</v>
      </c>
      <c r="S599" s="1218">
        <v>0</v>
      </c>
      <c r="T599" s="1218">
        <v>0</v>
      </c>
      <c r="U599" s="1218">
        <v>0</v>
      </c>
      <c r="V599" s="1218">
        <v>0</v>
      </c>
      <c r="W599" s="1218">
        <v>0</v>
      </c>
      <c r="X599" s="1218">
        <v>0</v>
      </c>
      <c r="Y599" s="1218">
        <v>0</v>
      </c>
      <c r="Z599" s="1218">
        <v>0</v>
      </c>
      <c r="AA599" s="1218">
        <v>0</v>
      </c>
      <c r="AB599" s="1218">
        <v>0</v>
      </c>
      <c r="AC599" s="1218">
        <v>0</v>
      </c>
      <c r="AD599" s="87">
        <f>SUM(R599,S599,T599)</f>
        <v>0</v>
      </c>
      <c r="AE599" s="15">
        <f t="shared" si="915"/>
        <v>0</v>
      </c>
      <c r="AF599" s="15">
        <f t="shared" si="916"/>
        <v>0</v>
      </c>
      <c r="AG599" s="15">
        <f t="shared" si="917"/>
        <v>0</v>
      </c>
      <c r="AH599" s="15">
        <f>AD599+AE599</f>
        <v>0</v>
      </c>
      <c r="AI599" s="15">
        <f>AG599+AF599</f>
        <v>0</v>
      </c>
      <c r="AJ599" s="15">
        <f>AH599+AI599</f>
        <v>0</v>
      </c>
      <c r="AL599" s="15">
        <f ca="1">SUM((INDIRECT(AL$2&amp;(ROW())):INDIRECT(AL$3&amp;(ROW()))))</f>
        <v>0</v>
      </c>
      <c r="AM599" s="15">
        <f ca="1">SUM(INDIRECT(AM$1&amp;AM$2&amp;$C599):INDIRECT(AM$1&amp;AM$3&amp;$C599))</f>
        <v>92923.072806970304</v>
      </c>
      <c r="AN599" s="3073">
        <f t="shared" ca="1" si="854"/>
        <v>-92923.072806970304</v>
      </c>
      <c r="AO599" s="2710">
        <f t="shared" ca="1" si="855"/>
        <v>0</v>
      </c>
      <c r="AP599" s="15">
        <f ca="1">SUM(INDIRECT(AP$1&amp;AP$2&amp;$A599):INDIRECT(AP$1&amp;AP$3&amp;$A599))</f>
        <v>0</v>
      </c>
      <c r="AQ599" s="3073">
        <f t="shared" ca="1" si="856"/>
        <v>0</v>
      </c>
      <c r="AR599" s="2710">
        <f t="shared" ca="1" si="857"/>
        <v>0</v>
      </c>
      <c r="AT599" s="15">
        <f ca="1">SUM((INDIRECT(AT$2&amp;(ROW())):INDIRECT(AT$3&amp;(ROW()))))</f>
        <v>0</v>
      </c>
      <c r="AU599" s="15">
        <f ca="1">SUM(INDIRECT(AU$1&amp;AU$2&amp;$C599):INDIRECT(AU$1&amp;AU$3&amp;$C599))</f>
        <v>280846.72624829155</v>
      </c>
      <c r="AV599" s="3073">
        <f t="shared" ca="1" si="858"/>
        <v>-280846.72624829155</v>
      </c>
      <c r="AW599" s="2710">
        <f t="shared" ca="1" si="859"/>
        <v>0</v>
      </c>
      <c r="AX599" s="15">
        <f ca="1">SUM(INDIRECT(AX$1&amp;AX$2&amp;$A599):INDIRECT(AX$1&amp;AX$3&amp;$A599))</f>
        <v>0</v>
      </c>
      <c r="AY599" s="3073">
        <f t="shared" ca="1" si="860"/>
        <v>0</v>
      </c>
      <c r="AZ599" s="2710">
        <f t="shared" ca="1" si="861"/>
        <v>0</v>
      </c>
      <c r="BB599" s="15">
        <f ca="1">SUM((INDIRECT(BB$2&amp;(ROW())):INDIRECT(BB$3&amp;(ROW()))))</f>
        <v>0</v>
      </c>
      <c r="BC599" s="15">
        <f ca="1">SUM(INDIRECT(BC$1&amp;BC$2&amp;$C599):INDIRECT(BC$1&amp;BC$3&amp;$C599))</f>
        <v>553299.25729705999</v>
      </c>
      <c r="BD599" s="3073">
        <f t="shared" ca="1" si="862"/>
        <v>-553299.25729705999</v>
      </c>
      <c r="BE599" s="2710">
        <f t="shared" ca="1" si="863"/>
        <v>0</v>
      </c>
      <c r="BF599" s="15">
        <f ca="1">SUM(INDIRECT(BF$1&amp;BF$2&amp;$A599):INDIRECT(BF$1&amp;BF$3&amp;$A599))</f>
        <v>0</v>
      </c>
      <c r="BG599" s="3073">
        <f t="shared" ca="1" si="864"/>
        <v>0</v>
      </c>
      <c r="BH599" s="2710">
        <f t="shared" ca="1" si="865"/>
        <v>0</v>
      </c>
    </row>
    <row r="600" spans="1:60" ht="14.5">
      <c r="A600" s="616">
        <f t="shared" si="914"/>
        <v>535</v>
      </c>
      <c r="B600" s="616">
        <v>1</v>
      </c>
      <c r="C600" s="616">
        <f t="shared" si="891"/>
        <v>597</v>
      </c>
      <c r="E600" s="2547">
        <v>1</v>
      </c>
      <c r="I600" s="73"/>
      <c r="J600" s="72"/>
      <c r="K600" s="68"/>
      <c r="L600" s="68"/>
      <c r="M600" s="208"/>
      <c r="N600" s="309" t="s">
        <v>1475</v>
      </c>
      <c r="O600" s="229"/>
      <c r="P600" s="229"/>
      <c r="Q600" s="1779" t="str">
        <f>CHOOSE(2, "6722000003519", "S/GP (2) Gross Profit Direct NH &lt;Direct&gt;D&amp;A (-)")</f>
        <v>S/GP (2) Gross Profit Direct NH &lt;Direct&gt;D&amp;A (-)</v>
      </c>
      <c r="R600" s="1217">
        <v>0</v>
      </c>
      <c r="S600" s="1217">
        <v>0</v>
      </c>
      <c r="T600" s="1217">
        <v>0</v>
      </c>
      <c r="U600" s="1217">
        <v>0</v>
      </c>
      <c r="V600" s="1217">
        <v>0</v>
      </c>
      <c r="W600" s="1217">
        <v>0</v>
      </c>
      <c r="X600" s="1217">
        <v>0</v>
      </c>
      <c r="Y600" s="1217">
        <v>0</v>
      </c>
      <c r="Z600" s="1217">
        <v>0</v>
      </c>
      <c r="AA600" s="1217">
        <v>0</v>
      </c>
      <c r="AB600" s="1217">
        <v>0</v>
      </c>
      <c r="AC600" s="1217">
        <v>0</v>
      </c>
      <c r="AD600" s="88">
        <f>SUM(R600,S600,T600)</f>
        <v>0</v>
      </c>
      <c r="AE600" s="17">
        <f t="shared" si="915"/>
        <v>0</v>
      </c>
      <c r="AF600" s="17">
        <f t="shared" si="916"/>
        <v>0</v>
      </c>
      <c r="AG600" s="17">
        <f t="shared" si="917"/>
        <v>0</v>
      </c>
      <c r="AH600" s="17">
        <f>AD600+AE600</f>
        <v>0</v>
      </c>
      <c r="AI600" s="17">
        <f>AG600+AF600</f>
        <v>0</v>
      </c>
      <c r="AJ600" s="17">
        <f>AH600+AI600</f>
        <v>0</v>
      </c>
      <c r="AL600" s="17">
        <f ca="1">SUM((INDIRECT(AL$2&amp;(ROW())):INDIRECT(AL$3&amp;(ROW()))))</f>
        <v>0</v>
      </c>
      <c r="AM600" s="17">
        <f ca="1">SUM(INDIRECT(AM$1&amp;AM$2&amp;$C600):INDIRECT(AM$1&amp;AM$3&amp;$C600))</f>
        <v>111706.40614030363</v>
      </c>
      <c r="AN600" s="3072">
        <f t="shared" ca="1" si="854"/>
        <v>-111706.40614030363</v>
      </c>
      <c r="AO600" s="2708">
        <f t="shared" ca="1" si="855"/>
        <v>0</v>
      </c>
      <c r="AP600" s="17">
        <f ca="1">SUM(INDIRECT(AP$1&amp;AP$2&amp;$A600):INDIRECT(AP$1&amp;AP$3&amp;$A600))</f>
        <v>0</v>
      </c>
      <c r="AQ600" s="3072">
        <f t="shared" ca="1" si="856"/>
        <v>0</v>
      </c>
      <c r="AR600" s="2708">
        <f t="shared" ca="1" si="857"/>
        <v>0</v>
      </c>
      <c r="AT600" s="17">
        <f ca="1">SUM((INDIRECT(AT$2&amp;(ROW())):INDIRECT(AT$3&amp;(ROW()))))</f>
        <v>0</v>
      </c>
      <c r="AU600" s="17">
        <f ca="1">SUM(INDIRECT(AU$1&amp;AU$2&amp;$C600):INDIRECT(AU$1&amp;AU$3&amp;$C600))</f>
        <v>336316.72624829155</v>
      </c>
      <c r="AV600" s="3072">
        <f t="shared" ca="1" si="858"/>
        <v>-336316.72624829155</v>
      </c>
      <c r="AW600" s="2708">
        <f t="shared" ca="1" si="859"/>
        <v>0</v>
      </c>
      <c r="AX600" s="17">
        <f ca="1">SUM(INDIRECT(AX$1&amp;AX$2&amp;$A600):INDIRECT(AX$1&amp;AX$3&amp;$A600))</f>
        <v>0</v>
      </c>
      <c r="AY600" s="3072">
        <f t="shared" ca="1" si="860"/>
        <v>0</v>
      </c>
      <c r="AZ600" s="2708">
        <f t="shared" ca="1" si="861"/>
        <v>0</v>
      </c>
      <c r="BB600" s="17">
        <f ca="1">SUM((INDIRECT(BB$2&amp;(ROW())):INDIRECT(BB$3&amp;(ROW()))))</f>
        <v>0</v>
      </c>
      <c r="BC600" s="17">
        <f ca="1">SUM(INDIRECT(BC$1&amp;BC$2&amp;$C600):INDIRECT(BC$1&amp;BC$3&amp;$C600))</f>
        <v>644575.9239637265</v>
      </c>
      <c r="BD600" s="3072">
        <f t="shared" ca="1" si="862"/>
        <v>-644575.9239637265</v>
      </c>
      <c r="BE600" s="2708">
        <f t="shared" ca="1" si="863"/>
        <v>0</v>
      </c>
      <c r="BF600" s="17">
        <f ca="1">SUM(INDIRECT(BF$1&amp;BF$2&amp;$A600):INDIRECT(BF$1&amp;BF$3&amp;$A600))</f>
        <v>0</v>
      </c>
      <c r="BG600" s="3072">
        <f t="shared" ca="1" si="864"/>
        <v>0</v>
      </c>
      <c r="BH600" s="2708">
        <f t="shared" ca="1" si="865"/>
        <v>0</v>
      </c>
    </row>
    <row r="601" spans="1:60" ht="14.5">
      <c r="A601" s="616">
        <f t="shared" si="914"/>
        <v>536</v>
      </c>
      <c r="B601" s="616">
        <v>1</v>
      </c>
      <c r="C601" s="616">
        <f t="shared" si="891"/>
        <v>598</v>
      </c>
      <c r="E601" s="2547">
        <v>1</v>
      </c>
      <c r="I601" s="73"/>
      <c r="J601" s="72"/>
      <c r="K601" s="68"/>
      <c r="L601" s="68"/>
      <c r="M601" s="487" t="s">
        <v>1397</v>
      </c>
      <c r="N601" s="284"/>
      <c r="O601" s="284"/>
      <c r="P601" s="284"/>
      <c r="Q601" s="1777" t="str">
        <f>CHOOSE(2, "6722000003520", "S/GP (2) Gross Profit Direct Solution")</f>
        <v>S/GP (2) Gross Profit Direct Solution</v>
      </c>
      <c r="R601" s="3103">
        <f>SUM(R602:R605)</f>
        <v>0</v>
      </c>
      <c r="S601" s="3103">
        <f t="shared" ref="S601:AJ601" si="918">SUM(S602:S605)</f>
        <v>0</v>
      </c>
      <c r="T601" s="3103">
        <f t="shared" si="918"/>
        <v>0</v>
      </c>
      <c r="U601" s="3103">
        <f t="shared" si="918"/>
        <v>0</v>
      </c>
      <c r="V601" s="3103">
        <f t="shared" si="918"/>
        <v>0</v>
      </c>
      <c r="W601" s="3103">
        <f t="shared" si="918"/>
        <v>0</v>
      </c>
      <c r="X601" s="3103">
        <f t="shared" si="918"/>
        <v>0</v>
      </c>
      <c r="Y601" s="3103">
        <f t="shared" si="918"/>
        <v>0</v>
      </c>
      <c r="Z601" s="3103">
        <f t="shared" si="918"/>
        <v>0</v>
      </c>
      <c r="AA601" s="3103">
        <f t="shared" si="918"/>
        <v>0</v>
      </c>
      <c r="AB601" s="3103">
        <f t="shared" si="918"/>
        <v>0</v>
      </c>
      <c r="AC601" s="3103">
        <f t="shared" si="918"/>
        <v>0</v>
      </c>
      <c r="AD601" s="3244">
        <f t="shared" si="918"/>
        <v>0</v>
      </c>
      <c r="AE601" s="3103">
        <f t="shared" si="918"/>
        <v>0</v>
      </c>
      <c r="AF601" s="3103">
        <f t="shared" si="918"/>
        <v>0</v>
      </c>
      <c r="AG601" s="3103">
        <f t="shared" si="918"/>
        <v>0</v>
      </c>
      <c r="AH601" s="3103">
        <f t="shared" si="918"/>
        <v>0</v>
      </c>
      <c r="AI601" s="3103">
        <f t="shared" si="918"/>
        <v>0</v>
      </c>
      <c r="AJ601" s="3103">
        <f t="shared" si="918"/>
        <v>0</v>
      </c>
      <c r="AL601" s="3103">
        <f ca="1">SUM((INDIRECT(AL$2&amp;(ROW())):INDIRECT(AL$3&amp;(ROW()))))</f>
        <v>0</v>
      </c>
      <c r="AM601" s="3103">
        <f ca="1">SUM(INDIRECT(AM$1&amp;AM$2&amp;$C601):INDIRECT(AM$1&amp;AM$3&amp;$C601))</f>
        <v>111706.40614030363</v>
      </c>
      <c r="AN601" s="3259">
        <f t="shared" ca="1" si="854"/>
        <v>-111706.40614030363</v>
      </c>
      <c r="AO601" s="2911">
        <f t="shared" ca="1" si="855"/>
        <v>0</v>
      </c>
      <c r="AP601" s="3103">
        <f ca="1">SUM(INDIRECT(AP$1&amp;AP$2&amp;$A601):INDIRECT(AP$1&amp;AP$3&amp;$A601))</f>
        <v>2870</v>
      </c>
      <c r="AQ601" s="3259">
        <f t="shared" ca="1" si="856"/>
        <v>-2870</v>
      </c>
      <c r="AR601" s="2911">
        <f t="shared" ca="1" si="857"/>
        <v>0</v>
      </c>
      <c r="AT601" s="3103">
        <f ca="1">SUM((INDIRECT(AT$2&amp;(ROW())):INDIRECT(AT$3&amp;(ROW()))))</f>
        <v>0</v>
      </c>
      <c r="AU601" s="3103">
        <f ca="1">SUM(INDIRECT(AU$1&amp;AU$2&amp;$C601):INDIRECT(AU$1&amp;AU$3&amp;$C601))</f>
        <v>336316.72624829155</v>
      </c>
      <c r="AV601" s="3259">
        <f t="shared" ca="1" si="858"/>
        <v>-336316.72624829155</v>
      </c>
      <c r="AW601" s="2911">
        <f t="shared" ca="1" si="859"/>
        <v>0</v>
      </c>
      <c r="AX601" s="3103">
        <f ca="1">SUM(INDIRECT(AX$1&amp;AX$2&amp;$A601):INDIRECT(AX$1&amp;AX$3&amp;$A601))</f>
        <v>7927</v>
      </c>
      <c r="AY601" s="3259">
        <f t="shared" ca="1" si="860"/>
        <v>-7927</v>
      </c>
      <c r="AZ601" s="2911">
        <f t="shared" ca="1" si="861"/>
        <v>0</v>
      </c>
      <c r="BB601" s="3103">
        <f ca="1">SUM((INDIRECT(BB$2&amp;(ROW())):INDIRECT(BB$3&amp;(ROW()))))</f>
        <v>0</v>
      </c>
      <c r="BC601" s="3103">
        <f ca="1">SUM(INDIRECT(BC$1&amp;BC$2&amp;$C601):INDIRECT(BC$1&amp;BC$3&amp;$C601))</f>
        <v>644575.9239637265</v>
      </c>
      <c r="BD601" s="3259">
        <f t="shared" ca="1" si="862"/>
        <v>-644575.9239637265</v>
      </c>
      <c r="BE601" s="2911">
        <f t="shared" ca="1" si="863"/>
        <v>0</v>
      </c>
      <c r="BF601" s="3103">
        <f ca="1">SUM(INDIRECT(BF$1&amp;BF$2&amp;$A601):INDIRECT(BF$1&amp;BF$3&amp;$A601))</f>
        <v>22867.885000000002</v>
      </c>
      <c r="BG601" s="3259">
        <f t="shared" ca="1" si="864"/>
        <v>-22867.885000000002</v>
      </c>
      <c r="BH601" s="2911">
        <f t="shared" ca="1" si="865"/>
        <v>0</v>
      </c>
    </row>
    <row r="602" spans="1:60" ht="14.5">
      <c r="A602" s="616">
        <f t="shared" si="914"/>
        <v>537</v>
      </c>
      <c r="B602" s="616">
        <v>1</v>
      </c>
      <c r="C602" s="616">
        <f t="shared" si="891"/>
        <v>599</v>
      </c>
      <c r="E602" s="2547">
        <v>1</v>
      </c>
      <c r="I602" s="73"/>
      <c r="J602" s="72"/>
      <c r="K602" s="68"/>
      <c r="L602" s="68"/>
      <c r="N602" s="97"/>
      <c r="O602" s="97"/>
      <c r="P602" s="97" t="s">
        <v>1481</v>
      </c>
      <c r="Q602" s="1779" t="str">
        <f>CHOOSE(2, "6722000003521", "S/GP (2) Gross Profit Direct Solution HWware")</f>
        <v>S/GP (2) Gross Profit Direct Solution HWware</v>
      </c>
      <c r="R602" s="1227">
        <v>0</v>
      </c>
      <c r="S602" s="1227">
        <v>0</v>
      </c>
      <c r="T602" s="1227">
        <v>0</v>
      </c>
      <c r="U602" s="1227">
        <v>0</v>
      </c>
      <c r="V602" s="1227">
        <v>0</v>
      </c>
      <c r="W602" s="1227">
        <v>0</v>
      </c>
      <c r="X602" s="1227">
        <v>0</v>
      </c>
      <c r="Y602" s="1227">
        <v>0</v>
      </c>
      <c r="Z602" s="1227">
        <v>0</v>
      </c>
      <c r="AA602" s="1227">
        <v>0</v>
      </c>
      <c r="AB602" s="1227">
        <v>0</v>
      </c>
      <c r="AC602" s="1227">
        <v>0</v>
      </c>
      <c r="AD602" s="295">
        <f>SUM(R602,S602,T602)</f>
        <v>0</v>
      </c>
      <c r="AE602" s="96">
        <f t="shared" ref="AE602:AE606" si="919">SUM(U602,V602,W602)</f>
        <v>0</v>
      </c>
      <c r="AF602" s="96">
        <f t="shared" ref="AF602:AF606" si="920">SUM(X602,Y602,Z602)</f>
        <v>0</v>
      </c>
      <c r="AG602" s="96">
        <f t="shared" ref="AG602:AG606" si="921">SUM(AA602,AB602,AC602)</f>
        <v>0</v>
      </c>
      <c r="AH602" s="96">
        <f>AD602+AE602</f>
        <v>0</v>
      </c>
      <c r="AI602" s="96">
        <f>AG602+AF602</f>
        <v>0</v>
      </c>
      <c r="AJ602" s="96">
        <f>AH602+AI602</f>
        <v>0</v>
      </c>
      <c r="AL602" s="96">
        <f ca="1">SUM((INDIRECT(AL$2&amp;(ROW())):INDIRECT(AL$3&amp;(ROW()))))</f>
        <v>0</v>
      </c>
      <c r="AM602" s="96">
        <f ca="1">SUM(INDIRECT(AM$1&amp;AM$2&amp;$C602):INDIRECT(AM$1&amp;AM$3&amp;$C602))</f>
        <v>0</v>
      </c>
      <c r="AN602" s="3227">
        <f t="shared" ca="1" si="854"/>
        <v>0</v>
      </c>
      <c r="AO602" s="2878">
        <f t="shared" ca="1" si="855"/>
        <v>0</v>
      </c>
      <c r="AP602" s="96">
        <f ca="1">SUM(INDIRECT(AP$1&amp;AP$2&amp;$A602):INDIRECT(AP$1&amp;AP$3&amp;$A602))</f>
        <v>2212</v>
      </c>
      <c r="AQ602" s="3227">
        <f t="shared" ca="1" si="856"/>
        <v>-2212</v>
      </c>
      <c r="AR602" s="2878">
        <f t="shared" ca="1" si="857"/>
        <v>0</v>
      </c>
      <c r="AT602" s="96">
        <f ca="1">SUM((INDIRECT(AT$2&amp;(ROW())):INDIRECT(AT$3&amp;(ROW()))))</f>
        <v>0</v>
      </c>
      <c r="AU602" s="96">
        <f ca="1">SUM(INDIRECT(AU$1&amp;AU$2&amp;$C602):INDIRECT(AU$1&amp;AU$3&amp;$C602))</f>
        <v>0</v>
      </c>
      <c r="AV602" s="3227">
        <f t="shared" ca="1" si="858"/>
        <v>0</v>
      </c>
      <c r="AW602" s="2878">
        <f t="shared" ca="1" si="859"/>
        <v>0</v>
      </c>
      <c r="AX602" s="96">
        <f ca="1">SUM(INDIRECT(AX$1&amp;AX$2&amp;$A602):INDIRECT(AX$1&amp;AX$3&amp;$A602))</f>
        <v>5626</v>
      </c>
      <c r="AY602" s="3227">
        <f t="shared" ca="1" si="860"/>
        <v>-5626</v>
      </c>
      <c r="AZ602" s="2878">
        <f t="shared" ca="1" si="861"/>
        <v>0</v>
      </c>
      <c r="BB602" s="96">
        <f ca="1">SUM((INDIRECT(BB$2&amp;(ROW())):INDIRECT(BB$3&amp;(ROW()))))</f>
        <v>0</v>
      </c>
      <c r="BC602" s="96">
        <f ca="1">SUM(INDIRECT(BC$1&amp;BC$2&amp;$C602):INDIRECT(BC$1&amp;BC$3&amp;$C602))</f>
        <v>0</v>
      </c>
      <c r="BD602" s="3227">
        <f t="shared" ca="1" si="862"/>
        <v>0</v>
      </c>
      <c r="BE602" s="2878">
        <f t="shared" ca="1" si="863"/>
        <v>0</v>
      </c>
      <c r="BF602" s="96">
        <f ca="1">SUM(INDIRECT(BF$1&amp;BF$2&amp;$A602):INDIRECT(BF$1&amp;BF$3&amp;$A602))</f>
        <v>16615</v>
      </c>
      <c r="BG602" s="3227">
        <f t="shared" ca="1" si="864"/>
        <v>-16615</v>
      </c>
      <c r="BH602" s="2878">
        <f t="shared" ca="1" si="865"/>
        <v>0</v>
      </c>
    </row>
    <row r="603" spans="1:60" ht="14.5">
      <c r="A603" s="616">
        <f t="shared" si="914"/>
        <v>538</v>
      </c>
      <c r="B603" s="616">
        <v>1</v>
      </c>
      <c r="C603" s="616">
        <f t="shared" si="891"/>
        <v>600</v>
      </c>
      <c r="E603" s="2547">
        <v>1</v>
      </c>
      <c r="I603" s="73"/>
      <c r="J603" s="72"/>
      <c r="K603" s="68"/>
      <c r="L603" s="68"/>
      <c r="P603" s="8" t="s">
        <v>1482</v>
      </c>
      <c r="Q603" s="1779" t="str">
        <f>CHOOSE(2, "6722000003522", "S/GP (2) Gross Profit Direct Solution Software")</f>
        <v>S/GP (2) Gross Profit Direct Solution Software</v>
      </c>
      <c r="R603" s="1217">
        <v>0</v>
      </c>
      <c r="S603" s="1217">
        <v>0</v>
      </c>
      <c r="T603" s="1217">
        <v>0</v>
      </c>
      <c r="U603" s="1217">
        <v>0</v>
      </c>
      <c r="V603" s="1217">
        <v>0</v>
      </c>
      <c r="W603" s="1217">
        <v>0</v>
      </c>
      <c r="X603" s="1217">
        <v>0</v>
      </c>
      <c r="Y603" s="1217">
        <v>0</v>
      </c>
      <c r="Z603" s="1217">
        <v>0</v>
      </c>
      <c r="AA603" s="1217">
        <v>0</v>
      </c>
      <c r="AB603" s="1217">
        <v>0</v>
      </c>
      <c r="AC603" s="1217">
        <v>0</v>
      </c>
      <c r="AD603" s="88">
        <f>SUM(R603,S603,T603)</f>
        <v>0</v>
      </c>
      <c r="AE603" s="17">
        <f t="shared" si="919"/>
        <v>0</v>
      </c>
      <c r="AF603" s="17">
        <f t="shared" si="920"/>
        <v>0</v>
      </c>
      <c r="AG603" s="17">
        <f t="shared" si="921"/>
        <v>0</v>
      </c>
      <c r="AH603" s="17">
        <f>AD603+AE603</f>
        <v>0</v>
      </c>
      <c r="AI603" s="17">
        <f>AG603+AF603</f>
        <v>0</v>
      </c>
      <c r="AJ603" s="17">
        <f>AH603+AI603</f>
        <v>0</v>
      </c>
      <c r="AL603" s="17">
        <f ca="1">SUM((INDIRECT(AL$2&amp;(ROW())):INDIRECT(AL$3&amp;(ROW()))))</f>
        <v>0</v>
      </c>
      <c r="AM603" s="17">
        <f ca="1">SUM(INDIRECT(AM$1&amp;AM$2&amp;$C603):INDIRECT(AM$1&amp;AM$3&amp;$C603))</f>
        <v>0</v>
      </c>
      <c r="AN603" s="3072">
        <f t="shared" ca="1" si="854"/>
        <v>0</v>
      </c>
      <c r="AO603" s="2708">
        <f t="shared" ca="1" si="855"/>
        <v>0</v>
      </c>
      <c r="AP603" s="17">
        <f ca="1">SUM(INDIRECT(AP$1&amp;AP$2&amp;$A603):INDIRECT(AP$1&amp;AP$3&amp;$A603))</f>
        <v>0</v>
      </c>
      <c r="AQ603" s="3072">
        <f t="shared" ca="1" si="856"/>
        <v>0</v>
      </c>
      <c r="AR603" s="2708">
        <f t="shared" ca="1" si="857"/>
        <v>0</v>
      </c>
      <c r="AT603" s="17">
        <f ca="1">SUM((INDIRECT(AT$2&amp;(ROW())):INDIRECT(AT$3&amp;(ROW()))))</f>
        <v>0</v>
      </c>
      <c r="AU603" s="17">
        <f ca="1">SUM(INDIRECT(AU$1&amp;AU$2&amp;$C603):INDIRECT(AU$1&amp;AU$3&amp;$C603))</f>
        <v>0</v>
      </c>
      <c r="AV603" s="3072">
        <f t="shared" ca="1" si="858"/>
        <v>0</v>
      </c>
      <c r="AW603" s="2708">
        <f t="shared" ca="1" si="859"/>
        <v>0</v>
      </c>
      <c r="AX603" s="17">
        <f ca="1">SUM(INDIRECT(AX$1&amp;AX$2&amp;$A603):INDIRECT(AX$1&amp;AX$3&amp;$A603))</f>
        <v>0</v>
      </c>
      <c r="AY603" s="3072">
        <f t="shared" ca="1" si="860"/>
        <v>0</v>
      </c>
      <c r="AZ603" s="2708">
        <f t="shared" ca="1" si="861"/>
        <v>0</v>
      </c>
      <c r="BB603" s="17">
        <f ca="1">SUM((INDIRECT(BB$2&amp;(ROW())):INDIRECT(BB$3&amp;(ROW()))))</f>
        <v>0</v>
      </c>
      <c r="BC603" s="17">
        <f ca="1">SUM(INDIRECT(BC$1&amp;BC$2&amp;$C603):INDIRECT(BC$1&amp;BC$3&amp;$C603))</f>
        <v>0</v>
      </c>
      <c r="BD603" s="3072">
        <f t="shared" ca="1" si="862"/>
        <v>0</v>
      </c>
      <c r="BE603" s="2708">
        <f t="shared" ca="1" si="863"/>
        <v>0</v>
      </c>
      <c r="BF603" s="17">
        <f ca="1">SUM(INDIRECT(BF$1&amp;BF$2&amp;$A603):INDIRECT(BF$1&amp;BF$3&amp;$A603))</f>
        <v>0</v>
      </c>
      <c r="BG603" s="3072">
        <f t="shared" ca="1" si="864"/>
        <v>0</v>
      </c>
      <c r="BH603" s="2708">
        <f t="shared" ca="1" si="865"/>
        <v>0</v>
      </c>
    </row>
    <row r="604" spans="1:60" ht="14.5">
      <c r="A604" s="616">
        <f t="shared" si="914"/>
        <v>539</v>
      </c>
      <c r="B604" s="616">
        <v>1</v>
      </c>
      <c r="C604" s="616">
        <f t="shared" si="891"/>
        <v>601</v>
      </c>
      <c r="E604" s="2547">
        <v>1</v>
      </c>
      <c r="I604" s="73"/>
      <c r="J604" s="72"/>
      <c r="K604" s="68"/>
      <c r="L604" s="68"/>
      <c r="P604" s="8" t="s">
        <v>1483</v>
      </c>
      <c r="Q604" s="1779" t="str">
        <f>CHOOSE(2, "6722000003523", "S/GP (2) Gross Profit Direct Solution Professional Service")</f>
        <v>S/GP (2) Gross Profit Direct Solution Professional Service</v>
      </c>
      <c r="R604" s="1217">
        <v>0</v>
      </c>
      <c r="S604" s="1217">
        <v>0</v>
      </c>
      <c r="T604" s="1217">
        <v>0</v>
      </c>
      <c r="U604" s="1217">
        <v>0</v>
      </c>
      <c r="V604" s="1217">
        <v>0</v>
      </c>
      <c r="W604" s="1217">
        <v>0</v>
      </c>
      <c r="X604" s="1217">
        <v>0</v>
      </c>
      <c r="Y604" s="1217">
        <v>0</v>
      </c>
      <c r="Z604" s="1217">
        <v>0</v>
      </c>
      <c r="AA604" s="1217">
        <v>0</v>
      </c>
      <c r="AB604" s="1217">
        <v>0</v>
      </c>
      <c r="AC604" s="1217">
        <v>0</v>
      </c>
      <c r="AD604" s="88">
        <f>SUM(R604,S604,T604)</f>
        <v>0</v>
      </c>
      <c r="AE604" s="17">
        <f t="shared" si="919"/>
        <v>0</v>
      </c>
      <c r="AF604" s="17">
        <f t="shared" si="920"/>
        <v>0</v>
      </c>
      <c r="AG604" s="17">
        <f t="shared" si="921"/>
        <v>0</v>
      </c>
      <c r="AH604" s="17">
        <f>AD604+AE604</f>
        <v>0</v>
      </c>
      <c r="AI604" s="17">
        <f>AG604+AF604</f>
        <v>0</v>
      </c>
      <c r="AJ604" s="17">
        <f>AH604+AI604</f>
        <v>0</v>
      </c>
      <c r="AL604" s="17">
        <f ca="1">SUM((INDIRECT(AL$2&amp;(ROW())):INDIRECT(AL$3&amp;(ROW()))))</f>
        <v>0</v>
      </c>
      <c r="AM604" s="17">
        <f ca="1">SUM(INDIRECT(AM$1&amp;AM$2&amp;$C604):INDIRECT(AM$1&amp;AM$3&amp;$C604))</f>
        <v>-18783.333333333336</v>
      </c>
      <c r="AN604" s="3072">
        <f t="shared" ca="1" si="854"/>
        <v>18783.333333333336</v>
      </c>
      <c r="AO604" s="2708">
        <f t="shared" ca="1" si="855"/>
        <v>0</v>
      </c>
      <c r="AP604" s="17">
        <f ca="1">SUM(INDIRECT(AP$1&amp;AP$2&amp;$A604):INDIRECT(AP$1&amp;AP$3&amp;$A604))</f>
        <v>2212</v>
      </c>
      <c r="AQ604" s="3072">
        <f t="shared" ca="1" si="856"/>
        <v>-2212</v>
      </c>
      <c r="AR604" s="2708">
        <f t="shared" ca="1" si="857"/>
        <v>0</v>
      </c>
      <c r="AT604" s="17">
        <f ca="1">SUM((INDIRECT(AT$2&amp;(ROW())):INDIRECT(AT$3&amp;(ROW()))))</f>
        <v>0</v>
      </c>
      <c r="AU604" s="17">
        <f ca="1">SUM(INDIRECT(AU$1&amp;AU$2&amp;$C604):INDIRECT(AU$1&amp;AU$3&amp;$C604))</f>
        <v>-55470.000000000007</v>
      </c>
      <c r="AV604" s="3072">
        <f t="shared" ca="1" si="858"/>
        <v>55470.000000000007</v>
      </c>
      <c r="AW604" s="2708">
        <f t="shared" ca="1" si="859"/>
        <v>0</v>
      </c>
      <c r="AX604" s="17">
        <f ca="1">SUM(INDIRECT(AX$1&amp;AX$2&amp;$A604):INDIRECT(AX$1&amp;AX$3&amp;$A604))</f>
        <v>5626</v>
      </c>
      <c r="AY604" s="3072">
        <f t="shared" ca="1" si="860"/>
        <v>-5626</v>
      </c>
      <c r="AZ604" s="2708">
        <f t="shared" ca="1" si="861"/>
        <v>0</v>
      </c>
      <c r="BB604" s="17">
        <f ca="1">SUM((INDIRECT(BB$2&amp;(ROW())):INDIRECT(BB$3&amp;(ROW()))))</f>
        <v>0</v>
      </c>
      <c r="BC604" s="17">
        <f ca="1">SUM(INDIRECT(BC$1&amp;BC$2&amp;$C604):INDIRECT(BC$1&amp;BC$3&amp;$C604))</f>
        <v>-91276.666666666686</v>
      </c>
      <c r="BD604" s="3072">
        <f t="shared" ca="1" si="862"/>
        <v>91276.666666666686</v>
      </c>
      <c r="BE604" s="2708">
        <f t="shared" ca="1" si="863"/>
        <v>0</v>
      </c>
      <c r="BF604" s="17">
        <f ca="1">SUM(INDIRECT(BF$1&amp;BF$2&amp;$A604):INDIRECT(BF$1&amp;BF$3&amp;$A604))</f>
        <v>16615</v>
      </c>
      <c r="BG604" s="3072">
        <f t="shared" ca="1" si="864"/>
        <v>-16615</v>
      </c>
      <c r="BH604" s="2708">
        <f t="shared" ca="1" si="865"/>
        <v>0</v>
      </c>
    </row>
    <row r="605" spans="1:60" ht="14.5">
      <c r="A605" s="616">
        <f t="shared" si="914"/>
        <v>540</v>
      </c>
      <c r="B605" s="616">
        <v>1</v>
      </c>
      <c r="C605" s="616">
        <f t="shared" si="891"/>
        <v>602</v>
      </c>
      <c r="E605" s="2547">
        <v>1</v>
      </c>
      <c r="I605" s="73"/>
      <c r="J605" s="72"/>
      <c r="K605" s="68"/>
      <c r="L605" s="68"/>
      <c r="M605" s="11"/>
      <c r="N605" s="11"/>
      <c r="O605" s="11"/>
      <c r="P605" s="11" t="s">
        <v>1386</v>
      </c>
      <c r="Q605" s="1779" t="str">
        <f>CHOOSE(2, "6722000003524", "S/GP (2) Gross Profit Direct Solution Others")</f>
        <v>S/GP (2) Gross Profit Direct Solution Others</v>
      </c>
      <c r="R605" s="1218">
        <v>0</v>
      </c>
      <c r="S605" s="1218">
        <v>0</v>
      </c>
      <c r="T605" s="1218">
        <v>0</v>
      </c>
      <c r="U605" s="1218">
        <v>0</v>
      </c>
      <c r="V605" s="1218">
        <v>0</v>
      </c>
      <c r="W605" s="1218">
        <v>0</v>
      </c>
      <c r="X605" s="1218">
        <v>0</v>
      </c>
      <c r="Y605" s="1218">
        <v>0</v>
      </c>
      <c r="Z605" s="1218">
        <v>0</v>
      </c>
      <c r="AA605" s="1218">
        <v>0</v>
      </c>
      <c r="AB605" s="1218">
        <v>0</v>
      </c>
      <c r="AC605" s="1218">
        <v>0</v>
      </c>
      <c r="AD605" s="87">
        <f>SUM(R605,S605,T605)</f>
        <v>0</v>
      </c>
      <c r="AE605" s="15">
        <f t="shared" si="919"/>
        <v>0</v>
      </c>
      <c r="AF605" s="15">
        <f t="shared" si="920"/>
        <v>0</v>
      </c>
      <c r="AG605" s="15">
        <f t="shared" si="921"/>
        <v>0</v>
      </c>
      <c r="AH605" s="15">
        <f>AD605+AE605</f>
        <v>0</v>
      </c>
      <c r="AI605" s="15">
        <f>AG605+AF605</f>
        <v>0</v>
      </c>
      <c r="AJ605" s="15">
        <f>AH605+AI605</f>
        <v>0</v>
      </c>
      <c r="AL605" s="15">
        <f ca="1">SUM((INDIRECT(AL$2&amp;(ROW())):INDIRECT(AL$3&amp;(ROW()))))</f>
        <v>0</v>
      </c>
      <c r="AM605" s="15">
        <f ca="1">SUM(INDIRECT(AM$1&amp;AM$2&amp;$C605):INDIRECT(AM$1&amp;AM$3&amp;$C605))</f>
        <v>-15766.66666666667</v>
      </c>
      <c r="AN605" s="3073">
        <f t="shared" ca="1" si="854"/>
        <v>15766.66666666667</v>
      </c>
      <c r="AO605" s="2710">
        <f t="shared" ca="1" si="855"/>
        <v>0</v>
      </c>
      <c r="AP605" s="15">
        <f ca="1">SUM(INDIRECT(AP$1&amp;AP$2&amp;$A605):INDIRECT(AP$1&amp;AP$3&amp;$A605))</f>
        <v>0</v>
      </c>
      <c r="AQ605" s="3073">
        <f t="shared" ca="1" si="856"/>
        <v>0</v>
      </c>
      <c r="AR605" s="2710">
        <f t="shared" ca="1" si="857"/>
        <v>0</v>
      </c>
      <c r="AT605" s="15">
        <f ca="1">SUM((INDIRECT(AT$2&amp;(ROW())):INDIRECT(AT$3&amp;(ROW()))))</f>
        <v>0</v>
      </c>
      <c r="AU605" s="15">
        <f ca="1">SUM(INDIRECT(AU$1&amp;AU$2&amp;$C605):INDIRECT(AU$1&amp;AU$3&amp;$C605))</f>
        <v>-46420.000000000007</v>
      </c>
      <c r="AV605" s="3073">
        <f t="shared" ca="1" si="858"/>
        <v>46420.000000000007</v>
      </c>
      <c r="AW605" s="2710">
        <f t="shared" ca="1" si="859"/>
        <v>0</v>
      </c>
      <c r="AX605" s="15">
        <f ca="1">SUM(INDIRECT(AX$1&amp;AX$2&amp;$A605):INDIRECT(AX$1&amp;AX$3&amp;$A605))</f>
        <v>0</v>
      </c>
      <c r="AY605" s="3073">
        <f t="shared" ca="1" si="860"/>
        <v>0</v>
      </c>
      <c r="AZ605" s="2710">
        <f t="shared" ca="1" si="861"/>
        <v>0</v>
      </c>
      <c r="BB605" s="15">
        <f ca="1">SUM((INDIRECT(BB$2&amp;(ROW())):INDIRECT(BB$3&amp;(ROW()))))</f>
        <v>0</v>
      </c>
      <c r="BC605" s="15">
        <f ca="1">SUM(INDIRECT(BC$1&amp;BC$2&amp;$C605):INDIRECT(BC$1&amp;BC$3&amp;$C605))</f>
        <v>-76193.333333333343</v>
      </c>
      <c r="BD605" s="3073">
        <f t="shared" ca="1" si="862"/>
        <v>76193.333333333343</v>
      </c>
      <c r="BE605" s="2710">
        <f t="shared" ca="1" si="863"/>
        <v>0</v>
      </c>
      <c r="BF605" s="15">
        <f ca="1">SUM(INDIRECT(BF$1&amp;BF$2&amp;$A605):INDIRECT(BF$1&amp;BF$3&amp;$A605))</f>
        <v>0</v>
      </c>
      <c r="BG605" s="3073">
        <f t="shared" ca="1" si="864"/>
        <v>0</v>
      </c>
      <c r="BH605" s="2710">
        <f t="shared" ca="1" si="865"/>
        <v>0</v>
      </c>
    </row>
    <row r="606" spans="1:60" ht="14.5">
      <c r="A606" s="616">
        <f t="shared" si="914"/>
        <v>541</v>
      </c>
      <c r="B606" s="616">
        <v>1</v>
      </c>
      <c r="C606" s="616">
        <f t="shared" si="891"/>
        <v>603</v>
      </c>
      <c r="E606" s="2547">
        <v>1</v>
      </c>
      <c r="I606" s="73"/>
      <c r="J606" s="72"/>
      <c r="K606" s="68"/>
      <c r="L606" s="68"/>
      <c r="M606" s="8" t="s">
        <v>1386</v>
      </c>
      <c r="Q606" s="1779" t="str">
        <f>CHOOSE(2, "6722000003525", "S/GP (2) Gross Profit Direct Others")</f>
        <v>S/GP (2) Gross Profit Direct Others</v>
      </c>
      <c r="R606" s="1217">
        <v>0</v>
      </c>
      <c r="S606" s="1217">
        <v>0</v>
      </c>
      <c r="T606" s="1217">
        <v>0</v>
      </c>
      <c r="U606" s="1217">
        <v>0</v>
      </c>
      <c r="V606" s="1217">
        <v>0</v>
      </c>
      <c r="W606" s="1217">
        <v>0</v>
      </c>
      <c r="X606" s="1217">
        <v>0</v>
      </c>
      <c r="Y606" s="1217">
        <v>0</v>
      </c>
      <c r="Z606" s="1217">
        <v>0</v>
      </c>
      <c r="AA606" s="1217">
        <v>0</v>
      </c>
      <c r="AB606" s="1217">
        <v>0</v>
      </c>
      <c r="AC606" s="1217">
        <v>0</v>
      </c>
      <c r="AD606" s="88">
        <f>SUM(R606,S606,T606)</f>
        <v>0</v>
      </c>
      <c r="AE606" s="17">
        <f t="shared" si="919"/>
        <v>0</v>
      </c>
      <c r="AF606" s="17">
        <f t="shared" si="920"/>
        <v>0</v>
      </c>
      <c r="AG606" s="17">
        <f t="shared" si="921"/>
        <v>0</v>
      </c>
      <c r="AH606" s="17">
        <f>AD606+AE606</f>
        <v>0</v>
      </c>
      <c r="AI606" s="17">
        <f>AG606+AF606</f>
        <v>0</v>
      </c>
      <c r="AJ606" s="17">
        <f>AH606+AI606</f>
        <v>0</v>
      </c>
      <c r="AL606" s="17">
        <f ca="1">SUM((INDIRECT(AL$2&amp;(ROW())):INDIRECT(AL$3&amp;(ROW()))))</f>
        <v>0</v>
      </c>
      <c r="AM606" s="17">
        <f ca="1">SUM(INDIRECT(AM$1&amp;AM$2&amp;$C606):INDIRECT(AM$1&amp;AM$3&amp;$C606))</f>
        <v>-2733.3333333333335</v>
      </c>
      <c r="AN606" s="3072">
        <f t="shared" ca="1" si="854"/>
        <v>2733.3333333333335</v>
      </c>
      <c r="AO606" s="2708">
        <f t="shared" ca="1" si="855"/>
        <v>0</v>
      </c>
      <c r="AP606" s="17">
        <f ca="1">SUM(INDIRECT(AP$1&amp;AP$2&amp;$A606):INDIRECT(AP$1&amp;AP$3&amp;$A606))</f>
        <v>0</v>
      </c>
      <c r="AQ606" s="3072">
        <f t="shared" ca="1" si="856"/>
        <v>0</v>
      </c>
      <c r="AR606" s="2708">
        <f t="shared" ca="1" si="857"/>
        <v>0</v>
      </c>
      <c r="AT606" s="17">
        <f ca="1">SUM((INDIRECT(AT$2&amp;(ROW())):INDIRECT(AT$3&amp;(ROW()))))</f>
        <v>0</v>
      </c>
      <c r="AU606" s="17">
        <f ca="1">SUM(INDIRECT(AU$1&amp;AU$2&amp;$C606):INDIRECT(AU$1&amp;AU$3&amp;$C606))</f>
        <v>-8200</v>
      </c>
      <c r="AV606" s="3072">
        <f t="shared" ca="1" si="858"/>
        <v>8200</v>
      </c>
      <c r="AW606" s="2708">
        <f t="shared" ca="1" si="859"/>
        <v>0</v>
      </c>
      <c r="AX606" s="17">
        <f ca="1">SUM(INDIRECT(AX$1&amp;AX$2&amp;$A606):INDIRECT(AX$1&amp;AX$3&amp;$A606))</f>
        <v>0</v>
      </c>
      <c r="AY606" s="3072">
        <f t="shared" ca="1" si="860"/>
        <v>0</v>
      </c>
      <c r="AZ606" s="2708">
        <f t="shared" ca="1" si="861"/>
        <v>0</v>
      </c>
      <c r="BB606" s="17">
        <f ca="1">SUM((INDIRECT(BB$2&amp;(ROW())):INDIRECT(BB$3&amp;(ROW()))))</f>
        <v>0</v>
      </c>
      <c r="BC606" s="17">
        <f ca="1">SUM(INDIRECT(BC$1&amp;BC$2&amp;$C606):INDIRECT(BC$1&amp;BC$3&amp;$C606))</f>
        <v>-13666.666666666668</v>
      </c>
      <c r="BD606" s="3072">
        <f t="shared" ca="1" si="862"/>
        <v>13666.666666666668</v>
      </c>
      <c r="BE606" s="2708">
        <f t="shared" ca="1" si="863"/>
        <v>0</v>
      </c>
      <c r="BF606" s="17">
        <f ca="1">SUM(INDIRECT(BF$1&amp;BF$2&amp;$A606):INDIRECT(BF$1&amp;BF$3&amp;$A606))</f>
        <v>0</v>
      </c>
      <c r="BG606" s="3072">
        <f t="shared" ca="1" si="864"/>
        <v>0</v>
      </c>
      <c r="BH606" s="2708">
        <f t="shared" ca="1" si="865"/>
        <v>0</v>
      </c>
    </row>
    <row r="607" spans="1:60" ht="14.5">
      <c r="A607" s="616">
        <f t="shared" si="914"/>
        <v>542</v>
      </c>
      <c r="B607" s="616">
        <v>1</v>
      </c>
      <c r="C607" s="616">
        <f t="shared" si="891"/>
        <v>604</v>
      </c>
      <c r="E607" s="2547">
        <v>1</v>
      </c>
      <c r="I607" s="73"/>
      <c r="J607" s="72"/>
      <c r="K607" s="583" t="s">
        <v>1382</v>
      </c>
      <c r="L607" s="583"/>
      <c r="M607" s="495"/>
      <c r="N607" s="495"/>
      <c r="O607" s="495"/>
      <c r="P607" s="495"/>
      <c r="Q607" s="1802" t="str">
        <f>CHOOSE(2, "6722000003526", "S/GP (2) Gross Profit Indirect")</f>
        <v>S/GP (2) Gross Profit Indirect</v>
      </c>
      <c r="R607" s="1253">
        <f t="shared" ref="R607:AJ607" si="922">+R608+R611+R624+R629</f>
        <v>19434</v>
      </c>
      <c r="S607" s="1253">
        <f t="shared" si="922"/>
        <v>15003</v>
      </c>
      <c r="T607" s="1253">
        <f t="shared" si="922"/>
        <v>15151</v>
      </c>
      <c r="U607" s="1253">
        <f t="shared" si="922"/>
        <v>21154</v>
      </c>
      <c r="V607" s="1253">
        <f t="shared" si="922"/>
        <v>17987.565102660647</v>
      </c>
      <c r="W607" s="1253">
        <f t="shared" si="922"/>
        <v>7119</v>
      </c>
      <c r="X607" s="1253">
        <f t="shared" si="922"/>
        <v>20466</v>
      </c>
      <c r="Y607" s="1253">
        <f t="shared" si="922"/>
        <v>17842</v>
      </c>
      <c r="Z607" s="1253">
        <f t="shared" si="922"/>
        <v>11754</v>
      </c>
      <c r="AA607" s="1253">
        <f t="shared" si="922"/>
        <v>18670</v>
      </c>
      <c r="AB607" s="1253">
        <f t="shared" si="922"/>
        <v>24203.1067</v>
      </c>
      <c r="AC607" s="1253">
        <f t="shared" si="922"/>
        <v>16181</v>
      </c>
      <c r="AD607" s="3263">
        <f t="shared" si="922"/>
        <v>49588</v>
      </c>
      <c r="AE607" s="1253">
        <f t="shared" si="922"/>
        <v>46260.56510266065</v>
      </c>
      <c r="AF607" s="1253">
        <f t="shared" si="922"/>
        <v>50062</v>
      </c>
      <c r="AG607" s="1253">
        <f t="shared" si="922"/>
        <v>59054.106700000004</v>
      </c>
      <c r="AH607" s="1253">
        <f t="shared" si="922"/>
        <v>95848.56510266065</v>
      </c>
      <c r="AI607" s="1253">
        <f t="shared" si="922"/>
        <v>109116.1067</v>
      </c>
      <c r="AJ607" s="1253">
        <f t="shared" si="922"/>
        <v>204964.67180266065</v>
      </c>
      <c r="AL607" s="1253">
        <f ca="1">SUM((INDIRECT(AL$2&amp;(ROW())):INDIRECT(AL$3&amp;(ROW()))))</f>
        <v>16181</v>
      </c>
      <c r="AM607" s="1253">
        <f ca="1">SUM(INDIRECT(AM$1&amp;AM$2&amp;$C607):INDIRECT(AM$1&amp;AM$3&amp;$C607))</f>
        <v>-283.33333333333331</v>
      </c>
      <c r="AN607" s="3264">
        <f t="shared" ca="1" si="854"/>
        <v>16464.333333333332</v>
      </c>
      <c r="AO607" s="2917">
        <f t="shared" ca="1" si="855"/>
        <v>-57.109411764705889</v>
      </c>
      <c r="AP607" s="1253">
        <f ca="1">SUM(INDIRECT(AP$1&amp;AP$2&amp;$A607):INDIRECT(AP$1&amp;AP$3&amp;$A607))</f>
        <v>658</v>
      </c>
      <c r="AQ607" s="3264">
        <f t="shared" ca="1" si="856"/>
        <v>15523</v>
      </c>
      <c r="AR607" s="2917">
        <f t="shared" ca="1" si="857"/>
        <v>24.591185410334347</v>
      </c>
      <c r="AT607" s="1253">
        <f ca="1">SUM((INDIRECT(AT$2&amp;(ROW())):INDIRECT(AT$3&amp;(ROW()))))</f>
        <v>59054.106700000004</v>
      </c>
      <c r="AU607" s="1253">
        <f ca="1">SUM(INDIRECT(AU$1&amp;AU$2&amp;$C607):INDIRECT(AU$1&amp;AU$3&amp;$C607))</f>
        <v>-850</v>
      </c>
      <c r="AV607" s="3264">
        <f t="shared" ca="1" si="858"/>
        <v>59904.106700000004</v>
      </c>
      <c r="AW607" s="2917">
        <f t="shared" ca="1" si="859"/>
        <v>-69.475419647058828</v>
      </c>
      <c r="AX607" s="1253">
        <f ca="1">SUM(INDIRECT(AX$1&amp;AX$2&amp;$A607):INDIRECT(AX$1&amp;AX$3&amp;$A607))</f>
        <v>2301</v>
      </c>
      <c r="AY607" s="3264">
        <f t="shared" ca="1" si="860"/>
        <v>56753.106700000004</v>
      </c>
      <c r="AZ607" s="2917">
        <f t="shared" ca="1" si="861"/>
        <v>25.664540069534986</v>
      </c>
      <c r="BB607" s="1253">
        <f ca="1">SUM((INDIRECT(BB$2&amp;(ROW())):INDIRECT(BB$3&amp;(ROW()))))</f>
        <v>204964.67180266065</v>
      </c>
      <c r="BC607" s="1253">
        <f ca="1">SUM(INDIRECT(BC$1&amp;BC$2&amp;$C607):INDIRECT(BC$1&amp;BC$3&amp;$C607))</f>
        <v>-1416.6666666666665</v>
      </c>
      <c r="BD607" s="3264">
        <f t="shared" ca="1" si="862"/>
        <v>206381.33846932731</v>
      </c>
      <c r="BE607" s="2917">
        <f t="shared" ca="1" si="863"/>
        <v>-144.68094480187813</v>
      </c>
      <c r="BF607" s="1253">
        <f ca="1">SUM(INDIRECT(BF$1&amp;BF$2&amp;$A607):INDIRECT(BF$1&amp;BF$3&amp;$A607))</f>
        <v>6252.8850000000002</v>
      </c>
      <c r="BG607" s="3264">
        <f t="shared" ca="1" si="864"/>
        <v>198711.78680266064</v>
      </c>
      <c r="BH607" s="2917">
        <f t="shared" ca="1" si="865"/>
        <v>32.779216602042197</v>
      </c>
    </row>
    <row r="608" spans="1:60" ht="14.5">
      <c r="A608" s="616">
        <f t="shared" si="914"/>
        <v>543</v>
      </c>
      <c r="B608" s="616">
        <v>1</v>
      </c>
      <c r="C608" s="616">
        <f t="shared" si="891"/>
        <v>605</v>
      </c>
      <c r="E608" s="2547">
        <v>1</v>
      </c>
      <c r="I608" s="73"/>
      <c r="J608" s="72"/>
      <c r="K608" s="63"/>
      <c r="L608" s="63"/>
      <c r="M608" s="8" t="s">
        <v>1460</v>
      </c>
      <c r="N608" s="285"/>
      <c r="O608" s="285"/>
      <c r="P608" s="285"/>
      <c r="Q608" s="1777" t="str">
        <f>CHOOSE(2, "6722000003527", "S/GP (2) Gross Profit Indirect HW")</f>
        <v>S/GP (2) Gross Profit Indirect HW</v>
      </c>
      <c r="R608" s="3257">
        <f>SUM(R609:R610)</f>
        <v>4088</v>
      </c>
      <c r="S608" s="287">
        <f t="shared" ref="S608:AJ608" si="923">SUM(S609:S610)</f>
        <v>3772</v>
      </c>
      <c r="T608" s="287">
        <f t="shared" si="923"/>
        <v>1690</v>
      </c>
      <c r="U608" s="287">
        <f t="shared" si="923"/>
        <v>6090</v>
      </c>
      <c r="V608" s="287">
        <f t="shared" si="923"/>
        <v>7150.7017364027297</v>
      </c>
      <c r="W608" s="287">
        <f t="shared" si="923"/>
        <v>1751</v>
      </c>
      <c r="X608" s="287">
        <f t="shared" si="923"/>
        <v>4327</v>
      </c>
      <c r="Y608" s="287">
        <f t="shared" si="923"/>
        <v>5166</v>
      </c>
      <c r="Z608" s="287">
        <f t="shared" si="923"/>
        <v>-1488</v>
      </c>
      <c r="AA608" s="287">
        <f t="shared" si="923"/>
        <v>4533</v>
      </c>
      <c r="AB608" s="287">
        <f t="shared" si="923"/>
        <v>4714</v>
      </c>
      <c r="AC608" s="287">
        <f t="shared" si="923"/>
        <v>2094</v>
      </c>
      <c r="AD608" s="315">
        <f t="shared" si="923"/>
        <v>9550</v>
      </c>
      <c r="AE608" s="287">
        <f t="shared" si="923"/>
        <v>14991.701736402731</v>
      </c>
      <c r="AF608" s="287">
        <f t="shared" si="923"/>
        <v>8005</v>
      </c>
      <c r="AG608" s="287">
        <f t="shared" si="923"/>
        <v>11341</v>
      </c>
      <c r="AH608" s="287">
        <f t="shared" si="923"/>
        <v>24541.701736402731</v>
      </c>
      <c r="AI608" s="287">
        <f t="shared" si="923"/>
        <v>19346</v>
      </c>
      <c r="AJ608" s="287">
        <f t="shared" si="923"/>
        <v>43887.701736402727</v>
      </c>
      <c r="AL608" s="287">
        <f ca="1">SUM((INDIRECT(AL$2&amp;(ROW())):INDIRECT(AL$3&amp;(ROW()))))</f>
        <v>2094</v>
      </c>
      <c r="AM608" s="287">
        <f ca="1">SUM(INDIRECT(AM$1&amp;AM$2&amp;$C608):INDIRECT(AM$1&amp;AM$3&amp;$C608))</f>
        <v>0</v>
      </c>
      <c r="AN608" s="3226">
        <f t="shared" ca="1" si="854"/>
        <v>2094</v>
      </c>
      <c r="AO608" s="2876">
        <f t="shared" ca="1" si="855"/>
        <v>0</v>
      </c>
      <c r="AP608" s="287">
        <f ca="1">SUM(INDIRECT(AP$1&amp;AP$2&amp;$A608):INDIRECT(AP$1&amp;AP$3&amp;$A608))</f>
        <v>1988.8565899999999</v>
      </c>
      <c r="AQ608" s="3226">
        <f t="shared" ca="1" si="856"/>
        <v>105.14341000000013</v>
      </c>
      <c r="AR608" s="2876">
        <f t="shared" ca="1" si="857"/>
        <v>1.052866260206323</v>
      </c>
      <c r="AT608" s="287">
        <f ca="1">SUM((INDIRECT(AT$2&amp;(ROW())):INDIRECT(AT$3&amp;(ROW()))))</f>
        <v>11341</v>
      </c>
      <c r="AU608" s="287">
        <f ca="1">SUM(INDIRECT(AU$1&amp;AU$2&amp;$C608):INDIRECT(AU$1&amp;AU$3&amp;$C608))</f>
        <v>0</v>
      </c>
      <c r="AV608" s="3226">
        <f t="shared" ca="1" si="858"/>
        <v>11341</v>
      </c>
      <c r="AW608" s="2876">
        <f t="shared" ca="1" si="859"/>
        <v>0</v>
      </c>
      <c r="AX608" s="287">
        <f ca="1">SUM(INDIRECT(AX$1&amp;AX$2&amp;$A608):INDIRECT(AX$1&amp;AX$3&amp;$A608))</f>
        <v>5031.8565899999994</v>
      </c>
      <c r="AY608" s="3226">
        <f t="shared" ca="1" si="860"/>
        <v>6309.1434100000006</v>
      </c>
      <c r="AZ608" s="2876">
        <f t="shared" ca="1" si="861"/>
        <v>2.2538400682043287</v>
      </c>
      <c r="BB608" s="287">
        <f ca="1">SUM((INDIRECT(BB$2&amp;(ROW())):INDIRECT(BB$3&amp;(ROW()))))</f>
        <v>43887.701736402727</v>
      </c>
      <c r="BC608" s="287">
        <f ca="1">SUM(INDIRECT(BC$1&amp;BC$2&amp;$C608):INDIRECT(BC$1&amp;BC$3&amp;$C608))</f>
        <v>0</v>
      </c>
      <c r="BD608" s="3226">
        <f t="shared" ca="1" si="862"/>
        <v>43887.701736402727</v>
      </c>
      <c r="BE608" s="2876">
        <f t="shared" ca="1" si="863"/>
        <v>0</v>
      </c>
      <c r="BF608" s="287">
        <f ca="1">SUM(INDIRECT(BF$1&amp;BF$2&amp;$A608):INDIRECT(BF$1&amp;BF$3&amp;$A608))</f>
        <v>15069.856589999999</v>
      </c>
      <c r="BG608" s="3226">
        <f t="shared" ca="1" si="864"/>
        <v>28817.845146402728</v>
      </c>
      <c r="BH608" s="2876">
        <f t="shared" ca="1" si="865"/>
        <v>2.912283967289083</v>
      </c>
    </row>
    <row r="609" spans="1:60" ht="14.5">
      <c r="A609" s="616">
        <f t="shared" si="914"/>
        <v>544</v>
      </c>
      <c r="B609" s="616">
        <v>1</v>
      </c>
      <c r="C609" s="616">
        <f t="shared" si="891"/>
        <v>606</v>
      </c>
      <c r="E609" s="2547">
        <v>1</v>
      </c>
      <c r="I609" s="73"/>
      <c r="J609" s="72"/>
      <c r="K609" s="63"/>
      <c r="L609" s="63"/>
      <c r="N609" s="97" t="s">
        <v>1461</v>
      </c>
      <c r="O609" s="97"/>
      <c r="P609" s="97"/>
      <c r="Q609" s="1779" t="str">
        <f>CHOOSE(2, "6722000003528", "S/GP (2) Gross Profit Indirect HW KMI")</f>
        <v>S/GP (2) Gross Profit Indirect HW KMI</v>
      </c>
      <c r="R609" s="1247">
        <v>4088</v>
      </c>
      <c r="S609" s="1227">
        <v>3772</v>
      </c>
      <c r="T609" s="1227">
        <v>1690</v>
      </c>
      <c r="U609" s="1227">
        <v>6090</v>
      </c>
      <c r="V609" s="1227">
        <v>7150.7017364027297</v>
      </c>
      <c r="W609" s="1227">
        <f>-450+2201</f>
        <v>1751</v>
      </c>
      <c r="X609" s="1227">
        <v>4327</v>
      </c>
      <c r="Y609" s="1227">
        <v>5166</v>
      </c>
      <c r="Z609" s="1227">
        <v>-1488</v>
      </c>
      <c r="AA609" s="1227">
        <v>4533</v>
      </c>
      <c r="AB609" s="1227">
        <v>4714</v>
      </c>
      <c r="AC609" s="1227">
        <v>2094</v>
      </c>
      <c r="AD609" s="295">
        <f>SUM(R609,S609,T609)</f>
        <v>9550</v>
      </c>
      <c r="AE609" s="96">
        <f t="shared" ref="AE609:AE610" si="924">SUM(U609,V609,W609)</f>
        <v>14991.701736402731</v>
      </c>
      <c r="AF609" s="96">
        <f t="shared" ref="AF609:AF610" si="925">SUM(X609,Y609,Z609)</f>
        <v>8005</v>
      </c>
      <c r="AG609" s="96">
        <f t="shared" ref="AG609:AG610" si="926">SUM(AA609,AB609,AC609)</f>
        <v>11341</v>
      </c>
      <c r="AH609" s="96">
        <f>AD609+AE609</f>
        <v>24541.701736402731</v>
      </c>
      <c r="AI609" s="96">
        <f>AG609+AF609</f>
        <v>19346</v>
      </c>
      <c r="AJ609" s="96">
        <f>AH609+AI609</f>
        <v>43887.701736402727</v>
      </c>
      <c r="AL609" s="96">
        <f ca="1">SUM((INDIRECT(AL$2&amp;(ROW())):INDIRECT(AL$3&amp;(ROW()))))</f>
        <v>2094</v>
      </c>
      <c r="AM609" s="96">
        <f ca="1">SUM(INDIRECT(AM$1&amp;AM$2&amp;$C609):INDIRECT(AM$1&amp;AM$3&amp;$C609))</f>
        <v>0</v>
      </c>
      <c r="AN609" s="3227">
        <f t="shared" ca="1" si="854"/>
        <v>2094</v>
      </c>
      <c r="AO609" s="2878">
        <f t="shared" ca="1" si="855"/>
        <v>0</v>
      </c>
      <c r="AP609" s="96">
        <f ca="1">SUM(INDIRECT(AP$1&amp;AP$2&amp;$A609):INDIRECT(AP$1&amp;AP$3&amp;$A609))</f>
        <v>1647.68688</v>
      </c>
      <c r="AQ609" s="3227">
        <f t="shared" ca="1" si="856"/>
        <v>446.31312000000003</v>
      </c>
      <c r="AR609" s="2878">
        <f t="shared" ca="1" si="857"/>
        <v>1.2708725337425761</v>
      </c>
      <c r="AT609" s="96">
        <f ca="1">SUM((INDIRECT(AT$2&amp;(ROW())):INDIRECT(AT$3&amp;(ROW()))))</f>
        <v>11341</v>
      </c>
      <c r="AU609" s="96">
        <f ca="1">SUM(INDIRECT(AU$1&amp;AU$2&amp;$C609):INDIRECT(AU$1&amp;AU$3&amp;$C609))</f>
        <v>0</v>
      </c>
      <c r="AV609" s="3227">
        <f t="shared" ca="1" si="858"/>
        <v>11341</v>
      </c>
      <c r="AW609" s="2878">
        <f t="shared" ca="1" si="859"/>
        <v>0</v>
      </c>
      <c r="AX609" s="96">
        <f ca="1">SUM(INDIRECT(AX$1&amp;AX$2&amp;$A609):INDIRECT(AX$1&amp;AX$3&amp;$A609))</f>
        <v>3793.6868800000002</v>
      </c>
      <c r="AY609" s="3227">
        <f t="shared" ca="1" si="860"/>
        <v>7547.3131199999998</v>
      </c>
      <c r="AZ609" s="2878">
        <f t="shared" ca="1" si="861"/>
        <v>2.9894401827912587</v>
      </c>
      <c r="BB609" s="96">
        <f ca="1">SUM((INDIRECT(BB$2&amp;(ROW())):INDIRECT(BB$3&amp;(ROW()))))</f>
        <v>43887.701736402727</v>
      </c>
      <c r="BC609" s="96">
        <f ca="1">SUM(INDIRECT(BC$1&amp;BC$2&amp;$C609):INDIRECT(BC$1&amp;BC$3&amp;$C609))</f>
        <v>0</v>
      </c>
      <c r="BD609" s="3227">
        <f t="shared" ca="1" si="862"/>
        <v>43887.701736402727</v>
      </c>
      <c r="BE609" s="2878">
        <f t="shared" ca="1" si="863"/>
        <v>0</v>
      </c>
      <c r="BF609" s="96">
        <f ca="1">SUM(INDIRECT(BF$1&amp;BF$2&amp;$A609):INDIRECT(BF$1&amp;BF$3&amp;$A609))</f>
        <v>11597.686879999999</v>
      </c>
      <c r="BG609" s="3227">
        <f t="shared" ca="1" si="864"/>
        <v>32290.014856402726</v>
      </c>
      <c r="BH609" s="2878">
        <f t="shared" ca="1" si="865"/>
        <v>3.7841771545053757</v>
      </c>
    </row>
    <row r="610" spans="1:60" ht="14.5">
      <c r="A610" s="616">
        <f t="shared" si="914"/>
        <v>545</v>
      </c>
      <c r="B610" s="616">
        <v>1</v>
      </c>
      <c r="C610" s="616">
        <f t="shared" si="891"/>
        <v>607</v>
      </c>
      <c r="E610" s="2547">
        <v>1</v>
      </c>
      <c r="I610" s="73"/>
      <c r="J610" s="72"/>
      <c r="K610" s="63"/>
      <c r="L610" s="63"/>
      <c r="N610" s="11" t="s">
        <v>1464</v>
      </c>
      <c r="O610" s="11"/>
      <c r="P610" s="11"/>
      <c r="Q610" s="1779" t="str">
        <f>CHOOSE(2, "6722000003529", "S/GP (2) Gross Profit Indirect HW 3rd Party")</f>
        <v>S/GP (2) Gross Profit Indirect HW 3rd Party</v>
      </c>
      <c r="R610" s="1225">
        <v>0</v>
      </c>
      <c r="S610" s="1218">
        <v>0</v>
      </c>
      <c r="T610" s="1218">
        <v>0</v>
      </c>
      <c r="U610" s="1218">
        <v>0</v>
      </c>
      <c r="V610" s="1218">
        <v>0</v>
      </c>
      <c r="W610" s="1218">
        <v>0</v>
      </c>
      <c r="X610" s="1218">
        <v>0</v>
      </c>
      <c r="Y610" s="1218">
        <v>0</v>
      </c>
      <c r="Z610" s="1218">
        <v>0</v>
      </c>
      <c r="AA610" s="1218">
        <v>0</v>
      </c>
      <c r="AB610" s="1218">
        <v>0</v>
      </c>
      <c r="AC610" s="1218">
        <v>0</v>
      </c>
      <c r="AD610" s="87">
        <f>SUM(R610,S610,T610)</f>
        <v>0</v>
      </c>
      <c r="AE610" s="15">
        <f t="shared" si="924"/>
        <v>0</v>
      </c>
      <c r="AF610" s="15">
        <f t="shared" si="925"/>
        <v>0</v>
      </c>
      <c r="AG610" s="15">
        <f t="shared" si="926"/>
        <v>0</v>
      </c>
      <c r="AH610" s="15">
        <f>AD610+AE610</f>
        <v>0</v>
      </c>
      <c r="AI610" s="15">
        <f>AG610+AF610</f>
        <v>0</v>
      </c>
      <c r="AJ610" s="15">
        <f>AH610+AI610</f>
        <v>0</v>
      </c>
      <c r="AL610" s="15">
        <f ca="1">SUM((INDIRECT(AL$2&amp;(ROW())):INDIRECT(AL$3&amp;(ROW()))))</f>
        <v>0</v>
      </c>
      <c r="AM610" s="15">
        <f ca="1">SUM(INDIRECT(AM$1&amp;AM$2&amp;$C610):INDIRECT(AM$1&amp;AM$3&amp;$C610))</f>
        <v>0</v>
      </c>
      <c r="AN610" s="3073">
        <f t="shared" ca="1" si="854"/>
        <v>0</v>
      </c>
      <c r="AO610" s="2710">
        <f t="shared" ca="1" si="855"/>
        <v>0</v>
      </c>
      <c r="AP610" s="15">
        <f ca="1">SUM(INDIRECT(AP$1&amp;AP$2&amp;$A610):INDIRECT(AP$1&amp;AP$3&amp;$A610))</f>
        <v>0</v>
      </c>
      <c r="AQ610" s="3073">
        <f t="shared" ca="1" si="856"/>
        <v>0</v>
      </c>
      <c r="AR610" s="2710">
        <f t="shared" ca="1" si="857"/>
        <v>0</v>
      </c>
      <c r="AT610" s="15">
        <f ca="1">SUM((INDIRECT(AT$2&amp;(ROW())):INDIRECT(AT$3&amp;(ROW()))))</f>
        <v>0</v>
      </c>
      <c r="AU610" s="15">
        <f ca="1">SUM(INDIRECT(AU$1&amp;AU$2&amp;$C610):INDIRECT(AU$1&amp;AU$3&amp;$C610))</f>
        <v>0</v>
      </c>
      <c r="AV610" s="3073">
        <f t="shared" ca="1" si="858"/>
        <v>0</v>
      </c>
      <c r="AW610" s="2710">
        <f t="shared" ca="1" si="859"/>
        <v>0</v>
      </c>
      <c r="AX610" s="15">
        <f ca="1">SUM(INDIRECT(AX$1&amp;AX$2&amp;$A610):INDIRECT(AX$1&amp;AX$3&amp;$A610))</f>
        <v>0</v>
      </c>
      <c r="AY610" s="3073">
        <f t="shared" ca="1" si="860"/>
        <v>0</v>
      </c>
      <c r="AZ610" s="2710">
        <f t="shared" ca="1" si="861"/>
        <v>0</v>
      </c>
      <c r="BB610" s="15">
        <f ca="1">SUM((INDIRECT(BB$2&amp;(ROW())):INDIRECT(BB$3&amp;(ROW()))))</f>
        <v>0</v>
      </c>
      <c r="BC610" s="15">
        <f ca="1">SUM(INDIRECT(BC$1&amp;BC$2&amp;$C610):INDIRECT(BC$1&amp;BC$3&amp;$C610))</f>
        <v>0</v>
      </c>
      <c r="BD610" s="3073">
        <f t="shared" ca="1" si="862"/>
        <v>0</v>
      </c>
      <c r="BE610" s="2710">
        <f t="shared" ca="1" si="863"/>
        <v>0</v>
      </c>
      <c r="BF610" s="15">
        <f ca="1">SUM(INDIRECT(BF$1&amp;BF$2&amp;$A610):INDIRECT(BF$1&amp;BF$3&amp;$A610))</f>
        <v>0</v>
      </c>
      <c r="BG610" s="3073">
        <f t="shared" ca="1" si="864"/>
        <v>0</v>
      </c>
      <c r="BH610" s="2710">
        <f t="shared" ca="1" si="865"/>
        <v>0</v>
      </c>
    </row>
    <row r="611" spans="1:60" ht="14.5">
      <c r="A611" s="616">
        <f t="shared" si="914"/>
        <v>546</v>
      </c>
      <c r="B611" s="616">
        <v>1</v>
      </c>
      <c r="C611" s="616">
        <f t="shared" si="891"/>
        <v>608</v>
      </c>
      <c r="E611" s="2547">
        <v>1</v>
      </c>
      <c r="I611" s="73"/>
      <c r="J611" s="72"/>
      <c r="K611" s="63"/>
      <c r="L611" s="63"/>
      <c r="M611" s="487" t="s">
        <v>1405</v>
      </c>
      <c r="N611" s="284"/>
      <c r="O611" s="284"/>
      <c r="P611" s="284"/>
      <c r="Q611" s="1777" t="str">
        <f>CHOOSE(2, "6722000003530", "S/GP (2) Gross Profit Indirect NH")</f>
        <v>S/GP (2) Gross Profit Indirect NH</v>
      </c>
      <c r="R611" s="3258">
        <f>R612+R615+R616+R620+R623</f>
        <v>15346</v>
      </c>
      <c r="S611" s="3103">
        <f t="shared" ref="S611:AJ611" si="927">S612+S615+S616+S620+S623</f>
        <v>11231</v>
      </c>
      <c r="T611" s="3103">
        <f t="shared" si="927"/>
        <v>13461</v>
      </c>
      <c r="U611" s="3103">
        <f t="shared" si="927"/>
        <v>15064</v>
      </c>
      <c r="V611" s="3103">
        <f t="shared" si="927"/>
        <v>10836.863366257916</v>
      </c>
      <c r="W611" s="3103">
        <f t="shared" si="927"/>
        <v>5368</v>
      </c>
      <c r="X611" s="3103">
        <f t="shared" si="927"/>
        <v>16139</v>
      </c>
      <c r="Y611" s="3103">
        <f t="shared" si="927"/>
        <v>12676</v>
      </c>
      <c r="Z611" s="3103">
        <f t="shared" si="927"/>
        <v>13242</v>
      </c>
      <c r="AA611" s="3103">
        <f t="shared" si="927"/>
        <v>14137</v>
      </c>
      <c r="AB611" s="3103">
        <f t="shared" si="927"/>
        <v>19489.1067</v>
      </c>
      <c r="AC611" s="3103">
        <f t="shared" si="927"/>
        <v>14087</v>
      </c>
      <c r="AD611" s="3244">
        <f t="shared" si="927"/>
        <v>40038</v>
      </c>
      <c r="AE611" s="3103">
        <f t="shared" si="927"/>
        <v>31268.863366257916</v>
      </c>
      <c r="AF611" s="3103">
        <f t="shared" si="927"/>
        <v>42057</v>
      </c>
      <c r="AG611" s="3103">
        <f t="shared" si="927"/>
        <v>47713.106700000004</v>
      </c>
      <c r="AH611" s="3103">
        <f t="shared" si="927"/>
        <v>71306.863366257923</v>
      </c>
      <c r="AI611" s="3103">
        <f t="shared" si="927"/>
        <v>89770.106700000004</v>
      </c>
      <c r="AJ611" s="3103">
        <f t="shared" si="927"/>
        <v>161076.97006625793</v>
      </c>
      <c r="AL611" s="3103">
        <f ca="1">SUM((INDIRECT(AL$2&amp;(ROW())):INDIRECT(AL$3&amp;(ROW()))))</f>
        <v>14087</v>
      </c>
      <c r="AM611" s="3103">
        <f ca="1">SUM(INDIRECT(AM$1&amp;AM$2&amp;$C611):INDIRECT(AM$1&amp;AM$3&amp;$C611))</f>
        <v>0</v>
      </c>
      <c r="AN611" s="3259">
        <f t="shared" ca="1" si="854"/>
        <v>14087</v>
      </c>
      <c r="AO611" s="2911">
        <f t="shared" ca="1" si="855"/>
        <v>0</v>
      </c>
      <c r="AP611" s="3103">
        <f ca="1">SUM(INDIRECT(AP$1&amp;AP$2&amp;$A611):INDIRECT(AP$1&amp;AP$3&amp;$A611))</f>
        <v>1647.68688</v>
      </c>
      <c r="AQ611" s="3259">
        <f t="shared" ca="1" si="856"/>
        <v>12439.313120000001</v>
      </c>
      <c r="AR611" s="2911">
        <f t="shared" ca="1" si="857"/>
        <v>8.5495613098527556</v>
      </c>
      <c r="AT611" s="3103">
        <f ca="1">SUM((INDIRECT(AT$2&amp;(ROW())):INDIRECT(AT$3&amp;(ROW()))))</f>
        <v>47713.106700000004</v>
      </c>
      <c r="AU611" s="3103">
        <f ca="1">SUM(INDIRECT(AU$1&amp;AU$2&amp;$C611):INDIRECT(AU$1&amp;AU$3&amp;$C611))</f>
        <v>0</v>
      </c>
      <c r="AV611" s="3259">
        <f t="shared" ca="1" si="858"/>
        <v>47713.106700000004</v>
      </c>
      <c r="AW611" s="2911">
        <f t="shared" ca="1" si="859"/>
        <v>0</v>
      </c>
      <c r="AX611" s="3103">
        <f ca="1">SUM(INDIRECT(AX$1&amp;AX$2&amp;$A611):INDIRECT(AX$1&amp;AX$3&amp;$A611))</f>
        <v>3793.6868800000002</v>
      </c>
      <c r="AY611" s="3259">
        <f t="shared" ca="1" si="860"/>
        <v>43919.419820000003</v>
      </c>
      <c r="AZ611" s="2911">
        <f t="shared" ca="1" si="861"/>
        <v>12.576975435568896</v>
      </c>
      <c r="BB611" s="3103">
        <f ca="1">SUM((INDIRECT(BB$2&amp;(ROW())):INDIRECT(BB$3&amp;(ROW()))))</f>
        <v>161076.97006625793</v>
      </c>
      <c r="BC611" s="3103">
        <f ca="1">SUM(INDIRECT(BC$1&amp;BC$2&amp;$C611):INDIRECT(BC$1&amp;BC$3&amp;$C611))</f>
        <v>0</v>
      </c>
      <c r="BD611" s="3259">
        <f t="shared" ca="1" si="862"/>
        <v>161076.97006625793</v>
      </c>
      <c r="BE611" s="2911">
        <f t="shared" ca="1" si="863"/>
        <v>0</v>
      </c>
      <c r="BF611" s="3103">
        <f ca="1">SUM(INDIRECT(BF$1&amp;BF$2&amp;$A611):INDIRECT(BF$1&amp;BF$3&amp;$A611))</f>
        <v>11597.686879999999</v>
      </c>
      <c r="BG611" s="3259">
        <f t="shared" ca="1" si="864"/>
        <v>149479.28318625793</v>
      </c>
      <c r="BH611" s="2911">
        <f t="shared" ca="1" si="865"/>
        <v>13.888715200962379</v>
      </c>
    </row>
    <row r="612" spans="1:60" ht="14.5">
      <c r="A612" s="616">
        <f t="shared" si="914"/>
        <v>547</v>
      </c>
      <c r="B612" s="616">
        <v>1</v>
      </c>
      <c r="C612" s="616">
        <f t="shared" si="891"/>
        <v>609</v>
      </c>
      <c r="E612" s="2547">
        <v>1</v>
      </c>
      <c r="I612" s="73"/>
      <c r="J612" s="72"/>
      <c r="K612" s="63"/>
      <c r="L612" s="63"/>
      <c r="N612" s="97" t="s">
        <v>1461</v>
      </c>
      <c r="O612" s="97"/>
      <c r="P612" s="869"/>
      <c r="Q612" s="1777" t="str">
        <f>CHOOSE(2, "6722000003531", "S/GP (2) Gross Profit Indirect NH KMI")</f>
        <v>S/GP (2) Gross Profit Indirect NH KMI</v>
      </c>
      <c r="R612" s="3260">
        <f>SUM(R613:R614)</f>
        <v>15346</v>
      </c>
      <c r="S612" s="58">
        <f t="shared" ref="S612:AJ612" si="928">SUM(S613:S614)</f>
        <v>11231</v>
      </c>
      <c r="T612" s="58">
        <f t="shared" si="928"/>
        <v>13461</v>
      </c>
      <c r="U612" s="58">
        <f t="shared" si="928"/>
        <v>15064</v>
      </c>
      <c r="V612" s="58">
        <f t="shared" si="928"/>
        <v>10836.863366257916</v>
      </c>
      <c r="W612" s="58">
        <f t="shared" si="928"/>
        <v>5368</v>
      </c>
      <c r="X612" s="58">
        <f t="shared" si="928"/>
        <v>16139</v>
      </c>
      <c r="Y612" s="58">
        <f t="shared" si="928"/>
        <v>12676</v>
      </c>
      <c r="Z612" s="58">
        <f t="shared" si="928"/>
        <v>13242</v>
      </c>
      <c r="AA612" s="58">
        <f t="shared" si="928"/>
        <v>14137</v>
      </c>
      <c r="AB612" s="58">
        <f t="shared" si="928"/>
        <v>19489.1067</v>
      </c>
      <c r="AC612" s="58">
        <f t="shared" si="928"/>
        <v>14087</v>
      </c>
      <c r="AD612" s="903">
        <f t="shared" si="928"/>
        <v>40038</v>
      </c>
      <c r="AE612" s="58">
        <f t="shared" si="928"/>
        <v>31268.863366257916</v>
      </c>
      <c r="AF612" s="58">
        <f t="shared" si="928"/>
        <v>42057</v>
      </c>
      <c r="AG612" s="58">
        <f t="shared" si="928"/>
        <v>47713.106700000004</v>
      </c>
      <c r="AH612" s="58">
        <f t="shared" si="928"/>
        <v>71306.863366257923</v>
      </c>
      <c r="AI612" s="58">
        <f t="shared" si="928"/>
        <v>89770.106700000004</v>
      </c>
      <c r="AJ612" s="58">
        <f t="shared" si="928"/>
        <v>161076.97006625793</v>
      </c>
      <c r="AL612" s="58">
        <f ca="1">SUM((INDIRECT(AL$2&amp;(ROW())):INDIRECT(AL$3&amp;(ROW()))))</f>
        <v>14087</v>
      </c>
      <c r="AM612" s="58">
        <f ca="1">SUM(INDIRECT(AM$1&amp;AM$2&amp;$C612):INDIRECT(AM$1&amp;AM$3&amp;$C612))</f>
        <v>249.75</v>
      </c>
      <c r="AN612" s="3261">
        <f t="shared" ca="1" si="854"/>
        <v>13837.25</v>
      </c>
      <c r="AO612" s="2913">
        <f t="shared" ca="1" si="855"/>
        <v>56.404404404404403</v>
      </c>
      <c r="AP612" s="58">
        <f ca="1">SUM(INDIRECT(AP$1&amp;AP$2&amp;$A612):INDIRECT(AP$1&amp;AP$3&amp;$A612))</f>
        <v>0</v>
      </c>
      <c r="AQ612" s="3261">
        <f t="shared" ca="1" si="856"/>
        <v>14087</v>
      </c>
      <c r="AR612" s="2913">
        <f t="shared" ca="1" si="857"/>
        <v>0</v>
      </c>
      <c r="AT612" s="58">
        <f ca="1">SUM((INDIRECT(AT$2&amp;(ROW())):INDIRECT(AT$3&amp;(ROW()))))</f>
        <v>47713.106700000004</v>
      </c>
      <c r="AU612" s="58">
        <f ca="1">SUM(INDIRECT(AU$1&amp;AU$2&amp;$C612):INDIRECT(AU$1&amp;AU$3&amp;$C612))</f>
        <v>499.5</v>
      </c>
      <c r="AV612" s="3261">
        <f t="shared" ca="1" si="858"/>
        <v>47213.606700000004</v>
      </c>
      <c r="AW612" s="2913">
        <f t="shared" ca="1" si="859"/>
        <v>95.521735135135145</v>
      </c>
      <c r="AX612" s="58">
        <f ca="1">SUM(INDIRECT(AX$1&amp;AX$2&amp;$A612):INDIRECT(AX$1&amp;AX$3&amp;$A612))</f>
        <v>0</v>
      </c>
      <c r="AY612" s="3261">
        <f t="shared" ca="1" si="860"/>
        <v>47713.106700000004</v>
      </c>
      <c r="AZ612" s="2913">
        <f t="shared" ca="1" si="861"/>
        <v>0</v>
      </c>
      <c r="BB612" s="58">
        <f ca="1">SUM((INDIRECT(BB$2&amp;(ROW())):INDIRECT(BB$3&amp;(ROW()))))</f>
        <v>161076.97006625793</v>
      </c>
      <c r="BC612" s="58">
        <f ca="1">SUM(INDIRECT(BC$1&amp;BC$2&amp;$C612):INDIRECT(BC$1&amp;BC$3&amp;$C612))</f>
        <v>999</v>
      </c>
      <c r="BD612" s="3261">
        <f t="shared" ca="1" si="862"/>
        <v>160077.97006625793</v>
      </c>
      <c r="BE612" s="2913">
        <f t="shared" ca="1" si="863"/>
        <v>161.23820827453247</v>
      </c>
      <c r="BF612" s="58">
        <f ca="1">SUM(INDIRECT(BF$1&amp;BF$2&amp;$A612):INDIRECT(BF$1&amp;BF$3&amp;$A612))</f>
        <v>0</v>
      </c>
      <c r="BG612" s="3261">
        <f t="shared" ca="1" si="864"/>
        <v>161076.97006625793</v>
      </c>
      <c r="BH612" s="2913">
        <f t="shared" ca="1" si="865"/>
        <v>0</v>
      </c>
    </row>
    <row r="613" spans="1:60" ht="14.5">
      <c r="A613" s="616">
        <f t="shared" si="914"/>
        <v>548</v>
      </c>
      <c r="B613" s="616">
        <v>1</v>
      </c>
      <c r="C613" s="616">
        <f t="shared" si="891"/>
        <v>610</v>
      </c>
      <c r="E613" s="2547">
        <v>1</v>
      </c>
      <c r="I613" s="73"/>
      <c r="J613" s="72"/>
      <c r="K613" s="63"/>
      <c r="L613" s="63"/>
      <c r="P613" s="97" t="s">
        <v>1467</v>
      </c>
      <c r="Q613" s="1779" t="str">
        <f>CHOOSE(2, "6722000003532", "S/GP (2) Gross Profit Indirect NH KMI Consumables")</f>
        <v>S/GP (2) Gross Profit Indirect NH KMI Consumables</v>
      </c>
      <c r="R613" s="1247">
        <v>15346</v>
      </c>
      <c r="S613" s="1227">
        <v>11231</v>
      </c>
      <c r="T613" s="1227">
        <v>13461</v>
      </c>
      <c r="U613" s="1227">
        <v>15064</v>
      </c>
      <c r="V613" s="1227">
        <v>10836.863366257916</v>
      </c>
      <c r="W613" s="1227">
        <v>5368</v>
      </c>
      <c r="X613" s="1227">
        <v>16139</v>
      </c>
      <c r="Y613" s="1227">
        <v>12676</v>
      </c>
      <c r="Z613" s="1227">
        <v>13242</v>
      </c>
      <c r="AA613" s="1227">
        <v>14137</v>
      </c>
      <c r="AB613" s="1227">
        <v>19489.1067</v>
      </c>
      <c r="AC613" s="1227">
        <v>14087</v>
      </c>
      <c r="AD613" s="295">
        <f>SUM(R613,S613,T613)</f>
        <v>40038</v>
      </c>
      <c r="AE613" s="96">
        <f t="shared" ref="AE613:AE615" si="929">SUM(U613,V613,W613)</f>
        <v>31268.863366257916</v>
      </c>
      <c r="AF613" s="96">
        <f t="shared" ref="AF613:AF615" si="930">SUM(X613,Y613,Z613)</f>
        <v>42057</v>
      </c>
      <c r="AG613" s="96">
        <f t="shared" ref="AG613:AG615" si="931">SUM(AA613,AB613,AC613)</f>
        <v>47713.106700000004</v>
      </c>
      <c r="AH613" s="96">
        <f>AD613+AE613</f>
        <v>71306.863366257923</v>
      </c>
      <c r="AI613" s="96">
        <f>AG613+AF613</f>
        <v>89770.106700000004</v>
      </c>
      <c r="AJ613" s="96">
        <f>AH613+AI613</f>
        <v>161076.97006625793</v>
      </c>
      <c r="AL613" s="96">
        <f ca="1">SUM((INDIRECT(AL$2&amp;(ROW())):INDIRECT(AL$3&amp;(ROW()))))</f>
        <v>14087</v>
      </c>
      <c r="AM613" s="96">
        <f ca="1">SUM(INDIRECT(AM$1&amp;AM$2&amp;$C613):INDIRECT(AM$1&amp;AM$3&amp;$C613))</f>
        <v>249.75</v>
      </c>
      <c r="AN613" s="3227">
        <f t="shared" ca="1" si="854"/>
        <v>13837.25</v>
      </c>
      <c r="AO613" s="2878">
        <f t="shared" ca="1" si="855"/>
        <v>56.404404404404403</v>
      </c>
      <c r="AP613" s="96">
        <f ca="1">SUM(INDIRECT(AP$1&amp;AP$2&amp;$A613):INDIRECT(AP$1&amp;AP$3&amp;$A613))</f>
        <v>0</v>
      </c>
      <c r="AQ613" s="3227">
        <f t="shared" ca="1" si="856"/>
        <v>14087</v>
      </c>
      <c r="AR613" s="2878">
        <f t="shared" ca="1" si="857"/>
        <v>0</v>
      </c>
      <c r="AT613" s="96">
        <f ca="1">SUM((INDIRECT(AT$2&amp;(ROW())):INDIRECT(AT$3&amp;(ROW()))))</f>
        <v>47713.106700000004</v>
      </c>
      <c r="AU613" s="96">
        <f ca="1">SUM(INDIRECT(AU$1&amp;AU$2&amp;$C613):INDIRECT(AU$1&amp;AU$3&amp;$C613))</f>
        <v>499.5</v>
      </c>
      <c r="AV613" s="3227">
        <f t="shared" ca="1" si="858"/>
        <v>47213.606700000004</v>
      </c>
      <c r="AW613" s="2878">
        <f t="shared" ca="1" si="859"/>
        <v>95.521735135135145</v>
      </c>
      <c r="AX613" s="96">
        <f ca="1">SUM(INDIRECT(AX$1&amp;AX$2&amp;$A613):INDIRECT(AX$1&amp;AX$3&amp;$A613))</f>
        <v>0</v>
      </c>
      <c r="AY613" s="3227">
        <f t="shared" ca="1" si="860"/>
        <v>47713.106700000004</v>
      </c>
      <c r="AZ613" s="2878">
        <f t="shared" ca="1" si="861"/>
        <v>0</v>
      </c>
      <c r="BB613" s="96">
        <f ca="1">SUM((INDIRECT(BB$2&amp;(ROW())):INDIRECT(BB$3&amp;(ROW()))))</f>
        <v>161076.97006625793</v>
      </c>
      <c r="BC613" s="96">
        <f ca="1">SUM(INDIRECT(BC$1&amp;BC$2&amp;$C613):INDIRECT(BC$1&amp;BC$3&amp;$C613))</f>
        <v>999</v>
      </c>
      <c r="BD613" s="3227">
        <f t="shared" ca="1" si="862"/>
        <v>160077.97006625793</v>
      </c>
      <c r="BE613" s="2878">
        <f t="shared" ca="1" si="863"/>
        <v>161.23820827453247</v>
      </c>
      <c r="BF613" s="96">
        <f ca="1">SUM(INDIRECT(BF$1&amp;BF$2&amp;$A613):INDIRECT(BF$1&amp;BF$3&amp;$A613))</f>
        <v>0</v>
      </c>
      <c r="BG613" s="3227">
        <f t="shared" ca="1" si="864"/>
        <v>161076.97006625793</v>
      </c>
      <c r="BH613" s="2878">
        <f t="shared" ca="1" si="865"/>
        <v>0</v>
      </c>
    </row>
    <row r="614" spans="1:60" ht="14.5">
      <c r="A614" s="616">
        <f t="shared" si="914"/>
        <v>549</v>
      </c>
      <c r="B614" s="616">
        <v>1</v>
      </c>
      <c r="C614" s="616">
        <f t="shared" si="891"/>
        <v>611</v>
      </c>
      <c r="E614" s="2547">
        <v>1</v>
      </c>
      <c r="I614" s="73"/>
      <c r="J614" s="72"/>
      <c r="K614" s="63"/>
      <c r="L614" s="63"/>
      <c r="N614" s="285"/>
      <c r="O614" s="285"/>
      <c r="P614" s="285" t="s">
        <v>1468</v>
      </c>
      <c r="Q614" s="1779" t="str">
        <f>CHOOSE(2, "6722000003533", "S/GP (2) Gross Profit Indirect NH KMI Parts")</f>
        <v>S/GP (2) Gross Profit Indirect NH KMI Parts</v>
      </c>
      <c r="R614" s="1390">
        <v>0</v>
      </c>
      <c r="S614" s="1245">
        <v>0</v>
      </c>
      <c r="T614" s="1245">
        <v>0</v>
      </c>
      <c r="U614" s="1245">
        <v>0</v>
      </c>
      <c r="V614" s="1245">
        <v>0</v>
      </c>
      <c r="W614" s="1245">
        <v>0</v>
      </c>
      <c r="X614" s="1245">
        <v>0</v>
      </c>
      <c r="Y614" s="1245">
        <v>0</v>
      </c>
      <c r="Z614" s="1245">
        <v>0</v>
      </c>
      <c r="AA614" s="1245">
        <v>0</v>
      </c>
      <c r="AB614" s="1245">
        <v>0</v>
      </c>
      <c r="AC614" s="1245">
        <v>0</v>
      </c>
      <c r="AD614" s="315">
        <f>SUM(R614,S614,T614)</f>
        <v>0</v>
      </c>
      <c r="AE614" s="287">
        <f t="shared" si="929"/>
        <v>0</v>
      </c>
      <c r="AF614" s="287">
        <f t="shared" si="930"/>
        <v>0</v>
      </c>
      <c r="AG614" s="287">
        <f t="shared" si="931"/>
        <v>0</v>
      </c>
      <c r="AH614" s="287">
        <f>AD614+AE614</f>
        <v>0</v>
      </c>
      <c r="AI614" s="287">
        <f>AG614+AF614</f>
        <v>0</v>
      </c>
      <c r="AJ614" s="287">
        <f>AH614+AI614</f>
        <v>0</v>
      </c>
      <c r="AL614" s="287">
        <f ca="1">SUM((INDIRECT(AL$2&amp;(ROW())):INDIRECT(AL$3&amp;(ROW()))))</f>
        <v>0</v>
      </c>
      <c r="AM614" s="287">
        <f ca="1">SUM(INDIRECT(AM$1&amp;AM$2&amp;$C614):INDIRECT(AM$1&amp;AM$3&amp;$C614))</f>
        <v>0</v>
      </c>
      <c r="AN614" s="3226">
        <f t="shared" ca="1" si="854"/>
        <v>0</v>
      </c>
      <c r="AO614" s="2876">
        <f t="shared" ca="1" si="855"/>
        <v>0</v>
      </c>
      <c r="AP614" s="287">
        <f ca="1">SUM(INDIRECT(AP$1&amp;AP$2&amp;$A614):INDIRECT(AP$1&amp;AP$3&amp;$A614))</f>
        <v>341.16971000000001</v>
      </c>
      <c r="AQ614" s="3226">
        <f t="shared" ca="1" si="856"/>
        <v>-341.16971000000001</v>
      </c>
      <c r="AR614" s="2876">
        <f t="shared" ca="1" si="857"/>
        <v>0</v>
      </c>
      <c r="AT614" s="287">
        <f ca="1">SUM((INDIRECT(AT$2&amp;(ROW())):INDIRECT(AT$3&amp;(ROW()))))</f>
        <v>0</v>
      </c>
      <c r="AU614" s="287">
        <f ca="1">SUM(INDIRECT(AU$1&amp;AU$2&amp;$C614):INDIRECT(AU$1&amp;AU$3&amp;$C614))</f>
        <v>0</v>
      </c>
      <c r="AV614" s="3226">
        <f t="shared" ca="1" si="858"/>
        <v>0</v>
      </c>
      <c r="AW614" s="2876">
        <f t="shared" ca="1" si="859"/>
        <v>0</v>
      </c>
      <c r="AX614" s="287">
        <f ca="1">SUM(INDIRECT(AX$1&amp;AX$2&amp;$A614):INDIRECT(AX$1&amp;AX$3&amp;$A614))</f>
        <v>1238.1697100000001</v>
      </c>
      <c r="AY614" s="3226">
        <f t="shared" ca="1" si="860"/>
        <v>-1238.1697100000001</v>
      </c>
      <c r="AZ614" s="2876">
        <f t="shared" ca="1" si="861"/>
        <v>0</v>
      </c>
      <c r="BB614" s="287">
        <f ca="1">SUM((INDIRECT(BB$2&amp;(ROW())):INDIRECT(BB$3&amp;(ROW()))))</f>
        <v>0</v>
      </c>
      <c r="BC614" s="287">
        <f ca="1">SUM(INDIRECT(BC$1&amp;BC$2&amp;$C614):INDIRECT(BC$1&amp;BC$3&amp;$C614))</f>
        <v>0</v>
      </c>
      <c r="BD614" s="3226">
        <f t="shared" ca="1" si="862"/>
        <v>0</v>
      </c>
      <c r="BE614" s="2876">
        <f t="shared" ca="1" si="863"/>
        <v>0</v>
      </c>
      <c r="BF614" s="287">
        <f ca="1">SUM(INDIRECT(BF$1&amp;BF$2&amp;$A614):INDIRECT(BF$1&amp;BF$3&amp;$A614))</f>
        <v>3472.1697100000001</v>
      </c>
      <c r="BG614" s="3226">
        <f t="shared" ca="1" si="864"/>
        <v>-3472.1697100000001</v>
      </c>
      <c r="BH614" s="2876">
        <f t="shared" ca="1" si="865"/>
        <v>0</v>
      </c>
    </row>
    <row r="615" spans="1:60" ht="14.5">
      <c r="A615" s="616">
        <f t="shared" si="914"/>
        <v>550</v>
      </c>
      <c r="B615" s="616">
        <v>1</v>
      </c>
      <c r="C615" s="616">
        <f t="shared" si="891"/>
        <v>612</v>
      </c>
      <c r="E615" s="2547">
        <v>1</v>
      </c>
      <c r="I615" s="73"/>
      <c r="J615" s="72"/>
      <c r="K615" s="63"/>
      <c r="L615" s="63"/>
      <c r="N615" s="288" t="s">
        <v>1464</v>
      </c>
      <c r="Q615" s="1779" t="str">
        <f>CHOOSE(2, "6722000003534", "S/GP (2) Gross Profit Indirect NH 3rd Party")</f>
        <v>S/GP (2) Gross Profit Indirect NH 3rd Party</v>
      </c>
      <c r="R615" s="1217">
        <v>0</v>
      </c>
      <c r="S615" s="1217">
        <v>0</v>
      </c>
      <c r="T615" s="1217">
        <v>0</v>
      </c>
      <c r="U615" s="1217">
        <v>0</v>
      </c>
      <c r="V615" s="1217">
        <v>0</v>
      </c>
      <c r="W615" s="1217">
        <v>0</v>
      </c>
      <c r="X615" s="1217">
        <v>0</v>
      </c>
      <c r="Y615" s="1217">
        <v>0</v>
      </c>
      <c r="Z615" s="1217">
        <v>0</v>
      </c>
      <c r="AA615" s="1217">
        <v>0</v>
      </c>
      <c r="AB615" s="1217">
        <v>0</v>
      </c>
      <c r="AC615" s="1217">
        <v>0</v>
      </c>
      <c r="AD615" s="88">
        <f>SUM(R615,S615,T615)</f>
        <v>0</v>
      </c>
      <c r="AE615" s="17">
        <f t="shared" si="929"/>
        <v>0</v>
      </c>
      <c r="AF615" s="17">
        <f t="shared" si="930"/>
        <v>0</v>
      </c>
      <c r="AG615" s="17">
        <f t="shared" si="931"/>
        <v>0</v>
      </c>
      <c r="AH615" s="17">
        <f>AD615+AE615</f>
        <v>0</v>
      </c>
      <c r="AI615" s="17">
        <f>AG615+AF615</f>
        <v>0</v>
      </c>
      <c r="AJ615" s="17">
        <f>AH615+AI615</f>
        <v>0</v>
      </c>
      <c r="AL615" s="17">
        <f ca="1">SUM((INDIRECT(AL$2&amp;(ROW())):INDIRECT(AL$3&amp;(ROW()))))</f>
        <v>0</v>
      </c>
      <c r="AM615" s="17">
        <f ca="1">SUM(INDIRECT(AM$1&amp;AM$2&amp;$C615):INDIRECT(AM$1&amp;AM$3&amp;$C615))</f>
        <v>0</v>
      </c>
      <c r="AN615" s="3072">
        <f t="shared" ca="1" si="854"/>
        <v>0</v>
      </c>
      <c r="AO615" s="2708">
        <f t="shared" ca="1" si="855"/>
        <v>0</v>
      </c>
      <c r="AP615" s="17">
        <f ca="1">SUM(INDIRECT(AP$1&amp;AP$2&amp;$A615):INDIRECT(AP$1&amp;AP$3&amp;$A615))</f>
        <v>0</v>
      </c>
      <c r="AQ615" s="3072">
        <f t="shared" ca="1" si="856"/>
        <v>0</v>
      </c>
      <c r="AR615" s="2708">
        <f t="shared" ca="1" si="857"/>
        <v>0</v>
      </c>
      <c r="AT615" s="17">
        <f ca="1">SUM((INDIRECT(AT$2&amp;(ROW())):INDIRECT(AT$3&amp;(ROW()))))</f>
        <v>0</v>
      </c>
      <c r="AU615" s="17">
        <f ca="1">SUM(INDIRECT(AU$1&amp;AU$2&amp;$C615):INDIRECT(AU$1&amp;AU$3&amp;$C615))</f>
        <v>0</v>
      </c>
      <c r="AV615" s="3072">
        <f t="shared" ca="1" si="858"/>
        <v>0</v>
      </c>
      <c r="AW615" s="2708">
        <f t="shared" ca="1" si="859"/>
        <v>0</v>
      </c>
      <c r="AX615" s="17">
        <f ca="1">SUM(INDIRECT(AX$1&amp;AX$2&amp;$A615):INDIRECT(AX$1&amp;AX$3&amp;$A615))</f>
        <v>0</v>
      </c>
      <c r="AY615" s="3072">
        <f t="shared" ca="1" si="860"/>
        <v>0</v>
      </c>
      <c r="AZ615" s="2708">
        <f t="shared" ca="1" si="861"/>
        <v>0</v>
      </c>
      <c r="BB615" s="17">
        <f ca="1">SUM((INDIRECT(BB$2&amp;(ROW())):INDIRECT(BB$3&amp;(ROW()))))</f>
        <v>0</v>
      </c>
      <c r="BC615" s="17">
        <f ca="1">SUM(INDIRECT(BC$1&amp;BC$2&amp;$C615):INDIRECT(BC$1&amp;BC$3&amp;$C615))</f>
        <v>0</v>
      </c>
      <c r="BD615" s="3072">
        <f t="shared" ca="1" si="862"/>
        <v>0</v>
      </c>
      <c r="BE615" s="2708">
        <f t="shared" ca="1" si="863"/>
        <v>0</v>
      </c>
      <c r="BF615" s="17">
        <f ca="1">SUM(INDIRECT(BF$1&amp;BF$2&amp;$A615):INDIRECT(BF$1&amp;BF$3&amp;$A615))</f>
        <v>0</v>
      </c>
      <c r="BG615" s="3072">
        <f t="shared" ca="1" si="864"/>
        <v>0</v>
      </c>
      <c r="BH615" s="2708">
        <f t="shared" ca="1" si="865"/>
        <v>0</v>
      </c>
    </row>
    <row r="616" spans="1:60" ht="14.5">
      <c r="A616" s="616">
        <f t="shared" si="914"/>
        <v>551</v>
      </c>
      <c r="B616" s="616">
        <v>1</v>
      </c>
      <c r="C616" s="616">
        <f t="shared" si="891"/>
        <v>613</v>
      </c>
      <c r="E616" s="2547">
        <v>1</v>
      </c>
      <c r="I616" s="73"/>
      <c r="J616" s="72"/>
      <c r="K616" s="63"/>
      <c r="L616" s="63"/>
      <c r="M616" s="208"/>
      <c r="N616" s="290" t="s">
        <v>1486</v>
      </c>
      <c r="O616" s="290"/>
      <c r="P616" s="290"/>
      <c r="Q616" s="1777" t="str">
        <f>CHOOSE(2, "6722000003535", "S/GP (2) Gross Profit Indirect NH &lt;Direct&gt;FSC(-)")</f>
        <v>S/GP (2) Gross Profit Indirect NH &lt;Direct&gt;FSC(-)</v>
      </c>
      <c r="R616" s="3103">
        <f t="shared" ref="R616:AC616" si="932">SUM(R617:R619)</f>
        <v>0</v>
      </c>
      <c r="S616" s="3103">
        <f t="shared" si="932"/>
        <v>0</v>
      </c>
      <c r="T616" s="3103">
        <f t="shared" si="932"/>
        <v>0</v>
      </c>
      <c r="U616" s="3103">
        <f t="shared" si="932"/>
        <v>0</v>
      </c>
      <c r="V616" s="3103">
        <f t="shared" si="932"/>
        <v>0</v>
      </c>
      <c r="W616" s="3103">
        <f t="shared" si="932"/>
        <v>0</v>
      </c>
      <c r="X616" s="3103">
        <f t="shared" si="932"/>
        <v>0</v>
      </c>
      <c r="Y616" s="3103">
        <f t="shared" si="932"/>
        <v>0</v>
      </c>
      <c r="Z616" s="3103">
        <f t="shared" si="932"/>
        <v>0</v>
      </c>
      <c r="AA616" s="3103">
        <f t="shared" si="932"/>
        <v>0</v>
      </c>
      <c r="AB616" s="3103">
        <f t="shared" si="932"/>
        <v>0</v>
      </c>
      <c r="AC616" s="3103">
        <f t="shared" si="932"/>
        <v>0</v>
      </c>
      <c r="AD616" s="3244">
        <f t="shared" ref="AD616:AJ616" si="933">SUM(AD617:AD619)</f>
        <v>0</v>
      </c>
      <c r="AE616" s="3103">
        <f t="shared" si="933"/>
        <v>0</v>
      </c>
      <c r="AF616" s="3103">
        <f t="shared" si="933"/>
        <v>0</v>
      </c>
      <c r="AG616" s="3103">
        <f t="shared" si="933"/>
        <v>0</v>
      </c>
      <c r="AH616" s="3103">
        <f t="shared" si="933"/>
        <v>0</v>
      </c>
      <c r="AI616" s="3103">
        <f t="shared" si="933"/>
        <v>0</v>
      </c>
      <c r="AJ616" s="3103">
        <f t="shared" si="933"/>
        <v>0</v>
      </c>
      <c r="AL616" s="3103">
        <f ca="1">SUM((INDIRECT(AL$2&amp;(ROW())):INDIRECT(AL$3&amp;(ROW()))))</f>
        <v>0</v>
      </c>
      <c r="AM616" s="3103">
        <f ca="1">SUM(INDIRECT(AM$1&amp;AM$2&amp;$C616):INDIRECT(AM$1&amp;AM$3&amp;$C616))</f>
        <v>0</v>
      </c>
      <c r="AN616" s="3259">
        <f t="shared" ref="AN616:AN629" ca="1" si="934">AL616-AM616</f>
        <v>0</v>
      </c>
      <c r="AO616" s="2911">
        <f t="shared" ref="AO616:AO629" ca="1" si="935">IFERROR(AL616/AM616,0)</f>
        <v>0</v>
      </c>
      <c r="AP616" s="3103">
        <f ca="1">SUM(INDIRECT(AP$1&amp;AP$2&amp;$A616):INDIRECT(AP$1&amp;AP$3&amp;$A616))</f>
        <v>0</v>
      </c>
      <c r="AQ616" s="3259">
        <f t="shared" ref="AQ616:AQ629" ca="1" si="936">AL616-AP616</f>
        <v>0</v>
      </c>
      <c r="AR616" s="2911">
        <f t="shared" ref="AR616:AR629" ca="1" si="937">IFERROR(AL616/AP616,0)</f>
        <v>0</v>
      </c>
      <c r="AT616" s="3103">
        <f ca="1">SUM((INDIRECT(AT$2&amp;(ROW())):INDIRECT(AT$3&amp;(ROW()))))</f>
        <v>0</v>
      </c>
      <c r="AU616" s="3103">
        <f ca="1">SUM(INDIRECT(AU$1&amp;AU$2&amp;$C616):INDIRECT(AU$1&amp;AU$3&amp;$C616))</f>
        <v>0</v>
      </c>
      <c r="AV616" s="3259">
        <f t="shared" ref="AV616:AV629" ca="1" si="938">AT616-AU616</f>
        <v>0</v>
      </c>
      <c r="AW616" s="2911">
        <f t="shared" ref="AW616:AW629" ca="1" si="939">IFERROR(AT616/AU616,0)</f>
        <v>0</v>
      </c>
      <c r="AX616" s="3103">
        <f ca="1">SUM(INDIRECT(AX$1&amp;AX$2&amp;$A616):INDIRECT(AX$1&amp;AX$3&amp;$A616))</f>
        <v>0</v>
      </c>
      <c r="AY616" s="3259">
        <f t="shared" ref="AY616:AY629" ca="1" si="940">AT616-AX616</f>
        <v>0</v>
      </c>
      <c r="AZ616" s="2911">
        <f t="shared" ref="AZ616:AZ629" ca="1" si="941">IFERROR(AT616/AX616,0)</f>
        <v>0</v>
      </c>
      <c r="BB616" s="3103">
        <f ca="1">SUM((INDIRECT(BB$2&amp;(ROW())):INDIRECT(BB$3&amp;(ROW()))))</f>
        <v>0</v>
      </c>
      <c r="BC616" s="3103">
        <f ca="1">SUM(INDIRECT(BC$1&amp;BC$2&amp;$C616):INDIRECT(BC$1&amp;BC$3&amp;$C616))</f>
        <v>0</v>
      </c>
      <c r="BD616" s="3259">
        <f t="shared" ref="BD616:BD629" ca="1" si="942">BB616-BC616</f>
        <v>0</v>
      </c>
      <c r="BE616" s="2911">
        <f t="shared" ref="BE616:BE629" ca="1" si="943">IFERROR(BB616/BC616,0)</f>
        <v>0</v>
      </c>
      <c r="BF616" s="3103">
        <f ca="1">SUM(INDIRECT(BF$1&amp;BF$2&amp;$A616):INDIRECT(BF$1&amp;BF$3&amp;$A616))</f>
        <v>0</v>
      </c>
      <c r="BG616" s="3259">
        <f t="shared" ref="BG616:BG629" ca="1" si="944">BB616-BF616</f>
        <v>0</v>
      </c>
      <c r="BH616" s="2911">
        <f t="shared" ref="BH616:BH629" ca="1" si="945">IFERROR(BB616/BF616,0)</f>
        <v>0</v>
      </c>
    </row>
    <row r="617" spans="1:60" ht="14.5">
      <c r="A617" s="616">
        <f t="shared" si="914"/>
        <v>552</v>
      </c>
      <c r="B617" s="616">
        <v>1</v>
      </c>
      <c r="C617" s="616">
        <f t="shared" si="891"/>
        <v>614</v>
      </c>
      <c r="E617" s="2547">
        <v>1</v>
      </c>
      <c r="I617" s="73"/>
      <c r="J617" s="72"/>
      <c r="K617" s="63"/>
      <c r="L617" s="63"/>
      <c r="M617" s="208"/>
      <c r="N617" s="291"/>
      <c r="O617" s="291"/>
      <c r="P617" s="291" t="s">
        <v>1471</v>
      </c>
      <c r="Q617" s="1779" t="str">
        <f>CHOOSE(2, "6722000003536", "S/GP (2) Gross Profit Indirect NH &lt;Direct&gt;FSC(-) PC")</f>
        <v>S/GP (2) Gross Profit Indirect NH &lt;Direct&gt;FSC(-) PC</v>
      </c>
      <c r="R617" s="1227">
        <v>0</v>
      </c>
      <c r="S617" s="1227">
        <v>0</v>
      </c>
      <c r="T617" s="1227">
        <v>0</v>
      </c>
      <c r="U617" s="1227">
        <v>0</v>
      </c>
      <c r="V617" s="1227">
        <v>0</v>
      </c>
      <c r="W617" s="1227">
        <v>0</v>
      </c>
      <c r="X617" s="1227">
        <v>0</v>
      </c>
      <c r="Y617" s="1227">
        <v>0</v>
      </c>
      <c r="Z617" s="1227">
        <v>0</v>
      </c>
      <c r="AA617" s="1227">
        <v>0</v>
      </c>
      <c r="AB617" s="1227">
        <v>0</v>
      </c>
      <c r="AC617" s="1227">
        <v>0</v>
      </c>
      <c r="AD617" s="295">
        <f>SUM(R617,S617,T617)</f>
        <v>0</v>
      </c>
      <c r="AE617" s="96">
        <f t="shared" ref="AE617:AE619" si="946">SUM(U617,V617,W617)</f>
        <v>0</v>
      </c>
      <c r="AF617" s="96">
        <f t="shared" ref="AF617:AF619" si="947">SUM(X617,Y617,Z617)</f>
        <v>0</v>
      </c>
      <c r="AG617" s="96">
        <f t="shared" ref="AG617:AG619" si="948">SUM(AA617,AB617,AC617)</f>
        <v>0</v>
      </c>
      <c r="AH617" s="96">
        <f>AD617+AE617</f>
        <v>0</v>
      </c>
      <c r="AI617" s="96">
        <f>AG617+AF617</f>
        <v>0</v>
      </c>
      <c r="AJ617" s="96">
        <f>AH617+AI617</f>
        <v>0</v>
      </c>
      <c r="AL617" s="96">
        <f ca="1">SUM((INDIRECT(AL$2&amp;(ROW())):INDIRECT(AL$3&amp;(ROW()))))</f>
        <v>0</v>
      </c>
      <c r="AM617" s="96">
        <f ca="1">SUM(INDIRECT(AM$1&amp;AM$2&amp;$C617):INDIRECT(AM$1&amp;AM$3&amp;$C617))</f>
        <v>0</v>
      </c>
      <c r="AN617" s="3227">
        <f t="shared" ca="1" si="934"/>
        <v>0</v>
      </c>
      <c r="AO617" s="2878">
        <f t="shared" ca="1" si="935"/>
        <v>0</v>
      </c>
      <c r="AP617" s="96">
        <f ca="1">SUM(INDIRECT(AP$1&amp;AP$2&amp;$A617):INDIRECT(AP$1&amp;AP$3&amp;$A617))</f>
        <v>597727</v>
      </c>
      <c r="AQ617" s="3227">
        <f t="shared" ca="1" si="936"/>
        <v>-597727</v>
      </c>
      <c r="AR617" s="2878">
        <f t="shared" ca="1" si="937"/>
        <v>0</v>
      </c>
      <c r="AT617" s="96">
        <f ca="1">SUM((INDIRECT(AT$2&amp;(ROW())):INDIRECT(AT$3&amp;(ROW()))))</f>
        <v>0</v>
      </c>
      <c r="AU617" s="96">
        <f ca="1">SUM(INDIRECT(AU$1&amp;AU$2&amp;$C617):INDIRECT(AU$1&amp;AU$3&amp;$C617))</f>
        <v>0</v>
      </c>
      <c r="AV617" s="3227">
        <f t="shared" ca="1" si="938"/>
        <v>0</v>
      </c>
      <c r="AW617" s="2878">
        <f t="shared" ca="1" si="939"/>
        <v>0</v>
      </c>
      <c r="AX617" s="96">
        <f ca="1">SUM(INDIRECT(AX$1&amp;AX$2&amp;$A617):INDIRECT(AX$1&amp;AX$3&amp;$A617))</f>
        <v>1677586</v>
      </c>
      <c r="AY617" s="3227">
        <f t="shared" ca="1" si="940"/>
        <v>-1677586</v>
      </c>
      <c r="AZ617" s="2878">
        <f t="shared" ca="1" si="941"/>
        <v>0</v>
      </c>
      <c r="BB617" s="96">
        <f ca="1">SUM((INDIRECT(BB$2&amp;(ROW())):INDIRECT(BB$3&amp;(ROW()))))</f>
        <v>0</v>
      </c>
      <c r="BC617" s="96">
        <f ca="1">SUM(INDIRECT(BC$1&amp;BC$2&amp;$C617):INDIRECT(BC$1&amp;BC$3&amp;$C617))</f>
        <v>0</v>
      </c>
      <c r="BD617" s="3227">
        <f t="shared" ca="1" si="942"/>
        <v>0</v>
      </c>
      <c r="BE617" s="2878">
        <f t="shared" ca="1" si="943"/>
        <v>0</v>
      </c>
      <c r="BF617" s="96">
        <f ca="1">SUM(INDIRECT(BF$1&amp;BF$2&amp;$A617):INDIRECT(BF$1&amp;BF$3&amp;$A617))</f>
        <v>5691962.2020699997</v>
      </c>
      <c r="BG617" s="3227">
        <f t="shared" ca="1" si="944"/>
        <v>-5691962.2020699997</v>
      </c>
      <c r="BH617" s="2878">
        <f t="shared" ca="1" si="945"/>
        <v>0</v>
      </c>
    </row>
    <row r="618" spans="1:60" ht="14.5">
      <c r="A618" s="616">
        <f t="shared" si="914"/>
        <v>553</v>
      </c>
      <c r="B618" s="616">
        <v>1</v>
      </c>
      <c r="C618" s="616">
        <f t="shared" si="891"/>
        <v>615</v>
      </c>
      <c r="E618" s="2547">
        <v>1</v>
      </c>
      <c r="I618" s="73"/>
      <c r="J618" s="72"/>
      <c r="K618" s="63"/>
      <c r="L618" s="63"/>
      <c r="M618" s="208"/>
      <c r="N618" s="229"/>
      <c r="O618" s="229"/>
      <c r="P618" s="229" t="s">
        <v>1472</v>
      </c>
      <c r="Q618" s="1779" t="str">
        <f>CHOOSE(2, "6722000003537", "S/GP (2) Gross Profit Indirect NH &lt;Direct&gt;FSC(-) TE")</f>
        <v>S/GP (2) Gross Profit Indirect NH &lt;Direct&gt;FSC(-) TE</v>
      </c>
      <c r="R618" s="1217">
        <v>0</v>
      </c>
      <c r="S618" s="1217">
        <v>0</v>
      </c>
      <c r="T618" s="1217">
        <v>0</v>
      </c>
      <c r="U618" s="1217">
        <v>0</v>
      </c>
      <c r="V618" s="1217">
        <v>0</v>
      </c>
      <c r="W618" s="1217">
        <v>0</v>
      </c>
      <c r="X618" s="1217">
        <v>0</v>
      </c>
      <c r="Y618" s="1217">
        <v>0</v>
      </c>
      <c r="Z618" s="1217">
        <v>0</v>
      </c>
      <c r="AA618" s="1217">
        <v>0</v>
      </c>
      <c r="AB618" s="1217">
        <v>0</v>
      </c>
      <c r="AC618" s="1217">
        <v>0</v>
      </c>
      <c r="AD618" s="88">
        <f>SUM(R618,S618,T618)</f>
        <v>0</v>
      </c>
      <c r="AE618" s="17">
        <f t="shared" si="946"/>
        <v>0</v>
      </c>
      <c r="AF618" s="17">
        <f t="shared" si="947"/>
        <v>0</v>
      </c>
      <c r="AG618" s="17">
        <f t="shared" si="948"/>
        <v>0</v>
      </c>
      <c r="AH618" s="17">
        <f>AD618+AE618</f>
        <v>0</v>
      </c>
      <c r="AI618" s="17">
        <f>AG618+AF618</f>
        <v>0</v>
      </c>
      <c r="AJ618" s="17">
        <f>AH618+AI618</f>
        <v>0</v>
      </c>
      <c r="AL618" s="17">
        <f ca="1">SUM((INDIRECT(AL$2&amp;(ROW())):INDIRECT(AL$3&amp;(ROW()))))</f>
        <v>0</v>
      </c>
      <c r="AM618" s="17">
        <f ca="1">SUM(INDIRECT(AM$1&amp;AM$2&amp;$C618):INDIRECT(AM$1&amp;AM$3&amp;$C618))</f>
        <v>13505.179863171561</v>
      </c>
      <c r="AN618" s="3072">
        <f t="shared" ca="1" si="934"/>
        <v>-13505.179863171561</v>
      </c>
      <c r="AO618" s="2708">
        <f t="shared" ca="1" si="935"/>
        <v>0</v>
      </c>
      <c r="AP618" s="17">
        <f ca="1">SUM(INDIRECT(AP$1&amp;AP$2&amp;$A618):INDIRECT(AP$1&amp;AP$3&amp;$A618))</f>
        <v>509314</v>
      </c>
      <c r="AQ618" s="3072">
        <f t="shared" ca="1" si="936"/>
        <v>-509314</v>
      </c>
      <c r="AR618" s="2708">
        <f t="shared" ca="1" si="937"/>
        <v>0</v>
      </c>
      <c r="AT618" s="17">
        <f ca="1">SUM((INDIRECT(AT$2&amp;(ROW())):INDIRECT(AT$3&amp;(ROW()))))</f>
        <v>0</v>
      </c>
      <c r="AU618" s="17">
        <f ca="1">SUM(INDIRECT(AU$1&amp;AU$2&amp;$C618):INDIRECT(AU$1&amp;AU$3&amp;$C618))</f>
        <v>42521.963854159738</v>
      </c>
      <c r="AV618" s="3072">
        <f t="shared" ca="1" si="938"/>
        <v>-42521.963854159738</v>
      </c>
      <c r="AW618" s="2708">
        <f t="shared" ca="1" si="939"/>
        <v>0</v>
      </c>
      <c r="AX618" s="17">
        <f ca="1">SUM(INDIRECT(AX$1&amp;AX$2&amp;$A618):INDIRECT(AX$1&amp;AX$3&amp;$A618))</f>
        <v>1469884</v>
      </c>
      <c r="AY618" s="3072">
        <f t="shared" ca="1" si="940"/>
        <v>-1469884</v>
      </c>
      <c r="AZ618" s="2708">
        <f t="shared" ca="1" si="941"/>
        <v>0</v>
      </c>
      <c r="BB618" s="17">
        <f ca="1">SUM((INDIRECT(BB$2&amp;(ROW())):INDIRECT(BB$3&amp;(ROW()))))</f>
        <v>0</v>
      </c>
      <c r="BC618" s="17">
        <f ca="1">SUM(INDIRECT(BC$1&amp;BC$2&amp;$C618):INDIRECT(BC$1&amp;BC$3&amp;$C618))</f>
        <v>78818.4489916085</v>
      </c>
      <c r="BD618" s="3072">
        <f t="shared" ca="1" si="942"/>
        <v>-78818.4489916085</v>
      </c>
      <c r="BE618" s="2708">
        <f t="shared" ca="1" si="943"/>
        <v>0</v>
      </c>
      <c r="BF618" s="17">
        <f ca="1">SUM(INDIRECT(BF$1&amp;BF$2&amp;$A618):INDIRECT(BF$1&amp;BF$3&amp;$A618))</f>
        <v>5013416.99407</v>
      </c>
      <c r="BG618" s="3072">
        <f t="shared" ca="1" si="944"/>
        <v>-5013416.99407</v>
      </c>
      <c r="BH618" s="2708">
        <f t="shared" ca="1" si="945"/>
        <v>0</v>
      </c>
    </row>
    <row r="619" spans="1:60" ht="14.5">
      <c r="A619" s="616">
        <f t="shared" si="914"/>
        <v>554</v>
      </c>
      <c r="B619" s="616">
        <v>1</v>
      </c>
      <c r="C619" s="616">
        <f t="shared" si="891"/>
        <v>616</v>
      </c>
      <c r="E619" s="2547">
        <v>1</v>
      </c>
      <c r="I619" s="73"/>
      <c r="J619" s="72"/>
      <c r="K619" s="63"/>
      <c r="L619" s="63"/>
      <c r="M619" s="208"/>
      <c r="N619" s="229"/>
      <c r="O619" s="229"/>
      <c r="P619" s="228" t="s">
        <v>1473</v>
      </c>
      <c r="Q619" s="1779" t="str">
        <f>CHOOSE(2, "6722000003538", "S/GP (2) Gross Profit Indirect NH &lt;Direct&gt;FSC(-) OFC")</f>
        <v>S/GP (2) Gross Profit Indirect NH &lt;Direct&gt;FSC(-) OFC</v>
      </c>
      <c r="R619" s="1218">
        <v>0</v>
      </c>
      <c r="S619" s="1218">
        <v>0</v>
      </c>
      <c r="T619" s="1218">
        <v>0</v>
      </c>
      <c r="U619" s="1218">
        <v>0</v>
      </c>
      <c r="V619" s="1218">
        <v>0</v>
      </c>
      <c r="W619" s="1218">
        <v>0</v>
      </c>
      <c r="X619" s="1218">
        <v>0</v>
      </c>
      <c r="Y619" s="1218">
        <v>0</v>
      </c>
      <c r="Z619" s="1218">
        <v>0</v>
      </c>
      <c r="AA619" s="1218">
        <v>0</v>
      </c>
      <c r="AB619" s="1218">
        <v>0</v>
      </c>
      <c r="AC619" s="1218">
        <v>0</v>
      </c>
      <c r="AD619" s="87">
        <f>SUM(R619,S619,T619)</f>
        <v>0</v>
      </c>
      <c r="AE619" s="15">
        <f t="shared" si="946"/>
        <v>0</v>
      </c>
      <c r="AF619" s="15">
        <f t="shared" si="947"/>
        <v>0</v>
      </c>
      <c r="AG619" s="15">
        <f t="shared" si="948"/>
        <v>0</v>
      </c>
      <c r="AH619" s="15">
        <f>AD619+AE619</f>
        <v>0</v>
      </c>
      <c r="AI619" s="15">
        <f>AG619+AF619</f>
        <v>0</v>
      </c>
      <c r="AJ619" s="15">
        <f>AH619+AI619</f>
        <v>0</v>
      </c>
      <c r="AL619" s="15">
        <f ca="1">SUM((INDIRECT(AL$2&amp;(ROW())):INDIRECT(AL$3&amp;(ROW()))))</f>
        <v>0</v>
      </c>
      <c r="AM619" s="15">
        <f ca="1">SUM(INDIRECT(AM$1&amp;AM$2&amp;$C619):INDIRECT(AM$1&amp;AM$3&amp;$C619))</f>
        <v>2919.0207112465623</v>
      </c>
      <c r="AN619" s="3073">
        <f t="shared" ca="1" si="934"/>
        <v>-2919.0207112465623</v>
      </c>
      <c r="AO619" s="2710">
        <f t="shared" ca="1" si="935"/>
        <v>0</v>
      </c>
      <c r="AP619" s="15">
        <f ca="1">SUM(INDIRECT(AP$1&amp;AP$2&amp;$A619):INDIRECT(AP$1&amp;AP$3&amp;$A619))</f>
        <v>151240</v>
      </c>
      <c r="AQ619" s="3073">
        <f t="shared" ca="1" si="936"/>
        <v>-151240</v>
      </c>
      <c r="AR619" s="2710">
        <f t="shared" ca="1" si="937"/>
        <v>0</v>
      </c>
      <c r="AT619" s="15">
        <f ca="1">SUM((INDIRECT(AT$2&amp;(ROW())):INDIRECT(AT$3&amp;(ROW()))))</f>
        <v>0</v>
      </c>
      <c r="AU619" s="15">
        <f ca="1">SUM(INDIRECT(AU$1&amp;AU$2&amp;$C619):INDIRECT(AU$1&amp;AU$3&amp;$C619))</f>
        <v>10979.530462709747</v>
      </c>
      <c r="AV619" s="3073">
        <f t="shared" ca="1" si="938"/>
        <v>-10979.530462709747</v>
      </c>
      <c r="AW619" s="2710">
        <f t="shared" ca="1" si="939"/>
        <v>0</v>
      </c>
      <c r="AX619" s="15">
        <f ca="1">SUM(INDIRECT(AX$1&amp;AX$2&amp;$A619):INDIRECT(AX$1&amp;AX$3&amp;$A619))</f>
        <v>419473</v>
      </c>
      <c r="AY619" s="3073">
        <f t="shared" ca="1" si="940"/>
        <v>-419473</v>
      </c>
      <c r="AZ619" s="2710">
        <f t="shared" ca="1" si="941"/>
        <v>0</v>
      </c>
      <c r="BB619" s="15">
        <f ca="1">SUM((INDIRECT(BB$2&amp;(ROW())):INDIRECT(BB$3&amp;(ROW()))))</f>
        <v>0</v>
      </c>
      <c r="BC619" s="15">
        <f ca="1">SUM(INDIRECT(BC$1&amp;BC$2&amp;$C619):INDIRECT(BC$1&amp;BC$3&amp;$C619))</f>
        <v>19535.934212388347</v>
      </c>
      <c r="BD619" s="3073">
        <f t="shared" ca="1" si="942"/>
        <v>-19535.934212388347</v>
      </c>
      <c r="BE619" s="2710">
        <f t="shared" ca="1" si="943"/>
        <v>0</v>
      </c>
      <c r="BF619" s="15">
        <f ca="1">SUM(INDIRECT(BF$1&amp;BF$2&amp;$A619):INDIRECT(BF$1&amp;BF$3&amp;$A619))</f>
        <v>1416371.747</v>
      </c>
      <c r="BG619" s="3073">
        <f t="shared" ca="1" si="944"/>
        <v>-1416371.747</v>
      </c>
      <c r="BH619" s="2710">
        <f t="shared" ca="1" si="945"/>
        <v>0</v>
      </c>
    </row>
    <row r="620" spans="1:60" ht="14.5">
      <c r="A620" s="616">
        <f t="shared" si="914"/>
        <v>555</v>
      </c>
      <c r="B620" s="616">
        <v>1</v>
      </c>
      <c r="C620" s="616">
        <f t="shared" si="891"/>
        <v>617</v>
      </c>
      <c r="E620" s="2547">
        <v>1</v>
      </c>
      <c r="I620" s="73"/>
      <c r="J620" s="72"/>
      <c r="K620" s="63"/>
      <c r="L620" s="63"/>
      <c r="M620" s="208"/>
      <c r="N620" s="290" t="s">
        <v>1487</v>
      </c>
      <c r="O620" s="290"/>
      <c r="P620" s="290"/>
      <c r="Q620" s="1777" t="str">
        <f>CHOOSE(2, "6722000003539", "S/GP (2) Gross Profit Indirect NH &lt;Direct&gt;SDC(-)")</f>
        <v>S/GP (2) Gross Profit Indirect NH &lt;Direct&gt;SDC(-)</v>
      </c>
      <c r="R620" s="3103">
        <f>SUM(R621:R622)</f>
        <v>0</v>
      </c>
      <c r="S620" s="3103">
        <f t="shared" ref="S620:AJ620" si="949">SUM(S621:S622)</f>
        <v>0</v>
      </c>
      <c r="T620" s="3103">
        <f t="shared" si="949"/>
        <v>0</v>
      </c>
      <c r="U620" s="3103">
        <f t="shared" si="949"/>
        <v>0</v>
      </c>
      <c r="V620" s="3103">
        <f t="shared" si="949"/>
        <v>0</v>
      </c>
      <c r="W620" s="3103">
        <f t="shared" si="949"/>
        <v>0</v>
      </c>
      <c r="X620" s="3103">
        <f t="shared" si="949"/>
        <v>0</v>
      </c>
      <c r="Y620" s="3103">
        <f t="shared" si="949"/>
        <v>0</v>
      </c>
      <c r="Z620" s="3103">
        <f t="shared" si="949"/>
        <v>0</v>
      </c>
      <c r="AA620" s="3103">
        <f t="shared" si="949"/>
        <v>0</v>
      </c>
      <c r="AB620" s="3103">
        <f t="shared" si="949"/>
        <v>0</v>
      </c>
      <c r="AC620" s="3103">
        <f t="shared" si="949"/>
        <v>0</v>
      </c>
      <c r="AD620" s="3244">
        <f t="shared" si="949"/>
        <v>0</v>
      </c>
      <c r="AE620" s="3103">
        <f t="shared" si="949"/>
        <v>0</v>
      </c>
      <c r="AF620" s="3103">
        <f t="shared" si="949"/>
        <v>0</v>
      </c>
      <c r="AG620" s="3103">
        <f t="shared" si="949"/>
        <v>0</v>
      </c>
      <c r="AH620" s="3103">
        <f t="shared" si="949"/>
        <v>0</v>
      </c>
      <c r="AI620" s="3103">
        <f t="shared" si="949"/>
        <v>0</v>
      </c>
      <c r="AJ620" s="3103">
        <f t="shared" si="949"/>
        <v>0</v>
      </c>
      <c r="AL620" s="3103">
        <f ca="1">SUM((INDIRECT(AL$2&amp;(ROW())):INDIRECT(AL$3&amp;(ROW()))))</f>
        <v>0</v>
      </c>
      <c r="AM620" s="3103">
        <f ca="1">SUM(INDIRECT(AM$1&amp;AM$2&amp;$C620):INDIRECT(AM$1&amp;AM$3&amp;$C620))</f>
        <v>2919.0207112465623</v>
      </c>
      <c r="AN620" s="3259">
        <f t="shared" ca="1" si="934"/>
        <v>-2919.0207112465623</v>
      </c>
      <c r="AO620" s="2911">
        <f t="shared" ca="1" si="935"/>
        <v>0</v>
      </c>
      <c r="AP620" s="3103">
        <f ca="1">SUM(INDIRECT(AP$1&amp;AP$2&amp;$A620):INDIRECT(AP$1&amp;AP$3&amp;$A620))</f>
        <v>151240</v>
      </c>
      <c r="AQ620" s="3259">
        <f t="shared" ca="1" si="936"/>
        <v>-151240</v>
      </c>
      <c r="AR620" s="2911">
        <f t="shared" ca="1" si="937"/>
        <v>0</v>
      </c>
      <c r="AT620" s="3103">
        <f ca="1">SUM((INDIRECT(AT$2&amp;(ROW())):INDIRECT(AT$3&amp;(ROW()))))</f>
        <v>0</v>
      </c>
      <c r="AU620" s="3103">
        <f ca="1">SUM(INDIRECT(AU$1&amp;AU$2&amp;$C620):INDIRECT(AU$1&amp;AU$3&amp;$C620))</f>
        <v>10979.530462709747</v>
      </c>
      <c r="AV620" s="3259">
        <f t="shared" ca="1" si="938"/>
        <v>-10979.530462709747</v>
      </c>
      <c r="AW620" s="2911">
        <f t="shared" ca="1" si="939"/>
        <v>0</v>
      </c>
      <c r="AX620" s="3103">
        <f ca="1">SUM(INDIRECT(AX$1&amp;AX$2&amp;$A620):INDIRECT(AX$1&amp;AX$3&amp;$A620))</f>
        <v>419473</v>
      </c>
      <c r="AY620" s="3259">
        <f t="shared" ca="1" si="940"/>
        <v>-419473</v>
      </c>
      <c r="AZ620" s="2911">
        <f t="shared" ca="1" si="941"/>
        <v>0</v>
      </c>
      <c r="BB620" s="3103">
        <f ca="1">SUM((INDIRECT(BB$2&amp;(ROW())):INDIRECT(BB$3&amp;(ROW()))))</f>
        <v>0</v>
      </c>
      <c r="BC620" s="3103">
        <f ca="1">SUM(INDIRECT(BC$1&amp;BC$2&amp;$C620):INDIRECT(BC$1&amp;BC$3&amp;$C620))</f>
        <v>19535.934212388347</v>
      </c>
      <c r="BD620" s="3259">
        <f t="shared" ca="1" si="942"/>
        <v>-19535.934212388347</v>
      </c>
      <c r="BE620" s="2911">
        <f t="shared" ca="1" si="943"/>
        <v>0</v>
      </c>
      <c r="BF620" s="3103">
        <f ca="1">SUM(INDIRECT(BF$1&amp;BF$2&amp;$A620):INDIRECT(BF$1&amp;BF$3&amp;$A620))</f>
        <v>1416371.747</v>
      </c>
      <c r="BG620" s="3259">
        <f t="shared" ca="1" si="944"/>
        <v>-1416371.747</v>
      </c>
      <c r="BH620" s="2911">
        <f t="shared" ca="1" si="945"/>
        <v>0</v>
      </c>
    </row>
    <row r="621" spans="1:60" ht="14.5">
      <c r="A621" s="616">
        <f t="shared" si="914"/>
        <v>556</v>
      </c>
      <c r="B621" s="616">
        <v>1</v>
      </c>
      <c r="C621" s="616">
        <f t="shared" si="891"/>
        <v>618</v>
      </c>
      <c r="E621" s="2547">
        <v>1</v>
      </c>
      <c r="I621" s="73"/>
      <c r="J621" s="72"/>
      <c r="K621" s="63"/>
      <c r="L621" s="63"/>
      <c r="M621" s="208"/>
      <c r="N621" s="292"/>
      <c r="O621" s="291"/>
      <c r="P621" s="291" t="s">
        <v>223</v>
      </c>
      <c r="Q621" s="1779" t="str">
        <f>CHOOSE(2, "6722000003540", "S/GP (2) Gross Profit Indirect NH &lt;Direct&gt;SDC(-) PC")</f>
        <v>S/GP (2) Gross Profit Indirect NH &lt;Direct&gt;SDC(-) PC</v>
      </c>
      <c r="R621" s="1227">
        <v>0</v>
      </c>
      <c r="S621" s="1227">
        <v>0</v>
      </c>
      <c r="T621" s="1227">
        <v>0</v>
      </c>
      <c r="U621" s="1227">
        <v>0</v>
      </c>
      <c r="V621" s="1227">
        <v>0</v>
      </c>
      <c r="W621" s="1227">
        <v>0</v>
      </c>
      <c r="X621" s="1227">
        <v>0</v>
      </c>
      <c r="Y621" s="1227">
        <v>0</v>
      </c>
      <c r="Z621" s="1227">
        <v>0</v>
      </c>
      <c r="AA621" s="1227">
        <v>0</v>
      </c>
      <c r="AB621" s="1227">
        <v>0</v>
      </c>
      <c r="AC621" s="1227">
        <v>0</v>
      </c>
      <c r="AD621" s="295">
        <f>SUM(R621,S621,T621)</f>
        <v>0</v>
      </c>
      <c r="AE621" s="96">
        <f t="shared" ref="AE621:AE623" si="950">SUM(U621,V621,W621)</f>
        <v>0</v>
      </c>
      <c r="AF621" s="96">
        <f t="shared" ref="AF621:AF623" si="951">SUM(X621,Y621,Z621)</f>
        <v>0</v>
      </c>
      <c r="AG621" s="96">
        <f t="shared" ref="AG621:AG623" si="952">SUM(AA621,AB621,AC621)</f>
        <v>0</v>
      </c>
      <c r="AH621" s="96">
        <f>AD621+AE621</f>
        <v>0</v>
      </c>
      <c r="AI621" s="96">
        <f>AG621+AF621</f>
        <v>0</v>
      </c>
      <c r="AJ621" s="96">
        <f>AH621+AI621</f>
        <v>0</v>
      </c>
      <c r="AL621" s="96">
        <f ca="1">SUM((INDIRECT(AL$2&amp;(ROW())):INDIRECT(AL$3&amp;(ROW()))))</f>
        <v>0</v>
      </c>
      <c r="AM621" s="96">
        <f ca="1">SUM(INDIRECT(AM$1&amp;AM$2&amp;$C621):INDIRECT(AM$1&amp;AM$3&amp;$C621))</f>
        <v>0</v>
      </c>
      <c r="AN621" s="3227">
        <f t="shared" ca="1" si="934"/>
        <v>0</v>
      </c>
      <c r="AO621" s="2878">
        <f t="shared" ca="1" si="935"/>
        <v>0</v>
      </c>
      <c r="AP621" s="96">
        <f ca="1">SUM(INDIRECT(AP$1&amp;AP$2&amp;$A621):INDIRECT(AP$1&amp;AP$3&amp;$A621))</f>
        <v>0</v>
      </c>
      <c r="AQ621" s="3227">
        <f t="shared" ca="1" si="936"/>
        <v>0</v>
      </c>
      <c r="AR621" s="2878">
        <f t="shared" ca="1" si="937"/>
        <v>0</v>
      </c>
      <c r="AT621" s="96">
        <f ca="1">SUM((INDIRECT(AT$2&amp;(ROW())):INDIRECT(AT$3&amp;(ROW()))))</f>
        <v>0</v>
      </c>
      <c r="AU621" s="96">
        <f ca="1">SUM(INDIRECT(AU$1&amp;AU$2&amp;$C621):INDIRECT(AU$1&amp;AU$3&amp;$C621))</f>
        <v>0</v>
      </c>
      <c r="AV621" s="3227">
        <f t="shared" ca="1" si="938"/>
        <v>0</v>
      </c>
      <c r="AW621" s="2878">
        <f t="shared" ca="1" si="939"/>
        <v>0</v>
      </c>
      <c r="AX621" s="96">
        <f ca="1">SUM(INDIRECT(AX$1&amp;AX$2&amp;$A621):INDIRECT(AX$1&amp;AX$3&amp;$A621))</f>
        <v>0</v>
      </c>
      <c r="AY621" s="3227">
        <f t="shared" ca="1" si="940"/>
        <v>0</v>
      </c>
      <c r="AZ621" s="2878">
        <f t="shared" ca="1" si="941"/>
        <v>0</v>
      </c>
      <c r="BB621" s="96">
        <f ca="1">SUM((INDIRECT(BB$2&amp;(ROW())):INDIRECT(BB$3&amp;(ROW()))))</f>
        <v>0</v>
      </c>
      <c r="BC621" s="96">
        <f ca="1">SUM(INDIRECT(BC$1&amp;BC$2&amp;$C621):INDIRECT(BC$1&amp;BC$3&amp;$C621))</f>
        <v>0</v>
      </c>
      <c r="BD621" s="3227">
        <f t="shared" ca="1" si="942"/>
        <v>0</v>
      </c>
      <c r="BE621" s="2878">
        <f t="shared" ca="1" si="943"/>
        <v>0</v>
      </c>
      <c r="BF621" s="96">
        <f ca="1">SUM(INDIRECT(BF$1&amp;BF$2&amp;$A621):INDIRECT(BF$1&amp;BF$3&amp;$A621))</f>
        <v>0</v>
      </c>
      <c r="BG621" s="3227">
        <f t="shared" ca="1" si="944"/>
        <v>0</v>
      </c>
      <c r="BH621" s="2878">
        <f t="shared" ca="1" si="945"/>
        <v>0</v>
      </c>
    </row>
    <row r="622" spans="1:60" ht="14.5">
      <c r="A622" s="616">
        <f t="shared" si="914"/>
        <v>557</v>
      </c>
      <c r="B622" s="616">
        <v>1</v>
      </c>
      <c r="C622" s="616">
        <f t="shared" si="891"/>
        <v>619</v>
      </c>
      <c r="E622" s="2547">
        <v>1</v>
      </c>
      <c r="I622" s="73"/>
      <c r="J622" s="72"/>
      <c r="K622" s="63"/>
      <c r="L622" s="63"/>
      <c r="M622" s="208"/>
      <c r="N622" s="228"/>
      <c r="O622" s="228"/>
      <c r="P622" s="228" t="s">
        <v>224</v>
      </c>
      <c r="Q622" s="1779" t="str">
        <f>CHOOSE(2, "6722000003541", "S/GP (2) Gross Profit Indirect NH &lt;Direct&gt;SDC(-) OFC")</f>
        <v>S/GP (2) Gross Profit Indirect NH &lt;Direct&gt;SDC(-) OFC</v>
      </c>
      <c r="R622" s="1218">
        <v>0</v>
      </c>
      <c r="S622" s="1218">
        <v>0</v>
      </c>
      <c r="T622" s="1218">
        <v>0</v>
      </c>
      <c r="U622" s="1218">
        <v>0</v>
      </c>
      <c r="V622" s="1218">
        <v>0</v>
      </c>
      <c r="W622" s="1218">
        <v>0</v>
      </c>
      <c r="X622" s="1218">
        <v>0</v>
      </c>
      <c r="Y622" s="1218">
        <v>0</v>
      </c>
      <c r="Z622" s="1218">
        <v>0</v>
      </c>
      <c r="AA622" s="1218">
        <v>0</v>
      </c>
      <c r="AB622" s="1218">
        <v>0</v>
      </c>
      <c r="AC622" s="1218">
        <v>0</v>
      </c>
      <c r="AD622" s="87">
        <f>SUM(R622,S622,T622)</f>
        <v>0</v>
      </c>
      <c r="AE622" s="15">
        <f t="shared" si="950"/>
        <v>0</v>
      </c>
      <c r="AF622" s="15">
        <f t="shared" si="951"/>
        <v>0</v>
      </c>
      <c r="AG622" s="15">
        <f t="shared" si="952"/>
        <v>0</v>
      </c>
      <c r="AH622" s="15">
        <f>AD622+AE622</f>
        <v>0</v>
      </c>
      <c r="AI622" s="15">
        <f>AG622+AF622</f>
        <v>0</v>
      </c>
      <c r="AJ622" s="15">
        <f>AH622+AI622</f>
        <v>0</v>
      </c>
      <c r="AL622" s="15">
        <f ca="1">SUM((INDIRECT(AL$2&amp;(ROW())):INDIRECT(AL$3&amp;(ROW()))))</f>
        <v>0</v>
      </c>
      <c r="AM622" s="15">
        <f ca="1">SUM(INDIRECT(AM$1&amp;AM$2&amp;$C622):INDIRECT(AM$1&amp;AM$3&amp;$C622))</f>
        <v>10586.159151924998</v>
      </c>
      <c r="AN622" s="3073">
        <f t="shared" ca="1" si="934"/>
        <v>-10586.159151924998</v>
      </c>
      <c r="AO622" s="2710">
        <f t="shared" ca="1" si="935"/>
        <v>0</v>
      </c>
      <c r="AP622" s="15">
        <f ca="1">SUM(INDIRECT(AP$1&amp;AP$2&amp;$A622):INDIRECT(AP$1&amp;AP$3&amp;$A622))</f>
        <v>358074</v>
      </c>
      <c r="AQ622" s="3073">
        <f t="shared" ca="1" si="936"/>
        <v>-358074</v>
      </c>
      <c r="AR622" s="2710">
        <f t="shared" ca="1" si="937"/>
        <v>0</v>
      </c>
      <c r="AT622" s="15">
        <f ca="1">SUM((INDIRECT(AT$2&amp;(ROW())):INDIRECT(AT$3&amp;(ROW()))))</f>
        <v>0</v>
      </c>
      <c r="AU622" s="15">
        <f ca="1">SUM(INDIRECT(AU$1&amp;AU$2&amp;$C622):INDIRECT(AU$1&amp;AU$3&amp;$C622))</f>
        <v>31542.433391449995</v>
      </c>
      <c r="AV622" s="3073">
        <f t="shared" ca="1" si="938"/>
        <v>-31542.433391449995</v>
      </c>
      <c r="AW622" s="2710">
        <f t="shared" ca="1" si="939"/>
        <v>0</v>
      </c>
      <c r="AX622" s="15">
        <f ca="1">SUM(INDIRECT(AX$1&amp;AX$2&amp;$A622):INDIRECT(AX$1&amp;AX$3&amp;$A622))</f>
        <v>1050411</v>
      </c>
      <c r="AY622" s="3073">
        <f t="shared" ca="1" si="940"/>
        <v>-1050411</v>
      </c>
      <c r="AZ622" s="2710">
        <f t="shared" ca="1" si="941"/>
        <v>0</v>
      </c>
      <c r="BB622" s="15">
        <f ca="1">SUM((INDIRECT(BB$2&amp;(ROW())):INDIRECT(BB$3&amp;(ROW()))))</f>
        <v>0</v>
      </c>
      <c r="BC622" s="15">
        <f ca="1">SUM(INDIRECT(BC$1&amp;BC$2&amp;$C622):INDIRECT(BC$1&amp;BC$3&amp;$C622))</f>
        <v>59282.514779220146</v>
      </c>
      <c r="BD622" s="3073">
        <f t="shared" ca="1" si="942"/>
        <v>-59282.514779220146</v>
      </c>
      <c r="BE622" s="2710">
        <f t="shared" ca="1" si="943"/>
        <v>0</v>
      </c>
      <c r="BF622" s="15">
        <f ca="1">SUM(INDIRECT(BF$1&amp;BF$2&amp;$A622):INDIRECT(BF$1&amp;BF$3&amp;$A622))</f>
        <v>3597045.24707</v>
      </c>
      <c r="BG622" s="3073">
        <f t="shared" ca="1" si="944"/>
        <v>-3597045.24707</v>
      </c>
      <c r="BH622" s="2710">
        <f t="shared" ca="1" si="945"/>
        <v>0</v>
      </c>
    </row>
    <row r="623" spans="1:60" ht="14.5">
      <c r="A623" s="616">
        <f t="shared" si="914"/>
        <v>558</v>
      </c>
      <c r="B623" s="616">
        <v>1</v>
      </c>
      <c r="C623" s="616">
        <f t="shared" si="891"/>
        <v>620</v>
      </c>
      <c r="E623" s="2547">
        <v>1</v>
      </c>
      <c r="I623" s="73"/>
      <c r="J623" s="72"/>
      <c r="K623" s="63"/>
      <c r="L623" s="63"/>
      <c r="M623" s="208"/>
      <c r="N623" s="309" t="s">
        <v>1478</v>
      </c>
      <c r="O623" s="229"/>
      <c r="P623" s="229"/>
      <c r="Q623" s="1779" t="str">
        <f>CHOOSE(2, "6722000003542", "S/GP (2) Gross Profit Indirect NH &lt;Direct&gt;D&amp;A (-)")</f>
        <v>S/GP (2) Gross Profit Indirect NH &lt;Direct&gt;D&amp;A (-)</v>
      </c>
      <c r="R623" s="1217">
        <v>0</v>
      </c>
      <c r="S623" s="1217">
        <v>0</v>
      </c>
      <c r="T623" s="1217">
        <v>0</v>
      </c>
      <c r="U623" s="1217">
        <v>0</v>
      </c>
      <c r="V623" s="1217">
        <v>0</v>
      </c>
      <c r="W623" s="1217">
        <v>0</v>
      </c>
      <c r="X623" s="1217">
        <v>0</v>
      </c>
      <c r="Y623" s="1217">
        <v>0</v>
      </c>
      <c r="Z623" s="1217">
        <v>0</v>
      </c>
      <c r="AA623" s="1217">
        <v>0</v>
      </c>
      <c r="AB623" s="1217">
        <v>0</v>
      </c>
      <c r="AC623" s="1217">
        <v>0</v>
      </c>
      <c r="AD623" s="88">
        <f>SUM(R623,S623,T623)</f>
        <v>0</v>
      </c>
      <c r="AE623" s="17">
        <f t="shared" si="950"/>
        <v>0</v>
      </c>
      <c r="AF623" s="17">
        <f t="shared" si="951"/>
        <v>0</v>
      </c>
      <c r="AG623" s="17">
        <f t="shared" si="952"/>
        <v>0</v>
      </c>
      <c r="AH623" s="17">
        <f>AD623+AE623</f>
        <v>0</v>
      </c>
      <c r="AI623" s="17">
        <f>AG623+AF623</f>
        <v>0</v>
      </c>
      <c r="AJ623" s="17">
        <f>AH623+AI623</f>
        <v>0</v>
      </c>
      <c r="AL623" s="17">
        <f ca="1">SUM((INDIRECT(AL$2&amp;(ROW())):INDIRECT(AL$3&amp;(ROW()))))</f>
        <v>0</v>
      </c>
      <c r="AM623" s="17">
        <f ca="1">SUM(INDIRECT(AM$1&amp;AM$2&amp;$C623):INDIRECT(AM$1&amp;AM$3&amp;$C623))</f>
        <v>10586.159151924998</v>
      </c>
      <c r="AN623" s="3072">
        <f t="shared" ca="1" si="934"/>
        <v>-10586.159151924998</v>
      </c>
      <c r="AO623" s="2708">
        <f t="shared" ca="1" si="935"/>
        <v>0</v>
      </c>
      <c r="AP623" s="17">
        <f ca="1">SUM(INDIRECT(AP$1&amp;AP$2&amp;$A623):INDIRECT(AP$1&amp;AP$3&amp;$A623))</f>
        <v>358074</v>
      </c>
      <c r="AQ623" s="3072">
        <f t="shared" ca="1" si="936"/>
        <v>-358074</v>
      </c>
      <c r="AR623" s="2708">
        <f t="shared" ca="1" si="937"/>
        <v>0</v>
      </c>
      <c r="AT623" s="17">
        <f ca="1">SUM((INDIRECT(AT$2&amp;(ROW())):INDIRECT(AT$3&amp;(ROW()))))</f>
        <v>0</v>
      </c>
      <c r="AU623" s="17">
        <f ca="1">SUM(INDIRECT(AU$1&amp;AU$2&amp;$C623):INDIRECT(AU$1&amp;AU$3&amp;$C623))</f>
        <v>31542.433391449995</v>
      </c>
      <c r="AV623" s="3072">
        <f t="shared" ca="1" si="938"/>
        <v>-31542.433391449995</v>
      </c>
      <c r="AW623" s="2708">
        <f t="shared" ca="1" si="939"/>
        <v>0</v>
      </c>
      <c r="AX623" s="17">
        <f ca="1">SUM(INDIRECT(AX$1&amp;AX$2&amp;$A623):INDIRECT(AX$1&amp;AX$3&amp;$A623))</f>
        <v>1050411</v>
      </c>
      <c r="AY623" s="3072">
        <f t="shared" ca="1" si="940"/>
        <v>-1050411</v>
      </c>
      <c r="AZ623" s="2708">
        <f t="shared" ca="1" si="941"/>
        <v>0</v>
      </c>
      <c r="BB623" s="17">
        <f ca="1">SUM((INDIRECT(BB$2&amp;(ROW())):INDIRECT(BB$3&amp;(ROW()))))</f>
        <v>0</v>
      </c>
      <c r="BC623" s="17">
        <f ca="1">SUM(INDIRECT(BC$1&amp;BC$2&amp;$C623):INDIRECT(BC$1&amp;BC$3&amp;$C623))</f>
        <v>59282.514779220146</v>
      </c>
      <c r="BD623" s="3072">
        <f t="shared" ca="1" si="942"/>
        <v>-59282.514779220146</v>
      </c>
      <c r="BE623" s="2708">
        <f t="shared" ca="1" si="943"/>
        <v>0</v>
      </c>
      <c r="BF623" s="17">
        <f ca="1">SUM(INDIRECT(BF$1&amp;BF$2&amp;$A623):INDIRECT(BF$1&amp;BF$3&amp;$A623))</f>
        <v>3597045.24707</v>
      </c>
      <c r="BG623" s="3072">
        <f t="shared" ca="1" si="944"/>
        <v>-3597045.24707</v>
      </c>
      <c r="BH623" s="2708">
        <f t="shared" ca="1" si="945"/>
        <v>0</v>
      </c>
    </row>
    <row r="624" spans="1:60" ht="14.5">
      <c r="A624" s="616">
        <f t="shared" si="914"/>
        <v>559</v>
      </c>
      <c r="B624" s="616">
        <v>1</v>
      </c>
      <c r="C624" s="616">
        <f t="shared" si="891"/>
        <v>621</v>
      </c>
      <c r="E624" s="2547">
        <v>1</v>
      </c>
      <c r="I624" s="73"/>
      <c r="J624" s="72"/>
      <c r="K624" s="63"/>
      <c r="L624" s="63"/>
      <c r="M624" s="487" t="s">
        <v>1397</v>
      </c>
      <c r="N624" s="284"/>
      <c r="O624" s="284"/>
      <c r="P624" s="284"/>
      <c r="Q624" s="1777" t="str">
        <f>CHOOSE(2, "6722000003543", "S/GP (2) Gross Profit Indirect Solution")</f>
        <v>S/GP (2) Gross Profit Indirect Solution</v>
      </c>
      <c r="R624" s="3103">
        <f>SUM(R625:R628)</f>
        <v>0</v>
      </c>
      <c r="S624" s="3103">
        <f t="shared" ref="S624:AJ624" si="953">SUM(S625:S628)</f>
        <v>0</v>
      </c>
      <c r="T624" s="3103">
        <f t="shared" si="953"/>
        <v>0</v>
      </c>
      <c r="U624" s="3103">
        <f t="shared" si="953"/>
        <v>0</v>
      </c>
      <c r="V624" s="3103">
        <f t="shared" si="953"/>
        <v>0</v>
      </c>
      <c r="W624" s="3103">
        <f t="shared" si="953"/>
        <v>0</v>
      </c>
      <c r="X624" s="3103">
        <f t="shared" si="953"/>
        <v>0</v>
      </c>
      <c r="Y624" s="3103">
        <f t="shared" si="953"/>
        <v>0</v>
      </c>
      <c r="Z624" s="3103">
        <f t="shared" si="953"/>
        <v>0</v>
      </c>
      <c r="AA624" s="3103">
        <f t="shared" si="953"/>
        <v>0</v>
      </c>
      <c r="AB624" s="3103">
        <f t="shared" si="953"/>
        <v>0</v>
      </c>
      <c r="AC624" s="3103">
        <f t="shared" si="953"/>
        <v>0</v>
      </c>
      <c r="AD624" s="3244">
        <f t="shared" si="953"/>
        <v>0</v>
      </c>
      <c r="AE624" s="3103">
        <f t="shared" si="953"/>
        <v>0</v>
      </c>
      <c r="AF624" s="3103">
        <f t="shared" si="953"/>
        <v>0</v>
      </c>
      <c r="AG624" s="3103">
        <f t="shared" si="953"/>
        <v>0</v>
      </c>
      <c r="AH624" s="3103">
        <f t="shared" si="953"/>
        <v>0</v>
      </c>
      <c r="AI624" s="3103">
        <f t="shared" si="953"/>
        <v>0</v>
      </c>
      <c r="AJ624" s="3103">
        <f t="shared" si="953"/>
        <v>0</v>
      </c>
      <c r="AL624" s="3103">
        <f ca="1">SUM((INDIRECT(AL$2&amp;(ROW())):INDIRECT(AL$3&amp;(ROW()))))</f>
        <v>0</v>
      </c>
      <c r="AM624" s="3103">
        <f ca="1">SUM(INDIRECT(AM$1&amp;AM$2&amp;$C624):INDIRECT(AM$1&amp;AM$3&amp;$C624))</f>
        <v>10586.159151924998</v>
      </c>
      <c r="AN624" s="3259">
        <f t="shared" ca="1" si="934"/>
        <v>-10586.159151924998</v>
      </c>
      <c r="AO624" s="2911">
        <f t="shared" ca="1" si="935"/>
        <v>0</v>
      </c>
      <c r="AP624" s="3103">
        <f ca="1">SUM(INDIRECT(AP$1&amp;AP$2&amp;$A624):INDIRECT(AP$1&amp;AP$3&amp;$A624))</f>
        <v>358074</v>
      </c>
      <c r="AQ624" s="3259">
        <f t="shared" ca="1" si="936"/>
        <v>-358074</v>
      </c>
      <c r="AR624" s="2911">
        <f t="shared" ca="1" si="937"/>
        <v>0</v>
      </c>
      <c r="AT624" s="3103">
        <f ca="1">SUM((INDIRECT(AT$2&amp;(ROW())):INDIRECT(AT$3&amp;(ROW()))))</f>
        <v>0</v>
      </c>
      <c r="AU624" s="3103">
        <f ca="1">SUM(INDIRECT(AU$1&amp;AU$2&amp;$C624):INDIRECT(AU$1&amp;AU$3&amp;$C624))</f>
        <v>31542.433391449995</v>
      </c>
      <c r="AV624" s="3259">
        <f t="shared" ca="1" si="938"/>
        <v>-31542.433391449995</v>
      </c>
      <c r="AW624" s="2911">
        <f t="shared" ca="1" si="939"/>
        <v>0</v>
      </c>
      <c r="AX624" s="3103">
        <f ca="1">SUM(INDIRECT(AX$1&amp;AX$2&amp;$A624):INDIRECT(AX$1&amp;AX$3&amp;$A624))</f>
        <v>1050411</v>
      </c>
      <c r="AY624" s="3259">
        <f t="shared" ca="1" si="940"/>
        <v>-1050411</v>
      </c>
      <c r="AZ624" s="2911">
        <f t="shared" ca="1" si="941"/>
        <v>0</v>
      </c>
      <c r="BB624" s="3103">
        <f ca="1">SUM((INDIRECT(BB$2&amp;(ROW())):INDIRECT(BB$3&amp;(ROW()))))</f>
        <v>0</v>
      </c>
      <c r="BC624" s="3103">
        <f ca="1">SUM(INDIRECT(BC$1&amp;BC$2&amp;$C624):INDIRECT(BC$1&amp;BC$3&amp;$C624))</f>
        <v>59282.514779220146</v>
      </c>
      <c r="BD624" s="3259">
        <f t="shared" ca="1" si="942"/>
        <v>-59282.514779220146</v>
      </c>
      <c r="BE624" s="2911">
        <f t="shared" ca="1" si="943"/>
        <v>0</v>
      </c>
      <c r="BF624" s="3103">
        <f ca="1">SUM(INDIRECT(BF$1&amp;BF$2&amp;$A624):INDIRECT(BF$1&amp;BF$3&amp;$A624))</f>
        <v>3597045.24707</v>
      </c>
      <c r="BG624" s="3259">
        <f t="shared" ca="1" si="944"/>
        <v>-3597045.24707</v>
      </c>
      <c r="BH624" s="2911">
        <f t="shared" ca="1" si="945"/>
        <v>0</v>
      </c>
    </row>
    <row r="625" spans="1:60" ht="14.5">
      <c r="A625" s="616">
        <f t="shared" si="914"/>
        <v>560</v>
      </c>
      <c r="B625" s="616">
        <v>1</v>
      </c>
      <c r="C625" s="616">
        <f t="shared" si="891"/>
        <v>622</v>
      </c>
      <c r="E625" s="2547">
        <v>1</v>
      </c>
      <c r="I625" s="73"/>
      <c r="J625" s="72"/>
      <c r="K625" s="63"/>
      <c r="L625" s="63"/>
      <c r="N625" s="97"/>
      <c r="O625" s="97"/>
      <c r="P625" s="97" t="s">
        <v>1481</v>
      </c>
      <c r="Q625" s="1779" t="str">
        <f>CHOOSE(2, "6722000003544", "S/GP (2) Gross Profit Indirect Solution HWware")</f>
        <v>S/GP (2) Gross Profit Indirect Solution HWware</v>
      </c>
      <c r="R625" s="1227">
        <v>0</v>
      </c>
      <c r="S625" s="1227">
        <v>0</v>
      </c>
      <c r="T625" s="1227">
        <v>0</v>
      </c>
      <c r="U625" s="1227">
        <v>0</v>
      </c>
      <c r="V625" s="1227">
        <v>0</v>
      </c>
      <c r="W625" s="1227">
        <v>0</v>
      </c>
      <c r="X625" s="1227">
        <v>0</v>
      </c>
      <c r="Y625" s="1227">
        <v>0</v>
      </c>
      <c r="Z625" s="1227">
        <v>0</v>
      </c>
      <c r="AA625" s="1227">
        <v>0</v>
      </c>
      <c r="AB625" s="1227">
        <v>0</v>
      </c>
      <c r="AC625" s="1227">
        <v>0</v>
      </c>
      <c r="AD625" s="295">
        <f>SUM(R625,S625,T625)</f>
        <v>0</v>
      </c>
      <c r="AE625" s="96">
        <f t="shared" ref="AE625:AE629" si="954">SUM(U625,V625,W625)</f>
        <v>0</v>
      </c>
      <c r="AF625" s="96">
        <f t="shared" ref="AF625:AF629" si="955">SUM(X625,Y625,Z625)</f>
        <v>0</v>
      </c>
      <c r="AG625" s="96">
        <f t="shared" ref="AG625:AG629" si="956">SUM(AA625,AB625,AC625)</f>
        <v>0</v>
      </c>
      <c r="AH625" s="96">
        <f>AD625+AE625</f>
        <v>0</v>
      </c>
      <c r="AI625" s="96">
        <f>AG625+AF625</f>
        <v>0</v>
      </c>
      <c r="AJ625" s="96">
        <f>AH625+AI625</f>
        <v>0</v>
      </c>
      <c r="AL625" s="96">
        <f ca="1">SUM((INDIRECT(AL$2&amp;(ROW())):INDIRECT(AL$3&amp;(ROW()))))</f>
        <v>0</v>
      </c>
      <c r="AM625" s="96">
        <f ca="1">SUM(INDIRECT(AM$1&amp;AM$2&amp;$C625):INDIRECT(AM$1&amp;AM$3&amp;$C625))</f>
        <v>0</v>
      </c>
      <c r="AN625" s="3227">
        <f t="shared" ca="1" si="934"/>
        <v>0</v>
      </c>
      <c r="AO625" s="2878">
        <f t="shared" ca="1" si="935"/>
        <v>0</v>
      </c>
      <c r="AP625" s="96">
        <f ca="1">SUM(INDIRECT(AP$1&amp;AP$2&amp;$A625):INDIRECT(AP$1&amp;AP$3&amp;$A625))</f>
        <v>0</v>
      </c>
      <c r="AQ625" s="3227">
        <f t="shared" ca="1" si="936"/>
        <v>0</v>
      </c>
      <c r="AR625" s="2878">
        <f t="shared" ca="1" si="937"/>
        <v>0</v>
      </c>
      <c r="AT625" s="96">
        <f ca="1">SUM((INDIRECT(AT$2&amp;(ROW())):INDIRECT(AT$3&amp;(ROW()))))</f>
        <v>0</v>
      </c>
      <c r="AU625" s="96">
        <f ca="1">SUM(INDIRECT(AU$1&amp;AU$2&amp;$C625):INDIRECT(AU$1&amp;AU$3&amp;$C625))</f>
        <v>0</v>
      </c>
      <c r="AV625" s="3227">
        <f t="shared" ca="1" si="938"/>
        <v>0</v>
      </c>
      <c r="AW625" s="2878">
        <f t="shared" ca="1" si="939"/>
        <v>0</v>
      </c>
      <c r="AX625" s="96">
        <f ca="1">SUM(INDIRECT(AX$1&amp;AX$2&amp;$A625):INDIRECT(AX$1&amp;AX$3&amp;$A625))</f>
        <v>0</v>
      </c>
      <c r="AY625" s="3227">
        <f t="shared" ca="1" si="940"/>
        <v>0</v>
      </c>
      <c r="AZ625" s="2878">
        <f t="shared" ca="1" si="941"/>
        <v>0</v>
      </c>
      <c r="BB625" s="96">
        <f ca="1">SUM((INDIRECT(BB$2&amp;(ROW())):INDIRECT(BB$3&amp;(ROW()))))</f>
        <v>0</v>
      </c>
      <c r="BC625" s="96">
        <f ca="1">SUM(INDIRECT(BC$1&amp;BC$2&amp;$C625):INDIRECT(BC$1&amp;BC$3&amp;$C625))</f>
        <v>0</v>
      </c>
      <c r="BD625" s="3227">
        <f t="shared" ca="1" si="942"/>
        <v>0</v>
      </c>
      <c r="BE625" s="2878">
        <f t="shared" ca="1" si="943"/>
        <v>0</v>
      </c>
      <c r="BF625" s="96">
        <f ca="1">SUM(INDIRECT(BF$1&amp;BF$2&amp;$A625):INDIRECT(BF$1&amp;BF$3&amp;$A625))</f>
        <v>0</v>
      </c>
      <c r="BG625" s="3227">
        <f t="shared" ca="1" si="944"/>
        <v>0</v>
      </c>
      <c r="BH625" s="2878">
        <f t="shared" ca="1" si="945"/>
        <v>0</v>
      </c>
    </row>
    <row r="626" spans="1:60" ht="14.5">
      <c r="A626" s="616">
        <f t="shared" si="914"/>
        <v>561</v>
      </c>
      <c r="B626" s="616">
        <v>1</v>
      </c>
      <c r="C626" s="616">
        <f t="shared" si="891"/>
        <v>623</v>
      </c>
      <c r="E626" s="2547">
        <v>1</v>
      </c>
      <c r="I626" s="73"/>
      <c r="J626" s="72"/>
      <c r="K626" s="63"/>
      <c r="L626" s="63"/>
      <c r="P626" s="8" t="s">
        <v>1482</v>
      </c>
      <c r="Q626" s="1779" t="str">
        <f>CHOOSE(2, "6722000003545", "S/GP (2) Gross Profit Indirect Solution Software")</f>
        <v>S/GP (2) Gross Profit Indirect Solution Software</v>
      </c>
      <c r="R626" s="1217">
        <v>0</v>
      </c>
      <c r="S626" s="1217">
        <v>0</v>
      </c>
      <c r="T626" s="1217">
        <v>0</v>
      </c>
      <c r="U626" s="1217">
        <v>0</v>
      </c>
      <c r="V626" s="1217">
        <v>0</v>
      </c>
      <c r="W626" s="1217">
        <v>0</v>
      </c>
      <c r="X626" s="1217">
        <v>0</v>
      </c>
      <c r="Y626" s="1217">
        <v>0</v>
      </c>
      <c r="Z626" s="1217">
        <v>0</v>
      </c>
      <c r="AA626" s="1217">
        <v>0</v>
      </c>
      <c r="AB626" s="1217">
        <v>0</v>
      </c>
      <c r="AC626" s="1217">
        <v>0</v>
      </c>
      <c r="AD626" s="88">
        <f>SUM(R626,S626,T626)</f>
        <v>0</v>
      </c>
      <c r="AE626" s="17">
        <f t="shared" si="954"/>
        <v>0</v>
      </c>
      <c r="AF626" s="17">
        <f t="shared" si="955"/>
        <v>0</v>
      </c>
      <c r="AG626" s="17">
        <f t="shared" si="956"/>
        <v>0</v>
      </c>
      <c r="AH626" s="17">
        <f>AD626+AE626</f>
        <v>0</v>
      </c>
      <c r="AI626" s="17">
        <f>AG626+AF626</f>
        <v>0</v>
      </c>
      <c r="AJ626" s="17">
        <f>AH626+AI626</f>
        <v>0</v>
      </c>
      <c r="AL626" s="17">
        <f ca="1">SUM((INDIRECT(AL$2&amp;(ROW())):INDIRECT(AL$3&amp;(ROW()))))</f>
        <v>0</v>
      </c>
      <c r="AM626" s="17">
        <f ca="1">SUM(INDIRECT(AM$1&amp;AM$2&amp;$C626):INDIRECT(AM$1&amp;AM$3&amp;$C626))</f>
        <v>0</v>
      </c>
      <c r="AN626" s="3072">
        <f t="shared" ca="1" si="934"/>
        <v>0</v>
      </c>
      <c r="AO626" s="2708">
        <f t="shared" ca="1" si="935"/>
        <v>0</v>
      </c>
      <c r="AP626" s="17">
        <f ca="1">SUM(INDIRECT(AP$1&amp;AP$2&amp;$A626):INDIRECT(AP$1&amp;AP$3&amp;$A626))</f>
        <v>0</v>
      </c>
      <c r="AQ626" s="3072">
        <f t="shared" ca="1" si="936"/>
        <v>0</v>
      </c>
      <c r="AR626" s="2708">
        <f t="shared" ca="1" si="937"/>
        <v>0</v>
      </c>
      <c r="AT626" s="17">
        <f ca="1">SUM((INDIRECT(AT$2&amp;(ROW())):INDIRECT(AT$3&amp;(ROW()))))</f>
        <v>0</v>
      </c>
      <c r="AU626" s="17">
        <f ca="1">SUM(INDIRECT(AU$1&amp;AU$2&amp;$C626):INDIRECT(AU$1&amp;AU$3&amp;$C626))</f>
        <v>0</v>
      </c>
      <c r="AV626" s="3072">
        <f t="shared" ca="1" si="938"/>
        <v>0</v>
      </c>
      <c r="AW626" s="2708">
        <f t="shared" ca="1" si="939"/>
        <v>0</v>
      </c>
      <c r="AX626" s="17">
        <f ca="1">SUM(INDIRECT(AX$1&amp;AX$2&amp;$A626):INDIRECT(AX$1&amp;AX$3&amp;$A626))</f>
        <v>0</v>
      </c>
      <c r="AY626" s="3072">
        <f t="shared" ca="1" si="940"/>
        <v>0</v>
      </c>
      <c r="AZ626" s="2708">
        <f t="shared" ca="1" si="941"/>
        <v>0</v>
      </c>
      <c r="BB626" s="17">
        <f ca="1">SUM((INDIRECT(BB$2&amp;(ROW())):INDIRECT(BB$3&amp;(ROW()))))</f>
        <v>0</v>
      </c>
      <c r="BC626" s="17">
        <f ca="1">SUM(INDIRECT(BC$1&amp;BC$2&amp;$C626):INDIRECT(BC$1&amp;BC$3&amp;$C626))</f>
        <v>0</v>
      </c>
      <c r="BD626" s="3072">
        <f t="shared" ca="1" si="942"/>
        <v>0</v>
      </c>
      <c r="BE626" s="2708">
        <f t="shared" ca="1" si="943"/>
        <v>0</v>
      </c>
      <c r="BF626" s="17">
        <f ca="1">SUM(INDIRECT(BF$1&amp;BF$2&amp;$A626):INDIRECT(BF$1&amp;BF$3&amp;$A626))</f>
        <v>0</v>
      </c>
      <c r="BG626" s="3072">
        <f t="shared" ca="1" si="944"/>
        <v>0</v>
      </c>
      <c r="BH626" s="2708">
        <f t="shared" ca="1" si="945"/>
        <v>0</v>
      </c>
    </row>
    <row r="627" spans="1:60" ht="14.5">
      <c r="A627" s="616">
        <f t="shared" si="914"/>
        <v>562</v>
      </c>
      <c r="B627" s="616">
        <v>1</v>
      </c>
      <c r="C627" s="616">
        <f t="shared" si="891"/>
        <v>624</v>
      </c>
      <c r="E627" s="2547">
        <v>1</v>
      </c>
      <c r="I627" s="73"/>
      <c r="J627" s="72"/>
      <c r="K627" s="63"/>
      <c r="L627" s="63"/>
      <c r="P627" s="8" t="s">
        <v>1483</v>
      </c>
      <c r="Q627" s="1779" t="str">
        <f>CHOOSE(2, "6722000003546", "S/GP (2) Gross Profit Indirect Solution Professional Service")</f>
        <v>S/GP (2) Gross Profit Indirect Solution Professional Service</v>
      </c>
      <c r="R627" s="1217">
        <v>0</v>
      </c>
      <c r="S627" s="1217">
        <v>0</v>
      </c>
      <c r="T627" s="1217">
        <v>0</v>
      </c>
      <c r="U627" s="1217">
        <v>0</v>
      </c>
      <c r="V627" s="1217">
        <v>0</v>
      </c>
      <c r="W627" s="1217">
        <v>0</v>
      </c>
      <c r="X627" s="1217">
        <v>0</v>
      </c>
      <c r="Y627" s="1217">
        <v>0</v>
      </c>
      <c r="Z627" s="1217">
        <v>0</v>
      </c>
      <c r="AA627" s="1217">
        <v>0</v>
      </c>
      <c r="AB627" s="1217">
        <v>0</v>
      </c>
      <c r="AC627" s="1217">
        <v>0</v>
      </c>
      <c r="AD627" s="88">
        <f>SUM(R627,S627,T627)</f>
        <v>0</v>
      </c>
      <c r="AE627" s="17">
        <f t="shared" si="954"/>
        <v>0</v>
      </c>
      <c r="AF627" s="17">
        <f t="shared" si="955"/>
        <v>0</v>
      </c>
      <c r="AG627" s="17">
        <f t="shared" si="956"/>
        <v>0</v>
      </c>
      <c r="AH627" s="17">
        <f>AD627+AE627</f>
        <v>0</v>
      </c>
      <c r="AI627" s="17">
        <f>AG627+AF627</f>
        <v>0</v>
      </c>
      <c r="AJ627" s="17">
        <f>AH627+AI627</f>
        <v>0</v>
      </c>
      <c r="AL627" s="17">
        <f ca="1">SUM((INDIRECT(AL$2&amp;(ROW())):INDIRECT(AL$3&amp;(ROW()))))</f>
        <v>0</v>
      </c>
      <c r="AM627" s="17">
        <f ca="1">SUM(INDIRECT(AM$1&amp;AM$2&amp;$C627):INDIRECT(AM$1&amp;AM$3&amp;$C627))</f>
        <v>0</v>
      </c>
      <c r="AN627" s="3072">
        <f t="shared" ca="1" si="934"/>
        <v>0</v>
      </c>
      <c r="AO627" s="2708">
        <f t="shared" ca="1" si="935"/>
        <v>0</v>
      </c>
      <c r="AP627" s="17">
        <f ca="1">SUM(INDIRECT(AP$1&amp;AP$2&amp;$A627):INDIRECT(AP$1&amp;AP$3&amp;$A627))</f>
        <v>0</v>
      </c>
      <c r="AQ627" s="3072">
        <f t="shared" ca="1" si="936"/>
        <v>0</v>
      </c>
      <c r="AR627" s="2708">
        <f t="shared" ca="1" si="937"/>
        <v>0</v>
      </c>
      <c r="AT627" s="17">
        <f ca="1">SUM((INDIRECT(AT$2&amp;(ROW())):INDIRECT(AT$3&amp;(ROW()))))</f>
        <v>0</v>
      </c>
      <c r="AU627" s="17">
        <f ca="1">SUM(INDIRECT(AU$1&amp;AU$2&amp;$C627):INDIRECT(AU$1&amp;AU$3&amp;$C627))</f>
        <v>0</v>
      </c>
      <c r="AV627" s="3072">
        <f t="shared" ca="1" si="938"/>
        <v>0</v>
      </c>
      <c r="AW627" s="2708">
        <f t="shared" ca="1" si="939"/>
        <v>0</v>
      </c>
      <c r="AX627" s="17">
        <f ca="1">SUM(INDIRECT(AX$1&amp;AX$2&amp;$A627):INDIRECT(AX$1&amp;AX$3&amp;$A627))</f>
        <v>0</v>
      </c>
      <c r="AY627" s="3072">
        <f t="shared" ca="1" si="940"/>
        <v>0</v>
      </c>
      <c r="AZ627" s="2708">
        <f t="shared" ca="1" si="941"/>
        <v>0</v>
      </c>
      <c r="BB627" s="17">
        <f ca="1">SUM((INDIRECT(BB$2&amp;(ROW())):INDIRECT(BB$3&amp;(ROW()))))</f>
        <v>0</v>
      </c>
      <c r="BC627" s="17">
        <f ca="1">SUM(INDIRECT(BC$1&amp;BC$2&amp;$C627):INDIRECT(BC$1&amp;BC$3&amp;$C627))</f>
        <v>0</v>
      </c>
      <c r="BD627" s="3072">
        <f t="shared" ca="1" si="942"/>
        <v>0</v>
      </c>
      <c r="BE627" s="2708">
        <f t="shared" ca="1" si="943"/>
        <v>0</v>
      </c>
      <c r="BF627" s="17">
        <f ca="1">SUM(INDIRECT(BF$1&amp;BF$2&amp;$A627):INDIRECT(BF$1&amp;BF$3&amp;$A627))</f>
        <v>0</v>
      </c>
      <c r="BG627" s="3072">
        <f t="shared" ca="1" si="944"/>
        <v>0</v>
      </c>
      <c r="BH627" s="2708">
        <f t="shared" ca="1" si="945"/>
        <v>0</v>
      </c>
    </row>
    <row r="628" spans="1:60" ht="14.5">
      <c r="A628" s="616">
        <f t="shared" si="914"/>
        <v>563</v>
      </c>
      <c r="B628" s="616">
        <v>1</v>
      </c>
      <c r="C628" s="616">
        <f t="shared" si="891"/>
        <v>625</v>
      </c>
      <c r="E628" s="2547">
        <v>1</v>
      </c>
      <c r="I628" s="73"/>
      <c r="J628" s="72"/>
      <c r="K628" s="63"/>
      <c r="L628" s="63"/>
      <c r="N628" s="11"/>
      <c r="O628" s="11"/>
      <c r="P628" s="11" t="s">
        <v>1386</v>
      </c>
      <c r="Q628" s="1779" t="str">
        <f>CHOOSE(2, "6722000003547", "S/GP (2) Gross Profit Indirect Solution Others")</f>
        <v>S/GP (2) Gross Profit Indirect Solution Others</v>
      </c>
      <c r="R628" s="1218">
        <v>0</v>
      </c>
      <c r="S628" s="1218">
        <v>0</v>
      </c>
      <c r="T628" s="1218">
        <v>0</v>
      </c>
      <c r="U628" s="1218">
        <v>0</v>
      </c>
      <c r="V628" s="1218">
        <v>0</v>
      </c>
      <c r="W628" s="1218">
        <v>0</v>
      </c>
      <c r="X628" s="1218">
        <v>0</v>
      </c>
      <c r="Y628" s="1218">
        <v>0</v>
      </c>
      <c r="Z628" s="1218">
        <v>0</v>
      </c>
      <c r="AA628" s="1218">
        <v>0</v>
      </c>
      <c r="AB628" s="1218">
        <v>0</v>
      </c>
      <c r="AC628" s="1218">
        <v>0</v>
      </c>
      <c r="AD628" s="87">
        <f>SUM(R628,S628,T628)</f>
        <v>0</v>
      </c>
      <c r="AE628" s="15">
        <f t="shared" si="954"/>
        <v>0</v>
      </c>
      <c r="AF628" s="15">
        <f t="shared" si="955"/>
        <v>0</v>
      </c>
      <c r="AG628" s="15">
        <f t="shared" si="956"/>
        <v>0</v>
      </c>
      <c r="AH628" s="15">
        <f>AD628+AE628</f>
        <v>0</v>
      </c>
      <c r="AI628" s="15">
        <f>AG628+AF628</f>
        <v>0</v>
      </c>
      <c r="AJ628" s="15">
        <f>AH628+AI628</f>
        <v>0</v>
      </c>
      <c r="AL628" s="15">
        <f ca="1">SUM((INDIRECT(AL$2&amp;(ROW())):INDIRECT(AL$3&amp;(ROW()))))</f>
        <v>0</v>
      </c>
      <c r="AM628" s="15">
        <f ca="1">SUM(INDIRECT(AM$1&amp;AM$2&amp;$C628):INDIRECT(AM$1&amp;AM$3&amp;$C628))</f>
        <v>0</v>
      </c>
      <c r="AN628" s="3073">
        <f t="shared" ca="1" si="934"/>
        <v>0</v>
      </c>
      <c r="AO628" s="2710">
        <f t="shared" ca="1" si="935"/>
        <v>0</v>
      </c>
      <c r="AP628" s="15">
        <f ca="1">SUM(INDIRECT(AP$1&amp;AP$2&amp;$A628):INDIRECT(AP$1&amp;AP$3&amp;$A628))</f>
        <v>0</v>
      </c>
      <c r="AQ628" s="3073">
        <f t="shared" ca="1" si="936"/>
        <v>0</v>
      </c>
      <c r="AR628" s="2710">
        <f t="shared" ca="1" si="937"/>
        <v>0</v>
      </c>
      <c r="AT628" s="15">
        <f ca="1">SUM((INDIRECT(AT$2&amp;(ROW())):INDIRECT(AT$3&amp;(ROW()))))</f>
        <v>0</v>
      </c>
      <c r="AU628" s="15">
        <f ca="1">SUM(INDIRECT(AU$1&amp;AU$2&amp;$C628):INDIRECT(AU$1&amp;AU$3&amp;$C628))</f>
        <v>0</v>
      </c>
      <c r="AV628" s="3073">
        <f t="shared" ca="1" si="938"/>
        <v>0</v>
      </c>
      <c r="AW628" s="2710">
        <f t="shared" ca="1" si="939"/>
        <v>0</v>
      </c>
      <c r="AX628" s="15">
        <f ca="1">SUM(INDIRECT(AX$1&amp;AX$2&amp;$A628):INDIRECT(AX$1&amp;AX$3&amp;$A628))</f>
        <v>0</v>
      </c>
      <c r="AY628" s="3073">
        <f t="shared" ca="1" si="940"/>
        <v>0</v>
      </c>
      <c r="AZ628" s="2710">
        <f t="shared" ca="1" si="941"/>
        <v>0</v>
      </c>
      <c r="BB628" s="15">
        <f ca="1">SUM((INDIRECT(BB$2&amp;(ROW())):INDIRECT(BB$3&amp;(ROW()))))</f>
        <v>0</v>
      </c>
      <c r="BC628" s="15">
        <f ca="1">SUM(INDIRECT(BC$1&amp;BC$2&amp;$C628):INDIRECT(BC$1&amp;BC$3&amp;$C628))</f>
        <v>0</v>
      </c>
      <c r="BD628" s="3073">
        <f t="shared" ca="1" si="942"/>
        <v>0</v>
      </c>
      <c r="BE628" s="2710">
        <f t="shared" ca="1" si="943"/>
        <v>0</v>
      </c>
      <c r="BF628" s="15">
        <f ca="1">SUM(INDIRECT(BF$1&amp;BF$2&amp;$A628):INDIRECT(BF$1&amp;BF$3&amp;$A628))</f>
        <v>0</v>
      </c>
      <c r="BG628" s="3073">
        <f t="shared" ca="1" si="944"/>
        <v>0</v>
      </c>
      <c r="BH628" s="2710">
        <f t="shared" ca="1" si="945"/>
        <v>0</v>
      </c>
    </row>
    <row r="629" spans="1:60" ht="14.5">
      <c r="A629" s="616">
        <f t="shared" si="914"/>
        <v>564</v>
      </c>
      <c r="B629" s="616">
        <v>1</v>
      </c>
      <c r="C629" s="616">
        <f t="shared" si="891"/>
        <v>626</v>
      </c>
      <c r="E629" s="2547">
        <v>1</v>
      </c>
      <c r="I629" s="71"/>
      <c r="J629" s="70"/>
      <c r="K629" s="62"/>
      <c r="L629" s="62"/>
      <c r="M629" s="1475" t="s">
        <v>1386</v>
      </c>
      <c r="N629" s="11"/>
      <c r="O629" s="11"/>
      <c r="P629" s="11"/>
      <c r="Q629" s="1779" t="str">
        <f>CHOOSE(2, "6722000003548", "S/GP (2) Gross Profit Indirect Others")</f>
        <v>S/GP (2) Gross Profit Indirect Others</v>
      </c>
      <c r="R629" s="1218">
        <v>0</v>
      </c>
      <c r="S629" s="1218">
        <v>0</v>
      </c>
      <c r="T629" s="1218">
        <v>0</v>
      </c>
      <c r="U629" s="1218">
        <v>0</v>
      </c>
      <c r="V629" s="1218">
        <v>0</v>
      </c>
      <c r="W629" s="1218">
        <v>0</v>
      </c>
      <c r="X629" s="1218">
        <v>0</v>
      </c>
      <c r="Y629" s="1218">
        <v>0</v>
      </c>
      <c r="Z629" s="1218">
        <v>0</v>
      </c>
      <c r="AA629" s="1218">
        <v>0</v>
      </c>
      <c r="AB629" s="1218">
        <v>0</v>
      </c>
      <c r="AC629" s="1218">
        <v>0</v>
      </c>
      <c r="AD629" s="87">
        <f>SUM(R629,S629,T629)</f>
        <v>0</v>
      </c>
      <c r="AE629" s="15">
        <f t="shared" si="954"/>
        <v>0</v>
      </c>
      <c r="AF629" s="15">
        <f t="shared" si="955"/>
        <v>0</v>
      </c>
      <c r="AG629" s="15">
        <f t="shared" si="956"/>
        <v>0</v>
      </c>
      <c r="AH629" s="15">
        <f>AD629+AE629</f>
        <v>0</v>
      </c>
      <c r="AI629" s="15">
        <f>AG629+AF629</f>
        <v>0</v>
      </c>
      <c r="AJ629" s="15">
        <f>AH629+AI629</f>
        <v>0</v>
      </c>
      <c r="AL629" s="15">
        <f ca="1">SUM((INDIRECT(AL$2&amp;(ROW())):INDIRECT(AL$3&amp;(ROW()))))</f>
        <v>0</v>
      </c>
      <c r="AM629" s="15">
        <f ca="1">SUM(INDIRECT(AM$1&amp;AM$2&amp;$C629):INDIRECT(AM$1&amp;AM$3&amp;$C629))</f>
        <v>0</v>
      </c>
      <c r="AN629" s="3073">
        <f t="shared" ca="1" si="934"/>
        <v>0</v>
      </c>
      <c r="AO629" s="2710">
        <f t="shared" ca="1" si="935"/>
        <v>0</v>
      </c>
      <c r="AP629" s="15">
        <f ca="1">SUM(INDIRECT(AP$1&amp;AP$2&amp;$A629):INDIRECT(AP$1&amp;AP$3&amp;$A629))</f>
        <v>0</v>
      </c>
      <c r="AQ629" s="3073">
        <f t="shared" ca="1" si="936"/>
        <v>0</v>
      </c>
      <c r="AR629" s="2710">
        <f t="shared" ca="1" si="937"/>
        <v>0</v>
      </c>
      <c r="AT629" s="15">
        <f ca="1">SUM((INDIRECT(AT$2&amp;(ROW())):INDIRECT(AT$3&amp;(ROW()))))</f>
        <v>0</v>
      </c>
      <c r="AU629" s="15">
        <f ca="1">SUM(INDIRECT(AU$1&amp;AU$2&amp;$C629):INDIRECT(AU$1&amp;AU$3&amp;$C629))</f>
        <v>0</v>
      </c>
      <c r="AV629" s="3073">
        <f t="shared" ca="1" si="938"/>
        <v>0</v>
      </c>
      <c r="AW629" s="2710">
        <f t="shared" ca="1" si="939"/>
        <v>0</v>
      </c>
      <c r="AX629" s="15">
        <f ca="1">SUM(INDIRECT(AX$1&amp;AX$2&amp;$A629):INDIRECT(AX$1&amp;AX$3&amp;$A629))</f>
        <v>0</v>
      </c>
      <c r="AY629" s="3073">
        <f t="shared" ca="1" si="940"/>
        <v>0</v>
      </c>
      <c r="AZ629" s="2710">
        <f t="shared" ca="1" si="941"/>
        <v>0</v>
      </c>
      <c r="BB629" s="15">
        <f ca="1">SUM((INDIRECT(BB$2&amp;(ROW())):INDIRECT(BB$3&amp;(ROW()))))</f>
        <v>0</v>
      </c>
      <c r="BC629" s="15">
        <f ca="1">SUM(INDIRECT(BC$1&amp;BC$2&amp;$C629):INDIRECT(BC$1&amp;BC$3&amp;$C629))</f>
        <v>0</v>
      </c>
      <c r="BD629" s="3073">
        <f t="shared" ca="1" si="942"/>
        <v>0</v>
      </c>
      <c r="BE629" s="2710">
        <f t="shared" ca="1" si="943"/>
        <v>0</v>
      </c>
      <c r="BF629" s="15">
        <f ca="1">SUM(INDIRECT(BF$1&amp;BF$2&amp;$A629):INDIRECT(BF$1&amp;BF$3&amp;$A629))</f>
        <v>0</v>
      </c>
      <c r="BG629" s="3073">
        <f t="shared" ca="1" si="944"/>
        <v>0</v>
      </c>
      <c r="BH629" s="2710">
        <f t="shared" ca="1" si="945"/>
        <v>0</v>
      </c>
    </row>
    <row r="630" spans="1:60" ht="14.5">
      <c r="A630" s="616">
        <f t="shared" si="914"/>
        <v>565</v>
      </c>
      <c r="B630" s="616">
        <v>1</v>
      </c>
      <c r="C630" s="616">
        <f t="shared" si="891"/>
        <v>627</v>
      </c>
      <c r="E630" s="2547">
        <v>1</v>
      </c>
      <c r="I630" s="22"/>
      <c r="J630" s="69"/>
      <c r="K630" s="22"/>
      <c r="L630" s="22"/>
      <c r="M630" s="69"/>
      <c r="N630" s="69"/>
      <c r="O630" s="69"/>
      <c r="P630" s="69"/>
      <c r="Q630" s="1772" t="str">
        <f>CHOOSE(2, "6722000003549", "▷ Blank 21")</f>
        <v>▷ Blank 21</v>
      </c>
      <c r="R630" s="2557"/>
      <c r="AB630" s="1210"/>
      <c r="AC630" s="1210"/>
      <c r="AD630" s="1210"/>
      <c r="AE630" s="1210"/>
      <c r="AF630" s="1210"/>
      <c r="AG630" s="1210"/>
      <c r="AH630" s="1210"/>
      <c r="AI630" s="1210"/>
      <c r="AJ630" s="1210"/>
      <c r="AL630" s="1210"/>
      <c r="AM630" s="1210"/>
      <c r="AN630" s="1210"/>
      <c r="AO630" s="1210"/>
      <c r="AP630" s="1210"/>
      <c r="AQ630" s="1210"/>
      <c r="AR630" s="1210"/>
      <c r="AT630" s="1210"/>
      <c r="AU630" s="1210"/>
      <c r="AV630" s="1210"/>
      <c r="AW630" s="1210"/>
      <c r="AX630" s="1210"/>
      <c r="AY630" s="1210"/>
      <c r="AZ630" s="1210"/>
      <c r="BB630" s="1210"/>
      <c r="BC630" s="1210"/>
      <c r="BD630" s="1210"/>
      <c r="BE630" s="1210"/>
      <c r="BF630" s="1210"/>
      <c r="BG630" s="1210"/>
      <c r="BH630" s="1210"/>
    </row>
    <row r="631" spans="1:60" ht="14.5">
      <c r="A631" s="616">
        <f t="shared" si="914"/>
        <v>566</v>
      </c>
      <c r="B631" s="616">
        <v>1</v>
      </c>
      <c r="C631" s="616">
        <f t="shared" si="891"/>
        <v>628</v>
      </c>
      <c r="E631" s="2547">
        <v>1</v>
      </c>
      <c r="H631" s="22" t="s">
        <v>1399</v>
      </c>
      <c r="I631" s="22"/>
      <c r="J631" s="69"/>
      <c r="K631" s="22"/>
      <c r="L631" s="22"/>
      <c r="M631" s="69"/>
      <c r="N631" s="69"/>
      <c r="O631" s="69"/>
      <c r="P631" s="222"/>
      <c r="Q631" s="1772" t="str">
        <f>CHOOSE(2, "6722000003550", "S/GP (3) IP")</f>
        <v>S/GP (3) IP</v>
      </c>
      <c r="R631" s="2557"/>
      <c r="AB631" s="1210"/>
      <c r="AC631" s="1210"/>
      <c r="AD631" s="1210"/>
      <c r="AE631" s="1210"/>
      <c r="AF631" s="1210"/>
      <c r="AG631" s="1210"/>
      <c r="AH631" s="1210"/>
      <c r="AI631" s="1210"/>
      <c r="AJ631" s="1210"/>
      <c r="AL631" s="1210"/>
      <c r="AM631" s="1210"/>
      <c r="AN631" s="1210"/>
      <c r="AO631" s="1210"/>
      <c r="AP631" s="1210"/>
      <c r="AQ631" s="1210"/>
      <c r="AR631" s="1210"/>
      <c r="AT631" s="1210"/>
      <c r="AU631" s="1210"/>
      <c r="AV631" s="1210"/>
      <c r="AW631" s="1210"/>
      <c r="AX631" s="1210"/>
      <c r="AY631" s="1210"/>
      <c r="AZ631" s="1210"/>
      <c r="BB631" s="1210"/>
      <c r="BC631" s="1210"/>
      <c r="BD631" s="1210"/>
      <c r="BE631" s="1210"/>
      <c r="BF631" s="1210"/>
      <c r="BG631" s="1210"/>
      <c r="BH631" s="1210"/>
    </row>
    <row r="632" spans="1:60" ht="14.5">
      <c r="A632" s="616">
        <f t="shared" si="914"/>
        <v>567</v>
      </c>
      <c r="B632" s="616">
        <v>1</v>
      </c>
      <c r="C632" s="616">
        <f t="shared" si="891"/>
        <v>629</v>
      </c>
      <c r="E632" s="2547">
        <v>1</v>
      </c>
      <c r="I632" s="3155" t="s">
        <v>1375</v>
      </c>
      <c r="J632" s="489"/>
      <c r="K632" s="581"/>
      <c r="L632" s="581"/>
      <c r="M632" s="489"/>
      <c r="N632" s="489"/>
      <c r="O632" s="489"/>
      <c r="P632" s="489"/>
      <c r="Q632" s="1795" t="str">
        <f>CHOOSE(2, "6722000003551", "S/GP (3) Net Sales")</f>
        <v>S/GP (3) Net Sales</v>
      </c>
      <c r="R632" s="1269">
        <f>R633+R648</f>
        <v>15308</v>
      </c>
      <c r="S632" s="1269">
        <f t="shared" ref="S632:AJ632" si="957">S633+S648</f>
        <v>5995</v>
      </c>
      <c r="T632" s="1269">
        <f t="shared" si="957"/>
        <v>25668</v>
      </c>
      <c r="U632" s="1269">
        <f t="shared" si="957"/>
        <v>7458</v>
      </c>
      <c r="V632" s="1269">
        <f t="shared" si="957"/>
        <v>17448.148999999998</v>
      </c>
      <c r="W632" s="1269">
        <f t="shared" si="957"/>
        <v>19062</v>
      </c>
      <c r="X632" s="1269">
        <f t="shared" si="957"/>
        <v>7362</v>
      </c>
      <c r="Y632" s="1269">
        <f t="shared" si="957"/>
        <v>17023</v>
      </c>
      <c r="Z632" s="1269">
        <f t="shared" si="957"/>
        <v>7585</v>
      </c>
      <c r="AA632" s="1269">
        <f t="shared" si="957"/>
        <v>26150</v>
      </c>
      <c r="AB632" s="1269">
        <f t="shared" si="957"/>
        <v>8583.2560000000012</v>
      </c>
      <c r="AC632" s="1269">
        <f t="shared" si="957"/>
        <v>25747</v>
      </c>
      <c r="AD632" s="3265">
        <f t="shared" si="957"/>
        <v>46971</v>
      </c>
      <c r="AE632" s="1269">
        <f t="shared" si="957"/>
        <v>43968.149000000005</v>
      </c>
      <c r="AF632" s="1269">
        <f t="shared" si="957"/>
        <v>31970</v>
      </c>
      <c r="AG632" s="1269">
        <f t="shared" si="957"/>
        <v>60480.256000000001</v>
      </c>
      <c r="AH632" s="1269">
        <f t="shared" si="957"/>
        <v>90939.149000000005</v>
      </c>
      <c r="AI632" s="1269">
        <f t="shared" si="957"/>
        <v>92450.255999999994</v>
      </c>
      <c r="AJ632" s="1269">
        <f t="shared" si="957"/>
        <v>183389.405</v>
      </c>
      <c r="AL632" s="1269">
        <f ca="1">SUM((INDIRECT(AL$2&amp;(ROW())):INDIRECT(AL$3&amp;(ROW()))))</f>
        <v>25747</v>
      </c>
      <c r="AM632" s="1269">
        <f ca="1">SUM(INDIRECT(AM$1&amp;AM$2&amp;$C632):INDIRECT(AM$1&amp;AM$3&amp;$C632))</f>
        <v>0</v>
      </c>
      <c r="AN632" s="3266">
        <f t="shared" ref="AN632:AN695" ca="1" si="958">AL632-AM632</f>
        <v>25747</v>
      </c>
      <c r="AO632" s="2919">
        <f t="shared" ref="AO632:AO695" ca="1" si="959">IFERROR(AL632/AM632,0)</f>
        <v>0</v>
      </c>
      <c r="AP632" s="1269">
        <f ca="1">SUM(INDIRECT(AP$1&amp;AP$2&amp;$A632):INDIRECT(AP$1&amp;AP$3&amp;$A632))</f>
        <v>0</v>
      </c>
      <c r="AQ632" s="3266">
        <f t="shared" ref="AQ632:AQ695" ca="1" si="960">AL632-AP632</f>
        <v>25747</v>
      </c>
      <c r="AR632" s="2919">
        <f t="shared" ref="AR632:AR695" ca="1" si="961">IFERROR(AL632/AP632,0)</f>
        <v>0</v>
      </c>
      <c r="AT632" s="1269">
        <f ca="1">SUM((INDIRECT(AT$2&amp;(ROW())):INDIRECT(AT$3&amp;(ROW()))))</f>
        <v>60480.256000000001</v>
      </c>
      <c r="AU632" s="1269">
        <f ca="1">SUM(INDIRECT(AU$1&amp;AU$2&amp;$C632):INDIRECT(AU$1&amp;AU$3&amp;$C632))</f>
        <v>0</v>
      </c>
      <c r="AV632" s="3266">
        <f t="shared" ref="AV632:AV695" ca="1" si="962">AT632-AU632</f>
        <v>60480.256000000001</v>
      </c>
      <c r="AW632" s="2919">
        <f t="shared" ref="AW632:AW695" ca="1" si="963">IFERROR(AT632/AU632,0)</f>
        <v>0</v>
      </c>
      <c r="AX632" s="1269">
        <f ca="1">SUM(INDIRECT(AX$1&amp;AX$2&amp;$A632):INDIRECT(AX$1&amp;AX$3&amp;$A632))</f>
        <v>0</v>
      </c>
      <c r="AY632" s="3266">
        <f t="shared" ref="AY632:AY695" ca="1" si="964">AT632-AX632</f>
        <v>60480.256000000001</v>
      </c>
      <c r="AZ632" s="2919">
        <f t="shared" ref="AZ632:AZ695" ca="1" si="965">IFERROR(AT632/AX632,0)</f>
        <v>0</v>
      </c>
      <c r="BB632" s="1269">
        <f ca="1">SUM((INDIRECT(BB$2&amp;(ROW())):INDIRECT(BB$3&amp;(ROW()))))</f>
        <v>183389.405</v>
      </c>
      <c r="BC632" s="1269">
        <f ca="1">SUM(INDIRECT(BC$1&amp;BC$2&amp;$C632):INDIRECT(BC$1&amp;BC$3&amp;$C632))</f>
        <v>0</v>
      </c>
      <c r="BD632" s="3266">
        <f t="shared" ref="BD632:BD695" ca="1" si="966">BB632-BC632</f>
        <v>183389.405</v>
      </c>
      <c r="BE632" s="2919">
        <f t="shared" ref="BE632:BE695" ca="1" si="967">IFERROR(BB632/BC632,0)</f>
        <v>0</v>
      </c>
      <c r="BF632" s="1269">
        <f ca="1">SUM(INDIRECT(BF$1&amp;BF$2&amp;$A632):INDIRECT(BF$1&amp;BF$3&amp;$A632))</f>
        <v>0</v>
      </c>
      <c r="BG632" s="3266">
        <f t="shared" ref="BG632:BG695" ca="1" si="968">BB632-BF632</f>
        <v>183389.405</v>
      </c>
      <c r="BH632" s="2919">
        <f t="shared" ref="BH632:BH695" ca="1" si="969">IFERROR(BB632/BF632,0)</f>
        <v>0</v>
      </c>
    </row>
    <row r="633" spans="1:60" ht="14.5">
      <c r="A633" s="616">
        <f t="shared" si="914"/>
        <v>568</v>
      </c>
      <c r="B633" s="616">
        <v>1</v>
      </c>
      <c r="C633" s="616">
        <f t="shared" si="891"/>
        <v>630</v>
      </c>
      <c r="E633" s="2547">
        <v>1</v>
      </c>
      <c r="I633" s="352"/>
      <c r="J633" s="353"/>
      <c r="K633" s="68" t="s">
        <v>1381</v>
      </c>
      <c r="L633" s="68"/>
      <c r="M633" s="283"/>
      <c r="N633" s="283"/>
      <c r="O633" s="283"/>
      <c r="P633" s="283"/>
      <c r="Q633" s="1814" t="str">
        <f>CHOOSE(2, "6722000003552", "S/GP (3) Net Sales Direct")</f>
        <v>S/GP (3) Net Sales Direct</v>
      </c>
      <c r="R633" s="3254">
        <f>R634+R641</f>
        <v>15308</v>
      </c>
      <c r="S633" s="3254">
        <f t="shared" ref="S633:AJ633" si="970">S634+S641</f>
        <v>5995</v>
      </c>
      <c r="T633" s="3254">
        <f t="shared" si="970"/>
        <v>25668</v>
      </c>
      <c r="U633" s="3254">
        <f t="shared" si="970"/>
        <v>7458</v>
      </c>
      <c r="V633" s="3254">
        <f t="shared" si="970"/>
        <v>17448.148999999998</v>
      </c>
      <c r="W633" s="3254">
        <f t="shared" si="970"/>
        <v>19062</v>
      </c>
      <c r="X633" s="3254">
        <f t="shared" si="970"/>
        <v>7362</v>
      </c>
      <c r="Y633" s="3254">
        <f t="shared" si="970"/>
        <v>17023</v>
      </c>
      <c r="Z633" s="3254">
        <f t="shared" si="970"/>
        <v>7585</v>
      </c>
      <c r="AA633" s="3254">
        <f t="shared" si="970"/>
        <v>26150</v>
      </c>
      <c r="AB633" s="3254">
        <f t="shared" si="970"/>
        <v>8583.2560000000012</v>
      </c>
      <c r="AC633" s="3254">
        <f t="shared" si="970"/>
        <v>25747</v>
      </c>
      <c r="AD633" s="3255">
        <f t="shared" si="970"/>
        <v>46971</v>
      </c>
      <c r="AE633" s="3254">
        <f t="shared" si="970"/>
        <v>43968.149000000005</v>
      </c>
      <c r="AF633" s="3254">
        <f t="shared" si="970"/>
        <v>31970</v>
      </c>
      <c r="AG633" s="3254">
        <f t="shared" si="970"/>
        <v>60480.256000000001</v>
      </c>
      <c r="AH633" s="3254">
        <f t="shared" si="970"/>
        <v>90939.149000000005</v>
      </c>
      <c r="AI633" s="3254">
        <f t="shared" si="970"/>
        <v>92450.255999999994</v>
      </c>
      <c r="AJ633" s="3254">
        <f t="shared" si="970"/>
        <v>183389.405</v>
      </c>
      <c r="AL633" s="3254">
        <f ca="1">SUM((INDIRECT(AL$2&amp;(ROW())):INDIRECT(AL$3&amp;(ROW()))))</f>
        <v>25747</v>
      </c>
      <c r="AM633" s="3254">
        <f ca="1">SUM(INDIRECT(AM$1&amp;AM$2&amp;$C633):INDIRECT(AM$1&amp;AM$3&amp;$C633))</f>
        <v>0</v>
      </c>
      <c r="AN633" s="3256">
        <f t="shared" ca="1" si="958"/>
        <v>25747</v>
      </c>
      <c r="AO633" s="2909">
        <f t="shared" ca="1" si="959"/>
        <v>0</v>
      </c>
      <c r="AP633" s="3254">
        <f ca="1">SUM(INDIRECT(AP$1&amp;AP$2&amp;$A633):INDIRECT(AP$1&amp;AP$3&amp;$A633))</f>
        <v>88413</v>
      </c>
      <c r="AQ633" s="3256">
        <f t="shared" ca="1" si="960"/>
        <v>-62666</v>
      </c>
      <c r="AR633" s="2909">
        <f t="shared" ca="1" si="961"/>
        <v>0.29121283069231901</v>
      </c>
      <c r="AT633" s="3254">
        <f ca="1">SUM((INDIRECT(AT$2&amp;(ROW())):INDIRECT(AT$3&amp;(ROW()))))</f>
        <v>60480.256000000001</v>
      </c>
      <c r="AU633" s="3254">
        <f ca="1">SUM(INDIRECT(AU$1&amp;AU$2&amp;$C633):INDIRECT(AU$1&amp;AU$3&amp;$C633))</f>
        <v>0</v>
      </c>
      <c r="AV633" s="3256">
        <f t="shared" ca="1" si="962"/>
        <v>60480.256000000001</v>
      </c>
      <c r="AW633" s="2909">
        <f t="shared" ca="1" si="963"/>
        <v>0</v>
      </c>
      <c r="AX633" s="3254">
        <f ca="1">SUM(INDIRECT(AX$1&amp;AX$2&amp;$A633):INDIRECT(AX$1&amp;AX$3&amp;$A633))</f>
        <v>207702</v>
      </c>
      <c r="AY633" s="3256">
        <f t="shared" ca="1" si="964"/>
        <v>-147221.74400000001</v>
      </c>
      <c r="AZ633" s="2909">
        <f t="shared" ca="1" si="965"/>
        <v>0.29118764383588025</v>
      </c>
      <c r="BB633" s="3254">
        <f ca="1">SUM((INDIRECT(BB$2&amp;(ROW())):INDIRECT(BB$3&amp;(ROW()))))</f>
        <v>183389.405</v>
      </c>
      <c r="BC633" s="3254">
        <f ca="1">SUM(INDIRECT(BC$1&amp;BC$2&amp;$C633):INDIRECT(BC$1&amp;BC$3&amp;$C633))</f>
        <v>0</v>
      </c>
      <c r="BD633" s="3256">
        <f t="shared" ca="1" si="966"/>
        <v>183389.405</v>
      </c>
      <c r="BE633" s="2909">
        <f t="shared" ca="1" si="967"/>
        <v>0</v>
      </c>
      <c r="BF633" s="3254">
        <f ca="1">SUM(INDIRECT(BF$1&amp;BF$2&amp;$A633):INDIRECT(BF$1&amp;BF$3&amp;$A633))</f>
        <v>678545.20799999998</v>
      </c>
      <c r="BG633" s="3256">
        <f t="shared" ca="1" si="968"/>
        <v>-495155.80299999996</v>
      </c>
      <c r="BH633" s="2909">
        <f t="shared" ca="1" si="969"/>
        <v>0.27026851392928858</v>
      </c>
    </row>
    <row r="634" spans="1:60" ht="14.5">
      <c r="A634" s="616">
        <f t="shared" si="914"/>
        <v>569</v>
      </c>
      <c r="B634" s="616">
        <v>1</v>
      </c>
      <c r="C634" s="616">
        <f t="shared" si="891"/>
        <v>631</v>
      </c>
      <c r="E634" s="2547">
        <v>1</v>
      </c>
      <c r="I634" s="352"/>
      <c r="J634" s="353"/>
      <c r="K634" s="68"/>
      <c r="L634" s="68"/>
      <c r="M634" s="69" t="s">
        <v>1488</v>
      </c>
      <c r="N634" s="302"/>
      <c r="O634" s="302"/>
      <c r="P634" s="302"/>
      <c r="Q634" s="1777" t="str">
        <f>CHOOSE(2, "6722000003553", "S/GP (3) Net Sales Direct HW &amp; Solution")</f>
        <v>S/GP (3) Net Sales Direct HW &amp; Solution</v>
      </c>
      <c r="R634" s="287">
        <f>SUM(R635:R640)</f>
        <v>9502</v>
      </c>
      <c r="S634" s="287">
        <f t="shared" ref="S634:AJ634" si="971">SUM(S635:S640)</f>
        <v>252</v>
      </c>
      <c r="T634" s="287">
        <f t="shared" si="971"/>
        <v>19252</v>
      </c>
      <c r="U634" s="287">
        <f t="shared" si="971"/>
        <v>252</v>
      </c>
      <c r="V634" s="287">
        <f t="shared" si="971"/>
        <v>9600</v>
      </c>
      <c r="W634" s="287">
        <f t="shared" si="971"/>
        <v>10756</v>
      </c>
      <c r="X634" s="287">
        <f t="shared" si="971"/>
        <v>378</v>
      </c>
      <c r="Y634" s="287">
        <f t="shared" si="971"/>
        <v>9900</v>
      </c>
      <c r="Z634" s="287">
        <f t="shared" si="971"/>
        <v>0</v>
      </c>
      <c r="AA634" s="287">
        <f t="shared" si="971"/>
        <v>18852</v>
      </c>
      <c r="AB634" s="287">
        <f t="shared" si="971"/>
        <v>0</v>
      </c>
      <c r="AC634" s="287">
        <f t="shared" si="971"/>
        <v>17085</v>
      </c>
      <c r="AD634" s="315">
        <f t="shared" si="971"/>
        <v>29006</v>
      </c>
      <c r="AE634" s="287">
        <f t="shared" si="971"/>
        <v>20608</v>
      </c>
      <c r="AF634" s="287">
        <f t="shared" si="971"/>
        <v>10278</v>
      </c>
      <c r="AG634" s="287">
        <f t="shared" si="971"/>
        <v>35937</v>
      </c>
      <c r="AH634" s="287">
        <f t="shared" si="971"/>
        <v>49614</v>
      </c>
      <c r="AI634" s="287">
        <f t="shared" si="971"/>
        <v>46215</v>
      </c>
      <c r="AJ634" s="287">
        <f t="shared" si="971"/>
        <v>95829</v>
      </c>
      <c r="AL634" s="287">
        <f ca="1">SUM((INDIRECT(AL$2&amp;(ROW())):INDIRECT(AL$3&amp;(ROW()))))</f>
        <v>17085</v>
      </c>
      <c r="AM634" s="287">
        <f ca="1">SUM(INDIRECT(AM$1&amp;AM$2&amp;$C634):INDIRECT(AM$1&amp;AM$3&amp;$C634))</f>
        <v>0</v>
      </c>
      <c r="AN634" s="3226">
        <f t="shared" ca="1" si="958"/>
        <v>17085</v>
      </c>
      <c r="AO634" s="2876">
        <f t="shared" ca="1" si="959"/>
        <v>0</v>
      </c>
      <c r="AP634" s="287">
        <f ca="1">SUM(INDIRECT(AP$1&amp;AP$2&amp;$A634):INDIRECT(AP$1&amp;AP$3&amp;$A634))</f>
        <v>14712</v>
      </c>
      <c r="AQ634" s="3226">
        <f t="shared" ca="1" si="960"/>
        <v>2373</v>
      </c>
      <c r="AR634" s="2876">
        <f t="shared" ca="1" si="961"/>
        <v>1.1612969004893965</v>
      </c>
      <c r="AT634" s="287">
        <f ca="1">SUM((INDIRECT(AT$2&amp;(ROW())):INDIRECT(AT$3&amp;(ROW()))))</f>
        <v>35937</v>
      </c>
      <c r="AU634" s="287">
        <f ca="1">SUM(INDIRECT(AU$1&amp;AU$2&amp;$C634):INDIRECT(AU$1&amp;AU$3&amp;$C634))</f>
        <v>0</v>
      </c>
      <c r="AV634" s="3226">
        <f t="shared" ca="1" si="962"/>
        <v>35937</v>
      </c>
      <c r="AW634" s="2876">
        <f t="shared" ca="1" si="963"/>
        <v>0</v>
      </c>
      <c r="AX634" s="287">
        <f ca="1">SUM(INDIRECT(AX$1&amp;AX$2&amp;$A634):INDIRECT(AX$1&amp;AX$3&amp;$A634))</f>
        <v>39482</v>
      </c>
      <c r="AY634" s="3226">
        <f t="shared" ca="1" si="964"/>
        <v>-3545</v>
      </c>
      <c r="AZ634" s="2876">
        <f t="shared" ca="1" si="965"/>
        <v>0.91021224861962413</v>
      </c>
      <c r="BB634" s="287">
        <f ca="1">SUM((INDIRECT(BB$2&amp;(ROW())):INDIRECT(BB$3&amp;(ROW()))))</f>
        <v>95829</v>
      </c>
      <c r="BC634" s="287">
        <f ca="1">SUM(INDIRECT(BC$1&amp;BC$2&amp;$C634):INDIRECT(BC$1&amp;BC$3&amp;$C634))</f>
        <v>0</v>
      </c>
      <c r="BD634" s="3226">
        <f t="shared" ca="1" si="966"/>
        <v>95829</v>
      </c>
      <c r="BE634" s="2876">
        <f t="shared" ca="1" si="967"/>
        <v>0</v>
      </c>
      <c r="BF634" s="287">
        <f ca="1">SUM(INDIRECT(BF$1&amp;BF$2&amp;$A634):INDIRECT(BF$1&amp;BF$3&amp;$A634))</f>
        <v>168012.361</v>
      </c>
      <c r="BG634" s="3226">
        <f t="shared" ca="1" si="968"/>
        <v>-72183.361000000004</v>
      </c>
      <c r="BH634" s="2876">
        <f t="shared" ca="1" si="969"/>
        <v>0.57036874804705584</v>
      </c>
    </row>
    <row r="635" spans="1:60" ht="14.5">
      <c r="A635" s="616">
        <f t="shared" si="914"/>
        <v>570</v>
      </c>
      <c r="B635" s="616">
        <v>1</v>
      </c>
      <c r="C635" s="616">
        <f t="shared" si="891"/>
        <v>632</v>
      </c>
      <c r="E635" s="2547">
        <v>1</v>
      </c>
      <c r="I635" s="352"/>
      <c r="J635" s="353"/>
      <c r="K635" s="68"/>
      <c r="L635" s="68"/>
      <c r="M635" s="69"/>
      <c r="N635" s="740" t="s">
        <v>1489</v>
      </c>
      <c r="O635" s="296"/>
      <c r="P635" s="296"/>
      <c r="Q635" s="1779" t="str">
        <f>CHOOSE(2, "6722000003554", "S/GP (3) Net Sales Direct HW &amp; Solution KM-1/KM-1e")</f>
        <v>S/GP (3) Net Sales Direct HW &amp; Solution KM-1/KM-1e</v>
      </c>
      <c r="R635" s="1227">
        <v>0</v>
      </c>
      <c r="S635" s="1227">
        <v>0</v>
      </c>
      <c r="T635" s="1227">
        <v>0</v>
      </c>
      <c r="U635" s="1227">
        <v>0</v>
      </c>
      <c r="V635" s="1227">
        <v>0</v>
      </c>
      <c r="W635" s="1227">
        <v>0</v>
      </c>
      <c r="X635" s="1227">
        <v>0</v>
      </c>
      <c r="Y635" s="1227">
        <v>0</v>
      </c>
      <c r="Z635" s="1227">
        <v>0</v>
      </c>
      <c r="AA635" s="1227">
        <v>0</v>
      </c>
      <c r="AB635" s="1227">
        <v>0</v>
      </c>
      <c r="AC635" s="1227">
        <v>-1515</v>
      </c>
      <c r="AD635" s="295">
        <f t="shared" ref="AD635:AD640" si="972">SUM(R635,S635,T635)</f>
        <v>0</v>
      </c>
      <c r="AE635" s="96">
        <f t="shared" ref="AE635:AE640" si="973">SUM(U635,V635,W635)</f>
        <v>0</v>
      </c>
      <c r="AF635" s="96">
        <f t="shared" ref="AF635:AF640" si="974">SUM(X635,Y635,Z635)</f>
        <v>0</v>
      </c>
      <c r="AG635" s="96">
        <f t="shared" ref="AG635:AG640" si="975">SUM(AA635,AB635,AC635)</f>
        <v>-1515</v>
      </c>
      <c r="AH635" s="96">
        <f t="shared" ref="AH635:AH640" si="976">AD635+AE635</f>
        <v>0</v>
      </c>
      <c r="AI635" s="96">
        <f t="shared" ref="AI635:AI640" si="977">AG635+AF635</f>
        <v>-1515</v>
      </c>
      <c r="AJ635" s="96">
        <f t="shared" ref="AJ635:AJ640" si="978">AH635+AI635</f>
        <v>-1515</v>
      </c>
      <c r="AL635" s="96">
        <f ca="1">SUM((INDIRECT(AL$2&amp;(ROW())):INDIRECT(AL$3&amp;(ROW()))))</f>
        <v>-1515</v>
      </c>
      <c r="AM635" s="96">
        <f ca="1">SUM(INDIRECT(AM$1&amp;AM$2&amp;$C635):INDIRECT(AM$1&amp;AM$3&amp;$C635))</f>
        <v>0</v>
      </c>
      <c r="AN635" s="3227">
        <f t="shared" ca="1" si="958"/>
        <v>-1515</v>
      </c>
      <c r="AO635" s="2878">
        <f t="shared" ca="1" si="959"/>
        <v>0</v>
      </c>
      <c r="AP635" s="96">
        <f ca="1">SUM(INDIRECT(AP$1&amp;AP$2&amp;$A635):INDIRECT(AP$1&amp;AP$3&amp;$A635))</f>
        <v>14712</v>
      </c>
      <c r="AQ635" s="3227">
        <f t="shared" ca="1" si="960"/>
        <v>-16227</v>
      </c>
      <c r="AR635" s="2878">
        <f t="shared" ca="1" si="961"/>
        <v>-0.10297716150081566</v>
      </c>
      <c r="AT635" s="96">
        <f ca="1">SUM((INDIRECT(AT$2&amp;(ROW())):INDIRECT(AT$3&amp;(ROW()))))</f>
        <v>-1515</v>
      </c>
      <c r="AU635" s="96">
        <f ca="1">SUM(INDIRECT(AU$1&amp;AU$2&amp;$C635):INDIRECT(AU$1&amp;AU$3&amp;$C635))</f>
        <v>0</v>
      </c>
      <c r="AV635" s="3227">
        <f t="shared" ca="1" si="962"/>
        <v>-1515</v>
      </c>
      <c r="AW635" s="2878">
        <f t="shared" ca="1" si="963"/>
        <v>0</v>
      </c>
      <c r="AX635" s="96">
        <f ca="1">SUM(INDIRECT(AX$1&amp;AX$2&amp;$A635):INDIRECT(AX$1&amp;AX$3&amp;$A635))</f>
        <v>39482</v>
      </c>
      <c r="AY635" s="3227">
        <f t="shared" ca="1" si="964"/>
        <v>-40997</v>
      </c>
      <c r="AZ635" s="2878">
        <f t="shared" ca="1" si="965"/>
        <v>-3.8371916316296037E-2</v>
      </c>
      <c r="BB635" s="96">
        <f ca="1">SUM((INDIRECT(BB$2&amp;(ROW())):INDIRECT(BB$3&amp;(ROW()))))</f>
        <v>-1515</v>
      </c>
      <c r="BC635" s="96">
        <f ca="1">SUM(INDIRECT(BC$1&amp;BC$2&amp;$C635):INDIRECT(BC$1&amp;BC$3&amp;$C635))</f>
        <v>0</v>
      </c>
      <c r="BD635" s="3227">
        <f t="shared" ca="1" si="966"/>
        <v>-1515</v>
      </c>
      <c r="BE635" s="2878">
        <f t="shared" ca="1" si="967"/>
        <v>0</v>
      </c>
      <c r="BF635" s="96">
        <f ca="1">SUM(INDIRECT(BF$1&amp;BF$2&amp;$A635):INDIRECT(BF$1&amp;BF$3&amp;$A635))</f>
        <v>168012.361</v>
      </c>
      <c r="BG635" s="3227">
        <f t="shared" ca="1" si="968"/>
        <v>-169527.361</v>
      </c>
      <c r="BH635" s="2878">
        <f t="shared" ca="1" si="969"/>
        <v>-9.0171936813625269E-3</v>
      </c>
    </row>
    <row r="636" spans="1:60" ht="14.5">
      <c r="A636" s="616">
        <f t="shared" si="914"/>
        <v>571</v>
      </c>
      <c r="B636" s="616">
        <v>1</v>
      </c>
      <c r="C636" s="616">
        <f t="shared" si="891"/>
        <v>633</v>
      </c>
      <c r="E636" s="2547">
        <v>1</v>
      </c>
      <c r="I636" s="352"/>
      <c r="J636" s="353"/>
      <c r="K636" s="68"/>
      <c r="L636" s="68"/>
      <c r="M636" s="69"/>
      <c r="N636" s="69" t="s">
        <v>1401</v>
      </c>
      <c r="O636" s="69"/>
      <c r="P636" s="69"/>
      <c r="Q636" s="1779" t="str">
        <f>CHOOSE(2, "6722000003555", "S/GP (3) Net Sales Direct HW &amp; Solution Label Printer")</f>
        <v>S/GP (3) Net Sales Direct HW &amp; Solution Label Printer</v>
      </c>
      <c r="R636" s="1217">
        <v>0</v>
      </c>
      <c r="S636" s="1217">
        <v>0</v>
      </c>
      <c r="T636" s="1217">
        <v>9500</v>
      </c>
      <c r="U636" s="1217">
        <v>0</v>
      </c>
      <c r="V636" s="1217">
        <v>0</v>
      </c>
      <c r="W636" s="1217">
        <v>0</v>
      </c>
      <c r="X636" s="1217">
        <v>0</v>
      </c>
      <c r="Y636" s="1217">
        <v>0</v>
      </c>
      <c r="Z636" s="1217">
        <v>0</v>
      </c>
      <c r="AA636" s="1217">
        <v>9100</v>
      </c>
      <c r="AB636" s="1217">
        <v>0</v>
      </c>
      <c r="AC636" s="1217">
        <v>9000</v>
      </c>
      <c r="AD636" s="88">
        <f t="shared" si="972"/>
        <v>9500</v>
      </c>
      <c r="AE636" s="17">
        <f t="shared" si="973"/>
        <v>0</v>
      </c>
      <c r="AF636" s="17">
        <f t="shared" si="974"/>
        <v>0</v>
      </c>
      <c r="AG636" s="17">
        <f t="shared" si="975"/>
        <v>18100</v>
      </c>
      <c r="AH636" s="17">
        <f t="shared" si="976"/>
        <v>9500</v>
      </c>
      <c r="AI636" s="17">
        <f t="shared" si="977"/>
        <v>18100</v>
      </c>
      <c r="AJ636" s="17">
        <f t="shared" si="978"/>
        <v>27600</v>
      </c>
      <c r="AL636" s="17">
        <f ca="1">SUM((INDIRECT(AL$2&amp;(ROW())):INDIRECT(AL$3&amp;(ROW()))))</f>
        <v>9000</v>
      </c>
      <c r="AM636" s="17">
        <f ca="1">SUM(INDIRECT(AM$1&amp;AM$2&amp;$C636):INDIRECT(AM$1&amp;AM$3&amp;$C636))</f>
        <v>0</v>
      </c>
      <c r="AN636" s="3072">
        <f t="shared" ca="1" si="958"/>
        <v>9000</v>
      </c>
      <c r="AO636" s="2708">
        <f t="shared" ca="1" si="959"/>
        <v>0</v>
      </c>
      <c r="AP636" s="17">
        <f ca="1">SUM(INDIRECT(AP$1&amp;AP$2&amp;$A636):INDIRECT(AP$1&amp;AP$3&amp;$A636))</f>
        <v>0</v>
      </c>
      <c r="AQ636" s="3072">
        <f t="shared" ca="1" si="960"/>
        <v>9000</v>
      </c>
      <c r="AR636" s="2708">
        <f t="shared" ca="1" si="961"/>
        <v>0</v>
      </c>
      <c r="AT636" s="17">
        <f ca="1">SUM((INDIRECT(AT$2&amp;(ROW())):INDIRECT(AT$3&amp;(ROW()))))</f>
        <v>18100</v>
      </c>
      <c r="AU636" s="17">
        <f ca="1">SUM(INDIRECT(AU$1&amp;AU$2&amp;$C636):INDIRECT(AU$1&amp;AU$3&amp;$C636))</f>
        <v>0</v>
      </c>
      <c r="AV636" s="3072">
        <f t="shared" ca="1" si="962"/>
        <v>18100</v>
      </c>
      <c r="AW636" s="2708">
        <f t="shared" ca="1" si="963"/>
        <v>0</v>
      </c>
      <c r="AX636" s="17">
        <f ca="1">SUM(INDIRECT(AX$1&amp;AX$2&amp;$A636):INDIRECT(AX$1&amp;AX$3&amp;$A636))</f>
        <v>0</v>
      </c>
      <c r="AY636" s="3072">
        <f t="shared" ca="1" si="964"/>
        <v>18100</v>
      </c>
      <c r="AZ636" s="2708">
        <f t="shared" ca="1" si="965"/>
        <v>0</v>
      </c>
      <c r="BB636" s="17">
        <f ca="1">SUM((INDIRECT(BB$2&amp;(ROW())):INDIRECT(BB$3&amp;(ROW()))))</f>
        <v>27600</v>
      </c>
      <c r="BC636" s="17">
        <f ca="1">SUM(INDIRECT(BC$1&amp;BC$2&amp;$C636):INDIRECT(BC$1&amp;BC$3&amp;$C636))</f>
        <v>0</v>
      </c>
      <c r="BD636" s="3072">
        <f t="shared" ca="1" si="966"/>
        <v>27600</v>
      </c>
      <c r="BE636" s="2708">
        <f t="shared" ca="1" si="967"/>
        <v>0</v>
      </c>
      <c r="BF636" s="17">
        <f ca="1">SUM(INDIRECT(BF$1&amp;BF$2&amp;$A636):INDIRECT(BF$1&amp;BF$3&amp;$A636))</f>
        <v>0</v>
      </c>
      <c r="BG636" s="3072">
        <f t="shared" ca="1" si="968"/>
        <v>27600</v>
      </c>
      <c r="BH636" s="2708">
        <f t="shared" ca="1" si="969"/>
        <v>0</v>
      </c>
    </row>
    <row r="637" spans="1:60" ht="14.5">
      <c r="A637" s="616">
        <f t="shared" si="914"/>
        <v>572</v>
      </c>
      <c r="B637" s="616">
        <v>1</v>
      </c>
      <c r="C637" s="616">
        <f t="shared" si="891"/>
        <v>634</v>
      </c>
      <c r="E637" s="2547">
        <v>1</v>
      </c>
      <c r="I637" s="352"/>
      <c r="J637" s="353"/>
      <c r="K637" s="68"/>
      <c r="L637" s="68"/>
      <c r="M637" s="69"/>
      <c r="N637" s="69" t="s">
        <v>1402</v>
      </c>
      <c r="O637" s="69"/>
      <c r="P637" s="69"/>
      <c r="Q637" s="1779" t="str">
        <f>CHOOSE(2, "6722000003556", "S/GP (3) Net Sales Direct HW &amp; Solution MGI")</f>
        <v>S/GP (3) Net Sales Direct HW &amp; Solution MGI</v>
      </c>
      <c r="R637" s="1217">
        <v>9502</v>
      </c>
      <c r="S637" s="1217">
        <v>252</v>
      </c>
      <c r="T637" s="1217">
        <v>9752</v>
      </c>
      <c r="U637" s="1217">
        <v>252</v>
      </c>
      <c r="V637" s="1217">
        <v>9600</v>
      </c>
      <c r="W637" s="1217">
        <v>10756</v>
      </c>
      <c r="X637" s="1217">
        <v>378</v>
      </c>
      <c r="Y637" s="1217">
        <v>9900</v>
      </c>
      <c r="Z637" s="1217">
        <v>0</v>
      </c>
      <c r="AA637" s="1217">
        <v>9752</v>
      </c>
      <c r="AB637" s="1217">
        <v>0</v>
      </c>
      <c r="AC637" s="1217">
        <v>9600</v>
      </c>
      <c r="AD637" s="88">
        <f t="shared" si="972"/>
        <v>19506</v>
      </c>
      <c r="AE637" s="17">
        <f t="shared" si="973"/>
        <v>20608</v>
      </c>
      <c r="AF637" s="17">
        <f t="shared" si="974"/>
        <v>10278</v>
      </c>
      <c r="AG637" s="17">
        <f t="shared" si="975"/>
        <v>19352</v>
      </c>
      <c r="AH637" s="17">
        <f t="shared" si="976"/>
        <v>40114</v>
      </c>
      <c r="AI637" s="17">
        <f t="shared" si="977"/>
        <v>29630</v>
      </c>
      <c r="AJ637" s="17">
        <f t="shared" si="978"/>
        <v>69744</v>
      </c>
      <c r="AL637" s="17">
        <f ca="1">SUM((INDIRECT(AL$2&amp;(ROW())):INDIRECT(AL$3&amp;(ROW()))))</f>
        <v>9600</v>
      </c>
      <c r="AM637" s="17">
        <f ca="1">SUM(INDIRECT(AM$1&amp;AM$2&amp;$C637):INDIRECT(AM$1&amp;AM$3&amp;$C637))</f>
        <v>0</v>
      </c>
      <c r="AN637" s="3072">
        <f t="shared" ca="1" si="958"/>
        <v>9600</v>
      </c>
      <c r="AO637" s="2708">
        <f t="shared" ca="1" si="959"/>
        <v>0</v>
      </c>
      <c r="AP637" s="17">
        <f ca="1">SUM(INDIRECT(AP$1&amp;AP$2&amp;$A637):INDIRECT(AP$1&amp;AP$3&amp;$A637))</f>
        <v>73701</v>
      </c>
      <c r="AQ637" s="3072">
        <f t="shared" ca="1" si="960"/>
        <v>-64101</v>
      </c>
      <c r="AR637" s="2708">
        <f t="shared" ca="1" si="961"/>
        <v>0.13025603451784915</v>
      </c>
      <c r="AT637" s="17">
        <f ca="1">SUM((INDIRECT(AT$2&amp;(ROW())):INDIRECT(AT$3&amp;(ROW()))))</f>
        <v>19352</v>
      </c>
      <c r="AU637" s="17">
        <f ca="1">SUM(INDIRECT(AU$1&amp;AU$2&amp;$C637):INDIRECT(AU$1&amp;AU$3&amp;$C637))</f>
        <v>0</v>
      </c>
      <c r="AV637" s="3072">
        <f t="shared" ca="1" si="962"/>
        <v>19352</v>
      </c>
      <c r="AW637" s="2708">
        <f t="shared" ca="1" si="963"/>
        <v>0</v>
      </c>
      <c r="AX637" s="17">
        <f ca="1">SUM(INDIRECT(AX$1&amp;AX$2&amp;$A637):INDIRECT(AX$1&amp;AX$3&amp;$A637))</f>
        <v>168220</v>
      </c>
      <c r="AY637" s="3072">
        <f t="shared" ca="1" si="964"/>
        <v>-148868</v>
      </c>
      <c r="AZ637" s="2708">
        <f t="shared" ca="1" si="965"/>
        <v>0.11503982879562477</v>
      </c>
      <c r="BB637" s="17">
        <f ca="1">SUM((INDIRECT(BB$2&amp;(ROW())):INDIRECT(BB$3&amp;(ROW()))))</f>
        <v>69744</v>
      </c>
      <c r="BC637" s="17">
        <f ca="1">SUM(INDIRECT(BC$1&amp;BC$2&amp;$C637):INDIRECT(BC$1&amp;BC$3&amp;$C637))</f>
        <v>0</v>
      </c>
      <c r="BD637" s="3072">
        <f t="shared" ca="1" si="966"/>
        <v>69744</v>
      </c>
      <c r="BE637" s="2708">
        <f t="shared" ca="1" si="967"/>
        <v>0</v>
      </c>
      <c r="BF637" s="17">
        <f ca="1">SUM(INDIRECT(BF$1&amp;BF$2&amp;$A637):INDIRECT(BF$1&amp;BF$3&amp;$A637))</f>
        <v>510532.84700000001</v>
      </c>
      <c r="BG637" s="3072">
        <f t="shared" ca="1" si="968"/>
        <v>-440788.84700000001</v>
      </c>
      <c r="BH637" s="2708">
        <f t="shared" ca="1" si="969"/>
        <v>0.13661021109578086</v>
      </c>
    </row>
    <row r="638" spans="1:60" ht="14.5">
      <c r="A638" s="616">
        <f t="shared" si="914"/>
        <v>573</v>
      </c>
      <c r="B638" s="616">
        <v>1</v>
      </c>
      <c r="C638" s="616">
        <f t="shared" si="891"/>
        <v>635</v>
      </c>
      <c r="E638" s="2547">
        <v>1</v>
      </c>
      <c r="I638" s="352"/>
      <c r="J638" s="353"/>
      <c r="K638" s="68"/>
      <c r="L638" s="68"/>
      <c r="M638" s="69"/>
      <c r="N638" s="69" t="s">
        <v>1403</v>
      </c>
      <c r="O638" s="69"/>
      <c r="P638" s="69"/>
      <c r="Q638" s="1779" t="str">
        <f>CHOOSE(2, "6722000003557", "S/GP (3) Net Sales Direct HW &amp; Solution EFI/LF")</f>
        <v>S/GP (3) Net Sales Direct HW &amp; Solution EFI/LF</v>
      </c>
      <c r="R638" s="1217">
        <v>0</v>
      </c>
      <c r="S638" s="1217">
        <v>0</v>
      </c>
      <c r="T638" s="1217">
        <v>0</v>
      </c>
      <c r="U638" s="1217">
        <v>0</v>
      </c>
      <c r="V638" s="1217">
        <v>0</v>
      </c>
      <c r="W638" s="1217">
        <v>0</v>
      </c>
      <c r="X638" s="1217">
        <v>0</v>
      </c>
      <c r="Y638" s="1217">
        <v>0</v>
      </c>
      <c r="Z638" s="1217">
        <v>0</v>
      </c>
      <c r="AA638" s="1217">
        <v>0</v>
      </c>
      <c r="AB638" s="1217">
        <v>0</v>
      </c>
      <c r="AC638" s="1217">
        <v>0</v>
      </c>
      <c r="AD638" s="88">
        <f t="shared" si="972"/>
        <v>0</v>
      </c>
      <c r="AE638" s="17">
        <f t="shared" si="973"/>
        <v>0</v>
      </c>
      <c r="AF638" s="17">
        <f t="shared" si="974"/>
        <v>0</v>
      </c>
      <c r="AG638" s="17">
        <f t="shared" si="975"/>
        <v>0</v>
      </c>
      <c r="AH638" s="17">
        <f t="shared" si="976"/>
        <v>0</v>
      </c>
      <c r="AI638" s="17">
        <f t="shared" si="977"/>
        <v>0</v>
      </c>
      <c r="AJ638" s="17">
        <f t="shared" si="978"/>
        <v>0</v>
      </c>
      <c r="AL638" s="17">
        <f ca="1">SUM((INDIRECT(AL$2&amp;(ROW())):INDIRECT(AL$3&amp;(ROW()))))</f>
        <v>0</v>
      </c>
      <c r="AM638" s="17">
        <f ca="1">SUM(INDIRECT(AM$1&amp;AM$2&amp;$C638):INDIRECT(AM$1&amp;AM$3&amp;$C638))</f>
        <v>0</v>
      </c>
      <c r="AN638" s="3072">
        <f t="shared" ca="1" si="958"/>
        <v>0</v>
      </c>
      <c r="AO638" s="2708">
        <f t="shared" ca="1" si="959"/>
        <v>0</v>
      </c>
      <c r="AP638" s="17">
        <f ca="1">SUM(INDIRECT(AP$1&amp;AP$2&amp;$A638):INDIRECT(AP$1&amp;AP$3&amp;$A638))</f>
        <v>73701</v>
      </c>
      <c r="AQ638" s="3072">
        <f t="shared" ca="1" si="960"/>
        <v>-73701</v>
      </c>
      <c r="AR638" s="2708">
        <f t="shared" ca="1" si="961"/>
        <v>0</v>
      </c>
      <c r="AT638" s="17">
        <f ca="1">SUM((INDIRECT(AT$2&amp;(ROW())):INDIRECT(AT$3&amp;(ROW()))))</f>
        <v>0</v>
      </c>
      <c r="AU638" s="17">
        <f ca="1">SUM(INDIRECT(AU$1&amp;AU$2&amp;$C638):INDIRECT(AU$1&amp;AU$3&amp;$C638))</f>
        <v>0</v>
      </c>
      <c r="AV638" s="3072">
        <f t="shared" ca="1" si="962"/>
        <v>0</v>
      </c>
      <c r="AW638" s="2708">
        <f t="shared" ca="1" si="963"/>
        <v>0</v>
      </c>
      <c r="AX638" s="17">
        <f ca="1">SUM(INDIRECT(AX$1&amp;AX$2&amp;$A638):INDIRECT(AX$1&amp;AX$3&amp;$A638))</f>
        <v>168220</v>
      </c>
      <c r="AY638" s="3072">
        <f t="shared" ca="1" si="964"/>
        <v>-168220</v>
      </c>
      <c r="AZ638" s="2708">
        <f t="shared" ca="1" si="965"/>
        <v>0</v>
      </c>
      <c r="BB638" s="17">
        <f ca="1">SUM((INDIRECT(BB$2&amp;(ROW())):INDIRECT(BB$3&amp;(ROW()))))</f>
        <v>0</v>
      </c>
      <c r="BC638" s="17">
        <f ca="1">SUM(INDIRECT(BC$1&amp;BC$2&amp;$C638):INDIRECT(BC$1&amp;BC$3&amp;$C638))</f>
        <v>0</v>
      </c>
      <c r="BD638" s="3072">
        <f t="shared" ca="1" si="966"/>
        <v>0</v>
      </c>
      <c r="BE638" s="2708">
        <f t="shared" ca="1" si="967"/>
        <v>0</v>
      </c>
      <c r="BF638" s="17">
        <f ca="1">SUM(INDIRECT(BF$1&amp;BF$2&amp;$A638):INDIRECT(BF$1&amp;BF$3&amp;$A638))</f>
        <v>510532.84700000001</v>
      </c>
      <c r="BG638" s="3072">
        <f t="shared" ca="1" si="968"/>
        <v>-510532.84700000001</v>
      </c>
      <c r="BH638" s="2708">
        <f t="shared" ca="1" si="969"/>
        <v>0</v>
      </c>
    </row>
    <row r="639" spans="1:60" ht="14.5">
      <c r="A639" s="616">
        <f t="shared" si="914"/>
        <v>574</v>
      </c>
      <c r="B639" s="616">
        <v>1</v>
      </c>
      <c r="C639" s="616">
        <f t="shared" si="891"/>
        <v>636</v>
      </c>
      <c r="E639" s="2547">
        <v>1</v>
      </c>
      <c r="I639" s="352"/>
      <c r="J639" s="353"/>
      <c r="K639" s="68"/>
      <c r="L639" s="68"/>
      <c r="M639" s="69"/>
      <c r="N639" s="69" t="s">
        <v>1404</v>
      </c>
      <c r="O639" s="69"/>
      <c r="P639" s="69"/>
      <c r="Q639" s="1779" t="str">
        <f>CHOOSE(2, "6722000003558", "S/GP (3) Net Sales Direct HW &amp; Solution Textile Printer")</f>
        <v>S/GP (3) Net Sales Direct HW &amp; Solution Textile Printer</v>
      </c>
      <c r="R639" s="1217">
        <v>0</v>
      </c>
      <c r="S639" s="1217">
        <v>0</v>
      </c>
      <c r="T639" s="1217">
        <v>0</v>
      </c>
      <c r="U639" s="1217">
        <v>0</v>
      </c>
      <c r="V639" s="1217">
        <v>0</v>
      </c>
      <c r="W639" s="1217">
        <v>0</v>
      </c>
      <c r="X639" s="1217">
        <v>0</v>
      </c>
      <c r="Y639" s="1217">
        <v>0</v>
      </c>
      <c r="Z639" s="1217">
        <v>0</v>
      </c>
      <c r="AA639" s="1217">
        <v>0</v>
      </c>
      <c r="AB639" s="1217">
        <v>0</v>
      </c>
      <c r="AC639" s="1217">
        <v>0</v>
      </c>
      <c r="AD639" s="88">
        <f t="shared" si="972"/>
        <v>0</v>
      </c>
      <c r="AE639" s="17">
        <f t="shared" si="973"/>
        <v>0</v>
      </c>
      <c r="AF639" s="17">
        <f t="shared" si="974"/>
        <v>0</v>
      </c>
      <c r="AG639" s="17">
        <f t="shared" si="975"/>
        <v>0</v>
      </c>
      <c r="AH639" s="17">
        <f t="shared" si="976"/>
        <v>0</v>
      </c>
      <c r="AI639" s="17">
        <f t="shared" si="977"/>
        <v>0</v>
      </c>
      <c r="AJ639" s="17">
        <f t="shared" si="978"/>
        <v>0</v>
      </c>
      <c r="AL639" s="17">
        <f ca="1">SUM((INDIRECT(AL$2&amp;(ROW())):INDIRECT(AL$3&amp;(ROW()))))</f>
        <v>0</v>
      </c>
      <c r="AM639" s="17">
        <f ca="1">SUM(INDIRECT(AM$1&amp;AM$2&amp;$C639):INDIRECT(AM$1&amp;AM$3&amp;$C639))</f>
        <v>0</v>
      </c>
      <c r="AN639" s="3072">
        <f t="shared" ca="1" si="958"/>
        <v>0</v>
      </c>
      <c r="AO639" s="2708">
        <f t="shared" ca="1" si="959"/>
        <v>0</v>
      </c>
      <c r="AP639" s="17">
        <f ca="1">SUM(INDIRECT(AP$1&amp;AP$2&amp;$A639):INDIRECT(AP$1&amp;AP$3&amp;$A639))</f>
        <v>73701</v>
      </c>
      <c r="AQ639" s="3072">
        <f t="shared" ca="1" si="960"/>
        <v>-73701</v>
      </c>
      <c r="AR639" s="2708">
        <f t="shared" ca="1" si="961"/>
        <v>0</v>
      </c>
      <c r="AT639" s="17">
        <f ca="1">SUM((INDIRECT(AT$2&amp;(ROW())):INDIRECT(AT$3&amp;(ROW()))))</f>
        <v>0</v>
      </c>
      <c r="AU639" s="17">
        <f ca="1">SUM(INDIRECT(AU$1&amp;AU$2&amp;$C639):INDIRECT(AU$1&amp;AU$3&amp;$C639))</f>
        <v>0</v>
      </c>
      <c r="AV639" s="3072">
        <f t="shared" ca="1" si="962"/>
        <v>0</v>
      </c>
      <c r="AW639" s="2708">
        <f t="shared" ca="1" si="963"/>
        <v>0</v>
      </c>
      <c r="AX639" s="17">
        <f ca="1">SUM(INDIRECT(AX$1&amp;AX$2&amp;$A639):INDIRECT(AX$1&amp;AX$3&amp;$A639))</f>
        <v>168220</v>
      </c>
      <c r="AY639" s="3072">
        <f t="shared" ca="1" si="964"/>
        <v>-168220</v>
      </c>
      <c r="AZ639" s="2708">
        <f t="shared" ca="1" si="965"/>
        <v>0</v>
      </c>
      <c r="BB639" s="17">
        <f ca="1">SUM((INDIRECT(BB$2&amp;(ROW())):INDIRECT(BB$3&amp;(ROW()))))</f>
        <v>0</v>
      </c>
      <c r="BC639" s="17">
        <f ca="1">SUM(INDIRECT(BC$1&amp;BC$2&amp;$C639):INDIRECT(BC$1&amp;BC$3&amp;$C639))</f>
        <v>0</v>
      </c>
      <c r="BD639" s="3072">
        <f t="shared" ca="1" si="966"/>
        <v>0</v>
      </c>
      <c r="BE639" s="2708">
        <f t="shared" ca="1" si="967"/>
        <v>0</v>
      </c>
      <c r="BF639" s="17">
        <f ca="1">SUM(INDIRECT(BF$1&amp;BF$2&amp;$A639):INDIRECT(BF$1&amp;BF$3&amp;$A639))</f>
        <v>510532.84700000001</v>
      </c>
      <c r="BG639" s="3072">
        <f t="shared" ca="1" si="968"/>
        <v>-510532.84700000001</v>
      </c>
      <c r="BH639" s="2708">
        <f t="shared" ca="1" si="969"/>
        <v>0</v>
      </c>
    </row>
    <row r="640" spans="1:60" ht="14.5">
      <c r="A640" s="616">
        <f t="shared" si="914"/>
        <v>575</v>
      </c>
      <c r="B640" s="616">
        <v>1</v>
      </c>
      <c r="C640" s="616">
        <f t="shared" si="891"/>
        <v>637</v>
      </c>
      <c r="E640" s="2547">
        <v>1</v>
      </c>
      <c r="I640" s="352"/>
      <c r="J640" s="353"/>
      <c r="K640" s="68"/>
      <c r="L640" s="68"/>
      <c r="M640" s="211"/>
      <c r="N640" s="211" t="s">
        <v>1386</v>
      </c>
      <c r="O640" s="211"/>
      <c r="P640" s="211"/>
      <c r="Q640" s="1779" t="str">
        <f>CHOOSE(2, "6722000003559", "S/GP (3) Net Sales Direct HW &amp; Solution Others")</f>
        <v>S/GP (3) Net Sales Direct HW &amp; Solution Others</v>
      </c>
      <c r="R640" s="1218">
        <v>0</v>
      </c>
      <c r="S640" s="1218">
        <v>0</v>
      </c>
      <c r="T640" s="1218">
        <v>0</v>
      </c>
      <c r="U640" s="1218">
        <v>0</v>
      </c>
      <c r="V640" s="1218">
        <v>0</v>
      </c>
      <c r="W640" s="1218">
        <v>0</v>
      </c>
      <c r="X640" s="1218">
        <v>0</v>
      </c>
      <c r="Y640" s="1218">
        <v>0</v>
      </c>
      <c r="Z640" s="1218">
        <v>0</v>
      </c>
      <c r="AA640" s="1218">
        <v>0</v>
      </c>
      <c r="AB640" s="1218">
        <v>0</v>
      </c>
      <c r="AC640" s="1218">
        <v>0</v>
      </c>
      <c r="AD640" s="87">
        <f t="shared" si="972"/>
        <v>0</v>
      </c>
      <c r="AE640" s="15">
        <f t="shared" si="973"/>
        <v>0</v>
      </c>
      <c r="AF640" s="15">
        <f t="shared" si="974"/>
        <v>0</v>
      </c>
      <c r="AG640" s="15">
        <f t="shared" si="975"/>
        <v>0</v>
      </c>
      <c r="AH640" s="15">
        <f t="shared" si="976"/>
        <v>0</v>
      </c>
      <c r="AI640" s="15">
        <f t="shared" si="977"/>
        <v>0</v>
      </c>
      <c r="AJ640" s="15">
        <f t="shared" si="978"/>
        <v>0</v>
      </c>
      <c r="AL640" s="15">
        <f ca="1">SUM((INDIRECT(AL$2&amp;(ROW())):INDIRECT(AL$3&amp;(ROW()))))</f>
        <v>0</v>
      </c>
      <c r="AM640" s="15">
        <f ca="1">SUM(INDIRECT(AM$1&amp;AM$2&amp;$C640):INDIRECT(AM$1&amp;AM$3&amp;$C640))</f>
        <v>0</v>
      </c>
      <c r="AN640" s="3073">
        <f t="shared" ca="1" si="958"/>
        <v>0</v>
      </c>
      <c r="AO640" s="2710">
        <f t="shared" ca="1" si="959"/>
        <v>0</v>
      </c>
      <c r="AP640" s="15">
        <f ca="1">SUM(INDIRECT(AP$1&amp;AP$2&amp;$A640):INDIRECT(AP$1&amp;AP$3&amp;$A640))</f>
        <v>0</v>
      </c>
      <c r="AQ640" s="3073">
        <f t="shared" ca="1" si="960"/>
        <v>0</v>
      </c>
      <c r="AR640" s="2710">
        <f t="shared" ca="1" si="961"/>
        <v>0</v>
      </c>
      <c r="AT640" s="15">
        <f ca="1">SUM((INDIRECT(AT$2&amp;(ROW())):INDIRECT(AT$3&amp;(ROW()))))</f>
        <v>0</v>
      </c>
      <c r="AU640" s="15">
        <f ca="1">SUM(INDIRECT(AU$1&amp;AU$2&amp;$C640):INDIRECT(AU$1&amp;AU$3&amp;$C640))</f>
        <v>0</v>
      </c>
      <c r="AV640" s="3073">
        <f t="shared" ca="1" si="962"/>
        <v>0</v>
      </c>
      <c r="AW640" s="2710">
        <f t="shared" ca="1" si="963"/>
        <v>0</v>
      </c>
      <c r="AX640" s="15">
        <f ca="1">SUM(INDIRECT(AX$1&amp;AX$2&amp;$A640):INDIRECT(AX$1&amp;AX$3&amp;$A640))</f>
        <v>0</v>
      </c>
      <c r="AY640" s="3073">
        <f t="shared" ca="1" si="964"/>
        <v>0</v>
      </c>
      <c r="AZ640" s="2710">
        <f t="shared" ca="1" si="965"/>
        <v>0</v>
      </c>
      <c r="BB640" s="15">
        <f ca="1">SUM((INDIRECT(BB$2&amp;(ROW())):INDIRECT(BB$3&amp;(ROW()))))</f>
        <v>0</v>
      </c>
      <c r="BC640" s="15">
        <f ca="1">SUM(INDIRECT(BC$1&amp;BC$2&amp;$C640):INDIRECT(BC$1&amp;BC$3&amp;$C640))</f>
        <v>0</v>
      </c>
      <c r="BD640" s="3073">
        <f t="shared" ca="1" si="966"/>
        <v>0</v>
      </c>
      <c r="BE640" s="2710">
        <f t="shared" ca="1" si="967"/>
        <v>0</v>
      </c>
      <c r="BF640" s="15">
        <f ca="1">SUM(INDIRECT(BF$1&amp;BF$2&amp;$A640):INDIRECT(BF$1&amp;BF$3&amp;$A640))</f>
        <v>0</v>
      </c>
      <c r="BG640" s="3073">
        <f t="shared" ca="1" si="968"/>
        <v>0</v>
      </c>
      <c r="BH640" s="2710">
        <f t="shared" ca="1" si="969"/>
        <v>0</v>
      </c>
    </row>
    <row r="641" spans="1:60" ht="14.5">
      <c r="A641" s="616">
        <f t="shared" si="914"/>
        <v>576</v>
      </c>
      <c r="B641" s="616">
        <v>1</v>
      </c>
      <c r="C641" s="616">
        <f t="shared" si="891"/>
        <v>638</v>
      </c>
      <c r="E641" s="2547">
        <v>1</v>
      </c>
      <c r="I641" s="352"/>
      <c r="J641" s="353"/>
      <c r="K641" s="68"/>
      <c r="L641" s="68"/>
      <c r="M641" s="69" t="s">
        <v>1490</v>
      </c>
      <c r="N641" s="302"/>
      <c r="O641" s="302"/>
      <c r="P641" s="302"/>
      <c r="Q641" s="1777" t="str">
        <f>CHOOSE(2, "6722000003560", "S/GP (3) Net Sales Direct NH")</f>
        <v>S/GP (3) Net Sales Direct NH</v>
      </c>
      <c r="R641" s="287">
        <f t="shared" ref="R641:AC641" si="979">SUM(R642:R647)</f>
        <v>5806</v>
      </c>
      <c r="S641" s="287">
        <f t="shared" si="979"/>
        <v>5743</v>
      </c>
      <c r="T641" s="287">
        <f t="shared" si="979"/>
        <v>6416</v>
      </c>
      <c r="U641" s="287">
        <f t="shared" si="979"/>
        <v>7206</v>
      </c>
      <c r="V641" s="287">
        <f t="shared" si="979"/>
        <v>7848.1489999999994</v>
      </c>
      <c r="W641" s="287">
        <f t="shared" si="979"/>
        <v>8306</v>
      </c>
      <c r="X641" s="287">
        <f t="shared" si="979"/>
        <v>6984</v>
      </c>
      <c r="Y641" s="287">
        <f t="shared" si="979"/>
        <v>7123</v>
      </c>
      <c r="Z641" s="287">
        <f t="shared" si="979"/>
        <v>7585</v>
      </c>
      <c r="AA641" s="287">
        <f t="shared" si="979"/>
        <v>7298</v>
      </c>
      <c r="AB641" s="287">
        <f t="shared" si="979"/>
        <v>8583.2560000000012</v>
      </c>
      <c r="AC641" s="287">
        <f t="shared" si="979"/>
        <v>8662</v>
      </c>
      <c r="AD641" s="315">
        <f t="shared" ref="AD641:AJ641" si="980">SUM(AD642:AD647)</f>
        <v>17965</v>
      </c>
      <c r="AE641" s="287">
        <f t="shared" si="980"/>
        <v>23360.149000000001</v>
      </c>
      <c r="AF641" s="287">
        <f t="shared" si="980"/>
        <v>21692</v>
      </c>
      <c r="AG641" s="287">
        <f t="shared" si="980"/>
        <v>24543.256000000001</v>
      </c>
      <c r="AH641" s="287">
        <f t="shared" si="980"/>
        <v>41325.149000000005</v>
      </c>
      <c r="AI641" s="287">
        <f t="shared" si="980"/>
        <v>46235.256000000001</v>
      </c>
      <c r="AJ641" s="287">
        <f t="shared" si="980"/>
        <v>87560.404999999999</v>
      </c>
      <c r="AL641" s="287">
        <f ca="1">SUM((INDIRECT(AL$2&amp;(ROW())):INDIRECT(AL$3&amp;(ROW()))))</f>
        <v>8662</v>
      </c>
      <c r="AM641" s="287">
        <f ca="1">SUM(INDIRECT(AM$1&amp;AM$2&amp;$C641):INDIRECT(AM$1&amp;AM$3&amp;$C641))</f>
        <v>0</v>
      </c>
      <c r="AN641" s="3226">
        <f t="shared" ca="1" si="958"/>
        <v>8662</v>
      </c>
      <c r="AO641" s="2876">
        <f t="shared" ca="1" si="959"/>
        <v>0</v>
      </c>
      <c r="AP641" s="287">
        <f ca="1">SUM(INDIRECT(AP$1&amp;AP$2&amp;$A641):INDIRECT(AP$1&amp;AP$3&amp;$A641))</f>
        <v>0</v>
      </c>
      <c r="AQ641" s="3226">
        <f t="shared" ca="1" si="960"/>
        <v>8662</v>
      </c>
      <c r="AR641" s="2876">
        <f t="shared" ca="1" si="961"/>
        <v>0</v>
      </c>
      <c r="AT641" s="287">
        <f ca="1">SUM((INDIRECT(AT$2&amp;(ROW())):INDIRECT(AT$3&amp;(ROW()))))</f>
        <v>24543.256000000001</v>
      </c>
      <c r="AU641" s="287">
        <f ca="1">SUM(INDIRECT(AU$1&amp;AU$2&amp;$C641):INDIRECT(AU$1&amp;AU$3&amp;$C641))</f>
        <v>0</v>
      </c>
      <c r="AV641" s="3226">
        <f t="shared" ca="1" si="962"/>
        <v>24543.256000000001</v>
      </c>
      <c r="AW641" s="2876">
        <f t="shared" ca="1" si="963"/>
        <v>0</v>
      </c>
      <c r="AX641" s="287">
        <f ca="1">SUM(INDIRECT(AX$1&amp;AX$2&amp;$A641):INDIRECT(AX$1&amp;AX$3&amp;$A641))</f>
        <v>0</v>
      </c>
      <c r="AY641" s="3226">
        <f t="shared" ca="1" si="964"/>
        <v>24543.256000000001</v>
      </c>
      <c r="AZ641" s="2876">
        <f t="shared" ca="1" si="965"/>
        <v>0</v>
      </c>
      <c r="BB641" s="287">
        <f ca="1">SUM((INDIRECT(BB$2&amp;(ROW())):INDIRECT(BB$3&amp;(ROW()))))</f>
        <v>87560.404999999999</v>
      </c>
      <c r="BC641" s="287">
        <f ca="1">SUM(INDIRECT(BC$1&amp;BC$2&amp;$C641):INDIRECT(BC$1&amp;BC$3&amp;$C641))</f>
        <v>0</v>
      </c>
      <c r="BD641" s="3226">
        <f t="shared" ca="1" si="966"/>
        <v>87560.404999999999</v>
      </c>
      <c r="BE641" s="2876">
        <f t="shared" ca="1" si="967"/>
        <v>0</v>
      </c>
      <c r="BF641" s="287">
        <f ca="1">SUM(INDIRECT(BF$1&amp;BF$2&amp;$A641):INDIRECT(BF$1&amp;BF$3&amp;$A641))</f>
        <v>0</v>
      </c>
      <c r="BG641" s="3226">
        <f t="shared" ca="1" si="968"/>
        <v>87560.404999999999</v>
      </c>
      <c r="BH641" s="2876">
        <f t="shared" ca="1" si="969"/>
        <v>0</v>
      </c>
    </row>
    <row r="642" spans="1:60" ht="14.5">
      <c r="A642" s="616">
        <f t="shared" si="914"/>
        <v>577</v>
      </c>
      <c r="B642" s="616">
        <v>1</v>
      </c>
      <c r="C642" s="616">
        <f t="shared" ref="C642:C705" si="981">ROW()-3</f>
        <v>639</v>
      </c>
      <c r="E642" s="2547">
        <v>1</v>
      </c>
      <c r="I642" s="352"/>
      <c r="J642" s="353"/>
      <c r="K642" s="68"/>
      <c r="L642" s="68"/>
      <c r="M642" s="69"/>
      <c r="N642" s="740" t="s">
        <v>1489</v>
      </c>
      <c r="O642" s="296"/>
      <c r="P642" s="296"/>
      <c r="Q642" s="1779" t="str">
        <f>CHOOSE(2, "6722000003561", "S/GP (3) Net Sales Direct NH KM-1/KM-1e")</f>
        <v>S/GP (3) Net Sales Direct NH KM-1/KM-1e</v>
      </c>
      <c r="R642" s="1227">
        <v>938</v>
      </c>
      <c r="S642" s="1227">
        <v>271</v>
      </c>
      <c r="T642" s="1227">
        <v>1097</v>
      </c>
      <c r="U642" s="1227">
        <v>879</v>
      </c>
      <c r="V642" s="1227">
        <v>259.19</v>
      </c>
      <c r="W642" s="1227">
        <v>401</v>
      </c>
      <c r="X642" s="1227">
        <v>1327</v>
      </c>
      <c r="Y642" s="1227">
        <v>805</v>
      </c>
      <c r="Z642" s="1227">
        <v>407</v>
      </c>
      <c r="AA642" s="1227">
        <v>-1065</v>
      </c>
      <c r="AB642" s="1227">
        <v>1953.2560000000001</v>
      </c>
      <c r="AC642" s="1227">
        <v>-546</v>
      </c>
      <c r="AD642" s="295">
        <f t="shared" ref="AD642:AD647" si="982">SUM(R642,S642,T642)</f>
        <v>2306</v>
      </c>
      <c r="AE642" s="96">
        <f t="shared" ref="AE642:AE647" si="983">SUM(U642,V642,W642)</f>
        <v>1539.19</v>
      </c>
      <c r="AF642" s="96">
        <f t="shared" ref="AF642:AF647" si="984">SUM(X642,Y642,Z642)</f>
        <v>2539</v>
      </c>
      <c r="AG642" s="96">
        <f t="shared" ref="AG642:AG647" si="985">SUM(AA642,AB642,AC642)</f>
        <v>342.25600000000009</v>
      </c>
      <c r="AH642" s="96">
        <f t="shared" ref="AH642:AH647" si="986">AD642+AE642</f>
        <v>3845.19</v>
      </c>
      <c r="AI642" s="96">
        <f t="shared" ref="AI642:AI647" si="987">AG642+AF642</f>
        <v>2881.2560000000003</v>
      </c>
      <c r="AJ642" s="96">
        <f t="shared" ref="AJ642:AJ647" si="988">AH642+AI642</f>
        <v>6726.4459999999999</v>
      </c>
      <c r="AL642" s="96">
        <f ca="1">SUM((INDIRECT(AL$2&amp;(ROW())):INDIRECT(AL$3&amp;(ROW()))))</f>
        <v>-546</v>
      </c>
      <c r="AM642" s="96">
        <f ca="1">SUM(INDIRECT(AM$1&amp;AM$2&amp;$C642):INDIRECT(AM$1&amp;AM$3&amp;$C642))</f>
        <v>0</v>
      </c>
      <c r="AN642" s="3227">
        <f t="shared" ca="1" si="958"/>
        <v>-546</v>
      </c>
      <c r="AO642" s="2878">
        <f t="shared" ca="1" si="959"/>
        <v>0</v>
      </c>
      <c r="AP642" s="96">
        <f ca="1">SUM(INDIRECT(AP$1&amp;AP$2&amp;$A642):INDIRECT(AP$1&amp;AP$3&amp;$A642))</f>
        <v>0</v>
      </c>
      <c r="AQ642" s="3227">
        <f t="shared" ca="1" si="960"/>
        <v>-546</v>
      </c>
      <c r="AR642" s="2878">
        <f t="shared" ca="1" si="961"/>
        <v>0</v>
      </c>
      <c r="AT642" s="96">
        <f ca="1">SUM((INDIRECT(AT$2&amp;(ROW())):INDIRECT(AT$3&amp;(ROW()))))</f>
        <v>342.25600000000009</v>
      </c>
      <c r="AU642" s="96">
        <f ca="1">SUM(INDIRECT(AU$1&amp;AU$2&amp;$C642):INDIRECT(AU$1&amp;AU$3&amp;$C642))</f>
        <v>0</v>
      </c>
      <c r="AV642" s="3227">
        <f t="shared" ca="1" si="962"/>
        <v>342.25600000000009</v>
      </c>
      <c r="AW642" s="2878">
        <f t="shared" ca="1" si="963"/>
        <v>0</v>
      </c>
      <c r="AX642" s="96">
        <f ca="1">SUM(INDIRECT(AX$1&amp;AX$2&amp;$A642):INDIRECT(AX$1&amp;AX$3&amp;$A642))</f>
        <v>0</v>
      </c>
      <c r="AY642" s="3227">
        <f t="shared" ca="1" si="964"/>
        <v>342.25600000000009</v>
      </c>
      <c r="AZ642" s="2878">
        <f t="shared" ca="1" si="965"/>
        <v>0</v>
      </c>
      <c r="BB642" s="96">
        <f ca="1">SUM((INDIRECT(BB$2&amp;(ROW())):INDIRECT(BB$3&amp;(ROW()))))</f>
        <v>6726.4460000000008</v>
      </c>
      <c r="BC642" s="96">
        <f ca="1">SUM(INDIRECT(BC$1&amp;BC$2&amp;$C642):INDIRECT(BC$1&amp;BC$3&amp;$C642))</f>
        <v>0</v>
      </c>
      <c r="BD642" s="3227">
        <f t="shared" ca="1" si="966"/>
        <v>6726.4460000000008</v>
      </c>
      <c r="BE642" s="2878">
        <f t="shared" ca="1" si="967"/>
        <v>0</v>
      </c>
      <c r="BF642" s="96">
        <f ca="1">SUM(INDIRECT(BF$1&amp;BF$2&amp;$A642):INDIRECT(BF$1&amp;BF$3&amp;$A642))</f>
        <v>0</v>
      </c>
      <c r="BG642" s="3227">
        <f t="shared" ca="1" si="968"/>
        <v>6726.4460000000008</v>
      </c>
      <c r="BH642" s="2878">
        <f t="shared" ca="1" si="969"/>
        <v>0</v>
      </c>
    </row>
    <row r="643" spans="1:60" ht="14.5">
      <c r="A643" s="616">
        <f t="shared" si="914"/>
        <v>578</v>
      </c>
      <c r="B643" s="616">
        <v>1</v>
      </c>
      <c r="C643" s="616">
        <f t="shared" si="981"/>
        <v>640</v>
      </c>
      <c r="E643" s="2547">
        <v>1</v>
      </c>
      <c r="I643" s="352"/>
      <c r="J643" s="353"/>
      <c r="K643" s="68"/>
      <c r="L643" s="68"/>
      <c r="M643" s="69"/>
      <c r="N643" s="69" t="s">
        <v>1401</v>
      </c>
      <c r="O643" s="69"/>
      <c r="P643" s="69"/>
      <c r="Q643" s="1779" t="str">
        <f>CHOOSE(2, "6722000003562", "S/GP (3) Net Sales Direct NH Label Printer")</f>
        <v>S/GP (3) Net Sales Direct NH Label Printer</v>
      </c>
      <c r="R643" s="1217">
        <v>2340</v>
      </c>
      <c r="S643" s="1217">
        <v>2481</v>
      </c>
      <c r="T643" s="1217">
        <v>2137</v>
      </c>
      <c r="U643" s="1217">
        <v>2083</v>
      </c>
      <c r="V643" s="1217">
        <v>2426.0450000000001</v>
      </c>
      <c r="W643" s="1217">
        <v>1741</v>
      </c>
      <c r="X643" s="1217">
        <v>2546</v>
      </c>
      <c r="Y643" s="1217">
        <v>2350</v>
      </c>
      <c r="Z643" s="1217">
        <v>2756</v>
      </c>
      <c r="AA643" s="1217">
        <v>3950</v>
      </c>
      <c r="AB643" s="1217">
        <v>1537</v>
      </c>
      <c r="AC643" s="1217">
        <v>5110</v>
      </c>
      <c r="AD643" s="88">
        <f t="shared" si="982"/>
        <v>6958</v>
      </c>
      <c r="AE643" s="17">
        <f t="shared" si="983"/>
        <v>6250.0450000000001</v>
      </c>
      <c r="AF643" s="17">
        <f t="shared" si="984"/>
        <v>7652</v>
      </c>
      <c r="AG643" s="17">
        <f t="shared" si="985"/>
        <v>10597</v>
      </c>
      <c r="AH643" s="17">
        <f t="shared" si="986"/>
        <v>13208.045</v>
      </c>
      <c r="AI643" s="17">
        <f t="shared" si="987"/>
        <v>18249</v>
      </c>
      <c r="AJ643" s="17">
        <f t="shared" si="988"/>
        <v>31457.044999999998</v>
      </c>
      <c r="AL643" s="17">
        <f ca="1">SUM((INDIRECT(AL$2&amp;(ROW())):INDIRECT(AL$3&amp;(ROW()))))</f>
        <v>5110</v>
      </c>
      <c r="AM643" s="17">
        <f ca="1">SUM(INDIRECT(AM$1&amp;AM$2&amp;$C643):INDIRECT(AM$1&amp;AM$3&amp;$C643))</f>
        <v>47800</v>
      </c>
      <c r="AN643" s="3072">
        <f t="shared" ca="1" si="958"/>
        <v>-42690</v>
      </c>
      <c r="AO643" s="2708">
        <f t="shared" ca="1" si="959"/>
        <v>0.10690376569037657</v>
      </c>
      <c r="AP643" s="17">
        <f ca="1">SUM(INDIRECT(AP$1&amp;AP$2&amp;$A643):INDIRECT(AP$1&amp;AP$3&amp;$A643))</f>
        <v>0</v>
      </c>
      <c r="AQ643" s="3072">
        <f t="shared" ca="1" si="960"/>
        <v>5110</v>
      </c>
      <c r="AR643" s="2708">
        <f t="shared" ca="1" si="961"/>
        <v>0</v>
      </c>
      <c r="AT643" s="17">
        <f ca="1">SUM((INDIRECT(AT$2&amp;(ROW())):INDIRECT(AT$3&amp;(ROW()))))</f>
        <v>10597</v>
      </c>
      <c r="AU643" s="17">
        <f ca="1">SUM(INDIRECT(AU$1&amp;AU$2&amp;$C643):INDIRECT(AU$1&amp;AU$3&amp;$C643))</f>
        <v>89900</v>
      </c>
      <c r="AV643" s="3072">
        <f t="shared" ca="1" si="962"/>
        <v>-79303</v>
      </c>
      <c r="AW643" s="2708">
        <f t="shared" ca="1" si="963"/>
        <v>0.1178754171301446</v>
      </c>
      <c r="AX643" s="17">
        <f ca="1">SUM(INDIRECT(AX$1&amp;AX$2&amp;$A643):INDIRECT(AX$1&amp;AX$3&amp;$A643))</f>
        <v>0</v>
      </c>
      <c r="AY643" s="3072">
        <f t="shared" ca="1" si="964"/>
        <v>10597</v>
      </c>
      <c r="AZ643" s="2708">
        <f t="shared" ca="1" si="965"/>
        <v>0</v>
      </c>
      <c r="BB643" s="17">
        <f ca="1">SUM((INDIRECT(BB$2&amp;(ROW())):INDIRECT(BB$3&amp;(ROW()))))</f>
        <v>31457.044999999998</v>
      </c>
      <c r="BC643" s="17">
        <f ca="1">SUM(INDIRECT(BC$1&amp;BC$2&amp;$C643):INDIRECT(BC$1&amp;BC$3&amp;$C643))</f>
        <v>187500</v>
      </c>
      <c r="BD643" s="3072">
        <f t="shared" ca="1" si="966"/>
        <v>-156042.95500000002</v>
      </c>
      <c r="BE643" s="2708">
        <f t="shared" ca="1" si="967"/>
        <v>0.16777090666666666</v>
      </c>
      <c r="BF643" s="17">
        <f ca="1">SUM(INDIRECT(BF$1&amp;BF$2&amp;$A643):INDIRECT(BF$1&amp;BF$3&amp;$A643))</f>
        <v>0</v>
      </c>
      <c r="BG643" s="3072">
        <f t="shared" ca="1" si="968"/>
        <v>31457.044999999998</v>
      </c>
      <c r="BH643" s="2708">
        <f t="shared" ca="1" si="969"/>
        <v>0</v>
      </c>
    </row>
    <row r="644" spans="1:60" ht="14.5">
      <c r="A644" s="616">
        <f t="shared" si="914"/>
        <v>579</v>
      </c>
      <c r="B644" s="616">
        <v>1</v>
      </c>
      <c r="C644" s="616">
        <f t="shared" si="981"/>
        <v>641</v>
      </c>
      <c r="E644" s="2547">
        <v>1</v>
      </c>
      <c r="I644" s="352"/>
      <c r="J644" s="353"/>
      <c r="K644" s="68"/>
      <c r="L644" s="68"/>
      <c r="M644" s="69"/>
      <c r="N644" s="69" t="s">
        <v>1402</v>
      </c>
      <c r="O644" s="69"/>
      <c r="P644" s="69"/>
      <c r="Q644" s="1779" t="str">
        <f>CHOOSE(2, "6722000003563", "S/GP (3) Net Sales Direct NH MGI")</f>
        <v>S/GP (3) Net Sales Direct NH MGI</v>
      </c>
      <c r="R644" s="1217">
        <v>2528</v>
      </c>
      <c r="S644" s="1217">
        <v>2991</v>
      </c>
      <c r="T644" s="1217">
        <v>3182</v>
      </c>
      <c r="U644" s="1217">
        <v>4244</v>
      </c>
      <c r="V644" s="1217">
        <v>5162.9139999999998</v>
      </c>
      <c r="W644" s="1217">
        <v>6164</v>
      </c>
      <c r="X644" s="1217">
        <v>3111</v>
      </c>
      <c r="Y644" s="1217">
        <v>3968</v>
      </c>
      <c r="Z644" s="1217">
        <v>4422</v>
      </c>
      <c r="AA644" s="1217">
        <v>4413</v>
      </c>
      <c r="AB644" s="1217">
        <v>5093</v>
      </c>
      <c r="AC644" s="1217">
        <v>4098</v>
      </c>
      <c r="AD644" s="88">
        <f t="shared" si="982"/>
        <v>8701</v>
      </c>
      <c r="AE644" s="17">
        <f t="shared" si="983"/>
        <v>15570.914000000001</v>
      </c>
      <c r="AF644" s="17">
        <f t="shared" si="984"/>
        <v>11501</v>
      </c>
      <c r="AG644" s="17">
        <f t="shared" si="985"/>
        <v>13604</v>
      </c>
      <c r="AH644" s="17">
        <f t="shared" si="986"/>
        <v>24271.914000000001</v>
      </c>
      <c r="AI644" s="17">
        <f t="shared" si="987"/>
        <v>25105</v>
      </c>
      <c r="AJ644" s="17">
        <f t="shared" si="988"/>
        <v>49376.914000000004</v>
      </c>
      <c r="AL644" s="17">
        <f ca="1">SUM((INDIRECT(AL$2&amp;(ROW())):INDIRECT(AL$3&amp;(ROW()))))</f>
        <v>4098</v>
      </c>
      <c r="AM644" s="17">
        <f ca="1">SUM(INDIRECT(AM$1&amp;AM$2&amp;$C644):INDIRECT(AM$1&amp;AM$3&amp;$C644))</f>
        <v>47800</v>
      </c>
      <c r="AN644" s="3072">
        <f t="shared" ca="1" si="958"/>
        <v>-43702</v>
      </c>
      <c r="AO644" s="2708">
        <f t="shared" ca="1" si="959"/>
        <v>8.5732217573221761E-2</v>
      </c>
      <c r="AP644" s="17">
        <f ca="1">SUM(INDIRECT(AP$1&amp;AP$2&amp;$A644):INDIRECT(AP$1&amp;AP$3&amp;$A644))</f>
        <v>0</v>
      </c>
      <c r="AQ644" s="3072">
        <f t="shared" ca="1" si="960"/>
        <v>4098</v>
      </c>
      <c r="AR644" s="2708">
        <f t="shared" ca="1" si="961"/>
        <v>0</v>
      </c>
      <c r="AT644" s="17">
        <f ca="1">SUM((INDIRECT(AT$2&amp;(ROW())):INDIRECT(AT$3&amp;(ROW()))))</f>
        <v>13604</v>
      </c>
      <c r="AU644" s="17">
        <f ca="1">SUM(INDIRECT(AU$1&amp;AU$2&amp;$C644):INDIRECT(AU$1&amp;AU$3&amp;$C644))</f>
        <v>89900</v>
      </c>
      <c r="AV644" s="3072">
        <f t="shared" ca="1" si="962"/>
        <v>-76296</v>
      </c>
      <c r="AW644" s="2708">
        <f t="shared" ca="1" si="963"/>
        <v>0.15132369299221357</v>
      </c>
      <c r="AX644" s="17">
        <f ca="1">SUM(INDIRECT(AX$1&amp;AX$2&amp;$A644):INDIRECT(AX$1&amp;AX$3&amp;$A644))</f>
        <v>0</v>
      </c>
      <c r="AY644" s="3072">
        <f t="shared" ca="1" si="964"/>
        <v>13604</v>
      </c>
      <c r="AZ644" s="2708">
        <f t="shared" ca="1" si="965"/>
        <v>0</v>
      </c>
      <c r="BB644" s="17">
        <f ca="1">SUM((INDIRECT(BB$2&amp;(ROW())):INDIRECT(BB$3&amp;(ROW()))))</f>
        <v>49376.914000000004</v>
      </c>
      <c r="BC644" s="17">
        <f ca="1">SUM(INDIRECT(BC$1&amp;BC$2&amp;$C644):INDIRECT(BC$1&amp;BC$3&amp;$C644))</f>
        <v>187500</v>
      </c>
      <c r="BD644" s="3072">
        <f t="shared" ca="1" si="966"/>
        <v>-138123.08600000001</v>
      </c>
      <c r="BE644" s="2708">
        <f t="shared" ca="1" si="967"/>
        <v>0.26334354133333338</v>
      </c>
      <c r="BF644" s="17">
        <f ca="1">SUM(INDIRECT(BF$1&amp;BF$2&amp;$A644):INDIRECT(BF$1&amp;BF$3&amp;$A644))</f>
        <v>0</v>
      </c>
      <c r="BG644" s="3072">
        <f t="shared" ca="1" si="968"/>
        <v>49376.914000000004</v>
      </c>
      <c r="BH644" s="2708">
        <f t="shared" ca="1" si="969"/>
        <v>0</v>
      </c>
    </row>
    <row r="645" spans="1:60" ht="14.5">
      <c r="A645" s="616">
        <f t="shared" si="914"/>
        <v>580</v>
      </c>
      <c r="B645" s="616">
        <v>1</v>
      </c>
      <c r="C645" s="616">
        <f t="shared" si="981"/>
        <v>642</v>
      </c>
      <c r="E645" s="2547">
        <v>1</v>
      </c>
      <c r="I645" s="352"/>
      <c r="J645" s="353"/>
      <c r="K645" s="68"/>
      <c r="L645" s="68"/>
      <c r="M645" s="69"/>
      <c r="N645" s="69" t="s">
        <v>1403</v>
      </c>
      <c r="O645" s="69"/>
      <c r="P645" s="69"/>
      <c r="Q645" s="1779" t="str">
        <f>CHOOSE(2, "6722000003564", "S/GP (3) Net Sales Direct NH EFI/LF")</f>
        <v>S/GP (3) Net Sales Direct NH EFI/LF</v>
      </c>
      <c r="R645" s="1217">
        <v>0</v>
      </c>
      <c r="S645" s="1217">
        <v>0</v>
      </c>
      <c r="T645" s="1217">
        <v>0</v>
      </c>
      <c r="U645" s="1217">
        <v>0</v>
      </c>
      <c r="V645" s="1217">
        <v>0</v>
      </c>
      <c r="W645" s="1217">
        <v>0</v>
      </c>
      <c r="X645" s="1217">
        <v>0</v>
      </c>
      <c r="Y645" s="1217">
        <v>0</v>
      </c>
      <c r="Z645" s="1217">
        <v>0</v>
      </c>
      <c r="AA645" s="1217">
        <v>0</v>
      </c>
      <c r="AB645" s="1217">
        <v>0</v>
      </c>
      <c r="AC645" s="1217">
        <v>0</v>
      </c>
      <c r="AD645" s="88">
        <f t="shared" si="982"/>
        <v>0</v>
      </c>
      <c r="AE645" s="17">
        <f t="shared" si="983"/>
        <v>0</v>
      </c>
      <c r="AF645" s="17">
        <f t="shared" si="984"/>
        <v>0</v>
      </c>
      <c r="AG645" s="17">
        <f t="shared" si="985"/>
        <v>0</v>
      </c>
      <c r="AH645" s="17">
        <f t="shared" si="986"/>
        <v>0</v>
      </c>
      <c r="AI645" s="17">
        <f t="shared" si="987"/>
        <v>0</v>
      </c>
      <c r="AJ645" s="17">
        <f t="shared" si="988"/>
        <v>0</v>
      </c>
      <c r="AL645" s="17">
        <f ca="1">SUM((INDIRECT(AL$2&amp;(ROW())):INDIRECT(AL$3&amp;(ROW()))))</f>
        <v>0</v>
      </c>
      <c r="AM645" s="17">
        <f ca="1">SUM(INDIRECT(AM$1&amp;AM$2&amp;$C645):INDIRECT(AM$1&amp;AM$3&amp;$C645))</f>
        <v>41500</v>
      </c>
      <c r="AN645" s="3072">
        <f t="shared" ca="1" si="958"/>
        <v>-41500</v>
      </c>
      <c r="AO645" s="2708">
        <f t="shared" ca="1" si="959"/>
        <v>0</v>
      </c>
      <c r="AP645" s="17">
        <f ca="1">SUM(INDIRECT(AP$1&amp;AP$2&amp;$A645):INDIRECT(AP$1&amp;AP$3&amp;$A645))</f>
        <v>0</v>
      </c>
      <c r="AQ645" s="3072">
        <f t="shared" ca="1" si="960"/>
        <v>0</v>
      </c>
      <c r="AR645" s="2708">
        <f t="shared" ca="1" si="961"/>
        <v>0</v>
      </c>
      <c r="AT645" s="17">
        <f ca="1">SUM((INDIRECT(AT$2&amp;(ROW())):INDIRECT(AT$3&amp;(ROW()))))</f>
        <v>0</v>
      </c>
      <c r="AU645" s="17">
        <f ca="1">SUM(INDIRECT(AU$1&amp;AU$2&amp;$C645):INDIRECT(AU$1&amp;AU$3&amp;$C645))</f>
        <v>70400</v>
      </c>
      <c r="AV645" s="3072">
        <f t="shared" ca="1" si="962"/>
        <v>-70400</v>
      </c>
      <c r="AW645" s="2708">
        <f t="shared" ca="1" si="963"/>
        <v>0</v>
      </c>
      <c r="AX645" s="17">
        <f ca="1">SUM(INDIRECT(AX$1&amp;AX$2&amp;$A645):INDIRECT(AX$1&amp;AX$3&amp;$A645))</f>
        <v>0</v>
      </c>
      <c r="AY645" s="3072">
        <f t="shared" ca="1" si="964"/>
        <v>0</v>
      </c>
      <c r="AZ645" s="2708">
        <f t="shared" ca="1" si="965"/>
        <v>0</v>
      </c>
      <c r="BB645" s="17">
        <f ca="1">SUM((INDIRECT(BB$2&amp;(ROW())):INDIRECT(BB$3&amp;(ROW()))))</f>
        <v>0</v>
      </c>
      <c r="BC645" s="17">
        <f ca="1">SUM(INDIRECT(BC$1&amp;BC$2&amp;$C645):INDIRECT(BC$1&amp;BC$3&amp;$C645))</f>
        <v>155300</v>
      </c>
      <c r="BD645" s="3072">
        <f t="shared" ca="1" si="966"/>
        <v>-155300</v>
      </c>
      <c r="BE645" s="2708">
        <f t="shared" ca="1" si="967"/>
        <v>0</v>
      </c>
      <c r="BF645" s="17">
        <f ca="1">SUM(INDIRECT(BF$1&amp;BF$2&amp;$A645):INDIRECT(BF$1&amp;BF$3&amp;$A645))</f>
        <v>0</v>
      </c>
      <c r="BG645" s="3072">
        <f t="shared" ca="1" si="968"/>
        <v>0</v>
      </c>
      <c r="BH645" s="2708">
        <f t="shared" ca="1" si="969"/>
        <v>0</v>
      </c>
    </row>
    <row r="646" spans="1:60" ht="14.5">
      <c r="A646" s="616">
        <f t="shared" si="914"/>
        <v>581</v>
      </c>
      <c r="B646" s="616">
        <v>1</v>
      </c>
      <c r="C646" s="616">
        <f t="shared" si="981"/>
        <v>643</v>
      </c>
      <c r="E646" s="2547">
        <v>1</v>
      </c>
      <c r="I646" s="352"/>
      <c r="J646" s="353"/>
      <c r="K646" s="68"/>
      <c r="L646" s="68"/>
      <c r="M646" s="69"/>
      <c r="N646" s="69" t="s">
        <v>1404</v>
      </c>
      <c r="O646" s="69"/>
      <c r="P646" s="69"/>
      <c r="Q646" s="1779" t="str">
        <f>CHOOSE(2, "6722000003565", "S/GP (3) Net Sales Direct NH Textile Printer")</f>
        <v>S/GP (3) Net Sales Direct NH Textile Printer</v>
      </c>
      <c r="R646" s="1217">
        <v>0</v>
      </c>
      <c r="S646" s="1217">
        <v>0</v>
      </c>
      <c r="T646" s="1217">
        <v>0</v>
      </c>
      <c r="U646" s="1217">
        <v>0</v>
      </c>
      <c r="V646" s="1217">
        <v>0</v>
      </c>
      <c r="W646" s="1217">
        <v>0</v>
      </c>
      <c r="X646" s="1217">
        <v>0</v>
      </c>
      <c r="Y646" s="1217">
        <v>0</v>
      </c>
      <c r="Z646" s="1217">
        <v>0</v>
      </c>
      <c r="AA646" s="1217">
        <v>0</v>
      </c>
      <c r="AB646" s="1217">
        <v>0</v>
      </c>
      <c r="AC646" s="1217">
        <v>0</v>
      </c>
      <c r="AD646" s="88">
        <f t="shared" si="982"/>
        <v>0</v>
      </c>
      <c r="AE646" s="17">
        <f t="shared" si="983"/>
        <v>0</v>
      </c>
      <c r="AF646" s="17">
        <f t="shared" si="984"/>
        <v>0</v>
      </c>
      <c r="AG646" s="17">
        <f t="shared" si="985"/>
        <v>0</v>
      </c>
      <c r="AH646" s="17">
        <f t="shared" si="986"/>
        <v>0</v>
      </c>
      <c r="AI646" s="17">
        <f t="shared" si="987"/>
        <v>0</v>
      </c>
      <c r="AJ646" s="17">
        <f t="shared" si="988"/>
        <v>0</v>
      </c>
      <c r="AL646" s="17">
        <f ca="1">SUM((INDIRECT(AL$2&amp;(ROW())):INDIRECT(AL$3&amp;(ROW()))))</f>
        <v>0</v>
      </c>
      <c r="AM646" s="17">
        <f ca="1">SUM(INDIRECT(AM$1&amp;AM$2&amp;$C646):INDIRECT(AM$1&amp;AM$3&amp;$C646))</f>
        <v>0</v>
      </c>
      <c r="AN646" s="3072">
        <f t="shared" ca="1" si="958"/>
        <v>0</v>
      </c>
      <c r="AO646" s="2708">
        <f t="shared" ca="1" si="959"/>
        <v>0</v>
      </c>
      <c r="AP646" s="17">
        <f ca="1">SUM(INDIRECT(AP$1&amp;AP$2&amp;$A646):INDIRECT(AP$1&amp;AP$3&amp;$A646))</f>
        <v>0</v>
      </c>
      <c r="AQ646" s="3072">
        <f t="shared" ca="1" si="960"/>
        <v>0</v>
      </c>
      <c r="AR646" s="2708">
        <f t="shared" ca="1" si="961"/>
        <v>0</v>
      </c>
      <c r="AT646" s="17">
        <f ca="1">SUM((INDIRECT(AT$2&amp;(ROW())):INDIRECT(AT$3&amp;(ROW()))))</f>
        <v>0</v>
      </c>
      <c r="AU646" s="17">
        <f ca="1">SUM(INDIRECT(AU$1&amp;AU$2&amp;$C646):INDIRECT(AU$1&amp;AU$3&amp;$C646))</f>
        <v>0</v>
      </c>
      <c r="AV646" s="3072">
        <f t="shared" ca="1" si="962"/>
        <v>0</v>
      </c>
      <c r="AW646" s="2708">
        <f t="shared" ca="1" si="963"/>
        <v>0</v>
      </c>
      <c r="AX646" s="17">
        <f ca="1">SUM(INDIRECT(AX$1&amp;AX$2&amp;$A646):INDIRECT(AX$1&amp;AX$3&amp;$A646))</f>
        <v>0</v>
      </c>
      <c r="AY646" s="3072">
        <f t="shared" ca="1" si="964"/>
        <v>0</v>
      </c>
      <c r="AZ646" s="2708">
        <f t="shared" ca="1" si="965"/>
        <v>0</v>
      </c>
      <c r="BB646" s="17">
        <f ca="1">SUM((INDIRECT(BB$2&amp;(ROW())):INDIRECT(BB$3&amp;(ROW()))))</f>
        <v>0</v>
      </c>
      <c r="BC646" s="17">
        <f ca="1">SUM(INDIRECT(BC$1&amp;BC$2&amp;$C646):INDIRECT(BC$1&amp;BC$3&amp;$C646))</f>
        <v>75200</v>
      </c>
      <c r="BD646" s="3072">
        <f t="shared" ca="1" si="966"/>
        <v>-75200</v>
      </c>
      <c r="BE646" s="2708">
        <f t="shared" ca="1" si="967"/>
        <v>0</v>
      </c>
      <c r="BF646" s="17">
        <f ca="1">SUM(INDIRECT(BF$1&amp;BF$2&amp;$A646):INDIRECT(BF$1&amp;BF$3&amp;$A646))</f>
        <v>0</v>
      </c>
      <c r="BG646" s="3072">
        <f t="shared" ca="1" si="968"/>
        <v>0</v>
      </c>
      <c r="BH646" s="2708">
        <f t="shared" ca="1" si="969"/>
        <v>0</v>
      </c>
    </row>
    <row r="647" spans="1:60" ht="14.5">
      <c r="A647" s="616">
        <f t="shared" si="914"/>
        <v>582</v>
      </c>
      <c r="B647" s="616">
        <v>1</v>
      </c>
      <c r="C647" s="616">
        <f t="shared" si="981"/>
        <v>644</v>
      </c>
      <c r="E647" s="2547">
        <v>1</v>
      </c>
      <c r="I647" s="352"/>
      <c r="J647" s="353"/>
      <c r="K647" s="67"/>
      <c r="L647" s="67"/>
      <c r="M647" s="69"/>
      <c r="N647" s="211" t="s">
        <v>1386</v>
      </c>
      <c r="O647" s="211"/>
      <c r="P647" s="211"/>
      <c r="Q647" s="1779" t="str">
        <f>CHOOSE(2, "6722000003566", "S/GP (3) Net Sales Direct NH Others")</f>
        <v>S/GP (3) Net Sales Direct NH Others</v>
      </c>
      <c r="R647" s="1218">
        <v>0</v>
      </c>
      <c r="S647" s="1218">
        <v>0</v>
      </c>
      <c r="T647" s="1218">
        <v>0</v>
      </c>
      <c r="U647" s="1218">
        <v>0</v>
      </c>
      <c r="V647" s="1218">
        <v>0</v>
      </c>
      <c r="W647" s="1218">
        <v>0</v>
      </c>
      <c r="X647" s="1218">
        <v>0</v>
      </c>
      <c r="Y647" s="1218">
        <v>0</v>
      </c>
      <c r="Z647" s="1218">
        <v>0</v>
      </c>
      <c r="AA647" s="1218">
        <v>0</v>
      </c>
      <c r="AB647" s="1218">
        <v>0</v>
      </c>
      <c r="AC647" s="1218">
        <v>0</v>
      </c>
      <c r="AD647" s="87">
        <f t="shared" si="982"/>
        <v>0</v>
      </c>
      <c r="AE647" s="15">
        <f t="shared" si="983"/>
        <v>0</v>
      </c>
      <c r="AF647" s="15">
        <f t="shared" si="984"/>
        <v>0</v>
      </c>
      <c r="AG647" s="15">
        <f t="shared" si="985"/>
        <v>0</v>
      </c>
      <c r="AH647" s="15">
        <f t="shared" si="986"/>
        <v>0</v>
      </c>
      <c r="AI647" s="15">
        <f t="shared" si="987"/>
        <v>0</v>
      </c>
      <c r="AJ647" s="15">
        <f t="shared" si="988"/>
        <v>0</v>
      </c>
      <c r="AL647" s="15">
        <f ca="1">SUM((INDIRECT(AL$2&amp;(ROW())):INDIRECT(AL$3&amp;(ROW()))))</f>
        <v>0</v>
      </c>
      <c r="AM647" s="15">
        <f ca="1">SUM(INDIRECT(AM$1&amp;AM$2&amp;$C647):INDIRECT(AM$1&amp;AM$3&amp;$C647))</f>
        <v>25000</v>
      </c>
      <c r="AN647" s="3073">
        <f t="shared" ca="1" si="958"/>
        <v>-25000</v>
      </c>
      <c r="AO647" s="2710">
        <f t="shared" ca="1" si="959"/>
        <v>0</v>
      </c>
      <c r="AP647" s="15">
        <f ca="1">SUM(INDIRECT(AP$1&amp;AP$2&amp;$A647):INDIRECT(AP$1&amp;AP$3&amp;$A647))</f>
        <v>0</v>
      </c>
      <c r="AQ647" s="3073">
        <f t="shared" ca="1" si="960"/>
        <v>0</v>
      </c>
      <c r="AR647" s="2710">
        <f t="shared" ca="1" si="961"/>
        <v>0</v>
      </c>
      <c r="AT647" s="15">
        <f ca="1">SUM((INDIRECT(AT$2&amp;(ROW())):INDIRECT(AT$3&amp;(ROW()))))</f>
        <v>0</v>
      </c>
      <c r="AU647" s="15">
        <f ca="1">SUM(INDIRECT(AU$1&amp;AU$2&amp;$C647):INDIRECT(AU$1&amp;AU$3&amp;$C647))</f>
        <v>34500</v>
      </c>
      <c r="AV647" s="3073">
        <f t="shared" ca="1" si="962"/>
        <v>-34500</v>
      </c>
      <c r="AW647" s="2710">
        <f t="shared" ca="1" si="963"/>
        <v>0</v>
      </c>
      <c r="AX647" s="15">
        <f ca="1">SUM(INDIRECT(AX$1&amp;AX$2&amp;$A647):INDIRECT(AX$1&amp;AX$3&amp;$A647))</f>
        <v>0</v>
      </c>
      <c r="AY647" s="3073">
        <f t="shared" ca="1" si="964"/>
        <v>0</v>
      </c>
      <c r="AZ647" s="2710">
        <f t="shared" ca="1" si="965"/>
        <v>0</v>
      </c>
      <c r="BB647" s="15">
        <f ca="1">SUM((INDIRECT(BB$2&amp;(ROW())):INDIRECT(BB$3&amp;(ROW()))))</f>
        <v>0</v>
      </c>
      <c r="BC647" s="15">
        <f ca="1">SUM(INDIRECT(BC$1&amp;BC$2&amp;$C647):INDIRECT(BC$1&amp;BC$3&amp;$C647))</f>
        <v>34500</v>
      </c>
      <c r="BD647" s="3073">
        <f t="shared" ca="1" si="966"/>
        <v>-34500</v>
      </c>
      <c r="BE647" s="2710">
        <f t="shared" ca="1" si="967"/>
        <v>0</v>
      </c>
      <c r="BF647" s="15">
        <f ca="1">SUM(INDIRECT(BF$1&amp;BF$2&amp;$A647):INDIRECT(BF$1&amp;BF$3&amp;$A647))</f>
        <v>0</v>
      </c>
      <c r="BG647" s="3073">
        <f t="shared" ca="1" si="968"/>
        <v>0</v>
      </c>
      <c r="BH647" s="2710">
        <f t="shared" ca="1" si="969"/>
        <v>0</v>
      </c>
    </row>
    <row r="648" spans="1:60" ht="14.5">
      <c r="A648" s="616">
        <f t="shared" si="914"/>
        <v>583</v>
      </c>
      <c r="B648" s="616">
        <v>1</v>
      </c>
      <c r="C648" s="616">
        <f t="shared" si="981"/>
        <v>645</v>
      </c>
      <c r="E648" s="2547">
        <v>1</v>
      </c>
      <c r="I648" s="352"/>
      <c r="J648" s="353"/>
      <c r="K648" s="63" t="s">
        <v>1382</v>
      </c>
      <c r="L648" s="63"/>
      <c r="M648" s="495"/>
      <c r="N648" s="495"/>
      <c r="O648" s="495"/>
      <c r="P648" s="495"/>
      <c r="Q648" s="1802" t="str">
        <f>CHOOSE(2, "6722000003567", "S/GP (3) Net Sales Indirect")</f>
        <v>S/GP (3) Net Sales Indirect</v>
      </c>
      <c r="R648" s="1253">
        <f t="shared" ref="R648:AJ648" si="989">R649+R656</f>
        <v>0</v>
      </c>
      <c r="S648" s="1253">
        <f t="shared" si="989"/>
        <v>0</v>
      </c>
      <c r="T648" s="1253">
        <f t="shared" si="989"/>
        <v>0</v>
      </c>
      <c r="U648" s="1253">
        <f t="shared" si="989"/>
        <v>0</v>
      </c>
      <c r="V648" s="1253">
        <f t="shared" si="989"/>
        <v>0</v>
      </c>
      <c r="W648" s="1253">
        <f t="shared" si="989"/>
        <v>0</v>
      </c>
      <c r="X648" s="1253">
        <f t="shared" si="989"/>
        <v>0</v>
      </c>
      <c r="Y648" s="1253">
        <f t="shared" si="989"/>
        <v>0</v>
      </c>
      <c r="Z648" s="1253">
        <f t="shared" si="989"/>
        <v>0</v>
      </c>
      <c r="AA648" s="1253">
        <f t="shared" si="989"/>
        <v>0</v>
      </c>
      <c r="AB648" s="1253">
        <f t="shared" si="989"/>
        <v>0</v>
      </c>
      <c r="AC648" s="1253">
        <f t="shared" si="989"/>
        <v>0</v>
      </c>
      <c r="AD648" s="3263">
        <f t="shared" si="989"/>
        <v>0</v>
      </c>
      <c r="AE648" s="1253">
        <f t="shared" si="989"/>
        <v>0</v>
      </c>
      <c r="AF648" s="1253">
        <f t="shared" si="989"/>
        <v>0</v>
      </c>
      <c r="AG648" s="1253">
        <f t="shared" si="989"/>
        <v>0</v>
      </c>
      <c r="AH648" s="1253">
        <f t="shared" si="989"/>
        <v>0</v>
      </c>
      <c r="AI648" s="1253">
        <f t="shared" si="989"/>
        <v>0</v>
      </c>
      <c r="AJ648" s="1253">
        <f t="shared" si="989"/>
        <v>0</v>
      </c>
      <c r="AL648" s="1253">
        <f ca="1">SUM((INDIRECT(AL$2&amp;(ROW())):INDIRECT(AL$3&amp;(ROW()))))</f>
        <v>0</v>
      </c>
      <c r="AM648" s="1253">
        <f ca="1">SUM(INDIRECT(AM$1&amp;AM$2&amp;$C648):INDIRECT(AM$1&amp;AM$3&amp;$C648))</f>
        <v>16500</v>
      </c>
      <c r="AN648" s="3264">
        <f t="shared" ca="1" si="958"/>
        <v>-16500</v>
      </c>
      <c r="AO648" s="2917">
        <f t="shared" ca="1" si="959"/>
        <v>0</v>
      </c>
      <c r="AP648" s="1253">
        <f ca="1">SUM(INDIRECT(AP$1&amp;AP$2&amp;$A648):INDIRECT(AP$1&amp;AP$3&amp;$A648))</f>
        <v>190302.96372958334</v>
      </c>
      <c r="AQ648" s="3264">
        <f t="shared" ca="1" si="960"/>
        <v>-190302.96372958334</v>
      </c>
      <c r="AR648" s="2917">
        <f t="shared" ca="1" si="961"/>
        <v>0</v>
      </c>
      <c r="AT648" s="1253">
        <f ca="1">SUM((INDIRECT(AT$2&amp;(ROW())):INDIRECT(AT$3&amp;(ROW()))))</f>
        <v>0</v>
      </c>
      <c r="AU648" s="1253">
        <f ca="1">SUM(INDIRECT(AU$1&amp;AU$2&amp;$C648):INDIRECT(AU$1&amp;AU$3&amp;$C648))</f>
        <v>35900</v>
      </c>
      <c r="AV648" s="3264">
        <f t="shared" ca="1" si="962"/>
        <v>-35900</v>
      </c>
      <c r="AW648" s="2917">
        <f t="shared" ca="1" si="963"/>
        <v>0</v>
      </c>
      <c r="AX648" s="1253">
        <f ca="1">SUM(INDIRECT(AX$1&amp;AX$2&amp;$A648):INDIRECT(AX$1&amp;AX$3&amp;$A648))</f>
        <v>562280.96372958331</v>
      </c>
      <c r="AY648" s="3264">
        <f t="shared" ca="1" si="964"/>
        <v>-562280.96372958331</v>
      </c>
      <c r="AZ648" s="2917">
        <f t="shared" ca="1" si="965"/>
        <v>0</v>
      </c>
      <c r="BB648" s="1253">
        <f ca="1">SUM((INDIRECT(BB$2&amp;(ROW())):INDIRECT(BB$3&amp;(ROW()))))</f>
        <v>0</v>
      </c>
      <c r="BC648" s="1253">
        <f ca="1">SUM(INDIRECT(BC$1&amp;BC$2&amp;$C648):INDIRECT(BC$1&amp;BC$3&amp;$C648))</f>
        <v>45600</v>
      </c>
      <c r="BD648" s="3264">
        <f t="shared" ca="1" si="966"/>
        <v>-45600</v>
      </c>
      <c r="BE648" s="2917">
        <f t="shared" ca="1" si="967"/>
        <v>0</v>
      </c>
      <c r="BF648" s="1253">
        <f ca="1">SUM(INDIRECT(BF$1&amp;BF$2&amp;$A648):INDIRECT(BF$1&amp;BF$3&amp;$A648))</f>
        <v>1838267.4184196691</v>
      </c>
      <c r="BG648" s="3264">
        <f t="shared" ca="1" si="968"/>
        <v>-1838267.4184196691</v>
      </c>
      <c r="BH648" s="2917">
        <f t="shared" ca="1" si="969"/>
        <v>0</v>
      </c>
    </row>
    <row r="649" spans="1:60" ht="14.5">
      <c r="A649" s="616">
        <f t="shared" si="914"/>
        <v>584</v>
      </c>
      <c r="B649" s="616">
        <v>1</v>
      </c>
      <c r="C649" s="616">
        <f t="shared" si="981"/>
        <v>646</v>
      </c>
      <c r="E649" s="2547">
        <v>1</v>
      </c>
      <c r="I649" s="352"/>
      <c r="J649" s="353"/>
      <c r="K649" s="63"/>
      <c r="L649" s="63"/>
      <c r="M649" s="69" t="s">
        <v>1488</v>
      </c>
      <c r="N649" s="302"/>
      <c r="O649" s="302"/>
      <c r="P649" s="302"/>
      <c r="Q649" s="1777" t="str">
        <f>CHOOSE(2, "6722000003568", "S/GP (3) Net Sales Indirect HW &amp; Solution")</f>
        <v>S/GP (3) Net Sales Indirect HW &amp; Solution</v>
      </c>
      <c r="R649" s="287">
        <f t="shared" ref="R649:AC649" si="990">SUM(R650:R655)</f>
        <v>0</v>
      </c>
      <c r="S649" s="287">
        <f t="shared" si="990"/>
        <v>0</v>
      </c>
      <c r="T649" s="287">
        <f t="shared" si="990"/>
        <v>0</v>
      </c>
      <c r="U649" s="287">
        <f t="shared" si="990"/>
        <v>0</v>
      </c>
      <c r="V649" s="287">
        <f t="shared" si="990"/>
        <v>0</v>
      </c>
      <c r="W649" s="287">
        <f t="shared" si="990"/>
        <v>0</v>
      </c>
      <c r="X649" s="287">
        <f t="shared" si="990"/>
        <v>0</v>
      </c>
      <c r="Y649" s="287">
        <f t="shared" si="990"/>
        <v>0</v>
      </c>
      <c r="Z649" s="287">
        <f t="shared" si="990"/>
        <v>0</v>
      </c>
      <c r="AA649" s="287">
        <f t="shared" si="990"/>
        <v>0</v>
      </c>
      <c r="AB649" s="287">
        <f t="shared" si="990"/>
        <v>0</v>
      </c>
      <c r="AC649" s="287">
        <f t="shared" si="990"/>
        <v>0</v>
      </c>
      <c r="AD649" s="315">
        <f t="shared" ref="AD649:AJ649" si="991">SUM(AD650:AD655)</f>
        <v>0</v>
      </c>
      <c r="AE649" s="287">
        <f t="shared" si="991"/>
        <v>0</v>
      </c>
      <c r="AF649" s="287">
        <f t="shared" si="991"/>
        <v>0</v>
      </c>
      <c r="AG649" s="287">
        <f t="shared" si="991"/>
        <v>0</v>
      </c>
      <c r="AH649" s="287">
        <f t="shared" si="991"/>
        <v>0</v>
      </c>
      <c r="AI649" s="287">
        <f t="shared" si="991"/>
        <v>0</v>
      </c>
      <c r="AJ649" s="287">
        <f t="shared" si="991"/>
        <v>0</v>
      </c>
      <c r="AL649" s="287">
        <f ca="1">SUM((INDIRECT(AL$2&amp;(ROW())):INDIRECT(AL$3&amp;(ROW()))))</f>
        <v>0</v>
      </c>
      <c r="AM649" s="287">
        <f ca="1">SUM(INDIRECT(AM$1&amp;AM$2&amp;$C649):INDIRECT(AM$1&amp;AM$3&amp;$C649))</f>
        <v>0</v>
      </c>
      <c r="AN649" s="3226">
        <f t="shared" ca="1" si="958"/>
        <v>0</v>
      </c>
      <c r="AO649" s="2876">
        <f t="shared" ca="1" si="959"/>
        <v>0</v>
      </c>
      <c r="AP649" s="287">
        <f ca="1">SUM(INDIRECT(AP$1&amp;AP$2&amp;$A649):INDIRECT(AP$1&amp;AP$3&amp;$A649))</f>
        <v>166099.85702958333</v>
      </c>
      <c r="AQ649" s="3226">
        <f t="shared" ca="1" si="960"/>
        <v>-166099.85702958333</v>
      </c>
      <c r="AR649" s="2876">
        <f t="shared" ca="1" si="961"/>
        <v>0</v>
      </c>
      <c r="AT649" s="287">
        <f ca="1">SUM((INDIRECT(AT$2&amp;(ROW())):INDIRECT(AT$3&amp;(ROW()))))</f>
        <v>0</v>
      </c>
      <c r="AU649" s="287">
        <f ca="1">SUM(INDIRECT(AU$1&amp;AU$2&amp;$C649):INDIRECT(AU$1&amp;AU$3&amp;$C649))</f>
        <v>0</v>
      </c>
      <c r="AV649" s="3226">
        <f t="shared" ca="1" si="962"/>
        <v>0</v>
      </c>
      <c r="AW649" s="2876">
        <f t="shared" ca="1" si="963"/>
        <v>0</v>
      </c>
      <c r="AX649" s="287">
        <f ca="1">SUM(INDIRECT(AX$1&amp;AX$2&amp;$A649):INDIRECT(AX$1&amp;AX$3&amp;$A649))</f>
        <v>507653.85702958331</v>
      </c>
      <c r="AY649" s="3226">
        <f t="shared" ca="1" si="964"/>
        <v>-507653.85702958331</v>
      </c>
      <c r="AZ649" s="2876">
        <f t="shared" ca="1" si="965"/>
        <v>0</v>
      </c>
      <c r="BB649" s="287">
        <f ca="1">SUM((INDIRECT(BB$2&amp;(ROW())):INDIRECT(BB$3&amp;(ROW()))))</f>
        <v>0</v>
      </c>
      <c r="BC649" s="287">
        <f ca="1">SUM(INDIRECT(BC$1&amp;BC$2&amp;$C649):INDIRECT(BC$1&amp;BC$3&amp;$C649))</f>
        <v>0</v>
      </c>
      <c r="BD649" s="3226">
        <f t="shared" ca="1" si="966"/>
        <v>0</v>
      </c>
      <c r="BE649" s="2876">
        <f t="shared" ca="1" si="967"/>
        <v>0</v>
      </c>
      <c r="BF649" s="287">
        <f ca="1">SUM(INDIRECT(BF$1&amp;BF$2&amp;$A649):INDIRECT(BF$1&amp;BF$3&amp;$A649))</f>
        <v>1649483.7466170085</v>
      </c>
      <c r="BG649" s="3226">
        <f t="shared" ca="1" si="968"/>
        <v>-1649483.7466170085</v>
      </c>
      <c r="BH649" s="2876">
        <f t="shared" ca="1" si="969"/>
        <v>0</v>
      </c>
    </row>
    <row r="650" spans="1:60" ht="14.5">
      <c r="A650" s="616">
        <f t="shared" si="914"/>
        <v>585</v>
      </c>
      <c r="B650" s="616">
        <v>1</v>
      </c>
      <c r="C650" s="616">
        <f t="shared" si="981"/>
        <v>647</v>
      </c>
      <c r="E650" s="2547">
        <v>1</v>
      </c>
      <c r="I650" s="352"/>
      <c r="J650" s="353"/>
      <c r="K650" s="63"/>
      <c r="L650" s="63"/>
      <c r="M650" s="69"/>
      <c r="N650" s="740" t="s">
        <v>1489</v>
      </c>
      <c r="O650" s="296"/>
      <c r="P650" s="296"/>
      <c r="Q650" s="1779" t="str">
        <f>CHOOSE(2, "6722000003569", "S/GP (3) Net Sales Indirect HW &amp; Solution KM-1/KM-1e")</f>
        <v>S/GP (3) Net Sales Indirect HW &amp; Solution KM-1/KM-1e</v>
      </c>
      <c r="R650" s="1227">
        <v>0</v>
      </c>
      <c r="S650" s="1227">
        <v>0</v>
      </c>
      <c r="T650" s="1227">
        <v>0</v>
      </c>
      <c r="U650" s="1227">
        <v>0</v>
      </c>
      <c r="V650" s="1227">
        <v>0</v>
      </c>
      <c r="W650" s="1227">
        <v>0</v>
      </c>
      <c r="X650" s="1227">
        <v>0</v>
      </c>
      <c r="Y650" s="1227">
        <v>0</v>
      </c>
      <c r="Z650" s="1227">
        <v>0</v>
      </c>
      <c r="AA650" s="1227">
        <v>0</v>
      </c>
      <c r="AB650" s="1227">
        <v>0</v>
      </c>
      <c r="AC650" s="1227">
        <v>0</v>
      </c>
      <c r="AD650" s="295">
        <f t="shared" ref="AD650:AD655" si="992">SUM(R650,S650,T650)</f>
        <v>0</v>
      </c>
      <c r="AE650" s="96">
        <f t="shared" ref="AE650:AE655" si="993">SUM(U650,V650,W650)</f>
        <v>0</v>
      </c>
      <c r="AF650" s="96">
        <f t="shared" ref="AF650:AF655" si="994">SUM(X650,Y650,Z650)</f>
        <v>0</v>
      </c>
      <c r="AG650" s="96">
        <f t="shared" ref="AG650:AG655" si="995">SUM(AA650,AB650,AC650)</f>
        <v>0</v>
      </c>
      <c r="AH650" s="96">
        <f t="shared" ref="AH650:AH655" si="996">AD650+AE650</f>
        <v>0</v>
      </c>
      <c r="AI650" s="96">
        <f t="shared" ref="AI650:AI655" si="997">AG650+AF650</f>
        <v>0</v>
      </c>
      <c r="AJ650" s="96">
        <f t="shared" ref="AJ650:AJ655" si="998">AH650+AI650</f>
        <v>0</v>
      </c>
      <c r="AL650" s="96">
        <f ca="1">SUM((INDIRECT(AL$2&amp;(ROW())):INDIRECT(AL$3&amp;(ROW()))))</f>
        <v>0</v>
      </c>
      <c r="AM650" s="96">
        <f ca="1">SUM(INDIRECT(AM$1&amp;AM$2&amp;$C650):INDIRECT(AM$1&amp;AM$3&amp;$C650))</f>
        <v>0</v>
      </c>
      <c r="AN650" s="3227">
        <f t="shared" ca="1" si="958"/>
        <v>0</v>
      </c>
      <c r="AO650" s="2878">
        <f t="shared" ca="1" si="959"/>
        <v>0</v>
      </c>
      <c r="AP650" s="96">
        <f ca="1">SUM(INDIRECT(AP$1&amp;AP$2&amp;$A650):INDIRECT(AP$1&amp;AP$3&amp;$A650))</f>
        <v>53956.949029583338</v>
      </c>
      <c r="AQ650" s="3227">
        <f t="shared" ca="1" si="960"/>
        <v>-53956.949029583338</v>
      </c>
      <c r="AR650" s="2878">
        <f t="shared" ca="1" si="961"/>
        <v>0</v>
      </c>
      <c r="AT650" s="96">
        <f ca="1">SUM((INDIRECT(AT$2&amp;(ROW())):INDIRECT(AT$3&amp;(ROW()))))</f>
        <v>0</v>
      </c>
      <c r="AU650" s="96">
        <f ca="1">SUM(INDIRECT(AU$1&amp;AU$2&amp;$C650):INDIRECT(AU$1&amp;AU$3&amp;$C650))</f>
        <v>0</v>
      </c>
      <c r="AV650" s="3227">
        <f t="shared" ca="1" si="962"/>
        <v>0</v>
      </c>
      <c r="AW650" s="2878">
        <f t="shared" ca="1" si="963"/>
        <v>0</v>
      </c>
      <c r="AX650" s="96">
        <f ca="1">SUM(INDIRECT(AX$1&amp;AX$2&amp;$A650):INDIRECT(AX$1&amp;AX$3&amp;$A650))</f>
        <v>152913.94902958334</v>
      </c>
      <c r="AY650" s="3227">
        <f t="shared" ca="1" si="964"/>
        <v>-152913.94902958334</v>
      </c>
      <c r="AZ650" s="2878">
        <f t="shared" ca="1" si="965"/>
        <v>0</v>
      </c>
      <c r="BB650" s="96">
        <f ca="1">SUM((INDIRECT(BB$2&amp;(ROW())):INDIRECT(BB$3&amp;(ROW()))))</f>
        <v>0</v>
      </c>
      <c r="BC650" s="96">
        <f ca="1">SUM(INDIRECT(BC$1&amp;BC$2&amp;$C650):INDIRECT(BC$1&amp;BC$3&amp;$C650))</f>
        <v>0</v>
      </c>
      <c r="BD650" s="3227">
        <f t="shared" ca="1" si="966"/>
        <v>0</v>
      </c>
      <c r="BE650" s="2878">
        <f t="shared" ca="1" si="967"/>
        <v>0</v>
      </c>
      <c r="BF650" s="96">
        <f ca="1">SUM(INDIRECT(BF$1&amp;BF$2&amp;$A650):INDIRECT(BF$1&amp;BF$3&amp;$A650))</f>
        <v>506815.08160258736</v>
      </c>
      <c r="BG650" s="3227">
        <f t="shared" ca="1" si="968"/>
        <v>-506815.08160258736</v>
      </c>
      <c r="BH650" s="2878">
        <f t="shared" ca="1" si="969"/>
        <v>0</v>
      </c>
    </row>
    <row r="651" spans="1:60" ht="14.5">
      <c r="A651" s="616">
        <f t="shared" si="914"/>
        <v>586</v>
      </c>
      <c r="B651" s="616">
        <v>1</v>
      </c>
      <c r="C651" s="616">
        <f t="shared" si="981"/>
        <v>648</v>
      </c>
      <c r="E651" s="2547">
        <v>1</v>
      </c>
      <c r="I651" s="352"/>
      <c r="J651" s="353"/>
      <c r="K651" s="63"/>
      <c r="L651" s="63"/>
      <c r="M651" s="69"/>
      <c r="N651" s="69" t="s">
        <v>1401</v>
      </c>
      <c r="O651" s="69"/>
      <c r="P651" s="69"/>
      <c r="Q651" s="1779" t="str">
        <f>CHOOSE(2, "6722000003570", "S/GP (3) Net Sales Indirect HW &amp; Solution Label Printer")</f>
        <v>S/GP (3) Net Sales Indirect HW &amp; Solution Label Printer</v>
      </c>
      <c r="R651" s="1217">
        <v>0</v>
      </c>
      <c r="S651" s="1217">
        <v>0</v>
      </c>
      <c r="T651" s="1217">
        <v>0</v>
      </c>
      <c r="U651" s="1217">
        <v>0</v>
      </c>
      <c r="V651" s="1217">
        <v>0</v>
      </c>
      <c r="W651" s="1217">
        <v>0</v>
      </c>
      <c r="X651" s="1217">
        <v>0</v>
      </c>
      <c r="Y651" s="1217">
        <v>0</v>
      </c>
      <c r="Z651" s="1217">
        <v>0</v>
      </c>
      <c r="AA651" s="1217">
        <v>0</v>
      </c>
      <c r="AB651" s="1217">
        <v>0</v>
      </c>
      <c r="AC651" s="1217">
        <v>0</v>
      </c>
      <c r="AD651" s="88">
        <f t="shared" si="992"/>
        <v>0</v>
      </c>
      <c r="AE651" s="17">
        <f t="shared" si="993"/>
        <v>0</v>
      </c>
      <c r="AF651" s="17">
        <f t="shared" si="994"/>
        <v>0</v>
      </c>
      <c r="AG651" s="17">
        <f t="shared" si="995"/>
        <v>0</v>
      </c>
      <c r="AH651" s="17">
        <f t="shared" si="996"/>
        <v>0</v>
      </c>
      <c r="AI651" s="17">
        <f t="shared" si="997"/>
        <v>0</v>
      </c>
      <c r="AJ651" s="17">
        <f t="shared" si="998"/>
        <v>0</v>
      </c>
      <c r="AL651" s="17">
        <f ca="1">SUM((INDIRECT(AL$2&amp;(ROW())):INDIRECT(AL$3&amp;(ROW()))))</f>
        <v>0</v>
      </c>
      <c r="AM651" s="17">
        <f ca="1">SUM(INDIRECT(AM$1&amp;AM$2&amp;$C651):INDIRECT(AM$1&amp;AM$3&amp;$C651))</f>
        <v>0</v>
      </c>
      <c r="AN651" s="3072">
        <f t="shared" ca="1" si="958"/>
        <v>0</v>
      </c>
      <c r="AO651" s="2708">
        <f t="shared" ca="1" si="959"/>
        <v>0</v>
      </c>
      <c r="AP651" s="17">
        <f ca="1">SUM(INDIRECT(AP$1&amp;AP$2&amp;$A651):INDIRECT(AP$1&amp;AP$3&amp;$A651))</f>
        <v>53956.949029583338</v>
      </c>
      <c r="AQ651" s="3072">
        <f t="shared" ca="1" si="960"/>
        <v>-53956.949029583338</v>
      </c>
      <c r="AR651" s="2708">
        <f t="shared" ca="1" si="961"/>
        <v>0</v>
      </c>
      <c r="AT651" s="17">
        <f ca="1">SUM((INDIRECT(AT$2&amp;(ROW())):INDIRECT(AT$3&amp;(ROW()))))</f>
        <v>0</v>
      </c>
      <c r="AU651" s="17">
        <f ca="1">SUM(INDIRECT(AU$1&amp;AU$2&amp;$C651):INDIRECT(AU$1&amp;AU$3&amp;$C651))</f>
        <v>0</v>
      </c>
      <c r="AV651" s="3072">
        <f t="shared" ca="1" si="962"/>
        <v>0</v>
      </c>
      <c r="AW651" s="2708">
        <f t="shared" ca="1" si="963"/>
        <v>0</v>
      </c>
      <c r="AX651" s="17">
        <f ca="1">SUM(INDIRECT(AX$1&amp;AX$2&amp;$A651):INDIRECT(AX$1&amp;AX$3&amp;$A651))</f>
        <v>152913.94902958334</v>
      </c>
      <c r="AY651" s="3072">
        <f t="shared" ca="1" si="964"/>
        <v>-152913.94902958334</v>
      </c>
      <c r="AZ651" s="2708">
        <f t="shared" ca="1" si="965"/>
        <v>0</v>
      </c>
      <c r="BB651" s="17">
        <f ca="1">SUM((INDIRECT(BB$2&amp;(ROW())):INDIRECT(BB$3&amp;(ROW()))))</f>
        <v>0</v>
      </c>
      <c r="BC651" s="17">
        <f ca="1">SUM(INDIRECT(BC$1&amp;BC$2&amp;$C651):INDIRECT(BC$1&amp;BC$3&amp;$C651))</f>
        <v>0</v>
      </c>
      <c r="BD651" s="3072">
        <f t="shared" ca="1" si="966"/>
        <v>0</v>
      </c>
      <c r="BE651" s="2708">
        <f t="shared" ca="1" si="967"/>
        <v>0</v>
      </c>
      <c r="BF651" s="17">
        <f ca="1">SUM(INDIRECT(BF$1&amp;BF$2&amp;$A651):INDIRECT(BF$1&amp;BF$3&amp;$A651))</f>
        <v>506815.08160258736</v>
      </c>
      <c r="BG651" s="3072">
        <f t="shared" ca="1" si="968"/>
        <v>-506815.08160258736</v>
      </c>
      <c r="BH651" s="2708">
        <f t="shared" ca="1" si="969"/>
        <v>0</v>
      </c>
    </row>
    <row r="652" spans="1:60" ht="14.5">
      <c r="A652" s="616">
        <f t="shared" si="914"/>
        <v>587</v>
      </c>
      <c r="B652" s="616">
        <v>1</v>
      </c>
      <c r="C652" s="616">
        <f t="shared" si="981"/>
        <v>649</v>
      </c>
      <c r="E652" s="2547">
        <v>1</v>
      </c>
      <c r="I652" s="352"/>
      <c r="J652" s="353"/>
      <c r="K652" s="63"/>
      <c r="L652" s="63"/>
      <c r="M652" s="69"/>
      <c r="N652" s="69" t="s">
        <v>1402</v>
      </c>
      <c r="O652" s="69"/>
      <c r="P652" s="69"/>
      <c r="Q652" s="1779" t="str">
        <f>CHOOSE(2, "6722000003571", "S/GP (3) Net Sales Indirect HW &amp; Solution MGI")</f>
        <v>S/GP (3) Net Sales Indirect HW &amp; Solution MGI</v>
      </c>
      <c r="R652" s="1217">
        <v>0</v>
      </c>
      <c r="S652" s="1217">
        <v>0</v>
      </c>
      <c r="T652" s="1217">
        <v>0</v>
      </c>
      <c r="U652" s="1217">
        <v>0</v>
      </c>
      <c r="V652" s="1217">
        <v>0</v>
      </c>
      <c r="W652" s="1217">
        <v>0</v>
      </c>
      <c r="X652" s="1217">
        <v>0</v>
      </c>
      <c r="Y652" s="1217">
        <v>0</v>
      </c>
      <c r="Z652" s="1217">
        <v>0</v>
      </c>
      <c r="AA652" s="1217">
        <v>0</v>
      </c>
      <c r="AB652" s="1217">
        <v>0</v>
      </c>
      <c r="AC652" s="1217">
        <v>0</v>
      </c>
      <c r="AD652" s="88">
        <f t="shared" si="992"/>
        <v>0</v>
      </c>
      <c r="AE652" s="17">
        <f t="shared" si="993"/>
        <v>0</v>
      </c>
      <c r="AF652" s="17">
        <f t="shared" si="994"/>
        <v>0</v>
      </c>
      <c r="AG652" s="17">
        <f t="shared" si="995"/>
        <v>0</v>
      </c>
      <c r="AH652" s="17">
        <f t="shared" si="996"/>
        <v>0</v>
      </c>
      <c r="AI652" s="17">
        <f t="shared" si="997"/>
        <v>0</v>
      </c>
      <c r="AJ652" s="17">
        <f t="shared" si="998"/>
        <v>0</v>
      </c>
      <c r="AL652" s="17">
        <f ca="1">SUM((INDIRECT(AL$2&amp;(ROW())):INDIRECT(AL$3&amp;(ROW()))))</f>
        <v>0</v>
      </c>
      <c r="AM652" s="17">
        <f ca="1">SUM(INDIRECT(AM$1&amp;AM$2&amp;$C652):INDIRECT(AM$1&amp;AM$3&amp;$C652))</f>
        <v>6300</v>
      </c>
      <c r="AN652" s="3072">
        <f t="shared" ca="1" si="958"/>
        <v>-6300</v>
      </c>
      <c r="AO652" s="2708">
        <f t="shared" ca="1" si="959"/>
        <v>0</v>
      </c>
      <c r="AP652" s="17">
        <f ca="1">SUM(INDIRECT(AP$1&amp;AP$2&amp;$A652):INDIRECT(AP$1&amp;AP$3&amp;$A652))</f>
        <v>0</v>
      </c>
      <c r="AQ652" s="3072">
        <f t="shared" ca="1" si="960"/>
        <v>0</v>
      </c>
      <c r="AR652" s="2708">
        <f t="shared" ca="1" si="961"/>
        <v>0</v>
      </c>
      <c r="AT652" s="17">
        <f ca="1">SUM((INDIRECT(AT$2&amp;(ROW())):INDIRECT(AT$3&amp;(ROW()))))</f>
        <v>0</v>
      </c>
      <c r="AU652" s="17">
        <f ca="1">SUM(INDIRECT(AU$1&amp;AU$2&amp;$C652):INDIRECT(AU$1&amp;AU$3&amp;$C652))</f>
        <v>19500</v>
      </c>
      <c r="AV652" s="3072">
        <f t="shared" ca="1" si="962"/>
        <v>-19500</v>
      </c>
      <c r="AW652" s="2708">
        <f t="shared" ca="1" si="963"/>
        <v>0</v>
      </c>
      <c r="AX652" s="17">
        <f ca="1">SUM(INDIRECT(AX$1&amp;AX$2&amp;$A652):INDIRECT(AX$1&amp;AX$3&amp;$A652))</f>
        <v>0</v>
      </c>
      <c r="AY652" s="3072">
        <f t="shared" ca="1" si="964"/>
        <v>0</v>
      </c>
      <c r="AZ652" s="2708">
        <f t="shared" ca="1" si="965"/>
        <v>0</v>
      </c>
      <c r="BB652" s="17">
        <f ca="1">SUM((INDIRECT(BB$2&amp;(ROW())):INDIRECT(BB$3&amp;(ROW()))))</f>
        <v>0</v>
      </c>
      <c r="BC652" s="17">
        <f ca="1">SUM(INDIRECT(BC$1&amp;BC$2&amp;$C652):INDIRECT(BC$1&amp;BC$3&amp;$C652))</f>
        <v>32200</v>
      </c>
      <c r="BD652" s="3072">
        <f t="shared" ca="1" si="966"/>
        <v>-32200</v>
      </c>
      <c r="BE652" s="2708">
        <f t="shared" ca="1" si="967"/>
        <v>0</v>
      </c>
      <c r="BF652" s="17">
        <f ca="1">SUM(INDIRECT(BF$1&amp;BF$2&amp;$A652):INDIRECT(BF$1&amp;BF$3&amp;$A652))</f>
        <v>0</v>
      </c>
      <c r="BG652" s="3072">
        <f t="shared" ca="1" si="968"/>
        <v>0</v>
      </c>
      <c r="BH652" s="2708">
        <f t="shared" ca="1" si="969"/>
        <v>0</v>
      </c>
    </row>
    <row r="653" spans="1:60" ht="14.5">
      <c r="A653" s="616">
        <f t="shared" si="914"/>
        <v>588</v>
      </c>
      <c r="B653" s="616">
        <v>1</v>
      </c>
      <c r="C653" s="616">
        <f t="shared" si="981"/>
        <v>650</v>
      </c>
      <c r="E653" s="2547">
        <v>1</v>
      </c>
      <c r="I653" s="352"/>
      <c r="J653" s="353"/>
      <c r="K653" s="63"/>
      <c r="L653" s="63"/>
      <c r="M653" s="69"/>
      <c r="N653" s="69" t="s">
        <v>1403</v>
      </c>
      <c r="O653" s="69"/>
      <c r="P653" s="69"/>
      <c r="Q653" s="1779" t="str">
        <f>CHOOSE(2, "6722000003572", "S/GP (3) Net Sales Indirect HW &amp; Solution EFI/LF")</f>
        <v>S/GP (3) Net Sales Indirect HW &amp; Solution EFI/LF</v>
      </c>
      <c r="R653" s="1217">
        <v>0</v>
      </c>
      <c r="S653" s="1217">
        <v>0</v>
      </c>
      <c r="T653" s="1217">
        <v>0</v>
      </c>
      <c r="U653" s="1217">
        <v>0</v>
      </c>
      <c r="V653" s="1217">
        <v>0</v>
      </c>
      <c r="W653" s="1217">
        <v>0</v>
      </c>
      <c r="X653" s="1217">
        <v>0</v>
      </c>
      <c r="Y653" s="1217">
        <v>0</v>
      </c>
      <c r="Z653" s="1217">
        <v>0</v>
      </c>
      <c r="AA653" s="1217">
        <v>0</v>
      </c>
      <c r="AB653" s="1217">
        <v>0</v>
      </c>
      <c r="AC653" s="1217">
        <v>0</v>
      </c>
      <c r="AD653" s="88">
        <f t="shared" si="992"/>
        <v>0</v>
      </c>
      <c r="AE653" s="17">
        <f t="shared" si="993"/>
        <v>0</v>
      </c>
      <c r="AF653" s="17">
        <f t="shared" si="994"/>
        <v>0</v>
      </c>
      <c r="AG653" s="17">
        <f t="shared" si="995"/>
        <v>0</v>
      </c>
      <c r="AH653" s="17">
        <f t="shared" si="996"/>
        <v>0</v>
      </c>
      <c r="AI653" s="17">
        <f t="shared" si="997"/>
        <v>0</v>
      </c>
      <c r="AJ653" s="17">
        <f t="shared" si="998"/>
        <v>0</v>
      </c>
      <c r="AL653" s="17">
        <f ca="1">SUM((INDIRECT(AL$2&amp;(ROW())):INDIRECT(AL$3&amp;(ROW()))))</f>
        <v>0</v>
      </c>
      <c r="AM653" s="17">
        <f ca="1">SUM(INDIRECT(AM$1&amp;AM$2&amp;$C653):INDIRECT(AM$1&amp;AM$3&amp;$C653))</f>
        <v>700</v>
      </c>
      <c r="AN653" s="3072">
        <f t="shared" ca="1" si="958"/>
        <v>-700</v>
      </c>
      <c r="AO653" s="2708">
        <f t="shared" ca="1" si="959"/>
        <v>0</v>
      </c>
      <c r="AP653" s="17">
        <f ca="1">SUM(INDIRECT(AP$1&amp;AP$2&amp;$A653):INDIRECT(AP$1&amp;AP$3&amp;$A653))</f>
        <v>112142.908</v>
      </c>
      <c r="AQ653" s="3072">
        <f t="shared" ca="1" si="960"/>
        <v>-112142.908</v>
      </c>
      <c r="AR653" s="2708">
        <f t="shared" ca="1" si="961"/>
        <v>0</v>
      </c>
      <c r="AT653" s="17">
        <f ca="1">SUM((INDIRECT(AT$2&amp;(ROW())):INDIRECT(AT$3&amp;(ROW()))))</f>
        <v>0</v>
      </c>
      <c r="AU653" s="17">
        <f ca="1">SUM(INDIRECT(AU$1&amp;AU$2&amp;$C653):INDIRECT(AU$1&amp;AU$3&amp;$C653))</f>
        <v>2100</v>
      </c>
      <c r="AV653" s="3072">
        <f t="shared" ca="1" si="962"/>
        <v>-2100</v>
      </c>
      <c r="AW653" s="2708">
        <f t="shared" ca="1" si="963"/>
        <v>0</v>
      </c>
      <c r="AX653" s="17">
        <f ca="1">SUM(INDIRECT(AX$1&amp;AX$2&amp;$A653):INDIRECT(AX$1&amp;AX$3&amp;$A653))</f>
        <v>354739.908</v>
      </c>
      <c r="AY653" s="3072">
        <f t="shared" ca="1" si="964"/>
        <v>-354739.908</v>
      </c>
      <c r="AZ653" s="2708">
        <f t="shared" ca="1" si="965"/>
        <v>0</v>
      </c>
      <c r="BB653" s="17">
        <f ca="1">SUM((INDIRECT(BB$2&amp;(ROW())):INDIRECT(BB$3&amp;(ROW()))))</f>
        <v>0</v>
      </c>
      <c r="BC653" s="17">
        <f ca="1">SUM(INDIRECT(BC$1&amp;BC$2&amp;$C653):INDIRECT(BC$1&amp;BC$3&amp;$C653))</f>
        <v>3500</v>
      </c>
      <c r="BD653" s="3072">
        <f t="shared" ca="1" si="966"/>
        <v>-3500</v>
      </c>
      <c r="BE653" s="2708">
        <f t="shared" ca="1" si="967"/>
        <v>0</v>
      </c>
      <c r="BF653" s="17">
        <f ca="1">SUM(INDIRECT(BF$1&amp;BF$2&amp;$A653):INDIRECT(BF$1&amp;BF$3&amp;$A653))</f>
        <v>1142668.6650144211</v>
      </c>
      <c r="BG653" s="3072">
        <f t="shared" ca="1" si="968"/>
        <v>-1142668.6650144211</v>
      </c>
      <c r="BH653" s="2708">
        <f t="shared" ca="1" si="969"/>
        <v>0</v>
      </c>
    </row>
    <row r="654" spans="1:60" ht="14.5">
      <c r="A654" s="616">
        <f t="shared" si="914"/>
        <v>589</v>
      </c>
      <c r="B654" s="616">
        <v>1</v>
      </c>
      <c r="C654" s="616">
        <f t="shared" si="981"/>
        <v>651</v>
      </c>
      <c r="E654" s="2547">
        <v>1</v>
      </c>
      <c r="I654" s="352"/>
      <c r="J654" s="353"/>
      <c r="K654" s="63"/>
      <c r="L654" s="63"/>
      <c r="M654" s="69"/>
      <c r="N654" s="69" t="s">
        <v>1404</v>
      </c>
      <c r="O654" s="69"/>
      <c r="P654" s="69"/>
      <c r="Q654" s="1779" t="str">
        <f>CHOOSE(2, "6722000003573", "S/GP (3) Net Sales Indirect HW &amp; Solution Textile Printer")</f>
        <v>S/GP (3) Net Sales Indirect HW &amp; Solution Textile Printer</v>
      </c>
      <c r="R654" s="1217">
        <v>0</v>
      </c>
      <c r="S654" s="1217">
        <v>0</v>
      </c>
      <c r="T654" s="1217">
        <v>0</v>
      </c>
      <c r="U654" s="1217">
        <v>0</v>
      </c>
      <c r="V654" s="1217">
        <v>0</v>
      </c>
      <c r="W654" s="1217">
        <v>0</v>
      </c>
      <c r="X654" s="1217">
        <v>0</v>
      </c>
      <c r="Y654" s="1217">
        <v>0</v>
      </c>
      <c r="Z654" s="1217">
        <v>0</v>
      </c>
      <c r="AA654" s="1217">
        <v>0</v>
      </c>
      <c r="AB654" s="1217">
        <v>0</v>
      </c>
      <c r="AC654" s="1217">
        <v>0</v>
      </c>
      <c r="AD654" s="88">
        <f t="shared" si="992"/>
        <v>0</v>
      </c>
      <c r="AE654" s="17">
        <f t="shared" si="993"/>
        <v>0</v>
      </c>
      <c r="AF654" s="17">
        <f t="shared" si="994"/>
        <v>0</v>
      </c>
      <c r="AG654" s="17">
        <f t="shared" si="995"/>
        <v>0</v>
      </c>
      <c r="AH654" s="17">
        <f t="shared" si="996"/>
        <v>0</v>
      </c>
      <c r="AI654" s="17">
        <f t="shared" si="997"/>
        <v>0</v>
      </c>
      <c r="AJ654" s="17">
        <f t="shared" si="998"/>
        <v>0</v>
      </c>
      <c r="AL654" s="17">
        <f ca="1">SUM((INDIRECT(AL$2&amp;(ROW())):INDIRECT(AL$3&amp;(ROW()))))</f>
        <v>0</v>
      </c>
      <c r="AM654" s="17">
        <f ca="1">SUM(INDIRECT(AM$1&amp;AM$2&amp;$C654):INDIRECT(AM$1&amp;AM$3&amp;$C654))</f>
        <v>2800</v>
      </c>
      <c r="AN654" s="3072">
        <f t="shared" ca="1" si="958"/>
        <v>-2800</v>
      </c>
      <c r="AO654" s="2708">
        <f t="shared" ca="1" si="959"/>
        <v>0</v>
      </c>
      <c r="AP654" s="17">
        <f ca="1">SUM(INDIRECT(AP$1&amp;AP$2&amp;$A654):INDIRECT(AP$1&amp;AP$3&amp;$A654))</f>
        <v>138441</v>
      </c>
      <c r="AQ654" s="3072">
        <f t="shared" ca="1" si="960"/>
        <v>-138441</v>
      </c>
      <c r="AR654" s="2708">
        <f t="shared" ca="1" si="961"/>
        <v>0</v>
      </c>
      <c r="AT654" s="17">
        <f ca="1">SUM((INDIRECT(AT$2&amp;(ROW())):INDIRECT(AT$3&amp;(ROW()))))</f>
        <v>0</v>
      </c>
      <c r="AU654" s="17">
        <f ca="1">SUM(INDIRECT(AU$1&amp;AU$2&amp;$C654):INDIRECT(AU$1&amp;AU$3&amp;$C654))</f>
        <v>8600</v>
      </c>
      <c r="AV654" s="3072">
        <f t="shared" ca="1" si="962"/>
        <v>-8600</v>
      </c>
      <c r="AW654" s="2708">
        <f t="shared" ca="1" si="963"/>
        <v>0</v>
      </c>
      <c r="AX654" s="17">
        <f ca="1">SUM(INDIRECT(AX$1&amp;AX$2&amp;$A654):INDIRECT(AX$1&amp;AX$3&amp;$A654))</f>
        <v>412989</v>
      </c>
      <c r="AY654" s="3072">
        <f t="shared" ca="1" si="964"/>
        <v>-412989</v>
      </c>
      <c r="AZ654" s="2708">
        <f t="shared" ca="1" si="965"/>
        <v>0</v>
      </c>
      <c r="BB654" s="17">
        <f ca="1">SUM((INDIRECT(BB$2&amp;(ROW())):INDIRECT(BB$3&amp;(ROW()))))</f>
        <v>0</v>
      </c>
      <c r="BC654" s="17">
        <f ca="1">SUM(INDIRECT(BC$1&amp;BC$2&amp;$C654):INDIRECT(BC$1&amp;BC$3&amp;$C654))</f>
        <v>14300</v>
      </c>
      <c r="BD654" s="3072">
        <f t="shared" ca="1" si="966"/>
        <v>-14300</v>
      </c>
      <c r="BE654" s="2708">
        <f t="shared" ca="1" si="967"/>
        <v>0</v>
      </c>
      <c r="BF654" s="17">
        <f ca="1">SUM(INDIRECT(BF$1&amp;BF$2&amp;$A654):INDIRECT(BF$1&amp;BF$3&amp;$A654))</f>
        <v>1339626.10871554</v>
      </c>
      <c r="BG654" s="3072">
        <f t="shared" ca="1" si="968"/>
        <v>-1339626.10871554</v>
      </c>
      <c r="BH654" s="2708">
        <f t="shared" ca="1" si="969"/>
        <v>0</v>
      </c>
    </row>
    <row r="655" spans="1:60" ht="14.5">
      <c r="A655" s="616">
        <f t="shared" si="914"/>
        <v>590</v>
      </c>
      <c r="B655" s="616">
        <v>1</v>
      </c>
      <c r="C655" s="616">
        <f t="shared" si="981"/>
        <v>652</v>
      </c>
      <c r="E655" s="2547">
        <v>1</v>
      </c>
      <c r="I655" s="352"/>
      <c r="J655" s="353"/>
      <c r="K655" s="63"/>
      <c r="L655" s="63"/>
      <c r="M655" s="69"/>
      <c r="N655" s="211" t="s">
        <v>1386</v>
      </c>
      <c r="O655" s="211"/>
      <c r="P655" s="211"/>
      <c r="Q655" s="1779" t="str">
        <f>CHOOSE(2, "6722000003574", "S/GP (3) Net Sales Indirect HW &amp; Solution Others")</f>
        <v>S/GP (3) Net Sales Indirect HW &amp; Solution Others</v>
      </c>
      <c r="R655" s="1218">
        <v>0</v>
      </c>
      <c r="S655" s="1218">
        <v>0</v>
      </c>
      <c r="T655" s="1218">
        <v>0</v>
      </c>
      <c r="U655" s="1218">
        <v>0</v>
      </c>
      <c r="V655" s="1218">
        <v>0</v>
      </c>
      <c r="W655" s="1218">
        <v>0</v>
      </c>
      <c r="X655" s="1218">
        <v>0</v>
      </c>
      <c r="Y655" s="1218">
        <v>0</v>
      </c>
      <c r="Z655" s="1218">
        <v>0</v>
      </c>
      <c r="AA655" s="1218">
        <v>0</v>
      </c>
      <c r="AB655" s="1218">
        <v>0</v>
      </c>
      <c r="AC655" s="1218">
        <v>0</v>
      </c>
      <c r="AD655" s="87">
        <f t="shared" si="992"/>
        <v>0</v>
      </c>
      <c r="AE655" s="15">
        <f t="shared" si="993"/>
        <v>0</v>
      </c>
      <c r="AF655" s="15">
        <f t="shared" si="994"/>
        <v>0</v>
      </c>
      <c r="AG655" s="15">
        <f t="shared" si="995"/>
        <v>0</v>
      </c>
      <c r="AH655" s="15">
        <f t="shared" si="996"/>
        <v>0</v>
      </c>
      <c r="AI655" s="15">
        <f t="shared" si="997"/>
        <v>0</v>
      </c>
      <c r="AJ655" s="15">
        <f t="shared" si="998"/>
        <v>0</v>
      </c>
      <c r="AL655" s="15">
        <f ca="1">SUM((INDIRECT(AL$2&amp;(ROW())):INDIRECT(AL$3&amp;(ROW()))))</f>
        <v>0</v>
      </c>
      <c r="AM655" s="15">
        <f ca="1">SUM(INDIRECT(AM$1&amp;AM$2&amp;$C655):INDIRECT(AM$1&amp;AM$3&amp;$C655))</f>
        <v>2800</v>
      </c>
      <c r="AN655" s="3073">
        <f t="shared" ca="1" si="958"/>
        <v>-2800</v>
      </c>
      <c r="AO655" s="2710">
        <f t="shared" ca="1" si="959"/>
        <v>0</v>
      </c>
      <c r="AP655" s="15">
        <f ca="1">SUM(INDIRECT(AP$1&amp;AP$2&amp;$A655):INDIRECT(AP$1&amp;AP$3&amp;$A655))</f>
        <v>138441</v>
      </c>
      <c r="AQ655" s="3073">
        <f t="shared" ca="1" si="960"/>
        <v>-138441</v>
      </c>
      <c r="AR655" s="2710">
        <f t="shared" ca="1" si="961"/>
        <v>0</v>
      </c>
      <c r="AT655" s="15">
        <f ca="1">SUM((INDIRECT(AT$2&amp;(ROW())):INDIRECT(AT$3&amp;(ROW()))))</f>
        <v>0</v>
      </c>
      <c r="AU655" s="15">
        <f ca="1">SUM(INDIRECT(AU$1&amp;AU$2&amp;$C655):INDIRECT(AU$1&amp;AU$3&amp;$C655))</f>
        <v>8800</v>
      </c>
      <c r="AV655" s="3073">
        <f t="shared" ca="1" si="962"/>
        <v>-8800</v>
      </c>
      <c r="AW655" s="2710">
        <f t="shared" ca="1" si="963"/>
        <v>0</v>
      </c>
      <c r="AX655" s="15">
        <f ca="1">SUM(INDIRECT(AX$1&amp;AX$2&amp;$A655):INDIRECT(AX$1&amp;AX$3&amp;$A655))</f>
        <v>412989</v>
      </c>
      <c r="AY655" s="3073">
        <f t="shared" ca="1" si="964"/>
        <v>-412989</v>
      </c>
      <c r="AZ655" s="2710">
        <f t="shared" ca="1" si="965"/>
        <v>0</v>
      </c>
      <c r="BB655" s="15">
        <f ca="1">SUM((INDIRECT(BB$2&amp;(ROW())):INDIRECT(BB$3&amp;(ROW()))))</f>
        <v>0</v>
      </c>
      <c r="BC655" s="15">
        <f ca="1">SUM(INDIRECT(BC$1&amp;BC$2&amp;$C655):INDIRECT(BC$1&amp;BC$3&amp;$C655))</f>
        <v>14400</v>
      </c>
      <c r="BD655" s="3073">
        <f t="shared" ca="1" si="966"/>
        <v>-14400</v>
      </c>
      <c r="BE655" s="2710">
        <f t="shared" ca="1" si="967"/>
        <v>0</v>
      </c>
      <c r="BF655" s="15">
        <f ca="1">SUM(INDIRECT(BF$1&amp;BF$2&amp;$A655):INDIRECT(BF$1&amp;BF$3&amp;$A655))</f>
        <v>1339626.10871554</v>
      </c>
      <c r="BG655" s="3073">
        <f t="shared" ca="1" si="968"/>
        <v>-1339626.10871554</v>
      </c>
      <c r="BH655" s="2710">
        <f t="shared" ca="1" si="969"/>
        <v>0</v>
      </c>
    </row>
    <row r="656" spans="1:60" ht="14.5">
      <c r="A656" s="616">
        <f t="shared" si="914"/>
        <v>591</v>
      </c>
      <c r="B656" s="616">
        <v>1</v>
      </c>
      <c r="C656" s="616">
        <f t="shared" si="981"/>
        <v>653</v>
      </c>
      <c r="E656" s="2547">
        <v>1</v>
      </c>
      <c r="I656" s="352"/>
      <c r="J656" s="353"/>
      <c r="K656" s="63"/>
      <c r="L656" s="63"/>
      <c r="M656" s="786" t="s">
        <v>1490</v>
      </c>
      <c r="N656" s="302"/>
      <c r="O656" s="302"/>
      <c r="P656" s="302"/>
      <c r="Q656" s="1777" t="str">
        <f>CHOOSE(2, "6722000003575", "S/GP (3) Net Sales Indirect NH")</f>
        <v>S/GP (3) Net Sales Indirect NH</v>
      </c>
      <c r="R656" s="287">
        <f t="shared" ref="R656:AC656" si="999">SUM(R657:R662)</f>
        <v>0</v>
      </c>
      <c r="S656" s="287">
        <f t="shared" si="999"/>
        <v>0</v>
      </c>
      <c r="T656" s="287">
        <f t="shared" si="999"/>
        <v>0</v>
      </c>
      <c r="U656" s="287">
        <f t="shared" si="999"/>
        <v>0</v>
      </c>
      <c r="V656" s="287">
        <f t="shared" si="999"/>
        <v>0</v>
      </c>
      <c r="W656" s="287">
        <f t="shared" si="999"/>
        <v>0</v>
      </c>
      <c r="X656" s="287">
        <f t="shared" si="999"/>
        <v>0</v>
      </c>
      <c r="Y656" s="287">
        <f t="shared" si="999"/>
        <v>0</v>
      </c>
      <c r="Z656" s="287">
        <f t="shared" si="999"/>
        <v>0</v>
      </c>
      <c r="AA656" s="287">
        <f t="shared" si="999"/>
        <v>0</v>
      </c>
      <c r="AB656" s="287">
        <f t="shared" si="999"/>
        <v>0</v>
      </c>
      <c r="AC656" s="287">
        <f t="shared" si="999"/>
        <v>0</v>
      </c>
      <c r="AD656" s="315">
        <f t="shared" ref="AD656:AJ656" si="1000">SUM(AD657:AD662)</f>
        <v>0</v>
      </c>
      <c r="AE656" s="287">
        <f t="shared" si="1000"/>
        <v>0</v>
      </c>
      <c r="AF656" s="287">
        <f t="shared" si="1000"/>
        <v>0</v>
      </c>
      <c r="AG656" s="287">
        <f t="shared" si="1000"/>
        <v>0</v>
      </c>
      <c r="AH656" s="287">
        <f t="shared" si="1000"/>
        <v>0</v>
      </c>
      <c r="AI656" s="287">
        <f t="shared" si="1000"/>
        <v>0</v>
      </c>
      <c r="AJ656" s="287">
        <f t="shared" si="1000"/>
        <v>0</v>
      </c>
      <c r="AL656" s="287">
        <f ca="1">SUM((INDIRECT(AL$2&amp;(ROW())):INDIRECT(AL$3&amp;(ROW()))))</f>
        <v>0</v>
      </c>
      <c r="AM656" s="287">
        <f ca="1">SUM(INDIRECT(AM$1&amp;AM$2&amp;$C656):INDIRECT(AM$1&amp;AM$3&amp;$C656))</f>
        <v>0</v>
      </c>
      <c r="AN656" s="3226">
        <f t="shared" ca="1" si="958"/>
        <v>0</v>
      </c>
      <c r="AO656" s="2876">
        <f t="shared" ca="1" si="959"/>
        <v>0</v>
      </c>
      <c r="AP656" s="287">
        <f ca="1">SUM(INDIRECT(AP$1&amp;AP$2&amp;$A656):INDIRECT(AP$1&amp;AP$3&amp;$A656))</f>
        <v>0</v>
      </c>
      <c r="AQ656" s="3226">
        <f t="shared" ca="1" si="960"/>
        <v>0</v>
      </c>
      <c r="AR656" s="2876">
        <f t="shared" ca="1" si="961"/>
        <v>0</v>
      </c>
      <c r="AT656" s="287">
        <f ca="1">SUM((INDIRECT(AT$2&amp;(ROW())):INDIRECT(AT$3&amp;(ROW()))))</f>
        <v>0</v>
      </c>
      <c r="AU656" s="287">
        <f ca="1">SUM(INDIRECT(AU$1&amp;AU$2&amp;$C656):INDIRECT(AU$1&amp;AU$3&amp;$C656))</f>
        <v>0</v>
      </c>
      <c r="AV656" s="3226">
        <f t="shared" ca="1" si="962"/>
        <v>0</v>
      </c>
      <c r="AW656" s="2876">
        <f t="shared" ca="1" si="963"/>
        <v>0</v>
      </c>
      <c r="AX656" s="287">
        <f ca="1">SUM(INDIRECT(AX$1&amp;AX$2&amp;$A656):INDIRECT(AX$1&amp;AX$3&amp;$A656))</f>
        <v>0</v>
      </c>
      <c r="AY656" s="3226">
        <f t="shared" ca="1" si="964"/>
        <v>0</v>
      </c>
      <c r="AZ656" s="2876">
        <f t="shared" ca="1" si="965"/>
        <v>0</v>
      </c>
      <c r="BB656" s="287">
        <f ca="1">SUM((INDIRECT(BB$2&amp;(ROW())):INDIRECT(BB$3&amp;(ROW()))))</f>
        <v>0</v>
      </c>
      <c r="BC656" s="287">
        <f ca="1">SUM(INDIRECT(BC$1&amp;BC$2&amp;$C656):INDIRECT(BC$1&amp;BC$3&amp;$C656))</f>
        <v>0</v>
      </c>
      <c r="BD656" s="3226">
        <f t="shared" ca="1" si="966"/>
        <v>0</v>
      </c>
      <c r="BE656" s="2876">
        <f t="shared" ca="1" si="967"/>
        <v>0</v>
      </c>
      <c r="BF656" s="287">
        <f ca="1">SUM(INDIRECT(BF$1&amp;BF$2&amp;$A656):INDIRECT(BF$1&amp;BF$3&amp;$A656))</f>
        <v>0</v>
      </c>
      <c r="BG656" s="3226">
        <f t="shared" ca="1" si="968"/>
        <v>0</v>
      </c>
      <c r="BH656" s="2876">
        <f t="shared" ca="1" si="969"/>
        <v>0</v>
      </c>
    </row>
    <row r="657" spans="1:60" ht="14.5">
      <c r="A657" s="616">
        <f t="shared" si="914"/>
        <v>592</v>
      </c>
      <c r="B657" s="616">
        <v>1</v>
      </c>
      <c r="C657" s="616">
        <f t="shared" si="981"/>
        <v>654</v>
      </c>
      <c r="E657" s="2547">
        <v>1</v>
      </c>
      <c r="I657" s="352"/>
      <c r="J657" s="353"/>
      <c r="K657" s="63"/>
      <c r="L657" s="63"/>
      <c r="M657" s="69"/>
      <c r="N657" s="740" t="s">
        <v>1489</v>
      </c>
      <c r="O657" s="296"/>
      <c r="P657" s="296"/>
      <c r="Q657" s="1779" t="str">
        <f>CHOOSE(2, "6722000003576", "S/GP (3) Net Sales Indirect NH KM-1/KM-1e")</f>
        <v>S/GP (3) Net Sales Indirect NH KM-1/KM-1e</v>
      </c>
      <c r="R657" s="1227">
        <v>0</v>
      </c>
      <c r="S657" s="1227">
        <v>0</v>
      </c>
      <c r="T657" s="1227">
        <v>0</v>
      </c>
      <c r="U657" s="1227">
        <v>0</v>
      </c>
      <c r="V657" s="1227">
        <v>0</v>
      </c>
      <c r="W657" s="1227">
        <v>0</v>
      </c>
      <c r="X657" s="1227">
        <v>0</v>
      </c>
      <c r="Y657" s="1227">
        <v>0</v>
      </c>
      <c r="Z657" s="1227">
        <v>0</v>
      </c>
      <c r="AA657" s="1227">
        <v>0</v>
      </c>
      <c r="AB657" s="1227">
        <v>0</v>
      </c>
      <c r="AC657" s="1227">
        <v>0</v>
      </c>
      <c r="AD657" s="295">
        <f t="shared" ref="AD657:AD662" si="1001">SUM(R657,S657,T657)</f>
        <v>0</v>
      </c>
      <c r="AE657" s="96">
        <f t="shared" ref="AE657:AE662" si="1002">SUM(U657,V657,W657)</f>
        <v>0</v>
      </c>
      <c r="AF657" s="96">
        <f t="shared" ref="AF657:AF662" si="1003">SUM(X657,Y657,Z657)</f>
        <v>0</v>
      </c>
      <c r="AG657" s="96">
        <f t="shared" ref="AG657:AG662" si="1004">SUM(AA657,AB657,AC657)</f>
        <v>0</v>
      </c>
      <c r="AH657" s="96">
        <f t="shared" ref="AH657:AH662" si="1005">AD657+AE657</f>
        <v>0</v>
      </c>
      <c r="AI657" s="96">
        <f t="shared" ref="AI657:AI662" si="1006">AG657+AF657</f>
        <v>0</v>
      </c>
      <c r="AJ657" s="96">
        <f t="shared" ref="AJ657:AJ662" si="1007">AH657+AI657</f>
        <v>0</v>
      </c>
      <c r="AL657" s="96">
        <f ca="1">SUM((INDIRECT(AL$2&amp;(ROW())):INDIRECT(AL$3&amp;(ROW()))))</f>
        <v>0</v>
      </c>
      <c r="AM657" s="96">
        <f ca="1">SUM(INDIRECT(AM$1&amp;AM$2&amp;$C657):INDIRECT(AM$1&amp;AM$3&amp;$C657))</f>
        <v>0</v>
      </c>
      <c r="AN657" s="3227">
        <f t="shared" ca="1" si="958"/>
        <v>0</v>
      </c>
      <c r="AO657" s="2878">
        <f t="shared" ca="1" si="959"/>
        <v>0</v>
      </c>
      <c r="AP657" s="96">
        <f ca="1">SUM(INDIRECT(AP$1&amp;AP$2&amp;$A657):INDIRECT(AP$1&amp;AP$3&amp;$A657))</f>
        <v>0</v>
      </c>
      <c r="AQ657" s="3227">
        <f t="shared" ca="1" si="960"/>
        <v>0</v>
      </c>
      <c r="AR657" s="2878">
        <f t="shared" ca="1" si="961"/>
        <v>0</v>
      </c>
      <c r="AT657" s="96">
        <f ca="1">SUM((INDIRECT(AT$2&amp;(ROW())):INDIRECT(AT$3&amp;(ROW()))))</f>
        <v>0</v>
      </c>
      <c r="AU657" s="96">
        <f ca="1">SUM(INDIRECT(AU$1&amp;AU$2&amp;$C657):INDIRECT(AU$1&amp;AU$3&amp;$C657))</f>
        <v>0</v>
      </c>
      <c r="AV657" s="3227">
        <f t="shared" ca="1" si="962"/>
        <v>0</v>
      </c>
      <c r="AW657" s="2878">
        <f t="shared" ca="1" si="963"/>
        <v>0</v>
      </c>
      <c r="AX657" s="96">
        <f ca="1">SUM(INDIRECT(AX$1&amp;AX$2&amp;$A657):INDIRECT(AX$1&amp;AX$3&amp;$A657))</f>
        <v>0</v>
      </c>
      <c r="AY657" s="3227">
        <f t="shared" ca="1" si="964"/>
        <v>0</v>
      </c>
      <c r="AZ657" s="2878">
        <f t="shared" ca="1" si="965"/>
        <v>0</v>
      </c>
      <c r="BB657" s="96">
        <f ca="1">SUM((INDIRECT(BB$2&amp;(ROW())):INDIRECT(BB$3&amp;(ROW()))))</f>
        <v>0</v>
      </c>
      <c r="BC657" s="96">
        <f ca="1">SUM(INDIRECT(BC$1&amp;BC$2&amp;$C657):INDIRECT(BC$1&amp;BC$3&amp;$C657))</f>
        <v>0</v>
      </c>
      <c r="BD657" s="3227">
        <f t="shared" ca="1" si="966"/>
        <v>0</v>
      </c>
      <c r="BE657" s="2878">
        <f t="shared" ca="1" si="967"/>
        <v>0</v>
      </c>
      <c r="BF657" s="96">
        <f ca="1">SUM(INDIRECT(BF$1&amp;BF$2&amp;$A657):INDIRECT(BF$1&amp;BF$3&amp;$A657))</f>
        <v>0</v>
      </c>
      <c r="BG657" s="3227">
        <f t="shared" ca="1" si="968"/>
        <v>0</v>
      </c>
      <c r="BH657" s="2878">
        <f t="shared" ca="1" si="969"/>
        <v>0</v>
      </c>
    </row>
    <row r="658" spans="1:60" ht="14.5">
      <c r="A658" s="616">
        <f t="shared" si="914"/>
        <v>593</v>
      </c>
      <c r="B658" s="616">
        <v>1</v>
      </c>
      <c r="C658" s="616">
        <f t="shared" si="981"/>
        <v>655</v>
      </c>
      <c r="E658" s="2547">
        <v>1</v>
      </c>
      <c r="I658" s="352"/>
      <c r="J658" s="353"/>
      <c r="K658" s="63"/>
      <c r="L658" s="63"/>
      <c r="M658" s="69"/>
      <c r="N658" s="69" t="s">
        <v>1401</v>
      </c>
      <c r="O658" s="69"/>
      <c r="P658" s="69"/>
      <c r="Q658" s="1779" t="str">
        <f>CHOOSE(2, "6722000003577", "S/GP (3) Net Sales Indirect NH Label Printer")</f>
        <v>S/GP (3) Net Sales Indirect NH Label Printer</v>
      </c>
      <c r="R658" s="1217">
        <v>0</v>
      </c>
      <c r="S658" s="1217">
        <v>0</v>
      </c>
      <c r="T658" s="1217">
        <v>0</v>
      </c>
      <c r="U658" s="1217">
        <v>0</v>
      </c>
      <c r="V658" s="1217">
        <v>0</v>
      </c>
      <c r="W658" s="1217">
        <v>0</v>
      </c>
      <c r="X658" s="1217">
        <v>0</v>
      </c>
      <c r="Y658" s="1217">
        <v>0</v>
      </c>
      <c r="Z658" s="1217">
        <v>0</v>
      </c>
      <c r="AA658" s="1217">
        <v>0</v>
      </c>
      <c r="AB658" s="1217">
        <v>0</v>
      </c>
      <c r="AC658" s="1217">
        <v>0</v>
      </c>
      <c r="AD658" s="88">
        <f t="shared" si="1001"/>
        <v>0</v>
      </c>
      <c r="AE658" s="17">
        <f t="shared" si="1002"/>
        <v>0</v>
      </c>
      <c r="AF658" s="17">
        <f t="shared" si="1003"/>
        <v>0</v>
      </c>
      <c r="AG658" s="17">
        <f t="shared" si="1004"/>
        <v>0</v>
      </c>
      <c r="AH658" s="17">
        <f t="shared" si="1005"/>
        <v>0</v>
      </c>
      <c r="AI658" s="17">
        <f t="shared" si="1006"/>
        <v>0</v>
      </c>
      <c r="AJ658" s="17">
        <f t="shared" si="1007"/>
        <v>0</v>
      </c>
      <c r="AL658" s="17">
        <f ca="1">SUM((INDIRECT(AL$2&amp;(ROW())):INDIRECT(AL$3&amp;(ROW()))))</f>
        <v>0</v>
      </c>
      <c r="AM658" s="17">
        <f ca="1">SUM(INDIRECT(AM$1&amp;AM$2&amp;$C658):INDIRECT(AM$1&amp;AM$3&amp;$C658))</f>
        <v>0</v>
      </c>
      <c r="AN658" s="3072">
        <f t="shared" ca="1" si="958"/>
        <v>0</v>
      </c>
      <c r="AO658" s="2708">
        <f t="shared" ca="1" si="959"/>
        <v>0</v>
      </c>
      <c r="AP658" s="17">
        <f ca="1">SUM(INDIRECT(AP$1&amp;AP$2&amp;$A658):INDIRECT(AP$1&amp;AP$3&amp;$A658))</f>
        <v>-26298.092000000001</v>
      </c>
      <c r="AQ658" s="3072">
        <f t="shared" ca="1" si="960"/>
        <v>26298.092000000001</v>
      </c>
      <c r="AR658" s="2708">
        <f t="shared" ca="1" si="961"/>
        <v>0</v>
      </c>
      <c r="AT658" s="17">
        <f ca="1">SUM((INDIRECT(AT$2&amp;(ROW())):INDIRECT(AT$3&amp;(ROW()))))</f>
        <v>0</v>
      </c>
      <c r="AU658" s="17">
        <f ca="1">SUM(INDIRECT(AU$1&amp;AU$2&amp;$C658):INDIRECT(AU$1&amp;AU$3&amp;$C658))</f>
        <v>0</v>
      </c>
      <c r="AV658" s="3072">
        <f t="shared" ca="1" si="962"/>
        <v>0</v>
      </c>
      <c r="AW658" s="2708">
        <f t="shared" ca="1" si="963"/>
        <v>0</v>
      </c>
      <c r="AX658" s="17">
        <f ca="1">SUM(INDIRECT(AX$1&amp;AX$2&amp;$A658):INDIRECT(AX$1&amp;AX$3&amp;$A658))</f>
        <v>-58249.092000000004</v>
      </c>
      <c r="AY658" s="3072">
        <f t="shared" ca="1" si="964"/>
        <v>58249.092000000004</v>
      </c>
      <c r="AZ658" s="2708">
        <f t="shared" ca="1" si="965"/>
        <v>0</v>
      </c>
      <c r="BB658" s="17">
        <f ca="1">SUM((INDIRECT(BB$2&amp;(ROW())):INDIRECT(BB$3&amp;(ROW()))))</f>
        <v>0</v>
      </c>
      <c r="BC658" s="17">
        <f ca="1">SUM(INDIRECT(BC$1&amp;BC$2&amp;$C658):INDIRECT(BC$1&amp;BC$3&amp;$C658))</f>
        <v>0</v>
      </c>
      <c r="BD658" s="3072">
        <f t="shared" ca="1" si="966"/>
        <v>0</v>
      </c>
      <c r="BE658" s="2708">
        <f t="shared" ca="1" si="967"/>
        <v>0</v>
      </c>
      <c r="BF658" s="17">
        <f ca="1">SUM(INDIRECT(BF$1&amp;BF$2&amp;$A658):INDIRECT(BF$1&amp;BF$3&amp;$A658))</f>
        <v>-196957.44370111896</v>
      </c>
      <c r="BG658" s="3072">
        <f t="shared" ca="1" si="968"/>
        <v>196957.44370111896</v>
      </c>
      <c r="BH658" s="2708">
        <f t="shared" ca="1" si="969"/>
        <v>0</v>
      </c>
    </row>
    <row r="659" spans="1:60" ht="14.5">
      <c r="A659" s="616">
        <f t="shared" si="914"/>
        <v>594</v>
      </c>
      <c r="B659" s="616">
        <v>1</v>
      </c>
      <c r="C659" s="616">
        <f t="shared" si="981"/>
        <v>656</v>
      </c>
      <c r="E659" s="2547">
        <v>1</v>
      </c>
      <c r="I659" s="352"/>
      <c r="J659" s="353"/>
      <c r="K659" s="63"/>
      <c r="L659" s="63"/>
      <c r="M659" s="69"/>
      <c r="N659" s="69" t="s">
        <v>1402</v>
      </c>
      <c r="O659" s="69"/>
      <c r="P659" s="69"/>
      <c r="Q659" s="1779" t="str">
        <f>CHOOSE(2, "6722000003578", "S/GP (3) Net Sales Indirect NH MGI")</f>
        <v>S/GP (3) Net Sales Indirect NH MGI</v>
      </c>
      <c r="R659" s="1217">
        <v>0</v>
      </c>
      <c r="S659" s="1217">
        <v>0</v>
      </c>
      <c r="T659" s="1217">
        <v>0</v>
      </c>
      <c r="U659" s="1217">
        <v>0</v>
      </c>
      <c r="V659" s="1217">
        <v>0</v>
      </c>
      <c r="W659" s="1217">
        <v>0</v>
      </c>
      <c r="X659" s="1217">
        <v>0</v>
      </c>
      <c r="Y659" s="1217">
        <v>0</v>
      </c>
      <c r="Z659" s="1217">
        <v>0</v>
      </c>
      <c r="AA659" s="1217">
        <v>0</v>
      </c>
      <c r="AB659" s="1217">
        <v>0</v>
      </c>
      <c r="AC659" s="1217">
        <v>0</v>
      </c>
      <c r="AD659" s="88">
        <f t="shared" si="1001"/>
        <v>0</v>
      </c>
      <c r="AE659" s="17">
        <f t="shared" si="1002"/>
        <v>0</v>
      </c>
      <c r="AF659" s="17">
        <f t="shared" si="1003"/>
        <v>0</v>
      </c>
      <c r="AG659" s="17">
        <f t="shared" si="1004"/>
        <v>0</v>
      </c>
      <c r="AH659" s="17">
        <f t="shared" si="1005"/>
        <v>0</v>
      </c>
      <c r="AI659" s="17">
        <f t="shared" si="1006"/>
        <v>0</v>
      </c>
      <c r="AJ659" s="17">
        <f t="shared" si="1007"/>
        <v>0</v>
      </c>
      <c r="AL659" s="17">
        <f ca="1">SUM((INDIRECT(AL$2&amp;(ROW())):INDIRECT(AL$3&amp;(ROW()))))</f>
        <v>0</v>
      </c>
      <c r="AM659" s="17">
        <f ca="1">SUM(INDIRECT(AM$1&amp;AM$2&amp;$C659):INDIRECT(AM$1&amp;AM$3&amp;$C659))</f>
        <v>0</v>
      </c>
      <c r="AN659" s="3072">
        <f t="shared" ca="1" si="958"/>
        <v>0</v>
      </c>
      <c r="AO659" s="2708">
        <f t="shared" ca="1" si="959"/>
        <v>0</v>
      </c>
      <c r="AP659" s="17">
        <f ca="1">SUM(INDIRECT(AP$1&amp;AP$2&amp;$A659):INDIRECT(AP$1&amp;AP$3&amp;$A659))</f>
        <v>-22624</v>
      </c>
      <c r="AQ659" s="3072">
        <f t="shared" ca="1" si="960"/>
        <v>22624</v>
      </c>
      <c r="AR659" s="2708">
        <f t="shared" ca="1" si="961"/>
        <v>0</v>
      </c>
      <c r="AT659" s="17">
        <f ca="1">SUM((INDIRECT(AT$2&amp;(ROW())):INDIRECT(AT$3&amp;(ROW()))))</f>
        <v>0</v>
      </c>
      <c r="AU659" s="17">
        <f ca="1">SUM(INDIRECT(AU$1&amp;AU$2&amp;$C659):INDIRECT(AU$1&amp;AU$3&amp;$C659))</f>
        <v>0</v>
      </c>
      <c r="AV659" s="3072">
        <f t="shared" ca="1" si="962"/>
        <v>0</v>
      </c>
      <c r="AW659" s="2708">
        <f t="shared" ca="1" si="963"/>
        <v>0</v>
      </c>
      <c r="AX659" s="17">
        <f ca="1">SUM(INDIRECT(AX$1&amp;AX$2&amp;$A659):INDIRECT(AX$1&amp;AX$3&amp;$A659))</f>
        <v>-49135</v>
      </c>
      <c r="AY659" s="3072">
        <f t="shared" ca="1" si="964"/>
        <v>49135</v>
      </c>
      <c r="AZ659" s="2708">
        <f t="shared" ca="1" si="965"/>
        <v>0</v>
      </c>
      <c r="BB659" s="17">
        <f ca="1">SUM((INDIRECT(BB$2&amp;(ROW())):INDIRECT(BB$3&amp;(ROW()))))</f>
        <v>0</v>
      </c>
      <c r="BC659" s="17">
        <f ca="1">SUM(INDIRECT(BC$1&amp;BC$2&amp;$C659):INDIRECT(BC$1&amp;BC$3&amp;$C659))</f>
        <v>0</v>
      </c>
      <c r="BD659" s="3072">
        <f t="shared" ca="1" si="966"/>
        <v>0</v>
      </c>
      <c r="BE659" s="2708">
        <f t="shared" ca="1" si="967"/>
        <v>0</v>
      </c>
      <c r="BF659" s="17">
        <f ca="1">SUM(INDIRECT(BF$1&amp;BF$2&amp;$A659):INDIRECT(BF$1&amp;BF$3&amp;$A659))</f>
        <v>-166930.14570111895</v>
      </c>
      <c r="BG659" s="3072">
        <f t="shared" ca="1" si="968"/>
        <v>166930.14570111895</v>
      </c>
      <c r="BH659" s="2708">
        <f t="shared" ca="1" si="969"/>
        <v>0</v>
      </c>
    </row>
    <row r="660" spans="1:60" ht="14.5">
      <c r="A660" s="616">
        <f t="shared" si="914"/>
        <v>595</v>
      </c>
      <c r="B660" s="616">
        <v>1</v>
      </c>
      <c r="C660" s="616">
        <f t="shared" si="981"/>
        <v>657</v>
      </c>
      <c r="E660" s="2547">
        <v>1</v>
      </c>
      <c r="I660" s="352"/>
      <c r="J660" s="353"/>
      <c r="K660" s="63"/>
      <c r="L660" s="63"/>
      <c r="M660" s="69"/>
      <c r="N660" s="69" t="s">
        <v>1403</v>
      </c>
      <c r="O660" s="69"/>
      <c r="P660" s="69"/>
      <c r="Q660" s="1779" t="str">
        <f>CHOOSE(2, "6722000003579", "S/GP (3) Net Sales Indirect NH EFI/LF")</f>
        <v>S/GP (3) Net Sales Indirect NH EFI/LF</v>
      </c>
      <c r="R660" s="1217">
        <v>0</v>
      </c>
      <c r="S660" s="1217">
        <v>0</v>
      </c>
      <c r="T660" s="1217">
        <v>0</v>
      </c>
      <c r="U660" s="1217">
        <v>0</v>
      </c>
      <c r="V660" s="1217">
        <v>0</v>
      </c>
      <c r="W660" s="1217">
        <v>0</v>
      </c>
      <c r="X660" s="1217">
        <v>0</v>
      </c>
      <c r="Y660" s="1217">
        <v>0</v>
      </c>
      <c r="Z660" s="1217">
        <v>0</v>
      </c>
      <c r="AA660" s="1217">
        <v>0</v>
      </c>
      <c r="AB660" s="1217">
        <v>0</v>
      </c>
      <c r="AC660" s="1217">
        <v>0</v>
      </c>
      <c r="AD660" s="88">
        <f t="shared" si="1001"/>
        <v>0</v>
      </c>
      <c r="AE660" s="17">
        <f t="shared" si="1002"/>
        <v>0</v>
      </c>
      <c r="AF660" s="17">
        <f t="shared" si="1003"/>
        <v>0</v>
      </c>
      <c r="AG660" s="17">
        <f t="shared" si="1004"/>
        <v>0</v>
      </c>
      <c r="AH660" s="17">
        <f t="shared" si="1005"/>
        <v>0</v>
      </c>
      <c r="AI660" s="17">
        <f t="shared" si="1006"/>
        <v>0</v>
      </c>
      <c r="AJ660" s="17">
        <f t="shared" si="1007"/>
        <v>0</v>
      </c>
      <c r="AL660" s="17">
        <f ca="1">SUM((INDIRECT(AL$2&amp;(ROW())):INDIRECT(AL$3&amp;(ROW()))))</f>
        <v>0</v>
      </c>
      <c r="AM660" s="17">
        <f ca="1">SUM(INDIRECT(AM$1&amp;AM$2&amp;$C660):INDIRECT(AM$1&amp;AM$3&amp;$C660))</f>
        <v>0</v>
      </c>
      <c r="AN660" s="3072">
        <f t="shared" ca="1" si="958"/>
        <v>0</v>
      </c>
      <c r="AO660" s="2708">
        <f t="shared" ca="1" si="959"/>
        <v>0</v>
      </c>
      <c r="AP660" s="17">
        <f ca="1">SUM(INDIRECT(AP$1&amp;AP$2&amp;$A660):INDIRECT(AP$1&amp;AP$3&amp;$A660))</f>
        <v>-3386.3440000000001</v>
      </c>
      <c r="AQ660" s="3072">
        <f t="shared" ca="1" si="960"/>
        <v>3386.3440000000001</v>
      </c>
      <c r="AR660" s="2708">
        <f t="shared" ca="1" si="961"/>
        <v>0</v>
      </c>
      <c r="AT660" s="17">
        <f ca="1">SUM((INDIRECT(AT$2&amp;(ROW())):INDIRECT(AT$3&amp;(ROW()))))</f>
        <v>0</v>
      </c>
      <c r="AU660" s="17">
        <f ca="1">SUM(INDIRECT(AU$1&amp;AU$2&amp;$C660):INDIRECT(AU$1&amp;AU$3&amp;$C660))</f>
        <v>0</v>
      </c>
      <c r="AV660" s="3072">
        <f t="shared" ca="1" si="962"/>
        <v>0</v>
      </c>
      <c r="AW660" s="2708">
        <f t="shared" ca="1" si="963"/>
        <v>0</v>
      </c>
      <c r="AX660" s="17">
        <f ca="1">SUM(INDIRECT(AX$1&amp;AX$2&amp;$A660):INDIRECT(AX$1&amp;AX$3&amp;$A660))</f>
        <v>-8250.344000000001</v>
      </c>
      <c r="AY660" s="3072">
        <f t="shared" ca="1" si="964"/>
        <v>8250.344000000001</v>
      </c>
      <c r="AZ660" s="2708">
        <f t="shared" ca="1" si="965"/>
        <v>0</v>
      </c>
      <c r="BB660" s="17">
        <f ca="1">SUM((INDIRECT(BB$2&amp;(ROW())):INDIRECT(BB$3&amp;(ROW()))))</f>
        <v>0</v>
      </c>
      <c r="BC660" s="17">
        <f ca="1">SUM(INDIRECT(BC$1&amp;BC$2&amp;$C660):INDIRECT(BC$1&amp;BC$3&amp;$C660))</f>
        <v>0</v>
      </c>
      <c r="BD660" s="3072">
        <f t="shared" ca="1" si="966"/>
        <v>0</v>
      </c>
      <c r="BE660" s="2708">
        <f t="shared" ca="1" si="967"/>
        <v>0</v>
      </c>
      <c r="BF660" s="17">
        <f ca="1">SUM(INDIRECT(BF$1&amp;BF$2&amp;$A660):INDIRECT(BF$1&amp;BF$3&amp;$A660))</f>
        <v>-26975.306</v>
      </c>
      <c r="BG660" s="3072">
        <f t="shared" ca="1" si="968"/>
        <v>26975.306</v>
      </c>
      <c r="BH660" s="2708">
        <f t="shared" ca="1" si="969"/>
        <v>0</v>
      </c>
    </row>
    <row r="661" spans="1:60" ht="14.5">
      <c r="A661" s="616">
        <f t="shared" si="914"/>
        <v>596</v>
      </c>
      <c r="B661" s="616">
        <v>1</v>
      </c>
      <c r="C661" s="616">
        <f t="shared" si="981"/>
        <v>658</v>
      </c>
      <c r="E661" s="2547">
        <v>1</v>
      </c>
      <c r="I661" s="352"/>
      <c r="J661" s="353"/>
      <c r="K661" s="63"/>
      <c r="L661" s="63"/>
      <c r="M661" s="69"/>
      <c r="N661" s="69" t="s">
        <v>1404</v>
      </c>
      <c r="O661" s="69"/>
      <c r="P661" s="69"/>
      <c r="Q661" s="1779" t="str">
        <f>CHOOSE(2, "6722000003580", "S/GP (3) Net Sales Indirect NH Textile Printer")</f>
        <v>S/GP (3) Net Sales Indirect NH Textile Printer</v>
      </c>
      <c r="R661" s="1217">
        <v>0</v>
      </c>
      <c r="S661" s="1217">
        <v>0</v>
      </c>
      <c r="T661" s="1217">
        <v>0</v>
      </c>
      <c r="U661" s="1217">
        <v>0</v>
      </c>
      <c r="V661" s="1217">
        <v>0</v>
      </c>
      <c r="W661" s="1217">
        <v>0</v>
      </c>
      <c r="X661" s="1217">
        <v>0</v>
      </c>
      <c r="Y661" s="1217">
        <v>0</v>
      </c>
      <c r="Z661" s="1217">
        <v>0</v>
      </c>
      <c r="AA661" s="1217">
        <v>0</v>
      </c>
      <c r="AB661" s="1217">
        <v>0</v>
      </c>
      <c r="AC661" s="1217">
        <v>0</v>
      </c>
      <c r="AD661" s="88">
        <f t="shared" si="1001"/>
        <v>0</v>
      </c>
      <c r="AE661" s="17">
        <f t="shared" si="1002"/>
        <v>0</v>
      </c>
      <c r="AF661" s="17">
        <f t="shared" si="1003"/>
        <v>0</v>
      </c>
      <c r="AG661" s="17">
        <f t="shared" si="1004"/>
        <v>0</v>
      </c>
      <c r="AH661" s="17">
        <f t="shared" si="1005"/>
        <v>0</v>
      </c>
      <c r="AI661" s="17">
        <f t="shared" si="1006"/>
        <v>0</v>
      </c>
      <c r="AJ661" s="17">
        <f t="shared" si="1007"/>
        <v>0</v>
      </c>
      <c r="AL661" s="17">
        <f ca="1">SUM((INDIRECT(AL$2&amp;(ROW())):INDIRECT(AL$3&amp;(ROW()))))</f>
        <v>0</v>
      </c>
      <c r="AM661" s="17">
        <f ca="1">SUM(INDIRECT(AM$1&amp;AM$2&amp;$C661):INDIRECT(AM$1&amp;AM$3&amp;$C661))</f>
        <v>0</v>
      </c>
      <c r="AN661" s="3072">
        <f t="shared" ca="1" si="958"/>
        <v>0</v>
      </c>
      <c r="AO661" s="2708">
        <f t="shared" ca="1" si="959"/>
        <v>0</v>
      </c>
      <c r="AP661" s="17">
        <f ca="1">SUM(INDIRECT(AP$1&amp;AP$2&amp;$A661):INDIRECT(AP$1&amp;AP$3&amp;$A661))</f>
        <v>-287.74799999999999</v>
      </c>
      <c r="AQ661" s="3072">
        <f t="shared" ca="1" si="960"/>
        <v>287.74799999999999</v>
      </c>
      <c r="AR661" s="2708">
        <f t="shared" ca="1" si="961"/>
        <v>0</v>
      </c>
      <c r="AT661" s="17">
        <f ca="1">SUM((INDIRECT(AT$2&amp;(ROW())):INDIRECT(AT$3&amp;(ROW()))))</f>
        <v>0</v>
      </c>
      <c r="AU661" s="17">
        <f ca="1">SUM(INDIRECT(AU$1&amp;AU$2&amp;$C661):INDIRECT(AU$1&amp;AU$3&amp;$C661))</f>
        <v>0</v>
      </c>
      <c r="AV661" s="3072">
        <f t="shared" ca="1" si="962"/>
        <v>0</v>
      </c>
      <c r="AW661" s="2708">
        <f t="shared" ca="1" si="963"/>
        <v>0</v>
      </c>
      <c r="AX661" s="17">
        <f ca="1">SUM(INDIRECT(AX$1&amp;AX$2&amp;$A661):INDIRECT(AX$1&amp;AX$3&amp;$A661))</f>
        <v>-863.74800000000005</v>
      </c>
      <c r="AY661" s="3072">
        <f t="shared" ca="1" si="964"/>
        <v>863.74800000000005</v>
      </c>
      <c r="AZ661" s="2708">
        <f t="shared" ca="1" si="965"/>
        <v>0</v>
      </c>
      <c r="BB661" s="17">
        <f ca="1">SUM((INDIRECT(BB$2&amp;(ROW())):INDIRECT(BB$3&amp;(ROW()))))</f>
        <v>0</v>
      </c>
      <c r="BC661" s="17">
        <f ca="1">SUM(INDIRECT(BC$1&amp;BC$2&amp;$C661):INDIRECT(BC$1&amp;BC$3&amp;$C661))</f>
        <v>0</v>
      </c>
      <c r="BD661" s="3072">
        <f t="shared" ca="1" si="966"/>
        <v>0</v>
      </c>
      <c r="BE661" s="2708">
        <f t="shared" ca="1" si="967"/>
        <v>0</v>
      </c>
      <c r="BF661" s="17">
        <f ca="1">SUM(INDIRECT(BF$1&amp;BF$2&amp;$A661):INDIRECT(BF$1&amp;BF$3&amp;$A661))</f>
        <v>-3051.9920000000002</v>
      </c>
      <c r="BG661" s="3072">
        <f t="shared" ca="1" si="968"/>
        <v>3051.9920000000002</v>
      </c>
      <c r="BH661" s="2708">
        <f t="shared" ca="1" si="969"/>
        <v>0</v>
      </c>
    </row>
    <row r="662" spans="1:60" ht="14.5">
      <c r="A662" s="616">
        <f t="shared" ref="A662:A725" si="1008">A661+1</f>
        <v>597</v>
      </c>
      <c r="B662" s="616">
        <v>1</v>
      </c>
      <c r="C662" s="616">
        <f t="shared" si="981"/>
        <v>659</v>
      </c>
      <c r="E662" s="2547">
        <v>1</v>
      </c>
      <c r="I662" s="352"/>
      <c r="J662" s="353"/>
      <c r="K662" s="63"/>
      <c r="L662" s="63"/>
      <c r="M662" s="69"/>
      <c r="N662" s="211" t="s">
        <v>1386</v>
      </c>
      <c r="O662" s="211"/>
      <c r="P662" s="211"/>
      <c r="Q662" s="1779" t="str">
        <f>CHOOSE(2, "6722000003581", "S/GP (3) Net Sales Indirect NH Others")</f>
        <v>S/GP (3) Net Sales Indirect NH Others</v>
      </c>
      <c r="R662" s="1218">
        <v>0</v>
      </c>
      <c r="S662" s="1218">
        <v>0</v>
      </c>
      <c r="T662" s="1218">
        <v>0</v>
      </c>
      <c r="U662" s="1218">
        <v>0</v>
      </c>
      <c r="V662" s="1218">
        <v>0</v>
      </c>
      <c r="W662" s="1218">
        <v>0</v>
      </c>
      <c r="X662" s="1218">
        <v>0</v>
      </c>
      <c r="Y662" s="1218">
        <v>0</v>
      </c>
      <c r="Z662" s="1218">
        <v>0</v>
      </c>
      <c r="AA662" s="1218">
        <v>0</v>
      </c>
      <c r="AB662" s="1218">
        <v>0</v>
      </c>
      <c r="AC662" s="1218">
        <v>0</v>
      </c>
      <c r="AD662" s="87">
        <f t="shared" si="1001"/>
        <v>0</v>
      </c>
      <c r="AE662" s="15">
        <f t="shared" si="1002"/>
        <v>0</v>
      </c>
      <c r="AF662" s="15">
        <f t="shared" si="1003"/>
        <v>0</v>
      </c>
      <c r="AG662" s="15">
        <f t="shared" si="1004"/>
        <v>0</v>
      </c>
      <c r="AH662" s="15">
        <f t="shared" si="1005"/>
        <v>0</v>
      </c>
      <c r="AI662" s="15">
        <f t="shared" si="1006"/>
        <v>0</v>
      </c>
      <c r="AJ662" s="15">
        <f t="shared" si="1007"/>
        <v>0</v>
      </c>
      <c r="AL662" s="15">
        <f ca="1">SUM((INDIRECT(AL$2&amp;(ROW())):INDIRECT(AL$3&amp;(ROW()))))</f>
        <v>0</v>
      </c>
      <c r="AM662" s="15">
        <f ca="1">SUM(INDIRECT(AM$1&amp;AM$2&amp;$C662):INDIRECT(AM$1&amp;AM$3&amp;$C662))</f>
        <v>0</v>
      </c>
      <c r="AN662" s="3073">
        <f t="shared" ca="1" si="958"/>
        <v>0</v>
      </c>
      <c r="AO662" s="2710">
        <f t="shared" ca="1" si="959"/>
        <v>0</v>
      </c>
      <c r="AP662" s="15">
        <f ca="1">SUM(INDIRECT(AP$1&amp;AP$2&amp;$A662):INDIRECT(AP$1&amp;AP$3&amp;$A662))</f>
        <v>0</v>
      </c>
      <c r="AQ662" s="3073">
        <f t="shared" ca="1" si="960"/>
        <v>0</v>
      </c>
      <c r="AR662" s="2710">
        <f t="shared" ca="1" si="961"/>
        <v>0</v>
      </c>
      <c r="AT662" s="15">
        <f ca="1">SUM((INDIRECT(AT$2&amp;(ROW())):INDIRECT(AT$3&amp;(ROW()))))</f>
        <v>0</v>
      </c>
      <c r="AU662" s="15">
        <f ca="1">SUM(INDIRECT(AU$1&amp;AU$2&amp;$C662):INDIRECT(AU$1&amp;AU$3&amp;$C662))</f>
        <v>0</v>
      </c>
      <c r="AV662" s="3073">
        <f t="shared" ca="1" si="962"/>
        <v>0</v>
      </c>
      <c r="AW662" s="2710">
        <f t="shared" ca="1" si="963"/>
        <v>0</v>
      </c>
      <c r="AX662" s="15">
        <f ca="1">SUM(INDIRECT(AX$1&amp;AX$2&amp;$A662):INDIRECT(AX$1&amp;AX$3&amp;$A662))</f>
        <v>0</v>
      </c>
      <c r="AY662" s="3073">
        <f t="shared" ca="1" si="964"/>
        <v>0</v>
      </c>
      <c r="AZ662" s="2710">
        <f t="shared" ca="1" si="965"/>
        <v>0</v>
      </c>
      <c r="BB662" s="15">
        <f ca="1">SUM((INDIRECT(BB$2&amp;(ROW())):INDIRECT(BB$3&amp;(ROW()))))</f>
        <v>0</v>
      </c>
      <c r="BC662" s="15">
        <f ca="1">SUM(INDIRECT(BC$1&amp;BC$2&amp;$C662):INDIRECT(BC$1&amp;BC$3&amp;$C662))</f>
        <v>0</v>
      </c>
      <c r="BD662" s="3073">
        <f t="shared" ca="1" si="966"/>
        <v>0</v>
      </c>
      <c r="BE662" s="2710">
        <f t="shared" ca="1" si="967"/>
        <v>0</v>
      </c>
      <c r="BF662" s="15">
        <f ca="1">SUM(INDIRECT(BF$1&amp;BF$2&amp;$A662):INDIRECT(BF$1&amp;BF$3&amp;$A662))</f>
        <v>0</v>
      </c>
      <c r="BG662" s="3073">
        <f t="shared" ca="1" si="968"/>
        <v>0</v>
      </c>
      <c r="BH662" s="2710">
        <f t="shared" ca="1" si="969"/>
        <v>0</v>
      </c>
    </row>
    <row r="663" spans="1:60" ht="14.5">
      <c r="A663" s="616">
        <f t="shared" si="1008"/>
        <v>598</v>
      </c>
      <c r="B663" s="616">
        <v>1</v>
      </c>
      <c r="C663" s="616">
        <f t="shared" si="981"/>
        <v>660</v>
      </c>
      <c r="E663" s="2547">
        <v>1</v>
      </c>
      <c r="I663" s="3155" t="s">
        <v>1469</v>
      </c>
      <c r="J663" s="489"/>
      <c r="K663" s="581"/>
      <c r="L663" s="581"/>
      <c r="M663" s="489"/>
      <c r="N663" s="489"/>
      <c r="O663" s="489"/>
      <c r="P663" s="489"/>
      <c r="Q663" s="1795" t="str">
        <f>CHOOSE(2, "6722000003582", "S/GP (3) Gross Profit")</f>
        <v>S/GP (3) Gross Profit</v>
      </c>
      <c r="R663" s="1269">
        <f t="shared" ref="R663:AJ663" si="1009">R664+R708</f>
        <v>1055</v>
      </c>
      <c r="S663" s="1269">
        <f t="shared" si="1009"/>
        <v>-2772</v>
      </c>
      <c r="T663" s="1269">
        <f t="shared" si="1009"/>
        <v>8754</v>
      </c>
      <c r="U663" s="1269">
        <f t="shared" si="1009"/>
        <v>1694</v>
      </c>
      <c r="V663" s="1269">
        <f t="shared" si="1009"/>
        <v>3560.1597017955833</v>
      </c>
      <c r="W663" s="1269">
        <f t="shared" si="1009"/>
        <v>2264.3970114766835</v>
      </c>
      <c r="X663" s="1269">
        <f t="shared" si="1009"/>
        <v>2885</v>
      </c>
      <c r="Y663" s="1269">
        <f t="shared" si="1009"/>
        <v>2492</v>
      </c>
      <c r="Z663" s="1269">
        <f t="shared" si="1009"/>
        <v>-8828</v>
      </c>
      <c r="AA663" s="1269">
        <f t="shared" si="1009"/>
        <v>6520</v>
      </c>
      <c r="AB663" s="1269">
        <f t="shared" si="1009"/>
        <v>636.03926000000001</v>
      </c>
      <c r="AC663" s="1269">
        <f t="shared" si="1009"/>
        <v>7486</v>
      </c>
      <c r="AD663" s="3265">
        <f t="shared" si="1009"/>
        <v>7037</v>
      </c>
      <c r="AE663" s="1269">
        <f t="shared" si="1009"/>
        <v>7518.5567132722663</v>
      </c>
      <c r="AF663" s="1269">
        <f t="shared" si="1009"/>
        <v>-3451</v>
      </c>
      <c r="AG663" s="1269">
        <f t="shared" si="1009"/>
        <v>14642.03926</v>
      </c>
      <c r="AH663" s="1269">
        <f t="shared" si="1009"/>
        <v>14555.556713272264</v>
      </c>
      <c r="AI663" s="1269">
        <f t="shared" si="1009"/>
        <v>11191.03926</v>
      </c>
      <c r="AJ663" s="1269">
        <f t="shared" si="1009"/>
        <v>25746.595973272262</v>
      </c>
      <c r="AL663" s="1269">
        <f ca="1">SUM((INDIRECT(AL$2&amp;(ROW())):INDIRECT(AL$3&amp;(ROW()))))</f>
        <v>7486</v>
      </c>
      <c r="AM663" s="1269">
        <f ca="1">SUM(INDIRECT(AM$1&amp;AM$2&amp;$C663):INDIRECT(AM$1&amp;AM$3&amp;$C663))</f>
        <v>0</v>
      </c>
      <c r="AN663" s="3266">
        <f t="shared" ca="1" si="958"/>
        <v>7486</v>
      </c>
      <c r="AO663" s="2919">
        <f t="shared" ca="1" si="959"/>
        <v>0</v>
      </c>
      <c r="AP663" s="1269">
        <f ca="1">SUM(INDIRECT(AP$1&amp;AP$2&amp;$A663):INDIRECT(AP$1&amp;AP$3&amp;$A663))</f>
        <v>0</v>
      </c>
      <c r="AQ663" s="3266">
        <f t="shared" ca="1" si="960"/>
        <v>7486</v>
      </c>
      <c r="AR663" s="2919">
        <f t="shared" ca="1" si="961"/>
        <v>0</v>
      </c>
      <c r="AT663" s="1269">
        <f ca="1">SUM((INDIRECT(AT$2&amp;(ROW())):INDIRECT(AT$3&amp;(ROW()))))</f>
        <v>14642.03926</v>
      </c>
      <c r="AU663" s="1269">
        <f ca="1">SUM(INDIRECT(AU$1&amp;AU$2&amp;$C663):INDIRECT(AU$1&amp;AU$3&amp;$C663))</f>
        <v>0</v>
      </c>
      <c r="AV663" s="3266">
        <f t="shared" ca="1" si="962"/>
        <v>14642.03926</v>
      </c>
      <c r="AW663" s="2919">
        <f t="shared" ca="1" si="963"/>
        <v>0</v>
      </c>
      <c r="AX663" s="1269">
        <f ca="1">SUM(INDIRECT(AX$1&amp;AX$2&amp;$A663):INDIRECT(AX$1&amp;AX$3&amp;$A663))</f>
        <v>0</v>
      </c>
      <c r="AY663" s="3266">
        <f t="shared" ca="1" si="964"/>
        <v>14642.03926</v>
      </c>
      <c r="AZ663" s="2919">
        <f t="shared" ca="1" si="965"/>
        <v>0</v>
      </c>
      <c r="BB663" s="1269">
        <f ca="1">SUM((INDIRECT(BB$2&amp;(ROW())):INDIRECT(BB$3&amp;(ROW()))))</f>
        <v>25746.595973272266</v>
      </c>
      <c r="BC663" s="1269">
        <f ca="1">SUM(INDIRECT(BC$1&amp;BC$2&amp;$C663):INDIRECT(BC$1&amp;BC$3&amp;$C663))</f>
        <v>0</v>
      </c>
      <c r="BD663" s="3266">
        <f t="shared" ca="1" si="966"/>
        <v>25746.595973272266</v>
      </c>
      <c r="BE663" s="2919">
        <f t="shared" ca="1" si="967"/>
        <v>0</v>
      </c>
      <c r="BF663" s="1269">
        <f ca="1">SUM(INDIRECT(BF$1&amp;BF$2&amp;$A663):INDIRECT(BF$1&amp;BF$3&amp;$A663))</f>
        <v>0</v>
      </c>
      <c r="BG663" s="3266">
        <f t="shared" ca="1" si="968"/>
        <v>25746.595973272266</v>
      </c>
      <c r="BH663" s="2919">
        <f t="shared" ca="1" si="969"/>
        <v>0</v>
      </c>
    </row>
    <row r="664" spans="1:60" ht="14.5">
      <c r="A664" s="616">
        <f t="shared" si="1008"/>
        <v>599</v>
      </c>
      <c r="B664" s="616">
        <v>1</v>
      </c>
      <c r="C664" s="616">
        <f t="shared" si="981"/>
        <v>661</v>
      </c>
      <c r="E664" s="2547">
        <v>1</v>
      </c>
      <c r="I664" s="352"/>
      <c r="J664" s="353"/>
      <c r="K664" s="68" t="s">
        <v>1381</v>
      </c>
      <c r="L664" s="68"/>
      <c r="M664" s="283"/>
      <c r="N664" s="283"/>
      <c r="O664" s="283"/>
      <c r="P664" s="283"/>
      <c r="Q664" s="1814" t="str">
        <f>CHOOSE(2, "6722000003583", "S/GP (3) Gross Profit Direct")</f>
        <v>S/GP (3) Gross Profit Direct</v>
      </c>
      <c r="R664" s="3254">
        <f>R665+R672</f>
        <v>1055</v>
      </c>
      <c r="S664" s="3254">
        <f t="shared" ref="S664:AJ664" si="1010">S665+S672</f>
        <v>-2772</v>
      </c>
      <c r="T664" s="3254">
        <f t="shared" si="1010"/>
        <v>8754</v>
      </c>
      <c r="U664" s="3254">
        <f t="shared" si="1010"/>
        <v>1694</v>
      </c>
      <c r="V664" s="3254">
        <f t="shared" si="1010"/>
        <v>3560.1597017955833</v>
      </c>
      <c r="W664" s="3254">
        <f t="shared" si="1010"/>
        <v>2264.3970114766835</v>
      </c>
      <c r="X664" s="3254">
        <f t="shared" si="1010"/>
        <v>2885</v>
      </c>
      <c r="Y664" s="3254">
        <f t="shared" si="1010"/>
        <v>2492</v>
      </c>
      <c r="Z664" s="3254">
        <f t="shared" si="1010"/>
        <v>-8828</v>
      </c>
      <c r="AA664" s="3254">
        <f t="shared" si="1010"/>
        <v>6520</v>
      </c>
      <c r="AB664" s="3254">
        <f t="shared" si="1010"/>
        <v>636.03926000000001</v>
      </c>
      <c r="AC664" s="3254">
        <f t="shared" si="1010"/>
        <v>7486</v>
      </c>
      <c r="AD664" s="3255">
        <f t="shared" si="1010"/>
        <v>7037</v>
      </c>
      <c r="AE664" s="3254">
        <f t="shared" si="1010"/>
        <v>7518.5567132722663</v>
      </c>
      <c r="AF664" s="3254">
        <f t="shared" si="1010"/>
        <v>-3451</v>
      </c>
      <c r="AG664" s="3254">
        <f t="shared" si="1010"/>
        <v>14642.03926</v>
      </c>
      <c r="AH664" s="3254">
        <f t="shared" si="1010"/>
        <v>14555.556713272264</v>
      </c>
      <c r="AI664" s="3254">
        <f t="shared" si="1010"/>
        <v>11191.03926</v>
      </c>
      <c r="AJ664" s="3254">
        <f t="shared" si="1010"/>
        <v>25746.595973272262</v>
      </c>
      <c r="AL664" s="3254">
        <f ca="1">SUM((INDIRECT(AL$2&amp;(ROW())):INDIRECT(AL$3&amp;(ROW()))))</f>
        <v>7486</v>
      </c>
      <c r="AM664" s="3254">
        <f ca="1">SUM(INDIRECT(AM$1&amp;AM$2&amp;$C664):INDIRECT(AM$1&amp;AM$3&amp;$C664))</f>
        <v>0</v>
      </c>
      <c r="AN664" s="3256">
        <f t="shared" ca="1" si="958"/>
        <v>7486</v>
      </c>
      <c r="AO664" s="2909">
        <f t="shared" ca="1" si="959"/>
        <v>0</v>
      </c>
      <c r="AP664" s="3254">
        <f ca="1">SUM(INDIRECT(AP$1&amp;AP$2&amp;$A664):INDIRECT(AP$1&amp;AP$3&amp;$A664))</f>
        <v>0</v>
      </c>
      <c r="AQ664" s="3256">
        <f t="shared" ca="1" si="960"/>
        <v>7486</v>
      </c>
      <c r="AR664" s="2909">
        <f t="shared" ca="1" si="961"/>
        <v>0</v>
      </c>
      <c r="AT664" s="3254">
        <f ca="1">SUM((INDIRECT(AT$2&amp;(ROW())):INDIRECT(AT$3&amp;(ROW()))))</f>
        <v>14642.03926</v>
      </c>
      <c r="AU664" s="3254">
        <f ca="1">SUM(INDIRECT(AU$1&amp;AU$2&amp;$C664):INDIRECT(AU$1&amp;AU$3&amp;$C664))</f>
        <v>0</v>
      </c>
      <c r="AV664" s="3256">
        <f t="shared" ca="1" si="962"/>
        <v>14642.03926</v>
      </c>
      <c r="AW664" s="2909">
        <f t="shared" ca="1" si="963"/>
        <v>0</v>
      </c>
      <c r="AX664" s="3254">
        <f ca="1">SUM(INDIRECT(AX$1&amp;AX$2&amp;$A664):INDIRECT(AX$1&amp;AX$3&amp;$A664))</f>
        <v>0</v>
      </c>
      <c r="AY664" s="3256">
        <f t="shared" ca="1" si="964"/>
        <v>14642.03926</v>
      </c>
      <c r="AZ664" s="2909">
        <f t="shared" ca="1" si="965"/>
        <v>0</v>
      </c>
      <c r="BB664" s="3254">
        <f ca="1">SUM((INDIRECT(BB$2&amp;(ROW())):INDIRECT(BB$3&amp;(ROW()))))</f>
        <v>25746.595973272266</v>
      </c>
      <c r="BC664" s="3254">
        <f ca="1">SUM(INDIRECT(BC$1&amp;BC$2&amp;$C664):INDIRECT(BC$1&amp;BC$3&amp;$C664))</f>
        <v>0</v>
      </c>
      <c r="BD664" s="3256">
        <f t="shared" ca="1" si="966"/>
        <v>25746.595973272266</v>
      </c>
      <c r="BE664" s="2909">
        <f t="shared" ca="1" si="967"/>
        <v>0</v>
      </c>
      <c r="BF664" s="3254">
        <f ca="1">SUM(INDIRECT(BF$1&amp;BF$2&amp;$A664):INDIRECT(BF$1&amp;BF$3&amp;$A664))</f>
        <v>0</v>
      </c>
      <c r="BG664" s="3256">
        <f t="shared" ca="1" si="968"/>
        <v>25746.595973272266</v>
      </c>
      <c r="BH664" s="2909">
        <f t="shared" ca="1" si="969"/>
        <v>0</v>
      </c>
    </row>
    <row r="665" spans="1:60" ht="14.5">
      <c r="A665" s="616">
        <f t="shared" si="1008"/>
        <v>600</v>
      </c>
      <c r="B665" s="616">
        <v>1</v>
      </c>
      <c r="C665" s="616">
        <f t="shared" si="981"/>
        <v>662</v>
      </c>
      <c r="E665" s="2547">
        <v>1</v>
      </c>
      <c r="I665" s="352"/>
      <c r="J665" s="353"/>
      <c r="K665" s="68"/>
      <c r="L665" s="68"/>
      <c r="M665" s="69" t="s">
        <v>1488</v>
      </c>
      <c r="N665" s="302"/>
      <c r="O665" s="302"/>
      <c r="P665" s="302"/>
      <c r="Q665" s="1777" t="str">
        <f>CHOOSE(2, "6722000003584", "S/GP (3) Gross Profit Direct HW &amp; Solution")</f>
        <v>S/GP (3) Gross Profit Direct HW &amp; Solution</v>
      </c>
      <c r="R665" s="287">
        <f t="shared" ref="R665:AC665" si="1011">SUM(R666:R671)</f>
        <v>466</v>
      </c>
      <c r="S665" s="287">
        <f t="shared" si="1011"/>
        <v>-5163</v>
      </c>
      <c r="T665" s="287">
        <f t="shared" si="1011"/>
        <v>7811</v>
      </c>
      <c r="U665" s="287">
        <f t="shared" si="1011"/>
        <v>208</v>
      </c>
      <c r="V665" s="287">
        <f t="shared" si="1011"/>
        <v>1519.330102126642</v>
      </c>
      <c r="W665" s="287">
        <f t="shared" si="1011"/>
        <v>1637</v>
      </c>
      <c r="X665" s="287">
        <f t="shared" si="1011"/>
        <v>152</v>
      </c>
      <c r="Y665" s="287">
        <f t="shared" si="1011"/>
        <v>1090</v>
      </c>
      <c r="Z665" s="287">
        <f t="shared" si="1011"/>
        <v>-10398</v>
      </c>
      <c r="AA665" s="287">
        <f t="shared" si="1011"/>
        <v>5836</v>
      </c>
      <c r="AB665" s="287">
        <f t="shared" si="1011"/>
        <v>-208</v>
      </c>
      <c r="AC665" s="287">
        <f t="shared" si="1011"/>
        <v>16384</v>
      </c>
      <c r="AD665" s="315">
        <f t="shared" ref="AD665:AJ665" si="1012">SUM(AD666:AD671)</f>
        <v>3114</v>
      </c>
      <c r="AE665" s="287">
        <f t="shared" si="1012"/>
        <v>3364.330102126642</v>
      </c>
      <c r="AF665" s="287">
        <f t="shared" si="1012"/>
        <v>-9156</v>
      </c>
      <c r="AG665" s="287">
        <f t="shared" si="1012"/>
        <v>22012</v>
      </c>
      <c r="AH665" s="287">
        <f t="shared" si="1012"/>
        <v>6478.3301021266416</v>
      </c>
      <c r="AI665" s="287">
        <f t="shared" si="1012"/>
        <v>12856</v>
      </c>
      <c r="AJ665" s="287">
        <f t="shared" si="1012"/>
        <v>19334.330102126642</v>
      </c>
      <c r="AL665" s="287">
        <f ca="1">SUM((INDIRECT(AL$2&amp;(ROW())):INDIRECT(AL$3&amp;(ROW()))))</f>
        <v>16384</v>
      </c>
      <c r="AM665" s="287">
        <f ca="1">SUM(INDIRECT(AM$1&amp;AM$2&amp;$C665):INDIRECT(AM$1&amp;AM$3&amp;$C665))</f>
        <v>0</v>
      </c>
      <c r="AN665" s="3226">
        <f t="shared" ca="1" si="958"/>
        <v>16384</v>
      </c>
      <c r="AO665" s="2876">
        <f t="shared" ca="1" si="959"/>
        <v>0</v>
      </c>
      <c r="AP665" s="287">
        <f ca="1">SUM(INDIRECT(AP$1&amp;AP$2&amp;$A665):INDIRECT(AP$1&amp;AP$3&amp;$A665))</f>
        <v>0</v>
      </c>
      <c r="AQ665" s="3226">
        <f t="shared" ca="1" si="960"/>
        <v>16384</v>
      </c>
      <c r="AR665" s="2876">
        <f t="shared" ca="1" si="961"/>
        <v>0</v>
      </c>
      <c r="AT665" s="287">
        <f ca="1">SUM((INDIRECT(AT$2&amp;(ROW())):INDIRECT(AT$3&amp;(ROW()))))</f>
        <v>22012</v>
      </c>
      <c r="AU665" s="287">
        <f ca="1">SUM(INDIRECT(AU$1&amp;AU$2&amp;$C665):INDIRECT(AU$1&amp;AU$3&amp;$C665))</f>
        <v>0</v>
      </c>
      <c r="AV665" s="3226">
        <f t="shared" ca="1" si="962"/>
        <v>22012</v>
      </c>
      <c r="AW665" s="2876">
        <f t="shared" ca="1" si="963"/>
        <v>0</v>
      </c>
      <c r="AX665" s="287">
        <f ca="1">SUM(INDIRECT(AX$1&amp;AX$2&amp;$A665):INDIRECT(AX$1&amp;AX$3&amp;$A665))</f>
        <v>0</v>
      </c>
      <c r="AY665" s="3226">
        <f t="shared" ca="1" si="964"/>
        <v>22012</v>
      </c>
      <c r="AZ665" s="2876">
        <f t="shared" ca="1" si="965"/>
        <v>0</v>
      </c>
      <c r="BB665" s="287">
        <f ca="1">SUM((INDIRECT(BB$2&amp;(ROW())):INDIRECT(BB$3&amp;(ROW()))))</f>
        <v>19334.330102126642</v>
      </c>
      <c r="BC665" s="287">
        <f ca="1">SUM(INDIRECT(BC$1&amp;BC$2&amp;$C665):INDIRECT(BC$1&amp;BC$3&amp;$C665))</f>
        <v>0</v>
      </c>
      <c r="BD665" s="3226">
        <f t="shared" ca="1" si="966"/>
        <v>19334.330102126642</v>
      </c>
      <c r="BE665" s="2876">
        <f t="shared" ca="1" si="967"/>
        <v>0</v>
      </c>
      <c r="BF665" s="287">
        <f ca="1">SUM(INDIRECT(BF$1&amp;BF$2&amp;$A665):INDIRECT(BF$1&amp;BF$3&amp;$A665))</f>
        <v>0</v>
      </c>
      <c r="BG665" s="3226">
        <f t="shared" ca="1" si="968"/>
        <v>19334.330102126642</v>
      </c>
      <c r="BH665" s="2876">
        <f t="shared" ca="1" si="969"/>
        <v>0</v>
      </c>
    </row>
    <row r="666" spans="1:60" ht="14.5">
      <c r="A666" s="616">
        <f t="shared" si="1008"/>
        <v>601</v>
      </c>
      <c r="B666" s="616">
        <v>1</v>
      </c>
      <c r="C666" s="616">
        <f t="shared" si="981"/>
        <v>663</v>
      </c>
      <c r="E666" s="2547">
        <v>1</v>
      </c>
      <c r="I666" s="352"/>
      <c r="J666" s="353"/>
      <c r="K666" s="68"/>
      <c r="L666" s="68"/>
      <c r="M666" s="69"/>
      <c r="N666" s="740" t="s">
        <v>1489</v>
      </c>
      <c r="O666" s="296"/>
      <c r="P666" s="296"/>
      <c r="Q666" s="1779" t="str">
        <f>CHOOSE(2, "6722000003585", "S/GP (3) Gross Profit Direct HW &amp; Solution KM-1/KM-1e")</f>
        <v>S/GP (3) Gross Profit Direct HW &amp; Solution KM-1/KM-1e</v>
      </c>
      <c r="R666" s="1227">
        <v>0</v>
      </c>
      <c r="S666" s="1227">
        <v>0</v>
      </c>
      <c r="T666" s="1227">
        <v>0</v>
      </c>
      <c r="U666" s="1227">
        <v>0</v>
      </c>
      <c r="V666" s="1227">
        <v>0</v>
      </c>
      <c r="W666" s="1227">
        <v>0</v>
      </c>
      <c r="X666" s="1227">
        <v>0</v>
      </c>
      <c r="Y666" s="1227">
        <v>0</v>
      </c>
      <c r="Z666" s="1227">
        <v>0</v>
      </c>
      <c r="AA666" s="1227">
        <v>0</v>
      </c>
      <c r="AB666" s="1227">
        <v>0</v>
      </c>
      <c r="AC666" s="1227">
        <v>-2368</v>
      </c>
      <c r="AD666" s="295">
        <f t="shared" ref="AD666:AD671" si="1013">SUM(R666,S666,T666)</f>
        <v>0</v>
      </c>
      <c r="AE666" s="96">
        <f t="shared" ref="AE666:AE671" si="1014">SUM(U666,V666,W666)</f>
        <v>0</v>
      </c>
      <c r="AF666" s="96">
        <f t="shared" ref="AF666:AF671" si="1015">SUM(X666,Y666,Z666)</f>
        <v>0</v>
      </c>
      <c r="AG666" s="96">
        <f t="shared" ref="AG666:AG671" si="1016">SUM(AA666,AB666,AC666)</f>
        <v>-2368</v>
      </c>
      <c r="AH666" s="96">
        <f t="shared" ref="AH666:AH671" si="1017">AD666+AE666</f>
        <v>0</v>
      </c>
      <c r="AI666" s="96">
        <f t="shared" ref="AI666:AI671" si="1018">AG666+AF666</f>
        <v>-2368</v>
      </c>
      <c r="AJ666" s="96">
        <f t="shared" ref="AJ666:AJ671" si="1019">AH666+AI666</f>
        <v>-2368</v>
      </c>
      <c r="AL666" s="96">
        <f ca="1">SUM((INDIRECT(AL$2&amp;(ROW())):INDIRECT(AL$3&amp;(ROW()))))</f>
        <v>-2368</v>
      </c>
      <c r="AM666" s="96">
        <f ca="1">SUM(INDIRECT(AM$1&amp;AM$2&amp;$C666):INDIRECT(AM$1&amp;AM$3&amp;$C666))</f>
        <v>0</v>
      </c>
      <c r="AN666" s="3227">
        <f t="shared" ca="1" si="958"/>
        <v>-2368</v>
      </c>
      <c r="AO666" s="2878">
        <f t="shared" ca="1" si="959"/>
        <v>0</v>
      </c>
      <c r="AP666" s="96">
        <f ca="1">SUM(INDIRECT(AP$1&amp;AP$2&amp;$A666):INDIRECT(AP$1&amp;AP$3&amp;$A666))</f>
        <v>0</v>
      </c>
      <c r="AQ666" s="3227">
        <f t="shared" ca="1" si="960"/>
        <v>-2368</v>
      </c>
      <c r="AR666" s="2878">
        <f t="shared" ca="1" si="961"/>
        <v>0</v>
      </c>
      <c r="AT666" s="96">
        <f ca="1">SUM((INDIRECT(AT$2&amp;(ROW())):INDIRECT(AT$3&amp;(ROW()))))</f>
        <v>-2368</v>
      </c>
      <c r="AU666" s="96">
        <f ca="1">SUM(INDIRECT(AU$1&amp;AU$2&amp;$C666):INDIRECT(AU$1&amp;AU$3&amp;$C666))</f>
        <v>0</v>
      </c>
      <c r="AV666" s="3227">
        <f t="shared" ca="1" si="962"/>
        <v>-2368</v>
      </c>
      <c r="AW666" s="2878">
        <f t="shared" ca="1" si="963"/>
        <v>0</v>
      </c>
      <c r="AX666" s="96">
        <f ca="1">SUM(INDIRECT(AX$1&amp;AX$2&amp;$A666):INDIRECT(AX$1&amp;AX$3&amp;$A666))</f>
        <v>0</v>
      </c>
      <c r="AY666" s="3227">
        <f t="shared" ca="1" si="964"/>
        <v>-2368</v>
      </c>
      <c r="AZ666" s="2878">
        <f t="shared" ca="1" si="965"/>
        <v>0</v>
      </c>
      <c r="BB666" s="96">
        <f ca="1">SUM((INDIRECT(BB$2&amp;(ROW())):INDIRECT(BB$3&amp;(ROW()))))</f>
        <v>-2368</v>
      </c>
      <c r="BC666" s="96">
        <f ca="1">SUM(INDIRECT(BC$1&amp;BC$2&amp;$C666):INDIRECT(BC$1&amp;BC$3&amp;$C666))</f>
        <v>0</v>
      </c>
      <c r="BD666" s="3227">
        <f t="shared" ca="1" si="966"/>
        <v>-2368</v>
      </c>
      <c r="BE666" s="2878">
        <f t="shared" ca="1" si="967"/>
        <v>0</v>
      </c>
      <c r="BF666" s="96">
        <f ca="1">SUM(INDIRECT(BF$1&amp;BF$2&amp;$A666):INDIRECT(BF$1&amp;BF$3&amp;$A666))</f>
        <v>0</v>
      </c>
      <c r="BG666" s="3227">
        <f t="shared" ca="1" si="968"/>
        <v>-2368</v>
      </c>
      <c r="BH666" s="2878">
        <f t="shared" ca="1" si="969"/>
        <v>0</v>
      </c>
    </row>
    <row r="667" spans="1:60" ht="14.5">
      <c r="A667" s="616">
        <f t="shared" si="1008"/>
        <v>602</v>
      </c>
      <c r="B667" s="616">
        <v>1</v>
      </c>
      <c r="C667" s="616">
        <f t="shared" si="981"/>
        <v>664</v>
      </c>
      <c r="E667" s="2547">
        <v>1</v>
      </c>
      <c r="I667" s="352"/>
      <c r="J667" s="353"/>
      <c r="K667" s="68"/>
      <c r="L667" s="68"/>
      <c r="M667" s="69"/>
      <c r="N667" s="69" t="s">
        <v>1401</v>
      </c>
      <c r="O667" s="69"/>
      <c r="P667" s="69"/>
      <c r="Q667" s="1779" t="str">
        <f>CHOOSE(2, "6722000003586", "S/GP (3) Gross Profit Direct HW &amp; Solution Label Printer")</f>
        <v>S/GP (3) Gross Profit Direct HW &amp; Solution Label Printer</v>
      </c>
      <c r="R667" s="1217">
        <v>0</v>
      </c>
      <c r="S667" s="1217">
        <v>0</v>
      </c>
      <c r="T667" s="1217">
        <v>5473</v>
      </c>
      <c r="U667" s="1217">
        <v>0</v>
      </c>
      <c r="V667" s="1217">
        <v>0</v>
      </c>
      <c r="W667" s="1217">
        <v>0</v>
      </c>
      <c r="X667" s="1217">
        <v>0</v>
      </c>
      <c r="Y667" s="1227">
        <v>0</v>
      </c>
      <c r="Z667" s="1217">
        <v>-10000</v>
      </c>
      <c r="AA667" s="1217">
        <v>5081</v>
      </c>
      <c r="AB667" s="1217">
        <v>0</v>
      </c>
      <c r="AC667" s="1217">
        <v>14670</v>
      </c>
      <c r="AD667" s="88">
        <f t="shared" si="1013"/>
        <v>5473</v>
      </c>
      <c r="AE667" s="17">
        <f t="shared" si="1014"/>
        <v>0</v>
      </c>
      <c r="AF667" s="17">
        <f t="shared" si="1015"/>
        <v>-10000</v>
      </c>
      <c r="AG667" s="17">
        <f t="shared" si="1016"/>
        <v>19751</v>
      </c>
      <c r="AH667" s="17">
        <f t="shared" si="1017"/>
        <v>5473</v>
      </c>
      <c r="AI667" s="17">
        <f t="shared" si="1018"/>
        <v>9751</v>
      </c>
      <c r="AJ667" s="17">
        <f t="shared" si="1019"/>
        <v>15224</v>
      </c>
      <c r="AL667" s="17">
        <f ca="1">SUM((INDIRECT(AL$2&amp;(ROW())):INDIRECT(AL$3&amp;(ROW()))))</f>
        <v>14670</v>
      </c>
      <c r="AM667" s="17">
        <f ca="1">SUM(INDIRECT(AM$1&amp;AM$2&amp;$C667):INDIRECT(AM$1&amp;AM$3&amp;$C667))</f>
        <v>0</v>
      </c>
      <c r="AN667" s="3072">
        <f t="shared" ca="1" si="958"/>
        <v>14670</v>
      </c>
      <c r="AO667" s="2708">
        <f t="shared" ca="1" si="959"/>
        <v>0</v>
      </c>
      <c r="AP667" s="17">
        <f ca="1">SUM(INDIRECT(AP$1&amp;AP$2&amp;$A667):INDIRECT(AP$1&amp;AP$3&amp;$A667))</f>
        <v>0</v>
      </c>
      <c r="AQ667" s="3072">
        <f t="shared" ca="1" si="960"/>
        <v>14670</v>
      </c>
      <c r="AR667" s="2708">
        <f t="shared" ca="1" si="961"/>
        <v>0</v>
      </c>
      <c r="AT667" s="17">
        <f ca="1">SUM((INDIRECT(AT$2&amp;(ROW())):INDIRECT(AT$3&amp;(ROW()))))</f>
        <v>19751</v>
      </c>
      <c r="AU667" s="17">
        <f ca="1">SUM(INDIRECT(AU$1&amp;AU$2&amp;$C667):INDIRECT(AU$1&amp;AU$3&amp;$C667))</f>
        <v>0</v>
      </c>
      <c r="AV667" s="3072">
        <f t="shared" ca="1" si="962"/>
        <v>19751</v>
      </c>
      <c r="AW667" s="2708">
        <f t="shared" ca="1" si="963"/>
        <v>0</v>
      </c>
      <c r="AX667" s="17">
        <f ca="1">SUM(INDIRECT(AX$1&amp;AX$2&amp;$A667):INDIRECT(AX$1&amp;AX$3&amp;$A667))</f>
        <v>0</v>
      </c>
      <c r="AY667" s="3072">
        <f t="shared" ca="1" si="964"/>
        <v>19751</v>
      </c>
      <c r="AZ667" s="2708">
        <f t="shared" ca="1" si="965"/>
        <v>0</v>
      </c>
      <c r="BB667" s="17">
        <f ca="1">SUM((INDIRECT(BB$2&amp;(ROW())):INDIRECT(BB$3&amp;(ROW()))))</f>
        <v>15224</v>
      </c>
      <c r="BC667" s="17">
        <f ca="1">SUM(INDIRECT(BC$1&amp;BC$2&amp;$C667):INDIRECT(BC$1&amp;BC$3&amp;$C667))</f>
        <v>0</v>
      </c>
      <c r="BD667" s="3072">
        <f t="shared" ca="1" si="966"/>
        <v>15224</v>
      </c>
      <c r="BE667" s="2708">
        <f t="shared" ca="1" si="967"/>
        <v>0</v>
      </c>
      <c r="BF667" s="17">
        <f ca="1">SUM(INDIRECT(BF$1&amp;BF$2&amp;$A667):INDIRECT(BF$1&amp;BF$3&amp;$A667))</f>
        <v>0</v>
      </c>
      <c r="BG667" s="3072">
        <f t="shared" ca="1" si="968"/>
        <v>15224</v>
      </c>
      <c r="BH667" s="2708">
        <f t="shared" ca="1" si="969"/>
        <v>0</v>
      </c>
    </row>
    <row r="668" spans="1:60" ht="14.5">
      <c r="A668" s="616">
        <f t="shared" si="1008"/>
        <v>603</v>
      </c>
      <c r="B668" s="616">
        <v>1</v>
      </c>
      <c r="C668" s="616">
        <f t="shared" si="981"/>
        <v>665</v>
      </c>
      <c r="E668" s="2547">
        <v>1</v>
      </c>
      <c r="I668" s="352"/>
      <c r="J668" s="353"/>
      <c r="K668" s="68"/>
      <c r="L668" s="68"/>
      <c r="M668" s="69"/>
      <c r="N668" s="69" t="s">
        <v>1402</v>
      </c>
      <c r="O668" s="69"/>
      <c r="P668" s="69"/>
      <c r="Q668" s="1779" t="str">
        <f>CHOOSE(2, "6722000003587", "S/GP (3) Gross Profit Direct HW &amp; Solution MGI")</f>
        <v>S/GP (3) Gross Profit Direct HW &amp; Solution MGI</v>
      </c>
      <c r="R668" s="1217">
        <v>466</v>
      </c>
      <c r="S668" s="1217">
        <v>-5163</v>
      </c>
      <c r="T668" s="1217">
        <v>2338</v>
      </c>
      <c r="U668" s="1217">
        <v>208</v>
      </c>
      <c r="V668" s="1217">
        <v>1519.330102126642</v>
      </c>
      <c r="W668" s="1217">
        <v>1637</v>
      </c>
      <c r="X668" s="1217">
        <v>152</v>
      </c>
      <c r="Y668" s="1217">
        <v>1090</v>
      </c>
      <c r="Z668" s="1217">
        <v>-398</v>
      </c>
      <c r="AA668" s="1217">
        <v>755</v>
      </c>
      <c r="AB668" s="1217">
        <v>-208</v>
      </c>
      <c r="AC668" s="1217">
        <v>4082</v>
      </c>
      <c r="AD668" s="88">
        <f t="shared" si="1013"/>
        <v>-2359</v>
      </c>
      <c r="AE668" s="17">
        <f t="shared" si="1014"/>
        <v>3364.330102126642</v>
      </c>
      <c r="AF668" s="17">
        <f t="shared" si="1015"/>
        <v>844</v>
      </c>
      <c r="AG668" s="17">
        <f t="shared" si="1016"/>
        <v>4629</v>
      </c>
      <c r="AH668" s="17">
        <f t="shared" si="1017"/>
        <v>1005.330102126642</v>
      </c>
      <c r="AI668" s="17">
        <f t="shared" si="1018"/>
        <v>5473</v>
      </c>
      <c r="AJ668" s="17">
        <f t="shared" si="1019"/>
        <v>6478.3301021266416</v>
      </c>
      <c r="AL668" s="17">
        <f ca="1">SUM((INDIRECT(AL$2&amp;(ROW())):INDIRECT(AL$3&amp;(ROW()))))</f>
        <v>4082</v>
      </c>
      <c r="AM668" s="17">
        <f ca="1">SUM(INDIRECT(AM$1&amp;AM$2&amp;$C668):INDIRECT(AM$1&amp;AM$3&amp;$C668))</f>
        <v>0</v>
      </c>
      <c r="AN668" s="3072">
        <f t="shared" ca="1" si="958"/>
        <v>4082</v>
      </c>
      <c r="AO668" s="2708">
        <f t="shared" ca="1" si="959"/>
        <v>0</v>
      </c>
      <c r="AP668" s="17">
        <f ca="1">SUM(INDIRECT(AP$1&amp;AP$2&amp;$A668):INDIRECT(AP$1&amp;AP$3&amp;$A668))</f>
        <v>0</v>
      </c>
      <c r="AQ668" s="3072">
        <f t="shared" ca="1" si="960"/>
        <v>4082</v>
      </c>
      <c r="AR668" s="2708">
        <f t="shared" ca="1" si="961"/>
        <v>0</v>
      </c>
      <c r="AT668" s="17">
        <f ca="1">SUM((INDIRECT(AT$2&amp;(ROW())):INDIRECT(AT$3&amp;(ROW()))))</f>
        <v>4629</v>
      </c>
      <c r="AU668" s="17">
        <f ca="1">SUM(INDIRECT(AU$1&amp;AU$2&amp;$C668):INDIRECT(AU$1&amp;AU$3&amp;$C668))</f>
        <v>0</v>
      </c>
      <c r="AV668" s="3072">
        <f t="shared" ca="1" si="962"/>
        <v>4629</v>
      </c>
      <c r="AW668" s="2708">
        <f t="shared" ca="1" si="963"/>
        <v>0</v>
      </c>
      <c r="AX668" s="17">
        <f ca="1">SUM(INDIRECT(AX$1&amp;AX$2&amp;$A668):INDIRECT(AX$1&amp;AX$3&amp;$A668))</f>
        <v>0</v>
      </c>
      <c r="AY668" s="3072">
        <f t="shared" ca="1" si="964"/>
        <v>4629</v>
      </c>
      <c r="AZ668" s="2708">
        <f t="shared" ca="1" si="965"/>
        <v>0</v>
      </c>
      <c r="BB668" s="17">
        <f ca="1">SUM((INDIRECT(BB$2&amp;(ROW())):INDIRECT(BB$3&amp;(ROW()))))</f>
        <v>6478.3301021266416</v>
      </c>
      <c r="BC668" s="17">
        <f ca="1">SUM(INDIRECT(BC$1&amp;BC$2&amp;$C668):INDIRECT(BC$1&amp;BC$3&amp;$C668))</f>
        <v>0</v>
      </c>
      <c r="BD668" s="3072">
        <f t="shared" ca="1" si="966"/>
        <v>6478.3301021266416</v>
      </c>
      <c r="BE668" s="2708">
        <f t="shared" ca="1" si="967"/>
        <v>0</v>
      </c>
      <c r="BF668" s="17">
        <f ca="1">SUM(INDIRECT(BF$1&amp;BF$2&amp;$A668):INDIRECT(BF$1&amp;BF$3&amp;$A668))</f>
        <v>0</v>
      </c>
      <c r="BG668" s="3072">
        <f t="shared" ca="1" si="968"/>
        <v>6478.3301021266416</v>
      </c>
      <c r="BH668" s="2708">
        <f t="shared" ca="1" si="969"/>
        <v>0</v>
      </c>
    </row>
    <row r="669" spans="1:60" ht="14.5">
      <c r="A669" s="616">
        <f t="shared" si="1008"/>
        <v>604</v>
      </c>
      <c r="B669" s="616">
        <v>1</v>
      </c>
      <c r="C669" s="616">
        <f t="shared" si="981"/>
        <v>666</v>
      </c>
      <c r="E669" s="2547">
        <v>1</v>
      </c>
      <c r="I669" s="352"/>
      <c r="J669" s="353"/>
      <c r="K669" s="68"/>
      <c r="L669" s="68"/>
      <c r="M669" s="69"/>
      <c r="N669" s="69" t="s">
        <v>1403</v>
      </c>
      <c r="O669" s="69"/>
      <c r="P669" s="69"/>
      <c r="Q669" s="1779" t="str">
        <f>CHOOSE(2, "6722000003588", "S/GP (3) Gross Profit Direct HW &amp; Solution EFI/LF")</f>
        <v>S/GP (3) Gross Profit Direct HW &amp; Solution EFI/LF</v>
      </c>
      <c r="R669" s="1217">
        <v>0</v>
      </c>
      <c r="S669" s="1217">
        <v>0</v>
      </c>
      <c r="T669" s="1217">
        <v>0</v>
      </c>
      <c r="U669" s="1217">
        <v>0</v>
      </c>
      <c r="V669" s="1217">
        <v>0</v>
      </c>
      <c r="W669" s="1217">
        <v>0</v>
      </c>
      <c r="X669" s="1217">
        <v>0</v>
      </c>
      <c r="Y669" s="1217">
        <v>0</v>
      </c>
      <c r="Z669" s="1217">
        <v>0</v>
      </c>
      <c r="AA669" s="1217">
        <v>0</v>
      </c>
      <c r="AB669" s="1217">
        <v>0</v>
      </c>
      <c r="AC669" s="1217">
        <v>0</v>
      </c>
      <c r="AD669" s="88">
        <f t="shared" si="1013"/>
        <v>0</v>
      </c>
      <c r="AE669" s="17">
        <f t="shared" si="1014"/>
        <v>0</v>
      </c>
      <c r="AF669" s="17">
        <f t="shared" si="1015"/>
        <v>0</v>
      </c>
      <c r="AG669" s="17">
        <f t="shared" si="1016"/>
        <v>0</v>
      </c>
      <c r="AH669" s="17">
        <f t="shared" si="1017"/>
        <v>0</v>
      </c>
      <c r="AI669" s="17">
        <f t="shared" si="1018"/>
        <v>0</v>
      </c>
      <c r="AJ669" s="17">
        <f t="shared" si="1019"/>
        <v>0</v>
      </c>
      <c r="AL669" s="17">
        <f ca="1">SUM((INDIRECT(AL$2&amp;(ROW())):INDIRECT(AL$3&amp;(ROW()))))</f>
        <v>0</v>
      </c>
      <c r="AM669" s="17">
        <f ca="1">SUM(INDIRECT(AM$1&amp;AM$2&amp;$C669):INDIRECT(AM$1&amp;AM$3&amp;$C669))</f>
        <v>0</v>
      </c>
      <c r="AN669" s="3072">
        <f t="shared" ca="1" si="958"/>
        <v>0</v>
      </c>
      <c r="AO669" s="2708">
        <f t="shared" ca="1" si="959"/>
        <v>0</v>
      </c>
      <c r="AP669" s="17">
        <f ca="1">SUM(INDIRECT(AP$1&amp;AP$2&amp;$A669):INDIRECT(AP$1&amp;AP$3&amp;$A669))</f>
        <v>0</v>
      </c>
      <c r="AQ669" s="3072">
        <f t="shared" ca="1" si="960"/>
        <v>0</v>
      </c>
      <c r="AR669" s="2708">
        <f t="shared" ca="1" si="961"/>
        <v>0</v>
      </c>
      <c r="AT669" s="17">
        <f ca="1">SUM((INDIRECT(AT$2&amp;(ROW())):INDIRECT(AT$3&amp;(ROW()))))</f>
        <v>0</v>
      </c>
      <c r="AU669" s="17">
        <f ca="1">SUM(INDIRECT(AU$1&amp;AU$2&amp;$C669):INDIRECT(AU$1&amp;AU$3&amp;$C669))</f>
        <v>0</v>
      </c>
      <c r="AV669" s="3072">
        <f t="shared" ca="1" si="962"/>
        <v>0</v>
      </c>
      <c r="AW669" s="2708">
        <f t="shared" ca="1" si="963"/>
        <v>0</v>
      </c>
      <c r="AX669" s="17">
        <f ca="1">SUM(INDIRECT(AX$1&amp;AX$2&amp;$A669):INDIRECT(AX$1&amp;AX$3&amp;$A669))</f>
        <v>0</v>
      </c>
      <c r="AY669" s="3072">
        <f t="shared" ca="1" si="964"/>
        <v>0</v>
      </c>
      <c r="AZ669" s="2708">
        <f t="shared" ca="1" si="965"/>
        <v>0</v>
      </c>
      <c r="BB669" s="17">
        <f ca="1">SUM((INDIRECT(BB$2&amp;(ROW())):INDIRECT(BB$3&amp;(ROW()))))</f>
        <v>0</v>
      </c>
      <c r="BC669" s="17">
        <f ca="1">SUM(INDIRECT(BC$1&amp;BC$2&amp;$C669):INDIRECT(BC$1&amp;BC$3&amp;$C669))</f>
        <v>0</v>
      </c>
      <c r="BD669" s="3072">
        <f t="shared" ca="1" si="966"/>
        <v>0</v>
      </c>
      <c r="BE669" s="2708">
        <f t="shared" ca="1" si="967"/>
        <v>0</v>
      </c>
      <c r="BF669" s="17">
        <f ca="1">SUM(INDIRECT(BF$1&amp;BF$2&amp;$A669):INDIRECT(BF$1&amp;BF$3&amp;$A669))</f>
        <v>0</v>
      </c>
      <c r="BG669" s="3072">
        <f t="shared" ca="1" si="968"/>
        <v>0</v>
      </c>
      <c r="BH669" s="2708">
        <f t="shared" ca="1" si="969"/>
        <v>0</v>
      </c>
    </row>
    <row r="670" spans="1:60" ht="14.5">
      <c r="A670" s="616">
        <f t="shared" si="1008"/>
        <v>605</v>
      </c>
      <c r="B670" s="616">
        <v>1</v>
      </c>
      <c r="C670" s="616">
        <f t="shared" si="981"/>
        <v>667</v>
      </c>
      <c r="E670" s="2547">
        <v>1</v>
      </c>
      <c r="I670" s="352"/>
      <c r="J670" s="353"/>
      <c r="K670" s="68"/>
      <c r="L670" s="68"/>
      <c r="M670" s="69"/>
      <c r="N670" s="69" t="s">
        <v>1404</v>
      </c>
      <c r="O670" s="69"/>
      <c r="P670" s="69"/>
      <c r="Q670" s="1779" t="str">
        <f>CHOOSE(2, "6722000003589", "S/GP (3) Gross Profit Direct HW &amp; Solution Textile Printer")</f>
        <v>S/GP (3) Gross Profit Direct HW &amp; Solution Textile Printer</v>
      </c>
      <c r="R670" s="1217">
        <v>0</v>
      </c>
      <c r="S670" s="1217">
        <v>0</v>
      </c>
      <c r="T670" s="1217">
        <v>0</v>
      </c>
      <c r="U670" s="1217">
        <v>0</v>
      </c>
      <c r="V670" s="1217">
        <v>0</v>
      </c>
      <c r="W670" s="1217">
        <v>0</v>
      </c>
      <c r="X670" s="1217">
        <v>0</v>
      </c>
      <c r="Y670" s="1217">
        <v>0</v>
      </c>
      <c r="Z670" s="1217">
        <v>0</v>
      </c>
      <c r="AA670" s="1217">
        <v>0</v>
      </c>
      <c r="AB670" s="1217">
        <v>0</v>
      </c>
      <c r="AC670" s="1217">
        <v>0</v>
      </c>
      <c r="AD670" s="88">
        <f t="shared" si="1013"/>
        <v>0</v>
      </c>
      <c r="AE670" s="17">
        <f t="shared" si="1014"/>
        <v>0</v>
      </c>
      <c r="AF670" s="17">
        <f t="shared" si="1015"/>
        <v>0</v>
      </c>
      <c r="AG670" s="17">
        <f t="shared" si="1016"/>
        <v>0</v>
      </c>
      <c r="AH670" s="17">
        <f t="shared" si="1017"/>
        <v>0</v>
      </c>
      <c r="AI670" s="17">
        <f t="shared" si="1018"/>
        <v>0</v>
      </c>
      <c r="AJ670" s="17">
        <f t="shared" si="1019"/>
        <v>0</v>
      </c>
      <c r="AL670" s="17">
        <f ca="1">SUM((INDIRECT(AL$2&amp;(ROW())):INDIRECT(AL$3&amp;(ROW()))))</f>
        <v>0</v>
      </c>
      <c r="AM670" s="17">
        <f ca="1">SUM(INDIRECT(AM$1&amp;AM$2&amp;$C670):INDIRECT(AM$1&amp;AM$3&amp;$C670))</f>
        <v>0</v>
      </c>
      <c r="AN670" s="3072">
        <f t="shared" ca="1" si="958"/>
        <v>0</v>
      </c>
      <c r="AO670" s="2708">
        <f t="shared" ca="1" si="959"/>
        <v>0</v>
      </c>
      <c r="AP670" s="17">
        <f ca="1">SUM(INDIRECT(AP$1&amp;AP$2&amp;$A670):INDIRECT(AP$1&amp;AP$3&amp;$A670))</f>
        <v>0</v>
      </c>
      <c r="AQ670" s="3072">
        <f t="shared" ca="1" si="960"/>
        <v>0</v>
      </c>
      <c r="AR670" s="2708">
        <f t="shared" ca="1" si="961"/>
        <v>0</v>
      </c>
      <c r="AT670" s="17">
        <f ca="1">SUM((INDIRECT(AT$2&amp;(ROW())):INDIRECT(AT$3&amp;(ROW()))))</f>
        <v>0</v>
      </c>
      <c r="AU670" s="17">
        <f ca="1">SUM(INDIRECT(AU$1&amp;AU$2&amp;$C670):INDIRECT(AU$1&amp;AU$3&amp;$C670))</f>
        <v>0</v>
      </c>
      <c r="AV670" s="3072">
        <f t="shared" ca="1" si="962"/>
        <v>0</v>
      </c>
      <c r="AW670" s="2708">
        <f t="shared" ca="1" si="963"/>
        <v>0</v>
      </c>
      <c r="AX670" s="17">
        <f ca="1">SUM(INDIRECT(AX$1&amp;AX$2&amp;$A670):INDIRECT(AX$1&amp;AX$3&amp;$A670))</f>
        <v>0</v>
      </c>
      <c r="AY670" s="3072">
        <f t="shared" ca="1" si="964"/>
        <v>0</v>
      </c>
      <c r="AZ670" s="2708">
        <f t="shared" ca="1" si="965"/>
        <v>0</v>
      </c>
      <c r="BB670" s="17">
        <f ca="1">SUM((INDIRECT(BB$2&amp;(ROW())):INDIRECT(BB$3&amp;(ROW()))))</f>
        <v>0</v>
      </c>
      <c r="BC670" s="17">
        <f ca="1">SUM(INDIRECT(BC$1&amp;BC$2&amp;$C670):INDIRECT(BC$1&amp;BC$3&amp;$C670))</f>
        <v>0</v>
      </c>
      <c r="BD670" s="3072">
        <f t="shared" ca="1" si="966"/>
        <v>0</v>
      </c>
      <c r="BE670" s="2708">
        <f t="shared" ca="1" si="967"/>
        <v>0</v>
      </c>
      <c r="BF670" s="17">
        <f ca="1">SUM(INDIRECT(BF$1&amp;BF$2&amp;$A670):INDIRECT(BF$1&amp;BF$3&amp;$A670))</f>
        <v>0</v>
      </c>
      <c r="BG670" s="3072">
        <f t="shared" ca="1" si="968"/>
        <v>0</v>
      </c>
      <c r="BH670" s="2708">
        <f t="shared" ca="1" si="969"/>
        <v>0</v>
      </c>
    </row>
    <row r="671" spans="1:60" ht="14.5">
      <c r="A671" s="616">
        <f t="shared" si="1008"/>
        <v>606</v>
      </c>
      <c r="B671" s="616">
        <v>1</v>
      </c>
      <c r="C671" s="616">
        <f t="shared" si="981"/>
        <v>668</v>
      </c>
      <c r="E671" s="2547">
        <v>1</v>
      </c>
      <c r="I671" s="352"/>
      <c r="J671" s="353"/>
      <c r="K671" s="68"/>
      <c r="L671" s="68"/>
      <c r="M671" s="69"/>
      <c r="N671" s="211" t="s">
        <v>1386</v>
      </c>
      <c r="O671" s="211"/>
      <c r="P671" s="211"/>
      <c r="Q671" s="1779" t="str">
        <f>CHOOSE(2, "6722000003590", "S/GP (3) Gross Profit Direct HW &amp; Solution Others")</f>
        <v>S/GP (3) Gross Profit Direct HW &amp; Solution Others</v>
      </c>
      <c r="R671" s="1218">
        <v>0</v>
      </c>
      <c r="S671" s="1218">
        <v>0</v>
      </c>
      <c r="T671" s="1218">
        <v>0</v>
      </c>
      <c r="U671" s="1218">
        <v>0</v>
      </c>
      <c r="V671" s="1218">
        <v>0</v>
      </c>
      <c r="W671" s="1218">
        <v>0</v>
      </c>
      <c r="X671" s="1218">
        <v>0</v>
      </c>
      <c r="Y671" s="1218">
        <v>0</v>
      </c>
      <c r="Z671" s="1218">
        <v>0</v>
      </c>
      <c r="AA671" s="1218">
        <v>0</v>
      </c>
      <c r="AB671" s="1218">
        <v>0</v>
      </c>
      <c r="AC671" s="1218">
        <v>0</v>
      </c>
      <c r="AD671" s="87">
        <f t="shared" si="1013"/>
        <v>0</v>
      </c>
      <c r="AE671" s="15">
        <f t="shared" si="1014"/>
        <v>0</v>
      </c>
      <c r="AF671" s="15">
        <f t="shared" si="1015"/>
        <v>0</v>
      </c>
      <c r="AG671" s="15">
        <f t="shared" si="1016"/>
        <v>0</v>
      </c>
      <c r="AH671" s="15">
        <f t="shared" si="1017"/>
        <v>0</v>
      </c>
      <c r="AI671" s="15">
        <f t="shared" si="1018"/>
        <v>0</v>
      </c>
      <c r="AJ671" s="15">
        <f t="shared" si="1019"/>
        <v>0</v>
      </c>
      <c r="AL671" s="15">
        <f ca="1">SUM((INDIRECT(AL$2&amp;(ROW())):INDIRECT(AL$3&amp;(ROW()))))</f>
        <v>0</v>
      </c>
      <c r="AM671" s="15">
        <f ca="1">SUM(INDIRECT(AM$1&amp;AM$2&amp;$C671):INDIRECT(AM$1&amp;AM$3&amp;$C671))</f>
        <v>0</v>
      </c>
      <c r="AN671" s="3073">
        <f t="shared" ca="1" si="958"/>
        <v>0</v>
      </c>
      <c r="AO671" s="2710">
        <f t="shared" ca="1" si="959"/>
        <v>0</v>
      </c>
      <c r="AP671" s="15">
        <f ca="1">SUM(INDIRECT(AP$1&amp;AP$2&amp;$A671):INDIRECT(AP$1&amp;AP$3&amp;$A671))</f>
        <v>0</v>
      </c>
      <c r="AQ671" s="3073">
        <f t="shared" ca="1" si="960"/>
        <v>0</v>
      </c>
      <c r="AR671" s="2710">
        <f t="shared" ca="1" si="961"/>
        <v>0</v>
      </c>
      <c r="AT671" s="15">
        <f ca="1">SUM((INDIRECT(AT$2&amp;(ROW())):INDIRECT(AT$3&amp;(ROW()))))</f>
        <v>0</v>
      </c>
      <c r="AU671" s="15">
        <f ca="1">SUM(INDIRECT(AU$1&amp;AU$2&amp;$C671):INDIRECT(AU$1&amp;AU$3&amp;$C671))</f>
        <v>0</v>
      </c>
      <c r="AV671" s="3073">
        <f t="shared" ca="1" si="962"/>
        <v>0</v>
      </c>
      <c r="AW671" s="2710">
        <f t="shared" ca="1" si="963"/>
        <v>0</v>
      </c>
      <c r="AX671" s="15">
        <f ca="1">SUM(INDIRECT(AX$1&amp;AX$2&amp;$A671):INDIRECT(AX$1&amp;AX$3&amp;$A671))</f>
        <v>0</v>
      </c>
      <c r="AY671" s="3073">
        <f t="shared" ca="1" si="964"/>
        <v>0</v>
      </c>
      <c r="AZ671" s="2710">
        <f t="shared" ca="1" si="965"/>
        <v>0</v>
      </c>
      <c r="BB671" s="15">
        <f ca="1">SUM((INDIRECT(BB$2&amp;(ROW())):INDIRECT(BB$3&amp;(ROW()))))</f>
        <v>0</v>
      </c>
      <c r="BC671" s="15">
        <f ca="1">SUM(INDIRECT(BC$1&amp;BC$2&amp;$C671):INDIRECT(BC$1&amp;BC$3&amp;$C671))</f>
        <v>0</v>
      </c>
      <c r="BD671" s="3073">
        <f t="shared" ca="1" si="966"/>
        <v>0</v>
      </c>
      <c r="BE671" s="2710">
        <f t="shared" ca="1" si="967"/>
        <v>0</v>
      </c>
      <c r="BF671" s="15">
        <f ca="1">SUM(INDIRECT(BF$1&amp;BF$2&amp;$A671):INDIRECT(BF$1&amp;BF$3&amp;$A671))</f>
        <v>0</v>
      </c>
      <c r="BG671" s="3073">
        <f t="shared" ca="1" si="968"/>
        <v>0</v>
      </c>
      <c r="BH671" s="2710">
        <f t="shared" ca="1" si="969"/>
        <v>0</v>
      </c>
    </row>
    <row r="672" spans="1:60" ht="14.5">
      <c r="A672" s="616">
        <f t="shared" si="1008"/>
        <v>607</v>
      </c>
      <c r="B672" s="616">
        <v>1</v>
      </c>
      <c r="C672" s="616">
        <f t="shared" si="981"/>
        <v>669</v>
      </c>
      <c r="E672" s="2547">
        <v>1</v>
      </c>
      <c r="I672" s="352"/>
      <c r="J672" s="353"/>
      <c r="K672" s="68"/>
      <c r="L672" s="68"/>
      <c r="M672" s="786" t="s">
        <v>1490</v>
      </c>
      <c r="N672" s="2191"/>
      <c r="O672" s="2191"/>
      <c r="P672" s="2191"/>
      <c r="Q672" s="1777" t="str">
        <f>CHOOSE(2, "6722000003591", "S/GP (3) Gross Profit Direct NH")</f>
        <v>S/GP (3) Gross Profit Direct NH</v>
      </c>
      <c r="R672" s="3038">
        <f>R673+R679+R685+R691+R697+R703+R706+R707</f>
        <v>589</v>
      </c>
      <c r="S672" s="3038">
        <f t="shared" ref="S672:AJ672" si="1020">S673+S679+S685+S691+S697+S703+S706+S707</f>
        <v>2391</v>
      </c>
      <c r="T672" s="3038">
        <f t="shared" si="1020"/>
        <v>943</v>
      </c>
      <c r="U672" s="3038">
        <f t="shared" si="1020"/>
        <v>1486</v>
      </c>
      <c r="V672" s="3038">
        <f t="shared" si="1020"/>
        <v>2040.8295996689412</v>
      </c>
      <c r="W672" s="3038">
        <f t="shared" si="1020"/>
        <v>627.3970114766837</v>
      </c>
      <c r="X672" s="3038">
        <f t="shared" si="1020"/>
        <v>2733</v>
      </c>
      <c r="Y672" s="3038">
        <f t="shared" si="1020"/>
        <v>1402</v>
      </c>
      <c r="Z672" s="3038">
        <f t="shared" si="1020"/>
        <v>1570</v>
      </c>
      <c r="AA672" s="3038">
        <f t="shared" si="1020"/>
        <v>684</v>
      </c>
      <c r="AB672" s="3038">
        <f t="shared" si="1020"/>
        <v>844.03926000000001</v>
      </c>
      <c r="AC672" s="3038">
        <f t="shared" si="1020"/>
        <v>-8898</v>
      </c>
      <c r="AD672" s="3067">
        <f t="shared" si="1020"/>
        <v>3923</v>
      </c>
      <c r="AE672" s="3038">
        <f t="shared" si="1020"/>
        <v>4154.2266111456247</v>
      </c>
      <c r="AF672" s="3038">
        <f t="shared" si="1020"/>
        <v>5705</v>
      </c>
      <c r="AG672" s="3038">
        <f t="shared" si="1020"/>
        <v>-7369.9607400000004</v>
      </c>
      <c r="AH672" s="3038">
        <f t="shared" si="1020"/>
        <v>8077.2266111456229</v>
      </c>
      <c r="AI672" s="3038">
        <f t="shared" si="1020"/>
        <v>-1664.9607400000004</v>
      </c>
      <c r="AJ672" s="3038">
        <f t="shared" si="1020"/>
        <v>6412.2658711456224</v>
      </c>
      <c r="AL672" s="3038">
        <f ca="1">SUM((INDIRECT(AL$2&amp;(ROW())):INDIRECT(AL$3&amp;(ROW()))))</f>
        <v>-8898</v>
      </c>
      <c r="AM672" s="3038">
        <f ca="1">SUM(INDIRECT(AM$1&amp;AM$2&amp;$C672):INDIRECT(AM$1&amp;AM$3&amp;$C672))</f>
        <v>0</v>
      </c>
      <c r="AN672" s="3068">
        <f t="shared" ca="1" si="958"/>
        <v>-8898</v>
      </c>
      <c r="AO672" s="2704">
        <f t="shared" ca="1" si="959"/>
        <v>0</v>
      </c>
      <c r="AP672" s="3038">
        <f ca="1">SUM(INDIRECT(AP$1&amp;AP$2&amp;$A672):INDIRECT(AP$1&amp;AP$3&amp;$A672))</f>
        <v>24203.1067</v>
      </c>
      <c r="AQ672" s="3068">
        <f t="shared" ca="1" si="960"/>
        <v>-33101.106700000004</v>
      </c>
      <c r="AR672" s="2704">
        <f t="shared" ca="1" si="961"/>
        <v>-0.36763875440833388</v>
      </c>
      <c r="AT672" s="3038">
        <f ca="1">SUM((INDIRECT(AT$2&amp;(ROW())):INDIRECT(AT$3&amp;(ROW()))))</f>
        <v>-7369.9607400000004</v>
      </c>
      <c r="AU672" s="3038">
        <f ca="1">SUM(INDIRECT(AU$1&amp;AU$2&amp;$C672):INDIRECT(AU$1&amp;AU$3&amp;$C672))</f>
        <v>0</v>
      </c>
      <c r="AV672" s="3068">
        <f t="shared" ca="1" si="962"/>
        <v>-7369.9607400000004</v>
      </c>
      <c r="AW672" s="2704">
        <f t="shared" ca="1" si="963"/>
        <v>0</v>
      </c>
      <c r="AX672" s="3038">
        <f ca="1">SUM(INDIRECT(AX$1&amp;AX$2&amp;$A672):INDIRECT(AX$1&amp;AX$3&amp;$A672))</f>
        <v>54627.106700000004</v>
      </c>
      <c r="AY672" s="3068">
        <f t="shared" ca="1" si="964"/>
        <v>-61997.067440000006</v>
      </c>
      <c r="AZ672" s="2704">
        <f t="shared" ca="1" si="965"/>
        <v>-0.13491398657582573</v>
      </c>
      <c r="BB672" s="3038">
        <f ca="1">SUM((INDIRECT(BB$2&amp;(ROW())):INDIRECT(BB$3&amp;(ROW()))))</f>
        <v>6412.2658711456243</v>
      </c>
      <c r="BC672" s="3038">
        <f ca="1">SUM(INDIRECT(BC$1&amp;BC$2&amp;$C672):INDIRECT(BC$1&amp;BC$3&amp;$C672))</f>
        <v>0</v>
      </c>
      <c r="BD672" s="3068">
        <f t="shared" ca="1" si="966"/>
        <v>6412.2658711456243</v>
      </c>
      <c r="BE672" s="2704">
        <f t="shared" ca="1" si="967"/>
        <v>0</v>
      </c>
      <c r="BF672" s="3038">
        <f ca="1">SUM(INDIRECT(BF$1&amp;BF$2&amp;$A672):INDIRECT(BF$1&amp;BF$3&amp;$A672))</f>
        <v>188783.67180266065</v>
      </c>
      <c r="BG672" s="3068">
        <f t="shared" ca="1" si="968"/>
        <v>-182371.40593151504</v>
      </c>
      <c r="BH672" s="2704">
        <f t="shared" ca="1" si="969"/>
        <v>3.3966210159576161E-2</v>
      </c>
    </row>
    <row r="673" spans="1:60" ht="14.5">
      <c r="A673" s="616">
        <f t="shared" si="1008"/>
        <v>608</v>
      </c>
      <c r="B673" s="616">
        <v>1</v>
      </c>
      <c r="C673" s="616">
        <f t="shared" si="981"/>
        <v>670</v>
      </c>
      <c r="E673" s="2547">
        <v>1</v>
      </c>
      <c r="I673" s="352"/>
      <c r="J673" s="353"/>
      <c r="K673" s="68"/>
      <c r="L673" s="68"/>
      <c r="M673" s="69"/>
      <c r="N673" s="740" t="s">
        <v>1489</v>
      </c>
      <c r="O673" s="302"/>
      <c r="P673" s="302"/>
      <c r="Q673" s="1777" t="str">
        <f>CHOOSE(2, "6722000003592", "S/GP (3) Gross Profit Direct NH KM-1/KM-1e")</f>
        <v>S/GP (3) Gross Profit Direct NH KM-1/KM-1e</v>
      </c>
      <c r="R673" s="287">
        <f>R674+R675</f>
        <v>-360</v>
      </c>
      <c r="S673" s="287">
        <f t="shared" ref="S673:AI673" si="1021">S674+S675</f>
        <v>-141</v>
      </c>
      <c r="T673" s="287">
        <f t="shared" si="1021"/>
        <v>-107</v>
      </c>
      <c r="U673" s="287">
        <f t="shared" si="1021"/>
        <v>-309</v>
      </c>
      <c r="V673" s="287">
        <f t="shared" si="1021"/>
        <v>-103.81989147115095</v>
      </c>
      <c r="W673" s="287">
        <f t="shared" si="1021"/>
        <v>-1024</v>
      </c>
      <c r="X673" s="287">
        <f t="shared" si="1021"/>
        <v>660</v>
      </c>
      <c r="Y673" s="287">
        <f t="shared" si="1021"/>
        <v>-124</v>
      </c>
      <c r="Z673" s="287">
        <f t="shared" si="1021"/>
        <v>-196</v>
      </c>
      <c r="AA673" s="287">
        <f t="shared" si="1021"/>
        <v>-1615</v>
      </c>
      <c r="AB673" s="287">
        <f t="shared" si="1021"/>
        <v>941.03926000000001</v>
      </c>
      <c r="AC673" s="287">
        <f t="shared" si="1021"/>
        <v>-1114</v>
      </c>
      <c r="AD673" s="315">
        <f t="shared" si="1021"/>
        <v>-608</v>
      </c>
      <c r="AE673" s="287">
        <f t="shared" si="1021"/>
        <v>-1436.8198914711511</v>
      </c>
      <c r="AF673" s="287">
        <f t="shared" si="1021"/>
        <v>340</v>
      </c>
      <c r="AG673" s="287">
        <f t="shared" si="1021"/>
        <v>-1787.96074</v>
      </c>
      <c r="AH673" s="287">
        <f t="shared" si="1021"/>
        <v>-2044.8198914711509</v>
      </c>
      <c r="AI673" s="287">
        <f t="shared" si="1021"/>
        <v>-1447.96074</v>
      </c>
      <c r="AJ673" s="287">
        <f>AJ674+AJ675</f>
        <v>-3492.7806314711506</v>
      </c>
      <c r="AL673" s="287">
        <f ca="1">SUM((INDIRECT(AL$2&amp;(ROW())):INDIRECT(AL$3&amp;(ROW()))))</f>
        <v>-1114</v>
      </c>
      <c r="AM673" s="287">
        <f ca="1">SUM(INDIRECT(AM$1&amp;AM$2&amp;$C673):INDIRECT(AM$1&amp;AM$3&amp;$C673))</f>
        <v>0</v>
      </c>
      <c r="AN673" s="3226">
        <f t="shared" ca="1" si="958"/>
        <v>-1114</v>
      </c>
      <c r="AO673" s="2876">
        <f t="shared" ca="1" si="959"/>
        <v>0</v>
      </c>
      <c r="AP673" s="287">
        <f ca="1">SUM(INDIRECT(AP$1&amp;AP$2&amp;$A673):INDIRECT(AP$1&amp;AP$3&amp;$A673))</f>
        <v>4714</v>
      </c>
      <c r="AQ673" s="3226">
        <f t="shared" ca="1" si="960"/>
        <v>-5828</v>
      </c>
      <c r="AR673" s="2876">
        <f t="shared" ca="1" si="961"/>
        <v>-0.23631735256682224</v>
      </c>
      <c r="AT673" s="287">
        <f ca="1">SUM((INDIRECT(AT$2&amp;(ROW())):INDIRECT(AT$3&amp;(ROW()))))</f>
        <v>-1787.96074</v>
      </c>
      <c r="AU673" s="287">
        <f ca="1">SUM(INDIRECT(AU$1&amp;AU$2&amp;$C673):INDIRECT(AU$1&amp;AU$3&amp;$C673))</f>
        <v>0</v>
      </c>
      <c r="AV673" s="3226">
        <f t="shared" ca="1" si="962"/>
        <v>-1787.96074</v>
      </c>
      <c r="AW673" s="2876">
        <f t="shared" ca="1" si="963"/>
        <v>0</v>
      </c>
      <c r="AX673" s="287">
        <f ca="1">SUM(INDIRECT(AX$1&amp;AX$2&amp;$A673):INDIRECT(AX$1&amp;AX$3&amp;$A673))</f>
        <v>7759</v>
      </c>
      <c r="AY673" s="3226">
        <f t="shared" ca="1" si="964"/>
        <v>-9546.9607400000004</v>
      </c>
      <c r="AZ673" s="2876">
        <f t="shared" ca="1" si="965"/>
        <v>-0.23043700734630751</v>
      </c>
      <c r="BB673" s="287">
        <f ca="1">SUM((INDIRECT(BB$2&amp;(ROW())):INDIRECT(BB$3&amp;(ROW()))))</f>
        <v>-3492.7806314711511</v>
      </c>
      <c r="BC673" s="287">
        <f ca="1">SUM(INDIRECT(BC$1&amp;BC$2&amp;$C673):INDIRECT(BC$1&amp;BC$3&amp;$C673))</f>
        <v>0</v>
      </c>
      <c r="BD673" s="3226">
        <f t="shared" ca="1" si="966"/>
        <v>-3492.7806314711511</v>
      </c>
      <c r="BE673" s="2876">
        <f t="shared" ca="1" si="967"/>
        <v>0</v>
      </c>
      <c r="BF673" s="287">
        <f ca="1">SUM(INDIRECT(BF$1&amp;BF$2&amp;$A673):INDIRECT(BF$1&amp;BF$3&amp;$A673))</f>
        <v>41793.701736402727</v>
      </c>
      <c r="BG673" s="3226">
        <f t="shared" ca="1" si="968"/>
        <v>-45286.482367873876</v>
      </c>
      <c r="BH673" s="2876">
        <f t="shared" ca="1" si="969"/>
        <v>-8.3571937549358183E-2</v>
      </c>
    </row>
    <row r="674" spans="1:60" ht="14.5">
      <c r="A674" s="616">
        <f t="shared" si="1008"/>
        <v>609</v>
      </c>
      <c r="B674" s="616">
        <v>1</v>
      </c>
      <c r="C674" s="616">
        <f t="shared" si="981"/>
        <v>671</v>
      </c>
      <c r="E674" s="2547">
        <v>1</v>
      </c>
      <c r="I674" s="352"/>
      <c r="J674" s="353"/>
      <c r="K674" s="68"/>
      <c r="L674" s="68"/>
      <c r="M674" s="69"/>
      <c r="N674" s="69"/>
      <c r="O674" s="740" t="s">
        <v>1489</v>
      </c>
      <c r="P674" s="305"/>
      <c r="Q674" s="1779" t="str">
        <f>CHOOSE(2, "6722000003593", "S/GP (3) Gross Profit Direct NH KM-1/KM-1e KM-1/KM-1e")</f>
        <v>S/GP (3) Gross Profit Direct NH KM-1/KM-1e KM-1/KM-1e</v>
      </c>
      <c r="R674" s="1254">
        <v>-201</v>
      </c>
      <c r="S674" s="1254">
        <v>35</v>
      </c>
      <c r="T674" s="1254">
        <v>126</v>
      </c>
      <c r="U674" s="1254">
        <v>-77</v>
      </c>
      <c r="V674" s="1254">
        <v>51.853029999999997</v>
      </c>
      <c r="W674" s="1254">
        <v>-848</v>
      </c>
      <c r="X674" s="1254">
        <v>850</v>
      </c>
      <c r="Y674" s="1254">
        <v>53</v>
      </c>
      <c r="Z674" s="1254">
        <v>28</v>
      </c>
      <c r="AA674" s="1254">
        <v>-1431</v>
      </c>
      <c r="AB674" s="1254">
        <v>1117.03926</v>
      </c>
      <c r="AC674" s="1254">
        <v>-975</v>
      </c>
      <c r="AD674" s="903">
        <f>SUM(R674,S674,T674)</f>
        <v>-40</v>
      </c>
      <c r="AE674" s="58">
        <f t="shared" ref="AE674" si="1022">SUM(U674,V674,W674)</f>
        <v>-873.14697000000001</v>
      </c>
      <c r="AF674" s="58">
        <f t="shared" ref="AF674" si="1023">SUM(X674,Y674,Z674)</f>
        <v>931</v>
      </c>
      <c r="AG674" s="58">
        <f t="shared" ref="AG674" si="1024">SUM(AA674,AB674,AC674)</f>
        <v>-1288.96074</v>
      </c>
      <c r="AH674" s="58">
        <f>AD674+AE674</f>
        <v>-913.14697000000001</v>
      </c>
      <c r="AI674" s="58">
        <f>AG674+AF674</f>
        <v>-357.96073999999999</v>
      </c>
      <c r="AJ674" s="58">
        <f>AH674+AI674</f>
        <v>-1271.10771</v>
      </c>
      <c r="AL674" s="58">
        <f ca="1">SUM((INDIRECT(AL$2&amp;(ROW())):INDIRECT(AL$3&amp;(ROW()))))</f>
        <v>-975</v>
      </c>
      <c r="AM674" s="58">
        <f ca="1">SUM(INDIRECT(AM$1&amp;AM$2&amp;$C674):INDIRECT(AM$1&amp;AM$3&amp;$C674))</f>
        <v>8656.6</v>
      </c>
      <c r="AN674" s="3261">
        <f t="shared" ca="1" si="958"/>
        <v>-9631.6</v>
      </c>
      <c r="AO674" s="2913">
        <f t="shared" ca="1" si="959"/>
        <v>-0.11263082503523322</v>
      </c>
      <c r="AP674" s="58">
        <f ca="1">SUM(INDIRECT(AP$1&amp;AP$2&amp;$A674):INDIRECT(AP$1&amp;AP$3&amp;$A674))</f>
        <v>4714</v>
      </c>
      <c r="AQ674" s="3261">
        <f t="shared" ca="1" si="960"/>
        <v>-5689</v>
      </c>
      <c r="AR674" s="2913">
        <f t="shared" ca="1" si="961"/>
        <v>-0.20683071701315231</v>
      </c>
      <c r="AT674" s="58">
        <f ca="1">SUM((INDIRECT(AT$2&amp;(ROW())):INDIRECT(AT$3&amp;(ROW()))))</f>
        <v>-1288.96074</v>
      </c>
      <c r="AU674" s="58">
        <f ca="1">SUM(INDIRECT(AU$1&amp;AU$2&amp;$C674):INDIRECT(AU$1&amp;AU$3&amp;$C674))</f>
        <v>19441.884999999998</v>
      </c>
      <c r="AV674" s="3261">
        <f t="shared" ca="1" si="962"/>
        <v>-20730.845739999997</v>
      </c>
      <c r="AW674" s="2913">
        <f t="shared" ca="1" si="963"/>
        <v>-6.6298136214672607E-2</v>
      </c>
      <c r="AX674" s="58">
        <f ca="1">SUM(INDIRECT(AX$1&amp;AX$2&amp;$A674):INDIRECT(AX$1&amp;AX$3&amp;$A674))</f>
        <v>7759</v>
      </c>
      <c r="AY674" s="3261">
        <f t="shared" ca="1" si="964"/>
        <v>-9047.9607400000004</v>
      </c>
      <c r="AZ674" s="2913">
        <f t="shared" ca="1" si="965"/>
        <v>-0.16612459595308673</v>
      </c>
      <c r="BB674" s="58">
        <f ca="1">SUM((INDIRECT(BB$2&amp;(ROW())):INDIRECT(BB$3&amp;(ROW()))))</f>
        <v>-1271.10771</v>
      </c>
      <c r="BC674" s="58">
        <f ca="1">SUM(INDIRECT(BC$1&amp;BC$2&amp;$C674):INDIRECT(BC$1&amp;BC$3&amp;$C674))</f>
        <v>34052.618999999999</v>
      </c>
      <c r="BD674" s="3261">
        <f t="shared" ca="1" si="966"/>
        <v>-35323.726709999995</v>
      </c>
      <c r="BE674" s="2913">
        <f t="shared" ca="1" si="967"/>
        <v>-3.732775179495005E-2</v>
      </c>
      <c r="BF674" s="58">
        <f ca="1">SUM(INDIRECT(BF$1&amp;BF$2&amp;$A674):INDIRECT(BF$1&amp;BF$3&amp;$A674))</f>
        <v>41793.701736402727</v>
      </c>
      <c r="BG674" s="3261">
        <f t="shared" ca="1" si="968"/>
        <v>-43064.809446402724</v>
      </c>
      <c r="BH674" s="2913">
        <f t="shared" ca="1" si="969"/>
        <v>-3.0413858002265749E-2</v>
      </c>
    </row>
    <row r="675" spans="1:60" s="69" customFormat="1" ht="14.5">
      <c r="A675" s="616">
        <f t="shared" si="1008"/>
        <v>610</v>
      </c>
      <c r="B675" s="616">
        <v>1</v>
      </c>
      <c r="C675" s="616">
        <f t="shared" si="981"/>
        <v>672</v>
      </c>
      <c r="E675" s="2547">
        <v>1</v>
      </c>
      <c r="F675" s="9"/>
      <c r="G675" s="9"/>
      <c r="H675" s="22"/>
      <c r="I675" s="352"/>
      <c r="J675" s="353"/>
      <c r="K675" s="68"/>
      <c r="L675" s="68"/>
      <c r="O675" s="306" t="s">
        <v>1491</v>
      </c>
      <c r="P675" s="306"/>
      <c r="Q675" s="1782" t="str">
        <f>CHOOSE(2, "6722000003594", "S/GP (3) Gross Profit Direct NH KM-1/KM-1e FSC (-)")</f>
        <v>S/GP (3) Gross Profit Direct NH KM-1/KM-1e FSC (-)</v>
      </c>
      <c r="R675" s="1250">
        <f t="shared" ref="R675:AC675" si="1025">SUM(R676:R678)</f>
        <v>-159</v>
      </c>
      <c r="S675" s="1250">
        <f t="shared" si="1025"/>
        <v>-176</v>
      </c>
      <c r="T675" s="1250">
        <f t="shared" si="1025"/>
        <v>-233</v>
      </c>
      <c r="U675" s="1250">
        <f t="shared" si="1025"/>
        <v>-232</v>
      </c>
      <c r="V675" s="1250">
        <f t="shared" si="1025"/>
        <v>-155.67292147115094</v>
      </c>
      <c r="W675" s="1250">
        <f t="shared" si="1025"/>
        <v>-176</v>
      </c>
      <c r="X675" s="1250">
        <f t="shared" si="1025"/>
        <v>-190</v>
      </c>
      <c r="Y675" s="1250">
        <f t="shared" si="1025"/>
        <v>-177</v>
      </c>
      <c r="Z675" s="1250">
        <f t="shared" si="1025"/>
        <v>-224</v>
      </c>
      <c r="AA675" s="1250">
        <f t="shared" si="1025"/>
        <v>-184</v>
      </c>
      <c r="AB675" s="1250">
        <f t="shared" si="1025"/>
        <v>-176</v>
      </c>
      <c r="AC675" s="1250">
        <f t="shared" si="1025"/>
        <v>-139</v>
      </c>
      <c r="AD675" s="899">
        <f>SUM(R675:T675)</f>
        <v>-568</v>
      </c>
      <c r="AE675" s="1250">
        <f>SUM(U675:W675)</f>
        <v>-563.67292147115097</v>
      </c>
      <c r="AF675" s="1250">
        <f>SUM(X675:Z675)</f>
        <v>-591</v>
      </c>
      <c r="AG675" s="1250">
        <f>SUM(AA675:AC675)</f>
        <v>-499</v>
      </c>
      <c r="AH675" s="1250">
        <f>AD675+AE675</f>
        <v>-1131.6729214711509</v>
      </c>
      <c r="AI675" s="1250">
        <f>AG675+AF675</f>
        <v>-1090</v>
      </c>
      <c r="AJ675" s="1250">
        <f>AH675+AI675</f>
        <v>-2221.6729214711509</v>
      </c>
      <c r="AL675" s="1250">
        <f ca="1">SUM((INDIRECT(AL$2&amp;(ROW())):INDIRECT(AL$3&amp;(ROW()))))</f>
        <v>-139</v>
      </c>
      <c r="AM675" s="1250">
        <f ca="1">SUM(INDIRECT(AM$1&amp;AM$2&amp;$C675):INDIRECT(AM$1&amp;AM$3&amp;$C675))</f>
        <v>8656.6</v>
      </c>
      <c r="AN675" s="3232">
        <f t="shared" ca="1" si="958"/>
        <v>-8795.6</v>
      </c>
      <c r="AO675" s="2888">
        <f t="shared" ca="1" si="959"/>
        <v>-1.6057112492202482E-2</v>
      </c>
      <c r="AP675" s="1250">
        <f ca="1">SUM(INDIRECT(AP$1&amp;AP$2&amp;$A675):INDIRECT(AP$1&amp;AP$3&amp;$A675))</f>
        <v>0</v>
      </c>
      <c r="AQ675" s="3232">
        <f t="shared" ca="1" si="960"/>
        <v>-139</v>
      </c>
      <c r="AR675" s="2888">
        <f t="shared" ca="1" si="961"/>
        <v>0</v>
      </c>
      <c r="AT675" s="1250">
        <f ca="1">SUM((INDIRECT(AT$2&amp;(ROW())):INDIRECT(AT$3&amp;(ROW()))))</f>
        <v>-499</v>
      </c>
      <c r="AU675" s="1250">
        <f ca="1">SUM(INDIRECT(AU$1&amp;AU$2&amp;$C675):INDIRECT(AU$1&amp;AU$3&amp;$C675))</f>
        <v>19441.884999999998</v>
      </c>
      <c r="AV675" s="3232">
        <f t="shared" ca="1" si="962"/>
        <v>-19940.884999999998</v>
      </c>
      <c r="AW675" s="2888">
        <f t="shared" ca="1" si="963"/>
        <v>-2.5666235552776907E-2</v>
      </c>
      <c r="AX675" s="1250">
        <f ca="1">SUM(INDIRECT(AX$1&amp;AX$2&amp;$A675):INDIRECT(AX$1&amp;AX$3&amp;$A675))</f>
        <v>0</v>
      </c>
      <c r="AY675" s="3232">
        <f t="shared" ca="1" si="964"/>
        <v>-499</v>
      </c>
      <c r="AZ675" s="2888">
        <f t="shared" ca="1" si="965"/>
        <v>0</v>
      </c>
      <c r="BB675" s="1250">
        <f ca="1">SUM((INDIRECT(BB$2&amp;(ROW())):INDIRECT(BB$3&amp;(ROW()))))</f>
        <v>-2221.6729214711509</v>
      </c>
      <c r="BC675" s="1250">
        <f ca="1">SUM(INDIRECT(BC$1&amp;BC$2&amp;$C675):INDIRECT(BC$1&amp;BC$3&amp;$C675))</f>
        <v>34052.618999999999</v>
      </c>
      <c r="BD675" s="3232">
        <f t="shared" ca="1" si="966"/>
        <v>-36274.291921471151</v>
      </c>
      <c r="BE675" s="2888">
        <f t="shared" ca="1" si="967"/>
        <v>-6.5242351005987256E-2</v>
      </c>
      <c r="BF675" s="1250">
        <f ca="1">SUM(INDIRECT(BF$1&amp;BF$2&amp;$A675):INDIRECT(BF$1&amp;BF$3&amp;$A675))</f>
        <v>0</v>
      </c>
      <c r="BG675" s="3232">
        <f t="shared" ca="1" si="968"/>
        <v>-2221.6729214711509</v>
      </c>
      <c r="BH675" s="2888">
        <f t="shared" ca="1" si="969"/>
        <v>0</v>
      </c>
    </row>
    <row r="676" spans="1:60" s="69" customFormat="1" ht="14.5">
      <c r="A676" s="616">
        <f t="shared" si="1008"/>
        <v>611</v>
      </c>
      <c r="B676" s="616">
        <v>1</v>
      </c>
      <c r="C676" s="616">
        <f t="shared" si="981"/>
        <v>673</v>
      </c>
      <c r="E676" s="2547">
        <v>1</v>
      </c>
      <c r="F676" s="9"/>
      <c r="G676" s="9"/>
      <c r="H676" s="22"/>
      <c r="I676" s="352"/>
      <c r="J676" s="353"/>
      <c r="K676" s="68"/>
      <c r="L676" s="68"/>
      <c r="O676" s="307"/>
      <c r="P676" s="291" t="s">
        <v>1471</v>
      </c>
      <c r="Q676" s="1779" t="str">
        <f>CHOOSE(2, "6722000003595", "S/GP (3) Gross Profit Direct NH KM-1/KM-1e FSC (-) PC")</f>
        <v>S/GP (3) Gross Profit Direct NH KM-1/KM-1e FSC (-) PC</v>
      </c>
      <c r="R676" s="1227">
        <v>-159</v>
      </c>
      <c r="S676" s="1227">
        <v>-158</v>
      </c>
      <c r="T676" s="1227">
        <v>-214</v>
      </c>
      <c r="U676" s="1227">
        <v>-213</v>
      </c>
      <c r="V676" s="1227">
        <v>-130.67292147115094</v>
      </c>
      <c r="W676" s="1227">
        <v>-166</v>
      </c>
      <c r="X676" s="1227">
        <v>-163</v>
      </c>
      <c r="Y676" s="1227">
        <v>-159</v>
      </c>
      <c r="Z676" s="1227">
        <v>-206</v>
      </c>
      <c r="AA676" s="1227">
        <v>-159</v>
      </c>
      <c r="AB676" s="1227">
        <v>-159</v>
      </c>
      <c r="AC676" s="1227">
        <v>-121</v>
      </c>
      <c r="AD676" s="896">
        <f>SUM(R676,S676,T676)</f>
        <v>-531</v>
      </c>
      <c r="AE676" s="95">
        <f t="shared" ref="AE676:AE678" si="1026">SUM(U676,V676,W676)</f>
        <v>-509.67292147115097</v>
      </c>
      <c r="AF676" s="95">
        <f t="shared" ref="AF676:AF678" si="1027">SUM(X676,Y676,Z676)</f>
        <v>-528</v>
      </c>
      <c r="AG676" s="95">
        <f t="shared" ref="AG676:AG678" si="1028">SUM(AA676,AB676,AC676)</f>
        <v>-439</v>
      </c>
      <c r="AH676" s="95">
        <f>AD676+AE676</f>
        <v>-1040.6729214711509</v>
      </c>
      <c r="AI676" s="95">
        <f>AG676+AF676</f>
        <v>-967</v>
      </c>
      <c r="AJ676" s="95">
        <f>AH676+AI676</f>
        <v>-2007.6729214711509</v>
      </c>
      <c r="AL676" s="95">
        <f ca="1">SUM((INDIRECT(AL$2&amp;(ROW())):INDIRECT(AL$3&amp;(ROW()))))</f>
        <v>-121</v>
      </c>
      <c r="AM676" s="95">
        <f ca="1">SUM(INDIRECT(AM$1&amp;AM$2&amp;$C676):INDIRECT(AM$1&amp;AM$3&amp;$C676))</f>
        <v>6812</v>
      </c>
      <c r="AN676" s="3228">
        <f t="shared" ca="1" si="958"/>
        <v>-6933</v>
      </c>
      <c r="AO676" s="2880">
        <f t="shared" ca="1" si="959"/>
        <v>-1.7762771579565472E-2</v>
      </c>
      <c r="AP676" s="95">
        <f ca="1">SUM(INDIRECT(AP$1&amp;AP$2&amp;$A676):INDIRECT(AP$1&amp;AP$3&amp;$A676))</f>
        <v>19489.1067</v>
      </c>
      <c r="AQ676" s="3228">
        <f t="shared" ca="1" si="960"/>
        <v>-19610.1067</v>
      </c>
      <c r="AR676" s="2880">
        <f t="shared" ca="1" si="961"/>
        <v>-6.2085965181769981E-3</v>
      </c>
      <c r="AT676" s="95">
        <f ca="1">SUM((INDIRECT(AT$2&amp;(ROW())):INDIRECT(AT$3&amp;(ROW()))))</f>
        <v>-439</v>
      </c>
      <c r="AU676" s="95">
        <f ca="1">SUM(INDIRECT(AU$1&amp;AU$2&amp;$C676):INDIRECT(AU$1&amp;AU$3&amp;$C676))</f>
        <v>13681.684999999999</v>
      </c>
      <c r="AV676" s="3228">
        <f t="shared" ca="1" si="962"/>
        <v>-14120.684999999999</v>
      </c>
      <c r="AW676" s="2880">
        <f t="shared" ca="1" si="963"/>
        <v>-3.2086691076428087E-2</v>
      </c>
      <c r="AX676" s="95">
        <f ca="1">SUM(INDIRECT(AX$1&amp;AX$2&amp;$A676):INDIRECT(AX$1&amp;AX$3&amp;$A676))</f>
        <v>46868.106700000004</v>
      </c>
      <c r="AY676" s="3228">
        <f t="shared" ca="1" si="964"/>
        <v>-47307.106700000004</v>
      </c>
      <c r="AZ676" s="2880">
        <f t="shared" ca="1" si="965"/>
        <v>-9.3667107743441221E-3</v>
      </c>
      <c r="BB676" s="95">
        <f ca="1">SUM((INDIRECT(BB$2&amp;(ROW())):INDIRECT(BB$3&amp;(ROW()))))</f>
        <v>-2007.6729214711509</v>
      </c>
      <c r="BC676" s="95">
        <f ca="1">SUM(INDIRECT(BC$1&amp;BC$2&amp;$C676):INDIRECT(BC$1&amp;BC$3&amp;$C676))</f>
        <v>24385.019</v>
      </c>
      <c r="BD676" s="3228">
        <f t="shared" ca="1" si="966"/>
        <v>-26392.691921471152</v>
      </c>
      <c r="BE676" s="2880">
        <f t="shared" ca="1" si="967"/>
        <v>-8.2332227072332842E-2</v>
      </c>
      <c r="BF676" s="95">
        <f ca="1">SUM(INDIRECT(BF$1&amp;BF$2&amp;$A676):INDIRECT(BF$1&amp;BF$3&amp;$A676))</f>
        <v>146989.97006625793</v>
      </c>
      <c r="BG676" s="3228">
        <f t="shared" ca="1" si="968"/>
        <v>-148997.64298772908</v>
      </c>
      <c r="BH676" s="2880">
        <f t="shared" ca="1" si="969"/>
        <v>-1.3658570857359602E-2</v>
      </c>
    </row>
    <row r="677" spans="1:60" s="69" customFormat="1" ht="14.5">
      <c r="A677" s="616">
        <f t="shared" si="1008"/>
        <v>612</v>
      </c>
      <c r="B677" s="616">
        <v>1</v>
      </c>
      <c r="C677" s="616">
        <f t="shared" si="981"/>
        <v>674</v>
      </c>
      <c r="E677" s="2547">
        <v>1</v>
      </c>
      <c r="F677" s="9"/>
      <c r="G677" s="9"/>
      <c r="H677" s="22"/>
      <c r="I677" s="352"/>
      <c r="J677" s="353"/>
      <c r="K677" s="68"/>
      <c r="L677" s="68"/>
      <c r="O677" s="231"/>
      <c r="P677" s="229" t="s">
        <v>1472</v>
      </c>
      <c r="Q677" s="1779" t="str">
        <f>CHOOSE(2, "6722000003596", "S/GP (3) Gross Profit Direct NH KM-1/KM-1e FSC (-) TE")</f>
        <v>S/GP (3) Gross Profit Direct NH KM-1/KM-1e FSC (-) TE</v>
      </c>
      <c r="R677" s="1217">
        <v>0</v>
      </c>
      <c r="S677" s="1217">
        <v>-18</v>
      </c>
      <c r="T677" s="1217">
        <v>-19</v>
      </c>
      <c r="U677" s="1217">
        <v>-19</v>
      </c>
      <c r="V677" s="1217">
        <v>-25</v>
      </c>
      <c r="W677" s="1217">
        <v>-10</v>
      </c>
      <c r="X677" s="1217">
        <v>-27</v>
      </c>
      <c r="Y677" s="1217">
        <v>-18</v>
      </c>
      <c r="Z677" s="1217">
        <v>-18</v>
      </c>
      <c r="AA677" s="1217">
        <v>-25</v>
      </c>
      <c r="AB677" s="1217">
        <v>-17</v>
      </c>
      <c r="AC677" s="1217">
        <v>-18</v>
      </c>
      <c r="AD677" s="783">
        <f>SUM(R677,S677,T677)</f>
        <v>-37</v>
      </c>
      <c r="AE677" s="1226">
        <f t="shared" si="1026"/>
        <v>-54</v>
      </c>
      <c r="AF677" s="1226">
        <f t="shared" si="1027"/>
        <v>-63</v>
      </c>
      <c r="AG677" s="1226">
        <f t="shared" si="1028"/>
        <v>-60</v>
      </c>
      <c r="AH677" s="1226">
        <f>AD677+AE677</f>
        <v>-91</v>
      </c>
      <c r="AI677" s="1226">
        <f>AG677+AF677</f>
        <v>-123</v>
      </c>
      <c r="AJ677" s="1226">
        <f>AH677+AI677</f>
        <v>-214</v>
      </c>
      <c r="AL677" s="1226">
        <f ca="1">SUM((INDIRECT(AL$2&amp;(ROW())):INDIRECT(AL$3&amp;(ROW()))))</f>
        <v>-18</v>
      </c>
      <c r="AM677" s="1226">
        <f ca="1">SUM(INDIRECT(AM$1&amp;AM$2&amp;$C677):INDIRECT(AM$1&amp;AM$3&amp;$C677))</f>
        <v>0</v>
      </c>
      <c r="AN677" s="3233">
        <f t="shared" ca="1" si="958"/>
        <v>-18</v>
      </c>
      <c r="AO677" s="2890">
        <f t="shared" ca="1" si="959"/>
        <v>0</v>
      </c>
      <c r="AP677" s="1226">
        <f ca="1">SUM(INDIRECT(AP$1&amp;AP$2&amp;$A677):INDIRECT(AP$1&amp;AP$3&amp;$A677))</f>
        <v>19489.1067</v>
      </c>
      <c r="AQ677" s="3233">
        <f t="shared" ca="1" si="960"/>
        <v>-19507.1067</v>
      </c>
      <c r="AR677" s="2890">
        <f t="shared" ca="1" si="961"/>
        <v>-9.2359287047261119E-4</v>
      </c>
      <c r="AT677" s="1226">
        <f ca="1">SUM((INDIRECT(AT$2&amp;(ROW())):INDIRECT(AT$3&amp;(ROW()))))</f>
        <v>-60</v>
      </c>
      <c r="AU677" s="1226">
        <f ca="1">SUM(INDIRECT(AU$1&amp;AU$2&amp;$C677):INDIRECT(AU$1&amp;AU$3&amp;$C677))</f>
        <v>0</v>
      </c>
      <c r="AV677" s="3233">
        <f t="shared" ca="1" si="962"/>
        <v>-60</v>
      </c>
      <c r="AW677" s="2890">
        <f t="shared" ca="1" si="963"/>
        <v>0</v>
      </c>
      <c r="AX677" s="1226">
        <f ca="1">SUM(INDIRECT(AX$1&amp;AX$2&amp;$A677):INDIRECT(AX$1&amp;AX$3&amp;$A677))</f>
        <v>46868.106700000004</v>
      </c>
      <c r="AY677" s="3233">
        <f t="shared" ca="1" si="964"/>
        <v>-46928.106700000004</v>
      </c>
      <c r="AZ677" s="2890">
        <f t="shared" ca="1" si="965"/>
        <v>-1.2801882607304041E-3</v>
      </c>
      <c r="BB677" s="1226">
        <f ca="1">SUM((INDIRECT(BB$2&amp;(ROW())):INDIRECT(BB$3&amp;(ROW()))))</f>
        <v>-214</v>
      </c>
      <c r="BC677" s="1226">
        <f ca="1">SUM(INDIRECT(BC$1&amp;BC$2&amp;$C677):INDIRECT(BC$1&amp;BC$3&amp;$C677))</f>
        <v>10000</v>
      </c>
      <c r="BD677" s="3233">
        <f t="shared" ca="1" si="966"/>
        <v>-10214</v>
      </c>
      <c r="BE677" s="2890">
        <f t="shared" ca="1" si="967"/>
        <v>-2.1399999999999999E-2</v>
      </c>
      <c r="BF677" s="1226">
        <f ca="1">SUM(INDIRECT(BF$1&amp;BF$2&amp;$A677):INDIRECT(BF$1&amp;BF$3&amp;$A677))</f>
        <v>146989.97006625793</v>
      </c>
      <c r="BG677" s="3233">
        <f t="shared" ca="1" si="968"/>
        <v>-147203.97006625793</v>
      </c>
      <c r="BH677" s="2890">
        <f t="shared" ca="1" si="969"/>
        <v>-1.4558816489556145E-3</v>
      </c>
    </row>
    <row r="678" spans="1:60" s="69" customFormat="1" ht="14.5">
      <c r="A678" s="616">
        <f t="shared" si="1008"/>
        <v>613</v>
      </c>
      <c r="B678" s="616">
        <v>1</v>
      </c>
      <c r="C678" s="616">
        <f t="shared" si="981"/>
        <v>675</v>
      </c>
      <c r="E678" s="2547">
        <v>1</v>
      </c>
      <c r="F678" s="9"/>
      <c r="G678" s="9"/>
      <c r="H678" s="22"/>
      <c r="I678" s="352"/>
      <c r="J678" s="353"/>
      <c r="K678" s="68"/>
      <c r="L678" s="68"/>
      <c r="N678" s="211"/>
      <c r="O678" s="232"/>
      <c r="P678" s="228" t="s">
        <v>1473</v>
      </c>
      <c r="Q678" s="1779" t="str">
        <f>CHOOSE(2, "6722000003597", "S/GP (3) Gross Profit Direct NH KM-1/KM-1e FSC (-) OFC")</f>
        <v>S/GP (3) Gross Profit Direct NH KM-1/KM-1e FSC (-) OFC</v>
      </c>
      <c r="R678" s="1218">
        <v>0</v>
      </c>
      <c r="S678" s="1218">
        <v>0</v>
      </c>
      <c r="T678" s="1218">
        <v>0</v>
      </c>
      <c r="U678" s="1218">
        <v>0</v>
      </c>
      <c r="V678" s="1218">
        <v>0</v>
      </c>
      <c r="W678" s="1218">
        <v>0</v>
      </c>
      <c r="X678" s="1218">
        <v>0</v>
      </c>
      <c r="Y678" s="1218">
        <v>0</v>
      </c>
      <c r="Z678" s="1218">
        <v>0</v>
      </c>
      <c r="AA678" s="1218">
        <v>0</v>
      </c>
      <c r="AB678" s="1218">
        <v>0</v>
      </c>
      <c r="AC678" s="1218">
        <v>0</v>
      </c>
      <c r="AD678" s="783">
        <f>SUM(R678,S678,T678)</f>
        <v>0</v>
      </c>
      <c r="AE678" s="1226">
        <f t="shared" si="1026"/>
        <v>0</v>
      </c>
      <c r="AF678" s="1226">
        <f t="shared" si="1027"/>
        <v>0</v>
      </c>
      <c r="AG678" s="1226">
        <f t="shared" si="1028"/>
        <v>0</v>
      </c>
      <c r="AH678" s="1226">
        <f>AD678+AE678</f>
        <v>0</v>
      </c>
      <c r="AI678" s="1226">
        <f>AG678+AF678</f>
        <v>0</v>
      </c>
      <c r="AJ678" s="1226">
        <f>AH678+AI678</f>
        <v>0</v>
      </c>
      <c r="AL678" s="1226">
        <f ca="1">SUM((INDIRECT(AL$2&amp;(ROW())):INDIRECT(AL$3&amp;(ROW()))))</f>
        <v>0</v>
      </c>
      <c r="AM678" s="1226">
        <f ca="1">SUM(INDIRECT(AM$1&amp;AM$2&amp;$C678):INDIRECT(AM$1&amp;AM$3&amp;$C678))</f>
        <v>5312</v>
      </c>
      <c r="AN678" s="3233">
        <f t="shared" ca="1" si="958"/>
        <v>-5312</v>
      </c>
      <c r="AO678" s="2890">
        <f t="shared" ca="1" si="959"/>
        <v>0</v>
      </c>
      <c r="AP678" s="1226">
        <f ca="1">SUM(INDIRECT(AP$1&amp;AP$2&amp;$A678):INDIRECT(AP$1&amp;AP$3&amp;$A678))</f>
        <v>19489.1067</v>
      </c>
      <c r="AQ678" s="3233">
        <f t="shared" ca="1" si="960"/>
        <v>-19489.1067</v>
      </c>
      <c r="AR678" s="2890">
        <f t="shared" ca="1" si="961"/>
        <v>0</v>
      </c>
      <c r="AT678" s="1226">
        <f ca="1">SUM((INDIRECT(AT$2&amp;(ROW())):INDIRECT(AT$3&amp;(ROW()))))</f>
        <v>0</v>
      </c>
      <c r="AU678" s="1226">
        <f ca="1">SUM(INDIRECT(AU$1&amp;AU$2&amp;$C678):INDIRECT(AU$1&amp;AU$3&amp;$C678))</f>
        <v>10775.017</v>
      </c>
      <c r="AV678" s="3233">
        <f t="shared" ca="1" si="962"/>
        <v>-10775.017</v>
      </c>
      <c r="AW678" s="2890">
        <f t="shared" ca="1" si="963"/>
        <v>0</v>
      </c>
      <c r="AX678" s="1226">
        <f ca="1">SUM(INDIRECT(AX$1&amp;AX$2&amp;$A678):INDIRECT(AX$1&amp;AX$3&amp;$A678))</f>
        <v>46868.106700000004</v>
      </c>
      <c r="AY678" s="3233">
        <f t="shared" ca="1" si="964"/>
        <v>-46868.106700000004</v>
      </c>
      <c r="AZ678" s="2890">
        <f t="shared" ca="1" si="965"/>
        <v>0</v>
      </c>
      <c r="BB678" s="1226">
        <f ca="1">SUM((INDIRECT(BB$2&amp;(ROW())):INDIRECT(BB$3&amp;(ROW()))))</f>
        <v>0</v>
      </c>
      <c r="BC678" s="1226">
        <f ca="1">SUM(INDIRECT(BC$1&amp;BC$2&amp;$C678):INDIRECT(BC$1&amp;BC$3&amp;$C678))</f>
        <v>10775.017</v>
      </c>
      <c r="BD678" s="3233">
        <f t="shared" ca="1" si="966"/>
        <v>-10775.017</v>
      </c>
      <c r="BE678" s="2890">
        <f t="shared" ca="1" si="967"/>
        <v>0</v>
      </c>
      <c r="BF678" s="1226">
        <f ca="1">SUM(INDIRECT(BF$1&amp;BF$2&amp;$A678):INDIRECT(BF$1&amp;BF$3&amp;$A678))</f>
        <v>146989.97006625793</v>
      </c>
      <c r="BG678" s="3233">
        <f t="shared" ca="1" si="968"/>
        <v>-146989.97006625793</v>
      </c>
      <c r="BH678" s="2890">
        <f t="shared" ca="1" si="969"/>
        <v>0</v>
      </c>
    </row>
    <row r="679" spans="1:60" ht="14.5">
      <c r="A679" s="616">
        <f t="shared" si="1008"/>
        <v>614</v>
      </c>
      <c r="B679" s="616">
        <v>1</v>
      </c>
      <c r="C679" s="616">
        <f t="shared" si="981"/>
        <v>676</v>
      </c>
      <c r="E679" s="2547">
        <v>1</v>
      </c>
      <c r="I679" s="352"/>
      <c r="J679" s="353"/>
      <c r="K679" s="68"/>
      <c r="L679" s="68"/>
      <c r="M679" s="69"/>
      <c r="N679" s="69" t="s">
        <v>1401</v>
      </c>
      <c r="O679" s="302"/>
      <c r="P679" s="302"/>
      <c r="Q679" s="1777" t="str">
        <f>CHOOSE(2, "6722000003598", "S/GP (3) Gross Profit Direct NH Label Printer")</f>
        <v>S/GP (3) Gross Profit Direct NH Label Printer</v>
      </c>
      <c r="R679" s="58">
        <f t="shared" ref="R679:AJ679" si="1029">R680+R681</f>
        <v>1806</v>
      </c>
      <c r="S679" s="58">
        <f t="shared" si="1029"/>
        <v>1954</v>
      </c>
      <c r="T679" s="58">
        <f t="shared" si="1029"/>
        <v>1661</v>
      </c>
      <c r="U679" s="58">
        <f t="shared" si="1029"/>
        <v>1573</v>
      </c>
      <c r="V679" s="58">
        <f t="shared" si="1029"/>
        <v>1904.8495114766838</v>
      </c>
      <c r="W679" s="58">
        <f t="shared" si="1029"/>
        <v>1131.3970114766837</v>
      </c>
      <c r="X679" s="58">
        <f t="shared" si="1029"/>
        <v>2047</v>
      </c>
      <c r="Y679" s="58">
        <f t="shared" si="1029"/>
        <v>1641</v>
      </c>
      <c r="Z679" s="58">
        <f t="shared" si="1029"/>
        <v>2056</v>
      </c>
      <c r="AA679" s="58">
        <f t="shared" si="1029"/>
        <v>2975</v>
      </c>
      <c r="AB679" s="58">
        <f t="shared" si="1029"/>
        <v>523</v>
      </c>
      <c r="AC679" s="58">
        <f t="shared" si="1029"/>
        <v>2934</v>
      </c>
      <c r="AD679" s="903">
        <f t="shared" si="1029"/>
        <v>5421</v>
      </c>
      <c r="AE679" s="58">
        <f t="shared" si="1029"/>
        <v>4609.2465229533682</v>
      </c>
      <c r="AF679" s="58">
        <f t="shared" si="1029"/>
        <v>5744</v>
      </c>
      <c r="AG679" s="58">
        <f t="shared" si="1029"/>
        <v>6432</v>
      </c>
      <c r="AH679" s="58">
        <f t="shared" si="1029"/>
        <v>10030.246522953366</v>
      </c>
      <c r="AI679" s="58">
        <f t="shared" si="1029"/>
        <v>12176</v>
      </c>
      <c r="AJ679" s="58">
        <f t="shared" si="1029"/>
        <v>22206.246522953366</v>
      </c>
      <c r="AL679" s="58">
        <f ca="1">SUM((INDIRECT(AL$2&amp;(ROW())):INDIRECT(AL$3&amp;(ROW()))))</f>
        <v>2934</v>
      </c>
      <c r="AM679" s="58">
        <f ca="1">SUM(INDIRECT(AM$1&amp;AM$2&amp;$C679):INDIRECT(AM$1&amp;AM$3&amp;$C679))</f>
        <v>1500</v>
      </c>
      <c r="AN679" s="3261">
        <f t="shared" ca="1" si="958"/>
        <v>1434</v>
      </c>
      <c r="AO679" s="2913">
        <f t="shared" ca="1" si="959"/>
        <v>1.956</v>
      </c>
      <c r="AP679" s="58">
        <f ca="1">SUM(INDIRECT(AP$1&amp;AP$2&amp;$A679):INDIRECT(AP$1&amp;AP$3&amp;$A679))</f>
        <v>0</v>
      </c>
      <c r="AQ679" s="3261">
        <f t="shared" ca="1" si="960"/>
        <v>2934</v>
      </c>
      <c r="AR679" s="2913">
        <f t="shared" ca="1" si="961"/>
        <v>0</v>
      </c>
      <c r="AT679" s="58">
        <f ca="1">SUM((INDIRECT(AT$2&amp;(ROW())):INDIRECT(AT$3&amp;(ROW()))))</f>
        <v>6432</v>
      </c>
      <c r="AU679" s="58">
        <f ca="1">SUM(INDIRECT(AU$1&amp;AU$2&amp;$C679):INDIRECT(AU$1&amp;AU$3&amp;$C679))</f>
        <v>2906.6679999999997</v>
      </c>
      <c r="AV679" s="3261">
        <f t="shared" ca="1" si="962"/>
        <v>3525.3320000000003</v>
      </c>
      <c r="AW679" s="2913">
        <f t="shared" ca="1" si="963"/>
        <v>2.2128430216316417</v>
      </c>
      <c r="AX679" s="58">
        <f ca="1">SUM(INDIRECT(AX$1&amp;AX$2&amp;$A679):INDIRECT(AX$1&amp;AX$3&amp;$A679))</f>
        <v>0</v>
      </c>
      <c r="AY679" s="3261">
        <f t="shared" ca="1" si="964"/>
        <v>6432</v>
      </c>
      <c r="AZ679" s="2913">
        <f t="shared" ca="1" si="965"/>
        <v>0</v>
      </c>
      <c r="BB679" s="58">
        <f ca="1">SUM((INDIRECT(BB$2&amp;(ROW())):INDIRECT(BB$3&amp;(ROW()))))</f>
        <v>22206.24652295337</v>
      </c>
      <c r="BC679" s="58">
        <f ca="1">SUM(INDIRECT(BC$1&amp;BC$2&amp;$C679):INDIRECT(BC$1&amp;BC$3&amp;$C679))</f>
        <v>3610.002</v>
      </c>
      <c r="BD679" s="3261">
        <f t="shared" ca="1" si="966"/>
        <v>18596.24452295337</v>
      </c>
      <c r="BE679" s="2913">
        <f t="shared" ca="1" si="967"/>
        <v>6.1513114183741093</v>
      </c>
      <c r="BF679" s="58">
        <f ca="1">SUM(INDIRECT(BF$1&amp;BF$2&amp;$A679):INDIRECT(BF$1&amp;BF$3&amp;$A679))</f>
        <v>0</v>
      </c>
      <c r="BG679" s="3261">
        <f t="shared" ca="1" si="968"/>
        <v>22206.24652295337</v>
      </c>
      <c r="BH679" s="2913">
        <f t="shared" ca="1" si="969"/>
        <v>0</v>
      </c>
    </row>
    <row r="680" spans="1:60" ht="14.5">
      <c r="A680" s="616">
        <f t="shared" si="1008"/>
        <v>615</v>
      </c>
      <c r="B680" s="616">
        <v>1</v>
      </c>
      <c r="C680" s="616">
        <f t="shared" si="981"/>
        <v>677</v>
      </c>
      <c r="E680" s="2547">
        <v>1</v>
      </c>
      <c r="I680" s="352"/>
      <c r="J680" s="353"/>
      <c r="K680" s="68"/>
      <c r="L680" s="68"/>
      <c r="M680" s="69"/>
      <c r="N680" s="69"/>
      <c r="O680" s="305" t="s">
        <v>1492</v>
      </c>
      <c r="P680" s="305"/>
      <c r="Q680" s="1779" t="str">
        <f>CHOOSE(2, "6722000003599", "S/GP (3) Gross Profit Direct NH Label Printer Label Printer")</f>
        <v>S/GP (3) Gross Profit Direct NH Label Printer Label Printer</v>
      </c>
      <c r="R680" s="1254">
        <v>1860</v>
      </c>
      <c r="S680" s="1254">
        <v>2010</v>
      </c>
      <c r="T680" s="1254">
        <v>1729</v>
      </c>
      <c r="U680" s="1254">
        <v>1651</v>
      </c>
      <c r="V680" s="1254">
        <v>1986.4525000000001</v>
      </c>
      <c r="W680" s="1254">
        <v>1204</v>
      </c>
      <c r="X680" s="1254">
        <v>2130</v>
      </c>
      <c r="Y680" s="1254">
        <v>1695</v>
      </c>
      <c r="Z680" s="1254">
        <v>2139</v>
      </c>
      <c r="AA680" s="1254">
        <v>3028</v>
      </c>
      <c r="AB680" s="1254">
        <v>576</v>
      </c>
      <c r="AC680" s="1254">
        <v>3027</v>
      </c>
      <c r="AD680" s="903">
        <f>SUM(R680,S680,T680)</f>
        <v>5599</v>
      </c>
      <c r="AE680" s="58">
        <f t="shared" ref="AE680" si="1030">SUM(U680,V680,W680)</f>
        <v>4841.4525000000003</v>
      </c>
      <c r="AF680" s="58">
        <f t="shared" ref="AF680" si="1031">SUM(X680,Y680,Z680)</f>
        <v>5964</v>
      </c>
      <c r="AG680" s="58">
        <f t="shared" ref="AG680" si="1032">SUM(AA680,AB680,AC680)</f>
        <v>6631</v>
      </c>
      <c r="AH680" s="58">
        <f>AD680+AE680</f>
        <v>10440.452499999999</v>
      </c>
      <c r="AI680" s="58">
        <f>AG680+AF680</f>
        <v>12595</v>
      </c>
      <c r="AJ680" s="58">
        <f>AH680+AI680</f>
        <v>23035.452499999999</v>
      </c>
      <c r="AL680" s="58">
        <f ca="1">SUM((INDIRECT(AL$2&amp;(ROW())):INDIRECT(AL$3&amp;(ROW()))))</f>
        <v>3027</v>
      </c>
      <c r="AM680" s="58">
        <f ca="1">SUM(INDIRECT(AM$1&amp;AM$2&amp;$C680):INDIRECT(AM$1&amp;AM$3&amp;$C680))</f>
        <v>0</v>
      </c>
      <c r="AN680" s="3261">
        <f t="shared" ca="1" si="958"/>
        <v>3027</v>
      </c>
      <c r="AO680" s="2913">
        <f t="shared" ca="1" si="959"/>
        <v>0</v>
      </c>
      <c r="AP680" s="58">
        <f ca="1">SUM(INDIRECT(AP$1&amp;AP$2&amp;$A680):INDIRECT(AP$1&amp;AP$3&amp;$A680))</f>
        <v>0</v>
      </c>
      <c r="AQ680" s="3261">
        <f t="shared" ca="1" si="960"/>
        <v>3027</v>
      </c>
      <c r="AR680" s="2913">
        <f t="shared" ca="1" si="961"/>
        <v>0</v>
      </c>
      <c r="AT680" s="58">
        <f ca="1">SUM((INDIRECT(AT$2&amp;(ROW())):INDIRECT(AT$3&amp;(ROW()))))</f>
        <v>6631</v>
      </c>
      <c r="AU680" s="58">
        <f ca="1">SUM(INDIRECT(AU$1&amp;AU$2&amp;$C680):INDIRECT(AU$1&amp;AU$3&amp;$C680))</f>
        <v>0</v>
      </c>
      <c r="AV680" s="3261">
        <f t="shared" ca="1" si="962"/>
        <v>6631</v>
      </c>
      <c r="AW680" s="2913">
        <f t="shared" ca="1" si="963"/>
        <v>0</v>
      </c>
      <c r="AX680" s="58">
        <f ca="1">SUM(INDIRECT(AX$1&amp;AX$2&amp;$A680):INDIRECT(AX$1&amp;AX$3&amp;$A680))</f>
        <v>0</v>
      </c>
      <c r="AY680" s="3261">
        <f t="shared" ca="1" si="964"/>
        <v>6631</v>
      </c>
      <c r="AZ680" s="2913">
        <f t="shared" ca="1" si="965"/>
        <v>0</v>
      </c>
      <c r="BB680" s="58">
        <f ca="1">SUM((INDIRECT(BB$2&amp;(ROW())):INDIRECT(BB$3&amp;(ROW()))))</f>
        <v>23035.452499999999</v>
      </c>
      <c r="BC680" s="58">
        <f ca="1">SUM(INDIRECT(BC$1&amp;BC$2&amp;$C680):INDIRECT(BC$1&amp;BC$3&amp;$C680))</f>
        <v>0</v>
      </c>
      <c r="BD680" s="3261">
        <f t="shared" ca="1" si="966"/>
        <v>23035.452499999999</v>
      </c>
      <c r="BE680" s="2913">
        <f t="shared" ca="1" si="967"/>
        <v>0</v>
      </c>
      <c r="BF680" s="58">
        <f ca="1">SUM(INDIRECT(BF$1&amp;BF$2&amp;$A680):INDIRECT(BF$1&amp;BF$3&amp;$A680))</f>
        <v>0</v>
      </c>
      <c r="BG680" s="3261">
        <f t="shared" ca="1" si="968"/>
        <v>23035.452499999999</v>
      </c>
      <c r="BH680" s="2913">
        <f t="shared" ca="1" si="969"/>
        <v>0</v>
      </c>
    </row>
    <row r="681" spans="1:60" s="69" customFormat="1" ht="14.5">
      <c r="A681" s="616">
        <f t="shared" si="1008"/>
        <v>616</v>
      </c>
      <c r="B681" s="616">
        <v>1</v>
      </c>
      <c r="C681" s="616">
        <f t="shared" si="981"/>
        <v>678</v>
      </c>
      <c r="E681" s="2547">
        <v>1</v>
      </c>
      <c r="F681" s="9"/>
      <c r="G681" s="9"/>
      <c r="H681" s="22"/>
      <c r="I681" s="352"/>
      <c r="J681" s="353"/>
      <c r="K681" s="68"/>
      <c r="L681" s="68"/>
      <c r="O681" s="306" t="s">
        <v>1491</v>
      </c>
      <c r="P681" s="306"/>
      <c r="Q681" s="1782" t="str">
        <f>CHOOSE(2, "6722000003600", "S/GP (3) Gross Profit Direct NH Label Printer FSC (-)")</f>
        <v>S/GP (3) Gross Profit Direct NH Label Printer FSC (-)</v>
      </c>
      <c r="R681" s="1250">
        <f t="shared" ref="R681:AC681" si="1033">SUM(R682:R684)</f>
        <v>-54</v>
      </c>
      <c r="S681" s="1250">
        <f t="shared" si="1033"/>
        <v>-56</v>
      </c>
      <c r="T681" s="1250">
        <f t="shared" si="1033"/>
        <v>-68</v>
      </c>
      <c r="U681" s="1250">
        <f t="shared" si="1033"/>
        <v>-78</v>
      </c>
      <c r="V681" s="1250">
        <f t="shared" si="1033"/>
        <v>-81.602988523316242</v>
      </c>
      <c r="W681" s="1250">
        <f t="shared" si="1033"/>
        <v>-72.602988523316242</v>
      </c>
      <c r="X681" s="1250">
        <f t="shared" si="1033"/>
        <v>-83</v>
      </c>
      <c r="Y681" s="1250">
        <f t="shared" si="1033"/>
        <v>-54</v>
      </c>
      <c r="Z681" s="1250">
        <f t="shared" si="1033"/>
        <v>-83</v>
      </c>
      <c r="AA681" s="1250">
        <f t="shared" si="1033"/>
        <v>-53</v>
      </c>
      <c r="AB681" s="1250">
        <f t="shared" si="1033"/>
        <v>-53</v>
      </c>
      <c r="AC681" s="1250">
        <f t="shared" si="1033"/>
        <v>-93</v>
      </c>
      <c r="AD681" s="899">
        <f>SUM(R681:T681)</f>
        <v>-178</v>
      </c>
      <c r="AE681" s="1250">
        <f>SUM(U681:W681)</f>
        <v>-232.20597704663248</v>
      </c>
      <c r="AF681" s="1250">
        <f>SUM(X681:Z681)</f>
        <v>-220</v>
      </c>
      <c r="AG681" s="1250">
        <f>SUM(AA681:AC681)</f>
        <v>-199</v>
      </c>
      <c r="AH681" s="1250">
        <f>AD681+AE681</f>
        <v>-410.20597704663248</v>
      </c>
      <c r="AI681" s="1250">
        <f>AG681+AF681</f>
        <v>-419</v>
      </c>
      <c r="AJ681" s="1250">
        <f>AH681+AI681</f>
        <v>-829.20597704663248</v>
      </c>
      <c r="AL681" s="1250">
        <f ca="1">SUM((INDIRECT(AL$2&amp;(ROW())):INDIRECT(AL$3&amp;(ROW()))))</f>
        <v>-93</v>
      </c>
      <c r="AM681" s="1250">
        <f ca="1">SUM(INDIRECT(AM$1&amp;AM$2&amp;$C681):INDIRECT(AM$1&amp;AM$3&amp;$C681))</f>
        <v>0</v>
      </c>
      <c r="AN681" s="3232">
        <f t="shared" ca="1" si="958"/>
        <v>-93</v>
      </c>
      <c r="AO681" s="2888">
        <f t="shared" ca="1" si="959"/>
        <v>0</v>
      </c>
      <c r="AP681" s="1250">
        <f ca="1">SUM(INDIRECT(AP$1&amp;AP$2&amp;$A681):INDIRECT(AP$1&amp;AP$3&amp;$A681))</f>
        <v>0</v>
      </c>
      <c r="AQ681" s="3232">
        <f t="shared" ca="1" si="960"/>
        <v>-93</v>
      </c>
      <c r="AR681" s="2888">
        <f t="shared" ca="1" si="961"/>
        <v>0</v>
      </c>
      <c r="AT681" s="1250">
        <f ca="1">SUM((INDIRECT(AT$2&amp;(ROW())):INDIRECT(AT$3&amp;(ROW()))))</f>
        <v>-199</v>
      </c>
      <c r="AU681" s="1250">
        <f ca="1">SUM(INDIRECT(AU$1&amp;AU$2&amp;$C681):INDIRECT(AU$1&amp;AU$3&amp;$C681))</f>
        <v>0</v>
      </c>
      <c r="AV681" s="3232">
        <f t="shared" ca="1" si="962"/>
        <v>-199</v>
      </c>
      <c r="AW681" s="2888">
        <f t="shared" ca="1" si="963"/>
        <v>0</v>
      </c>
      <c r="AX681" s="1250">
        <f ca="1">SUM(INDIRECT(AX$1&amp;AX$2&amp;$A681):INDIRECT(AX$1&amp;AX$3&amp;$A681))</f>
        <v>0</v>
      </c>
      <c r="AY681" s="3232">
        <f t="shared" ca="1" si="964"/>
        <v>-199</v>
      </c>
      <c r="AZ681" s="2888">
        <f t="shared" ca="1" si="965"/>
        <v>0</v>
      </c>
      <c r="BB681" s="1250">
        <f ca="1">SUM((INDIRECT(BB$2&amp;(ROW())):INDIRECT(BB$3&amp;(ROW()))))</f>
        <v>-829.20597704663248</v>
      </c>
      <c r="BC681" s="1250">
        <f ca="1">SUM(INDIRECT(BC$1&amp;BC$2&amp;$C681):INDIRECT(BC$1&amp;BC$3&amp;$C681))</f>
        <v>0</v>
      </c>
      <c r="BD681" s="3232">
        <f t="shared" ca="1" si="966"/>
        <v>-829.20597704663248</v>
      </c>
      <c r="BE681" s="2888">
        <f t="shared" ca="1" si="967"/>
        <v>0</v>
      </c>
      <c r="BF681" s="1250">
        <f ca="1">SUM(INDIRECT(BF$1&amp;BF$2&amp;$A681):INDIRECT(BF$1&amp;BF$3&amp;$A681))</f>
        <v>0</v>
      </c>
      <c r="BG681" s="3232">
        <f t="shared" ca="1" si="968"/>
        <v>-829.20597704663248</v>
      </c>
      <c r="BH681" s="2888">
        <f t="shared" ca="1" si="969"/>
        <v>0</v>
      </c>
    </row>
    <row r="682" spans="1:60" s="69" customFormat="1" ht="14.5">
      <c r="A682" s="616">
        <f t="shared" si="1008"/>
        <v>617</v>
      </c>
      <c r="B682" s="616">
        <v>1</v>
      </c>
      <c r="C682" s="616">
        <f t="shared" si="981"/>
        <v>679</v>
      </c>
      <c r="E682" s="2547">
        <v>1</v>
      </c>
      <c r="F682" s="9"/>
      <c r="G682" s="9"/>
      <c r="H682" s="22"/>
      <c r="I682" s="352"/>
      <c r="J682" s="353"/>
      <c r="K682" s="68"/>
      <c r="L682" s="68"/>
      <c r="O682" s="307"/>
      <c r="P682" s="291" t="s">
        <v>1471</v>
      </c>
      <c r="Q682" s="1779" t="str">
        <f>CHOOSE(2, "6722000003601", "S/GP (3) Gross Profit Direct NH Label Printer FSC (-) PC")</f>
        <v>S/GP (3) Gross Profit Direct NH Label Printer FSC (-) PC</v>
      </c>
      <c r="R682" s="1227">
        <v>-54</v>
      </c>
      <c r="S682" s="1227">
        <v>-54</v>
      </c>
      <c r="T682" s="1227">
        <v>-54</v>
      </c>
      <c r="U682" s="1227">
        <v>-61</v>
      </c>
      <c r="V682" s="1227">
        <v>-55.602988523316242</v>
      </c>
      <c r="W682" s="1227">
        <v>-55.602988523316242</v>
      </c>
      <c r="X682" s="1227">
        <v>-54</v>
      </c>
      <c r="Y682" s="1227">
        <v>-54</v>
      </c>
      <c r="Z682" s="1227">
        <v>-53</v>
      </c>
      <c r="AA682" s="1227">
        <v>-53</v>
      </c>
      <c r="AB682" s="1227">
        <v>-53</v>
      </c>
      <c r="AC682" s="1227">
        <v>-40</v>
      </c>
      <c r="AD682" s="896">
        <f>SUM(R682,S682,T682)</f>
        <v>-162</v>
      </c>
      <c r="AE682" s="95">
        <f t="shared" ref="AE682:AE684" si="1034">SUM(U682,V682,W682)</f>
        <v>-172.20597704663248</v>
      </c>
      <c r="AF682" s="95">
        <f t="shared" ref="AF682:AF684" si="1035">SUM(X682,Y682,Z682)</f>
        <v>-161</v>
      </c>
      <c r="AG682" s="95">
        <f t="shared" ref="AG682:AG684" si="1036">SUM(AA682,AB682,AC682)</f>
        <v>-146</v>
      </c>
      <c r="AH682" s="95">
        <f>AD682+AE682</f>
        <v>-334.20597704663248</v>
      </c>
      <c r="AI682" s="95">
        <f>AG682+AF682</f>
        <v>-307</v>
      </c>
      <c r="AJ682" s="95">
        <f>AH682+AI682</f>
        <v>-641.20597704663248</v>
      </c>
      <c r="AL682" s="95">
        <f ca="1">SUM((INDIRECT(AL$2&amp;(ROW())):INDIRECT(AL$3&amp;(ROW()))))</f>
        <v>-40</v>
      </c>
      <c r="AM682" s="95">
        <f ca="1">SUM(INDIRECT(AM$1&amp;AM$2&amp;$C682):INDIRECT(AM$1&amp;AM$3&amp;$C682))</f>
        <v>0</v>
      </c>
      <c r="AN682" s="3228">
        <f t="shared" ca="1" si="958"/>
        <v>-40</v>
      </c>
      <c r="AO682" s="2880">
        <f t="shared" ca="1" si="959"/>
        <v>0</v>
      </c>
      <c r="AP682" s="95">
        <f ca="1">SUM(INDIRECT(AP$1&amp;AP$2&amp;$A682):INDIRECT(AP$1&amp;AP$3&amp;$A682))</f>
        <v>0</v>
      </c>
      <c r="AQ682" s="3228">
        <f t="shared" ca="1" si="960"/>
        <v>-40</v>
      </c>
      <c r="AR682" s="2880">
        <f t="shared" ca="1" si="961"/>
        <v>0</v>
      </c>
      <c r="AT682" s="95">
        <f ca="1">SUM((INDIRECT(AT$2&amp;(ROW())):INDIRECT(AT$3&amp;(ROW()))))</f>
        <v>-146</v>
      </c>
      <c r="AU682" s="95">
        <f ca="1">SUM(INDIRECT(AU$1&amp;AU$2&amp;$C682):INDIRECT(AU$1&amp;AU$3&amp;$C682))</f>
        <v>0</v>
      </c>
      <c r="AV682" s="3228">
        <f t="shared" ca="1" si="962"/>
        <v>-146</v>
      </c>
      <c r="AW682" s="2880">
        <f t="shared" ca="1" si="963"/>
        <v>0</v>
      </c>
      <c r="AX682" s="95">
        <f ca="1">SUM(INDIRECT(AX$1&amp;AX$2&amp;$A682):INDIRECT(AX$1&amp;AX$3&amp;$A682))</f>
        <v>0</v>
      </c>
      <c r="AY682" s="3228">
        <f t="shared" ca="1" si="964"/>
        <v>-146</v>
      </c>
      <c r="AZ682" s="2880">
        <f t="shared" ca="1" si="965"/>
        <v>0</v>
      </c>
      <c r="BB682" s="95">
        <f ca="1">SUM((INDIRECT(BB$2&amp;(ROW())):INDIRECT(BB$3&amp;(ROW()))))</f>
        <v>-641.20597704663248</v>
      </c>
      <c r="BC682" s="95">
        <f ca="1">SUM(INDIRECT(BC$1&amp;BC$2&amp;$C682):INDIRECT(BC$1&amp;BC$3&amp;$C682))</f>
        <v>0</v>
      </c>
      <c r="BD682" s="3228">
        <f t="shared" ca="1" si="966"/>
        <v>-641.20597704663248</v>
      </c>
      <c r="BE682" s="2880">
        <f t="shared" ca="1" si="967"/>
        <v>0</v>
      </c>
      <c r="BF682" s="95">
        <f ca="1">SUM(INDIRECT(BF$1&amp;BF$2&amp;$A682):INDIRECT(BF$1&amp;BF$3&amp;$A682))</f>
        <v>0</v>
      </c>
      <c r="BG682" s="3228">
        <f t="shared" ca="1" si="968"/>
        <v>-641.20597704663248</v>
      </c>
      <c r="BH682" s="2880">
        <f t="shared" ca="1" si="969"/>
        <v>0</v>
      </c>
    </row>
    <row r="683" spans="1:60" s="69" customFormat="1" ht="14.5">
      <c r="A683" s="616">
        <f t="shared" si="1008"/>
        <v>618</v>
      </c>
      <c r="B683" s="616">
        <v>1</v>
      </c>
      <c r="C683" s="616">
        <f t="shared" si="981"/>
        <v>680</v>
      </c>
      <c r="E683" s="2547">
        <v>1</v>
      </c>
      <c r="F683" s="9"/>
      <c r="G683" s="9"/>
      <c r="H683" s="22"/>
      <c r="I683" s="352"/>
      <c r="J683" s="353"/>
      <c r="K683" s="68"/>
      <c r="L683" s="68"/>
      <c r="O683" s="231"/>
      <c r="P683" s="229" t="s">
        <v>1472</v>
      </c>
      <c r="Q683" s="1779" t="str">
        <f>CHOOSE(2, "6722000003602", "S/GP (3) Gross Profit Direct NH Label Printer FSC (-) TE")</f>
        <v>S/GP (3) Gross Profit Direct NH Label Printer FSC (-) TE</v>
      </c>
      <c r="R683" s="1217">
        <v>0</v>
      </c>
      <c r="S683" s="1217">
        <v>-2</v>
      </c>
      <c r="T683" s="1217">
        <v>-14</v>
      </c>
      <c r="U683" s="1217">
        <v>-17</v>
      </c>
      <c r="V683" s="1217">
        <v>-26</v>
      </c>
      <c r="W683" s="1217">
        <v>-17</v>
      </c>
      <c r="X683" s="1217">
        <v>-29</v>
      </c>
      <c r="Y683" s="1217">
        <v>0</v>
      </c>
      <c r="Z683" s="1217">
        <v>-30</v>
      </c>
      <c r="AA683" s="1217">
        <v>0</v>
      </c>
      <c r="AB683" s="1217">
        <v>0</v>
      </c>
      <c r="AC683" s="1217">
        <v>-53</v>
      </c>
      <c r="AD683" s="783">
        <f>SUM(R683,S683,T683)</f>
        <v>-16</v>
      </c>
      <c r="AE683" s="1226">
        <f t="shared" si="1034"/>
        <v>-60</v>
      </c>
      <c r="AF683" s="1226">
        <f t="shared" si="1035"/>
        <v>-59</v>
      </c>
      <c r="AG683" s="1226">
        <f t="shared" si="1036"/>
        <v>-53</v>
      </c>
      <c r="AH683" s="1226">
        <f>AD683+AE683</f>
        <v>-76</v>
      </c>
      <c r="AI683" s="1226">
        <f>AG683+AF683</f>
        <v>-112</v>
      </c>
      <c r="AJ683" s="1226">
        <f>AH683+AI683</f>
        <v>-188</v>
      </c>
      <c r="AL683" s="1226">
        <f ca="1">SUM((INDIRECT(AL$2&amp;(ROW())):INDIRECT(AL$3&amp;(ROW()))))</f>
        <v>-53</v>
      </c>
      <c r="AM683" s="1226">
        <f ca="1">SUM(INDIRECT(AM$1&amp;AM$2&amp;$C683):INDIRECT(AM$1&amp;AM$3&amp;$C683))</f>
        <v>1844.6</v>
      </c>
      <c r="AN683" s="3233">
        <f t="shared" ca="1" si="958"/>
        <v>-1897.6</v>
      </c>
      <c r="AO683" s="2890">
        <f t="shared" ca="1" si="959"/>
        <v>-2.8732516534750084E-2</v>
      </c>
      <c r="AP683" s="1226">
        <f ca="1">SUM(INDIRECT(AP$1&amp;AP$2&amp;$A683):INDIRECT(AP$1&amp;AP$3&amp;$A683))</f>
        <v>0</v>
      </c>
      <c r="AQ683" s="3233">
        <f t="shared" ca="1" si="960"/>
        <v>-53</v>
      </c>
      <c r="AR683" s="2890">
        <f t="shared" ca="1" si="961"/>
        <v>0</v>
      </c>
      <c r="AT683" s="1226">
        <f ca="1">SUM((INDIRECT(AT$2&amp;(ROW())):INDIRECT(AT$3&amp;(ROW()))))</f>
        <v>-53</v>
      </c>
      <c r="AU683" s="1226">
        <f ca="1">SUM(INDIRECT(AU$1&amp;AU$2&amp;$C683):INDIRECT(AU$1&amp;AU$3&amp;$C683))</f>
        <v>5760.2</v>
      </c>
      <c r="AV683" s="3233">
        <f t="shared" ca="1" si="962"/>
        <v>-5813.2</v>
      </c>
      <c r="AW683" s="2890">
        <f t="shared" ca="1" si="963"/>
        <v>-9.2010694073122457E-3</v>
      </c>
      <c r="AX683" s="1226">
        <f ca="1">SUM(INDIRECT(AX$1&amp;AX$2&amp;$A683):INDIRECT(AX$1&amp;AX$3&amp;$A683))</f>
        <v>0</v>
      </c>
      <c r="AY683" s="3233">
        <f t="shared" ca="1" si="964"/>
        <v>-53</v>
      </c>
      <c r="AZ683" s="2890">
        <f t="shared" ca="1" si="965"/>
        <v>0</v>
      </c>
      <c r="BB683" s="1226">
        <f ca="1">SUM((INDIRECT(BB$2&amp;(ROW())):INDIRECT(BB$3&amp;(ROW()))))</f>
        <v>-188</v>
      </c>
      <c r="BC683" s="1226">
        <f ca="1">SUM(INDIRECT(BC$1&amp;BC$2&amp;$C683):INDIRECT(BC$1&amp;BC$3&amp;$C683))</f>
        <v>9667.6</v>
      </c>
      <c r="BD683" s="3233">
        <f t="shared" ca="1" si="966"/>
        <v>-9855.6</v>
      </c>
      <c r="BE683" s="2890">
        <f t="shared" ca="1" si="967"/>
        <v>-1.9446398278786876E-2</v>
      </c>
      <c r="BF683" s="1226">
        <f ca="1">SUM(INDIRECT(BF$1&amp;BF$2&amp;$A683):INDIRECT(BF$1&amp;BF$3&amp;$A683))</f>
        <v>0</v>
      </c>
      <c r="BG683" s="3233">
        <f t="shared" ca="1" si="968"/>
        <v>-188</v>
      </c>
      <c r="BH683" s="2890">
        <f t="shared" ca="1" si="969"/>
        <v>0</v>
      </c>
    </row>
    <row r="684" spans="1:60" s="69" customFormat="1" ht="14.5">
      <c r="A684" s="616">
        <f t="shared" si="1008"/>
        <v>619</v>
      </c>
      <c r="B684" s="616">
        <v>1</v>
      </c>
      <c r="C684" s="616">
        <f t="shared" si="981"/>
        <v>681</v>
      </c>
      <c r="E684" s="2547">
        <v>1</v>
      </c>
      <c r="F684" s="9"/>
      <c r="G684" s="9"/>
      <c r="H684" s="22"/>
      <c r="I684" s="352"/>
      <c r="J684" s="353"/>
      <c r="K684" s="68"/>
      <c r="L684" s="68"/>
      <c r="N684" s="211"/>
      <c r="O684" s="232"/>
      <c r="P684" s="228" t="s">
        <v>1473</v>
      </c>
      <c r="Q684" s="1779" t="str">
        <f>CHOOSE(2, "6722000003603", "S/GP (3) Gross Profit Direct NH Label Printer FSC (-) OFC")</f>
        <v>S/GP (3) Gross Profit Direct NH Label Printer FSC (-) OFC</v>
      </c>
      <c r="R684" s="1218">
        <v>0</v>
      </c>
      <c r="S684" s="1218">
        <v>0</v>
      </c>
      <c r="T684" s="1218">
        <v>0</v>
      </c>
      <c r="U684" s="1218">
        <v>0</v>
      </c>
      <c r="V684" s="1218">
        <v>0</v>
      </c>
      <c r="W684" s="1218">
        <v>0</v>
      </c>
      <c r="X684" s="1218">
        <v>0</v>
      </c>
      <c r="Y684" s="1218">
        <v>0</v>
      </c>
      <c r="Z684" s="1218">
        <v>0</v>
      </c>
      <c r="AA684" s="1218">
        <v>0</v>
      </c>
      <c r="AB684" s="1218">
        <v>0</v>
      </c>
      <c r="AC684" s="1218">
        <v>0</v>
      </c>
      <c r="AD684" s="783">
        <f>SUM(R684,S684,T684)</f>
        <v>0</v>
      </c>
      <c r="AE684" s="1226">
        <f t="shared" si="1034"/>
        <v>0</v>
      </c>
      <c r="AF684" s="1226">
        <f t="shared" si="1035"/>
        <v>0</v>
      </c>
      <c r="AG684" s="1226">
        <f t="shared" si="1036"/>
        <v>0</v>
      </c>
      <c r="AH684" s="1226">
        <f>AD684+AE684</f>
        <v>0</v>
      </c>
      <c r="AI684" s="1226">
        <f>AG684+AF684</f>
        <v>0</v>
      </c>
      <c r="AJ684" s="1226">
        <f>AH684+AI684</f>
        <v>0</v>
      </c>
      <c r="AL684" s="1226">
        <f ca="1">SUM((INDIRECT(AL$2&amp;(ROW())):INDIRECT(AL$3&amp;(ROW()))))</f>
        <v>0</v>
      </c>
      <c r="AM684" s="1226">
        <f ca="1">SUM(INDIRECT(AM$1&amp;AM$2&amp;$C684):INDIRECT(AM$1&amp;AM$3&amp;$C684))</f>
        <v>-200</v>
      </c>
      <c r="AN684" s="3233">
        <f t="shared" ca="1" si="958"/>
        <v>200</v>
      </c>
      <c r="AO684" s="2890">
        <f t="shared" ca="1" si="959"/>
        <v>0</v>
      </c>
      <c r="AP684" s="1226">
        <f ca="1">SUM(INDIRECT(AP$1&amp;AP$2&amp;$A684):INDIRECT(AP$1&amp;AP$3&amp;$A684))</f>
        <v>0</v>
      </c>
      <c r="AQ684" s="3233">
        <f t="shared" ca="1" si="960"/>
        <v>0</v>
      </c>
      <c r="AR684" s="2890">
        <f t="shared" ca="1" si="961"/>
        <v>0</v>
      </c>
      <c r="AT684" s="1226">
        <f ca="1">SUM((INDIRECT(AT$2&amp;(ROW())):INDIRECT(AT$3&amp;(ROW()))))</f>
        <v>0</v>
      </c>
      <c r="AU684" s="1226">
        <f ca="1">SUM(INDIRECT(AU$1&amp;AU$2&amp;$C684):INDIRECT(AU$1&amp;AU$3&amp;$C684))</f>
        <v>-600</v>
      </c>
      <c r="AV684" s="3233">
        <f t="shared" ca="1" si="962"/>
        <v>600</v>
      </c>
      <c r="AW684" s="2890">
        <f t="shared" ca="1" si="963"/>
        <v>0</v>
      </c>
      <c r="AX684" s="1226">
        <f ca="1">SUM(INDIRECT(AX$1&amp;AX$2&amp;$A684):INDIRECT(AX$1&amp;AX$3&amp;$A684))</f>
        <v>0</v>
      </c>
      <c r="AY684" s="3233">
        <f t="shared" ca="1" si="964"/>
        <v>0</v>
      </c>
      <c r="AZ684" s="2890">
        <f t="shared" ca="1" si="965"/>
        <v>0</v>
      </c>
      <c r="BB684" s="1226">
        <f ca="1">SUM((INDIRECT(BB$2&amp;(ROW())):INDIRECT(BB$3&amp;(ROW()))))</f>
        <v>0</v>
      </c>
      <c r="BC684" s="1226">
        <f ca="1">SUM(INDIRECT(BC$1&amp;BC$2&amp;$C684):INDIRECT(BC$1&amp;BC$3&amp;$C684))</f>
        <v>-1000</v>
      </c>
      <c r="BD684" s="3233">
        <f t="shared" ca="1" si="966"/>
        <v>1000</v>
      </c>
      <c r="BE684" s="2890">
        <f t="shared" ca="1" si="967"/>
        <v>0</v>
      </c>
      <c r="BF684" s="1226">
        <f ca="1">SUM(INDIRECT(BF$1&amp;BF$2&amp;$A684):INDIRECT(BF$1&amp;BF$3&amp;$A684))</f>
        <v>0</v>
      </c>
      <c r="BG684" s="3233">
        <f t="shared" ca="1" si="968"/>
        <v>0</v>
      </c>
      <c r="BH684" s="2890">
        <f t="shared" ca="1" si="969"/>
        <v>0</v>
      </c>
    </row>
    <row r="685" spans="1:60" ht="14.5">
      <c r="A685" s="616">
        <f t="shared" si="1008"/>
        <v>620</v>
      </c>
      <c r="B685" s="616">
        <v>1</v>
      </c>
      <c r="C685" s="616">
        <f t="shared" si="981"/>
        <v>682</v>
      </c>
      <c r="E685" s="2547">
        <v>1</v>
      </c>
      <c r="I685" s="352"/>
      <c r="J685" s="353"/>
      <c r="K685" s="68"/>
      <c r="L685" s="68"/>
      <c r="M685" s="69"/>
      <c r="N685" s="69" t="s">
        <v>1402</v>
      </c>
      <c r="O685" s="302"/>
      <c r="P685" s="302"/>
      <c r="Q685" s="1777" t="str">
        <f>CHOOSE(2, "6722000003604", "S/GP (3) Gross Profit Direct NH MGI")</f>
        <v>S/GP (3) Gross Profit Direct NH MGI</v>
      </c>
      <c r="R685" s="58">
        <f t="shared" ref="R685:AJ685" si="1037">R686+R687</f>
        <v>-857</v>
      </c>
      <c r="S685" s="58">
        <f t="shared" si="1037"/>
        <v>578</v>
      </c>
      <c r="T685" s="58">
        <f t="shared" si="1037"/>
        <v>-611</v>
      </c>
      <c r="U685" s="58">
        <f t="shared" si="1037"/>
        <v>222</v>
      </c>
      <c r="V685" s="58">
        <f t="shared" si="1037"/>
        <v>239.79997966340829</v>
      </c>
      <c r="W685" s="58">
        <f t="shared" si="1037"/>
        <v>520</v>
      </c>
      <c r="X685" s="58">
        <f t="shared" si="1037"/>
        <v>26</v>
      </c>
      <c r="Y685" s="58">
        <f t="shared" si="1037"/>
        <v>-115</v>
      </c>
      <c r="Z685" s="58">
        <f t="shared" si="1037"/>
        <v>-290</v>
      </c>
      <c r="AA685" s="58">
        <f t="shared" si="1037"/>
        <v>-676</v>
      </c>
      <c r="AB685" s="58">
        <f t="shared" si="1037"/>
        <v>-620</v>
      </c>
      <c r="AC685" s="58">
        <f t="shared" si="1037"/>
        <v>-10718</v>
      </c>
      <c r="AD685" s="903">
        <f t="shared" si="1037"/>
        <v>-890</v>
      </c>
      <c r="AE685" s="58">
        <f t="shared" si="1037"/>
        <v>981.79997966340807</v>
      </c>
      <c r="AF685" s="58">
        <f t="shared" si="1037"/>
        <v>-379</v>
      </c>
      <c r="AG685" s="58">
        <f t="shared" si="1037"/>
        <v>-12014</v>
      </c>
      <c r="AH685" s="58">
        <f t="shared" si="1037"/>
        <v>91.799979663407612</v>
      </c>
      <c r="AI685" s="58">
        <f t="shared" si="1037"/>
        <v>-12393</v>
      </c>
      <c r="AJ685" s="58">
        <f t="shared" si="1037"/>
        <v>-12301.200020336591</v>
      </c>
      <c r="AL685" s="58">
        <f ca="1">SUM((INDIRECT(AL$2&amp;(ROW())):INDIRECT(AL$3&amp;(ROW()))))</f>
        <v>-10718</v>
      </c>
      <c r="AM685" s="58">
        <f ca="1">SUM(INDIRECT(AM$1&amp;AM$2&amp;$C685):INDIRECT(AM$1&amp;AM$3&amp;$C685))</f>
        <v>10</v>
      </c>
      <c r="AN685" s="3261">
        <f t="shared" ca="1" si="958"/>
        <v>-10728</v>
      </c>
      <c r="AO685" s="2913">
        <f t="shared" ca="1" si="959"/>
        <v>-1071.8</v>
      </c>
      <c r="AP685" s="58">
        <f ca="1">SUM(INDIRECT(AP$1&amp;AP$2&amp;$A685):INDIRECT(AP$1&amp;AP$3&amp;$A685))</f>
        <v>0</v>
      </c>
      <c r="AQ685" s="3261">
        <f t="shared" ca="1" si="960"/>
        <v>-10718</v>
      </c>
      <c r="AR685" s="2913">
        <f t="shared" ca="1" si="961"/>
        <v>0</v>
      </c>
      <c r="AT685" s="58">
        <f ca="1">SUM((INDIRECT(AT$2&amp;(ROW())):INDIRECT(AT$3&amp;(ROW()))))</f>
        <v>-12014</v>
      </c>
      <c r="AU685" s="58">
        <f ca="1">SUM(INDIRECT(AU$1&amp;AU$2&amp;$C685):INDIRECT(AU$1&amp;AU$3&amp;$C685))</f>
        <v>30</v>
      </c>
      <c r="AV685" s="3261">
        <f t="shared" ca="1" si="962"/>
        <v>-12044</v>
      </c>
      <c r="AW685" s="2913">
        <f t="shared" ca="1" si="963"/>
        <v>-400.46666666666664</v>
      </c>
      <c r="AX685" s="58">
        <f ca="1">SUM(INDIRECT(AX$1&amp;AX$2&amp;$A685):INDIRECT(AX$1&amp;AX$3&amp;$A685))</f>
        <v>0</v>
      </c>
      <c r="AY685" s="3261">
        <f t="shared" ca="1" si="964"/>
        <v>-12014</v>
      </c>
      <c r="AZ685" s="2913">
        <f t="shared" ca="1" si="965"/>
        <v>0</v>
      </c>
      <c r="BB685" s="58">
        <f ca="1">SUM((INDIRECT(BB$2&amp;(ROW())):INDIRECT(BB$3&amp;(ROW()))))</f>
        <v>-12301.200020336591</v>
      </c>
      <c r="BC685" s="58">
        <f ca="1">SUM(INDIRECT(BC$1&amp;BC$2&amp;$C685):INDIRECT(BC$1&amp;BC$3&amp;$C685))</f>
        <v>50</v>
      </c>
      <c r="BD685" s="3261">
        <f t="shared" ca="1" si="966"/>
        <v>-12351.200020336591</v>
      </c>
      <c r="BE685" s="2913">
        <f t="shared" ca="1" si="967"/>
        <v>-246.02400040673183</v>
      </c>
      <c r="BF685" s="58">
        <f ca="1">SUM(INDIRECT(BF$1&amp;BF$2&amp;$A685):INDIRECT(BF$1&amp;BF$3&amp;$A685))</f>
        <v>0</v>
      </c>
      <c r="BG685" s="3261">
        <f t="shared" ca="1" si="968"/>
        <v>-12301.200020336591</v>
      </c>
      <c r="BH685" s="2913">
        <f t="shared" ca="1" si="969"/>
        <v>0</v>
      </c>
    </row>
    <row r="686" spans="1:60" ht="14.5">
      <c r="A686" s="616">
        <f t="shared" si="1008"/>
        <v>621</v>
      </c>
      <c r="B686" s="616">
        <v>1</v>
      </c>
      <c r="C686" s="616">
        <f t="shared" si="981"/>
        <v>683</v>
      </c>
      <c r="E686" s="2547">
        <v>1</v>
      </c>
      <c r="I686" s="352"/>
      <c r="J686" s="353"/>
      <c r="K686" s="68"/>
      <c r="L686" s="68"/>
      <c r="M686" s="69"/>
      <c r="N686" s="69"/>
      <c r="O686" s="305" t="s">
        <v>1493</v>
      </c>
      <c r="P686" s="305"/>
      <c r="Q686" s="1779" t="str">
        <f>CHOOSE(2, "6722000003605", "S/GP (3) Gross Profit Direct NH MGI MGI")</f>
        <v>S/GP (3) Gross Profit Direct NH MGI MGI</v>
      </c>
      <c r="R686" s="1254">
        <v>-197</v>
      </c>
      <c r="S686" s="1254">
        <v>1407</v>
      </c>
      <c r="T686" s="1254">
        <v>197</v>
      </c>
      <c r="U686" s="1254">
        <v>1039</v>
      </c>
      <c r="V686" s="1254">
        <v>1009.7617950258523</v>
      </c>
      <c r="W686" s="1254">
        <v>1292</v>
      </c>
      <c r="X686" s="1254">
        <v>806</v>
      </c>
      <c r="Y686" s="1254">
        <v>594</v>
      </c>
      <c r="Z686" s="1254">
        <v>508</v>
      </c>
      <c r="AA686" s="1254">
        <v>76</v>
      </c>
      <c r="AB686" s="1254">
        <v>106</v>
      </c>
      <c r="AC686" s="1254">
        <v>-9956</v>
      </c>
      <c r="AD686" s="903">
        <f>SUM(R686,S686,T686)</f>
        <v>1407</v>
      </c>
      <c r="AE686" s="58">
        <f t="shared" ref="AE686" si="1038">SUM(U686,V686,W686)</f>
        <v>3340.7617950258523</v>
      </c>
      <c r="AF686" s="58">
        <f t="shared" ref="AF686" si="1039">SUM(X686,Y686,Z686)</f>
        <v>1908</v>
      </c>
      <c r="AG686" s="58">
        <f t="shared" ref="AG686" si="1040">SUM(AA686,AB686,AC686)</f>
        <v>-9774</v>
      </c>
      <c r="AH686" s="58">
        <f>AD686+AE686</f>
        <v>4747.7617950258518</v>
      </c>
      <c r="AI686" s="58">
        <f>AG686+AF686</f>
        <v>-7866</v>
      </c>
      <c r="AJ686" s="58">
        <f>AH686+AI686</f>
        <v>-3118.2382049741482</v>
      </c>
      <c r="AL686" s="58">
        <f ca="1">SUM((INDIRECT(AL$2&amp;(ROW())):INDIRECT(AL$3&amp;(ROW()))))</f>
        <v>-9956</v>
      </c>
      <c r="AM686" s="58">
        <f ca="1">SUM(INDIRECT(AM$1&amp;AM$2&amp;$C686):INDIRECT(AM$1&amp;AM$3&amp;$C686))</f>
        <v>-210</v>
      </c>
      <c r="AN686" s="3261">
        <f t="shared" ca="1" si="958"/>
        <v>-9746</v>
      </c>
      <c r="AO686" s="2913">
        <f t="shared" ca="1" si="959"/>
        <v>47.409523809523812</v>
      </c>
      <c r="AP686" s="58">
        <f ca="1">SUM(INDIRECT(AP$1&amp;AP$2&amp;$A686):INDIRECT(AP$1&amp;AP$3&amp;$A686))</f>
        <v>0</v>
      </c>
      <c r="AQ686" s="3261">
        <f t="shared" ca="1" si="960"/>
        <v>-9956</v>
      </c>
      <c r="AR686" s="2913">
        <f t="shared" ca="1" si="961"/>
        <v>0</v>
      </c>
      <c r="AT686" s="58">
        <f ca="1">SUM((INDIRECT(AT$2&amp;(ROW())):INDIRECT(AT$3&amp;(ROW()))))</f>
        <v>-9774</v>
      </c>
      <c r="AU686" s="58">
        <f ca="1">SUM(INDIRECT(AU$1&amp;AU$2&amp;$C686):INDIRECT(AU$1&amp;AU$3&amp;$C686))</f>
        <v>-630</v>
      </c>
      <c r="AV686" s="3261">
        <f t="shared" ca="1" si="962"/>
        <v>-9144</v>
      </c>
      <c r="AW686" s="2913">
        <f t="shared" ca="1" si="963"/>
        <v>15.514285714285714</v>
      </c>
      <c r="AX686" s="58">
        <f ca="1">SUM(INDIRECT(AX$1&amp;AX$2&amp;$A686):INDIRECT(AX$1&amp;AX$3&amp;$A686))</f>
        <v>0</v>
      </c>
      <c r="AY686" s="3261">
        <f t="shared" ca="1" si="964"/>
        <v>-9774</v>
      </c>
      <c r="AZ686" s="2913">
        <f t="shared" ca="1" si="965"/>
        <v>0</v>
      </c>
      <c r="BB686" s="58">
        <f ca="1">SUM((INDIRECT(BB$2&amp;(ROW())):INDIRECT(BB$3&amp;(ROW()))))</f>
        <v>-3118.2382049741482</v>
      </c>
      <c r="BC686" s="58">
        <f ca="1">SUM(INDIRECT(BC$1&amp;BC$2&amp;$C686):INDIRECT(BC$1&amp;BC$3&amp;$C686))</f>
        <v>-1050</v>
      </c>
      <c r="BD686" s="3261">
        <f t="shared" ca="1" si="966"/>
        <v>-2068.2382049741482</v>
      </c>
      <c r="BE686" s="2913">
        <f t="shared" ca="1" si="967"/>
        <v>2.9697506714039505</v>
      </c>
      <c r="BF686" s="58">
        <f ca="1">SUM(INDIRECT(BF$1&amp;BF$2&amp;$A686):INDIRECT(BF$1&amp;BF$3&amp;$A686))</f>
        <v>0</v>
      </c>
      <c r="BG686" s="3261">
        <f t="shared" ca="1" si="968"/>
        <v>-3118.2382049741482</v>
      </c>
      <c r="BH686" s="2913">
        <f t="shared" ca="1" si="969"/>
        <v>0</v>
      </c>
    </row>
    <row r="687" spans="1:60" s="69" customFormat="1" ht="14.5">
      <c r="A687" s="616">
        <f t="shared" si="1008"/>
        <v>622</v>
      </c>
      <c r="B687" s="616">
        <v>1</v>
      </c>
      <c r="C687" s="616">
        <f t="shared" si="981"/>
        <v>684</v>
      </c>
      <c r="E687" s="2547">
        <v>1</v>
      </c>
      <c r="F687" s="9"/>
      <c r="G687" s="9"/>
      <c r="H687" s="22"/>
      <c r="I687" s="352"/>
      <c r="J687" s="353"/>
      <c r="K687" s="68"/>
      <c r="L687" s="68"/>
      <c r="O687" s="306" t="s">
        <v>1491</v>
      </c>
      <c r="P687" s="306"/>
      <c r="Q687" s="1782" t="str">
        <f>CHOOSE(2, "6722000003606", "S/GP (3) Gross Profit Direct NH MGI FSC (-)")</f>
        <v>S/GP (3) Gross Profit Direct NH MGI FSC (-)</v>
      </c>
      <c r="R687" s="1250">
        <f t="shared" ref="R687:AC687" si="1041">SUM(R688:R690)</f>
        <v>-660</v>
      </c>
      <c r="S687" s="1250">
        <f t="shared" si="1041"/>
        <v>-829</v>
      </c>
      <c r="T687" s="1250">
        <f t="shared" si="1041"/>
        <v>-808</v>
      </c>
      <c r="U687" s="1250">
        <f t="shared" si="1041"/>
        <v>-817</v>
      </c>
      <c r="V687" s="1250">
        <f t="shared" si="1041"/>
        <v>-769.96181536244399</v>
      </c>
      <c r="W687" s="1250">
        <f t="shared" si="1041"/>
        <v>-772</v>
      </c>
      <c r="X687" s="1250">
        <f t="shared" si="1041"/>
        <v>-780</v>
      </c>
      <c r="Y687" s="1250">
        <f t="shared" si="1041"/>
        <v>-709</v>
      </c>
      <c r="Z687" s="1250">
        <f t="shared" si="1041"/>
        <v>-798</v>
      </c>
      <c r="AA687" s="1250">
        <f t="shared" si="1041"/>
        <v>-752</v>
      </c>
      <c r="AB687" s="1250">
        <f t="shared" si="1041"/>
        <v>-726</v>
      </c>
      <c r="AC687" s="1250">
        <f t="shared" si="1041"/>
        <v>-762</v>
      </c>
      <c r="AD687" s="899">
        <f>SUM(R687:T687)</f>
        <v>-2297</v>
      </c>
      <c r="AE687" s="1250">
        <f>SUM(U687:W687)</f>
        <v>-2358.9618153624442</v>
      </c>
      <c r="AF687" s="1250">
        <f>SUM(X687:Z687)</f>
        <v>-2287</v>
      </c>
      <c r="AG687" s="1250">
        <f>SUM(AA687:AC687)</f>
        <v>-2240</v>
      </c>
      <c r="AH687" s="1250">
        <f>AD687+AE687</f>
        <v>-4655.9618153624442</v>
      </c>
      <c r="AI687" s="1250">
        <f>AG687+AF687</f>
        <v>-4527</v>
      </c>
      <c r="AJ687" s="1250">
        <f>AH687+AI687</f>
        <v>-9182.9618153624433</v>
      </c>
      <c r="AL687" s="1250">
        <f ca="1">SUM((INDIRECT(AL$2&amp;(ROW())):INDIRECT(AL$3&amp;(ROW()))))</f>
        <v>-762</v>
      </c>
      <c r="AM687" s="1250">
        <f ca="1">SUM(INDIRECT(AM$1&amp;AM$2&amp;$C687):INDIRECT(AM$1&amp;AM$3&amp;$C687))</f>
        <v>-190</v>
      </c>
      <c r="AN687" s="3232">
        <f t="shared" ca="1" si="958"/>
        <v>-572</v>
      </c>
      <c r="AO687" s="2888">
        <f t="shared" ca="1" si="959"/>
        <v>4.0105263157894733</v>
      </c>
      <c r="AP687" s="1250">
        <f ca="1">SUM(INDIRECT(AP$1&amp;AP$2&amp;$A687):INDIRECT(AP$1&amp;AP$3&amp;$A687))</f>
        <v>0</v>
      </c>
      <c r="AQ687" s="3232">
        <f t="shared" ca="1" si="960"/>
        <v>-762</v>
      </c>
      <c r="AR687" s="2888">
        <f t="shared" ca="1" si="961"/>
        <v>0</v>
      </c>
      <c r="AT687" s="1250">
        <f ca="1">SUM((INDIRECT(AT$2&amp;(ROW())):INDIRECT(AT$3&amp;(ROW()))))</f>
        <v>-2240</v>
      </c>
      <c r="AU687" s="1250">
        <f ca="1">SUM(INDIRECT(AU$1&amp;AU$2&amp;$C687):INDIRECT(AU$1&amp;AU$3&amp;$C687))</f>
        <v>-570</v>
      </c>
      <c r="AV687" s="3232">
        <f t="shared" ca="1" si="962"/>
        <v>-1670</v>
      </c>
      <c r="AW687" s="2888">
        <f t="shared" ca="1" si="963"/>
        <v>3.9298245614035086</v>
      </c>
      <c r="AX687" s="1250">
        <f ca="1">SUM(INDIRECT(AX$1&amp;AX$2&amp;$A687):INDIRECT(AX$1&amp;AX$3&amp;$A687))</f>
        <v>0</v>
      </c>
      <c r="AY687" s="3232">
        <f t="shared" ca="1" si="964"/>
        <v>-2240</v>
      </c>
      <c r="AZ687" s="2888">
        <f t="shared" ca="1" si="965"/>
        <v>0</v>
      </c>
      <c r="BB687" s="1250">
        <f ca="1">SUM((INDIRECT(BB$2&amp;(ROW())):INDIRECT(BB$3&amp;(ROW()))))</f>
        <v>-9182.9618153624433</v>
      </c>
      <c r="BC687" s="1250">
        <f ca="1">SUM(INDIRECT(BC$1&amp;BC$2&amp;$C687):INDIRECT(BC$1&amp;BC$3&amp;$C687))</f>
        <v>-950</v>
      </c>
      <c r="BD687" s="3232">
        <f t="shared" ca="1" si="966"/>
        <v>-8232.9618153624433</v>
      </c>
      <c r="BE687" s="2888">
        <f t="shared" ca="1" si="967"/>
        <v>9.6662755951183605</v>
      </c>
      <c r="BF687" s="1250">
        <f ca="1">SUM(INDIRECT(BF$1&amp;BF$2&amp;$A687):INDIRECT(BF$1&amp;BF$3&amp;$A687))</f>
        <v>0</v>
      </c>
      <c r="BG687" s="3232">
        <f t="shared" ca="1" si="968"/>
        <v>-9182.9618153624433</v>
      </c>
      <c r="BH687" s="2888">
        <f t="shared" ca="1" si="969"/>
        <v>0</v>
      </c>
    </row>
    <row r="688" spans="1:60" s="69" customFormat="1" ht="14.5">
      <c r="A688" s="616">
        <f t="shared" si="1008"/>
        <v>623</v>
      </c>
      <c r="B688" s="616">
        <v>1</v>
      </c>
      <c r="C688" s="616">
        <f t="shared" si="981"/>
        <v>685</v>
      </c>
      <c r="E688" s="2547">
        <v>1</v>
      </c>
      <c r="F688" s="9"/>
      <c r="G688" s="9"/>
      <c r="H688" s="22"/>
      <c r="I688" s="352"/>
      <c r="J688" s="353"/>
      <c r="K688" s="68"/>
      <c r="L688" s="68"/>
      <c r="O688" s="307"/>
      <c r="P688" s="291" t="s">
        <v>1471</v>
      </c>
      <c r="Q688" s="1779" t="str">
        <f>CHOOSE(2, "6722000003607", "S/GP (3) Gross Profit Direct NH MGI FSC (-) PC")</f>
        <v>S/GP (3) Gross Profit Direct NH MGI FSC (-) PC</v>
      </c>
      <c r="R688" s="1227">
        <v>-660</v>
      </c>
      <c r="S688" s="1227">
        <v>-786</v>
      </c>
      <c r="T688" s="1227">
        <v>-713</v>
      </c>
      <c r="U688" s="1227">
        <v>-710</v>
      </c>
      <c r="V688" s="1227">
        <v>-692.32981536244404</v>
      </c>
      <c r="W688" s="1227">
        <v>-695</v>
      </c>
      <c r="X688" s="1227">
        <v>-646</v>
      </c>
      <c r="Y688" s="1227">
        <v>-675</v>
      </c>
      <c r="Z688" s="1227">
        <v>-716</v>
      </c>
      <c r="AA688" s="1227">
        <v>-665</v>
      </c>
      <c r="AB688" s="1227">
        <v>-660</v>
      </c>
      <c r="AC688" s="1227">
        <v>-537</v>
      </c>
      <c r="AD688" s="896">
        <f>SUM(R688,S688,T688)</f>
        <v>-2159</v>
      </c>
      <c r="AE688" s="95">
        <f t="shared" ref="AE688:AE690" si="1042">SUM(U688,V688,W688)</f>
        <v>-2097.3298153624442</v>
      </c>
      <c r="AF688" s="95">
        <f t="shared" ref="AF688:AF690" si="1043">SUM(X688,Y688,Z688)</f>
        <v>-2037</v>
      </c>
      <c r="AG688" s="95">
        <f t="shared" ref="AG688:AG690" si="1044">SUM(AA688,AB688,AC688)</f>
        <v>-1862</v>
      </c>
      <c r="AH688" s="95">
        <f>AD688+AE688</f>
        <v>-4256.3298153624437</v>
      </c>
      <c r="AI688" s="95">
        <f>AG688+AF688</f>
        <v>-3899</v>
      </c>
      <c r="AJ688" s="95">
        <f>AH688+AI688</f>
        <v>-8155.3298153624437</v>
      </c>
      <c r="AL688" s="95">
        <f ca="1">SUM((INDIRECT(AL$2&amp;(ROW())):INDIRECT(AL$3&amp;(ROW()))))</f>
        <v>-537</v>
      </c>
      <c r="AM688" s="95">
        <f ca="1">SUM(INDIRECT(AM$1&amp;AM$2&amp;$C688):INDIRECT(AM$1&amp;AM$3&amp;$C688))</f>
        <v>-20</v>
      </c>
      <c r="AN688" s="3228">
        <f t="shared" ca="1" si="958"/>
        <v>-517</v>
      </c>
      <c r="AO688" s="2880">
        <f t="shared" ca="1" si="959"/>
        <v>26.85</v>
      </c>
      <c r="AP688" s="95">
        <f ca="1">SUM(INDIRECT(AP$1&amp;AP$2&amp;$A688):INDIRECT(AP$1&amp;AP$3&amp;$A688))</f>
        <v>0</v>
      </c>
      <c r="AQ688" s="3228">
        <f t="shared" ca="1" si="960"/>
        <v>-537</v>
      </c>
      <c r="AR688" s="2880">
        <f t="shared" ca="1" si="961"/>
        <v>0</v>
      </c>
      <c r="AT688" s="95">
        <f ca="1">SUM((INDIRECT(AT$2&amp;(ROW())):INDIRECT(AT$3&amp;(ROW()))))</f>
        <v>-1862</v>
      </c>
      <c r="AU688" s="95">
        <f ca="1">SUM(INDIRECT(AU$1&amp;AU$2&amp;$C688):INDIRECT(AU$1&amp;AU$3&amp;$C688))</f>
        <v>-60</v>
      </c>
      <c r="AV688" s="3228">
        <f t="shared" ca="1" si="962"/>
        <v>-1802</v>
      </c>
      <c r="AW688" s="2880">
        <f t="shared" ca="1" si="963"/>
        <v>31.033333333333335</v>
      </c>
      <c r="AX688" s="95">
        <f ca="1">SUM(INDIRECT(AX$1&amp;AX$2&amp;$A688):INDIRECT(AX$1&amp;AX$3&amp;$A688))</f>
        <v>0</v>
      </c>
      <c r="AY688" s="3228">
        <f t="shared" ca="1" si="964"/>
        <v>-1862</v>
      </c>
      <c r="AZ688" s="2880">
        <f t="shared" ca="1" si="965"/>
        <v>0</v>
      </c>
      <c r="BB688" s="95">
        <f ca="1">SUM((INDIRECT(BB$2&amp;(ROW())):INDIRECT(BB$3&amp;(ROW()))))</f>
        <v>-8155.3298153624437</v>
      </c>
      <c r="BC688" s="95">
        <f ca="1">SUM(INDIRECT(BC$1&amp;BC$2&amp;$C688):INDIRECT(BC$1&amp;BC$3&amp;$C688))</f>
        <v>-100</v>
      </c>
      <c r="BD688" s="3228">
        <f t="shared" ca="1" si="966"/>
        <v>-8055.3298153624437</v>
      </c>
      <c r="BE688" s="2880">
        <f t="shared" ca="1" si="967"/>
        <v>81.553298153624439</v>
      </c>
      <c r="BF688" s="95">
        <f ca="1">SUM(INDIRECT(BF$1&amp;BF$2&amp;$A688):INDIRECT(BF$1&amp;BF$3&amp;$A688))</f>
        <v>0</v>
      </c>
      <c r="BG688" s="3228">
        <f t="shared" ca="1" si="968"/>
        <v>-8155.3298153624437</v>
      </c>
      <c r="BH688" s="2880">
        <f t="shared" ca="1" si="969"/>
        <v>0</v>
      </c>
    </row>
    <row r="689" spans="1:60" s="69" customFormat="1" ht="14.5">
      <c r="A689" s="616">
        <f t="shared" si="1008"/>
        <v>624</v>
      </c>
      <c r="B689" s="616">
        <v>1</v>
      </c>
      <c r="C689" s="616">
        <f t="shared" si="981"/>
        <v>686</v>
      </c>
      <c r="E689" s="2547">
        <v>1</v>
      </c>
      <c r="F689" s="9"/>
      <c r="G689" s="9"/>
      <c r="H689" s="22"/>
      <c r="I689" s="352"/>
      <c r="J689" s="353"/>
      <c r="K689" s="68"/>
      <c r="L689" s="68"/>
      <c r="O689" s="231"/>
      <c r="P689" s="229" t="s">
        <v>1472</v>
      </c>
      <c r="Q689" s="1779" t="str">
        <f>CHOOSE(2, "6722000003608", "S/GP (3) Gross Profit Direct NH MGI FSC (-) TE")</f>
        <v>S/GP (3) Gross Profit Direct NH MGI FSC (-) TE</v>
      </c>
      <c r="R689" s="1217">
        <v>0</v>
      </c>
      <c r="S689" s="1217">
        <v>-43</v>
      </c>
      <c r="T689" s="1217">
        <v>-95</v>
      </c>
      <c r="U689" s="1217">
        <v>-107</v>
      </c>
      <c r="V689" s="1217">
        <v>-77.632000000000005</v>
      </c>
      <c r="W689" s="1217">
        <v>-77</v>
      </c>
      <c r="X689" s="1217">
        <v>-134</v>
      </c>
      <c r="Y689" s="1217">
        <v>-34</v>
      </c>
      <c r="Z689" s="1217">
        <v>-82</v>
      </c>
      <c r="AA689" s="1217">
        <v>-87</v>
      </c>
      <c r="AB689" s="1217">
        <v>-66</v>
      </c>
      <c r="AC689" s="1217">
        <v>-225</v>
      </c>
      <c r="AD689" s="783">
        <f>SUM(R689,S689,T689)</f>
        <v>-138</v>
      </c>
      <c r="AE689" s="1226">
        <f t="shared" si="1042"/>
        <v>-261.63200000000001</v>
      </c>
      <c r="AF689" s="1226">
        <f t="shared" si="1043"/>
        <v>-250</v>
      </c>
      <c r="AG689" s="1226">
        <f t="shared" si="1044"/>
        <v>-378</v>
      </c>
      <c r="AH689" s="1226">
        <f>AD689+AE689</f>
        <v>-399.63200000000001</v>
      </c>
      <c r="AI689" s="1226">
        <f>AG689+AF689</f>
        <v>-628</v>
      </c>
      <c r="AJ689" s="1226">
        <f>AH689+AI689</f>
        <v>-1027.6320000000001</v>
      </c>
      <c r="AL689" s="1226">
        <f ca="1">SUM((INDIRECT(AL$2&amp;(ROW())):INDIRECT(AL$3&amp;(ROW()))))</f>
        <v>-225</v>
      </c>
      <c r="AM689" s="1226">
        <f ca="1">SUM(INDIRECT(AM$1&amp;AM$2&amp;$C689):INDIRECT(AM$1&amp;AM$3&amp;$C689))</f>
        <v>0</v>
      </c>
      <c r="AN689" s="3233">
        <f t="shared" ca="1" si="958"/>
        <v>-225</v>
      </c>
      <c r="AO689" s="2890">
        <f t="shared" ca="1" si="959"/>
        <v>0</v>
      </c>
      <c r="AP689" s="1226">
        <f ca="1">SUM(INDIRECT(AP$1&amp;AP$2&amp;$A689):INDIRECT(AP$1&amp;AP$3&amp;$A689))</f>
        <v>0</v>
      </c>
      <c r="AQ689" s="3233">
        <f t="shared" ca="1" si="960"/>
        <v>-225</v>
      </c>
      <c r="AR689" s="2890">
        <f t="shared" ca="1" si="961"/>
        <v>0</v>
      </c>
      <c r="AT689" s="1226">
        <f ca="1">SUM((INDIRECT(AT$2&amp;(ROW())):INDIRECT(AT$3&amp;(ROW()))))</f>
        <v>-378</v>
      </c>
      <c r="AU689" s="1226">
        <f ca="1">SUM(INDIRECT(AU$1&amp;AU$2&amp;$C689):INDIRECT(AU$1&amp;AU$3&amp;$C689))</f>
        <v>0</v>
      </c>
      <c r="AV689" s="3233">
        <f t="shared" ca="1" si="962"/>
        <v>-378</v>
      </c>
      <c r="AW689" s="2890">
        <f t="shared" ca="1" si="963"/>
        <v>0</v>
      </c>
      <c r="AX689" s="1226">
        <f ca="1">SUM(INDIRECT(AX$1&amp;AX$2&amp;$A689):INDIRECT(AX$1&amp;AX$3&amp;$A689))</f>
        <v>0</v>
      </c>
      <c r="AY689" s="3233">
        <f t="shared" ca="1" si="964"/>
        <v>-378</v>
      </c>
      <c r="AZ689" s="2890">
        <f t="shared" ca="1" si="965"/>
        <v>0</v>
      </c>
      <c r="BB689" s="1226">
        <f ca="1">SUM((INDIRECT(BB$2&amp;(ROW())):INDIRECT(BB$3&amp;(ROW()))))</f>
        <v>-1027.6320000000001</v>
      </c>
      <c r="BC689" s="1226">
        <f ca="1">SUM(INDIRECT(BC$1&amp;BC$2&amp;$C689):INDIRECT(BC$1&amp;BC$3&amp;$C689))</f>
        <v>0</v>
      </c>
      <c r="BD689" s="3233">
        <f t="shared" ca="1" si="966"/>
        <v>-1027.6320000000001</v>
      </c>
      <c r="BE689" s="2890">
        <f t="shared" ca="1" si="967"/>
        <v>0</v>
      </c>
      <c r="BF689" s="1226">
        <f ca="1">SUM(INDIRECT(BF$1&amp;BF$2&amp;$A689):INDIRECT(BF$1&amp;BF$3&amp;$A689))</f>
        <v>0</v>
      </c>
      <c r="BG689" s="3233">
        <f t="shared" ca="1" si="968"/>
        <v>-1027.6320000000001</v>
      </c>
      <c r="BH689" s="2890">
        <f t="shared" ca="1" si="969"/>
        <v>0</v>
      </c>
    </row>
    <row r="690" spans="1:60" s="69" customFormat="1" ht="14.5">
      <c r="A690" s="616">
        <f t="shared" si="1008"/>
        <v>625</v>
      </c>
      <c r="B690" s="616">
        <v>1</v>
      </c>
      <c r="C690" s="616">
        <f t="shared" si="981"/>
        <v>687</v>
      </c>
      <c r="E690" s="2547">
        <v>1</v>
      </c>
      <c r="F690" s="9"/>
      <c r="G690" s="9"/>
      <c r="H690" s="22"/>
      <c r="I690" s="352"/>
      <c r="J690" s="353"/>
      <c r="K690" s="68"/>
      <c r="L690" s="68"/>
      <c r="N690" s="211"/>
      <c r="O690" s="232"/>
      <c r="P690" s="228" t="s">
        <v>1473</v>
      </c>
      <c r="Q690" s="1779" t="str">
        <f>CHOOSE(2, "6722000003609", "S/GP (3) Gross Profit Direct NH MGI FSC (-) OFC")</f>
        <v>S/GP (3) Gross Profit Direct NH MGI FSC (-) OFC</v>
      </c>
      <c r="R690" s="1218">
        <v>0</v>
      </c>
      <c r="S690" s="1218">
        <v>0</v>
      </c>
      <c r="T690" s="1218">
        <v>0</v>
      </c>
      <c r="U690" s="1218">
        <v>0</v>
      </c>
      <c r="V690" s="1218">
        <v>0</v>
      </c>
      <c r="W690" s="1218">
        <v>0</v>
      </c>
      <c r="X690" s="1218">
        <v>0</v>
      </c>
      <c r="Y690" s="1218">
        <v>0</v>
      </c>
      <c r="Z690" s="1218">
        <v>0</v>
      </c>
      <c r="AA690" s="1218">
        <v>0</v>
      </c>
      <c r="AB690" s="1218">
        <v>0</v>
      </c>
      <c r="AC690" s="1218">
        <v>0</v>
      </c>
      <c r="AD690" s="783">
        <f>SUM(R690,S690,T690)</f>
        <v>0</v>
      </c>
      <c r="AE690" s="1226">
        <f t="shared" si="1042"/>
        <v>0</v>
      </c>
      <c r="AF690" s="1226">
        <f t="shared" si="1043"/>
        <v>0</v>
      </c>
      <c r="AG690" s="1226">
        <f t="shared" si="1044"/>
        <v>0</v>
      </c>
      <c r="AH690" s="1226">
        <f>AD690+AE690</f>
        <v>0</v>
      </c>
      <c r="AI690" s="1226">
        <f>AG690+AF690</f>
        <v>0</v>
      </c>
      <c r="AJ690" s="1226">
        <f>AH690+AI690</f>
        <v>0</v>
      </c>
      <c r="AL690" s="1226">
        <f ca="1">SUM((INDIRECT(AL$2&amp;(ROW())):INDIRECT(AL$3&amp;(ROW()))))</f>
        <v>0</v>
      </c>
      <c r="AM690" s="1226">
        <f ca="1">SUM(INDIRECT(AM$1&amp;AM$2&amp;$C690):INDIRECT(AM$1&amp;AM$3&amp;$C690))</f>
        <v>2044.6</v>
      </c>
      <c r="AN690" s="3233">
        <f t="shared" ca="1" si="958"/>
        <v>-2044.6</v>
      </c>
      <c r="AO690" s="2890">
        <f t="shared" ca="1" si="959"/>
        <v>0</v>
      </c>
      <c r="AP690" s="1226">
        <f ca="1">SUM(INDIRECT(AP$1&amp;AP$2&amp;$A690):INDIRECT(AP$1&amp;AP$3&amp;$A690))</f>
        <v>0</v>
      </c>
      <c r="AQ690" s="3233">
        <f t="shared" ca="1" si="960"/>
        <v>0</v>
      </c>
      <c r="AR690" s="2890">
        <f t="shared" ca="1" si="961"/>
        <v>0</v>
      </c>
      <c r="AT690" s="1226">
        <f ca="1">SUM((INDIRECT(AT$2&amp;(ROW())):INDIRECT(AT$3&amp;(ROW()))))</f>
        <v>0</v>
      </c>
      <c r="AU690" s="1226">
        <f ca="1">SUM(INDIRECT(AU$1&amp;AU$2&amp;$C690):INDIRECT(AU$1&amp;AU$3&amp;$C690))</f>
        <v>6360.2000000000007</v>
      </c>
      <c r="AV690" s="3233">
        <f t="shared" ca="1" si="962"/>
        <v>-6360.2000000000007</v>
      </c>
      <c r="AW690" s="2890">
        <f t="shared" ca="1" si="963"/>
        <v>0</v>
      </c>
      <c r="AX690" s="1226">
        <f ca="1">SUM(INDIRECT(AX$1&amp;AX$2&amp;$A690):INDIRECT(AX$1&amp;AX$3&amp;$A690))</f>
        <v>0</v>
      </c>
      <c r="AY690" s="3233">
        <f t="shared" ca="1" si="964"/>
        <v>0</v>
      </c>
      <c r="AZ690" s="2890">
        <f t="shared" ca="1" si="965"/>
        <v>0</v>
      </c>
      <c r="BB690" s="1226">
        <f ca="1">SUM((INDIRECT(BB$2&amp;(ROW())):INDIRECT(BB$3&amp;(ROW()))))</f>
        <v>0</v>
      </c>
      <c r="BC690" s="1226">
        <f ca="1">SUM(INDIRECT(BC$1&amp;BC$2&amp;$C690):INDIRECT(BC$1&amp;BC$3&amp;$C690))</f>
        <v>10667.6</v>
      </c>
      <c r="BD690" s="3233">
        <f t="shared" ca="1" si="966"/>
        <v>-10667.6</v>
      </c>
      <c r="BE690" s="2890">
        <f t="shared" ca="1" si="967"/>
        <v>0</v>
      </c>
      <c r="BF690" s="1226">
        <f ca="1">SUM(INDIRECT(BF$1&amp;BF$2&amp;$A690):INDIRECT(BF$1&amp;BF$3&amp;$A690))</f>
        <v>0</v>
      </c>
      <c r="BG690" s="3233">
        <f t="shared" ca="1" si="968"/>
        <v>0</v>
      </c>
      <c r="BH690" s="2890">
        <f t="shared" ca="1" si="969"/>
        <v>0</v>
      </c>
    </row>
    <row r="691" spans="1:60" ht="14.5">
      <c r="A691" s="616">
        <f t="shared" si="1008"/>
        <v>626</v>
      </c>
      <c r="B691" s="616">
        <v>1</v>
      </c>
      <c r="C691" s="616">
        <f t="shared" si="981"/>
        <v>688</v>
      </c>
      <c r="E691" s="2547">
        <v>1</v>
      </c>
      <c r="I691" s="352"/>
      <c r="J691" s="353"/>
      <c r="K691" s="68"/>
      <c r="L691" s="68"/>
      <c r="M691" s="69"/>
      <c r="N691" s="69" t="s">
        <v>1403</v>
      </c>
      <c r="O691" s="302"/>
      <c r="P691" s="302"/>
      <c r="Q691" s="1777" t="str">
        <f>CHOOSE(2, "6722000003610", "S/GP (3) Gross Profit Direct NH EFI/LF")</f>
        <v>S/GP (3) Gross Profit Direct NH EFI/LF</v>
      </c>
      <c r="R691" s="58">
        <f t="shared" ref="R691:AJ691" si="1045">R692+R693</f>
        <v>0</v>
      </c>
      <c r="S691" s="58">
        <f t="shared" si="1045"/>
        <v>0</v>
      </c>
      <c r="T691" s="58">
        <f t="shared" si="1045"/>
        <v>0</v>
      </c>
      <c r="U691" s="58">
        <f t="shared" si="1045"/>
        <v>0</v>
      </c>
      <c r="V691" s="58">
        <f t="shared" si="1045"/>
        <v>0</v>
      </c>
      <c r="W691" s="58">
        <f t="shared" si="1045"/>
        <v>0</v>
      </c>
      <c r="X691" s="58">
        <f t="shared" si="1045"/>
        <v>0</v>
      </c>
      <c r="Y691" s="58">
        <f t="shared" si="1045"/>
        <v>0</v>
      </c>
      <c r="Z691" s="58">
        <f t="shared" si="1045"/>
        <v>0</v>
      </c>
      <c r="AA691" s="58">
        <f t="shared" si="1045"/>
        <v>0</v>
      </c>
      <c r="AB691" s="58">
        <f t="shared" si="1045"/>
        <v>0</v>
      </c>
      <c r="AC691" s="58">
        <f t="shared" si="1045"/>
        <v>0</v>
      </c>
      <c r="AD691" s="903">
        <f t="shared" si="1045"/>
        <v>0</v>
      </c>
      <c r="AE691" s="58">
        <f t="shared" si="1045"/>
        <v>0</v>
      </c>
      <c r="AF691" s="58">
        <f t="shared" si="1045"/>
        <v>0</v>
      </c>
      <c r="AG691" s="58">
        <f t="shared" si="1045"/>
        <v>0</v>
      </c>
      <c r="AH691" s="58">
        <f t="shared" si="1045"/>
        <v>0</v>
      </c>
      <c r="AI691" s="58">
        <f t="shared" si="1045"/>
        <v>0</v>
      </c>
      <c r="AJ691" s="58">
        <f t="shared" si="1045"/>
        <v>0</v>
      </c>
      <c r="AL691" s="58">
        <f ca="1">SUM((INDIRECT(AL$2&amp;(ROW())):INDIRECT(AL$3&amp;(ROW()))))</f>
        <v>0</v>
      </c>
      <c r="AM691" s="58">
        <f ca="1">SUM(INDIRECT(AM$1&amp;AM$2&amp;$C691):INDIRECT(AM$1&amp;AM$3&amp;$C691))</f>
        <v>2189.6</v>
      </c>
      <c r="AN691" s="3261">
        <f t="shared" ca="1" si="958"/>
        <v>-2189.6</v>
      </c>
      <c r="AO691" s="2913">
        <f t="shared" ca="1" si="959"/>
        <v>0</v>
      </c>
      <c r="AP691" s="58">
        <f ca="1">SUM(INDIRECT(AP$1&amp;AP$2&amp;$A691):INDIRECT(AP$1&amp;AP$3&amp;$A691))</f>
        <v>0</v>
      </c>
      <c r="AQ691" s="3261">
        <f t="shared" ca="1" si="960"/>
        <v>0</v>
      </c>
      <c r="AR691" s="2913">
        <f t="shared" ca="1" si="961"/>
        <v>0</v>
      </c>
      <c r="AT691" s="58">
        <f ca="1">SUM((INDIRECT(AT$2&amp;(ROW())):INDIRECT(AT$3&amp;(ROW()))))</f>
        <v>0</v>
      </c>
      <c r="AU691" s="58">
        <f ca="1">SUM(INDIRECT(AU$1&amp;AU$2&amp;$C691):INDIRECT(AU$1&amp;AU$3&amp;$C691))</f>
        <v>6725.2000000000007</v>
      </c>
      <c r="AV691" s="3261">
        <f t="shared" ca="1" si="962"/>
        <v>-6725.2000000000007</v>
      </c>
      <c r="AW691" s="2913">
        <f t="shared" ca="1" si="963"/>
        <v>0</v>
      </c>
      <c r="AX691" s="58">
        <f ca="1">SUM(INDIRECT(AX$1&amp;AX$2&amp;$A691):INDIRECT(AX$1&amp;AX$3&amp;$A691))</f>
        <v>0</v>
      </c>
      <c r="AY691" s="3261">
        <f t="shared" ca="1" si="964"/>
        <v>0</v>
      </c>
      <c r="AZ691" s="2913">
        <f t="shared" ca="1" si="965"/>
        <v>0</v>
      </c>
      <c r="BB691" s="58">
        <f ca="1">SUM((INDIRECT(BB$2&amp;(ROW())):INDIRECT(BB$3&amp;(ROW()))))</f>
        <v>0</v>
      </c>
      <c r="BC691" s="58">
        <f ca="1">SUM(INDIRECT(BC$1&amp;BC$2&amp;$C691):INDIRECT(BC$1&amp;BC$3&amp;$C691))</f>
        <v>11182.6</v>
      </c>
      <c r="BD691" s="3261">
        <f t="shared" ca="1" si="966"/>
        <v>-11182.6</v>
      </c>
      <c r="BE691" s="2913">
        <f t="shared" ca="1" si="967"/>
        <v>0</v>
      </c>
      <c r="BF691" s="58">
        <f ca="1">SUM(INDIRECT(BF$1&amp;BF$2&amp;$A691):INDIRECT(BF$1&amp;BF$3&amp;$A691))</f>
        <v>0</v>
      </c>
      <c r="BG691" s="3261">
        <f t="shared" ca="1" si="968"/>
        <v>0</v>
      </c>
      <c r="BH691" s="2913">
        <f t="shared" ca="1" si="969"/>
        <v>0</v>
      </c>
    </row>
    <row r="692" spans="1:60" ht="14.5">
      <c r="A692" s="616">
        <f t="shared" si="1008"/>
        <v>627</v>
      </c>
      <c r="B692" s="616">
        <v>1</v>
      </c>
      <c r="C692" s="616">
        <f t="shared" si="981"/>
        <v>689</v>
      </c>
      <c r="E692" s="2547">
        <v>1</v>
      </c>
      <c r="I692" s="352"/>
      <c r="J692" s="353"/>
      <c r="K692" s="68"/>
      <c r="L692" s="68"/>
      <c r="M692" s="69"/>
      <c r="N692" s="69"/>
      <c r="O692" s="305" t="s">
        <v>1494</v>
      </c>
      <c r="P692" s="305"/>
      <c r="Q692" s="1779" t="str">
        <f>CHOOSE(2, "6722000003611", "S/GP (3) Gross Profit Direct NH EFI/LF EFI/LF")</f>
        <v>S/GP (3) Gross Profit Direct NH EFI/LF EFI/LF</v>
      </c>
      <c r="R692" s="1254">
        <v>0</v>
      </c>
      <c r="S692" s="1254">
        <v>0</v>
      </c>
      <c r="T692" s="1254">
        <v>0</v>
      </c>
      <c r="U692" s="1254">
        <v>0</v>
      </c>
      <c r="V692" s="1254">
        <v>0</v>
      </c>
      <c r="W692" s="1254">
        <v>0</v>
      </c>
      <c r="X692" s="1254">
        <v>0</v>
      </c>
      <c r="Y692" s="1254">
        <v>0</v>
      </c>
      <c r="Z692" s="1254">
        <v>0</v>
      </c>
      <c r="AA692" s="1254">
        <v>0</v>
      </c>
      <c r="AB692" s="1254">
        <v>0</v>
      </c>
      <c r="AC692" s="1254">
        <v>0</v>
      </c>
      <c r="AD692" s="903">
        <f>SUM(R692,S692,T692)</f>
        <v>0</v>
      </c>
      <c r="AE692" s="58">
        <f t="shared" ref="AE692" si="1046">SUM(U692,V692,W692)</f>
        <v>0</v>
      </c>
      <c r="AF692" s="58">
        <f t="shared" ref="AF692" si="1047">SUM(X692,Y692,Z692)</f>
        <v>0</v>
      </c>
      <c r="AG692" s="58">
        <f t="shared" ref="AG692" si="1048">SUM(AA692,AB692,AC692)</f>
        <v>0</v>
      </c>
      <c r="AH692" s="58">
        <f>AD692+AE692</f>
        <v>0</v>
      </c>
      <c r="AI692" s="58">
        <f>AG692+AF692</f>
        <v>0</v>
      </c>
      <c r="AJ692" s="58">
        <f>AH692+AI692</f>
        <v>0</v>
      </c>
      <c r="AL692" s="58">
        <f ca="1">SUM((INDIRECT(AL$2&amp;(ROW())):INDIRECT(AL$3&amp;(ROW()))))</f>
        <v>0</v>
      </c>
      <c r="AM692" s="58">
        <f ca="1">SUM(INDIRECT(AM$1&amp;AM$2&amp;$C692):INDIRECT(AM$1&amp;AM$3&amp;$C692))</f>
        <v>-145</v>
      </c>
      <c r="AN692" s="3261">
        <f t="shared" ca="1" si="958"/>
        <v>145</v>
      </c>
      <c r="AO692" s="2913">
        <f t="shared" ca="1" si="959"/>
        <v>0</v>
      </c>
      <c r="AP692" s="58">
        <f ca="1">SUM(INDIRECT(AP$1&amp;AP$2&amp;$A692):INDIRECT(AP$1&amp;AP$3&amp;$A692))</f>
        <v>0</v>
      </c>
      <c r="AQ692" s="3261">
        <f t="shared" ca="1" si="960"/>
        <v>0</v>
      </c>
      <c r="AR692" s="2913">
        <f t="shared" ca="1" si="961"/>
        <v>0</v>
      </c>
      <c r="AT692" s="58">
        <f ca="1">SUM((INDIRECT(AT$2&amp;(ROW())):INDIRECT(AT$3&amp;(ROW()))))</f>
        <v>0</v>
      </c>
      <c r="AU692" s="58">
        <f ca="1">SUM(INDIRECT(AU$1&amp;AU$2&amp;$C692):INDIRECT(AU$1&amp;AU$3&amp;$C692))</f>
        <v>-365</v>
      </c>
      <c r="AV692" s="3261">
        <f t="shared" ca="1" si="962"/>
        <v>365</v>
      </c>
      <c r="AW692" s="2913">
        <f t="shared" ca="1" si="963"/>
        <v>0</v>
      </c>
      <c r="AX692" s="58">
        <f ca="1">SUM(INDIRECT(AX$1&amp;AX$2&amp;$A692):INDIRECT(AX$1&amp;AX$3&amp;$A692))</f>
        <v>0</v>
      </c>
      <c r="AY692" s="3261">
        <f t="shared" ca="1" si="964"/>
        <v>0</v>
      </c>
      <c r="AZ692" s="2913">
        <f t="shared" ca="1" si="965"/>
        <v>0</v>
      </c>
      <c r="BB692" s="58">
        <f ca="1">SUM((INDIRECT(BB$2&amp;(ROW())):INDIRECT(BB$3&amp;(ROW()))))</f>
        <v>0</v>
      </c>
      <c r="BC692" s="58">
        <f ca="1">SUM(INDIRECT(BC$1&amp;BC$2&amp;$C692):INDIRECT(BC$1&amp;BC$3&amp;$C692))</f>
        <v>-515</v>
      </c>
      <c r="BD692" s="3261">
        <f t="shared" ca="1" si="966"/>
        <v>515</v>
      </c>
      <c r="BE692" s="2913">
        <f t="shared" ca="1" si="967"/>
        <v>0</v>
      </c>
      <c r="BF692" s="58">
        <f ca="1">SUM(INDIRECT(BF$1&amp;BF$2&amp;$A692):INDIRECT(BF$1&amp;BF$3&amp;$A692))</f>
        <v>0</v>
      </c>
      <c r="BG692" s="3261">
        <f t="shared" ca="1" si="968"/>
        <v>0</v>
      </c>
      <c r="BH692" s="2913">
        <f t="shared" ca="1" si="969"/>
        <v>0</v>
      </c>
    </row>
    <row r="693" spans="1:60" s="69" customFormat="1" ht="14.5">
      <c r="A693" s="616">
        <f t="shared" si="1008"/>
        <v>628</v>
      </c>
      <c r="B693" s="616">
        <v>1</v>
      </c>
      <c r="C693" s="616">
        <f t="shared" si="981"/>
        <v>690</v>
      </c>
      <c r="E693" s="2547">
        <v>1</v>
      </c>
      <c r="F693" s="9"/>
      <c r="G693" s="9"/>
      <c r="H693" s="22"/>
      <c r="I693" s="352"/>
      <c r="J693" s="353"/>
      <c r="K693" s="68"/>
      <c r="L693" s="68"/>
      <c r="O693" s="306" t="s">
        <v>1491</v>
      </c>
      <c r="P693" s="306"/>
      <c r="Q693" s="1782" t="str">
        <f>CHOOSE(2, "6722000003612", "S/GP (3) Gross Profit Direct NH EFI/LF FSC (-)")</f>
        <v>S/GP (3) Gross Profit Direct NH EFI/LF FSC (-)</v>
      </c>
      <c r="R693" s="1250">
        <f t="shared" ref="R693:AC693" si="1049">SUM(R694:R696)</f>
        <v>0</v>
      </c>
      <c r="S693" s="1250">
        <f t="shared" si="1049"/>
        <v>0</v>
      </c>
      <c r="T693" s="1250">
        <f t="shared" si="1049"/>
        <v>0</v>
      </c>
      <c r="U693" s="1250">
        <f t="shared" si="1049"/>
        <v>0</v>
      </c>
      <c r="V693" s="1250">
        <f t="shared" si="1049"/>
        <v>0</v>
      </c>
      <c r="W693" s="1250">
        <f t="shared" si="1049"/>
        <v>0</v>
      </c>
      <c r="X693" s="1250">
        <f t="shared" si="1049"/>
        <v>0</v>
      </c>
      <c r="Y693" s="1250">
        <f t="shared" si="1049"/>
        <v>0</v>
      </c>
      <c r="Z693" s="1250">
        <f t="shared" si="1049"/>
        <v>0</v>
      </c>
      <c r="AA693" s="1250">
        <f t="shared" si="1049"/>
        <v>0</v>
      </c>
      <c r="AB693" s="1250">
        <f t="shared" si="1049"/>
        <v>0</v>
      </c>
      <c r="AC693" s="1250">
        <f t="shared" si="1049"/>
        <v>0</v>
      </c>
      <c r="AD693" s="899">
        <f>SUM(R693:T693)</f>
        <v>0</v>
      </c>
      <c r="AE693" s="1250">
        <f>SUM(U693:W693)</f>
        <v>0</v>
      </c>
      <c r="AF693" s="1250">
        <f>SUM(X693:Z693)</f>
        <v>0</v>
      </c>
      <c r="AG693" s="1250">
        <f>SUM(AA693:AC693)</f>
        <v>0</v>
      </c>
      <c r="AH693" s="1250">
        <f>AD693+AE693</f>
        <v>0</v>
      </c>
      <c r="AI693" s="1250">
        <f>AG693+AF693</f>
        <v>0</v>
      </c>
      <c r="AJ693" s="1250">
        <f>AH693+AI693</f>
        <v>0</v>
      </c>
      <c r="AL693" s="1250">
        <f ca="1">SUM((INDIRECT(AL$2&amp;(ROW())):INDIRECT(AL$3&amp;(ROW()))))</f>
        <v>0</v>
      </c>
      <c r="AM693" s="1250">
        <f ca="1">SUM(INDIRECT(AM$1&amp;AM$2&amp;$C693):INDIRECT(AM$1&amp;AM$3&amp;$C693))</f>
        <v>-120</v>
      </c>
      <c r="AN693" s="3232">
        <f t="shared" ca="1" si="958"/>
        <v>120</v>
      </c>
      <c r="AO693" s="2888">
        <f t="shared" ca="1" si="959"/>
        <v>0</v>
      </c>
      <c r="AP693" s="1250">
        <f ca="1">SUM(INDIRECT(AP$1&amp;AP$2&amp;$A693):INDIRECT(AP$1&amp;AP$3&amp;$A693))</f>
        <v>0</v>
      </c>
      <c r="AQ693" s="3232">
        <f t="shared" ca="1" si="960"/>
        <v>0</v>
      </c>
      <c r="AR693" s="2888">
        <f t="shared" ca="1" si="961"/>
        <v>0</v>
      </c>
      <c r="AT693" s="1250">
        <f ca="1">SUM((INDIRECT(AT$2&amp;(ROW())):INDIRECT(AT$3&amp;(ROW()))))</f>
        <v>0</v>
      </c>
      <c r="AU693" s="1250">
        <f ca="1">SUM(INDIRECT(AU$1&amp;AU$2&amp;$C693):INDIRECT(AU$1&amp;AU$3&amp;$C693))</f>
        <v>-300</v>
      </c>
      <c r="AV693" s="3232">
        <f t="shared" ca="1" si="962"/>
        <v>300</v>
      </c>
      <c r="AW693" s="2888">
        <f t="shared" ca="1" si="963"/>
        <v>0</v>
      </c>
      <c r="AX693" s="1250">
        <f ca="1">SUM(INDIRECT(AX$1&amp;AX$2&amp;$A693):INDIRECT(AX$1&amp;AX$3&amp;$A693))</f>
        <v>0</v>
      </c>
      <c r="AY693" s="3232">
        <f t="shared" ca="1" si="964"/>
        <v>0</v>
      </c>
      <c r="AZ693" s="2888">
        <f t="shared" ca="1" si="965"/>
        <v>0</v>
      </c>
      <c r="BB693" s="1250">
        <f ca="1">SUM((INDIRECT(BB$2&amp;(ROW())):INDIRECT(BB$3&amp;(ROW()))))</f>
        <v>0</v>
      </c>
      <c r="BC693" s="1250">
        <f ca="1">SUM(INDIRECT(BC$1&amp;BC$2&amp;$C693):INDIRECT(BC$1&amp;BC$3&amp;$C693))</f>
        <v>-420</v>
      </c>
      <c r="BD693" s="3232">
        <f t="shared" ca="1" si="966"/>
        <v>420</v>
      </c>
      <c r="BE693" s="2888">
        <f t="shared" ca="1" si="967"/>
        <v>0</v>
      </c>
      <c r="BF693" s="1250">
        <f ca="1">SUM(INDIRECT(BF$1&amp;BF$2&amp;$A693):INDIRECT(BF$1&amp;BF$3&amp;$A693))</f>
        <v>0</v>
      </c>
      <c r="BG693" s="3232">
        <f t="shared" ca="1" si="968"/>
        <v>0</v>
      </c>
      <c r="BH693" s="2888">
        <f t="shared" ca="1" si="969"/>
        <v>0</v>
      </c>
    </row>
    <row r="694" spans="1:60" s="69" customFormat="1" ht="14.5">
      <c r="A694" s="616">
        <f t="shared" si="1008"/>
        <v>629</v>
      </c>
      <c r="B694" s="616">
        <v>1</v>
      </c>
      <c r="C694" s="616">
        <f t="shared" si="981"/>
        <v>691</v>
      </c>
      <c r="E694" s="2547">
        <v>1</v>
      </c>
      <c r="F694" s="9"/>
      <c r="G694" s="9"/>
      <c r="H694" s="22"/>
      <c r="I694" s="352"/>
      <c r="J694" s="353"/>
      <c r="K694" s="68"/>
      <c r="L694" s="68"/>
      <c r="O694" s="307"/>
      <c r="P694" s="291" t="s">
        <v>1471</v>
      </c>
      <c r="Q694" s="1779" t="str">
        <f>CHOOSE(2, "6722000003613", "S/GP (3) Gross Profit Direct NH EFI/LF FSC (-) PC")</f>
        <v>S/GP (3) Gross Profit Direct NH EFI/LF FSC (-) PC</v>
      </c>
      <c r="R694" s="1227">
        <v>0</v>
      </c>
      <c r="S694" s="1227">
        <v>0</v>
      </c>
      <c r="T694" s="1227">
        <v>0</v>
      </c>
      <c r="U694" s="1227">
        <v>0</v>
      </c>
      <c r="V694" s="1227">
        <v>0</v>
      </c>
      <c r="W694" s="1227">
        <v>0</v>
      </c>
      <c r="X694" s="1227">
        <v>0</v>
      </c>
      <c r="Y694" s="1227">
        <v>0</v>
      </c>
      <c r="Z694" s="1227">
        <v>0</v>
      </c>
      <c r="AA694" s="1227">
        <v>0</v>
      </c>
      <c r="AB694" s="1227">
        <v>0</v>
      </c>
      <c r="AC694" s="1227">
        <v>0</v>
      </c>
      <c r="AD694" s="896">
        <f>SUM(R694,S694,T694)</f>
        <v>0</v>
      </c>
      <c r="AE694" s="95">
        <f t="shared" ref="AE694:AE696" si="1050">SUM(U694,V694,W694)</f>
        <v>0</v>
      </c>
      <c r="AF694" s="95">
        <f t="shared" ref="AF694:AF696" si="1051">SUM(X694,Y694,Z694)</f>
        <v>0</v>
      </c>
      <c r="AG694" s="95">
        <f t="shared" ref="AG694:AG696" si="1052">SUM(AA694,AB694,AC694)</f>
        <v>0</v>
      </c>
      <c r="AH694" s="95">
        <f>AD694+AE694</f>
        <v>0</v>
      </c>
      <c r="AI694" s="95">
        <f>AG694+AF694</f>
        <v>0</v>
      </c>
      <c r="AJ694" s="95">
        <f>AH694+AI694</f>
        <v>0</v>
      </c>
      <c r="AL694" s="95">
        <f ca="1">SUM((INDIRECT(AL$2&amp;(ROW())):INDIRECT(AL$3&amp;(ROW()))))</f>
        <v>0</v>
      </c>
      <c r="AM694" s="95">
        <f ca="1">SUM(INDIRECT(AM$1&amp;AM$2&amp;$C694):INDIRECT(AM$1&amp;AM$3&amp;$C694))</f>
        <v>-25</v>
      </c>
      <c r="AN694" s="3228">
        <f t="shared" ca="1" si="958"/>
        <v>25</v>
      </c>
      <c r="AO694" s="2880">
        <f t="shared" ca="1" si="959"/>
        <v>0</v>
      </c>
      <c r="AP694" s="95">
        <f ca="1">SUM(INDIRECT(AP$1&amp;AP$2&amp;$A694):INDIRECT(AP$1&amp;AP$3&amp;$A694))</f>
        <v>0</v>
      </c>
      <c r="AQ694" s="3228">
        <f t="shared" ca="1" si="960"/>
        <v>0</v>
      </c>
      <c r="AR694" s="2880">
        <f t="shared" ca="1" si="961"/>
        <v>0</v>
      </c>
      <c r="AT694" s="95">
        <f ca="1">SUM((INDIRECT(AT$2&amp;(ROW())):INDIRECT(AT$3&amp;(ROW()))))</f>
        <v>0</v>
      </c>
      <c r="AU694" s="95">
        <f ca="1">SUM(INDIRECT(AU$1&amp;AU$2&amp;$C694):INDIRECT(AU$1&amp;AU$3&amp;$C694))</f>
        <v>-65</v>
      </c>
      <c r="AV694" s="3228">
        <f t="shared" ca="1" si="962"/>
        <v>65</v>
      </c>
      <c r="AW694" s="2880">
        <f t="shared" ca="1" si="963"/>
        <v>0</v>
      </c>
      <c r="AX694" s="95">
        <f ca="1">SUM(INDIRECT(AX$1&amp;AX$2&amp;$A694):INDIRECT(AX$1&amp;AX$3&amp;$A694))</f>
        <v>0</v>
      </c>
      <c r="AY694" s="3228">
        <f t="shared" ca="1" si="964"/>
        <v>0</v>
      </c>
      <c r="AZ694" s="2880">
        <f t="shared" ca="1" si="965"/>
        <v>0</v>
      </c>
      <c r="BB694" s="95">
        <f ca="1">SUM((INDIRECT(BB$2&amp;(ROW())):INDIRECT(BB$3&amp;(ROW()))))</f>
        <v>0</v>
      </c>
      <c r="BC694" s="95">
        <f ca="1">SUM(INDIRECT(BC$1&amp;BC$2&amp;$C694):INDIRECT(BC$1&amp;BC$3&amp;$C694))</f>
        <v>-95</v>
      </c>
      <c r="BD694" s="3228">
        <f t="shared" ca="1" si="966"/>
        <v>95</v>
      </c>
      <c r="BE694" s="2880">
        <f t="shared" ca="1" si="967"/>
        <v>0</v>
      </c>
      <c r="BF694" s="95">
        <f ca="1">SUM(INDIRECT(BF$1&amp;BF$2&amp;$A694):INDIRECT(BF$1&amp;BF$3&amp;$A694))</f>
        <v>0</v>
      </c>
      <c r="BG694" s="3228">
        <f t="shared" ca="1" si="968"/>
        <v>0</v>
      </c>
      <c r="BH694" s="2880">
        <f t="shared" ca="1" si="969"/>
        <v>0</v>
      </c>
    </row>
    <row r="695" spans="1:60" s="69" customFormat="1" ht="14.5">
      <c r="A695" s="616">
        <f t="shared" si="1008"/>
        <v>630</v>
      </c>
      <c r="B695" s="616">
        <v>1</v>
      </c>
      <c r="C695" s="616">
        <f t="shared" si="981"/>
        <v>692</v>
      </c>
      <c r="E695" s="2547">
        <v>1</v>
      </c>
      <c r="F695" s="9"/>
      <c r="G695" s="9"/>
      <c r="H695" s="22"/>
      <c r="I695" s="352"/>
      <c r="J695" s="353"/>
      <c r="K695" s="68"/>
      <c r="L695" s="68"/>
      <c r="O695" s="231"/>
      <c r="P695" s="229" t="s">
        <v>1472</v>
      </c>
      <c r="Q695" s="1779" t="str">
        <f>CHOOSE(2, "6722000003614", "S/GP (3) Gross Profit Direct NH EFI/LF FSC (-) TE")</f>
        <v>S/GP (3) Gross Profit Direct NH EFI/LF FSC (-) TE</v>
      </c>
      <c r="R695" s="1217">
        <v>0</v>
      </c>
      <c r="S695" s="1217">
        <v>0</v>
      </c>
      <c r="T695" s="1217">
        <v>0</v>
      </c>
      <c r="U695" s="1217">
        <v>0</v>
      </c>
      <c r="V695" s="1217">
        <v>0</v>
      </c>
      <c r="W695" s="1217">
        <v>0</v>
      </c>
      <c r="X695" s="1217">
        <v>0</v>
      </c>
      <c r="Y695" s="1217">
        <v>0</v>
      </c>
      <c r="Z695" s="1217">
        <v>0</v>
      </c>
      <c r="AA695" s="1217">
        <v>0</v>
      </c>
      <c r="AB695" s="1217">
        <v>0</v>
      </c>
      <c r="AC695" s="1217">
        <v>0</v>
      </c>
      <c r="AD695" s="783">
        <f>SUM(R695,S695,T695)</f>
        <v>0</v>
      </c>
      <c r="AE695" s="1226">
        <f t="shared" si="1050"/>
        <v>0</v>
      </c>
      <c r="AF695" s="1226">
        <f t="shared" si="1051"/>
        <v>0</v>
      </c>
      <c r="AG695" s="1226">
        <f t="shared" si="1052"/>
        <v>0</v>
      </c>
      <c r="AH695" s="1226">
        <f>AD695+AE695</f>
        <v>0</v>
      </c>
      <c r="AI695" s="1226">
        <f>AG695+AF695</f>
        <v>0</v>
      </c>
      <c r="AJ695" s="1226">
        <f>AH695+AI695</f>
        <v>0</v>
      </c>
      <c r="AL695" s="1226">
        <f ca="1">SUM((INDIRECT(AL$2&amp;(ROW())):INDIRECT(AL$3&amp;(ROW()))))</f>
        <v>0</v>
      </c>
      <c r="AM695" s="1226">
        <f ca="1">SUM(INDIRECT(AM$1&amp;AM$2&amp;$C695):INDIRECT(AM$1&amp;AM$3&amp;$C695))</f>
        <v>0</v>
      </c>
      <c r="AN695" s="3233">
        <f t="shared" ca="1" si="958"/>
        <v>0</v>
      </c>
      <c r="AO695" s="2890">
        <f t="shared" ca="1" si="959"/>
        <v>0</v>
      </c>
      <c r="AP695" s="1226">
        <f ca="1">SUM(INDIRECT(AP$1&amp;AP$2&amp;$A695):INDIRECT(AP$1&amp;AP$3&amp;$A695))</f>
        <v>0</v>
      </c>
      <c r="AQ695" s="3233">
        <f t="shared" ca="1" si="960"/>
        <v>0</v>
      </c>
      <c r="AR695" s="2890">
        <f t="shared" ca="1" si="961"/>
        <v>0</v>
      </c>
      <c r="AT695" s="1226">
        <f ca="1">SUM((INDIRECT(AT$2&amp;(ROW())):INDIRECT(AT$3&amp;(ROW()))))</f>
        <v>0</v>
      </c>
      <c r="AU695" s="1226">
        <f ca="1">SUM(INDIRECT(AU$1&amp;AU$2&amp;$C695):INDIRECT(AU$1&amp;AU$3&amp;$C695))</f>
        <v>0</v>
      </c>
      <c r="AV695" s="3233">
        <f t="shared" ca="1" si="962"/>
        <v>0</v>
      </c>
      <c r="AW695" s="2890">
        <f t="shared" ca="1" si="963"/>
        <v>0</v>
      </c>
      <c r="AX695" s="1226">
        <f ca="1">SUM(INDIRECT(AX$1&amp;AX$2&amp;$A695):INDIRECT(AX$1&amp;AX$3&amp;$A695))</f>
        <v>0</v>
      </c>
      <c r="AY695" s="3233">
        <f t="shared" ca="1" si="964"/>
        <v>0</v>
      </c>
      <c r="AZ695" s="2890">
        <f t="shared" ca="1" si="965"/>
        <v>0</v>
      </c>
      <c r="BB695" s="1226">
        <f ca="1">SUM((INDIRECT(BB$2&amp;(ROW())):INDIRECT(BB$3&amp;(ROW()))))</f>
        <v>0</v>
      </c>
      <c r="BC695" s="1226">
        <f ca="1">SUM(INDIRECT(BC$1&amp;BC$2&amp;$C695):INDIRECT(BC$1&amp;BC$3&amp;$C695))</f>
        <v>0</v>
      </c>
      <c r="BD695" s="3233">
        <f t="shared" ca="1" si="966"/>
        <v>0</v>
      </c>
      <c r="BE695" s="2890">
        <f t="shared" ca="1" si="967"/>
        <v>0</v>
      </c>
      <c r="BF695" s="1226">
        <f ca="1">SUM(INDIRECT(BF$1&amp;BF$2&amp;$A695):INDIRECT(BF$1&amp;BF$3&amp;$A695))</f>
        <v>0</v>
      </c>
      <c r="BG695" s="3233">
        <f t="shared" ca="1" si="968"/>
        <v>0</v>
      </c>
      <c r="BH695" s="2890">
        <f t="shared" ca="1" si="969"/>
        <v>0</v>
      </c>
    </row>
    <row r="696" spans="1:60" s="69" customFormat="1" ht="14.5">
      <c r="A696" s="616">
        <f t="shared" si="1008"/>
        <v>631</v>
      </c>
      <c r="B696" s="616">
        <v>1</v>
      </c>
      <c r="C696" s="616">
        <f t="shared" si="981"/>
        <v>693</v>
      </c>
      <c r="E696" s="2547">
        <v>1</v>
      </c>
      <c r="F696" s="9"/>
      <c r="G696" s="9"/>
      <c r="H696" s="22"/>
      <c r="I696" s="352"/>
      <c r="J696" s="353"/>
      <c r="K696" s="68"/>
      <c r="L696" s="68"/>
      <c r="N696" s="211"/>
      <c r="O696" s="232"/>
      <c r="P696" s="228" t="s">
        <v>1473</v>
      </c>
      <c r="Q696" s="1779" t="str">
        <f>CHOOSE(2, "6722000003615", "S/GP (3) Gross Profit Direct NH EFI/LF FSC (-) OFC")</f>
        <v>S/GP (3) Gross Profit Direct NH EFI/LF FSC (-) OFC</v>
      </c>
      <c r="R696" s="1218">
        <v>0</v>
      </c>
      <c r="S696" s="1218">
        <v>0</v>
      </c>
      <c r="T696" s="1218">
        <v>0</v>
      </c>
      <c r="U696" s="1218">
        <v>0</v>
      </c>
      <c r="V696" s="1218">
        <v>0</v>
      </c>
      <c r="W696" s="1218">
        <v>0</v>
      </c>
      <c r="X696" s="1218">
        <v>0</v>
      </c>
      <c r="Y696" s="1218">
        <v>0</v>
      </c>
      <c r="Z696" s="1218">
        <v>0</v>
      </c>
      <c r="AA696" s="1218">
        <v>0</v>
      </c>
      <c r="AB696" s="1218">
        <v>0</v>
      </c>
      <c r="AC696" s="1218">
        <v>0</v>
      </c>
      <c r="AD696" s="783">
        <f>SUM(R696,S696,T696)</f>
        <v>0</v>
      </c>
      <c r="AE696" s="1226">
        <f t="shared" si="1050"/>
        <v>0</v>
      </c>
      <c r="AF696" s="1226">
        <f t="shared" si="1051"/>
        <v>0</v>
      </c>
      <c r="AG696" s="1226">
        <f t="shared" si="1052"/>
        <v>0</v>
      </c>
      <c r="AH696" s="1226">
        <f>AD696+AE696</f>
        <v>0</v>
      </c>
      <c r="AI696" s="1226">
        <f>AG696+AF696</f>
        <v>0</v>
      </c>
      <c r="AJ696" s="1226">
        <f>AH696+AI696</f>
        <v>0</v>
      </c>
      <c r="AL696" s="1226">
        <f ca="1">SUM((INDIRECT(AL$2&amp;(ROW())):INDIRECT(AL$3&amp;(ROW()))))</f>
        <v>0</v>
      </c>
      <c r="AM696" s="1226">
        <f ca="1">SUM(INDIRECT(AM$1&amp;AM$2&amp;$C696):INDIRECT(AM$1&amp;AM$3&amp;$C696))</f>
        <v>0</v>
      </c>
      <c r="AN696" s="3233">
        <f t="shared" ref="AN696:AN751" ca="1" si="1053">AL696-AM696</f>
        <v>0</v>
      </c>
      <c r="AO696" s="2890">
        <f t="shared" ref="AO696:AO751" ca="1" si="1054">IFERROR(AL696/AM696,0)</f>
        <v>0</v>
      </c>
      <c r="AP696" s="1226">
        <f ca="1">SUM(INDIRECT(AP$1&amp;AP$2&amp;$A696):INDIRECT(AP$1&amp;AP$3&amp;$A696))</f>
        <v>0</v>
      </c>
      <c r="AQ696" s="3233">
        <f t="shared" ref="AQ696:AQ751" ca="1" si="1055">AL696-AP696</f>
        <v>0</v>
      </c>
      <c r="AR696" s="2890">
        <f t="shared" ref="AR696:AR751" ca="1" si="1056">IFERROR(AL696/AP696,0)</f>
        <v>0</v>
      </c>
      <c r="AT696" s="1226">
        <f ca="1">SUM((INDIRECT(AT$2&amp;(ROW())):INDIRECT(AT$3&amp;(ROW()))))</f>
        <v>0</v>
      </c>
      <c r="AU696" s="1226">
        <f ca="1">SUM(INDIRECT(AU$1&amp;AU$2&amp;$C696):INDIRECT(AU$1&amp;AU$3&amp;$C696))</f>
        <v>0</v>
      </c>
      <c r="AV696" s="3233">
        <f t="shared" ref="AV696:AV751" ca="1" si="1057">AT696-AU696</f>
        <v>0</v>
      </c>
      <c r="AW696" s="2890">
        <f t="shared" ref="AW696:AW751" ca="1" si="1058">IFERROR(AT696/AU696,0)</f>
        <v>0</v>
      </c>
      <c r="AX696" s="1226">
        <f ca="1">SUM(INDIRECT(AX$1&amp;AX$2&amp;$A696):INDIRECT(AX$1&amp;AX$3&amp;$A696))</f>
        <v>0</v>
      </c>
      <c r="AY696" s="3233">
        <f t="shared" ref="AY696:AY751" ca="1" si="1059">AT696-AX696</f>
        <v>0</v>
      </c>
      <c r="AZ696" s="2890">
        <f t="shared" ref="AZ696:AZ751" ca="1" si="1060">IFERROR(AT696/AX696,0)</f>
        <v>0</v>
      </c>
      <c r="BB696" s="1226">
        <f ca="1">SUM((INDIRECT(BB$2&amp;(ROW())):INDIRECT(BB$3&amp;(ROW()))))</f>
        <v>0</v>
      </c>
      <c r="BC696" s="1226">
        <f ca="1">SUM(INDIRECT(BC$1&amp;BC$2&amp;$C696):INDIRECT(BC$1&amp;BC$3&amp;$C696))</f>
        <v>0</v>
      </c>
      <c r="BD696" s="3233">
        <f t="shared" ref="BD696:BD751" ca="1" si="1061">BB696-BC696</f>
        <v>0</v>
      </c>
      <c r="BE696" s="2890">
        <f t="shared" ref="BE696:BE751" ca="1" si="1062">IFERROR(BB696/BC696,0)</f>
        <v>0</v>
      </c>
      <c r="BF696" s="1226">
        <f ca="1">SUM(INDIRECT(BF$1&amp;BF$2&amp;$A696):INDIRECT(BF$1&amp;BF$3&amp;$A696))</f>
        <v>0</v>
      </c>
      <c r="BG696" s="3233">
        <f t="shared" ref="BG696:BG751" ca="1" si="1063">BB696-BF696</f>
        <v>0</v>
      </c>
      <c r="BH696" s="2890">
        <f t="shared" ref="BH696:BH751" ca="1" si="1064">IFERROR(BB696/BF696,0)</f>
        <v>0</v>
      </c>
    </row>
    <row r="697" spans="1:60" ht="14.5">
      <c r="A697" s="616">
        <f t="shared" si="1008"/>
        <v>632</v>
      </c>
      <c r="B697" s="616">
        <v>1</v>
      </c>
      <c r="C697" s="616">
        <f t="shared" si="981"/>
        <v>694</v>
      </c>
      <c r="E697" s="2547">
        <v>1</v>
      </c>
      <c r="I697" s="352"/>
      <c r="J697" s="353"/>
      <c r="K697" s="68"/>
      <c r="L697" s="68"/>
      <c r="M697" s="69"/>
      <c r="N697" s="69" t="s">
        <v>1404</v>
      </c>
      <c r="O697" s="302"/>
      <c r="P697" s="302"/>
      <c r="Q697" s="1777" t="str">
        <f>CHOOSE(2, "6722000003616", "S/GP (3) Gross Profit Direct NH Textile Printer")</f>
        <v>S/GP (3) Gross Profit Direct NH Textile Printer</v>
      </c>
      <c r="R697" s="58">
        <f t="shared" ref="R697:AJ697" si="1065">R698+R699</f>
        <v>0</v>
      </c>
      <c r="S697" s="58">
        <f t="shared" si="1065"/>
        <v>0</v>
      </c>
      <c r="T697" s="58">
        <f t="shared" si="1065"/>
        <v>0</v>
      </c>
      <c r="U697" s="58">
        <f t="shared" si="1065"/>
        <v>0</v>
      </c>
      <c r="V697" s="58">
        <f t="shared" si="1065"/>
        <v>0</v>
      </c>
      <c r="W697" s="58">
        <f t="shared" si="1065"/>
        <v>0</v>
      </c>
      <c r="X697" s="58">
        <f t="shared" si="1065"/>
        <v>0</v>
      </c>
      <c r="Y697" s="58">
        <f t="shared" si="1065"/>
        <v>0</v>
      </c>
      <c r="Z697" s="58">
        <f t="shared" si="1065"/>
        <v>0</v>
      </c>
      <c r="AA697" s="58">
        <f t="shared" si="1065"/>
        <v>0</v>
      </c>
      <c r="AB697" s="58">
        <f t="shared" si="1065"/>
        <v>0</v>
      </c>
      <c r="AC697" s="58">
        <f t="shared" si="1065"/>
        <v>0</v>
      </c>
      <c r="AD697" s="903">
        <f t="shared" si="1065"/>
        <v>0</v>
      </c>
      <c r="AE697" s="58">
        <f t="shared" si="1065"/>
        <v>0</v>
      </c>
      <c r="AF697" s="58">
        <f t="shared" si="1065"/>
        <v>0</v>
      </c>
      <c r="AG697" s="58">
        <f t="shared" si="1065"/>
        <v>0</v>
      </c>
      <c r="AH697" s="58">
        <f t="shared" si="1065"/>
        <v>0</v>
      </c>
      <c r="AI697" s="58">
        <f t="shared" si="1065"/>
        <v>0</v>
      </c>
      <c r="AJ697" s="58">
        <f t="shared" si="1065"/>
        <v>0</v>
      </c>
      <c r="AL697" s="58">
        <f ca="1">SUM((INDIRECT(AL$2&amp;(ROW())):INDIRECT(AL$3&amp;(ROW()))))</f>
        <v>0</v>
      </c>
      <c r="AM697" s="58">
        <f ca="1">SUM(INDIRECT(AM$1&amp;AM$2&amp;$C697):INDIRECT(AM$1&amp;AM$3&amp;$C697))</f>
        <v>835</v>
      </c>
      <c r="AN697" s="3261">
        <f t="shared" ca="1" si="1053"/>
        <v>-835</v>
      </c>
      <c r="AO697" s="2913">
        <f t="shared" ca="1" si="1054"/>
        <v>0</v>
      </c>
      <c r="AP697" s="58">
        <f ca="1">SUM(INDIRECT(AP$1&amp;AP$2&amp;$A697):INDIRECT(AP$1&amp;AP$3&amp;$A697))</f>
        <v>8583.2560000000012</v>
      </c>
      <c r="AQ697" s="3261">
        <f t="shared" ca="1" si="1055"/>
        <v>-8583.2560000000012</v>
      </c>
      <c r="AR697" s="2913">
        <f t="shared" ca="1" si="1056"/>
        <v>0</v>
      </c>
      <c r="AT697" s="58">
        <f ca="1">SUM((INDIRECT(AT$2&amp;(ROW())):INDIRECT(AT$3&amp;(ROW()))))</f>
        <v>0</v>
      </c>
      <c r="AU697" s="58">
        <f ca="1">SUM(INDIRECT(AU$1&amp;AU$2&amp;$C697):INDIRECT(AU$1&amp;AU$3&amp;$C697))</f>
        <v>2505</v>
      </c>
      <c r="AV697" s="3261">
        <f t="shared" ca="1" si="1057"/>
        <v>-2505</v>
      </c>
      <c r="AW697" s="2913">
        <f t="shared" ca="1" si="1058"/>
        <v>0</v>
      </c>
      <c r="AX697" s="58">
        <f ca="1">SUM(INDIRECT(AX$1&amp;AX$2&amp;$A697):INDIRECT(AX$1&amp;AX$3&amp;$A697))</f>
        <v>42318.256000000001</v>
      </c>
      <c r="AY697" s="3261">
        <f t="shared" ca="1" si="1059"/>
        <v>-42318.256000000001</v>
      </c>
      <c r="AZ697" s="2913">
        <f t="shared" ca="1" si="1060"/>
        <v>0</v>
      </c>
      <c r="BB697" s="58">
        <f ca="1">SUM((INDIRECT(BB$2&amp;(ROW())):INDIRECT(BB$3&amp;(ROW()))))</f>
        <v>0</v>
      </c>
      <c r="BC697" s="58">
        <f ca="1">SUM(INDIRECT(BC$1&amp;BC$2&amp;$C697):INDIRECT(BC$1&amp;BC$3&amp;$C697))</f>
        <v>4175</v>
      </c>
      <c r="BD697" s="3261">
        <f t="shared" ca="1" si="1061"/>
        <v>-4175</v>
      </c>
      <c r="BE697" s="2913">
        <f t="shared" ca="1" si="1062"/>
        <v>0</v>
      </c>
      <c r="BF697" s="58">
        <f ca="1">SUM(INDIRECT(BF$1&amp;BF$2&amp;$A697):INDIRECT(BF$1&amp;BF$3&amp;$A697))</f>
        <v>157642.405</v>
      </c>
      <c r="BG697" s="3261">
        <f t="shared" ca="1" si="1063"/>
        <v>-157642.405</v>
      </c>
      <c r="BH697" s="2913">
        <f t="shared" ca="1" si="1064"/>
        <v>0</v>
      </c>
    </row>
    <row r="698" spans="1:60" ht="14.5">
      <c r="A698" s="616">
        <f t="shared" si="1008"/>
        <v>633</v>
      </c>
      <c r="B698" s="616">
        <v>1</v>
      </c>
      <c r="C698" s="616">
        <f t="shared" si="981"/>
        <v>695</v>
      </c>
      <c r="E698" s="2547">
        <v>1</v>
      </c>
      <c r="I698" s="352"/>
      <c r="J698" s="353"/>
      <c r="K698" s="68"/>
      <c r="L698" s="68"/>
      <c r="M698" s="69"/>
      <c r="N698" s="69"/>
      <c r="O698" s="305" t="s">
        <v>1495</v>
      </c>
      <c r="P698" s="305"/>
      <c r="Q698" s="1779" t="str">
        <f>CHOOSE(2, "6722000003617", "S/GP (3) Gross Profit Direct NH Textile Printer TP")</f>
        <v>S/GP (3) Gross Profit Direct NH Textile Printer TP</v>
      </c>
      <c r="R698" s="1254">
        <v>0</v>
      </c>
      <c r="S698" s="1254">
        <v>0</v>
      </c>
      <c r="T698" s="1254">
        <v>0</v>
      </c>
      <c r="U698" s="1254">
        <v>0</v>
      </c>
      <c r="V698" s="1254">
        <v>0</v>
      </c>
      <c r="W698" s="1254">
        <v>0</v>
      </c>
      <c r="X698" s="1254">
        <v>0</v>
      </c>
      <c r="Y698" s="1254">
        <v>0</v>
      </c>
      <c r="Z698" s="1254">
        <v>0</v>
      </c>
      <c r="AA698" s="1254">
        <v>0</v>
      </c>
      <c r="AB698" s="1254">
        <v>0</v>
      </c>
      <c r="AC698" s="1254">
        <v>0</v>
      </c>
      <c r="AD698" s="903">
        <f>SUM(R698,S698,T698)</f>
        <v>0</v>
      </c>
      <c r="AE698" s="58">
        <f t="shared" ref="AE698" si="1066">SUM(U698,V698,W698)</f>
        <v>0</v>
      </c>
      <c r="AF698" s="58">
        <f t="shared" ref="AF698" si="1067">SUM(X698,Y698,Z698)</f>
        <v>0</v>
      </c>
      <c r="AG698" s="58">
        <f t="shared" ref="AG698" si="1068">SUM(AA698,AB698,AC698)</f>
        <v>0</v>
      </c>
      <c r="AH698" s="58">
        <f t="shared" ref="AH698:AH707" si="1069">AD698+AE698</f>
        <v>0</v>
      </c>
      <c r="AI698" s="58">
        <f t="shared" ref="AI698:AI707" si="1070">AG698+AF698</f>
        <v>0</v>
      </c>
      <c r="AJ698" s="58">
        <f t="shared" ref="AJ698:AJ707" si="1071">AH698+AI698</f>
        <v>0</v>
      </c>
      <c r="AL698" s="58">
        <f ca="1">SUM((INDIRECT(AL$2&amp;(ROW())):INDIRECT(AL$3&amp;(ROW()))))</f>
        <v>0</v>
      </c>
      <c r="AM698" s="58">
        <f ca="1">SUM(INDIRECT(AM$1&amp;AM$2&amp;$C698):INDIRECT(AM$1&amp;AM$3&amp;$C698))</f>
        <v>-835</v>
      </c>
      <c r="AN698" s="3261">
        <f t="shared" ca="1" si="1053"/>
        <v>835</v>
      </c>
      <c r="AO698" s="2913">
        <f t="shared" ca="1" si="1054"/>
        <v>0</v>
      </c>
      <c r="AP698" s="58">
        <f ca="1">SUM(INDIRECT(AP$1&amp;AP$2&amp;$A698):INDIRECT(AP$1&amp;AP$3&amp;$A698))</f>
        <v>8583.2560000000012</v>
      </c>
      <c r="AQ698" s="3261">
        <f t="shared" ca="1" si="1055"/>
        <v>-8583.2560000000012</v>
      </c>
      <c r="AR698" s="2913">
        <f t="shared" ca="1" si="1056"/>
        <v>0</v>
      </c>
      <c r="AT698" s="58">
        <f ca="1">SUM((INDIRECT(AT$2&amp;(ROW())):INDIRECT(AT$3&amp;(ROW()))))</f>
        <v>0</v>
      </c>
      <c r="AU698" s="58">
        <f ca="1">SUM(INDIRECT(AU$1&amp;AU$2&amp;$C698):INDIRECT(AU$1&amp;AU$3&amp;$C698))</f>
        <v>-2505</v>
      </c>
      <c r="AV698" s="3261">
        <f t="shared" ca="1" si="1057"/>
        <v>2505</v>
      </c>
      <c r="AW698" s="2913">
        <f t="shared" ca="1" si="1058"/>
        <v>0</v>
      </c>
      <c r="AX698" s="58">
        <f ca="1">SUM(INDIRECT(AX$1&amp;AX$2&amp;$A698):INDIRECT(AX$1&amp;AX$3&amp;$A698))</f>
        <v>42318.256000000001</v>
      </c>
      <c r="AY698" s="3261">
        <f t="shared" ca="1" si="1059"/>
        <v>-42318.256000000001</v>
      </c>
      <c r="AZ698" s="2913">
        <f t="shared" ca="1" si="1060"/>
        <v>0</v>
      </c>
      <c r="BB698" s="58">
        <f ca="1">SUM((INDIRECT(BB$2&amp;(ROW())):INDIRECT(BB$3&amp;(ROW()))))</f>
        <v>0</v>
      </c>
      <c r="BC698" s="58">
        <f ca="1">SUM(INDIRECT(BC$1&amp;BC$2&amp;$C698):INDIRECT(BC$1&amp;BC$3&amp;$C698))</f>
        <v>-4175</v>
      </c>
      <c r="BD698" s="3261">
        <f t="shared" ca="1" si="1061"/>
        <v>4175</v>
      </c>
      <c r="BE698" s="2913">
        <f t="shared" ca="1" si="1062"/>
        <v>0</v>
      </c>
      <c r="BF698" s="58">
        <f ca="1">SUM(INDIRECT(BF$1&amp;BF$2&amp;$A698):INDIRECT(BF$1&amp;BF$3&amp;$A698))</f>
        <v>157642.405</v>
      </c>
      <c r="BG698" s="3261">
        <f t="shared" ca="1" si="1063"/>
        <v>-157642.405</v>
      </c>
      <c r="BH698" s="2913">
        <f t="shared" ca="1" si="1064"/>
        <v>0</v>
      </c>
    </row>
    <row r="699" spans="1:60" s="69" customFormat="1" ht="14.5">
      <c r="A699" s="616">
        <f t="shared" si="1008"/>
        <v>634</v>
      </c>
      <c r="B699" s="616">
        <v>1</v>
      </c>
      <c r="C699" s="616">
        <f t="shared" si="981"/>
        <v>696</v>
      </c>
      <c r="E699" s="2547">
        <v>1</v>
      </c>
      <c r="F699" s="9"/>
      <c r="G699" s="9"/>
      <c r="H699" s="22"/>
      <c r="I699" s="352"/>
      <c r="J699" s="353"/>
      <c r="K699" s="68"/>
      <c r="L699" s="68"/>
      <c r="O699" s="306" t="s">
        <v>1491</v>
      </c>
      <c r="P699" s="306"/>
      <c r="Q699" s="1782" t="str">
        <f>CHOOSE(2, "6722000003618", "S/GP (3) Gross Profit Direct NH Textile Printer FSC (-)")</f>
        <v>S/GP (3) Gross Profit Direct NH Textile Printer FSC (-)</v>
      </c>
      <c r="R699" s="1250">
        <f t="shared" ref="R699:AC699" si="1072">SUM(R700:R702)</f>
        <v>0</v>
      </c>
      <c r="S699" s="1250">
        <f t="shared" si="1072"/>
        <v>0</v>
      </c>
      <c r="T699" s="1250">
        <f t="shared" si="1072"/>
        <v>0</v>
      </c>
      <c r="U699" s="1250">
        <f t="shared" si="1072"/>
        <v>0</v>
      </c>
      <c r="V699" s="1250">
        <f t="shared" si="1072"/>
        <v>0</v>
      </c>
      <c r="W699" s="1250">
        <f t="shared" si="1072"/>
        <v>0</v>
      </c>
      <c r="X699" s="1250">
        <f t="shared" si="1072"/>
        <v>0</v>
      </c>
      <c r="Y699" s="1250">
        <f t="shared" si="1072"/>
        <v>0</v>
      </c>
      <c r="Z699" s="1250">
        <f t="shared" si="1072"/>
        <v>0</v>
      </c>
      <c r="AA699" s="1250">
        <f t="shared" si="1072"/>
        <v>0</v>
      </c>
      <c r="AB699" s="1250">
        <f t="shared" si="1072"/>
        <v>0</v>
      </c>
      <c r="AC699" s="1250">
        <f t="shared" si="1072"/>
        <v>0</v>
      </c>
      <c r="AD699" s="899">
        <f>SUM(R699:T699)</f>
        <v>0</v>
      </c>
      <c r="AE699" s="1250">
        <f t="shared" ref="AE699:AE703" si="1073">SUM(U699:W699)</f>
        <v>0</v>
      </c>
      <c r="AF699" s="1250">
        <f t="shared" ref="AF699:AF703" si="1074">SUM(X699:Z699)</f>
        <v>0</v>
      </c>
      <c r="AG699" s="1250">
        <f t="shared" ref="AG699:AG703" si="1075">SUM(AA699:AC699)</f>
        <v>0</v>
      </c>
      <c r="AH699" s="1250">
        <f t="shared" si="1069"/>
        <v>0</v>
      </c>
      <c r="AI699" s="1250">
        <f t="shared" si="1070"/>
        <v>0</v>
      </c>
      <c r="AJ699" s="1250">
        <f t="shared" si="1071"/>
        <v>0</v>
      </c>
      <c r="AL699" s="1250">
        <f ca="1">SUM((INDIRECT(AL$2&amp;(ROW())):INDIRECT(AL$3&amp;(ROW()))))</f>
        <v>0</v>
      </c>
      <c r="AM699" s="1250">
        <f ca="1">SUM(INDIRECT(AM$1&amp;AM$2&amp;$C699):INDIRECT(AM$1&amp;AM$3&amp;$C699))</f>
        <v>-750</v>
      </c>
      <c r="AN699" s="3232">
        <f t="shared" ca="1" si="1053"/>
        <v>750</v>
      </c>
      <c r="AO699" s="2888">
        <f t="shared" ca="1" si="1054"/>
        <v>0</v>
      </c>
      <c r="AP699" s="1250">
        <f ca="1">SUM(INDIRECT(AP$1&amp;AP$2&amp;$A699):INDIRECT(AP$1&amp;AP$3&amp;$A699))</f>
        <v>0</v>
      </c>
      <c r="AQ699" s="3232">
        <f t="shared" ca="1" si="1055"/>
        <v>0</v>
      </c>
      <c r="AR699" s="2888">
        <f t="shared" ca="1" si="1056"/>
        <v>0</v>
      </c>
      <c r="AT699" s="1250">
        <f ca="1">SUM((INDIRECT(AT$2&amp;(ROW())):INDIRECT(AT$3&amp;(ROW()))))</f>
        <v>0</v>
      </c>
      <c r="AU699" s="1250">
        <f ca="1">SUM(INDIRECT(AU$1&amp;AU$2&amp;$C699):INDIRECT(AU$1&amp;AU$3&amp;$C699))</f>
        <v>-2250</v>
      </c>
      <c r="AV699" s="3232">
        <f t="shared" ca="1" si="1057"/>
        <v>2250</v>
      </c>
      <c r="AW699" s="2888">
        <f t="shared" ca="1" si="1058"/>
        <v>0</v>
      </c>
      <c r="AX699" s="1250">
        <f ca="1">SUM(INDIRECT(AX$1&amp;AX$2&amp;$A699):INDIRECT(AX$1&amp;AX$3&amp;$A699))</f>
        <v>18852</v>
      </c>
      <c r="AY699" s="3232">
        <f t="shared" ca="1" si="1059"/>
        <v>-18852</v>
      </c>
      <c r="AZ699" s="2888">
        <f t="shared" ca="1" si="1060"/>
        <v>0</v>
      </c>
      <c r="BB699" s="1250">
        <f ca="1">SUM((INDIRECT(BB$2&amp;(ROW())):INDIRECT(BB$3&amp;(ROW()))))</f>
        <v>0</v>
      </c>
      <c r="BC699" s="1250">
        <f ca="1">SUM(INDIRECT(BC$1&amp;BC$2&amp;$C699):INDIRECT(BC$1&amp;BC$3&amp;$C699))</f>
        <v>-3750</v>
      </c>
      <c r="BD699" s="3232">
        <f t="shared" ca="1" si="1061"/>
        <v>3750</v>
      </c>
      <c r="BE699" s="2888">
        <f t="shared" ca="1" si="1062"/>
        <v>0</v>
      </c>
      <c r="BF699" s="1250">
        <f ca="1">SUM(INDIRECT(BF$1&amp;BF$2&amp;$A699):INDIRECT(BF$1&amp;BF$3&amp;$A699))</f>
        <v>78744</v>
      </c>
      <c r="BG699" s="3232">
        <f t="shared" ca="1" si="1063"/>
        <v>-78744</v>
      </c>
      <c r="BH699" s="2888">
        <f t="shared" ca="1" si="1064"/>
        <v>0</v>
      </c>
    </row>
    <row r="700" spans="1:60" s="69" customFormat="1" ht="14.5">
      <c r="A700" s="616">
        <f t="shared" si="1008"/>
        <v>635</v>
      </c>
      <c r="B700" s="616">
        <v>1</v>
      </c>
      <c r="C700" s="616">
        <f t="shared" si="981"/>
        <v>697</v>
      </c>
      <c r="E700" s="2547">
        <v>1</v>
      </c>
      <c r="F700" s="9"/>
      <c r="G700" s="9"/>
      <c r="H700" s="22"/>
      <c r="I700" s="352"/>
      <c r="J700" s="353"/>
      <c r="K700" s="68"/>
      <c r="L700" s="68"/>
      <c r="O700" s="307"/>
      <c r="P700" s="291" t="s">
        <v>1471</v>
      </c>
      <c r="Q700" s="1779" t="str">
        <f>CHOOSE(2, "6722000003619", "S/GP (3) Gross Profit Direct NH Textile Printer FSC (-) PC")</f>
        <v>S/GP (3) Gross Profit Direct NH Textile Printer FSC (-) PC</v>
      </c>
      <c r="R700" s="1227">
        <v>0</v>
      </c>
      <c r="S700" s="1227">
        <v>0</v>
      </c>
      <c r="T700" s="1227">
        <v>0</v>
      </c>
      <c r="U700" s="1227">
        <v>0</v>
      </c>
      <c r="V700" s="1227">
        <v>0</v>
      </c>
      <c r="W700" s="1227">
        <v>0</v>
      </c>
      <c r="X700" s="1227">
        <v>0</v>
      </c>
      <c r="Y700" s="1227">
        <v>0</v>
      </c>
      <c r="Z700" s="1227">
        <v>0</v>
      </c>
      <c r="AA700" s="1227">
        <v>0</v>
      </c>
      <c r="AB700" s="1227">
        <v>0</v>
      </c>
      <c r="AC700" s="1227">
        <v>0</v>
      </c>
      <c r="AD700" s="896">
        <f>SUM(R700,S700,T700)</f>
        <v>0</v>
      </c>
      <c r="AE700" s="95">
        <f t="shared" ref="AE700:AE702" si="1076">SUM(U700,V700,W700)</f>
        <v>0</v>
      </c>
      <c r="AF700" s="95">
        <f t="shared" ref="AF700:AF702" si="1077">SUM(X700,Y700,Z700)</f>
        <v>0</v>
      </c>
      <c r="AG700" s="95">
        <f t="shared" ref="AG700:AG702" si="1078">SUM(AA700,AB700,AC700)</f>
        <v>0</v>
      </c>
      <c r="AH700" s="95">
        <f t="shared" si="1069"/>
        <v>0</v>
      </c>
      <c r="AI700" s="95">
        <f t="shared" si="1070"/>
        <v>0</v>
      </c>
      <c r="AJ700" s="95">
        <f t="shared" si="1071"/>
        <v>0</v>
      </c>
      <c r="AL700" s="95">
        <f ca="1">SUM((INDIRECT(AL$2&amp;(ROW())):INDIRECT(AL$3&amp;(ROW()))))</f>
        <v>0</v>
      </c>
      <c r="AM700" s="95">
        <f ca="1">SUM(INDIRECT(AM$1&amp;AM$2&amp;$C700):INDIRECT(AM$1&amp;AM$3&amp;$C700))</f>
        <v>-85</v>
      </c>
      <c r="AN700" s="3228">
        <f t="shared" ca="1" si="1053"/>
        <v>85</v>
      </c>
      <c r="AO700" s="2880">
        <f t="shared" ca="1" si="1054"/>
        <v>0</v>
      </c>
      <c r="AP700" s="95">
        <f ca="1">SUM(INDIRECT(AP$1&amp;AP$2&amp;$A700):INDIRECT(AP$1&amp;AP$3&amp;$A700))</f>
        <v>0</v>
      </c>
      <c r="AQ700" s="3228">
        <f t="shared" ca="1" si="1055"/>
        <v>0</v>
      </c>
      <c r="AR700" s="2880">
        <f t="shared" ca="1" si="1056"/>
        <v>0</v>
      </c>
      <c r="AT700" s="95">
        <f ca="1">SUM((INDIRECT(AT$2&amp;(ROW())):INDIRECT(AT$3&amp;(ROW()))))</f>
        <v>0</v>
      </c>
      <c r="AU700" s="95">
        <f ca="1">SUM(INDIRECT(AU$1&amp;AU$2&amp;$C700):INDIRECT(AU$1&amp;AU$3&amp;$C700))</f>
        <v>-255</v>
      </c>
      <c r="AV700" s="3228">
        <f t="shared" ca="1" si="1057"/>
        <v>255</v>
      </c>
      <c r="AW700" s="2880">
        <f t="shared" ca="1" si="1058"/>
        <v>0</v>
      </c>
      <c r="AX700" s="95">
        <f ca="1">SUM(INDIRECT(AX$1&amp;AX$2&amp;$A700):INDIRECT(AX$1&amp;AX$3&amp;$A700))</f>
        <v>0</v>
      </c>
      <c r="AY700" s="3228">
        <f t="shared" ca="1" si="1059"/>
        <v>0</v>
      </c>
      <c r="AZ700" s="2880">
        <f t="shared" ca="1" si="1060"/>
        <v>0</v>
      </c>
      <c r="BB700" s="95">
        <f ca="1">SUM((INDIRECT(BB$2&amp;(ROW())):INDIRECT(BB$3&amp;(ROW()))))</f>
        <v>0</v>
      </c>
      <c r="BC700" s="95">
        <f ca="1">SUM(INDIRECT(BC$1&amp;BC$2&amp;$C700):INDIRECT(BC$1&amp;BC$3&amp;$C700))</f>
        <v>-425</v>
      </c>
      <c r="BD700" s="3228">
        <f t="shared" ca="1" si="1061"/>
        <v>425</v>
      </c>
      <c r="BE700" s="2880">
        <f t="shared" ca="1" si="1062"/>
        <v>0</v>
      </c>
      <c r="BF700" s="95">
        <f ca="1">SUM(INDIRECT(BF$1&amp;BF$2&amp;$A700):INDIRECT(BF$1&amp;BF$3&amp;$A700))</f>
        <v>0</v>
      </c>
      <c r="BG700" s="3228">
        <f t="shared" ca="1" si="1063"/>
        <v>0</v>
      </c>
      <c r="BH700" s="2880">
        <f t="shared" ca="1" si="1064"/>
        <v>0</v>
      </c>
    </row>
    <row r="701" spans="1:60" s="69" customFormat="1" ht="14.5">
      <c r="A701" s="616">
        <f t="shared" si="1008"/>
        <v>636</v>
      </c>
      <c r="B701" s="616">
        <v>1</v>
      </c>
      <c r="C701" s="616">
        <f t="shared" si="981"/>
        <v>698</v>
      </c>
      <c r="E701" s="2547">
        <v>1</v>
      </c>
      <c r="F701" s="9"/>
      <c r="G701" s="9"/>
      <c r="H701" s="22"/>
      <c r="I701" s="352"/>
      <c r="J701" s="353"/>
      <c r="K701" s="68"/>
      <c r="L701" s="68"/>
      <c r="O701" s="231"/>
      <c r="P701" s="229" t="s">
        <v>1472</v>
      </c>
      <c r="Q701" s="1779" t="str">
        <f>CHOOSE(2, "6722000003620", "S/GP (3) Gross Profit Direct NH Textile Printer FSC (-) TE")</f>
        <v>S/GP (3) Gross Profit Direct NH Textile Printer FSC (-) TE</v>
      </c>
      <c r="R701" s="1217">
        <v>0</v>
      </c>
      <c r="S701" s="1217">
        <v>0</v>
      </c>
      <c r="T701" s="1217">
        <v>0</v>
      </c>
      <c r="U701" s="1217">
        <v>0</v>
      </c>
      <c r="V701" s="1217">
        <v>0</v>
      </c>
      <c r="W701" s="1217">
        <v>0</v>
      </c>
      <c r="X701" s="1217">
        <v>0</v>
      </c>
      <c r="Y701" s="1217">
        <v>0</v>
      </c>
      <c r="Z701" s="1217">
        <v>0</v>
      </c>
      <c r="AA701" s="1217">
        <v>0</v>
      </c>
      <c r="AB701" s="1217">
        <v>0</v>
      </c>
      <c r="AC701" s="1217">
        <v>0</v>
      </c>
      <c r="AD701" s="783">
        <f>SUM(R701,S701,T701)</f>
        <v>0</v>
      </c>
      <c r="AE701" s="1226">
        <f t="shared" si="1076"/>
        <v>0</v>
      </c>
      <c r="AF701" s="1226">
        <f t="shared" si="1077"/>
        <v>0</v>
      </c>
      <c r="AG701" s="1226">
        <f t="shared" si="1078"/>
        <v>0</v>
      </c>
      <c r="AH701" s="1226">
        <f t="shared" si="1069"/>
        <v>0</v>
      </c>
      <c r="AI701" s="1226">
        <f t="shared" si="1070"/>
        <v>0</v>
      </c>
      <c r="AJ701" s="1226">
        <f t="shared" si="1071"/>
        <v>0</v>
      </c>
      <c r="AL701" s="1226">
        <f ca="1">SUM((INDIRECT(AL$2&amp;(ROW())):INDIRECT(AL$3&amp;(ROW()))))</f>
        <v>0</v>
      </c>
      <c r="AM701" s="1226">
        <f ca="1">SUM(INDIRECT(AM$1&amp;AM$2&amp;$C701):INDIRECT(AM$1&amp;AM$3&amp;$C701))</f>
        <v>0</v>
      </c>
      <c r="AN701" s="3233">
        <f t="shared" ca="1" si="1053"/>
        <v>0</v>
      </c>
      <c r="AO701" s="2890">
        <f t="shared" ca="1" si="1054"/>
        <v>0</v>
      </c>
      <c r="AP701" s="1226">
        <f ca="1">SUM(INDIRECT(AP$1&amp;AP$2&amp;$A701):INDIRECT(AP$1&amp;AP$3&amp;$A701))</f>
        <v>0</v>
      </c>
      <c r="AQ701" s="3233">
        <f t="shared" ca="1" si="1055"/>
        <v>0</v>
      </c>
      <c r="AR701" s="2890">
        <f t="shared" ca="1" si="1056"/>
        <v>0</v>
      </c>
      <c r="AT701" s="1226">
        <f ca="1">SUM((INDIRECT(AT$2&amp;(ROW())):INDIRECT(AT$3&amp;(ROW()))))</f>
        <v>0</v>
      </c>
      <c r="AU701" s="1226">
        <f ca="1">SUM(INDIRECT(AU$1&amp;AU$2&amp;$C701):INDIRECT(AU$1&amp;AU$3&amp;$C701))</f>
        <v>0</v>
      </c>
      <c r="AV701" s="3233">
        <f t="shared" ca="1" si="1057"/>
        <v>0</v>
      </c>
      <c r="AW701" s="2890">
        <f t="shared" ca="1" si="1058"/>
        <v>0</v>
      </c>
      <c r="AX701" s="1226">
        <f ca="1">SUM(INDIRECT(AX$1&amp;AX$2&amp;$A701):INDIRECT(AX$1&amp;AX$3&amp;$A701))</f>
        <v>9100</v>
      </c>
      <c r="AY701" s="3233">
        <f t="shared" ca="1" si="1059"/>
        <v>-9100</v>
      </c>
      <c r="AZ701" s="2890">
        <f t="shared" ca="1" si="1060"/>
        <v>0</v>
      </c>
      <c r="BB701" s="1226">
        <f ca="1">SUM((INDIRECT(BB$2&amp;(ROW())):INDIRECT(BB$3&amp;(ROW()))))</f>
        <v>0</v>
      </c>
      <c r="BC701" s="1226">
        <f ca="1">SUM(INDIRECT(BC$1&amp;BC$2&amp;$C701):INDIRECT(BC$1&amp;BC$3&amp;$C701))</f>
        <v>0</v>
      </c>
      <c r="BD701" s="3233">
        <f t="shared" ca="1" si="1061"/>
        <v>0</v>
      </c>
      <c r="BE701" s="2890">
        <f t="shared" ca="1" si="1062"/>
        <v>0</v>
      </c>
      <c r="BF701" s="1226">
        <f ca="1">SUM(INDIRECT(BF$1&amp;BF$2&amp;$A701):INDIRECT(BF$1&amp;BF$3&amp;$A701))</f>
        <v>18600</v>
      </c>
      <c r="BG701" s="3233">
        <f t="shared" ca="1" si="1063"/>
        <v>-18600</v>
      </c>
      <c r="BH701" s="2890">
        <f t="shared" ca="1" si="1064"/>
        <v>0</v>
      </c>
    </row>
    <row r="702" spans="1:60" s="69" customFormat="1" ht="14.5">
      <c r="A702" s="616">
        <f t="shared" si="1008"/>
        <v>637</v>
      </c>
      <c r="B702" s="616">
        <v>1</v>
      </c>
      <c r="C702" s="616">
        <f t="shared" si="981"/>
        <v>699</v>
      </c>
      <c r="E702" s="2547">
        <v>1</v>
      </c>
      <c r="F702" s="9"/>
      <c r="G702" s="9"/>
      <c r="H702" s="22"/>
      <c r="I702" s="352"/>
      <c r="J702" s="353"/>
      <c r="K702" s="68"/>
      <c r="L702" s="68"/>
      <c r="N702" s="211"/>
      <c r="O702" s="232"/>
      <c r="P702" s="228" t="s">
        <v>1473</v>
      </c>
      <c r="Q702" s="1779" t="str">
        <f>CHOOSE(2, "6722000003621", "S/GP (3) Gross Profit Direct NH Textile Printer FSC (-) OFC")</f>
        <v>S/GP (3) Gross Profit Direct NH Textile Printer FSC (-) OFC</v>
      </c>
      <c r="R702" s="1218">
        <v>0</v>
      </c>
      <c r="S702" s="1218">
        <v>0</v>
      </c>
      <c r="T702" s="1218">
        <v>0</v>
      </c>
      <c r="U702" s="1218">
        <v>0</v>
      </c>
      <c r="V702" s="1218">
        <v>0</v>
      </c>
      <c r="W702" s="1218">
        <v>0</v>
      </c>
      <c r="X702" s="1218">
        <v>0</v>
      </c>
      <c r="Y702" s="1218">
        <v>0</v>
      </c>
      <c r="Z702" s="1218">
        <v>0</v>
      </c>
      <c r="AA702" s="1218">
        <v>0</v>
      </c>
      <c r="AB702" s="1218">
        <v>0</v>
      </c>
      <c r="AC702" s="1218">
        <v>0</v>
      </c>
      <c r="AD702" s="783">
        <f>SUM(R702,S702,T702)</f>
        <v>0</v>
      </c>
      <c r="AE702" s="1226">
        <f t="shared" si="1076"/>
        <v>0</v>
      </c>
      <c r="AF702" s="1226">
        <f t="shared" si="1077"/>
        <v>0</v>
      </c>
      <c r="AG702" s="1226">
        <f t="shared" si="1078"/>
        <v>0</v>
      </c>
      <c r="AH702" s="1226">
        <f t="shared" si="1069"/>
        <v>0</v>
      </c>
      <c r="AI702" s="1226">
        <f t="shared" si="1070"/>
        <v>0</v>
      </c>
      <c r="AJ702" s="1226">
        <f t="shared" si="1071"/>
        <v>0</v>
      </c>
      <c r="AL702" s="1226">
        <f ca="1">SUM((INDIRECT(AL$2&amp;(ROW())):INDIRECT(AL$3&amp;(ROW()))))</f>
        <v>0</v>
      </c>
      <c r="AM702" s="1226">
        <f ca="1">SUM(INDIRECT(AM$1&amp;AM$2&amp;$C702):INDIRECT(AM$1&amp;AM$3&amp;$C702))</f>
        <v>0</v>
      </c>
      <c r="AN702" s="3233">
        <f t="shared" ca="1" si="1053"/>
        <v>0</v>
      </c>
      <c r="AO702" s="2890">
        <f t="shared" ca="1" si="1054"/>
        <v>0</v>
      </c>
      <c r="AP702" s="1226">
        <f ca="1">SUM(INDIRECT(AP$1&amp;AP$2&amp;$A702):INDIRECT(AP$1&amp;AP$3&amp;$A702))</f>
        <v>0</v>
      </c>
      <c r="AQ702" s="3233">
        <f t="shared" ca="1" si="1055"/>
        <v>0</v>
      </c>
      <c r="AR702" s="2890">
        <f t="shared" ca="1" si="1056"/>
        <v>0</v>
      </c>
      <c r="AT702" s="1226">
        <f ca="1">SUM((INDIRECT(AT$2&amp;(ROW())):INDIRECT(AT$3&amp;(ROW()))))</f>
        <v>0</v>
      </c>
      <c r="AU702" s="1226">
        <f ca="1">SUM(INDIRECT(AU$1&amp;AU$2&amp;$C702):INDIRECT(AU$1&amp;AU$3&amp;$C702))</f>
        <v>0</v>
      </c>
      <c r="AV702" s="3233">
        <f t="shared" ca="1" si="1057"/>
        <v>0</v>
      </c>
      <c r="AW702" s="2890">
        <f t="shared" ca="1" si="1058"/>
        <v>0</v>
      </c>
      <c r="AX702" s="1226">
        <f ca="1">SUM(INDIRECT(AX$1&amp;AX$2&amp;$A702):INDIRECT(AX$1&amp;AX$3&amp;$A702))</f>
        <v>9752</v>
      </c>
      <c r="AY702" s="3233">
        <f t="shared" ca="1" si="1059"/>
        <v>-9752</v>
      </c>
      <c r="AZ702" s="2890">
        <f t="shared" ca="1" si="1060"/>
        <v>0</v>
      </c>
      <c r="BB702" s="1226">
        <f ca="1">SUM((INDIRECT(BB$2&amp;(ROW())):INDIRECT(BB$3&amp;(ROW()))))</f>
        <v>0</v>
      </c>
      <c r="BC702" s="1226">
        <f ca="1">SUM(INDIRECT(BC$1&amp;BC$2&amp;$C702):INDIRECT(BC$1&amp;BC$3&amp;$C702))</f>
        <v>0</v>
      </c>
      <c r="BD702" s="3233">
        <f t="shared" ca="1" si="1061"/>
        <v>0</v>
      </c>
      <c r="BE702" s="2890">
        <f t="shared" ca="1" si="1062"/>
        <v>0</v>
      </c>
      <c r="BF702" s="1226">
        <f ca="1">SUM(INDIRECT(BF$1&amp;BF$2&amp;$A702):INDIRECT(BF$1&amp;BF$3&amp;$A702))</f>
        <v>60144</v>
      </c>
      <c r="BG702" s="3233">
        <f t="shared" ca="1" si="1063"/>
        <v>-60144</v>
      </c>
      <c r="BH702" s="2890">
        <f t="shared" ca="1" si="1064"/>
        <v>0</v>
      </c>
    </row>
    <row r="703" spans="1:60" s="69" customFormat="1" ht="14.5">
      <c r="A703" s="616">
        <f t="shared" si="1008"/>
        <v>638</v>
      </c>
      <c r="B703" s="616">
        <v>1</v>
      </c>
      <c r="C703" s="616">
        <f t="shared" si="981"/>
        <v>700</v>
      </c>
      <c r="E703" s="2547">
        <v>1</v>
      </c>
      <c r="F703" s="9"/>
      <c r="G703" s="9"/>
      <c r="H703" s="22"/>
      <c r="I703" s="352"/>
      <c r="J703" s="353"/>
      <c r="K703" s="68"/>
      <c r="L703" s="68"/>
      <c r="N703" s="2195" t="s">
        <v>1496</v>
      </c>
      <c r="O703" s="293"/>
      <c r="P703" s="293"/>
      <c r="Q703" s="1782" t="str">
        <f>CHOOSE(2, "6722000003622", "S/GP (3) Gross Profit Direct NH &lt;Direct&gt; SDC (-)")</f>
        <v>S/GP (3) Gross Profit Direct NH &lt;Direct&gt; SDC (-)</v>
      </c>
      <c r="R703" s="1249">
        <f>SUM(R704:R705)</f>
        <v>0</v>
      </c>
      <c r="S703" s="1249">
        <f t="shared" ref="S703:AC703" si="1079">SUM(S704:S705)</f>
        <v>0</v>
      </c>
      <c r="T703" s="1249">
        <f t="shared" si="1079"/>
        <v>0</v>
      </c>
      <c r="U703" s="1249">
        <f t="shared" si="1079"/>
        <v>0</v>
      </c>
      <c r="V703" s="1249">
        <f t="shared" si="1079"/>
        <v>0</v>
      </c>
      <c r="W703" s="1249">
        <f t="shared" si="1079"/>
        <v>0</v>
      </c>
      <c r="X703" s="1249">
        <f t="shared" si="1079"/>
        <v>0</v>
      </c>
      <c r="Y703" s="1249">
        <f t="shared" si="1079"/>
        <v>0</v>
      </c>
      <c r="Z703" s="1249">
        <f t="shared" si="1079"/>
        <v>0</v>
      </c>
      <c r="AA703" s="1249">
        <f t="shared" si="1079"/>
        <v>0</v>
      </c>
      <c r="AB703" s="1249">
        <f t="shared" si="1079"/>
        <v>0</v>
      </c>
      <c r="AC703" s="1249">
        <f t="shared" si="1079"/>
        <v>0</v>
      </c>
      <c r="AD703" s="898">
        <f>SUM(R703:T703)</f>
        <v>0</v>
      </c>
      <c r="AE703" s="1249">
        <f t="shared" si="1073"/>
        <v>0</v>
      </c>
      <c r="AF703" s="1249">
        <f t="shared" si="1074"/>
        <v>0</v>
      </c>
      <c r="AG703" s="1249">
        <f t="shared" si="1075"/>
        <v>0</v>
      </c>
      <c r="AH703" s="1249">
        <f t="shared" si="1069"/>
        <v>0</v>
      </c>
      <c r="AI703" s="1249">
        <f t="shared" si="1070"/>
        <v>0</v>
      </c>
      <c r="AJ703" s="1249">
        <f t="shared" si="1071"/>
        <v>0</v>
      </c>
      <c r="AL703" s="1249">
        <f ca="1">SUM((INDIRECT(AL$2&amp;(ROW())):INDIRECT(AL$3&amp;(ROW()))))</f>
        <v>0</v>
      </c>
      <c r="AM703" s="1249">
        <f ca="1">SUM(INDIRECT(AM$1&amp;AM$2&amp;$C703):INDIRECT(AM$1&amp;AM$3&amp;$C703))</f>
        <v>0</v>
      </c>
      <c r="AN703" s="3231">
        <f t="shared" ca="1" si="1053"/>
        <v>0</v>
      </c>
      <c r="AO703" s="2886">
        <f t="shared" ca="1" si="1054"/>
        <v>0</v>
      </c>
      <c r="AP703" s="1249">
        <f ca="1">SUM(INDIRECT(AP$1&amp;AP$2&amp;$A703):INDIRECT(AP$1&amp;AP$3&amp;$A703))</f>
        <v>0</v>
      </c>
      <c r="AQ703" s="3231">
        <f t="shared" ca="1" si="1055"/>
        <v>0</v>
      </c>
      <c r="AR703" s="2886">
        <f t="shared" ca="1" si="1056"/>
        <v>0</v>
      </c>
      <c r="AT703" s="1249">
        <f ca="1">SUM((INDIRECT(AT$2&amp;(ROW())):INDIRECT(AT$3&amp;(ROW()))))</f>
        <v>0</v>
      </c>
      <c r="AU703" s="1249">
        <f ca="1">SUM(INDIRECT(AU$1&amp;AU$2&amp;$C703):INDIRECT(AU$1&amp;AU$3&amp;$C703))</f>
        <v>0</v>
      </c>
      <c r="AV703" s="3231">
        <f t="shared" ca="1" si="1057"/>
        <v>0</v>
      </c>
      <c r="AW703" s="2886">
        <f t="shared" ca="1" si="1058"/>
        <v>0</v>
      </c>
      <c r="AX703" s="1249">
        <f ca="1">SUM(INDIRECT(AX$1&amp;AX$2&amp;$A703):INDIRECT(AX$1&amp;AX$3&amp;$A703))</f>
        <v>0</v>
      </c>
      <c r="AY703" s="3231">
        <f t="shared" ca="1" si="1059"/>
        <v>0</v>
      </c>
      <c r="AZ703" s="2886">
        <f t="shared" ca="1" si="1060"/>
        <v>0</v>
      </c>
      <c r="BB703" s="1249">
        <f ca="1">SUM((INDIRECT(BB$2&amp;(ROW())):INDIRECT(BB$3&amp;(ROW()))))</f>
        <v>0</v>
      </c>
      <c r="BC703" s="1249">
        <f ca="1">SUM(INDIRECT(BC$1&amp;BC$2&amp;$C703):INDIRECT(BC$1&amp;BC$3&amp;$C703))</f>
        <v>0</v>
      </c>
      <c r="BD703" s="3231">
        <f t="shared" ca="1" si="1061"/>
        <v>0</v>
      </c>
      <c r="BE703" s="2886">
        <f t="shared" ca="1" si="1062"/>
        <v>0</v>
      </c>
      <c r="BF703" s="1249">
        <f ca="1">SUM(INDIRECT(BF$1&amp;BF$2&amp;$A703):INDIRECT(BF$1&amp;BF$3&amp;$A703))</f>
        <v>0</v>
      </c>
      <c r="BG703" s="3231">
        <f t="shared" ca="1" si="1063"/>
        <v>0</v>
      </c>
      <c r="BH703" s="2886">
        <f t="shared" ca="1" si="1064"/>
        <v>0</v>
      </c>
    </row>
    <row r="704" spans="1:60" s="69" customFormat="1" ht="14.5">
      <c r="A704" s="616">
        <f t="shared" si="1008"/>
        <v>639</v>
      </c>
      <c r="B704" s="616">
        <v>1</v>
      </c>
      <c r="C704" s="616">
        <f t="shared" si="981"/>
        <v>701</v>
      </c>
      <c r="E704" s="2547">
        <v>1</v>
      </c>
      <c r="F704" s="9"/>
      <c r="G704" s="9"/>
      <c r="H704" s="22"/>
      <c r="I704" s="352"/>
      <c r="J704" s="353"/>
      <c r="K704" s="68"/>
      <c r="L704" s="68"/>
      <c r="N704" s="231"/>
      <c r="O704" s="307"/>
      <c r="P704" s="307" t="s">
        <v>223</v>
      </c>
      <c r="Q704" s="1779" t="str">
        <f>CHOOSE(2, "6722000003623", "S/GP (3) Gross Profit Direct NH &lt;Direct&gt; SDC (-) PC")</f>
        <v>S/GP (3) Gross Profit Direct NH &lt;Direct&gt; SDC (-) PC</v>
      </c>
      <c r="R704" s="1227">
        <v>0</v>
      </c>
      <c r="S704" s="1227">
        <v>0</v>
      </c>
      <c r="T704" s="1227">
        <v>0</v>
      </c>
      <c r="U704" s="1227">
        <v>0</v>
      </c>
      <c r="V704" s="1227">
        <v>0</v>
      </c>
      <c r="W704" s="1227">
        <v>0</v>
      </c>
      <c r="X704" s="1227">
        <v>0</v>
      </c>
      <c r="Y704" s="1227">
        <v>0</v>
      </c>
      <c r="Z704" s="1227">
        <v>0</v>
      </c>
      <c r="AA704" s="1227">
        <v>0</v>
      </c>
      <c r="AB704" s="1227">
        <v>0</v>
      </c>
      <c r="AC704" s="1227">
        <v>0</v>
      </c>
      <c r="AD704" s="896">
        <f>SUM(R704,S704,T704)</f>
        <v>0</v>
      </c>
      <c r="AE704" s="95">
        <f t="shared" ref="AE704:AE707" si="1080">SUM(U704,V704,W704)</f>
        <v>0</v>
      </c>
      <c r="AF704" s="95">
        <f t="shared" ref="AF704:AF707" si="1081">SUM(X704,Y704,Z704)</f>
        <v>0</v>
      </c>
      <c r="AG704" s="95">
        <f t="shared" ref="AG704:AG707" si="1082">SUM(AA704,AB704,AC704)</f>
        <v>0</v>
      </c>
      <c r="AH704" s="95">
        <f t="shared" si="1069"/>
        <v>0</v>
      </c>
      <c r="AI704" s="95">
        <f t="shared" si="1070"/>
        <v>0</v>
      </c>
      <c r="AJ704" s="95">
        <f t="shared" si="1071"/>
        <v>0</v>
      </c>
      <c r="AL704" s="95">
        <f ca="1">SUM((INDIRECT(AL$2&amp;(ROW())):INDIRECT(AL$3&amp;(ROW()))))</f>
        <v>0</v>
      </c>
      <c r="AM704" s="95">
        <f ca="1">SUM(INDIRECT(AM$1&amp;AM$2&amp;$C704):INDIRECT(AM$1&amp;AM$3&amp;$C704))</f>
        <v>0</v>
      </c>
      <c r="AN704" s="3228">
        <f t="shared" ca="1" si="1053"/>
        <v>0</v>
      </c>
      <c r="AO704" s="2880">
        <f t="shared" ca="1" si="1054"/>
        <v>0</v>
      </c>
      <c r="AP704" s="95">
        <f ca="1">SUM(INDIRECT(AP$1&amp;AP$2&amp;$A704):INDIRECT(AP$1&amp;AP$3&amp;$A704))</f>
        <v>0</v>
      </c>
      <c r="AQ704" s="3228">
        <f t="shared" ca="1" si="1055"/>
        <v>0</v>
      </c>
      <c r="AR704" s="2880">
        <f t="shared" ca="1" si="1056"/>
        <v>0</v>
      </c>
      <c r="AT704" s="95">
        <f ca="1">SUM((INDIRECT(AT$2&amp;(ROW())):INDIRECT(AT$3&amp;(ROW()))))</f>
        <v>0</v>
      </c>
      <c r="AU704" s="95">
        <f ca="1">SUM(INDIRECT(AU$1&amp;AU$2&amp;$C704):INDIRECT(AU$1&amp;AU$3&amp;$C704))</f>
        <v>0</v>
      </c>
      <c r="AV704" s="3228">
        <f t="shared" ca="1" si="1057"/>
        <v>0</v>
      </c>
      <c r="AW704" s="2880">
        <f t="shared" ca="1" si="1058"/>
        <v>0</v>
      </c>
      <c r="AX704" s="95">
        <f ca="1">SUM(INDIRECT(AX$1&amp;AX$2&amp;$A704):INDIRECT(AX$1&amp;AX$3&amp;$A704))</f>
        <v>0</v>
      </c>
      <c r="AY704" s="3228">
        <f t="shared" ca="1" si="1059"/>
        <v>0</v>
      </c>
      <c r="AZ704" s="2880">
        <f t="shared" ca="1" si="1060"/>
        <v>0</v>
      </c>
      <c r="BB704" s="95">
        <f ca="1">SUM((INDIRECT(BB$2&amp;(ROW())):INDIRECT(BB$3&amp;(ROW()))))</f>
        <v>0</v>
      </c>
      <c r="BC704" s="95">
        <f ca="1">SUM(INDIRECT(BC$1&amp;BC$2&amp;$C704):INDIRECT(BC$1&amp;BC$3&amp;$C704))</f>
        <v>0</v>
      </c>
      <c r="BD704" s="3228">
        <f t="shared" ca="1" si="1061"/>
        <v>0</v>
      </c>
      <c r="BE704" s="2880">
        <f t="shared" ca="1" si="1062"/>
        <v>0</v>
      </c>
      <c r="BF704" s="95">
        <f ca="1">SUM(INDIRECT(BF$1&amp;BF$2&amp;$A704):INDIRECT(BF$1&amp;BF$3&amp;$A704))</f>
        <v>0</v>
      </c>
      <c r="BG704" s="3228">
        <f t="shared" ca="1" si="1063"/>
        <v>0</v>
      </c>
      <c r="BH704" s="2880">
        <f t="shared" ca="1" si="1064"/>
        <v>0</v>
      </c>
    </row>
    <row r="705" spans="1:60" s="69" customFormat="1" ht="14.5">
      <c r="A705" s="616">
        <f t="shared" si="1008"/>
        <v>640</v>
      </c>
      <c r="B705" s="616">
        <v>1</v>
      </c>
      <c r="C705" s="616">
        <f t="shared" si="981"/>
        <v>702</v>
      </c>
      <c r="E705" s="2547">
        <v>1</v>
      </c>
      <c r="F705" s="9"/>
      <c r="G705" s="9"/>
      <c r="H705" s="22"/>
      <c r="I705" s="352"/>
      <c r="J705" s="353"/>
      <c r="K705" s="68"/>
      <c r="L705" s="68"/>
      <c r="N705" s="232"/>
      <c r="O705" s="232"/>
      <c r="P705" s="232" t="s">
        <v>224</v>
      </c>
      <c r="Q705" s="1779" t="str">
        <f>CHOOSE(2, "6722000003624", "S/GP (3) Gross Profit Direct NH &lt;Direct&gt; SDC (-) OFC")</f>
        <v>S/GP (3) Gross Profit Direct NH &lt;Direct&gt; SDC (-) OFC</v>
      </c>
      <c r="R705" s="1218">
        <v>0</v>
      </c>
      <c r="S705" s="1218">
        <v>0</v>
      </c>
      <c r="T705" s="1218">
        <v>0</v>
      </c>
      <c r="U705" s="1218">
        <v>0</v>
      </c>
      <c r="V705" s="1218">
        <v>0</v>
      </c>
      <c r="W705" s="1218">
        <v>0</v>
      </c>
      <c r="X705" s="1218">
        <v>0</v>
      </c>
      <c r="Y705" s="1218">
        <v>0</v>
      </c>
      <c r="Z705" s="1218">
        <v>0</v>
      </c>
      <c r="AA705" s="1218">
        <v>0</v>
      </c>
      <c r="AB705" s="1218">
        <v>0</v>
      </c>
      <c r="AC705" s="1218">
        <v>0</v>
      </c>
      <c r="AD705" s="783">
        <f>SUM(R705,S705,T705)</f>
        <v>0</v>
      </c>
      <c r="AE705" s="1226">
        <f t="shared" si="1080"/>
        <v>0</v>
      </c>
      <c r="AF705" s="1226">
        <f t="shared" si="1081"/>
        <v>0</v>
      </c>
      <c r="AG705" s="1226">
        <f t="shared" si="1082"/>
        <v>0</v>
      </c>
      <c r="AH705" s="1226">
        <f t="shared" si="1069"/>
        <v>0</v>
      </c>
      <c r="AI705" s="1226">
        <f t="shared" si="1070"/>
        <v>0</v>
      </c>
      <c r="AJ705" s="1226">
        <f t="shared" si="1071"/>
        <v>0</v>
      </c>
      <c r="AL705" s="1226">
        <f ca="1">SUM((INDIRECT(AL$2&amp;(ROW())):INDIRECT(AL$3&amp;(ROW()))))</f>
        <v>0</v>
      </c>
      <c r="AM705" s="1226">
        <f ca="1">SUM(INDIRECT(AM$1&amp;AM$2&amp;$C705):INDIRECT(AM$1&amp;AM$3&amp;$C705))</f>
        <v>0</v>
      </c>
      <c r="AN705" s="3233">
        <f t="shared" ca="1" si="1053"/>
        <v>0</v>
      </c>
      <c r="AO705" s="2890">
        <f t="shared" ca="1" si="1054"/>
        <v>0</v>
      </c>
      <c r="AP705" s="1226">
        <f ca="1">SUM(INDIRECT(AP$1&amp;AP$2&amp;$A705):INDIRECT(AP$1&amp;AP$3&amp;$A705))</f>
        <v>0</v>
      </c>
      <c r="AQ705" s="3233">
        <f t="shared" ca="1" si="1055"/>
        <v>0</v>
      </c>
      <c r="AR705" s="2890">
        <f t="shared" ca="1" si="1056"/>
        <v>0</v>
      </c>
      <c r="AT705" s="1226">
        <f ca="1">SUM((INDIRECT(AT$2&amp;(ROW())):INDIRECT(AT$3&amp;(ROW()))))</f>
        <v>0</v>
      </c>
      <c r="AU705" s="1226">
        <f ca="1">SUM(INDIRECT(AU$1&amp;AU$2&amp;$C705):INDIRECT(AU$1&amp;AU$3&amp;$C705))</f>
        <v>0</v>
      </c>
      <c r="AV705" s="3233">
        <f t="shared" ca="1" si="1057"/>
        <v>0</v>
      </c>
      <c r="AW705" s="2890">
        <f t="shared" ca="1" si="1058"/>
        <v>0</v>
      </c>
      <c r="AX705" s="1226">
        <f ca="1">SUM(INDIRECT(AX$1&amp;AX$2&amp;$A705):INDIRECT(AX$1&amp;AX$3&amp;$A705))</f>
        <v>0</v>
      </c>
      <c r="AY705" s="3233">
        <f t="shared" ca="1" si="1059"/>
        <v>0</v>
      </c>
      <c r="AZ705" s="2890">
        <f t="shared" ca="1" si="1060"/>
        <v>0</v>
      </c>
      <c r="BB705" s="1226">
        <f ca="1">SUM((INDIRECT(BB$2&amp;(ROW())):INDIRECT(BB$3&amp;(ROW()))))</f>
        <v>0</v>
      </c>
      <c r="BC705" s="1226">
        <f ca="1">SUM(INDIRECT(BC$1&amp;BC$2&amp;$C705):INDIRECT(BC$1&amp;BC$3&amp;$C705))</f>
        <v>0</v>
      </c>
      <c r="BD705" s="3233">
        <f t="shared" ca="1" si="1061"/>
        <v>0</v>
      </c>
      <c r="BE705" s="2890">
        <f t="shared" ca="1" si="1062"/>
        <v>0</v>
      </c>
      <c r="BF705" s="1226">
        <f ca="1">SUM(INDIRECT(BF$1&amp;BF$2&amp;$A705):INDIRECT(BF$1&amp;BF$3&amp;$A705))</f>
        <v>0</v>
      </c>
      <c r="BG705" s="3233">
        <f t="shared" ca="1" si="1063"/>
        <v>0</v>
      </c>
      <c r="BH705" s="2890">
        <f t="shared" ca="1" si="1064"/>
        <v>0</v>
      </c>
    </row>
    <row r="706" spans="1:60" s="69" customFormat="1" ht="14.5">
      <c r="A706" s="616">
        <f t="shared" si="1008"/>
        <v>641</v>
      </c>
      <c r="B706" s="616">
        <v>1</v>
      </c>
      <c r="C706" s="616">
        <f t="shared" ref="C706:C769" si="1083">ROW()-3</f>
        <v>703</v>
      </c>
      <c r="E706" s="2547">
        <v>1</v>
      </c>
      <c r="F706" s="9"/>
      <c r="G706" s="9"/>
      <c r="H706" s="22"/>
      <c r="I706" s="352"/>
      <c r="J706" s="353"/>
      <c r="K706" s="68"/>
      <c r="L706" s="68"/>
      <c r="N706" s="231" t="s">
        <v>1497</v>
      </c>
      <c r="O706" s="231"/>
      <c r="P706" s="232"/>
      <c r="Q706" s="1779" t="str">
        <f>CHOOSE(2, "6722000003625", "S/GP (3) Gross Profit Direct NH &lt;Direct&gt; D &amp; A (-)")</f>
        <v>S/GP (3) Gross Profit Direct NH &lt;Direct&gt; D &amp; A (-)</v>
      </c>
      <c r="R706" s="1218">
        <v>0</v>
      </c>
      <c r="S706" s="1218">
        <v>0</v>
      </c>
      <c r="T706" s="1218">
        <v>0</v>
      </c>
      <c r="U706" s="1218">
        <v>0</v>
      </c>
      <c r="V706" s="1218">
        <v>0</v>
      </c>
      <c r="W706" s="1218">
        <v>0</v>
      </c>
      <c r="X706" s="1218">
        <v>0</v>
      </c>
      <c r="Y706" s="1218">
        <v>0</v>
      </c>
      <c r="Z706" s="1218">
        <v>0</v>
      </c>
      <c r="AA706" s="1218">
        <v>0</v>
      </c>
      <c r="AB706" s="1218">
        <v>0</v>
      </c>
      <c r="AC706" s="1218">
        <v>0</v>
      </c>
      <c r="AD706" s="783">
        <f>SUM(R706,S706,T706)</f>
        <v>0</v>
      </c>
      <c r="AE706" s="1226">
        <f t="shared" si="1080"/>
        <v>0</v>
      </c>
      <c r="AF706" s="1226">
        <f t="shared" si="1081"/>
        <v>0</v>
      </c>
      <c r="AG706" s="1226">
        <f t="shared" si="1082"/>
        <v>0</v>
      </c>
      <c r="AH706" s="1226">
        <f>AD706+AE706</f>
        <v>0</v>
      </c>
      <c r="AI706" s="1226">
        <f>AG706+AF706</f>
        <v>0</v>
      </c>
      <c r="AJ706" s="1226">
        <f>AH706+AI706</f>
        <v>0</v>
      </c>
      <c r="AL706" s="1226">
        <f ca="1">SUM((INDIRECT(AL$2&amp;(ROW())):INDIRECT(AL$3&amp;(ROW()))))</f>
        <v>0</v>
      </c>
      <c r="AM706" s="1226">
        <f ca="1">SUM(INDIRECT(AM$1&amp;AM$2&amp;$C706):INDIRECT(AM$1&amp;AM$3&amp;$C706))</f>
        <v>0</v>
      </c>
      <c r="AN706" s="3233">
        <f t="shared" ca="1" si="1053"/>
        <v>0</v>
      </c>
      <c r="AO706" s="2890">
        <f t="shared" ca="1" si="1054"/>
        <v>0</v>
      </c>
      <c r="AP706" s="1226">
        <f ca="1">SUM(INDIRECT(AP$1&amp;AP$2&amp;$A706):INDIRECT(AP$1&amp;AP$3&amp;$A706))</f>
        <v>8583.2560000000012</v>
      </c>
      <c r="AQ706" s="3233">
        <f t="shared" ca="1" si="1055"/>
        <v>-8583.2560000000012</v>
      </c>
      <c r="AR706" s="2890">
        <f t="shared" ca="1" si="1056"/>
        <v>0</v>
      </c>
      <c r="AT706" s="1226">
        <f ca="1">SUM((INDIRECT(AT$2&amp;(ROW())):INDIRECT(AT$3&amp;(ROW()))))</f>
        <v>0</v>
      </c>
      <c r="AU706" s="1226">
        <f ca="1">SUM(INDIRECT(AU$1&amp;AU$2&amp;$C706):INDIRECT(AU$1&amp;AU$3&amp;$C706))</f>
        <v>0</v>
      </c>
      <c r="AV706" s="3233">
        <f t="shared" ca="1" si="1057"/>
        <v>0</v>
      </c>
      <c r="AW706" s="2890">
        <f t="shared" ca="1" si="1058"/>
        <v>0</v>
      </c>
      <c r="AX706" s="1226">
        <f ca="1">SUM(INDIRECT(AX$1&amp;AX$2&amp;$A706):INDIRECT(AX$1&amp;AX$3&amp;$A706))</f>
        <v>23466.256000000001</v>
      </c>
      <c r="AY706" s="3233">
        <f t="shared" ca="1" si="1059"/>
        <v>-23466.256000000001</v>
      </c>
      <c r="AZ706" s="2890">
        <f t="shared" ca="1" si="1060"/>
        <v>0</v>
      </c>
      <c r="BB706" s="1226">
        <f ca="1">SUM((INDIRECT(BB$2&amp;(ROW())):INDIRECT(BB$3&amp;(ROW()))))</f>
        <v>0</v>
      </c>
      <c r="BC706" s="1226">
        <f ca="1">SUM(INDIRECT(BC$1&amp;BC$2&amp;$C706):INDIRECT(BC$1&amp;BC$3&amp;$C706))</f>
        <v>0</v>
      </c>
      <c r="BD706" s="3233">
        <f t="shared" ca="1" si="1061"/>
        <v>0</v>
      </c>
      <c r="BE706" s="2890">
        <f t="shared" ca="1" si="1062"/>
        <v>0</v>
      </c>
      <c r="BF706" s="1226">
        <f ca="1">SUM(INDIRECT(BF$1&amp;BF$2&amp;$A706):INDIRECT(BF$1&amp;BF$3&amp;$A706))</f>
        <v>78898.404999999999</v>
      </c>
      <c r="BG706" s="3233">
        <f t="shared" ca="1" si="1063"/>
        <v>-78898.404999999999</v>
      </c>
      <c r="BH706" s="2890">
        <f t="shared" ca="1" si="1064"/>
        <v>0</v>
      </c>
    </row>
    <row r="707" spans="1:60" ht="14.5">
      <c r="A707" s="616">
        <f t="shared" si="1008"/>
        <v>642</v>
      </c>
      <c r="B707" s="616">
        <v>1</v>
      </c>
      <c r="C707" s="616">
        <f t="shared" si="1083"/>
        <v>704</v>
      </c>
      <c r="E707" s="2547">
        <v>1</v>
      </c>
      <c r="I707" s="352"/>
      <c r="J707" s="353"/>
      <c r="K707" s="67"/>
      <c r="L707" s="67"/>
      <c r="M707" s="211"/>
      <c r="N707" s="2191" t="s">
        <v>1386</v>
      </c>
      <c r="O707" s="2191"/>
      <c r="P707" s="2191"/>
      <c r="Q707" s="1779" t="str">
        <f>CHOOSE(2, "6722000003626", "S/GP (3) Gross Profit Direct NH Others")</f>
        <v>S/GP (3) Gross Profit Direct NH Others</v>
      </c>
      <c r="R707" s="3234">
        <v>0</v>
      </c>
      <c r="S707" s="3234">
        <v>0</v>
      </c>
      <c r="T707" s="3234">
        <v>0</v>
      </c>
      <c r="U707" s="3234">
        <v>0</v>
      </c>
      <c r="V707" s="3234">
        <v>0</v>
      </c>
      <c r="W707" s="3234">
        <v>0</v>
      </c>
      <c r="X707" s="3234">
        <v>0</v>
      </c>
      <c r="Y707" s="3234">
        <v>0</v>
      </c>
      <c r="Z707" s="3234">
        <v>0</v>
      </c>
      <c r="AA707" s="3234">
        <v>0</v>
      </c>
      <c r="AB707" s="3234">
        <v>0</v>
      </c>
      <c r="AC707" s="3234">
        <v>0</v>
      </c>
      <c r="AD707" s="3067">
        <f>SUM(R707,S707,T707)</f>
        <v>0</v>
      </c>
      <c r="AE707" s="3038">
        <f t="shared" si="1080"/>
        <v>0</v>
      </c>
      <c r="AF707" s="3038">
        <f t="shared" si="1081"/>
        <v>0</v>
      </c>
      <c r="AG707" s="3038">
        <f t="shared" si="1082"/>
        <v>0</v>
      </c>
      <c r="AH707" s="3038">
        <f t="shared" si="1069"/>
        <v>0</v>
      </c>
      <c r="AI707" s="3038">
        <f t="shared" si="1070"/>
        <v>0</v>
      </c>
      <c r="AJ707" s="3038">
        <f t="shared" si="1071"/>
        <v>0</v>
      </c>
      <c r="AL707" s="3038">
        <f ca="1">SUM((INDIRECT(AL$2&amp;(ROW())):INDIRECT(AL$3&amp;(ROW()))))</f>
        <v>0</v>
      </c>
      <c r="AM707" s="3038">
        <f ca="1">SUM(INDIRECT(AM$1&amp;AM$2&amp;$C707):INDIRECT(AM$1&amp;AM$3&amp;$C707))</f>
        <v>0</v>
      </c>
      <c r="AN707" s="3068">
        <f t="shared" ca="1" si="1053"/>
        <v>0</v>
      </c>
      <c r="AO707" s="2704">
        <f t="shared" ca="1" si="1054"/>
        <v>0</v>
      </c>
      <c r="AP707" s="3038">
        <f ca="1">SUM(INDIRECT(AP$1&amp;AP$2&amp;$A707):INDIRECT(AP$1&amp;AP$3&amp;$A707))</f>
        <v>1953.2560000000001</v>
      </c>
      <c r="AQ707" s="3068">
        <f t="shared" ca="1" si="1055"/>
        <v>-1953.2560000000001</v>
      </c>
      <c r="AR707" s="2704">
        <f t="shared" ca="1" si="1056"/>
        <v>0</v>
      </c>
      <c r="AT707" s="3038">
        <f ca="1">SUM((INDIRECT(AT$2&amp;(ROW())):INDIRECT(AT$3&amp;(ROW()))))</f>
        <v>0</v>
      </c>
      <c r="AU707" s="3038">
        <f ca="1">SUM(INDIRECT(AU$1&amp;AU$2&amp;$C707):INDIRECT(AU$1&amp;AU$3&amp;$C707))</f>
        <v>0</v>
      </c>
      <c r="AV707" s="3068">
        <f t="shared" ca="1" si="1057"/>
        <v>0</v>
      </c>
      <c r="AW707" s="2704">
        <f t="shared" ca="1" si="1058"/>
        <v>0</v>
      </c>
      <c r="AX707" s="3038">
        <f ca="1">SUM(INDIRECT(AX$1&amp;AX$2&amp;$A707):INDIRECT(AX$1&amp;AX$3&amp;$A707))</f>
        <v>1295.2560000000001</v>
      </c>
      <c r="AY707" s="3068">
        <f t="shared" ca="1" si="1059"/>
        <v>-1295.2560000000001</v>
      </c>
      <c r="AZ707" s="2704">
        <f t="shared" ca="1" si="1060"/>
        <v>0</v>
      </c>
      <c r="BB707" s="3038">
        <f ca="1">SUM((INDIRECT(BB$2&amp;(ROW())):INDIRECT(BB$3&amp;(ROW()))))</f>
        <v>0</v>
      </c>
      <c r="BC707" s="3038">
        <f ca="1">SUM(INDIRECT(BC$1&amp;BC$2&amp;$C707):INDIRECT(BC$1&amp;BC$3&amp;$C707))</f>
        <v>0</v>
      </c>
      <c r="BD707" s="3068">
        <f t="shared" ca="1" si="1061"/>
        <v>0</v>
      </c>
      <c r="BE707" s="2704">
        <f t="shared" ca="1" si="1062"/>
        <v>0</v>
      </c>
      <c r="BF707" s="3038">
        <f ca="1">SUM(INDIRECT(BF$1&amp;BF$2&amp;$A707):INDIRECT(BF$1&amp;BF$3&amp;$A707))</f>
        <v>7272.4460000000008</v>
      </c>
      <c r="BG707" s="3068">
        <f t="shared" ca="1" si="1063"/>
        <v>-7272.4460000000008</v>
      </c>
      <c r="BH707" s="2704">
        <f t="shared" ca="1" si="1064"/>
        <v>0</v>
      </c>
    </row>
    <row r="708" spans="1:60" ht="14.5">
      <c r="A708" s="616">
        <f t="shared" si="1008"/>
        <v>643</v>
      </c>
      <c r="B708" s="616">
        <v>1</v>
      </c>
      <c r="C708" s="616">
        <f t="shared" si="1083"/>
        <v>705</v>
      </c>
      <c r="E708" s="2547">
        <v>1</v>
      </c>
      <c r="I708" s="352"/>
      <c r="J708" s="353"/>
      <c r="K708" s="63" t="s">
        <v>1382</v>
      </c>
      <c r="L708" s="63"/>
      <c r="M708" s="495"/>
      <c r="N708" s="495"/>
      <c r="O708" s="495"/>
      <c r="P708" s="495"/>
      <c r="Q708" s="1802" t="str">
        <f>CHOOSE(2, "6722000003627", "S/GP (3) Gross Profit Indirect")</f>
        <v>S/GP (3) Gross Profit Indirect</v>
      </c>
      <c r="R708" s="1253">
        <f t="shared" ref="R708:AJ708" si="1084">R709+R716</f>
        <v>0</v>
      </c>
      <c r="S708" s="1253">
        <f t="shared" si="1084"/>
        <v>0</v>
      </c>
      <c r="T708" s="1253">
        <f t="shared" si="1084"/>
        <v>0</v>
      </c>
      <c r="U708" s="1253">
        <f t="shared" si="1084"/>
        <v>0</v>
      </c>
      <c r="V708" s="1253">
        <f t="shared" si="1084"/>
        <v>0</v>
      </c>
      <c r="W708" s="1253">
        <f t="shared" si="1084"/>
        <v>0</v>
      </c>
      <c r="X708" s="1253">
        <f t="shared" si="1084"/>
        <v>0</v>
      </c>
      <c r="Y708" s="1253">
        <f t="shared" si="1084"/>
        <v>0</v>
      </c>
      <c r="Z708" s="1253">
        <f t="shared" si="1084"/>
        <v>0</v>
      </c>
      <c r="AA708" s="1253">
        <f t="shared" si="1084"/>
        <v>0</v>
      </c>
      <c r="AB708" s="1253">
        <f t="shared" si="1084"/>
        <v>0</v>
      </c>
      <c r="AC708" s="1253">
        <f t="shared" si="1084"/>
        <v>0</v>
      </c>
      <c r="AD708" s="3263">
        <f t="shared" si="1084"/>
        <v>0</v>
      </c>
      <c r="AE708" s="1253">
        <f t="shared" si="1084"/>
        <v>0</v>
      </c>
      <c r="AF708" s="1253">
        <f t="shared" si="1084"/>
        <v>0</v>
      </c>
      <c r="AG708" s="1253">
        <f t="shared" si="1084"/>
        <v>0</v>
      </c>
      <c r="AH708" s="1253">
        <f t="shared" si="1084"/>
        <v>0</v>
      </c>
      <c r="AI708" s="1253">
        <f t="shared" si="1084"/>
        <v>0</v>
      </c>
      <c r="AJ708" s="1253">
        <f t="shared" si="1084"/>
        <v>0</v>
      </c>
      <c r="AL708" s="1253">
        <f ca="1">SUM((INDIRECT(AL$2&amp;(ROW())):INDIRECT(AL$3&amp;(ROW()))))</f>
        <v>0</v>
      </c>
      <c r="AM708" s="1253">
        <f ca="1">SUM(INDIRECT(AM$1&amp;AM$2&amp;$C708):INDIRECT(AM$1&amp;AM$3&amp;$C708))</f>
        <v>0</v>
      </c>
      <c r="AN708" s="3264">
        <f t="shared" ca="1" si="1053"/>
        <v>0</v>
      </c>
      <c r="AO708" s="2917">
        <f t="shared" ca="1" si="1054"/>
        <v>0</v>
      </c>
      <c r="AP708" s="1253">
        <f ca="1">SUM(INDIRECT(AP$1&amp;AP$2&amp;$A708):INDIRECT(AP$1&amp;AP$3&amp;$A708))</f>
        <v>1537</v>
      </c>
      <c r="AQ708" s="3264">
        <f t="shared" ca="1" si="1055"/>
        <v>-1537</v>
      </c>
      <c r="AR708" s="2917">
        <f t="shared" ca="1" si="1056"/>
        <v>0</v>
      </c>
      <c r="AT708" s="1253">
        <f ca="1">SUM((INDIRECT(AT$2&amp;(ROW())):INDIRECT(AT$3&amp;(ROW()))))</f>
        <v>0</v>
      </c>
      <c r="AU708" s="1253">
        <f ca="1">SUM(INDIRECT(AU$1&amp;AU$2&amp;$C708):INDIRECT(AU$1&amp;AU$3&amp;$C708))</f>
        <v>0</v>
      </c>
      <c r="AV708" s="3264">
        <f t="shared" ca="1" si="1057"/>
        <v>0</v>
      </c>
      <c r="AW708" s="2917">
        <f t="shared" ca="1" si="1058"/>
        <v>0</v>
      </c>
      <c r="AX708" s="1253">
        <f ca="1">SUM(INDIRECT(AX$1&amp;AX$2&amp;$A708):INDIRECT(AX$1&amp;AX$3&amp;$A708))</f>
        <v>8243</v>
      </c>
      <c r="AY708" s="3264">
        <f t="shared" ca="1" si="1059"/>
        <v>-8243</v>
      </c>
      <c r="AZ708" s="2917">
        <f t="shared" ca="1" si="1060"/>
        <v>0</v>
      </c>
      <c r="BB708" s="1253">
        <f ca="1">SUM((INDIRECT(BB$2&amp;(ROW())):INDIRECT(BB$3&amp;(ROW()))))</f>
        <v>0</v>
      </c>
      <c r="BC708" s="1253">
        <f ca="1">SUM(INDIRECT(BC$1&amp;BC$2&amp;$C708):INDIRECT(BC$1&amp;BC$3&amp;$C708))</f>
        <v>0</v>
      </c>
      <c r="BD708" s="3264">
        <f t="shared" ca="1" si="1061"/>
        <v>0</v>
      </c>
      <c r="BE708" s="2917">
        <f t="shared" ca="1" si="1062"/>
        <v>0</v>
      </c>
      <c r="BF708" s="1253">
        <f ca="1">SUM(INDIRECT(BF$1&amp;BF$2&amp;$A708):INDIRECT(BF$1&amp;BF$3&amp;$A708))</f>
        <v>26347.044999999998</v>
      </c>
      <c r="BG708" s="3264">
        <f t="shared" ca="1" si="1063"/>
        <v>-26347.044999999998</v>
      </c>
      <c r="BH708" s="2917">
        <f t="shared" ca="1" si="1064"/>
        <v>0</v>
      </c>
    </row>
    <row r="709" spans="1:60" ht="14.5">
      <c r="A709" s="616">
        <f t="shared" si="1008"/>
        <v>644</v>
      </c>
      <c r="B709" s="616">
        <v>1</v>
      </c>
      <c r="C709" s="616">
        <f t="shared" si="1083"/>
        <v>706</v>
      </c>
      <c r="E709" s="2547">
        <v>1</v>
      </c>
      <c r="I709" s="352"/>
      <c r="J709" s="353"/>
      <c r="K709" s="68"/>
      <c r="L709" s="68"/>
      <c r="M709" s="69" t="s">
        <v>1488</v>
      </c>
      <c r="N709" s="302"/>
      <c r="O709" s="302"/>
      <c r="P709" s="302"/>
      <c r="Q709" s="1777" t="str">
        <f>CHOOSE(2, "6722000003628", "S/GP (3) Gross Profit Indirect HW &amp; Solution")</f>
        <v>S/GP (3) Gross Profit Indirect HW &amp; Solution</v>
      </c>
      <c r="R709" s="287">
        <f t="shared" ref="R709:AC709" si="1085">SUM(R710:R715)</f>
        <v>0</v>
      </c>
      <c r="S709" s="287">
        <f t="shared" si="1085"/>
        <v>0</v>
      </c>
      <c r="T709" s="287">
        <f t="shared" si="1085"/>
        <v>0</v>
      </c>
      <c r="U709" s="287">
        <f t="shared" si="1085"/>
        <v>0</v>
      </c>
      <c r="V709" s="287">
        <f t="shared" si="1085"/>
        <v>0</v>
      </c>
      <c r="W709" s="287">
        <f t="shared" si="1085"/>
        <v>0</v>
      </c>
      <c r="X709" s="287">
        <f t="shared" si="1085"/>
        <v>0</v>
      </c>
      <c r="Y709" s="287">
        <f t="shared" si="1085"/>
        <v>0</v>
      </c>
      <c r="Z709" s="287">
        <f t="shared" si="1085"/>
        <v>0</v>
      </c>
      <c r="AA709" s="287">
        <f t="shared" si="1085"/>
        <v>0</v>
      </c>
      <c r="AB709" s="287">
        <f t="shared" si="1085"/>
        <v>0</v>
      </c>
      <c r="AC709" s="287">
        <f t="shared" si="1085"/>
        <v>0</v>
      </c>
      <c r="AD709" s="315">
        <f t="shared" ref="AD709:AJ709" si="1086">SUM(AD710:AD715)</f>
        <v>0</v>
      </c>
      <c r="AE709" s="287">
        <f t="shared" si="1086"/>
        <v>0</v>
      </c>
      <c r="AF709" s="287">
        <f t="shared" si="1086"/>
        <v>0</v>
      </c>
      <c r="AG709" s="287">
        <f t="shared" si="1086"/>
        <v>0</v>
      </c>
      <c r="AH709" s="287">
        <f t="shared" si="1086"/>
        <v>0</v>
      </c>
      <c r="AI709" s="287">
        <f t="shared" si="1086"/>
        <v>0</v>
      </c>
      <c r="AJ709" s="287">
        <f t="shared" si="1086"/>
        <v>0</v>
      </c>
      <c r="AL709" s="287">
        <f ca="1">SUM((INDIRECT(AL$2&amp;(ROW())):INDIRECT(AL$3&amp;(ROW()))))</f>
        <v>0</v>
      </c>
      <c r="AM709" s="287">
        <f ca="1">SUM(INDIRECT(AM$1&amp;AM$2&amp;$C709):INDIRECT(AM$1&amp;AM$3&amp;$C709))</f>
        <v>0</v>
      </c>
      <c r="AN709" s="3226">
        <f t="shared" ca="1" si="1053"/>
        <v>0</v>
      </c>
      <c r="AO709" s="2876">
        <f t="shared" ca="1" si="1054"/>
        <v>0</v>
      </c>
      <c r="AP709" s="287">
        <f ca="1">SUM(INDIRECT(AP$1&amp;AP$2&amp;$A709):INDIRECT(AP$1&amp;AP$3&amp;$A709))</f>
        <v>5093</v>
      </c>
      <c r="AQ709" s="3226">
        <f t="shared" ca="1" si="1055"/>
        <v>-5093</v>
      </c>
      <c r="AR709" s="2876">
        <f t="shared" ca="1" si="1056"/>
        <v>0</v>
      </c>
      <c r="AT709" s="287">
        <f ca="1">SUM((INDIRECT(AT$2&amp;(ROW())):INDIRECT(AT$3&amp;(ROW()))))</f>
        <v>0</v>
      </c>
      <c r="AU709" s="287">
        <f ca="1">SUM(INDIRECT(AU$1&amp;AU$2&amp;$C709):INDIRECT(AU$1&amp;AU$3&amp;$C709))</f>
        <v>0</v>
      </c>
      <c r="AV709" s="3226">
        <f t="shared" ca="1" si="1057"/>
        <v>0</v>
      </c>
      <c r="AW709" s="2876">
        <f t="shared" ca="1" si="1058"/>
        <v>0</v>
      </c>
      <c r="AX709" s="287">
        <f ca="1">SUM(INDIRECT(AX$1&amp;AX$2&amp;$A709):INDIRECT(AX$1&amp;AX$3&amp;$A709))</f>
        <v>13928</v>
      </c>
      <c r="AY709" s="3226">
        <f t="shared" ca="1" si="1059"/>
        <v>-13928</v>
      </c>
      <c r="AZ709" s="2876">
        <f t="shared" ca="1" si="1060"/>
        <v>0</v>
      </c>
      <c r="BB709" s="287">
        <f ca="1">SUM((INDIRECT(BB$2&amp;(ROW())):INDIRECT(BB$3&amp;(ROW()))))</f>
        <v>0</v>
      </c>
      <c r="BC709" s="287">
        <f ca="1">SUM(INDIRECT(BC$1&amp;BC$2&amp;$C709):INDIRECT(BC$1&amp;BC$3&amp;$C709))</f>
        <v>0</v>
      </c>
      <c r="BD709" s="3226">
        <f t="shared" ca="1" si="1061"/>
        <v>0</v>
      </c>
      <c r="BE709" s="2876">
        <f t="shared" ca="1" si="1062"/>
        <v>0</v>
      </c>
      <c r="BF709" s="287">
        <f ca="1">SUM(INDIRECT(BF$1&amp;BF$2&amp;$A709):INDIRECT(BF$1&amp;BF$3&amp;$A709))</f>
        <v>45278.914000000004</v>
      </c>
      <c r="BG709" s="3226">
        <f t="shared" ca="1" si="1063"/>
        <v>-45278.914000000004</v>
      </c>
      <c r="BH709" s="2876">
        <f t="shared" ca="1" si="1064"/>
        <v>0</v>
      </c>
    </row>
    <row r="710" spans="1:60" ht="14.5">
      <c r="A710" s="616">
        <f t="shared" si="1008"/>
        <v>645</v>
      </c>
      <c r="B710" s="616">
        <v>1</v>
      </c>
      <c r="C710" s="616">
        <f t="shared" si="1083"/>
        <v>707</v>
      </c>
      <c r="E710" s="2547">
        <v>1</v>
      </c>
      <c r="I710" s="352"/>
      <c r="J710" s="353"/>
      <c r="K710" s="68"/>
      <c r="L710" s="68"/>
      <c r="M710" s="69"/>
      <c r="N710" s="740" t="s">
        <v>1498</v>
      </c>
      <c r="O710" s="296"/>
      <c r="P710" s="296"/>
      <c r="Q710" s="1779" t="str">
        <f>CHOOSE(2, "6722000003629", "S/GP (3) Gross Profit Indirect HW &amp; Solution KM-1/KM-1e")</f>
        <v>S/GP (3) Gross Profit Indirect HW &amp; Solution KM-1/KM-1e</v>
      </c>
      <c r="R710" s="1227">
        <v>0</v>
      </c>
      <c r="S710" s="1227">
        <v>0</v>
      </c>
      <c r="T710" s="1227">
        <v>0</v>
      </c>
      <c r="U710" s="1227">
        <v>0</v>
      </c>
      <c r="V710" s="1227">
        <v>0</v>
      </c>
      <c r="W710" s="1227">
        <v>0</v>
      </c>
      <c r="X710" s="1227">
        <v>0</v>
      </c>
      <c r="Y710" s="1227">
        <v>0</v>
      </c>
      <c r="Z710" s="1227">
        <v>0</v>
      </c>
      <c r="AA710" s="1227">
        <v>0</v>
      </c>
      <c r="AB710" s="1227">
        <v>0</v>
      </c>
      <c r="AC710" s="1227">
        <v>0</v>
      </c>
      <c r="AD710" s="295">
        <f t="shared" ref="AD710:AD715" si="1087">SUM(R710,S710,T710)</f>
        <v>0</v>
      </c>
      <c r="AE710" s="96">
        <f t="shared" ref="AE710:AE715" si="1088">SUM(U710,V710,W710)</f>
        <v>0</v>
      </c>
      <c r="AF710" s="96">
        <f t="shared" ref="AF710:AF715" si="1089">SUM(X710,Y710,Z710)</f>
        <v>0</v>
      </c>
      <c r="AG710" s="96">
        <f t="shared" ref="AG710:AG715" si="1090">SUM(AA710,AB710,AC710)</f>
        <v>0</v>
      </c>
      <c r="AH710" s="96">
        <f t="shared" ref="AH710:AH715" si="1091">AD710+AE710</f>
        <v>0</v>
      </c>
      <c r="AI710" s="96">
        <f t="shared" ref="AI710:AI715" si="1092">AG710+AF710</f>
        <v>0</v>
      </c>
      <c r="AJ710" s="96">
        <f t="shared" ref="AJ710:AJ715" si="1093">AH710+AI710</f>
        <v>0</v>
      </c>
      <c r="AL710" s="96">
        <f ca="1">SUM((INDIRECT(AL$2&amp;(ROW())):INDIRECT(AL$3&amp;(ROW()))))</f>
        <v>0</v>
      </c>
      <c r="AM710" s="96">
        <f ca="1">SUM(INDIRECT(AM$1&amp;AM$2&amp;$C710):INDIRECT(AM$1&amp;AM$3&amp;$C710))</f>
        <v>0</v>
      </c>
      <c r="AN710" s="3227">
        <f t="shared" ca="1" si="1053"/>
        <v>0</v>
      </c>
      <c r="AO710" s="2878">
        <f t="shared" ca="1" si="1054"/>
        <v>0</v>
      </c>
      <c r="AP710" s="96">
        <f ca="1">SUM(INDIRECT(AP$1&amp;AP$2&amp;$A710):INDIRECT(AP$1&amp;AP$3&amp;$A710))</f>
        <v>0</v>
      </c>
      <c r="AQ710" s="3227">
        <f t="shared" ca="1" si="1055"/>
        <v>0</v>
      </c>
      <c r="AR710" s="2878">
        <f t="shared" ca="1" si="1056"/>
        <v>0</v>
      </c>
      <c r="AT710" s="96">
        <f ca="1">SUM((INDIRECT(AT$2&amp;(ROW())):INDIRECT(AT$3&amp;(ROW()))))</f>
        <v>0</v>
      </c>
      <c r="AU710" s="96">
        <f ca="1">SUM(INDIRECT(AU$1&amp;AU$2&amp;$C710):INDIRECT(AU$1&amp;AU$3&amp;$C710))</f>
        <v>0</v>
      </c>
      <c r="AV710" s="3227">
        <f t="shared" ca="1" si="1057"/>
        <v>0</v>
      </c>
      <c r="AW710" s="2878">
        <f t="shared" ca="1" si="1058"/>
        <v>0</v>
      </c>
      <c r="AX710" s="96">
        <f ca="1">SUM(INDIRECT(AX$1&amp;AX$2&amp;$A710):INDIRECT(AX$1&amp;AX$3&amp;$A710))</f>
        <v>0</v>
      </c>
      <c r="AY710" s="3227">
        <f t="shared" ca="1" si="1059"/>
        <v>0</v>
      </c>
      <c r="AZ710" s="2878">
        <f t="shared" ca="1" si="1060"/>
        <v>0</v>
      </c>
      <c r="BB710" s="96">
        <f ca="1">SUM((INDIRECT(BB$2&amp;(ROW())):INDIRECT(BB$3&amp;(ROW()))))</f>
        <v>0</v>
      </c>
      <c r="BC710" s="96">
        <f ca="1">SUM(INDIRECT(BC$1&amp;BC$2&amp;$C710):INDIRECT(BC$1&amp;BC$3&amp;$C710))</f>
        <v>0</v>
      </c>
      <c r="BD710" s="3227">
        <f t="shared" ca="1" si="1061"/>
        <v>0</v>
      </c>
      <c r="BE710" s="2878">
        <f t="shared" ca="1" si="1062"/>
        <v>0</v>
      </c>
      <c r="BF710" s="96">
        <f ca="1">SUM(INDIRECT(BF$1&amp;BF$2&amp;$A710):INDIRECT(BF$1&amp;BF$3&amp;$A710))</f>
        <v>0</v>
      </c>
      <c r="BG710" s="3227">
        <f t="shared" ca="1" si="1063"/>
        <v>0</v>
      </c>
      <c r="BH710" s="2878">
        <f t="shared" ca="1" si="1064"/>
        <v>0</v>
      </c>
    </row>
    <row r="711" spans="1:60" ht="14.5">
      <c r="A711" s="616">
        <f t="shared" si="1008"/>
        <v>646</v>
      </c>
      <c r="B711" s="616">
        <v>1</v>
      </c>
      <c r="C711" s="616">
        <f t="shared" si="1083"/>
        <v>708</v>
      </c>
      <c r="E711" s="2547">
        <v>1</v>
      </c>
      <c r="I711" s="352"/>
      <c r="J711" s="353"/>
      <c r="K711" s="68"/>
      <c r="L711" s="68"/>
      <c r="M711" s="69"/>
      <c r="N711" s="69" t="s">
        <v>1401</v>
      </c>
      <c r="O711" s="69"/>
      <c r="P711" s="69"/>
      <c r="Q711" s="1779" t="str">
        <f>CHOOSE(2, "6722000003630", "S/GP (3) Gross Profit Indirect HW &amp; Solution Label Printer")</f>
        <v>S/GP (3) Gross Profit Indirect HW &amp; Solution Label Printer</v>
      </c>
      <c r="R711" s="1217">
        <v>0</v>
      </c>
      <c r="S711" s="1217">
        <v>0</v>
      </c>
      <c r="T711" s="1217">
        <v>0</v>
      </c>
      <c r="U711" s="1217">
        <v>0</v>
      </c>
      <c r="V711" s="1217">
        <v>0</v>
      </c>
      <c r="W711" s="1217">
        <v>0</v>
      </c>
      <c r="X711" s="1217">
        <v>0</v>
      </c>
      <c r="Y711" s="1217">
        <v>0</v>
      </c>
      <c r="Z711" s="1217">
        <v>0</v>
      </c>
      <c r="AA711" s="1217">
        <v>0</v>
      </c>
      <c r="AB711" s="1217">
        <v>0</v>
      </c>
      <c r="AC711" s="1217">
        <v>0</v>
      </c>
      <c r="AD711" s="88">
        <f t="shared" si="1087"/>
        <v>0</v>
      </c>
      <c r="AE711" s="17">
        <f t="shared" si="1088"/>
        <v>0</v>
      </c>
      <c r="AF711" s="17">
        <f t="shared" si="1089"/>
        <v>0</v>
      </c>
      <c r="AG711" s="17">
        <f t="shared" si="1090"/>
        <v>0</v>
      </c>
      <c r="AH711" s="17">
        <f t="shared" si="1091"/>
        <v>0</v>
      </c>
      <c r="AI711" s="17">
        <f t="shared" si="1092"/>
        <v>0</v>
      </c>
      <c r="AJ711" s="17">
        <f t="shared" si="1093"/>
        <v>0</v>
      </c>
      <c r="AL711" s="17">
        <f ca="1">SUM((INDIRECT(AL$2&amp;(ROW())):INDIRECT(AL$3&amp;(ROW()))))</f>
        <v>0</v>
      </c>
      <c r="AM711" s="17">
        <f ca="1">SUM(INDIRECT(AM$1&amp;AM$2&amp;$C711):INDIRECT(AM$1&amp;AM$3&amp;$C711))</f>
        <v>0</v>
      </c>
      <c r="AN711" s="3072">
        <f t="shared" ca="1" si="1053"/>
        <v>0</v>
      </c>
      <c r="AO711" s="2708">
        <f t="shared" ca="1" si="1054"/>
        <v>0</v>
      </c>
      <c r="AP711" s="17">
        <f ca="1">SUM(INDIRECT(AP$1&amp;AP$2&amp;$A711):INDIRECT(AP$1&amp;AP$3&amp;$A711))</f>
        <v>0</v>
      </c>
      <c r="AQ711" s="3072">
        <f t="shared" ca="1" si="1055"/>
        <v>0</v>
      </c>
      <c r="AR711" s="2708">
        <f t="shared" ca="1" si="1056"/>
        <v>0</v>
      </c>
      <c r="AT711" s="17">
        <f ca="1">SUM((INDIRECT(AT$2&amp;(ROW())):INDIRECT(AT$3&amp;(ROW()))))</f>
        <v>0</v>
      </c>
      <c r="AU711" s="17">
        <f ca="1">SUM(INDIRECT(AU$1&amp;AU$2&amp;$C711):INDIRECT(AU$1&amp;AU$3&amp;$C711))</f>
        <v>0</v>
      </c>
      <c r="AV711" s="3072">
        <f t="shared" ca="1" si="1057"/>
        <v>0</v>
      </c>
      <c r="AW711" s="2708">
        <f t="shared" ca="1" si="1058"/>
        <v>0</v>
      </c>
      <c r="AX711" s="17">
        <f ca="1">SUM(INDIRECT(AX$1&amp;AX$2&amp;$A711):INDIRECT(AX$1&amp;AX$3&amp;$A711))</f>
        <v>0</v>
      </c>
      <c r="AY711" s="3072">
        <f t="shared" ca="1" si="1059"/>
        <v>0</v>
      </c>
      <c r="AZ711" s="2708">
        <f t="shared" ca="1" si="1060"/>
        <v>0</v>
      </c>
      <c r="BB711" s="17">
        <f ca="1">SUM((INDIRECT(BB$2&amp;(ROW())):INDIRECT(BB$3&amp;(ROW()))))</f>
        <v>0</v>
      </c>
      <c r="BC711" s="17">
        <f ca="1">SUM(INDIRECT(BC$1&amp;BC$2&amp;$C711):INDIRECT(BC$1&amp;BC$3&amp;$C711))</f>
        <v>0</v>
      </c>
      <c r="BD711" s="3072">
        <f t="shared" ca="1" si="1061"/>
        <v>0</v>
      </c>
      <c r="BE711" s="2708">
        <f t="shared" ca="1" si="1062"/>
        <v>0</v>
      </c>
      <c r="BF711" s="17">
        <f ca="1">SUM(INDIRECT(BF$1&amp;BF$2&amp;$A711):INDIRECT(BF$1&amp;BF$3&amp;$A711))</f>
        <v>0</v>
      </c>
      <c r="BG711" s="3072">
        <f t="shared" ca="1" si="1063"/>
        <v>0</v>
      </c>
      <c r="BH711" s="2708">
        <f t="shared" ca="1" si="1064"/>
        <v>0</v>
      </c>
    </row>
    <row r="712" spans="1:60" ht="14.5">
      <c r="A712" s="616">
        <f t="shared" si="1008"/>
        <v>647</v>
      </c>
      <c r="B712" s="616">
        <v>1</v>
      </c>
      <c r="C712" s="616">
        <f t="shared" si="1083"/>
        <v>709</v>
      </c>
      <c r="E712" s="2547">
        <v>1</v>
      </c>
      <c r="I712" s="352"/>
      <c r="J712" s="353"/>
      <c r="K712" s="68"/>
      <c r="L712" s="68"/>
      <c r="M712" s="69"/>
      <c r="N712" s="69" t="s">
        <v>1402</v>
      </c>
      <c r="O712" s="69"/>
      <c r="P712" s="69"/>
      <c r="Q712" s="1779" t="str">
        <f>CHOOSE(2, "6722000003631", "S/GP (3) Gross Profit Indirect HW &amp; Solution MGI")</f>
        <v>S/GP (3) Gross Profit Indirect HW &amp; Solution MGI</v>
      </c>
      <c r="R712" s="1217">
        <v>0</v>
      </c>
      <c r="S712" s="1217">
        <v>0</v>
      </c>
      <c r="T712" s="1217">
        <v>0</v>
      </c>
      <c r="U712" s="1217">
        <v>0</v>
      </c>
      <c r="V712" s="1217">
        <v>0</v>
      </c>
      <c r="W712" s="1217">
        <v>0</v>
      </c>
      <c r="X712" s="1217">
        <v>0</v>
      </c>
      <c r="Y712" s="1217">
        <v>0</v>
      </c>
      <c r="Z712" s="1217">
        <v>0</v>
      </c>
      <c r="AA712" s="1217">
        <v>0</v>
      </c>
      <c r="AB712" s="1217">
        <v>0</v>
      </c>
      <c r="AC712" s="1217">
        <v>0</v>
      </c>
      <c r="AD712" s="88">
        <f t="shared" si="1087"/>
        <v>0</v>
      </c>
      <c r="AE712" s="17">
        <f t="shared" si="1088"/>
        <v>0</v>
      </c>
      <c r="AF712" s="17">
        <f t="shared" si="1089"/>
        <v>0</v>
      </c>
      <c r="AG712" s="17">
        <f t="shared" si="1090"/>
        <v>0</v>
      </c>
      <c r="AH712" s="17">
        <f t="shared" si="1091"/>
        <v>0</v>
      </c>
      <c r="AI712" s="17">
        <f t="shared" si="1092"/>
        <v>0</v>
      </c>
      <c r="AJ712" s="17">
        <f t="shared" si="1093"/>
        <v>0</v>
      </c>
      <c r="AL712" s="17">
        <f ca="1">SUM((INDIRECT(AL$2&amp;(ROW())):INDIRECT(AL$3&amp;(ROW()))))</f>
        <v>0</v>
      </c>
      <c r="AM712" s="17">
        <f ca="1">SUM(INDIRECT(AM$1&amp;AM$2&amp;$C712):INDIRECT(AM$1&amp;AM$3&amp;$C712))</f>
        <v>0</v>
      </c>
      <c r="AN712" s="3072">
        <f t="shared" ca="1" si="1053"/>
        <v>0</v>
      </c>
      <c r="AO712" s="2708">
        <f t="shared" ca="1" si="1054"/>
        <v>0</v>
      </c>
      <c r="AP712" s="17">
        <f ca="1">SUM(INDIRECT(AP$1&amp;AP$2&amp;$A712):INDIRECT(AP$1&amp;AP$3&amp;$A712))</f>
        <v>0</v>
      </c>
      <c r="AQ712" s="3072">
        <f t="shared" ca="1" si="1055"/>
        <v>0</v>
      </c>
      <c r="AR712" s="2708">
        <f t="shared" ca="1" si="1056"/>
        <v>0</v>
      </c>
      <c r="AT712" s="17">
        <f ca="1">SUM((INDIRECT(AT$2&amp;(ROW())):INDIRECT(AT$3&amp;(ROW()))))</f>
        <v>0</v>
      </c>
      <c r="AU712" s="17">
        <f ca="1">SUM(INDIRECT(AU$1&amp;AU$2&amp;$C712):INDIRECT(AU$1&amp;AU$3&amp;$C712))</f>
        <v>0</v>
      </c>
      <c r="AV712" s="3072">
        <f t="shared" ca="1" si="1057"/>
        <v>0</v>
      </c>
      <c r="AW712" s="2708">
        <f t="shared" ca="1" si="1058"/>
        <v>0</v>
      </c>
      <c r="AX712" s="17">
        <f ca="1">SUM(INDIRECT(AX$1&amp;AX$2&amp;$A712):INDIRECT(AX$1&amp;AX$3&amp;$A712))</f>
        <v>0</v>
      </c>
      <c r="AY712" s="3072">
        <f t="shared" ca="1" si="1059"/>
        <v>0</v>
      </c>
      <c r="AZ712" s="2708">
        <f t="shared" ca="1" si="1060"/>
        <v>0</v>
      </c>
      <c r="BB712" s="17">
        <f ca="1">SUM((INDIRECT(BB$2&amp;(ROW())):INDIRECT(BB$3&amp;(ROW()))))</f>
        <v>0</v>
      </c>
      <c r="BC712" s="17">
        <f ca="1">SUM(INDIRECT(BC$1&amp;BC$2&amp;$C712):INDIRECT(BC$1&amp;BC$3&amp;$C712))</f>
        <v>0</v>
      </c>
      <c r="BD712" s="3072">
        <f t="shared" ca="1" si="1061"/>
        <v>0</v>
      </c>
      <c r="BE712" s="2708">
        <f t="shared" ca="1" si="1062"/>
        <v>0</v>
      </c>
      <c r="BF712" s="17">
        <f ca="1">SUM(INDIRECT(BF$1&amp;BF$2&amp;$A712):INDIRECT(BF$1&amp;BF$3&amp;$A712))</f>
        <v>0</v>
      </c>
      <c r="BG712" s="3072">
        <f t="shared" ca="1" si="1063"/>
        <v>0</v>
      </c>
      <c r="BH712" s="2708">
        <f t="shared" ca="1" si="1064"/>
        <v>0</v>
      </c>
    </row>
    <row r="713" spans="1:60" ht="14.5">
      <c r="A713" s="616">
        <f t="shared" si="1008"/>
        <v>648</v>
      </c>
      <c r="B713" s="616">
        <v>1</v>
      </c>
      <c r="C713" s="616">
        <f t="shared" si="1083"/>
        <v>710</v>
      </c>
      <c r="E713" s="2547">
        <v>1</v>
      </c>
      <c r="I713" s="352"/>
      <c r="J713" s="353"/>
      <c r="K713" s="68"/>
      <c r="L713" s="68"/>
      <c r="M713" s="69"/>
      <c r="N713" s="69" t="s">
        <v>1403</v>
      </c>
      <c r="O713" s="69"/>
      <c r="P713" s="69"/>
      <c r="Q713" s="1779" t="str">
        <f>CHOOSE(2, "6722000003632", "S/GP (3) Gross Profit Indirect HW &amp; Solution EFI/LF")</f>
        <v>S/GP (3) Gross Profit Indirect HW &amp; Solution EFI/LF</v>
      </c>
      <c r="R713" s="1217">
        <v>0</v>
      </c>
      <c r="S713" s="1217">
        <v>0</v>
      </c>
      <c r="T713" s="1217">
        <v>0</v>
      </c>
      <c r="U713" s="1217">
        <v>0</v>
      </c>
      <c r="V713" s="1217">
        <v>0</v>
      </c>
      <c r="W713" s="1217">
        <v>0</v>
      </c>
      <c r="X713" s="1217">
        <v>0</v>
      </c>
      <c r="Y713" s="1217">
        <v>0</v>
      </c>
      <c r="Z713" s="1217">
        <v>0</v>
      </c>
      <c r="AA713" s="1217">
        <v>0</v>
      </c>
      <c r="AB713" s="1217">
        <v>0</v>
      </c>
      <c r="AC713" s="1217">
        <v>0</v>
      </c>
      <c r="AD713" s="88">
        <f t="shared" si="1087"/>
        <v>0</v>
      </c>
      <c r="AE713" s="17">
        <f t="shared" si="1088"/>
        <v>0</v>
      </c>
      <c r="AF713" s="17">
        <f t="shared" si="1089"/>
        <v>0</v>
      </c>
      <c r="AG713" s="17">
        <f t="shared" si="1090"/>
        <v>0</v>
      </c>
      <c r="AH713" s="17">
        <f t="shared" si="1091"/>
        <v>0</v>
      </c>
      <c r="AI713" s="17">
        <f t="shared" si="1092"/>
        <v>0</v>
      </c>
      <c r="AJ713" s="17">
        <f t="shared" si="1093"/>
        <v>0</v>
      </c>
      <c r="AL713" s="17">
        <f ca="1">SUM((INDIRECT(AL$2&amp;(ROW())):INDIRECT(AL$3&amp;(ROW()))))</f>
        <v>0</v>
      </c>
      <c r="AM713" s="17">
        <f ca="1">SUM(INDIRECT(AM$1&amp;AM$2&amp;$C713):INDIRECT(AM$1&amp;AM$3&amp;$C713))</f>
        <v>0</v>
      </c>
      <c r="AN713" s="3072">
        <f t="shared" ca="1" si="1053"/>
        <v>0</v>
      </c>
      <c r="AO713" s="2708">
        <f t="shared" ca="1" si="1054"/>
        <v>0</v>
      </c>
      <c r="AP713" s="17">
        <f ca="1">SUM(INDIRECT(AP$1&amp;AP$2&amp;$A713):INDIRECT(AP$1&amp;AP$3&amp;$A713))</f>
        <v>0</v>
      </c>
      <c r="AQ713" s="3072">
        <f t="shared" ca="1" si="1055"/>
        <v>0</v>
      </c>
      <c r="AR713" s="2708">
        <f t="shared" ca="1" si="1056"/>
        <v>0</v>
      </c>
      <c r="AT713" s="17">
        <f ca="1">SUM((INDIRECT(AT$2&amp;(ROW())):INDIRECT(AT$3&amp;(ROW()))))</f>
        <v>0</v>
      </c>
      <c r="AU713" s="17">
        <f ca="1">SUM(INDIRECT(AU$1&amp;AU$2&amp;$C713):INDIRECT(AU$1&amp;AU$3&amp;$C713))</f>
        <v>0</v>
      </c>
      <c r="AV713" s="3072">
        <f t="shared" ca="1" si="1057"/>
        <v>0</v>
      </c>
      <c r="AW713" s="2708">
        <f t="shared" ca="1" si="1058"/>
        <v>0</v>
      </c>
      <c r="AX713" s="17">
        <f ca="1">SUM(INDIRECT(AX$1&amp;AX$2&amp;$A713):INDIRECT(AX$1&amp;AX$3&amp;$A713))</f>
        <v>0</v>
      </c>
      <c r="AY713" s="3072">
        <f t="shared" ca="1" si="1059"/>
        <v>0</v>
      </c>
      <c r="AZ713" s="2708">
        <f t="shared" ca="1" si="1060"/>
        <v>0</v>
      </c>
      <c r="BB713" s="17">
        <f ca="1">SUM((INDIRECT(BB$2&amp;(ROW())):INDIRECT(BB$3&amp;(ROW()))))</f>
        <v>0</v>
      </c>
      <c r="BC713" s="17">
        <f ca="1">SUM(INDIRECT(BC$1&amp;BC$2&amp;$C713):INDIRECT(BC$1&amp;BC$3&amp;$C713))</f>
        <v>0</v>
      </c>
      <c r="BD713" s="3072">
        <f t="shared" ca="1" si="1061"/>
        <v>0</v>
      </c>
      <c r="BE713" s="2708">
        <f t="shared" ca="1" si="1062"/>
        <v>0</v>
      </c>
      <c r="BF713" s="17">
        <f ca="1">SUM(INDIRECT(BF$1&amp;BF$2&amp;$A713):INDIRECT(BF$1&amp;BF$3&amp;$A713))</f>
        <v>0</v>
      </c>
      <c r="BG713" s="3072">
        <f t="shared" ca="1" si="1063"/>
        <v>0</v>
      </c>
      <c r="BH713" s="2708">
        <f t="shared" ca="1" si="1064"/>
        <v>0</v>
      </c>
    </row>
    <row r="714" spans="1:60" ht="14.5">
      <c r="A714" s="616">
        <f t="shared" si="1008"/>
        <v>649</v>
      </c>
      <c r="B714" s="616">
        <v>1</v>
      </c>
      <c r="C714" s="616">
        <f t="shared" si="1083"/>
        <v>711</v>
      </c>
      <c r="E714" s="2547">
        <v>1</v>
      </c>
      <c r="I714" s="352"/>
      <c r="J714" s="353"/>
      <c r="K714" s="68"/>
      <c r="L714" s="68"/>
      <c r="M714" s="69"/>
      <c r="N714" s="69" t="s">
        <v>1404</v>
      </c>
      <c r="O714" s="69"/>
      <c r="P714" s="69"/>
      <c r="Q714" s="1779" t="str">
        <f>CHOOSE(2, "6722000003633", "S/GP (3) Gross Profit Indirect HW &amp; Solution Textile Printer")</f>
        <v>S/GP (3) Gross Profit Indirect HW &amp; Solution Textile Printer</v>
      </c>
      <c r="R714" s="1217">
        <v>0</v>
      </c>
      <c r="S714" s="1217">
        <v>0</v>
      </c>
      <c r="T714" s="1217">
        <v>0</v>
      </c>
      <c r="U714" s="1217">
        <v>0</v>
      </c>
      <c r="V714" s="1217">
        <v>0</v>
      </c>
      <c r="W714" s="1217">
        <v>0</v>
      </c>
      <c r="X714" s="1217">
        <v>0</v>
      </c>
      <c r="Y714" s="1217">
        <v>0</v>
      </c>
      <c r="Z714" s="1217">
        <v>0</v>
      </c>
      <c r="AA714" s="1217">
        <v>0</v>
      </c>
      <c r="AB714" s="1217">
        <v>0</v>
      </c>
      <c r="AC714" s="1217">
        <v>0</v>
      </c>
      <c r="AD714" s="88">
        <f t="shared" si="1087"/>
        <v>0</v>
      </c>
      <c r="AE714" s="17">
        <f t="shared" si="1088"/>
        <v>0</v>
      </c>
      <c r="AF714" s="17">
        <f t="shared" si="1089"/>
        <v>0</v>
      </c>
      <c r="AG714" s="17">
        <f t="shared" si="1090"/>
        <v>0</v>
      </c>
      <c r="AH714" s="17">
        <f t="shared" si="1091"/>
        <v>0</v>
      </c>
      <c r="AI714" s="17">
        <f t="shared" si="1092"/>
        <v>0</v>
      </c>
      <c r="AJ714" s="17">
        <f t="shared" si="1093"/>
        <v>0</v>
      </c>
      <c r="AL714" s="17">
        <f ca="1">SUM((INDIRECT(AL$2&amp;(ROW())):INDIRECT(AL$3&amp;(ROW()))))</f>
        <v>0</v>
      </c>
      <c r="AM714" s="17">
        <f ca="1">SUM(INDIRECT(AM$1&amp;AM$2&amp;$C714):INDIRECT(AM$1&amp;AM$3&amp;$C714))</f>
        <v>0</v>
      </c>
      <c r="AN714" s="3072">
        <f t="shared" ca="1" si="1053"/>
        <v>0</v>
      </c>
      <c r="AO714" s="2708">
        <f t="shared" ca="1" si="1054"/>
        <v>0</v>
      </c>
      <c r="AP714" s="17">
        <f ca="1">SUM(INDIRECT(AP$1&amp;AP$2&amp;$A714):INDIRECT(AP$1&amp;AP$3&amp;$A714))</f>
        <v>0</v>
      </c>
      <c r="AQ714" s="3072">
        <f t="shared" ca="1" si="1055"/>
        <v>0</v>
      </c>
      <c r="AR714" s="2708">
        <f t="shared" ca="1" si="1056"/>
        <v>0</v>
      </c>
      <c r="AT714" s="17">
        <f ca="1">SUM((INDIRECT(AT$2&amp;(ROW())):INDIRECT(AT$3&amp;(ROW()))))</f>
        <v>0</v>
      </c>
      <c r="AU714" s="17">
        <f ca="1">SUM(INDIRECT(AU$1&amp;AU$2&amp;$C714):INDIRECT(AU$1&amp;AU$3&amp;$C714))</f>
        <v>0</v>
      </c>
      <c r="AV714" s="3072">
        <f t="shared" ca="1" si="1057"/>
        <v>0</v>
      </c>
      <c r="AW714" s="2708">
        <f t="shared" ca="1" si="1058"/>
        <v>0</v>
      </c>
      <c r="AX714" s="17">
        <f ca="1">SUM(INDIRECT(AX$1&amp;AX$2&amp;$A714):INDIRECT(AX$1&amp;AX$3&amp;$A714))</f>
        <v>0</v>
      </c>
      <c r="AY714" s="3072">
        <f t="shared" ca="1" si="1059"/>
        <v>0</v>
      </c>
      <c r="AZ714" s="2708">
        <f t="shared" ca="1" si="1060"/>
        <v>0</v>
      </c>
      <c r="BB714" s="17">
        <f ca="1">SUM((INDIRECT(BB$2&amp;(ROW())):INDIRECT(BB$3&amp;(ROW()))))</f>
        <v>0</v>
      </c>
      <c r="BC714" s="17">
        <f ca="1">SUM(INDIRECT(BC$1&amp;BC$2&amp;$C714):INDIRECT(BC$1&amp;BC$3&amp;$C714))</f>
        <v>0</v>
      </c>
      <c r="BD714" s="3072">
        <f t="shared" ca="1" si="1061"/>
        <v>0</v>
      </c>
      <c r="BE714" s="2708">
        <f t="shared" ca="1" si="1062"/>
        <v>0</v>
      </c>
      <c r="BF714" s="17">
        <f ca="1">SUM(INDIRECT(BF$1&amp;BF$2&amp;$A714):INDIRECT(BF$1&amp;BF$3&amp;$A714))</f>
        <v>0</v>
      </c>
      <c r="BG714" s="3072">
        <f t="shared" ca="1" si="1063"/>
        <v>0</v>
      </c>
      <c r="BH714" s="2708">
        <f t="shared" ca="1" si="1064"/>
        <v>0</v>
      </c>
    </row>
    <row r="715" spans="1:60" ht="14.5">
      <c r="A715" s="616">
        <f t="shared" si="1008"/>
        <v>650</v>
      </c>
      <c r="B715" s="616">
        <v>1</v>
      </c>
      <c r="C715" s="616">
        <f t="shared" si="1083"/>
        <v>712</v>
      </c>
      <c r="E715" s="2547">
        <v>1</v>
      </c>
      <c r="I715" s="352"/>
      <c r="J715" s="353"/>
      <c r="K715" s="68"/>
      <c r="L715" s="68"/>
      <c r="M715" s="69"/>
      <c r="N715" s="211" t="s">
        <v>1386</v>
      </c>
      <c r="O715" s="211"/>
      <c r="P715" s="211"/>
      <c r="Q715" s="1779" t="str">
        <f>CHOOSE(2, "6722000003634", "S/GP (3) Gross Profit Indirect HW &amp; Solution Others")</f>
        <v>S/GP (3) Gross Profit Indirect HW &amp; Solution Others</v>
      </c>
      <c r="R715" s="1218">
        <v>0</v>
      </c>
      <c r="S715" s="1218">
        <v>0</v>
      </c>
      <c r="T715" s="1218">
        <v>0</v>
      </c>
      <c r="U715" s="1218">
        <v>0</v>
      </c>
      <c r="V715" s="1218">
        <v>0</v>
      </c>
      <c r="W715" s="1218">
        <v>0</v>
      </c>
      <c r="X715" s="1218">
        <v>0</v>
      </c>
      <c r="Y715" s="1218">
        <v>0</v>
      </c>
      <c r="Z715" s="1218">
        <v>0</v>
      </c>
      <c r="AA715" s="1218">
        <v>0</v>
      </c>
      <c r="AB715" s="1218">
        <v>0</v>
      </c>
      <c r="AC715" s="1218">
        <v>0</v>
      </c>
      <c r="AD715" s="87">
        <f t="shared" si="1087"/>
        <v>0</v>
      </c>
      <c r="AE715" s="15">
        <f t="shared" si="1088"/>
        <v>0</v>
      </c>
      <c r="AF715" s="15">
        <f t="shared" si="1089"/>
        <v>0</v>
      </c>
      <c r="AG715" s="15">
        <f t="shared" si="1090"/>
        <v>0</v>
      </c>
      <c r="AH715" s="15">
        <f t="shared" si="1091"/>
        <v>0</v>
      </c>
      <c r="AI715" s="15">
        <f t="shared" si="1092"/>
        <v>0</v>
      </c>
      <c r="AJ715" s="15">
        <f t="shared" si="1093"/>
        <v>0</v>
      </c>
      <c r="AL715" s="15">
        <f ca="1">SUM((INDIRECT(AL$2&amp;(ROW())):INDIRECT(AL$3&amp;(ROW()))))</f>
        <v>0</v>
      </c>
      <c r="AM715" s="15">
        <f ca="1">SUM(INDIRECT(AM$1&amp;AM$2&amp;$C715):INDIRECT(AM$1&amp;AM$3&amp;$C715))</f>
        <v>0</v>
      </c>
      <c r="AN715" s="3073">
        <f t="shared" ca="1" si="1053"/>
        <v>0</v>
      </c>
      <c r="AO715" s="2710">
        <f t="shared" ca="1" si="1054"/>
        <v>0</v>
      </c>
      <c r="AP715" s="15">
        <f ca="1">SUM(INDIRECT(AP$1&amp;AP$2&amp;$A715):INDIRECT(AP$1&amp;AP$3&amp;$A715))</f>
        <v>0</v>
      </c>
      <c r="AQ715" s="3073">
        <f t="shared" ca="1" si="1055"/>
        <v>0</v>
      </c>
      <c r="AR715" s="2710">
        <f t="shared" ca="1" si="1056"/>
        <v>0</v>
      </c>
      <c r="AT715" s="15">
        <f ca="1">SUM((INDIRECT(AT$2&amp;(ROW())):INDIRECT(AT$3&amp;(ROW()))))</f>
        <v>0</v>
      </c>
      <c r="AU715" s="15">
        <f ca="1">SUM(INDIRECT(AU$1&amp;AU$2&amp;$C715):INDIRECT(AU$1&amp;AU$3&amp;$C715))</f>
        <v>0</v>
      </c>
      <c r="AV715" s="3073">
        <f t="shared" ca="1" si="1057"/>
        <v>0</v>
      </c>
      <c r="AW715" s="2710">
        <f t="shared" ca="1" si="1058"/>
        <v>0</v>
      </c>
      <c r="AX715" s="15">
        <f ca="1">SUM(INDIRECT(AX$1&amp;AX$2&amp;$A715):INDIRECT(AX$1&amp;AX$3&amp;$A715))</f>
        <v>0</v>
      </c>
      <c r="AY715" s="3073">
        <f t="shared" ca="1" si="1059"/>
        <v>0</v>
      </c>
      <c r="AZ715" s="2710">
        <f t="shared" ca="1" si="1060"/>
        <v>0</v>
      </c>
      <c r="BB715" s="15">
        <f ca="1">SUM((INDIRECT(BB$2&amp;(ROW())):INDIRECT(BB$3&amp;(ROW()))))</f>
        <v>0</v>
      </c>
      <c r="BC715" s="15">
        <f ca="1">SUM(INDIRECT(BC$1&amp;BC$2&amp;$C715):INDIRECT(BC$1&amp;BC$3&amp;$C715))</f>
        <v>0</v>
      </c>
      <c r="BD715" s="3073">
        <f t="shared" ca="1" si="1061"/>
        <v>0</v>
      </c>
      <c r="BE715" s="2710">
        <f t="shared" ca="1" si="1062"/>
        <v>0</v>
      </c>
      <c r="BF715" s="15">
        <f ca="1">SUM(INDIRECT(BF$1&amp;BF$2&amp;$A715):INDIRECT(BF$1&amp;BF$3&amp;$A715))</f>
        <v>0</v>
      </c>
      <c r="BG715" s="3073">
        <f t="shared" ca="1" si="1063"/>
        <v>0</v>
      </c>
      <c r="BH715" s="2710">
        <f t="shared" ca="1" si="1064"/>
        <v>0</v>
      </c>
    </row>
    <row r="716" spans="1:60" ht="14.5">
      <c r="A716" s="616">
        <f t="shared" si="1008"/>
        <v>651</v>
      </c>
      <c r="B716" s="616">
        <v>1</v>
      </c>
      <c r="C716" s="616">
        <f t="shared" si="1083"/>
        <v>713</v>
      </c>
      <c r="E716" s="2547">
        <v>1</v>
      </c>
      <c r="I716" s="352"/>
      <c r="J716" s="353"/>
      <c r="K716" s="68"/>
      <c r="L716" s="68"/>
      <c r="M716" s="786" t="s">
        <v>1490</v>
      </c>
      <c r="N716" s="786"/>
      <c r="O716" s="786"/>
      <c r="P716" s="786"/>
      <c r="Q716" s="1777" t="str">
        <f>CHOOSE(2, "6722000003635", "S/GP (3) Gross Profit Indirect NH")</f>
        <v>S/GP (3) Gross Profit Indirect NH</v>
      </c>
      <c r="R716" s="3070">
        <f t="shared" ref="R716:AJ716" si="1094">R717+R723+R729+R735+R741+R747+R750+R751</f>
        <v>0</v>
      </c>
      <c r="S716" s="3070">
        <f t="shared" si="1094"/>
        <v>0</v>
      </c>
      <c r="T716" s="3070">
        <f t="shared" si="1094"/>
        <v>0</v>
      </c>
      <c r="U716" s="3070">
        <f t="shared" si="1094"/>
        <v>0</v>
      </c>
      <c r="V716" s="3070">
        <f t="shared" si="1094"/>
        <v>0</v>
      </c>
      <c r="W716" s="3070">
        <f t="shared" si="1094"/>
        <v>0</v>
      </c>
      <c r="X716" s="3070">
        <f t="shared" si="1094"/>
        <v>0</v>
      </c>
      <c r="Y716" s="3070">
        <f t="shared" si="1094"/>
        <v>0</v>
      </c>
      <c r="Z716" s="3070">
        <f t="shared" si="1094"/>
        <v>0</v>
      </c>
      <c r="AA716" s="3070">
        <f t="shared" si="1094"/>
        <v>0</v>
      </c>
      <c r="AB716" s="3070">
        <f t="shared" si="1094"/>
        <v>0</v>
      </c>
      <c r="AC716" s="3070">
        <f t="shared" si="1094"/>
        <v>0</v>
      </c>
      <c r="AD716" s="3069">
        <f t="shared" si="1094"/>
        <v>0</v>
      </c>
      <c r="AE716" s="3070">
        <f t="shared" si="1094"/>
        <v>0</v>
      </c>
      <c r="AF716" s="3070">
        <f t="shared" si="1094"/>
        <v>0</v>
      </c>
      <c r="AG716" s="3070">
        <f t="shared" si="1094"/>
        <v>0</v>
      </c>
      <c r="AH716" s="3070">
        <f t="shared" si="1094"/>
        <v>0</v>
      </c>
      <c r="AI716" s="3070">
        <f t="shared" si="1094"/>
        <v>0</v>
      </c>
      <c r="AJ716" s="3070">
        <f t="shared" si="1094"/>
        <v>0</v>
      </c>
      <c r="AL716" s="3070">
        <f ca="1">SUM((INDIRECT(AL$2&amp;(ROW())):INDIRECT(AL$3&amp;(ROW()))))</f>
        <v>0</v>
      </c>
      <c r="AM716" s="3070">
        <f ca="1">SUM(INDIRECT(AM$1&amp;AM$2&amp;$C716):INDIRECT(AM$1&amp;AM$3&amp;$C716))</f>
        <v>0</v>
      </c>
      <c r="AN716" s="3071">
        <f t="shared" ca="1" si="1053"/>
        <v>0</v>
      </c>
      <c r="AO716" s="2706">
        <f t="shared" ca="1" si="1054"/>
        <v>0</v>
      </c>
      <c r="AP716" s="3070">
        <f ca="1">SUM(INDIRECT(AP$1&amp;AP$2&amp;$A716):INDIRECT(AP$1&amp;AP$3&amp;$A716))</f>
        <v>0</v>
      </c>
      <c r="AQ716" s="3071">
        <f t="shared" ca="1" si="1055"/>
        <v>0</v>
      </c>
      <c r="AR716" s="2706">
        <f t="shared" ca="1" si="1056"/>
        <v>0</v>
      </c>
      <c r="AT716" s="3070">
        <f ca="1">SUM((INDIRECT(AT$2&amp;(ROW())):INDIRECT(AT$3&amp;(ROW()))))</f>
        <v>0</v>
      </c>
      <c r="AU716" s="3070">
        <f ca="1">SUM(INDIRECT(AU$1&amp;AU$2&amp;$C716):INDIRECT(AU$1&amp;AU$3&amp;$C716))</f>
        <v>0</v>
      </c>
      <c r="AV716" s="3071">
        <f t="shared" ca="1" si="1057"/>
        <v>0</v>
      </c>
      <c r="AW716" s="2706">
        <f t="shared" ca="1" si="1058"/>
        <v>0</v>
      </c>
      <c r="AX716" s="3070">
        <f ca="1">SUM(INDIRECT(AX$1&amp;AX$2&amp;$A716):INDIRECT(AX$1&amp;AX$3&amp;$A716))</f>
        <v>0</v>
      </c>
      <c r="AY716" s="3071">
        <f t="shared" ca="1" si="1059"/>
        <v>0</v>
      </c>
      <c r="AZ716" s="2706">
        <f t="shared" ca="1" si="1060"/>
        <v>0</v>
      </c>
      <c r="BB716" s="3070">
        <f ca="1">SUM((INDIRECT(BB$2&amp;(ROW())):INDIRECT(BB$3&amp;(ROW()))))</f>
        <v>0</v>
      </c>
      <c r="BC716" s="3070">
        <f ca="1">SUM(INDIRECT(BC$1&amp;BC$2&amp;$C716):INDIRECT(BC$1&amp;BC$3&amp;$C716))</f>
        <v>0</v>
      </c>
      <c r="BD716" s="3071">
        <f t="shared" ca="1" si="1061"/>
        <v>0</v>
      </c>
      <c r="BE716" s="2706">
        <f t="shared" ca="1" si="1062"/>
        <v>0</v>
      </c>
      <c r="BF716" s="3070">
        <f ca="1">SUM(INDIRECT(BF$1&amp;BF$2&amp;$A716):INDIRECT(BF$1&amp;BF$3&amp;$A716))</f>
        <v>0</v>
      </c>
      <c r="BG716" s="3071">
        <f t="shared" ca="1" si="1063"/>
        <v>0</v>
      </c>
      <c r="BH716" s="2706">
        <f t="shared" ca="1" si="1064"/>
        <v>0</v>
      </c>
    </row>
    <row r="717" spans="1:60" ht="14.5">
      <c r="A717" s="616">
        <f t="shared" si="1008"/>
        <v>652</v>
      </c>
      <c r="B717" s="616">
        <v>1</v>
      </c>
      <c r="C717" s="616">
        <f t="shared" si="1083"/>
        <v>714</v>
      </c>
      <c r="E717" s="2547">
        <v>1</v>
      </c>
      <c r="I717" s="352"/>
      <c r="J717" s="353"/>
      <c r="K717" s="68"/>
      <c r="L717" s="68"/>
      <c r="M717" s="69"/>
      <c r="N717" s="740" t="s">
        <v>1489</v>
      </c>
      <c r="O717" s="302"/>
      <c r="P717" s="302"/>
      <c r="Q717" s="1777" t="str">
        <f>CHOOSE(2, "6722000003636", "S/GP (3) Gross Profit Indirect NH KM-1/KM-1e")</f>
        <v>S/GP (3) Gross Profit Indirect NH KM-1/KM-1e</v>
      </c>
      <c r="R717" s="287">
        <f t="shared" ref="R717:AJ717" si="1095">R718+R719</f>
        <v>0</v>
      </c>
      <c r="S717" s="287">
        <f t="shared" si="1095"/>
        <v>0</v>
      </c>
      <c r="T717" s="287">
        <f t="shared" si="1095"/>
        <v>0</v>
      </c>
      <c r="U717" s="287">
        <f t="shared" si="1095"/>
        <v>0</v>
      </c>
      <c r="V717" s="287">
        <f t="shared" si="1095"/>
        <v>0</v>
      </c>
      <c r="W717" s="287">
        <f t="shared" si="1095"/>
        <v>0</v>
      </c>
      <c r="X717" s="287">
        <f t="shared" si="1095"/>
        <v>0</v>
      </c>
      <c r="Y717" s="287">
        <f t="shared" si="1095"/>
        <v>0</v>
      </c>
      <c r="Z717" s="287">
        <f t="shared" si="1095"/>
        <v>0</v>
      </c>
      <c r="AA717" s="287">
        <f t="shared" si="1095"/>
        <v>0</v>
      </c>
      <c r="AB717" s="287">
        <f t="shared" si="1095"/>
        <v>0</v>
      </c>
      <c r="AC717" s="287">
        <f t="shared" si="1095"/>
        <v>0</v>
      </c>
      <c r="AD717" s="315">
        <f t="shared" si="1095"/>
        <v>0</v>
      </c>
      <c r="AE717" s="287">
        <f t="shared" si="1095"/>
        <v>0</v>
      </c>
      <c r="AF717" s="287">
        <f t="shared" si="1095"/>
        <v>0</v>
      </c>
      <c r="AG717" s="287">
        <f t="shared" si="1095"/>
        <v>0</v>
      </c>
      <c r="AH717" s="287">
        <f t="shared" si="1095"/>
        <v>0</v>
      </c>
      <c r="AI717" s="287">
        <f t="shared" si="1095"/>
        <v>0</v>
      </c>
      <c r="AJ717" s="287">
        <f t="shared" si="1095"/>
        <v>0</v>
      </c>
      <c r="AL717" s="287">
        <f ca="1">SUM((INDIRECT(AL$2&amp;(ROW())):INDIRECT(AL$3&amp;(ROW()))))</f>
        <v>0</v>
      </c>
      <c r="AM717" s="287">
        <f ca="1">SUM(INDIRECT(AM$1&amp;AM$2&amp;$C717):INDIRECT(AM$1&amp;AM$3&amp;$C717))</f>
        <v>0</v>
      </c>
      <c r="AN717" s="3226">
        <f t="shared" ca="1" si="1053"/>
        <v>0</v>
      </c>
      <c r="AO717" s="2876">
        <f t="shared" ca="1" si="1054"/>
        <v>0</v>
      </c>
      <c r="AP717" s="287">
        <f ca="1">SUM(INDIRECT(AP$1&amp;AP$2&amp;$A717):INDIRECT(AP$1&amp;AP$3&amp;$A717))</f>
        <v>0</v>
      </c>
      <c r="AQ717" s="3226">
        <f t="shared" ca="1" si="1055"/>
        <v>0</v>
      </c>
      <c r="AR717" s="2876">
        <f t="shared" ca="1" si="1056"/>
        <v>0</v>
      </c>
      <c r="AT717" s="287">
        <f ca="1">SUM((INDIRECT(AT$2&amp;(ROW())):INDIRECT(AT$3&amp;(ROW()))))</f>
        <v>0</v>
      </c>
      <c r="AU717" s="287">
        <f ca="1">SUM(INDIRECT(AU$1&amp;AU$2&amp;$C717):INDIRECT(AU$1&amp;AU$3&amp;$C717))</f>
        <v>0</v>
      </c>
      <c r="AV717" s="3226">
        <f t="shared" ca="1" si="1057"/>
        <v>0</v>
      </c>
      <c r="AW717" s="2876">
        <f t="shared" ca="1" si="1058"/>
        <v>0</v>
      </c>
      <c r="AX717" s="287">
        <f ca="1">SUM(INDIRECT(AX$1&amp;AX$2&amp;$A717):INDIRECT(AX$1&amp;AX$3&amp;$A717))</f>
        <v>0</v>
      </c>
      <c r="AY717" s="3226">
        <f t="shared" ca="1" si="1059"/>
        <v>0</v>
      </c>
      <c r="AZ717" s="2876">
        <f t="shared" ca="1" si="1060"/>
        <v>0</v>
      </c>
      <c r="BB717" s="287">
        <f ca="1">SUM((INDIRECT(BB$2&amp;(ROW())):INDIRECT(BB$3&amp;(ROW()))))</f>
        <v>0</v>
      </c>
      <c r="BC717" s="287">
        <f ca="1">SUM(INDIRECT(BC$1&amp;BC$2&amp;$C717):INDIRECT(BC$1&amp;BC$3&amp;$C717))</f>
        <v>0</v>
      </c>
      <c r="BD717" s="3226">
        <f t="shared" ca="1" si="1061"/>
        <v>0</v>
      </c>
      <c r="BE717" s="2876">
        <f t="shared" ca="1" si="1062"/>
        <v>0</v>
      </c>
      <c r="BF717" s="287">
        <f ca="1">SUM(INDIRECT(BF$1&amp;BF$2&amp;$A717):INDIRECT(BF$1&amp;BF$3&amp;$A717))</f>
        <v>0</v>
      </c>
      <c r="BG717" s="3226">
        <f t="shared" ca="1" si="1063"/>
        <v>0</v>
      </c>
      <c r="BH717" s="2876">
        <f t="shared" ca="1" si="1064"/>
        <v>0</v>
      </c>
    </row>
    <row r="718" spans="1:60" ht="14.5">
      <c r="A718" s="616">
        <f t="shared" si="1008"/>
        <v>653</v>
      </c>
      <c r="B718" s="616">
        <v>1</v>
      </c>
      <c r="C718" s="616">
        <f t="shared" si="1083"/>
        <v>715</v>
      </c>
      <c r="E718" s="2547">
        <v>1</v>
      </c>
      <c r="I718" s="352"/>
      <c r="J718" s="353"/>
      <c r="K718" s="68"/>
      <c r="L718" s="68"/>
      <c r="M718" s="69"/>
      <c r="N718" s="69"/>
      <c r="O718" s="740" t="s">
        <v>1489</v>
      </c>
      <c r="P718" s="305"/>
      <c r="Q718" s="1779" t="str">
        <f>CHOOSE(2, "6722000003637", "S/GP (3) Gross Profit Indirect NH KM-1/KM-1e KM-1/KM-1e")</f>
        <v>S/GP (3) Gross Profit Indirect NH KM-1/KM-1e KM-1/KM-1e</v>
      </c>
      <c r="R718" s="1254">
        <v>0</v>
      </c>
      <c r="S718" s="1254">
        <v>0</v>
      </c>
      <c r="T718" s="1254">
        <v>0</v>
      </c>
      <c r="U718" s="1254">
        <v>0</v>
      </c>
      <c r="V718" s="1254">
        <v>0</v>
      </c>
      <c r="W718" s="1254">
        <v>0</v>
      </c>
      <c r="X718" s="1254">
        <v>0</v>
      </c>
      <c r="Y718" s="1254">
        <v>0</v>
      </c>
      <c r="Z718" s="1254">
        <v>0</v>
      </c>
      <c r="AA718" s="1254">
        <v>0</v>
      </c>
      <c r="AB718" s="1254">
        <v>0</v>
      </c>
      <c r="AC718" s="1254">
        <v>0</v>
      </c>
      <c r="AD718" s="903">
        <f>SUM(R718,S718,T718)</f>
        <v>0</v>
      </c>
      <c r="AE718" s="58">
        <f t="shared" ref="AE718" si="1096">SUM(U718,V718,W718)</f>
        <v>0</v>
      </c>
      <c r="AF718" s="58">
        <f t="shared" ref="AF718" si="1097">SUM(X718,Y718,Z718)</f>
        <v>0</v>
      </c>
      <c r="AG718" s="58">
        <f t="shared" ref="AG718" si="1098">SUM(AA718,AB718,AC718)</f>
        <v>0</v>
      </c>
      <c r="AH718" s="58">
        <f>AD718+AE718</f>
        <v>0</v>
      </c>
      <c r="AI718" s="58">
        <f>AG718+AF718</f>
        <v>0</v>
      </c>
      <c r="AJ718" s="58">
        <f>AH718+AI718</f>
        <v>0</v>
      </c>
      <c r="AL718" s="58">
        <f ca="1">SUM((INDIRECT(AL$2&amp;(ROW())):INDIRECT(AL$3&amp;(ROW()))))</f>
        <v>0</v>
      </c>
      <c r="AM718" s="58">
        <f ca="1">SUM(INDIRECT(AM$1&amp;AM$2&amp;$C718):INDIRECT(AM$1&amp;AM$3&amp;$C718))</f>
        <v>0</v>
      </c>
      <c r="AN718" s="3261">
        <f t="shared" ca="1" si="1053"/>
        <v>0</v>
      </c>
      <c r="AO718" s="2913">
        <f t="shared" ca="1" si="1054"/>
        <v>0</v>
      </c>
      <c r="AP718" s="58">
        <f ca="1">SUM(INDIRECT(AP$1&amp;AP$2&amp;$A718):INDIRECT(AP$1&amp;AP$3&amp;$A718))</f>
        <v>0</v>
      </c>
      <c r="AQ718" s="3261">
        <f t="shared" ca="1" si="1055"/>
        <v>0</v>
      </c>
      <c r="AR718" s="2913">
        <f t="shared" ca="1" si="1056"/>
        <v>0</v>
      </c>
      <c r="AT718" s="58">
        <f ca="1">SUM((INDIRECT(AT$2&amp;(ROW())):INDIRECT(AT$3&amp;(ROW()))))</f>
        <v>0</v>
      </c>
      <c r="AU718" s="58">
        <f ca="1">SUM(INDIRECT(AU$1&amp;AU$2&amp;$C718):INDIRECT(AU$1&amp;AU$3&amp;$C718))</f>
        <v>0</v>
      </c>
      <c r="AV718" s="3261">
        <f t="shared" ca="1" si="1057"/>
        <v>0</v>
      </c>
      <c r="AW718" s="2913">
        <f t="shared" ca="1" si="1058"/>
        <v>0</v>
      </c>
      <c r="AX718" s="58">
        <f ca="1">SUM(INDIRECT(AX$1&amp;AX$2&amp;$A718):INDIRECT(AX$1&amp;AX$3&amp;$A718))</f>
        <v>0</v>
      </c>
      <c r="AY718" s="3261">
        <f t="shared" ca="1" si="1059"/>
        <v>0</v>
      </c>
      <c r="AZ718" s="2913">
        <f t="shared" ca="1" si="1060"/>
        <v>0</v>
      </c>
      <c r="BB718" s="58">
        <f ca="1">SUM((INDIRECT(BB$2&amp;(ROW())):INDIRECT(BB$3&amp;(ROW()))))</f>
        <v>0</v>
      </c>
      <c r="BC718" s="58">
        <f ca="1">SUM(INDIRECT(BC$1&amp;BC$2&amp;$C718):INDIRECT(BC$1&amp;BC$3&amp;$C718))</f>
        <v>0</v>
      </c>
      <c r="BD718" s="3261">
        <f t="shared" ca="1" si="1061"/>
        <v>0</v>
      </c>
      <c r="BE718" s="2913">
        <f t="shared" ca="1" si="1062"/>
        <v>0</v>
      </c>
      <c r="BF718" s="58">
        <f ca="1">SUM(INDIRECT(BF$1&amp;BF$2&amp;$A718):INDIRECT(BF$1&amp;BF$3&amp;$A718))</f>
        <v>0</v>
      </c>
      <c r="BG718" s="3261">
        <f t="shared" ca="1" si="1063"/>
        <v>0</v>
      </c>
      <c r="BH718" s="2913">
        <f t="shared" ca="1" si="1064"/>
        <v>0</v>
      </c>
    </row>
    <row r="719" spans="1:60" s="69" customFormat="1" ht="14.5">
      <c r="A719" s="616">
        <f t="shared" si="1008"/>
        <v>654</v>
      </c>
      <c r="B719" s="616">
        <v>1</v>
      </c>
      <c r="C719" s="616">
        <f t="shared" si="1083"/>
        <v>716</v>
      </c>
      <c r="E719" s="2547">
        <v>1</v>
      </c>
      <c r="F719" s="9"/>
      <c r="G719" s="9"/>
      <c r="H719" s="22"/>
      <c r="I719" s="352"/>
      <c r="J719" s="353"/>
      <c r="K719" s="68"/>
      <c r="L719" s="68"/>
      <c r="O719" s="306" t="s">
        <v>1491</v>
      </c>
      <c r="P719" s="306"/>
      <c r="Q719" s="1782" t="str">
        <f>CHOOSE(2, "6722000003638", "S/GP (3) Gross Profit Indirect NH KM-1/KM-1e FSC (-)")</f>
        <v>S/GP (3) Gross Profit Indirect NH KM-1/KM-1e FSC (-)</v>
      </c>
      <c r="R719" s="1250">
        <f t="shared" ref="R719:AC719" si="1099">SUM(R720:R722)</f>
        <v>0</v>
      </c>
      <c r="S719" s="1250">
        <f t="shared" si="1099"/>
        <v>0</v>
      </c>
      <c r="T719" s="1250">
        <f t="shared" si="1099"/>
        <v>0</v>
      </c>
      <c r="U719" s="1250">
        <f t="shared" si="1099"/>
        <v>0</v>
      </c>
      <c r="V719" s="1250">
        <f t="shared" si="1099"/>
        <v>0</v>
      </c>
      <c r="W719" s="1250">
        <f t="shared" si="1099"/>
        <v>0</v>
      </c>
      <c r="X719" s="1250">
        <f t="shared" si="1099"/>
        <v>0</v>
      </c>
      <c r="Y719" s="1250">
        <f t="shared" si="1099"/>
        <v>0</v>
      </c>
      <c r="Z719" s="1250">
        <f t="shared" si="1099"/>
        <v>0</v>
      </c>
      <c r="AA719" s="1250">
        <f t="shared" si="1099"/>
        <v>0</v>
      </c>
      <c r="AB719" s="1250">
        <f t="shared" si="1099"/>
        <v>0</v>
      </c>
      <c r="AC719" s="1250">
        <f t="shared" si="1099"/>
        <v>0</v>
      </c>
      <c r="AD719" s="899">
        <f>SUM(R719:T719)</f>
        <v>0</v>
      </c>
      <c r="AE719" s="1250">
        <f>SUM(U719:W719)</f>
        <v>0</v>
      </c>
      <c r="AF719" s="1250">
        <f>SUM(X719:Z719)</f>
        <v>0</v>
      </c>
      <c r="AG719" s="1250">
        <f>SUM(AA719:AC719)</f>
        <v>0</v>
      </c>
      <c r="AH719" s="1250">
        <f>AD719+AE719</f>
        <v>0</v>
      </c>
      <c r="AI719" s="1250">
        <f>AG719+AF719</f>
        <v>0</v>
      </c>
      <c r="AJ719" s="1250">
        <f>AH719+AI719</f>
        <v>0</v>
      </c>
      <c r="AL719" s="1250">
        <f ca="1">SUM((INDIRECT(AL$2&amp;(ROW())):INDIRECT(AL$3&amp;(ROW()))))</f>
        <v>0</v>
      </c>
      <c r="AM719" s="1250">
        <f ca="1">SUM(INDIRECT(AM$1&amp;AM$2&amp;$C719):INDIRECT(AM$1&amp;AM$3&amp;$C719))</f>
        <v>0</v>
      </c>
      <c r="AN719" s="3232">
        <f t="shared" ca="1" si="1053"/>
        <v>0</v>
      </c>
      <c r="AO719" s="2888">
        <f t="shared" ca="1" si="1054"/>
        <v>0</v>
      </c>
      <c r="AP719" s="1250">
        <f ca="1">SUM(INDIRECT(AP$1&amp;AP$2&amp;$A719):INDIRECT(AP$1&amp;AP$3&amp;$A719))</f>
        <v>0</v>
      </c>
      <c r="AQ719" s="3232">
        <f t="shared" ca="1" si="1055"/>
        <v>0</v>
      </c>
      <c r="AR719" s="2888">
        <f t="shared" ca="1" si="1056"/>
        <v>0</v>
      </c>
      <c r="AT719" s="1250">
        <f ca="1">SUM((INDIRECT(AT$2&amp;(ROW())):INDIRECT(AT$3&amp;(ROW()))))</f>
        <v>0</v>
      </c>
      <c r="AU719" s="1250">
        <f ca="1">SUM(INDIRECT(AU$1&amp;AU$2&amp;$C719):INDIRECT(AU$1&amp;AU$3&amp;$C719))</f>
        <v>0</v>
      </c>
      <c r="AV719" s="3232">
        <f t="shared" ca="1" si="1057"/>
        <v>0</v>
      </c>
      <c r="AW719" s="2888">
        <f t="shared" ca="1" si="1058"/>
        <v>0</v>
      </c>
      <c r="AX719" s="1250">
        <f ca="1">SUM(INDIRECT(AX$1&amp;AX$2&amp;$A719):INDIRECT(AX$1&amp;AX$3&amp;$A719))</f>
        <v>0</v>
      </c>
      <c r="AY719" s="3232">
        <f t="shared" ca="1" si="1059"/>
        <v>0</v>
      </c>
      <c r="AZ719" s="2888">
        <f t="shared" ca="1" si="1060"/>
        <v>0</v>
      </c>
      <c r="BB719" s="1250">
        <f ca="1">SUM((INDIRECT(BB$2&amp;(ROW())):INDIRECT(BB$3&amp;(ROW()))))</f>
        <v>0</v>
      </c>
      <c r="BC719" s="1250">
        <f ca="1">SUM(INDIRECT(BC$1&amp;BC$2&amp;$C719):INDIRECT(BC$1&amp;BC$3&amp;$C719))</f>
        <v>0</v>
      </c>
      <c r="BD719" s="3232">
        <f t="shared" ca="1" si="1061"/>
        <v>0</v>
      </c>
      <c r="BE719" s="2888">
        <f t="shared" ca="1" si="1062"/>
        <v>0</v>
      </c>
      <c r="BF719" s="1250">
        <f ca="1">SUM(INDIRECT(BF$1&amp;BF$2&amp;$A719):INDIRECT(BF$1&amp;BF$3&amp;$A719))</f>
        <v>0</v>
      </c>
      <c r="BG719" s="3232">
        <f t="shared" ca="1" si="1063"/>
        <v>0</v>
      </c>
      <c r="BH719" s="2888">
        <f t="shared" ca="1" si="1064"/>
        <v>0</v>
      </c>
    </row>
    <row r="720" spans="1:60" s="69" customFormat="1" ht="14.5">
      <c r="A720" s="616">
        <f t="shared" si="1008"/>
        <v>655</v>
      </c>
      <c r="B720" s="616">
        <v>1</v>
      </c>
      <c r="C720" s="616">
        <f t="shared" si="1083"/>
        <v>717</v>
      </c>
      <c r="E720" s="2547">
        <v>1</v>
      </c>
      <c r="F720" s="9"/>
      <c r="G720" s="9"/>
      <c r="H720" s="22"/>
      <c r="I720" s="352"/>
      <c r="J720" s="353"/>
      <c r="K720" s="68"/>
      <c r="L720" s="68"/>
      <c r="O720" s="307"/>
      <c r="P720" s="291" t="s">
        <v>1471</v>
      </c>
      <c r="Q720" s="1779" t="str">
        <f>CHOOSE(2, "6722000003639", "S/GP (3) Gross Profit Indirect NH KM-1/KM-1e FSC (-) PC")</f>
        <v>S/GP (3) Gross Profit Indirect NH KM-1/KM-1e FSC (-) PC</v>
      </c>
      <c r="R720" s="1227">
        <v>0</v>
      </c>
      <c r="S720" s="1227">
        <v>0</v>
      </c>
      <c r="T720" s="1227">
        <v>0</v>
      </c>
      <c r="U720" s="1227">
        <v>0</v>
      </c>
      <c r="V720" s="1227">
        <v>0</v>
      </c>
      <c r="W720" s="1227">
        <v>0</v>
      </c>
      <c r="X720" s="1227">
        <v>0</v>
      </c>
      <c r="Y720" s="1227">
        <v>0</v>
      </c>
      <c r="Z720" s="1227">
        <v>0</v>
      </c>
      <c r="AA720" s="1227">
        <v>0</v>
      </c>
      <c r="AB720" s="1227">
        <v>0</v>
      </c>
      <c r="AC720" s="1227">
        <v>0</v>
      </c>
      <c r="AD720" s="896">
        <f>SUM(R720,S720,T720)</f>
        <v>0</v>
      </c>
      <c r="AE720" s="95">
        <f t="shared" ref="AE720:AE722" si="1100">SUM(U720,V720,W720)</f>
        <v>0</v>
      </c>
      <c r="AF720" s="95">
        <f t="shared" ref="AF720:AF722" si="1101">SUM(X720,Y720,Z720)</f>
        <v>0</v>
      </c>
      <c r="AG720" s="95">
        <f t="shared" ref="AG720:AG722" si="1102">SUM(AA720,AB720,AC720)</f>
        <v>0</v>
      </c>
      <c r="AH720" s="95">
        <f>AD720+AE720</f>
        <v>0</v>
      </c>
      <c r="AI720" s="95">
        <f>AG720+AF720</f>
        <v>0</v>
      </c>
      <c r="AJ720" s="95">
        <f>AH720+AI720</f>
        <v>0</v>
      </c>
      <c r="AL720" s="95">
        <f ca="1">SUM((INDIRECT(AL$2&amp;(ROW())):INDIRECT(AL$3&amp;(ROW()))))</f>
        <v>0</v>
      </c>
      <c r="AM720" s="95">
        <f ca="1">SUM(INDIRECT(AM$1&amp;AM$2&amp;$C720):INDIRECT(AM$1&amp;AM$3&amp;$C720))</f>
        <v>0</v>
      </c>
      <c r="AN720" s="3228">
        <f t="shared" ca="1" si="1053"/>
        <v>0</v>
      </c>
      <c r="AO720" s="2880">
        <f t="shared" ca="1" si="1054"/>
        <v>0</v>
      </c>
      <c r="AP720" s="95">
        <f ca="1">SUM(INDIRECT(AP$1&amp;AP$2&amp;$A720):INDIRECT(AP$1&amp;AP$3&amp;$A720))</f>
        <v>0</v>
      </c>
      <c r="AQ720" s="3228">
        <f t="shared" ca="1" si="1055"/>
        <v>0</v>
      </c>
      <c r="AR720" s="2880">
        <f t="shared" ca="1" si="1056"/>
        <v>0</v>
      </c>
      <c r="AT720" s="95">
        <f ca="1">SUM((INDIRECT(AT$2&amp;(ROW())):INDIRECT(AT$3&amp;(ROW()))))</f>
        <v>0</v>
      </c>
      <c r="AU720" s="95">
        <f ca="1">SUM(INDIRECT(AU$1&amp;AU$2&amp;$C720):INDIRECT(AU$1&amp;AU$3&amp;$C720))</f>
        <v>0</v>
      </c>
      <c r="AV720" s="3228">
        <f t="shared" ca="1" si="1057"/>
        <v>0</v>
      </c>
      <c r="AW720" s="2880">
        <f t="shared" ca="1" si="1058"/>
        <v>0</v>
      </c>
      <c r="AX720" s="95">
        <f ca="1">SUM(INDIRECT(AX$1&amp;AX$2&amp;$A720):INDIRECT(AX$1&amp;AX$3&amp;$A720))</f>
        <v>0</v>
      </c>
      <c r="AY720" s="3228">
        <f t="shared" ca="1" si="1059"/>
        <v>0</v>
      </c>
      <c r="AZ720" s="2880">
        <f t="shared" ca="1" si="1060"/>
        <v>0</v>
      </c>
      <c r="BB720" s="95">
        <f ca="1">SUM((INDIRECT(BB$2&amp;(ROW())):INDIRECT(BB$3&amp;(ROW()))))</f>
        <v>0</v>
      </c>
      <c r="BC720" s="95">
        <f ca="1">SUM(INDIRECT(BC$1&amp;BC$2&amp;$C720):INDIRECT(BC$1&amp;BC$3&amp;$C720))</f>
        <v>0</v>
      </c>
      <c r="BD720" s="3228">
        <f t="shared" ca="1" si="1061"/>
        <v>0</v>
      </c>
      <c r="BE720" s="2880">
        <f t="shared" ca="1" si="1062"/>
        <v>0</v>
      </c>
      <c r="BF720" s="95">
        <f ca="1">SUM(INDIRECT(BF$1&amp;BF$2&amp;$A720):INDIRECT(BF$1&amp;BF$3&amp;$A720))</f>
        <v>0</v>
      </c>
      <c r="BG720" s="3228">
        <f t="shared" ca="1" si="1063"/>
        <v>0</v>
      </c>
      <c r="BH720" s="2880">
        <f t="shared" ca="1" si="1064"/>
        <v>0</v>
      </c>
    </row>
    <row r="721" spans="1:60" s="69" customFormat="1" ht="14.5">
      <c r="A721" s="616">
        <f t="shared" si="1008"/>
        <v>656</v>
      </c>
      <c r="B721" s="616">
        <v>1</v>
      </c>
      <c r="C721" s="616">
        <f t="shared" si="1083"/>
        <v>718</v>
      </c>
      <c r="E721" s="2547">
        <v>1</v>
      </c>
      <c r="F721" s="9"/>
      <c r="G721" s="9"/>
      <c r="H721" s="22"/>
      <c r="I721" s="352"/>
      <c r="J721" s="353"/>
      <c r="K721" s="68"/>
      <c r="L721" s="68"/>
      <c r="O721" s="231"/>
      <c r="P721" s="229" t="s">
        <v>1472</v>
      </c>
      <c r="Q721" s="1779" t="str">
        <f>CHOOSE(2, "6722000003640", "S/GP (3) Gross Profit Indirect NH KM-1/KM-1e FSC (-) TE")</f>
        <v>S/GP (3) Gross Profit Indirect NH KM-1/KM-1e FSC (-) TE</v>
      </c>
      <c r="R721" s="1217">
        <v>0</v>
      </c>
      <c r="S721" s="1217">
        <v>0</v>
      </c>
      <c r="T721" s="1217">
        <v>0</v>
      </c>
      <c r="U721" s="1217">
        <v>0</v>
      </c>
      <c r="V721" s="1217">
        <v>0</v>
      </c>
      <c r="W721" s="1217">
        <v>0</v>
      </c>
      <c r="X721" s="1217">
        <v>0</v>
      </c>
      <c r="Y721" s="1217">
        <v>0</v>
      </c>
      <c r="Z721" s="1217">
        <v>0</v>
      </c>
      <c r="AA721" s="1217">
        <v>0</v>
      </c>
      <c r="AB721" s="1217">
        <v>0</v>
      </c>
      <c r="AC721" s="1217">
        <v>0</v>
      </c>
      <c r="AD721" s="783">
        <f>SUM(R721,S721,T721)</f>
        <v>0</v>
      </c>
      <c r="AE721" s="1226">
        <f t="shared" si="1100"/>
        <v>0</v>
      </c>
      <c r="AF721" s="1226">
        <f t="shared" si="1101"/>
        <v>0</v>
      </c>
      <c r="AG721" s="1226">
        <f t="shared" si="1102"/>
        <v>0</v>
      </c>
      <c r="AH721" s="1226">
        <f>AD721+AE721</f>
        <v>0</v>
      </c>
      <c r="AI721" s="1226">
        <f>AG721+AF721</f>
        <v>0</v>
      </c>
      <c r="AJ721" s="1226">
        <f>AH721+AI721</f>
        <v>0</v>
      </c>
      <c r="AL721" s="1226">
        <f ca="1">SUM((INDIRECT(AL$2&amp;(ROW())):INDIRECT(AL$3&amp;(ROW()))))</f>
        <v>0</v>
      </c>
      <c r="AM721" s="1226">
        <f ca="1">SUM(INDIRECT(AM$1&amp;AM$2&amp;$C721):INDIRECT(AM$1&amp;AM$3&amp;$C721))</f>
        <v>0</v>
      </c>
      <c r="AN721" s="3233">
        <f t="shared" ca="1" si="1053"/>
        <v>0</v>
      </c>
      <c r="AO721" s="2890">
        <f t="shared" ca="1" si="1054"/>
        <v>0</v>
      </c>
      <c r="AP721" s="1226">
        <f ca="1">SUM(INDIRECT(AP$1&amp;AP$2&amp;$A721):INDIRECT(AP$1&amp;AP$3&amp;$A721))</f>
        <v>0</v>
      </c>
      <c r="AQ721" s="3233">
        <f t="shared" ca="1" si="1055"/>
        <v>0</v>
      </c>
      <c r="AR721" s="2890">
        <f t="shared" ca="1" si="1056"/>
        <v>0</v>
      </c>
      <c r="AT721" s="1226">
        <f ca="1">SUM((INDIRECT(AT$2&amp;(ROW())):INDIRECT(AT$3&amp;(ROW()))))</f>
        <v>0</v>
      </c>
      <c r="AU721" s="1226">
        <f ca="1">SUM(INDIRECT(AU$1&amp;AU$2&amp;$C721):INDIRECT(AU$1&amp;AU$3&amp;$C721))</f>
        <v>0</v>
      </c>
      <c r="AV721" s="3233">
        <f t="shared" ca="1" si="1057"/>
        <v>0</v>
      </c>
      <c r="AW721" s="2890">
        <f t="shared" ca="1" si="1058"/>
        <v>0</v>
      </c>
      <c r="AX721" s="1226">
        <f ca="1">SUM(INDIRECT(AX$1&amp;AX$2&amp;$A721):INDIRECT(AX$1&amp;AX$3&amp;$A721))</f>
        <v>0</v>
      </c>
      <c r="AY721" s="3233">
        <f t="shared" ca="1" si="1059"/>
        <v>0</v>
      </c>
      <c r="AZ721" s="2890">
        <f t="shared" ca="1" si="1060"/>
        <v>0</v>
      </c>
      <c r="BB721" s="1226">
        <f ca="1">SUM((INDIRECT(BB$2&amp;(ROW())):INDIRECT(BB$3&amp;(ROW()))))</f>
        <v>0</v>
      </c>
      <c r="BC721" s="1226">
        <f ca="1">SUM(INDIRECT(BC$1&amp;BC$2&amp;$C721):INDIRECT(BC$1&amp;BC$3&amp;$C721))</f>
        <v>0</v>
      </c>
      <c r="BD721" s="3233">
        <f t="shared" ca="1" si="1061"/>
        <v>0</v>
      </c>
      <c r="BE721" s="2890">
        <f t="shared" ca="1" si="1062"/>
        <v>0</v>
      </c>
      <c r="BF721" s="1226">
        <f ca="1">SUM(INDIRECT(BF$1&amp;BF$2&amp;$A721):INDIRECT(BF$1&amp;BF$3&amp;$A721))</f>
        <v>0</v>
      </c>
      <c r="BG721" s="3233">
        <f t="shared" ca="1" si="1063"/>
        <v>0</v>
      </c>
      <c r="BH721" s="2890">
        <f t="shared" ca="1" si="1064"/>
        <v>0</v>
      </c>
    </row>
    <row r="722" spans="1:60" s="69" customFormat="1" ht="14.5">
      <c r="A722" s="616">
        <f t="shared" si="1008"/>
        <v>657</v>
      </c>
      <c r="B722" s="616">
        <v>1</v>
      </c>
      <c r="C722" s="616">
        <f t="shared" si="1083"/>
        <v>719</v>
      </c>
      <c r="E722" s="2547">
        <v>1</v>
      </c>
      <c r="F722" s="9"/>
      <c r="G722" s="9"/>
      <c r="H722" s="22"/>
      <c r="I722" s="352"/>
      <c r="J722" s="353"/>
      <c r="K722" s="68"/>
      <c r="L722" s="68"/>
      <c r="N722" s="211"/>
      <c r="O722" s="232"/>
      <c r="P722" s="228" t="s">
        <v>1473</v>
      </c>
      <c r="Q722" s="1779" t="str">
        <f>CHOOSE(2, "6722000003641", "S/GP (3) Gross Profit Indirect NH KM-1/KM-1e FSC (-) OFC")</f>
        <v>S/GP (3) Gross Profit Indirect NH KM-1/KM-1e FSC (-) OFC</v>
      </c>
      <c r="R722" s="1218">
        <v>0</v>
      </c>
      <c r="S722" s="1218">
        <v>0</v>
      </c>
      <c r="T722" s="1218">
        <v>0</v>
      </c>
      <c r="U722" s="1218">
        <v>0</v>
      </c>
      <c r="V722" s="1218">
        <v>0</v>
      </c>
      <c r="W722" s="1218">
        <v>0</v>
      </c>
      <c r="X722" s="1218">
        <v>0</v>
      </c>
      <c r="Y722" s="1218">
        <v>0</v>
      </c>
      <c r="Z722" s="1218">
        <v>0</v>
      </c>
      <c r="AA722" s="1218">
        <v>0</v>
      </c>
      <c r="AB722" s="1218">
        <v>0</v>
      </c>
      <c r="AC722" s="1218">
        <v>0</v>
      </c>
      <c r="AD722" s="783">
        <f>SUM(R722,S722,T722)</f>
        <v>0</v>
      </c>
      <c r="AE722" s="1226">
        <f t="shared" si="1100"/>
        <v>0</v>
      </c>
      <c r="AF722" s="1226">
        <f t="shared" si="1101"/>
        <v>0</v>
      </c>
      <c r="AG722" s="1226">
        <f t="shared" si="1102"/>
        <v>0</v>
      </c>
      <c r="AH722" s="1226">
        <f>AD722+AE722</f>
        <v>0</v>
      </c>
      <c r="AI722" s="1226">
        <f>AG722+AF722</f>
        <v>0</v>
      </c>
      <c r="AJ722" s="1226">
        <f>AH722+AI722</f>
        <v>0</v>
      </c>
      <c r="AL722" s="1226">
        <f ca="1">SUM((INDIRECT(AL$2&amp;(ROW())):INDIRECT(AL$3&amp;(ROW()))))</f>
        <v>0</v>
      </c>
      <c r="AM722" s="1226">
        <f ca="1">SUM(INDIRECT(AM$1&amp;AM$2&amp;$C722):INDIRECT(AM$1&amp;AM$3&amp;$C722))</f>
        <v>0</v>
      </c>
      <c r="AN722" s="3233">
        <f t="shared" ca="1" si="1053"/>
        <v>0</v>
      </c>
      <c r="AO722" s="2890">
        <f t="shared" ca="1" si="1054"/>
        <v>0</v>
      </c>
      <c r="AP722" s="1226">
        <f ca="1">SUM(INDIRECT(AP$1&amp;AP$2&amp;$A722):INDIRECT(AP$1&amp;AP$3&amp;$A722))</f>
        <v>0</v>
      </c>
      <c r="AQ722" s="3233">
        <f t="shared" ca="1" si="1055"/>
        <v>0</v>
      </c>
      <c r="AR722" s="2890">
        <f t="shared" ca="1" si="1056"/>
        <v>0</v>
      </c>
      <c r="AT722" s="1226">
        <f ca="1">SUM((INDIRECT(AT$2&amp;(ROW())):INDIRECT(AT$3&amp;(ROW()))))</f>
        <v>0</v>
      </c>
      <c r="AU722" s="1226">
        <f ca="1">SUM(INDIRECT(AU$1&amp;AU$2&amp;$C722):INDIRECT(AU$1&amp;AU$3&amp;$C722))</f>
        <v>0</v>
      </c>
      <c r="AV722" s="3233">
        <f t="shared" ca="1" si="1057"/>
        <v>0</v>
      </c>
      <c r="AW722" s="2890">
        <f t="shared" ca="1" si="1058"/>
        <v>0</v>
      </c>
      <c r="AX722" s="1226">
        <f ca="1">SUM(INDIRECT(AX$1&amp;AX$2&amp;$A722):INDIRECT(AX$1&amp;AX$3&amp;$A722))</f>
        <v>0</v>
      </c>
      <c r="AY722" s="3233">
        <f t="shared" ca="1" si="1059"/>
        <v>0</v>
      </c>
      <c r="AZ722" s="2890">
        <f t="shared" ca="1" si="1060"/>
        <v>0</v>
      </c>
      <c r="BB722" s="1226">
        <f ca="1">SUM((INDIRECT(BB$2&amp;(ROW())):INDIRECT(BB$3&amp;(ROW()))))</f>
        <v>0</v>
      </c>
      <c r="BC722" s="1226">
        <f ca="1">SUM(INDIRECT(BC$1&amp;BC$2&amp;$C722):INDIRECT(BC$1&amp;BC$3&amp;$C722))</f>
        <v>0</v>
      </c>
      <c r="BD722" s="3233">
        <f t="shared" ca="1" si="1061"/>
        <v>0</v>
      </c>
      <c r="BE722" s="2890">
        <f t="shared" ca="1" si="1062"/>
        <v>0</v>
      </c>
      <c r="BF722" s="1226">
        <f ca="1">SUM(INDIRECT(BF$1&amp;BF$2&amp;$A722):INDIRECT(BF$1&amp;BF$3&amp;$A722))</f>
        <v>0</v>
      </c>
      <c r="BG722" s="3233">
        <f t="shared" ca="1" si="1063"/>
        <v>0</v>
      </c>
      <c r="BH722" s="2890">
        <f t="shared" ca="1" si="1064"/>
        <v>0</v>
      </c>
    </row>
    <row r="723" spans="1:60" ht="14.5">
      <c r="A723" s="616">
        <f t="shared" si="1008"/>
        <v>658</v>
      </c>
      <c r="B723" s="616">
        <v>1</v>
      </c>
      <c r="C723" s="616">
        <f t="shared" si="1083"/>
        <v>720</v>
      </c>
      <c r="E723" s="2547">
        <v>1</v>
      </c>
      <c r="I723" s="352"/>
      <c r="J723" s="353"/>
      <c r="K723" s="68"/>
      <c r="L723" s="68"/>
      <c r="M723" s="69"/>
      <c r="N723" s="69" t="s">
        <v>1401</v>
      </c>
      <c r="O723" s="302"/>
      <c r="P723" s="302"/>
      <c r="Q723" s="1777" t="str">
        <f>CHOOSE(2, "6722000003642", "S/GP (3) Gross Profit Indirect NH Label Printer")</f>
        <v>S/GP (3) Gross Profit Indirect NH Label Printer</v>
      </c>
      <c r="R723" s="58">
        <f t="shared" ref="R723:AJ723" si="1103">R724+R725</f>
        <v>0</v>
      </c>
      <c r="S723" s="58">
        <f t="shared" si="1103"/>
        <v>0</v>
      </c>
      <c r="T723" s="58">
        <f t="shared" si="1103"/>
        <v>0</v>
      </c>
      <c r="U723" s="58">
        <f t="shared" si="1103"/>
        <v>0</v>
      </c>
      <c r="V723" s="58">
        <f t="shared" si="1103"/>
        <v>0</v>
      </c>
      <c r="W723" s="58">
        <f t="shared" si="1103"/>
        <v>0</v>
      </c>
      <c r="X723" s="58">
        <f t="shared" si="1103"/>
        <v>0</v>
      </c>
      <c r="Y723" s="58">
        <f t="shared" si="1103"/>
        <v>0</v>
      </c>
      <c r="Z723" s="58">
        <f t="shared" si="1103"/>
        <v>0</v>
      </c>
      <c r="AA723" s="58">
        <f t="shared" si="1103"/>
        <v>0</v>
      </c>
      <c r="AB723" s="58">
        <f t="shared" si="1103"/>
        <v>0</v>
      </c>
      <c r="AC723" s="58">
        <f t="shared" si="1103"/>
        <v>0</v>
      </c>
      <c r="AD723" s="903">
        <f t="shared" si="1103"/>
        <v>0</v>
      </c>
      <c r="AE723" s="58">
        <f t="shared" si="1103"/>
        <v>0</v>
      </c>
      <c r="AF723" s="58">
        <f t="shared" si="1103"/>
        <v>0</v>
      </c>
      <c r="AG723" s="58">
        <f t="shared" si="1103"/>
        <v>0</v>
      </c>
      <c r="AH723" s="58">
        <f t="shared" si="1103"/>
        <v>0</v>
      </c>
      <c r="AI723" s="58">
        <f t="shared" si="1103"/>
        <v>0</v>
      </c>
      <c r="AJ723" s="58">
        <f t="shared" si="1103"/>
        <v>0</v>
      </c>
      <c r="AL723" s="58">
        <f ca="1">SUM((INDIRECT(AL$2&amp;(ROW())):INDIRECT(AL$3&amp;(ROW()))))</f>
        <v>0</v>
      </c>
      <c r="AM723" s="58">
        <f ca="1">SUM(INDIRECT(AM$1&amp;AM$2&amp;$C723):INDIRECT(AM$1&amp;AM$3&amp;$C723))</f>
        <v>0</v>
      </c>
      <c r="AN723" s="3261">
        <f t="shared" ca="1" si="1053"/>
        <v>0</v>
      </c>
      <c r="AO723" s="2913">
        <f t="shared" ca="1" si="1054"/>
        <v>0</v>
      </c>
      <c r="AP723" s="58">
        <f ca="1">SUM(INDIRECT(AP$1&amp;AP$2&amp;$A723):INDIRECT(AP$1&amp;AP$3&amp;$A723))</f>
        <v>0</v>
      </c>
      <c r="AQ723" s="3261">
        <f t="shared" ca="1" si="1055"/>
        <v>0</v>
      </c>
      <c r="AR723" s="2913">
        <f t="shared" ca="1" si="1056"/>
        <v>0</v>
      </c>
      <c r="AT723" s="58">
        <f ca="1">SUM((INDIRECT(AT$2&amp;(ROW())):INDIRECT(AT$3&amp;(ROW()))))</f>
        <v>0</v>
      </c>
      <c r="AU723" s="58">
        <f ca="1">SUM(INDIRECT(AU$1&amp;AU$2&amp;$C723):INDIRECT(AU$1&amp;AU$3&amp;$C723))</f>
        <v>0</v>
      </c>
      <c r="AV723" s="3261">
        <f t="shared" ca="1" si="1057"/>
        <v>0</v>
      </c>
      <c r="AW723" s="2913">
        <f t="shared" ca="1" si="1058"/>
        <v>0</v>
      </c>
      <c r="AX723" s="58">
        <f ca="1">SUM(INDIRECT(AX$1&amp;AX$2&amp;$A723):INDIRECT(AX$1&amp;AX$3&amp;$A723))</f>
        <v>0</v>
      </c>
      <c r="AY723" s="3261">
        <f t="shared" ca="1" si="1059"/>
        <v>0</v>
      </c>
      <c r="AZ723" s="2913">
        <f t="shared" ca="1" si="1060"/>
        <v>0</v>
      </c>
      <c r="BB723" s="58">
        <f ca="1">SUM((INDIRECT(BB$2&amp;(ROW())):INDIRECT(BB$3&amp;(ROW()))))</f>
        <v>0</v>
      </c>
      <c r="BC723" s="58">
        <f ca="1">SUM(INDIRECT(BC$1&amp;BC$2&amp;$C723):INDIRECT(BC$1&amp;BC$3&amp;$C723))</f>
        <v>0</v>
      </c>
      <c r="BD723" s="3261">
        <f t="shared" ca="1" si="1061"/>
        <v>0</v>
      </c>
      <c r="BE723" s="2913">
        <f t="shared" ca="1" si="1062"/>
        <v>0</v>
      </c>
      <c r="BF723" s="58">
        <f ca="1">SUM(INDIRECT(BF$1&amp;BF$2&amp;$A723):INDIRECT(BF$1&amp;BF$3&amp;$A723))</f>
        <v>0</v>
      </c>
      <c r="BG723" s="3261">
        <f t="shared" ca="1" si="1063"/>
        <v>0</v>
      </c>
      <c r="BH723" s="2913">
        <f t="shared" ca="1" si="1064"/>
        <v>0</v>
      </c>
    </row>
    <row r="724" spans="1:60" ht="14.5">
      <c r="A724" s="616">
        <f t="shared" si="1008"/>
        <v>659</v>
      </c>
      <c r="B724" s="616">
        <v>1</v>
      </c>
      <c r="C724" s="616">
        <f t="shared" si="1083"/>
        <v>721</v>
      </c>
      <c r="E724" s="2547">
        <v>1</v>
      </c>
      <c r="I724" s="352"/>
      <c r="J724" s="353"/>
      <c r="K724" s="68"/>
      <c r="L724" s="68"/>
      <c r="M724" s="69"/>
      <c r="N724" s="69"/>
      <c r="O724" s="305" t="s">
        <v>1499</v>
      </c>
      <c r="P724" s="305"/>
      <c r="Q724" s="1779" t="str">
        <f>CHOOSE(2, "6722000003643", "S/GP (3) Gross Profit Indirect NH Label Printer LP")</f>
        <v>S/GP (3) Gross Profit Indirect NH Label Printer LP</v>
      </c>
      <c r="R724" s="1254">
        <v>0</v>
      </c>
      <c r="S724" s="1254">
        <v>0</v>
      </c>
      <c r="T724" s="1254">
        <v>0</v>
      </c>
      <c r="U724" s="1254">
        <v>0</v>
      </c>
      <c r="V724" s="1254">
        <v>0</v>
      </c>
      <c r="W724" s="1254">
        <v>0</v>
      </c>
      <c r="X724" s="1254">
        <v>0</v>
      </c>
      <c r="Y724" s="1254">
        <v>0</v>
      </c>
      <c r="Z724" s="1254">
        <v>0</v>
      </c>
      <c r="AA724" s="1254">
        <v>0</v>
      </c>
      <c r="AB724" s="1254">
        <v>0</v>
      </c>
      <c r="AC724" s="1254">
        <v>0</v>
      </c>
      <c r="AD724" s="903">
        <f>SUM(R724,S724,T724)</f>
        <v>0</v>
      </c>
      <c r="AE724" s="58">
        <f t="shared" ref="AE724" si="1104">SUM(U724,V724,W724)</f>
        <v>0</v>
      </c>
      <c r="AF724" s="58">
        <f t="shared" ref="AF724" si="1105">SUM(X724,Y724,Z724)</f>
        <v>0</v>
      </c>
      <c r="AG724" s="58">
        <f t="shared" ref="AG724" si="1106">SUM(AA724,AB724,AC724)</f>
        <v>0</v>
      </c>
      <c r="AH724" s="58">
        <f>AD724+AE724</f>
        <v>0</v>
      </c>
      <c r="AI724" s="58">
        <f>AG724+AF724</f>
        <v>0</v>
      </c>
      <c r="AJ724" s="58">
        <f>AH724+AI724</f>
        <v>0</v>
      </c>
      <c r="AL724" s="58">
        <f ca="1">SUM((INDIRECT(AL$2&amp;(ROW())):INDIRECT(AL$3&amp;(ROW()))))</f>
        <v>0</v>
      </c>
      <c r="AM724" s="58">
        <f ca="1">SUM(INDIRECT(AM$1&amp;AM$2&amp;$C724):INDIRECT(AM$1&amp;AM$3&amp;$C724))</f>
        <v>0</v>
      </c>
      <c r="AN724" s="3261">
        <f t="shared" ca="1" si="1053"/>
        <v>0</v>
      </c>
      <c r="AO724" s="2913">
        <f t="shared" ca="1" si="1054"/>
        <v>0</v>
      </c>
      <c r="AP724" s="58">
        <f ca="1">SUM(INDIRECT(AP$1&amp;AP$2&amp;$A724):INDIRECT(AP$1&amp;AP$3&amp;$A724))</f>
        <v>0</v>
      </c>
      <c r="AQ724" s="3261">
        <f t="shared" ca="1" si="1055"/>
        <v>0</v>
      </c>
      <c r="AR724" s="2913">
        <f t="shared" ca="1" si="1056"/>
        <v>0</v>
      </c>
      <c r="AT724" s="58">
        <f ca="1">SUM((INDIRECT(AT$2&amp;(ROW())):INDIRECT(AT$3&amp;(ROW()))))</f>
        <v>0</v>
      </c>
      <c r="AU724" s="58">
        <f ca="1">SUM(INDIRECT(AU$1&amp;AU$2&amp;$C724):INDIRECT(AU$1&amp;AU$3&amp;$C724))</f>
        <v>0</v>
      </c>
      <c r="AV724" s="3261">
        <f t="shared" ca="1" si="1057"/>
        <v>0</v>
      </c>
      <c r="AW724" s="2913">
        <f t="shared" ca="1" si="1058"/>
        <v>0</v>
      </c>
      <c r="AX724" s="58">
        <f ca="1">SUM(INDIRECT(AX$1&amp;AX$2&amp;$A724):INDIRECT(AX$1&amp;AX$3&amp;$A724))</f>
        <v>0</v>
      </c>
      <c r="AY724" s="3261">
        <f t="shared" ca="1" si="1059"/>
        <v>0</v>
      </c>
      <c r="AZ724" s="2913">
        <f t="shared" ca="1" si="1060"/>
        <v>0</v>
      </c>
      <c r="BB724" s="58">
        <f ca="1">SUM((INDIRECT(BB$2&amp;(ROW())):INDIRECT(BB$3&amp;(ROW()))))</f>
        <v>0</v>
      </c>
      <c r="BC724" s="58">
        <f ca="1">SUM(INDIRECT(BC$1&amp;BC$2&amp;$C724):INDIRECT(BC$1&amp;BC$3&amp;$C724))</f>
        <v>0</v>
      </c>
      <c r="BD724" s="3261">
        <f t="shared" ca="1" si="1061"/>
        <v>0</v>
      </c>
      <c r="BE724" s="2913">
        <f t="shared" ca="1" si="1062"/>
        <v>0</v>
      </c>
      <c r="BF724" s="58">
        <f ca="1">SUM(INDIRECT(BF$1&amp;BF$2&amp;$A724):INDIRECT(BF$1&amp;BF$3&amp;$A724))</f>
        <v>0</v>
      </c>
      <c r="BG724" s="3261">
        <f t="shared" ca="1" si="1063"/>
        <v>0</v>
      </c>
      <c r="BH724" s="2913">
        <f t="shared" ca="1" si="1064"/>
        <v>0</v>
      </c>
    </row>
    <row r="725" spans="1:60" s="69" customFormat="1" ht="14.5">
      <c r="A725" s="616">
        <f t="shared" si="1008"/>
        <v>660</v>
      </c>
      <c r="B725" s="616">
        <v>1</v>
      </c>
      <c r="C725" s="616">
        <f t="shared" si="1083"/>
        <v>722</v>
      </c>
      <c r="E725" s="2547">
        <v>1</v>
      </c>
      <c r="F725" s="9"/>
      <c r="G725" s="9"/>
      <c r="H725" s="22"/>
      <c r="I725" s="352"/>
      <c r="J725" s="353"/>
      <c r="K725" s="68"/>
      <c r="L725" s="68"/>
      <c r="O725" s="306" t="s">
        <v>1491</v>
      </c>
      <c r="P725" s="306"/>
      <c r="Q725" s="1782" t="str">
        <f>CHOOSE(2, "6722000003644", "S/GP (3) Gross Profit Indirect NH Label Printer FSC (-)")</f>
        <v>S/GP (3) Gross Profit Indirect NH Label Printer FSC (-)</v>
      </c>
      <c r="R725" s="1250">
        <f t="shared" ref="R725:AC725" si="1107">SUM(R726:R728)</f>
        <v>0</v>
      </c>
      <c r="S725" s="1250">
        <f t="shared" si="1107"/>
        <v>0</v>
      </c>
      <c r="T725" s="1250">
        <f t="shared" si="1107"/>
        <v>0</v>
      </c>
      <c r="U725" s="1250">
        <f t="shared" si="1107"/>
        <v>0</v>
      </c>
      <c r="V725" s="1250">
        <f t="shared" si="1107"/>
        <v>0</v>
      </c>
      <c r="W725" s="1250">
        <f t="shared" si="1107"/>
        <v>0</v>
      </c>
      <c r="X725" s="1250">
        <f t="shared" si="1107"/>
        <v>0</v>
      </c>
      <c r="Y725" s="1250">
        <f t="shared" si="1107"/>
        <v>0</v>
      </c>
      <c r="Z725" s="1250">
        <f t="shared" si="1107"/>
        <v>0</v>
      </c>
      <c r="AA725" s="1250">
        <f t="shared" si="1107"/>
        <v>0</v>
      </c>
      <c r="AB725" s="1250">
        <f t="shared" si="1107"/>
        <v>0</v>
      </c>
      <c r="AC725" s="1250">
        <f t="shared" si="1107"/>
        <v>0</v>
      </c>
      <c r="AD725" s="899">
        <f>SUM(R725:T725)</f>
        <v>0</v>
      </c>
      <c r="AE725" s="1250">
        <f>SUM(U725:W725)</f>
        <v>0</v>
      </c>
      <c r="AF725" s="1250">
        <f>SUM(X725:Z725)</f>
        <v>0</v>
      </c>
      <c r="AG725" s="1250">
        <f>SUM(AA725:AC725)</f>
        <v>0</v>
      </c>
      <c r="AH725" s="1250">
        <f>AD725+AE725</f>
        <v>0</v>
      </c>
      <c r="AI725" s="1250">
        <f>AG725+AF725</f>
        <v>0</v>
      </c>
      <c r="AJ725" s="1250">
        <f>AH725+AI725</f>
        <v>0</v>
      </c>
      <c r="AL725" s="1250">
        <f ca="1">SUM((INDIRECT(AL$2&amp;(ROW())):INDIRECT(AL$3&amp;(ROW()))))</f>
        <v>0</v>
      </c>
      <c r="AM725" s="1250">
        <f ca="1">SUM(INDIRECT(AM$1&amp;AM$2&amp;$C725):INDIRECT(AM$1&amp;AM$3&amp;$C725))</f>
        <v>0</v>
      </c>
      <c r="AN725" s="3232">
        <f t="shared" ca="1" si="1053"/>
        <v>0</v>
      </c>
      <c r="AO725" s="2888">
        <f t="shared" ca="1" si="1054"/>
        <v>0</v>
      </c>
      <c r="AP725" s="1250">
        <f ca="1">SUM(INDIRECT(AP$1&amp;AP$2&amp;$A725):INDIRECT(AP$1&amp;AP$3&amp;$A725))</f>
        <v>0</v>
      </c>
      <c r="AQ725" s="3232">
        <f t="shared" ca="1" si="1055"/>
        <v>0</v>
      </c>
      <c r="AR725" s="2888">
        <f t="shared" ca="1" si="1056"/>
        <v>0</v>
      </c>
      <c r="AT725" s="1250">
        <f ca="1">SUM((INDIRECT(AT$2&amp;(ROW())):INDIRECT(AT$3&amp;(ROW()))))</f>
        <v>0</v>
      </c>
      <c r="AU725" s="1250">
        <f ca="1">SUM(INDIRECT(AU$1&amp;AU$2&amp;$C725):INDIRECT(AU$1&amp;AU$3&amp;$C725))</f>
        <v>0</v>
      </c>
      <c r="AV725" s="3232">
        <f t="shared" ca="1" si="1057"/>
        <v>0</v>
      </c>
      <c r="AW725" s="2888">
        <f t="shared" ca="1" si="1058"/>
        <v>0</v>
      </c>
      <c r="AX725" s="1250">
        <f ca="1">SUM(INDIRECT(AX$1&amp;AX$2&amp;$A725):INDIRECT(AX$1&amp;AX$3&amp;$A725))</f>
        <v>0</v>
      </c>
      <c r="AY725" s="3232">
        <f t="shared" ca="1" si="1059"/>
        <v>0</v>
      </c>
      <c r="AZ725" s="2888">
        <f t="shared" ca="1" si="1060"/>
        <v>0</v>
      </c>
      <c r="BB725" s="1250">
        <f ca="1">SUM((INDIRECT(BB$2&amp;(ROW())):INDIRECT(BB$3&amp;(ROW()))))</f>
        <v>0</v>
      </c>
      <c r="BC725" s="1250">
        <f ca="1">SUM(INDIRECT(BC$1&amp;BC$2&amp;$C725):INDIRECT(BC$1&amp;BC$3&amp;$C725))</f>
        <v>0</v>
      </c>
      <c r="BD725" s="3232">
        <f t="shared" ca="1" si="1061"/>
        <v>0</v>
      </c>
      <c r="BE725" s="2888">
        <f t="shared" ca="1" si="1062"/>
        <v>0</v>
      </c>
      <c r="BF725" s="1250">
        <f ca="1">SUM(INDIRECT(BF$1&amp;BF$2&amp;$A725):INDIRECT(BF$1&amp;BF$3&amp;$A725))</f>
        <v>0</v>
      </c>
      <c r="BG725" s="3232">
        <f t="shared" ca="1" si="1063"/>
        <v>0</v>
      </c>
      <c r="BH725" s="2888">
        <f t="shared" ca="1" si="1064"/>
        <v>0</v>
      </c>
    </row>
    <row r="726" spans="1:60" s="69" customFormat="1" ht="14.5">
      <c r="A726" s="616">
        <f t="shared" ref="A726:A775" si="1108">A725+1</f>
        <v>661</v>
      </c>
      <c r="B726" s="616">
        <v>1</v>
      </c>
      <c r="C726" s="616">
        <f t="shared" si="1083"/>
        <v>723</v>
      </c>
      <c r="E726" s="2547">
        <v>1</v>
      </c>
      <c r="F726" s="9"/>
      <c r="G726" s="9"/>
      <c r="H726" s="22"/>
      <c r="I726" s="352"/>
      <c r="J726" s="353"/>
      <c r="K726" s="68"/>
      <c r="L726" s="68"/>
      <c r="O726" s="307"/>
      <c r="P726" s="291" t="s">
        <v>1471</v>
      </c>
      <c r="Q726" s="1779" t="str">
        <f>CHOOSE(2, "6722000003645", "S/GP (3) Gross Profit Indirect NH Label Printer FSC (-) PC")</f>
        <v>S/GP (3) Gross Profit Indirect NH Label Printer FSC (-) PC</v>
      </c>
      <c r="R726" s="1227">
        <v>0</v>
      </c>
      <c r="S726" s="1227">
        <v>0</v>
      </c>
      <c r="T726" s="1227">
        <v>0</v>
      </c>
      <c r="U726" s="1227">
        <v>0</v>
      </c>
      <c r="V726" s="1227">
        <v>0</v>
      </c>
      <c r="W726" s="1227">
        <v>0</v>
      </c>
      <c r="X726" s="1227">
        <v>0</v>
      </c>
      <c r="Y726" s="1227">
        <v>0</v>
      </c>
      <c r="Z726" s="1227">
        <v>0</v>
      </c>
      <c r="AA726" s="1227">
        <v>0</v>
      </c>
      <c r="AB726" s="1227">
        <v>0</v>
      </c>
      <c r="AC726" s="1227">
        <v>0</v>
      </c>
      <c r="AD726" s="896">
        <f>SUM(R726,S726,T726)</f>
        <v>0</v>
      </c>
      <c r="AE726" s="95">
        <f t="shared" ref="AE726:AE728" si="1109">SUM(U726,V726,W726)</f>
        <v>0</v>
      </c>
      <c r="AF726" s="95">
        <f t="shared" ref="AF726:AF728" si="1110">SUM(X726,Y726,Z726)</f>
        <v>0</v>
      </c>
      <c r="AG726" s="95">
        <f t="shared" ref="AG726:AG728" si="1111">SUM(AA726,AB726,AC726)</f>
        <v>0</v>
      </c>
      <c r="AH726" s="95">
        <f>AD726+AE726</f>
        <v>0</v>
      </c>
      <c r="AI726" s="95">
        <f>AG726+AF726</f>
        <v>0</v>
      </c>
      <c r="AJ726" s="95">
        <f>AH726+AI726</f>
        <v>0</v>
      </c>
      <c r="AL726" s="95">
        <f ca="1">SUM((INDIRECT(AL$2&amp;(ROW())):INDIRECT(AL$3&amp;(ROW()))))</f>
        <v>0</v>
      </c>
      <c r="AM726" s="95">
        <f ca="1">SUM(INDIRECT(AM$1&amp;AM$2&amp;$C726):INDIRECT(AM$1&amp;AM$3&amp;$C726))</f>
        <v>0</v>
      </c>
      <c r="AN726" s="3228">
        <f t="shared" ca="1" si="1053"/>
        <v>0</v>
      </c>
      <c r="AO726" s="2880">
        <f t="shared" ca="1" si="1054"/>
        <v>0</v>
      </c>
      <c r="AP726" s="95">
        <f ca="1">SUM(INDIRECT(AP$1&amp;AP$2&amp;$A726):INDIRECT(AP$1&amp;AP$3&amp;$A726))</f>
        <v>0</v>
      </c>
      <c r="AQ726" s="3228">
        <f t="shared" ca="1" si="1055"/>
        <v>0</v>
      </c>
      <c r="AR726" s="2880">
        <f t="shared" ca="1" si="1056"/>
        <v>0</v>
      </c>
      <c r="AT726" s="95">
        <f ca="1">SUM((INDIRECT(AT$2&amp;(ROW())):INDIRECT(AT$3&amp;(ROW()))))</f>
        <v>0</v>
      </c>
      <c r="AU726" s="95">
        <f ca="1">SUM(INDIRECT(AU$1&amp;AU$2&amp;$C726):INDIRECT(AU$1&amp;AU$3&amp;$C726))</f>
        <v>0</v>
      </c>
      <c r="AV726" s="3228">
        <f t="shared" ca="1" si="1057"/>
        <v>0</v>
      </c>
      <c r="AW726" s="2880">
        <f t="shared" ca="1" si="1058"/>
        <v>0</v>
      </c>
      <c r="AX726" s="95">
        <f ca="1">SUM(INDIRECT(AX$1&amp;AX$2&amp;$A726):INDIRECT(AX$1&amp;AX$3&amp;$A726))</f>
        <v>0</v>
      </c>
      <c r="AY726" s="3228">
        <f t="shared" ca="1" si="1059"/>
        <v>0</v>
      </c>
      <c r="AZ726" s="2880">
        <f t="shared" ca="1" si="1060"/>
        <v>0</v>
      </c>
      <c r="BB726" s="95">
        <f ca="1">SUM((INDIRECT(BB$2&amp;(ROW())):INDIRECT(BB$3&amp;(ROW()))))</f>
        <v>0</v>
      </c>
      <c r="BC726" s="95">
        <f ca="1">SUM(INDIRECT(BC$1&amp;BC$2&amp;$C726):INDIRECT(BC$1&amp;BC$3&amp;$C726))</f>
        <v>0</v>
      </c>
      <c r="BD726" s="3228">
        <f t="shared" ca="1" si="1061"/>
        <v>0</v>
      </c>
      <c r="BE726" s="2880">
        <f t="shared" ca="1" si="1062"/>
        <v>0</v>
      </c>
      <c r="BF726" s="95">
        <f ca="1">SUM(INDIRECT(BF$1&amp;BF$2&amp;$A726):INDIRECT(BF$1&amp;BF$3&amp;$A726))</f>
        <v>0</v>
      </c>
      <c r="BG726" s="3228">
        <f t="shared" ca="1" si="1063"/>
        <v>0</v>
      </c>
      <c r="BH726" s="2880">
        <f t="shared" ca="1" si="1064"/>
        <v>0</v>
      </c>
    </row>
    <row r="727" spans="1:60" s="69" customFormat="1" ht="14.5">
      <c r="A727" s="616">
        <f t="shared" si="1108"/>
        <v>662</v>
      </c>
      <c r="B727" s="616">
        <v>1</v>
      </c>
      <c r="C727" s="616">
        <f t="shared" si="1083"/>
        <v>724</v>
      </c>
      <c r="E727" s="2547">
        <v>1</v>
      </c>
      <c r="F727" s="9"/>
      <c r="G727" s="9"/>
      <c r="H727" s="22"/>
      <c r="I727" s="352"/>
      <c r="J727" s="353"/>
      <c r="K727" s="68"/>
      <c r="L727" s="68"/>
      <c r="O727" s="231"/>
      <c r="P727" s="229" t="s">
        <v>1472</v>
      </c>
      <c r="Q727" s="1779" t="str">
        <f>CHOOSE(2, "6722000003646", "S/GP (3) Gross Profit Indirect NH Label Printer FSC (-) TE")</f>
        <v>S/GP (3) Gross Profit Indirect NH Label Printer FSC (-) TE</v>
      </c>
      <c r="R727" s="1217">
        <v>0</v>
      </c>
      <c r="S727" s="1217">
        <v>0</v>
      </c>
      <c r="T727" s="1217">
        <v>0</v>
      </c>
      <c r="U727" s="1217">
        <v>0</v>
      </c>
      <c r="V727" s="1217">
        <v>0</v>
      </c>
      <c r="W727" s="1217">
        <v>0</v>
      </c>
      <c r="X727" s="1217">
        <v>0</v>
      </c>
      <c r="Y727" s="1217">
        <v>0</v>
      </c>
      <c r="Z727" s="1217">
        <v>0</v>
      </c>
      <c r="AA727" s="1217">
        <v>0</v>
      </c>
      <c r="AB727" s="1217">
        <v>0</v>
      </c>
      <c r="AC727" s="1217">
        <v>0</v>
      </c>
      <c r="AD727" s="783">
        <f>SUM(R727,S727,T727)</f>
        <v>0</v>
      </c>
      <c r="AE727" s="1226">
        <f t="shared" si="1109"/>
        <v>0</v>
      </c>
      <c r="AF727" s="1226">
        <f t="shared" si="1110"/>
        <v>0</v>
      </c>
      <c r="AG727" s="1226">
        <f t="shared" si="1111"/>
        <v>0</v>
      </c>
      <c r="AH727" s="1226">
        <f>AD727+AE727</f>
        <v>0</v>
      </c>
      <c r="AI727" s="1226">
        <f>AG727+AF727</f>
        <v>0</v>
      </c>
      <c r="AJ727" s="1226">
        <f>AH727+AI727</f>
        <v>0</v>
      </c>
      <c r="AL727" s="1226">
        <f ca="1">SUM((INDIRECT(AL$2&amp;(ROW())):INDIRECT(AL$3&amp;(ROW()))))</f>
        <v>0</v>
      </c>
      <c r="AM727" s="1226">
        <f ca="1">SUM(INDIRECT(AM$1&amp;AM$2&amp;$C727):INDIRECT(AM$1&amp;AM$3&amp;$C727))</f>
        <v>0</v>
      </c>
      <c r="AN727" s="3233">
        <f t="shared" ca="1" si="1053"/>
        <v>0</v>
      </c>
      <c r="AO727" s="2890">
        <f t="shared" ca="1" si="1054"/>
        <v>0</v>
      </c>
      <c r="AP727" s="1226">
        <f ca="1">SUM(INDIRECT(AP$1&amp;AP$2&amp;$A727):INDIRECT(AP$1&amp;AP$3&amp;$A727))</f>
        <v>0</v>
      </c>
      <c r="AQ727" s="3233">
        <f t="shared" ca="1" si="1055"/>
        <v>0</v>
      </c>
      <c r="AR727" s="2890">
        <f t="shared" ca="1" si="1056"/>
        <v>0</v>
      </c>
      <c r="AT727" s="1226">
        <f ca="1">SUM((INDIRECT(AT$2&amp;(ROW())):INDIRECT(AT$3&amp;(ROW()))))</f>
        <v>0</v>
      </c>
      <c r="AU727" s="1226">
        <f ca="1">SUM(INDIRECT(AU$1&amp;AU$2&amp;$C727):INDIRECT(AU$1&amp;AU$3&amp;$C727))</f>
        <v>0</v>
      </c>
      <c r="AV727" s="3233">
        <f t="shared" ca="1" si="1057"/>
        <v>0</v>
      </c>
      <c r="AW727" s="2890">
        <f t="shared" ca="1" si="1058"/>
        <v>0</v>
      </c>
      <c r="AX727" s="1226">
        <f ca="1">SUM(INDIRECT(AX$1&amp;AX$2&amp;$A727):INDIRECT(AX$1&amp;AX$3&amp;$A727))</f>
        <v>0</v>
      </c>
      <c r="AY727" s="3233">
        <f t="shared" ca="1" si="1059"/>
        <v>0</v>
      </c>
      <c r="AZ727" s="2890">
        <f t="shared" ca="1" si="1060"/>
        <v>0</v>
      </c>
      <c r="BB727" s="1226">
        <f ca="1">SUM((INDIRECT(BB$2&amp;(ROW())):INDIRECT(BB$3&amp;(ROW()))))</f>
        <v>0</v>
      </c>
      <c r="BC727" s="1226">
        <f ca="1">SUM(INDIRECT(BC$1&amp;BC$2&amp;$C727):INDIRECT(BC$1&amp;BC$3&amp;$C727))</f>
        <v>0</v>
      </c>
      <c r="BD727" s="3233">
        <f t="shared" ca="1" si="1061"/>
        <v>0</v>
      </c>
      <c r="BE727" s="2890">
        <f t="shared" ca="1" si="1062"/>
        <v>0</v>
      </c>
      <c r="BF727" s="1226">
        <f ca="1">SUM(INDIRECT(BF$1&amp;BF$2&amp;$A727):INDIRECT(BF$1&amp;BF$3&amp;$A727))</f>
        <v>0</v>
      </c>
      <c r="BG727" s="3233">
        <f t="shared" ca="1" si="1063"/>
        <v>0</v>
      </c>
      <c r="BH727" s="2890">
        <f t="shared" ca="1" si="1064"/>
        <v>0</v>
      </c>
    </row>
    <row r="728" spans="1:60" s="69" customFormat="1" ht="14.5">
      <c r="A728" s="616">
        <f t="shared" si="1108"/>
        <v>663</v>
      </c>
      <c r="B728" s="616">
        <v>1</v>
      </c>
      <c r="C728" s="616">
        <f t="shared" si="1083"/>
        <v>725</v>
      </c>
      <c r="E728" s="2547">
        <v>1</v>
      </c>
      <c r="F728" s="9"/>
      <c r="G728" s="9"/>
      <c r="H728" s="22"/>
      <c r="I728" s="352"/>
      <c r="J728" s="353"/>
      <c r="K728" s="68"/>
      <c r="L728" s="68"/>
      <c r="N728" s="211"/>
      <c r="O728" s="232"/>
      <c r="P728" s="228" t="s">
        <v>1473</v>
      </c>
      <c r="Q728" s="1779" t="str">
        <f>CHOOSE(2, "6722000003647", "S/GP (3) Gross Profit Indirect NH Label Printer FSC (-) OFC")</f>
        <v>S/GP (3) Gross Profit Indirect NH Label Printer FSC (-) OFC</v>
      </c>
      <c r="R728" s="1218">
        <v>0</v>
      </c>
      <c r="S728" s="1218">
        <v>0</v>
      </c>
      <c r="T728" s="1218">
        <v>0</v>
      </c>
      <c r="U728" s="1218">
        <v>0</v>
      </c>
      <c r="V728" s="1218">
        <v>0</v>
      </c>
      <c r="W728" s="1218">
        <v>0</v>
      </c>
      <c r="X728" s="1218">
        <v>0</v>
      </c>
      <c r="Y728" s="1218">
        <v>0</v>
      </c>
      <c r="Z728" s="1218">
        <v>0</v>
      </c>
      <c r="AA728" s="1218">
        <v>0</v>
      </c>
      <c r="AB728" s="1218">
        <v>0</v>
      </c>
      <c r="AC728" s="1218">
        <v>0</v>
      </c>
      <c r="AD728" s="783">
        <f>SUM(R728,S728,T728)</f>
        <v>0</v>
      </c>
      <c r="AE728" s="1226">
        <f t="shared" si="1109"/>
        <v>0</v>
      </c>
      <c r="AF728" s="1226">
        <f t="shared" si="1110"/>
        <v>0</v>
      </c>
      <c r="AG728" s="1226">
        <f t="shared" si="1111"/>
        <v>0</v>
      </c>
      <c r="AH728" s="1226">
        <f>AD728+AE728</f>
        <v>0</v>
      </c>
      <c r="AI728" s="1226">
        <f>AG728+AF728</f>
        <v>0</v>
      </c>
      <c r="AJ728" s="1226">
        <f>AH728+AI728</f>
        <v>0</v>
      </c>
      <c r="AL728" s="1226">
        <f ca="1">SUM((INDIRECT(AL$2&amp;(ROW())):INDIRECT(AL$3&amp;(ROW()))))</f>
        <v>0</v>
      </c>
      <c r="AM728" s="1226">
        <f ca="1">SUM(INDIRECT(AM$1&amp;AM$2&amp;$C728):INDIRECT(AM$1&amp;AM$3&amp;$C728))</f>
        <v>0</v>
      </c>
      <c r="AN728" s="3233">
        <f t="shared" ca="1" si="1053"/>
        <v>0</v>
      </c>
      <c r="AO728" s="2890">
        <f t="shared" ca="1" si="1054"/>
        <v>0</v>
      </c>
      <c r="AP728" s="1226">
        <f ca="1">SUM(INDIRECT(AP$1&amp;AP$2&amp;$A728):INDIRECT(AP$1&amp;AP$3&amp;$A728))</f>
        <v>636.03926000000001</v>
      </c>
      <c r="AQ728" s="3233">
        <f t="shared" ca="1" si="1055"/>
        <v>-636.03926000000001</v>
      </c>
      <c r="AR728" s="2890">
        <f t="shared" ca="1" si="1056"/>
        <v>0</v>
      </c>
      <c r="AT728" s="1226">
        <f ca="1">SUM((INDIRECT(AT$2&amp;(ROW())):INDIRECT(AT$3&amp;(ROW()))))</f>
        <v>0</v>
      </c>
      <c r="AU728" s="1226">
        <f ca="1">SUM(INDIRECT(AU$1&amp;AU$2&amp;$C728):INDIRECT(AU$1&amp;AU$3&amp;$C728))</f>
        <v>0</v>
      </c>
      <c r="AV728" s="3233">
        <f t="shared" ca="1" si="1057"/>
        <v>0</v>
      </c>
      <c r="AW728" s="2890">
        <f t="shared" ca="1" si="1058"/>
        <v>0</v>
      </c>
      <c r="AX728" s="1226">
        <f ca="1">SUM(INDIRECT(AX$1&amp;AX$2&amp;$A728):INDIRECT(AX$1&amp;AX$3&amp;$A728))</f>
        <v>-1671.96074</v>
      </c>
      <c r="AY728" s="3233">
        <f t="shared" ca="1" si="1059"/>
        <v>1671.96074</v>
      </c>
      <c r="AZ728" s="2890">
        <f t="shared" ca="1" si="1060"/>
        <v>0</v>
      </c>
      <c r="BB728" s="1226">
        <f ca="1">SUM((INDIRECT(BB$2&amp;(ROW())):INDIRECT(BB$3&amp;(ROW()))))</f>
        <v>0</v>
      </c>
      <c r="BC728" s="1226">
        <f ca="1">SUM(INDIRECT(BC$1&amp;BC$2&amp;$C728):INDIRECT(BC$1&amp;BC$3&amp;$C728))</f>
        <v>0</v>
      </c>
      <c r="BD728" s="3233">
        <f t="shared" ca="1" si="1061"/>
        <v>0</v>
      </c>
      <c r="BE728" s="2890">
        <f t="shared" ca="1" si="1062"/>
        <v>0</v>
      </c>
      <c r="BF728" s="1226">
        <f ca="1">SUM(INDIRECT(BF$1&amp;BF$2&amp;$A728):INDIRECT(BF$1&amp;BF$3&amp;$A728))</f>
        <v>18260.595973272266</v>
      </c>
      <c r="BG728" s="3233">
        <f t="shared" ca="1" si="1063"/>
        <v>-18260.595973272266</v>
      </c>
      <c r="BH728" s="2890">
        <f t="shared" ca="1" si="1064"/>
        <v>0</v>
      </c>
    </row>
    <row r="729" spans="1:60" ht="14.5">
      <c r="A729" s="616">
        <f t="shared" si="1108"/>
        <v>664</v>
      </c>
      <c r="B729" s="616">
        <v>1</v>
      </c>
      <c r="C729" s="616">
        <f t="shared" si="1083"/>
        <v>726</v>
      </c>
      <c r="E729" s="2547">
        <v>1</v>
      </c>
      <c r="I729" s="352"/>
      <c r="J729" s="353"/>
      <c r="K729" s="68"/>
      <c r="L729" s="68"/>
      <c r="M729" s="69"/>
      <c r="N729" s="69" t="s">
        <v>1402</v>
      </c>
      <c r="O729" s="302"/>
      <c r="P729" s="302"/>
      <c r="Q729" s="1777" t="str">
        <f>CHOOSE(2, "6722000003648", "S/GP (3) Gross Profit Indirect NH MGI")</f>
        <v>S/GP (3) Gross Profit Indirect NH MGI</v>
      </c>
      <c r="R729" s="58">
        <f t="shared" ref="R729:AJ729" si="1112">R730+R731</f>
        <v>0</v>
      </c>
      <c r="S729" s="58">
        <f t="shared" si="1112"/>
        <v>0</v>
      </c>
      <c r="T729" s="58">
        <f t="shared" si="1112"/>
        <v>0</v>
      </c>
      <c r="U729" s="58">
        <f t="shared" si="1112"/>
        <v>0</v>
      </c>
      <c r="V729" s="58">
        <f t="shared" si="1112"/>
        <v>0</v>
      </c>
      <c r="W729" s="58">
        <f t="shared" si="1112"/>
        <v>0</v>
      </c>
      <c r="X729" s="58">
        <f t="shared" si="1112"/>
        <v>0</v>
      </c>
      <c r="Y729" s="58">
        <f t="shared" si="1112"/>
        <v>0</v>
      </c>
      <c r="Z729" s="58">
        <f t="shared" si="1112"/>
        <v>0</v>
      </c>
      <c r="AA729" s="58">
        <f t="shared" si="1112"/>
        <v>0</v>
      </c>
      <c r="AB729" s="58">
        <f t="shared" si="1112"/>
        <v>0</v>
      </c>
      <c r="AC729" s="58">
        <f t="shared" si="1112"/>
        <v>0</v>
      </c>
      <c r="AD729" s="903">
        <f t="shared" si="1112"/>
        <v>0</v>
      </c>
      <c r="AE729" s="58">
        <f t="shared" si="1112"/>
        <v>0</v>
      </c>
      <c r="AF729" s="58">
        <f t="shared" si="1112"/>
        <v>0</v>
      </c>
      <c r="AG729" s="58">
        <f t="shared" si="1112"/>
        <v>0</v>
      </c>
      <c r="AH729" s="58">
        <f t="shared" si="1112"/>
        <v>0</v>
      </c>
      <c r="AI729" s="58">
        <f t="shared" si="1112"/>
        <v>0</v>
      </c>
      <c r="AJ729" s="58">
        <f t="shared" si="1112"/>
        <v>0</v>
      </c>
      <c r="AL729" s="58">
        <f ca="1">SUM((INDIRECT(AL$2&amp;(ROW())):INDIRECT(AL$3&amp;(ROW()))))</f>
        <v>0</v>
      </c>
      <c r="AM729" s="58">
        <f ca="1">SUM(INDIRECT(AM$1&amp;AM$2&amp;$C729):INDIRECT(AM$1&amp;AM$3&amp;$C729))</f>
        <v>0</v>
      </c>
      <c r="AN729" s="3261">
        <f t="shared" ca="1" si="1053"/>
        <v>0</v>
      </c>
      <c r="AO729" s="2913">
        <f t="shared" ca="1" si="1054"/>
        <v>0</v>
      </c>
      <c r="AP729" s="58">
        <f ca="1">SUM(INDIRECT(AP$1&amp;AP$2&amp;$A729):INDIRECT(AP$1&amp;AP$3&amp;$A729))</f>
        <v>636.03926000000001</v>
      </c>
      <c r="AQ729" s="3261">
        <f t="shared" ca="1" si="1055"/>
        <v>-636.03926000000001</v>
      </c>
      <c r="AR729" s="2913">
        <f t="shared" ca="1" si="1056"/>
        <v>0</v>
      </c>
      <c r="AT729" s="58">
        <f ca="1">SUM((INDIRECT(AT$2&amp;(ROW())):INDIRECT(AT$3&amp;(ROW()))))</f>
        <v>0</v>
      </c>
      <c r="AU729" s="58">
        <f ca="1">SUM(INDIRECT(AU$1&amp;AU$2&amp;$C729):INDIRECT(AU$1&amp;AU$3&amp;$C729))</f>
        <v>0</v>
      </c>
      <c r="AV729" s="3261">
        <f t="shared" ca="1" si="1057"/>
        <v>0</v>
      </c>
      <c r="AW729" s="2913">
        <f t="shared" ca="1" si="1058"/>
        <v>0</v>
      </c>
      <c r="AX729" s="58">
        <f ca="1">SUM(INDIRECT(AX$1&amp;AX$2&amp;$A729):INDIRECT(AX$1&amp;AX$3&amp;$A729))</f>
        <v>-1671.96074</v>
      </c>
      <c r="AY729" s="3261">
        <f t="shared" ca="1" si="1059"/>
        <v>1671.96074</v>
      </c>
      <c r="AZ729" s="2913">
        <f t="shared" ca="1" si="1060"/>
        <v>0</v>
      </c>
      <c r="BB729" s="58">
        <f ca="1">SUM((INDIRECT(BB$2&amp;(ROW())):INDIRECT(BB$3&amp;(ROW()))))</f>
        <v>0</v>
      </c>
      <c r="BC729" s="58">
        <f ca="1">SUM(INDIRECT(BC$1&amp;BC$2&amp;$C729):INDIRECT(BC$1&amp;BC$3&amp;$C729))</f>
        <v>0</v>
      </c>
      <c r="BD729" s="3261">
        <f t="shared" ca="1" si="1061"/>
        <v>0</v>
      </c>
      <c r="BE729" s="2913">
        <f t="shared" ca="1" si="1062"/>
        <v>0</v>
      </c>
      <c r="BF729" s="58">
        <f ca="1">SUM(INDIRECT(BF$1&amp;BF$2&amp;$A729):INDIRECT(BF$1&amp;BF$3&amp;$A729))</f>
        <v>18260.595973272266</v>
      </c>
      <c r="BG729" s="3261">
        <f t="shared" ca="1" si="1063"/>
        <v>-18260.595973272266</v>
      </c>
      <c r="BH729" s="2913">
        <f t="shared" ca="1" si="1064"/>
        <v>0</v>
      </c>
    </row>
    <row r="730" spans="1:60" ht="14.5">
      <c r="A730" s="616">
        <f t="shared" si="1108"/>
        <v>665</v>
      </c>
      <c r="B730" s="616">
        <v>1</v>
      </c>
      <c r="C730" s="616">
        <f t="shared" si="1083"/>
        <v>727</v>
      </c>
      <c r="E730" s="2547">
        <v>1</v>
      </c>
      <c r="I730" s="352"/>
      <c r="J730" s="353"/>
      <c r="K730" s="68"/>
      <c r="L730" s="68"/>
      <c r="M730" s="69"/>
      <c r="N730" s="69"/>
      <c r="O730" s="305" t="s">
        <v>1493</v>
      </c>
      <c r="P730" s="305"/>
      <c r="Q730" s="1779" t="str">
        <f>CHOOSE(2, "6722000003649", "S/GP (3) Gross Profit Indirect NH MGI MGI")</f>
        <v>S/GP (3) Gross Profit Indirect NH MGI MGI</v>
      </c>
      <c r="R730" s="1254">
        <v>0</v>
      </c>
      <c r="S730" s="1254">
        <v>0</v>
      </c>
      <c r="T730" s="1254">
        <v>0</v>
      </c>
      <c r="U730" s="1254">
        <v>0</v>
      </c>
      <c r="V730" s="1254">
        <v>0</v>
      </c>
      <c r="W730" s="1254">
        <v>0</v>
      </c>
      <c r="X730" s="1254">
        <v>0</v>
      </c>
      <c r="Y730" s="1254">
        <v>0</v>
      </c>
      <c r="Z730" s="1254">
        <v>0</v>
      </c>
      <c r="AA730" s="1254">
        <v>0</v>
      </c>
      <c r="AB730" s="1254">
        <v>0</v>
      </c>
      <c r="AC730" s="1254">
        <v>0</v>
      </c>
      <c r="AD730" s="903">
        <f>SUM(R730,S730,T730)</f>
        <v>0</v>
      </c>
      <c r="AE730" s="58">
        <f t="shared" ref="AE730" si="1113">SUM(U730,V730,W730)</f>
        <v>0</v>
      </c>
      <c r="AF730" s="58">
        <f t="shared" ref="AF730" si="1114">SUM(X730,Y730,Z730)</f>
        <v>0</v>
      </c>
      <c r="AG730" s="58">
        <f t="shared" ref="AG730" si="1115">SUM(AA730,AB730,AC730)</f>
        <v>0</v>
      </c>
      <c r="AH730" s="58">
        <f>AD730+AE730</f>
        <v>0</v>
      </c>
      <c r="AI730" s="58">
        <f>AG730+AF730</f>
        <v>0</v>
      </c>
      <c r="AJ730" s="58">
        <f>AH730+AI730</f>
        <v>0</v>
      </c>
      <c r="AL730" s="58">
        <f ca="1">SUM((INDIRECT(AL$2&amp;(ROW())):INDIRECT(AL$3&amp;(ROW()))))</f>
        <v>0</v>
      </c>
      <c r="AM730" s="58">
        <f ca="1">SUM(INDIRECT(AM$1&amp;AM$2&amp;$C730):INDIRECT(AM$1&amp;AM$3&amp;$C730))</f>
        <v>0</v>
      </c>
      <c r="AN730" s="3261">
        <f t="shared" ca="1" si="1053"/>
        <v>0</v>
      </c>
      <c r="AO730" s="2913">
        <f t="shared" ca="1" si="1054"/>
        <v>0</v>
      </c>
      <c r="AP730" s="58">
        <f ca="1">SUM(INDIRECT(AP$1&amp;AP$2&amp;$A730):INDIRECT(AP$1&amp;AP$3&amp;$A730))</f>
        <v>-208</v>
      </c>
      <c r="AQ730" s="3261">
        <f t="shared" ca="1" si="1055"/>
        <v>208</v>
      </c>
      <c r="AR730" s="2913">
        <f t="shared" ca="1" si="1056"/>
        <v>0</v>
      </c>
      <c r="AT730" s="58">
        <f ca="1">SUM((INDIRECT(AT$2&amp;(ROW())):INDIRECT(AT$3&amp;(ROW()))))</f>
        <v>0</v>
      </c>
      <c r="AU730" s="58">
        <f ca="1">SUM(INDIRECT(AU$1&amp;AU$2&amp;$C730):INDIRECT(AU$1&amp;AU$3&amp;$C730))</f>
        <v>0</v>
      </c>
      <c r="AV730" s="3261">
        <f t="shared" ca="1" si="1057"/>
        <v>0</v>
      </c>
      <c r="AW730" s="2913">
        <f t="shared" ca="1" si="1058"/>
        <v>0</v>
      </c>
      <c r="AX730" s="58">
        <f ca="1">SUM(INDIRECT(AX$1&amp;AX$2&amp;$A730):INDIRECT(AX$1&amp;AX$3&amp;$A730))</f>
        <v>-4770</v>
      </c>
      <c r="AY730" s="3261">
        <f t="shared" ca="1" si="1059"/>
        <v>4770</v>
      </c>
      <c r="AZ730" s="2913">
        <f t="shared" ca="1" si="1060"/>
        <v>0</v>
      </c>
      <c r="BB730" s="58">
        <f ca="1">SUM((INDIRECT(BB$2&amp;(ROW())):INDIRECT(BB$3&amp;(ROW()))))</f>
        <v>0</v>
      </c>
      <c r="BC730" s="58">
        <f ca="1">SUM(INDIRECT(BC$1&amp;BC$2&amp;$C730):INDIRECT(BC$1&amp;BC$3&amp;$C730))</f>
        <v>0</v>
      </c>
      <c r="BD730" s="3261">
        <f t="shared" ca="1" si="1061"/>
        <v>0</v>
      </c>
      <c r="BE730" s="2913">
        <f t="shared" ca="1" si="1062"/>
        <v>0</v>
      </c>
      <c r="BF730" s="58">
        <f ca="1">SUM(INDIRECT(BF$1&amp;BF$2&amp;$A730):INDIRECT(BF$1&amp;BF$3&amp;$A730))</f>
        <v>2950.3301021266416</v>
      </c>
      <c r="BG730" s="3261">
        <f t="shared" ca="1" si="1063"/>
        <v>-2950.3301021266416</v>
      </c>
      <c r="BH730" s="2913">
        <f t="shared" ca="1" si="1064"/>
        <v>0</v>
      </c>
    </row>
    <row r="731" spans="1:60" s="69" customFormat="1" ht="14.5">
      <c r="A731" s="616">
        <f t="shared" si="1108"/>
        <v>666</v>
      </c>
      <c r="B731" s="616">
        <v>1</v>
      </c>
      <c r="C731" s="616">
        <f t="shared" si="1083"/>
        <v>728</v>
      </c>
      <c r="E731" s="2547">
        <v>1</v>
      </c>
      <c r="F731" s="9"/>
      <c r="G731" s="9"/>
      <c r="H731" s="22"/>
      <c r="I731" s="352"/>
      <c r="J731" s="353"/>
      <c r="K731" s="68"/>
      <c r="L731" s="68"/>
      <c r="O731" s="306" t="s">
        <v>1491</v>
      </c>
      <c r="P731" s="306"/>
      <c r="Q731" s="1782" t="str">
        <f>CHOOSE(2, "6722000003650", "S/GP (3) Gross Profit Indirect NH MGI FSC (-)")</f>
        <v>S/GP (3) Gross Profit Indirect NH MGI FSC (-)</v>
      </c>
      <c r="R731" s="1250">
        <f t="shared" ref="R731:AC731" si="1116">SUM(R732:R734)</f>
        <v>0</v>
      </c>
      <c r="S731" s="1250">
        <f t="shared" si="1116"/>
        <v>0</v>
      </c>
      <c r="T731" s="1250">
        <f t="shared" si="1116"/>
        <v>0</v>
      </c>
      <c r="U731" s="1250">
        <f t="shared" si="1116"/>
        <v>0</v>
      </c>
      <c r="V731" s="1250">
        <f t="shared" si="1116"/>
        <v>0</v>
      </c>
      <c r="W731" s="1250">
        <f t="shared" si="1116"/>
        <v>0</v>
      </c>
      <c r="X731" s="1250">
        <f t="shared" si="1116"/>
        <v>0</v>
      </c>
      <c r="Y731" s="1250">
        <f t="shared" si="1116"/>
        <v>0</v>
      </c>
      <c r="Z731" s="1250">
        <f t="shared" si="1116"/>
        <v>0</v>
      </c>
      <c r="AA731" s="1250">
        <f t="shared" si="1116"/>
        <v>0</v>
      </c>
      <c r="AB731" s="1250">
        <f t="shared" si="1116"/>
        <v>0</v>
      </c>
      <c r="AC731" s="1250">
        <f t="shared" si="1116"/>
        <v>0</v>
      </c>
      <c r="AD731" s="899">
        <f>SUM(R731:T731)</f>
        <v>0</v>
      </c>
      <c r="AE731" s="1250">
        <f>SUM(U731:W731)</f>
        <v>0</v>
      </c>
      <c r="AF731" s="1250">
        <f>SUM(X731:Z731)</f>
        <v>0</v>
      </c>
      <c r="AG731" s="1250">
        <f>SUM(AA731:AC731)</f>
        <v>0</v>
      </c>
      <c r="AH731" s="1250">
        <f>AD731+AE731</f>
        <v>0</v>
      </c>
      <c r="AI731" s="1250">
        <f>AG731+AF731</f>
        <v>0</v>
      </c>
      <c r="AJ731" s="1250">
        <f>AH731+AI731</f>
        <v>0</v>
      </c>
      <c r="AL731" s="1250">
        <f ca="1">SUM((INDIRECT(AL$2&amp;(ROW())):INDIRECT(AL$3&amp;(ROW()))))</f>
        <v>0</v>
      </c>
      <c r="AM731" s="1250">
        <f ca="1">SUM(INDIRECT(AM$1&amp;AM$2&amp;$C731):INDIRECT(AM$1&amp;AM$3&amp;$C731))</f>
        <v>0</v>
      </c>
      <c r="AN731" s="3232">
        <f t="shared" ca="1" si="1053"/>
        <v>0</v>
      </c>
      <c r="AO731" s="2888">
        <f t="shared" ca="1" si="1054"/>
        <v>0</v>
      </c>
      <c r="AP731" s="1250">
        <f ca="1">SUM(INDIRECT(AP$1&amp;AP$2&amp;$A731):INDIRECT(AP$1&amp;AP$3&amp;$A731))</f>
        <v>0</v>
      </c>
      <c r="AQ731" s="3232">
        <f t="shared" ca="1" si="1055"/>
        <v>0</v>
      </c>
      <c r="AR731" s="2888">
        <f t="shared" ca="1" si="1056"/>
        <v>0</v>
      </c>
      <c r="AT731" s="1250">
        <f ca="1">SUM((INDIRECT(AT$2&amp;(ROW())):INDIRECT(AT$3&amp;(ROW()))))</f>
        <v>0</v>
      </c>
      <c r="AU731" s="1250">
        <f ca="1">SUM(INDIRECT(AU$1&amp;AU$2&amp;$C731):INDIRECT(AU$1&amp;AU$3&amp;$C731))</f>
        <v>0</v>
      </c>
      <c r="AV731" s="3232">
        <f t="shared" ca="1" si="1057"/>
        <v>0</v>
      </c>
      <c r="AW731" s="2888">
        <f t="shared" ca="1" si="1058"/>
        <v>0</v>
      </c>
      <c r="AX731" s="1250">
        <f ca="1">SUM(INDIRECT(AX$1&amp;AX$2&amp;$A731):INDIRECT(AX$1&amp;AX$3&amp;$A731))</f>
        <v>0</v>
      </c>
      <c r="AY731" s="3232">
        <f t="shared" ca="1" si="1059"/>
        <v>0</v>
      </c>
      <c r="AZ731" s="2888">
        <f t="shared" ca="1" si="1060"/>
        <v>0</v>
      </c>
      <c r="BB731" s="1250">
        <f ca="1">SUM((INDIRECT(BB$2&amp;(ROW())):INDIRECT(BB$3&amp;(ROW()))))</f>
        <v>0</v>
      </c>
      <c r="BC731" s="1250">
        <f ca="1">SUM(INDIRECT(BC$1&amp;BC$2&amp;$C731):INDIRECT(BC$1&amp;BC$3&amp;$C731))</f>
        <v>0</v>
      </c>
      <c r="BD731" s="3232">
        <f t="shared" ca="1" si="1061"/>
        <v>0</v>
      </c>
      <c r="BE731" s="2888">
        <f t="shared" ca="1" si="1062"/>
        <v>0</v>
      </c>
      <c r="BF731" s="1250">
        <f ca="1">SUM(INDIRECT(BF$1&amp;BF$2&amp;$A731):INDIRECT(BF$1&amp;BF$3&amp;$A731))</f>
        <v>0</v>
      </c>
      <c r="BG731" s="3232">
        <f t="shared" ca="1" si="1063"/>
        <v>0</v>
      </c>
      <c r="BH731" s="2888">
        <f t="shared" ca="1" si="1064"/>
        <v>0</v>
      </c>
    </row>
    <row r="732" spans="1:60" s="69" customFormat="1" ht="14.5">
      <c r="A732" s="616">
        <f t="shared" si="1108"/>
        <v>667</v>
      </c>
      <c r="B732" s="616">
        <v>1</v>
      </c>
      <c r="C732" s="616">
        <f t="shared" si="1083"/>
        <v>729</v>
      </c>
      <c r="E732" s="2547">
        <v>1</v>
      </c>
      <c r="F732" s="9"/>
      <c r="G732" s="9"/>
      <c r="H732" s="22"/>
      <c r="I732" s="352"/>
      <c r="J732" s="353"/>
      <c r="K732" s="68"/>
      <c r="L732" s="68"/>
      <c r="O732" s="307"/>
      <c r="P732" s="291" t="s">
        <v>1471</v>
      </c>
      <c r="Q732" s="1779" t="str">
        <f>CHOOSE(2, "6722000003651", "S/GP (3) Gross Profit Indirect NH MGI FSC (-) PC")</f>
        <v>S/GP (3) Gross Profit Indirect NH MGI FSC (-) PC</v>
      </c>
      <c r="R732" s="1227">
        <v>0</v>
      </c>
      <c r="S732" s="1227">
        <v>0</v>
      </c>
      <c r="T732" s="1227">
        <v>0</v>
      </c>
      <c r="U732" s="1227">
        <v>0</v>
      </c>
      <c r="V732" s="1227">
        <v>0</v>
      </c>
      <c r="W732" s="1227">
        <v>0</v>
      </c>
      <c r="X732" s="1227">
        <v>0</v>
      </c>
      <c r="Y732" s="1227">
        <v>0</v>
      </c>
      <c r="Z732" s="1227">
        <v>0</v>
      </c>
      <c r="AA732" s="1227">
        <v>0</v>
      </c>
      <c r="AB732" s="1227">
        <v>0</v>
      </c>
      <c r="AC732" s="1227">
        <v>0</v>
      </c>
      <c r="AD732" s="896">
        <f>SUM(R732,S732,T732)</f>
        <v>0</v>
      </c>
      <c r="AE732" s="95">
        <f t="shared" ref="AE732:AE734" si="1117">SUM(U732,V732,W732)</f>
        <v>0</v>
      </c>
      <c r="AF732" s="95">
        <f t="shared" ref="AF732:AF734" si="1118">SUM(X732,Y732,Z732)</f>
        <v>0</v>
      </c>
      <c r="AG732" s="95">
        <f t="shared" ref="AG732:AG734" si="1119">SUM(AA732,AB732,AC732)</f>
        <v>0</v>
      </c>
      <c r="AH732" s="95">
        <f>AD732+AE732</f>
        <v>0</v>
      </c>
      <c r="AI732" s="95">
        <f>AG732+AF732</f>
        <v>0</v>
      </c>
      <c r="AJ732" s="95">
        <f>AH732+AI732</f>
        <v>0</v>
      </c>
      <c r="AL732" s="95">
        <f ca="1">SUM((INDIRECT(AL$2&amp;(ROW())):INDIRECT(AL$3&amp;(ROW()))))</f>
        <v>0</v>
      </c>
      <c r="AM732" s="95">
        <f ca="1">SUM(INDIRECT(AM$1&amp;AM$2&amp;$C732):INDIRECT(AM$1&amp;AM$3&amp;$C732))</f>
        <v>0</v>
      </c>
      <c r="AN732" s="3228">
        <f t="shared" ca="1" si="1053"/>
        <v>0</v>
      </c>
      <c r="AO732" s="2880">
        <f t="shared" ca="1" si="1054"/>
        <v>0</v>
      </c>
      <c r="AP732" s="95">
        <f ca="1">SUM(INDIRECT(AP$1&amp;AP$2&amp;$A732):INDIRECT(AP$1&amp;AP$3&amp;$A732))</f>
        <v>0</v>
      </c>
      <c r="AQ732" s="3228">
        <f t="shared" ca="1" si="1055"/>
        <v>0</v>
      </c>
      <c r="AR732" s="2880">
        <f t="shared" ca="1" si="1056"/>
        <v>0</v>
      </c>
      <c r="AT732" s="95">
        <f ca="1">SUM((INDIRECT(AT$2&amp;(ROW())):INDIRECT(AT$3&amp;(ROW()))))</f>
        <v>0</v>
      </c>
      <c r="AU732" s="95">
        <f ca="1">SUM(INDIRECT(AU$1&amp;AU$2&amp;$C732):INDIRECT(AU$1&amp;AU$3&amp;$C732))</f>
        <v>0</v>
      </c>
      <c r="AV732" s="3228">
        <f t="shared" ca="1" si="1057"/>
        <v>0</v>
      </c>
      <c r="AW732" s="2880">
        <f t="shared" ca="1" si="1058"/>
        <v>0</v>
      </c>
      <c r="AX732" s="95">
        <f ca="1">SUM(INDIRECT(AX$1&amp;AX$2&amp;$A732):INDIRECT(AX$1&amp;AX$3&amp;$A732))</f>
        <v>-4919</v>
      </c>
      <c r="AY732" s="3228">
        <f t="shared" ca="1" si="1059"/>
        <v>4919</v>
      </c>
      <c r="AZ732" s="2880">
        <f t="shared" ca="1" si="1060"/>
        <v>0</v>
      </c>
      <c r="BB732" s="95">
        <f ca="1">SUM((INDIRECT(BB$2&amp;(ROW())):INDIRECT(BB$3&amp;(ROW()))))</f>
        <v>0</v>
      </c>
      <c r="BC732" s="95">
        <f ca="1">SUM(INDIRECT(BC$1&amp;BC$2&amp;$C732):INDIRECT(BC$1&amp;BC$3&amp;$C732))</f>
        <v>0</v>
      </c>
      <c r="BD732" s="3228">
        <f t="shared" ca="1" si="1061"/>
        <v>0</v>
      </c>
      <c r="BE732" s="2880">
        <f t="shared" ca="1" si="1062"/>
        <v>0</v>
      </c>
      <c r="BF732" s="95">
        <f ca="1">SUM(INDIRECT(BF$1&amp;BF$2&amp;$A732):INDIRECT(BF$1&amp;BF$3&amp;$A732))</f>
        <v>554</v>
      </c>
      <c r="BG732" s="3228">
        <f t="shared" ca="1" si="1063"/>
        <v>-554</v>
      </c>
      <c r="BH732" s="2880">
        <f t="shared" ca="1" si="1064"/>
        <v>0</v>
      </c>
    </row>
    <row r="733" spans="1:60" s="69" customFormat="1" ht="14.5">
      <c r="A733" s="616">
        <f t="shared" si="1108"/>
        <v>668</v>
      </c>
      <c r="B733" s="616">
        <v>1</v>
      </c>
      <c r="C733" s="616">
        <f t="shared" si="1083"/>
        <v>730</v>
      </c>
      <c r="E733" s="2547">
        <v>1</v>
      </c>
      <c r="F733" s="9"/>
      <c r="G733" s="9"/>
      <c r="H733" s="22"/>
      <c r="I733" s="352"/>
      <c r="J733" s="353"/>
      <c r="K733" s="68"/>
      <c r="L733" s="68"/>
      <c r="O733" s="231"/>
      <c r="P733" s="229" t="s">
        <v>1472</v>
      </c>
      <c r="Q733" s="1779" t="str">
        <f>CHOOSE(2, "6722000003652", "S/GP (3) Gross Profit Indirect NH MGI FSC (-) TE")</f>
        <v>S/GP (3) Gross Profit Indirect NH MGI FSC (-) TE</v>
      </c>
      <c r="R733" s="1217">
        <v>0</v>
      </c>
      <c r="S733" s="1217">
        <v>0</v>
      </c>
      <c r="T733" s="1217">
        <v>0</v>
      </c>
      <c r="U733" s="1217">
        <v>0</v>
      </c>
      <c r="V733" s="1217">
        <v>0</v>
      </c>
      <c r="W733" s="1217">
        <v>0</v>
      </c>
      <c r="X733" s="1217">
        <v>0</v>
      </c>
      <c r="Y733" s="1217">
        <v>0</v>
      </c>
      <c r="Z733" s="1217">
        <v>0</v>
      </c>
      <c r="AA733" s="1217">
        <v>0</v>
      </c>
      <c r="AB733" s="1217">
        <v>0</v>
      </c>
      <c r="AC733" s="1217">
        <v>0</v>
      </c>
      <c r="AD733" s="783">
        <f>SUM(R733,S733,T733)</f>
        <v>0</v>
      </c>
      <c r="AE733" s="1226">
        <f t="shared" si="1117"/>
        <v>0</v>
      </c>
      <c r="AF733" s="1226">
        <f t="shared" si="1118"/>
        <v>0</v>
      </c>
      <c r="AG733" s="1226">
        <f t="shared" si="1119"/>
        <v>0</v>
      </c>
      <c r="AH733" s="1226">
        <f>AD733+AE733</f>
        <v>0</v>
      </c>
      <c r="AI733" s="1226">
        <f>AG733+AF733</f>
        <v>0</v>
      </c>
      <c r="AJ733" s="1226">
        <f>AH733+AI733</f>
        <v>0</v>
      </c>
      <c r="AL733" s="1226">
        <f ca="1">SUM((INDIRECT(AL$2&amp;(ROW())):INDIRECT(AL$3&amp;(ROW()))))</f>
        <v>0</v>
      </c>
      <c r="AM733" s="1226">
        <f ca="1">SUM(INDIRECT(AM$1&amp;AM$2&amp;$C733):INDIRECT(AM$1&amp;AM$3&amp;$C733))</f>
        <v>0</v>
      </c>
      <c r="AN733" s="3233">
        <f t="shared" ca="1" si="1053"/>
        <v>0</v>
      </c>
      <c r="AO733" s="2890">
        <f t="shared" ca="1" si="1054"/>
        <v>0</v>
      </c>
      <c r="AP733" s="1226">
        <f ca="1">SUM(INDIRECT(AP$1&amp;AP$2&amp;$A733):INDIRECT(AP$1&amp;AP$3&amp;$A733))</f>
        <v>-208</v>
      </c>
      <c r="AQ733" s="3233">
        <f t="shared" ca="1" si="1055"/>
        <v>208</v>
      </c>
      <c r="AR733" s="2890">
        <f t="shared" ca="1" si="1056"/>
        <v>0</v>
      </c>
      <c r="AT733" s="1226">
        <f ca="1">SUM((INDIRECT(AT$2&amp;(ROW())):INDIRECT(AT$3&amp;(ROW()))))</f>
        <v>0</v>
      </c>
      <c r="AU733" s="1226">
        <f ca="1">SUM(INDIRECT(AU$1&amp;AU$2&amp;$C733):INDIRECT(AU$1&amp;AU$3&amp;$C733))</f>
        <v>0</v>
      </c>
      <c r="AV733" s="3233">
        <f t="shared" ca="1" si="1057"/>
        <v>0</v>
      </c>
      <c r="AW733" s="2890">
        <f t="shared" ca="1" si="1058"/>
        <v>0</v>
      </c>
      <c r="AX733" s="1226">
        <f ca="1">SUM(INDIRECT(AX$1&amp;AX$2&amp;$A733):INDIRECT(AX$1&amp;AX$3&amp;$A733))</f>
        <v>149</v>
      </c>
      <c r="AY733" s="3233">
        <f t="shared" ca="1" si="1059"/>
        <v>-149</v>
      </c>
      <c r="AZ733" s="2890">
        <f t="shared" ca="1" si="1060"/>
        <v>0</v>
      </c>
      <c r="BB733" s="1226">
        <f ca="1">SUM((INDIRECT(BB$2&amp;(ROW())):INDIRECT(BB$3&amp;(ROW()))))</f>
        <v>0</v>
      </c>
      <c r="BC733" s="1226">
        <f ca="1">SUM(INDIRECT(BC$1&amp;BC$2&amp;$C733):INDIRECT(BC$1&amp;BC$3&amp;$C733))</f>
        <v>0</v>
      </c>
      <c r="BD733" s="3233">
        <f t="shared" ca="1" si="1061"/>
        <v>0</v>
      </c>
      <c r="BE733" s="2890">
        <f t="shared" ca="1" si="1062"/>
        <v>0</v>
      </c>
      <c r="BF733" s="1226">
        <f ca="1">SUM(INDIRECT(BF$1&amp;BF$2&amp;$A733):INDIRECT(BF$1&amp;BF$3&amp;$A733))</f>
        <v>2396.330102126642</v>
      </c>
      <c r="BG733" s="3233">
        <f t="shared" ca="1" si="1063"/>
        <v>-2396.330102126642</v>
      </c>
      <c r="BH733" s="2890">
        <f t="shared" ca="1" si="1064"/>
        <v>0</v>
      </c>
    </row>
    <row r="734" spans="1:60" s="69" customFormat="1" ht="14.5">
      <c r="A734" s="616">
        <f t="shared" si="1108"/>
        <v>669</v>
      </c>
      <c r="B734" s="616">
        <v>1</v>
      </c>
      <c r="C734" s="616">
        <f t="shared" si="1083"/>
        <v>731</v>
      </c>
      <c r="E734" s="2547">
        <v>1</v>
      </c>
      <c r="F734" s="9"/>
      <c r="G734" s="9"/>
      <c r="H734" s="22"/>
      <c r="I734" s="352"/>
      <c r="J734" s="353"/>
      <c r="K734" s="68"/>
      <c r="L734" s="68"/>
      <c r="N734" s="211"/>
      <c r="O734" s="232"/>
      <c r="P734" s="228" t="s">
        <v>1473</v>
      </c>
      <c r="Q734" s="1779" t="str">
        <f>CHOOSE(2, "6722000003653", "S/GP (3) Gross Profit Indirect NH MGI FSC (-) OFC")</f>
        <v>S/GP (3) Gross Profit Indirect NH MGI FSC (-) OFC</v>
      </c>
      <c r="R734" s="1218">
        <v>0</v>
      </c>
      <c r="S734" s="1218">
        <v>0</v>
      </c>
      <c r="T734" s="1218">
        <v>0</v>
      </c>
      <c r="U734" s="1218">
        <v>0</v>
      </c>
      <c r="V734" s="1218">
        <v>0</v>
      </c>
      <c r="W734" s="1218">
        <v>0</v>
      </c>
      <c r="X734" s="1218">
        <v>0</v>
      </c>
      <c r="Y734" s="1218">
        <v>0</v>
      </c>
      <c r="Z734" s="1218">
        <v>0</v>
      </c>
      <c r="AA734" s="1218">
        <v>0</v>
      </c>
      <c r="AB734" s="1218">
        <v>0</v>
      </c>
      <c r="AC734" s="1218">
        <v>0</v>
      </c>
      <c r="AD734" s="783">
        <f>SUM(R734,S734,T734)</f>
        <v>0</v>
      </c>
      <c r="AE734" s="1226">
        <f t="shared" si="1117"/>
        <v>0</v>
      </c>
      <c r="AF734" s="1226">
        <f t="shared" si="1118"/>
        <v>0</v>
      </c>
      <c r="AG734" s="1226">
        <f t="shared" si="1119"/>
        <v>0</v>
      </c>
      <c r="AH734" s="1226">
        <f>AD734+AE734</f>
        <v>0</v>
      </c>
      <c r="AI734" s="1226">
        <f>AG734+AF734</f>
        <v>0</v>
      </c>
      <c r="AJ734" s="1226">
        <f>AH734+AI734</f>
        <v>0</v>
      </c>
      <c r="AL734" s="1226">
        <f ca="1">SUM((INDIRECT(AL$2&amp;(ROW())):INDIRECT(AL$3&amp;(ROW()))))</f>
        <v>0</v>
      </c>
      <c r="AM734" s="1226">
        <f ca="1">SUM(INDIRECT(AM$1&amp;AM$2&amp;$C734):INDIRECT(AM$1&amp;AM$3&amp;$C734))</f>
        <v>0</v>
      </c>
      <c r="AN734" s="3233">
        <f t="shared" ca="1" si="1053"/>
        <v>0</v>
      </c>
      <c r="AO734" s="2890">
        <f t="shared" ca="1" si="1054"/>
        <v>0</v>
      </c>
      <c r="AP734" s="1226">
        <f ca="1">SUM(INDIRECT(AP$1&amp;AP$2&amp;$A734):INDIRECT(AP$1&amp;AP$3&amp;$A734))</f>
        <v>0</v>
      </c>
      <c r="AQ734" s="3233">
        <f t="shared" ca="1" si="1055"/>
        <v>0</v>
      </c>
      <c r="AR734" s="2890">
        <f t="shared" ca="1" si="1056"/>
        <v>0</v>
      </c>
      <c r="AT734" s="1226">
        <f ca="1">SUM((INDIRECT(AT$2&amp;(ROW())):INDIRECT(AT$3&amp;(ROW()))))</f>
        <v>0</v>
      </c>
      <c r="AU734" s="1226">
        <f ca="1">SUM(INDIRECT(AU$1&amp;AU$2&amp;$C734):INDIRECT(AU$1&amp;AU$3&amp;$C734))</f>
        <v>0</v>
      </c>
      <c r="AV734" s="3233">
        <f t="shared" ca="1" si="1057"/>
        <v>0</v>
      </c>
      <c r="AW734" s="2890">
        <f t="shared" ca="1" si="1058"/>
        <v>0</v>
      </c>
      <c r="AX734" s="1226">
        <f ca="1">SUM(INDIRECT(AX$1&amp;AX$2&amp;$A734):INDIRECT(AX$1&amp;AX$3&amp;$A734))</f>
        <v>0</v>
      </c>
      <c r="AY734" s="3233">
        <f t="shared" ca="1" si="1059"/>
        <v>0</v>
      </c>
      <c r="AZ734" s="2890">
        <f t="shared" ca="1" si="1060"/>
        <v>0</v>
      </c>
      <c r="BB734" s="1226">
        <f ca="1">SUM((INDIRECT(BB$2&amp;(ROW())):INDIRECT(BB$3&amp;(ROW()))))</f>
        <v>0</v>
      </c>
      <c r="BC734" s="1226">
        <f ca="1">SUM(INDIRECT(BC$1&amp;BC$2&amp;$C734):INDIRECT(BC$1&amp;BC$3&amp;$C734))</f>
        <v>0</v>
      </c>
      <c r="BD734" s="3233">
        <f t="shared" ca="1" si="1061"/>
        <v>0</v>
      </c>
      <c r="BE734" s="2890">
        <f t="shared" ca="1" si="1062"/>
        <v>0</v>
      </c>
      <c r="BF734" s="1226">
        <f ca="1">SUM(INDIRECT(BF$1&amp;BF$2&amp;$A734):INDIRECT(BF$1&amp;BF$3&amp;$A734))</f>
        <v>0</v>
      </c>
      <c r="BG734" s="3233">
        <f t="shared" ca="1" si="1063"/>
        <v>0</v>
      </c>
      <c r="BH734" s="2890">
        <f t="shared" ca="1" si="1064"/>
        <v>0</v>
      </c>
    </row>
    <row r="735" spans="1:60" ht="14.5">
      <c r="A735" s="616">
        <f t="shared" si="1108"/>
        <v>670</v>
      </c>
      <c r="B735" s="616">
        <v>1</v>
      </c>
      <c r="C735" s="616">
        <f t="shared" si="1083"/>
        <v>732</v>
      </c>
      <c r="E735" s="2547">
        <v>1</v>
      </c>
      <c r="I735" s="352"/>
      <c r="J735" s="353"/>
      <c r="K735" s="68"/>
      <c r="L735" s="68"/>
      <c r="M735" s="69"/>
      <c r="N735" s="69" t="s">
        <v>1403</v>
      </c>
      <c r="O735" s="302"/>
      <c r="P735" s="302"/>
      <c r="Q735" s="1777" t="str">
        <f>CHOOSE(2, "6722000003654", "S/GP (3) Gross Profit Indirect NH EFI/LF")</f>
        <v>S/GP (3) Gross Profit Indirect NH EFI/LF</v>
      </c>
      <c r="R735" s="58">
        <f t="shared" ref="R735:AJ735" si="1120">R736+R737</f>
        <v>0</v>
      </c>
      <c r="S735" s="58">
        <f t="shared" si="1120"/>
        <v>0</v>
      </c>
      <c r="T735" s="58">
        <f t="shared" si="1120"/>
        <v>0</v>
      </c>
      <c r="U735" s="58">
        <f t="shared" si="1120"/>
        <v>0</v>
      </c>
      <c r="V735" s="58">
        <f t="shared" si="1120"/>
        <v>0</v>
      </c>
      <c r="W735" s="58">
        <f t="shared" si="1120"/>
        <v>0</v>
      </c>
      <c r="X735" s="58">
        <f t="shared" si="1120"/>
        <v>0</v>
      </c>
      <c r="Y735" s="58">
        <f t="shared" si="1120"/>
        <v>0</v>
      </c>
      <c r="Z735" s="58">
        <f t="shared" si="1120"/>
        <v>0</v>
      </c>
      <c r="AA735" s="58">
        <f t="shared" si="1120"/>
        <v>0</v>
      </c>
      <c r="AB735" s="58">
        <f t="shared" si="1120"/>
        <v>0</v>
      </c>
      <c r="AC735" s="58">
        <f t="shared" si="1120"/>
        <v>0</v>
      </c>
      <c r="AD735" s="903">
        <f t="shared" si="1120"/>
        <v>0</v>
      </c>
      <c r="AE735" s="58">
        <f t="shared" si="1120"/>
        <v>0</v>
      </c>
      <c r="AF735" s="58">
        <f t="shared" si="1120"/>
        <v>0</v>
      </c>
      <c r="AG735" s="58">
        <f t="shared" si="1120"/>
        <v>0</v>
      </c>
      <c r="AH735" s="58">
        <f t="shared" si="1120"/>
        <v>0</v>
      </c>
      <c r="AI735" s="58">
        <f t="shared" si="1120"/>
        <v>0</v>
      </c>
      <c r="AJ735" s="58">
        <f t="shared" si="1120"/>
        <v>0</v>
      </c>
      <c r="AL735" s="58">
        <f ca="1">SUM((INDIRECT(AL$2&amp;(ROW())):INDIRECT(AL$3&amp;(ROW()))))</f>
        <v>0</v>
      </c>
      <c r="AM735" s="58">
        <f ca="1">SUM(INDIRECT(AM$1&amp;AM$2&amp;$C735):INDIRECT(AM$1&amp;AM$3&amp;$C735))</f>
        <v>0</v>
      </c>
      <c r="AN735" s="3261">
        <f t="shared" ca="1" si="1053"/>
        <v>0</v>
      </c>
      <c r="AO735" s="2913">
        <f t="shared" ca="1" si="1054"/>
        <v>0</v>
      </c>
      <c r="AP735" s="58">
        <f ca="1">SUM(INDIRECT(AP$1&amp;AP$2&amp;$A735):INDIRECT(AP$1&amp;AP$3&amp;$A735))</f>
        <v>0</v>
      </c>
      <c r="AQ735" s="3261">
        <f t="shared" ca="1" si="1055"/>
        <v>0</v>
      </c>
      <c r="AR735" s="2913">
        <f t="shared" ca="1" si="1056"/>
        <v>0</v>
      </c>
      <c r="AT735" s="58">
        <f ca="1">SUM((INDIRECT(AT$2&amp;(ROW())):INDIRECT(AT$3&amp;(ROW()))))</f>
        <v>0</v>
      </c>
      <c r="AU735" s="58">
        <f ca="1">SUM(INDIRECT(AU$1&amp;AU$2&amp;$C735):INDIRECT(AU$1&amp;AU$3&amp;$C735))</f>
        <v>0</v>
      </c>
      <c r="AV735" s="3261">
        <f t="shared" ca="1" si="1057"/>
        <v>0</v>
      </c>
      <c r="AW735" s="2913">
        <f t="shared" ca="1" si="1058"/>
        <v>0</v>
      </c>
      <c r="AX735" s="58">
        <f ca="1">SUM(INDIRECT(AX$1&amp;AX$2&amp;$A735):INDIRECT(AX$1&amp;AX$3&amp;$A735))</f>
        <v>0</v>
      </c>
      <c r="AY735" s="3261">
        <f t="shared" ca="1" si="1059"/>
        <v>0</v>
      </c>
      <c r="AZ735" s="2913">
        <f t="shared" ca="1" si="1060"/>
        <v>0</v>
      </c>
      <c r="BB735" s="58">
        <f ca="1">SUM((INDIRECT(BB$2&amp;(ROW())):INDIRECT(BB$3&amp;(ROW()))))</f>
        <v>0</v>
      </c>
      <c r="BC735" s="58">
        <f ca="1">SUM(INDIRECT(BC$1&amp;BC$2&amp;$C735):INDIRECT(BC$1&amp;BC$3&amp;$C735))</f>
        <v>0</v>
      </c>
      <c r="BD735" s="3261">
        <f t="shared" ca="1" si="1061"/>
        <v>0</v>
      </c>
      <c r="BE735" s="2913">
        <f t="shared" ca="1" si="1062"/>
        <v>0</v>
      </c>
      <c r="BF735" s="58">
        <f ca="1">SUM(INDIRECT(BF$1&amp;BF$2&amp;$A735):INDIRECT(BF$1&amp;BF$3&amp;$A735))</f>
        <v>0</v>
      </c>
      <c r="BG735" s="3261">
        <f t="shared" ca="1" si="1063"/>
        <v>0</v>
      </c>
      <c r="BH735" s="2913">
        <f t="shared" ca="1" si="1064"/>
        <v>0</v>
      </c>
    </row>
    <row r="736" spans="1:60" ht="14.5">
      <c r="A736" s="616">
        <f t="shared" si="1108"/>
        <v>671</v>
      </c>
      <c r="B736" s="616">
        <v>1</v>
      </c>
      <c r="C736" s="616">
        <f t="shared" si="1083"/>
        <v>733</v>
      </c>
      <c r="E736" s="2547">
        <v>1</v>
      </c>
      <c r="I736" s="352"/>
      <c r="J736" s="353"/>
      <c r="K736" s="68"/>
      <c r="L736" s="68"/>
      <c r="M736" s="69"/>
      <c r="N736" s="69"/>
      <c r="O736" s="305" t="s">
        <v>1494</v>
      </c>
      <c r="P736" s="305"/>
      <c r="Q736" s="1779" t="str">
        <f>CHOOSE(2, "6722000003655", "S/GP (3) Gross Profit Indirect NH EFI/LF EFI/LF")</f>
        <v>S/GP (3) Gross Profit Indirect NH EFI/LF EFI/LF</v>
      </c>
      <c r="R736" s="1254">
        <v>0</v>
      </c>
      <c r="S736" s="1254">
        <v>0</v>
      </c>
      <c r="T736" s="1254">
        <v>0</v>
      </c>
      <c r="U736" s="1254">
        <v>0</v>
      </c>
      <c r="V736" s="1254">
        <v>0</v>
      </c>
      <c r="W736" s="1254">
        <v>0</v>
      </c>
      <c r="X736" s="1254">
        <v>0</v>
      </c>
      <c r="Y736" s="1254">
        <v>0</v>
      </c>
      <c r="Z736" s="1254">
        <v>0</v>
      </c>
      <c r="AA736" s="1254">
        <v>0</v>
      </c>
      <c r="AB736" s="1254">
        <v>0</v>
      </c>
      <c r="AC736" s="1254">
        <v>0</v>
      </c>
      <c r="AD736" s="903">
        <f>SUM(R736,S736,T736)</f>
        <v>0</v>
      </c>
      <c r="AE736" s="58">
        <f t="shared" ref="AE736" si="1121">SUM(U736,V736,W736)</f>
        <v>0</v>
      </c>
      <c r="AF736" s="58">
        <f t="shared" ref="AF736" si="1122">SUM(X736,Y736,Z736)</f>
        <v>0</v>
      </c>
      <c r="AG736" s="58">
        <f t="shared" ref="AG736" si="1123">SUM(AA736,AB736,AC736)</f>
        <v>0</v>
      </c>
      <c r="AH736" s="58">
        <f>AD736+AE736</f>
        <v>0</v>
      </c>
      <c r="AI736" s="58">
        <f>AG736+AF736</f>
        <v>0</v>
      </c>
      <c r="AJ736" s="58">
        <f>AH736+AI736</f>
        <v>0</v>
      </c>
      <c r="AL736" s="58">
        <f ca="1">SUM((INDIRECT(AL$2&amp;(ROW())):INDIRECT(AL$3&amp;(ROW()))))</f>
        <v>0</v>
      </c>
      <c r="AM736" s="58">
        <f ca="1">SUM(INDIRECT(AM$1&amp;AM$2&amp;$C736):INDIRECT(AM$1&amp;AM$3&amp;$C736))</f>
        <v>0</v>
      </c>
      <c r="AN736" s="3261">
        <f t="shared" ca="1" si="1053"/>
        <v>0</v>
      </c>
      <c r="AO736" s="2913">
        <f t="shared" ca="1" si="1054"/>
        <v>0</v>
      </c>
      <c r="AP736" s="58">
        <f ca="1">SUM(INDIRECT(AP$1&amp;AP$2&amp;$A736):INDIRECT(AP$1&amp;AP$3&amp;$A736))</f>
        <v>0</v>
      </c>
      <c r="AQ736" s="3261">
        <f t="shared" ca="1" si="1055"/>
        <v>0</v>
      </c>
      <c r="AR736" s="2913">
        <f t="shared" ca="1" si="1056"/>
        <v>0</v>
      </c>
      <c r="AT736" s="58">
        <f ca="1">SUM((INDIRECT(AT$2&amp;(ROW())):INDIRECT(AT$3&amp;(ROW()))))</f>
        <v>0</v>
      </c>
      <c r="AU736" s="58">
        <f ca="1">SUM(INDIRECT(AU$1&amp;AU$2&amp;$C736):INDIRECT(AU$1&amp;AU$3&amp;$C736))</f>
        <v>0</v>
      </c>
      <c r="AV736" s="3261">
        <f t="shared" ca="1" si="1057"/>
        <v>0</v>
      </c>
      <c r="AW736" s="2913">
        <f t="shared" ca="1" si="1058"/>
        <v>0</v>
      </c>
      <c r="AX736" s="58">
        <f ca="1">SUM(INDIRECT(AX$1&amp;AX$2&amp;$A736):INDIRECT(AX$1&amp;AX$3&amp;$A736))</f>
        <v>0</v>
      </c>
      <c r="AY736" s="3261">
        <f t="shared" ca="1" si="1059"/>
        <v>0</v>
      </c>
      <c r="AZ736" s="2913">
        <f t="shared" ca="1" si="1060"/>
        <v>0</v>
      </c>
      <c r="BB736" s="58">
        <f ca="1">SUM((INDIRECT(BB$2&amp;(ROW())):INDIRECT(BB$3&amp;(ROW()))))</f>
        <v>0</v>
      </c>
      <c r="BC736" s="58">
        <f ca="1">SUM(INDIRECT(BC$1&amp;BC$2&amp;$C736):INDIRECT(BC$1&amp;BC$3&amp;$C736))</f>
        <v>0</v>
      </c>
      <c r="BD736" s="3261">
        <f t="shared" ca="1" si="1061"/>
        <v>0</v>
      </c>
      <c r="BE736" s="2913">
        <f t="shared" ca="1" si="1062"/>
        <v>0</v>
      </c>
      <c r="BF736" s="58">
        <f ca="1">SUM(INDIRECT(BF$1&amp;BF$2&amp;$A736):INDIRECT(BF$1&amp;BF$3&amp;$A736))</f>
        <v>0</v>
      </c>
      <c r="BG736" s="3261">
        <f t="shared" ca="1" si="1063"/>
        <v>0</v>
      </c>
      <c r="BH736" s="2913">
        <f t="shared" ca="1" si="1064"/>
        <v>0</v>
      </c>
    </row>
    <row r="737" spans="1:60" s="69" customFormat="1" ht="14.5">
      <c r="A737" s="616">
        <f t="shared" si="1108"/>
        <v>672</v>
      </c>
      <c r="B737" s="616">
        <v>1</v>
      </c>
      <c r="C737" s="616">
        <f t="shared" si="1083"/>
        <v>734</v>
      </c>
      <c r="E737" s="2547">
        <v>1</v>
      </c>
      <c r="F737" s="9"/>
      <c r="G737" s="9"/>
      <c r="H737" s="22"/>
      <c r="I737" s="352"/>
      <c r="J737" s="353"/>
      <c r="K737" s="68"/>
      <c r="L737" s="68"/>
      <c r="O737" s="306" t="s">
        <v>1491</v>
      </c>
      <c r="P737" s="306"/>
      <c r="Q737" s="1782" t="str">
        <f>CHOOSE(2, "6722000003656", "S/GP (3) Gross Profit Indirect NH EFI/LF FSC (-)")</f>
        <v>S/GP (3) Gross Profit Indirect NH EFI/LF FSC (-)</v>
      </c>
      <c r="R737" s="1250">
        <f t="shared" ref="R737:AC737" si="1124">SUM(R738:R740)</f>
        <v>0</v>
      </c>
      <c r="S737" s="1250">
        <f t="shared" si="1124"/>
        <v>0</v>
      </c>
      <c r="T737" s="1250">
        <f t="shared" si="1124"/>
        <v>0</v>
      </c>
      <c r="U737" s="1250">
        <f t="shared" si="1124"/>
        <v>0</v>
      </c>
      <c r="V737" s="1250">
        <f t="shared" si="1124"/>
        <v>0</v>
      </c>
      <c r="W737" s="1250">
        <f t="shared" si="1124"/>
        <v>0</v>
      </c>
      <c r="X737" s="1250">
        <f t="shared" si="1124"/>
        <v>0</v>
      </c>
      <c r="Y737" s="1250">
        <f t="shared" si="1124"/>
        <v>0</v>
      </c>
      <c r="Z737" s="1250">
        <f t="shared" si="1124"/>
        <v>0</v>
      </c>
      <c r="AA737" s="1250">
        <f t="shared" si="1124"/>
        <v>0</v>
      </c>
      <c r="AB737" s="1250">
        <f t="shared" si="1124"/>
        <v>0</v>
      </c>
      <c r="AC737" s="1250">
        <f t="shared" si="1124"/>
        <v>0</v>
      </c>
      <c r="AD737" s="899">
        <f>SUM(R737:T737)</f>
        <v>0</v>
      </c>
      <c r="AE737" s="1250">
        <f>SUM(U737:W737)</f>
        <v>0</v>
      </c>
      <c r="AF737" s="1250">
        <f>SUM(X737:Z737)</f>
        <v>0</v>
      </c>
      <c r="AG737" s="1250">
        <f>SUM(AA737:AC737)</f>
        <v>0</v>
      </c>
      <c r="AH737" s="1250">
        <f>AD737+AE737</f>
        <v>0</v>
      </c>
      <c r="AI737" s="1250">
        <f>AG737+AF737</f>
        <v>0</v>
      </c>
      <c r="AJ737" s="1250">
        <f>AH737+AI737</f>
        <v>0</v>
      </c>
      <c r="AL737" s="1250">
        <f ca="1">SUM((INDIRECT(AL$2&amp;(ROW())):INDIRECT(AL$3&amp;(ROW()))))</f>
        <v>0</v>
      </c>
      <c r="AM737" s="1250">
        <f ca="1">SUM(INDIRECT(AM$1&amp;AM$2&amp;$C737):INDIRECT(AM$1&amp;AM$3&amp;$C737))</f>
        <v>0</v>
      </c>
      <c r="AN737" s="3232">
        <f t="shared" ca="1" si="1053"/>
        <v>0</v>
      </c>
      <c r="AO737" s="2888">
        <f t="shared" ca="1" si="1054"/>
        <v>0</v>
      </c>
      <c r="AP737" s="1250">
        <f ca="1">SUM(INDIRECT(AP$1&amp;AP$2&amp;$A737):INDIRECT(AP$1&amp;AP$3&amp;$A737))</f>
        <v>844.03926000000001</v>
      </c>
      <c r="AQ737" s="3232">
        <f t="shared" ca="1" si="1055"/>
        <v>-844.03926000000001</v>
      </c>
      <c r="AR737" s="2888">
        <f t="shared" ca="1" si="1056"/>
        <v>0</v>
      </c>
      <c r="AT737" s="1250">
        <f ca="1">SUM((INDIRECT(AT$2&amp;(ROW())):INDIRECT(AT$3&amp;(ROW()))))</f>
        <v>0</v>
      </c>
      <c r="AU737" s="1250">
        <f ca="1">SUM(INDIRECT(AU$1&amp;AU$2&amp;$C737):INDIRECT(AU$1&amp;AU$3&amp;$C737))</f>
        <v>0</v>
      </c>
      <c r="AV737" s="3232">
        <f t="shared" ca="1" si="1057"/>
        <v>0</v>
      </c>
      <c r="AW737" s="2888">
        <f t="shared" ca="1" si="1058"/>
        <v>0</v>
      </c>
      <c r="AX737" s="1250">
        <f ca="1">SUM(INDIRECT(AX$1&amp;AX$2&amp;$A737):INDIRECT(AX$1&amp;AX$3&amp;$A737))</f>
        <v>3098.03926</v>
      </c>
      <c r="AY737" s="3232">
        <f t="shared" ca="1" si="1059"/>
        <v>-3098.03926</v>
      </c>
      <c r="AZ737" s="2888">
        <f t="shared" ca="1" si="1060"/>
        <v>0</v>
      </c>
      <c r="BB737" s="1250">
        <f ca="1">SUM((INDIRECT(BB$2&amp;(ROW())):INDIRECT(BB$3&amp;(ROW()))))</f>
        <v>0</v>
      </c>
      <c r="BC737" s="1250">
        <f ca="1">SUM(INDIRECT(BC$1&amp;BC$2&amp;$C737):INDIRECT(BC$1&amp;BC$3&amp;$C737))</f>
        <v>0</v>
      </c>
      <c r="BD737" s="3232">
        <f t="shared" ca="1" si="1061"/>
        <v>0</v>
      </c>
      <c r="BE737" s="2888">
        <f t="shared" ca="1" si="1062"/>
        <v>0</v>
      </c>
      <c r="BF737" s="1250">
        <f ca="1">SUM(INDIRECT(BF$1&amp;BF$2&amp;$A737):INDIRECT(BF$1&amp;BF$3&amp;$A737))</f>
        <v>15310.265871145624</v>
      </c>
      <c r="BG737" s="3232">
        <f t="shared" ca="1" si="1063"/>
        <v>-15310.265871145624</v>
      </c>
      <c r="BH737" s="2888">
        <f t="shared" ca="1" si="1064"/>
        <v>0</v>
      </c>
    </row>
    <row r="738" spans="1:60" s="69" customFormat="1" ht="14.5">
      <c r="A738" s="616">
        <f t="shared" si="1108"/>
        <v>673</v>
      </c>
      <c r="B738" s="616">
        <v>1</v>
      </c>
      <c r="C738" s="616">
        <f t="shared" si="1083"/>
        <v>735</v>
      </c>
      <c r="E738" s="2547">
        <v>1</v>
      </c>
      <c r="F738" s="9"/>
      <c r="G738" s="9"/>
      <c r="H738" s="22"/>
      <c r="I738" s="352"/>
      <c r="J738" s="353"/>
      <c r="K738" s="68"/>
      <c r="L738" s="68"/>
      <c r="O738" s="307"/>
      <c r="P738" s="291" t="s">
        <v>1471</v>
      </c>
      <c r="Q738" s="1779" t="str">
        <f>CHOOSE(2, "6722000003657", "S/GP (3) Gross Profit Indirect NH EFI/LF FSC (-) PC")</f>
        <v>S/GP (3) Gross Profit Indirect NH EFI/LF FSC (-) PC</v>
      </c>
      <c r="R738" s="1227">
        <v>0</v>
      </c>
      <c r="S738" s="1227">
        <v>0</v>
      </c>
      <c r="T738" s="1227">
        <v>0</v>
      </c>
      <c r="U738" s="1227">
        <v>0</v>
      </c>
      <c r="V738" s="1227">
        <v>0</v>
      </c>
      <c r="W738" s="1227">
        <v>0</v>
      </c>
      <c r="X738" s="1227">
        <v>0</v>
      </c>
      <c r="Y738" s="1227">
        <v>0</v>
      </c>
      <c r="Z738" s="1227">
        <v>0</v>
      </c>
      <c r="AA738" s="1227">
        <v>0</v>
      </c>
      <c r="AB738" s="1227">
        <v>0</v>
      </c>
      <c r="AC738" s="1227">
        <v>0</v>
      </c>
      <c r="AD738" s="896">
        <f>SUM(R738,S738,T738)</f>
        <v>0</v>
      </c>
      <c r="AE738" s="95">
        <f t="shared" ref="AE738:AE740" si="1125">SUM(U738,V738,W738)</f>
        <v>0</v>
      </c>
      <c r="AF738" s="95">
        <f t="shared" ref="AF738:AF740" si="1126">SUM(X738,Y738,Z738)</f>
        <v>0</v>
      </c>
      <c r="AG738" s="95">
        <f t="shared" ref="AG738:AG740" si="1127">SUM(AA738,AB738,AC738)</f>
        <v>0</v>
      </c>
      <c r="AH738" s="95">
        <f>AD738+AE738</f>
        <v>0</v>
      </c>
      <c r="AI738" s="95">
        <f>AG738+AF738</f>
        <v>0</v>
      </c>
      <c r="AJ738" s="95">
        <f>AH738+AI738</f>
        <v>0</v>
      </c>
      <c r="AL738" s="95">
        <f ca="1">SUM((INDIRECT(AL$2&amp;(ROW())):INDIRECT(AL$3&amp;(ROW()))))</f>
        <v>0</v>
      </c>
      <c r="AM738" s="95">
        <f ca="1">SUM(INDIRECT(AM$1&amp;AM$2&amp;$C738):INDIRECT(AM$1&amp;AM$3&amp;$C738))</f>
        <v>0</v>
      </c>
      <c r="AN738" s="3228">
        <f t="shared" ca="1" si="1053"/>
        <v>0</v>
      </c>
      <c r="AO738" s="2880">
        <f t="shared" ca="1" si="1054"/>
        <v>0</v>
      </c>
      <c r="AP738" s="95">
        <f ca="1">SUM(INDIRECT(AP$1&amp;AP$2&amp;$A738):INDIRECT(AP$1&amp;AP$3&amp;$A738))</f>
        <v>941.03926000000001</v>
      </c>
      <c r="AQ738" s="3228">
        <f t="shared" ca="1" si="1055"/>
        <v>-941.03926000000001</v>
      </c>
      <c r="AR738" s="2880">
        <f t="shared" ca="1" si="1056"/>
        <v>0</v>
      </c>
      <c r="AT738" s="95">
        <f ca="1">SUM((INDIRECT(AT$2&amp;(ROW())):INDIRECT(AT$3&amp;(ROW()))))</f>
        <v>0</v>
      </c>
      <c r="AU738" s="95">
        <f ca="1">SUM(INDIRECT(AU$1&amp;AU$2&amp;$C738):INDIRECT(AU$1&amp;AU$3&amp;$C738))</f>
        <v>0</v>
      </c>
      <c r="AV738" s="3228">
        <f t="shared" ca="1" si="1057"/>
        <v>0</v>
      </c>
      <c r="AW738" s="2880">
        <f t="shared" ca="1" si="1058"/>
        <v>0</v>
      </c>
      <c r="AX738" s="95">
        <f ca="1">SUM(INDIRECT(AX$1&amp;AX$2&amp;$A738):INDIRECT(AX$1&amp;AX$3&amp;$A738))</f>
        <v>-869.96073999999999</v>
      </c>
      <c r="AY738" s="3228">
        <f t="shared" ca="1" si="1059"/>
        <v>869.96073999999999</v>
      </c>
      <c r="AZ738" s="2880">
        <f t="shared" ca="1" si="1060"/>
        <v>0</v>
      </c>
      <c r="BB738" s="95">
        <f ca="1">SUM((INDIRECT(BB$2&amp;(ROW())):INDIRECT(BB$3&amp;(ROW()))))</f>
        <v>0</v>
      </c>
      <c r="BC738" s="95">
        <f ca="1">SUM(INDIRECT(BC$1&amp;BC$2&amp;$C738):INDIRECT(BC$1&amp;BC$3&amp;$C738))</f>
        <v>0</v>
      </c>
      <c r="BD738" s="3228">
        <f t="shared" ca="1" si="1061"/>
        <v>0</v>
      </c>
      <c r="BE738" s="2880">
        <f t="shared" ca="1" si="1062"/>
        <v>0</v>
      </c>
      <c r="BF738" s="95">
        <f ca="1">SUM(INDIRECT(BF$1&amp;BF$2&amp;$A738):INDIRECT(BF$1&amp;BF$3&amp;$A738))</f>
        <v>-2378.7806314711511</v>
      </c>
      <c r="BG738" s="3228">
        <f t="shared" ca="1" si="1063"/>
        <v>2378.7806314711511</v>
      </c>
      <c r="BH738" s="2880">
        <f t="shared" ca="1" si="1064"/>
        <v>0</v>
      </c>
    </row>
    <row r="739" spans="1:60" s="69" customFormat="1" ht="14.5">
      <c r="A739" s="616">
        <f t="shared" si="1108"/>
        <v>674</v>
      </c>
      <c r="B739" s="616">
        <v>1</v>
      </c>
      <c r="C739" s="616">
        <f t="shared" si="1083"/>
        <v>736</v>
      </c>
      <c r="E739" s="2547">
        <v>1</v>
      </c>
      <c r="F739" s="9"/>
      <c r="G739" s="9"/>
      <c r="H739" s="22"/>
      <c r="I739" s="352"/>
      <c r="J739" s="353"/>
      <c r="K739" s="68"/>
      <c r="L739" s="68"/>
      <c r="O739" s="231"/>
      <c r="P739" s="229" t="s">
        <v>1472</v>
      </c>
      <c r="Q739" s="1779" t="str">
        <f>CHOOSE(2, "6722000003658", "S/GP (3) Gross Profit Indirect NH EFI/LF FSC (-) TE")</f>
        <v>S/GP (3) Gross Profit Indirect NH EFI/LF FSC (-) TE</v>
      </c>
      <c r="R739" s="1217">
        <v>0</v>
      </c>
      <c r="S739" s="1217">
        <v>0</v>
      </c>
      <c r="T739" s="1217">
        <v>0</v>
      </c>
      <c r="U739" s="1217">
        <v>0</v>
      </c>
      <c r="V739" s="1217">
        <v>0</v>
      </c>
      <c r="W739" s="1217">
        <v>0</v>
      </c>
      <c r="X739" s="1217">
        <v>0</v>
      </c>
      <c r="Y739" s="1217">
        <v>0</v>
      </c>
      <c r="Z739" s="1217">
        <v>0</v>
      </c>
      <c r="AA739" s="1217">
        <v>0</v>
      </c>
      <c r="AB739" s="1217">
        <v>0</v>
      </c>
      <c r="AC739" s="1217">
        <v>0</v>
      </c>
      <c r="AD739" s="783">
        <f>SUM(R739,S739,T739)</f>
        <v>0</v>
      </c>
      <c r="AE739" s="1226">
        <f t="shared" si="1125"/>
        <v>0</v>
      </c>
      <c r="AF739" s="1226">
        <f t="shared" si="1126"/>
        <v>0</v>
      </c>
      <c r="AG739" s="1226">
        <f t="shared" si="1127"/>
        <v>0</v>
      </c>
      <c r="AH739" s="1226">
        <f>AD739+AE739</f>
        <v>0</v>
      </c>
      <c r="AI739" s="1226">
        <f>AG739+AF739</f>
        <v>0</v>
      </c>
      <c r="AJ739" s="1226">
        <f>AH739+AI739</f>
        <v>0</v>
      </c>
      <c r="AL739" s="1226">
        <f ca="1">SUM((INDIRECT(AL$2&amp;(ROW())):INDIRECT(AL$3&amp;(ROW()))))</f>
        <v>0</v>
      </c>
      <c r="AM739" s="1226">
        <f ca="1">SUM(INDIRECT(AM$1&amp;AM$2&amp;$C739):INDIRECT(AM$1&amp;AM$3&amp;$C739))</f>
        <v>0</v>
      </c>
      <c r="AN739" s="3233">
        <f t="shared" ca="1" si="1053"/>
        <v>0</v>
      </c>
      <c r="AO739" s="2890">
        <f t="shared" ca="1" si="1054"/>
        <v>0</v>
      </c>
      <c r="AP739" s="1226">
        <f ca="1">SUM(INDIRECT(AP$1&amp;AP$2&amp;$A739):INDIRECT(AP$1&amp;AP$3&amp;$A739))</f>
        <v>1117.03926</v>
      </c>
      <c r="AQ739" s="3233">
        <f t="shared" ca="1" si="1055"/>
        <v>-1117.03926</v>
      </c>
      <c r="AR739" s="2890">
        <f t="shared" ca="1" si="1056"/>
        <v>0</v>
      </c>
      <c r="AT739" s="1226">
        <f ca="1">SUM((INDIRECT(AT$2&amp;(ROW())):INDIRECT(AT$3&amp;(ROW()))))</f>
        <v>0</v>
      </c>
      <c r="AU739" s="1226">
        <f ca="1">SUM(INDIRECT(AU$1&amp;AU$2&amp;$C739):INDIRECT(AU$1&amp;AU$3&amp;$C739))</f>
        <v>0</v>
      </c>
      <c r="AV739" s="3233">
        <f t="shared" ca="1" si="1057"/>
        <v>0</v>
      </c>
      <c r="AW739" s="2890">
        <f t="shared" ca="1" si="1058"/>
        <v>0</v>
      </c>
      <c r="AX739" s="1226">
        <f ca="1">SUM(INDIRECT(AX$1&amp;AX$2&amp;$A739):INDIRECT(AX$1&amp;AX$3&amp;$A739))</f>
        <v>-285.96073999999999</v>
      </c>
      <c r="AY739" s="3233">
        <f t="shared" ca="1" si="1059"/>
        <v>285.96073999999999</v>
      </c>
      <c r="AZ739" s="2890">
        <f t="shared" ca="1" si="1060"/>
        <v>0</v>
      </c>
      <c r="BB739" s="1226">
        <f ca="1">SUM((INDIRECT(BB$2&amp;(ROW())):INDIRECT(BB$3&amp;(ROW()))))</f>
        <v>0</v>
      </c>
      <c r="BC739" s="1226">
        <f ca="1">SUM(INDIRECT(BC$1&amp;BC$2&amp;$C739):INDIRECT(BC$1&amp;BC$3&amp;$C739))</f>
        <v>0</v>
      </c>
      <c r="BD739" s="3233">
        <f t="shared" ca="1" si="1061"/>
        <v>0</v>
      </c>
      <c r="BE739" s="2890">
        <f t="shared" ca="1" si="1062"/>
        <v>0</v>
      </c>
      <c r="BF739" s="1226">
        <f ca="1">SUM(INDIRECT(BF$1&amp;BF$2&amp;$A739):INDIRECT(BF$1&amp;BF$3&amp;$A739))</f>
        <v>-296.10771</v>
      </c>
      <c r="BG739" s="3233">
        <f t="shared" ca="1" si="1063"/>
        <v>296.10771</v>
      </c>
      <c r="BH739" s="2890">
        <f t="shared" ca="1" si="1064"/>
        <v>0</v>
      </c>
    </row>
    <row r="740" spans="1:60" s="69" customFormat="1" ht="14.5">
      <c r="A740" s="616">
        <f t="shared" si="1108"/>
        <v>675</v>
      </c>
      <c r="B740" s="616">
        <v>1</v>
      </c>
      <c r="C740" s="616">
        <f t="shared" si="1083"/>
        <v>737</v>
      </c>
      <c r="E740" s="2547">
        <v>1</v>
      </c>
      <c r="F740" s="9"/>
      <c r="G740" s="9"/>
      <c r="H740" s="22"/>
      <c r="I740" s="352"/>
      <c r="J740" s="353"/>
      <c r="K740" s="68"/>
      <c r="L740" s="68"/>
      <c r="N740" s="211"/>
      <c r="O740" s="232"/>
      <c r="P740" s="228" t="s">
        <v>1473</v>
      </c>
      <c r="Q740" s="1779" t="str">
        <f>CHOOSE(2, "6722000003659", "S/GP (3) Gross Profit Indirect NH EFI/LF FSC (-) OFC")</f>
        <v>S/GP (3) Gross Profit Indirect NH EFI/LF FSC (-) OFC</v>
      </c>
      <c r="R740" s="1218">
        <v>0</v>
      </c>
      <c r="S740" s="1218">
        <v>0</v>
      </c>
      <c r="T740" s="1218">
        <v>0</v>
      </c>
      <c r="U740" s="1218">
        <v>0</v>
      </c>
      <c r="V740" s="1218">
        <v>0</v>
      </c>
      <c r="W740" s="1218">
        <v>0</v>
      </c>
      <c r="X740" s="1218">
        <v>0</v>
      </c>
      <c r="Y740" s="1218">
        <v>0</v>
      </c>
      <c r="Z740" s="1218">
        <v>0</v>
      </c>
      <c r="AA740" s="1218">
        <v>0</v>
      </c>
      <c r="AB740" s="1218">
        <v>0</v>
      </c>
      <c r="AC740" s="1218">
        <v>0</v>
      </c>
      <c r="AD740" s="783">
        <f>SUM(R740,S740,T740)</f>
        <v>0</v>
      </c>
      <c r="AE740" s="1226">
        <f t="shared" si="1125"/>
        <v>0</v>
      </c>
      <c r="AF740" s="1226">
        <f t="shared" si="1126"/>
        <v>0</v>
      </c>
      <c r="AG740" s="1226">
        <f t="shared" si="1127"/>
        <v>0</v>
      </c>
      <c r="AH740" s="1226">
        <f>AD740+AE740</f>
        <v>0</v>
      </c>
      <c r="AI740" s="1226">
        <f>AG740+AF740</f>
        <v>0</v>
      </c>
      <c r="AJ740" s="1226">
        <f>AH740+AI740</f>
        <v>0</v>
      </c>
      <c r="AL740" s="1226">
        <f ca="1">SUM((INDIRECT(AL$2&amp;(ROW())):INDIRECT(AL$3&amp;(ROW()))))</f>
        <v>0</v>
      </c>
      <c r="AM740" s="1226">
        <f ca="1">SUM(INDIRECT(AM$1&amp;AM$2&amp;$C740):INDIRECT(AM$1&amp;AM$3&amp;$C740))</f>
        <v>0</v>
      </c>
      <c r="AN740" s="3233">
        <f t="shared" ca="1" si="1053"/>
        <v>0</v>
      </c>
      <c r="AO740" s="2890">
        <f t="shared" ca="1" si="1054"/>
        <v>0</v>
      </c>
      <c r="AP740" s="1226">
        <f ca="1">SUM(INDIRECT(AP$1&amp;AP$2&amp;$A740):INDIRECT(AP$1&amp;AP$3&amp;$A740))</f>
        <v>-176</v>
      </c>
      <c r="AQ740" s="3233">
        <f t="shared" ca="1" si="1055"/>
        <v>176</v>
      </c>
      <c r="AR740" s="2890">
        <f t="shared" ca="1" si="1056"/>
        <v>0</v>
      </c>
      <c r="AT740" s="1226">
        <f ca="1">SUM((INDIRECT(AT$2&amp;(ROW())):INDIRECT(AT$3&amp;(ROW()))))</f>
        <v>0</v>
      </c>
      <c r="AU740" s="1226">
        <f ca="1">SUM(INDIRECT(AU$1&amp;AU$2&amp;$C740):INDIRECT(AU$1&amp;AU$3&amp;$C740))</f>
        <v>0</v>
      </c>
      <c r="AV740" s="3233">
        <f t="shared" ca="1" si="1057"/>
        <v>0</v>
      </c>
      <c r="AW740" s="2890">
        <f t="shared" ca="1" si="1058"/>
        <v>0</v>
      </c>
      <c r="AX740" s="1226">
        <f ca="1">SUM(INDIRECT(AX$1&amp;AX$2&amp;$A740):INDIRECT(AX$1&amp;AX$3&amp;$A740))</f>
        <v>-584</v>
      </c>
      <c r="AY740" s="3233">
        <f t="shared" ca="1" si="1059"/>
        <v>584</v>
      </c>
      <c r="AZ740" s="2890">
        <f t="shared" ca="1" si="1060"/>
        <v>0</v>
      </c>
      <c r="BB740" s="1226">
        <f ca="1">SUM((INDIRECT(BB$2&amp;(ROW())):INDIRECT(BB$3&amp;(ROW()))))</f>
        <v>0</v>
      </c>
      <c r="BC740" s="1226">
        <f ca="1">SUM(INDIRECT(BC$1&amp;BC$2&amp;$C740):INDIRECT(BC$1&amp;BC$3&amp;$C740))</f>
        <v>0</v>
      </c>
      <c r="BD740" s="3233">
        <f t="shared" ca="1" si="1061"/>
        <v>0</v>
      </c>
      <c r="BE740" s="2890">
        <f t="shared" ca="1" si="1062"/>
        <v>0</v>
      </c>
      <c r="BF740" s="1226">
        <f ca="1">SUM(INDIRECT(BF$1&amp;BF$2&amp;$A740):INDIRECT(BF$1&amp;BF$3&amp;$A740))</f>
        <v>-2082.6729214711509</v>
      </c>
      <c r="BG740" s="3233">
        <f t="shared" ca="1" si="1063"/>
        <v>2082.6729214711509</v>
      </c>
      <c r="BH740" s="2890">
        <f t="shared" ca="1" si="1064"/>
        <v>0</v>
      </c>
    </row>
    <row r="741" spans="1:60" ht="14.5">
      <c r="A741" s="616">
        <f t="shared" si="1108"/>
        <v>676</v>
      </c>
      <c r="B741" s="616">
        <v>1</v>
      </c>
      <c r="C741" s="616">
        <f t="shared" si="1083"/>
        <v>738</v>
      </c>
      <c r="E741" s="2547">
        <v>1</v>
      </c>
      <c r="I741" s="352"/>
      <c r="J741" s="353"/>
      <c r="K741" s="68"/>
      <c r="L741" s="68"/>
      <c r="M741" s="69"/>
      <c r="N741" s="69" t="s">
        <v>1404</v>
      </c>
      <c r="O741" s="302"/>
      <c r="P741" s="302"/>
      <c r="Q741" s="1777" t="str">
        <f>CHOOSE(2, "6722000003660", "S/GP (3) Gross Profit Indirect NH TextilePrinter")</f>
        <v>S/GP (3) Gross Profit Indirect NH TextilePrinter</v>
      </c>
      <c r="R741" s="58">
        <f t="shared" ref="R741:AJ741" si="1128">R742+R743</f>
        <v>0</v>
      </c>
      <c r="S741" s="58">
        <f t="shared" si="1128"/>
        <v>0</v>
      </c>
      <c r="T741" s="58">
        <f t="shared" si="1128"/>
        <v>0</v>
      </c>
      <c r="U741" s="58">
        <f t="shared" si="1128"/>
        <v>0</v>
      </c>
      <c r="V741" s="58">
        <f t="shared" si="1128"/>
        <v>0</v>
      </c>
      <c r="W741" s="58">
        <f t="shared" si="1128"/>
        <v>0</v>
      </c>
      <c r="X741" s="58">
        <f t="shared" si="1128"/>
        <v>0</v>
      </c>
      <c r="Y741" s="58">
        <f t="shared" si="1128"/>
        <v>0</v>
      </c>
      <c r="Z741" s="58">
        <f t="shared" si="1128"/>
        <v>0</v>
      </c>
      <c r="AA741" s="58">
        <f t="shared" si="1128"/>
        <v>0</v>
      </c>
      <c r="AB741" s="58">
        <f t="shared" si="1128"/>
        <v>0</v>
      </c>
      <c r="AC741" s="58">
        <f t="shared" si="1128"/>
        <v>0</v>
      </c>
      <c r="AD741" s="903">
        <f t="shared" si="1128"/>
        <v>0</v>
      </c>
      <c r="AE741" s="58">
        <f t="shared" si="1128"/>
        <v>0</v>
      </c>
      <c r="AF741" s="58">
        <f t="shared" si="1128"/>
        <v>0</v>
      </c>
      <c r="AG741" s="58">
        <f t="shared" si="1128"/>
        <v>0</v>
      </c>
      <c r="AH741" s="58">
        <f t="shared" si="1128"/>
        <v>0</v>
      </c>
      <c r="AI741" s="58">
        <f t="shared" si="1128"/>
        <v>0</v>
      </c>
      <c r="AJ741" s="58">
        <f t="shared" si="1128"/>
        <v>0</v>
      </c>
      <c r="AL741" s="58">
        <f ca="1">SUM((INDIRECT(AL$2&amp;(ROW())):INDIRECT(AL$3&amp;(ROW()))))</f>
        <v>0</v>
      </c>
      <c r="AM741" s="58">
        <f ca="1">SUM(INDIRECT(AM$1&amp;AM$2&amp;$C741):INDIRECT(AM$1&amp;AM$3&amp;$C741))</f>
        <v>0</v>
      </c>
      <c r="AN741" s="3261">
        <f t="shared" ca="1" si="1053"/>
        <v>0</v>
      </c>
      <c r="AO741" s="2913">
        <f t="shared" ca="1" si="1054"/>
        <v>0</v>
      </c>
      <c r="AP741" s="58">
        <f ca="1">SUM(INDIRECT(AP$1&amp;AP$2&amp;$A741):INDIRECT(AP$1&amp;AP$3&amp;$A741))</f>
        <v>-159</v>
      </c>
      <c r="AQ741" s="3261">
        <f t="shared" ca="1" si="1055"/>
        <v>159</v>
      </c>
      <c r="AR741" s="2913">
        <f t="shared" ca="1" si="1056"/>
        <v>0</v>
      </c>
      <c r="AT741" s="58">
        <f ca="1">SUM((INDIRECT(AT$2&amp;(ROW())):INDIRECT(AT$3&amp;(ROW()))))</f>
        <v>0</v>
      </c>
      <c r="AU741" s="58">
        <f ca="1">SUM(INDIRECT(AU$1&amp;AU$2&amp;$C741):INDIRECT(AU$1&amp;AU$3&amp;$C741))</f>
        <v>0</v>
      </c>
      <c r="AV741" s="3261">
        <f t="shared" ca="1" si="1057"/>
        <v>0</v>
      </c>
      <c r="AW741" s="2913">
        <f t="shared" ca="1" si="1058"/>
        <v>0</v>
      </c>
      <c r="AX741" s="58">
        <f ca="1">SUM(INDIRECT(AX$1&amp;AX$2&amp;$A741):INDIRECT(AX$1&amp;AX$3&amp;$A741))</f>
        <v>-524</v>
      </c>
      <c r="AY741" s="3261">
        <f t="shared" ca="1" si="1059"/>
        <v>524</v>
      </c>
      <c r="AZ741" s="2913">
        <f t="shared" ca="1" si="1060"/>
        <v>0</v>
      </c>
      <c r="BB741" s="58">
        <f ca="1">SUM((INDIRECT(BB$2&amp;(ROW())):INDIRECT(BB$3&amp;(ROW()))))</f>
        <v>0</v>
      </c>
      <c r="BC741" s="58">
        <f ca="1">SUM(INDIRECT(BC$1&amp;BC$2&amp;$C741):INDIRECT(BC$1&amp;BC$3&amp;$C741))</f>
        <v>0</v>
      </c>
      <c r="BD741" s="3261">
        <f t="shared" ca="1" si="1061"/>
        <v>0</v>
      </c>
      <c r="BE741" s="2913">
        <f t="shared" ca="1" si="1062"/>
        <v>0</v>
      </c>
      <c r="BF741" s="58">
        <f ca="1">SUM(INDIRECT(BF$1&amp;BF$2&amp;$A741):INDIRECT(BF$1&amp;BF$3&amp;$A741))</f>
        <v>-1886.6729214711509</v>
      </c>
      <c r="BG741" s="3261">
        <f t="shared" ca="1" si="1063"/>
        <v>1886.6729214711509</v>
      </c>
      <c r="BH741" s="2913">
        <f t="shared" ca="1" si="1064"/>
        <v>0</v>
      </c>
    </row>
    <row r="742" spans="1:60" ht="14.5">
      <c r="A742" s="616">
        <f t="shared" si="1108"/>
        <v>677</v>
      </c>
      <c r="B742" s="616">
        <v>1</v>
      </c>
      <c r="C742" s="616">
        <f t="shared" si="1083"/>
        <v>739</v>
      </c>
      <c r="E742" s="2547">
        <v>1</v>
      </c>
      <c r="I742" s="352"/>
      <c r="J742" s="353"/>
      <c r="K742" s="68"/>
      <c r="L742" s="68"/>
      <c r="M742" s="69"/>
      <c r="N742" s="69"/>
      <c r="O742" s="305" t="s">
        <v>1495</v>
      </c>
      <c r="P742" s="305"/>
      <c r="Q742" s="1779" t="str">
        <f>CHOOSE(2, "6722000003661", "S/GP (3) Gross Profit Indirect NH TextilePrinter TP")</f>
        <v>S/GP (3) Gross Profit Indirect NH TextilePrinter TP</v>
      </c>
      <c r="R742" s="1254">
        <v>0</v>
      </c>
      <c r="S742" s="1254">
        <v>0</v>
      </c>
      <c r="T742" s="1254">
        <v>0</v>
      </c>
      <c r="U742" s="1254">
        <v>0</v>
      </c>
      <c r="V742" s="1254">
        <v>0</v>
      </c>
      <c r="W742" s="1254">
        <v>0</v>
      </c>
      <c r="X742" s="1254">
        <v>0</v>
      </c>
      <c r="Y742" s="1254">
        <v>0</v>
      </c>
      <c r="Z742" s="1254">
        <v>0</v>
      </c>
      <c r="AA742" s="1254">
        <v>0</v>
      </c>
      <c r="AB742" s="1254">
        <v>0</v>
      </c>
      <c r="AC742" s="1254">
        <v>0</v>
      </c>
      <c r="AD742" s="903">
        <f>SUM(R742,S742,T742)</f>
        <v>0</v>
      </c>
      <c r="AE742" s="58">
        <f t="shared" ref="AE742" si="1129">SUM(U742,V742,W742)</f>
        <v>0</v>
      </c>
      <c r="AF742" s="58">
        <f t="shared" ref="AF742" si="1130">SUM(X742,Y742,Z742)</f>
        <v>0</v>
      </c>
      <c r="AG742" s="58">
        <f t="shared" ref="AG742" si="1131">SUM(AA742,AB742,AC742)</f>
        <v>0</v>
      </c>
      <c r="AH742" s="58">
        <f t="shared" ref="AH742:AH751" si="1132">AD742+AE742</f>
        <v>0</v>
      </c>
      <c r="AI742" s="58">
        <f t="shared" ref="AI742:AI751" si="1133">AG742+AF742</f>
        <v>0</v>
      </c>
      <c r="AJ742" s="58">
        <f t="shared" ref="AJ742:AJ751" si="1134">AH742+AI742</f>
        <v>0</v>
      </c>
      <c r="AL742" s="58">
        <f ca="1">SUM((INDIRECT(AL$2&amp;(ROW())):INDIRECT(AL$3&amp;(ROW()))))</f>
        <v>0</v>
      </c>
      <c r="AM742" s="58">
        <f ca="1">SUM(INDIRECT(AM$1&amp;AM$2&amp;$C742):INDIRECT(AM$1&amp;AM$3&amp;$C742))</f>
        <v>0</v>
      </c>
      <c r="AN742" s="3261">
        <f t="shared" ca="1" si="1053"/>
        <v>0</v>
      </c>
      <c r="AO742" s="2913">
        <f t="shared" ca="1" si="1054"/>
        <v>0</v>
      </c>
      <c r="AP742" s="58">
        <f ca="1">SUM(INDIRECT(AP$1&amp;AP$2&amp;$A742):INDIRECT(AP$1&amp;AP$3&amp;$A742))</f>
        <v>-17</v>
      </c>
      <c r="AQ742" s="3261">
        <f t="shared" ca="1" si="1055"/>
        <v>17</v>
      </c>
      <c r="AR742" s="2913">
        <f t="shared" ca="1" si="1056"/>
        <v>0</v>
      </c>
      <c r="AT742" s="58">
        <f ca="1">SUM((INDIRECT(AT$2&amp;(ROW())):INDIRECT(AT$3&amp;(ROW()))))</f>
        <v>0</v>
      </c>
      <c r="AU742" s="58">
        <f ca="1">SUM(INDIRECT(AU$1&amp;AU$2&amp;$C742):INDIRECT(AU$1&amp;AU$3&amp;$C742))</f>
        <v>0</v>
      </c>
      <c r="AV742" s="3261">
        <f t="shared" ca="1" si="1057"/>
        <v>0</v>
      </c>
      <c r="AW742" s="2913">
        <f t="shared" ca="1" si="1058"/>
        <v>0</v>
      </c>
      <c r="AX742" s="58">
        <f ca="1">SUM(INDIRECT(AX$1&amp;AX$2&amp;$A742):INDIRECT(AX$1&amp;AX$3&amp;$A742))</f>
        <v>-60</v>
      </c>
      <c r="AY742" s="3261">
        <f t="shared" ca="1" si="1059"/>
        <v>60</v>
      </c>
      <c r="AZ742" s="2913">
        <f t="shared" ca="1" si="1060"/>
        <v>0</v>
      </c>
      <c r="BB742" s="58">
        <f ca="1">SUM((INDIRECT(BB$2&amp;(ROW())):INDIRECT(BB$3&amp;(ROW()))))</f>
        <v>0</v>
      </c>
      <c r="BC742" s="58">
        <f ca="1">SUM(INDIRECT(BC$1&amp;BC$2&amp;$C742):INDIRECT(BC$1&amp;BC$3&amp;$C742))</f>
        <v>0</v>
      </c>
      <c r="BD742" s="3261">
        <f t="shared" ca="1" si="1061"/>
        <v>0</v>
      </c>
      <c r="BE742" s="2913">
        <f t="shared" ca="1" si="1062"/>
        <v>0</v>
      </c>
      <c r="BF742" s="58">
        <f ca="1">SUM(INDIRECT(BF$1&amp;BF$2&amp;$A742):INDIRECT(BF$1&amp;BF$3&amp;$A742))</f>
        <v>-196</v>
      </c>
      <c r="BG742" s="3261">
        <f t="shared" ca="1" si="1063"/>
        <v>196</v>
      </c>
      <c r="BH742" s="2913">
        <f t="shared" ca="1" si="1064"/>
        <v>0</v>
      </c>
    </row>
    <row r="743" spans="1:60" s="69" customFormat="1" ht="14.5">
      <c r="A743" s="616">
        <f t="shared" si="1108"/>
        <v>678</v>
      </c>
      <c r="B743" s="616">
        <v>1</v>
      </c>
      <c r="C743" s="616">
        <f t="shared" si="1083"/>
        <v>740</v>
      </c>
      <c r="E743" s="2547">
        <v>1</v>
      </c>
      <c r="F743" s="9"/>
      <c r="G743" s="9"/>
      <c r="H743" s="22"/>
      <c r="I743" s="352"/>
      <c r="J743" s="353"/>
      <c r="K743" s="68"/>
      <c r="L743" s="68"/>
      <c r="O743" s="306" t="s">
        <v>1491</v>
      </c>
      <c r="P743" s="306"/>
      <c r="Q743" s="1782" t="str">
        <f>CHOOSE(2, "6722000003662", "S/GP (3) Gross Profit Indirect NH TextilePrinter FSC (-)")</f>
        <v>S/GP (3) Gross Profit Indirect NH TextilePrinter FSC (-)</v>
      </c>
      <c r="R743" s="1250">
        <f t="shared" ref="R743:AC743" si="1135">SUM(R744:R746)</f>
        <v>0</v>
      </c>
      <c r="S743" s="1250">
        <f t="shared" si="1135"/>
        <v>0</v>
      </c>
      <c r="T743" s="1250">
        <f t="shared" si="1135"/>
        <v>0</v>
      </c>
      <c r="U743" s="1250">
        <f t="shared" si="1135"/>
        <v>0</v>
      </c>
      <c r="V743" s="1250">
        <f t="shared" si="1135"/>
        <v>0</v>
      </c>
      <c r="W743" s="1250">
        <f t="shared" si="1135"/>
        <v>0</v>
      </c>
      <c r="X743" s="1250">
        <f t="shared" si="1135"/>
        <v>0</v>
      </c>
      <c r="Y743" s="1250">
        <f t="shared" si="1135"/>
        <v>0</v>
      </c>
      <c r="Z743" s="1250">
        <f t="shared" si="1135"/>
        <v>0</v>
      </c>
      <c r="AA743" s="1250">
        <f t="shared" si="1135"/>
        <v>0</v>
      </c>
      <c r="AB743" s="1250">
        <f t="shared" si="1135"/>
        <v>0</v>
      </c>
      <c r="AC743" s="1250">
        <f t="shared" si="1135"/>
        <v>0</v>
      </c>
      <c r="AD743" s="899">
        <f>SUM(R743:T743)</f>
        <v>0</v>
      </c>
      <c r="AE743" s="1250">
        <f t="shared" ref="AE743:AE747" si="1136">SUM(U743:W743)</f>
        <v>0</v>
      </c>
      <c r="AF743" s="1250">
        <f t="shared" ref="AF743:AF747" si="1137">SUM(X743:Z743)</f>
        <v>0</v>
      </c>
      <c r="AG743" s="1250">
        <f t="shared" ref="AG743:AG747" si="1138">SUM(AA743:AC743)</f>
        <v>0</v>
      </c>
      <c r="AH743" s="1250">
        <f t="shared" si="1132"/>
        <v>0</v>
      </c>
      <c r="AI743" s="1250">
        <f t="shared" si="1133"/>
        <v>0</v>
      </c>
      <c r="AJ743" s="1250">
        <f t="shared" si="1134"/>
        <v>0</v>
      </c>
      <c r="AL743" s="1250">
        <f ca="1">SUM((INDIRECT(AL$2&amp;(ROW())):INDIRECT(AL$3&amp;(ROW()))))</f>
        <v>0</v>
      </c>
      <c r="AM743" s="1250">
        <f ca="1">SUM(INDIRECT(AM$1&amp;AM$2&amp;$C743):INDIRECT(AM$1&amp;AM$3&amp;$C743))</f>
        <v>0</v>
      </c>
      <c r="AN743" s="3232">
        <f t="shared" ca="1" si="1053"/>
        <v>0</v>
      </c>
      <c r="AO743" s="2888">
        <f t="shared" ca="1" si="1054"/>
        <v>0</v>
      </c>
      <c r="AP743" s="1250">
        <f ca="1">SUM(INDIRECT(AP$1&amp;AP$2&amp;$A743):INDIRECT(AP$1&amp;AP$3&amp;$A743))</f>
        <v>0</v>
      </c>
      <c r="AQ743" s="3232">
        <f t="shared" ca="1" si="1055"/>
        <v>0</v>
      </c>
      <c r="AR743" s="2888">
        <f t="shared" ca="1" si="1056"/>
        <v>0</v>
      </c>
      <c r="AT743" s="1250">
        <f ca="1">SUM((INDIRECT(AT$2&amp;(ROW())):INDIRECT(AT$3&amp;(ROW()))))</f>
        <v>0</v>
      </c>
      <c r="AU743" s="1250">
        <f ca="1">SUM(INDIRECT(AU$1&amp;AU$2&amp;$C743):INDIRECT(AU$1&amp;AU$3&amp;$C743))</f>
        <v>0</v>
      </c>
      <c r="AV743" s="3232">
        <f t="shared" ca="1" si="1057"/>
        <v>0</v>
      </c>
      <c r="AW743" s="2888">
        <f t="shared" ca="1" si="1058"/>
        <v>0</v>
      </c>
      <c r="AX743" s="1250">
        <f ca="1">SUM(INDIRECT(AX$1&amp;AX$2&amp;$A743):INDIRECT(AX$1&amp;AX$3&amp;$A743))</f>
        <v>0</v>
      </c>
      <c r="AY743" s="3232">
        <f t="shared" ca="1" si="1059"/>
        <v>0</v>
      </c>
      <c r="AZ743" s="2888">
        <f t="shared" ca="1" si="1060"/>
        <v>0</v>
      </c>
      <c r="BB743" s="1250">
        <f ca="1">SUM((INDIRECT(BB$2&amp;(ROW())):INDIRECT(BB$3&amp;(ROW()))))</f>
        <v>0</v>
      </c>
      <c r="BC743" s="1250">
        <f ca="1">SUM(INDIRECT(BC$1&amp;BC$2&amp;$C743):INDIRECT(BC$1&amp;BC$3&amp;$C743))</f>
        <v>0</v>
      </c>
      <c r="BD743" s="3232">
        <f t="shared" ca="1" si="1061"/>
        <v>0</v>
      </c>
      <c r="BE743" s="2888">
        <f t="shared" ca="1" si="1062"/>
        <v>0</v>
      </c>
      <c r="BF743" s="1250">
        <f ca="1">SUM(INDIRECT(BF$1&amp;BF$2&amp;$A743):INDIRECT(BF$1&amp;BF$3&amp;$A743))</f>
        <v>0</v>
      </c>
      <c r="BG743" s="3232">
        <f t="shared" ca="1" si="1063"/>
        <v>0</v>
      </c>
      <c r="BH743" s="2888">
        <f t="shared" ca="1" si="1064"/>
        <v>0</v>
      </c>
    </row>
    <row r="744" spans="1:60" s="69" customFormat="1" ht="14.5">
      <c r="A744" s="616">
        <f t="shared" si="1108"/>
        <v>679</v>
      </c>
      <c r="B744" s="616">
        <v>1</v>
      </c>
      <c r="C744" s="616">
        <f t="shared" si="1083"/>
        <v>741</v>
      </c>
      <c r="E744" s="2547">
        <v>1</v>
      </c>
      <c r="F744" s="9"/>
      <c r="G744" s="9"/>
      <c r="H744" s="22"/>
      <c r="I744" s="352"/>
      <c r="J744" s="353"/>
      <c r="K744" s="68"/>
      <c r="L744" s="68"/>
      <c r="O744" s="307"/>
      <c r="P744" s="291" t="s">
        <v>1471</v>
      </c>
      <c r="Q744" s="1779" t="str">
        <f>CHOOSE(2, "6722000003663", "S/GP (3) Gross Profit Indirect NH TextilePrinter FSC (-) PC")</f>
        <v>S/GP (3) Gross Profit Indirect NH TextilePrinter FSC (-) PC</v>
      </c>
      <c r="R744" s="1227">
        <v>0</v>
      </c>
      <c r="S744" s="1227">
        <v>0</v>
      </c>
      <c r="T744" s="1227">
        <v>0</v>
      </c>
      <c r="U744" s="1227">
        <v>0</v>
      </c>
      <c r="V744" s="1227">
        <v>0</v>
      </c>
      <c r="W744" s="1227">
        <v>0</v>
      </c>
      <c r="X744" s="1227">
        <v>0</v>
      </c>
      <c r="Y744" s="1227">
        <v>0</v>
      </c>
      <c r="Z744" s="1227">
        <v>0</v>
      </c>
      <c r="AA744" s="1227">
        <v>0</v>
      </c>
      <c r="AB744" s="1227">
        <v>0</v>
      </c>
      <c r="AC744" s="1227">
        <v>0</v>
      </c>
      <c r="AD744" s="896">
        <f>SUM(R744,S744,T744)</f>
        <v>0</v>
      </c>
      <c r="AE744" s="95">
        <f t="shared" ref="AE744:AE746" si="1139">SUM(U744,V744,W744)</f>
        <v>0</v>
      </c>
      <c r="AF744" s="95">
        <f t="shared" ref="AF744:AF746" si="1140">SUM(X744,Y744,Z744)</f>
        <v>0</v>
      </c>
      <c r="AG744" s="95">
        <f t="shared" ref="AG744:AG746" si="1141">SUM(AA744,AB744,AC744)</f>
        <v>0</v>
      </c>
      <c r="AH744" s="95">
        <f t="shared" si="1132"/>
        <v>0</v>
      </c>
      <c r="AI744" s="95">
        <f t="shared" si="1133"/>
        <v>0</v>
      </c>
      <c r="AJ744" s="95">
        <f t="shared" si="1134"/>
        <v>0</v>
      </c>
      <c r="AL744" s="95">
        <f ca="1">SUM((INDIRECT(AL$2&amp;(ROW())):INDIRECT(AL$3&amp;(ROW()))))</f>
        <v>0</v>
      </c>
      <c r="AM744" s="95">
        <f ca="1">SUM(INDIRECT(AM$1&amp;AM$2&amp;$C744):INDIRECT(AM$1&amp;AM$3&amp;$C744))</f>
        <v>0</v>
      </c>
      <c r="AN744" s="3228">
        <f t="shared" ca="1" si="1053"/>
        <v>0</v>
      </c>
      <c r="AO744" s="2880">
        <f t="shared" ca="1" si="1054"/>
        <v>0</v>
      </c>
      <c r="AP744" s="95">
        <f ca="1">SUM(INDIRECT(AP$1&amp;AP$2&amp;$A744):INDIRECT(AP$1&amp;AP$3&amp;$A744))</f>
        <v>523</v>
      </c>
      <c r="AQ744" s="3228">
        <f t="shared" ca="1" si="1055"/>
        <v>-523</v>
      </c>
      <c r="AR744" s="2880">
        <f t="shared" ca="1" si="1056"/>
        <v>0</v>
      </c>
      <c r="AT744" s="95">
        <f ca="1">SUM((INDIRECT(AT$2&amp;(ROW())):INDIRECT(AT$3&amp;(ROW()))))</f>
        <v>0</v>
      </c>
      <c r="AU744" s="95">
        <f ca="1">SUM(INDIRECT(AU$1&amp;AU$2&amp;$C744):INDIRECT(AU$1&amp;AU$3&amp;$C744))</f>
        <v>0</v>
      </c>
      <c r="AV744" s="3228">
        <f t="shared" ca="1" si="1057"/>
        <v>0</v>
      </c>
      <c r="AW744" s="2880">
        <f t="shared" ca="1" si="1058"/>
        <v>0</v>
      </c>
      <c r="AX744" s="95">
        <f ca="1">SUM(INDIRECT(AX$1&amp;AX$2&amp;$A744):INDIRECT(AX$1&amp;AX$3&amp;$A744))</f>
        <v>5554</v>
      </c>
      <c r="AY744" s="3228">
        <f t="shared" ca="1" si="1059"/>
        <v>-5554</v>
      </c>
      <c r="AZ744" s="2880">
        <f t="shared" ca="1" si="1060"/>
        <v>0</v>
      </c>
      <c r="BB744" s="95">
        <f ca="1">SUM((INDIRECT(BB$2&amp;(ROW())):INDIRECT(BB$3&amp;(ROW()))))</f>
        <v>0</v>
      </c>
      <c r="BC744" s="95">
        <f ca="1">SUM(INDIRECT(BC$1&amp;BC$2&amp;$C744):INDIRECT(BC$1&amp;BC$3&amp;$C744))</f>
        <v>0</v>
      </c>
      <c r="BD744" s="3228">
        <f t="shared" ca="1" si="1061"/>
        <v>0</v>
      </c>
      <c r="BE744" s="2880">
        <f t="shared" ca="1" si="1062"/>
        <v>0</v>
      </c>
      <c r="BF744" s="95">
        <f ca="1">SUM(INDIRECT(BF$1&amp;BF$2&amp;$A744):INDIRECT(BF$1&amp;BF$3&amp;$A744))</f>
        <v>19272.24652295337</v>
      </c>
      <c r="BG744" s="3228">
        <f t="shared" ca="1" si="1063"/>
        <v>-19272.24652295337</v>
      </c>
      <c r="BH744" s="2880">
        <f t="shared" ca="1" si="1064"/>
        <v>0</v>
      </c>
    </row>
    <row r="745" spans="1:60" s="69" customFormat="1" ht="14.5">
      <c r="A745" s="616">
        <f t="shared" si="1108"/>
        <v>680</v>
      </c>
      <c r="B745" s="616">
        <v>1</v>
      </c>
      <c r="C745" s="616">
        <f t="shared" si="1083"/>
        <v>742</v>
      </c>
      <c r="E745" s="2547">
        <v>1</v>
      </c>
      <c r="F745" s="9"/>
      <c r="G745" s="9"/>
      <c r="H745" s="22"/>
      <c r="I745" s="352"/>
      <c r="J745" s="353"/>
      <c r="K745" s="68"/>
      <c r="L745" s="68"/>
      <c r="O745" s="231"/>
      <c r="P745" s="229" t="s">
        <v>1472</v>
      </c>
      <c r="Q745" s="1779" t="str">
        <f>CHOOSE(2, "6722000003664", "S/GP (3) Gross Profit Indirect NH TextilePrinter FSC (-) TE")</f>
        <v>S/GP (3) Gross Profit Indirect NH TextilePrinter FSC (-) TE</v>
      </c>
      <c r="R745" s="1217">
        <v>0</v>
      </c>
      <c r="S745" s="1217">
        <v>0</v>
      </c>
      <c r="T745" s="1217">
        <v>0</v>
      </c>
      <c r="U745" s="1217">
        <v>0</v>
      </c>
      <c r="V745" s="1217">
        <v>0</v>
      </c>
      <c r="W745" s="1217">
        <v>0</v>
      </c>
      <c r="X745" s="1217">
        <v>0</v>
      </c>
      <c r="Y745" s="1217">
        <v>0</v>
      </c>
      <c r="Z745" s="1217">
        <v>0</v>
      </c>
      <c r="AA745" s="1217">
        <v>0</v>
      </c>
      <c r="AB745" s="1217">
        <v>0</v>
      </c>
      <c r="AC745" s="1217">
        <v>0</v>
      </c>
      <c r="AD745" s="783">
        <f>SUM(R745,S745,T745)</f>
        <v>0</v>
      </c>
      <c r="AE745" s="1226">
        <f t="shared" si="1139"/>
        <v>0</v>
      </c>
      <c r="AF745" s="1226">
        <f t="shared" si="1140"/>
        <v>0</v>
      </c>
      <c r="AG745" s="1226">
        <f t="shared" si="1141"/>
        <v>0</v>
      </c>
      <c r="AH745" s="1226">
        <f t="shared" si="1132"/>
        <v>0</v>
      </c>
      <c r="AI745" s="1226">
        <f t="shared" si="1133"/>
        <v>0</v>
      </c>
      <c r="AJ745" s="1226">
        <f t="shared" si="1134"/>
        <v>0</v>
      </c>
      <c r="AL745" s="1226">
        <f ca="1">SUM((INDIRECT(AL$2&amp;(ROW())):INDIRECT(AL$3&amp;(ROW()))))</f>
        <v>0</v>
      </c>
      <c r="AM745" s="1226">
        <f ca="1">SUM(INDIRECT(AM$1&amp;AM$2&amp;$C745):INDIRECT(AM$1&amp;AM$3&amp;$C745))</f>
        <v>0</v>
      </c>
      <c r="AN745" s="3233">
        <f t="shared" ca="1" si="1053"/>
        <v>0</v>
      </c>
      <c r="AO745" s="2890">
        <f t="shared" ca="1" si="1054"/>
        <v>0</v>
      </c>
      <c r="AP745" s="1226">
        <f ca="1">SUM(INDIRECT(AP$1&amp;AP$2&amp;$A745):INDIRECT(AP$1&amp;AP$3&amp;$A745))</f>
        <v>576</v>
      </c>
      <c r="AQ745" s="3233">
        <f t="shared" ca="1" si="1055"/>
        <v>-576</v>
      </c>
      <c r="AR745" s="2890">
        <f t="shared" ca="1" si="1056"/>
        <v>0</v>
      </c>
      <c r="AT745" s="1226">
        <f ca="1">SUM((INDIRECT(AT$2&amp;(ROW())):INDIRECT(AT$3&amp;(ROW()))))</f>
        <v>0</v>
      </c>
      <c r="AU745" s="1226">
        <f ca="1">SUM(INDIRECT(AU$1&amp;AU$2&amp;$C745):INDIRECT(AU$1&amp;AU$3&amp;$C745))</f>
        <v>0</v>
      </c>
      <c r="AV745" s="3233">
        <f t="shared" ca="1" si="1057"/>
        <v>0</v>
      </c>
      <c r="AW745" s="2890">
        <f t="shared" ca="1" si="1058"/>
        <v>0</v>
      </c>
      <c r="AX745" s="1226">
        <f ca="1">SUM(INDIRECT(AX$1&amp;AX$2&amp;$A745):INDIRECT(AX$1&amp;AX$3&amp;$A745))</f>
        <v>5743</v>
      </c>
      <c r="AY745" s="3233">
        <f t="shared" ca="1" si="1059"/>
        <v>-5743</v>
      </c>
      <c r="AZ745" s="2890">
        <f t="shared" ca="1" si="1060"/>
        <v>0</v>
      </c>
      <c r="BB745" s="1226">
        <f ca="1">SUM((INDIRECT(BB$2&amp;(ROW())):INDIRECT(BB$3&amp;(ROW()))))</f>
        <v>0</v>
      </c>
      <c r="BC745" s="1226">
        <f ca="1">SUM(INDIRECT(BC$1&amp;BC$2&amp;$C745):INDIRECT(BC$1&amp;BC$3&amp;$C745))</f>
        <v>0</v>
      </c>
      <c r="BD745" s="3233">
        <f t="shared" ca="1" si="1061"/>
        <v>0</v>
      </c>
      <c r="BE745" s="2890">
        <f t="shared" ca="1" si="1062"/>
        <v>0</v>
      </c>
      <c r="BF745" s="1226">
        <f ca="1">SUM(INDIRECT(BF$1&amp;BF$2&amp;$A745):INDIRECT(BF$1&amp;BF$3&amp;$A745))</f>
        <v>20008.452499999999</v>
      </c>
      <c r="BG745" s="3233">
        <f t="shared" ca="1" si="1063"/>
        <v>-20008.452499999999</v>
      </c>
      <c r="BH745" s="2890">
        <f t="shared" ca="1" si="1064"/>
        <v>0</v>
      </c>
    </row>
    <row r="746" spans="1:60" s="69" customFormat="1" ht="14.5">
      <c r="A746" s="616">
        <f t="shared" si="1108"/>
        <v>681</v>
      </c>
      <c r="B746" s="616">
        <v>1</v>
      </c>
      <c r="C746" s="616">
        <f t="shared" si="1083"/>
        <v>743</v>
      </c>
      <c r="E746" s="2547">
        <v>1</v>
      </c>
      <c r="F746" s="9"/>
      <c r="G746" s="9"/>
      <c r="H746" s="22"/>
      <c r="I746" s="352"/>
      <c r="J746" s="353"/>
      <c r="K746" s="68"/>
      <c r="L746" s="68"/>
      <c r="N746" s="211"/>
      <c r="O746" s="232"/>
      <c r="P746" s="228" t="s">
        <v>1473</v>
      </c>
      <c r="Q746" s="1779" t="str">
        <f>CHOOSE(2, "6722000003665", "S/GP (3) Gross Profit Indirect NH TextilePrinter FSC (-) OFC")</f>
        <v>S/GP (3) Gross Profit Indirect NH TextilePrinter FSC (-) OFC</v>
      </c>
      <c r="R746" s="1218">
        <v>0</v>
      </c>
      <c r="S746" s="1218">
        <v>0</v>
      </c>
      <c r="T746" s="1218">
        <v>0</v>
      </c>
      <c r="U746" s="1218">
        <v>0</v>
      </c>
      <c r="V746" s="1218">
        <v>0</v>
      </c>
      <c r="W746" s="1218">
        <v>0</v>
      </c>
      <c r="X746" s="1218">
        <v>0</v>
      </c>
      <c r="Y746" s="1218">
        <v>0</v>
      </c>
      <c r="Z746" s="1218">
        <v>0</v>
      </c>
      <c r="AA746" s="1218">
        <v>0</v>
      </c>
      <c r="AB746" s="1218">
        <v>0</v>
      </c>
      <c r="AC746" s="1218">
        <v>0</v>
      </c>
      <c r="AD746" s="783">
        <f>SUM(R746,S746,T746)</f>
        <v>0</v>
      </c>
      <c r="AE746" s="1226">
        <f t="shared" si="1139"/>
        <v>0</v>
      </c>
      <c r="AF746" s="1226">
        <f t="shared" si="1140"/>
        <v>0</v>
      </c>
      <c r="AG746" s="1226">
        <f t="shared" si="1141"/>
        <v>0</v>
      </c>
      <c r="AH746" s="1226">
        <f t="shared" si="1132"/>
        <v>0</v>
      </c>
      <c r="AI746" s="1226">
        <f t="shared" si="1133"/>
        <v>0</v>
      </c>
      <c r="AJ746" s="1226">
        <f t="shared" si="1134"/>
        <v>0</v>
      </c>
      <c r="AL746" s="1226">
        <f ca="1">SUM((INDIRECT(AL$2&amp;(ROW())):INDIRECT(AL$3&amp;(ROW()))))</f>
        <v>0</v>
      </c>
      <c r="AM746" s="1226">
        <f ca="1">SUM(INDIRECT(AM$1&amp;AM$2&amp;$C746):INDIRECT(AM$1&amp;AM$3&amp;$C746))</f>
        <v>0</v>
      </c>
      <c r="AN746" s="3233">
        <f t="shared" ca="1" si="1053"/>
        <v>0</v>
      </c>
      <c r="AO746" s="2890">
        <f t="shared" ca="1" si="1054"/>
        <v>0</v>
      </c>
      <c r="AP746" s="1226">
        <f ca="1">SUM(INDIRECT(AP$1&amp;AP$2&amp;$A746):INDIRECT(AP$1&amp;AP$3&amp;$A746))</f>
        <v>-53</v>
      </c>
      <c r="AQ746" s="3233">
        <f t="shared" ca="1" si="1055"/>
        <v>53</v>
      </c>
      <c r="AR746" s="2890">
        <f t="shared" ca="1" si="1056"/>
        <v>0</v>
      </c>
      <c r="AT746" s="1226">
        <f ca="1">SUM((INDIRECT(AT$2&amp;(ROW())):INDIRECT(AT$3&amp;(ROW()))))</f>
        <v>0</v>
      </c>
      <c r="AU746" s="1226">
        <f ca="1">SUM(INDIRECT(AU$1&amp;AU$2&amp;$C746):INDIRECT(AU$1&amp;AU$3&amp;$C746))</f>
        <v>0</v>
      </c>
      <c r="AV746" s="3233">
        <f t="shared" ca="1" si="1057"/>
        <v>0</v>
      </c>
      <c r="AW746" s="2890">
        <f t="shared" ca="1" si="1058"/>
        <v>0</v>
      </c>
      <c r="AX746" s="1226">
        <f ca="1">SUM(INDIRECT(AX$1&amp;AX$2&amp;$A746):INDIRECT(AX$1&amp;AX$3&amp;$A746))</f>
        <v>-189</v>
      </c>
      <c r="AY746" s="3233">
        <f t="shared" ca="1" si="1059"/>
        <v>189</v>
      </c>
      <c r="AZ746" s="2890">
        <f t="shared" ca="1" si="1060"/>
        <v>0</v>
      </c>
      <c r="BB746" s="1226">
        <f ca="1">SUM((INDIRECT(BB$2&amp;(ROW())):INDIRECT(BB$3&amp;(ROW()))))</f>
        <v>0</v>
      </c>
      <c r="BC746" s="1226">
        <f ca="1">SUM(INDIRECT(BC$1&amp;BC$2&amp;$C746):INDIRECT(BC$1&amp;BC$3&amp;$C746))</f>
        <v>0</v>
      </c>
      <c r="BD746" s="3233">
        <f t="shared" ca="1" si="1061"/>
        <v>0</v>
      </c>
      <c r="BE746" s="2890">
        <f t="shared" ca="1" si="1062"/>
        <v>0</v>
      </c>
      <c r="BF746" s="1226">
        <f ca="1">SUM(INDIRECT(BF$1&amp;BF$2&amp;$A746):INDIRECT(BF$1&amp;BF$3&amp;$A746))</f>
        <v>-736.20597704663248</v>
      </c>
      <c r="BG746" s="3233">
        <f t="shared" ca="1" si="1063"/>
        <v>736.20597704663248</v>
      </c>
      <c r="BH746" s="2890">
        <f t="shared" ca="1" si="1064"/>
        <v>0</v>
      </c>
    </row>
    <row r="747" spans="1:60" s="69" customFormat="1" ht="14.5">
      <c r="A747" s="616">
        <f t="shared" si="1108"/>
        <v>682</v>
      </c>
      <c r="B747" s="616">
        <v>1</v>
      </c>
      <c r="C747" s="616">
        <f t="shared" si="1083"/>
        <v>744</v>
      </c>
      <c r="E747" s="2547">
        <v>1</v>
      </c>
      <c r="F747" s="9"/>
      <c r="G747" s="9"/>
      <c r="H747" s="22"/>
      <c r="I747" s="352"/>
      <c r="J747" s="353"/>
      <c r="K747" s="68"/>
      <c r="L747" s="68"/>
      <c r="N747" s="2195" t="s">
        <v>1500</v>
      </c>
      <c r="O747" s="293"/>
      <c r="P747" s="293"/>
      <c r="Q747" s="1782" t="str">
        <f>CHOOSE(2, "6722000003666", "S/GP (3) Gross Profit Indirect NH &lt;Direct&gt; SDC (-)")</f>
        <v>S/GP (3) Gross Profit Indirect NH &lt;Direct&gt; SDC (-)</v>
      </c>
      <c r="R747" s="1249">
        <f>SUM(R748:R749)</f>
        <v>0</v>
      </c>
      <c r="S747" s="1249">
        <f t="shared" ref="S747:AC747" si="1142">SUM(S748:S749)</f>
        <v>0</v>
      </c>
      <c r="T747" s="1249">
        <f t="shared" si="1142"/>
        <v>0</v>
      </c>
      <c r="U747" s="1249">
        <f t="shared" si="1142"/>
        <v>0</v>
      </c>
      <c r="V747" s="1249">
        <f t="shared" si="1142"/>
        <v>0</v>
      </c>
      <c r="W747" s="1249">
        <f t="shared" si="1142"/>
        <v>0</v>
      </c>
      <c r="X747" s="1249">
        <f t="shared" si="1142"/>
        <v>0</v>
      </c>
      <c r="Y747" s="1249">
        <f t="shared" si="1142"/>
        <v>0</v>
      </c>
      <c r="Z747" s="1249">
        <f t="shared" si="1142"/>
        <v>0</v>
      </c>
      <c r="AA747" s="1249">
        <f t="shared" si="1142"/>
        <v>0</v>
      </c>
      <c r="AB747" s="1249">
        <f t="shared" si="1142"/>
        <v>0</v>
      </c>
      <c r="AC747" s="1249">
        <f t="shared" si="1142"/>
        <v>0</v>
      </c>
      <c r="AD747" s="898">
        <f>SUM(R747:T747)</f>
        <v>0</v>
      </c>
      <c r="AE747" s="1249">
        <f t="shared" si="1136"/>
        <v>0</v>
      </c>
      <c r="AF747" s="1249">
        <f t="shared" si="1137"/>
        <v>0</v>
      </c>
      <c r="AG747" s="1249">
        <f t="shared" si="1138"/>
        <v>0</v>
      </c>
      <c r="AH747" s="1249">
        <f t="shared" si="1132"/>
        <v>0</v>
      </c>
      <c r="AI747" s="1249">
        <f t="shared" si="1133"/>
        <v>0</v>
      </c>
      <c r="AJ747" s="1249">
        <f t="shared" si="1134"/>
        <v>0</v>
      </c>
      <c r="AL747" s="1249">
        <f ca="1">SUM((INDIRECT(AL$2&amp;(ROW())):INDIRECT(AL$3&amp;(ROW()))))</f>
        <v>0</v>
      </c>
      <c r="AM747" s="1249">
        <f ca="1">SUM(INDIRECT(AM$1&amp;AM$2&amp;$C747):INDIRECT(AM$1&amp;AM$3&amp;$C747))</f>
        <v>0</v>
      </c>
      <c r="AN747" s="3231">
        <f t="shared" ca="1" si="1053"/>
        <v>0</v>
      </c>
      <c r="AO747" s="2886">
        <f t="shared" ca="1" si="1054"/>
        <v>0</v>
      </c>
      <c r="AP747" s="1249">
        <f ca="1">SUM(INDIRECT(AP$1&amp;AP$2&amp;$A747):INDIRECT(AP$1&amp;AP$3&amp;$A747))</f>
        <v>-53</v>
      </c>
      <c r="AQ747" s="3231">
        <f t="shared" ca="1" si="1055"/>
        <v>53</v>
      </c>
      <c r="AR747" s="2886">
        <f t="shared" ca="1" si="1056"/>
        <v>0</v>
      </c>
      <c r="AT747" s="1249">
        <f ca="1">SUM((INDIRECT(AT$2&amp;(ROW())):INDIRECT(AT$3&amp;(ROW()))))</f>
        <v>0</v>
      </c>
      <c r="AU747" s="1249">
        <f ca="1">SUM(INDIRECT(AU$1&amp;AU$2&amp;$C747):INDIRECT(AU$1&amp;AU$3&amp;$C747))</f>
        <v>0</v>
      </c>
      <c r="AV747" s="3231">
        <f t="shared" ca="1" si="1057"/>
        <v>0</v>
      </c>
      <c r="AW747" s="2886">
        <f t="shared" ca="1" si="1058"/>
        <v>0</v>
      </c>
      <c r="AX747" s="1249">
        <f ca="1">SUM(INDIRECT(AX$1&amp;AX$2&amp;$A747):INDIRECT(AX$1&amp;AX$3&amp;$A747))</f>
        <v>-159</v>
      </c>
      <c r="AY747" s="3231">
        <f t="shared" ca="1" si="1059"/>
        <v>159</v>
      </c>
      <c r="AZ747" s="2886">
        <f t="shared" ca="1" si="1060"/>
        <v>0</v>
      </c>
      <c r="BB747" s="1249">
        <f ca="1">SUM((INDIRECT(BB$2&amp;(ROW())):INDIRECT(BB$3&amp;(ROW()))))</f>
        <v>0</v>
      </c>
      <c r="BC747" s="1249">
        <f ca="1">SUM(INDIRECT(BC$1&amp;BC$2&amp;$C747):INDIRECT(BC$1&amp;BC$3&amp;$C747))</f>
        <v>0</v>
      </c>
      <c r="BD747" s="3231">
        <f t="shared" ca="1" si="1061"/>
        <v>0</v>
      </c>
      <c r="BE747" s="2886">
        <f t="shared" ca="1" si="1062"/>
        <v>0</v>
      </c>
      <c r="BF747" s="1249">
        <f ca="1">SUM(INDIRECT(BF$1&amp;BF$2&amp;$A747):INDIRECT(BF$1&amp;BF$3&amp;$A747))</f>
        <v>-601.20597704663248</v>
      </c>
      <c r="BG747" s="3231">
        <f t="shared" ca="1" si="1063"/>
        <v>601.20597704663248</v>
      </c>
      <c r="BH747" s="2886">
        <f t="shared" ca="1" si="1064"/>
        <v>0</v>
      </c>
    </row>
    <row r="748" spans="1:60" s="69" customFormat="1" ht="14.5">
      <c r="A748" s="616">
        <f t="shared" si="1108"/>
        <v>683</v>
      </c>
      <c r="B748" s="616">
        <v>1</v>
      </c>
      <c r="C748" s="616">
        <f t="shared" si="1083"/>
        <v>745</v>
      </c>
      <c r="E748" s="2547">
        <v>1</v>
      </c>
      <c r="F748" s="9"/>
      <c r="G748" s="9"/>
      <c r="H748" s="22"/>
      <c r="I748" s="352"/>
      <c r="J748" s="353"/>
      <c r="K748" s="68"/>
      <c r="L748" s="68"/>
      <c r="N748" s="231"/>
      <c r="O748" s="307"/>
      <c r="P748" s="307" t="s">
        <v>223</v>
      </c>
      <c r="Q748" s="1779" t="str">
        <f>CHOOSE(2, "6722000003667", "S/GP (3) Gross Profit Indirect NH &lt;Direct&gt; SDC (-) PC")</f>
        <v>S/GP (3) Gross Profit Indirect NH &lt;Direct&gt; SDC (-) PC</v>
      </c>
      <c r="R748" s="1227">
        <v>0</v>
      </c>
      <c r="S748" s="1227">
        <v>0</v>
      </c>
      <c r="T748" s="1227">
        <v>0</v>
      </c>
      <c r="U748" s="1227">
        <v>0</v>
      </c>
      <c r="V748" s="1227">
        <v>0</v>
      </c>
      <c r="W748" s="1227">
        <v>0</v>
      </c>
      <c r="X748" s="1227">
        <v>0</v>
      </c>
      <c r="Y748" s="1227">
        <v>0</v>
      </c>
      <c r="Z748" s="1227">
        <v>0</v>
      </c>
      <c r="AA748" s="1227">
        <v>0</v>
      </c>
      <c r="AB748" s="1227">
        <v>0</v>
      </c>
      <c r="AC748" s="1227">
        <v>0</v>
      </c>
      <c r="AD748" s="896">
        <f>SUM(R748,S748,T748)</f>
        <v>0</v>
      </c>
      <c r="AE748" s="95">
        <f t="shared" ref="AE748:AE751" si="1143">SUM(U748,V748,W748)</f>
        <v>0</v>
      </c>
      <c r="AF748" s="95">
        <f t="shared" ref="AF748:AF751" si="1144">SUM(X748,Y748,Z748)</f>
        <v>0</v>
      </c>
      <c r="AG748" s="95">
        <f t="shared" ref="AG748:AG751" si="1145">SUM(AA748,AB748,AC748)</f>
        <v>0</v>
      </c>
      <c r="AH748" s="95">
        <f t="shared" si="1132"/>
        <v>0</v>
      </c>
      <c r="AI748" s="95">
        <f t="shared" si="1133"/>
        <v>0</v>
      </c>
      <c r="AJ748" s="95">
        <f t="shared" si="1134"/>
        <v>0</v>
      </c>
      <c r="AL748" s="95">
        <f ca="1">SUM((INDIRECT(AL$2&amp;(ROW())):INDIRECT(AL$3&amp;(ROW()))))</f>
        <v>0</v>
      </c>
      <c r="AM748" s="95">
        <f ca="1">SUM(INDIRECT(AM$1&amp;AM$2&amp;$C748):INDIRECT(AM$1&amp;AM$3&amp;$C748))</f>
        <v>0</v>
      </c>
      <c r="AN748" s="3228">
        <f t="shared" ca="1" si="1053"/>
        <v>0</v>
      </c>
      <c r="AO748" s="2880">
        <f t="shared" ca="1" si="1054"/>
        <v>0</v>
      </c>
      <c r="AP748" s="95">
        <f ca="1">SUM(INDIRECT(AP$1&amp;AP$2&amp;$A748):INDIRECT(AP$1&amp;AP$3&amp;$A748))</f>
        <v>0</v>
      </c>
      <c r="AQ748" s="3228">
        <f t="shared" ca="1" si="1055"/>
        <v>0</v>
      </c>
      <c r="AR748" s="2880">
        <f t="shared" ca="1" si="1056"/>
        <v>0</v>
      </c>
      <c r="AT748" s="95">
        <f ca="1">SUM((INDIRECT(AT$2&amp;(ROW())):INDIRECT(AT$3&amp;(ROW()))))</f>
        <v>0</v>
      </c>
      <c r="AU748" s="95">
        <f ca="1">SUM(INDIRECT(AU$1&amp;AU$2&amp;$C748):INDIRECT(AU$1&amp;AU$3&amp;$C748))</f>
        <v>0</v>
      </c>
      <c r="AV748" s="3228">
        <f t="shared" ca="1" si="1057"/>
        <v>0</v>
      </c>
      <c r="AW748" s="2880">
        <f t="shared" ca="1" si="1058"/>
        <v>0</v>
      </c>
      <c r="AX748" s="95">
        <f ca="1">SUM(INDIRECT(AX$1&amp;AX$2&amp;$A748):INDIRECT(AX$1&amp;AX$3&amp;$A748))</f>
        <v>-30</v>
      </c>
      <c r="AY748" s="3228">
        <f t="shared" ca="1" si="1059"/>
        <v>30</v>
      </c>
      <c r="AZ748" s="2880">
        <f t="shared" ca="1" si="1060"/>
        <v>0</v>
      </c>
      <c r="BB748" s="95">
        <f ca="1">SUM((INDIRECT(BB$2&amp;(ROW())):INDIRECT(BB$3&amp;(ROW()))))</f>
        <v>0</v>
      </c>
      <c r="BC748" s="95">
        <f ca="1">SUM(INDIRECT(BC$1&amp;BC$2&amp;$C748):INDIRECT(BC$1&amp;BC$3&amp;$C748))</f>
        <v>0</v>
      </c>
      <c r="BD748" s="3228">
        <f t="shared" ca="1" si="1061"/>
        <v>0</v>
      </c>
      <c r="BE748" s="2880">
        <f t="shared" ca="1" si="1062"/>
        <v>0</v>
      </c>
      <c r="BF748" s="95">
        <f ca="1">SUM(INDIRECT(BF$1&amp;BF$2&amp;$A748):INDIRECT(BF$1&amp;BF$3&amp;$A748))</f>
        <v>-135</v>
      </c>
      <c r="BG748" s="3228">
        <f t="shared" ca="1" si="1063"/>
        <v>135</v>
      </c>
      <c r="BH748" s="2880">
        <f t="shared" ca="1" si="1064"/>
        <v>0</v>
      </c>
    </row>
    <row r="749" spans="1:60" s="69" customFormat="1" ht="14.5">
      <c r="A749" s="616">
        <f t="shared" si="1108"/>
        <v>684</v>
      </c>
      <c r="B749" s="616">
        <v>1</v>
      </c>
      <c r="C749" s="616">
        <f t="shared" si="1083"/>
        <v>746</v>
      </c>
      <c r="E749" s="2547">
        <v>1</v>
      </c>
      <c r="F749" s="9"/>
      <c r="G749" s="9"/>
      <c r="H749" s="22"/>
      <c r="I749" s="352"/>
      <c r="J749" s="353"/>
      <c r="K749" s="68"/>
      <c r="L749" s="68"/>
      <c r="N749" s="232"/>
      <c r="O749" s="232"/>
      <c r="P749" s="232" t="s">
        <v>224</v>
      </c>
      <c r="Q749" s="1779" t="str">
        <f>CHOOSE(2, "6722000003668", "S/GP (3) Gross Profit Indirect NH &lt;Direct&gt; SDC (-) OFC")</f>
        <v>S/GP (3) Gross Profit Indirect NH &lt;Direct&gt; SDC (-) OFC</v>
      </c>
      <c r="R749" s="1218">
        <v>0</v>
      </c>
      <c r="S749" s="1218">
        <v>0</v>
      </c>
      <c r="T749" s="1218">
        <v>0</v>
      </c>
      <c r="U749" s="1218">
        <v>0</v>
      </c>
      <c r="V749" s="1218">
        <v>0</v>
      </c>
      <c r="W749" s="1218">
        <v>0</v>
      </c>
      <c r="X749" s="1218">
        <v>0</v>
      </c>
      <c r="Y749" s="1218">
        <v>0</v>
      </c>
      <c r="Z749" s="1218">
        <v>0</v>
      </c>
      <c r="AA749" s="1218">
        <v>0</v>
      </c>
      <c r="AB749" s="1218">
        <v>0</v>
      </c>
      <c r="AC749" s="1218">
        <v>0</v>
      </c>
      <c r="AD749" s="783">
        <f>SUM(R749,S749,T749)</f>
        <v>0</v>
      </c>
      <c r="AE749" s="1226">
        <f t="shared" si="1143"/>
        <v>0</v>
      </c>
      <c r="AF749" s="1226">
        <f t="shared" si="1144"/>
        <v>0</v>
      </c>
      <c r="AG749" s="1226">
        <f t="shared" si="1145"/>
        <v>0</v>
      </c>
      <c r="AH749" s="1226">
        <f t="shared" si="1132"/>
        <v>0</v>
      </c>
      <c r="AI749" s="1226">
        <f t="shared" si="1133"/>
        <v>0</v>
      </c>
      <c r="AJ749" s="1226">
        <f t="shared" si="1134"/>
        <v>0</v>
      </c>
      <c r="AL749" s="1226">
        <f ca="1">SUM((INDIRECT(AL$2&amp;(ROW())):INDIRECT(AL$3&amp;(ROW()))))</f>
        <v>0</v>
      </c>
      <c r="AM749" s="1226">
        <f ca="1">SUM(INDIRECT(AM$1&amp;AM$2&amp;$C749):INDIRECT(AM$1&amp;AM$3&amp;$C749))</f>
        <v>0</v>
      </c>
      <c r="AN749" s="3233">
        <f t="shared" ca="1" si="1053"/>
        <v>0</v>
      </c>
      <c r="AO749" s="2890">
        <f t="shared" ca="1" si="1054"/>
        <v>0</v>
      </c>
      <c r="AP749" s="1226">
        <f ca="1">SUM(INDIRECT(AP$1&amp;AP$2&amp;$A749):INDIRECT(AP$1&amp;AP$3&amp;$A749))</f>
        <v>0</v>
      </c>
      <c r="AQ749" s="3233">
        <f t="shared" ca="1" si="1055"/>
        <v>0</v>
      </c>
      <c r="AR749" s="2890">
        <f t="shared" ca="1" si="1056"/>
        <v>0</v>
      </c>
      <c r="AT749" s="1226">
        <f ca="1">SUM((INDIRECT(AT$2&amp;(ROW())):INDIRECT(AT$3&amp;(ROW()))))</f>
        <v>0</v>
      </c>
      <c r="AU749" s="1226">
        <f ca="1">SUM(INDIRECT(AU$1&amp;AU$2&amp;$C749):INDIRECT(AU$1&amp;AU$3&amp;$C749))</f>
        <v>0</v>
      </c>
      <c r="AV749" s="3233">
        <f t="shared" ca="1" si="1057"/>
        <v>0</v>
      </c>
      <c r="AW749" s="2890">
        <f t="shared" ca="1" si="1058"/>
        <v>0</v>
      </c>
      <c r="AX749" s="1226">
        <f ca="1">SUM(INDIRECT(AX$1&amp;AX$2&amp;$A749):INDIRECT(AX$1&amp;AX$3&amp;$A749))</f>
        <v>0</v>
      </c>
      <c r="AY749" s="3233">
        <f t="shared" ca="1" si="1059"/>
        <v>0</v>
      </c>
      <c r="AZ749" s="2890">
        <f t="shared" ca="1" si="1060"/>
        <v>0</v>
      </c>
      <c r="BB749" s="1226">
        <f ca="1">SUM((INDIRECT(BB$2&amp;(ROW())):INDIRECT(BB$3&amp;(ROW()))))</f>
        <v>0</v>
      </c>
      <c r="BC749" s="1226">
        <f ca="1">SUM(INDIRECT(BC$1&amp;BC$2&amp;$C749):INDIRECT(BC$1&amp;BC$3&amp;$C749))</f>
        <v>0</v>
      </c>
      <c r="BD749" s="3233">
        <f t="shared" ca="1" si="1061"/>
        <v>0</v>
      </c>
      <c r="BE749" s="2890">
        <f t="shared" ca="1" si="1062"/>
        <v>0</v>
      </c>
      <c r="BF749" s="1226">
        <f ca="1">SUM(INDIRECT(BF$1&amp;BF$2&amp;$A749):INDIRECT(BF$1&amp;BF$3&amp;$A749))</f>
        <v>0</v>
      </c>
      <c r="BG749" s="3233">
        <f t="shared" ca="1" si="1063"/>
        <v>0</v>
      </c>
      <c r="BH749" s="2890">
        <f t="shared" ca="1" si="1064"/>
        <v>0</v>
      </c>
    </row>
    <row r="750" spans="1:60" s="69" customFormat="1" ht="14.5">
      <c r="A750" s="616">
        <f t="shared" si="1108"/>
        <v>685</v>
      </c>
      <c r="B750" s="616">
        <v>1</v>
      </c>
      <c r="C750" s="616">
        <f t="shared" si="1083"/>
        <v>747</v>
      </c>
      <c r="E750" s="2547">
        <v>1</v>
      </c>
      <c r="F750" s="9"/>
      <c r="G750" s="9"/>
      <c r="H750" s="22"/>
      <c r="I750" s="352"/>
      <c r="J750" s="353"/>
      <c r="K750" s="68"/>
      <c r="L750" s="68"/>
      <c r="N750" s="231" t="s">
        <v>1501</v>
      </c>
      <c r="O750" s="231"/>
      <c r="P750" s="307"/>
      <c r="Q750" s="1779" t="str">
        <f>CHOOSE(2, "6722000003669", "S/GP (3) Gross Profit Indirect NH &lt;Direct&gt; D &amp; A (-)")</f>
        <v>S/GP (3) Gross Profit Indirect NH &lt;Direct&gt; D &amp; A (-)</v>
      </c>
      <c r="R750" s="1227">
        <v>0</v>
      </c>
      <c r="S750" s="1227">
        <v>0</v>
      </c>
      <c r="T750" s="1227">
        <v>0</v>
      </c>
      <c r="U750" s="1227">
        <v>0</v>
      </c>
      <c r="V750" s="1227">
        <v>0</v>
      </c>
      <c r="W750" s="1227">
        <v>0</v>
      </c>
      <c r="X750" s="1227">
        <v>0</v>
      </c>
      <c r="Y750" s="1227">
        <v>0</v>
      </c>
      <c r="Z750" s="1227">
        <v>0</v>
      </c>
      <c r="AA750" s="1227">
        <v>0</v>
      </c>
      <c r="AB750" s="1227">
        <v>0</v>
      </c>
      <c r="AC750" s="1227">
        <v>0</v>
      </c>
      <c r="AD750" s="896">
        <f>SUM(R750,S750,T750)</f>
        <v>0</v>
      </c>
      <c r="AE750" s="95">
        <f t="shared" si="1143"/>
        <v>0</v>
      </c>
      <c r="AF750" s="95">
        <f t="shared" si="1144"/>
        <v>0</v>
      </c>
      <c r="AG750" s="95">
        <f t="shared" si="1145"/>
        <v>0</v>
      </c>
      <c r="AH750" s="95">
        <f>AD750+AE750</f>
        <v>0</v>
      </c>
      <c r="AI750" s="95">
        <f>AG750+AF750</f>
        <v>0</v>
      </c>
      <c r="AJ750" s="95">
        <f>AH750+AI750</f>
        <v>0</v>
      </c>
      <c r="AL750" s="95">
        <f ca="1">SUM((INDIRECT(AL$2&amp;(ROW())):INDIRECT(AL$3&amp;(ROW()))))</f>
        <v>0</v>
      </c>
      <c r="AM750" s="95">
        <f ca="1">SUM(INDIRECT(AM$1&amp;AM$2&amp;$C750):INDIRECT(AM$1&amp;AM$3&amp;$C750))</f>
        <v>0</v>
      </c>
      <c r="AN750" s="3228">
        <f t="shared" ca="1" si="1053"/>
        <v>0</v>
      </c>
      <c r="AO750" s="2880">
        <f t="shared" ca="1" si="1054"/>
        <v>0</v>
      </c>
      <c r="AP750" s="95">
        <f ca="1">SUM(INDIRECT(AP$1&amp;AP$2&amp;$A750):INDIRECT(AP$1&amp;AP$3&amp;$A750))</f>
        <v>-620</v>
      </c>
      <c r="AQ750" s="3228">
        <f t="shared" ca="1" si="1055"/>
        <v>620</v>
      </c>
      <c r="AR750" s="2880">
        <f t="shared" ca="1" si="1056"/>
        <v>0</v>
      </c>
      <c r="AT750" s="95">
        <f ca="1">SUM((INDIRECT(AT$2&amp;(ROW())):INDIRECT(AT$3&amp;(ROW()))))</f>
        <v>0</v>
      </c>
      <c r="AU750" s="95">
        <f ca="1">SUM(INDIRECT(AU$1&amp;AU$2&amp;$C750):INDIRECT(AU$1&amp;AU$3&amp;$C750))</f>
        <v>0</v>
      </c>
      <c r="AV750" s="3228">
        <f t="shared" ca="1" si="1057"/>
        <v>0</v>
      </c>
      <c r="AW750" s="2880">
        <f t="shared" ca="1" si="1058"/>
        <v>0</v>
      </c>
      <c r="AX750" s="95">
        <f ca="1">SUM(INDIRECT(AX$1&amp;AX$2&amp;$A750):INDIRECT(AX$1&amp;AX$3&amp;$A750))</f>
        <v>-1586</v>
      </c>
      <c r="AY750" s="3228">
        <f t="shared" ca="1" si="1059"/>
        <v>1586</v>
      </c>
      <c r="AZ750" s="2880">
        <f t="shared" ca="1" si="1060"/>
        <v>0</v>
      </c>
      <c r="BB750" s="95">
        <f ca="1">SUM((INDIRECT(BB$2&amp;(ROW())):INDIRECT(BB$3&amp;(ROW()))))</f>
        <v>0</v>
      </c>
      <c r="BC750" s="95">
        <f ca="1">SUM(INDIRECT(BC$1&amp;BC$2&amp;$C750):INDIRECT(BC$1&amp;BC$3&amp;$C750))</f>
        <v>0</v>
      </c>
      <c r="BD750" s="3228">
        <f t="shared" ca="1" si="1061"/>
        <v>0</v>
      </c>
      <c r="BE750" s="2880">
        <f t="shared" ca="1" si="1062"/>
        <v>0</v>
      </c>
      <c r="BF750" s="95">
        <f ca="1">SUM(INDIRECT(BF$1&amp;BF$2&amp;$A750):INDIRECT(BF$1&amp;BF$3&amp;$A750))</f>
        <v>-1583.2000203365917</v>
      </c>
      <c r="BG750" s="3228">
        <f t="shared" ca="1" si="1063"/>
        <v>1583.2000203365917</v>
      </c>
      <c r="BH750" s="2880">
        <f t="shared" ca="1" si="1064"/>
        <v>0</v>
      </c>
    </row>
    <row r="751" spans="1:60" ht="14.5">
      <c r="A751" s="616">
        <f t="shared" si="1108"/>
        <v>686</v>
      </c>
      <c r="B751" s="616">
        <v>1</v>
      </c>
      <c r="C751" s="616">
        <f t="shared" si="1083"/>
        <v>748</v>
      </c>
      <c r="E751" s="2547">
        <v>1</v>
      </c>
      <c r="I751" s="354"/>
      <c r="J751" s="355"/>
      <c r="K751" s="67"/>
      <c r="L751" s="67"/>
      <c r="M751" s="211"/>
      <c r="N751" s="2191" t="s">
        <v>1386</v>
      </c>
      <c r="O751" s="2191"/>
      <c r="P751" s="2191"/>
      <c r="Q751" s="1779" t="str">
        <f>CHOOSE(2, "6722000003670", "S/GP (3) Gross Profit Indirect NH Others")</f>
        <v>S/GP (3) Gross Profit Indirect NH Others</v>
      </c>
      <c r="R751" s="3234">
        <v>0</v>
      </c>
      <c r="S751" s="3234">
        <v>0</v>
      </c>
      <c r="T751" s="3234">
        <v>0</v>
      </c>
      <c r="U751" s="3234">
        <v>0</v>
      </c>
      <c r="V751" s="3234">
        <v>0</v>
      </c>
      <c r="W751" s="3234">
        <v>0</v>
      </c>
      <c r="X751" s="3234">
        <v>0</v>
      </c>
      <c r="Y751" s="3234">
        <v>0</v>
      </c>
      <c r="Z751" s="3234">
        <v>0</v>
      </c>
      <c r="AA751" s="3234">
        <v>0</v>
      </c>
      <c r="AB751" s="3234">
        <v>0</v>
      </c>
      <c r="AC751" s="3234">
        <v>0</v>
      </c>
      <c r="AD751" s="3067">
        <f>SUM(R751,S751,T751)</f>
        <v>0</v>
      </c>
      <c r="AE751" s="3038">
        <f t="shared" si="1143"/>
        <v>0</v>
      </c>
      <c r="AF751" s="3038">
        <f t="shared" si="1144"/>
        <v>0</v>
      </c>
      <c r="AG751" s="3038">
        <f t="shared" si="1145"/>
        <v>0</v>
      </c>
      <c r="AH751" s="3038">
        <f t="shared" si="1132"/>
        <v>0</v>
      </c>
      <c r="AI751" s="3038">
        <f t="shared" si="1133"/>
        <v>0</v>
      </c>
      <c r="AJ751" s="3038">
        <f t="shared" si="1134"/>
        <v>0</v>
      </c>
      <c r="AL751" s="3038">
        <f ca="1">SUM((INDIRECT(AL$2&amp;(ROW())):INDIRECT(AL$3&amp;(ROW()))))</f>
        <v>0</v>
      </c>
      <c r="AM751" s="3038">
        <f ca="1">SUM(INDIRECT(AM$1&amp;AM$2&amp;$C751):INDIRECT(AM$1&amp;AM$3&amp;$C751))</f>
        <v>0</v>
      </c>
      <c r="AN751" s="3068">
        <f t="shared" ca="1" si="1053"/>
        <v>0</v>
      </c>
      <c r="AO751" s="2704">
        <f t="shared" ca="1" si="1054"/>
        <v>0</v>
      </c>
      <c r="AP751" s="3038">
        <f ca="1">SUM(INDIRECT(AP$1&amp;AP$2&amp;$A751):INDIRECT(AP$1&amp;AP$3&amp;$A751))</f>
        <v>106</v>
      </c>
      <c r="AQ751" s="3068">
        <f t="shared" ca="1" si="1055"/>
        <v>-106</v>
      </c>
      <c r="AR751" s="2704">
        <f t="shared" ca="1" si="1056"/>
        <v>0</v>
      </c>
      <c r="AT751" s="3038">
        <f ca="1">SUM((INDIRECT(AT$2&amp;(ROW())):INDIRECT(AT$3&amp;(ROW()))))</f>
        <v>0</v>
      </c>
      <c r="AU751" s="3038">
        <f ca="1">SUM(INDIRECT(AU$1&amp;AU$2&amp;$C751):INDIRECT(AU$1&amp;AU$3&amp;$C751))</f>
        <v>0</v>
      </c>
      <c r="AV751" s="3068">
        <f t="shared" ca="1" si="1057"/>
        <v>0</v>
      </c>
      <c r="AW751" s="2704">
        <f t="shared" ca="1" si="1058"/>
        <v>0</v>
      </c>
      <c r="AX751" s="3038">
        <f ca="1">SUM(INDIRECT(AX$1&amp;AX$2&amp;$A751):INDIRECT(AX$1&amp;AX$3&amp;$A751))</f>
        <v>690</v>
      </c>
      <c r="AY751" s="3068">
        <f t="shared" ca="1" si="1059"/>
        <v>-690</v>
      </c>
      <c r="AZ751" s="2704">
        <f t="shared" ca="1" si="1060"/>
        <v>0</v>
      </c>
      <c r="BB751" s="3038">
        <f ca="1">SUM((INDIRECT(BB$2&amp;(ROW())):INDIRECT(BB$3&amp;(ROW()))))</f>
        <v>0</v>
      </c>
      <c r="BC751" s="3038">
        <f ca="1">SUM(INDIRECT(BC$1&amp;BC$2&amp;$C751):INDIRECT(BC$1&amp;BC$3&amp;$C751))</f>
        <v>0</v>
      </c>
      <c r="BD751" s="3068">
        <f t="shared" ca="1" si="1061"/>
        <v>0</v>
      </c>
      <c r="BE751" s="2704">
        <f t="shared" ca="1" si="1062"/>
        <v>0</v>
      </c>
      <c r="BF751" s="3038">
        <f ca="1">SUM(INDIRECT(BF$1&amp;BF$2&amp;$A751):INDIRECT(BF$1&amp;BF$3&amp;$A751))</f>
        <v>6837.7617950258518</v>
      </c>
      <c r="BG751" s="3068">
        <f t="shared" ca="1" si="1063"/>
        <v>-6837.7617950258518</v>
      </c>
      <c r="BH751" s="2704">
        <f t="shared" ca="1" si="1064"/>
        <v>0</v>
      </c>
    </row>
    <row r="752" spans="1:60" s="69" customFormat="1" ht="14.5">
      <c r="A752" s="616">
        <f t="shared" si="1108"/>
        <v>687</v>
      </c>
      <c r="B752" s="616"/>
      <c r="C752" s="616">
        <f t="shared" si="1083"/>
        <v>749</v>
      </c>
      <c r="E752" s="2547">
        <v>1</v>
      </c>
      <c r="F752" s="4"/>
      <c r="G752" s="4"/>
      <c r="H752" s="4"/>
      <c r="I752" s="12"/>
      <c r="J752" s="28"/>
      <c r="K752" s="22"/>
      <c r="L752" s="22"/>
      <c r="M752" s="28"/>
      <c r="N752" s="3"/>
      <c r="O752" s="3"/>
      <c r="P752" s="3"/>
      <c r="Q752" s="1784" t="str">
        <f>CHOOSE(2, "6722000003671", "▷ Blank 22")</f>
        <v>▷ Blank 22</v>
      </c>
      <c r="R752" s="1392"/>
      <c r="S752" s="1220"/>
      <c r="T752" s="1220"/>
      <c r="U752" s="1220"/>
      <c r="V752" s="1220"/>
      <c r="W752" s="1220"/>
      <c r="X752" s="1220"/>
      <c r="Y752" s="1220"/>
      <c r="Z752" s="1220"/>
      <c r="AA752" s="1220"/>
      <c r="AB752" s="1220"/>
      <c r="AC752" s="1220"/>
      <c r="AD752" s="1220"/>
      <c r="AE752" s="1220"/>
      <c r="AF752" s="1220"/>
      <c r="AG752" s="1220"/>
      <c r="AH752" s="1220"/>
      <c r="AI752" s="1220"/>
      <c r="AJ752" s="1220"/>
      <c r="AL752" s="1220"/>
      <c r="AM752" s="1220"/>
      <c r="AN752" s="1220"/>
      <c r="AO752" s="1220"/>
      <c r="AP752" s="1220"/>
      <c r="AQ752" s="1220"/>
      <c r="AR752" s="1220"/>
      <c r="AT752" s="1220"/>
      <c r="AU752" s="1220"/>
      <c r="AV752" s="1220"/>
      <c r="AW752" s="1220"/>
      <c r="AX752" s="1220"/>
      <c r="AY752" s="1220"/>
      <c r="AZ752" s="1220"/>
      <c r="BB752" s="1220"/>
      <c r="BC752" s="1220"/>
      <c r="BD752" s="1220"/>
      <c r="BE752" s="1220"/>
      <c r="BF752" s="1220"/>
      <c r="BG752" s="1220"/>
      <c r="BH752" s="1220"/>
    </row>
    <row r="753" spans="1:60" ht="14.5">
      <c r="A753" s="616">
        <f t="shared" si="1108"/>
        <v>688</v>
      </c>
      <c r="B753" s="616">
        <v>1</v>
      </c>
      <c r="C753" s="616">
        <f t="shared" si="1083"/>
        <v>750</v>
      </c>
      <c r="E753" s="2544">
        <v>1</v>
      </c>
      <c r="F753" s="8"/>
      <c r="G753" s="22"/>
      <c r="H753" s="4" t="s">
        <v>1427</v>
      </c>
      <c r="P753" s="222"/>
      <c r="Q753" s="1772" t="str">
        <f>CHOOSE(2, "6722000003672", "S/GP (5) DW-DX")</f>
        <v>S/GP (5) DW-DX</v>
      </c>
      <c r="R753" s="2557"/>
      <c r="AB753" s="1210"/>
      <c r="AC753" s="1210"/>
      <c r="AD753" s="1210"/>
      <c r="AE753" s="1210"/>
      <c r="AF753" s="1210"/>
      <c r="AG753" s="1210"/>
      <c r="AH753" s="1210"/>
      <c r="AI753" s="1210"/>
      <c r="AJ753" s="1210"/>
      <c r="AL753" s="1210"/>
      <c r="AM753" s="1210"/>
      <c r="AN753" s="1210"/>
      <c r="AO753" s="1210"/>
      <c r="AP753" s="1210"/>
      <c r="AQ753" s="1210"/>
      <c r="AR753" s="1210"/>
      <c r="AT753" s="1210"/>
      <c r="AU753" s="1210"/>
      <c r="AV753" s="1210"/>
      <c r="AW753" s="1210"/>
      <c r="AX753" s="1210"/>
      <c r="AY753" s="1210"/>
      <c r="AZ753" s="1210"/>
      <c r="BB753" s="1210"/>
      <c r="BC753" s="1210"/>
      <c r="BD753" s="1210"/>
      <c r="BE753" s="1210"/>
      <c r="BF753" s="1210"/>
      <c r="BG753" s="1210"/>
      <c r="BH753" s="1210"/>
    </row>
    <row r="754" spans="1:60" ht="14.5">
      <c r="A754" s="616">
        <f t="shared" si="1108"/>
        <v>689</v>
      </c>
      <c r="B754" s="616">
        <v>1</v>
      </c>
      <c r="C754" s="616">
        <f t="shared" si="1083"/>
        <v>751</v>
      </c>
      <c r="E754" s="2547">
        <v>1</v>
      </c>
      <c r="I754" s="3167" t="s">
        <v>1375</v>
      </c>
      <c r="J754" s="2056"/>
      <c r="K754" s="471"/>
      <c r="L754" s="471"/>
      <c r="M754" s="471"/>
      <c r="N754" s="471"/>
      <c r="O754" s="471"/>
      <c r="P754" s="471"/>
      <c r="Q754" s="1801" t="str">
        <f>CHOOSE(2, "6722000003673", "S/GP (5) Net Sales")</f>
        <v>S/GP (5) Net Sales</v>
      </c>
      <c r="R754" s="1260">
        <f t="shared" ref="R754:AJ754" si="1146">R755+R786</f>
        <v>360</v>
      </c>
      <c r="S754" s="3267">
        <f t="shared" si="1146"/>
        <v>263</v>
      </c>
      <c r="T754" s="1260">
        <f t="shared" si="1146"/>
        <v>439</v>
      </c>
      <c r="U754" s="1260">
        <f t="shared" si="1146"/>
        <v>922</v>
      </c>
      <c r="V754" s="1260">
        <f t="shared" si="1146"/>
        <v>3555</v>
      </c>
      <c r="W754" s="1260">
        <f t="shared" si="1146"/>
        <v>44</v>
      </c>
      <c r="X754" s="1260">
        <f t="shared" si="1146"/>
        <v>708</v>
      </c>
      <c r="Y754" s="1260">
        <f t="shared" si="1146"/>
        <v>500</v>
      </c>
      <c r="Z754" s="1260">
        <f t="shared" si="1146"/>
        <v>0</v>
      </c>
      <c r="AA754" s="1260">
        <f t="shared" si="1146"/>
        <v>554</v>
      </c>
      <c r="AB754" s="1260">
        <f t="shared" si="1146"/>
        <v>843</v>
      </c>
      <c r="AC754" s="1260">
        <f t="shared" si="1146"/>
        <v>281</v>
      </c>
      <c r="AD754" s="3168">
        <f t="shared" si="1146"/>
        <v>1062</v>
      </c>
      <c r="AE754" s="1260">
        <f t="shared" si="1146"/>
        <v>4521</v>
      </c>
      <c r="AF754" s="1260">
        <f t="shared" si="1146"/>
        <v>1208</v>
      </c>
      <c r="AG754" s="1260">
        <f t="shared" si="1146"/>
        <v>1678</v>
      </c>
      <c r="AH754" s="1260">
        <f t="shared" si="1146"/>
        <v>5583</v>
      </c>
      <c r="AI754" s="1260">
        <f t="shared" si="1146"/>
        <v>2886</v>
      </c>
      <c r="AJ754" s="3168">
        <f t="shared" si="1146"/>
        <v>8469</v>
      </c>
      <c r="AL754" s="1260">
        <f ca="1">SUM((INDIRECT(AL$2&amp;(ROW())):INDIRECT(AL$3&amp;(ROW()))))</f>
        <v>281</v>
      </c>
      <c r="AM754" s="3168">
        <f ca="1">SUM(INDIRECT(AM$1&amp;AM$2&amp;$C754):INDIRECT(AM$1&amp;AM$3&amp;$C754))</f>
        <v>0</v>
      </c>
      <c r="AN754" s="3169">
        <f t="shared" ref="AN754:AN817" ca="1" si="1147">AL754-AM754</f>
        <v>281</v>
      </c>
      <c r="AO754" s="3170">
        <f t="shared" ref="AO754:AO817" ca="1" si="1148">IFERROR(AL754/AM754,0)</f>
        <v>0</v>
      </c>
      <c r="AP754" s="3268">
        <f ca="1">AP755+AP786</f>
        <v>0</v>
      </c>
      <c r="AQ754" s="3169">
        <f t="shared" ref="AQ754:AQ817" ca="1" si="1149">AL754-AP754</f>
        <v>281</v>
      </c>
      <c r="AR754" s="3170">
        <f t="shared" ref="AR754:AR817" ca="1" si="1150">IFERROR(AL754/AP754,0)</f>
        <v>0</v>
      </c>
      <c r="AT754" s="1260">
        <f ca="1">SUM((INDIRECT(AT$2&amp;(ROW())):INDIRECT(AT$3&amp;(ROW()))))</f>
        <v>1678</v>
      </c>
      <c r="AU754" s="3168">
        <f ca="1">SUM(INDIRECT(AU$1&amp;AU$2&amp;$C754):INDIRECT(AU$1&amp;AU$3&amp;$C754))</f>
        <v>0</v>
      </c>
      <c r="AV754" s="3169">
        <f t="shared" ref="AV754:AV817" ca="1" si="1151">AT754-AU754</f>
        <v>1678</v>
      </c>
      <c r="AW754" s="3170">
        <f t="shared" ref="AW754:AW817" ca="1" si="1152">IFERROR(AT754/AU754,0)</f>
        <v>0</v>
      </c>
      <c r="AX754" s="3268">
        <f ca="1">AX755+AX786</f>
        <v>0</v>
      </c>
      <c r="AY754" s="3169">
        <f t="shared" ref="AY754:AY817" ca="1" si="1153">AT754-AX754</f>
        <v>1678</v>
      </c>
      <c r="AZ754" s="3170">
        <f t="shared" ref="AZ754:AZ817" ca="1" si="1154">IFERROR(AT754/AX754,0)</f>
        <v>0</v>
      </c>
      <c r="BB754" s="1260">
        <f ca="1">SUM((INDIRECT(BB$2&amp;(ROW())):INDIRECT(BB$3&amp;(ROW()))))</f>
        <v>8469</v>
      </c>
      <c r="BC754" s="3168">
        <f ca="1">SUM(INDIRECT(BC$1&amp;BC$2&amp;$C754):INDIRECT(BC$1&amp;BC$3&amp;$C754))</f>
        <v>0</v>
      </c>
      <c r="BD754" s="3169">
        <f t="shared" ref="BD754:BD817" ca="1" si="1155">BB754-BC754</f>
        <v>8469</v>
      </c>
      <c r="BE754" s="3170">
        <f t="shared" ref="BE754:BE817" ca="1" si="1156">IFERROR(BB754/BC754,0)</f>
        <v>0</v>
      </c>
      <c r="BF754" s="3268">
        <f ca="1">BF755+BF786</f>
        <v>0</v>
      </c>
      <c r="BG754" s="3169">
        <f t="shared" ref="BG754:BG817" ca="1" si="1157">BB754-BF754</f>
        <v>8469</v>
      </c>
      <c r="BH754" s="3170">
        <f t="shared" ref="BH754:BH817" ca="1" si="1158">IFERROR(BB754/BF754,0)</f>
        <v>0</v>
      </c>
    </row>
    <row r="755" spans="1:60" ht="14.5">
      <c r="A755" s="616">
        <f t="shared" si="1108"/>
        <v>690</v>
      </c>
      <c r="B755" s="616">
        <v>1</v>
      </c>
      <c r="C755" s="616">
        <f t="shared" si="1083"/>
        <v>752</v>
      </c>
      <c r="E755" s="2547">
        <v>1</v>
      </c>
      <c r="I755" s="86"/>
      <c r="J755" s="85"/>
      <c r="K755" s="68" t="s">
        <v>1381</v>
      </c>
      <c r="L755" s="68"/>
      <c r="M755" s="457"/>
      <c r="N755" s="283"/>
      <c r="O755" s="283"/>
      <c r="P755" s="283"/>
      <c r="Q755" s="1814" t="str">
        <f>CHOOSE(2, "6722000003674", "S/GP (5) Net Sales Direct")</f>
        <v>S/GP (5) Net Sales Direct</v>
      </c>
      <c r="R755" s="3254">
        <f>R761+R756+R766+R771+R776+R781</f>
        <v>360</v>
      </c>
      <c r="S755" s="3253">
        <f t="shared" ref="S755:AJ755" si="1159">S761+S756+S766+S771+S776+S781</f>
        <v>263</v>
      </c>
      <c r="T755" s="3254">
        <f t="shared" si="1159"/>
        <v>439</v>
      </c>
      <c r="U755" s="3254">
        <f t="shared" si="1159"/>
        <v>922</v>
      </c>
      <c r="V755" s="3254">
        <f t="shared" si="1159"/>
        <v>3555</v>
      </c>
      <c r="W755" s="3254">
        <f t="shared" si="1159"/>
        <v>44</v>
      </c>
      <c r="X755" s="3254">
        <f t="shared" si="1159"/>
        <v>708</v>
      </c>
      <c r="Y755" s="3254">
        <f t="shared" si="1159"/>
        <v>500</v>
      </c>
      <c r="Z755" s="3254">
        <f t="shared" si="1159"/>
        <v>0</v>
      </c>
      <c r="AA755" s="3254">
        <f t="shared" si="1159"/>
        <v>554</v>
      </c>
      <c r="AB755" s="3254">
        <f t="shared" si="1159"/>
        <v>843</v>
      </c>
      <c r="AC755" s="3254">
        <f t="shared" si="1159"/>
        <v>281</v>
      </c>
      <c r="AD755" s="3255">
        <f t="shared" si="1159"/>
        <v>1062</v>
      </c>
      <c r="AE755" s="3254">
        <f t="shared" si="1159"/>
        <v>4521</v>
      </c>
      <c r="AF755" s="3254">
        <f t="shared" si="1159"/>
        <v>1208</v>
      </c>
      <c r="AG755" s="3254">
        <f t="shared" si="1159"/>
        <v>1678</v>
      </c>
      <c r="AH755" s="3254">
        <f t="shared" si="1159"/>
        <v>5583</v>
      </c>
      <c r="AI755" s="3254">
        <f t="shared" si="1159"/>
        <v>2886</v>
      </c>
      <c r="AJ755" s="3255">
        <f t="shared" si="1159"/>
        <v>8469</v>
      </c>
      <c r="AL755" s="3254">
        <f ca="1">SUM((INDIRECT(AL$2&amp;(ROW())):INDIRECT(AL$3&amp;(ROW()))))</f>
        <v>281</v>
      </c>
      <c r="AM755" s="3255">
        <f ca="1">SUM(INDIRECT(AM$1&amp;AM$2&amp;$C755):INDIRECT(AM$1&amp;AM$3&amp;$C755))</f>
        <v>0</v>
      </c>
      <c r="AN755" s="3269">
        <f t="shared" ca="1" si="1147"/>
        <v>281</v>
      </c>
      <c r="AO755" s="2922">
        <f t="shared" ca="1" si="1148"/>
        <v>0</v>
      </c>
      <c r="AP755" s="3270">
        <f ca="1">AP761+AP756+AP766+AP771+AP776+AP781</f>
        <v>0</v>
      </c>
      <c r="AQ755" s="3269">
        <f t="shared" ca="1" si="1149"/>
        <v>281</v>
      </c>
      <c r="AR755" s="2922">
        <f t="shared" ca="1" si="1150"/>
        <v>0</v>
      </c>
      <c r="AT755" s="3254">
        <f ca="1">SUM((INDIRECT(AT$2&amp;(ROW())):INDIRECT(AT$3&amp;(ROW()))))</f>
        <v>1678</v>
      </c>
      <c r="AU755" s="3255">
        <f ca="1">SUM(INDIRECT(AU$1&amp;AU$2&amp;$C755):INDIRECT(AU$1&amp;AU$3&amp;$C755))</f>
        <v>0</v>
      </c>
      <c r="AV755" s="3269">
        <f t="shared" ca="1" si="1151"/>
        <v>1678</v>
      </c>
      <c r="AW755" s="2922">
        <f t="shared" ca="1" si="1152"/>
        <v>0</v>
      </c>
      <c r="AX755" s="3270">
        <f ca="1">AX761+AX756+AX766+AX771+AX776+AX781</f>
        <v>0</v>
      </c>
      <c r="AY755" s="3269">
        <f t="shared" ca="1" si="1153"/>
        <v>1678</v>
      </c>
      <c r="AZ755" s="2922">
        <f t="shared" ca="1" si="1154"/>
        <v>0</v>
      </c>
      <c r="BB755" s="3254">
        <f ca="1">SUM((INDIRECT(BB$2&amp;(ROW())):INDIRECT(BB$3&amp;(ROW()))))</f>
        <v>8469</v>
      </c>
      <c r="BC755" s="3255">
        <f ca="1">SUM(INDIRECT(BC$1&amp;BC$2&amp;$C755):INDIRECT(BC$1&amp;BC$3&amp;$C755))</f>
        <v>0</v>
      </c>
      <c r="BD755" s="3269">
        <f t="shared" ca="1" si="1155"/>
        <v>8469</v>
      </c>
      <c r="BE755" s="2922">
        <f t="shared" ca="1" si="1156"/>
        <v>0</v>
      </c>
      <c r="BF755" s="3270">
        <f ca="1">BF761+BF756+BF766+BF771+BF776+BF781</f>
        <v>0</v>
      </c>
      <c r="BG755" s="3269">
        <f t="shared" ca="1" si="1157"/>
        <v>8469</v>
      </c>
      <c r="BH755" s="2922">
        <f t="shared" ca="1" si="1158"/>
        <v>0</v>
      </c>
    </row>
    <row r="756" spans="1:60" ht="14.5">
      <c r="A756" s="2580">
        <v>691</v>
      </c>
      <c r="B756" s="616">
        <v>1</v>
      </c>
      <c r="C756" s="616">
        <f t="shared" si="1083"/>
        <v>753</v>
      </c>
      <c r="E756" s="2547">
        <v>1</v>
      </c>
      <c r="G756" s="22"/>
      <c r="I756" s="86"/>
      <c r="J756" s="85"/>
      <c r="K756" s="68"/>
      <c r="L756" s="68"/>
      <c r="M756" s="8" t="s">
        <v>1429</v>
      </c>
      <c r="N756" s="284"/>
      <c r="O756" s="284"/>
      <c r="P756" s="284"/>
      <c r="Q756" s="1777" t="str">
        <f>CHOOSE(2, "6722000003675", "S/GP (5) Net Sales Direct IMS")</f>
        <v>S/GP (5) Net Sales Direct IMS</v>
      </c>
      <c r="R756" s="3103">
        <f>SUM(R757:R760)</f>
        <v>0</v>
      </c>
      <c r="S756" s="3258">
        <f t="shared" ref="S756:AJ756" si="1160">SUM(S757:S760)</f>
        <v>0</v>
      </c>
      <c r="T756" s="3103">
        <f t="shared" si="1160"/>
        <v>0</v>
      </c>
      <c r="U756" s="3103">
        <f t="shared" si="1160"/>
        <v>510</v>
      </c>
      <c r="V756" s="3103">
        <f t="shared" si="1160"/>
        <v>0</v>
      </c>
      <c r="W756" s="3103">
        <f t="shared" si="1160"/>
        <v>0</v>
      </c>
      <c r="X756" s="3103">
        <f t="shared" si="1160"/>
        <v>510</v>
      </c>
      <c r="Y756" s="3103">
        <f t="shared" si="1160"/>
        <v>0</v>
      </c>
      <c r="Z756" s="3103">
        <f t="shared" si="1160"/>
        <v>0</v>
      </c>
      <c r="AA756" s="3103">
        <f t="shared" si="1160"/>
        <v>510</v>
      </c>
      <c r="AB756" s="3103">
        <f t="shared" si="1160"/>
        <v>0</v>
      </c>
      <c r="AC756" s="3103">
        <f t="shared" si="1160"/>
        <v>0</v>
      </c>
      <c r="AD756" s="3244">
        <f t="shared" si="1160"/>
        <v>0</v>
      </c>
      <c r="AE756" s="3103">
        <f t="shared" si="1160"/>
        <v>510</v>
      </c>
      <c r="AF756" s="3103">
        <f t="shared" si="1160"/>
        <v>510</v>
      </c>
      <c r="AG756" s="3103">
        <f t="shared" si="1160"/>
        <v>510</v>
      </c>
      <c r="AH756" s="3103">
        <f t="shared" si="1160"/>
        <v>510</v>
      </c>
      <c r="AI756" s="3103">
        <f t="shared" si="1160"/>
        <v>1020</v>
      </c>
      <c r="AJ756" s="3244">
        <f t="shared" si="1160"/>
        <v>1530</v>
      </c>
      <c r="AL756" s="3103">
        <f ca="1">SUM((INDIRECT(AL$2&amp;(ROW())):INDIRECT(AL$3&amp;(ROW()))))</f>
        <v>0</v>
      </c>
      <c r="AM756" s="3244">
        <f ca="1">SUM(INDIRECT(AM$1&amp;AM$2&amp;$C756):INDIRECT(AM$1&amp;AM$3&amp;$C756))</f>
        <v>0</v>
      </c>
      <c r="AN756" s="3245">
        <f t="shared" ca="1" si="1147"/>
        <v>0</v>
      </c>
      <c r="AO756" s="2899">
        <f t="shared" ca="1" si="1148"/>
        <v>0</v>
      </c>
      <c r="AP756" s="3244">
        <f ca="1">SUM(INDIRECT(AP$1&amp;AP$2&amp;$A756):INDIRECT(AP$1&amp;AP$3&amp;$A756))+SUM(INDIRECT(AP$1&amp;AP$2&amp;$B756):INDIRECT(AP$1&amp;AP$3&amp;$B756))</f>
        <v>0</v>
      </c>
      <c r="AQ756" s="3245">
        <f t="shared" ca="1" si="1149"/>
        <v>0</v>
      </c>
      <c r="AR756" s="2899">
        <f t="shared" ca="1" si="1150"/>
        <v>0</v>
      </c>
      <c r="AT756" s="3103">
        <f ca="1">SUM((INDIRECT(AT$2&amp;(ROW())):INDIRECT(AT$3&amp;(ROW()))))</f>
        <v>510</v>
      </c>
      <c r="AU756" s="3244">
        <f ca="1">SUM(INDIRECT(AU$1&amp;AU$2&amp;$C756):INDIRECT(AU$1&amp;AU$3&amp;$C756))</f>
        <v>0</v>
      </c>
      <c r="AV756" s="3245">
        <f t="shared" ca="1" si="1151"/>
        <v>510</v>
      </c>
      <c r="AW756" s="2899">
        <f t="shared" ca="1" si="1152"/>
        <v>0</v>
      </c>
      <c r="AX756" s="3244">
        <f ca="1">SUM(INDIRECT(AX$1&amp;AX$2&amp;$A756):INDIRECT(AX$1&amp;AX$3&amp;$A756))+SUM(INDIRECT(AX$1&amp;AX$2&amp;$B756):INDIRECT(AX$1&amp;AX$3&amp;$B756))</f>
        <v>0</v>
      </c>
      <c r="AY756" s="3245">
        <f t="shared" ca="1" si="1153"/>
        <v>510</v>
      </c>
      <c r="AZ756" s="2899">
        <f t="shared" ca="1" si="1154"/>
        <v>0</v>
      </c>
      <c r="BB756" s="3103">
        <f ca="1">SUM((INDIRECT(BB$2&amp;(ROW())):INDIRECT(BB$3&amp;(ROW()))))</f>
        <v>1530</v>
      </c>
      <c r="BC756" s="3244">
        <f ca="1">SUM(INDIRECT(BC$1&amp;BC$2&amp;$C756):INDIRECT(BC$1&amp;BC$3&amp;$C756))</f>
        <v>0</v>
      </c>
      <c r="BD756" s="3245">
        <f t="shared" ca="1" si="1155"/>
        <v>1530</v>
      </c>
      <c r="BE756" s="2899">
        <f t="shared" ca="1" si="1156"/>
        <v>0</v>
      </c>
      <c r="BF756" s="3244">
        <f ca="1">SUM(INDIRECT(BF$1&amp;BF$2&amp;$A756):INDIRECT(BF$1&amp;BF$3&amp;$A756))+SUM(INDIRECT(BF$1&amp;BF$2&amp;$B756):INDIRECT(BF$1&amp;BF$3&amp;$B756))</f>
        <v>0</v>
      </c>
      <c r="BG756" s="3245">
        <f t="shared" ca="1" si="1157"/>
        <v>1530</v>
      </c>
      <c r="BH756" s="2899">
        <f t="shared" ca="1" si="1158"/>
        <v>0</v>
      </c>
    </row>
    <row r="757" spans="1:60" ht="14.5">
      <c r="A757" s="616">
        <f t="shared" si="1108"/>
        <v>692</v>
      </c>
      <c r="B757" s="616">
        <v>1</v>
      </c>
      <c r="C757" s="616">
        <f t="shared" si="1083"/>
        <v>754</v>
      </c>
      <c r="E757" s="2547">
        <v>1</v>
      </c>
      <c r="G757" s="22"/>
      <c r="I757" s="86"/>
      <c r="J757" s="85"/>
      <c r="K757" s="68"/>
      <c r="L757" s="68"/>
      <c r="N757" s="97" t="s">
        <v>523</v>
      </c>
      <c r="O757" s="97"/>
      <c r="P757" s="97"/>
      <c r="Q757" s="1779" t="str">
        <f>CHOOSE(2, "6722000003676", "S/GP (5) Net Sales Direct IMS OSP")</f>
        <v>S/GP (5) Net Sales Direct IMS OSP</v>
      </c>
      <c r="R757" s="1227">
        <v>0</v>
      </c>
      <c r="S757" s="1247">
        <v>0</v>
      </c>
      <c r="T757" s="1227">
        <v>0</v>
      </c>
      <c r="U757" s="1227">
        <v>0</v>
      </c>
      <c r="V757" s="1227">
        <v>0</v>
      </c>
      <c r="W757" s="1227">
        <v>0</v>
      </c>
      <c r="X757" s="1227">
        <v>0</v>
      </c>
      <c r="Y757" s="1227">
        <v>0</v>
      </c>
      <c r="Z757" s="1227">
        <v>0</v>
      </c>
      <c r="AA757" s="1227">
        <v>0</v>
      </c>
      <c r="AB757" s="1227">
        <v>0</v>
      </c>
      <c r="AC757" s="1227">
        <v>0</v>
      </c>
      <c r="AD757" s="295">
        <f>SUM(R757,S757,T757)</f>
        <v>0</v>
      </c>
      <c r="AE757" s="96">
        <f t="shared" ref="AE757:AE760" si="1161">SUM(U757,V757,W757)</f>
        <v>0</v>
      </c>
      <c r="AF757" s="96">
        <f t="shared" ref="AF757:AF760" si="1162">SUM(X757,Y757,Z757)</f>
        <v>0</v>
      </c>
      <c r="AG757" s="96">
        <f t="shared" ref="AG757:AG760" si="1163">SUM(AA757,AB757,AC757)</f>
        <v>0</v>
      </c>
      <c r="AH757" s="96">
        <f>AD757+AE757</f>
        <v>0</v>
      </c>
      <c r="AI757" s="96">
        <f>AG757+AF757</f>
        <v>0</v>
      </c>
      <c r="AJ757" s="295">
        <f>AH757+AI757</f>
        <v>0</v>
      </c>
      <c r="AL757" s="96">
        <f ca="1">SUM((INDIRECT(AL$2&amp;(ROW())):INDIRECT(AL$3&amp;(ROW()))))</f>
        <v>0</v>
      </c>
      <c r="AM757" s="295">
        <f ca="1">SUM(INDIRECT(AM$1&amp;AM$2&amp;$C757):INDIRECT(AM$1&amp;AM$3&amp;$C757))</f>
        <v>0</v>
      </c>
      <c r="AN757" s="3246">
        <f t="shared" ca="1" si="1147"/>
        <v>0</v>
      </c>
      <c r="AO757" s="2901">
        <f t="shared" ca="1" si="1148"/>
        <v>0</v>
      </c>
      <c r="AP757" s="295">
        <f ca="1">SUM(INDIRECT(AP$1&amp;AP$2&amp;$A757):INDIRECT(AP$1&amp;AP$3&amp;$A757))+SUM(INDIRECT(AP$1&amp;AP$2&amp;$B757):INDIRECT(AP$1&amp;AP$3&amp;$B757))</f>
        <v>0</v>
      </c>
      <c r="AQ757" s="3246">
        <f t="shared" ca="1" si="1149"/>
        <v>0</v>
      </c>
      <c r="AR757" s="2901">
        <f t="shared" ca="1" si="1150"/>
        <v>0</v>
      </c>
      <c r="AT757" s="96">
        <f ca="1">SUM((INDIRECT(AT$2&amp;(ROW())):INDIRECT(AT$3&amp;(ROW()))))</f>
        <v>0</v>
      </c>
      <c r="AU757" s="295">
        <f ca="1">SUM(INDIRECT(AU$1&amp;AU$2&amp;$C757):INDIRECT(AU$1&amp;AU$3&amp;$C757))</f>
        <v>0</v>
      </c>
      <c r="AV757" s="3246">
        <f t="shared" ca="1" si="1151"/>
        <v>0</v>
      </c>
      <c r="AW757" s="2901">
        <f t="shared" ca="1" si="1152"/>
        <v>0</v>
      </c>
      <c r="AX757" s="295">
        <f ca="1">SUM(INDIRECT(AX$1&amp;AX$2&amp;$A757):INDIRECT(AX$1&amp;AX$3&amp;$A757))+SUM(INDIRECT(AX$1&amp;AX$2&amp;$B757):INDIRECT(AX$1&amp;AX$3&amp;$B757))</f>
        <v>0</v>
      </c>
      <c r="AY757" s="3246">
        <f t="shared" ca="1" si="1153"/>
        <v>0</v>
      </c>
      <c r="AZ757" s="2901">
        <f t="shared" ca="1" si="1154"/>
        <v>0</v>
      </c>
      <c r="BB757" s="96">
        <f ca="1">SUM((INDIRECT(BB$2&amp;(ROW())):INDIRECT(BB$3&amp;(ROW()))))</f>
        <v>0</v>
      </c>
      <c r="BC757" s="295">
        <f ca="1">SUM(INDIRECT(BC$1&amp;BC$2&amp;$C757):INDIRECT(BC$1&amp;BC$3&amp;$C757))</f>
        <v>0</v>
      </c>
      <c r="BD757" s="3246">
        <f t="shared" ca="1" si="1155"/>
        <v>0</v>
      </c>
      <c r="BE757" s="2901">
        <f t="shared" ca="1" si="1156"/>
        <v>0</v>
      </c>
      <c r="BF757" s="295">
        <f ca="1">SUM(INDIRECT(BF$1&amp;BF$2&amp;$A757):INDIRECT(BF$1&amp;BF$3&amp;$A757))+SUM(INDIRECT(BF$1&amp;BF$2&amp;$B757):INDIRECT(BF$1&amp;BF$3&amp;$B757))</f>
        <v>0</v>
      </c>
      <c r="BG757" s="3246">
        <f t="shared" ca="1" si="1157"/>
        <v>0</v>
      </c>
      <c r="BH757" s="2901">
        <f t="shared" ca="1" si="1158"/>
        <v>0</v>
      </c>
    </row>
    <row r="758" spans="1:60" ht="14.5">
      <c r="A758" s="616">
        <f t="shared" si="1108"/>
        <v>693</v>
      </c>
      <c r="B758" s="616">
        <v>1</v>
      </c>
      <c r="C758" s="616">
        <f t="shared" si="1083"/>
        <v>755</v>
      </c>
      <c r="E758" s="2547">
        <v>1</v>
      </c>
      <c r="G758" s="22"/>
      <c r="I758" s="86"/>
      <c r="J758" s="85"/>
      <c r="K758" s="68"/>
      <c r="L758" s="68"/>
      <c r="N758" s="8" t="s">
        <v>524</v>
      </c>
      <c r="Q758" s="1779" t="str">
        <f>CHOOSE(2, "6722000003677", "S/GP (5) Net Sales Direct IMS RP")</f>
        <v>S/GP (5) Net Sales Direct IMS RP</v>
      </c>
      <c r="R758" s="1217">
        <v>0</v>
      </c>
      <c r="S758" s="1224">
        <v>0</v>
      </c>
      <c r="T758" s="1217">
        <v>0</v>
      </c>
      <c r="U758" s="1217">
        <v>510</v>
      </c>
      <c r="V758" s="1217">
        <v>0</v>
      </c>
      <c r="W758" s="1217">
        <v>0</v>
      </c>
      <c r="X758" s="1217">
        <v>510</v>
      </c>
      <c r="Y758" s="1217">
        <v>0</v>
      </c>
      <c r="Z758" s="1217">
        <v>0</v>
      </c>
      <c r="AA758" s="1217">
        <v>510</v>
      </c>
      <c r="AB758" s="1217">
        <v>0</v>
      </c>
      <c r="AC758" s="1217">
        <v>0</v>
      </c>
      <c r="AD758" s="88">
        <f>SUM(R758,S758,T758)</f>
        <v>0</v>
      </c>
      <c r="AE758" s="17">
        <f t="shared" si="1161"/>
        <v>510</v>
      </c>
      <c r="AF758" s="17">
        <f t="shared" si="1162"/>
        <v>510</v>
      </c>
      <c r="AG758" s="17">
        <f t="shared" si="1163"/>
        <v>510</v>
      </c>
      <c r="AH758" s="17">
        <f>AD758+AE758</f>
        <v>510</v>
      </c>
      <c r="AI758" s="17">
        <f>AG758+AF758</f>
        <v>1020</v>
      </c>
      <c r="AJ758" s="88">
        <f>AH758+AI758</f>
        <v>1530</v>
      </c>
      <c r="AL758" s="17">
        <f ca="1">SUM((INDIRECT(AL$2&amp;(ROW())):INDIRECT(AL$3&amp;(ROW()))))</f>
        <v>0</v>
      </c>
      <c r="AM758" s="88">
        <f ca="1">SUM(INDIRECT(AM$1&amp;AM$2&amp;$C758):INDIRECT(AM$1&amp;AM$3&amp;$C758))</f>
        <v>0</v>
      </c>
      <c r="AN758" s="3247">
        <f t="shared" ca="1" si="1147"/>
        <v>0</v>
      </c>
      <c r="AO758" s="2903">
        <f t="shared" ca="1" si="1148"/>
        <v>0</v>
      </c>
      <c r="AP758" s="88">
        <f ca="1">SUM(INDIRECT(AP$1&amp;AP$2&amp;$A758):INDIRECT(AP$1&amp;AP$3&amp;$A758))+SUM(INDIRECT(AP$1&amp;AP$2&amp;$B758):INDIRECT(AP$1&amp;AP$3&amp;$B758))</f>
        <v>0</v>
      </c>
      <c r="AQ758" s="3247">
        <f t="shared" ca="1" si="1149"/>
        <v>0</v>
      </c>
      <c r="AR758" s="2903">
        <f t="shared" ca="1" si="1150"/>
        <v>0</v>
      </c>
      <c r="AT758" s="17">
        <f ca="1">SUM((INDIRECT(AT$2&amp;(ROW())):INDIRECT(AT$3&amp;(ROW()))))</f>
        <v>510</v>
      </c>
      <c r="AU758" s="88">
        <f ca="1">SUM(INDIRECT(AU$1&amp;AU$2&amp;$C758):INDIRECT(AU$1&amp;AU$3&amp;$C758))</f>
        <v>0</v>
      </c>
      <c r="AV758" s="3247">
        <f t="shared" ca="1" si="1151"/>
        <v>510</v>
      </c>
      <c r="AW758" s="2903">
        <f t="shared" ca="1" si="1152"/>
        <v>0</v>
      </c>
      <c r="AX758" s="88">
        <f ca="1">SUM(INDIRECT(AX$1&amp;AX$2&amp;$A758):INDIRECT(AX$1&amp;AX$3&amp;$A758))+SUM(INDIRECT(AX$1&amp;AX$2&amp;$B758):INDIRECT(AX$1&amp;AX$3&amp;$B758))</f>
        <v>0</v>
      </c>
      <c r="AY758" s="3247">
        <f t="shared" ca="1" si="1153"/>
        <v>510</v>
      </c>
      <c r="AZ758" s="2903">
        <f t="shared" ca="1" si="1154"/>
        <v>0</v>
      </c>
      <c r="BB758" s="17">
        <f ca="1">SUM((INDIRECT(BB$2&amp;(ROW())):INDIRECT(BB$3&amp;(ROW()))))</f>
        <v>1530</v>
      </c>
      <c r="BC758" s="88">
        <f ca="1">SUM(INDIRECT(BC$1&amp;BC$2&amp;$C758):INDIRECT(BC$1&amp;BC$3&amp;$C758))</f>
        <v>0</v>
      </c>
      <c r="BD758" s="3247">
        <f t="shared" ca="1" si="1155"/>
        <v>1530</v>
      </c>
      <c r="BE758" s="2903">
        <f t="shared" ca="1" si="1156"/>
        <v>0</v>
      </c>
      <c r="BF758" s="88">
        <f ca="1">SUM(INDIRECT(BF$1&amp;BF$2&amp;$A758):INDIRECT(BF$1&amp;BF$3&amp;$A758))+SUM(INDIRECT(BF$1&amp;BF$2&amp;$B758):INDIRECT(BF$1&amp;BF$3&amp;$B758))</f>
        <v>0</v>
      </c>
      <c r="BG758" s="3247">
        <f t="shared" ca="1" si="1157"/>
        <v>1530</v>
      </c>
      <c r="BH758" s="2903">
        <f t="shared" ca="1" si="1158"/>
        <v>0</v>
      </c>
    </row>
    <row r="759" spans="1:60" ht="14.5">
      <c r="A759" s="616">
        <f t="shared" si="1108"/>
        <v>694</v>
      </c>
      <c r="B759" s="616">
        <v>1</v>
      </c>
      <c r="C759" s="616">
        <f t="shared" si="1083"/>
        <v>756</v>
      </c>
      <c r="E759" s="2547">
        <v>1</v>
      </c>
      <c r="G759" s="22"/>
      <c r="I759" s="86"/>
      <c r="J759" s="85"/>
      <c r="K759" s="68"/>
      <c r="L759" s="68"/>
      <c r="N759" s="8" t="s">
        <v>525</v>
      </c>
      <c r="Q759" s="1779" t="str">
        <f>CHOOSE(2, "6722000003678", "S/GP (5) Net Sales Direct IMS OSP service")</f>
        <v>S/GP (5) Net Sales Direct IMS OSP service</v>
      </c>
      <c r="R759" s="1217">
        <v>0</v>
      </c>
      <c r="S759" s="1224">
        <v>0</v>
      </c>
      <c r="T759" s="1217">
        <v>0</v>
      </c>
      <c r="U759" s="1217">
        <v>0</v>
      </c>
      <c r="V759" s="1217">
        <v>0</v>
      </c>
      <c r="W759" s="1217">
        <v>0</v>
      </c>
      <c r="X759" s="1217">
        <v>0</v>
      </c>
      <c r="Y759" s="1217">
        <v>0</v>
      </c>
      <c r="Z759" s="1217">
        <v>0</v>
      </c>
      <c r="AA759" s="1217">
        <v>0</v>
      </c>
      <c r="AB759" s="1217">
        <v>0</v>
      </c>
      <c r="AC759" s="1217">
        <v>0</v>
      </c>
      <c r="AD759" s="88">
        <f>SUM(R759,S759,T759)</f>
        <v>0</v>
      </c>
      <c r="AE759" s="17">
        <f t="shared" si="1161"/>
        <v>0</v>
      </c>
      <c r="AF759" s="17">
        <f t="shared" si="1162"/>
        <v>0</v>
      </c>
      <c r="AG759" s="17">
        <f t="shared" si="1163"/>
        <v>0</v>
      </c>
      <c r="AH759" s="17">
        <f>AD759+AE759</f>
        <v>0</v>
      </c>
      <c r="AI759" s="17">
        <f>AG759+AF759</f>
        <v>0</v>
      </c>
      <c r="AJ759" s="88">
        <f>AH759+AI759</f>
        <v>0</v>
      </c>
      <c r="AL759" s="17">
        <f ca="1">SUM((INDIRECT(AL$2&amp;(ROW())):INDIRECT(AL$3&amp;(ROW()))))</f>
        <v>0</v>
      </c>
      <c r="AM759" s="88">
        <f ca="1">SUM(INDIRECT(AM$1&amp;AM$2&amp;$C759):INDIRECT(AM$1&amp;AM$3&amp;$C759))</f>
        <v>0</v>
      </c>
      <c r="AN759" s="3247">
        <f t="shared" ca="1" si="1147"/>
        <v>0</v>
      </c>
      <c r="AO759" s="2903">
        <f t="shared" ca="1" si="1148"/>
        <v>0</v>
      </c>
      <c r="AP759" s="88">
        <f ca="1">SUM(INDIRECT(AP$1&amp;AP$2&amp;$A759):INDIRECT(AP$1&amp;AP$3&amp;$A759))+SUM(INDIRECT(AP$1&amp;AP$2&amp;$B759):INDIRECT(AP$1&amp;AP$3&amp;$B759))</f>
        <v>0</v>
      </c>
      <c r="AQ759" s="3247">
        <f t="shared" ca="1" si="1149"/>
        <v>0</v>
      </c>
      <c r="AR759" s="2903">
        <f t="shared" ca="1" si="1150"/>
        <v>0</v>
      </c>
      <c r="AT759" s="17">
        <f ca="1">SUM((INDIRECT(AT$2&amp;(ROW())):INDIRECT(AT$3&amp;(ROW()))))</f>
        <v>0</v>
      </c>
      <c r="AU759" s="88">
        <f ca="1">SUM(INDIRECT(AU$1&amp;AU$2&amp;$C759):INDIRECT(AU$1&amp;AU$3&amp;$C759))</f>
        <v>0</v>
      </c>
      <c r="AV759" s="3247">
        <f t="shared" ca="1" si="1151"/>
        <v>0</v>
      </c>
      <c r="AW759" s="2903">
        <f t="shared" ca="1" si="1152"/>
        <v>0</v>
      </c>
      <c r="AX759" s="88">
        <f ca="1">SUM(INDIRECT(AX$1&amp;AX$2&amp;$A759):INDIRECT(AX$1&amp;AX$3&amp;$A759))+SUM(INDIRECT(AX$1&amp;AX$2&amp;$B759):INDIRECT(AX$1&amp;AX$3&amp;$B759))</f>
        <v>0</v>
      </c>
      <c r="AY759" s="3247">
        <f t="shared" ca="1" si="1153"/>
        <v>0</v>
      </c>
      <c r="AZ759" s="2903">
        <f t="shared" ca="1" si="1154"/>
        <v>0</v>
      </c>
      <c r="BB759" s="17">
        <f ca="1">SUM((INDIRECT(BB$2&amp;(ROW())):INDIRECT(BB$3&amp;(ROW()))))</f>
        <v>0</v>
      </c>
      <c r="BC759" s="88">
        <f ca="1">SUM(INDIRECT(BC$1&amp;BC$2&amp;$C759):INDIRECT(BC$1&amp;BC$3&amp;$C759))</f>
        <v>0</v>
      </c>
      <c r="BD759" s="3247">
        <f t="shared" ca="1" si="1155"/>
        <v>0</v>
      </c>
      <c r="BE759" s="2903">
        <f t="shared" ca="1" si="1156"/>
        <v>0</v>
      </c>
      <c r="BF759" s="88">
        <f ca="1">SUM(INDIRECT(BF$1&amp;BF$2&amp;$A759):INDIRECT(BF$1&amp;BF$3&amp;$A759))+SUM(INDIRECT(BF$1&amp;BF$2&amp;$B759):INDIRECT(BF$1&amp;BF$3&amp;$B759))</f>
        <v>0</v>
      </c>
      <c r="BG759" s="3247">
        <f t="shared" ca="1" si="1157"/>
        <v>0</v>
      </c>
      <c r="BH759" s="2903">
        <f t="shared" ca="1" si="1158"/>
        <v>0</v>
      </c>
    </row>
    <row r="760" spans="1:60" ht="14.5">
      <c r="A760" s="616">
        <f t="shared" si="1108"/>
        <v>695</v>
      </c>
      <c r="B760" s="616">
        <v>1</v>
      </c>
      <c r="C760" s="616">
        <f t="shared" si="1083"/>
        <v>757</v>
      </c>
      <c r="E760" s="2547">
        <v>1</v>
      </c>
      <c r="G760" s="22"/>
      <c r="I760" s="86"/>
      <c r="J760" s="85"/>
      <c r="K760" s="68"/>
      <c r="L760" s="68"/>
      <c r="M760" s="11"/>
      <c r="N760" s="8" t="s">
        <v>526</v>
      </c>
      <c r="Q760" s="1779" t="str">
        <f>CHOOSE(2, "6722000003679", "S/GP (5) Net Sales Direct IMS RP service")</f>
        <v>S/GP (5) Net Sales Direct IMS RP service</v>
      </c>
      <c r="R760" s="1217">
        <v>0</v>
      </c>
      <c r="S760" s="1224">
        <v>0</v>
      </c>
      <c r="T760" s="1217">
        <v>0</v>
      </c>
      <c r="U760" s="1217">
        <v>0</v>
      </c>
      <c r="V760" s="1217">
        <v>0</v>
      </c>
      <c r="W760" s="1217">
        <v>0</v>
      </c>
      <c r="X760" s="1217">
        <v>0</v>
      </c>
      <c r="Y760" s="1217">
        <v>0</v>
      </c>
      <c r="Z760" s="1217">
        <v>0</v>
      </c>
      <c r="AA760" s="1217">
        <v>0</v>
      </c>
      <c r="AB760" s="1217">
        <v>0</v>
      </c>
      <c r="AC760" s="1217">
        <v>0</v>
      </c>
      <c r="AD760" s="88">
        <f>SUM(R760,S760,T760)</f>
        <v>0</v>
      </c>
      <c r="AE760" s="17">
        <f t="shared" si="1161"/>
        <v>0</v>
      </c>
      <c r="AF760" s="17">
        <f t="shared" si="1162"/>
        <v>0</v>
      </c>
      <c r="AG760" s="17">
        <f t="shared" si="1163"/>
        <v>0</v>
      </c>
      <c r="AH760" s="17">
        <f>AD760+AE760</f>
        <v>0</v>
      </c>
      <c r="AI760" s="17">
        <f>AG760+AF760</f>
        <v>0</v>
      </c>
      <c r="AJ760" s="88">
        <f>AH760+AI760</f>
        <v>0</v>
      </c>
      <c r="AL760" s="17">
        <f ca="1">SUM((INDIRECT(AL$2&amp;(ROW())):INDIRECT(AL$3&amp;(ROW()))))</f>
        <v>0</v>
      </c>
      <c r="AM760" s="88">
        <f ca="1">SUM(INDIRECT(AM$1&amp;AM$2&amp;$C760):INDIRECT(AM$1&amp;AM$3&amp;$C760))</f>
        <v>0</v>
      </c>
      <c r="AN760" s="3247">
        <f t="shared" ca="1" si="1147"/>
        <v>0</v>
      </c>
      <c r="AO760" s="2903">
        <f t="shared" ca="1" si="1148"/>
        <v>0</v>
      </c>
      <c r="AP760" s="88">
        <f ca="1">SUM(INDIRECT(AP$1&amp;AP$2&amp;$A760):INDIRECT(AP$1&amp;AP$3&amp;$A760))+SUM(INDIRECT(AP$1&amp;AP$2&amp;$B760):INDIRECT(AP$1&amp;AP$3&amp;$B760))</f>
        <v>0</v>
      </c>
      <c r="AQ760" s="3247">
        <f t="shared" ca="1" si="1149"/>
        <v>0</v>
      </c>
      <c r="AR760" s="2903">
        <f t="shared" ca="1" si="1150"/>
        <v>0</v>
      </c>
      <c r="AT760" s="17">
        <f ca="1">SUM((INDIRECT(AT$2&amp;(ROW())):INDIRECT(AT$3&amp;(ROW()))))</f>
        <v>0</v>
      </c>
      <c r="AU760" s="88">
        <f ca="1">SUM(INDIRECT(AU$1&amp;AU$2&amp;$C760):INDIRECT(AU$1&amp;AU$3&amp;$C760))</f>
        <v>0</v>
      </c>
      <c r="AV760" s="3247">
        <f t="shared" ca="1" si="1151"/>
        <v>0</v>
      </c>
      <c r="AW760" s="2903">
        <f t="shared" ca="1" si="1152"/>
        <v>0</v>
      </c>
      <c r="AX760" s="88">
        <f ca="1">SUM(INDIRECT(AX$1&amp;AX$2&amp;$A760):INDIRECT(AX$1&amp;AX$3&amp;$A760))+SUM(INDIRECT(AX$1&amp;AX$2&amp;$B760):INDIRECT(AX$1&amp;AX$3&amp;$B760))</f>
        <v>0</v>
      </c>
      <c r="AY760" s="3247">
        <f t="shared" ca="1" si="1153"/>
        <v>0</v>
      </c>
      <c r="AZ760" s="2903">
        <f t="shared" ca="1" si="1154"/>
        <v>0</v>
      </c>
      <c r="BB760" s="17">
        <f ca="1">SUM((INDIRECT(BB$2&amp;(ROW())):INDIRECT(BB$3&amp;(ROW()))))</f>
        <v>0</v>
      </c>
      <c r="BC760" s="88">
        <f ca="1">SUM(INDIRECT(BC$1&amp;BC$2&amp;$C760):INDIRECT(BC$1&amp;BC$3&amp;$C760))</f>
        <v>0</v>
      </c>
      <c r="BD760" s="3247">
        <f t="shared" ca="1" si="1155"/>
        <v>0</v>
      </c>
      <c r="BE760" s="2903">
        <f t="shared" ca="1" si="1156"/>
        <v>0</v>
      </c>
      <c r="BF760" s="88">
        <f ca="1">SUM(INDIRECT(BF$1&amp;BF$2&amp;$A760):INDIRECT(BF$1&amp;BF$3&amp;$A760))+SUM(INDIRECT(BF$1&amp;BF$2&amp;$B760):INDIRECT(BF$1&amp;BF$3&amp;$B760))</f>
        <v>0</v>
      </c>
      <c r="BG760" s="3247">
        <f t="shared" ca="1" si="1157"/>
        <v>0</v>
      </c>
      <c r="BH760" s="2903">
        <f t="shared" ca="1" si="1158"/>
        <v>0</v>
      </c>
    </row>
    <row r="761" spans="1:60" ht="14.5">
      <c r="A761" s="616">
        <f t="shared" si="1108"/>
        <v>696</v>
      </c>
      <c r="B761" s="616">
        <v>1</v>
      </c>
      <c r="C761" s="616">
        <f t="shared" si="1083"/>
        <v>758</v>
      </c>
      <c r="E761" s="2547">
        <v>1</v>
      </c>
      <c r="G761" s="737"/>
      <c r="I761" s="86"/>
      <c r="J761" s="85"/>
      <c r="K761" s="68"/>
      <c r="L761" s="68"/>
      <c r="M761" s="3" t="s">
        <v>1433</v>
      </c>
      <c r="N761" s="284"/>
      <c r="O761" s="284"/>
      <c r="P761" s="284"/>
      <c r="Q761" s="1777" t="str">
        <f>CHOOSE(2, "6722000003680", "S/GP (5) Net Sales Direct ICW-IT")</f>
        <v>S/GP (5) Net Sales Direct ICW-IT</v>
      </c>
      <c r="R761" s="3103">
        <f>SUM(R762:R765)</f>
        <v>0</v>
      </c>
      <c r="S761" s="3258">
        <f t="shared" ref="S761:AJ761" si="1164">SUM(S762:S765)</f>
        <v>0</v>
      </c>
      <c r="T761" s="3103">
        <f t="shared" si="1164"/>
        <v>0</v>
      </c>
      <c r="U761" s="3103">
        <f t="shared" si="1164"/>
        <v>0</v>
      </c>
      <c r="V761" s="3103">
        <f t="shared" si="1164"/>
        <v>0</v>
      </c>
      <c r="W761" s="3103">
        <f t="shared" si="1164"/>
        <v>0</v>
      </c>
      <c r="X761" s="3103">
        <f t="shared" si="1164"/>
        <v>0</v>
      </c>
      <c r="Y761" s="3103">
        <f t="shared" si="1164"/>
        <v>0</v>
      </c>
      <c r="Z761" s="3103">
        <f t="shared" si="1164"/>
        <v>0</v>
      </c>
      <c r="AA761" s="3103">
        <f t="shared" si="1164"/>
        <v>0</v>
      </c>
      <c r="AB761" s="3103">
        <f t="shared" si="1164"/>
        <v>0</v>
      </c>
      <c r="AC761" s="3103">
        <f t="shared" si="1164"/>
        <v>0</v>
      </c>
      <c r="AD761" s="3244">
        <f t="shared" si="1164"/>
        <v>0</v>
      </c>
      <c r="AE761" s="3103">
        <f t="shared" si="1164"/>
        <v>0</v>
      </c>
      <c r="AF761" s="3103">
        <f t="shared" si="1164"/>
        <v>0</v>
      </c>
      <c r="AG761" s="3103">
        <f t="shared" si="1164"/>
        <v>0</v>
      </c>
      <c r="AH761" s="3103">
        <f t="shared" si="1164"/>
        <v>0</v>
      </c>
      <c r="AI761" s="3103">
        <f t="shared" si="1164"/>
        <v>0</v>
      </c>
      <c r="AJ761" s="3244">
        <f t="shared" si="1164"/>
        <v>0</v>
      </c>
      <c r="AL761" s="3103">
        <f ca="1">SUM((INDIRECT(AL$2&amp;(ROW())):INDIRECT(AL$3&amp;(ROW()))))</f>
        <v>0</v>
      </c>
      <c r="AM761" s="3244">
        <f ca="1">SUM(INDIRECT(AM$1&amp;AM$2&amp;$C761):INDIRECT(AM$1&amp;AM$3&amp;$C761))</f>
        <v>0</v>
      </c>
      <c r="AN761" s="3245">
        <f t="shared" ca="1" si="1147"/>
        <v>0</v>
      </c>
      <c r="AO761" s="2899">
        <f t="shared" ca="1" si="1148"/>
        <v>0</v>
      </c>
      <c r="AP761" s="3244">
        <f ca="1">SUM(INDIRECT(AP$1&amp;AP$2&amp;$A761):INDIRECT(AP$1&amp;AP$3&amp;$A761))+SUM(INDIRECT(AP$1&amp;AP$2&amp;$B761):INDIRECT(AP$1&amp;AP$3&amp;$B761))</f>
        <v>0</v>
      </c>
      <c r="AQ761" s="3245">
        <f t="shared" ca="1" si="1149"/>
        <v>0</v>
      </c>
      <c r="AR761" s="2899">
        <f t="shared" ca="1" si="1150"/>
        <v>0</v>
      </c>
      <c r="AT761" s="3103">
        <f ca="1">SUM((INDIRECT(AT$2&amp;(ROW())):INDIRECT(AT$3&amp;(ROW()))))</f>
        <v>0</v>
      </c>
      <c r="AU761" s="3244">
        <f ca="1">SUM(INDIRECT(AU$1&amp;AU$2&amp;$C761):INDIRECT(AU$1&amp;AU$3&amp;$C761))</f>
        <v>0</v>
      </c>
      <c r="AV761" s="3245">
        <f t="shared" ca="1" si="1151"/>
        <v>0</v>
      </c>
      <c r="AW761" s="2899">
        <f t="shared" ca="1" si="1152"/>
        <v>0</v>
      </c>
      <c r="AX761" s="3244">
        <f ca="1">SUM(INDIRECT(AX$1&amp;AX$2&amp;$A761):INDIRECT(AX$1&amp;AX$3&amp;$A761))+SUM(INDIRECT(AX$1&amp;AX$2&amp;$B761):INDIRECT(AX$1&amp;AX$3&amp;$B761))</f>
        <v>0</v>
      </c>
      <c r="AY761" s="3245">
        <f t="shared" ca="1" si="1153"/>
        <v>0</v>
      </c>
      <c r="AZ761" s="2899">
        <f t="shared" ca="1" si="1154"/>
        <v>0</v>
      </c>
      <c r="BB761" s="3103">
        <f ca="1">SUM((INDIRECT(BB$2&amp;(ROW())):INDIRECT(BB$3&amp;(ROW()))))</f>
        <v>0</v>
      </c>
      <c r="BC761" s="3244">
        <f ca="1">SUM(INDIRECT(BC$1&amp;BC$2&amp;$C761):INDIRECT(BC$1&amp;BC$3&amp;$C761))</f>
        <v>0</v>
      </c>
      <c r="BD761" s="3245">
        <f t="shared" ca="1" si="1155"/>
        <v>0</v>
      </c>
      <c r="BE761" s="2899">
        <f t="shared" ca="1" si="1156"/>
        <v>0</v>
      </c>
      <c r="BF761" s="3244">
        <f ca="1">SUM(INDIRECT(BF$1&amp;BF$2&amp;$A761):INDIRECT(BF$1&amp;BF$3&amp;$A761))+SUM(INDIRECT(BF$1&amp;BF$2&amp;$B761):INDIRECT(BF$1&amp;BF$3&amp;$B761))</f>
        <v>0</v>
      </c>
      <c r="BG761" s="3245">
        <f t="shared" ca="1" si="1157"/>
        <v>0</v>
      </c>
      <c r="BH761" s="2899">
        <f t="shared" ca="1" si="1158"/>
        <v>0</v>
      </c>
    </row>
    <row r="762" spans="1:60" ht="14.5">
      <c r="A762" s="616">
        <f t="shared" si="1108"/>
        <v>697</v>
      </c>
      <c r="B762" s="616">
        <v>1</v>
      </c>
      <c r="C762" s="616">
        <f t="shared" si="1083"/>
        <v>759</v>
      </c>
      <c r="E762" s="2547">
        <v>1</v>
      </c>
      <c r="G762" s="737"/>
      <c r="I762" s="86"/>
      <c r="J762" s="85"/>
      <c r="K762" s="68"/>
      <c r="L762" s="68"/>
      <c r="N762" s="97" t="s">
        <v>523</v>
      </c>
      <c r="O762" s="97"/>
      <c r="P762" s="97"/>
      <c r="Q762" s="1779" t="str">
        <f>CHOOSE(2, "6722000003681", "S/GP (5) Net Sales Direct ICW-IT OSP")</f>
        <v>S/GP (5) Net Sales Direct ICW-IT OSP</v>
      </c>
      <c r="R762" s="1227">
        <v>0</v>
      </c>
      <c r="S762" s="1247">
        <v>0</v>
      </c>
      <c r="T762" s="1227">
        <v>0</v>
      </c>
      <c r="U762" s="1227">
        <v>0</v>
      </c>
      <c r="V762" s="1227">
        <v>0</v>
      </c>
      <c r="W762" s="1227">
        <v>0</v>
      </c>
      <c r="X762" s="1227">
        <v>0</v>
      </c>
      <c r="Y762" s="1227">
        <v>0</v>
      </c>
      <c r="Z762" s="1227">
        <v>0</v>
      </c>
      <c r="AA762" s="1227">
        <v>0</v>
      </c>
      <c r="AB762" s="1227">
        <v>0</v>
      </c>
      <c r="AC762" s="1227">
        <v>0</v>
      </c>
      <c r="AD762" s="295">
        <f>SUM(R762,S762,T762)</f>
        <v>0</v>
      </c>
      <c r="AE762" s="96">
        <f t="shared" ref="AE762:AE765" si="1165">SUM(U762,V762,W762)</f>
        <v>0</v>
      </c>
      <c r="AF762" s="96">
        <f t="shared" ref="AF762:AF765" si="1166">SUM(X762,Y762,Z762)</f>
        <v>0</v>
      </c>
      <c r="AG762" s="96">
        <f t="shared" ref="AG762:AG765" si="1167">SUM(AA762,AB762,AC762)</f>
        <v>0</v>
      </c>
      <c r="AH762" s="96">
        <f>AD762+AE762</f>
        <v>0</v>
      </c>
      <c r="AI762" s="96">
        <f>AG762+AF762</f>
        <v>0</v>
      </c>
      <c r="AJ762" s="295">
        <f>AH762+AI762</f>
        <v>0</v>
      </c>
      <c r="AL762" s="96">
        <f ca="1">SUM((INDIRECT(AL$2&amp;(ROW())):INDIRECT(AL$3&amp;(ROW()))))</f>
        <v>0</v>
      </c>
      <c r="AM762" s="295">
        <f ca="1">SUM(INDIRECT(AM$1&amp;AM$2&amp;$C762):INDIRECT(AM$1&amp;AM$3&amp;$C762))</f>
        <v>0</v>
      </c>
      <c r="AN762" s="3246">
        <f t="shared" ca="1" si="1147"/>
        <v>0</v>
      </c>
      <c r="AO762" s="2901">
        <f t="shared" ca="1" si="1148"/>
        <v>0</v>
      </c>
      <c r="AP762" s="295">
        <f ca="1">SUM(INDIRECT(AP$1&amp;AP$2&amp;$A762):INDIRECT(AP$1&amp;AP$3&amp;$A762))+SUM(INDIRECT(AP$1&amp;AP$2&amp;$B762):INDIRECT(AP$1&amp;AP$3&amp;$B762))</f>
        <v>0</v>
      </c>
      <c r="AQ762" s="3246">
        <f t="shared" ca="1" si="1149"/>
        <v>0</v>
      </c>
      <c r="AR762" s="2901">
        <f t="shared" ca="1" si="1150"/>
        <v>0</v>
      </c>
      <c r="AT762" s="96">
        <f ca="1">SUM((INDIRECT(AT$2&amp;(ROW())):INDIRECT(AT$3&amp;(ROW()))))</f>
        <v>0</v>
      </c>
      <c r="AU762" s="295">
        <f ca="1">SUM(INDIRECT(AU$1&amp;AU$2&amp;$C762):INDIRECT(AU$1&amp;AU$3&amp;$C762))</f>
        <v>0</v>
      </c>
      <c r="AV762" s="3246">
        <f t="shared" ca="1" si="1151"/>
        <v>0</v>
      </c>
      <c r="AW762" s="2901">
        <f t="shared" ca="1" si="1152"/>
        <v>0</v>
      </c>
      <c r="AX762" s="295">
        <f ca="1">SUM(INDIRECT(AX$1&amp;AX$2&amp;$A762):INDIRECT(AX$1&amp;AX$3&amp;$A762))+SUM(INDIRECT(AX$1&amp;AX$2&amp;$B762):INDIRECT(AX$1&amp;AX$3&amp;$B762))</f>
        <v>0</v>
      </c>
      <c r="AY762" s="3246">
        <f t="shared" ca="1" si="1153"/>
        <v>0</v>
      </c>
      <c r="AZ762" s="2901">
        <f t="shared" ca="1" si="1154"/>
        <v>0</v>
      </c>
      <c r="BB762" s="96">
        <f ca="1">SUM((INDIRECT(BB$2&amp;(ROW())):INDIRECT(BB$3&amp;(ROW()))))</f>
        <v>0</v>
      </c>
      <c r="BC762" s="295">
        <f ca="1">SUM(INDIRECT(BC$1&amp;BC$2&amp;$C762):INDIRECT(BC$1&amp;BC$3&amp;$C762))</f>
        <v>0</v>
      </c>
      <c r="BD762" s="3246">
        <f t="shared" ca="1" si="1155"/>
        <v>0</v>
      </c>
      <c r="BE762" s="2901">
        <f t="shared" ca="1" si="1156"/>
        <v>0</v>
      </c>
      <c r="BF762" s="295">
        <f ca="1">SUM(INDIRECT(BF$1&amp;BF$2&amp;$A762):INDIRECT(BF$1&amp;BF$3&amp;$A762))+SUM(INDIRECT(BF$1&amp;BF$2&amp;$B762):INDIRECT(BF$1&amp;BF$3&amp;$B762))</f>
        <v>0</v>
      </c>
      <c r="BG762" s="3246">
        <f t="shared" ca="1" si="1157"/>
        <v>0</v>
      </c>
      <c r="BH762" s="2901">
        <f t="shared" ca="1" si="1158"/>
        <v>0</v>
      </c>
    </row>
    <row r="763" spans="1:60" ht="14.5">
      <c r="A763" s="616">
        <f t="shared" si="1108"/>
        <v>698</v>
      </c>
      <c r="B763" s="616">
        <v>1</v>
      </c>
      <c r="C763" s="616">
        <f t="shared" si="1083"/>
        <v>760</v>
      </c>
      <c r="E763" s="2547">
        <v>1</v>
      </c>
      <c r="G763" s="737"/>
      <c r="I763" s="86"/>
      <c r="J763" s="85"/>
      <c r="K763" s="68"/>
      <c r="L763" s="68"/>
      <c r="N763" s="8" t="s">
        <v>524</v>
      </c>
      <c r="Q763" s="1779" t="str">
        <f>CHOOSE(2, "6722000003682", "S/GP (5) Net Sales Direct ICW-IT RP")</f>
        <v>S/GP (5) Net Sales Direct ICW-IT RP</v>
      </c>
      <c r="R763" s="1217">
        <v>0</v>
      </c>
      <c r="S763" s="1224">
        <v>0</v>
      </c>
      <c r="T763" s="1217">
        <v>0</v>
      </c>
      <c r="U763" s="1217">
        <v>0</v>
      </c>
      <c r="V763" s="1217">
        <v>0</v>
      </c>
      <c r="W763" s="1217">
        <v>0</v>
      </c>
      <c r="X763" s="1217">
        <v>0</v>
      </c>
      <c r="Y763" s="1217">
        <v>0</v>
      </c>
      <c r="Z763" s="1217">
        <v>0</v>
      </c>
      <c r="AA763" s="1217">
        <v>0</v>
      </c>
      <c r="AB763" s="1217">
        <v>0</v>
      </c>
      <c r="AC763" s="1217">
        <v>0</v>
      </c>
      <c r="AD763" s="88">
        <f>SUM(R763,S763,T763)</f>
        <v>0</v>
      </c>
      <c r="AE763" s="17">
        <f t="shared" si="1165"/>
        <v>0</v>
      </c>
      <c r="AF763" s="17">
        <f t="shared" si="1166"/>
        <v>0</v>
      </c>
      <c r="AG763" s="17">
        <f t="shared" si="1167"/>
        <v>0</v>
      </c>
      <c r="AH763" s="17">
        <f>AD763+AE763</f>
        <v>0</v>
      </c>
      <c r="AI763" s="17">
        <f>AG763+AF763</f>
        <v>0</v>
      </c>
      <c r="AJ763" s="88">
        <f>AH763+AI763</f>
        <v>0</v>
      </c>
      <c r="AL763" s="17">
        <f ca="1">SUM((INDIRECT(AL$2&amp;(ROW())):INDIRECT(AL$3&amp;(ROW()))))</f>
        <v>0</v>
      </c>
      <c r="AM763" s="88">
        <f ca="1">SUM(INDIRECT(AM$1&amp;AM$2&amp;$C763):INDIRECT(AM$1&amp;AM$3&amp;$C763))</f>
        <v>0</v>
      </c>
      <c r="AN763" s="3247">
        <f t="shared" ca="1" si="1147"/>
        <v>0</v>
      </c>
      <c r="AO763" s="2903">
        <f t="shared" ca="1" si="1148"/>
        <v>0</v>
      </c>
      <c r="AP763" s="88">
        <f ca="1">SUM(INDIRECT(AP$1&amp;AP$2&amp;$A763):INDIRECT(AP$1&amp;AP$3&amp;$A763))+SUM(INDIRECT(AP$1&amp;AP$2&amp;$B763):INDIRECT(AP$1&amp;AP$3&amp;$B763))</f>
        <v>0</v>
      </c>
      <c r="AQ763" s="3247">
        <f t="shared" ca="1" si="1149"/>
        <v>0</v>
      </c>
      <c r="AR763" s="2903">
        <f t="shared" ca="1" si="1150"/>
        <v>0</v>
      </c>
      <c r="AT763" s="17">
        <f ca="1">SUM((INDIRECT(AT$2&amp;(ROW())):INDIRECT(AT$3&amp;(ROW()))))</f>
        <v>0</v>
      </c>
      <c r="AU763" s="88">
        <f ca="1">SUM(INDIRECT(AU$1&amp;AU$2&amp;$C763):INDIRECT(AU$1&amp;AU$3&amp;$C763))</f>
        <v>0</v>
      </c>
      <c r="AV763" s="3247">
        <f t="shared" ca="1" si="1151"/>
        <v>0</v>
      </c>
      <c r="AW763" s="2903">
        <f t="shared" ca="1" si="1152"/>
        <v>0</v>
      </c>
      <c r="AX763" s="88">
        <f ca="1">SUM(INDIRECT(AX$1&amp;AX$2&amp;$A763):INDIRECT(AX$1&amp;AX$3&amp;$A763))+SUM(INDIRECT(AX$1&amp;AX$2&amp;$B763):INDIRECT(AX$1&amp;AX$3&amp;$B763))</f>
        <v>0</v>
      </c>
      <c r="AY763" s="3247">
        <f t="shared" ca="1" si="1153"/>
        <v>0</v>
      </c>
      <c r="AZ763" s="2903">
        <f t="shared" ca="1" si="1154"/>
        <v>0</v>
      </c>
      <c r="BB763" s="17">
        <f ca="1">SUM((INDIRECT(BB$2&amp;(ROW())):INDIRECT(BB$3&amp;(ROW()))))</f>
        <v>0</v>
      </c>
      <c r="BC763" s="88">
        <f ca="1">SUM(INDIRECT(BC$1&amp;BC$2&amp;$C763):INDIRECT(BC$1&amp;BC$3&amp;$C763))</f>
        <v>0</v>
      </c>
      <c r="BD763" s="3247">
        <f t="shared" ca="1" si="1155"/>
        <v>0</v>
      </c>
      <c r="BE763" s="2903">
        <f t="shared" ca="1" si="1156"/>
        <v>0</v>
      </c>
      <c r="BF763" s="88">
        <f ca="1">SUM(INDIRECT(BF$1&amp;BF$2&amp;$A763):INDIRECT(BF$1&amp;BF$3&amp;$A763))+SUM(INDIRECT(BF$1&amp;BF$2&amp;$B763):INDIRECT(BF$1&amp;BF$3&amp;$B763))</f>
        <v>0</v>
      </c>
      <c r="BG763" s="3247">
        <f t="shared" ca="1" si="1157"/>
        <v>0</v>
      </c>
      <c r="BH763" s="2903">
        <f t="shared" ca="1" si="1158"/>
        <v>0</v>
      </c>
    </row>
    <row r="764" spans="1:60" ht="14.5">
      <c r="A764" s="616">
        <f t="shared" si="1108"/>
        <v>699</v>
      </c>
      <c r="B764" s="616">
        <v>1</v>
      </c>
      <c r="C764" s="616">
        <f t="shared" si="1083"/>
        <v>761</v>
      </c>
      <c r="E764" s="2547">
        <v>1</v>
      </c>
      <c r="G764" s="737"/>
      <c r="I764" s="86"/>
      <c r="J764" s="85"/>
      <c r="K764" s="68"/>
      <c r="L764" s="68"/>
      <c r="N764" s="8" t="s">
        <v>525</v>
      </c>
      <c r="Q764" s="1779" t="str">
        <f>CHOOSE(2, "6722000003683", "S/GP (5) Net Sales Direct ICW-IT OSP service")</f>
        <v>S/GP (5) Net Sales Direct ICW-IT OSP service</v>
      </c>
      <c r="R764" s="1217">
        <v>0</v>
      </c>
      <c r="S764" s="1224">
        <v>0</v>
      </c>
      <c r="T764" s="1217">
        <v>0</v>
      </c>
      <c r="U764" s="1217">
        <v>0</v>
      </c>
      <c r="V764" s="1217">
        <v>0</v>
      </c>
      <c r="W764" s="1217">
        <v>0</v>
      </c>
      <c r="X764" s="1217">
        <v>0</v>
      </c>
      <c r="Y764" s="1217">
        <v>0</v>
      </c>
      <c r="Z764" s="1217">
        <v>0</v>
      </c>
      <c r="AA764" s="1217">
        <v>0</v>
      </c>
      <c r="AB764" s="1217">
        <v>0</v>
      </c>
      <c r="AC764" s="1217">
        <v>0</v>
      </c>
      <c r="AD764" s="88">
        <f>SUM(R764,S764,T764)</f>
        <v>0</v>
      </c>
      <c r="AE764" s="17">
        <f t="shared" si="1165"/>
        <v>0</v>
      </c>
      <c r="AF764" s="17">
        <f t="shared" si="1166"/>
        <v>0</v>
      </c>
      <c r="AG764" s="17">
        <f t="shared" si="1167"/>
        <v>0</v>
      </c>
      <c r="AH764" s="17">
        <f>AD764+AE764</f>
        <v>0</v>
      </c>
      <c r="AI764" s="17">
        <f>AG764+AF764</f>
        <v>0</v>
      </c>
      <c r="AJ764" s="88">
        <f>AH764+AI764</f>
        <v>0</v>
      </c>
      <c r="AL764" s="17">
        <f ca="1">SUM((INDIRECT(AL$2&amp;(ROW())):INDIRECT(AL$3&amp;(ROW()))))</f>
        <v>0</v>
      </c>
      <c r="AM764" s="88">
        <f ca="1">SUM(INDIRECT(AM$1&amp;AM$2&amp;$C764):INDIRECT(AM$1&amp;AM$3&amp;$C764))</f>
        <v>0</v>
      </c>
      <c r="AN764" s="3247">
        <f t="shared" ca="1" si="1147"/>
        <v>0</v>
      </c>
      <c r="AO764" s="2903">
        <f t="shared" ca="1" si="1148"/>
        <v>0</v>
      </c>
      <c r="AP764" s="783">
        <f ca="1">SUM(INDIRECT(AP$1&amp;AP$2&amp;$A764):INDIRECT(AP$1&amp;AP$3&amp;$A764))+SUM(INDIRECT(AP$1&amp;AP$2&amp;$B764):INDIRECT(AP$1&amp;AP$3&amp;$B764))</f>
        <v>0</v>
      </c>
      <c r="AQ764" s="3271">
        <f t="shared" ca="1" si="1149"/>
        <v>0</v>
      </c>
      <c r="AR764" s="2925">
        <f t="shared" ca="1" si="1150"/>
        <v>0</v>
      </c>
      <c r="AS764" s="69"/>
      <c r="AT764" s="1226">
        <f ca="1">SUM((INDIRECT(AT$2&amp;(ROW())):INDIRECT(AT$3&amp;(ROW()))))</f>
        <v>0</v>
      </c>
      <c r="AU764" s="783">
        <f ca="1">SUM(INDIRECT(AU$1&amp;AU$2&amp;$C764):INDIRECT(AU$1&amp;AU$3&amp;$C764))</f>
        <v>0</v>
      </c>
      <c r="AV764" s="3271">
        <f t="shared" ca="1" si="1151"/>
        <v>0</v>
      </c>
      <c r="AW764" s="2925">
        <f t="shared" ca="1" si="1152"/>
        <v>0</v>
      </c>
      <c r="AX764" s="783">
        <f ca="1">SUM(INDIRECT(AX$1&amp;AX$2&amp;$A764):INDIRECT(AX$1&amp;AX$3&amp;$A764))+SUM(INDIRECT(AX$1&amp;AX$2&amp;$B764):INDIRECT(AX$1&amp;AX$3&amp;$B764))</f>
        <v>0</v>
      </c>
      <c r="AY764" s="3271">
        <f t="shared" ca="1" si="1153"/>
        <v>0</v>
      </c>
      <c r="AZ764" s="2925">
        <f t="shared" ca="1" si="1154"/>
        <v>0</v>
      </c>
      <c r="BA764" s="69"/>
      <c r="BB764" s="1226">
        <f ca="1">SUM((INDIRECT(BB$2&amp;(ROW())):INDIRECT(BB$3&amp;(ROW()))))</f>
        <v>0</v>
      </c>
      <c r="BC764" s="783">
        <f ca="1">SUM(INDIRECT(BC$1&amp;BC$2&amp;$C764):INDIRECT(BC$1&amp;BC$3&amp;$C764))</f>
        <v>0</v>
      </c>
      <c r="BD764" s="3271">
        <f t="shared" ca="1" si="1155"/>
        <v>0</v>
      </c>
      <c r="BE764" s="2925">
        <f t="shared" ca="1" si="1156"/>
        <v>0</v>
      </c>
      <c r="BF764" s="783">
        <f ca="1">SUM(INDIRECT(BF$1&amp;BF$2&amp;$A764):INDIRECT(BF$1&amp;BF$3&amp;$A764))+SUM(INDIRECT(BF$1&amp;BF$2&amp;$B764):INDIRECT(BF$1&amp;BF$3&amp;$B764))</f>
        <v>0</v>
      </c>
      <c r="BG764" s="3271">
        <f t="shared" ca="1" si="1157"/>
        <v>0</v>
      </c>
      <c r="BH764" s="2925">
        <f t="shared" ca="1" si="1158"/>
        <v>0</v>
      </c>
    </row>
    <row r="765" spans="1:60" ht="14.5">
      <c r="A765" s="616">
        <f t="shared" si="1108"/>
        <v>700</v>
      </c>
      <c r="B765" s="616">
        <v>1</v>
      </c>
      <c r="C765" s="616">
        <f t="shared" si="1083"/>
        <v>762</v>
      </c>
      <c r="E765" s="2547">
        <v>1</v>
      </c>
      <c r="G765" s="737"/>
      <c r="I765" s="86"/>
      <c r="J765" s="85"/>
      <c r="K765" s="68"/>
      <c r="L765" s="68"/>
      <c r="N765" s="8" t="s">
        <v>526</v>
      </c>
      <c r="Q765" s="1779" t="str">
        <f>CHOOSE(2, "6722000003684", "S/GP (5) Net Sales Direct ICW-IT RP service")</f>
        <v>S/GP (5) Net Sales Direct ICW-IT RP service</v>
      </c>
      <c r="R765" s="1217">
        <v>0</v>
      </c>
      <c r="S765" s="1224">
        <v>0</v>
      </c>
      <c r="T765" s="1217">
        <v>0</v>
      </c>
      <c r="U765" s="1217">
        <v>0</v>
      </c>
      <c r="V765" s="1217">
        <v>0</v>
      </c>
      <c r="W765" s="1217">
        <v>0</v>
      </c>
      <c r="X765" s="1217">
        <v>0</v>
      </c>
      <c r="Y765" s="1217">
        <v>0</v>
      </c>
      <c r="Z765" s="1217">
        <v>0</v>
      </c>
      <c r="AA765" s="1217">
        <v>0</v>
      </c>
      <c r="AB765" s="1217">
        <v>0</v>
      </c>
      <c r="AC765" s="1217">
        <v>0</v>
      </c>
      <c r="AD765" s="88">
        <f>SUM(R765,S765,T765)</f>
        <v>0</v>
      </c>
      <c r="AE765" s="17">
        <f t="shared" si="1165"/>
        <v>0</v>
      </c>
      <c r="AF765" s="17">
        <f t="shared" si="1166"/>
        <v>0</v>
      </c>
      <c r="AG765" s="17">
        <f t="shared" si="1167"/>
        <v>0</v>
      </c>
      <c r="AH765" s="17">
        <f>AD765+AE765</f>
        <v>0</v>
      </c>
      <c r="AI765" s="17">
        <f>AG765+AF765</f>
        <v>0</v>
      </c>
      <c r="AJ765" s="88">
        <f>AH765+AI765</f>
        <v>0</v>
      </c>
      <c r="AL765" s="17">
        <f ca="1">SUM((INDIRECT(AL$2&amp;(ROW())):INDIRECT(AL$3&amp;(ROW()))))</f>
        <v>0</v>
      </c>
      <c r="AM765" s="88">
        <f ca="1">SUM(INDIRECT(AM$1&amp;AM$2&amp;$C765):INDIRECT(AM$1&amp;AM$3&amp;$C765))</f>
        <v>1200</v>
      </c>
      <c r="AN765" s="3247">
        <f t="shared" ca="1" si="1147"/>
        <v>-1200</v>
      </c>
      <c r="AO765" s="2903">
        <f t="shared" ca="1" si="1148"/>
        <v>0</v>
      </c>
      <c r="AP765" s="783">
        <f ca="1">SUM(INDIRECT(AP$1&amp;AP$2&amp;$A765):INDIRECT(AP$1&amp;AP$3&amp;$A765))+SUM(INDIRECT(AP$1&amp;AP$2&amp;$B765):INDIRECT(AP$1&amp;AP$3&amp;$B765))</f>
        <v>0</v>
      </c>
      <c r="AQ765" s="3271">
        <f t="shared" ca="1" si="1149"/>
        <v>0</v>
      </c>
      <c r="AR765" s="2925">
        <f t="shared" ca="1" si="1150"/>
        <v>0</v>
      </c>
      <c r="AS765" s="69"/>
      <c r="AT765" s="1226">
        <f ca="1">SUM((INDIRECT(AT$2&amp;(ROW())):INDIRECT(AT$3&amp;(ROW()))))</f>
        <v>0</v>
      </c>
      <c r="AU765" s="783">
        <f ca="1">SUM(INDIRECT(AU$1&amp;AU$2&amp;$C765):INDIRECT(AU$1&amp;AU$3&amp;$C765))</f>
        <v>3600</v>
      </c>
      <c r="AV765" s="3271">
        <f t="shared" ca="1" si="1151"/>
        <v>-3600</v>
      </c>
      <c r="AW765" s="2925">
        <f t="shared" ca="1" si="1152"/>
        <v>0</v>
      </c>
      <c r="AX765" s="783">
        <f ca="1">SUM(INDIRECT(AX$1&amp;AX$2&amp;$A765):INDIRECT(AX$1&amp;AX$3&amp;$A765))+SUM(INDIRECT(AX$1&amp;AX$2&amp;$B765):INDIRECT(AX$1&amp;AX$3&amp;$B765))</f>
        <v>0</v>
      </c>
      <c r="AY765" s="3271">
        <f t="shared" ca="1" si="1153"/>
        <v>0</v>
      </c>
      <c r="AZ765" s="2925">
        <f t="shared" ca="1" si="1154"/>
        <v>0</v>
      </c>
      <c r="BA765" s="69"/>
      <c r="BB765" s="1226">
        <f ca="1">SUM((INDIRECT(BB$2&amp;(ROW())):INDIRECT(BB$3&amp;(ROW()))))</f>
        <v>0</v>
      </c>
      <c r="BC765" s="783">
        <f ca="1">SUM(INDIRECT(BC$1&amp;BC$2&amp;$C765):INDIRECT(BC$1&amp;BC$3&amp;$C765))</f>
        <v>5750</v>
      </c>
      <c r="BD765" s="3271">
        <f t="shared" ca="1" si="1155"/>
        <v>-5750</v>
      </c>
      <c r="BE765" s="2925">
        <f t="shared" ca="1" si="1156"/>
        <v>0</v>
      </c>
      <c r="BF765" s="783">
        <f ca="1">SUM(INDIRECT(BF$1&amp;BF$2&amp;$A765):INDIRECT(BF$1&amp;BF$3&amp;$A765))+SUM(INDIRECT(BF$1&amp;BF$2&amp;$B765):INDIRECT(BF$1&amp;BF$3&amp;$B765))</f>
        <v>0</v>
      </c>
      <c r="BG765" s="3271">
        <f t="shared" ca="1" si="1157"/>
        <v>0</v>
      </c>
      <c r="BH765" s="2925">
        <f t="shared" ca="1" si="1158"/>
        <v>0</v>
      </c>
    </row>
    <row r="766" spans="1:60" ht="14.5">
      <c r="A766" s="616">
        <f t="shared" si="1108"/>
        <v>701</v>
      </c>
      <c r="B766" s="616">
        <v>1</v>
      </c>
      <c r="C766" s="616">
        <f t="shared" si="1083"/>
        <v>763</v>
      </c>
      <c r="E766" s="2547">
        <v>1</v>
      </c>
      <c r="G766" s="22"/>
      <c r="I766" s="86"/>
      <c r="J766" s="85"/>
      <c r="K766" s="68"/>
      <c r="L766" s="68"/>
      <c r="M766" s="487" t="s">
        <v>1430</v>
      </c>
      <c r="N766" s="284"/>
      <c r="O766" s="284"/>
      <c r="P766" s="284"/>
      <c r="Q766" s="1777" t="str">
        <f>CHOOSE(2, "6722000003685", "S/GP (5) Net Sales Direct MCS")</f>
        <v>S/GP (5) Net Sales Direct MCS</v>
      </c>
      <c r="R766" s="3103">
        <f>SUM(R767:R770)</f>
        <v>360</v>
      </c>
      <c r="S766" s="3258">
        <f t="shared" ref="S766:AJ766" si="1168">SUM(S767:S770)</f>
        <v>263</v>
      </c>
      <c r="T766" s="3103">
        <f t="shared" si="1168"/>
        <v>439</v>
      </c>
      <c r="U766" s="3103">
        <f t="shared" si="1168"/>
        <v>412</v>
      </c>
      <c r="V766" s="3103">
        <f t="shared" si="1168"/>
        <v>3555</v>
      </c>
      <c r="W766" s="3103">
        <f t="shared" si="1168"/>
        <v>44</v>
      </c>
      <c r="X766" s="3103">
        <f t="shared" si="1168"/>
        <v>198</v>
      </c>
      <c r="Y766" s="3103">
        <f t="shared" si="1168"/>
        <v>500</v>
      </c>
      <c r="Z766" s="3103">
        <f t="shared" si="1168"/>
        <v>0</v>
      </c>
      <c r="AA766" s="3103">
        <f t="shared" si="1168"/>
        <v>44</v>
      </c>
      <c r="AB766" s="3103">
        <f t="shared" si="1168"/>
        <v>843</v>
      </c>
      <c r="AC766" s="3103">
        <f t="shared" si="1168"/>
        <v>281</v>
      </c>
      <c r="AD766" s="3244">
        <f t="shared" si="1168"/>
        <v>1062</v>
      </c>
      <c r="AE766" s="3103">
        <f t="shared" si="1168"/>
        <v>4011</v>
      </c>
      <c r="AF766" s="3103">
        <f t="shared" si="1168"/>
        <v>698</v>
      </c>
      <c r="AG766" s="3103">
        <f t="shared" si="1168"/>
        <v>1168</v>
      </c>
      <c r="AH766" s="3103">
        <f t="shared" si="1168"/>
        <v>5073</v>
      </c>
      <c r="AI766" s="3103">
        <f t="shared" si="1168"/>
        <v>1866</v>
      </c>
      <c r="AJ766" s="3244">
        <f t="shared" si="1168"/>
        <v>6939</v>
      </c>
      <c r="AL766" s="3103">
        <f ca="1">SUM((INDIRECT(AL$2&amp;(ROW())):INDIRECT(AL$3&amp;(ROW()))))</f>
        <v>281</v>
      </c>
      <c r="AM766" s="3244">
        <f ca="1">SUM(INDIRECT(AM$1&amp;AM$2&amp;$C766):INDIRECT(AM$1&amp;AM$3&amp;$C766))</f>
        <v>1200</v>
      </c>
      <c r="AN766" s="3245">
        <f t="shared" ca="1" si="1147"/>
        <v>-919</v>
      </c>
      <c r="AO766" s="2899">
        <f t="shared" ca="1" si="1148"/>
        <v>0.23416666666666666</v>
      </c>
      <c r="AP766" s="3244">
        <f ca="1">SUM(INDIRECT(AP$1&amp;AP$2&amp;$A766):INDIRECT(AP$1&amp;AP$3&amp;$A766))+SUM(INDIRECT(AP$1&amp;AP$2&amp;$B766):INDIRECT(AP$1&amp;AP$3&amp;$B766))</f>
        <v>0</v>
      </c>
      <c r="AQ766" s="3245">
        <f t="shared" ca="1" si="1149"/>
        <v>281</v>
      </c>
      <c r="AR766" s="2899">
        <f t="shared" ca="1" si="1150"/>
        <v>0</v>
      </c>
      <c r="AT766" s="3103">
        <f ca="1">SUM((INDIRECT(AT$2&amp;(ROW())):INDIRECT(AT$3&amp;(ROW()))))</f>
        <v>1168</v>
      </c>
      <c r="AU766" s="3244">
        <f ca="1">SUM(INDIRECT(AU$1&amp;AU$2&amp;$C766):INDIRECT(AU$1&amp;AU$3&amp;$C766))</f>
        <v>3600</v>
      </c>
      <c r="AV766" s="3245">
        <f t="shared" ca="1" si="1151"/>
        <v>-2432</v>
      </c>
      <c r="AW766" s="2899">
        <f t="shared" ca="1" si="1152"/>
        <v>0.32444444444444442</v>
      </c>
      <c r="AX766" s="3244">
        <f ca="1">SUM(INDIRECT(AX$1&amp;AX$2&amp;$A766):INDIRECT(AX$1&amp;AX$3&amp;$A766))+SUM(INDIRECT(AX$1&amp;AX$2&amp;$B766):INDIRECT(AX$1&amp;AX$3&amp;$B766))</f>
        <v>0</v>
      </c>
      <c r="AY766" s="3245">
        <f t="shared" ca="1" si="1153"/>
        <v>1168</v>
      </c>
      <c r="AZ766" s="2899">
        <f t="shared" ca="1" si="1154"/>
        <v>0</v>
      </c>
      <c r="BB766" s="3103">
        <f ca="1">SUM((INDIRECT(BB$2&amp;(ROW())):INDIRECT(BB$3&amp;(ROW()))))</f>
        <v>6939</v>
      </c>
      <c r="BC766" s="3244">
        <f ca="1">SUM(INDIRECT(BC$1&amp;BC$2&amp;$C766):INDIRECT(BC$1&amp;BC$3&amp;$C766))</f>
        <v>5750</v>
      </c>
      <c r="BD766" s="3245">
        <f t="shared" ca="1" si="1155"/>
        <v>1189</v>
      </c>
      <c r="BE766" s="2899">
        <f t="shared" ca="1" si="1156"/>
        <v>1.2067826086956521</v>
      </c>
      <c r="BF766" s="3244">
        <f ca="1">SUM(INDIRECT(BF$1&amp;BF$2&amp;$A766):INDIRECT(BF$1&amp;BF$3&amp;$A766))+SUM(INDIRECT(BF$1&amp;BF$2&amp;$B766):INDIRECT(BF$1&amp;BF$3&amp;$B766))</f>
        <v>0</v>
      </c>
      <c r="BG766" s="3245">
        <f t="shared" ca="1" si="1157"/>
        <v>6939</v>
      </c>
      <c r="BH766" s="2899">
        <f t="shared" ca="1" si="1158"/>
        <v>0</v>
      </c>
    </row>
    <row r="767" spans="1:60" ht="14.5">
      <c r="A767" s="616">
        <f t="shared" si="1108"/>
        <v>702</v>
      </c>
      <c r="B767" s="616">
        <v>1</v>
      </c>
      <c r="C767" s="616">
        <f t="shared" si="1083"/>
        <v>764</v>
      </c>
      <c r="E767" s="2547">
        <v>1</v>
      </c>
      <c r="G767" s="22"/>
      <c r="I767" s="86"/>
      <c r="J767" s="85"/>
      <c r="K767" s="68"/>
      <c r="L767" s="68"/>
      <c r="N767" s="97" t="s">
        <v>523</v>
      </c>
      <c r="O767" s="97"/>
      <c r="P767" s="97"/>
      <c r="Q767" s="1779" t="str">
        <f>CHOOSE(2, "6722000003686", "S/GP (5) Net Sales Direct MCS OSP")</f>
        <v>S/GP (5) Net Sales Direct MCS OSP</v>
      </c>
      <c r="R767" s="1227">
        <v>89</v>
      </c>
      <c r="S767" s="1247">
        <v>0</v>
      </c>
      <c r="T767" s="1227">
        <v>0</v>
      </c>
      <c r="U767" s="1227">
        <v>0</v>
      </c>
      <c r="V767" s="1227">
        <v>0</v>
      </c>
      <c r="W767" s="1227">
        <v>0</v>
      </c>
      <c r="X767" s="1227">
        <v>0</v>
      </c>
      <c r="Y767" s="1227">
        <v>0</v>
      </c>
      <c r="Z767" s="1227">
        <v>0</v>
      </c>
      <c r="AA767" s="1227">
        <v>0</v>
      </c>
      <c r="AB767" s="1227">
        <v>0</v>
      </c>
      <c r="AC767" s="1227">
        <v>0</v>
      </c>
      <c r="AD767" s="295">
        <f>SUM(R767,S767,T767)</f>
        <v>89</v>
      </c>
      <c r="AE767" s="96">
        <f t="shared" ref="AE767:AE770" si="1169">SUM(U767,V767,W767)</f>
        <v>0</v>
      </c>
      <c r="AF767" s="96">
        <f t="shared" ref="AF767:AF770" si="1170">SUM(X767,Y767,Z767)</f>
        <v>0</v>
      </c>
      <c r="AG767" s="96">
        <f t="shared" ref="AG767:AG770" si="1171">SUM(AA767,AB767,AC767)</f>
        <v>0</v>
      </c>
      <c r="AH767" s="96">
        <f>AD767+AE767</f>
        <v>89</v>
      </c>
      <c r="AI767" s="96">
        <f>AG767+AF767</f>
        <v>0</v>
      </c>
      <c r="AJ767" s="295">
        <f>AH767+AI767</f>
        <v>89</v>
      </c>
      <c r="AL767" s="96">
        <f ca="1">SUM((INDIRECT(AL$2&amp;(ROW())):INDIRECT(AL$3&amp;(ROW()))))</f>
        <v>0</v>
      </c>
      <c r="AM767" s="295">
        <f ca="1">SUM(INDIRECT(AM$1&amp;AM$2&amp;$C767):INDIRECT(AM$1&amp;AM$3&amp;$C767))</f>
        <v>0</v>
      </c>
      <c r="AN767" s="3246">
        <f t="shared" ca="1" si="1147"/>
        <v>0</v>
      </c>
      <c r="AO767" s="2901">
        <f t="shared" ca="1" si="1148"/>
        <v>0</v>
      </c>
      <c r="AP767" s="295">
        <f ca="1">SUM(INDIRECT(AP$1&amp;AP$2&amp;$A767):INDIRECT(AP$1&amp;AP$3&amp;$A767))+SUM(INDIRECT(AP$1&amp;AP$2&amp;$B767):INDIRECT(AP$1&amp;AP$3&amp;$B767))</f>
        <v>0</v>
      </c>
      <c r="AQ767" s="3246">
        <f t="shared" ca="1" si="1149"/>
        <v>0</v>
      </c>
      <c r="AR767" s="2901">
        <f t="shared" ca="1" si="1150"/>
        <v>0</v>
      </c>
      <c r="AT767" s="96">
        <f ca="1">SUM((INDIRECT(AT$2&amp;(ROW())):INDIRECT(AT$3&amp;(ROW()))))</f>
        <v>0</v>
      </c>
      <c r="AU767" s="295">
        <f ca="1">SUM(INDIRECT(AU$1&amp;AU$2&amp;$C767):INDIRECT(AU$1&amp;AU$3&amp;$C767))</f>
        <v>500</v>
      </c>
      <c r="AV767" s="3246">
        <f t="shared" ca="1" si="1151"/>
        <v>-500</v>
      </c>
      <c r="AW767" s="2901">
        <f t="shared" ca="1" si="1152"/>
        <v>0</v>
      </c>
      <c r="AX767" s="295">
        <f ca="1">SUM(INDIRECT(AX$1&amp;AX$2&amp;$A767):INDIRECT(AX$1&amp;AX$3&amp;$A767))+SUM(INDIRECT(AX$1&amp;AX$2&amp;$B767):INDIRECT(AX$1&amp;AX$3&amp;$B767))</f>
        <v>0</v>
      </c>
      <c r="AY767" s="3246">
        <f t="shared" ca="1" si="1153"/>
        <v>0</v>
      </c>
      <c r="AZ767" s="2901">
        <f t="shared" ca="1" si="1154"/>
        <v>0</v>
      </c>
      <c r="BB767" s="96">
        <f ca="1">SUM((INDIRECT(BB$2&amp;(ROW())):INDIRECT(BB$3&amp;(ROW()))))</f>
        <v>89</v>
      </c>
      <c r="BC767" s="295">
        <f ca="1">SUM(INDIRECT(BC$1&amp;BC$2&amp;$C767):INDIRECT(BC$1&amp;BC$3&amp;$C767))</f>
        <v>1000</v>
      </c>
      <c r="BD767" s="3246">
        <f t="shared" ca="1" si="1155"/>
        <v>-911</v>
      </c>
      <c r="BE767" s="2901">
        <f t="shared" ca="1" si="1156"/>
        <v>8.8999999999999996E-2</v>
      </c>
      <c r="BF767" s="295">
        <f ca="1">SUM(INDIRECT(BF$1&amp;BF$2&amp;$A767):INDIRECT(BF$1&amp;BF$3&amp;$A767))+SUM(INDIRECT(BF$1&amp;BF$2&amp;$B767):INDIRECT(BF$1&amp;BF$3&amp;$B767))</f>
        <v>0</v>
      </c>
      <c r="BG767" s="3246">
        <f t="shared" ca="1" si="1157"/>
        <v>89</v>
      </c>
      <c r="BH767" s="2901">
        <f t="shared" ca="1" si="1158"/>
        <v>0</v>
      </c>
    </row>
    <row r="768" spans="1:60" ht="14.5">
      <c r="A768" s="616">
        <f t="shared" si="1108"/>
        <v>703</v>
      </c>
      <c r="B768" s="616">
        <v>1</v>
      </c>
      <c r="C768" s="616">
        <f t="shared" si="1083"/>
        <v>765</v>
      </c>
      <c r="E768" s="2547">
        <v>1</v>
      </c>
      <c r="G768" s="22"/>
      <c r="I768" s="86"/>
      <c r="J768" s="85"/>
      <c r="K768" s="68"/>
      <c r="L768" s="68"/>
      <c r="N768" s="8" t="s">
        <v>524</v>
      </c>
      <c r="Q768" s="1779" t="str">
        <f>CHOOSE(2, "6722000003687", "S/GP (5) Net Sales Direct MCS RP")</f>
        <v>S/GP (5) Net Sales Direct MCS RP</v>
      </c>
      <c r="R768" s="1217">
        <v>271</v>
      </c>
      <c r="S768" s="1224">
        <v>263</v>
      </c>
      <c r="T768" s="1217">
        <v>439</v>
      </c>
      <c r="U768" s="1217">
        <v>412</v>
      </c>
      <c r="V768" s="1217">
        <v>3555</v>
      </c>
      <c r="W768" s="1217">
        <v>44</v>
      </c>
      <c r="X768" s="1217">
        <v>198</v>
      </c>
      <c r="Y768" s="1217">
        <v>500</v>
      </c>
      <c r="Z768" s="1217">
        <v>0</v>
      </c>
      <c r="AA768" s="1217">
        <v>44</v>
      </c>
      <c r="AB768" s="1217">
        <v>843</v>
      </c>
      <c r="AC768" s="1217">
        <v>281</v>
      </c>
      <c r="AD768" s="88">
        <f>SUM(R768,S768,T768)</f>
        <v>973</v>
      </c>
      <c r="AE768" s="17">
        <f t="shared" si="1169"/>
        <v>4011</v>
      </c>
      <c r="AF768" s="17">
        <f t="shared" si="1170"/>
        <v>698</v>
      </c>
      <c r="AG768" s="17">
        <f t="shared" si="1171"/>
        <v>1168</v>
      </c>
      <c r="AH768" s="17">
        <f>AD768+AE768</f>
        <v>4984</v>
      </c>
      <c r="AI768" s="17">
        <f>AG768+AF768</f>
        <v>1866</v>
      </c>
      <c r="AJ768" s="88">
        <f>AH768+AI768</f>
        <v>6850</v>
      </c>
      <c r="AL768" s="17">
        <f ca="1">SUM((INDIRECT(AL$2&amp;(ROW())):INDIRECT(AL$3&amp;(ROW()))))</f>
        <v>281</v>
      </c>
      <c r="AM768" s="88">
        <f ca="1">SUM(INDIRECT(AM$1&amp;AM$2&amp;$C768):INDIRECT(AM$1&amp;AM$3&amp;$C768))</f>
        <v>0</v>
      </c>
      <c r="AN768" s="3247">
        <f t="shared" ca="1" si="1147"/>
        <v>281</v>
      </c>
      <c r="AO768" s="2903">
        <f t="shared" ca="1" si="1148"/>
        <v>0</v>
      </c>
      <c r="AP768" s="88">
        <f ca="1">SUM(INDIRECT(AP$1&amp;AP$2&amp;$A768):INDIRECT(AP$1&amp;AP$3&amp;$A768))+SUM(INDIRECT(AP$1&amp;AP$2&amp;$B768):INDIRECT(AP$1&amp;AP$3&amp;$B768))</f>
        <v>0</v>
      </c>
      <c r="AQ768" s="3247">
        <f t="shared" ca="1" si="1149"/>
        <v>281</v>
      </c>
      <c r="AR768" s="2903">
        <f t="shared" ca="1" si="1150"/>
        <v>0</v>
      </c>
      <c r="AT768" s="17">
        <f ca="1">SUM((INDIRECT(AT$2&amp;(ROW())):INDIRECT(AT$3&amp;(ROW()))))</f>
        <v>1168</v>
      </c>
      <c r="AU768" s="88">
        <f ca="1">SUM(INDIRECT(AU$1&amp;AU$2&amp;$C768):INDIRECT(AU$1&amp;AU$3&amp;$C768))</f>
        <v>0</v>
      </c>
      <c r="AV768" s="3247">
        <f t="shared" ca="1" si="1151"/>
        <v>1168</v>
      </c>
      <c r="AW768" s="2903">
        <f t="shared" ca="1" si="1152"/>
        <v>0</v>
      </c>
      <c r="AX768" s="88">
        <f ca="1">SUM(INDIRECT(AX$1&amp;AX$2&amp;$A768):INDIRECT(AX$1&amp;AX$3&amp;$A768))+SUM(INDIRECT(AX$1&amp;AX$2&amp;$B768):INDIRECT(AX$1&amp;AX$3&amp;$B768))</f>
        <v>0</v>
      </c>
      <c r="AY768" s="3247">
        <f t="shared" ca="1" si="1153"/>
        <v>1168</v>
      </c>
      <c r="AZ768" s="2903">
        <f t="shared" ca="1" si="1154"/>
        <v>0</v>
      </c>
      <c r="BB768" s="17">
        <f ca="1">SUM((INDIRECT(BB$2&amp;(ROW())):INDIRECT(BB$3&amp;(ROW()))))</f>
        <v>6850</v>
      </c>
      <c r="BC768" s="88">
        <f ca="1">SUM(INDIRECT(BC$1&amp;BC$2&amp;$C768):INDIRECT(BC$1&amp;BC$3&amp;$C768))</f>
        <v>0</v>
      </c>
      <c r="BD768" s="3247">
        <f t="shared" ca="1" si="1155"/>
        <v>6850</v>
      </c>
      <c r="BE768" s="2903">
        <f t="shared" ca="1" si="1156"/>
        <v>0</v>
      </c>
      <c r="BF768" s="88">
        <f ca="1">SUM(INDIRECT(BF$1&amp;BF$2&amp;$A768):INDIRECT(BF$1&amp;BF$3&amp;$A768))+SUM(INDIRECT(BF$1&amp;BF$2&amp;$B768):INDIRECT(BF$1&amp;BF$3&amp;$B768))</f>
        <v>0</v>
      </c>
      <c r="BG768" s="3247">
        <f t="shared" ca="1" si="1157"/>
        <v>6850</v>
      </c>
      <c r="BH768" s="2903">
        <f t="shared" ca="1" si="1158"/>
        <v>0</v>
      </c>
    </row>
    <row r="769" spans="1:60" ht="14.5">
      <c r="A769" s="616">
        <f t="shared" si="1108"/>
        <v>704</v>
      </c>
      <c r="B769" s="616">
        <v>1</v>
      </c>
      <c r="C769" s="616">
        <f t="shared" si="1083"/>
        <v>766</v>
      </c>
      <c r="E769" s="2547">
        <v>1</v>
      </c>
      <c r="G769" s="22"/>
      <c r="I769" s="86"/>
      <c r="J769" s="85"/>
      <c r="K769" s="68"/>
      <c r="L769" s="68"/>
      <c r="N769" s="8" t="s">
        <v>525</v>
      </c>
      <c r="Q769" s="1779" t="str">
        <f>CHOOSE(2, "6722000003688", "S/GP (5) Net Sales Direct MCS OSP service")</f>
        <v>S/GP (5) Net Sales Direct MCS OSP service</v>
      </c>
      <c r="R769" s="1217">
        <v>0</v>
      </c>
      <c r="S769" s="1224">
        <v>0</v>
      </c>
      <c r="T769" s="1217">
        <v>0</v>
      </c>
      <c r="U769" s="1217">
        <v>0</v>
      </c>
      <c r="V769" s="1217">
        <v>0</v>
      </c>
      <c r="W769" s="1217">
        <v>0</v>
      </c>
      <c r="X769" s="1217">
        <v>0</v>
      </c>
      <c r="Y769" s="1217">
        <v>0</v>
      </c>
      <c r="Z769" s="1217">
        <v>0</v>
      </c>
      <c r="AA769" s="1217">
        <v>0</v>
      </c>
      <c r="AB769" s="1217">
        <v>0</v>
      </c>
      <c r="AC769" s="1217">
        <v>0</v>
      </c>
      <c r="AD769" s="88">
        <f>SUM(R769,S769,T769)</f>
        <v>0</v>
      </c>
      <c r="AE769" s="17">
        <f t="shared" si="1169"/>
        <v>0</v>
      </c>
      <c r="AF769" s="17">
        <f t="shared" si="1170"/>
        <v>0</v>
      </c>
      <c r="AG769" s="17">
        <f t="shared" si="1171"/>
        <v>0</v>
      </c>
      <c r="AH769" s="17">
        <f>AD769+AE769</f>
        <v>0</v>
      </c>
      <c r="AI769" s="17">
        <f>AG769+AF769</f>
        <v>0</v>
      </c>
      <c r="AJ769" s="88">
        <f>AH769+AI769</f>
        <v>0</v>
      </c>
      <c r="AL769" s="17">
        <f ca="1">SUM((INDIRECT(AL$2&amp;(ROW())):INDIRECT(AL$3&amp;(ROW()))))</f>
        <v>0</v>
      </c>
      <c r="AM769" s="88">
        <f ca="1">SUM(INDIRECT(AM$1&amp;AM$2&amp;$C769):INDIRECT(AM$1&amp;AM$3&amp;$C769))</f>
        <v>0</v>
      </c>
      <c r="AN769" s="3247">
        <f t="shared" ca="1" si="1147"/>
        <v>0</v>
      </c>
      <c r="AO769" s="2903">
        <f t="shared" ca="1" si="1148"/>
        <v>0</v>
      </c>
      <c r="AP769" s="88">
        <f ca="1">SUM(INDIRECT(AP$1&amp;AP$2&amp;$A769):INDIRECT(AP$1&amp;AP$3&amp;$A769))+SUM(INDIRECT(AP$1&amp;AP$2&amp;$B769):INDIRECT(AP$1&amp;AP$3&amp;$B769))</f>
        <v>0</v>
      </c>
      <c r="AQ769" s="3247">
        <f t="shared" ca="1" si="1149"/>
        <v>0</v>
      </c>
      <c r="AR769" s="2903">
        <f t="shared" ca="1" si="1150"/>
        <v>0</v>
      </c>
      <c r="AT769" s="17">
        <f ca="1">SUM((INDIRECT(AT$2&amp;(ROW())):INDIRECT(AT$3&amp;(ROW()))))</f>
        <v>0</v>
      </c>
      <c r="AU769" s="88">
        <f ca="1">SUM(INDIRECT(AU$1&amp;AU$2&amp;$C769):INDIRECT(AU$1&amp;AU$3&amp;$C769))</f>
        <v>500</v>
      </c>
      <c r="AV769" s="3247">
        <f t="shared" ca="1" si="1151"/>
        <v>-500</v>
      </c>
      <c r="AW769" s="2903">
        <f t="shared" ca="1" si="1152"/>
        <v>0</v>
      </c>
      <c r="AX769" s="88">
        <f ca="1">SUM(INDIRECT(AX$1&amp;AX$2&amp;$A769):INDIRECT(AX$1&amp;AX$3&amp;$A769))+SUM(INDIRECT(AX$1&amp;AX$2&amp;$B769):INDIRECT(AX$1&amp;AX$3&amp;$B769))</f>
        <v>0</v>
      </c>
      <c r="AY769" s="3247">
        <f t="shared" ca="1" si="1153"/>
        <v>0</v>
      </c>
      <c r="AZ769" s="2903">
        <f t="shared" ca="1" si="1154"/>
        <v>0</v>
      </c>
      <c r="BB769" s="17">
        <f ca="1">SUM((INDIRECT(BB$2&amp;(ROW())):INDIRECT(BB$3&amp;(ROW()))))</f>
        <v>0</v>
      </c>
      <c r="BC769" s="88">
        <f ca="1">SUM(INDIRECT(BC$1&amp;BC$2&amp;$C769):INDIRECT(BC$1&amp;BC$3&amp;$C769))</f>
        <v>1000</v>
      </c>
      <c r="BD769" s="3247">
        <f t="shared" ca="1" si="1155"/>
        <v>-1000</v>
      </c>
      <c r="BE769" s="2903">
        <f t="shared" ca="1" si="1156"/>
        <v>0</v>
      </c>
      <c r="BF769" s="88">
        <f ca="1">SUM(INDIRECT(BF$1&amp;BF$2&amp;$A769):INDIRECT(BF$1&amp;BF$3&amp;$A769))+SUM(INDIRECT(BF$1&amp;BF$2&amp;$B769):INDIRECT(BF$1&amp;BF$3&amp;$B769))</f>
        <v>0</v>
      </c>
      <c r="BG769" s="3247">
        <f t="shared" ca="1" si="1157"/>
        <v>0</v>
      </c>
      <c r="BH769" s="2903">
        <f t="shared" ca="1" si="1158"/>
        <v>0</v>
      </c>
    </row>
    <row r="770" spans="1:60" ht="14.5">
      <c r="A770" s="616">
        <f t="shared" si="1108"/>
        <v>705</v>
      </c>
      <c r="B770" s="616">
        <v>1</v>
      </c>
      <c r="C770" s="616">
        <f t="shared" ref="C770:C833" si="1172">ROW()-3</f>
        <v>767</v>
      </c>
      <c r="E770" s="2547">
        <v>1</v>
      </c>
      <c r="G770" s="22"/>
      <c r="I770" s="86"/>
      <c r="J770" s="85"/>
      <c r="K770" s="68"/>
      <c r="L770" s="68"/>
      <c r="N770" s="8" t="s">
        <v>526</v>
      </c>
      <c r="Q770" s="1779" t="str">
        <f>CHOOSE(2, "6722000003689", "S/GP (5) Net Sales Direct MCS RP service")</f>
        <v>S/GP (5) Net Sales Direct MCS RP service</v>
      </c>
      <c r="R770" s="1217">
        <v>0</v>
      </c>
      <c r="S770" s="1224">
        <v>0</v>
      </c>
      <c r="T770" s="1217">
        <v>0</v>
      </c>
      <c r="U770" s="1217">
        <v>0</v>
      </c>
      <c r="V770" s="1217">
        <v>0</v>
      </c>
      <c r="W770" s="1217">
        <v>0</v>
      </c>
      <c r="X770" s="1217">
        <v>0</v>
      </c>
      <c r="Y770" s="1217">
        <v>0</v>
      </c>
      <c r="Z770" s="1217">
        <v>0</v>
      </c>
      <c r="AA770" s="1217">
        <v>0</v>
      </c>
      <c r="AB770" s="1217">
        <v>0</v>
      </c>
      <c r="AC770" s="1217">
        <v>0</v>
      </c>
      <c r="AD770" s="88">
        <f>SUM(R770,S770,T770)</f>
        <v>0</v>
      </c>
      <c r="AE770" s="17">
        <f t="shared" si="1169"/>
        <v>0</v>
      </c>
      <c r="AF770" s="17">
        <f t="shared" si="1170"/>
        <v>0</v>
      </c>
      <c r="AG770" s="17">
        <f t="shared" si="1171"/>
        <v>0</v>
      </c>
      <c r="AH770" s="17">
        <f>AD770+AE770</f>
        <v>0</v>
      </c>
      <c r="AI770" s="17">
        <f>AG770+AF770</f>
        <v>0</v>
      </c>
      <c r="AJ770" s="88">
        <f>AH770+AI770</f>
        <v>0</v>
      </c>
      <c r="AL770" s="17">
        <f ca="1">SUM((INDIRECT(AL$2&amp;(ROW())):INDIRECT(AL$3&amp;(ROW()))))</f>
        <v>0</v>
      </c>
      <c r="AM770" s="88">
        <f ca="1">SUM(INDIRECT(AM$1&amp;AM$2&amp;$C770):INDIRECT(AM$1&amp;AM$3&amp;$C770))</f>
        <v>0</v>
      </c>
      <c r="AN770" s="3247">
        <f t="shared" ca="1" si="1147"/>
        <v>0</v>
      </c>
      <c r="AO770" s="2903">
        <f t="shared" ca="1" si="1148"/>
        <v>0</v>
      </c>
      <c r="AP770" s="88">
        <f ca="1">SUM(INDIRECT(AP$1&amp;AP$2&amp;$A770):INDIRECT(AP$1&amp;AP$3&amp;$A770))+SUM(INDIRECT(AP$1&amp;AP$2&amp;$B770):INDIRECT(AP$1&amp;AP$3&amp;$B770))</f>
        <v>0</v>
      </c>
      <c r="AQ770" s="3247">
        <f t="shared" ca="1" si="1149"/>
        <v>0</v>
      </c>
      <c r="AR770" s="2903">
        <f t="shared" ca="1" si="1150"/>
        <v>0</v>
      </c>
      <c r="AT770" s="17">
        <f ca="1">SUM((INDIRECT(AT$2&amp;(ROW())):INDIRECT(AT$3&amp;(ROW()))))</f>
        <v>0</v>
      </c>
      <c r="AU770" s="88">
        <f ca="1">SUM(INDIRECT(AU$1&amp;AU$2&amp;$C770):INDIRECT(AU$1&amp;AU$3&amp;$C770))</f>
        <v>0</v>
      </c>
      <c r="AV770" s="3247">
        <f t="shared" ca="1" si="1151"/>
        <v>0</v>
      </c>
      <c r="AW770" s="2903">
        <f t="shared" ca="1" si="1152"/>
        <v>0</v>
      </c>
      <c r="AX770" s="88">
        <f ca="1">SUM(INDIRECT(AX$1&amp;AX$2&amp;$A770):INDIRECT(AX$1&amp;AX$3&amp;$A770))+SUM(INDIRECT(AX$1&amp;AX$2&amp;$B770):INDIRECT(AX$1&amp;AX$3&amp;$B770))</f>
        <v>0</v>
      </c>
      <c r="AY770" s="3247">
        <f t="shared" ca="1" si="1153"/>
        <v>0</v>
      </c>
      <c r="AZ770" s="2903">
        <f t="shared" ca="1" si="1154"/>
        <v>0</v>
      </c>
      <c r="BB770" s="17">
        <f ca="1">SUM((INDIRECT(BB$2&amp;(ROW())):INDIRECT(BB$3&amp;(ROW()))))</f>
        <v>0</v>
      </c>
      <c r="BC770" s="88">
        <f ca="1">SUM(INDIRECT(BC$1&amp;BC$2&amp;$C770):INDIRECT(BC$1&amp;BC$3&amp;$C770))</f>
        <v>0</v>
      </c>
      <c r="BD770" s="3247">
        <f t="shared" ca="1" si="1155"/>
        <v>0</v>
      </c>
      <c r="BE770" s="2903">
        <f t="shared" ca="1" si="1156"/>
        <v>0</v>
      </c>
      <c r="BF770" s="88">
        <f ca="1">SUM(INDIRECT(BF$1&amp;BF$2&amp;$A770):INDIRECT(BF$1&amp;BF$3&amp;$A770))+SUM(INDIRECT(BF$1&amp;BF$2&amp;$B770):INDIRECT(BF$1&amp;BF$3&amp;$B770))</f>
        <v>0</v>
      </c>
      <c r="BG770" s="3247">
        <f t="shared" ca="1" si="1157"/>
        <v>0</v>
      </c>
      <c r="BH770" s="2903">
        <f t="shared" ca="1" si="1158"/>
        <v>0</v>
      </c>
    </row>
    <row r="771" spans="1:60" ht="14.5">
      <c r="A771" s="616">
        <f t="shared" si="1108"/>
        <v>706</v>
      </c>
      <c r="B771" s="616">
        <v>1</v>
      </c>
      <c r="C771" s="616">
        <f t="shared" si="1172"/>
        <v>768</v>
      </c>
      <c r="E771" s="2547">
        <v>1</v>
      </c>
      <c r="G771" s="22"/>
      <c r="I771" s="86"/>
      <c r="J771" s="85"/>
      <c r="K771" s="68"/>
      <c r="L771" s="68"/>
      <c r="M771" s="487" t="s">
        <v>602</v>
      </c>
      <c r="N771" s="284"/>
      <c r="O771" s="284"/>
      <c r="P771" s="284"/>
      <c r="Q771" s="1777" t="str">
        <f>CHOOSE(2, "6722000003690", "S/GP (5) Net Sales Direct BPS")</f>
        <v>S/GP (5) Net Sales Direct BPS</v>
      </c>
      <c r="R771" s="3103">
        <f>SUM(R772:R775)</f>
        <v>0</v>
      </c>
      <c r="S771" s="3258">
        <f t="shared" ref="S771:AJ771" si="1173">SUM(S772:S775)</f>
        <v>0</v>
      </c>
      <c r="T771" s="3103">
        <f t="shared" si="1173"/>
        <v>0</v>
      </c>
      <c r="U771" s="3103">
        <f t="shared" si="1173"/>
        <v>0</v>
      </c>
      <c r="V771" s="3103">
        <f t="shared" si="1173"/>
        <v>0</v>
      </c>
      <c r="W771" s="3103">
        <f t="shared" si="1173"/>
        <v>0</v>
      </c>
      <c r="X771" s="3103">
        <f t="shared" si="1173"/>
        <v>0</v>
      </c>
      <c r="Y771" s="3103">
        <f t="shared" si="1173"/>
        <v>0</v>
      </c>
      <c r="Z771" s="3103">
        <f t="shared" si="1173"/>
        <v>0</v>
      </c>
      <c r="AA771" s="3103">
        <f t="shared" si="1173"/>
        <v>0</v>
      </c>
      <c r="AB771" s="3103">
        <f t="shared" si="1173"/>
        <v>0</v>
      </c>
      <c r="AC771" s="3103">
        <f t="shared" si="1173"/>
        <v>0</v>
      </c>
      <c r="AD771" s="3244">
        <f t="shared" si="1173"/>
        <v>0</v>
      </c>
      <c r="AE771" s="3103">
        <f t="shared" si="1173"/>
        <v>0</v>
      </c>
      <c r="AF771" s="3103">
        <f t="shared" si="1173"/>
        <v>0</v>
      </c>
      <c r="AG771" s="3103">
        <f t="shared" si="1173"/>
        <v>0</v>
      </c>
      <c r="AH771" s="3103">
        <f t="shared" si="1173"/>
        <v>0</v>
      </c>
      <c r="AI771" s="3103">
        <f t="shared" si="1173"/>
        <v>0</v>
      </c>
      <c r="AJ771" s="3244">
        <f t="shared" si="1173"/>
        <v>0</v>
      </c>
      <c r="AL771" s="3103">
        <f ca="1">SUM((INDIRECT(AL$2&amp;(ROW())):INDIRECT(AL$3&amp;(ROW()))))</f>
        <v>0</v>
      </c>
      <c r="AM771" s="3244">
        <f ca="1">SUM(INDIRECT(AM$1&amp;AM$2&amp;$C771):INDIRECT(AM$1&amp;AM$3&amp;$C771))</f>
        <v>0</v>
      </c>
      <c r="AN771" s="3245">
        <f t="shared" ca="1" si="1147"/>
        <v>0</v>
      </c>
      <c r="AO771" s="2899">
        <f t="shared" ca="1" si="1148"/>
        <v>0</v>
      </c>
      <c r="AP771" s="3244">
        <f ca="1">SUM(INDIRECT(AP$1&amp;AP$2&amp;$A771):INDIRECT(AP$1&amp;AP$3&amp;$A771))+SUM(INDIRECT(AP$1&amp;AP$2&amp;$B771):INDIRECT(AP$1&amp;AP$3&amp;$B771))</f>
        <v>0</v>
      </c>
      <c r="AQ771" s="3245">
        <f t="shared" ca="1" si="1149"/>
        <v>0</v>
      </c>
      <c r="AR771" s="2899">
        <f t="shared" ca="1" si="1150"/>
        <v>0</v>
      </c>
      <c r="AT771" s="3103">
        <f ca="1">SUM((INDIRECT(AT$2&amp;(ROW())):INDIRECT(AT$3&amp;(ROW()))))</f>
        <v>0</v>
      </c>
      <c r="AU771" s="3244">
        <f ca="1">SUM(INDIRECT(AU$1&amp;AU$2&amp;$C771):INDIRECT(AU$1&amp;AU$3&amp;$C771))</f>
        <v>0</v>
      </c>
      <c r="AV771" s="3245">
        <f t="shared" ca="1" si="1151"/>
        <v>0</v>
      </c>
      <c r="AW771" s="2899">
        <f t="shared" ca="1" si="1152"/>
        <v>0</v>
      </c>
      <c r="AX771" s="3244">
        <f ca="1">SUM(INDIRECT(AX$1&amp;AX$2&amp;$A771):INDIRECT(AX$1&amp;AX$3&amp;$A771))+SUM(INDIRECT(AX$1&amp;AX$2&amp;$B771):INDIRECT(AX$1&amp;AX$3&amp;$B771))</f>
        <v>0</v>
      </c>
      <c r="AY771" s="3245">
        <f t="shared" ca="1" si="1153"/>
        <v>0</v>
      </c>
      <c r="AZ771" s="2899">
        <f t="shared" ca="1" si="1154"/>
        <v>0</v>
      </c>
      <c r="BB771" s="3103">
        <f ca="1">SUM((INDIRECT(BB$2&amp;(ROW())):INDIRECT(BB$3&amp;(ROW()))))</f>
        <v>0</v>
      </c>
      <c r="BC771" s="3244">
        <f ca="1">SUM(INDIRECT(BC$1&amp;BC$2&amp;$C771):INDIRECT(BC$1&amp;BC$3&amp;$C771))</f>
        <v>0</v>
      </c>
      <c r="BD771" s="3245">
        <f t="shared" ca="1" si="1155"/>
        <v>0</v>
      </c>
      <c r="BE771" s="2899">
        <f t="shared" ca="1" si="1156"/>
        <v>0</v>
      </c>
      <c r="BF771" s="3244">
        <f ca="1">SUM(INDIRECT(BF$1&amp;BF$2&amp;$A771):INDIRECT(BF$1&amp;BF$3&amp;$A771))+SUM(INDIRECT(BF$1&amp;BF$2&amp;$B771):INDIRECT(BF$1&amp;BF$3&amp;$B771))</f>
        <v>0</v>
      </c>
      <c r="BG771" s="3245">
        <f t="shared" ca="1" si="1157"/>
        <v>0</v>
      </c>
      <c r="BH771" s="2899">
        <f t="shared" ca="1" si="1158"/>
        <v>0</v>
      </c>
    </row>
    <row r="772" spans="1:60" ht="14.5">
      <c r="A772" s="616">
        <f t="shared" si="1108"/>
        <v>707</v>
      </c>
      <c r="B772" s="616">
        <v>1</v>
      </c>
      <c r="C772" s="616">
        <f t="shared" si="1172"/>
        <v>769</v>
      </c>
      <c r="E772" s="2547">
        <v>1</v>
      </c>
      <c r="G772" s="22"/>
      <c r="I772" s="86"/>
      <c r="J772" s="85"/>
      <c r="K772" s="68"/>
      <c r="L772" s="68"/>
      <c r="N772" s="97" t="s">
        <v>523</v>
      </c>
      <c r="O772" s="97"/>
      <c r="P772" s="97"/>
      <c r="Q772" s="1779" t="str">
        <f>CHOOSE(2, "6722000003691", "S/GP (5) Net Sales Direct BPS OSP")</f>
        <v>S/GP (5) Net Sales Direct BPS OSP</v>
      </c>
      <c r="R772" s="1227">
        <v>0</v>
      </c>
      <c r="S772" s="1247">
        <v>0</v>
      </c>
      <c r="T772" s="1227">
        <v>0</v>
      </c>
      <c r="U772" s="1227">
        <v>0</v>
      </c>
      <c r="V772" s="1227">
        <v>0</v>
      </c>
      <c r="W772" s="1227">
        <v>0</v>
      </c>
      <c r="X772" s="1227">
        <v>0</v>
      </c>
      <c r="Y772" s="1227">
        <v>0</v>
      </c>
      <c r="Z772" s="1227">
        <v>0</v>
      </c>
      <c r="AA772" s="1227">
        <v>0</v>
      </c>
      <c r="AB772" s="1227">
        <v>0</v>
      </c>
      <c r="AC772" s="1227">
        <v>0</v>
      </c>
      <c r="AD772" s="295">
        <f>SUM(R772,S772,T772)</f>
        <v>0</v>
      </c>
      <c r="AE772" s="96">
        <f t="shared" ref="AE772:AE775" si="1174">SUM(U772,V772,W772)</f>
        <v>0</v>
      </c>
      <c r="AF772" s="96">
        <f t="shared" ref="AF772:AF775" si="1175">SUM(X772,Y772,Z772)</f>
        <v>0</v>
      </c>
      <c r="AG772" s="96">
        <f t="shared" ref="AG772:AG775" si="1176">SUM(AA772,AB772,AC772)</f>
        <v>0</v>
      </c>
      <c r="AH772" s="96">
        <f>AD772+AE772</f>
        <v>0</v>
      </c>
      <c r="AI772" s="96">
        <f>AG772+AF772</f>
        <v>0</v>
      </c>
      <c r="AJ772" s="295">
        <f>AH772+AI772</f>
        <v>0</v>
      </c>
      <c r="AL772" s="96">
        <f ca="1">SUM((INDIRECT(AL$2&amp;(ROW())):INDIRECT(AL$3&amp;(ROW()))))</f>
        <v>0</v>
      </c>
      <c r="AM772" s="295">
        <f ca="1">SUM(INDIRECT(AM$1&amp;AM$2&amp;$C772):INDIRECT(AM$1&amp;AM$3&amp;$C772))</f>
        <v>0</v>
      </c>
      <c r="AN772" s="3246">
        <f t="shared" ca="1" si="1147"/>
        <v>0</v>
      </c>
      <c r="AO772" s="2901">
        <f t="shared" ca="1" si="1148"/>
        <v>0</v>
      </c>
      <c r="AP772" s="295">
        <f ca="1">SUM(INDIRECT(AP$1&amp;AP$2&amp;$A772):INDIRECT(AP$1&amp;AP$3&amp;$A772))+SUM(INDIRECT(AP$1&amp;AP$2&amp;$B772):INDIRECT(AP$1&amp;AP$3&amp;$B772))</f>
        <v>0</v>
      </c>
      <c r="AQ772" s="3246">
        <f t="shared" ca="1" si="1149"/>
        <v>0</v>
      </c>
      <c r="AR772" s="2901">
        <f t="shared" ca="1" si="1150"/>
        <v>0</v>
      </c>
      <c r="AT772" s="96">
        <f ca="1">SUM((INDIRECT(AT$2&amp;(ROW())):INDIRECT(AT$3&amp;(ROW()))))</f>
        <v>0</v>
      </c>
      <c r="AU772" s="295">
        <f ca="1">SUM(INDIRECT(AU$1&amp;AU$2&amp;$C772):INDIRECT(AU$1&amp;AU$3&amp;$C772))</f>
        <v>0</v>
      </c>
      <c r="AV772" s="3246">
        <f t="shared" ca="1" si="1151"/>
        <v>0</v>
      </c>
      <c r="AW772" s="2901">
        <f t="shared" ca="1" si="1152"/>
        <v>0</v>
      </c>
      <c r="AX772" s="295">
        <f ca="1">SUM(INDIRECT(AX$1&amp;AX$2&amp;$A772):INDIRECT(AX$1&amp;AX$3&amp;$A772))+SUM(INDIRECT(AX$1&amp;AX$2&amp;$B772):INDIRECT(AX$1&amp;AX$3&amp;$B772))</f>
        <v>0</v>
      </c>
      <c r="AY772" s="3246">
        <f t="shared" ca="1" si="1153"/>
        <v>0</v>
      </c>
      <c r="AZ772" s="2901">
        <f t="shared" ca="1" si="1154"/>
        <v>0</v>
      </c>
      <c r="BB772" s="96">
        <f ca="1">SUM((INDIRECT(BB$2&amp;(ROW())):INDIRECT(BB$3&amp;(ROW()))))</f>
        <v>0</v>
      </c>
      <c r="BC772" s="295">
        <f ca="1">SUM(INDIRECT(BC$1&amp;BC$2&amp;$C772):INDIRECT(BC$1&amp;BC$3&amp;$C772))</f>
        <v>0</v>
      </c>
      <c r="BD772" s="3246">
        <f t="shared" ca="1" si="1155"/>
        <v>0</v>
      </c>
      <c r="BE772" s="2901">
        <f t="shared" ca="1" si="1156"/>
        <v>0</v>
      </c>
      <c r="BF772" s="295">
        <f ca="1">SUM(INDIRECT(BF$1&amp;BF$2&amp;$A772):INDIRECT(BF$1&amp;BF$3&amp;$A772))+SUM(INDIRECT(BF$1&amp;BF$2&amp;$B772):INDIRECT(BF$1&amp;BF$3&amp;$B772))</f>
        <v>0</v>
      </c>
      <c r="BG772" s="3246">
        <f t="shared" ca="1" si="1157"/>
        <v>0</v>
      </c>
      <c r="BH772" s="2901">
        <f t="shared" ca="1" si="1158"/>
        <v>0</v>
      </c>
    </row>
    <row r="773" spans="1:60" ht="14.5">
      <c r="A773" s="616">
        <f t="shared" si="1108"/>
        <v>708</v>
      </c>
      <c r="B773" s="616">
        <v>1</v>
      </c>
      <c r="C773" s="616">
        <f t="shared" si="1172"/>
        <v>770</v>
      </c>
      <c r="E773" s="2547">
        <v>1</v>
      </c>
      <c r="G773" s="22"/>
      <c r="I773" s="86"/>
      <c r="J773" s="85"/>
      <c r="K773" s="68"/>
      <c r="L773" s="68"/>
      <c r="N773" s="8" t="s">
        <v>524</v>
      </c>
      <c r="Q773" s="1779" t="str">
        <f>CHOOSE(2, "6722000003692", "S/GP (5) Net Sales Direct BPS RP")</f>
        <v>S/GP (5) Net Sales Direct BPS RP</v>
      </c>
      <c r="R773" s="1217">
        <v>0</v>
      </c>
      <c r="S773" s="1224">
        <v>0</v>
      </c>
      <c r="T773" s="1217">
        <v>0</v>
      </c>
      <c r="U773" s="1217">
        <v>0</v>
      </c>
      <c r="V773" s="1217">
        <v>0</v>
      </c>
      <c r="W773" s="1217">
        <v>0</v>
      </c>
      <c r="X773" s="1217">
        <v>0</v>
      </c>
      <c r="Y773" s="1217">
        <v>0</v>
      </c>
      <c r="Z773" s="1217">
        <v>0</v>
      </c>
      <c r="AA773" s="1217">
        <v>0</v>
      </c>
      <c r="AB773" s="1217">
        <v>0</v>
      </c>
      <c r="AC773" s="1217">
        <v>0</v>
      </c>
      <c r="AD773" s="88">
        <f>SUM(R773,S773,T773)</f>
        <v>0</v>
      </c>
      <c r="AE773" s="17">
        <f t="shared" si="1174"/>
        <v>0</v>
      </c>
      <c r="AF773" s="17">
        <f t="shared" si="1175"/>
        <v>0</v>
      </c>
      <c r="AG773" s="17">
        <f t="shared" si="1176"/>
        <v>0</v>
      </c>
      <c r="AH773" s="17">
        <f>AD773+AE773</f>
        <v>0</v>
      </c>
      <c r="AI773" s="17">
        <f>AG773+AF773</f>
        <v>0</v>
      </c>
      <c r="AJ773" s="88">
        <f>AH773+AI773</f>
        <v>0</v>
      </c>
      <c r="AL773" s="17">
        <f ca="1">SUM((INDIRECT(AL$2&amp;(ROW())):INDIRECT(AL$3&amp;(ROW()))))</f>
        <v>0</v>
      </c>
      <c r="AM773" s="88">
        <f ca="1">SUM(INDIRECT(AM$1&amp;AM$2&amp;$C773):INDIRECT(AM$1&amp;AM$3&amp;$C773))</f>
        <v>0</v>
      </c>
      <c r="AN773" s="3247">
        <f t="shared" ca="1" si="1147"/>
        <v>0</v>
      </c>
      <c r="AO773" s="2903">
        <f t="shared" ca="1" si="1148"/>
        <v>0</v>
      </c>
      <c r="AP773" s="88">
        <f ca="1">SUM(INDIRECT(AP$1&amp;AP$2&amp;$A773):INDIRECT(AP$1&amp;AP$3&amp;$A773))+SUM(INDIRECT(AP$1&amp;AP$2&amp;$B773):INDIRECT(AP$1&amp;AP$3&amp;$B773))</f>
        <v>0</v>
      </c>
      <c r="AQ773" s="3247">
        <f t="shared" ca="1" si="1149"/>
        <v>0</v>
      </c>
      <c r="AR773" s="2903">
        <f t="shared" ca="1" si="1150"/>
        <v>0</v>
      </c>
      <c r="AT773" s="17">
        <f ca="1">SUM((INDIRECT(AT$2&amp;(ROW())):INDIRECT(AT$3&amp;(ROW()))))</f>
        <v>0</v>
      </c>
      <c r="AU773" s="88">
        <f ca="1">SUM(INDIRECT(AU$1&amp;AU$2&amp;$C773):INDIRECT(AU$1&amp;AU$3&amp;$C773))</f>
        <v>0</v>
      </c>
      <c r="AV773" s="3247">
        <f t="shared" ca="1" si="1151"/>
        <v>0</v>
      </c>
      <c r="AW773" s="2903">
        <f t="shared" ca="1" si="1152"/>
        <v>0</v>
      </c>
      <c r="AX773" s="88">
        <f ca="1">SUM(INDIRECT(AX$1&amp;AX$2&amp;$A773):INDIRECT(AX$1&amp;AX$3&amp;$A773))+SUM(INDIRECT(AX$1&amp;AX$2&amp;$B773):INDIRECT(AX$1&amp;AX$3&amp;$B773))</f>
        <v>0</v>
      </c>
      <c r="AY773" s="3247">
        <f t="shared" ca="1" si="1153"/>
        <v>0</v>
      </c>
      <c r="AZ773" s="2903">
        <f t="shared" ca="1" si="1154"/>
        <v>0</v>
      </c>
      <c r="BB773" s="17">
        <f ca="1">SUM((INDIRECT(BB$2&amp;(ROW())):INDIRECT(BB$3&amp;(ROW()))))</f>
        <v>0</v>
      </c>
      <c r="BC773" s="88">
        <f ca="1">SUM(INDIRECT(BC$1&amp;BC$2&amp;$C773):INDIRECT(BC$1&amp;BC$3&amp;$C773))</f>
        <v>0</v>
      </c>
      <c r="BD773" s="3247">
        <f t="shared" ca="1" si="1155"/>
        <v>0</v>
      </c>
      <c r="BE773" s="2903">
        <f t="shared" ca="1" si="1156"/>
        <v>0</v>
      </c>
      <c r="BF773" s="88">
        <f ca="1">SUM(INDIRECT(BF$1&amp;BF$2&amp;$A773):INDIRECT(BF$1&amp;BF$3&amp;$A773))+SUM(INDIRECT(BF$1&amp;BF$2&amp;$B773):INDIRECT(BF$1&amp;BF$3&amp;$B773))</f>
        <v>0</v>
      </c>
      <c r="BG773" s="3247">
        <f t="shared" ca="1" si="1157"/>
        <v>0</v>
      </c>
      <c r="BH773" s="2903">
        <f t="shared" ca="1" si="1158"/>
        <v>0</v>
      </c>
    </row>
    <row r="774" spans="1:60" ht="14.5">
      <c r="A774" s="616">
        <f t="shared" si="1108"/>
        <v>709</v>
      </c>
      <c r="B774" s="616">
        <v>1</v>
      </c>
      <c r="C774" s="616">
        <f t="shared" si="1172"/>
        <v>771</v>
      </c>
      <c r="E774" s="2547">
        <v>1</v>
      </c>
      <c r="G774" s="22"/>
      <c r="I774" s="86"/>
      <c r="J774" s="85"/>
      <c r="K774" s="68"/>
      <c r="L774" s="68"/>
      <c r="N774" s="8" t="s">
        <v>525</v>
      </c>
      <c r="Q774" s="1779" t="str">
        <f>CHOOSE(2, "6722000003693", "S/GP (5) Net Sales Direct BPS OSP service")</f>
        <v>S/GP (5) Net Sales Direct BPS OSP service</v>
      </c>
      <c r="R774" s="1217">
        <v>0</v>
      </c>
      <c r="S774" s="1224">
        <v>0</v>
      </c>
      <c r="T774" s="1217">
        <v>0</v>
      </c>
      <c r="U774" s="1217">
        <v>0</v>
      </c>
      <c r="V774" s="1217">
        <v>0</v>
      </c>
      <c r="W774" s="1217">
        <v>0</v>
      </c>
      <c r="X774" s="1217">
        <v>0</v>
      </c>
      <c r="Y774" s="1217">
        <v>0</v>
      </c>
      <c r="Z774" s="1217">
        <v>0</v>
      </c>
      <c r="AA774" s="1217">
        <v>0</v>
      </c>
      <c r="AB774" s="1217">
        <v>0</v>
      </c>
      <c r="AC774" s="1217">
        <v>0</v>
      </c>
      <c r="AD774" s="88">
        <f>SUM(R774,S774,T774)</f>
        <v>0</v>
      </c>
      <c r="AE774" s="17">
        <f t="shared" si="1174"/>
        <v>0</v>
      </c>
      <c r="AF774" s="17">
        <f t="shared" si="1175"/>
        <v>0</v>
      </c>
      <c r="AG774" s="17">
        <f t="shared" si="1176"/>
        <v>0</v>
      </c>
      <c r="AH774" s="17">
        <f>AD774+AE774</f>
        <v>0</v>
      </c>
      <c r="AI774" s="17">
        <f>AG774+AF774</f>
        <v>0</v>
      </c>
      <c r="AJ774" s="88">
        <f>AH774+AI774</f>
        <v>0</v>
      </c>
      <c r="AL774" s="17">
        <f ca="1">SUM((INDIRECT(AL$2&amp;(ROW())):INDIRECT(AL$3&amp;(ROW()))))</f>
        <v>0</v>
      </c>
      <c r="AM774" s="88">
        <f ca="1">SUM(INDIRECT(AM$1&amp;AM$2&amp;$C774):INDIRECT(AM$1&amp;AM$3&amp;$C774))</f>
        <v>0</v>
      </c>
      <c r="AN774" s="3247">
        <f t="shared" ca="1" si="1147"/>
        <v>0</v>
      </c>
      <c r="AO774" s="2903">
        <f t="shared" ca="1" si="1148"/>
        <v>0</v>
      </c>
      <c r="AP774" s="88">
        <f ca="1">SUM(INDIRECT(AP$1&amp;AP$2&amp;$A774):INDIRECT(AP$1&amp;AP$3&amp;$A774))+SUM(INDIRECT(AP$1&amp;AP$2&amp;$B774):INDIRECT(AP$1&amp;AP$3&amp;$B774))</f>
        <v>0</v>
      </c>
      <c r="AQ774" s="3247">
        <f t="shared" ca="1" si="1149"/>
        <v>0</v>
      </c>
      <c r="AR774" s="2903">
        <f t="shared" ca="1" si="1150"/>
        <v>0</v>
      </c>
      <c r="AT774" s="17">
        <f ca="1">SUM((INDIRECT(AT$2&amp;(ROW())):INDIRECT(AT$3&amp;(ROW()))))</f>
        <v>0</v>
      </c>
      <c r="AU774" s="88">
        <f ca="1">SUM(INDIRECT(AU$1&amp;AU$2&amp;$C774):INDIRECT(AU$1&amp;AU$3&amp;$C774))</f>
        <v>0</v>
      </c>
      <c r="AV774" s="3247">
        <f t="shared" ca="1" si="1151"/>
        <v>0</v>
      </c>
      <c r="AW774" s="2903">
        <f t="shared" ca="1" si="1152"/>
        <v>0</v>
      </c>
      <c r="AX774" s="88">
        <f ca="1">SUM(INDIRECT(AX$1&amp;AX$2&amp;$A774):INDIRECT(AX$1&amp;AX$3&amp;$A774))+SUM(INDIRECT(AX$1&amp;AX$2&amp;$B774):INDIRECT(AX$1&amp;AX$3&amp;$B774))</f>
        <v>0</v>
      </c>
      <c r="AY774" s="3247">
        <f t="shared" ca="1" si="1153"/>
        <v>0</v>
      </c>
      <c r="AZ774" s="2903">
        <f t="shared" ca="1" si="1154"/>
        <v>0</v>
      </c>
      <c r="BB774" s="17">
        <f ca="1">SUM((INDIRECT(BB$2&amp;(ROW())):INDIRECT(BB$3&amp;(ROW()))))</f>
        <v>0</v>
      </c>
      <c r="BC774" s="88">
        <f ca="1">SUM(INDIRECT(BC$1&amp;BC$2&amp;$C774):INDIRECT(BC$1&amp;BC$3&amp;$C774))</f>
        <v>0</v>
      </c>
      <c r="BD774" s="3247">
        <f t="shared" ca="1" si="1155"/>
        <v>0</v>
      </c>
      <c r="BE774" s="2903">
        <f t="shared" ca="1" si="1156"/>
        <v>0</v>
      </c>
      <c r="BF774" s="88">
        <f ca="1">SUM(INDIRECT(BF$1&amp;BF$2&amp;$A774):INDIRECT(BF$1&amp;BF$3&amp;$A774))+SUM(INDIRECT(BF$1&amp;BF$2&amp;$B774):INDIRECT(BF$1&amp;BF$3&amp;$B774))</f>
        <v>0</v>
      </c>
      <c r="BG774" s="3247">
        <f t="shared" ca="1" si="1157"/>
        <v>0</v>
      </c>
      <c r="BH774" s="2903">
        <f t="shared" ca="1" si="1158"/>
        <v>0</v>
      </c>
    </row>
    <row r="775" spans="1:60" ht="14.5">
      <c r="A775" s="616">
        <f t="shared" si="1108"/>
        <v>710</v>
      </c>
      <c r="B775" s="616">
        <v>1</v>
      </c>
      <c r="C775" s="616">
        <f t="shared" si="1172"/>
        <v>772</v>
      </c>
      <c r="E775" s="2547">
        <v>1</v>
      </c>
      <c r="G775" s="22"/>
      <c r="I775" s="86"/>
      <c r="J775" s="85"/>
      <c r="K775" s="68"/>
      <c r="L775" s="68"/>
      <c r="M775" s="11"/>
      <c r="N775" s="8" t="s">
        <v>526</v>
      </c>
      <c r="Q775" s="1779" t="str">
        <f>CHOOSE(2, "6722000003694", "S/GP (5) Net Sales Direct BPS RP service")</f>
        <v>S/GP (5) Net Sales Direct BPS RP service</v>
      </c>
      <c r="R775" s="1217">
        <v>0</v>
      </c>
      <c r="S775" s="1224">
        <v>0</v>
      </c>
      <c r="T775" s="1217">
        <v>0</v>
      </c>
      <c r="U775" s="1217">
        <v>0</v>
      </c>
      <c r="V775" s="1217">
        <v>0</v>
      </c>
      <c r="W775" s="1217">
        <v>0</v>
      </c>
      <c r="X775" s="1217">
        <v>0</v>
      </c>
      <c r="Y775" s="1217">
        <v>0</v>
      </c>
      <c r="Z775" s="1217">
        <v>0</v>
      </c>
      <c r="AA775" s="1217">
        <v>0</v>
      </c>
      <c r="AB775" s="1217">
        <v>0</v>
      </c>
      <c r="AC775" s="1217">
        <v>0</v>
      </c>
      <c r="AD775" s="88">
        <f>SUM(R775,S775,T775)</f>
        <v>0</v>
      </c>
      <c r="AE775" s="17">
        <f t="shared" si="1174"/>
        <v>0</v>
      </c>
      <c r="AF775" s="17">
        <f t="shared" si="1175"/>
        <v>0</v>
      </c>
      <c r="AG775" s="17">
        <f t="shared" si="1176"/>
        <v>0</v>
      </c>
      <c r="AH775" s="17">
        <f>AD775+AE775</f>
        <v>0</v>
      </c>
      <c r="AI775" s="17">
        <f>AG775+AF775</f>
        <v>0</v>
      </c>
      <c r="AJ775" s="88">
        <f>AH775+AI775</f>
        <v>0</v>
      </c>
      <c r="AL775" s="17">
        <f ca="1">SUM((INDIRECT(AL$2&amp;(ROW())):INDIRECT(AL$3&amp;(ROW()))))</f>
        <v>0</v>
      </c>
      <c r="AM775" s="88">
        <f ca="1">SUM(INDIRECT(AM$1&amp;AM$2&amp;$C775):INDIRECT(AM$1&amp;AM$3&amp;$C775))</f>
        <v>0</v>
      </c>
      <c r="AN775" s="3247">
        <f t="shared" ca="1" si="1147"/>
        <v>0</v>
      </c>
      <c r="AO775" s="2903">
        <f t="shared" ca="1" si="1148"/>
        <v>0</v>
      </c>
      <c r="AP775" s="88">
        <f ca="1">SUM(INDIRECT(AP$1&amp;AP$2&amp;$A775):INDIRECT(AP$1&amp;AP$3&amp;$A775))+SUM(INDIRECT(AP$1&amp;AP$2&amp;$B775):INDIRECT(AP$1&amp;AP$3&amp;$B775))</f>
        <v>0</v>
      </c>
      <c r="AQ775" s="3247">
        <f t="shared" ca="1" si="1149"/>
        <v>0</v>
      </c>
      <c r="AR775" s="2903">
        <f t="shared" ca="1" si="1150"/>
        <v>0</v>
      </c>
      <c r="AT775" s="17">
        <f ca="1">SUM((INDIRECT(AT$2&amp;(ROW())):INDIRECT(AT$3&amp;(ROW()))))</f>
        <v>0</v>
      </c>
      <c r="AU775" s="88">
        <f ca="1">SUM(INDIRECT(AU$1&amp;AU$2&amp;$C775):INDIRECT(AU$1&amp;AU$3&amp;$C775))</f>
        <v>0</v>
      </c>
      <c r="AV775" s="3247">
        <f t="shared" ca="1" si="1151"/>
        <v>0</v>
      </c>
      <c r="AW775" s="2903">
        <f t="shared" ca="1" si="1152"/>
        <v>0</v>
      </c>
      <c r="AX775" s="88">
        <f ca="1">SUM(INDIRECT(AX$1&amp;AX$2&amp;$A775):INDIRECT(AX$1&amp;AX$3&amp;$A775))+SUM(INDIRECT(AX$1&amp;AX$2&amp;$B775):INDIRECT(AX$1&amp;AX$3&amp;$B775))</f>
        <v>0</v>
      </c>
      <c r="AY775" s="3247">
        <f t="shared" ca="1" si="1153"/>
        <v>0</v>
      </c>
      <c r="AZ775" s="2903">
        <f t="shared" ca="1" si="1154"/>
        <v>0</v>
      </c>
      <c r="BB775" s="17">
        <f ca="1">SUM((INDIRECT(BB$2&amp;(ROW())):INDIRECT(BB$3&amp;(ROW()))))</f>
        <v>0</v>
      </c>
      <c r="BC775" s="88">
        <f ca="1">SUM(INDIRECT(BC$1&amp;BC$2&amp;$C775):INDIRECT(BC$1&amp;BC$3&amp;$C775))</f>
        <v>0</v>
      </c>
      <c r="BD775" s="3247">
        <f t="shared" ca="1" si="1155"/>
        <v>0</v>
      </c>
      <c r="BE775" s="2903">
        <f t="shared" ca="1" si="1156"/>
        <v>0</v>
      </c>
      <c r="BF775" s="88">
        <f ca="1">SUM(INDIRECT(BF$1&amp;BF$2&amp;$A775):INDIRECT(BF$1&amp;BF$3&amp;$A775))+SUM(INDIRECT(BF$1&amp;BF$2&amp;$B775):INDIRECT(BF$1&amp;BF$3&amp;$B775))</f>
        <v>0</v>
      </c>
      <c r="BG775" s="3247">
        <f t="shared" ca="1" si="1157"/>
        <v>0</v>
      </c>
      <c r="BH775" s="2903">
        <f t="shared" ca="1" si="1158"/>
        <v>0</v>
      </c>
    </row>
    <row r="776" spans="1:60" ht="14.5">
      <c r="A776" s="616">
        <v>1</v>
      </c>
      <c r="B776" s="616">
        <v>1</v>
      </c>
      <c r="C776" s="616">
        <f t="shared" si="1172"/>
        <v>773</v>
      </c>
      <c r="E776" s="2547">
        <v>1</v>
      </c>
      <c r="G776" s="22"/>
      <c r="I776" s="86"/>
      <c r="J776" s="85"/>
      <c r="K776" s="68"/>
      <c r="L776" s="68"/>
      <c r="M776" s="3" t="s">
        <v>1434</v>
      </c>
      <c r="N776" s="284"/>
      <c r="O776" s="284"/>
      <c r="P776" s="284"/>
      <c r="Q776" s="1777" t="str">
        <f>CHOOSE(2, "6722000003695", "S/GP (5) Net Sales Direct ICW-WK")</f>
        <v>S/GP (5) Net Sales Direct ICW-WK</v>
      </c>
      <c r="R776" s="3103">
        <f>SUM(R777:R780)</f>
        <v>0</v>
      </c>
      <c r="S776" s="3258">
        <f t="shared" ref="S776:AJ776" si="1177">SUM(S777:S780)</f>
        <v>0</v>
      </c>
      <c r="T776" s="3103">
        <f t="shared" si="1177"/>
        <v>0</v>
      </c>
      <c r="U776" s="3103">
        <f t="shared" si="1177"/>
        <v>0</v>
      </c>
      <c r="V776" s="3103">
        <f t="shared" si="1177"/>
        <v>0</v>
      </c>
      <c r="W776" s="3103">
        <f t="shared" si="1177"/>
        <v>0</v>
      </c>
      <c r="X776" s="3103">
        <f t="shared" si="1177"/>
        <v>0</v>
      </c>
      <c r="Y776" s="3103">
        <f t="shared" si="1177"/>
        <v>0</v>
      </c>
      <c r="Z776" s="3103">
        <f t="shared" si="1177"/>
        <v>0</v>
      </c>
      <c r="AA776" s="3103">
        <f t="shared" si="1177"/>
        <v>0</v>
      </c>
      <c r="AB776" s="3103">
        <f t="shared" si="1177"/>
        <v>0</v>
      </c>
      <c r="AC776" s="3103">
        <f t="shared" si="1177"/>
        <v>0</v>
      </c>
      <c r="AD776" s="3244">
        <f t="shared" si="1177"/>
        <v>0</v>
      </c>
      <c r="AE776" s="3103">
        <f t="shared" si="1177"/>
        <v>0</v>
      </c>
      <c r="AF776" s="3103">
        <f t="shared" si="1177"/>
        <v>0</v>
      </c>
      <c r="AG776" s="3103">
        <f t="shared" si="1177"/>
        <v>0</v>
      </c>
      <c r="AH776" s="3103">
        <f t="shared" si="1177"/>
        <v>0</v>
      </c>
      <c r="AI776" s="3103">
        <f t="shared" si="1177"/>
        <v>0</v>
      </c>
      <c r="AJ776" s="3244">
        <f t="shared" si="1177"/>
        <v>0</v>
      </c>
      <c r="AL776" s="3103">
        <f ca="1">SUM((INDIRECT(AL$2&amp;(ROW())):INDIRECT(AL$3&amp;(ROW()))))</f>
        <v>0</v>
      </c>
      <c r="AM776" s="3244">
        <f ca="1">SUM(INDIRECT(AM$1&amp;AM$2&amp;$C776):INDIRECT(AM$1&amp;AM$3&amp;$C776))</f>
        <v>0</v>
      </c>
      <c r="AN776" s="3245">
        <f t="shared" ca="1" si="1147"/>
        <v>0</v>
      </c>
      <c r="AO776" s="2899">
        <f t="shared" ca="1" si="1148"/>
        <v>0</v>
      </c>
      <c r="AP776" s="3244">
        <f ca="1">SUM(INDIRECT(AP$1&amp;AP$2&amp;$A776):INDIRECT(AP$1&amp;AP$3&amp;$A776))+SUM(INDIRECT(AP$1&amp;AP$2&amp;$B776):INDIRECT(AP$1&amp;AP$3&amp;$B776))</f>
        <v>0</v>
      </c>
      <c r="AQ776" s="3245">
        <f t="shared" ca="1" si="1149"/>
        <v>0</v>
      </c>
      <c r="AR776" s="2899">
        <f t="shared" ca="1" si="1150"/>
        <v>0</v>
      </c>
      <c r="AT776" s="3103">
        <f ca="1">SUM((INDIRECT(AT$2&amp;(ROW())):INDIRECT(AT$3&amp;(ROW()))))</f>
        <v>0</v>
      </c>
      <c r="AU776" s="3244">
        <f ca="1">SUM(INDIRECT(AU$1&amp;AU$2&amp;$C776):INDIRECT(AU$1&amp;AU$3&amp;$C776))</f>
        <v>0</v>
      </c>
      <c r="AV776" s="3245">
        <f t="shared" ca="1" si="1151"/>
        <v>0</v>
      </c>
      <c r="AW776" s="2899">
        <f t="shared" ca="1" si="1152"/>
        <v>0</v>
      </c>
      <c r="AX776" s="3244">
        <f ca="1">SUM(INDIRECT(AX$1&amp;AX$2&amp;$A776):INDIRECT(AX$1&amp;AX$3&amp;$A776))+SUM(INDIRECT(AX$1&amp;AX$2&amp;$B776):INDIRECT(AX$1&amp;AX$3&amp;$B776))</f>
        <v>0</v>
      </c>
      <c r="AY776" s="3245">
        <f t="shared" ca="1" si="1153"/>
        <v>0</v>
      </c>
      <c r="AZ776" s="2899">
        <f t="shared" ca="1" si="1154"/>
        <v>0</v>
      </c>
      <c r="BB776" s="3103">
        <f ca="1">SUM((INDIRECT(BB$2&amp;(ROW())):INDIRECT(BB$3&amp;(ROW()))))</f>
        <v>0</v>
      </c>
      <c r="BC776" s="3244">
        <f ca="1">SUM(INDIRECT(BC$1&amp;BC$2&amp;$C776):INDIRECT(BC$1&amp;BC$3&amp;$C776))</f>
        <v>0</v>
      </c>
      <c r="BD776" s="3245">
        <f t="shared" ca="1" si="1155"/>
        <v>0</v>
      </c>
      <c r="BE776" s="2899">
        <f t="shared" ca="1" si="1156"/>
        <v>0</v>
      </c>
      <c r="BF776" s="3244">
        <f ca="1">SUM(INDIRECT(BF$1&amp;BF$2&amp;$A776):INDIRECT(BF$1&amp;BF$3&amp;$A776))+SUM(INDIRECT(BF$1&amp;BF$2&amp;$B776):INDIRECT(BF$1&amp;BF$3&amp;$B776))</f>
        <v>0</v>
      </c>
      <c r="BG776" s="3245">
        <f t="shared" ca="1" si="1157"/>
        <v>0</v>
      </c>
      <c r="BH776" s="2899">
        <f t="shared" ca="1" si="1158"/>
        <v>0</v>
      </c>
    </row>
    <row r="777" spans="1:60" ht="14.5">
      <c r="A777" s="616">
        <v>1</v>
      </c>
      <c r="B777" s="616">
        <v>1</v>
      </c>
      <c r="C777" s="616">
        <f t="shared" si="1172"/>
        <v>774</v>
      </c>
      <c r="E777" s="2547">
        <v>1</v>
      </c>
      <c r="G777" s="22"/>
      <c r="I777" s="86"/>
      <c r="J777" s="85"/>
      <c r="K777" s="68"/>
      <c r="L777" s="68"/>
      <c r="N777" s="97" t="s">
        <v>523</v>
      </c>
      <c r="O777" s="97"/>
      <c r="P777" s="97"/>
      <c r="Q777" s="1779" t="str">
        <f>CHOOSE(2, "6722000003696", "S/GP (5) Net Sales Direct ICW-WK OSP")</f>
        <v>S/GP (5) Net Sales Direct ICW-WK OSP</v>
      </c>
      <c r="R777" s="1227">
        <v>0</v>
      </c>
      <c r="S777" s="1247">
        <v>0</v>
      </c>
      <c r="T777" s="1227">
        <v>0</v>
      </c>
      <c r="U777" s="1227">
        <v>0</v>
      </c>
      <c r="V777" s="1227">
        <v>0</v>
      </c>
      <c r="W777" s="1227">
        <v>0</v>
      </c>
      <c r="X777" s="1227">
        <v>0</v>
      </c>
      <c r="Y777" s="1227">
        <v>0</v>
      </c>
      <c r="Z777" s="1227">
        <v>0</v>
      </c>
      <c r="AA777" s="1227">
        <v>0</v>
      </c>
      <c r="AB777" s="1227">
        <v>0</v>
      </c>
      <c r="AC777" s="1227">
        <v>0</v>
      </c>
      <c r="AD777" s="295">
        <f>SUM(R777,S777,T777)</f>
        <v>0</v>
      </c>
      <c r="AE777" s="96">
        <f t="shared" ref="AE777:AE780" si="1178">SUM(U777,V777,W777)</f>
        <v>0</v>
      </c>
      <c r="AF777" s="96">
        <f t="shared" ref="AF777:AF780" si="1179">SUM(X777,Y777,Z777)</f>
        <v>0</v>
      </c>
      <c r="AG777" s="96">
        <f t="shared" ref="AG777:AG780" si="1180">SUM(AA777,AB777,AC777)</f>
        <v>0</v>
      </c>
      <c r="AH777" s="96">
        <f>AD777+AE777</f>
        <v>0</v>
      </c>
      <c r="AI777" s="96">
        <f>AG777+AF777</f>
        <v>0</v>
      </c>
      <c r="AJ777" s="295">
        <f>AH777+AI777</f>
        <v>0</v>
      </c>
      <c r="AL777" s="96">
        <f ca="1">SUM((INDIRECT(AL$2&amp;(ROW())):INDIRECT(AL$3&amp;(ROW()))))</f>
        <v>0</v>
      </c>
      <c r="AM777" s="295">
        <f ca="1">SUM(INDIRECT(AM$1&amp;AM$2&amp;$C777):INDIRECT(AM$1&amp;AM$3&amp;$C777))</f>
        <v>1200</v>
      </c>
      <c r="AN777" s="3246">
        <f t="shared" ca="1" si="1147"/>
        <v>-1200</v>
      </c>
      <c r="AO777" s="2901">
        <f t="shared" ca="1" si="1148"/>
        <v>0</v>
      </c>
      <c r="AP777" s="295">
        <f ca="1">SUM(INDIRECT(AP$1&amp;AP$2&amp;$A777):INDIRECT(AP$1&amp;AP$3&amp;$A777))+SUM(INDIRECT(AP$1&amp;AP$2&amp;$B777):INDIRECT(AP$1&amp;AP$3&amp;$B777))</f>
        <v>0</v>
      </c>
      <c r="AQ777" s="3246">
        <f t="shared" ca="1" si="1149"/>
        <v>0</v>
      </c>
      <c r="AR777" s="2901">
        <f t="shared" ca="1" si="1150"/>
        <v>0</v>
      </c>
      <c r="AT777" s="96">
        <f ca="1">SUM((INDIRECT(AT$2&amp;(ROW())):INDIRECT(AT$3&amp;(ROW()))))</f>
        <v>0</v>
      </c>
      <c r="AU777" s="295">
        <f ca="1">SUM(INDIRECT(AU$1&amp;AU$2&amp;$C777):INDIRECT(AU$1&amp;AU$3&amp;$C777))</f>
        <v>3100</v>
      </c>
      <c r="AV777" s="3246">
        <f t="shared" ca="1" si="1151"/>
        <v>-3100</v>
      </c>
      <c r="AW777" s="2901">
        <f t="shared" ca="1" si="1152"/>
        <v>0</v>
      </c>
      <c r="AX777" s="295">
        <f ca="1">SUM(INDIRECT(AX$1&amp;AX$2&amp;$A777):INDIRECT(AX$1&amp;AX$3&amp;$A777))+SUM(INDIRECT(AX$1&amp;AX$2&amp;$B777):INDIRECT(AX$1&amp;AX$3&amp;$B777))</f>
        <v>0</v>
      </c>
      <c r="AY777" s="3246">
        <f t="shared" ca="1" si="1153"/>
        <v>0</v>
      </c>
      <c r="AZ777" s="2901">
        <f t="shared" ca="1" si="1154"/>
        <v>0</v>
      </c>
      <c r="BB777" s="96">
        <f ca="1">SUM((INDIRECT(BB$2&amp;(ROW())):INDIRECT(BB$3&amp;(ROW()))))</f>
        <v>0</v>
      </c>
      <c r="BC777" s="295">
        <f ca="1">SUM(INDIRECT(BC$1&amp;BC$2&amp;$C777):INDIRECT(BC$1&amp;BC$3&amp;$C777))</f>
        <v>4750</v>
      </c>
      <c r="BD777" s="3246">
        <f t="shared" ca="1" si="1155"/>
        <v>-4750</v>
      </c>
      <c r="BE777" s="2901">
        <f t="shared" ca="1" si="1156"/>
        <v>0</v>
      </c>
      <c r="BF777" s="295">
        <f ca="1">SUM(INDIRECT(BF$1&amp;BF$2&amp;$A777):INDIRECT(BF$1&amp;BF$3&amp;$A777))+SUM(INDIRECT(BF$1&amp;BF$2&amp;$B777):INDIRECT(BF$1&amp;BF$3&amp;$B777))</f>
        <v>0</v>
      </c>
      <c r="BG777" s="3246">
        <f t="shared" ca="1" si="1157"/>
        <v>0</v>
      </c>
      <c r="BH777" s="2901">
        <f t="shared" ca="1" si="1158"/>
        <v>0</v>
      </c>
    </row>
    <row r="778" spans="1:60" ht="14.5">
      <c r="A778" s="616">
        <v>1</v>
      </c>
      <c r="B778" s="616">
        <v>1</v>
      </c>
      <c r="C778" s="616">
        <f t="shared" si="1172"/>
        <v>775</v>
      </c>
      <c r="E778" s="2547">
        <v>1</v>
      </c>
      <c r="G778" s="22"/>
      <c r="I778" s="86"/>
      <c r="J778" s="85"/>
      <c r="K778" s="68"/>
      <c r="L778" s="68"/>
      <c r="N778" s="8" t="s">
        <v>524</v>
      </c>
      <c r="Q778" s="1779" t="str">
        <f>CHOOSE(2, "6722000003697", "S/GP (5) Net Sales Direct ICW-WK RP")</f>
        <v>S/GP (5) Net Sales Direct ICW-WK RP</v>
      </c>
      <c r="R778" s="1217">
        <v>0</v>
      </c>
      <c r="S778" s="1224">
        <v>0</v>
      </c>
      <c r="T778" s="1217">
        <v>0</v>
      </c>
      <c r="U778" s="1217">
        <v>0</v>
      </c>
      <c r="V778" s="1217">
        <v>0</v>
      </c>
      <c r="W778" s="1217">
        <v>0</v>
      </c>
      <c r="X778" s="1217">
        <v>0</v>
      </c>
      <c r="Y778" s="1217">
        <v>0</v>
      </c>
      <c r="Z778" s="1217">
        <v>0</v>
      </c>
      <c r="AA778" s="1217">
        <v>0</v>
      </c>
      <c r="AB778" s="1217">
        <v>0</v>
      </c>
      <c r="AC778" s="1217">
        <v>0</v>
      </c>
      <c r="AD778" s="88">
        <f>SUM(R778,S778,T778)</f>
        <v>0</v>
      </c>
      <c r="AE778" s="17">
        <f t="shared" si="1178"/>
        <v>0</v>
      </c>
      <c r="AF778" s="17">
        <f t="shared" si="1179"/>
        <v>0</v>
      </c>
      <c r="AG778" s="17">
        <f t="shared" si="1180"/>
        <v>0</v>
      </c>
      <c r="AH778" s="17">
        <f>AD778+AE778</f>
        <v>0</v>
      </c>
      <c r="AI778" s="17">
        <f>AG778+AF778</f>
        <v>0</v>
      </c>
      <c r="AJ778" s="88">
        <f>AH778+AI778</f>
        <v>0</v>
      </c>
      <c r="AL778" s="17">
        <f ca="1">SUM((INDIRECT(AL$2&amp;(ROW())):INDIRECT(AL$3&amp;(ROW()))))</f>
        <v>0</v>
      </c>
      <c r="AM778" s="88">
        <f ca="1">SUM(INDIRECT(AM$1&amp;AM$2&amp;$C778):INDIRECT(AM$1&amp;AM$3&amp;$C778))</f>
        <v>0</v>
      </c>
      <c r="AN778" s="3247">
        <f t="shared" ca="1" si="1147"/>
        <v>0</v>
      </c>
      <c r="AO778" s="2903">
        <f t="shared" ca="1" si="1148"/>
        <v>0</v>
      </c>
      <c r="AP778" s="88">
        <f ca="1">SUM(INDIRECT(AP$1&amp;AP$2&amp;$A778):INDIRECT(AP$1&amp;AP$3&amp;$A778))+SUM(INDIRECT(AP$1&amp;AP$2&amp;$B778):INDIRECT(AP$1&amp;AP$3&amp;$B778))</f>
        <v>0</v>
      </c>
      <c r="AQ778" s="3247">
        <f t="shared" ca="1" si="1149"/>
        <v>0</v>
      </c>
      <c r="AR778" s="2903">
        <f t="shared" ca="1" si="1150"/>
        <v>0</v>
      </c>
      <c r="AT778" s="17">
        <f ca="1">SUM((INDIRECT(AT$2&amp;(ROW())):INDIRECT(AT$3&amp;(ROW()))))</f>
        <v>0</v>
      </c>
      <c r="AU778" s="88">
        <f ca="1">SUM(INDIRECT(AU$1&amp;AU$2&amp;$C778):INDIRECT(AU$1&amp;AU$3&amp;$C778))</f>
        <v>0</v>
      </c>
      <c r="AV778" s="3247">
        <f t="shared" ca="1" si="1151"/>
        <v>0</v>
      </c>
      <c r="AW778" s="2903">
        <f t="shared" ca="1" si="1152"/>
        <v>0</v>
      </c>
      <c r="AX778" s="88">
        <f ca="1">SUM(INDIRECT(AX$1&amp;AX$2&amp;$A778):INDIRECT(AX$1&amp;AX$3&amp;$A778))+SUM(INDIRECT(AX$1&amp;AX$2&amp;$B778):INDIRECT(AX$1&amp;AX$3&amp;$B778))</f>
        <v>0</v>
      </c>
      <c r="AY778" s="3247">
        <f t="shared" ca="1" si="1153"/>
        <v>0</v>
      </c>
      <c r="AZ778" s="2903">
        <f t="shared" ca="1" si="1154"/>
        <v>0</v>
      </c>
      <c r="BB778" s="17">
        <f ca="1">SUM((INDIRECT(BB$2&amp;(ROW())):INDIRECT(BB$3&amp;(ROW()))))</f>
        <v>0</v>
      </c>
      <c r="BC778" s="88">
        <f ca="1">SUM(INDIRECT(BC$1&amp;BC$2&amp;$C778):INDIRECT(BC$1&amp;BC$3&amp;$C778))</f>
        <v>0</v>
      </c>
      <c r="BD778" s="3247">
        <f t="shared" ca="1" si="1155"/>
        <v>0</v>
      </c>
      <c r="BE778" s="2903">
        <f t="shared" ca="1" si="1156"/>
        <v>0</v>
      </c>
      <c r="BF778" s="88">
        <f ca="1">SUM(INDIRECT(BF$1&amp;BF$2&amp;$A778):INDIRECT(BF$1&amp;BF$3&amp;$A778))+SUM(INDIRECT(BF$1&amp;BF$2&amp;$B778):INDIRECT(BF$1&amp;BF$3&amp;$B778))</f>
        <v>0</v>
      </c>
      <c r="BG778" s="3247">
        <f t="shared" ca="1" si="1157"/>
        <v>0</v>
      </c>
      <c r="BH778" s="2903">
        <f t="shared" ca="1" si="1158"/>
        <v>0</v>
      </c>
    </row>
    <row r="779" spans="1:60" ht="14.5">
      <c r="A779" s="616">
        <v>1</v>
      </c>
      <c r="B779" s="616">
        <v>1</v>
      </c>
      <c r="C779" s="616">
        <f t="shared" si="1172"/>
        <v>776</v>
      </c>
      <c r="E779" s="2547">
        <v>1</v>
      </c>
      <c r="G779" s="22"/>
      <c r="I779" s="86"/>
      <c r="J779" s="85"/>
      <c r="K779" s="68"/>
      <c r="L779" s="68"/>
      <c r="N779" s="8" t="s">
        <v>525</v>
      </c>
      <c r="Q779" s="1779" t="str">
        <f>CHOOSE(2, "6722000003698", "S/GP (5) Net Sales Direct ICW-WK OSP service")</f>
        <v>S/GP (5) Net Sales Direct ICW-WK OSP service</v>
      </c>
      <c r="R779" s="1217">
        <v>0</v>
      </c>
      <c r="S779" s="1224">
        <v>0</v>
      </c>
      <c r="T779" s="1217">
        <v>0</v>
      </c>
      <c r="U779" s="1217">
        <v>0</v>
      </c>
      <c r="V779" s="1217">
        <v>0</v>
      </c>
      <c r="W779" s="1217">
        <v>0</v>
      </c>
      <c r="X779" s="1217">
        <v>0</v>
      </c>
      <c r="Y779" s="1217">
        <v>0</v>
      </c>
      <c r="Z779" s="1217">
        <v>0</v>
      </c>
      <c r="AA779" s="1217">
        <v>0</v>
      </c>
      <c r="AB779" s="1217">
        <v>0</v>
      </c>
      <c r="AC779" s="1217">
        <v>0</v>
      </c>
      <c r="AD779" s="88">
        <f>SUM(R779,S779,T779)</f>
        <v>0</v>
      </c>
      <c r="AE779" s="17">
        <f t="shared" si="1178"/>
        <v>0</v>
      </c>
      <c r="AF779" s="17">
        <f t="shared" si="1179"/>
        <v>0</v>
      </c>
      <c r="AG779" s="17">
        <f t="shared" si="1180"/>
        <v>0</v>
      </c>
      <c r="AH779" s="17">
        <f>AD779+AE779</f>
        <v>0</v>
      </c>
      <c r="AI779" s="17">
        <f>AG779+AF779</f>
        <v>0</v>
      </c>
      <c r="AJ779" s="88">
        <f>AH779+AI779</f>
        <v>0</v>
      </c>
      <c r="AL779" s="17">
        <f ca="1">SUM((INDIRECT(AL$2&amp;(ROW())):INDIRECT(AL$3&amp;(ROW()))))</f>
        <v>0</v>
      </c>
      <c r="AM779" s="88">
        <f ca="1">SUM(INDIRECT(AM$1&amp;AM$2&amp;$C779):INDIRECT(AM$1&amp;AM$3&amp;$C779))</f>
        <v>1200</v>
      </c>
      <c r="AN779" s="3247">
        <f t="shared" ca="1" si="1147"/>
        <v>-1200</v>
      </c>
      <c r="AO779" s="2903">
        <f t="shared" ca="1" si="1148"/>
        <v>0</v>
      </c>
      <c r="AP779" s="88">
        <f ca="1">SUM(INDIRECT(AP$1&amp;AP$2&amp;$A779):INDIRECT(AP$1&amp;AP$3&amp;$A779))+SUM(INDIRECT(AP$1&amp;AP$2&amp;$B779):INDIRECT(AP$1&amp;AP$3&amp;$B779))</f>
        <v>0</v>
      </c>
      <c r="AQ779" s="3247">
        <f t="shared" ca="1" si="1149"/>
        <v>0</v>
      </c>
      <c r="AR779" s="2903">
        <f t="shared" ca="1" si="1150"/>
        <v>0</v>
      </c>
      <c r="AT779" s="17">
        <f ca="1">SUM((INDIRECT(AT$2&amp;(ROW())):INDIRECT(AT$3&amp;(ROW()))))</f>
        <v>0</v>
      </c>
      <c r="AU779" s="88">
        <f ca="1">SUM(INDIRECT(AU$1&amp;AU$2&amp;$C779):INDIRECT(AU$1&amp;AU$3&amp;$C779))</f>
        <v>3100</v>
      </c>
      <c r="AV779" s="3247">
        <f t="shared" ca="1" si="1151"/>
        <v>-3100</v>
      </c>
      <c r="AW779" s="2903">
        <f t="shared" ca="1" si="1152"/>
        <v>0</v>
      </c>
      <c r="AX779" s="88">
        <f ca="1">SUM(INDIRECT(AX$1&amp;AX$2&amp;$A779):INDIRECT(AX$1&amp;AX$3&amp;$A779))+SUM(INDIRECT(AX$1&amp;AX$2&amp;$B779):INDIRECT(AX$1&amp;AX$3&amp;$B779))</f>
        <v>0</v>
      </c>
      <c r="AY779" s="3247">
        <f t="shared" ca="1" si="1153"/>
        <v>0</v>
      </c>
      <c r="AZ779" s="2903">
        <f t="shared" ca="1" si="1154"/>
        <v>0</v>
      </c>
      <c r="BB779" s="17">
        <f ca="1">SUM((INDIRECT(BB$2&amp;(ROW())):INDIRECT(BB$3&amp;(ROW()))))</f>
        <v>0</v>
      </c>
      <c r="BC779" s="88">
        <f ca="1">SUM(INDIRECT(BC$1&amp;BC$2&amp;$C779):INDIRECT(BC$1&amp;BC$3&amp;$C779))</f>
        <v>4750</v>
      </c>
      <c r="BD779" s="3247">
        <f t="shared" ca="1" si="1155"/>
        <v>-4750</v>
      </c>
      <c r="BE779" s="2903">
        <f t="shared" ca="1" si="1156"/>
        <v>0</v>
      </c>
      <c r="BF779" s="88">
        <f ca="1">SUM(INDIRECT(BF$1&amp;BF$2&amp;$A779):INDIRECT(BF$1&amp;BF$3&amp;$A779))+SUM(INDIRECT(BF$1&amp;BF$2&amp;$B779):INDIRECT(BF$1&amp;BF$3&amp;$B779))</f>
        <v>0</v>
      </c>
      <c r="BG779" s="3247">
        <f t="shared" ca="1" si="1157"/>
        <v>0</v>
      </c>
      <c r="BH779" s="2903">
        <f t="shared" ca="1" si="1158"/>
        <v>0</v>
      </c>
    </row>
    <row r="780" spans="1:60" ht="14.5">
      <c r="A780" s="616">
        <v>1</v>
      </c>
      <c r="B780" s="616">
        <v>1</v>
      </c>
      <c r="C780" s="616">
        <f t="shared" si="1172"/>
        <v>777</v>
      </c>
      <c r="E780" s="2547">
        <v>1</v>
      </c>
      <c r="G780" s="22"/>
      <c r="I780" s="86"/>
      <c r="J780" s="85"/>
      <c r="K780" s="68"/>
      <c r="L780" s="68"/>
      <c r="M780" s="11"/>
      <c r="N780" s="8" t="s">
        <v>526</v>
      </c>
      <c r="Q780" s="1779" t="str">
        <f>CHOOSE(2, "6722000003699", "S/GP (5) Net Sales Direct ICW-WK RP service")</f>
        <v>S/GP (5) Net Sales Direct ICW-WK RP service</v>
      </c>
      <c r="R780" s="1217">
        <v>0</v>
      </c>
      <c r="S780" s="1224">
        <v>0</v>
      </c>
      <c r="T780" s="1217">
        <v>0</v>
      </c>
      <c r="U780" s="1217">
        <v>0</v>
      </c>
      <c r="V780" s="1217">
        <v>0</v>
      </c>
      <c r="W780" s="1217">
        <v>0</v>
      </c>
      <c r="X780" s="1217">
        <v>0</v>
      </c>
      <c r="Y780" s="1217">
        <v>0</v>
      </c>
      <c r="Z780" s="1217">
        <v>0</v>
      </c>
      <c r="AA780" s="1217">
        <v>0</v>
      </c>
      <c r="AB780" s="1217">
        <v>0</v>
      </c>
      <c r="AC780" s="1217">
        <v>0</v>
      </c>
      <c r="AD780" s="88">
        <f>SUM(R780,S780,T780)</f>
        <v>0</v>
      </c>
      <c r="AE780" s="17">
        <f t="shared" si="1178"/>
        <v>0</v>
      </c>
      <c r="AF780" s="17">
        <f t="shared" si="1179"/>
        <v>0</v>
      </c>
      <c r="AG780" s="17">
        <f t="shared" si="1180"/>
        <v>0</v>
      </c>
      <c r="AH780" s="17">
        <f>AD780+AE780</f>
        <v>0</v>
      </c>
      <c r="AI780" s="17">
        <f>AG780+AF780</f>
        <v>0</v>
      </c>
      <c r="AJ780" s="88">
        <f>AH780+AI780</f>
        <v>0</v>
      </c>
      <c r="AL780" s="17">
        <f ca="1">SUM((INDIRECT(AL$2&amp;(ROW())):INDIRECT(AL$3&amp;(ROW()))))</f>
        <v>0</v>
      </c>
      <c r="AM780" s="88">
        <f ca="1">SUM(INDIRECT(AM$1&amp;AM$2&amp;$C780):INDIRECT(AM$1&amp;AM$3&amp;$C780))</f>
        <v>0</v>
      </c>
      <c r="AN780" s="3247">
        <f t="shared" ca="1" si="1147"/>
        <v>0</v>
      </c>
      <c r="AO780" s="2903">
        <f t="shared" ca="1" si="1148"/>
        <v>0</v>
      </c>
      <c r="AP780" s="88">
        <f ca="1">SUM(INDIRECT(AP$1&amp;AP$2&amp;$A780):INDIRECT(AP$1&amp;AP$3&amp;$A780))+SUM(INDIRECT(AP$1&amp;AP$2&amp;$B780):INDIRECT(AP$1&amp;AP$3&amp;$B780))</f>
        <v>0</v>
      </c>
      <c r="AQ780" s="3247">
        <f t="shared" ca="1" si="1149"/>
        <v>0</v>
      </c>
      <c r="AR780" s="2903">
        <f t="shared" ca="1" si="1150"/>
        <v>0</v>
      </c>
      <c r="AT780" s="17">
        <f ca="1">SUM((INDIRECT(AT$2&amp;(ROW())):INDIRECT(AT$3&amp;(ROW()))))</f>
        <v>0</v>
      </c>
      <c r="AU780" s="88">
        <f ca="1">SUM(INDIRECT(AU$1&amp;AU$2&amp;$C780):INDIRECT(AU$1&amp;AU$3&amp;$C780))</f>
        <v>0</v>
      </c>
      <c r="AV780" s="3247">
        <f t="shared" ca="1" si="1151"/>
        <v>0</v>
      </c>
      <c r="AW780" s="2903">
        <f t="shared" ca="1" si="1152"/>
        <v>0</v>
      </c>
      <c r="AX780" s="88">
        <f ca="1">SUM(INDIRECT(AX$1&amp;AX$2&amp;$A780):INDIRECT(AX$1&amp;AX$3&amp;$A780))+SUM(INDIRECT(AX$1&amp;AX$2&amp;$B780):INDIRECT(AX$1&amp;AX$3&amp;$B780))</f>
        <v>0</v>
      </c>
      <c r="AY780" s="3247">
        <f t="shared" ca="1" si="1153"/>
        <v>0</v>
      </c>
      <c r="AZ780" s="2903">
        <f t="shared" ca="1" si="1154"/>
        <v>0</v>
      </c>
      <c r="BB780" s="17">
        <f ca="1">SUM((INDIRECT(BB$2&amp;(ROW())):INDIRECT(BB$3&amp;(ROW()))))</f>
        <v>0</v>
      </c>
      <c r="BC780" s="88">
        <f ca="1">SUM(INDIRECT(BC$1&amp;BC$2&amp;$C780):INDIRECT(BC$1&amp;BC$3&amp;$C780))</f>
        <v>0</v>
      </c>
      <c r="BD780" s="3247">
        <f t="shared" ca="1" si="1155"/>
        <v>0</v>
      </c>
      <c r="BE780" s="2903">
        <f t="shared" ca="1" si="1156"/>
        <v>0</v>
      </c>
      <c r="BF780" s="88">
        <f ca="1">SUM(INDIRECT(BF$1&amp;BF$2&amp;$A780):INDIRECT(BF$1&amp;BF$3&amp;$A780))+SUM(INDIRECT(BF$1&amp;BF$2&amp;$B780):INDIRECT(BF$1&amp;BF$3&amp;$B780))</f>
        <v>0</v>
      </c>
      <c r="BG780" s="3247">
        <f t="shared" ca="1" si="1157"/>
        <v>0</v>
      </c>
      <c r="BH780" s="2903">
        <f t="shared" ca="1" si="1158"/>
        <v>0</v>
      </c>
    </row>
    <row r="781" spans="1:60" ht="14.5">
      <c r="A781" s="616">
        <v>1</v>
      </c>
      <c r="B781" s="616">
        <v>1</v>
      </c>
      <c r="C781" s="616">
        <f t="shared" si="1172"/>
        <v>778</v>
      </c>
      <c r="E781" s="2547">
        <v>1</v>
      </c>
      <c r="G781" s="22"/>
      <c r="I781" s="86"/>
      <c r="J781" s="85"/>
      <c r="K781" s="68"/>
      <c r="L781" s="68"/>
      <c r="M781" s="3" t="s">
        <v>1435</v>
      </c>
      <c r="N781" s="284"/>
      <c r="O781" s="284"/>
      <c r="P781" s="284"/>
      <c r="Q781" s="1777" t="str">
        <f>CHOOSE(2, "6722000003700", "S/GP (5) Net Sales Direct ICW-P")</f>
        <v>S/GP (5) Net Sales Direct ICW-P</v>
      </c>
      <c r="R781" s="3103">
        <f>SUM(R782:R785)</f>
        <v>0</v>
      </c>
      <c r="S781" s="3258">
        <f t="shared" ref="S781:AJ781" si="1181">SUM(S782:S785)</f>
        <v>0</v>
      </c>
      <c r="T781" s="3103">
        <f t="shared" si="1181"/>
        <v>0</v>
      </c>
      <c r="U781" s="3103">
        <f t="shared" si="1181"/>
        <v>0</v>
      </c>
      <c r="V781" s="3103">
        <f t="shared" si="1181"/>
        <v>0</v>
      </c>
      <c r="W781" s="3103">
        <f t="shared" si="1181"/>
        <v>0</v>
      </c>
      <c r="X781" s="3103">
        <f t="shared" si="1181"/>
        <v>0</v>
      </c>
      <c r="Y781" s="3103">
        <f t="shared" si="1181"/>
        <v>0</v>
      </c>
      <c r="Z781" s="3103">
        <f t="shared" si="1181"/>
        <v>0</v>
      </c>
      <c r="AA781" s="3103">
        <f t="shared" si="1181"/>
        <v>0</v>
      </c>
      <c r="AB781" s="3103">
        <f t="shared" si="1181"/>
        <v>0</v>
      </c>
      <c r="AC781" s="3103">
        <f t="shared" si="1181"/>
        <v>0</v>
      </c>
      <c r="AD781" s="3244">
        <f t="shared" si="1181"/>
        <v>0</v>
      </c>
      <c r="AE781" s="3103">
        <f t="shared" si="1181"/>
        <v>0</v>
      </c>
      <c r="AF781" s="3103">
        <f t="shared" si="1181"/>
        <v>0</v>
      </c>
      <c r="AG781" s="3103">
        <f t="shared" si="1181"/>
        <v>0</v>
      </c>
      <c r="AH781" s="3103">
        <f t="shared" si="1181"/>
        <v>0</v>
      </c>
      <c r="AI781" s="3103">
        <f t="shared" si="1181"/>
        <v>0</v>
      </c>
      <c r="AJ781" s="3244">
        <f t="shared" si="1181"/>
        <v>0</v>
      </c>
      <c r="AL781" s="3103">
        <f ca="1">SUM((INDIRECT(AL$2&amp;(ROW())):INDIRECT(AL$3&amp;(ROW()))))</f>
        <v>0</v>
      </c>
      <c r="AM781" s="3244">
        <f ca="1">SUM(INDIRECT(AM$1&amp;AM$2&amp;$C781):INDIRECT(AM$1&amp;AM$3&amp;$C781))</f>
        <v>0</v>
      </c>
      <c r="AN781" s="3245">
        <f t="shared" ca="1" si="1147"/>
        <v>0</v>
      </c>
      <c r="AO781" s="2899">
        <f t="shared" ca="1" si="1148"/>
        <v>0</v>
      </c>
      <c r="AP781" s="3244">
        <f ca="1">SUM(INDIRECT(AP$1&amp;AP$2&amp;$A781):INDIRECT(AP$1&amp;AP$3&amp;$A781))+SUM(INDIRECT(AP$1&amp;AP$2&amp;$B781):INDIRECT(AP$1&amp;AP$3&amp;$B781))</f>
        <v>0</v>
      </c>
      <c r="AQ781" s="3245">
        <f t="shared" ca="1" si="1149"/>
        <v>0</v>
      </c>
      <c r="AR781" s="2899">
        <f t="shared" ca="1" si="1150"/>
        <v>0</v>
      </c>
      <c r="AT781" s="3103">
        <f ca="1">SUM((INDIRECT(AT$2&amp;(ROW())):INDIRECT(AT$3&amp;(ROW()))))</f>
        <v>0</v>
      </c>
      <c r="AU781" s="3244">
        <f ca="1">SUM(INDIRECT(AU$1&amp;AU$2&amp;$C781):INDIRECT(AU$1&amp;AU$3&amp;$C781))</f>
        <v>0</v>
      </c>
      <c r="AV781" s="3245">
        <f t="shared" ca="1" si="1151"/>
        <v>0</v>
      </c>
      <c r="AW781" s="2899">
        <f t="shared" ca="1" si="1152"/>
        <v>0</v>
      </c>
      <c r="AX781" s="3244">
        <f ca="1">SUM(INDIRECT(AX$1&amp;AX$2&amp;$A781):INDIRECT(AX$1&amp;AX$3&amp;$A781))+SUM(INDIRECT(AX$1&amp;AX$2&amp;$B781):INDIRECT(AX$1&amp;AX$3&amp;$B781))</f>
        <v>0</v>
      </c>
      <c r="AY781" s="3245">
        <f t="shared" ca="1" si="1153"/>
        <v>0</v>
      </c>
      <c r="AZ781" s="2899">
        <f t="shared" ca="1" si="1154"/>
        <v>0</v>
      </c>
      <c r="BB781" s="3103">
        <f ca="1">SUM((INDIRECT(BB$2&amp;(ROW())):INDIRECT(BB$3&amp;(ROW()))))</f>
        <v>0</v>
      </c>
      <c r="BC781" s="3244">
        <f ca="1">SUM(INDIRECT(BC$1&amp;BC$2&amp;$C781):INDIRECT(BC$1&amp;BC$3&amp;$C781))</f>
        <v>0</v>
      </c>
      <c r="BD781" s="3245">
        <f t="shared" ca="1" si="1155"/>
        <v>0</v>
      </c>
      <c r="BE781" s="2899">
        <f t="shared" ca="1" si="1156"/>
        <v>0</v>
      </c>
      <c r="BF781" s="3244">
        <f ca="1">SUM(INDIRECT(BF$1&amp;BF$2&amp;$A781):INDIRECT(BF$1&amp;BF$3&amp;$A781))+SUM(INDIRECT(BF$1&amp;BF$2&amp;$B781):INDIRECT(BF$1&amp;BF$3&amp;$B781))</f>
        <v>0</v>
      </c>
      <c r="BG781" s="3245">
        <f t="shared" ca="1" si="1157"/>
        <v>0</v>
      </c>
      <c r="BH781" s="2899">
        <f t="shared" ca="1" si="1158"/>
        <v>0</v>
      </c>
    </row>
    <row r="782" spans="1:60" ht="14.5">
      <c r="A782" s="616">
        <v>1</v>
      </c>
      <c r="B782" s="616">
        <v>1</v>
      </c>
      <c r="C782" s="616">
        <f t="shared" si="1172"/>
        <v>779</v>
      </c>
      <c r="E782" s="2547">
        <v>1</v>
      </c>
      <c r="G782" s="22"/>
      <c r="I782" s="86"/>
      <c r="J782" s="85"/>
      <c r="K782" s="68"/>
      <c r="L782" s="68"/>
      <c r="N782" s="97" t="s">
        <v>523</v>
      </c>
      <c r="O782" s="97"/>
      <c r="P782" s="97"/>
      <c r="Q782" s="1779" t="str">
        <f>CHOOSE(2, "6722000003701", "S/GP (5) Net Sales Direct ICW-P OSP")</f>
        <v>S/GP (5) Net Sales Direct ICW-P OSP</v>
      </c>
      <c r="R782" s="1227">
        <v>0</v>
      </c>
      <c r="S782" s="1247">
        <v>0</v>
      </c>
      <c r="T782" s="1227">
        <v>0</v>
      </c>
      <c r="U782" s="1227">
        <v>0</v>
      </c>
      <c r="V782" s="1227">
        <v>0</v>
      </c>
      <c r="W782" s="1227">
        <v>0</v>
      </c>
      <c r="X782" s="1227">
        <v>0</v>
      </c>
      <c r="Y782" s="1227">
        <v>0</v>
      </c>
      <c r="Z782" s="1227">
        <v>0</v>
      </c>
      <c r="AA782" s="1227">
        <v>0</v>
      </c>
      <c r="AB782" s="1227">
        <v>0</v>
      </c>
      <c r="AC782" s="1227">
        <v>0</v>
      </c>
      <c r="AD782" s="295">
        <f>SUM(R782,S782,T782)</f>
        <v>0</v>
      </c>
      <c r="AE782" s="96">
        <f t="shared" ref="AE782:AE785" si="1182">SUM(U782,V782,W782)</f>
        <v>0</v>
      </c>
      <c r="AF782" s="96">
        <f t="shared" ref="AF782:AF785" si="1183">SUM(X782,Y782,Z782)</f>
        <v>0</v>
      </c>
      <c r="AG782" s="96">
        <f t="shared" ref="AG782:AG785" si="1184">SUM(AA782,AB782,AC782)</f>
        <v>0</v>
      </c>
      <c r="AH782" s="96">
        <f>AD782+AE782</f>
        <v>0</v>
      </c>
      <c r="AI782" s="96">
        <f>AG782+AF782</f>
        <v>0</v>
      </c>
      <c r="AJ782" s="295">
        <f>AH782+AI782</f>
        <v>0</v>
      </c>
      <c r="AL782" s="96">
        <f ca="1">SUM((INDIRECT(AL$2&amp;(ROW())):INDIRECT(AL$3&amp;(ROW()))))</f>
        <v>0</v>
      </c>
      <c r="AM782" s="295">
        <f ca="1">SUM(INDIRECT(AM$1&amp;AM$2&amp;$C782):INDIRECT(AM$1&amp;AM$3&amp;$C782))</f>
        <v>0</v>
      </c>
      <c r="AN782" s="3246">
        <f t="shared" ca="1" si="1147"/>
        <v>0</v>
      </c>
      <c r="AO782" s="2901">
        <f t="shared" ca="1" si="1148"/>
        <v>0</v>
      </c>
      <c r="AP782" s="295">
        <f ca="1">SUM(INDIRECT(AP$1&amp;AP$2&amp;$A782):INDIRECT(AP$1&amp;AP$3&amp;$A782))+SUM(INDIRECT(AP$1&amp;AP$2&amp;$B782):INDIRECT(AP$1&amp;AP$3&amp;$B782))</f>
        <v>0</v>
      </c>
      <c r="AQ782" s="3246">
        <f t="shared" ca="1" si="1149"/>
        <v>0</v>
      </c>
      <c r="AR782" s="2901">
        <f t="shared" ca="1" si="1150"/>
        <v>0</v>
      </c>
      <c r="AT782" s="96">
        <f ca="1">SUM((INDIRECT(AT$2&amp;(ROW())):INDIRECT(AT$3&amp;(ROW()))))</f>
        <v>0</v>
      </c>
      <c r="AU782" s="295">
        <f ca="1">SUM(INDIRECT(AU$1&amp;AU$2&amp;$C782):INDIRECT(AU$1&amp;AU$3&amp;$C782))</f>
        <v>0</v>
      </c>
      <c r="AV782" s="3246">
        <f t="shared" ca="1" si="1151"/>
        <v>0</v>
      </c>
      <c r="AW782" s="2901">
        <f t="shared" ca="1" si="1152"/>
        <v>0</v>
      </c>
      <c r="AX782" s="295">
        <f ca="1">SUM(INDIRECT(AX$1&amp;AX$2&amp;$A782):INDIRECT(AX$1&amp;AX$3&amp;$A782))+SUM(INDIRECT(AX$1&amp;AX$2&amp;$B782):INDIRECT(AX$1&amp;AX$3&amp;$B782))</f>
        <v>0</v>
      </c>
      <c r="AY782" s="3246">
        <f t="shared" ca="1" si="1153"/>
        <v>0</v>
      </c>
      <c r="AZ782" s="2901">
        <f t="shared" ca="1" si="1154"/>
        <v>0</v>
      </c>
      <c r="BB782" s="96">
        <f ca="1">SUM((INDIRECT(BB$2&amp;(ROW())):INDIRECT(BB$3&amp;(ROW()))))</f>
        <v>0</v>
      </c>
      <c r="BC782" s="295">
        <f ca="1">SUM(INDIRECT(BC$1&amp;BC$2&amp;$C782):INDIRECT(BC$1&amp;BC$3&amp;$C782))</f>
        <v>0</v>
      </c>
      <c r="BD782" s="3246">
        <f t="shared" ca="1" si="1155"/>
        <v>0</v>
      </c>
      <c r="BE782" s="2901">
        <f t="shared" ca="1" si="1156"/>
        <v>0</v>
      </c>
      <c r="BF782" s="295">
        <f ca="1">SUM(INDIRECT(BF$1&amp;BF$2&amp;$A782):INDIRECT(BF$1&amp;BF$3&amp;$A782))+SUM(INDIRECT(BF$1&amp;BF$2&amp;$B782):INDIRECT(BF$1&amp;BF$3&amp;$B782))</f>
        <v>0</v>
      </c>
      <c r="BG782" s="3246">
        <f t="shared" ca="1" si="1157"/>
        <v>0</v>
      </c>
      <c r="BH782" s="2901">
        <f t="shared" ca="1" si="1158"/>
        <v>0</v>
      </c>
    </row>
    <row r="783" spans="1:60" ht="14.5">
      <c r="A783" s="616">
        <v>1</v>
      </c>
      <c r="B783" s="616">
        <v>1</v>
      </c>
      <c r="C783" s="616">
        <f t="shared" si="1172"/>
        <v>780</v>
      </c>
      <c r="E783" s="2547">
        <v>1</v>
      </c>
      <c r="G783" s="22"/>
      <c r="I783" s="86"/>
      <c r="J783" s="85"/>
      <c r="K783" s="68"/>
      <c r="L783" s="68"/>
      <c r="N783" s="8" t="s">
        <v>524</v>
      </c>
      <c r="Q783" s="1779" t="str">
        <f>CHOOSE(2, "6722000003702", "S/GP (5) Net Sales Direct ICW-P RP")</f>
        <v>S/GP (5) Net Sales Direct ICW-P RP</v>
      </c>
      <c r="R783" s="1217">
        <v>0</v>
      </c>
      <c r="S783" s="1224">
        <v>0</v>
      </c>
      <c r="T783" s="1217">
        <v>0</v>
      </c>
      <c r="U783" s="1217">
        <v>0</v>
      </c>
      <c r="V783" s="1217">
        <v>0</v>
      </c>
      <c r="W783" s="1217">
        <v>0</v>
      </c>
      <c r="X783" s="1217">
        <v>0</v>
      </c>
      <c r="Y783" s="1217">
        <v>0</v>
      </c>
      <c r="Z783" s="1217">
        <v>0</v>
      </c>
      <c r="AA783" s="1217">
        <v>0</v>
      </c>
      <c r="AB783" s="1217">
        <v>0</v>
      </c>
      <c r="AC783" s="1217">
        <v>0</v>
      </c>
      <c r="AD783" s="88">
        <f>SUM(R783,S783,T783)</f>
        <v>0</v>
      </c>
      <c r="AE783" s="17">
        <f t="shared" si="1182"/>
        <v>0</v>
      </c>
      <c r="AF783" s="17">
        <f t="shared" si="1183"/>
        <v>0</v>
      </c>
      <c r="AG783" s="17">
        <f t="shared" si="1184"/>
        <v>0</v>
      </c>
      <c r="AH783" s="17">
        <f>AD783+AE783</f>
        <v>0</v>
      </c>
      <c r="AI783" s="17">
        <f>AG783+AF783</f>
        <v>0</v>
      </c>
      <c r="AJ783" s="88">
        <f>AH783+AI783</f>
        <v>0</v>
      </c>
      <c r="AL783" s="17">
        <f ca="1">SUM((INDIRECT(AL$2&amp;(ROW())):INDIRECT(AL$3&amp;(ROW()))))</f>
        <v>0</v>
      </c>
      <c r="AM783" s="88">
        <f ca="1">SUM(INDIRECT(AM$1&amp;AM$2&amp;$C783):INDIRECT(AM$1&amp;AM$3&amp;$C783))</f>
        <v>0</v>
      </c>
      <c r="AN783" s="3247">
        <f t="shared" ca="1" si="1147"/>
        <v>0</v>
      </c>
      <c r="AO783" s="2903">
        <f t="shared" ca="1" si="1148"/>
        <v>0</v>
      </c>
      <c r="AP783" s="88">
        <f ca="1">SUM(INDIRECT(AP$1&amp;AP$2&amp;$A783):INDIRECT(AP$1&amp;AP$3&amp;$A783))+SUM(INDIRECT(AP$1&amp;AP$2&amp;$B783):INDIRECT(AP$1&amp;AP$3&amp;$B783))</f>
        <v>0</v>
      </c>
      <c r="AQ783" s="3247">
        <f t="shared" ca="1" si="1149"/>
        <v>0</v>
      </c>
      <c r="AR783" s="2903">
        <f t="shared" ca="1" si="1150"/>
        <v>0</v>
      </c>
      <c r="AT783" s="17">
        <f ca="1">SUM((INDIRECT(AT$2&amp;(ROW())):INDIRECT(AT$3&amp;(ROW()))))</f>
        <v>0</v>
      </c>
      <c r="AU783" s="88">
        <f ca="1">SUM(INDIRECT(AU$1&amp;AU$2&amp;$C783):INDIRECT(AU$1&amp;AU$3&amp;$C783))</f>
        <v>0</v>
      </c>
      <c r="AV783" s="3247">
        <f t="shared" ca="1" si="1151"/>
        <v>0</v>
      </c>
      <c r="AW783" s="2903">
        <f t="shared" ca="1" si="1152"/>
        <v>0</v>
      </c>
      <c r="AX783" s="88">
        <f ca="1">SUM(INDIRECT(AX$1&amp;AX$2&amp;$A783):INDIRECT(AX$1&amp;AX$3&amp;$A783))+SUM(INDIRECT(AX$1&amp;AX$2&amp;$B783):INDIRECT(AX$1&amp;AX$3&amp;$B783))</f>
        <v>0</v>
      </c>
      <c r="AY783" s="3247">
        <f t="shared" ca="1" si="1153"/>
        <v>0</v>
      </c>
      <c r="AZ783" s="2903">
        <f t="shared" ca="1" si="1154"/>
        <v>0</v>
      </c>
      <c r="BB783" s="17">
        <f ca="1">SUM((INDIRECT(BB$2&amp;(ROW())):INDIRECT(BB$3&amp;(ROW()))))</f>
        <v>0</v>
      </c>
      <c r="BC783" s="88">
        <f ca="1">SUM(INDIRECT(BC$1&amp;BC$2&amp;$C783):INDIRECT(BC$1&amp;BC$3&amp;$C783))</f>
        <v>0</v>
      </c>
      <c r="BD783" s="3247">
        <f t="shared" ca="1" si="1155"/>
        <v>0</v>
      </c>
      <c r="BE783" s="2903">
        <f t="shared" ca="1" si="1156"/>
        <v>0</v>
      </c>
      <c r="BF783" s="88">
        <f ca="1">SUM(INDIRECT(BF$1&amp;BF$2&amp;$A783):INDIRECT(BF$1&amp;BF$3&amp;$A783))+SUM(INDIRECT(BF$1&amp;BF$2&amp;$B783):INDIRECT(BF$1&amp;BF$3&amp;$B783))</f>
        <v>0</v>
      </c>
      <c r="BG783" s="3247">
        <f t="shared" ca="1" si="1157"/>
        <v>0</v>
      </c>
      <c r="BH783" s="2903">
        <f t="shared" ca="1" si="1158"/>
        <v>0</v>
      </c>
    </row>
    <row r="784" spans="1:60" ht="14.5">
      <c r="A784" s="616">
        <v>1</v>
      </c>
      <c r="B784" s="616">
        <v>1</v>
      </c>
      <c r="C784" s="616">
        <f t="shared" si="1172"/>
        <v>781</v>
      </c>
      <c r="E784" s="2547">
        <v>1</v>
      </c>
      <c r="G784" s="22"/>
      <c r="I784" s="86"/>
      <c r="J784" s="85"/>
      <c r="K784" s="68"/>
      <c r="L784" s="68"/>
      <c r="N784" s="8" t="s">
        <v>525</v>
      </c>
      <c r="Q784" s="1779" t="str">
        <f>CHOOSE(2, "6722000003703", "S/GP (5) Net Sales Direct ICW-P OSP service")</f>
        <v>S/GP (5) Net Sales Direct ICW-P OSP service</v>
      </c>
      <c r="R784" s="1217">
        <v>0</v>
      </c>
      <c r="S784" s="1224">
        <v>0</v>
      </c>
      <c r="T784" s="1217">
        <v>0</v>
      </c>
      <c r="U784" s="1217">
        <v>0</v>
      </c>
      <c r="V784" s="1217">
        <v>0</v>
      </c>
      <c r="W784" s="1217">
        <v>0</v>
      </c>
      <c r="X784" s="1217">
        <v>0</v>
      </c>
      <c r="Y784" s="1217">
        <v>0</v>
      </c>
      <c r="Z784" s="1217">
        <v>0</v>
      </c>
      <c r="AA784" s="1217">
        <v>0</v>
      </c>
      <c r="AB784" s="1217">
        <v>0</v>
      </c>
      <c r="AC784" s="1217">
        <v>0</v>
      </c>
      <c r="AD784" s="88">
        <f>SUM(R784,S784,T784)</f>
        <v>0</v>
      </c>
      <c r="AE784" s="17">
        <f t="shared" si="1182"/>
        <v>0</v>
      </c>
      <c r="AF784" s="17">
        <f t="shared" si="1183"/>
        <v>0</v>
      </c>
      <c r="AG784" s="17">
        <f t="shared" si="1184"/>
        <v>0</v>
      </c>
      <c r="AH784" s="17">
        <f>AD784+AE784</f>
        <v>0</v>
      </c>
      <c r="AI784" s="17">
        <f>AG784+AF784</f>
        <v>0</v>
      </c>
      <c r="AJ784" s="88">
        <f>AH784+AI784</f>
        <v>0</v>
      </c>
      <c r="AL784" s="17">
        <f ca="1">SUM((INDIRECT(AL$2&amp;(ROW())):INDIRECT(AL$3&amp;(ROW()))))</f>
        <v>0</v>
      </c>
      <c r="AM784" s="88">
        <f ca="1">SUM(INDIRECT(AM$1&amp;AM$2&amp;$C784):INDIRECT(AM$1&amp;AM$3&amp;$C784))</f>
        <v>0</v>
      </c>
      <c r="AN784" s="3247">
        <f t="shared" ca="1" si="1147"/>
        <v>0</v>
      </c>
      <c r="AO784" s="2903">
        <f t="shared" ca="1" si="1148"/>
        <v>0</v>
      </c>
      <c r="AP784" s="88">
        <f ca="1">SUM(INDIRECT(AP$1&amp;AP$2&amp;$A784):INDIRECT(AP$1&amp;AP$3&amp;$A784))+SUM(INDIRECT(AP$1&amp;AP$2&amp;$B784):INDIRECT(AP$1&amp;AP$3&amp;$B784))</f>
        <v>0</v>
      </c>
      <c r="AQ784" s="3247">
        <f t="shared" ca="1" si="1149"/>
        <v>0</v>
      </c>
      <c r="AR784" s="2903">
        <f t="shared" ca="1" si="1150"/>
        <v>0</v>
      </c>
      <c r="AT784" s="17">
        <f ca="1">SUM((INDIRECT(AT$2&amp;(ROW())):INDIRECT(AT$3&amp;(ROW()))))</f>
        <v>0</v>
      </c>
      <c r="AU784" s="88">
        <f ca="1">SUM(INDIRECT(AU$1&amp;AU$2&amp;$C784):INDIRECT(AU$1&amp;AU$3&amp;$C784))</f>
        <v>0</v>
      </c>
      <c r="AV784" s="3247">
        <f t="shared" ca="1" si="1151"/>
        <v>0</v>
      </c>
      <c r="AW784" s="2903">
        <f t="shared" ca="1" si="1152"/>
        <v>0</v>
      </c>
      <c r="AX784" s="88">
        <f ca="1">SUM(INDIRECT(AX$1&amp;AX$2&amp;$A784):INDIRECT(AX$1&amp;AX$3&amp;$A784))+SUM(INDIRECT(AX$1&amp;AX$2&amp;$B784):INDIRECT(AX$1&amp;AX$3&amp;$B784))</f>
        <v>0</v>
      </c>
      <c r="AY784" s="3247">
        <f t="shared" ca="1" si="1153"/>
        <v>0</v>
      </c>
      <c r="AZ784" s="2903">
        <f t="shared" ca="1" si="1154"/>
        <v>0</v>
      </c>
      <c r="BB784" s="17">
        <f ca="1">SUM((INDIRECT(BB$2&amp;(ROW())):INDIRECT(BB$3&amp;(ROW()))))</f>
        <v>0</v>
      </c>
      <c r="BC784" s="88">
        <f ca="1">SUM(INDIRECT(BC$1&amp;BC$2&amp;$C784):INDIRECT(BC$1&amp;BC$3&amp;$C784))</f>
        <v>0</v>
      </c>
      <c r="BD784" s="3247">
        <f t="shared" ca="1" si="1155"/>
        <v>0</v>
      </c>
      <c r="BE784" s="2903">
        <f t="shared" ca="1" si="1156"/>
        <v>0</v>
      </c>
      <c r="BF784" s="88">
        <f ca="1">SUM(INDIRECT(BF$1&amp;BF$2&amp;$A784):INDIRECT(BF$1&amp;BF$3&amp;$A784))+SUM(INDIRECT(BF$1&amp;BF$2&amp;$B784):INDIRECT(BF$1&amp;BF$3&amp;$B784))</f>
        <v>0</v>
      </c>
      <c r="BG784" s="3247">
        <f t="shared" ca="1" si="1157"/>
        <v>0</v>
      </c>
      <c r="BH784" s="2903">
        <f t="shared" ca="1" si="1158"/>
        <v>0</v>
      </c>
    </row>
    <row r="785" spans="1:60" ht="14.5">
      <c r="A785" s="616">
        <v>1</v>
      </c>
      <c r="B785" s="616">
        <v>1</v>
      </c>
      <c r="C785" s="616">
        <f t="shared" si="1172"/>
        <v>782</v>
      </c>
      <c r="E785" s="2547">
        <v>1</v>
      </c>
      <c r="G785" s="22"/>
      <c r="I785" s="86"/>
      <c r="J785" s="85"/>
      <c r="K785" s="68"/>
      <c r="L785" s="68"/>
      <c r="N785" s="8" t="s">
        <v>526</v>
      </c>
      <c r="Q785" s="1779" t="str">
        <f>CHOOSE(2, "6722000003704", "S/GP (5) Net Sales Direct ICW-P RP service")</f>
        <v>S/GP (5) Net Sales Direct ICW-P RP service</v>
      </c>
      <c r="R785" s="1217">
        <v>0</v>
      </c>
      <c r="S785" s="1224">
        <v>0</v>
      </c>
      <c r="T785" s="1217">
        <v>0</v>
      </c>
      <c r="U785" s="1217">
        <v>0</v>
      </c>
      <c r="V785" s="1217">
        <v>0</v>
      </c>
      <c r="W785" s="1217">
        <v>0</v>
      </c>
      <c r="X785" s="1217">
        <v>0</v>
      </c>
      <c r="Y785" s="1217">
        <v>0</v>
      </c>
      <c r="Z785" s="1217">
        <v>0</v>
      </c>
      <c r="AA785" s="1217">
        <v>0</v>
      </c>
      <c r="AB785" s="1217">
        <v>0</v>
      </c>
      <c r="AC785" s="1217">
        <v>0</v>
      </c>
      <c r="AD785" s="88">
        <f>SUM(R785,S785,T785)</f>
        <v>0</v>
      </c>
      <c r="AE785" s="17">
        <f t="shared" si="1182"/>
        <v>0</v>
      </c>
      <c r="AF785" s="17">
        <f t="shared" si="1183"/>
        <v>0</v>
      </c>
      <c r="AG785" s="17">
        <f t="shared" si="1184"/>
        <v>0</v>
      </c>
      <c r="AH785" s="17">
        <f>AD785+AE785</f>
        <v>0</v>
      </c>
      <c r="AI785" s="17">
        <f>AG785+AF785</f>
        <v>0</v>
      </c>
      <c r="AJ785" s="88">
        <f>AH785+AI785</f>
        <v>0</v>
      </c>
      <c r="AL785" s="17">
        <f ca="1">SUM((INDIRECT(AL$2&amp;(ROW())):INDIRECT(AL$3&amp;(ROW()))))</f>
        <v>0</v>
      </c>
      <c r="AM785" s="88">
        <f ca="1">SUM(INDIRECT(AM$1&amp;AM$2&amp;$C785):INDIRECT(AM$1&amp;AM$3&amp;$C785))</f>
        <v>0</v>
      </c>
      <c r="AN785" s="3247">
        <f t="shared" ca="1" si="1147"/>
        <v>0</v>
      </c>
      <c r="AO785" s="2903">
        <f t="shared" ca="1" si="1148"/>
        <v>0</v>
      </c>
      <c r="AP785" s="88">
        <f ca="1">SUM(INDIRECT(AP$1&amp;AP$2&amp;$A785):INDIRECT(AP$1&amp;AP$3&amp;$A785))+SUM(INDIRECT(AP$1&amp;AP$2&amp;$B785):INDIRECT(AP$1&amp;AP$3&amp;$B785))</f>
        <v>0</v>
      </c>
      <c r="AQ785" s="3247">
        <f t="shared" ca="1" si="1149"/>
        <v>0</v>
      </c>
      <c r="AR785" s="2903">
        <f t="shared" ca="1" si="1150"/>
        <v>0</v>
      </c>
      <c r="AT785" s="17">
        <f ca="1">SUM((INDIRECT(AT$2&amp;(ROW())):INDIRECT(AT$3&amp;(ROW()))))</f>
        <v>0</v>
      </c>
      <c r="AU785" s="88">
        <f ca="1">SUM(INDIRECT(AU$1&amp;AU$2&amp;$C785):INDIRECT(AU$1&amp;AU$3&amp;$C785))</f>
        <v>0</v>
      </c>
      <c r="AV785" s="3247">
        <f t="shared" ca="1" si="1151"/>
        <v>0</v>
      </c>
      <c r="AW785" s="2903">
        <f t="shared" ca="1" si="1152"/>
        <v>0</v>
      </c>
      <c r="AX785" s="88">
        <f ca="1">SUM(INDIRECT(AX$1&amp;AX$2&amp;$A785):INDIRECT(AX$1&amp;AX$3&amp;$A785))+SUM(INDIRECT(AX$1&amp;AX$2&amp;$B785):INDIRECT(AX$1&amp;AX$3&amp;$B785))</f>
        <v>0</v>
      </c>
      <c r="AY785" s="3247">
        <f t="shared" ca="1" si="1153"/>
        <v>0</v>
      </c>
      <c r="AZ785" s="2903">
        <f t="shared" ca="1" si="1154"/>
        <v>0</v>
      </c>
      <c r="BB785" s="17">
        <f ca="1">SUM((INDIRECT(BB$2&amp;(ROW())):INDIRECT(BB$3&amp;(ROW()))))</f>
        <v>0</v>
      </c>
      <c r="BC785" s="88">
        <f ca="1">SUM(INDIRECT(BC$1&amp;BC$2&amp;$C785):INDIRECT(BC$1&amp;BC$3&amp;$C785))</f>
        <v>0</v>
      </c>
      <c r="BD785" s="3247">
        <f t="shared" ca="1" si="1155"/>
        <v>0</v>
      </c>
      <c r="BE785" s="2903">
        <f t="shared" ca="1" si="1156"/>
        <v>0</v>
      </c>
      <c r="BF785" s="88">
        <f ca="1">SUM(INDIRECT(BF$1&amp;BF$2&amp;$A785):INDIRECT(BF$1&amp;BF$3&amp;$A785))+SUM(INDIRECT(BF$1&amp;BF$2&amp;$B785):INDIRECT(BF$1&amp;BF$3&amp;$B785))</f>
        <v>0</v>
      </c>
      <c r="BG785" s="3247">
        <f t="shared" ca="1" si="1157"/>
        <v>0</v>
      </c>
      <c r="BH785" s="2903">
        <f t="shared" ca="1" si="1158"/>
        <v>0</v>
      </c>
    </row>
    <row r="786" spans="1:60" ht="14.5">
      <c r="A786" s="2580">
        <v>716</v>
      </c>
      <c r="B786" s="616">
        <v>1</v>
      </c>
      <c r="C786" s="616">
        <f t="shared" si="1172"/>
        <v>783</v>
      </c>
      <c r="E786" s="2547">
        <v>1</v>
      </c>
      <c r="I786" s="86"/>
      <c r="J786" s="85"/>
      <c r="K786" s="63" t="s">
        <v>1382</v>
      </c>
      <c r="L786" s="63"/>
      <c r="M786" s="495"/>
      <c r="N786" s="495"/>
      <c r="O786" s="495"/>
      <c r="P786" s="495"/>
      <c r="Q786" s="1802" t="str">
        <f>CHOOSE(2, "6722000003705", "S/GP (5) Net Sales Indirect")</f>
        <v>S/GP (5) Net Sales Indirect</v>
      </c>
      <c r="R786" s="1253">
        <f t="shared" ref="R786:AC786" si="1185">SUM(R787:R792)</f>
        <v>0</v>
      </c>
      <c r="S786" s="3272">
        <f t="shared" si="1185"/>
        <v>0</v>
      </c>
      <c r="T786" s="1253">
        <f t="shared" si="1185"/>
        <v>0</v>
      </c>
      <c r="U786" s="1253">
        <f t="shared" si="1185"/>
        <v>0</v>
      </c>
      <c r="V786" s="1253">
        <f t="shared" si="1185"/>
        <v>0</v>
      </c>
      <c r="W786" s="1253">
        <f t="shared" si="1185"/>
        <v>0</v>
      </c>
      <c r="X786" s="1253">
        <f t="shared" si="1185"/>
        <v>0</v>
      </c>
      <c r="Y786" s="1253">
        <f t="shared" si="1185"/>
        <v>0</v>
      </c>
      <c r="Z786" s="1253">
        <f t="shared" si="1185"/>
        <v>0</v>
      </c>
      <c r="AA786" s="1253">
        <f t="shared" si="1185"/>
        <v>0</v>
      </c>
      <c r="AB786" s="1253">
        <f t="shared" si="1185"/>
        <v>0</v>
      </c>
      <c r="AC786" s="1253">
        <f t="shared" si="1185"/>
        <v>0</v>
      </c>
      <c r="AD786" s="3263">
        <f t="shared" ref="AD786:AJ786" si="1186">SUM(AD787:AD792)</f>
        <v>0</v>
      </c>
      <c r="AE786" s="1253">
        <f t="shared" si="1186"/>
        <v>0</v>
      </c>
      <c r="AF786" s="1253">
        <f t="shared" si="1186"/>
        <v>0</v>
      </c>
      <c r="AG786" s="1253">
        <f t="shared" si="1186"/>
        <v>0</v>
      </c>
      <c r="AH786" s="1253">
        <f t="shared" si="1186"/>
        <v>0</v>
      </c>
      <c r="AI786" s="1253">
        <f t="shared" si="1186"/>
        <v>0</v>
      </c>
      <c r="AJ786" s="3263">
        <f t="shared" si="1186"/>
        <v>0</v>
      </c>
      <c r="AL786" s="1253">
        <f ca="1">SUM((INDIRECT(AL$2&amp;(ROW())):INDIRECT(AL$3&amp;(ROW()))))</f>
        <v>0</v>
      </c>
      <c r="AM786" s="3263">
        <f ca="1">SUM(INDIRECT(AM$1&amp;AM$2&amp;$C786):INDIRECT(AM$1&amp;AM$3&amp;$C786))</f>
        <v>0</v>
      </c>
      <c r="AN786" s="3273">
        <f t="shared" ca="1" si="1147"/>
        <v>0</v>
      </c>
      <c r="AO786" s="3274">
        <f t="shared" ca="1" si="1148"/>
        <v>0</v>
      </c>
      <c r="AP786" s="3275">
        <f ca="1">SUM(AP787:AP792)</f>
        <v>0</v>
      </c>
      <c r="AQ786" s="3273">
        <f t="shared" ca="1" si="1149"/>
        <v>0</v>
      </c>
      <c r="AR786" s="3274">
        <f t="shared" ca="1" si="1150"/>
        <v>0</v>
      </c>
      <c r="AT786" s="1253">
        <f ca="1">SUM((INDIRECT(AT$2&amp;(ROW())):INDIRECT(AT$3&amp;(ROW()))))</f>
        <v>0</v>
      </c>
      <c r="AU786" s="3263">
        <f ca="1">SUM(INDIRECT(AU$1&amp;AU$2&amp;$C786):INDIRECT(AU$1&amp;AU$3&amp;$C786))</f>
        <v>0</v>
      </c>
      <c r="AV786" s="3273">
        <f t="shared" ca="1" si="1151"/>
        <v>0</v>
      </c>
      <c r="AW786" s="3274">
        <f t="shared" ca="1" si="1152"/>
        <v>0</v>
      </c>
      <c r="AX786" s="3275">
        <f ca="1">SUM(AX787:AX792)</f>
        <v>0</v>
      </c>
      <c r="AY786" s="3273">
        <f t="shared" ca="1" si="1153"/>
        <v>0</v>
      </c>
      <c r="AZ786" s="3274">
        <f t="shared" ca="1" si="1154"/>
        <v>0</v>
      </c>
      <c r="BB786" s="1253">
        <f ca="1">SUM((INDIRECT(BB$2&amp;(ROW())):INDIRECT(BB$3&amp;(ROW()))))</f>
        <v>0</v>
      </c>
      <c r="BC786" s="3263">
        <f ca="1">SUM(INDIRECT(BC$1&amp;BC$2&amp;$C786):INDIRECT(BC$1&amp;BC$3&amp;$C786))</f>
        <v>0</v>
      </c>
      <c r="BD786" s="3273">
        <f t="shared" ca="1" si="1155"/>
        <v>0</v>
      </c>
      <c r="BE786" s="3274">
        <f t="shared" ca="1" si="1156"/>
        <v>0</v>
      </c>
      <c r="BF786" s="3275">
        <f ca="1">SUM(BF787:BF792)</f>
        <v>0</v>
      </c>
      <c r="BG786" s="3273">
        <f t="shared" ca="1" si="1157"/>
        <v>0</v>
      </c>
      <c r="BH786" s="3274">
        <f t="shared" ca="1" si="1158"/>
        <v>0</v>
      </c>
    </row>
    <row r="787" spans="1:60" ht="14.5">
      <c r="A787" s="2580">
        <v>717</v>
      </c>
      <c r="B787" s="616">
        <v>1</v>
      </c>
      <c r="C787" s="616">
        <f t="shared" si="1172"/>
        <v>784</v>
      </c>
      <c r="E787" s="2547">
        <v>1</v>
      </c>
      <c r="G787" s="737"/>
      <c r="I787" s="86"/>
      <c r="J787" s="85"/>
      <c r="K787" s="63"/>
      <c r="L787" s="63"/>
      <c r="M787" s="3" t="s">
        <v>1429</v>
      </c>
      <c r="Q787" s="1779" t="str">
        <f>CHOOSE(2, "6722000003706", "S/GP (5) Net Sales Indirect IMS")</f>
        <v>S/GP (5) Net Sales Indirect IMS</v>
      </c>
      <c r="R787" s="1217">
        <v>0</v>
      </c>
      <c r="S787" s="1224">
        <v>0</v>
      </c>
      <c r="T787" s="1217">
        <v>0</v>
      </c>
      <c r="U787" s="1217">
        <v>0</v>
      </c>
      <c r="V787" s="1217">
        <v>0</v>
      </c>
      <c r="W787" s="1217">
        <v>0</v>
      </c>
      <c r="X787" s="1217">
        <v>0</v>
      </c>
      <c r="Y787" s="1217">
        <v>0</v>
      </c>
      <c r="Z787" s="1217">
        <v>0</v>
      </c>
      <c r="AA787" s="1217">
        <v>0</v>
      </c>
      <c r="AB787" s="1217">
        <v>0</v>
      </c>
      <c r="AC787" s="1217">
        <v>0</v>
      </c>
      <c r="AD787" s="88">
        <f t="shared" ref="AD787:AD792" si="1187">SUM(R787,S787,T787)</f>
        <v>0</v>
      </c>
      <c r="AE787" s="17">
        <f t="shared" ref="AE787:AE792" si="1188">SUM(U787,V787,W787)</f>
        <v>0</v>
      </c>
      <c r="AF787" s="17">
        <f t="shared" ref="AF787:AF792" si="1189">SUM(X787,Y787,Z787)</f>
        <v>0</v>
      </c>
      <c r="AG787" s="17">
        <f t="shared" ref="AG787:AG792" si="1190">SUM(AA787,AB787,AC787)</f>
        <v>0</v>
      </c>
      <c r="AH787" s="17">
        <f>AD787+AE787</f>
        <v>0</v>
      </c>
      <c r="AI787" s="17">
        <f>AG787+AF787</f>
        <v>0</v>
      </c>
      <c r="AJ787" s="88">
        <f>AH787+AI787</f>
        <v>0</v>
      </c>
      <c r="AL787" s="17">
        <f ca="1">SUM((INDIRECT(AL$2&amp;(ROW())):INDIRECT(AL$3&amp;(ROW()))))</f>
        <v>0</v>
      </c>
      <c r="AM787" s="88">
        <f ca="1">SUM(INDIRECT(AM$1&amp;AM$2&amp;$C787):INDIRECT(AM$1&amp;AM$3&amp;$C787))</f>
        <v>0</v>
      </c>
      <c r="AN787" s="3247">
        <f t="shared" ca="1" si="1147"/>
        <v>0</v>
      </c>
      <c r="AO787" s="2903">
        <f t="shared" ca="1" si="1148"/>
        <v>0</v>
      </c>
      <c r="AP787" s="88">
        <f ca="1">SUM(INDIRECT(AP$1&amp;AP$2&amp;$A787):INDIRECT(AP$1&amp;AP$3&amp;$A787))+SUM(INDIRECT(AP$1&amp;AP$2&amp;$B787):INDIRECT(AP$1&amp;AP$3&amp;$B787))</f>
        <v>0</v>
      </c>
      <c r="AQ787" s="3247">
        <f t="shared" ca="1" si="1149"/>
        <v>0</v>
      </c>
      <c r="AR787" s="2903">
        <f t="shared" ca="1" si="1150"/>
        <v>0</v>
      </c>
      <c r="AT787" s="17">
        <f ca="1">SUM((INDIRECT(AT$2&amp;(ROW())):INDIRECT(AT$3&amp;(ROW()))))</f>
        <v>0</v>
      </c>
      <c r="AU787" s="88">
        <f ca="1">SUM(INDIRECT(AU$1&amp;AU$2&amp;$C787):INDIRECT(AU$1&amp;AU$3&amp;$C787))</f>
        <v>0</v>
      </c>
      <c r="AV787" s="3247">
        <f t="shared" ca="1" si="1151"/>
        <v>0</v>
      </c>
      <c r="AW787" s="2903">
        <f t="shared" ca="1" si="1152"/>
        <v>0</v>
      </c>
      <c r="AX787" s="88">
        <f ca="1">SUM(INDIRECT(AX$1&amp;AX$2&amp;$A787):INDIRECT(AX$1&amp;AX$3&amp;$A787))+SUM(INDIRECT(AX$1&amp;AX$2&amp;$B787):INDIRECT(AX$1&amp;AX$3&amp;$B787))</f>
        <v>0</v>
      </c>
      <c r="AY787" s="3247">
        <f t="shared" ca="1" si="1153"/>
        <v>0</v>
      </c>
      <c r="AZ787" s="2903">
        <f t="shared" ca="1" si="1154"/>
        <v>0</v>
      </c>
      <c r="BB787" s="17">
        <f ca="1">SUM((INDIRECT(BB$2&amp;(ROW())):INDIRECT(BB$3&amp;(ROW()))))</f>
        <v>0</v>
      </c>
      <c r="BC787" s="88">
        <f ca="1">SUM(INDIRECT(BC$1&amp;BC$2&amp;$C787):INDIRECT(BC$1&amp;BC$3&amp;$C787))</f>
        <v>0</v>
      </c>
      <c r="BD787" s="3247">
        <f t="shared" ca="1" si="1155"/>
        <v>0</v>
      </c>
      <c r="BE787" s="2903">
        <f t="shared" ca="1" si="1156"/>
        <v>0</v>
      </c>
      <c r="BF787" s="88">
        <f ca="1">SUM(INDIRECT(BF$1&amp;BF$2&amp;$A787):INDIRECT(BF$1&amp;BF$3&amp;$A787))+SUM(INDIRECT(BF$1&amp;BF$2&amp;$B787):INDIRECT(BF$1&amp;BF$3&amp;$B787))</f>
        <v>0</v>
      </c>
      <c r="BG787" s="3247">
        <f t="shared" ca="1" si="1157"/>
        <v>0</v>
      </c>
      <c r="BH787" s="2903">
        <f t="shared" ca="1" si="1158"/>
        <v>0</v>
      </c>
    </row>
    <row r="788" spans="1:60" ht="14.5">
      <c r="A788" s="616">
        <f t="shared" ref="A788:A790" si="1191">A787+1</f>
        <v>718</v>
      </c>
      <c r="B788" s="616">
        <v>1</v>
      </c>
      <c r="C788" s="616">
        <f t="shared" si="1172"/>
        <v>785</v>
      </c>
      <c r="E788" s="2547">
        <v>1</v>
      </c>
      <c r="G788" s="22"/>
      <c r="I788" s="86"/>
      <c r="J788" s="85"/>
      <c r="K788" s="63"/>
      <c r="L788" s="63"/>
      <c r="M788" s="3" t="s">
        <v>1433</v>
      </c>
      <c r="Q788" s="1779" t="str">
        <f>CHOOSE(2, "6722000003707", "S/GP (5) Net Sales Indirect ICW-IT")</f>
        <v>S/GP (5) Net Sales Indirect ICW-IT</v>
      </c>
      <c r="R788" s="1217">
        <v>0</v>
      </c>
      <c r="S788" s="1224">
        <v>0</v>
      </c>
      <c r="T788" s="1217">
        <v>0</v>
      </c>
      <c r="U788" s="1217">
        <v>0</v>
      </c>
      <c r="V788" s="1217">
        <v>0</v>
      </c>
      <c r="W788" s="1217">
        <v>0</v>
      </c>
      <c r="X788" s="1217">
        <v>0</v>
      </c>
      <c r="Y788" s="1217">
        <v>0</v>
      </c>
      <c r="Z788" s="1217">
        <v>0</v>
      </c>
      <c r="AA788" s="1217">
        <v>0</v>
      </c>
      <c r="AB788" s="1217">
        <v>0</v>
      </c>
      <c r="AC788" s="1217">
        <v>0</v>
      </c>
      <c r="AD788" s="88">
        <f t="shared" si="1187"/>
        <v>0</v>
      </c>
      <c r="AE788" s="17">
        <f t="shared" si="1188"/>
        <v>0</v>
      </c>
      <c r="AF788" s="17">
        <f t="shared" si="1189"/>
        <v>0</v>
      </c>
      <c r="AG788" s="17">
        <f t="shared" si="1190"/>
        <v>0</v>
      </c>
      <c r="AH788" s="17">
        <f>AD788+AE788</f>
        <v>0</v>
      </c>
      <c r="AI788" s="17">
        <f>AG788+AF788</f>
        <v>0</v>
      </c>
      <c r="AJ788" s="88">
        <f>AH788+AI788</f>
        <v>0</v>
      </c>
      <c r="AL788" s="17">
        <f ca="1">SUM((INDIRECT(AL$2&amp;(ROW())):INDIRECT(AL$3&amp;(ROW()))))</f>
        <v>0</v>
      </c>
      <c r="AM788" s="88">
        <f ca="1">SUM(INDIRECT(AM$1&amp;AM$2&amp;$C788):INDIRECT(AM$1&amp;AM$3&amp;$C788))</f>
        <v>0</v>
      </c>
      <c r="AN788" s="3247">
        <f t="shared" ca="1" si="1147"/>
        <v>0</v>
      </c>
      <c r="AO788" s="2903">
        <f t="shared" ca="1" si="1148"/>
        <v>0</v>
      </c>
      <c r="AP788" s="88">
        <f ca="1">SUM(INDIRECT(AP$1&amp;AP$2&amp;$A788):INDIRECT(AP$1&amp;AP$3&amp;$A788))+SUM(INDIRECT(AP$1&amp;AP$2&amp;$B788):INDIRECT(AP$1&amp;AP$3&amp;$B788))</f>
        <v>0</v>
      </c>
      <c r="AQ788" s="3247">
        <f t="shared" ca="1" si="1149"/>
        <v>0</v>
      </c>
      <c r="AR788" s="2903">
        <f t="shared" ca="1" si="1150"/>
        <v>0</v>
      </c>
      <c r="AT788" s="17">
        <f ca="1">SUM((INDIRECT(AT$2&amp;(ROW())):INDIRECT(AT$3&amp;(ROW()))))</f>
        <v>0</v>
      </c>
      <c r="AU788" s="88">
        <f ca="1">SUM(INDIRECT(AU$1&amp;AU$2&amp;$C788):INDIRECT(AU$1&amp;AU$3&amp;$C788))</f>
        <v>0</v>
      </c>
      <c r="AV788" s="3247">
        <f t="shared" ca="1" si="1151"/>
        <v>0</v>
      </c>
      <c r="AW788" s="2903">
        <f t="shared" ca="1" si="1152"/>
        <v>0</v>
      </c>
      <c r="AX788" s="88">
        <f ca="1">SUM(INDIRECT(AX$1&amp;AX$2&amp;$A788):INDIRECT(AX$1&amp;AX$3&amp;$A788))+SUM(INDIRECT(AX$1&amp;AX$2&amp;$B788):INDIRECT(AX$1&amp;AX$3&amp;$B788))</f>
        <v>0</v>
      </c>
      <c r="AY788" s="3247">
        <f t="shared" ca="1" si="1153"/>
        <v>0</v>
      </c>
      <c r="AZ788" s="2903">
        <f t="shared" ca="1" si="1154"/>
        <v>0</v>
      </c>
      <c r="BB788" s="17">
        <f ca="1">SUM((INDIRECT(BB$2&amp;(ROW())):INDIRECT(BB$3&amp;(ROW()))))</f>
        <v>0</v>
      </c>
      <c r="BC788" s="88">
        <f ca="1">SUM(INDIRECT(BC$1&amp;BC$2&amp;$C788):INDIRECT(BC$1&amp;BC$3&amp;$C788))</f>
        <v>0</v>
      </c>
      <c r="BD788" s="3247">
        <f t="shared" ca="1" si="1155"/>
        <v>0</v>
      </c>
      <c r="BE788" s="2903">
        <f t="shared" ca="1" si="1156"/>
        <v>0</v>
      </c>
      <c r="BF788" s="88">
        <f ca="1">SUM(INDIRECT(BF$1&amp;BF$2&amp;$A788):INDIRECT(BF$1&amp;BF$3&amp;$A788))+SUM(INDIRECT(BF$1&amp;BF$2&amp;$B788):INDIRECT(BF$1&amp;BF$3&amp;$B788))</f>
        <v>0</v>
      </c>
      <c r="BG788" s="3247">
        <f t="shared" ca="1" si="1157"/>
        <v>0</v>
      </c>
      <c r="BH788" s="2903">
        <f t="shared" ca="1" si="1158"/>
        <v>0</v>
      </c>
    </row>
    <row r="789" spans="1:60" ht="14.5">
      <c r="A789" s="616">
        <f t="shared" si="1191"/>
        <v>719</v>
      </c>
      <c r="B789" s="616">
        <v>1</v>
      </c>
      <c r="C789" s="616">
        <f t="shared" si="1172"/>
        <v>786</v>
      </c>
      <c r="E789" s="2547">
        <v>1</v>
      </c>
      <c r="G789" s="22"/>
      <c r="I789" s="86"/>
      <c r="J789" s="85"/>
      <c r="K789" s="63"/>
      <c r="L789" s="63"/>
      <c r="M789" s="3" t="s">
        <v>1430</v>
      </c>
      <c r="Q789" s="1779" t="str">
        <f>CHOOSE(2, "6722000003708", "S/GP (5) Net Sales Indirect MCS")</f>
        <v>S/GP (5) Net Sales Indirect MCS</v>
      </c>
      <c r="R789" s="1217">
        <v>0</v>
      </c>
      <c r="S789" s="1224">
        <v>0</v>
      </c>
      <c r="T789" s="1217">
        <v>0</v>
      </c>
      <c r="U789" s="1217">
        <v>0</v>
      </c>
      <c r="V789" s="1217">
        <v>0</v>
      </c>
      <c r="W789" s="1217">
        <v>0</v>
      </c>
      <c r="X789" s="1217">
        <v>0</v>
      </c>
      <c r="Y789" s="1217">
        <v>0</v>
      </c>
      <c r="Z789" s="1217">
        <v>0</v>
      </c>
      <c r="AA789" s="1217">
        <v>0</v>
      </c>
      <c r="AB789" s="1217">
        <v>0</v>
      </c>
      <c r="AC789" s="1217">
        <v>0</v>
      </c>
      <c r="AD789" s="88">
        <f t="shared" si="1187"/>
        <v>0</v>
      </c>
      <c r="AE789" s="17">
        <f t="shared" si="1188"/>
        <v>0</v>
      </c>
      <c r="AF789" s="17">
        <f t="shared" si="1189"/>
        <v>0</v>
      </c>
      <c r="AG789" s="17">
        <f t="shared" si="1190"/>
        <v>0</v>
      </c>
      <c r="AH789" s="17">
        <f t="shared" ref="AH789:AH790" si="1192">AD789+AE789</f>
        <v>0</v>
      </c>
      <c r="AI789" s="17">
        <f t="shared" ref="AI789:AI790" si="1193">AG789+AF789</f>
        <v>0</v>
      </c>
      <c r="AJ789" s="88">
        <f t="shared" ref="AJ789:AJ790" si="1194">AH789+AI789</f>
        <v>0</v>
      </c>
      <c r="AL789" s="17">
        <f ca="1">SUM((INDIRECT(AL$2&amp;(ROW())):INDIRECT(AL$3&amp;(ROW()))))</f>
        <v>0</v>
      </c>
      <c r="AM789" s="88">
        <f ca="1">SUM(INDIRECT(AM$1&amp;AM$2&amp;$C789):INDIRECT(AM$1&amp;AM$3&amp;$C789))</f>
        <v>0</v>
      </c>
      <c r="AN789" s="3247">
        <f t="shared" ca="1" si="1147"/>
        <v>0</v>
      </c>
      <c r="AO789" s="2903">
        <f t="shared" ca="1" si="1148"/>
        <v>0</v>
      </c>
      <c r="AP789" s="88">
        <f ca="1">SUM(INDIRECT(AP$1&amp;AP$2&amp;$A789):INDIRECT(AP$1&amp;AP$3&amp;$A789))+SUM(INDIRECT(AP$1&amp;AP$2&amp;$B789):INDIRECT(AP$1&amp;AP$3&amp;$B789))</f>
        <v>0</v>
      </c>
      <c r="AQ789" s="3247">
        <f t="shared" ca="1" si="1149"/>
        <v>0</v>
      </c>
      <c r="AR789" s="2903">
        <f t="shared" ca="1" si="1150"/>
        <v>0</v>
      </c>
      <c r="AT789" s="17">
        <f ca="1">SUM((INDIRECT(AT$2&amp;(ROW())):INDIRECT(AT$3&amp;(ROW()))))</f>
        <v>0</v>
      </c>
      <c r="AU789" s="88">
        <f ca="1">SUM(INDIRECT(AU$1&amp;AU$2&amp;$C789):INDIRECT(AU$1&amp;AU$3&amp;$C789))</f>
        <v>0</v>
      </c>
      <c r="AV789" s="3247">
        <f t="shared" ca="1" si="1151"/>
        <v>0</v>
      </c>
      <c r="AW789" s="2903">
        <f t="shared" ca="1" si="1152"/>
        <v>0</v>
      </c>
      <c r="AX789" s="88">
        <f ca="1">SUM(INDIRECT(AX$1&amp;AX$2&amp;$A789):INDIRECT(AX$1&amp;AX$3&amp;$A789))+SUM(INDIRECT(AX$1&amp;AX$2&amp;$B789):INDIRECT(AX$1&amp;AX$3&amp;$B789))</f>
        <v>0</v>
      </c>
      <c r="AY789" s="3247">
        <f t="shared" ca="1" si="1153"/>
        <v>0</v>
      </c>
      <c r="AZ789" s="2903">
        <f t="shared" ca="1" si="1154"/>
        <v>0</v>
      </c>
      <c r="BB789" s="17">
        <f ca="1">SUM((INDIRECT(BB$2&amp;(ROW())):INDIRECT(BB$3&amp;(ROW()))))</f>
        <v>0</v>
      </c>
      <c r="BC789" s="88">
        <f ca="1">SUM(INDIRECT(BC$1&amp;BC$2&amp;$C789):INDIRECT(BC$1&amp;BC$3&amp;$C789))</f>
        <v>0</v>
      </c>
      <c r="BD789" s="3247">
        <f t="shared" ca="1" si="1155"/>
        <v>0</v>
      </c>
      <c r="BE789" s="2903">
        <f t="shared" ca="1" si="1156"/>
        <v>0</v>
      </c>
      <c r="BF789" s="88">
        <f ca="1">SUM(INDIRECT(BF$1&amp;BF$2&amp;$A789):INDIRECT(BF$1&amp;BF$3&amp;$A789))+SUM(INDIRECT(BF$1&amp;BF$2&amp;$B789):INDIRECT(BF$1&amp;BF$3&amp;$B789))</f>
        <v>0</v>
      </c>
      <c r="BG789" s="3247">
        <f t="shared" ca="1" si="1157"/>
        <v>0</v>
      </c>
      <c r="BH789" s="2903">
        <f t="shared" ca="1" si="1158"/>
        <v>0</v>
      </c>
    </row>
    <row r="790" spans="1:60" ht="14.5">
      <c r="A790" s="616">
        <f t="shared" si="1191"/>
        <v>720</v>
      </c>
      <c r="B790" s="616">
        <v>1</v>
      </c>
      <c r="C790" s="616">
        <f t="shared" si="1172"/>
        <v>787</v>
      </c>
      <c r="E790" s="2547">
        <v>1</v>
      </c>
      <c r="G790" s="22"/>
      <c r="I790" s="86"/>
      <c r="J790" s="85"/>
      <c r="K790" s="63"/>
      <c r="L790" s="63"/>
      <c r="M790" s="3" t="s">
        <v>1431</v>
      </c>
      <c r="Q790" s="1779" t="str">
        <f>CHOOSE(2, "6722000003709", "S/GP (5) Net Sales Indirect BPS")</f>
        <v>S/GP (5) Net Sales Indirect BPS</v>
      </c>
      <c r="R790" s="1217">
        <v>0</v>
      </c>
      <c r="S790" s="1224">
        <v>0</v>
      </c>
      <c r="T790" s="1217">
        <v>0</v>
      </c>
      <c r="U790" s="1217">
        <v>0</v>
      </c>
      <c r="V790" s="1217">
        <v>0</v>
      </c>
      <c r="W790" s="1217">
        <v>0</v>
      </c>
      <c r="X790" s="1217">
        <v>0</v>
      </c>
      <c r="Y790" s="1217">
        <v>0</v>
      </c>
      <c r="Z790" s="1217">
        <v>0</v>
      </c>
      <c r="AA790" s="1217">
        <v>0</v>
      </c>
      <c r="AB790" s="1217">
        <v>0</v>
      </c>
      <c r="AC790" s="1217">
        <v>0</v>
      </c>
      <c r="AD790" s="88">
        <f t="shared" si="1187"/>
        <v>0</v>
      </c>
      <c r="AE790" s="17">
        <f t="shared" si="1188"/>
        <v>0</v>
      </c>
      <c r="AF790" s="17">
        <f t="shared" si="1189"/>
        <v>0</v>
      </c>
      <c r="AG790" s="17">
        <f t="shared" si="1190"/>
        <v>0</v>
      </c>
      <c r="AH790" s="17">
        <f t="shared" si="1192"/>
        <v>0</v>
      </c>
      <c r="AI790" s="17">
        <f t="shared" si="1193"/>
        <v>0</v>
      </c>
      <c r="AJ790" s="88">
        <f t="shared" si="1194"/>
        <v>0</v>
      </c>
      <c r="AL790" s="17">
        <f ca="1">SUM((INDIRECT(AL$2&amp;(ROW())):INDIRECT(AL$3&amp;(ROW()))))</f>
        <v>0</v>
      </c>
      <c r="AM790" s="88">
        <f ca="1">SUM(INDIRECT(AM$1&amp;AM$2&amp;$C790):INDIRECT(AM$1&amp;AM$3&amp;$C790))</f>
        <v>0</v>
      </c>
      <c r="AN790" s="3247">
        <f t="shared" ca="1" si="1147"/>
        <v>0</v>
      </c>
      <c r="AO790" s="2903">
        <f t="shared" ca="1" si="1148"/>
        <v>0</v>
      </c>
      <c r="AP790" s="88">
        <f ca="1">SUM(INDIRECT(AP$1&amp;AP$2&amp;$A790):INDIRECT(AP$1&amp;AP$3&amp;$A790))+SUM(INDIRECT(AP$1&amp;AP$2&amp;$B790):INDIRECT(AP$1&amp;AP$3&amp;$B790))</f>
        <v>0</v>
      </c>
      <c r="AQ790" s="3247">
        <f t="shared" ca="1" si="1149"/>
        <v>0</v>
      </c>
      <c r="AR790" s="2903">
        <f t="shared" ca="1" si="1150"/>
        <v>0</v>
      </c>
      <c r="AT790" s="17">
        <f ca="1">SUM((INDIRECT(AT$2&amp;(ROW())):INDIRECT(AT$3&amp;(ROW()))))</f>
        <v>0</v>
      </c>
      <c r="AU790" s="88">
        <f ca="1">SUM(INDIRECT(AU$1&amp;AU$2&amp;$C790):INDIRECT(AU$1&amp;AU$3&amp;$C790))</f>
        <v>0</v>
      </c>
      <c r="AV790" s="3247">
        <f t="shared" ca="1" si="1151"/>
        <v>0</v>
      </c>
      <c r="AW790" s="2903">
        <f t="shared" ca="1" si="1152"/>
        <v>0</v>
      </c>
      <c r="AX790" s="88">
        <f ca="1">SUM(INDIRECT(AX$1&amp;AX$2&amp;$A790):INDIRECT(AX$1&amp;AX$3&amp;$A790))+SUM(INDIRECT(AX$1&amp;AX$2&amp;$B790):INDIRECT(AX$1&amp;AX$3&amp;$B790))</f>
        <v>0</v>
      </c>
      <c r="AY790" s="3247">
        <f t="shared" ca="1" si="1153"/>
        <v>0</v>
      </c>
      <c r="AZ790" s="2903">
        <f t="shared" ca="1" si="1154"/>
        <v>0</v>
      </c>
      <c r="BB790" s="17">
        <f ca="1">SUM((INDIRECT(BB$2&amp;(ROW())):INDIRECT(BB$3&amp;(ROW()))))</f>
        <v>0</v>
      </c>
      <c r="BC790" s="88">
        <f ca="1">SUM(INDIRECT(BC$1&amp;BC$2&amp;$C790):INDIRECT(BC$1&amp;BC$3&amp;$C790))</f>
        <v>0</v>
      </c>
      <c r="BD790" s="3247">
        <f t="shared" ca="1" si="1155"/>
        <v>0</v>
      </c>
      <c r="BE790" s="2903">
        <f t="shared" ca="1" si="1156"/>
        <v>0</v>
      </c>
      <c r="BF790" s="88">
        <f ca="1">SUM(INDIRECT(BF$1&amp;BF$2&amp;$A790):INDIRECT(BF$1&amp;BF$3&amp;$A790))+SUM(INDIRECT(BF$1&amp;BF$2&amp;$B790):INDIRECT(BF$1&amp;BF$3&amp;$B790))</f>
        <v>0</v>
      </c>
      <c r="BG790" s="3247">
        <f t="shared" ca="1" si="1157"/>
        <v>0</v>
      </c>
      <c r="BH790" s="2903">
        <f t="shared" ca="1" si="1158"/>
        <v>0</v>
      </c>
    </row>
    <row r="791" spans="1:60" ht="14.5">
      <c r="A791" s="616">
        <v>1</v>
      </c>
      <c r="B791" s="616">
        <v>1</v>
      </c>
      <c r="C791" s="616">
        <f t="shared" si="1172"/>
        <v>788</v>
      </c>
      <c r="E791" s="2547">
        <v>1</v>
      </c>
      <c r="G791" s="22"/>
      <c r="I791" s="86"/>
      <c r="J791" s="85"/>
      <c r="K791" s="63"/>
      <c r="L791" s="63"/>
      <c r="M791" s="3" t="s">
        <v>1434</v>
      </c>
      <c r="Q791" s="1779" t="str">
        <f>CHOOSE(2, "6722000003710", "S/GP (5) Net Sales Indirect ICW-WK")</f>
        <v>S/GP (5) Net Sales Indirect ICW-WK</v>
      </c>
      <c r="R791" s="1217">
        <v>0</v>
      </c>
      <c r="S791" s="1224">
        <v>0</v>
      </c>
      <c r="T791" s="1217">
        <v>0</v>
      </c>
      <c r="U791" s="1217">
        <v>0</v>
      </c>
      <c r="V791" s="1217">
        <v>0</v>
      </c>
      <c r="W791" s="1217">
        <v>0</v>
      </c>
      <c r="X791" s="1217">
        <v>0</v>
      </c>
      <c r="Y791" s="1217">
        <v>0</v>
      </c>
      <c r="Z791" s="1217">
        <v>0</v>
      </c>
      <c r="AA791" s="1217">
        <v>0</v>
      </c>
      <c r="AB791" s="1217">
        <v>0</v>
      </c>
      <c r="AC791" s="1217">
        <v>0</v>
      </c>
      <c r="AD791" s="88">
        <f t="shared" si="1187"/>
        <v>0</v>
      </c>
      <c r="AE791" s="17">
        <f t="shared" si="1188"/>
        <v>0</v>
      </c>
      <c r="AF791" s="17">
        <f t="shared" si="1189"/>
        <v>0</v>
      </c>
      <c r="AG791" s="17">
        <f t="shared" si="1190"/>
        <v>0</v>
      </c>
      <c r="AH791" s="17">
        <f>AD791+AE791</f>
        <v>0</v>
      </c>
      <c r="AI791" s="17">
        <f>AG791+AF791</f>
        <v>0</v>
      </c>
      <c r="AJ791" s="88">
        <f>AH791+AI791</f>
        <v>0</v>
      </c>
      <c r="AL791" s="17">
        <f ca="1">SUM((INDIRECT(AL$2&amp;(ROW())):INDIRECT(AL$3&amp;(ROW()))))</f>
        <v>0</v>
      </c>
      <c r="AM791" s="88">
        <f ca="1">SUM(INDIRECT(AM$1&amp;AM$2&amp;$C791):INDIRECT(AM$1&amp;AM$3&amp;$C791))</f>
        <v>0</v>
      </c>
      <c r="AN791" s="3247">
        <f t="shared" ca="1" si="1147"/>
        <v>0</v>
      </c>
      <c r="AO791" s="2903">
        <f t="shared" ca="1" si="1148"/>
        <v>0</v>
      </c>
      <c r="AP791" s="88">
        <f ca="1">SUM(INDIRECT(AP$1&amp;AP$2&amp;$A791):INDIRECT(AP$1&amp;AP$3&amp;$A791))+SUM(INDIRECT(AP$1&amp;AP$2&amp;$B791):INDIRECT(AP$1&amp;AP$3&amp;$B791))</f>
        <v>0</v>
      </c>
      <c r="AQ791" s="3247">
        <f t="shared" ca="1" si="1149"/>
        <v>0</v>
      </c>
      <c r="AR791" s="2903">
        <f t="shared" ca="1" si="1150"/>
        <v>0</v>
      </c>
      <c r="AT791" s="17">
        <f ca="1">SUM((INDIRECT(AT$2&amp;(ROW())):INDIRECT(AT$3&amp;(ROW()))))</f>
        <v>0</v>
      </c>
      <c r="AU791" s="88">
        <f ca="1">SUM(INDIRECT(AU$1&amp;AU$2&amp;$C791):INDIRECT(AU$1&amp;AU$3&amp;$C791))</f>
        <v>0</v>
      </c>
      <c r="AV791" s="3247">
        <f t="shared" ca="1" si="1151"/>
        <v>0</v>
      </c>
      <c r="AW791" s="2903">
        <f t="shared" ca="1" si="1152"/>
        <v>0</v>
      </c>
      <c r="AX791" s="88">
        <f ca="1">SUM(INDIRECT(AX$1&amp;AX$2&amp;$A791):INDIRECT(AX$1&amp;AX$3&amp;$A791))+SUM(INDIRECT(AX$1&amp;AX$2&amp;$B791):INDIRECT(AX$1&amp;AX$3&amp;$B791))</f>
        <v>0</v>
      </c>
      <c r="AY791" s="3247">
        <f t="shared" ca="1" si="1153"/>
        <v>0</v>
      </c>
      <c r="AZ791" s="2903">
        <f t="shared" ca="1" si="1154"/>
        <v>0</v>
      </c>
      <c r="BB791" s="17">
        <f ca="1">SUM((INDIRECT(BB$2&amp;(ROW())):INDIRECT(BB$3&amp;(ROW()))))</f>
        <v>0</v>
      </c>
      <c r="BC791" s="88">
        <f ca="1">SUM(INDIRECT(BC$1&amp;BC$2&amp;$C791):INDIRECT(BC$1&amp;BC$3&amp;$C791))</f>
        <v>0</v>
      </c>
      <c r="BD791" s="3247">
        <f t="shared" ca="1" si="1155"/>
        <v>0</v>
      </c>
      <c r="BE791" s="2903">
        <f t="shared" ca="1" si="1156"/>
        <v>0</v>
      </c>
      <c r="BF791" s="88">
        <f ca="1">SUM(INDIRECT(BF$1&amp;BF$2&amp;$A791):INDIRECT(BF$1&amp;BF$3&amp;$A791))+SUM(INDIRECT(BF$1&amp;BF$2&amp;$B791):INDIRECT(BF$1&amp;BF$3&amp;$B791))</f>
        <v>0</v>
      </c>
      <c r="BG791" s="3247">
        <f t="shared" ca="1" si="1157"/>
        <v>0</v>
      </c>
      <c r="BH791" s="2903">
        <f t="shared" ca="1" si="1158"/>
        <v>0</v>
      </c>
    </row>
    <row r="792" spans="1:60" ht="14.5">
      <c r="A792" s="616">
        <v>1</v>
      </c>
      <c r="B792" s="616">
        <v>1</v>
      </c>
      <c r="C792" s="616">
        <f t="shared" si="1172"/>
        <v>789</v>
      </c>
      <c r="E792" s="2547">
        <v>1</v>
      </c>
      <c r="G792" s="22"/>
      <c r="I792" s="86"/>
      <c r="J792" s="85"/>
      <c r="K792" s="63"/>
      <c r="L792" s="63"/>
      <c r="M792" s="3" t="s">
        <v>1435</v>
      </c>
      <c r="N792" s="69"/>
      <c r="O792" s="69"/>
      <c r="P792" s="69"/>
      <c r="Q792" s="1779" t="str">
        <f>CHOOSE(2, "6722000003711", "S/GP (5) Net Sales Indirect ICW-P")</f>
        <v>S/GP (5) Net Sales Indirect ICW-P</v>
      </c>
      <c r="R792" s="1217">
        <v>0</v>
      </c>
      <c r="S792" s="1224">
        <v>0</v>
      </c>
      <c r="T792" s="1217">
        <v>0</v>
      </c>
      <c r="U792" s="1217">
        <v>0</v>
      </c>
      <c r="V792" s="1217">
        <v>0</v>
      </c>
      <c r="W792" s="1217">
        <v>0</v>
      </c>
      <c r="X792" s="1217">
        <v>0</v>
      </c>
      <c r="Y792" s="1217">
        <v>0</v>
      </c>
      <c r="Z792" s="1217">
        <v>0</v>
      </c>
      <c r="AA792" s="1217">
        <v>0</v>
      </c>
      <c r="AB792" s="1217">
        <v>0</v>
      </c>
      <c r="AC792" s="1217">
        <v>0</v>
      </c>
      <c r="AD792" s="88">
        <f t="shared" si="1187"/>
        <v>0</v>
      </c>
      <c r="AE792" s="17">
        <f t="shared" si="1188"/>
        <v>0</v>
      </c>
      <c r="AF792" s="17">
        <f t="shared" si="1189"/>
        <v>0</v>
      </c>
      <c r="AG792" s="17">
        <f t="shared" si="1190"/>
        <v>0</v>
      </c>
      <c r="AH792" s="17">
        <f>AD792+AE792</f>
        <v>0</v>
      </c>
      <c r="AI792" s="17">
        <f>AG792+AF792</f>
        <v>0</v>
      </c>
      <c r="AJ792" s="88">
        <f>AH792+AI792</f>
        <v>0</v>
      </c>
      <c r="AL792" s="17">
        <f ca="1">SUM((INDIRECT(AL$2&amp;(ROW())):INDIRECT(AL$3&amp;(ROW()))))</f>
        <v>0</v>
      </c>
      <c r="AM792" s="88">
        <f ca="1">SUM(INDIRECT(AM$1&amp;AM$2&amp;$C792):INDIRECT(AM$1&amp;AM$3&amp;$C792))</f>
        <v>0</v>
      </c>
      <c r="AN792" s="3247">
        <f t="shared" ca="1" si="1147"/>
        <v>0</v>
      </c>
      <c r="AO792" s="2903">
        <f t="shared" ca="1" si="1148"/>
        <v>0</v>
      </c>
      <c r="AP792" s="88">
        <f ca="1">SUM(INDIRECT(AP$1&amp;AP$2&amp;$A792):INDIRECT(AP$1&amp;AP$3&amp;$A792))+SUM(INDIRECT(AP$1&amp;AP$2&amp;$B792):INDIRECT(AP$1&amp;AP$3&amp;$B792))</f>
        <v>0</v>
      </c>
      <c r="AQ792" s="3247">
        <f t="shared" ca="1" si="1149"/>
        <v>0</v>
      </c>
      <c r="AR792" s="2903">
        <f t="shared" ca="1" si="1150"/>
        <v>0</v>
      </c>
      <c r="AT792" s="17">
        <f ca="1">SUM((INDIRECT(AT$2&amp;(ROW())):INDIRECT(AT$3&amp;(ROW()))))</f>
        <v>0</v>
      </c>
      <c r="AU792" s="88">
        <f ca="1">SUM(INDIRECT(AU$1&amp;AU$2&amp;$C792):INDIRECT(AU$1&amp;AU$3&amp;$C792))</f>
        <v>0</v>
      </c>
      <c r="AV792" s="3247">
        <f t="shared" ca="1" si="1151"/>
        <v>0</v>
      </c>
      <c r="AW792" s="2903">
        <f t="shared" ca="1" si="1152"/>
        <v>0</v>
      </c>
      <c r="AX792" s="88">
        <f ca="1">SUM(INDIRECT(AX$1&amp;AX$2&amp;$A792):INDIRECT(AX$1&amp;AX$3&amp;$A792))+SUM(INDIRECT(AX$1&amp;AX$2&amp;$B792):INDIRECT(AX$1&amp;AX$3&amp;$B792))</f>
        <v>0</v>
      </c>
      <c r="AY792" s="3247">
        <f t="shared" ca="1" si="1153"/>
        <v>0</v>
      </c>
      <c r="AZ792" s="2903">
        <f t="shared" ca="1" si="1154"/>
        <v>0</v>
      </c>
      <c r="BB792" s="17">
        <f ca="1">SUM((INDIRECT(BB$2&amp;(ROW())):INDIRECT(BB$3&amp;(ROW()))))</f>
        <v>0</v>
      </c>
      <c r="BC792" s="88">
        <f ca="1">SUM(INDIRECT(BC$1&amp;BC$2&amp;$C792):INDIRECT(BC$1&amp;BC$3&amp;$C792))</f>
        <v>0</v>
      </c>
      <c r="BD792" s="3247">
        <f t="shared" ca="1" si="1155"/>
        <v>0</v>
      </c>
      <c r="BE792" s="2903">
        <f t="shared" ca="1" si="1156"/>
        <v>0</v>
      </c>
      <c r="BF792" s="88">
        <f ca="1">SUM(INDIRECT(BF$1&amp;BF$2&amp;$A792):INDIRECT(BF$1&amp;BF$3&amp;$A792))+SUM(INDIRECT(BF$1&amp;BF$2&amp;$B792):INDIRECT(BF$1&amp;BF$3&amp;$B792))</f>
        <v>0</v>
      </c>
      <c r="BG792" s="3247">
        <f t="shared" ca="1" si="1157"/>
        <v>0</v>
      </c>
      <c r="BH792" s="2903">
        <f t="shared" ca="1" si="1158"/>
        <v>0</v>
      </c>
    </row>
    <row r="793" spans="1:60" ht="14.5">
      <c r="A793" s="2580">
        <v>722</v>
      </c>
      <c r="B793" s="616">
        <v>1</v>
      </c>
      <c r="C793" s="616">
        <f t="shared" si="1172"/>
        <v>790</v>
      </c>
      <c r="E793" s="2547">
        <v>1</v>
      </c>
      <c r="I793" s="3167" t="s">
        <v>1469</v>
      </c>
      <c r="J793" s="2056"/>
      <c r="K793" s="471"/>
      <c r="L793" s="471"/>
      <c r="M793" s="471"/>
      <c r="N793" s="471"/>
      <c r="O793" s="471"/>
      <c r="P793" s="471"/>
      <c r="Q793" s="1801" t="str">
        <f>CHOOSE(2, "6722000003712", "S/GP (5) Gross Profit")</f>
        <v>S/GP (5) Gross Profit</v>
      </c>
      <c r="R793" s="1260">
        <f t="shared" ref="R793:AJ793" si="1195">+R794+R825</f>
        <v>155</v>
      </c>
      <c r="S793" s="3267">
        <f t="shared" si="1195"/>
        <v>130</v>
      </c>
      <c r="T793" s="1260">
        <f t="shared" si="1195"/>
        <v>184</v>
      </c>
      <c r="U793" s="1260">
        <f t="shared" si="1195"/>
        <v>686</v>
      </c>
      <c r="V793" s="1260">
        <f t="shared" si="1195"/>
        <v>461</v>
      </c>
      <c r="W793" s="1260">
        <f t="shared" si="1195"/>
        <v>22</v>
      </c>
      <c r="X793" s="1260">
        <f t="shared" si="1195"/>
        <v>363</v>
      </c>
      <c r="Y793" s="1260">
        <f t="shared" si="1195"/>
        <v>407</v>
      </c>
      <c r="Z793" s="1260">
        <f t="shared" si="1195"/>
        <v>0</v>
      </c>
      <c r="AA793" s="1260">
        <f t="shared" si="1195"/>
        <v>187</v>
      </c>
      <c r="AB793" s="1260">
        <f t="shared" si="1195"/>
        <v>362</v>
      </c>
      <c r="AC793" s="1260">
        <f t="shared" si="1195"/>
        <v>401</v>
      </c>
      <c r="AD793" s="3168">
        <f t="shared" si="1195"/>
        <v>469</v>
      </c>
      <c r="AE793" s="1260">
        <f t="shared" si="1195"/>
        <v>1169</v>
      </c>
      <c r="AF793" s="1260">
        <f t="shared" si="1195"/>
        <v>770</v>
      </c>
      <c r="AG793" s="1260">
        <f t="shared" si="1195"/>
        <v>950</v>
      </c>
      <c r="AH793" s="1260">
        <f t="shared" si="1195"/>
        <v>1638</v>
      </c>
      <c r="AI793" s="1260">
        <f t="shared" si="1195"/>
        <v>1720</v>
      </c>
      <c r="AJ793" s="3168">
        <f t="shared" si="1195"/>
        <v>3358</v>
      </c>
      <c r="AL793" s="1260">
        <f ca="1">SUM((INDIRECT(AL$2&amp;(ROW())):INDIRECT(AL$3&amp;(ROW()))))</f>
        <v>401</v>
      </c>
      <c r="AM793" s="3168">
        <f ca="1">SUM(INDIRECT(AM$1&amp;AM$2&amp;$C793):INDIRECT(AM$1&amp;AM$3&amp;$C793))</f>
        <v>0</v>
      </c>
      <c r="AN793" s="3169">
        <f t="shared" ca="1" si="1147"/>
        <v>401</v>
      </c>
      <c r="AO793" s="3170">
        <f t="shared" ca="1" si="1148"/>
        <v>0</v>
      </c>
      <c r="AP793" s="3268">
        <f ca="1">+AP794+AP825</f>
        <v>0</v>
      </c>
      <c r="AQ793" s="3169">
        <f t="shared" ca="1" si="1149"/>
        <v>401</v>
      </c>
      <c r="AR793" s="3170">
        <f t="shared" ca="1" si="1150"/>
        <v>0</v>
      </c>
      <c r="AT793" s="1260">
        <f ca="1">SUM((INDIRECT(AT$2&amp;(ROW())):INDIRECT(AT$3&amp;(ROW()))))</f>
        <v>950</v>
      </c>
      <c r="AU793" s="3168">
        <f ca="1">SUM(INDIRECT(AU$1&amp;AU$2&amp;$C793):INDIRECT(AU$1&amp;AU$3&amp;$C793))</f>
        <v>0</v>
      </c>
      <c r="AV793" s="3169">
        <f t="shared" ca="1" si="1151"/>
        <v>950</v>
      </c>
      <c r="AW793" s="3170">
        <f t="shared" ca="1" si="1152"/>
        <v>0</v>
      </c>
      <c r="AX793" s="3268">
        <f ca="1">+AX794+AX825</f>
        <v>0</v>
      </c>
      <c r="AY793" s="3169">
        <f t="shared" ca="1" si="1153"/>
        <v>950</v>
      </c>
      <c r="AZ793" s="3170">
        <f t="shared" ca="1" si="1154"/>
        <v>0</v>
      </c>
      <c r="BB793" s="1260">
        <f ca="1">SUM((INDIRECT(BB$2&amp;(ROW())):INDIRECT(BB$3&amp;(ROW()))))</f>
        <v>3358</v>
      </c>
      <c r="BC793" s="3168">
        <f ca="1">SUM(INDIRECT(BC$1&amp;BC$2&amp;$C793):INDIRECT(BC$1&amp;BC$3&amp;$C793))</f>
        <v>0</v>
      </c>
      <c r="BD793" s="3169">
        <f t="shared" ca="1" si="1155"/>
        <v>3358</v>
      </c>
      <c r="BE793" s="3170">
        <f t="shared" ca="1" si="1156"/>
        <v>0</v>
      </c>
      <c r="BF793" s="3268">
        <f ca="1">+BF794+BF825</f>
        <v>0</v>
      </c>
      <c r="BG793" s="3169">
        <f t="shared" ca="1" si="1157"/>
        <v>3358</v>
      </c>
      <c r="BH793" s="3170">
        <f t="shared" ca="1" si="1158"/>
        <v>0</v>
      </c>
    </row>
    <row r="794" spans="1:60" ht="14.5">
      <c r="A794" s="616">
        <f t="shared" ref="A794:A814" si="1196">A793+1</f>
        <v>723</v>
      </c>
      <c r="B794" s="616">
        <v>1</v>
      </c>
      <c r="C794" s="616">
        <f t="shared" si="1172"/>
        <v>791</v>
      </c>
      <c r="E794" s="2547">
        <v>1</v>
      </c>
      <c r="I794" s="86"/>
      <c r="J794" s="85"/>
      <c r="K794" s="68" t="s">
        <v>1381</v>
      </c>
      <c r="L794" s="68"/>
      <c r="M794" s="457"/>
      <c r="N794" s="283"/>
      <c r="O794" s="283"/>
      <c r="P794" s="283"/>
      <c r="Q794" s="1814" t="str">
        <f>CHOOSE(2, "6722000003713", "S/GP (5) Gross Profit Direct")</f>
        <v>S/GP (5) Gross Profit Direct</v>
      </c>
      <c r="R794" s="3254">
        <f>R800+R795+R805+R810+R815+R820</f>
        <v>155</v>
      </c>
      <c r="S794" s="3253">
        <f t="shared" ref="S794:AJ794" si="1197">S800+S795+S805+S810+S815+S820</f>
        <v>130</v>
      </c>
      <c r="T794" s="3254">
        <f t="shared" si="1197"/>
        <v>184</v>
      </c>
      <c r="U794" s="3254">
        <f t="shared" si="1197"/>
        <v>686</v>
      </c>
      <c r="V794" s="3254">
        <f t="shared" si="1197"/>
        <v>461</v>
      </c>
      <c r="W794" s="3254">
        <f t="shared" si="1197"/>
        <v>22</v>
      </c>
      <c r="X794" s="3254">
        <f t="shared" si="1197"/>
        <v>363</v>
      </c>
      <c r="Y794" s="3254">
        <f t="shared" si="1197"/>
        <v>407</v>
      </c>
      <c r="Z794" s="3254">
        <f t="shared" si="1197"/>
        <v>0</v>
      </c>
      <c r="AA794" s="3254">
        <f t="shared" si="1197"/>
        <v>187</v>
      </c>
      <c r="AB794" s="3254">
        <f t="shared" si="1197"/>
        <v>362</v>
      </c>
      <c r="AC794" s="3254">
        <f t="shared" si="1197"/>
        <v>401</v>
      </c>
      <c r="AD794" s="3255">
        <f t="shared" si="1197"/>
        <v>469</v>
      </c>
      <c r="AE794" s="3254">
        <f t="shared" si="1197"/>
        <v>1169</v>
      </c>
      <c r="AF794" s="3254">
        <f t="shared" si="1197"/>
        <v>770</v>
      </c>
      <c r="AG794" s="3254">
        <f t="shared" si="1197"/>
        <v>950</v>
      </c>
      <c r="AH794" s="3254">
        <f t="shared" si="1197"/>
        <v>1638</v>
      </c>
      <c r="AI794" s="3254">
        <f t="shared" si="1197"/>
        <v>1720</v>
      </c>
      <c r="AJ794" s="3255">
        <f t="shared" si="1197"/>
        <v>3358</v>
      </c>
      <c r="AL794" s="3254">
        <f ca="1">SUM((INDIRECT(AL$2&amp;(ROW())):INDIRECT(AL$3&amp;(ROW()))))</f>
        <v>401</v>
      </c>
      <c r="AM794" s="3255">
        <f ca="1">SUM(INDIRECT(AM$1&amp;AM$2&amp;$C794):INDIRECT(AM$1&amp;AM$3&amp;$C794))</f>
        <v>0</v>
      </c>
      <c r="AN794" s="3269">
        <f t="shared" ca="1" si="1147"/>
        <v>401</v>
      </c>
      <c r="AO794" s="2922">
        <f t="shared" ca="1" si="1148"/>
        <v>0</v>
      </c>
      <c r="AP794" s="3270">
        <f ca="1">AP800+AP795+AP805+AP810+AP815+AP820</f>
        <v>0</v>
      </c>
      <c r="AQ794" s="3269">
        <f t="shared" ca="1" si="1149"/>
        <v>401</v>
      </c>
      <c r="AR794" s="2922">
        <f t="shared" ca="1" si="1150"/>
        <v>0</v>
      </c>
      <c r="AT794" s="3254">
        <f ca="1">SUM((INDIRECT(AT$2&amp;(ROW())):INDIRECT(AT$3&amp;(ROW()))))</f>
        <v>950</v>
      </c>
      <c r="AU794" s="3255">
        <f ca="1">SUM(INDIRECT(AU$1&amp;AU$2&amp;$C794):INDIRECT(AU$1&amp;AU$3&amp;$C794))</f>
        <v>0</v>
      </c>
      <c r="AV794" s="3269">
        <f t="shared" ca="1" si="1151"/>
        <v>950</v>
      </c>
      <c r="AW794" s="2922">
        <f t="shared" ca="1" si="1152"/>
        <v>0</v>
      </c>
      <c r="AX794" s="3270">
        <f ca="1">AX800+AX795+AX805+AX810+AX815+AX820</f>
        <v>0</v>
      </c>
      <c r="AY794" s="3269">
        <f t="shared" ca="1" si="1153"/>
        <v>950</v>
      </c>
      <c r="AZ794" s="2922">
        <f t="shared" ca="1" si="1154"/>
        <v>0</v>
      </c>
      <c r="BB794" s="3254">
        <f ca="1">SUM((INDIRECT(BB$2&amp;(ROW())):INDIRECT(BB$3&amp;(ROW()))))</f>
        <v>3358</v>
      </c>
      <c r="BC794" s="3255">
        <f ca="1">SUM(INDIRECT(BC$1&amp;BC$2&amp;$C794):INDIRECT(BC$1&amp;BC$3&amp;$C794))</f>
        <v>0</v>
      </c>
      <c r="BD794" s="3269">
        <f t="shared" ca="1" si="1155"/>
        <v>3358</v>
      </c>
      <c r="BE794" s="2922">
        <f t="shared" ca="1" si="1156"/>
        <v>0</v>
      </c>
      <c r="BF794" s="3270">
        <f ca="1">BF800+BF795+BF805+BF810+BF815+BF820</f>
        <v>0</v>
      </c>
      <c r="BG794" s="3269">
        <f t="shared" ca="1" si="1157"/>
        <v>3358</v>
      </c>
      <c r="BH794" s="2922">
        <f t="shared" ca="1" si="1158"/>
        <v>0</v>
      </c>
    </row>
    <row r="795" spans="1:60" ht="14.5">
      <c r="A795" s="2580">
        <v>724</v>
      </c>
      <c r="B795" s="616">
        <v>1</v>
      </c>
      <c r="C795" s="616">
        <f t="shared" si="1172"/>
        <v>792</v>
      </c>
      <c r="E795" s="2547">
        <v>1</v>
      </c>
      <c r="G795" s="737"/>
      <c r="I795" s="86"/>
      <c r="J795" s="85"/>
      <c r="K795" s="68"/>
      <c r="L795" s="68"/>
      <c r="M795" s="8" t="s">
        <v>1429</v>
      </c>
      <c r="N795" s="284"/>
      <c r="O795" s="284"/>
      <c r="P795" s="284"/>
      <c r="Q795" s="1777" t="str">
        <f>CHOOSE(2, "6722000003714", "S/GP (5) Gross Profit Direct IMS")</f>
        <v>S/GP (5) Gross Profit Direct IMS</v>
      </c>
      <c r="R795" s="3103">
        <f>SUM(R796:R799)</f>
        <v>0</v>
      </c>
      <c r="S795" s="3258">
        <f t="shared" ref="S795:AJ795" si="1198">SUM(S796:S799)</f>
        <v>0</v>
      </c>
      <c r="T795" s="3103">
        <f t="shared" si="1198"/>
        <v>0</v>
      </c>
      <c r="U795" s="3103">
        <f t="shared" si="1198"/>
        <v>510</v>
      </c>
      <c r="V795" s="3103">
        <f t="shared" si="1198"/>
        <v>0</v>
      </c>
      <c r="W795" s="3103">
        <f t="shared" si="1198"/>
        <v>0</v>
      </c>
      <c r="X795" s="3103">
        <f t="shared" si="1198"/>
        <v>165</v>
      </c>
      <c r="Y795" s="3103">
        <f t="shared" si="1198"/>
        <v>0</v>
      </c>
      <c r="Z795" s="3103">
        <f t="shared" si="1198"/>
        <v>0</v>
      </c>
      <c r="AA795" s="3103">
        <f t="shared" si="1198"/>
        <v>165</v>
      </c>
      <c r="AB795" s="3103">
        <f t="shared" si="1198"/>
        <v>0</v>
      </c>
      <c r="AC795" s="3103">
        <f t="shared" si="1198"/>
        <v>0</v>
      </c>
      <c r="AD795" s="3244">
        <f t="shared" si="1198"/>
        <v>0</v>
      </c>
      <c r="AE795" s="3103">
        <f t="shared" si="1198"/>
        <v>510</v>
      </c>
      <c r="AF795" s="3103">
        <f t="shared" si="1198"/>
        <v>165</v>
      </c>
      <c r="AG795" s="3103">
        <f t="shared" si="1198"/>
        <v>165</v>
      </c>
      <c r="AH795" s="3103">
        <f t="shared" si="1198"/>
        <v>510</v>
      </c>
      <c r="AI795" s="3103">
        <f t="shared" si="1198"/>
        <v>330</v>
      </c>
      <c r="AJ795" s="3244">
        <f t="shared" si="1198"/>
        <v>840</v>
      </c>
      <c r="AL795" s="3103">
        <f ca="1">SUM((INDIRECT(AL$2&amp;(ROW())):INDIRECT(AL$3&amp;(ROW()))))</f>
        <v>0</v>
      </c>
      <c r="AM795" s="3244">
        <f ca="1">SUM(INDIRECT(AM$1&amp;AM$2&amp;$C795):INDIRECT(AM$1&amp;AM$3&amp;$C795))</f>
        <v>0</v>
      </c>
      <c r="AN795" s="3245">
        <f t="shared" ca="1" si="1147"/>
        <v>0</v>
      </c>
      <c r="AO795" s="2899">
        <f t="shared" ca="1" si="1148"/>
        <v>0</v>
      </c>
      <c r="AP795" s="3244">
        <f ca="1">SUM(INDIRECT(AP$1&amp;AP$2&amp;$A795):INDIRECT(AP$1&amp;AP$3&amp;$A795))+SUM(INDIRECT(AP$1&amp;AP$2&amp;$B795):INDIRECT(AP$1&amp;AP$3&amp;$B795))</f>
        <v>0</v>
      </c>
      <c r="AQ795" s="3245">
        <f t="shared" ca="1" si="1149"/>
        <v>0</v>
      </c>
      <c r="AR795" s="2899">
        <f t="shared" ca="1" si="1150"/>
        <v>0</v>
      </c>
      <c r="AT795" s="3103">
        <f ca="1">SUM((INDIRECT(AT$2&amp;(ROW())):INDIRECT(AT$3&amp;(ROW()))))</f>
        <v>165</v>
      </c>
      <c r="AU795" s="3244">
        <f ca="1">SUM(INDIRECT(AU$1&amp;AU$2&amp;$C795):INDIRECT(AU$1&amp;AU$3&amp;$C795))</f>
        <v>0</v>
      </c>
      <c r="AV795" s="3245">
        <f t="shared" ca="1" si="1151"/>
        <v>165</v>
      </c>
      <c r="AW795" s="2899">
        <f t="shared" ca="1" si="1152"/>
        <v>0</v>
      </c>
      <c r="AX795" s="3244">
        <f ca="1">SUM(INDIRECT(AX$1&amp;AX$2&amp;$A795):INDIRECT(AX$1&amp;AX$3&amp;$A795))+SUM(INDIRECT(AX$1&amp;AX$2&amp;$B795):INDIRECT(AX$1&amp;AX$3&amp;$B795))</f>
        <v>0</v>
      </c>
      <c r="AY795" s="3245">
        <f t="shared" ca="1" si="1153"/>
        <v>165</v>
      </c>
      <c r="AZ795" s="2899">
        <f t="shared" ca="1" si="1154"/>
        <v>0</v>
      </c>
      <c r="BB795" s="3103">
        <f ca="1">SUM((INDIRECT(BB$2&amp;(ROW())):INDIRECT(BB$3&amp;(ROW()))))</f>
        <v>840</v>
      </c>
      <c r="BC795" s="3244">
        <f ca="1">SUM(INDIRECT(BC$1&amp;BC$2&amp;$C795):INDIRECT(BC$1&amp;BC$3&amp;$C795))</f>
        <v>0</v>
      </c>
      <c r="BD795" s="3245">
        <f t="shared" ca="1" si="1155"/>
        <v>840</v>
      </c>
      <c r="BE795" s="2899">
        <f t="shared" ca="1" si="1156"/>
        <v>0</v>
      </c>
      <c r="BF795" s="3244">
        <f ca="1">SUM(INDIRECT(BF$1&amp;BF$2&amp;$A795):INDIRECT(BF$1&amp;BF$3&amp;$A795))+SUM(INDIRECT(BF$1&amp;BF$2&amp;$B795):INDIRECT(BF$1&amp;BF$3&amp;$B795))</f>
        <v>0</v>
      </c>
      <c r="BG795" s="3245">
        <f t="shared" ca="1" si="1157"/>
        <v>840</v>
      </c>
      <c r="BH795" s="2899">
        <f t="shared" ca="1" si="1158"/>
        <v>0</v>
      </c>
    </row>
    <row r="796" spans="1:60" ht="14.5">
      <c r="A796" s="616">
        <f t="shared" si="1196"/>
        <v>725</v>
      </c>
      <c r="B796" s="616">
        <v>1</v>
      </c>
      <c r="C796" s="616">
        <f t="shared" si="1172"/>
        <v>793</v>
      </c>
      <c r="E796" s="2547">
        <v>1</v>
      </c>
      <c r="G796" s="737"/>
      <c r="I796" s="86"/>
      <c r="J796" s="85"/>
      <c r="K796" s="68"/>
      <c r="L796" s="68"/>
      <c r="N796" s="97" t="s">
        <v>523</v>
      </c>
      <c r="O796" s="97"/>
      <c r="P796" s="97"/>
      <c r="Q796" s="1779" t="str">
        <f>CHOOSE(2, "6722000003715", "S/GP (5) Gross Profit Direct IMS OSP")</f>
        <v>S/GP (5) Gross Profit Direct IMS OSP</v>
      </c>
      <c r="R796" s="1227">
        <v>0</v>
      </c>
      <c r="S796" s="1247">
        <v>0</v>
      </c>
      <c r="T796" s="1227">
        <v>0</v>
      </c>
      <c r="U796" s="1227">
        <v>0</v>
      </c>
      <c r="V796" s="1227">
        <v>0</v>
      </c>
      <c r="W796" s="1227">
        <v>0</v>
      </c>
      <c r="X796" s="1227">
        <v>0</v>
      </c>
      <c r="Y796" s="1227">
        <v>0</v>
      </c>
      <c r="Z796" s="1227">
        <v>0</v>
      </c>
      <c r="AA796" s="1227">
        <v>0</v>
      </c>
      <c r="AB796" s="1227">
        <v>0</v>
      </c>
      <c r="AC796" s="1227">
        <v>0</v>
      </c>
      <c r="AD796" s="295">
        <f>SUM(R796,S796,T796)</f>
        <v>0</v>
      </c>
      <c r="AE796" s="96">
        <f t="shared" ref="AE796:AE799" si="1199">SUM(U796,V796,W796)</f>
        <v>0</v>
      </c>
      <c r="AF796" s="96">
        <f t="shared" ref="AF796:AF799" si="1200">SUM(X796,Y796,Z796)</f>
        <v>0</v>
      </c>
      <c r="AG796" s="96">
        <f t="shared" ref="AG796:AG799" si="1201">SUM(AA796,AB796,AC796)</f>
        <v>0</v>
      </c>
      <c r="AH796" s="96">
        <f>AD796+AE796</f>
        <v>0</v>
      </c>
      <c r="AI796" s="96">
        <f>AG796+AF796</f>
        <v>0</v>
      </c>
      <c r="AJ796" s="295">
        <f>AH796+AI796</f>
        <v>0</v>
      </c>
      <c r="AL796" s="96">
        <f ca="1">SUM((INDIRECT(AL$2&amp;(ROW())):INDIRECT(AL$3&amp;(ROW()))))</f>
        <v>0</v>
      </c>
      <c r="AM796" s="295">
        <f ca="1">SUM(INDIRECT(AM$1&amp;AM$2&amp;$C796):INDIRECT(AM$1&amp;AM$3&amp;$C796))</f>
        <v>0</v>
      </c>
      <c r="AN796" s="3246">
        <f t="shared" ca="1" si="1147"/>
        <v>0</v>
      </c>
      <c r="AO796" s="2901">
        <f t="shared" ca="1" si="1148"/>
        <v>0</v>
      </c>
      <c r="AP796" s="295">
        <f ca="1">SUM(INDIRECT(AP$1&amp;AP$2&amp;$A796):INDIRECT(AP$1&amp;AP$3&amp;$A796))+SUM(INDIRECT(AP$1&amp;AP$2&amp;$B796):INDIRECT(AP$1&amp;AP$3&amp;$B796))</f>
        <v>0</v>
      </c>
      <c r="AQ796" s="3246">
        <f t="shared" ca="1" si="1149"/>
        <v>0</v>
      </c>
      <c r="AR796" s="2901">
        <f t="shared" ca="1" si="1150"/>
        <v>0</v>
      </c>
      <c r="AT796" s="96">
        <f ca="1">SUM((INDIRECT(AT$2&amp;(ROW())):INDIRECT(AT$3&amp;(ROW()))))</f>
        <v>0</v>
      </c>
      <c r="AU796" s="295">
        <f ca="1">SUM(INDIRECT(AU$1&amp;AU$2&amp;$C796):INDIRECT(AU$1&amp;AU$3&amp;$C796))</f>
        <v>0</v>
      </c>
      <c r="AV796" s="3246">
        <f t="shared" ca="1" si="1151"/>
        <v>0</v>
      </c>
      <c r="AW796" s="2901">
        <f t="shared" ca="1" si="1152"/>
        <v>0</v>
      </c>
      <c r="AX796" s="295">
        <f ca="1">SUM(INDIRECT(AX$1&amp;AX$2&amp;$A796):INDIRECT(AX$1&amp;AX$3&amp;$A796))+SUM(INDIRECT(AX$1&amp;AX$2&amp;$B796):INDIRECT(AX$1&amp;AX$3&amp;$B796))</f>
        <v>0</v>
      </c>
      <c r="AY796" s="3246">
        <f t="shared" ca="1" si="1153"/>
        <v>0</v>
      </c>
      <c r="AZ796" s="2901">
        <f t="shared" ca="1" si="1154"/>
        <v>0</v>
      </c>
      <c r="BB796" s="96">
        <f ca="1">SUM((INDIRECT(BB$2&amp;(ROW())):INDIRECT(BB$3&amp;(ROW()))))</f>
        <v>0</v>
      </c>
      <c r="BC796" s="295">
        <f ca="1">SUM(INDIRECT(BC$1&amp;BC$2&amp;$C796):INDIRECT(BC$1&amp;BC$3&amp;$C796))</f>
        <v>0</v>
      </c>
      <c r="BD796" s="3246">
        <f t="shared" ca="1" si="1155"/>
        <v>0</v>
      </c>
      <c r="BE796" s="2901">
        <f t="shared" ca="1" si="1156"/>
        <v>0</v>
      </c>
      <c r="BF796" s="295">
        <f ca="1">SUM(INDIRECT(BF$1&amp;BF$2&amp;$A796):INDIRECT(BF$1&amp;BF$3&amp;$A796))+SUM(INDIRECT(BF$1&amp;BF$2&amp;$B796):INDIRECT(BF$1&amp;BF$3&amp;$B796))</f>
        <v>0</v>
      </c>
      <c r="BG796" s="3246">
        <f t="shared" ca="1" si="1157"/>
        <v>0</v>
      </c>
      <c r="BH796" s="2901">
        <f t="shared" ca="1" si="1158"/>
        <v>0</v>
      </c>
    </row>
    <row r="797" spans="1:60" ht="14.5">
      <c r="A797" s="616">
        <f t="shared" si="1196"/>
        <v>726</v>
      </c>
      <c r="B797" s="616">
        <v>1</v>
      </c>
      <c r="C797" s="616">
        <f t="shared" si="1172"/>
        <v>794</v>
      </c>
      <c r="E797" s="2547">
        <v>1</v>
      </c>
      <c r="G797" s="737"/>
      <c r="I797" s="86"/>
      <c r="J797" s="85"/>
      <c r="K797" s="68"/>
      <c r="L797" s="68"/>
      <c r="N797" s="8" t="s">
        <v>524</v>
      </c>
      <c r="Q797" s="1779" t="str">
        <f>CHOOSE(2, "6722000003716", "S/GP (5) Gross Profit Direct IMS RP")</f>
        <v>S/GP (5) Gross Profit Direct IMS RP</v>
      </c>
      <c r="R797" s="1217">
        <v>0</v>
      </c>
      <c r="S797" s="1224">
        <v>0</v>
      </c>
      <c r="T797" s="1217">
        <v>0</v>
      </c>
      <c r="U797" s="1217">
        <v>510</v>
      </c>
      <c r="V797" s="1217">
        <v>0</v>
      </c>
      <c r="W797" s="1217">
        <v>0</v>
      </c>
      <c r="X797" s="1217">
        <f>510-345</f>
        <v>165</v>
      </c>
      <c r="Y797" s="1217">
        <v>0</v>
      </c>
      <c r="Z797" s="1217">
        <v>0</v>
      </c>
      <c r="AA797" s="1217">
        <v>165</v>
      </c>
      <c r="AB797" s="1217">
        <v>0</v>
      </c>
      <c r="AC797" s="1217">
        <v>0</v>
      </c>
      <c r="AD797" s="88">
        <f>SUM(R797,S797,T797)</f>
        <v>0</v>
      </c>
      <c r="AE797" s="17">
        <f t="shared" si="1199"/>
        <v>510</v>
      </c>
      <c r="AF797" s="17">
        <f t="shared" si="1200"/>
        <v>165</v>
      </c>
      <c r="AG797" s="17">
        <f t="shared" si="1201"/>
        <v>165</v>
      </c>
      <c r="AH797" s="17">
        <f>AD797+AE797</f>
        <v>510</v>
      </c>
      <c r="AI797" s="17">
        <f>AG797+AF797</f>
        <v>330</v>
      </c>
      <c r="AJ797" s="88">
        <f>AH797+AI797</f>
        <v>840</v>
      </c>
      <c r="AL797" s="17">
        <f ca="1">SUM((INDIRECT(AL$2&amp;(ROW())):INDIRECT(AL$3&amp;(ROW()))))</f>
        <v>0</v>
      </c>
      <c r="AM797" s="88">
        <f ca="1">SUM(INDIRECT(AM$1&amp;AM$2&amp;$C797):INDIRECT(AM$1&amp;AM$3&amp;$C797))</f>
        <v>0</v>
      </c>
      <c r="AN797" s="3247">
        <f t="shared" ca="1" si="1147"/>
        <v>0</v>
      </c>
      <c r="AO797" s="2903">
        <f t="shared" ca="1" si="1148"/>
        <v>0</v>
      </c>
      <c r="AP797" s="88">
        <f ca="1">SUM(INDIRECT(AP$1&amp;AP$2&amp;$A797):INDIRECT(AP$1&amp;AP$3&amp;$A797))+SUM(INDIRECT(AP$1&amp;AP$2&amp;$B797):INDIRECT(AP$1&amp;AP$3&amp;$B797))</f>
        <v>0</v>
      </c>
      <c r="AQ797" s="3247">
        <f t="shared" ca="1" si="1149"/>
        <v>0</v>
      </c>
      <c r="AR797" s="2903">
        <f t="shared" ca="1" si="1150"/>
        <v>0</v>
      </c>
      <c r="AT797" s="17">
        <f ca="1">SUM((INDIRECT(AT$2&amp;(ROW())):INDIRECT(AT$3&amp;(ROW()))))</f>
        <v>165</v>
      </c>
      <c r="AU797" s="88">
        <f ca="1">SUM(INDIRECT(AU$1&amp;AU$2&amp;$C797):INDIRECT(AU$1&amp;AU$3&amp;$C797))</f>
        <v>0</v>
      </c>
      <c r="AV797" s="3247">
        <f t="shared" ca="1" si="1151"/>
        <v>165</v>
      </c>
      <c r="AW797" s="2903">
        <f t="shared" ca="1" si="1152"/>
        <v>0</v>
      </c>
      <c r="AX797" s="88">
        <f ca="1">SUM(INDIRECT(AX$1&amp;AX$2&amp;$A797):INDIRECT(AX$1&amp;AX$3&amp;$A797))+SUM(INDIRECT(AX$1&amp;AX$2&amp;$B797):INDIRECT(AX$1&amp;AX$3&amp;$B797))</f>
        <v>0</v>
      </c>
      <c r="AY797" s="3247">
        <f t="shared" ca="1" si="1153"/>
        <v>165</v>
      </c>
      <c r="AZ797" s="2903">
        <f t="shared" ca="1" si="1154"/>
        <v>0</v>
      </c>
      <c r="BB797" s="17">
        <f ca="1">SUM((INDIRECT(BB$2&amp;(ROW())):INDIRECT(BB$3&amp;(ROW()))))</f>
        <v>840</v>
      </c>
      <c r="BC797" s="88">
        <f ca="1">SUM(INDIRECT(BC$1&amp;BC$2&amp;$C797):INDIRECT(BC$1&amp;BC$3&amp;$C797))</f>
        <v>0</v>
      </c>
      <c r="BD797" s="3247">
        <f t="shared" ca="1" si="1155"/>
        <v>840</v>
      </c>
      <c r="BE797" s="2903">
        <f t="shared" ca="1" si="1156"/>
        <v>0</v>
      </c>
      <c r="BF797" s="88">
        <f ca="1">SUM(INDIRECT(BF$1&amp;BF$2&amp;$A797):INDIRECT(BF$1&amp;BF$3&amp;$A797))+SUM(INDIRECT(BF$1&amp;BF$2&amp;$B797):INDIRECT(BF$1&amp;BF$3&amp;$B797))</f>
        <v>0</v>
      </c>
      <c r="BG797" s="3247">
        <f t="shared" ca="1" si="1157"/>
        <v>840</v>
      </c>
      <c r="BH797" s="2903">
        <f t="shared" ca="1" si="1158"/>
        <v>0</v>
      </c>
    </row>
    <row r="798" spans="1:60" ht="14.5">
      <c r="A798" s="616">
        <f t="shared" si="1196"/>
        <v>727</v>
      </c>
      <c r="B798" s="616">
        <v>1</v>
      </c>
      <c r="C798" s="616">
        <f t="shared" si="1172"/>
        <v>795</v>
      </c>
      <c r="E798" s="2547">
        <v>1</v>
      </c>
      <c r="G798" s="737"/>
      <c r="I798" s="86"/>
      <c r="J798" s="85"/>
      <c r="K798" s="68"/>
      <c r="L798" s="68"/>
      <c r="N798" s="8" t="s">
        <v>525</v>
      </c>
      <c r="Q798" s="1779" t="str">
        <f>CHOOSE(2, "6722000003717", "S/GP (5) Gross Profit Direct IMS OSP service")</f>
        <v>S/GP (5) Gross Profit Direct IMS OSP service</v>
      </c>
      <c r="R798" s="1217">
        <v>0</v>
      </c>
      <c r="S798" s="1224">
        <v>0</v>
      </c>
      <c r="T798" s="1217">
        <v>0</v>
      </c>
      <c r="U798" s="1217">
        <v>0</v>
      </c>
      <c r="V798" s="1217">
        <v>0</v>
      </c>
      <c r="W798" s="1217">
        <v>0</v>
      </c>
      <c r="X798" s="1217">
        <v>0</v>
      </c>
      <c r="Y798" s="1217">
        <v>0</v>
      </c>
      <c r="Z798" s="1217">
        <v>0</v>
      </c>
      <c r="AA798" s="1217">
        <v>0</v>
      </c>
      <c r="AB798" s="1217">
        <v>0</v>
      </c>
      <c r="AC798" s="1217">
        <v>0</v>
      </c>
      <c r="AD798" s="88">
        <f>SUM(R798,S798,T798)</f>
        <v>0</v>
      </c>
      <c r="AE798" s="17">
        <f t="shared" si="1199"/>
        <v>0</v>
      </c>
      <c r="AF798" s="17">
        <f t="shared" si="1200"/>
        <v>0</v>
      </c>
      <c r="AG798" s="17">
        <f t="shared" si="1201"/>
        <v>0</v>
      </c>
      <c r="AH798" s="17">
        <f>AD798+AE798</f>
        <v>0</v>
      </c>
      <c r="AI798" s="17">
        <f>AG798+AF798</f>
        <v>0</v>
      </c>
      <c r="AJ798" s="88">
        <f>AH798+AI798</f>
        <v>0</v>
      </c>
      <c r="AL798" s="17">
        <f ca="1">SUM((INDIRECT(AL$2&amp;(ROW())):INDIRECT(AL$3&amp;(ROW()))))</f>
        <v>0</v>
      </c>
      <c r="AM798" s="88">
        <f ca="1">SUM(INDIRECT(AM$1&amp;AM$2&amp;$C798):INDIRECT(AM$1&amp;AM$3&amp;$C798))</f>
        <v>0</v>
      </c>
      <c r="AN798" s="3247">
        <f t="shared" ca="1" si="1147"/>
        <v>0</v>
      </c>
      <c r="AO798" s="2903">
        <f t="shared" ca="1" si="1148"/>
        <v>0</v>
      </c>
      <c r="AP798" s="783">
        <f ca="1">SUM(INDIRECT(AP$1&amp;AP$2&amp;$A798):INDIRECT(AP$1&amp;AP$3&amp;$A798))+SUM(INDIRECT(AP$1&amp;AP$2&amp;$B798):INDIRECT(AP$1&amp;AP$3&amp;$B798))</f>
        <v>0</v>
      </c>
      <c r="AQ798" s="3271">
        <f t="shared" ca="1" si="1149"/>
        <v>0</v>
      </c>
      <c r="AR798" s="2925">
        <f t="shared" ca="1" si="1150"/>
        <v>0</v>
      </c>
      <c r="AS798" s="69"/>
      <c r="AT798" s="1226">
        <f ca="1">SUM((INDIRECT(AT$2&amp;(ROW())):INDIRECT(AT$3&amp;(ROW()))))</f>
        <v>0</v>
      </c>
      <c r="AU798" s="783">
        <f ca="1">SUM(INDIRECT(AU$1&amp;AU$2&amp;$C798):INDIRECT(AU$1&amp;AU$3&amp;$C798))</f>
        <v>0</v>
      </c>
      <c r="AV798" s="3271">
        <f t="shared" ca="1" si="1151"/>
        <v>0</v>
      </c>
      <c r="AW798" s="2925">
        <f t="shared" ca="1" si="1152"/>
        <v>0</v>
      </c>
      <c r="AX798" s="783">
        <f ca="1">SUM(INDIRECT(AX$1&amp;AX$2&amp;$A798):INDIRECT(AX$1&amp;AX$3&amp;$A798))+SUM(INDIRECT(AX$1&amp;AX$2&amp;$B798):INDIRECT(AX$1&amp;AX$3&amp;$B798))</f>
        <v>0</v>
      </c>
      <c r="AY798" s="3271">
        <f t="shared" ca="1" si="1153"/>
        <v>0</v>
      </c>
      <c r="AZ798" s="2925">
        <f t="shared" ca="1" si="1154"/>
        <v>0</v>
      </c>
      <c r="BA798" s="69"/>
      <c r="BB798" s="1226">
        <f ca="1">SUM((INDIRECT(BB$2&amp;(ROW())):INDIRECT(BB$3&amp;(ROW()))))</f>
        <v>0</v>
      </c>
      <c r="BC798" s="783">
        <f ca="1">SUM(INDIRECT(BC$1&amp;BC$2&amp;$C798):INDIRECT(BC$1&amp;BC$3&amp;$C798))</f>
        <v>0</v>
      </c>
      <c r="BD798" s="3271">
        <f t="shared" ca="1" si="1155"/>
        <v>0</v>
      </c>
      <c r="BE798" s="2925">
        <f t="shared" ca="1" si="1156"/>
        <v>0</v>
      </c>
      <c r="BF798" s="783">
        <f ca="1">SUM(INDIRECT(BF$1&amp;BF$2&amp;$A798):INDIRECT(BF$1&amp;BF$3&amp;$A798))+SUM(INDIRECT(BF$1&amp;BF$2&amp;$B798):INDIRECT(BF$1&amp;BF$3&amp;$B798))</f>
        <v>0</v>
      </c>
      <c r="BG798" s="3271">
        <f t="shared" ca="1" si="1157"/>
        <v>0</v>
      </c>
      <c r="BH798" s="2925">
        <f t="shared" ca="1" si="1158"/>
        <v>0</v>
      </c>
    </row>
    <row r="799" spans="1:60" ht="14.5">
      <c r="A799" s="616">
        <f t="shared" si="1196"/>
        <v>728</v>
      </c>
      <c r="B799" s="616">
        <v>1</v>
      </c>
      <c r="C799" s="616">
        <f t="shared" si="1172"/>
        <v>796</v>
      </c>
      <c r="E799" s="2547">
        <v>1</v>
      </c>
      <c r="G799" s="737"/>
      <c r="I799" s="86"/>
      <c r="J799" s="85"/>
      <c r="K799" s="68"/>
      <c r="L799" s="68"/>
      <c r="M799" s="11"/>
      <c r="N799" s="8" t="s">
        <v>526</v>
      </c>
      <c r="P799" s="11"/>
      <c r="Q799" s="1779" t="str">
        <f>CHOOSE(2, "6722000003718", "S/GP (5) Gross Profit Direct IMS RP service")</f>
        <v>S/GP (5) Gross Profit Direct IMS RP service</v>
      </c>
      <c r="R799" s="1218">
        <v>0</v>
      </c>
      <c r="S799" s="1225">
        <v>0</v>
      </c>
      <c r="T799" s="1218">
        <v>0</v>
      </c>
      <c r="U799" s="1218">
        <v>0</v>
      </c>
      <c r="V799" s="1218">
        <v>0</v>
      </c>
      <c r="W799" s="1218">
        <v>0</v>
      </c>
      <c r="X799" s="1218">
        <v>0</v>
      </c>
      <c r="Y799" s="1218">
        <v>0</v>
      </c>
      <c r="Z799" s="1218">
        <v>0</v>
      </c>
      <c r="AA799" s="1218">
        <v>0</v>
      </c>
      <c r="AB799" s="1218">
        <v>0</v>
      </c>
      <c r="AC799" s="1218">
        <v>0</v>
      </c>
      <c r="AD799" s="87">
        <f>SUM(R799,S799,T799)</f>
        <v>0</v>
      </c>
      <c r="AE799" s="15">
        <f t="shared" si="1199"/>
        <v>0</v>
      </c>
      <c r="AF799" s="15">
        <f t="shared" si="1200"/>
        <v>0</v>
      </c>
      <c r="AG799" s="15">
        <f t="shared" si="1201"/>
        <v>0</v>
      </c>
      <c r="AH799" s="15">
        <f>AD799+AE799</f>
        <v>0</v>
      </c>
      <c r="AI799" s="15">
        <f>AG799+AF799</f>
        <v>0</v>
      </c>
      <c r="AJ799" s="87">
        <f>AH799+AI799</f>
        <v>0</v>
      </c>
      <c r="AL799" s="15">
        <f ca="1">SUM((INDIRECT(AL$2&amp;(ROW())):INDIRECT(AL$3&amp;(ROW()))))</f>
        <v>0</v>
      </c>
      <c r="AM799" s="87">
        <f ca="1">SUM(INDIRECT(AM$1&amp;AM$2&amp;$C799):INDIRECT(AM$1&amp;AM$3&amp;$C799))</f>
        <v>0</v>
      </c>
      <c r="AN799" s="3248">
        <f t="shared" ca="1" si="1147"/>
        <v>0</v>
      </c>
      <c r="AO799" s="2905">
        <f t="shared" ca="1" si="1148"/>
        <v>0</v>
      </c>
      <c r="AP799" s="784">
        <f ca="1">SUM(INDIRECT(AP$1&amp;AP$2&amp;$A799):INDIRECT(AP$1&amp;AP$3&amp;$A799))+SUM(INDIRECT(AP$1&amp;AP$2&amp;$B799):INDIRECT(AP$1&amp;AP$3&amp;$B799))</f>
        <v>0</v>
      </c>
      <c r="AQ799" s="3276">
        <f t="shared" ca="1" si="1149"/>
        <v>0</v>
      </c>
      <c r="AR799" s="2930">
        <f t="shared" ca="1" si="1150"/>
        <v>0</v>
      </c>
      <c r="AS799" s="69"/>
      <c r="AT799" s="1228">
        <f ca="1">SUM((INDIRECT(AT$2&amp;(ROW())):INDIRECT(AT$3&amp;(ROW()))))</f>
        <v>0</v>
      </c>
      <c r="AU799" s="784">
        <f ca="1">SUM(INDIRECT(AU$1&amp;AU$2&amp;$C799):INDIRECT(AU$1&amp;AU$3&amp;$C799))</f>
        <v>0</v>
      </c>
      <c r="AV799" s="3276">
        <f t="shared" ca="1" si="1151"/>
        <v>0</v>
      </c>
      <c r="AW799" s="2930">
        <f t="shared" ca="1" si="1152"/>
        <v>0</v>
      </c>
      <c r="AX799" s="784">
        <f ca="1">SUM(INDIRECT(AX$1&amp;AX$2&amp;$A799):INDIRECT(AX$1&amp;AX$3&amp;$A799))+SUM(INDIRECT(AX$1&amp;AX$2&amp;$B799):INDIRECT(AX$1&amp;AX$3&amp;$B799))</f>
        <v>0</v>
      </c>
      <c r="AY799" s="3276">
        <f t="shared" ca="1" si="1153"/>
        <v>0</v>
      </c>
      <c r="AZ799" s="2930">
        <f t="shared" ca="1" si="1154"/>
        <v>0</v>
      </c>
      <c r="BA799" s="69"/>
      <c r="BB799" s="1228">
        <f ca="1">SUM((INDIRECT(BB$2&amp;(ROW())):INDIRECT(BB$3&amp;(ROW()))))</f>
        <v>0</v>
      </c>
      <c r="BC799" s="784">
        <f ca="1">SUM(INDIRECT(BC$1&amp;BC$2&amp;$C799):INDIRECT(BC$1&amp;BC$3&amp;$C799))</f>
        <v>0</v>
      </c>
      <c r="BD799" s="3276">
        <f t="shared" ca="1" si="1155"/>
        <v>0</v>
      </c>
      <c r="BE799" s="2930">
        <f t="shared" ca="1" si="1156"/>
        <v>0</v>
      </c>
      <c r="BF799" s="784">
        <f ca="1">SUM(INDIRECT(BF$1&amp;BF$2&amp;$A799):INDIRECT(BF$1&amp;BF$3&amp;$A799))+SUM(INDIRECT(BF$1&amp;BF$2&amp;$B799):INDIRECT(BF$1&amp;BF$3&amp;$B799))</f>
        <v>0</v>
      </c>
      <c r="BG799" s="3276">
        <f t="shared" ca="1" si="1157"/>
        <v>0</v>
      </c>
      <c r="BH799" s="2930">
        <f t="shared" ca="1" si="1158"/>
        <v>0</v>
      </c>
    </row>
    <row r="800" spans="1:60" ht="14.5">
      <c r="A800" s="616">
        <f t="shared" si="1196"/>
        <v>729</v>
      </c>
      <c r="B800" s="616">
        <v>1</v>
      </c>
      <c r="C800" s="616">
        <f t="shared" si="1172"/>
        <v>797</v>
      </c>
      <c r="E800" s="2547">
        <v>1</v>
      </c>
      <c r="G800" s="22"/>
      <c r="I800" s="86"/>
      <c r="J800" s="85"/>
      <c r="K800" s="68"/>
      <c r="L800" s="68"/>
      <c r="M800" s="3" t="s">
        <v>1433</v>
      </c>
      <c r="N800" s="284"/>
      <c r="O800" s="284"/>
      <c r="P800" s="285"/>
      <c r="Q800" s="1777" t="str">
        <f>CHOOSE(2, "6722000003719", "S/GP (5) Gross Profit Direct ICW-IT")</f>
        <v>S/GP (5) Gross Profit Direct ICW-IT</v>
      </c>
      <c r="R800" s="287">
        <f>SUM(R801:R804)</f>
        <v>0</v>
      </c>
      <c r="S800" s="3257">
        <f t="shared" ref="S800:AJ800" si="1202">SUM(S801:S804)</f>
        <v>0</v>
      </c>
      <c r="T800" s="287">
        <f t="shared" si="1202"/>
        <v>0</v>
      </c>
      <c r="U800" s="287">
        <f t="shared" si="1202"/>
        <v>0</v>
      </c>
      <c r="V800" s="287">
        <f t="shared" si="1202"/>
        <v>0</v>
      </c>
      <c r="W800" s="287">
        <f t="shared" si="1202"/>
        <v>0</v>
      </c>
      <c r="X800" s="287">
        <f t="shared" si="1202"/>
        <v>0</v>
      </c>
      <c r="Y800" s="287">
        <f t="shared" si="1202"/>
        <v>0</v>
      </c>
      <c r="Z800" s="287">
        <f t="shared" si="1202"/>
        <v>0</v>
      </c>
      <c r="AA800" s="287">
        <f t="shared" si="1202"/>
        <v>0</v>
      </c>
      <c r="AB800" s="287">
        <f t="shared" si="1202"/>
        <v>0</v>
      </c>
      <c r="AC800" s="287">
        <f t="shared" si="1202"/>
        <v>0</v>
      </c>
      <c r="AD800" s="315">
        <f t="shared" si="1202"/>
        <v>0</v>
      </c>
      <c r="AE800" s="287">
        <f t="shared" si="1202"/>
        <v>0</v>
      </c>
      <c r="AF800" s="287">
        <f t="shared" si="1202"/>
        <v>0</v>
      </c>
      <c r="AG800" s="287">
        <f t="shared" si="1202"/>
        <v>0</v>
      </c>
      <c r="AH800" s="287">
        <f t="shared" si="1202"/>
        <v>0</v>
      </c>
      <c r="AI800" s="287">
        <f t="shared" si="1202"/>
        <v>0</v>
      </c>
      <c r="AJ800" s="315">
        <f t="shared" si="1202"/>
        <v>0</v>
      </c>
      <c r="AL800" s="287">
        <f ca="1">SUM((INDIRECT(AL$2&amp;(ROW())):INDIRECT(AL$3&amp;(ROW()))))</f>
        <v>0</v>
      </c>
      <c r="AM800" s="315">
        <f ca="1">SUM(INDIRECT(AM$1&amp;AM$2&amp;$C800):INDIRECT(AM$1&amp;AM$3&amp;$C800))</f>
        <v>0</v>
      </c>
      <c r="AN800" s="3277">
        <f t="shared" ca="1" si="1147"/>
        <v>0</v>
      </c>
      <c r="AO800" s="2932">
        <f t="shared" ca="1" si="1148"/>
        <v>0</v>
      </c>
      <c r="AP800" s="315">
        <f ca="1">SUM(INDIRECT(AP$1&amp;AP$2&amp;$A800):INDIRECT(AP$1&amp;AP$3&amp;$A800))+SUM(INDIRECT(AP$1&amp;AP$2&amp;$B800):INDIRECT(AP$1&amp;AP$3&amp;$B800))</f>
        <v>0</v>
      </c>
      <c r="AQ800" s="3277">
        <f t="shared" ca="1" si="1149"/>
        <v>0</v>
      </c>
      <c r="AR800" s="2932">
        <f t="shared" ca="1" si="1150"/>
        <v>0</v>
      </c>
      <c r="AT800" s="287">
        <f ca="1">SUM((INDIRECT(AT$2&amp;(ROW())):INDIRECT(AT$3&amp;(ROW()))))</f>
        <v>0</v>
      </c>
      <c r="AU800" s="315">
        <f ca="1">SUM(INDIRECT(AU$1&amp;AU$2&amp;$C800):INDIRECT(AU$1&amp;AU$3&amp;$C800))</f>
        <v>0</v>
      </c>
      <c r="AV800" s="3277">
        <f t="shared" ca="1" si="1151"/>
        <v>0</v>
      </c>
      <c r="AW800" s="2932">
        <f t="shared" ca="1" si="1152"/>
        <v>0</v>
      </c>
      <c r="AX800" s="315">
        <f ca="1">SUM(INDIRECT(AX$1&amp;AX$2&amp;$A800):INDIRECT(AX$1&amp;AX$3&amp;$A800))+SUM(INDIRECT(AX$1&amp;AX$2&amp;$B800):INDIRECT(AX$1&amp;AX$3&amp;$B800))</f>
        <v>0</v>
      </c>
      <c r="AY800" s="3277">
        <f t="shared" ca="1" si="1153"/>
        <v>0</v>
      </c>
      <c r="AZ800" s="2932">
        <f t="shared" ca="1" si="1154"/>
        <v>0</v>
      </c>
      <c r="BB800" s="287">
        <f ca="1">SUM((INDIRECT(BB$2&amp;(ROW())):INDIRECT(BB$3&amp;(ROW()))))</f>
        <v>0</v>
      </c>
      <c r="BC800" s="315">
        <f ca="1">SUM(INDIRECT(BC$1&amp;BC$2&amp;$C800):INDIRECT(BC$1&amp;BC$3&amp;$C800))</f>
        <v>0</v>
      </c>
      <c r="BD800" s="3277">
        <f t="shared" ca="1" si="1155"/>
        <v>0</v>
      </c>
      <c r="BE800" s="2932">
        <f t="shared" ca="1" si="1156"/>
        <v>0</v>
      </c>
      <c r="BF800" s="315">
        <f ca="1">SUM(INDIRECT(BF$1&amp;BF$2&amp;$A800):INDIRECT(BF$1&amp;BF$3&amp;$A800))+SUM(INDIRECT(BF$1&amp;BF$2&amp;$B800):INDIRECT(BF$1&amp;BF$3&amp;$B800))</f>
        <v>0</v>
      </c>
      <c r="BG800" s="3277">
        <f t="shared" ca="1" si="1157"/>
        <v>0</v>
      </c>
      <c r="BH800" s="2932">
        <f t="shared" ca="1" si="1158"/>
        <v>0</v>
      </c>
    </row>
    <row r="801" spans="1:60" ht="14.5">
      <c r="A801" s="616">
        <f t="shared" si="1196"/>
        <v>730</v>
      </c>
      <c r="B801" s="616">
        <v>1</v>
      </c>
      <c r="C801" s="616">
        <f t="shared" si="1172"/>
        <v>798</v>
      </c>
      <c r="E801" s="2547">
        <v>1</v>
      </c>
      <c r="G801" s="22"/>
      <c r="I801" s="86"/>
      <c r="J801" s="85"/>
      <c r="K801" s="68"/>
      <c r="L801" s="68"/>
      <c r="N801" s="97" t="s">
        <v>523</v>
      </c>
      <c r="O801" s="97"/>
      <c r="P801" s="97"/>
      <c r="Q801" s="1779" t="str">
        <f>CHOOSE(2, "6722000003720", "S/GP (5) Gross Profit Direct ICW-IT OSP")</f>
        <v>S/GP (5) Gross Profit Direct ICW-IT OSP</v>
      </c>
      <c r="R801" s="1227">
        <v>0</v>
      </c>
      <c r="S801" s="1247">
        <v>0</v>
      </c>
      <c r="T801" s="1227">
        <v>0</v>
      </c>
      <c r="U801" s="1227">
        <v>0</v>
      </c>
      <c r="V801" s="1227">
        <v>0</v>
      </c>
      <c r="W801" s="1227">
        <v>0</v>
      </c>
      <c r="X801" s="1227">
        <v>0</v>
      </c>
      <c r="Y801" s="1227">
        <v>0</v>
      </c>
      <c r="Z801" s="1227">
        <v>0</v>
      </c>
      <c r="AA801" s="1227">
        <v>0</v>
      </c>
      <c r="AB801" s="1227">
        <v>0</v>
      </c>
      <c r="AC801" s="1227">
        <v>0</v>
      </c>
      <c r="AD801" s="295">
        <f>SUM(R801,S801,T801)</f>
        <v>0</v>
      </c>
      <c r="AE801" s="96">
        <f t="shared" ref="AE801:AE804" si="1203">SUM(U801,V801,W801)</f>
        <v>0</v>
      </c>
      <c r="AF801" s="96">
        <f t="shared" ref="AF801:AF804" si="1204">SUM(X801,Y801,Z801)</f>
        <v>0</v>
      </c>
      <c r="AG801" s="96">
        <f t="shared" ref="AG801:AG804" si="1205">SUM(AA801,AB801,AC801)</f>
        <v>0</v>
      </c>
      <c r="AH801" s="96">
        <f>AD801+AE801</f>
        <v>0</v>
      </c>
      <c r="AI801" s="96">
        <f>AG801+AF801</f>
        <v>0</v>
      </c>
      <c r="AJ801" s="295">
        <f>AH801+AI801</f>
        <v>0</v>
      </c>
      <c r="AL801" s="96">
        <f ca="1">SUM((INDIRECT(AL$2&amp;(ROW())):INDIRECT(AL$3&amp;(ROW()))))</f>
        <v>0</v>
      </c>
      <c r="AM801" s="295">
        <f ca="1">SUM(INDIRECT(AM$1&amp;AM$2&amp;$C801):INDIRECT(AM$1&amp;AM$3&amp;$C801))</f>
        <v>0</v>
      </c>
      <c r="AN801" s="3246">
        <f t="shared" ca="1" si="1147"/>
        <v>0</v>
      </c>
      <c r="AO801" s="2901">
        <f t="shared" ca="1" si="1148"/>
        <v>0</v>
      </c>
      <c r="AP801" s="295">
        <f ca="1">SUM(INDIRECT(AP$1&amp;AP$2&amp;$A801):INDIRECT(AP$1&amp;AP$3&amp;$A801))+SUM(INDIRECT(AP$1&amp;AP$2&amp;$B801):INDIRECT(AP$1&amp;AP$3&amp;$B801))</f>
        <v>0</v>
      </c>
      <c r="AQ801" s="3246">
        <f t="shared" ca="1" si="1149"/>
        <v>0</v>
      </c>
      <c r="AR801" s="2901">
        <f t="shared" ca="1" si="1150"/>
        <v>0</v>
      </c>
      <c r="AT801" s="96">
        <f ca="1">SUM((INDIRECT(AT$2&amp;(ROW())):INDIRECT(AT$3&amp;(ROW()))))</f>
        <v>0</v>
      </c>
      <c r="AU801" s="295">
        <f ca="1">SUM(INDIRECT(AU$1&amp;AU$2&amp;$C801):INDIRECT(AU$1&amp;AU$3&amp;$C801))</f>
        <v>0</v>
      </c>
      <c r="AV801" s="3246">
        <f t="shared" ca="1" si="1151"/>
        <v>0</v>
      </c>
      <c r="AW801" s="2901">
        <f t="shared" ca="1" si="1152"/>
        <v>0</v>
      </c>
      <c r="AX801" s="295">
        <f ca="1">SUM(INDIRECT(AX$1&amp;AX$2&amp;$A801):INDIRECT(AX$1&amp;AX$3&amp;$A801))+SUM(INDIRECT(AX$1&amp;AX$2&amp;$B801):INDIRECT(AX$1&amp;AX$3&amp;$B801))</f>
        <v>0</v>
      </c>
      <c r="AY801" s="3246">
        <f t="shared" ca="1" si="1153"/>
        <v>0</v>
      </c>
      <c r="AZ801" s="2901">
        <f t="shared" ca="1" si="1154"/>
        <v>0</v>
      </c>
      <c r="BB801" s="96">
        <f ca="1">SUM((INDIRECT(BB$2&amp;(ROW())):INDIRECT(BB$3&amp;(ROW()))))</f>
        <v>0</v>
      </c>
      <c r="BC801" s="295">
        <f ca="1">SUM(INDIRECT(BC$1&amp;BC$2&amp;$C801):INDIRECT(BC$1&amp;BC$3&amp;$C801))</f>
        <v>0</v>
      </c>
      <c r="BD801" s="3246">
        <f t="shared" ca="1" si="1155"/>
        <v>0</v>
      </c>
      <c r="BE801" s="2901">
        <f t="shared" ca="1" si="1156"/>
        <v>0</v>
      </c>
      <c r="BF801" s="295">
        <f ca="1">SUM(INDIRECT(BF$1&amp;BF$2&amp;$A801):INDIRECT(BF$1&amp;BF$3&amp;$A801))+SUM(INDIRECT(BF$1&amp;BF$2&amp;$B801):INDIRECT(BF$1&amp;BF$3&amp;$B801))</f>
        <v>0</v>
      </c>
      <c r="BG801" s="3246">
        <f t="shared" ca="1" si="1157"/>
        <v>0</v>
      </c>
      <c r="BH801" s="2901">
        <f t="shared" ca="1" si="1158"/>
        <v>0</v>
      </c>
    </row>
    <row r="802" spans="1:60" ht="14.5">
      <c r="A802" s="616">
        <f t="shared" si="1196"/>
        <v>731</v>
      </c>
      <c r="B802" s="616">
        <v>1</v>
      </c>
      <c r="C802" s="616">
        <f t="shared" si="1172"/>
        <v>799</v>
      </c>
      <c r="E802" s="2547">
        <v>1</v>
      </c>
      <c r="G802" s="22"/>
      <c r="I802" s="86"/>
      <c r="J802" s="85"/>
      <c r="K802" s="68"/>
      <c r="L802" s="68"/>
      <c r="N802" s="8" t="s">
        <v>524</v>
      </c>
      <c r="Q802" s="1779" t="str">
        <f>CHOOSE(2, "6722000003721", "S/GP (5) Gross Profit Direct ICW-IT RP")</f>
        <v>S/GP (5) Gross Profit Direct ICW-IT RP</v>
      </c>
      <c r="R802" s="1217">
        <v>0</v>
      </c>
      <c r="S802" s="1224">
        <v>0</v>
      </c>
      <c r="T802" s="1217">
        <v>0</v>
      </c>
      <c r="U802" s="1217">
        <v>0</v>
      </c>
      <c r="V802" s="1217">
        <v>0</v>
      </c>
      <c r="W802" s="1217">
        <v>0</v>
      </c>
      <c r="X802" s="1217">
        <v>0</v>
      </c>
      <c r="Y802" s="1217">
        <v>0</v>
      </c>
      <c r="Z802" s="1217">
        <v>0</v>
      </c>
      <c r="AA802" s="1217">
        <v>0</v>
      </c>
      <c r="AB802" s="1217">
        <v>0</v>
      </c>
      <c r="AC802" s="1217">
        <v>0</v>
      </c>
      <c r="AD802" s="88">
        <f>SUM(R802,S802,T802)</f>
        <v>0</v>
      </c>
      <c r="AE802" s="17">
        <f t="shared" si="1203"/>
        <v>0</v>
      </c>
      <c r="AF802" s="17">
        <f t="shared" si="1204"/>
        <v>0</v>
      </c>
      <c r="AG802" s="17">
        <f t="shared" si="1205"/>
        <v>0</v>
      </c>
      <c r="AH802" s="17">
        <f>AD802+AE802</f>
        <v>0</v>
      </c>
      <c r="AI802" s="17">
        <f>AG802+AF802</f>
        <v>0</v>
      </c>
      <c r="AJ802" s="88">
        <f>AH802+AI802</f>
        <v>0</v>
      </c>
      <c r="AL802" s="17">
        <f ca="1">SUM((INDIRECT(AL$2&amp;(ROW())):INDIRECT(AL$3&amp;(ROW()))))</f>
        <v>0</v>
      </c>
      <c r="AM802" s="88">
        <f ca="1">SUM(INDIRECT(AM$1&amp;AM$2&amp;$C802):INDIRECT(AM$1&amp;AM$3&amp;$C802))</f>
        <v>0</v>
      </c>
      <c r="AN802" s="3247">
        <f t="shared" ca="1" si="1147"/>
        <v>0</v>
      </c>
      <c r="AO802" s="2903">
        <f t="shared" ca="1" si="1148"/>
        <v>0</v>
      </c>
      <c r="AP802" s="88">
        <f ca="1">SUM(INDIRECT(AP$1&amp;AP$2&amp;$A802):INDIRECT(AP$1&amp;AP$3&amp;$A802))+SUM(INDIRECT(AP$1&amp;AP$2&amp;$B802):INDIRECT(AP$1&amp;AP$3&amp;$B802))</f>
        <v>0</v>
      </c>
      <c r="AQ802" s="3247">
        <f t="shared" ca="1" si="1149"/>
        <v>0</v>
      </c>
      <c r="AR802" s="2903">
        <f t="shared" ca="1" si="1150"/>
        <v>0</v>
      </c>
      <c r="AT802" s="17">
        <f ca="1">SUM((INDIRECT(AT$2&amp;(ROW())):INDIRECT(AT$3&amp;(ROW()))))</f>
        <v>0</v>
      </c>
      <c r="AU802" s="88">
        <f ca="1">SUM(INDIRECT(AU$1&amp;AU$2&amp;$C802):INDIRECT(AU$1&amp;AU$3&amp;$C802))</f>
        <v>0</v>
      </c>
      <c r="AV802" s="3247">
        <f t="shared" ca="1" si="1151"/>
        <v>0</v>
      </c>
      <c r="AW802" s="2903">
        <f t="shared" ca="1" si="1152"/>
        <v>0</v>
      </c>
      <c r="AX802" s="88">
        <f ca="1">SUM(INDIRECT(AX$1&amp;AX$2&amp;$A802):INDIRECT(AX$1&amp;AX$3&amp;$A802))+SUM(INDIRECT(AX$1&amp;AX$2&amp;$B802):INDIRECT(AX$1&amp;AX$3&amp;$B802))</f>
        <v>0</v>
      </c>
      <c r="AY802" s="3247">
        <f t="shared" ca="1" si="1153"/>
        <v>0</v>
      </c>
      <c r="AZ802" s="2903">
        <f t="shared" ca="1" si="1154"/>
        <v>0</v>
      </c>
      <c r="BB802" s="17">
        <f ca="1">SUM((INDIRECT(BB$2&amp;(ROW())):INDIRECT(BB$3&amp;(ROW()))))</f>
        <v>0</v>
      </c>
      <c r="BC802" s="88">
        <f ca="1">SUM(INDIRECT(BC$1&amp;BC$2&amp;$C802):INDIRECT(BC$1&amp;BC$3&amp;$C802))</f>
        <v>0</v>
      </c>
      <c r="BD802" s="3247">
        <f t="shared" ca="1" si="1155"/>
        <v>0</v>
      </c>
      <c r="BE802" s="2903">
        <f t="shared" ca="1" si="1156"/>
        <v>0</v>
      </c>
      <c r="BF802" s="88">
        <f ca="1">SUM(INDIRECT(BF$1&amp;BF$2&amp;$A802):INDIRECT(BF$1&amp;BF$3&amp;$A802))+SUM(INDIRECT(BF$1&amp;BF$2&amp;$B802):INDIRECT(BF$1&amp;BF$3&amp;$B802))</f>
        <v>0</v>
      </c>
      <c r="BG802" s="3247">
        <f t="shared" ca="1" si="1157"/>
        <v>0</v>
      </c>
      <c r="BH802" s="2903">
        <f t="shared" ca="1" si="1158"/>
        <v>0</v>
      </c>
    </row>
    <row r="803" spans="1:60" ht="14.5">
      <c r="A803" s="616">
        <f t="shared" si="1196"/>
        <v>732</v>
      </c>
      <c r="B803" s="616">
        <v>1</v>
      </c>
      <c r="C803" s="616">
        <f t="shared" si="1172"/>
        <v>800</v>
      </c>
      <c r="E803" s="2547">
        <v>1</v>
      </c>
      <c r="G803" s="22"/>
      <c r="I803" s="86"/>
      <c r="J803" s="85"/>
      <c r="K803" s="68"/>
      <c r="L803" s="68"/>
      <c r="N803" s="8" t="s">
        <v>525</v>
      </c>
      <c r="Q803" s="1779" t="str">
        <f>CHOOSE(2, "6722000003722", "S/GP (5) Gross Profit Direct ICW-IT OSP service")</f>
        <v>S/GP (5) Gross Profit Direct ICW-IT OSP service</v>
      </c>
      <c r="R803" s="1217">
        <v>0</v>
      </c>
      <c r="S803" s="1217">
        <v>0</v>
      </c>
      <c r="T803" s="1217">
        <v>0</v>
      </c>
      <c r="U803" s="1217">
        <v>0</v>
      </c>
      <c r="V803" s="1217">
        <v>0</v>
      </c>
      <c r="W803" s="1217">
        <v>0</v>
      </c>
      <c r="X803" s="1217">
        <v>0</v>
      </c>
      <c r="Y803" s="1217">
        <v>0</v>
      </c>
      <c r="Z803" s="1217">
        <v>0</v>
      </c>
      <c r="AA803" s="1217">
        <v>0</v>
      </c>
      <c r="AB803" s="1217">
        <v>0</v>
      </c>
      <c r="AC803" s="1217">
        <v>0</v>
      </c>
      <c r="AD803" s="88">
        <f>SUM(R803,S803,T803)</f>
        <v>0</v>
      </c>
      <c r="AE803" s="17">
        <f t="shared" si="1203"/>
        <v>0</v>
      </c>
      <c r="AF803" s="17">
        <f t="shared" si="1204"/>
        <v>0</v>
      </c>
      <c r="AG803" s="17">
        <f t="shared" si="1205"/>
        <v>0</v>
      </c>
      <c r="AH803" s="17">
        <f>AD803+AE803</f>
        <v>0</v>
      </c>
      <c r="AI803" s="17">
        <f>AG803+AF803</f>
        <v>0</v>
      </c>
      <c r="AJ803" s="88">
        <f>AH803+AI803</f>
        <v>0</v>
      </c>
      <c r="AL803" s="17">
        <f ca="1">SUM((INDIRECT(AL$2&amp;(ROW())):INDIRECT(AL$3&amp;(ROW()))))</f>
        <v>0</v>
      </c>
      <c r="AM803" s="88">
        <f ca="1">SUM(INDIRECT(AM$1&amp;AM$2&amp;$C803):INDIRECT(AM$1&amp;AM$3&amp;$C803))</f>
        <v>0</v>
      </c>
      <c r="AN803" s="3247">
        <f t="shared" ca="1" si="1147"/>
        <v>0</v>
      </c>
      <c r="AO803" s="2903">
        <f t="shared" ca="1" si="1148"/>
        <v>0</v>
      </c>
      <c r="AP803" s="88">
        <f ca="1">SUM(INDIRECT(AP$1&amp;AP$2&amp;$A803):INDIRECT(AP$1&amp;AP$3&amp;$A803))+SUM(INDIRECT(AP$1&amp;AP$2&amp;$B803):INDIRECT(AP$1&amp;AP$3&amp;$B803))</f>
        <v>0</v>
      </c>
      <c r="AQ803" s="3247">
        <f t="shared" ca="1" si="1149"/>
        <v>0</v>
      </c>
      <c r="AR803" s="2903">
        <f t="shared" ca="1" si="1150"/>
        <v>0</v>
      </c>
      <c r="AT803" s="17">
        <f ca="1">SUM((INDIRECT(AT$2&amp;(ROW())):INDIRECT(AT$3&amp;(ROW()))))</f>
        <v>0</v>
      </c>
      <c r="AU803" s="88">
        <f ca="1">SUM(INDIRECT(AU$1&amp;AU$2&amp;$C803):INDIRECT(AU$1&amp;AU$3&amp;$C803))</f>
        <v>0</v>
      </c>
      <c r="AV803" s="3247">
        <f t="shared" ca="1" si="1151"/>
        <v>0</v>
      </c>
      <c r="AW803" s="2903">
        <f t="shared" ca="1" si="1152"/>
        <v>0</v>
      </c>
      <c r="AX803" s="88">
        <f ca="1">SUM(INDIRECT(AX$1&amp;AX$2&amp;$A803):INDIRECT(AX$1&amp;AX$3&amp;$A803))+SUM(INDIRECT(AX$1&amp;AX$2&amp;$B803):INDIRECT(AX$1&amp;AX$3&amp;$B803))</f>
        <v>0</v>
      </c>
      <c r="AY803" s="3247">
        <f t="shared" ca="1" si="1153"/>
        <v>0</v>
      </c>
      <c r="AZ803" s="2903">
        <f t="shared" ca="1" si="1154"/>
        <v>0</v>
      </c>
      <c r="BB803" s="17">
        <f ca="1">SUM((INDIRECT(BB$2&amp;(ROW())):INDIRECT(BB$3&amp;(ROW()))))</f>
        <v>0</v>
      </c>
      <c r="BC803" s="88">
        <f ca="1">SUM(INDIRECT(BC$1&amp;BC$2&amp;$C803):INDIRECT(BC$1&amp;BC$3&amp;$C803))</f>
        <v>0</v>
      </c>
      <c r="BD803" s="3247">
        <f t="shared" ca="1" si="1155"/>
        <v>0</v>
      </c>
      <c r="BE803" s="2903">
        <f t="shared" ca="1" si="1156"/>
        <v>0</v>
      </c>
      <c r="BF803" s="88">
        <f ca="1">SUM(INDIRECT(BF$1&amp;BF$2&amp;$A803):INDIRECT(BF$1&amp;BF$3&amp;$A803))+SUM(INDIRECT(BF$1&amp;BF$2&amp;$B803):INDIRECT(BF$1&amp;BF$3&amp;$B803))</f>
        <v>0</v>
      </c>
      <c r="BG803" s="3247">
        <f t="shared" ca="1" si="1157"/>
        <v>0</v>
      </c>
      <c r="BH803" s="2903">
        <f t="shared" ca="1" si="1158"/>
        <v>0</v>
      </c>
    </row>
    <row r="804" spans="1:60" ht="14.5">
      <c r="A804" s="616">
        <f t="shared" si="1196"/>
        <v>733</v>
      </c>
      <c r="B804" s="616">
        <v>1</v>
      </c>
      <c r="C804" s="616">
        <f t="shared" si="1172"/>
        <v>801</v>
      </c>
      <c r="E804" s="2547">
        <v>1</v>
      </c>
      <c r="G804" s="22"/>
      <c r="I804" s="86"/>
      <c r="J804" s="85"/>
      <c r="K804" s="68"/>
      <c r="L804" s="68"/>
      <c r="N804" s="8" t="s">
        <v>526</v>
      </c>
      <c r="P804" s="11"/>
      <c r="Q804" s="1779" t="str">
        <f>CHOOSE(2, "6722000003723", "S/GP (5) Gross Profit Direct ICW-IT RP service")</f>
        <v>S/GP (5) Gross Profit Direct ICW-IT RP service</v>
      </c>
      <c r="R804" s="1218">
        <v>0</v>
      </c>
      <c r="S804" s="1218">
        <v>0</v>
      </c>
      <c r="T804" s="1218">
        <v>0</v>
      </c>
      <c r="U804" s="1218">
        <v>0</v>
      </c>
      <c r="V804" s="1218">
        <v>0</v>
      </c>
      <c r="W804" s="1218">
        <v>0</v>
      </c>
      <c r="X804" s="1218">
        <v>0</v>
      </c>
      <c r="Y804" s="1218">
        <v>0</v>
      </c>
      <c r="Z804" s="1218">
        <v>0</v>
      </c>
      <c r="AA804" s="1218">
        <v>0</v>
      </c>
      <c r="AB804" s="1218">
        <v>0</v>
      </c>
      <c r="AC804" s="1218">
        <v>0</v>
      </c>
      <c r="AD804" s="87">
        <f>SUM(R804,S804,T804)</f>
        <v>0</v>
      </c>
      <c r="AE804" s="15">
        <f t="shared" si="1203"/>
        <v>0</v>
      </c>
      <c r="AF804" s="15">
        <f t="shared" si="1204"/>
        <v>0</v>
      </c>
      <c r="AG804" s="15">
        <f t="shared" si="1205"/>
        <v>0</v>
      </c>
      <c r="AH804" s="15">
        <f>AD804+AE804</f>
        <v>0</v>
      </c>
      <c r="AI804" s="15">
        <f>AG804+AF804</f>
        <v>0</v>
      </c>
      <c r="AJ804" s="87">
        <f>AH804+AI804</f>
        <v>0</v>
      </c>
      <c r="AL804" s="15">
        <f ca="1">SUM((INDIRECT(AL$2&amp;(ROW())):INDIRECT(AL$3&amp;(ROW()))))</f>
        <v>0</v>
      </c>
      <c r="AM804" s="87">
        <f ca="1">SUM(INDIRECT(AM$1&amp;AM$2&amp;$C804):INDIRECT(AM$1&amp;AM$3&amp;$C804))</f>
        <v>444</v>
      </c>
      <c r="AN804" s="3248">
        <f t="shared" ca="1" si="1147"/>
        <v>-444</v>
      </c>
      <c r="AO804" s="2905">
        <f t="shared" ca="1" si="1148"/>
        <v>0</v>
      </c>
      <c r="AP804" s="87">
        <f ca="1">SUM(INDIRECT(AP$1&amp;AP$2&amp;$A804):INDIRECT(AP$1&amp;AP$3&amp;$A804))+SUM(INDIRECT(AP$1&amp;AP$2&amp;$B804):INDIRECT(AP$1&amp;AP$3&amp;$B804))</f>
        <v>0</v>
      </c>
      <c r="AQ804" s="3248">
        <f t="shared" ca="1" si="1149"/>
        <v>0</v>
      </c>
      <c r="AR804" s="2905">
        <f t="shared" ca="1" si="1150"/>
        <v>0</v>
      </c>
      <c r="AT804" s="15">
        <f ca="1">SUM((INDIRECT(AT$2&amp;(ROW())):INDIRECT(AT$3&amp;(ROW()))))</f>
        <v>0</v>
      </c>
      <c r="AU804" s="87">
        <f ca="1">SUM(INDIRECT(AU$1&amp;AU$2&amp;$C804):INDIRECT(AU$1&amp;AU$3&amp;$C804))</f>
        <v>1332</v>
      </c>
      <c r="AV804" s="3248">
        <f t="shared" ca="1" si="1151"/>
        <v>-1332</v>
      </c>
      <c r="AW804" s="2905">
        <f t="shared" ca="1" si="1152"/>
        <v>0</v>
      </c>
      <c r="AX804" s="87">
        <f ca="1">SUM(INDIRECT(AX$1&amp;AX$2&amp;$A804):INDIRECT(AX$1&amp;AX$3&amp;$A804))+SUM(INDIRECT(AX$1&amp;AX$2&amp;$B804):INDIRECT(AX$1&amp;AX$3&amp;$B804))</f>
        <v>0</v>
      </c>
      <c r="AY804" s="3248">
        <f t="shared" ca="1" si="1153"/>
        <v>0</v>
      </c>
      <c r="AZ804" s="2905">
        <f t="shared" ca="1" si="1154"/>
        <v>0</v>
      </c>
      <c r="BB804" s="15">
        <f ca="1">SUM((INDIRECT(BB$2&amp;(ROW())):INDIRECT(BB$3&amp;(ROW()))))</f>
        <v>0</v>
      </c>
      <c r="BC804" s="87">
        <f ca="1">SUM(INDIRECT(BC$1&amp;BC$2&amp;$C804):INDIRECT(BC$1&amp;BC$3&amp;$C804))</f>
        <v>2127.5</v>
      </c>
      <c r="BD804" s="3248">
        <f t="shared" ca="1" si="1155"/>
        <v>-2127.5</v>
      </c>
      <c r="BE804" s="2905">
        <f t="shared" ca="1" si="1156"/>
        <v>0</v>
      </c>
      <c r="BF804" s="87">
        <f ca="1">SUM(INDIRECT(BF$1&amp;BF$2&amp;$A804):INDIRECT(BF$1&amp;BF$3&amp;$A804))+SUM(INDIRECT(BF$1&amp;BF$2&amp;$B804):INDIRECT(BF$1&amp;BF$3&amp;$B804))</f>
        <v>0</v>
      </c>
      <c r="BG804" s="3248">
        <f t="shared" ca="1" si="1157"/>
        <v>0</v>
      </c>
      <c r="BH804" s="2905">
        <f t="shared" ca="1" si="1158"/>
        <v>0</v>
      </c>
    </row>
    <row r="805" spans="1:60" ht="14.5">
      <c r="A805" s="616">
        <f t="shared" si="1196"/>
        <v>734</v>
      </c>
      <c r="B805" s="616">
        <v>1</v>
      </c>
      <c r="C805" s="616">
        <f t="shared" si="1172"/>
        <v>802</v>
      </c>
      <c r="E805" s="2547">
        <v>1</v>
      </c>
      <c r="G805" s="22"/>
      <c r="I805" s="86"/>
      <c r="J805" s="85"/>
      <c r="K805" s="68"/>
      <c r="L805" s="68"/>
      <c r="M805" s="487" t="s">
        <v>1430</v>
      </c>
      <c r="N805" s="284"/>
      <c r="O805" s="284"/>
      <c r="P805" s="284"/>
      <c r="Q805" s="1777" t="str">
        <f>CHOOSE(2, "6722000003724", "S/GP (5) Gross Profit Direct MCS")</f>
        <v>S/GP (5) Gross Profit Direct MCS</v>
      </c>
      <c r="R805" s="287">
        <f>SUM(R806:R809)</f>
        <v>155</v>
      </c>
      <c r="S805" s="3257">
        <f t="shared" ref="S805:AJ805" si="1206">SUM(S806:S809)</f>
        <v>130</v>
      </c>
      <c r="T805" s="287">
        <f t="shared" si="1206"/>
        <v>184</v>
      </c>
      <c r="U805" s="287">
        <f t="shared" si="1206"/>
        <v>176</v>
      </c>
      <c r="V805" s="287">
        <f t="shared" si="1206"/>
        <v>461</v>
      </c>
      <c r="W805" s="287">
        <f t="shared" si="1206"/>
        <v>22</v>
      </c>
      <c r="X805" s="287">
        <f t="shared" si="1206"/>
        <v>198</v>
      </c>
      <c r="Y805" s="287">
        <f t="shared" si="1206"/>
        <v>407</v>
      </c>
      <c r="Z805" s="287">
        <f t="shared" si="1206"/>
        <v>0</v>
      </c>
      <c r="AA805" s="287">
        <f t="shared" si="1206"/>
        <v>22</v>
      </c>
      <c r="AB805" s="287">
        <f t="shared" si="1206"/>
        <v>362</v>
      </c>
      <c r="AC805" s="287">
        <f t="shared" si="1206"/>
        <v>401</v>
      </c>
      <c r="AD805" s="315">
        <f t="shared" si="1206"/>
        <v>469</v>
      </c>
      <c r="AE805" s="287">
        <f t="shared" si="1206"/>
        <v>659</v>
      </c>
      <c r="AF805" s="287">
        <f t="shared" si="1206"/>
        <v>605</v>
      </c>
      <c r="AG805" s="287">
        <f t="shared" si="1206"/>
        <v>785</v>
      </c>
      <c r="AH805" s="287">
        <f t="shared" si="1206"/>
        <v>1128</v>
      </c>
      <c r="AI805" s="287">
        <f t="shared" si="1206"/>
        <v>1390</v>
      </c>
      <c r="AJ805" s="315">
        <f t="shared" si="1206"/>
        <v>2518</v>
      </c>
      <c r="AL805" s="287">
        <f ca="1">SUM((INDIRECT(AL$2&amp;(ROW())):INDIRECT(AL$3&amp;(ROW()))))</f>
        <v>401</v>
      </c>
      <c r="AM805" s="315">
        <f ca="1">SUM(INDIRECT(AM$1&amp;AM$2&amp;$C805):INDIRECT(AM$1&amp;AM$3&amp;$C805))</f>
        <v>444</v>
      </c>
      <c r="AN805" s="3277">
        <f t="shared" ca="1" si="1147"/>
        <v>-43</v>
      </c>
      <c r="AO805" s="2932">
        <f t="shared" ca="1" si="1148"/>
        <v>0.90315315315315314</v>
      </c>
      <c r="AP805" s="315">
        <f ca="1">SUM(INDIRECT(AP$1&amp;AP$2&amp;$A805):INDIRECT(AP$1&amp;AP$3&amp;$A805))+SUM(INDIRECT(AP$1&amp;AP$2&amp;$B805):INDIRECT(AP$1&amp;AP$3&amp;$B805))</f>
        <v>0</v>
      </c>
      <c r="AQ805" s="3277">
        <f t="shared" ca="1" si="1149"/>
        <v>401</v>
      </c>
      <c r="AR805" s="2932">
        <f t="shared" ca="1" si="1150"/>
        <v>0</v>
      </c>
      <c r="AT805" s="287">
        <f ca="1">SUM((INDIRECT(AT$2&amp;(ROW())):INDIRECT(AT$3&amp;(ROW()))))</f>
        <v>785</v>
      </c>
      <c r="AU805" s="315">
        <f ca="1">SUM(INDIRECT(AU$1&amp;AU$2&amp;$C805):INDIRECT(AU$1&amp;AU$3&amp;$C805))</f>
        <v>1332</v>
      </c>
      <c r="AV805" s="3277">
        <f t="shared" ca="1" si="1151"/>
        <v>-547</v>
      </c>
      <c r="AW805" s="2932">
        <f t="shared" ca="1" si="1152"/>
        <v>0.58933933933933935</v>
      </c>
      <c r="AX805" s="315">
        <f ca="1">SUM(INDIRECT(AX$1&amp;AX$2&amp;$A805):INDIRECT(AX$1&amp;AX$3&amp;$A805))+SUM(INDIRECT(AX$1&amp;AX$2&amp;$B805):INDIRECT(AX$1&amp;AX$3&amp;$B805))</f>
        <v>0</v>
      </c>
      <c r="AY805" s="3277">
        <f t="shared" ca="1" si="1153"/>
        <v>785</v>
      </c>
      <c r="AZ805" s="2932">
        <f t="shared" ca="1" si="1154"/>
        <v>0</v>
      </c>
      <c r="BB805" s="287">
        <f ca="1">SUM((INDIRECT(BB$2&amp;(ROW())):INDIRECT(BB$3&amp;(ROW()))))</f>
        <v>2518</v>
      </c>
      <c r="BC805" s="315">
        <f ca="1">SUM(INDIRECT(BC$1&amp;BC$2&amp;$C805):INDIRECT(BC$1&amp;BC$3&amp;$C805))</f>
        <v>2127.5</v>
      </c>
      <c r="BD805" s="3277">
        <f t="shared" ca="1" si="1155"/>
        <v>390.5</v>
      </c>
      <c r="BE805" s="2932">
        <f t="shared" ca="1" si="1156"/>
        <v>1.1835487661574617</v>
      </c>
      <c r="BF805" s="315">
        <f ca="1">SUM(INDIRECT(BF$1&amp;BF$2&amp;$A805):INDIRECT(BF$1&amp;BF$3&amp;$A805))+SUM(INDIRECT(BF$1&amp;BF$2&amp;$B805):INDIRECT(BF$1&amp;BF$3&amp;$B805))</f>
        <v>0</v>
      </c>
      <c r="BG805" s="3277">
        <f t="shared" ca="1" si="1157"/>
        <v>2518</v>
      </c>
      <c r="BH805" s="2932">
        <f t="shared" ca="1" si="1158"/>
        <v>0</v>
      </c>
    </row>
    <row r="806" spans="1:60" ht="14.5">
      <c r="A806" s="616">
        <f t="shared" si="1196"/>
        <v>735</v>
      </c>
      <c r="B806" s="616">
        <v>1</v>
      </c>
      <c r="C806" s="616">
        <f t="shared" si="1172"/>
        <v>803</v>
      </c>
      <c r="E806" s="2547">
        <v>1</v>
      </c>
      <c r="G806" s="22"/>
      <c r="I806" s="86"/>
      <c r="J806" s="85"/>
      <c r="K806" s="68"/>
      <c r="L806" s="68"/>
      <c r="N806" s="97" t="s">
        <v>523</v>
      </c>
      <c r="O806" s="97"/>
      <c r="P806" s="97"/>
      <c r="Q806" s="1779" t="str">
        <f>CHOOSE(2, "6722000003725", "S/GP (5) Gross Profit Direct MCS OSP")</f>
        <v>S/GP (5) Gross Profit Direct MCS OSP</v>
      </c>
      <c r="R806" s="1227">
        <v>0</v>
      </c>
      <c r="S806" s="1247">
        <v>0</v>
      </c>
      <c r="T806" s="1227">
        <v>0</v>
      </c>
      <c r="U806" s="1227">
        <v>0</v>
      </c>
      <c r="V806" s="1227">
        <v>0</v>
      </c>
      <c r="W806" s="1227">
        <v>0</v>
      </c>
      <c r="X806" s="1227">
        <v>0</v>
      </c>
      <c r="Y806" s="1227">
        <v>0</v>
      </c>
      <c r="Z806" s="1227">
        <v>0</v>
      </c>
      <c r="AA806" s="1227">
        <v>0</v>
      </c>
      <c r="AB806" s="1227">
        <v>0</v>
      </c>
      <c r="AC806" s="1227">
        <v>0</v>
      </c>
      <c r="AD806" s="295">
        <f>SUM(R806,S806,T806)</f>
        <v>0</v>
      </c>
      <c r="AE806" s="96">
        <f t="shared" ref="AE806:AE809" si="1207">SUM(U806,V806,W806)</f>
        <v>0</v>
      </c>
      <c r="AF806" s="96">
        <f t="shared" ref="AF806:AF809" si="1208">SUM(X806,Y806,Z806)</f>
        <v>0</v>
      </c>
      <c r="AG806" s="96">
        <f t="shared" ref="AG806:AG809" si="1209">SUM(AA806,AB806,AC806)</f>
        <v>0</v>
      </c>
      <c r="AH806" s="96">
        <f t="shared" ref="AH806:AH809" si="1210">AD806+AE806</f>
        <v>0</v>
      </c>
      <c r="AI806" s="96">
        <f t="shared" ref="AI806:AI809" si="1211">AG806+AF806</f>
        <v>0</v>
      </c>
      <c r="AJ806" s="295">
        <f t="shared" ref="AJ806:AJ809" si="1212">AH806+AI806</f>
        <v>0</v>
      </c>
      <c r="AL806" s="96">
        <f ca="1">SUM((INDIRECT(AL$2&amp;(ROW())):INDIRECT(AL$3&amp;(ROW()))))</f>
        <v>0</v>
      </c>
      <c r="AM806" s="295">
        <f ca="1">SUM(INDIRECT(AM$1&amp;AM$2&amp;$C806):INDIRECT(AM$1&amp;AM$3&amp;$C806))</f>
        <v>0</v>
      </c>
      <c r="AN806" s="3246">
        <f t="shared" ca="1" si="1147"/>
        <v>0</v>
      </c>
      <c r="AO806" s="2901">
        <f t="shared" ca="1" si="1148"/>
        <v>0</v>
      </c>
      <c r="AP806" s="295">
        <f ca="1">SUM(INDIRECT(AP$1&amp;AP$2&amp;$A806):INDIRECT(AP$1&amp;AP$3&amp;$A806))+SUM(INDIRECT(AP$1&amp;AP$2&amp;$B806):INDIRECT(AP$1&amp;AP$3&amp;$B806))</f>
        <v>0</v>
      </c>
      <c r="AQ806" s="3246">
        <f t="shared" ca="1" si="1149"/>
        <v>0</v>
      </c>
      <c r="AR806" s="2901">
        <f t="shared" ca="1" si="1150"/>
        <v>0</v>
      </c>
      <c r="AT806" s="96">
        <f ca="1">SUM((INDIRECT(AT$2&amp;(ROW())):INDIRECT(AT$3&amp;(ROW()))))</f>
        <v>0</v>
      </c>
      <c r="AU806" s="295">
        <f ca="1">SUM(INDIRECT(AU$1&amp;AU$2&amp;$C806):INDIRECT(AU$1&amp;AU$3&amp;$C806))</f>
        <v>150</v>
      </c>
      <c r="AV806" s="3246">
        <f t="shared" ca="1" si="1151"/>
        <v>-150</v>
      </c>
      <c r="AW806" s="2901">
        <f t="shared" ca="1" si="1152"/>
        <v>0</v>
      </c>
      <c r="AX806" s="295">
        <f ca="1">SUM(INDIRECT(AX$1&amp;AX$2&amp;$A806):INDIRECT(AX$1&amp;AX$3&amp;$A806))+SUM(INDIRECT(AX$1&amp;AX$2&amp;$B806):INDIRECT(AX$1&amp;AX$3&amp;$B806))</f>
        <v>0</v>
      </c>
      <c r="AY806" s="3246">
        <f t="shared" ca="1" si="1153"/>
        <v>0</v>
      </c>
      <c r="AZ806" s="2901">
        <f t="shared" ca="1" si="1154"/>
        <v>0</v>
      </c>
      <c r="BB806" s="96">
        <f ca="1">SUM((INDIRECT(BB$2&amp;(ROW())):INDIRECT(BB$3&amp;(ROW()))))</f>
        <v>0</v>
      </c>
      <c r="BC806" s="295">
        <f ca="1">SUM(INDIRECT(BC$1&amp;BC$2&amp;$C806):INDIRECT(BC$1&amp;BC$3&amp;$C806))</f>
        <v>300</v>
      </c>
      <c r="BD806" s="3246">
        <f t="shared" ca="1" si="1155"/>
        <v>-300</v>
      </c>
      <c r="BE806" s="2901">
        <f t="shared" ca="1" si="1156"/>
        <v>0</v>
      </c>
      <c r="BF806" s="295">
        <f ca="1">SUM(INDIRECT(BF$1&amp;BF$2&amp;$A806):INDIRECT(BF$1&amp;BF$3&amp;$A806))+SUM(INDIRECT(BF$1&amp;BF$2&amp;$B806):INDIRECT(BF$1&amp;BF$3&amp;$B806))</f>
        <v>0</v>
      </c>
      <c r="BG806" s="3246">
        <f t="shared" ca="1" si="1157"/>
        <v>0</v>
      </c>
      <c r="BH806" s="2901">
        <f t="shared" ca="1" si="1158"/>
        <v>0</v>
      </c>
    </row>
    <row r="807" spans="1:60" ht="14.5">
      <c r="A807" s="616">
        <f t="shared" si="1196"/>
        <v>736</v>
      </c>
      <c r="B807" s="616">
        <v>1</v>
      </c>
      <c r="C807" s="616">
        <f t="shared" si="1172"/>
        <v>804</v>
      </c>
      <c r="E807" s="2547">
        <v>1</v>
      </c>
      <c r="G807" s="22"/>
      <c r="I807" s="86"/>
      <c r="J807" s="85"/>
      <c r="K807" s="68"/>
      <c r="L807" s="68"/>
      <c r="N807" s="8" t="s">
        <v>524</v>
      </c>
      <c r="Q807" s="1779" t="str">
        <f>CHOOSE(2, "6722000003726", "S/GP (5) Gross Profit Direct MCS RP")</f>
        <v>S/GP (5) Gross Profit Direct MCS RP</v>
      </c>
      <c r="R807" s="1217">
        <v>155</v>
      </c>
      <c r="S807" s="1224">
        <v>130</v>
      </c>
      <c r="T807" s="1217">
        <v>184</v>
      </c>
      <c r="U807" s="1217">
        <v>176</v>
      </c>
      <c r="V807" s="1217">
        <v>461</v>
      </c>
      <c r="W807" s="1217">
        <v>22</v>
      </c>
      <c r="X807" s="1217">
        <v>198</v>
      </c>
      <c r="Y807" s="1217">
        <v>407</v>
      </c>
      <c r="Z807" s="1217">
        <v>0</v>
      </c>
      <c r="AA807" s="1217">
        <v>22</v>
      </c>
      <c r="AB807" s="1217">
        <v>362</v>
      </c>
      <c r="AC807" s="1217">
        <v>401</v>
      </c>
      <c r="AD807" s="88">
        <f>SUM(R807,S807,T807)</f>
        <v>469</v>
      </c>
      <c r="AE807" s="17">
        <f t="shared" si="1207"/>
        <v>659</v>
      </c>
      <c r="AF807" s="17">
        <f t="shared" si="1208"/>
        <v>605</v>
      </c>
      <c r="AG807" s="17">
        <f t="shared" si="1209"/>
        <v>785</v>
      </c>
      <c r="AH807" s="17">
        <f t="shared" si="1210"/>
        <v>1128</v>
      </c>
      <c r="AI807" s="17">
        <f t="shared" si="1211"/>
        <v>1390</v>
      </c>
      <c r="AJ807" s="88">
        <f t="shared" si="1212"/>
        <v>2518</v>
      </c>
      <c r="AL807" s="17">
        <f ca="1">SUM((INDIRECT(AL$2&amp;(ROW())):INDIRECT(AL$3&amp;(ROW()))))</f>
        <v>401</v>
      </c>
      <c r="AM807" s="88">
        <f ca="1">SUM(INDIRECT(AM$1&amp;AM$2&amp;$C807):INDIRECT(AM$1&amp;AM$3&amp;$C807))</f>
        <v>0</v>
      </c>
      <c r="AN807" s="3247">
        <f t="shared" ca="1" si="1147"/>
        <v>401</v>
      </c>
      <c r="AO807" s="2903">
        <f t="shared" ca="1" si="1148"/>
        <v>0</v>
      </c>
      <c r="AP807" s="88">
        <f ca="1">SUM(INDIRECT(AP$1&amp;AP$2&amp;$A807):INDIRECT(AP$1&amp;AP$3&amp;$A807))+SUM(INDIRECT(AP$1&amp;AP$2&amp;$B807):INDIRECT(AP$1&amp;AP$3&amp;$B807))</f>
        <v>0</v>
      </c>
      <c r="AQ807" s="3247">
        <f t="shared" ca="1" si="1149"/>
        <v>401</v>
      </c>
      <c r="AR807" s="2903">
        <f t="shared" ca="1" si="1150"/>
        <v>0</v>
      </c>
      <c r="AT807" s="17">
        <f ca="1">SUM((INDIRECT(AT$2&amp;(ROW())):INDIRECT(AT$3&amp;(ROW()))))</f>
        <v>785</v>
      </c>
      <c r="AU807" s="88">
        <f ca="1">SUM(INDIRECT(AU$1&amp;AU$2&amp;$C807):INDIRECT(AU$1&amp;AU$3&amp;$C807))</f>
        <v>0</v>
      </c>
      <c r="AV807" s="3247">
        <f t="shared" ca="1" si="1151"/>
        <v>785</v>
      </c>
      <c r="AW807" s="2903">
        <f t="shared" ca="1" si="1152"/>
        <v>0</v>
      </c>
      <c r="AX807" s="88">
        <f ca="1">SUM(INDIRECT(AX$1&amp;AX$2&amp;$A807):INDIRECT(AX$1&amp;AX$3&amp;$A807))+SUM(INDIRECT(AX$1&amp;AX$2&amp;$B807):INDIRECT(AX$1&amp;AX$3&amp;$B807))</f>
        <v>0</v>
      </c>
      <c r="AY807" s="3247">
        <f t="shared" ca="1" si="1153"/>
        <v>785</v>
      </c>
      <c r="AZ807" s="2903">
        <f t="shared" ca="1" si="1154"/>
        <v>0</v>
      </c>
      <c r="BB807" s="17">
        <f ca="1">SUM((INDIRECT(BB$2&amp;(ROW())):INDIRECT(BB$3&amp;(ROW()))))</f>
        <v>2518</v>
      </c>
      <c r="BC807" s="88">
        <f ca="1">SUM(INDIRECT(BC$1&amp;BC$2&amp;$C807):INDIRECT(BC$1&amp;BC$3&amp;$C807))</f>
        <v>0</v>
      </c>
      <c r="BD807" s="3247">
        <f t="shared" ca="1" si="1155"/>
        <v>2518</v>
      </c>
      <c r="BE807" s="2903">
        <f t="shared" ca="1" si="1156"/>
        <v>0</v>
      </c>
      <c r="BF807" s="88">
        <f ca="1">SUM(INDIRECT(BF$1&amp;BF$2&amp;$A807):INDIRECT(BF$1&amp;BF$3&amp;$A807))+SUM(INDIRECT(BF$1&amp;BF$2&amp;$B807):INDIRECT(BF$1&amp;BF$3&amp;$B807))</f>
        <v>0</v>
      </c>
      <c r="BG807" s="3247">
        <f t="shared" ca="1" si="1157"/>
        <v>2518</v>
      </c>
      <c r="BH807" s="2903">
        <f t="shared" ca="1" si="1158"/>
        <v>0</v>
      </c>
    </row>
    <row r="808" spans="1:60" ht="14.5">
      <c r="A808" s="616">
        <f t="shared" si="1196"/>
        <v>737</v>
      </c>
      <c r="B808" s="616">
        <v>1</v>
      </c>
      <c r="C808" s="616">
        <f t="shared" si="1172"/>
        <v>805</v>
      </c>
      <c r="E808" s="2547">
        <v>1</v>
      </c>
      <c r="G808" s="22"/>
      <c r="I808" s="86"/>
      <c r="J808" s="85"/>
      <c r="K808" s="68"/>
      <c r="L808" s="68"/>
      <c r="N808" s="8" t="s">
        <v>525</v>
      </c>
      <c r="Q808" s="1779" t="str">
        <f>CHOOSE(2, "6722000003727", "S/GP (5) Gross Profit Direct MCS OSP service")</f>
        <v>S/GP (5) Gross Profit Direct MCS OSP service</v>
      </c>
      <c r="R808" s="1217">
        <v>0</v>
      </c>
      <c r="S808" s="1217">
        <v>0</v>
      </c>
      <c r="T808" s="1217">
        <v>0</v>
      </c>
      <c r="U808" s="1217">
        <v>0</v>
      </c>
      <c r="V808" s="1217">
        <v>0</v>
      </c>
      <c r="W808" s="1217">
        <v>0</v>
      </c>
      <c r="X808" s="1217">
        <v>0</v>
      </c>
      <c r="Y808" s="1217">
        <v>0</v>
      </c>
      <c r="Z808" s="1217">
        <v>0</v>
      </c>
      <c r="AA808" s="1217">
        <v>0</v>
      </c>
      <c r="AB808" s="1217">
        <v>0</v>
      </c>
      <c r="AC808" s="1217">
        <v>0</v>
      </c>
      <c r="AD808" s="88">
        <f>SUM(R808,S808,T808)</f>
        <v>0</v>
      </c>
      <c r="AE808" s="17">
        <f t="shared" si="1207"/>
        <v>0</v>
      </c>
      <c r="AF808" s="17">
        <f t="shared" si="1208"/>
        <v>0</v>
      </c>
      <c r="AG808" s="17">
        <f t="shared" si="1209"/>
        <v>0</v>
      </c>
      <c r="AH808" s="17">
        <f t="shared" si="1210"/>
        <v>0</v>
      </c>
      <c r="AI808" s="17">
        <f t="shared" si="1211"/>
        <v>0</v>
      </c>
      <c r="AJ808" s="88">
        <f t="shared" si="1212"/>
        <v>0</v>
      </c>
      <c r="AL808" s="17">
        <f ca="1">SUM((INDIRECT(AL$2&amp;(ROW())):INDIRECT(AL$3&amp;(ROW()))))</f>
        <v>0</v>
      </c>
      <c r="AM808" s="88">
        <f ca="1">SUM(INDIRECT(AM$1&amp;AM$2&amp;$C808):INDIRECT(AM$1&amp;AM$3&amp;$C808))</f>
        <v>0</v>
      </c>
      <c r="AN808" s="3247">
        <f t="shared" ca="1" si="1147"/>
        <v>0</v>
      </c>
      <c r="AO808" s="2903">
        <f t="shared" ca="1" si="1148"/>
        <v>0</v>
      </c>
      <c r="AP808" s="88">
        <f ca="1">SUM(INDIRECT(AP$1&amp;AP$2&amp;$A808):INDIRECT(AP$1&amp;AP$3&amp;$A808))+SUM(INDIRECT(AP$1&amp;AP$2&amp;$B808):INDIRECT(AP$1&amp;AP$3&amp;$B808))</f>
        <v>0</v>
      </c>
      <c r="AQ808" s="3247">
        <f t="shared" ca="1" si="1149"/>
        <v>0</v>
      </c>
      <c r="AR808" s="2903">
        <f t="shared" ca="1" si="1150"/>
        <v>0</v>
      </c>
      <c r="AT808" s="17">
        <f ca="1">SUM((INDIRECT(AT$2&amp;(ROW())):INDIRECT(AT$3&amp;(ROW()))))</f>
        <v>0</v>
      </c>
      <c r="AU808" s="88">
        <f ca="1">SUM(INDIRECT(AU$1&amp;AU$2&amp;$C808):INDIRECT(AU$1&amp;AU$3&amp;$C808))</f>
        <v>150</v>
      </c>
      <c r="AV808" s="3247">
        <f t="shared" ca="1" si="1151"/>
        <v>-150</v>
      </c>
      <c r="AW808" s="2903">
        <f t="shared" ca="1" si="1152"/>
        <v>0</v>
      </c>
      <c r="AX808" s="88">
        <f ca="1">SUM(INDIRECT(AX$1&amp;AX$2&amp;$A808):INDIRECT(AX$1&amp;AX$3&amp;$A808))+SUM(INDIRECT(AX$1&amp;AX$2&amp;$B808):INDIRECT(AX$1&amp;AX$3&amp;$B808))</f>
        <v>0</v>
      </c>
      <c r="AY808" s="3247">
        <f t="shared" ca="1" si="1153"/>
        <v>0</v>
      </c>
      <c r="AZ808" s="2903">
        <f t="shared" ca="1" si="1154"/>
        <v>0</v>
      </c>
      <c r="BB808" s="17">
        <f ca="1">SUM((INDIRECT(BB$2&amp;(ROW())):INDIRECT(BB$3&amp;(ROW()))))</f>
        <v>0</v>
      </c>
      <c r="BC808" s="88">
        <f ca="1">SUM(INDIRECT(BC$1&amp;BC$2&amp;$C808):INDIRECT(BC$1&amp;BC$3&amp;$C808))</f>
        <v>300</v>
      </c>
      <c r="BD808" s="3247">
        <f t="shared" ca="1" si="1155"/>
        <v>-300</v>
      </c>
      <c r="BE808" s="2903">
        <f t="shared" ca="1" si="1156"/>
        <v>0</v>
      </c>
      <c r="BF808" s="88">
        <f ca="1">SUM(INDIRECT(BF$1&amp;BF$2&amp;$A808):INDIRECT(BF$1&amp;BF$3&amp;$A808))+SUM(INDIRECT(BF$1&amp;BF$2&amp;$B808):INDIRECT(BF$1&amp;BF$3&amp;$B808))</f>
        <v>0</v>
      </c>
      <c r="BG808" s="3247">
        <f t="shared" ca="1" si="1157"/>
        <v>0</v>
      </c>
      <c r="BH808" s="2903">
        <f t="shared" ca="1" si="1158"/>
        <v>0</v>
      </c>
    </row>
    <row r="809" spans="1:60" ht="14.5">
      <c r="A809" s="616">
        <f t="shared" si="1196"/>
        <v>738</v>
      </c>
      <c r="B809" s="616">
        <v>1</v>
      </c>
      <c r="C809" s="616">
        <f t="shared" si="1172"/>
        <v>806</v>
      </c>
      <c r="E809" s="2547">
        <v>1</v>
      </c>
      <c r="G809" s="22"/>
      <c r="I809" s="86"/>
      <c r="J809" s="85"/>
      <c r="K809" s="68"/>
      <c r="L809" s="68"/>
      <c r="N809" s="8" t="s">
        <v>526</v>
      </c>
      <c r="P809" s="11"/>
      <c r="Q809" s="1779" t="str">
        <f>CHOOSE(2, "6722000003728", "S/GP (5) Gross Profit Direct MCS RP service")</f>
        <v>S/GP (5) Gross Profit Direct MCS RP service</v>
      </c>
      <c r="R809" s="1218">
        <v>0</v>
      </c>
      <c r="S809" s="1218">
        <v>0</v>
      </c>
      <c r="T809" s="1218">
        <v>0</v>
      </c>
      <c r="U809" s="1218">
        <v>0</v>
      </c>
      <c r="V809" s="1218">
        <v>0</v>
      </c>
      <c r="W809" s="1218">
        <v>0</v>
      </c>
      <c r="X809" s="1218">
        <v>0</v>
      </c>
      <c r="Y809" s="1218">
        <v>0</v>
      </c>
      <c r="Z809" s="1218">
        <v>0</v>
      </c>
      <c r="AA809" s="1218">
        <v>0</v>
      </c>
      <c r="AB809" s="1218">
        <v>0</v>
      </c>
      <c r="AC809" s="1218">
        <v>0</v>
      </c>
      <c r="AD809" s="87">
        <f>SUM(R809,S809,T809)</f>
        <v>0</v>
      </c>
      <c r="AE809" s="15">
        <f t="shared" si="1207"/>
        <v>0</v>
      </c>
      <c r="AF809" s="15">
        <f t="shared" si="1208"/>
        <v>0</v>
      </c>
      <c r="AG809" s="15">
        <f t="shared" si="1209"/>
        <v>0</v>
      </c>
      <c r="AH809" s="15">
        <f t="shared" si="1210"/>
        <v>0</v>
      </c>
      <c r="AI809" s="15">
        <f t="shared" si="1211"/>
        <v>0</v>
      </c>
      <c r="AJ809" s="87">
        <f t="shared" si="1212"/>
        <v>0</v>
      </c>
      <c r="AL809" s="15">
        <f ca="1">SUM((INDIRECT(AL$2&amp;(ROW())):INDIRECT(AL$3&amp;(ROW()))))</f>
        <v>0</v>
      </c>
      <c r="AM809" s="87">
        <f ca="1">SUM(INDIRECT(AM$1&amp;AM$2&amp;$C809):INDIRECT(AM$1&amp;AM$3&amp;$C809))</f>
        <v>0</v>
      </c>
      <c r="AN809" s="3248">
        <f t="shared" ca="1" si="1147"/>
        <v>0</v>
      </c>
      <c r="AO809" s="2905">
        <f t="shared" ca="1" si="1148"/>
        <v>0</v>
      </c>
      <c r="AP809" s="87">
        <f ca="1">SUM(INDIRECT(AP$1&amp;AP$2&amp;$A809):INDIRECT(AP$1&amp;AP$3&amp;$A809))+SUM(INDIRECT(AP$1&amp;AP$2&amp;$B809):INDIRECT(AP$1&amp;AP$3&amp;$B809))</f>
        <v>0</v>
      </c>
      <c r="AQ809" s="3248">
        <f t="shared" ca="1" si="1149"/>
        <v>0</v>
      </c>
      <c r="AR809" s="2905">
        <f t="shared" ca="1" si="1150"/>
        <v>0</v>
      </c>
      <c r="AT809" s="15">
        <f ca="1">SUM((INDIRECT(AT$2&amp;(ROW())):INDIRECT(AT$3&amp;(ROW()))))</f>
        <v>0</v>
      </c>
      <c r="AU809" s="87">
        <f ca="1">SUM(INDIRECT(AU$1&amp;AU$2&amp;$C809):INDIRECT(AU$1&amp;AU$3&amp;$C809))</f>
        <v>0</v>
      </c>
      <c r="AV809" s="3248">
        <f t="shared" ca="1" si="1151"/>
        <v>0</v>
      </c>
      <c r="AW809" s="2905">
        <f t="shared" ca="1" si="1152"/>
        <v>0</v>
      </c>
      <c r="AX809" s="87">
        <f ca="1">SUM(INDIRECT(AX$1&amp;AX$2&amp;$A809):INDIRECT(AX$1&amp;AX$3&amp;$A809))+SUM(INDIRECT(AX$1&amp;AX$2&amp;$B809):INDIRECT(AX$1&amp;AX$3&amp;$B809))</f>
        <v>0</v>
      </c>
      <c r="AY809" s="3248">
        <f t="shared" ca="1" si="1153"/>
        <v>0</v>
      </c>
      <c r="AZ809" s="2905">
        <f t="shared" ca="1" si="1154"/>
        <v>0</v>
      </c>
      <c r="BB809" s="15">
        <f ca="1">SUM((INDIRECT(BB$2&amp;(ROW())):INDIRECT(BB$3&amp;(ROW()))))</f>
        <v>0</v>
      </c>
      <c r="BC809" s="87">
        <f ca="1">SUM(INDIRECT(BC$1&amp;BC$2&amp;$C809):INDIRECT(BC$1&amp;BC$3&amp;$C809))</f>
        <v>0</v>
      </c>
      <c r="BD809" s="3248">
        <f t="shared" ca="1" si="1155"/>
        <v>0</v>
      </c>
      <c r="BE809" s="2905">
        <f t="shared" ca="1" si="1156"/>
        <v>0</v>
      </c>
      <c r="BF809" s="87">
        <f ca="1">SUM(INDIRECT(BF$1&amp;BF$2&amp;$A809):INDIRECT(BF$1&amp;BF$3&amp;$A809))+SUM(INDIRECT(BF$1&amp;BF$2&amp;$B809):INDIRECT(BF$1&amp;BF$3&amp;$B809))</f>
        <v>0</v>
      </c>
      <c r="BG809" s="3248">
        <f t="shared" ca="1" si="1157"/>
        <v>0</v>
      </c>
      <c r="BH809" s="2905">
        <f t="shared" ca="1" si="1158"/>
        <v>0</v>
      </c>
    </row>
    <row r="810" spans="1:60" ht="14.5">
      <c r="A810" s="616">
        <f t="shared" si="1196"/>
        <v>739</v>
      </c>
      <c r="B810" s="616">
        <v>1</v>
      </c>
      <c r="C810" s="616">
        <f t="shared" si="1172"/>
        <v>807</v>
      </c>
      <c r="E810" s="2547">
        <v>1</v>
      </c>
      <c r="G810" s="22"/>
      <c r="I810" s="86"/>
      <c r="J810" s="85"/>
      <c r="K810" s="68"/>
      <c r="L810" s="68"/>
      <c r="M810" s="487" t="s">
        <v>602</v>
      </c>
      <c r="N810" s="284"/>
      <c r="O810" s="284"/>
      <c r="P810" s="284"/>
      <c r="Q810" s="1777" t="str">
        <f>CHOOSE(2, "6722000003729", "S/GP (5) Gross Profit Direct BPS")</f>
        <v>S/GP (5) Gross Profit Direct BPS</v>
      </c>
      <c r="R810" s="287">
        <f>SUM(R811:R814)</f>
        <v>0</v>
      </c>
      <c r="S810" s="3257">
        <f t="shared" ref="S810:AJ810" si="1213">SUM(S811:S814)</f>
        <v>0</v>
      </c>
      <c r="T810" s="287">
        <f t="shared" si="1213"/>
        <v>0</v>
      </c>
      <c r="U810" s="287">
        <f t="shared" si="1213"/>
        <v>0</v>
      </c>
      <c r="V810" s="287">
        <f t="shared" si="1213"/>
        <v>0</v>
      </c>
      <c r="W810" s="287">
        <f t="shared" si="1213"/>
        <v>0</v>
      </c>
      <c r="X810" s="287">
        <f t="shared" si="1213"/>
        <v>0</v>
      </c>
      <c r="Y810" s="287">
        <f t="shared" si="1213"/>
        <v>0</v>
      </c>
      <c r="Z810" s="287">
        <f t="shared" si="1213"/>
        <v>0</v>
      </c>
      <c r="AA810" s="287">
        <f t="shared" si="1213"/>
        <v>0</v>
      </c>
      <c r="AB810" s="287">
        <f t="shared" si="1213"/>
        <v>0</v>
      </c>
      <c r="AC810" s="287">
        <f t="shared" si="1213"/>
        <v>0</v>
      </c>
      <c r="AD810" s="315">
        <f t="shared" si="1213"/>
        <v>0</v>
      </c>
      <c r="AE810" s="287">
        <f t="shared" si="1213"/>
        <v>0</v>
      </c>
      <c r="AF810" s="287">
        <f t="shared" si="1213"/>
        <v>0</v>
      </c>
      <c r="AG810" s="287">
        <f t="shared" si="1213"/>
        <v>0</v>
      </c>
      <c r="AH810" s="287">
        <f t="shared" si="1213"/>
        <v>0</v>
      </c>
      <c r="AI810" s="287">
        <f t="shared" si="1213"/>
        <v>0</v>
      </c>
      <c r="AJ810" s="315">
        <f t="shared" si="1213"/>
        <v>0</v>
      </c>
      <c r="AL810" s="287">
        <f ca="1">SUM((INDIRECT(AL$2&amp;(ROW())):INDIRECT(AL$3&amp;(ROW()))))</f>
        <v>0</v>
      </c>
      <c r="AM810" s="315">
        <f ca="1">SUM(INDIRECT(AM$1&amp;AM$2&amp;$C810):INDIRECT(AM$1&amp;AM$3&amp;$C810))</f>
        <v>0</v>
      </c>
      <c r="AN810" s="3277">
        <f t="shared" ca="1" si="1147"/>
        <v>0</v>
      </c>
      <c r="AO810" s="2932">
        <f t="shared" ca="1" si="1148"/>
        <v>0</v>
      </c>
      <c r="AP810" s="315">
        <f ca="1">SUM(INDIRECT(AP$1&amp;AP$2&amp;$A810):INDIRECT(AP$1&amp;AP$3&amp;$A810))+SUM(INDIRECT(AP$1&amp;AP$2&amp;$B810):INDIRECT(AP$1&amp;AP$3&amp;$B810))</f>
        <v>0</v>
      </c>
      <c r="AQ810" s="3277">
        <f t="shared" ca="1" si="1149"/>
        <v>0</v>
      </c>
      <c r="AR810" s="2932">
        <f t="shared" ca="1" si="1150"/>
        <v>0</v>
      </c>
      <c r="AT810" s="287">
        <f ca="1">SUM((INDIRECT(AT$2&amp;(ROW())):INDIRECT(AT$3&amp;(ROW()))))</f>
        <v>0</v>
      </c>
      <c r="AU810" s="315">
        <f ca="1">SUM(INDIRECT(AU$1&amp;AU$2&amp;$C810):INDIRECT(AU$1&amp;AU$3&amp;$C810))</f>
        <v>0</v>
      </c>
      <c r="AV810" s="3277">
        <f t="shared" ca="1" si="1151"/>
        <v>0</v>
      </c>
      <c r="AW810" s="2932">
        <f t="shared" ca="1" si="1152"/>
        <v>0</v>
      </c>
      <c r="AX810" s="315">
        <f ca="1">SUM(INDIRECT(AX$1&amp;AX$2&amp;$A810):INDIRECT(AX$1&amp;AX$3&amp;$A810))+SUM(INDIRECT(AX$1&amp;AX$2&amp;$B810):INDIRECT(AX$1&amp;AX$3&amp;$B810))</f>
        <v>0</v>
      </c>
      <c r="AY810" s="3277">
        <f t="shared" ca="1" si="1153"/>
        <v>0</v>
      </c>
      <c r="AZ810" s="2932">
        <f t="shared" ca="1" si="1154"/>
        <v>0</v>
      </c>
      <c r="BB810" s="287">
        <f ca="1">SUM((INDIRECT(BB$2&amp;(ROW())):INDIRECT(BB$3&amp;(ROW()))))</f>
        <v>0</v>
      </c>
      <c r="BC810" s="315">
        <f ca="1">SUM(INDIRECT(BC$1&amp;BC$2&amp;$C810):INDIRECT(BC$1&amp;BC$3&amp;$C810))</f>
        <v>0</v>
      </c>
      <c r="BD810" s="3277">
        <f t="shared" ca="1" si="1155"/>
        <v>0</v>
      </c>
      <c r="BE810" s="2932">
        <f t="shared" ca="1" si="1156"/>
        <v>0</v>
      </c>
      <c r="BF810" s="315">
        <f ca="1">SUM(INDIRECT(BF$1&amp;BF$2&amp;$A810):INDIRECT(BF$1&amp;BF$3&amp;$A810))+SUM(INDIRECT(BF$1&amp;BF$2&amp;$B810):INDIRECT(BF$1&amp;BF$3&amp;$B810))</f>
        <v>0</v>
      </c>
      <c r="BG810" s="3277">
        <f t="shared" ca="1" si="1157"/>
        <v>0</v>
      </c>
      <c r="BH810" s="2932">
        <f t="shared" ca="1" si="1158"/>
        <v>0</v>
      </c>
    </row>
    <row r="811" spans="1:60" ht="14.5">
      <c r="A811" s="616">
        <f t="shared" si="1196"/>
        <v>740</v>
      </c>
      <c r="B811" s="616">
        <v>1</v>
      </c>
      <c r="C811" s="616">
        <f t="shared" si="1172"/>
        <v>808</v>
      </c>
      <c r="E811" s="2547">
        <v>1</v>
      </c>
      <c r="G811" s="22"/>
      <c r="I811" s="86"/>
      <c r="J811" s="85"/>
      <c r="K811" s="68"/>
      <c r="L811" s="68"/>
      <c r="N811" s="97" t="s">
        <v>523</v>
      </c>
      <c r="O811" s="97"/>
      <c r="P811" s="97"/>
      <c r="Q811" s="1779" t="str">
        <f>CHOOSE(2, "6722000003730", "S/GP (5) Gross Profit Direct BPS OSP")</f>
        <v>S/GP (5) Gross Profit Direct BPS OSP</v>
      </c>
      <c r="R811" s="1227">
        <v>0</v>
      </c>
      <c r="S811" s="1247">
        <v>0</v>
      </c>
      <c r="T811" s="1227">
        <v>0</v>
      </c>
      <c r="U811" s="1227">
        <v>0</v>
      </c>
      <c r="V811" s="1227">
        <v>0</v>
      </c>
      <c r="W811" s="1227">
        <v>0</v>
      </c>
      <c r="X811" s="1227">
        <v>0</v>
      </c>
      <c r="Y811" s="1227">
        <v>0</v>
      </c>
      <c r="Z811" s="1227">
        <v>0</v>
      </c>
      <c r="AA811" s="1227">
        <v>0</v>
      </c>
      <c r="AB811" s="1227">
        <v>0</v>
      </c>
      <c r="AC811" s="1227">
        <v>0</v>
      </c>
      <c r="AD811" s="295">
        <f>SUM(R811,S811,T811)</f>
        <v>0</v>
      </c>
      <c r="AE811" s="96">
        <f t="shared" ref="AE811:AE814" si="1214">SUM(U811,V811,W811)</f>
        <v>0</v>
      </c>
      <c r="AF811" s="96">
        <f t="shared" ref="AF811:AF814" si="1215">SUM(X811,Y811,Z811)</f>
        <v>0</v>
      </c>
      <c r="AG811" s="96">
        <f t="shared" ref="AG811:AG814" si="1216">SUM(AA811,AB811,AC811)</f>
        <v>0</v>
      </c>
      <c r="AH811" s="96">
        <f t="shared" ref="AH811:AH814" si="1217">AD811+AE811</f>
        <v>0</v>
      </c>
      <c r="AI811" s="96">
        <f t="shared" ref="AI811:AI814" si="1218">AG811+AF811</f>
        <v>0</v>
      </c>
      <c r="AJ811" s="295">
        <f t="shared" ref="AJ811:AJ814" si="1219">AH811+AI811</f>
        <v>0</v>
      </c>
      <c r="AL811" s="96">
        <f ca="1">SUM((INDIRECT(AL$2&amp;(ROW())):INDIRECT(AL$3&amp;(ROW()))))</f>
        <v>0</v>
      </c>
      <c r="AM811" s="295">
        <f ca="1">SUM(INDIRECT(AM$1&amp;AM$2&amp;$C811):INDIRECT(AM$1&amp;AM$3&amp;$C811))</f>
        <v>0</v>
      </c>
      <c r="AN811" s="3246">
        <f t="shared" ca="1" si="1147"/>
        <v>0</v>
      </c>
      <c r="AO811" s="2901">
        <f t="shared" ca="1" si="1148"/>
        <v>0</v>
      </c>
      <c r="AP811" s="295">
        <f ca="1">SUM(INDIRECT(AP$1&amp;AP$2&amp;$A811):INDIRECT(AP$1&amp;AP$3&amp;$A811))+SUM(INDIRECT(AP$1&amp;AP$2&amp;$B811):INDIRECT(AP$1&amp;AP$3&amp;$B811))</f>
        <v>0</v>
      </c>
      <c r="AQ811" s="3246">
        <f t="shared" ca="1" si="1149"/>
        <v>0</v>
      </c>
      <c r="AR811" s="2901">
        <f t="shared" ca="1" si="1150"/>
        <v>0</v>
      </c>
      <c r="AT811" s="96">
        <f ca="1">SUM((INDIRECT(AT$2&amp;(ROW())):INDIRECT(AT$3&amp;(ROW()))))</f>
        <v>0</v>
      </c>
      <c r="AU811" s="295">
        <f ca="1">SUM(INDIRECT(AU$1&amp;AU$2&amp;$C811):INDIRECT(AU$1&amp;AU$3&amp;$C811))</f>
        <v>0</v>
      </c>
      <c r="AV811" s="3246">
        <f t="shared" ca="1" si="1151"/>
        <v>0</v>
      </c>
      <c r="AW811" s="2901">
        <f t="shared" ca="1" si="1152"/>
        <v>0</v>
      </c>
      <c r="AX811" s="295">
        <f ca="1">SUM(INDIRECT(AX$1&amp;AX$2&amp;$A811):INDIRECT(AX$1&amp;AX$3&amp;$A811))+SUM(INDIRECT(AX$1&amp;AX$2&amp;$B811):INDIRECT(AX$1&amp;AX$3&amp;$B811))</f>
        <v>0</v>
      </c>
      <c r="AY811" s="3246">
        <f t="shared" ca="1" si="1153"/>
        <v>0</v>
      </c>
      <c r="AZ811" s="2901">
        <f t="shared" ca="1" si="1154"/>
        <v>0</v>
      </c>
      <c r="BB811" s="96">
        <f ca="1">SUM((INDIRECT(BB$2&amp;(ROW())):INDIRECT(BB$3&amp;(ROW()))))</f>
        <v>0</v>
      </c>
      <c r="BC811" s="295">
        <f ca="1">SUM(INDIRECT(BC$1&amp;BC$2&amp;$C811):INDIRECT(BC$1&amp;BC$3&amp;$C811))</f>
        <v>0</v>
      </c>
      <c r="BD811" s="3246">
        <f t="shared" ca="1" si="1155"/>
        <v>0</v>
      </c>
      <c r="BE811" s="2901">
        <f t="shared" ca="1" si="1156"/>
        <v>0</v>
      </c>
      <c r="BF811" s="295">
        <f ca="1">SUM(INDIRECT(BF$1&amp;BF$2&amp;$A811):INDIRECT(BF$1&amp;BF$3&amp;$A811))+SUM(INDIRECT(BF$1&amp;BF$2&amp;$B811):INDIRECT(BF$1&amp;BF$3&amp;$B811))</f>
        <v>0</v>
      </c>
      <c r="BG811" s="3246">
        <f t="shared" ca="1" si="1157"/>
        <v>0</v>
      </c>
      <c r="BH811" s="2901">
        <f t="shared" ca="1" si="1158"/>
        <v>0</v>
      </c>
    </row>
    <row r="812" spans="1:60" ht="14.5">
      <c r="A812" s="616">
        <f t="shared" si="1196"/>
        <v>741</v>
      </c>
      <c r="B812" s="616">
        <v>1</v>
      </c>
      <c r="C812" s="616">
        <f t="shared" si="1172"/>
        <v>809</v>
      </c>
      <c r="E812" s="2547">
        <v>1</v>
      </c>
      <c r="G812" s="22"/>
      <c r="I812" s="86"/>
      <c r="J812" s="85"/>
      <c r="K812" s="68"/>
      <c r="L812" s="68"/>
      <c r="N812" s="8" t="s">
        <v>524</v>
      </c>
      <c r="Q812" s="1779" t="str">
        <f>CHOOSE(2, "6722000003731", "S/GP (5) Gross Profit Direct BPS RP")</f>
        <v>S/GP (5) Gross Profit Direct BPS RP</v>
      </c>
      <c r="R812" s="1217">
        <v>0</v>
      </c>
      <c r="S812" s="1224">
        <v>0</v>
      </c>
      <c r="T812" s="1217">
        <v>0</v>
      </c>
      <c r="U812" s="1217">
        <v>0</v>
      </c>
      <c r="V812" s="1217">
        <v>0</v>
      </c>
      <c r="W812" s="1217">
        <v>0</v>
      </c>
      <c r="X812" s="1217">
        <v>0</v>
      </c>
      <c r="Y812" s="1217">
        <v>0</v>
      </c>
      <c r="Z812" s="1217">
        <v>0</v>
      </c>
      <c r="AA812" s="1217">
        <v>0</v>
      </c>
      <c r="AB812" s="1217">
        <v>0</v>
      </c>
      <c r="AC812" s="1217">
        <v>0</v>
      </c>
      <c r="AD812" s="88">
        <f>SUM(R812,S812,T812)</f>
        <v>0</v>
      </c>
      <c r="AE812" s="17">
        <f t="shared" si="1214"/>
        <v>0</v>
      </c>
      <c r="AF812" s="17">
        <f t="shared" si="1215"/>
        <v>0</v>
      </c>
      <c r="AG812" s="17">
        <f t="shared" si="1216"/>
        <v>0</v>
      </c>
      <c r="AH812" s="17">
        <f t="shared" si="1217"/>
        <v>0</v>
      </c>
      <c r="AI812" s="17">
        <f t="shared" si="1218"/>
        <v>0</v>
      </c>
      <c r="AJ812" s="88">
        <f t="shared" si="1219"/>
        <v>0</v>
      </c>
      <c r="AL812" s="17">
        <f ca="1">SUM((INDIRECT(AL$2&amp;(ROW())):INDIRECT(AL$3&amp;(ROW()))))</f>
        <v>0</v>
      </c>
      <c r="AM812" s="88">
        <f ca="1">SUM(INDIRECT(AM$1&amp;AM$2&amp;$C812):INDIRECT(AM$1&amp;AM$3&amp;$C812))</f>
        <v>0</v>
      </c>
      <c r="AN812" s="3247">
        <f t="shared" ca="1" si="1147"/>
        <v>0</v>
      </c>
      <c r="AO812" s="2903">
        <f t="shared" ca="1" si="1148"/>
        <v>0</v>
      </c>
      <c r="AP812" s="88">
        <f ca="1">SUM(INDIRECT(AP$1&amp;AP$2&amp;$A812):INDIRECT(AP$1&amp;AP$3&amp;$A812))+SUM(INDIRECT(AP$1&amp;AP$2&amp;$B812):INDIRECT(AP$1&amp;AP$3&amp;$B812))</f>
        <v>0</v>
      </c>
      <c r="AQ812" s="3247">
        <f t="shared" ca="1" si="1149"/>
        <v>0</v>
      </c>
      <c r="AR812" s="2903">
        <f t="shared" ca="1" si="1150"/>
        <v>0</v>
      </c>
      <c r="AT812" s="17">
        <f ca="1">SUM((INDIRECT(AT$2&amp;(ROW())):INDIRECT(AT$3&amp;(ROW()))))</f>
        <v>0</v>
      </c>
      <c r="AU812" s="88">
        <f ca="1">SUM(INDIRECT(AU$1&amp;AU$2&amp;$C812):INDIRECT(AU$1&amp;AU$3&amp;$C812))</f>
        <v>0</v>
      </c>
      <c r="AV812" s="3247">
        <f t="shared" ca="1" si="1151"/>
        <v>0</v>
      </c>
      <c r="AW812" s="2903">
        <f t="shared" ca="1" si="1152"/>
        <v>0</v>
      </c>
      <c r="AX812" s="88">
        <f ca="1">SUM(INDIRECT(AX$1&amp;AX$2&amp;$A812):INDIRECT(AX$1&amp;AX$3&amp;$A812))+SUM(INDIRECT(AX$1&amp;AX$2&amp;$B812):INDIRECT(AX$1&amp;AX$3&amp;$B812))</f>
        <v>0</v>
      </c>
      <c r="AY812" s="3247">
        <f t="shared" ca="1" si="1153"/>
        <v>0</v>
      </c>
      <c r="AZ812" s="2903">
        <f t="shared" ca="1" si="1154"/>
        <v>0</v>
      </c>
      <c r="BB812" s="17">
        <f ca="1">SUM((INDIRECT(BB$2&amp;(ROW())):INDIRECT(BB$3&amp;(ROW()))))</f>
        <v>0</v>
      </c>
      <c r="BC812" s="88">
        <f ca="1">SUM(INDIRECT(BC$1&amp;BC$2&amp;$C812):INDIRECT(BC$1&amp;BC$3&amp;$C812))</f>
        <v>0</v>
      </c>
      <c r="BD812" s="3247">
        <f t="shared" ca="1" si="1155"/>
        <v>0</v>
      </c>
      <c r="BE812" s="2903">
        <f t="shared" ca="1" si="1156"/>
        <v>0</v>
      </c>
      <c r="BF812" s="88">
        <f ca="1">SUM(INDIRECT(BF$1&amp;BF$2&amp;$A812):INDIRECT(BF$1&amp;BF$3&amp;$A812))+SUM(INDIRECT(BF$1&amp;BF$2&amp;$B812):INDIRECT(BF$1&amp;BF$3&amp;$B812))</f>
        <v>0</v>
      </c>
      <c r="BG812" s="3247">
        <f t="shared" ca="1" si="1157"/>
        <v>0</v>
      </c>
      <c r="BH812" s="2903">
        <f t="shared" ca="1" si="1158"/>
        <v>0</v>
      </c>
    </row>
    <row r="813" spans="1:60" ht="14.5">
      <c r="A813" s="616">
        <f t="shared" si="1196"/>
        <v>742</v>
      </c>
      <c r="B813" s="616">
        <v>1</v>
      </c>
      <c r="C813" s="616">
        <f t="shared" si="1172"/>
        <v>810</v>
      </c>
      <c r="E813" s="2547">
        <v>1</v>
      </c>
      <c r="G813" s="22"/>
      <c r="I813" s="86"/>
      <c r="J813" s="85"/>
      <c r="K813" s="68"/>
      <c r="L813" s="68"/>
      <c r="N813" s="8" t="s">
        <v>525</v>
      </c>
      <c r="Q813" s="1779" t="str">
        <f>CHOOSE(2, "6722000003732", "S/GP (5) Gross Profit Direct BPS OSP service")</f>
        <v>S/GP (5) Gross Profit Direct BPS OSP service</v>
      </c>
      <c r="R813" s="1217">
        <v>0</v>
      </c>
      <c r="S813" s="1217">
        <v>0</v>
      </c>
      <c r="T813" s="1217">
        <v>0</v>
      </c>
      <c r="U813" s="1217">
        <v>0</v>
      </c>
      <c r="V813" s="1217">
        <v>0</v>
      </c>
      <c r="W813" s="1217">
        <v>0</v>
      </c>
      <c r="X813" s="1217">
        <v>0</v>
      </c>
      <c r="Y813" s="1217">
        <v>0</v>
      </c>
      <c r="Z813" s="1217">
        <v>0</v>
      </c>
      <c r="AA813" s="1217">
        <v>0</v>
      </c>
      <c r="AB813" s="1217">
        <v>0</v>
      </c>
      <c r="AC813" s="1217">
        <v>0</v>
      </c>
      <c r="AD813" s="88">
        <f>SUM(R813,S813,T813)</f>
        <v>0</v>
      </c>
      <c r="AE813" s="17">
        <f t="shared" si="1214"/>
        <v>0</v>
      </c>
      <c r="AF813" s="17">
        <f t="shared" si="1215"/>
        <v>0</v>
      </c>
      <c r="AG813" s="17">
        <f t="shared" si="1216"/>
        <v>0</v>
      </c>
      <c r="AH813" s="17">
        <f t="shared" si="1217"/>
        <v>0</v>
      </c>
      <c r="AI813" s="17">
        <f t="shared" si="1218"/>
        <v>0</v>
      </c>
      <c r="AJ813" s="88">
        <f t="shared" si="1219"/>
        <v>0</v>
      </c>
      <c r="AL813" s="17">
        <f ca="1">SUM((INDIRECT(AL$2&amp;(ROW())):INDIRECT(AL$3&amp;(ROW()))))</f>
        <v>0</v>
      </c>
      <c r="AM813" s="88">
        <f ca="1">SUM(INDIRECT(AM$1&amp;AM$2&amp;$C813):INDIRECT(AM$1&amp;AM$3&amp;$C813))</f>
        <v>0</v>
      </c>
      <c r="AN813" s="3247">
        <f t="shared" ca="1" si="1147"/>
        <v>0</v>
      </c>
      <c r="AO813" s="2903">
        <f t="shared" ca="1" si="1148"/>
        <v>0</v>
      </c>
      <c r="AP813" s="88">
        <f ca="1">SUM(INDIRECT(AP$1&amp;AP$2&amp;$A813):INDIRECT(AP$1&amp;AP$3&amp;$A813))+SUM(INDIRECT(AP$1&amp;AP$2&amp;$B813):INDIRECT(AP$1&amp;AP$3&amp;$B813))</f>
        <v>0</v>
      </c>
      <c r="AQ813" s="3247">
        <f t="shared" ca="1" si="1149"/>
        <v>0</v>
      </c>
      <c r="AR813" s="2903">
        <f t="shared" ca="1" si="1150"/>
        <v>0</v>
      </c>
      <c r="AT813" s="17">
        <f ca="1">SUM((INDIRECT(AT$2&amp;(ROW())):INDIRECT(AT$3&amp;(ROW()))))</f>
        <v>0</v>
      </c>
      <c r="AU813" s="88">
        <f ca="1">SUM(INDIRECT(AU$1&amp;AU$2&amp;$C813):INDIRECT(AU$1&amp;AU$3&amp;$C813))</f>
        <v>0</v>
      </c>
      <c r="AV813" s="3247">
        <f t="shared" ca="1" si="1151"/>
        <v>0</v>
      </c>
      <c r="AW813" s="2903">
        <f t="shared" ca="1" si="1152"/>
        <v>0</v>
      </c>
      <c r="AX813" s="88">
        <f ca="1">SUM(INDIRECT(AX$1&amp;AX$2&amp;$A813):INDIRECT(AX$1&amp;AX$3&amp;$A813))+SUM(INDIRECT(AX$1&amp;AX$2&amp;$B813):INDIRECT(AX$1&amp;AX$3&amp;$B813))</f>
        <v>0</v>
      </c>
      <c r="AY813" s="3247">
        <f t="shared" ca="1" si="1153"/>
        <v>0</v>
      </c>
      <c r="AZ813" s="2903">
        <f t="shared" ca="1" si="1154"/>
        <v>0</v>
      </c>
      <c r="BB813" s="17">
        <f ca="1">SUM((INDIRECT(BB$2&amp;(ROW())):INDIRECT(BB$3&amp;(ROW()))))</f>
        <v>0</v>
      </c>
      <c r="BC813" s="88">
        <f ca="1">SUM(INDIRECT(BC$1&amp;BC$2&amp;$C813):INDIRECT(BC$1&amp;BC$3&amp;$C813))</f>
        <v>0</v>
      </c>
      <c r="BD813" s="3247">
        <f t="shared" ca="1" si="1155"/>
        <v>0</v>
      </c>
      <c r="BE813" s="2903">
        <f t="shared" ca="1" si="1156"/>
        <v>0</v>
      </c>
      <c r="BF813" s="88">
        <f ca="1">SUM(INDIRECT(BF$1&amp;BF$2&amp;$A813):INDIRECT(BF$1&amp;BF$3&amp;$A813))+SUM(INDIRECT(BF$1&amp;BF$2&amp;$B813):INDIRECT(BF$1&amp;BF$3&amp;$B813))</f>
        <v>0</v>
      </c>
      <c r="BG813" s="3247">
        <f t="shared" ca="1" si="1157"/>
        <v>0</v>
      </c>
      <c r="BH813" s="2903">
        <f t="shared" ca="1" si="1158"/>
        <v>0</v>
      </c>
    </row>
    <row r="814" spans="1:60" ht="14.5">
      <c r="A814" s="616">
        <f t="shared" si="1196"/>
        <v>743</v>
      </c>
      <c r="B814" s="616">
        <v>1</v>
      </c>
      <c r="C814" s="616">
        <f t="shared" si="1172"/>
        <v>811</v>
      </c>
      <c r="E814" s="2547">
        <v>1</v>
      </c>
      <c r="G814" s="22"/>
      <c r="I814" s="86"/>
      <c r="J814" s="85"/>
      <c r="K814" s="68"/>
      <c r="L814" s="68"/>
      <c r="M814" s="11"/>
      <c r="N814" s="8" t="s">
        <v>526</v>
      </c>
      <c r="P814" s="11"/>
      <c r="Q814" s="1779" t="str">
        <f>CHOOSE(2, "6722000003733", "S/GP (5) Gross Profit Direct BPS RP service")</f>
        <v>S/GP (5) Gross Profit Direct BPS RP service</v>
      </c>
      <c r="R814" s="1218">
        <v>0</v>
      </c>
      <c r="S814" s="1218">
        <v>0</v>
      </c>
      <c r="T814" s="1218">
        <v>0</v>
      </c>
      <c r="U814" s="1218">
        <v>0</v>
      </c>
      <c r="V814" s="1218">
        <v>0</v>
      </c>
      <c r="W814" s="1218">
        <v>0</v>
      </c>
      <c r="X814" s="1218">
        <v>0</v>
      </c>
      <c r="Y814" s="1218">
        <v>0</v>
      </c>
      <c r="Z814" s="1218">
        <v>0</v>
      </c>
      <c r="AA814" s="1218">
        <v>0</v>
      </c>
      <c r="AB814" s="1218">
        <v>0</v>
      </c>
      <c r="AC814" s="1218">
        <v>0</v>
      </c>
      <c r="AD814" s="87">
        <f>SUM(R814,S814,T814)</f>
        <v>0</v>
      </c>
      <c r="AE814" s="15">
        <f t="shared" si="1214"/>
        <v>0</v>
      </c>
      <c r="AF814" s="15">
        <f t="shared" si="1215"/>
        <v>0</v>
      </c>
      <c r="AG814" s="15">
        <f t="shared" si="1216"/>
        <v>0</v>
      </c>
      <c r="AH814" s="15">
        <f t="shared" si="1217"/>
        <v>0</v>
      </c>
      <c r="AI814" s="15">
        <f t="shared" si="1218"/>
        <v>0</v>
      </c>
      <c r="AJ814" s="87">
        <f t="shared" si="1219"/>
        <v>0</v>
      </c>
      <c r="AL814" s="15">
        <f ca="1">SUM((INDIRECT(AL$2&amp;(ROW())):INDIRECT(AL$3&amp;(ROW()))))</f>
        <v>0</v>
      </c>
      <c r="AM814" s="87">
        <f ca="1">SUM(INDIRECT(AM$1&amp;AM$2&amp;$C814):INDIRECT(AM$1&amp;AM$3&amp;$C814))</f>
        <v>0</v>
      </c>
      <c r="AN814" s="3248">
        <f t="shared" ca="1" si="1147"/>
        <v>0</v>
      </c>
      <c r="AO814" s="2905">
        <f t="shared" ca="1" si="1148"/>
        <v>0</v>
      </c>
      <c r="AP814" s="87">
        <f ca="1">SUM(INDIRECT(AP$1&amp;AP$2&amp;$A814):INDIRECT(AP$1&amp;AP$3&amp;$A814))+SUM(INDIRECT(AP$1&amp;AP$2&amp;$B814):INDIRECT(AP$1&amp;AP$3&amp;$B814))</f>
        <v>0</v>
      </c>
      <c r="AQ814" s="3248">
        <f t="shared" ca="1" si="1149"/>
        <v>0</v>
      </c>
      <c r="AR814" s="2905">
        <f t="shared" ca="1" si="1150"/>
        <v>0</v>
      </c>
      <c r="AT814" s="15">
        <f ca="1">SUM((INDIRECT(AT$2&amp;(ROW())):INDIRECT(AT$3&amp;(ROW()))))</f>
        <v>0</v>
      </c>
      <c r="AU814" s="87">
        <f ca="1">SUM(INDIRECT(AU$1&amp;AU$2&amp;$C814):INDIRECT(AU$1&amp;AU$3&amp;$C814))</f>
        <v>0</v>
      </c>
      <c r="AV814" s="3248">
        <f t="shared" ca="1" si="1151"/>
        <v>0</v>
      </c>
      <c r="AW814" s="2905">
        <f t="shared" ca="1" si="1152"/>
        <v>0</v>
      </c>
      <c r="AX814" s="87">
        <f ca="1">SUM(INDIRECT(AX$1&amp;AX$2&amp;$A814):INDIRECT(AX$1&amp;AX$3&amp;$A814))+SUM(INDIRECT(AX$1&amp;AX$2&amp;$B814):INDIRECT(AX$1&amp;AX$3&amp;$B814))</f>
        <v>0</v>
      </c>
      <c r="AY814" s="3248">
        <f t="shared" ca="1" si="1153"/>
        <v>0</v>
      </c>
      <c r="AZ814" s="2905">
        <f t="shared" ca="1" si="1154"/>
        <v>0</v>
      </c>
      <c r="BB814" s="15">
        <f ca="1">SUM((INDIRECT(BB$2&amp;(ROW())):INDIRECT(BB$3&amp;(ROW()))))</f>
        <v>0</v>
      </c>
      <c r="BC814" s="87">
        <f ca="1">SUM(INDIRECT(BC$1&amp;BC$2&amp;$C814):INDIRECT(BC$1&amp;BC$3&amp;$C814))</f>
        <v>0</v>
      </c>
      <c r="BD814" s="3248">
        <f t="shared" ca="1" si="1155"/>
        <v>0</v>
      </c>
      <c r="BE814" s="2905">
        <f t="shared" ca="1" si="1156"/>
        <v>0</v>
      </c>
      <c r="BF814" s="87">
        <f ca="1">SUM(INDIRECT(BF$1&amp;BF$2&amp;$A814):INDIRECT(BF$1&amp;BF$3&amp;$A814))+SUM(INDIRECT(BF$1&amp;BF$2&amp;$B814):INDIRECT(BF$1&amp;BF$3&amp;$B814))</f>
        <v>0</v>
      </c>
      <c r="BG814" s="3248">
        <f t="shared" ca="1" si="1157"/>
        <v>0</v>
      </c>
      <c r="BH814" s="2905">
        <f t="shared" ca="1" si="1158"/>
        <v>0</v>
      </c>
    </row>
    <row r="815" spans="1:60" ht="14.5">
      <c r="A815" s="616">
        <v>1</v>
      </c>
      <c r="B815" s="616">
        <v>1</v>
      </c>
      <c r="C815" s="616">
        <f t="shared" si="1172"/>
        <v>812</v>
      </c>
      <c r="E815" s="2547">
        <v>1</v>
      </c>
      <c r="G815" s="22"/>
      <c r="I815" s="86"/>
      <c r="J815" s="85"/>
      <c r="K815" s="68"/>
      <c r="L815" s="68"/>
      <c r="M815" s="3" t="s">
        <v>1434</v>
      </c>
      <c r="N815" s="284"/>
      <c r="O815" s="284"/>
      <c r="P815" s="284"/>
      <c r="Q815" s="1777" t="str">
        <f>CHOOSE(2, "6722000003734", "S/GP (5) Gross Profit Direct ICW-WK")</f>
        <v>S/GP (5) Gross Profit Direct ICW-WK</v>
      </c>
      <c r="R815" s="287">
        <f>SUM(R816:R819)</f>
        <v>0</v>
      </c>
      <c r="S815" s="3257">
        <f t="shared" ref="S815:AJ815" si="1220">SUM(S816:S819)</f>
        <v>0</v>
      </c>
      <c r="T815" s="287">
        <f t="shared" si="1220"/>
        <v>0</v>
      </c>
      <c r="U815" s="287">
        <f t="shared" si="1220"/>
        <v>0</v>
      </c>
      <c r="V815" s="287">
        <f t="shared" si="1220"/>
        <v>0</v>
      </c>
      <c r="W815" s="287">
        <f t="shared" si="1220"/>
        <v>0</v>
      </c>
      <c r="X815" s="287">
        <f t="shared" si="1220"/>
        <v>0</v>
      </c>
      <c r="Y815" s="287">
        <f t="shared" si="1220"/>
        <v>0</v>
      </c>
      <c r="Z815" s="287">
        <f t="shared" si="1220"/>
        <v>0</v>
      </c>
      <c r="AA815" s="287">
        <f t="shared" si="1220"/>
        <v>0</v>
      </c>
      <c r="AB815" s="287">
        <f t="shared" si="1220"/>
        <v>0</v>
      </c>
      <c r="AC815" s="287">
        <f t="shared" si="1220"/>
        <v>0</v>
      </c>
      <c r="AD815" s="315">
        <f t="shared" si="1220"/>
        <v>0</v>
      </c>
      <c r="AE815" s="287">
        <f t="shared" si="1220"/>
        <v>0</v>
      </c>
      <c r="AF815" s="287">
        <f t="shared" si="1220"/>
        <v>0</v>
      </c>
      <c r="AG815" s="287">
        <f t="shared" si="1220"/>
        <v>0</v>
      </c>
      <c r="AH815" s="287">
        <f t="shared" si="1220"/>
        <v>0</v>
      </c>
      <c r="AI815" s="287">
        <f t="shared" si="1220"/>
        <v>0</v>
      </c>
      <c r="AJ815" s="315">
        <f t="shared" si="1220"/>
        <v>0</v>
      </c>
      <c r="AL815" s="287">
        <f ca="1">SUM((INDIRECT(AL$2&amp;(ROW())):INDIRECT(AL$3&amp;(ROW()))))</f>
        <v>0</v>
      </c>
      <c r="AM815" s="315">
        <f ca="1">SUM(INDIRECT(AM$1&amp;AM$2&amp;$C815):INDIRECT(AM$1&amp;AM$3&amp;$C815))</f>
        <v>0</v>
      </c>
      <c r="AN815" s="3277">
        <f t="shared" ca="1" si="1147"/>
        <v>0</v>
      </c>
      <c r="AO815" s="2932">
        <f t="shared" ca="1" si="1148"/>
        <v>0</v>
      </c>
      <c r="AP815" s="315">
        <f ca="1">SUM(INDIRECT(AP$1&amp;AP$2&amp;$A815):INDIRECT(AP$1&amp;AP$3&amp;$A815))+SUM(INDIRECT(AP$1&amp;AP$2&amp;$B815):INDIRECT(AP$1&amp;AP$3&amp;$B815))</f>
        <v>0</v>
      </c>
      <c r="AQ815" s="3277">
        <f t="shared" ca="1" si="1149"/>
        <v>0</v>
      </c>
      <c r="AR815" s="2932">
        <f t="shared" ca="1" si="1150"/>
        <v>0</v>
      </c>
      <c r="AT815" s="287">
        <f ca="1">SUM((INDIRECT(AT$2&amp;(ROW())):INDIRECT(AT$3&amp;(ROW()))))</f>
        <v>0</v>
      </c>
      <c r="AU815" s="315">
        <f ca="1">SUM(INDIRECT(AU$1&amp;AU$2&amp;$C815):INDIRECT(AU$1&amp;AU$3&amp;$C815))</f>
        <v>0</v>
      </c>
      <c r="AV815" s="3277">
        <f t="shared" ca="1" si="1151"/>
        <v>0</v>
      </c>
      <c r="AW815" s="2932">
        <f t="shared" ca="1" si="1152"/>
        <v>0</v>
      </c>
      <c r="AX815" s="315">
        <f ca="1">SUM(INDIRECT(AX$1&amp;AX$2&amp;$A815):INDIRECT(AX$1&amp;AX$3&amp;$A815))+SUM(INDIRECT(AX$1&amp;AX$2&amp;$B815):INDIRECT(AX$1&amp;AX$3&amp;$B815))</f>
        <v>0</v>
      </c>
      <c r="AY815" s="3277">
        <f t="shared" ca="1" si="1153"/>
        <v>0</v>
      </c>
      <c r="AZ815" s="2932">
        <f t="shared" ca="1" si="1154"/>
        <v>0</v>
      </c>
      <c r="BB815" s="287">
        <f ca="1">SUM((INDIRECT(BB$2&amp;(ROW())):INDIRECT(BB$3&amp;(ROW()))))</f>
        <v>0</v>
      </c>
      <c r="BC815" s="315">
        <f ca="1">SUM(INDIRECT(BC$1&amp;BC$2&amp;$C815):INDIRECT(BC$1&amp;BC$3&amp;$C815))</f>
        <v>0</v>
      </c>
      <c r="BD815" s="3277">
        <f t="shared" ca="1" si="1155"/>
        <v>0</v>
      </c>
      <c r="BE815" s="2932">
        <f t="shared" ca="1" si="1156"/>
        <v>0</v>
      </c>
      <c r="BF815" s="315">
        <f ca="1">SUM(INDIRECT(BF$1&amp;BF$2&amp;$A815):INDIRECT(BF$1&amp;BF$3&amp;$A815))+SUM(INDIRECT(BF$1&amp;BF$2&amp;$B815):INDIRECT(BF$1&amp;BF$3&amp;$B815))</f>
        <v>0</v>
      </c>
      <c r="BG815" s="3277">
        <f t="shared" ca="1" si="1157"/>
        <v>0</v>
      </c>
      <c r="BH815" s="2932">
        <f t="shared" ca="1" si="1158"/>
        <v>0</v>
      </c>
    </row>
    <row r="816" spans="1:60" ht="14.5">
      <c r="A816" s="616">
        <v>1</v>
      </c>
      <c r="B816" s="616">
        <v>1</v>
      </c>
      <c r="C816" s="616">
        <f t="shared" si="1172"/>
        <v>813</v>
      </c>
      <c r="E816" s="2547">
        <v>1</v>
      </c>
      <c r="G816" s="22"/>
      <c r="I816" s="86"/>
      <c r="J816" s="85"/>
      <c r="K816" s="68"/>
      <c r="L816" s="68"/>
      <c r="N816" s="97" t="s">
        <v>523</v>
      </c>
      <c r="O816" s="97"/>
      <c r="P816" s="97"/>
      <c r="Q816" s="1779" t="str">
        <f>CHOOSE(2, "6722000003735", "S/GP (5) Gross Profit Direct ICW-WK OSP")</f>
        <v>S/GP (5) Gross Profit Direct ICW-WK OSP</v>
      </c>
      <c r="R816" s="1227">
        <v>0</v>
      </c>
      <c r="S816" s="1247">
        <v>0</v>
      </c>
      <c r="T816" s="1227">
        <v>0</v>
      </c>
      <c r="U816" s="1227">
        <v>0</v>
      </c>
      <c r="V816" s="1227">
        <v>0</v>
      </c>
      <c r="W816" s="1227">
        <v>0</v>
      </c>
      <c r="X816" s="1227">
        <v>0</v>
      </c>
      <c r="Y816" s="1227">
        <v>0</v>
      </c>
      <c r="Z816" s="1227">
        <v>0</v>
      </c>
      <c r="AA816" s="1227">
        <v>0</v>
      </c>
      <c r="AB816" s="1227">
        <v>0</v>
      </c>
      <c r="AC816" s="1227">
        <v>0</v>
      </c>
      <c r="AD816" s="295">
        <f>SUM(R816,S816,T816)</f>
        <v>0</v>
      </c>
      <c r="AE816" s="96">
        <f t="shared" ref="AE816:AE819" si="1221">SUM(U816,V816,W816)</f>
        <v>0</v>
      </c>
      <c r="AF816" s="96">
        <f t="shared" ref="AF816:AF819" si="1222">SUM(X816,Y816,Z816)</f>
        <v>0</v>
      </c>
      <c r="AG816" s="96">
        <f t="shared" ref="AG816:AG819" si="1223">SUM(AA816,AB816,AC816)</f>
        <v>0</v>
      </c>
      <c r="AH816" s="96">
        <f>AD816+AE816</f>
        <v>0</v>
      </c>
      <c r="AI816" s="96">
        <f>AG816+AF816</f>
        <v>0</v>
      </c>
      <c r="AJ816" s="295">
        <f>AH816+AI816</f>
        <v>0</v>
      </c>
      <c r="AL816" s="96">
        <f ca="1">SUM((INDIRECT(AL$2&amp;(ROW())):INDIRECT(AL$3&amp;(ROW()))))</f>
        <v>0</v>
      </c>
      <c r="AM816" s="295">
        <f ca="1">SUM(INDIRECT(AM$1&amp;AM$2&amp;$C816):INDIRECT(AM$1&amp;AM$3&amp;$C816))</f>
        <v>444</v>
      </c>
      <c r="AN816" s="3246">
        <f t="shared" ca="1" si="1147"/>
        <v>-444</v>
      </c>
      <c r="AO816" s="2901">
        <f t="shared" ca="1" si="1148"/>
        <v>0</v>
      </c>
      <c r="AP816" s="295">
        <f ca="1">SUM(INDIRECT(AP$1&amp;AP$2&amp;$A816):INDIRECT(AP$1&amp;AP$3&amp;$A816))+SUM(INDIRECT(AP$1&amp;AP$2&amp;$B816):INDIRECT(AP$1&amp;AP$3&amp;$B816))</f>
        <v>0</v>
      </c>
      <c r="AQ816" s="3246">
        <f t="shared" ca="1" si="1149"/>
        <v>0</v>
      </c>
      <c r="AR816" s="2901">
        <f t="shared" ca="1" si="1150"/>
        <v>0</v>
      </c>
      <c r="AT816" s="96">
        <f ca="1">SUM((INDIRECT(AT$2&amp;(ROW())):INDIRECT(AT$3&amp;(ROW()))))</f>
        <v>0</v>
      </c>
      <c r="AU816" s="295">
        <f ca="1">SUM(INDIRECT(AU$1&amp;AU$2&amp;$C816):INDIRECT(AU$1&amp;AU$3&amp;$C816))</f>
        <v>1182</v>
      </c>
      <c r="AV816" s="3246">
        <f t="shared" ca="1" si="1151"/>
        <v>-1182</v>
      </c>
      <c r="AW816" s="2901">
        <f t="shared" ca="1" si="1152"/>
        <v>0</v>
      </c>
      <c r="AX816" s="295">
        <f ca="1">SUM(INDIRECT(AX$1&amp;AX$2&amp;$A816):INDIRECT(AX$1&amp;AX$3&amp;$A816))+SUM(INDIRECT(AX$1&amp;AX$2&amp;$B816):INDIRECT(AX$1&amp;AX$3&amp;$B816))</f>
        <v>0</v>
      </c>
      <c r="AY816" s="3246">
        <f t="shared" ca="1" si="1153"/>
        <v>0</v>
      </c>
      <c r="AZ816" s="2901">
        <f t="shared" ca="1" si="1154"/>
        <v>0</v>
      </c>
      <c r="BB816" s="96">
        <f ca="1">SUM((INDIRECT(BB$2&amp;(ROW())):INDIRECT(BB$3&amp;(ROW()))))</f>
        <v>0</v>
      </c>
      <c r="BC816" s="295">
        <f ca="1">SUM(INDIRECT(BC$1&amp;BC$2&amp;$C816):INDIRECT(BC$1&amp;BC$3&amp;$C816))</f>
        <v>1827.5</v>
      </c>
      <c r="BD816" s="3246">
        <f t="shared" ca="1" si="1155"/>
        <v>-1827.5</v>
      </c>
      <c r="BE816" s="2901">
        <f t="shared" ca="1" si="1156"/>
        <v>0</v>
      </c>
      <c r="BF816" s="295">
        <f ca="1">SUM(INDIRECT(BF$1&amp;BF$2&amp;$A816):INDIRECT(BF$1&amp;BF$3&amp;$A816))+SUM(INDIRECT(BF$1&amp;BF$2&amp;$B816):INDIRECT(BF$1&amp;BF$3&amp;$B816))</f>
        <v>0</v>
      </c>
      <c r="BG816" s="3246">
        <f t="shared" ca="1" si="1157"/>
        <v>0</v>
      </c>
      <c r="BH816" s="2901">
        <f t="shared" ca="1" si="1158"/>
        <v>0</v>
      </c>
    </row>
    <row r="817" spans="1:60" ht="14.5">
      <c r="A817" s="616">
        <v>1</v>
      </c>
      <c r="B817" s="616">
        <v>1</v>
      </c>
      <c r="C817" s="616">
        <f t="shared" si="1172"/>
        <v>814</v>
      </c>
      <c r="E817" s="2547">
        <v>1</v>
      </c>
      <c r="G817" s="22"/>
      <c r="I817" s="86"/>
      <c r="J817" s="85"/>
      <c r="K817" s="68"/>
      <c r="L817" s="68"/>
      <c r="N817" s="8" t="s">
        <v>524</v>
      </c>
      <c r="Q817" s="1779" t="str">
        <f>CHOOSE(2, "6722000003736", "S/GP (5) Gross Profit Direct ICW-WK RP")</f>
        <v>S/GP (5) Gross Profit Direct ICW-WK RP</v>
      </c>
      <c r="R817" s="1217">
        <v>0</v>
      </c>
      <c r="S817" s="1224">
        <v>0</v>
      </c>
      <c r="T817" s="1217">
        <v>0</v>
      </c>
      <c r="U817" s="1217">
        <v>0</v>
      </c>
      <c r="V817" s="1217">
        <v>0</v>
      </c>
      <c r="W817" s="1217">
        <v>0</v>
      </c>
      <c r="X817" s="1217">
        <v>0</v>
      </c>
      <c r="Y817" s="1217">
        <v>0</v>
      </c>
      <c r="Z817" s="1217">
        <v>0</v>
      </c>
      <c r="AA817" s="1217">
        <v>0</v>
      </c>
      <c r="AB817" s="1217">
        <v>0</v>
      </c>
      <c r="AC817" s="1217">
        <v>0</v>
      </c>
      <c r="AD817" s="88">
        <f>SUM(R817,S817,T817)</f>
        <v>0</v>
      </c>
      <c r="AE817" s="17">
        <f t="shared" si="1221"/>
        <v>0</v>
      </c>
      <c r="AF817" s="17">
        <f t="shared" si="1222"/>
        <v>0</v>
      </c>
      <c r="AG817" s="17">
        <f t="shared" si="1223"/>
        <v>0</v>
      </c>
      <c r="AH817" s="17">
        <f>AD817+AE817</f>
        <v>0</v>
      </c>
      <c r="AI817" s="17">
        <f>AG817+AF817</f>
        <v>0</v>
      </c>
      <c r="AJ817" s="88">
        <f>AH817+AI817</f>
        <v>0</v>
      </c>
      <c r="AL817" s="17">
        <f ca="1">SUM((INDIRECT(AL$2&amp;(ROW())):INDIRECT(AL$3&amp;(ROW()))))</f>
        <v>0</v>
      </c>
      <c r="AM817" s="88">
        <f ca="1">SUM(INDIRECT(AM$1&amp;AM$2&amp;$C817):INDIRECT(AM$1&amp;AM$3&amp;$C817))</f>
        <v>0</v>
      </c>
      <c r="AN817" s="3247">
        <f t="shared" ca="1" si="1147"/>
        <v>0</v>
      </c>
      <c r="AO817" s="2903">
        <f t="shared" ca="1" si="1148"/>
        <v>0</v>
      </c>
      <c r="AP817" s="88">
        <f ca="1">SUM(INDIRECT(AP$1&amp;AP$2&amp;$A817):INDIRECT(AP$1&amp;AP$3&amp;$A817))+SUM(INDIRECT(AP$1&amp;AP$2&amp;$B817):INDIRECT(AP$1&amp;AP$3&amp;$B817))</f>
        <v>0</v>
      </c>
      <c r="AQ817" s="3247">
        <f t="shared" ca="1" si="1149"/>
        <v>0</v>
      </c>
      <c r="AR817" s="2903">
        <f t="shared" ca="1" si="1150"/>
        <v>0</v>
      </c>
      <c r="AT817" s="17">
        <f ca="1">SUM((INDIRECT(AT$2&amp;(ROW())):INDIRECT(AT$3&amp;(ROW()))))</f>
        <v>0</v>
      </c>
      <c r="AU817" s="88">
        <f ca="1">SUM(INDIRECT(AU$1&amp;AU$2&amp;$C817):INDIRECT(AU$1&amp;AU$3&amp;$C817))</f>
        <v>0</v>
      </c>
      <c r="AV817" s="3247">
        <f t="shared" ca="1" si="1151"/>
        <v>0</v>
      </c>
      <c r="AW817" s="2903">
        <f t="shared" ca="1" si="1152"/>
        <v>0</v>
      </c>
      <c r="AX817" s="88">
        <f ca="1">SUM(INDIRECT(AX$1&amp;AX$2&amp;$A817):INDIRECT(AX$1&amp;AX$3&amp;$A817))+SUM(INDIRECT(AX$1&amp;AX$2&amp;$B817):INDIRECT(AX$1&amp;AX$3&amp;$B817))</f>
        <v>0</v>
      </c>
      <c r="AY817" s="3247">
        <f t="shared" ca="1" si="1153"/>
        <v>0</v>
      </c>
      <c r="AZ817" s="2903">
        <f t="shared" ca="1" si="1154"/>
        <v>0</v>
      </c>
      <c r="BB817" s="17">
        <f ca="1">SUM((INDIRECT(BB$2&amp;(ROW())):INDIRECT(BB$3&amp;(ROW()))))</f>
        <v>0</v>
      </c>
      <c r="BC817" s="88">
        <f ca="1">SUM(INDIRECT(BC$1&amp;BC$2&amp;$C817):INDIRECT(BC$1&amp;BC$3&amp;$C817))</f>
        <v>0</v>
      </c>
      <c r="BD817" s="3247">
        <f t="shared" ca="1" si="1155"/>
        <v>0</v>
      </c>
      <c r="BE817" s="2903">
        <f t="shared" ca="1" si="1156"/>
        <v>0</v>
      </c>
      <c r="BF817" s="88">
        <f ca="1">SUM(INDIRECT(BF$1&amp;BF$2&amp;$A817):INDIRECT(BF$1&amp;BF$3&amp;$A817))+SUM(INDIRECT(BF$1&amp;BF$2&amp;$B817):INDIRECT(BF$1&amp;BF$3&amp;$B817))</f>
        <v>0</v>
      </c>
      <c r="BG817" s="3247">
        <f t="shared" ca="1" si="1157"/>
        <v>0</v>
      </c>
      <c r="BH817" s="2903">
        <f t="shared" ca="1" si="1158"/>
        <v>0</v>
      </c>
    </row>
    <row r="818" spans="1:60" ht="14.5">
      <c r="A818" s="616">
        <v>1</v>
      </c>
      <c r="B818" s="616">
        <v>1</v>
      </c>
      <c r="C818" s="616">
        <f t="shared" si="1172"/>
        <v>815</v>
      </c>
      <c r="E818" s="2547">
        <v>1</v>
      </c>
      <c r="G818" s="22"/>
      <c r="I818" s="86"/>
      <c r="J818" s="85"/>
      <c r="K818" s="68"/>
      <c r="L818" s="68"/>
      <c r="N818" s="8" t="s">
        <v>525</v>
      </c>
      <c r="Q818" s="1779" t="str">
        <f>CHOOSE(2, "6722000003737", "S/GP (5) Gross Profit Direct ICW-WK OSP service")</f>
        <v>S/GP (5) Gross Profit Direct ICW-WK OSP service</v>
      </c>
      <c r="R818" s="1217">
        <v>0</v>
      </c>
      <c r="S818" s="1217">
        <v>0</v>
      </c>
      <c r="T818" s="1217">
        <v>0</v>
      </c>
      <c r="U818" s="1217">
        <v>0</v>
      </c>
      <c r="V818" s="1217">
        <v>0</v>
      </c>
      <c r="W818" s="1217">
        <v>0</v>
      </c>
      <c r="X818" s="1217">
        <v>0</v>
      </c>
      <c r="Y818" s="1217">
        <v>0</v>
      </c>
      <c r="Z818" s="1217">
        <v>0</v>
      </c>
      <c r="AA818" s="1217">
        <v>0</v>
      </c>
      <c r="AB818" s="1217">
        <v>0</v>
      </c>
      <c r="AC818" s="1217">
        <v>0</v>
      </c>
      <c r="AD818" s="88">
        <f>SUM(R818,S818,T818)</f>
        <v>0</v>
      </c>
      <c r="AE818" s="17">
        <f t="shared" si="1221"/>
        <v>0</v>
      </c>
      <c r="AF818" s="17">
        <f t="shared" si="1222"/>
        <v>0</v>
      </c>
      <c r="AG818" s="17">
        <f t="shared" si="1223"/>
        <v>0</v>
      </c>
      <c r="AH818" s="17">
        <f>AD818+AE818</f>
        <v>0</v>
      </c>
      <c r="AI818" s="17">
        <f>AG818+AF818</f>
        <v>0</v>
      </c>
      <c r="AJ818" s="88">
        <f>AH818+AI818</f>
        <v>0</v>
      </c>
      <c r="AL818" s="17">
        <f ca="1">SUM((INDIRECT(AL$2&amp;(ROW())):INDIRECT(AL$3&amp;(ROW()))))</f>
        <v>0</v>
      </c>
      <c r="AM818" s="88">
        <f ca="1">SUM(INDIRECT(AM$1&amp;AM$2&amp;$C818):INDIRECT(AM$1&amp;AM$3&amp;$C818))</f>
        <v>444</v>
      </c>
      <c r="AN818" s="3247">
        <f t="shared" ref="AN818:AN831" ca="1" si="1224">AL818-AM818</f>
        <v>-444</v>
      </c>
      <c r="AO818" s="2903">
        <f t="shared" ref="AO818:AO831" ca="1" si="1225">IFERROR(AL818/AM818,0)</f>
        <v>0</v>
      </c>
      <c r="AP818" s="88">
        <f ca="1">SUM(INDIRECT(AP$1&amp;AP$2&amp;$A818):INDIRECT(AP$1&amp;AP$3&amp;$A818))+SUM(INDIRECT(AP$1&amp;AP$2&amp;$B818):INDIRECT(AP$1&amp;AP$3&amp;$B818))</f>
        <v>0</v>
      </c>
      <c r="AQ818" s="3247">
        <f t="shared" ref="AQ818:AQ831" ca="1" si="1226">AL818-AP818</f>
        <v>0</v>
      </c>
      <c r="AR818" s="2903">
        <f t="shared" ref="AR818:AR831" ca="1" si="1227">IFERROR(AL818/AP818,0)</f>
        <v>0</v>
      </c>
      <c r="AT818" s="17">
        <f ca="1">SUM((INDIRECT(AT$2&amp;(ROW())):INDIRECT(AT$3&amp;(ROW()))))</f>
        <v>0</v>
      </c>
      <c r="AU818" s="88">
        <f ca="1">SUM(INDIRECT(AU$1&amp;AU$2&amp;$C818):INDIRECT(AU$1&amp;AU$3&amp;$C818))</f>
        <v>1182</v>
      </c>
      <c r="AV818" s="3247">
        <f t="shared" ref="AV818:AV831" ca="1" si="1228">AT818-AU818</f>
        <v>-1182</v>
      </c>
      <c r="AW818" s="2903">
        <f t="shared" ref="AW818:AW831" ca="1" si="1229">IFERROR(AT818/AU818,0)</f>
        <v>0</v>
      </c>
      <c r="AX818" s="88">
        <f ca="1">SUM(INDIRECT(AX$1&amp;AX$2&amp;$A818):INDIRECT(AX$1&amp;AX$3&amp;$A818))+SUM(INDIRECT(AX$1&amp;AX$2&amp;$B818):INDIRECT(AX$1&amp;AX$3&amp;$B818))</f>
        <v>0</v>
      </c>
      <c r="AY818" s="3247">
        <f t="shared" ref="AY818:AY831" ca="1" si="1230">AT818-AX818</f>
        <v>0</v>
      </c>
      <c r="AZ818" s="2903">
        <f t="shared" ref="AZ818:AZ831" ca="1" si="1231">IFERROR(AT818/AX818,0)</f>
        <v>0</v>
      </c>
      <c r="BB818" s="17">
        <f ca="1">SUM((INDIRECT(BB$2&amp;(ROW())):INDIRECT(BB$3&amp;(ROW()))))</f>
        <v>0</v>
      </c>
      <c r="BC818" s="88">
        <f ca="1">SUM(INDIRECT(BC$1&amp;BC$2&amp;$C818):INDIRECT(BC$1&amp;BC$3&amp;$C818))</f>
        <v>1827.5</v>
      </c>
      <c r="BD818" s="3247">
        <f t="shared" ref="BD818:BD831" ca="1" si="1232">BB818-BC818</f>
        <v>-1827.5</v>
      </c>
      <c r="BE818" s="2903">
        <f t="shared" ref="BE818:BE831" ca="1" si="1233">IFERROR(BB818/BC818,0)</f>
        <v>0</v>
      </c>
      <c r="BF818" s="88">
        <f ca="1">SUM(INDIRECT(BF$1&amp;BF$2&amp;$A818):INDIRECT(BF$1&amp;BF$3&amp;$A818))+SUM(INDIRECT(BF$1&amp;BF$2&amp;$B818):INDIRECT(BF$1&amp;BF$3&amp;$B818))</f>
        <v>0</v>
      </c>
      <c r="BG818" s="3247">
        <f t="shared" ref="BG818:BG831" ca="1" si="1234">BB818-BF818</f>
        <v>0</v>
      </c>
      <c r="BH818" s="2903">
        <f t="shared" ref="BH818:BH831" ca="1" si="1235">IFERROR(BB818/BF818,0)</f>
        <v>0</v>
      </c>
    </row>
    <row r="819" spans="1:60" ht="14.5">
      <c r="A819" s="616">
        <v>1</v>
      </c>
      <c r="B819" s="616">
        <v>1</v>
      </c>
      <c r="C819" s="616">
        <f t="shared" si="1172"/>
        <v>816</v>
      </c>
      <c r="E819" s="2547">
        <v>1</v>
      </c>
      <c r="G819" s="22"/>
      <c r="I819" s="86"/>
      <c r="J819" s="85"/>
      <c r="K819" s="68"/>
      <c r="L819" s="68"/>
      <c r="M819" s="11"/>
      <c r="N819" s="8" t="s">
        <v>526</v>
      </c>
      <c r="P819" s="11"/>
      <c r="Q819" s="1779" t="str">
        <f>CHOOSE(2, "6722000003738", "S/GP (5) Gross Profit Direct ICW-WK RP service")</f>
        <v>S/GP (5) Gross Profit Direct ICW-WK RP service</v>
      </c>
      <c r="R819" s="1218">
        <v>0</v>
      </c>
      <c r="S819" s="1218">
        <v>0</v>
      </c>
      <c r="T819" s="1218">
        <v>0</v>
      </c>
      <c r="U819" s="1218">
        <v>0</v>
      </c>
      <c r="V819" s="1218">
        <v>0</v>
      </c>
      <c r="W819" s="1218">
        <v>0</v>
      </c>
      <c r="X819" s="1218">
        <v>0</v>
      </c>
      <c r="Y819" s="1218">
        <v>0</v>
      </c>
      <c r="Z819" s="1218">
        <v>0</v>
      </c>
      <c r="AA819" s="1218">
        <v>0</v>
      </c>
      <c r="AB819" s="1218">
        <v>0</v>
      </c>
      <c r="AC819" s="1218">
        <v>0</v>
      </c>
      <c r="AD819" s="87">
        <f>SUM(R819,S819,T819)</f>
        <v>0</v>
      </c>
      <c r="AE819" s="15">
        <f t="shared" si="1221"/>
        <v>0</v>
      </c>
      <c r="AF819" s="15">
        <f t="shared" si="1222"/>
        <v>0</v>
      </c>
      <c r="AG819" s="15">
        <f t="shared" si="1223"/>
        <v>0</v>
      </c>
      <c r="AH819" s="15">
        <f>AD819+AE819</f>
        <v>0</v>
      </c>
      <c r="AI819" s="15">
        <f>AG819+AF819</f>
        <v>0</v>
      </c>
      <c r="AJ819" s="87">
        <f>AH819+AI819</f>
        <v>0</v>
      </c>
      <c r="AL819" s="15">
        <f ca="1">SUM((INDIRECT(AL$2&amp;(ROW())):INDIRECT(AL$3&amp;(ROW()))))</f>
        <v>0</v>
      </c>
      <c r="AM819" s="87">
        <f ca="1">SUM(INDIRECT(AM$1&amp;AM$2&amp;$C819):INDIRECT(AM$1&amp;AM$3&amp;$C819))</f>
        <v>0</v>
      </c>
      <c r="AN819" s="3248">
        <f t="shared" ca="1" si="1224"/>
        <v>0</v>
      </c>
      <c r="AO819" s="2905">
        <f t="shared" ca="1" si="1225"/>
        <v>0</v>
      </c>
      <c r="AP819" s="87">
        <f ca="1">SUM(INDIRECT(AP$1&amp;AP$2&amp;$A819):INDIRECT(AP$1&amp;AP$3&amp;$A819))+SUM(INDIRECT(AP$1&amp;AP$2&amp;$B819):INDIRECT(AP$1&amp;AP$3&amp;$B819))</f>
        <v>0</v>
      </c>
      <c r="AQ819" s="3248">
        <f t="shared" ca="1" si="1226"/>
        <v>0</v>
      </c>
      <c r="AR819" s="2905">
        <f t="shared" ca="1" si="1227"/>
        <v>0</v>
      </c>
      <c r="AT819" s="15">
        <f ca="1">SUM((INDIRECT(AT$2&amp;(ROW())):INDIRECT(AT$3&amp;(ROW()))))</f>
        <v>0</v>
      </c>
      <c r="AU819" s="87">
        <f ca="1">SUM(INDIRECT(AU$1&amp;AU$2&amp;$C819):INDIRECT(AU$1&amp;AU$3&amp;$C819))</f>
        <v>0</v>
      </c>
      <c r="AV819" s="3248">
        <f t="shared" ca="1" si="1228"/>
        <v>0</v>
      </c>
      <c r="AW819" s="2905">
        <f t="shared" ca="1" si="1229"/>
        <v>0</v>
      </c>
      <c r="AX819" s="87">
        <f ca="1">SUM(INDIRECT(AX$1&amp;AX$2&amp;$A819):INDIRECT(AX$1&amp;AX$3&amp;$A819))+SUM(INDIRECT(AX$1&amp;AX$2&amp;$B819):INDIRECT(AX$1&amp;AX$3&amp;$B819))</f>
        <v>0</v>
      </c>
      <c r="AY819" s="3248">
        <f t="shared" ca="1" si="1230"/>
        <v>0</v>
      </c>
      <c r="AZ819" s="2905">
        <f t="shared" ca="1" si="1231"/>
        <v>0</v>
      </c>
      <c r="BB819" s="15">
        <f ca="1">SUM((INDIRECT(BB$2&amp;(ROW())):INDIRECT(BB$3&amp;(ROW()))))</f>
        <v>0</v>
      </c>
      <c r="BC819" s="87">
        <f ca="1">SUM(INDIRECT(BC$1&amp;BC$2&amp;$C819):INDIRECT(BC$1&amp;BC$3&amp;$C819))</f>
        <v>0</v>
      </c>
      <c r="BD819" s="3248">
        <f t="shared" ca="1" si="1232"/>
        <v>0</v>
      </c>
      <c r="BE819" s="2905">
        <f t="shared" ca="1" si="1233"/>
        <v>0</v>
      </c>
      <c r="BF819" s="87">
        <f ca="1">SUM(INDIRECT(BF$1&amp;BF$2&amp;$A819):INDIRECT(BF$1&amp;BF$3&amp;$A819))+SUM(INDIRECT(BF$1&amp;BF$2&amp;$B819):INDIRECT(BF$1&amp;BF$3&amp;$B819))</f>
        <v>0</v>
      </c>
      <c r="BG819" s="3248">
        <f t="shared" ca="1" si="1234"/>
        <v>0</v>
      </c>
      <c r="BH819" s="2905">
        <f t="shared" ca="1" si="1235"/>
        <v>0</v>
      </c>
    </row>
    <row r="820" spans="1:60" ht="14.5">
      <c r="A820" s="616">
        <v>1</v>
      </c>
      <c r="B820" s="616">
        <v>1</v>
      </c>
      <c r="C820" s="616">
        <f t="shared" si="1172"/>
        <v>817</v>
      </c>
      <c r="E820" s="2547">
        <v>1</v>
      </c>
      <c r="G820" s="22"/>
      <c r="I820" s="86"/>
      <c r="J820" s="85"/>
      <c r="K820" s="68"/>
      <c r="L820" s="68"/>
      <c r="M820" s="3" t="s">
        <v>1435</v>
      </c>
      <c r="N820" s="284"/>
      <c r="O820" s="284"/>
      <c r="P820" s="284"/>
      <c r="Q820" s="1777" t="str">
        <f>CHOOSE(2, "6722000003739", "S/GP (5) Gross Profit Direct ICW-P")</f>
        <v>S/GP (5) Gross Profit Direct ICW-P</v>
      </c>
      <c r="R820" s="287">
        <f>SUM(R821:R824)</f>
        <v>0</v>
      </c>
      <c r="S820" s="3257">
        <f t="shared" ref="S820:AJ820" si="1236">SUM(S821:S824)</f>
        <v>0</v>
      </c>
      <c r="T820" s="287">
        <f t="shared" si="1236"/>
        <v>0</v>
      </c>
      <c r="U820" s="287">
        <f t="shared" si="1236"/>
        <v>0</v>
      </c>
      <c r="V820" s="287">
        <f t="shared" si="1236"/>
        <v>0</v>
      </c>
      <c r="W820" s="287">
        <f t="shared" si="1236"/>
        <v>0</v>
      </c>
      <c r="X820" s="287">
        <f t="shared" si="1236"/>
        <v>0</v>
      </c>
      <c r="Y820" s="287">
        <f t="shared" si="1236"/>
        <v>0</v>
      </c>
      <c r="Z820" s="287">
        <f t="shared" si="1236"/>
        <v>0</v>
      </c>
      <c r="AA820" s="287">
        <f t="shared" si="1236"/>
        <v>0</v>
      </c>
      <c r="AB820" s="287">
        <f t="shared" si="1236"/>
        <v>0</v>
      </c>
      <c r="AC820" s="287">
        <f t="shared" si="1236"/>
        <v>0</v>
      </c>
      <c r="AD820" s="315">
        <f t="shared" si="1236"/>
        <v>0</v>
      </c>
      <c r="AE820" s="287">
        <f t="shared" si="1236"/>
        <v>0</v>
      </c>
      <c r="AF820" s="287">
        <f t="shared" si="1236"/>
        <v>0</v>
      </c>
      <c r="AG820" s="287">
        <f t="shared" si="1236"/>
        <v>0</v>
      </c>
      <c r="AH820" s="287">
        <f t="shared" si="1236"/>
        <v>0</v>
      </c>
      <c r="AI820" s="287">
        <f t="shared" si="1236"/>
        <v>0</v>
      </c>
      <c r="AJ820" s="315">
        <f t="shared" si="1236"/>
        <v>0</v>
      </c>
      <c r="AL820" s="287">
        <f ca="1">SUM((INDIRECT(AL$2&amp;(ROW())):INDIRECT(AL$3&amp;(ROW()))))</f>
        <v>0</v>
      </c>
      <c r="AM820" s="315">
        <f ca="1">SUM(INDIRECT(AM$1&amp;AM$2&amp;$C820):INDIRECT(AM$1&amp;AM$3&amp;$C820))</f>
        <v>0</v>
      </c>
      <c r="AN820" s="3277">
        <f t="shared" ca="1" si="1224"/>
        <v>0</v>
      </c>
      <c r="AO820" s="2932">
        <f t="shared" ca="1" si="1225"/>
        <v>0</v>
      </c>
      <c r="AP820" s="315">
        <f ca="1">SUM(INDIRECT(AP$1&amp;AP$2&amp;$A820):INDIRECT(AP$1&amp;AP$3&amp;$A820))+SUM(INDIRECT(AP$1&amp;AP$2&amp;$B820):INDIRECT(AP$1&amp;AP$3&amp;$B820))</f>
        <v>0</v>
      </c>
      <c r="AQ820" s="3277">
        <f t="shared" ca="1" si="1226"/>
        <v>0</v>
      </c>
      <c r="AR820" s="2932">
        <f t="shared" ca="1" si="1227"/>
        <v>0</v>
      </c>
      <c r="AT820" s="287">
        <f ca="1">SUM((INDIRECT(AT$2&amp;(ROW())):INDIRECT(AT$3&amp;(ROW()))))</f>
        <v>0</v>
      </c>
      <c r="AU820" s="315">
        <f ca="1">SUM(INDIRECT(AU$1&amp;AU$2&amp;$C820):INDIRECT(AU$1&amp;AU$3&amp;$C820))</f>
        <v>0</v>
      </c>
      <c r="AV820" s="3277">
        <f t="shared" ca="1" si="1228"/>
        <v>0</v>
      </c>
      <c r="AW820" s="2932">
        <f t="shared" ca="1" si="1229"/>
        <v>0</v>
      </c>
      <c r="AX820" s="315">
        <f ca="1">SUM(INDIRECT(AX$1&amp;AX$2&amp;$A820):INDIRECT(AX$1&amp;AX$3&amp;$A820))+SUM(INDIRECT(AX$1&amp;AX$2&amp;$B820):INDIRECT(AX$1&amp;AX$3&amp;$B820))</f>
        <v>0</v>
      </c>
      <c r="AY820" s="3277">
        <f t="shared" ca="1" si="1230"/>
        <v>0</v>
      </c>
      <c r="AZ820" s="2932">
        <f t="shared" ca="1" si="1231"/>
        <v>0</v>
      </c>
      <c r="BB820" s="287">
        <f ca="1">SUM((INDIRECT(BB$2&amp;(ROW())):INDIRECT(BB$3&amp;(ROW()))))</f>
        <v>0</v>
      </c>
      <c r="BC820" s="315">
        <f ca="1">SUM(INDIRECT(BC$1&amp;BC$2&amp;$C820):INDIRECT(BC$1&amp;BC$3&amp;$C820))</f>
        <v>0</v>
      </c>
      <c r="BD820" s="3277">
        <f t="shared" ca="1" si="1232"/>
        <v>0</v>
      </c>
      <c r="BE820" s="2932">
        <f t="shared" ca="1" si="1233"/>
        <v>0</v>
      </c>
      <c r="BF820" s="315">
        <f ca="1">SUM(INDIRECT(BF$1&amp;BF$2&amp;$A820):INDIRECT(BF$1&amp;BF$3&amp;$A820))+SUM(INDIRECT(BF$1&amp;BF$2&amp;$B820):INDIRECT(BF$1&amp;BF$3&amp;$B820))</f>
        <v>0</v>
      </c>
      <c r="BG820" s="3277">
        <f t="shared" ca="1" si="1234"/>
        <v>0</v>
      </c>
      <c r="BH820" s="2932">
        <f t="shared" ca="1" si="1235"/>
        <v>0</v>
      </c>
    </row>
    <row r="821" spans="1:60" ht="14.5">
      <c r="A821" s="616">
        <v>1</v>
      </c>
      <c r="B821" s="616">
        <v>1</v>
      </c>
      <c r="C821" s="616">
        <f t="shared" si="1172"/>
        <v>818</v>
      </c>
      <c r="E821" s="2547">
        <v>1</v>
      </c>
      <c r="G821" s="22"/>
      <c r="I821" s="86"/>
      <c r="J821" s="85"/>
      <c r="K821" s="68"/>
      <c r="L821" s="68"/>
      <c r="N821" s="97" t="s">
        <v>523</v>
      </c>
      <c r="O821" s="97"/>
      <c r="P821" s="97"/>
      <c r="Q821" s="1779" t="str">
        <f>CHOOSE(2, "6722000003740", "S/GP (5) Gross Profit Direct ICW-P OSP")</f>
        <v>S/GP (5) Gross Profit Direct ICW-P OSP</v>
      </c>
      <c r="R821" s="1227">
        <v>0</v>
      </c>
      <c r="S821" s="1247">
        <v>0</v>
      </c>
      <c r="T821" s="1227">
        <v>0</v>
      </c>
      <c r="U821" s="1227">
        <v>0</v>
      </c>
      <c r="V821" s="1227">
        <v>0</v>
      </c>
      <c r="W821" s="1227">
        <v>0</v>
      </c>
      <c r="X821" s="1227">
        <v>0</v>
      </c>
      <c r="Y821" s="1227">
        <v>0</v>
      </c>
      <c r="Z821" s="1227">
        <v>0</v>
      </c>
      <c r="AA821" s="1227">
        <v>0</v>
      </c>
      <c r="AB821" s="1227">
        <v>0</v>
      </c>
      <c r="AC821" s="1227">
        <v>0</v>
      </c>
      <c r="AD821" s="295">
        <f>SUM(R821,S821,T821)</f>
        <v>0</v>
      </c>
      <c r="AE821" s="96">
        <f t="shared" ref="AE821:AE824" si="1237">SUM(U821,V821,W821)</f>
        <v>0</v>
      </c>
      <c r="AF821" s="96">
        <f t="shared" ref="AF821:AF824" si="1238">SUM(X821,Y821,Z821)</f>
        <v>0</v>
      </c>
      <c r="AG821" s="96">
        <f t="shared" ref="AG821:AG824" si="1239">SUM(AA821,AB821,AC821)</f>
        <v>0</v>
      </c>
      <c r="AH821" s="96">
        <f>AD821+AE821</f>
        <v>0</v>
      </c>
      <c r="AI821" s="96">
        <f>AG821+AF821</f>
        <v>0</v>
      </c>
      <c r="AJ821" s="295">
        <f>AH821+AI821</f>
        <v>0</v>
      </c>
      <c r="AL821" s="96">
        <f ca="1">SUM((INDIRECT(AL$2&amp;(ROW())):INDIRECT(AL$3&amp;(ROW()))))</f>
        <v>0</v>
      </c>
      <c r="AM821" s="295">
        <f ca="1">SUM(INDIRECT(AM$1&amp;AM$2&amp;$C821):INDIRECT(AM$1&amp;AM$3&amp;$C821))</f>
        <v>0</v>
      </c>
      <c r="AN821" s="3246">
        <f t="shared" ca="1" si="1224"/>
        <v>0</v>
      </c>
      <c r="AO821" s="2901">
        <f t="shared" ca="1" si="1225"/>
        <v>0</v>
      </c>
      <c r="AP821" s="295">
        <f ca="1">SUM(INDIRECT(AP$1&amp;AP$2&amp;$A821):INDIRECT(AP$1&amp;AP$3&amp;$A821))+SUM(INDIRECT(AP$1&amp;AP$2&amp;$B821):INDIRECT(AP$1&amp;AP$3&amp;$B821))</f>
        <v>0</v>
      </c>
      <c r="AQ821" s="3246">
        <f t="shared" ca="1" si="1226"/>
        <v>0</v>
      </c>
      <c r="AR821" s="2901">
        <f t="shared" ca="1" si="1227"/>
        <v>0</v>
      </c>
      <c r="AT821" s="96">
        <f ca="1">SUM((INDIRECT(AT$2&amp;(ROW())):INDIRECT(AT$3&amp;(ROW()))))</f>
        <v>0</v>
      </c>
      <c r="AU821" s="295">
        <f ca="1">SUM(INDIRECT(AU$1&amp;AU$2&amp;$C821):INDIRECT(AU$1&amp;AU$3&amp;$C821))</f>
        <v>0</v>
      </c>
      <c r="AV821" s="3246">
        <f t="shared" ca="1" si="1228"/>
        <v>0</v>
      </c>
      <c r="AW821" s="2901">
        <f t="shared" ca="1" si="1229"/>
        <v>0</v>
      </c>
      <c r="AX821" s="295">
        <f ca="1">SUM(INDIRECT(AX$1&amp;AX$2&amp;$A821):INDIRECT(AX$1&amp;AX$3&amp;$A821))+SUM(INDIRECT(AX$1&amp;AX$2&amp;$B821):INDIRECT(AX$1&amp;AX$3&amp;$B821))</f>
        <v>0</v>
      </c>
      <c r="AY821" s="3246">
        <f t="shared" ca="1" si="1230"/>
        <v>0</v>
      </c>
      <c r="AZ821" s="2901">
        <f t="shared" ca="1" si="1231"/>
        <v>0</v>
      </c>
      <c r="BB821" s="96">
        <f ca="1">SUM((INDIRECT(BB$2&amp;(ROW())):INDIRECT(BB$3&amp;(ROW()))))</f>
        <v>0</v>
      </c>
      <c r="BC821" s="295">
        <f ca="1">SUM(INDIRECT(BC$1&amp;BC$2&amp;$C821):INDIRECT(BC$1&amp;BC$3&amp;$C821))</f>
        <v>0</v>
      </c>
      <c r="BD821" s="3246">
        <f t="shared" ca="1" si="1232"/>
        <v>0</v>
      </c>
      <c r="BE821" s="2901">
        <f t="shared" ca="1" si="1233"/>
        <v>0</v>
      </c>
      <c r="BF821" s="295">
        <f ca="1">SUM(INDIRECT(BF$1&amp;BF$2&amp;$A821):INDIRECT(BF$1&amp;BF$3&amp;$A821))+SUM(INDIRECT(BF$1&amp;BF$2&amp;$B821):INDIRECT(BF$1&amp;BF$3&amp;$B821))</f>
        <v>0</v>
      </c>
      <c r="BG821" s="3246">
        <f t="shared" ca="1" si="1234"/>
        <v>0</v>
      </c>
      <c r="BH821" s="2901">
        <f t="shared" ca="1" si="1235"/>
        <v>0</v>
      </c>
    </row>
    <row r="822" spans="1:60" ht="14.5">
      <c r="A822" s="616">
        <v>1</v>
      </c>
      <c r="B822" s="616">
        <v>1</v>
      </c>
      <c r="C822" s="616">
        <f t="shared" si="1172"/>
        <v>819</v>
      </c>
      <c r="E822" s="2547">
        <v>1</v>
      </c>
      <c r="G822" s="22"/>
      <c r="I822" s="86"/>
      <c r="J822" s="85"/>
      <c r="K822" s="68"/>
      <c r="L822" s="68"/>
      <c r="N822" s="8" t="s">
        <v>524</v>
      </c>
      <c r="Q822" s="1779" t="str">
        <f>CHOOSE(2, "6722000003741", "S/GP (5) Gross Profit Direct ICW-P RP")</f>
        <v>S/GP (5) Gross Profit Direct ICW-P RP</v>
      </c>
      <c r="R822" s="1217">
        <v>0</v>
      </c>
      <c r="S822" s="1224">
        <v>0</v>
      </c>
      <c r="T822" s="1217">
        <v>0</v>
      </c>
      <c r="U822" s="1217">
        <v>0</v>
      </c>
      <c r="V822" s="1217">
        <v>0</v>
      </c>
      <c r="W822" s="1217">
        <v>0</v>
      </c>
      <c r="X822" s="1217">
        <v>0</v>
      </c>
      <c r="Y822" s="1217">
        <v>0</v>
      </c>
      <c r="Z822" s="1217">
        <v>0</v>
      </c>
      <c r="AA822" s="1217">
        <v>0</v>
      </c>
      <c r="AB822" s="1217">
        <v>0</v>
      </c>
      <c r="AC822" s="1217">
        <v>0</v>
      </c>
      <c r="AD822" s="88">
        <f>SUM(R822,S822,T822)</f>
        <v>0</v>
      </c>
      <c r="AE822" s="17">
        <f t="shared" si="1237"/>
        <v>0</v>
      </c>
      <c r="AF822" s="17">
        <f t="shared" si="1238"/>
        <v>0</v>
      </c>
      <c r="AG822" s="17">
        <f t="shared" si="1239"/>
        <v>0</v>
      </c>
      <c r="AH822" s="17">
        <f>AD822+AE822</f>
        <v>0</v>
      </c>
      <c r="AI822" s="17">
        <f>AG822+AF822</f>
        <v>0</v>
      </c>
      <c r="AJ822" s="88">
        <f>AH822+AI822</f>
        <v>0</v>
      </c>
      <c r="AL822" s="17">
        <f ca="1">SUM((INDIRECT(AL$2&amp;(ROW())):INDIRECT(AL$3&amp;(ROW()))))</f>
        <v>0</v>
      </c>
      <c r="AM822" s="88">
        <f ca="1">SUM(INDIRECT(AM$1&amp;AM$2&amp;$C822):INDIRECT(AM$1&amp;AM$3&amp;$C822))</f>
        <v>0</v>
      </c>
      <c r="AN822" s="3247">
        <f t="shared" ca="1" si="1224"/>
        <v>0</v>
      </c>
      <c r="AO822" s="2903">
        <f t="shared" ca="1" si="1225"/>
        <v>0</v>
      </c>
      <c r="AP822" s="88">
        <f ca="1">SUM(INDIRECT(AP$1&amp;AP$2&amp;$A822):INDIRECT(AP$1&amp;AP$3&amp;$A822))+SUM(INDIRECT(AP$1&amp;AP$2&amp;$B822):INDIRECT(AP$1&amp;AP$3&amp;$B822))</f>
        <v>0</v>
      </c>
      <c r="AQ822" s="3247">
        <f t="shared" ca="1" si="1226"/>
        <v>0</v>
      </c>
      <c r="AR822" s="2903">
        <f t="shared" ca="1" si="1227"/>
        <v>0</v>
      </c>
      <c r="AT822" s="17">
        <f ca="1">SUM((INDIRECT(AT$2&amp;(ROW())):INDIRECT(AT$3&amp;(ROW()))))</f>
        <v>0</v>
      </c>
      <c r="AU822" s="88">
        <f ca="1">SUM(INDIRECT(AU$1&amp;AU$2&amp;$C822):INDIRECT(AU$1&amp;AU$3&amp;$C822))</f>
        <v>0</v>
      </c>
      <c r="AV822" s="3247">
        <f t="shared" ca="1" si="1228"/>
        <v>0</v>
      </c>
      <c r="AW822" s="2903">
        <f t="shared" ca="1" si="1229"/>
        <v>0</v>
      </c>
      <c r="AX822" s="88">
        <f ca="1">SUM(INDIRECT(AX$1&amp;AX$2&amp;$A822):INDIRECT(AX$1&amp;AX$3&amp;$A822))+SUM(INDIRECT(AX$1&amp;AX$2&amp;$B822):INDIRECT(AX$1&amp;AX$3&amp;$B822))</f>
        <v>0</v>
      </c>
      <c r="AY822" s="3247">
        <f t="shared" ca="1" si="1230"/>
        <v>0</v>
      </c>
      <c r="AZ822" s="2903">
        <f t="shared" ca="1" si="1231"/>
        <v>0</v>
      </c>
      <c r="BB822" s="17">
        <f ca="1">SUM((INDIRECT(BB$2&amp;(ROW())):INDIRECT(BB$3&amp;(ROW()))))</f>
        <v>0</v>
      </c>
      <c r="BC822" s="88">
        <f ca="1">SUM(INDIRECT(BC$1&amp;BC$2&amp;$C822):INDIRECT(BC$1&amp;BC$3&amp;$C822))</f>
        <v>0</v>
      </c>
      <c r="BD822" s="3247">
        <f t="shared" ca="1" si="1232"/>
        <v>0</v>
      </c>
      <c r="BE822" s="2903">
        <f t="shared" ca="1" si="1233"/>
        <v>0</v>
      </c>
      <c r="BF822" s="88">
        <f ca="1">SUM(INDIRECT(BF$1&amp;BF$2&amp;$A822):INDIRECT(BF$1&amp;BF$3&amp;$A822))+SUM(INDIRECT(BF$1&amp;BF$2&amp;$B822):INDIRECT(BF$1&amp;BF$3&amp;$B822))</f>
        <v>0</v>
      </c>
      <c r="BG822" s="3247">
        <f t="shared" ca="1" si="1234"/>
        <v>0</v>
      </c>
      <c r="BH822" s="2903">
        <f t="shared" ca="1" si="1235"/>
        <v>0</v>
      </c>
    </row>
    <row r="823" spans="1:60" ht="14.5">
      <c r="A823" s="616">
        <v>1</v>
      </c>
      <c r="B823" s="616">
        <v>1</v>
      </c>
      <c r="C823" s="616">
        <f t="shared" si="1172"/>
        <v>820</v>
      </c>
      <c r="E823" s="2547">
        <v>1</v>
      </c>
      <c r="G823" s="22"/>
      <c r="I823" s="86"/>
      <c r="J823" s="85"/>
      <c r="K823" s="68"/>
      <c r="L823" s="68"/>
      <c r="N823" s="8" t="s">
        <v>525</v>
      </c>
      <c r="Q823" s="1779" t="str">
        <f>CHOOSE(2, "6722000003742", "S/GP (5) Gross Profit Direct ICW-P OSP service")</f>
        <v>S/GP (5) Gross Profit Direct ICW-P OSP service</v>
      </c>
      <c r="R823" s="1217">
        <v>0</v>
      </c>
      <c r="S823" s="1217">
        <v>0</v>
      </c>
      <c r="T823" s="1217">
        <v>0</v>
      </c>
      <c r="U823" s="1217">
        <v>0</v>
      </c>
      <c r="V823" s="1217">
        <v>0</v>
      </c>
      <c r="W823" s="1217">
        <v>0</v>
      </c>
      <c r="X823" s="1217">
        <v>0</v>
      </c>
      <c r="Y823" s="1217">
        <v>0</v>
      </c>
      <c r="Z823" s="1217">
        <v>0</v>
      </c>
      <c r="AA823" s="1217">
        <v>0</v>
      </c>
      <c r="AB823" s="1217">
        <v>0</v>
      </c>
      <c r="AC823" s="1217">
        <v>0</v>
      </c>
      <c r="AD823" s="88">
        <f>SUM(R823,S823,T823)</f>
        <v>0</v>
      </c>
      <c r="AE823" s="17">
        <f t="shared" si="1237"/>
        <v>0</v>
      </c>
      <c r="AF823" s="17">
        <f t="shared" si="1238"/>
        <v>0</v>
      </c>
      <c r="AG823" s="17">
        <f t="shared" si="1239"/>
        <v>0</v>
      </c>
      <c r="AH823" s="17">
        <f>AD823+AE823</f>
        <v>0</v>
      </c>
      <c r="AI823" s="17">
        <f>AG823+AF823</f>
        <v>0</v>
      </c>
      <c r="AJ823" s="88">
        <f>AH823+AI823</f>
        <v>0</v>
      </c>
      <c r="AL823" s="17">
        <f ca="1">SUM((INDIRECT(AL$2&amp;(ROW())):INDIRECT(AL$3&amp;(ROW()))))</f>
        <v>0</v>
      </c>
      <c r="AM823" s="88">
        <f ca="1">SUM(INDIRECT(AM$1&amp;AM$2&amp;$C823):INDIRECT(AM$1&amp;AM$3&amp;$C823))</f>
        <v>0</v>
      </c>
      <c r="AN823" s="3247">
        <f t="shared" ca="1" si="1224"/>
        <v>0</v>
      </c>
      <c r="AO823" s="2903">
        <f t="shared" ca="1" si="1225"/>
        <v>0</v>
      </c>
      <c r="AP823" s="88">
        <f ca="1">SUM(INDIRECT(AP$1&amp;AP$2&amp;$A823):INDIRECT(AP$1&amp;AP$3&amp;$A823))+SUM(INDIRECT(AP$1&amp;AP$2&amp;$B823):INDIRECT(AP$1&amp;AP$3&amp;$B823))</f>
        <v>0</v>
      </c>
      <c r="AQ823" s="3247">
        <f t="shared" ca="1" si="1226"/>
        <v>0</v>
      </c>
      <c r="AR823" s="2903">
        <f t="shared" ca="1" si="1227"/>
        <v>0</v>
      </c>
      <c r="AT823" s="17">
        <f ca="1">SUM((INDIRECT(AT$2&amp;(ROW())):INDIRECT(AT$3&amp;(ROW()))))</f>
        <v>0</v>
      </c>
      <c r="AU823" s="88">
        <f ca="1">SUM(INDIRECT(AU$1&amp;AU$2&amp;$C823):INDIRECT(AU$1&amp;AU$3&amp;$C823))</f>
        <v>0</v>
      </c>
      <c r="AV823" s="3247">
        <f t="shared" ca="1" si="1228"/>
        <v>0</v>
      </c>
      <c r="AW823" s="2903">
        <f t="shared" ca="1" si="1229"/>
        <v>0</v>
      </c>
      <c r="AX823" s="88">
        <f ca="1">SUM(INDIRECT(AX$1&amp;AX$2&amp;$A823):INDIRECT(AX$1&amp;AX$3&amp;$A823))+SUM(INDIRECT(AX$1&amp;AX$2&amp;$B823):INDIRECT(AX$1&amp;AX$3&amp;$B823))</f>
        <v>0</v>
      </c>
      <c r="AY823" s="3247">
        <f t="shared" ca="1" si="1230"/>
        <v>0</v>
      </c>
      <c r="AZ823" s="2903">
        <f t="shared" ca="1" si="1231"/>
        <v>0</v>
      </c>
      <c r="BB823" s="17">
        <f ca="1">SUM((INDIRECT(BB$2&amp;(ROW())):INDIRECT(BB$3&amp;(ROW()))))</f>
        <v>0</v>
      </c>
      <c r="BC823" s="88">
        <f ca="1">SUM(INDIRECT(BC$1&amp;BC$2&amp;$C823):INDIRECT(BC$1&amp;BC$3&amp;$C823))</f>
        <v>0</v>
      </c>
      <c r="BD823" s="3247">
        <f t="shared" ca="1" si="1232"/>
        <v>0</v>
      </c>
      <c r="BE823" s="2903">
        <f t="shared" ca="1" si="1233"/>
        <v>0</v>
      </c>
      <c r="BF823" s="88">
        <f ca="1">SUM(INDIRECT(BF$1&amp;BF$2&amp;$A823):INDIRECT(BF$1&amp;BF$3&amp;$A823))+SUM(INDIRECT(BF$1&amp;BF$2&amp;$B823):INDIRECT(BF$1&amp;BF$3&amp;$B823))</f>
        <v>0</v>
      </c>
      <c r="BG823" s="3247">
        <f t="shared" ca="1" si="1234"/>
        <v>0</v>
      </c>
      <c r="BH823" s="2903">
        <f t="shared" ca="1" si="1235"/>
        <v>0</v>
      </c>
    </row>
    <row r="824" spans="1:60" ht="14.5">
      <c r="A824" s="616">
        <v>1</v>
      </c>
      <c r="B824" s="616">
        <v>1</v>
      </c>
      <c r="C824" s="616">
        <f t="shared" si="1172"/>
        <v>821</v>
      </c>
      <c r="E824" s="2547">
        <v>1</v>
      </c>
      <c r="G824" s="22"/>
      <c r="I824" s="86"/>
      <c r="J824" s="85"/>
      <c r="K824" s="68"/>
      <c r="L824" s="68"/>
      <c r="M824" s="11"/>
      <c r="N824" s="11" t="s">
        <v>526</v>
      </c>
      <c r="O824" s="11"/>
      <c r="P824" s="11"/>
      <c r="Q824" s="1779" t="str">
        <f>CHOOSE(2, "6722000003743", "S/GP (5) Gross Profit Direct ICW-P RP service")</f>
        <v>S/GP (5) Gross Profit Direct ICW-P RP service</v>
      </c>
      <c r="R824" s="1218">
        <v>0</v>
      </c>
      <c r="S824" s="1218">
        <v>0</v>
      </c>
      <c r="T824" s="1218">
        <v>0</v>
      </c>
      <c r="U824" s="1218">
        <v>0</v>
      </c>
      <c r="V824" s="1218">
        <v>0</v>
      </c>
      <c r="W824" s="1218">
        <v>0</v>
      </c>
      <c r="X824" s="1218">
        <v>0</v>
      </c>
      <c r="Y824" s="1218">
        <v>0</v>
      </c>
      <c r="Z824" s="1218">
        <v>0</v>
      </c>
      <c r="AA824" s="1218">
        <v>0</v>
      </c>
      <c r="AB824" s="1218">
        <v>0</v>
      </c>
      <c r="AC824" s="1218">
        <v>0</v>
      </c>
      <c r="AD824" s="87">
        <f>SUM(R824,S824,T824)</f>
        <v>0</v>
      </c>
      <c r="AE824" s="15">
        <f t="shared" si="1237"/>
        <v>0</v>
      </c>
      <c r="AF824" s="15">
        <f t="shared" si="1238"/>
        <v>0</v>
      </c>
      <c r="AG824" s="15">
        <f t="shared" si="1239"/>
        <v>0</v>
      </c>
      <c r="AH824" s="15">
        <f>AD824+AE824</f>
        <v>0</v>
      </c>
      <c r="AI824" s="15">
        <f>AG824+AF824</f>
        <v>0</v>
      </c>
      <c r="AJ824" s="87">
        <f>AH824+AI824</f>
        <v>0</v>
      </c>
      <c r="AL824" s="15">
        <f ca="1">SUM((INDIRECT(AL$2&amp;(ROW())):INDIRECT(AL$3&amp;(ROW()))))</f>
        <v>0</v>
      </c>
      <c r="AM824" s="87">
        <f ca="1">SUM(INDIRECT(AM$1&amp;AM$2&amp;$C824):INDIRECT(AM$1&amp;AM$3&amp;$C824))</f>
        <v>0</v>
      </c>
      <c r="AN824" s="3248">
        <f t="shared" ca="1" si="1224"/>
        <v>0</v>
      </c>
      <c r="AO824" s="2905">
        <f t="shared" ca="1" si="1225"/>
        <v>0</v>
      </c>
      <c r="AP824" s="87">
        <f ca="1">SUM(INDIRECT(AP$1&amp;AP$2&amp;$A824):INDIRECT(AP$1&amp;AP$3&amp;$A824))+SUM(INDIRECT(AP$1&amp;AP$2&amp;$B824):INDIRECT(AP$1&amp;AP$3&amp;$B824))</f>
        <v>0</v>
      </c>
      <c r="AQ824" s="3248">
        <f t="shared" ca="1" si="1226"/>
        <v>0</v>
      </c>
      <c r="AR824" s="2905">
        <f t="shared" ca="1" si="1227"/>
        <v>0</v>
      </c>
      <c r="AT824" s="15">
        <f ca="1">SUM((INDIRECT(AT$2&amp;(ROW())):INDIRECT(AT$3&amp;(ROW()))))</f>
        <v>0</v>
      </c>
      <c r="AU824" s="87">
        <f ca="1">SUM(INDIRECT(AU$1&amp;AU$2&amp;$C824):INDIRECT(AU$1&amp;AU$3&amp;$C824))</f>
        <v>0</v>
      </c>
      <c r="AV824" s="3248">
        <f t="shared" ca="1" si="1228"/>
        <v>0</v>
      </c>
      <c r="AW824" s="2905">
        <f t="shared" ca="1" si="1229"/>
        <v>0</v>
      </c>
      <c r="AX824" s="87">
        <f ca="1">SUM(INDIRECT(AX$1&amp;AX$2&amp;$A824):INDIRECT(AX$1&amp;AX$3&amp;$A824))+SUM(INDIRECT(AX$1&amp;AX$2&amp;$B824):INDIRECT(AX$1&amp;AX$3&amp;$B824))</f>
        <v>0</v>
      </c>
      <c r="AY824" s="3248">
        <f t="shared" ca="1" si="1230"/>
        <v>0</v>
      </c>
      <c r="AZ824" s="2905">
        <f t="shared" ca="1" si="1231"/>
        <v>0</v>
      </c>
      <c r="BB824" s="15">
        <f ca="1">SUM((INDIRECT(BB$2&amp;(ROW())):INDIRECT(BB$3&amp;(ROW()))))</f>
        <v>0</v>
      </c>
      <c r="BC824" s="87">
        <f ca="1">SUM(INDIRECT(BC$1&amp;BC$2&amp;$C824):INDIRECT(BC$1&amp;BC$3&amp;$C824))</f>
        <v>0</v>
      </c>
      <c r="BD824" s="3248">
        <f t="shared" ca="1" si="1232"/>
        <v>0</v>
      </c>
      <c r="BE824" s="2905">
        <f t="shared" ca="1" si="1233"/>
        <v>0</v>
      </c>
      <c r="BF824" s="87">
        <f ca="1">SUM(INDIRECT(BF$1&amp;BF$2&amp;$A824):INDIRECT(BF$1&amp;BF$3&amp;$A824))+SUM(INDIRECT(BF$1&amp;BF$2&amp;$B824):INDIRECT(BF$1&amp;BF$3&amp;$B824))</f>
        <v>0</v>
      </c>
      <c r="BG824" s="3248">
        <f t="shared" ca="1" si="1234"/>
        <v>0</v>
      </c>
      <c r="BH824" s="2905">
        <f t="shared" ca="1" si="1235"/>
        <v>0</v>
      </c>
    </row>
    <row r="825" spans="1:60" ht="14.5">
      <c r="A825" s="2580">
        <v>749</v>
      </c>
      <c r="B825" s="616">
        <v>1</v>
      </c>
      <c r="C825" s="616">
        <f t="shared" si="1172"/>
        <v>822</v>
      </c>
      <c r="E825" s="2547">
        <v>1</v>
      </c>
      <c r="I825" s="86"/>
      <c r="J825" s="85"/>
      <c r="K825" s="63" t="s">
        <v>1382</v>
      </c>
      <c r="L825" s="63"/>
      <c r="M825" s="66"/>
      <c r="N825" s="66"/>
      <c r="O825" s="66"/>
      <c r="P825" s="66"/>
      <c r="Q825" s="1802" t="str">
        <f>CHOOSE(2, "6722000003744", "S/GP (5) Gross Profit Indirect")</f>
        <v>S/GP (5) Gross Profit Indirect</v>
      </c>
      <c r="R825" s="1253">
        <f t="shared" ref="R825:AC825" si="1240">SUM(R826:R831)</f>
        <v>0</v>
      </c>
      <c r="S825" s="3272">
        <f t="shared" si="1240"/>
        <v>0</v>
      </c>
      <c r="T825" s="1253">
        <f t="shared" si="1240"/>
        <v>0</v>
      </c>
      <c r="U825" s="1253">
        <f t="shared" si="1240"/>
        <v>0</v>
      </c>
      <c r="V825" s="1253">
        <f t="shared" si="1240"/>
        <v>0</v>
      </c>
      <c r="W825" s="1253">
        <f t="shared" si="1240"/>
        <v>0</v>
      </c>
      <c r="X825" s="1253">
        <f t="shared" si="1240"/>
        <v>0</v>
      </c>
      <c r="Y825" s="1253">
        <f t="shared" si="1240"/>
        <v>0</v>
      </c>
      <c r="Z825" s="1253">
        <f t="shared" si="1240"/>
        <v>0</v>
      </c>
      <c r="AA825" s="1253">
        <f t="shared" si="1240"/>
        <v>0</v>
      </c>
      <c r="AB825" s="1253">
        <f t="shared" si="1240"/>
        <v>0</v>
      </c>
      <c r="AC825" s="1253">
        <f t="shared" si="1240"/>
        <v>0</v>
      </c>
      <c r="AD825" s="3263">
        <f t="shared" ref="AD825:AJ825" si="1241">SUM(AD826:AD831)</f>
        <v>0</v>
      </c>
      <c r="AE825" s="1253">
        <f t="shared" si="1241"/>
        <v>0</v>
      </c>
      <c r="AF825" s="1253">
        <f t="shared" si="1241"/>
        <v>0</v>
      </c>
      <c r="AG825" s="1253">
        <f t="shared" si="1241"/>
        <v>0</v>
      </c>
      <c r="AH825" s="1253">
        <f t="shared" si="1241"/>
        <v>0</v>
      </c>
      <c r="AI825" s="1253">
        <f t="shared" si="1241"/>
        <v>0</v>
      </c>
      <c r="AJ825" s="3263">
        <f t="shared" si="1241"/>
        <v>0</v>
      </c>
      <c r="AL825" s="1253">
        <f ca="1">SUM((INDIRECT(AL$2&amp;(ROW())):INDIRECT(AL$3&amp;(ROW()))))</f>
        <v>0</v>
      </c>
      <c r="AM825" s="3263">
        <f ca="1">SUM(INDIRECT(AM$1&amp;AM$2&amp;$C825):INDIRECT(AM$1&amp;AM$3&amp;$C825))</f>
        <v>0</v>
      </c>
      <c r="AN825" s="3273">
        <f t="shared" ca="1" si="1224"/>
        <v>0</v>
      </c>
      <c r="AO825" s="3274">
        <f t="shared" ca="1" si="1225"/>
        <v>0</v>
      </c>
      <c r="AP825" s="3275">
        <f ca="1">SUM(AP826:AP831)</f>
        <v>0</v>
      </c>
      <c r="AQ825" s="3273">
        <f t="shared" ca="1" si="1226"/>
        <v>0</v>
      </c>
      <c r="AR825" s="3274">
        <f t="shared" ca="1" si="1227"/>
        <v>0</v>
      </c>
      <c r="AT825" s="1253">
        <f ca="1">SUM((INDIRECT(AT$2&amp;(ROW())):INDIRECT(AT$3&amp;(ROW()))))</f>
        <v>0</v>
      </c>
      <c r="AU825" s="3263">
        <f ca="1">SUM(INDIRECT(AU$1&amp;AU$2&amp;$C825):INDIRECT(AU$1&amp;AU$3&amp;$C825))</f>
        <v>0</v>
      </c>
      <c r="AV825" s="3273">
        <f t="shared" ca="1" si="1228"/>
        <v>0</v>
      </c>
      <c r="AW825" s="3274">
        <f t="shared" ca="1" si="1229"/>
        <v>0</v>
      </c>
      <c r="AX825" s="3275">
        <f ca="1">SUM(AX826:AX831)</f>
        <v>0</v>
      </c>
      <c r="AY825" s="3273">
        <f t="shared" ca="1" si="1230"/>
        <v>0</v>
      </c>
      <c r="AZ825" s="3274">
        <f t="shared" ca="1" si="1231"/>
        <v>0</v>
      </c>
      <c r="BB825" s="1253">
        <f ca="1">SUM((INDIRECT(BB$2&amp;(ROW())):INDIRECT(BB$3&amp;(ROW()))))</f>
        <v>0</v>
      </c>
      <c r="BC825" s="3263">
        <f ca="1">SUM(INDIRECT(BC$1&amp;BC$2&amp;$C825):INDIRECT(BC$1&amp;BC$3&amp;$C825))</f>
        <v>0</v>
      </c>
      <c r="BD825" s="3273">
        <f t="shared" ca="1" si="1232"/>
        <v>0</v>
      </c>
      <c r="BE825" s="3274">
        <f t="shared" ca="1" si="1233"/>
        <v>0</v>
      </c>
      <c r="BF825" s="3275">
        <f ca="1">SUM(BF826:BF831)</f>
        <v>0</v>
      </c>
      <c r="BG825" s="3273">
        <f t="shared" ca="1" si="1234"/>
        <v>0</v>
      </c>
      <c r="BH825" s="3274">
        <f t="shared" ca="1" si="1235"/>
        <v>0</v>
      </c>
    </row>
    <row r="826" spans="1:60" ht="14.5">
      <c r="A826" s="2580">
        <v>750</v>
      </c>
      <c r="B826" s="616">
        <v>1</v>
      </c>
      <c r="C826" s="616">
        <f t="shared" si="1172"/>
        <v>823</v>
      </c>
      <c r="E826" s="2547">
        <v>1</v>
      </c>
      <c r="G826" s="22"/>
      <c r="I826" s="86"/>
      <c r="J826" s="85"/>
      <c r="K826" s="63"/>
      <c r="L826" s="63"/>
      <c r="M826" s="3" t="s">
        <v>1429</v>
      </c>
      <c r="Q826" s="1779" t="str">
        <f>CHOOSE(2, "6722000003745", "S/GP (5) Gross Profit Indirect IMS")</f>
        <v>S/GP (5) Gross Profit Indirect IMS</v>
      </c>
      <c r="R826" s="1217">
        <v>0</v>
      </c>
      <c r="S826" s="1224">
        <v>0</v>
      </c>
      <c r="T826" s="1217">
        <v>0</v>
      </c>
      <c r="U826" s="1217">
        <v>0</v>
      </c>
      <c r="V826" s="1217">
        <v>0</v>
      </c>
      <c r="W826" s="1217">
        <v>0</v>
      </c>
      <c r="X826" s="1217">
        <v>0</v>
      </c>
      <c r="Y826" s="1217">
        <v>0</v>
      </c>
      <c r="Z826" s="1217">
        <v>0</v>
      </c>
      <c r="AA826" s="1217">
        <v>0</v>
      </c>
      <c r="AB826" s="1217">
        <v>0</v>
      </c>
      <c r="AC826" s="1217">
        <v>0</v>
      </c>
      <c r="AD826" s="88">
        <f t="shared" ref="AD826:AD831" si="1242">SUM(R826,S826,T826)</f>
        <v>0</v>
      </c>
      <c r="AE826" s="17">
        <f t="shared" ref="AE826:AE831" si="1243">SUM(U826,V826,W826)</f>
        <v>0</v>
      </c>
      <c r="AF826" s="17">
        <f t="shared" ref="AF826:AF831" si="1244">SUM(X826,Y826,Z826)</f>
        <v>0</v>
      </c>
      <c r="AG826" s="17">
        <f t="shared" ref="AG826:AG831" si="1245">SUM(AA826,AB826,AC826)</f>
        <v>0</v>
      </c>
      <c r="AH826" s="17">
        <f>AD826+AE826</f>
        <v>0</v>
      </c>
      <c r="AI826" s="17">
        <f>AG826+AF826</f>
        <v>0</v>
      </c>
      <c r="AJ826" s="88">
        <f>AH826+AI826</f>
        <v>0</v>
      </c>
      <c r="AL826" s="17">
        <f ca="1">SUM((INDIRECT(AL$2&amp;(ROW())):INDIRECT(AL$3&amp;(ROW()))))</f>
        <v>0</v>
      </c>
      <c r="AM826" s="88">
        <f ca="1">SUM(INDIRECT(AM$1&amp;AM$2&amp;$C826):INDIRECT(AM$1&amp;AM$3&amp;$C826))</f>
        <v>0</v>
      </c>
      <c r="AN826" s="3247">
        <f t="shared" ca="1" si="1224"/>
        <v>0</v>
      </c>
      <c r="AO826" s="2903">
        <f t="shared" ca="1" si="1225"/>
        <v>0</v>
      </c>
      <c r="AP826" s="88">
        <f ca="1">SUM(INDIRECT(AP$1&amp;AP$2&amp;$A826):INDIRECT(AP$1&amp;AP$3&amp;$A826))+SUM(INDIRECT(AP$1&amp;AP$2&amp;$B826):INDIRECT(AP$1&amp;AP$3&amp;$B826))</f>
        <v>0</v>
      </c>
      <c r="AQ826" s="3247">
        <f t="shared" ca="1" si="1226"/>
        <v>0</v>
      </c>
      <c r="AR826" s="2903">
        <f t="shared" ca="1" si="1227"/>
        <v>0</v>
      </c>
      <c r="AT826" s="17">
        <f ca="1">SUM((INDIRECT(AT$2&amp;(ROW())):INDIRECT(AT$3&amp;(ROW()))))</f>
        <v>0</v>
      </c>
      <c r="AU826" s="88">
        <f ca="1">SUM(INDIRECT(AU$1&amp;AU$2&amp;$C826):INDIRECT(AU$1&amp;AU$3&amp;$C826))</f>
        <v>0</v>
      </c>
      <c r="AV826" s="3247">
        <f t="shared" ca="1" si="1228"/>
        <v>0</v>
      </c>
      <c r="AW826" s="2903">
        <f t="shared" ca="1" si="1229"/>
        <v>0</v>
      </c>
      <c r="AX826" s="88">
        <f ca="1">SUM(INDIRECT(AX$1&amp;AX$2&amp;$A826):INDIRECT(AX$1&amp;AX$3&amp;$A826))+SUM(INDIRECT(AX$1&amp;AX$2&amp;$B826):INDIRECT(AX$1&amp;AX$3&amp;$B826))</f>
        <v>0</v>
      </c>
      <c r="AY826" s="3247">
        <f t="shared" ca="1" si="1230"/>
        <v>0</v>
      </c>
      <c r="AZ826" s="2903">
        <f t="shared" ca="1" si="1231"/>
        <v>0</v>
      </c>
      <c r="BB826" s="17">
        <f ca="1">SUM((INDIRECT(BB$2&amp;(ROW())):INDIRECT(BB$3&amp;(ROW()))))</f>
        <v>0</v>
      </c>
      <c r="BC826" s="88">
        <f ca="1">SUM(INDIRECT(BC$1&amp;BC$2&amp;$C826):INDIRECT(BC$1&amp;BC$3&amp;$C826))</f>
        <v>0</v>
      </c>
      <c r="BD826" s="3247">
        <f t="shared" ca="1" si="1232"/>
        <v>0</v>
      </c>
      <c r="BE826" s="2903">
        <f t="shared" ca="1" si="1233"/>
        <v>0</v>
      </c>
      <c r="BF826" s="88">
        <f ca="1">SUM(INDIRECT(BF$1&amp;BF$2&amp;$A826):INDIRECT(BF$1&amp;BF$3&amp;$A826))+SUM(INDIRECT(BF$1&amp;BF$2&amp;$B826):INDIRECT(BF$1&amp;BF$3&amp;$B826))</f>
        <v>0</v>
      </c>
      <c r="BG826" s="3247">
        <f t="shared" ca="1" si="1234"/>
        <v>0</v>
      </c>
      <c r="BH826" s="2903">
        <f t="shared" ca="1" si="1235"/>
        <v>0</v>
      </c>
    </row>
    <row r="827" spans="1:60" ht="14.5">
      <c r="A827" s="616">
        <f t="shared" ref="A827:A829" si="1246">A826+1</f>
        <v>751</v>
      </c>
      <c r="B827" s="616">
        <v>1</v>
      </c>
      <c r="C827" s="616">
        <f t="shared" si="1172"/>
        <v>824</v>
      </c>
      <c r="E827" s="2547">
        <v>1</v>
      </c>
      <c r="G827" s="22"/>
      <c r="I827" s="86"/>
      <c r="J827" s="85"/>
      <c r="K827" s="63"/>
      <c r="L827" s="63"/>
      <c r="M827" s="3" t="s">
        <v>1433</v>
      </c>
      <c r="Q827" s="1779" t="str">
        <f>CHOOSE(2, "6722000003746", "S/GP (5) Gross Profit Indirect ICW-IT")</f>
        <v>S/GP (5) Gross Profit Indirect ICW-IT</v>
      </c>
      <c r="R827" s="1217">
        <v>0</v>
      </c>
      <c r="S827" s="1224">
        <v>0</v>
      </c>
      <c r="T827" s="1217">
        <v>0</v>
      </c>
      <c r="U827" s="1217">
        <v>0</v>
      </c>
      <c r="V827" s="1217">
        <v>0</v>
      </c>
      <c r="W827" s="1217">
        <v>0</v>
      </c>
      <c r="X827" s="1217">
        <v>0</v>
      </c>
      <c r="Y827" s="1217">
        <v>0</v>
      </c>
      <c r="Z827" s="1217">
        <v>0</v>
      </c>
      <c r="AA827" s="1217">
        <v>0</v>
      </c>
      <c r="AB827" s="1217">
        <v>0</v>
      </c>
      <c r="AC827" s="1217">
        <v>0</v>
      </c>
      <c r="AD827" s="88">
        <f t="shared" si="1242"/>
        <v>0</v>
      </c>
      <c r="AE827" s="17">
        <f t="shared" si="1243"/>
        <v>0</v>
      </c>
      <c r="AF827" s="17">
        <f t="shared" si="1244"/>
        <v>0</v>
      </c>
      <c r="AG827" s="17">
        <f t="shared" si="1245"/>
        <v>0</v>
      </c>
      <c r="AH827" s="17">
        <f>AD827+AE827</f>
        <v>0</v>
      </c>
      <c r="AI827" s="17">
        <f>AG827+AF827</f>
        <v>0</v>
      </c>
      <c r="AJ827" s="88">
        <f>AH827+AI827</f>
        <v>0</v>
      </c>
      <c r="AL827" s="17">
        <f ca="1">SUM((INDIRECT(AL$2&amp;(ROW())):INDIRECT(AL$3&amp;(ROW()))))</f>
        <v>0</v>
      </c>
      <c r="AM827" s="88">
        <f ca="1">SUM(INDIRECT(AM$1&amp;AM$2&amp;$C827):INDIRECT(AM$1&amp;AM$3&amp;$C827))</f>
        <v>0</v>
      </c>
      <c r="AN827" s="3247">
        <f t="shared" ca="1" si="1224"/>
        <v>0</v>
      </c>
      <c r="AO827" s="2903">
        <f t="shared" ca="1" si="1225"/>
        <v>0</v>
      </c>
      <c r="AP827" s="88">
        <f ca="1">SUM(INDIRECT(AP$1&amp;AP$2&amp;$A827):INDIRECT(AP$1&amp;AP$3&amp;$A827))+SUM(INDIRECT(AP$1&amp;AP$2&amp;$B827):INDIRECT(AP$1&amp;AP$3&amp;$B827))</f>
        <v>0</v>
      </c>
      <c r="AQ827" s="3247">
        <f t="shared" ca="1" si="1226"/>
        <v>0</v>
      </c>
      <c r="AR827" s="2903">
        <f t="shared" ca="1" si="1227"/>
        <v>0</v>
      </c>
      <c r="AT827" s="17">
        <f ca="1">SUM((INDIRECT(AT$2&amp;(ROW())):INDIRECT(AT$3&amp;(ROW()))))</f>
        <v>0</v>
      </c>
      <c r="AU827" s="88">
        <f ca="1">SUM(INDIRECT(AU$1&amp;AU$2&amp;$C827):INDIRECT(AU$1&amp;AU$3&amp;$C827))</f>
        <v>0</v>
      </c>
      <c r="AV827" s="3247">
        <f t="shared" ca="1" si="1228"/>
        <v>0</v>
      </c>
      <c r="AW827" s="2903">
        <f t="shared" ca="1" si="1229"/>
        <v>0</v>
      </c>
      <c r="AX827" s="88">
        <f ca="1">SUM(INDIRECT(AX$1&amp;AX$2&amp;$A827):INDIRECT(AX$1&amp;AX$3&amp;$A827))+SUM(INDIRECT(AX$1&amp;AX$2&amp;$B827):INDIRECT(AX$1&amp;AX$3&amp;$B827))</f>
        <v>0</v>
      </c>
      <c r="AY827" s="3247">
        <f t="shared" ca="1" si="1230"/>
        <v>0</v>
      </c>
      <c r="AZ827" s="2903">
        <f t="shared" ca="1" si="1231"/>
        <v>0</v>
      </c>
      <c r="BB827" s="17">
        <f ca="1">SUM((INDIRECT(BB$2&amp;(ROW())):INDIRECT(BB$3&amp;(ROW()))))</f>
        <v>0</v>
      </c>
      <c r="BC827" s="88">
        <f ca="1">SUM(INDIRECT(BC$1&amp;BC$2&amp;$C827):INDIRECT(BC$1&amp;BC$3&amp;$C827))</f>
        <v>0</v>
      </c>
      <c r="BD827" s="3247">
        <f t="shared" ca="1" si="1232"/>
        <v>0</v>
      </c>
      <c r="BE827" s="2903">
        <f t="shared" ca="1" si="1233"/>
        <v>0</v>
      </c>
      <c r="BF827" s="88">
        <f ca="1">SUM(INDIRECT(BF$1&amp;BF$2&amp;$A827):INDIRECT(BF$1&amp;BF$3&amp;$A827))+SUM(INDIRECT(BF$1&amp;BF$2&amp;$B827):INDIRECT(BF$1&amp;BF$3&amp;$B827))</f>
        <v>0</v>
      </c>
      <c r="BG827" s="3247">
        <f t="shared" ca="1" si="1234"/>
        <v>0</v>
      </c>
      <c r="BH827" s="2903">
        <f t="shared" ca="1" si="1235"/>
        <v>0</v>
      </c>
    </row>
    <row r="828" spans="1:60" ht="14.5">
      <c r="A828" s="616">
        <f t="shared" si="1246"/>
        <v>752</v>
      </c>
      <c r="B828" s="616">
        <v>1</v>
      </c>
      <c r="C828" s="616">
        <f t="shared" si="1172"/>
        <v>825</v>
      </c>
      <c r="E828" s="2547">
        <v>1</v>
      </c>
      <c r="G828" s="22"/>
      <c r="I828" s="86"/>
      <c r="J828" s="85"/>
      <c r="K828" s="63"/>
      <c r="L828" s="63"/>
      <c r="M828" s="3" t="s">
        <v>1430</v>
      </c>
      <c r="Q828" s="1779" t="str">
        <f>CHOOSE(2, "6722000003747", "S/GP (5) Gross Profit Indirect MCS")</f>
        <v>S/GP (5) Gross Profit Indirect MCS</v>
      </c>
      <c r="R828" s="1217">
        <v>0</v>
      </c>
      <c r="S828" s="1224">
        <v>0</v>
      </c>
      <c r="T828" s="1217">
        <v>0</v>
      </c>
      <c r="U828" s="1217">
        <v>0</v>
      </c>
      <c r="V828" s="1217">
        <v>0</v>
      </c>
      <c r="W828" s="1217">
        <v>0</v>
      </c>
      <c r="X828" s="1217">
        <v>0</v>
      </c>
      <c r="Y828" s="1217">
        <v>0</v>
      </c>
      <c r="Z828" s="1217">
        <v>0</v>
      </c>
      <c r="AA828" s="1217">
        <v>0</v>
      </c>
      <c r="AB828" s="1217">
        <v>0</v>
      </c>
      <c r="AC828" s="1217">
        <v>0</v>
      </c>
      <c r="AD828" s="88">
        <f t="shared" si="1242"/>
        <v>0</v>
      </c>
      <c r="AE828" s="17">
        <f t="shared" si="1243"/>
        <v>0</v>
      </c>
      <c r="AF828" s="17">
        <f t="shared" si="1244"/>
        <v>0</v>
      </c>
      <c r="AG828" s="17">
        <f t="shared" si="1245"/>
        <v>0</v>
      </c>
      <c r="AH828" s="17">
        <f t="shared" ref="AH828:AH829" si="1247">AD828+AE828</f>
        <v>0</v>
      </c>
      <c r="AI828" s="17">
        <f t="shared" ref="AI828:AI829" si="1248">AG828+AF828</f>
        <v>0</v>
      </c>
      <c r="AJ828" s="88">
        <f t="shared" ref="AJ828:AJ829" si="1249">AH828+AI828</f>
        <v>0</v>
      </c>
      <c r="AL828" s="17">
        <f ca="1">SUM((INDIRECT(AL$2&amp;(ROW())):INDIRECT(AL$3&amp;(ROW()))))</f>
        <v>0</v>
      </c>
      <c r="AM828" s="88">
        <f ca="1">SUM(INDIRECT(AM$1&amp;AM$2&amp;$C828):INDIRECT(AM$1&amp;AM$3&amp;$C828))</f>
        <v>0</v>
      </c>
      <c r="AN828" s="3247">
        <f t="shared" ca="1" si="1224"/>
        <v>0</v>
      </c>
      <c r="AO828" s="2903">
        <f t="shared" ca="1" si="1225"/>
        <v>0</v>
      </c>
      <c r="AP828" s="88">
        <f ca="1">SUM(INDIRECT(AP$1&amp;AP$2&amp;$A828):INDIRECT(AP$1&amp;AP$3&amp;$A828))+SUM(INDIRECT(AP$1&amp;AP$2&amp;$B828):INDIRECT(AP$1&amp;AP$3&amp;$B828))</f>
        <v>0</v>
      </c>
      <c r="AQ828" s="3247">
        <f t="shared" ca="1" si="1226"/>
        <v>0</v>
      </c>
      <c r="AR828" s="2903">
        <f t="shared" ca="1" si="1227"/>
        <v>0</v>
      </c>
      <c r="AT828" s="17">
        <f ca="1">SUM((INDIRECT(AT$2&amp;(ROW())):INDIRECT(AT$3&amp;(ROW()))))</f>
        <v>0</v>
      </c>
      <c r="AU828" s="88">
        <f ca="1">SUM(INDIRECT(AU$1&amp;AU$2&amp;$C828):INDIRECT(AU$1&amp;AU$3&amp;$C828))</f>
        <v>0</v>
      </c>
      <c r="AV828" s="3247">
        <f t="shared" ca="1" si="1228"/>
        <v>0</v>
      </c>
      <c r="AW828" s="2903">
        <f t="shared" ca="1" si="1229"/>
        <v>0</v>
      </c>
      <c r="AX828" s="88">
        <f ca="1">SUM(INDIRECT(AX$1&amp;AX$2&amp;$A828):INDIRECT(AX$1&amp;AX$3&amp;$A828))+SUM(INDIRECT(AX$1&amp;AX$2&amp;$B828):INDIRECT(AX$1&amp;AX$3&amp;$B828))</f>
        <v>0</v>
      </c>
      <c r="AY828" s="3247">
        <f t="shared" ca="1" si="1230"/>
        <v>0</v>
      </c>
      <c r="AZ828" s="2903">
        <f t="shared" ca="1" si="1231"/>
        <v>0</v>
      </c>
      <c r="BB828" s="17">
        <f ca="1">SUM((INDIRECT(BB$2&amp;(ROW())):INDIRECT(BB$3&amp;(ROW()))))</f>
        <v>0</v>
      </c>
      <c r="BC828" s="88">
        <f ca="1">SUM(INDIRECT(BC$1&amp;BC$2&amp;$C828):INDIRECT(BC$1&amp;BC$3&amp;$C828))</f>
        <v>0</v>
      </c>
      <c r="BD828" s="3247">
        <f t="shared" ca="1" si="1232"/>
        <v>0</v>
      </c>
      <c r="BE828" s="2903">
        <f t="shared" ca="1" si="1233"/>
        <v>0</v>
      </c>
      <c r="BF828" s="88">
        <f ca="1">SUM(INDIRECT(BF$1&amp;BF$2&amp;$A828):INDIRECT(BF$1&amp;BF$3&amp;$A828))+SUM(INDIRECT(BF$1&amp;BF$2&amp;$B828):INDIRECT(BF$1&amp;BF$3&amp;$B828))</f>
        <v>0</v>
      </c>
      <c r="BG828" s="3247">
        <f t="shared" ca="1" si="1234"/>
        <v>0</v>
      </c>
      <c r="BH828" s="2903">
        <f t="shared" ca="1" si="1235"/>
        <v>0</v>
      </c>
    </row>
    <row r="829" spans="1:60" ht="14.5">
      <c r="A829" s="616">
        <f t="shared" si="1246"/>
        <v>753</v>
      </c>
      <c r="B829" s="616">
        <v>1</v>
      </c>
      <c r="C829" s="616">
        <f t="shared" si="1172"/>
        <v>826</v>
      </c>
      <c r="E829" s="2547">
        <v>1</v>
      </c>
      <c r="G829" s="22"/>
      <c r="I829" s="86"/>
      <c r="J829" s="85"/>
      <c r="K829" s="63"/>
      <c r="L829" s="63"/>
      <c r="M829" s="3" t="s">
        <v>1431</v>
      </c>
      <c r="Q829" s="1779" t="str">
        <f>CHOOSE(2, "6722000003748", "S/GP (5) Gross Profit Indirect BPS")</f>
        <v>S/GP (5) Gross Profit Indirect BPS</v>
      </c>
      <c r="R829" s="1217">
        <v>0</v>
      </c>
      <c r="S829" s="1224">
        <v>0</v>
      </c>
      <c r="T829" s="1217">
        <v>0</v>
      </c>
      <c r="U829" s="1217">
        <v>0</v>
      </c>
      <c r="V829" s="1217">
        <v>0</v>
      </c>
      <c r="W829" s="1217">
        <v>0</v>
      </c>
      <c r="X829" s="1217">
        <v>0</v>
      </c>
      <c r="Y829" s="1217">
        <v>0</v>
      </c>
      <c r="Z829" s="1217">
        <v>0</v>
      </c>
      <c r="AA829" s="1217">
        <v>0</v>
      </c>
      <c r="AB829" s="1217">
        <v>0</v>
      </c>
      <c r="AC829" s="1217">
        <v>0</v>
      </c>
      <c r="AD829" s="88">
        <f t="shared" si="1242"/>
        <v>0</v>
      </c>
      <c r="AE829" s="17">
        <f t="shared" si="1243"/>
        <v>0</v>
      </c>
      <c r="AF829" s="17">
        <f t="shared" si="1244"/>
        <v>0</v>
      </c>
      <c r="AG829" s="17">
        <f t="shared" si="1245"/>
        <v>0</v>
      </c>
      <c r="AH829" s="17">
        <f t="shared" si="1247"/>
        <v>0</v>
      </c>
      <c r="AI829" s="17">
        <f t="shared" si="1248"/>
        <v>0</v>
      </c>
      <c r="AJ829" s="88">
        <f t="shared" si="1249"/>
        <v>0</v>
      </c>
      <c r="AL829" s="17">
        <f ca="1">SUM((INDIRECT(AL$2&amp;(ROW())):INDIRECT(AL$3&amp;(ROW()))))</f>
        <v>0</v>
      </c>
      <c r="AM829" s="88">
        <f ca="1">SUM(INDIRECT(AM$1&amp;AM$2&amp;$C829):INDIRECT(AM$1&amp;AM$3&amp;$C829))</f>
        <v>0</v>
      </c>
      <c r="AN829" s="3247">
        <f t="shared" ca="1" si="1224"/>
        <v>0</v>
      </c>
      <c r="AO829" s="2903">
        <f t="shared" ca="1" si="1225"/>
        <v>0</v>
      </c>
      <c r="AP829" s="88">
        <f ca="1">SUM(INDIRECT(AP$1&amp;AP$2&amp;$A829):INDIRECT(AP$1&amp;AP$3&amp;$A829))+SUM(INDIRECT(AP$1&amp;AP$2&amp;$B829):INDIRECT(AP$1&amp;AP$3&amp;$B829))</f>
        <v>0</v>
      </c>
      <c r="AQ829" s="3247">
        <f t="shared" ca="1" si="1226"/>
        <v>0</v>
      </c>
      <c r="AR829" s="2903">
        <f t="shared" ca="1" si="1227"/>
        <v>0</v>
      </c>
      <c r="AT829" s="17">
        <f ca="1">SUM((INDIRECT(AT$2&amp;(ROW())):INDIRECT(AT$3&amp;(ROW()))))</f>
        <v>0</v>
      </c>
      <c r="AU829" s="88">
        <f ca="1">SUM(INDIRECT(AU$1&amp;AU$2&amp;$C829):INDIRECT(AU$1&amp;AU$3&amp;$C829))</f>
        <v>0</v>
      </c>
      <c r="AV829" s="3247">
        <f t="shared" ca="1" si="1228"/>
        <v>0</v>
      </c>
      <c r="AW829" s="2903">
        <f t="shared" ca="1" si="1229"/>
        <v>0</v>
      </c>
      <c r="AX829" s="88">
        <f ca="1">SUM(INDIRECT(AX$1&amp;AX$2&amp;$A829):INDIRECT(AX$1&amp;AX$3&amp;$A829))+SUM(INDIRECT(AX$1&amp;AX$2&amp;$B829):INDIRECT(AX$1&amp;AX$3&amp;$B829))</f>
        <v>0</v>
      </c>
      <c r="AY829" s="3247">
        <f t="shared" ca="1" si="1230"/>
        <v>0</v>
      </c>
      <c r="AZ829" s="2903">
        <f t="shared" ca="1" si="1231"/>
        <v>0</v>
      </c>
      <c r="BB829" s="17">
        <f ca="1">SUM((INDIRECT(BB$2&amp;(ROW())):INDIRECT(BB$3&amp;(ROW()))))</f>
        <v>0</v>
      </c>
      <c r="BC829" s="88">
        <f ca="1">SUM(INDIRECT(BC$1&amp;BC$2&amp;$C829):INDIRECT(BC$1&amp;BC$3&amp;$C829))</f>
        <v>0</v>
      </c>
      <c r="BD829" s="3247">
        <f t="shared" ca="1" si="1232"/>
        <v>0</v>
      </c>
      <c r="BE829" s="2903">
        <f t="shared" ca="1" si="1233"/>
        <v>0</v>
      </c>
      <c r="BF829" s="88">
        <f ca="1">SUM(INDIRECT(BF$1&amp;BF$2&amp;$A829):INDIRECT(BF$1&amp;BF$3&amp;$A829))+SUM(INDIRECT(BF$1&amp;BF$2&amp;$B829):INDIRECT(BF$1&amp;BF$3&amp;$B829))</f>
        <v>0</v>
      </c>
      <c r="BG829" s="3247">
        <f t="shared" ca="1" si="1234"/>
        <v>0</v>
      </c>
      <c r="BH829" s="2903">
        <f t="shared" ca="1" si="1235"/>
        <v>0</v>
      </c>
    </row>
    <row r="830" spans="1:60" ht="14.5">
      <c r="A830" s="616">
        <v>1</v>
      </c>
      <c r="B830" s="616">
        <v>1</v>
      </c>
      <c r="C830" s="616">
        <f t="shared" si="1172"/>
        <v>827</v>
      </c>
      <c r="E830" s="2547">
        <v>1</v>
      </c>
      <c r="G830" s="22"/>
      <c r="I830" s="86"/>
      <c r="J830" s="85"/>
      <c r="K830" s="63"/>
      <c r="L830" s="63"/>
      <c r="M830" s="3" t="s">
        <v>1434</v>
      </c>
      <c r="Q830" s="1779" t="str">
        <f>CHOOSE(2, "6722000003749", "S/GP (5) Gross Profit Indirect ICW-WK")</f>
        <v>S/GP (5) Gross Profit Indirect ICW-WK</v>
      </c>
      <c r="R830" s="1217">
        <v>0</v>
      </c>
      <c r="S830" s="1224">
        <v>0</v>
      </c>
      <c r="T830" s="1217">
        <v>0</v>
      </c>
      <c r="U830" s="1217">
        <v>0</v>
      </c>
      <c r="V830" s="1217">
        <v>0</v>
      </c>
      <c r="W830" s="1217">
        <v>0</v>
      </c>
      <c r="X830" s="1217">
        <v>0</v>
      </c>
      <c r="Y830" s="1217">
        <v>0</v>
      </c>
      <c r="Z830" s="1217">
        <v>0</v>
      </c>
      <c r="AA830" s="1217">
        <v>0</v>
      </c>
      <c r="AB830" s="1217">
        <v>0</v>
      </c>
      <c r="AC830" s="1217">
        <v>0</v>
      </c>
      <c r="AD830" s="88">
        <f t="shared" si="1242"/>
        <v>0</v>
      </c>
      <c r="AE830" s="17">
        <f t="shared" si="1243"/>
        <v>0</v>
      </c>
      <c r="AF830" s="17">
        <f t="shared" si="1244"/>
        <v>0</v>
      </c>
      <c r="AG830" s="17">
        <f t="shared" si="1245"/>
        <v>0</v>
      </c>
      <c r="AH830" s="17">
        <f>AD830+AE830</f>
        <v>0</v>
      </c>
      <c r="AI830" s="17">
        <f>AG830+AF830</f>
        <v>0</v>
      </c>
      <c r="AJ830" s="88">
        <f>AH830+AI830</f>
        <v>0</v>
      </c>
      <c r="AL830" s="17">
        <f ca="1">SUM((INDIRECT(AL$2&amp;(ROW())):INDIRECT(AL$3&amp;(ROW()))))</f>
        <v>0</v>
      </c>
      <c r="AM830" s="88">
        <f ca="1">SUM(INDIRECT(AM$1&amp;AM$2&amp;$C830):INDIRECT(AM$1&amp;AM$3&amp;$C830))</f>
        <v>0</v>
      </c>
      <c r="AN830" s="3247">
        <f t="shared" ca="1" si="1224"/>
        <v>0</v>
      </c>
      <c r="AO830" s="2903">
        <f t="shared" ca="1" si="1225"/>
        <v>0</v>
      </c>
      <c r="AP830" s="88">
        <f ca="1">SUM(INDIRECT(AP$1&amp;AP$2&amp;$A830):INDIRECT(AP$1&amp;AP$3&amp;$A830))+SUM(INDIRECT(AP$1&amp;AP$2&amp;$B830):INDIRECT(AP$1&amp;AP$3&amp;$B830))</f>
        <v>0</v>
      </c>
      <c r="AQ830" s="3247">
        <f t="shared" ca="1" si="1226"/>
        <v>0</v>
      </c>
      <c r="AR830" s="2903">
        <f t="shared" ca="1" si="1227"/>
        <v>0</v>
      </c>
      <c r="AT830" s="17">
        <f ca="1">SUM((INDIRECT(AT$2&amp;(ROW())):INDIRECT(AT$3&amp;(ROW()))))</f>
        <v>0</v>
      </c>
      <c r="AU830" s="88">
        <f ca="1">SUM(INDIRECT(AU$1&amp;AU$2&amp;$C830):INDIRECT(AU$1&amp;AU$3&amp;$C830))</f>
        <v>0</v>
      </c>
      <c r="AV830" s="3247">
        <f t="shared" ca="1" si="1228"/>
        <v>0</v>
      </c>
      <c r="AW830" s="2903">
        <f t="shared" ca="1" si="1229"/>
        <v>0</v>
      </c>
      <c r="AX830" s="88">
        <f ca="1">SUM(INDIRECT(AX$1&amp;AX$2&amp;$A830):INDIRECT(AX$1&amp;AX$3&amp;$A830))+SUM(INDIRECT(AX$1&amp;AX$2&amp;$B830):INDIRECT(AX$1&amp;AX$3&amp;$B830))</f>
        <v>0</v>
      </c>
      <c r="AY830" s="3247">
        <f t="shared" ca="1" si="1230"/>
        <v>0</v>
      </c>
      <c r="AZ830" s="2903">
        <f t="shared" ca="1" si="1231"/>
        <v>0</v>
      </c>
      <c r="BB830" s="17">
        <f ca="1">SUM((INDIRECT(BB$2&amp;(ROW())):INDIRECT(BB$3&amp;(ROW()))))</f>
        <v>0</v>
      </c>
      <c r="BC830" s="88">
        <f ca="1">SUM(INDIRECT(BC$1&amp;BC$2&amp;$C830):INDIRECT(BC$1&amp;BC$3&amp;$C830))</f>
        <v>0</v>
      </c>
      <c r="BD830" s="3247">
        <f t="shared" ca="1" si="1232"/>
        <v>0</v>
      </c>
      <c r="BE830" s="2903">
        <f t="shared" ca="1" si="1233"/>
        <v>0</v>
      </c>
      <c r="BF830" s="88">
        <f ca="1">SUM(INDIRECT(BF$1&amp;BF$2&amp;$A830):INDIRECT(BF$1&amp;BF$3&amp;$A830))+SUM(INDIRECT(BF$1&amp;BF$2&amp;$B830):INDIRECT(BF$1&amp;BF$3&amp;$B830))</f>
        <v>0</v>
      </c>
      <c r="BG830" s="3247">
        <f t="shared" ca="1" si="1234"/>
        <v>0</v>
      </c>
      <c r="BH830" s="2903">
        <f t="shared" ca="1" si="1235"/>
        <v>0</v>
      </c>
    </row>
    <row r="831" spans="1:60" ht="14.5">
      <c r="A831" s="616">
        <v>1</v>
      </c>
      <c r="B831" s="616">
        <v>1</v>
      </c>
      <c r="C831" s="616">
        <f t="shared" si="1172"/>
        <v>828</v>
      </c>
      <c r="E831" s="2547">
        <v>1</v>
      </c>
      <c r="G831" s="22"/>
      <c r="I831" s="84"/>
      <c r="J831" s="83"/>
      <c r="K831" s="62"/>
      <c r="L831" s="62"/>
      <c r="M831" s="1" t="s">
        <v>1435</v>
      </c>
      <c r="N831" s="211"/>
      <c r="O831" s="211"/>
      <c r="P831" s="211"/>
      <c r="Q831" s="1779" t="str">
        <f>CHOOSE(2, "6722000003750", "S/GP (5) Gross Profit Indirect ICW-P")</f>
        <v>S/GP (5) Gross Profit Indirect ICW-P</v>
      </c>
      <c r="R831" s="1218">
        <v>0</v>
      </c>
      <c r="S831" s="1225">
        <v>0</v>
      </c>
      <c r="T831" s="1218">
        <v>0</v>
      </c>
      <c r="U831" s="1218">
        <v>0</v>
      </c>
      <c r="V831" s="1218">
        <v>0</v>
      </c>
      <c r="W831" s="1218">
        <v>0</v>
      </c>
      <c r="X831" s="1218">
        <v>0</v>
      </c>
      <c r="Y831" s="1218">
        <v>0</v>
      </c>
      <c r="Z831" s="1218">
        <v>0</v>
      </c>
      <c r="AA831" s="1218">
        <v>0</v>
      </c>
      <c r="AB831" s="1218">
        <v>0</v>
      </c>
      <c r="AC831" s="1218">
        <v>0</v>
      </c>
      <c r="AD831" s="87">
        <f t="shared" si="1242"/>
        <v>0</v>
      </c>
      <c r="AE831" s="15">
        <f t="shared" si="1243"/>
        <v>0</v>
      </c>
      <c r="AF831" s="15">
        <f t="shared" si="1244"/>
        <v>0</v>
      </c>
      <c r="AG831" s="15">
        <f t="shared" si="1245"/>
        <v>0</v>
      </c>
      <c r="AH831" s="15">
        <f>AD831+AE831</f>
        <v>0</v>
      </c>
      <c r="AI831" s="15">
        <f>AG831+AF831</f>
        <v>0</v>
      </c>
      <c r="AJ831" s="87">
        <f>AH831+AI831</f>
        <v>0</v>
      </c>
      <c r="AL831" s="15">
        <f ca="1">SUM((INDIRECT(AL$2&amp;(ROW())):INDIRECT(AL$3&amp;(ROW()))))</f>
        <v>0</v>
      </c>
      <c r="AM831" s="87">
        <f ca="1">SUM(INDIRECT(AM$1&amp;AM$2&amp;$C831):INDIRECT(AM$1&amp;AM$3&amp;$C831))</f>
        <v>0</v>
      </c>
      <c r="AN831" s="3248">
        <f t="shared" ca="1" si="1224"/>
        <v>0</v>
      </c>
      <c r="AO831" s="2905">
        <f t="shared" ca="1" si="1225"/>
        <v>0</v>
      </c>
      <c r="AP831" s="87">
        <f ca="1">SUM(INDIRECT(AP$1&amp;AP$2&amp;$A831):INDIRECT(AP$1&amp;AP$3&amp;$A831))+SUM(INDIRECT(AP$1&amp;AP$2&amp;$B831):INDIRECT(AP$1&amp;AP$3&amp;$B831))</f>
        <v>0</v>
      </c>
      <c r="AQ831" s="3248">
        <f t="shared" ca="1" si="1226"/>
        <v>0</v>
      </c>
      <c r="AR831" s="2905">
        <f t="shared" ca="1" si="1227"/>
        <v>0</v>
      </c>
      <c r="AT831" s="15">
        <f ca="1">SUM((INDIRECT(AT$2&amp;(ROW())):INDIRECT(AT$3&amp;(ROW()))))</f>
        <v>0</v>
      </c>
      <c r="AU831" s="87">
        <f ca="1">SUM(INDIRECT(AU$1&amp;AU$2&amp;$C831):INDIRECT(AU$1&amp;AU$3&amp;$C831))</f>
        <v>0</v>
      </c>
      <c r="AV831" s="3248">
        <f t="shared" ca="1" si="1228"/>
        <v>0</v>
      </c>
      <c r="AW831" s="2905">
        <f t="shared" ca="1" si="1229"/>
        <v>0</v>
      </c>
      <c r="AX831" s="87">
        <f ca="1">SUM(INDIRECT(AX$1&amp;AX$2&amp;$A831):INDIRECT(AX$1&amp;AX$3&amp;$A831))+SUM(INDIRECT(AX$1&amp;AX$2&amp;$B831):INDIRECT(AX$1&amp;AX$3&amp;$B831))</f>
        <v>0</v>
      </c>
      <c r="AY831" s="3248">
        <f t="shared" ca="1" si="1230"/>
        <v>0</v>
      </c>
      <c r="AZ831" s="2905">
        <f t="shared" ca="1" si="1231"/>
        <v>0</v>
      </c>
      <c r="BB831" s="15">
        <f ca="1">SUM((INDIRECT(BB$2&amp;(ROW())):INDIRECT(BB$3&amp;(ROW()))))</f>
        <v>0</v>
      </c>
      <c r="BC831" s="87">
        <f ca="1">SUM(INDIRECT(BC$1&amp;BC$2&amp;$C831):INDIRECT(BC$1&amp;BC$3&amp;$C831))</f>
        <v>0</v>
      </c>
      <c r="BD831" s="3248">
        <f t="shared" ca="1" si="1232"/>
        <v>0</v>
      </c>
      <c r="BE831" s="2905">
        <f t="shared" ca="1" si="1233"/>
        <v>0</v>
      </c>
      <c r="BF831" s="87">
        <f ca="1">SUM(INDIRECT(BF$1&amp;BF$2&amp;$A831):INDIRECT(BF$1&amp;BF$3&amp;$A831))+SUM(INDIRECT(BF$1&amp;BF$2&amp;$B831):INDIRECT(BF$1&amp;BF$3&amp;$B831))</f>
        <v>0</v>
      </c>
      <c r="BG831" s="3248">
        <f t="shared" ca="1" si="1234"/>
        <v>0</v>
      </c>
      <c r="BH831" s="2905">
        <f t="shared" ca="1" si="1235"/>
        <v>0</v>
      </c>
    </row>
    <row r="832" spans="1:60" ht="14.5">
      <c r="A832" s="2580">
        <v>755</v>
      </c>
      <c r="B832" s="616">
        <v>1</v>
      </c>
      <c r="C832" s="616">
        <f t="shared" si="1172"/>
        <v>829</v>
      </c>
      <c r="E832" s="2547">
        <v>1</v>
      </c>
      <c r="Q832" s="1772" t="str">
        <f>CHOOSE(2, "6722000003751", "▷ Blank 23")</f>
        <v>▷ Blank 23</v>
      </c>
      <c r="R832" s="2557"/>
      <c r="AA832" s="2558"/>
      <c r="AB832" s="2558"/>
      <c r="AC832" s="2558"/>
      <c r="AD832" s="2558"/>
      <c r="AE832" s="2592"/>
      <c r="AF832" s="2592"/>
      <c r="AG832" s="2592"/>
      <c r="AH832" s="2592"/>
      <c r="AI832" s="2592"/>
      <c r="AJ832" s="2593"/>
      <c r="AL832" s="2592"/>
      <c r="AM832" s="2592"/>
      <c r="AN832" s="2592"/>
      <c r="AO832" s="2592"/>
      <c r="AP832" s="2592"/>
      <c r="AQ832" s="2592"/>
      <c r="AR832" s="2592"/>
      <c r="AT832" s="2592"/>
      <c r="AU832" s="2592"/>
      <c r="AV832" s="2592"/>
      <c r="AW832" s="2592"/>
      <c r="AX832" s="2592"/>
      <c r="AY832" s="2592"/>
      <c r="AZ832" s="2592"/>
      <c r="BB832" s="2592"/>
      <c r="BC832" s="2592"/>
      <c r="BD832" s="2592"/>
      <c r="BE832" s="2592"/>
      <c r="BF832" s="2592"/>
      <c r="BG832" s="2592"/>
      <c r="BH832" s="2592"/>
    </row>
    <row r="833" spans="1:60" ht="14.5">
      <c r="A833" s="616">
        <f t="shared" ref="A833:A896" si="1250">A832+1</f>
        <v>756</v>
      </c>
      <c r="B833" s="616">
        <v>1</v>
      </c>
      <c r="C833" s="616">
        <f t="shared" si="1172"/>
        <v>830</v>
      </c>
      <c r="D833" s="709" t="s">
        <v>1308</v>
      </c>
      <c r="E833" s="2547">
        <v>1</v>
      </c>
      <c r="F833" s="8"/>
      <c r="G833" s="22" t="s">
        <v>1502</v>
      </c>
      <c r="Q833" s="1772" t="str">
        <f>CHOOSE(2, "6722000003752", "2-4. Fixed Cost in COGS(Cost of Goods Sales) by BU")</f>
        <v>2-4. Fixed Cost in COGS(Cost of Goods Sales) by BU</v>
      </c>
      <c r="R833" s="2557"/>
    </row>
    <row r="834" spans="1:60" s="69" customFormat="1" ht="14.5">
      <c r="A834" s="616">
        <f t="shared" si="1250"/>
        <v>757</v>
      </c>
      <c r="B834" s="616">
        <v>1</v>
      </c>
      <c r="C834" s="616">
        <f t="shared" ref="C834:C897" si="1251">ROW()-3</f>
        <v>831</v>
      </c>
      <c r="D834" s="709" t="s">
        <v>1308</v>
      </c>
      <c r="E834" s="2547">
        <v>1</v>
      </c>
      <c r="F834" s="8"/>
      <c r="G834" s="8"/>
      <c r="H834" s="22"/>
      <c r="I834" s="2206" t="s">
        <v>1450</v>
      </c>
      <c r="J834" s="2207"/>
      <c r="K834" s="2208"/>
      <c r="L834" s="2208"/>
      <c r="M834" s="2208"/>
      <c r="N834" s="2208"/>
      <c r="O834" s="2208"/>
      <c r="P834" s="2208"/>
      <c r="Q834" s="1782" t="str">
        <f>CHOOSE(2, "6722000003753", "FC COGS (0) Total")</f>
        <v>FC COGS (0) Total</v>
      </c>
      <c r="R834" s="3278">
        <f t="shared" ref="R834:AC834" si="1252">SUM(R835:R838)</f>
        <v>22107</v>
      </c>
      <c r="S834" s="3278">
        <f t="shared" si="1252"/>
        <v>23524</v>
      </c>
      <c r="T834" s="3278">
        <f t="shared" si="1252"/>
        <v>25123</v>
      </c>
      <c r="U834" s="3278">
        <f t="shared" si="1252"/>
        <v>26489</v>
      </c>
      <c r="V834" s="3278">
        <f t="shared" si="1252"/>
        <v>25372.680899999992</v>
      </c>
      <c r="W834" s="3278">
        <f t="shared" si="1252"/>
        <v>25583.350988523314</v>
      </c>
      <c r="X834" s="3278">
        <f t="shared" si="1252"/>
        <v>39835.748</v>
      </c>
      <c r="Y834" s="3278">
        <f t="shared" si="1252"/>
        <v>23988</v>
      </c>
      <c r="Z834" s="3278">
        <f t="shared" si="1252"/>
        <v>25204</v>
      </c>
      <c r="AA834" s="3278">
        <f t="shared" si="1252"/>
        <v>24474</v>
      </c>
      <c r="AB834" s="3278">
        <f t="shared" si="1252"/>
        <v>35395.092000000004</v>
      </c>
      <c r="AC834" s="3278">
        <f t="shared" si="1252"/>
        <v>30905</v>
      </c>
      <c r="AD834" s="3279">
        <f t="shared" ref="AD834:AJ834" si="1253">SUM(AD835:AD838)</f>
        <v>70754</v>
      </c>
      <c r="AE834" s="3278">
        <f t="shared" si="1253"/>
        <v>77445.031888523299</v>
      </c>
      <c r="AF834" s="3278">
        <f t="shared" si="1253"/>
        <v>89027.747999999992</v>
      </c>
      <c r="AG834" s="3278">
        <f t="shared" si="1253"/>
        <v>90774.092000000004</v>
      </c>
      <c r="AH834" s="3278">
        <f t="shared" si="1253"/>
        <v>148199.03188852331</v>
      </c>
      <c r="AI834" s="3278">
        <f t="shared" si="1253"/>
        <v>179801.84000000003</v>
      </c>
      <c r="AJ834" s="3278">
        <f t="shared" si="1253"/>
        <v>328000.87188852328</v>
      </c>
      <c r="AL834" s="3278">
        <f ca="1">SUM((INDIRECT(AL$2&amp;(ROW())):INDIRECT(AL$3&amp;(ROW()))))</f>
        <v>30905</v>
      </c>
      <c r="AM834" s="3278">
        <f ca="1">SUM(INDIRECT(AM$1&amp;AM$2&amp;$C834):INDIRECT(AM$1&amp;AM$3&amp;$C834))</f>
        <v>0</v>
      </c>
      <c r="AN834" s="3280">
        <f t="shared" ref="AN834:AN873" ca="1" si="1254">AL834-AM834</f>
        <v>30905</v>
      </c>
      <c r="AO834" s="2934">
        <f t="shared" ref="AO834:AO873" ca="1" si="1255">IFERROR(AL834/AM834,0)</f>
        <v>0</v>
      </c>
      <c r="AP834" s="3278">
        <f ca="1">SUM(INDIRECT(AP$1&amp;AP$2&amp;$A834):INDIRECT(AP$1&amp;AP$3&amp;$A834))+SUM(INDIRECT(AP$1&amp;AP$2&amp;$B834):INDIRECT(AP$1&amp;AP$3&amp;$B834))</f>
        <v>0</v>
      </c>
      <c r="AQ834" s="3280">
        <f t="shared" ref="AQ834:AQ873" ca="1" si="1256">AL834-AP834</f>
        <v>30905</v>
      </c>
      <c r="AR834" s="2934">
        <f t="shared" ref="AR834:AR873" ca="1" si="1257">IFERROR(AL834/AP834,0)</f>
        <v>0</v>
      </c>
      <c r="AT834" s="3278">
        <f ca="1">SUM((INDIRECT(AT$2&amp;(ROW())):INDIRECT(AT$3&amp;(ROW()))))</f>
        <v>90774.092000000004</v>
      </c>
      <c r="AU834" s="3278">
        <f ca="1">SUM(INDIRECT(AU$1&amp;AU$2&amp;$C834):INDIRECT(AU$1&amp;AU$3&amp;$C834))</f>
        <v>0</v>
      </c>
      <c r="AV834" s="3280">
        <f t="shared" ref="AV834:AV873" ca="1" si="1258">AT834-AU834</f>
        <v>90774.092000000004</v>
      </c>
      <c r="AW834" s="2934">
        <f t="shared" ref="AW834:AW873" ca="1" si="1259">IFERROR(AT834/AU834,0)</f>
        <v>0</v>
      </c>
      <c r="AX834" s="3278">
        <f ca="1">SUM(INDIRECT(AX$1&amp;AX$2&amp;$A834):INDIRECT(AX$1&amp;AX$3&amp;$A834))+SUM(INDIRECT(AX$1&amp;AX$2&amp;$B834):INDIRECT(AX$1&amp;AX$3&amp;$B834))</f>
        <v>0</v>
      </c>
      <c r="AY834" s="3280">
        <f t="shared" ref="AY834:AY873" ca="1" si="1260">AT834-AX834</f>
        <v>90774.092000000004</v>
      </c>
      <c r="AZ834" s="2934">
        <f t="shared" ref="AZ834:AZ873" ca="1" si="1261">IFERROR(AT834/AX834,0)</f>
        <v>0</v>
      </c>
      <c r="BB834" s="3278">
        <f ca="1">SUM((INDIRECT(BB$2&amp;(ROW())):INDIRECT(BB$3&amp;(ROW()))))</f>
        <v>328000.87188852334</v>
      </c>
      <c r="BC834" s="3278">
        <f ca="1">SUM(INDIRECT(BC$1&amp;BC$2&amp;$C834):INDIRECT(BC$1&amp;BC$3&amp;$C834))</f>
        <v>0</v>
      </c>
      <c r="BD834" s="3280">
        <f t="shared" ref="BD834:BD873" ca="1" si="1262">BB834-BC834</f>
        <v>328000.87188852334</v>
      </c>
      <c r="BE834" s="2934">
        <f t="shared" ref="BE834:BE873" ca="1" si="1263">IFERROR(BB834/BC834,0)</f>
        <v>0</v>
      </c>
      <c r="BF834" s="3278">
        <f ca="1">SUM(INDIRECT(BF$1&amp;BF$2&amp;$A834):INDIRECT(BF$1&amp;BF$3&amp;$A834))+SUM(INDIRECT(BF$1&amp;BF$2&amp;$B834):INDIRECT(BF$1&amp;BF$3&amp;$B834))</f>
        <v>0</v>
      </c>
      <c r="BG834" s="3280">
        <f t="shared" ref="BG834:BG873" ca="1" si="1264">BB834-BF834</f>
        <v>328000.87188852334</v>
      </c>
      <c r="BH834" s="2934">
        <f t="shared" ref="BH834:BH873" ca="1" si="1265">IFERROR(BB834/BF834,0)</f>
        <v>0</v>
      </c>
    </row>
    <row r="835" spans="1:60" ht="14.5">
      <c r="A835" s="616">
        <f t="shared" si="1250"/>
        <v>758</v>
      </c>
      <c r="B835" s="616">
        <v>1</v>
      </c>
      <c r="C835" s="616">
        <f t="shared" si="1251"/>
        <v>832</v>
      </c>
      <c r="D835" s="709" t="s">
        <v>1308</v>
      </c>
      <c r="E835" s="2547">
        <v>1</v>
      </c>
      <c r="F835" s="8"/>
      <c r="G835" s="8"/>
      <c r="I835" s="1235"/>
      <c r="J835" s="8" t="s">
        <v>1503</v>
      </c>
      <c r="K835" s="8"/>
      <c r="L835" s="8"/>
      <c r="Q835" s="1777" t="str">
        <f>CHOOSE(2, "6722000003754", "FC COGS (0) Total Included in COGS [PC(Service)]")</f>
        <v>FC COGS (0) Total Included in COGS [PC(Service)]</v>
      </c>
      <c r="R835" s="17">
        <f>SUM(R840,R870,R855,R860,R865)</f>
        <v>16742</v>
      </c>
      <c r="S835" s="17">
        <f t="shared" ref="S835:AC838" si="1266">SUM(S840,S870,S855,S860,S865)</f>
        <v>17045</v>
      </c>
      <c r="T835" s="17">
        <f t="shared" si="1266"/>
        <v>17009</v>
      </c>
      <c r="U835" s="17">
        <f t="shared" si="1266"/>
        <v>18805</v>
      </c>
      <c r="V835" s="17">
        <f t="shared" si="1266"/>
        <v>17345.275249999995</v>
      </c>
      <c r="W835" s="17">
        <f t="shared" si="1266"/>
        <v>16553.602988523315</v>
      </c>
      <c r="X835" s="17">
        <f t="shared" si="1266"/>
        <v>28963</v>
      </c>
      <c r="Y835" s="17">
        <f t="shared" si="1266"/>
        <v>16336</v>
      </c>
      <c r="Z835" s="17">
        <f t="shared" si="1266"/>
        <v>16638</v>
      </c>
      <c r="AA835" s="17">
        <f t="shared" si="1266"/>
        <v>16254</v>
      </c>
      <c r="AB835" s="17">
        <f t="shared" si="1266"/>
        <v>25775</v>
      </c>
      <c r="AC835" s="17">
        <f t="shared" si="1266"/>
        <v>13377</v>
      </c>
      <c r="AD835" s="125">
        <f>SUM(R835,S835,T835)</f>
        <v>50796</v>
      </c>
      <c r="AE835" s="126">
        <f t="shared" ref="AE835:AE838" si="1267">SUM(U835,V835,W835)</f>
        <v>52703.878238523306</v>
      </c>
      <c r="AF835" s="126">
        <f t="shared" ref="AF835:AF838" si="1268">SUM(X835,Y835,Z835)</f>
        <v>61937</v>
      </c>
      <c r="AG835" s="126">
        <f t="shared" ref="AG835:AG838" si="1269">SUM(AA835,AB835,AC835)</f>
        <v>55406</v>
      </c>
      <c r="AH835" s="126">
        <f t="shared" ref="AH835:AH838" si="1270">AD835+AE835</f>
        <v>103499.87823852331</v>
      </c>
      <c r="AI835" s="126">
        <f t="shared" ref="AI835:AI838" si="1271">AG835+AF835</f>
        <v>117343</v>
      </c>
      <c r="AJ835" s="126">
        <f t="shared" ref="AJ835:AJ838" si="1272">AH835+AI835</f>
        <v>220842.87823852332</v>
      </c>
      <c r="AL835" s="126">
        <f ca="1">SUM((INDIRECT(AL$2&amp;(ROW())):INDIRECT(AL$3&amp;(ROW()))))</f>
        <v>13377</v>
      </c>
      <c r="AM835" s="126">
        <f ca="1">SUM(INDIRECT(AM$1&amp;AM$2&amp;$C835):INDIRECT(AM$1&amp;AM$3&amp;$C835))</f>
        <v>0</v>
      </c>
      <c r="AN835" s="3134">
        <f t="shared" ca="1" si="1254"/>
        <v>13377</v>
      </c>
      <c r="AO835" s="2787">
        <f t="shared" ca="1" si="1255"/>
        <v>0</v>
      </c>
      <c r="AP835" s="126">
        <f ca="1">SUM(INDIRECT(AP$1&amp;AP$2&amp;$A835):INDIRECT(AP$1&amp;AP$3&amp;$A835))+SUM(INDIRECT(AP$1&amp;AP$2&amp;$B835):INDIRECT(AP$1&amp;AP$3&amp;$B835))</f>
        <v>0</v>
      </c>
      <c r="AQ835" s="3134">
        <f t="shared" ca="1" si="1256"/>
        <v>13377</v>
      </c>
      <c r="AR835" s="2787">
        <f t="shared" ca="1" si="1257"/>
        <v>0</v>
      </c>
      <c r="AT835" s="126">
        <f ca="1">SUM((INDIRECT(AT$2&amp;(ROW())):INDIRECT(AT$3&amp;(ROW()))))</f>
        <v>55406</v>
      </c>
      <c r="AU835" s="126">
        <f ca="1">SUM(INDIRECT(AU$1&amp;AU$2&amp;$C835):INDIRECT(AU$1&amp;AU$3&amp;$C835))</f>
        <v>0</v>
      </c>
      <c r="AV835" s="3134">
        <f t="shared" ca="1" si="1258"/>
        <v>55406</v>
      </c>
      <c r="AW835" s="2787">
        <f t="shared" ca="1" si="1259"/>
        <v>0</v>
      </c>
      <c r="AX835" s="126">
        <f ca="1">SUM(INDIRECT(AX$1&amp;AX$2&amp;$A835):INDIRECT(AX$1&amp;AX$3&amp;$A835))+SUM(INDIRECT(AX$1&amp;AX$2&amp;$B835):INDIRECT(AX$1&amp;AX$3&amp;$B835))</f>
        <v>510</v>
      </c>
      <c r="AY835" s="3134">
        <f t="shared" ca="1" si="1260"/>
        <v>54896</v>
      </c>
      <c r="AZ835" s="2787">
        <f t="shared" ca="1" si="1261"/>
        <v>108.63921568627451</v>
      </c>
      <c r="BB835" s="126">
        <f ca="1">SUM((INDIRECT(BB$2&amp;(ROW())):INDIRECT(BB$3&amp;(ROW()))))</f>
        <v>220842.87823852332</v>
      </c>
      <c r="BC835" s="126">
        <f ca="1">SUM(INDIRECT(BC$1&amp;BC$2&amp;$C835):INDIRECT(BC$1&amp;BC$3&amp;$C835))</f>
        <v>0</v>
      </c>
      <c r="BD835" s="3134">
        <f t="shared" ca="1" si="1262"/>
        <v>220842.87823852332</v>
      </c>
      <c r="BE835" s="2787">
        <f t="shared" ca="1" si="1263"/>
        <v>0</v>
      </c>
      <c r="BF835" s="126">
        <f ca="1">SUM(INDIRECT(BF$1&amp;BF$2&amp;$A835):INDIRECT(BF$1&amp;BF$3&amp;$A835))+SUM(INDIRECT(BF$1&amp;BF$2&amp;$B835):INDIRECT(BF$1&amp;BF$3&amp;$B835))</f>
        <v>1530</v>
      </c>
      <c r="BG835" s="3134">
        <f t="shared" ca="1" si="1264"/>
        <v>219312.87823852332</v>
      </c>
      <c r="BH835" s="2787">
        <f t="shared" ca="1" si="1265"/>
        <v>144.34175048269498</v>
      </c>
    </row>
    <row r="836" spans="1:60" ht="14.5">
      <c r="A836" s="616">
        <f t="shared" si="1250"/>
        <v>759</v>
      </c>
      <c r="B836" s="616">
        <v>1</v>
      </c>
      <c r="C836" s="616">
        <f t="shared" si="1251"/>
        <v>833</v>
      </c>
      <c r="D836" s="709" t="s">
        <v>1308</v>
      </c>
      <c r="E836" s="2547">
        <v>1</v>
      </c>
      <c r="F836" s="8"/>
      <c r="G836" s="8"/>
      <c r="I836" s="1235"/>
      <c r="J836" s="8" t="s">
        <v>1504</v>
      </c>
      <c r="K836" s="8"/>
      <c r="L836" s="8"/>
      <c r="Q836" s="1777" t="str">
        <f>CHOOSE(2, "6722000003755", "FC COGS (0) Total Included in COGS [TE(Service)]")</f>
        <v>FC COGS (0) Total Included in COGS [TE(Service)]</v>
      </c>
      <c r="R836" s="17">
        <f t="shared" ref="R836:R838" si="1273">SUM(R841,R871,R856,R861,R866)</f>
        <v>0</v>
      </c>
      <c r="S836" s="17">
        <f t="shared" si="1266"/>
        <v>1314</v>
      </c>
      <c r="T836" s="17">
        <f t="shared" si="1266"/>
        <v>2855</v>
      </c>
      <c r="U836" s="17">
        <f t="shared" si="1266"/>
        <v>2723</v>
      </c>
      <c r="V836" s="17">
        <f t="shared" si="1266"/>
        <v>2940.087</v>
      </c>
      <c r="W836" s="17">
        <f t="shared" si="1266"/>
        <v>4043</v>
      </c>
      <c r="X836" s="17">
        <f t="shared" si="1266"/>
        <v>5455</v>
      </c>
      <c r="Y836" s="17">
        <f t="shared" si="1266"/>
        <v>2539</v>
      </c>
      <c r="Z836" s="17">
        <f t="shared" si="1266"/>
        <v>3168</v>
      </c>
      <c r="AA836" s="17">
        <f t="shared" si="1266"/>
        <v>2676</v>
      </c>
      <c r="AB836" s="17">
        <f t="shared" si="1266"/>
        <v>3981.3440000000001</v>
      </c>
      <c r="AC836" s="17">
        <f t="shared" si="1266"/>
        <v>11142</v>
      </c>
      <c r="AD836" s="125">
        <f>SUM(R836,S836,T836)</f>
        <v>4169</v>
      </c>
      <c r="AE836" s="126">
        <f>SUM(U836,V836,W836)</f>
        <v>9706.0869999999995</v>
      </c>
      <c r="AF836" s="126">
        <f>SUM(X836,Y836,Z836)</f>
        <v>11162</v>
      </c>
      <c r="AG836" s="126">
        <f>SUM(AA836,AB836,AC836)</f>
        <v>17799.344000000001</v>
      </c>
      <c r="AH836" s="126">
        <f>AD836+AE836</f>
        <v>13875.087</v>
      </c>
      <c r="AI836" s="126">
        <f t="shared" si="1271"/>
        <v>28961.344000000001</v>
      </c>
      <c r="AJ836" s="126">
        <f t="shared" si="1272"/>
        <v>42836.430999999997</v>
      </c>
      <c r="AL836" s="126">
        <f ca="1">SUM((INDIRECT(AL$2&amp;(ROW())):INDIRECT(AL$3&amp;(ROW()))))</f>
        <v>11142</v>
      </c>
      <c r="AM836" s="126">
        <f ca="1">SUM(INDIRECT(AM$1&amp;AM$2&amp;$C836):INDIRECT(AM$1&amp;AM$3&amp;$C836))</f>
        <v>0</v>
      </c>
      <c r="AN836" s="3134">
        <f t="shared" ca="1" si="1254"/>
        <v>11142</v>
      </c>
      <c r="AO836" s="2787">
        <f t="shared" ca="1" si="1255"/>
        <v>0</v>
      </c>
      <c r="AP836" s="126">
        <f ca="1">SUM(INDIRECT(AP$1&amp;AP$2&amp;$A836):INDIRECT(AP$1&amp;AP$3&amp;$A836))+SUM(INDIRECT(AP$1&amp;AP$2&amp;$B836):INDIRECT(AP$1&amp;AP$3&amp;$B836))</f>
        <v>0</v>
      </c>
      <c r="AQ836" s="3134">
        <f t="shared" ca="1" si="1256"/>
        <v>11142</v>
      </c>
      <c r="AR836" s="2787">
        <f t="shared" ca="1" si="1257"/>
        <v>0</v>
      </c>
      <c r="AT836" s="126">
        <f ca="1">SUM((INDIRECT(AT$2&amp;(ROW())):INDIRECT(AT$3&amp;(ROW()))))</f>
        <v>17799.344000000001</v>
      </c>
      <c r="AU836" s="126">
        <f ca="1">SUM(INDIRECT(AU$1&amp;AU$2&amp;$C836):INDIRECT(AU$1&amp;AU$3&amp;$C836))</f>
        <v>0</v>
      </c>
      <c r="AV836" s="3134">
        <f t="shared" ca="1" si="1258"/>
        <v>17799.344000000001</v>
      </c>
      <c r="AW836" s="2787">
        <f t="shared" ca="1" si="1259"/>
        <v>0</v>
      </c>
      <c r="AX836" s="126">
        <f ca="1">SUM(INDIRECT(AX$1&amp;AX$2&amp;$A836):INDIRECT(AX$1&amp;AX$3&amp;$A836))+SUM(INDIRECT(AX$1&amp;AX$2&amp;$B836):INDIRECT(AX$1&amp;AX$3&amp;$B836))</f>
        <v>0</v>
      </c>
      <c r="AY836" s="3134">
        <f t="shared" ca="1" si="1260"/>
        <v>17799.344000000001</v>
      </c>
      <c r="AZ836" s="2787">
        <f t="shared" ca="1" si="1261"/>
        <v>0</v>
      </c>
      <c r="BB836" s="126">
        <f ca="1">SUM((INDIRECT(BB$2&amp;(ROW())):INDIRECT(BB$3&amp;(ROW()))))</f>
        <v>42836.430999999997</v>
      </c>
      <c r="BC836" s="126">
        <f ca="1">SUM(INDIRECT(BC$1&amp;BC$2&amp;$C836):INDIRECT(BC$1&amp;BC$3&amp;$C836))</f>
        <v>0</v>
      </c>
      <c r="BD836" s="3134">
        <f t="shared" ca="1" si="1262"/>
        <v>42836.430999999997</v>
      </c>
      <c r="BE836" s="2787">
        <f t="shared" ca="1" si="1263"/>
        <v>0</v>
      </c>
      <c r="BF836" s="126">
        <f ca="1">SUM(INDIRECT(BF$1&amp;BF$2&amp;$A836):INDIRECT(BF$1&amp;BF$3&amp;$A836))+SUM(INDIRECT(BF$1&amp;BF$2&amp;$B836):INDIRECT(BF$1&amp;BF$3&amp;$B836))</f>
        <v>0</v>
      </c>
      <c r="BG836" s="3134">
        <f t="shared" ca="1" si="1264"/>
        <v>42836.430999999997</v>
      </c>
      <c r="BH836" s="2787">
        <f t="shared" ca="1" si="1265"/>
        <v>0</v>
      </c>
    </row>
    <row r="837" spans="1:60" ht="14.5">
      <c r="A837" s="616">
        <f t="shared" si="1250"/>
        <v>760</v>
      </c>
      <c r="B837" s="616">
        <v>1</v>
      </c>
      <c r="C837" s="616">
        <f t="shared" si="1251"/>
        <v>834</v>
      </c>
      <c r="D837" s="709" t="s">
        <v>1308</v>
      </c>
      <c r="E837" s="2547">
        <v>1</v>
      </c>
      <c r="F837" s="8"/>
      <c r="G837" s="8"/>
      <c r="I837" s="172"/>
      <c r="J837" s="8" t="s">
        <v>1505</v>
      </c>
      <c r="Q837" s="1782" t="str">
        <f>CHOOSE(2, "6722000003756", "FC COGS (0) Total Included in COGS [OFC(Service)]")</f>
        <v>FC COGS (0) Total Included in COGS [OFC(Service)]</v>
      </c>
      <c r="R837" s="1226">
        <f t="shared" si="1273"/>
        <v>5365</v>
      </c>
      <c r="S837" s="1226">
        <f t="shared" si="1266"/>
        <v>5165</v>
      </c>
      <c r="T837" s="1226">
        <f t="shared" si="1266"/>
        <v>5259</v>
      </c>
      <c r="U837" s="1226">
        <f t="shared" si="1266"/>
        <v>4961</v>
      </c>
      <c r="V837" s="1226">
        <f t="shared" si="1266"/>
        <v>5087.3186499999993</v>
      </c>
      <c r="W837" s="1226">
        <f t="shared" si="1266"/>
        <v>4986.7479999999996</v>
      </c>
      <c r="X837" s="1226">
        <f t="shared" si="1266"/>
        <v>5417.7479999999996</v>
      </c>
      <c r="Y837" s="1226">
        <f t="shared" si="1266"/>
        <v>5113</v>
      </c>
      <c r="Z837" s="1226">
        <f t="shared" si="1266"/>
        <v>5398</v>
      </c>
      <c r="AA837" s="1226">
        <f t="shared" si="1266"/>
        <v>5544</v>
      </c>
      <c r="AB837" s="1226">
        <f t="shared" si="1266"/>
        <v>5638.7479999999996</v>
      </c>
      <c r="AC837" s="1226">
        <f t="shared" si="1266"/>
        <v>6386</v>
      </c>
      <c r="AD837" s="125">
        <f>SUM(R837,S837,T837)</f>
        <v>15789</v>
      </c>
      <c r="AE837" s="126">
        <f t="shared" si="1267"/>
        <v>15035.066649999999</v>
      </c>
      <c r="AF837" s="126">
        <f t="shared" si="1268"/>
        <v>15928.748</v>
      </c>
      <c r="AG837" s="126">
        <f t="shared" si="1269"/>
        <v>17568.748</v>
      </c>
      <c r="AH837" s="126">
        <f t="shared" si="1270"/>
        <v>30824.066650000001</v>
      </c>
      <c r="AI837" s="126">
        <f>AG837+AF837</f>
        <v>33497.495999999999</v>
      </c>
      <c r="AJ837" s="126">
        <f t="shared" si="1272"/>
        <v>64321.56265</v>
      </c>
      <c r="AL837" s="126">
        <f ca="1">SUM((INDIRECT(AL$2&amp;(ROW())):INDIRECT(AL$3&amp;(ROW()))))</f>
        <v>6386</v>
      </c>
      <c r="AM837" s="126">
        <f ca="1">SUM(INDIRECT(AM$1&amp;AM$2&amp;$C837):INDIRECT(AM$1&amp;AM$3&amp;$C837))</f>
        <v>0</v>
      </c>
      <c r="AN837" s="3134">
        <f t="shared" ca="1" si="1254"/>
        <v>6386</v>
      </c>
      <c r="AO837" s="2787">
        <f t="shared" ca="1" si="1255"/>
        <v>0</v>
      </c>
      <c r="AP837" s="126">
        <f ca="1">SUM(INDIRECT(AP$1&amp;AP$2&amp;$A837):INDIRECT(AP$1&amp;AP$3&amp;$A837))+SUM(INDIRECT(AP$1&amp;AP$2&amp;$B837):INDIRECT(AP$1&amp;AP$3&amp;$B837))</f>
        <v>0</v>
      </c>
      <c r="AQ837" s="3134">
        <f t="shared" ca="1" si="1256"/>
        <v>6386</v>
      </c>
      <c r="AR837" s="2787">
        <f t="shared" ca="1" si="1257"/>
        <v>0</v>
      </c>
      <c r="AT837" s="126">
        <f ca="1">SUM((INDIRECT(AT$2&amp;(ROW())):INDIRECT(AT$3&amp;(ROW()))))</f>
        <v>17568.748</v>
      </c>
      <c r="AU837" s="126">
        <f ca="1">SUM(INDIRECT(AU$1&amp;AU$2&amp;$C837):INDIRECT(AU$1&amp;AU$3&amp;$C837))</f>
        <v>0</v>
      </c>
      <c r="AV837" s="3134">
        <f t="shared" ca="1" si="1258"/>
        <v>17568.748</v>
      </c>
      <c r="AW837" s="2787">
        <f t="shared" ca="1" si="1259"/>
        <v>0</v>
      </c>
      <c r="AX837" s="126">
        <f ca="1">SUM(INDIRECT(AX$1&amp;AX$2&amp;$A837):INDIRECT(AX$1&amp;AX$3&amp;$A837))+SUM(INDIRECT(AX$1&amp;AX$2&amp;$B837):INDIRECT(AX$1&amp;AX$3&amp;$B837))</f>
        <v>0</v>
      </c>
      <c r="AY837" s="3134">
        <f t="shared" ca="1" si="1260"/>
        <v>17568.748</v>
      </c>
      <c r="AZ837" s="2787">
        <f t="shared" ca="1" si="1261"/>
        <v>0</v>
      </c>
      <c r="BB837" s="126">
        <f ca="1">SUM((INDIRECT(BB$2&amp;(ROW())):INDIRECT(BB$3&amp;(ROW()))))</f>
        <v>64321.56265</v>
      </c>
      <c r="BC837" s="126">
        <f ca="1">SUM(INDIRECT(BC$1&amp;BC$2&amp;$C837):INDIRECT(BC$1&amp;BC$3&amp;$C837))</f>
        <v>0</v>
      </c>
      <c r="BD837" s="3134">
        <f t="shared" ca="1" si="1262"/>
        <v>64321.56265</v>
      </c>
      <c r="BE837" s="2787">
        <f t="shared" ca="1" si="1263"/>
        <v>0</v>
      </c>
      <c r="BF837" s="126">
        <f ca="1">SUM(INDIRECT(BF$1&amp;BF$2&amp;$A837):INDIRECT(BF$1&amp;BF$3&amp;$A837))+SUM(INDIRECT(BF$1&amp;BF$2&amp;$B837):INDIRECT(BF$1&amp;BF$3&amp;$B837))</f>
        <v>0</v>
      </c>
      <c r="BG837" s="3134">
        <f t="shared" ca="1" si="1264"/>
        <v>64321.56265</v>
      </c>
      <c r="BH837" s="2787">
        <f t="shared" ca="1" si="1265"/>
        <v>0</v>
      </c>
    </row>
    <row r="838" spans="1:60" ht="14.5">
      <c r="A838" s="616">
        <f t="shared" si="1250"/>
        <v>761</v>
      </c>
      <c r="B838" s="616">
        <v>1</v>
      </c>
      <c r="C838" s="616">
        <f t="shared" si="1251"/>
        <v>835</v>
      </c>
      <c r="D838" s="709" t="s">
        <v>1308</v>
      </c>
      <c r="E838" s="2547">
        <v>1</v>
      </c>
      <c r="F838" s="8"/>
      <c r="G838" s="8"/>
      <c r="I838" s="171"/>
      <c r="J838" s="11" t="s">
        <v>1506</v>
      </c>
      <c r="K838" s="16"/>
      <c r="L838" s="16"/>
      <c r="M838" s="11"/>
      <c r="N838" s="11"/>
      <c r="O838" s="11"/>
      <c r="P838" s="11"/>
      <c r="Q838" s="1782" t="str">
        <f>CHOOSE(2, "6722000003757", "FC COGS (0) Total Included in COGS [D&amp;A]")</f>
        <v>FC COGS (0) Total Included in COGS [D&amp;A]</v>
      </c>
      <c r="R838" s="1228">
        <f t="shared" si="1273"/>
        <v>0</v>
      </c>
      <c r="S838" s="1228">
        <f t="shared" si="1266"/>
        <v>0</v>
      </c>
      <c r="T838" s="1228">
        <f t="shared" si="1266"/>
        <v>0</v>
      </c>
      <c r="U838" s="1228">
        <f t="shared" si="1266"/>
        <v>0</v>
      </c>
      <c r="V838" s="1228">
        <f t="shared" si="1266"/>
        <v>0</v>
      </c>
      <c r="W838" s="1228">
        <f t="shared" si="1266"/>
        <v>0</v>
      </c>
      <c r="X838" s="1228">
        <f t="shared" si="1266"/>
        <v>0</v>
      </c>
      <c r="Y838" s="1228">
        <f t="shared" si="1266"/>
        <v>0</v>
      </c>
      <c r="Z838" s="1228">
        <f t="shared" si="1266"/>
        <v>0</v>
      </c>
      <c r="AA838" s="1228">
        <f t="shared" si="1266"/>
        <v>0</v>
      </c>
      <c r="AB838" s="1228">
        <f t="shared" si="1266"/>
        <v>0</v>
      </c>
      <c r="AC838" s="1228">
        <f t="shared" si="1266"/>
        <v>0</v>
      </c>
      <c r="AD838" s="122">
        <f>SUM(R838,S838,T838)</f>
        <v>0</v>
      </c>
      <c r="AE838" s="123">
        <f t="shared" si="1267"/>
        <v>0</v>
      </c>
      <c r="AF838" s="123">
        <f t="shared" si="1268"/>
        <v>0</v>
      </c>
      <c r="AG838" s="123">
        <f t="shared" si="1269"/>
        <v>0</v>
      </c>
      <c r="AH838" s="123">
        <f t="shared" si="1270"/>
        <v>0</v>
      </c>
      <c r="AI838" s="123">
        <f t="shared" si="1271"/>
        <v>0</v>
      </c>
      <c r="AJ838" s="123">
        <f t="shared" si="1272"/>
        <v>0</v>
      </c>
      <c r="AL838" s="123">
        <f ca="1">SUM((INDIRECT(AL$2&amp;(ROW())):INDIRECT(AL$3&amp;(ROW()))))</f>
        <v>0</v>
      </c>
      <c r="AM838" s="123">
        <f ca="1">SUM(INDIRECT(AM$1&amp;AM$2&amp;$C838):INDIRECT(AM$1&amp;AM$3&amp;$C838))</f>
        <v>0</v>
      </c>
      <c r="AN838" s="3081">
        <f t="shared" ca="1" si="1254"/>
        <v>0</v>
      </c>
      <c r="AO838" s="2716">
        <f t="shared" ca="1" si="1255"/>
        <v>0</v>
      </c>
      <c r="AP838" s="123">
        <f ca="1">SUM(INDIRECT(AP$1&amp;AP$2&amp;$A838):INDIRECT(AP$1&amp;AP$3&amp;$A838))+SUM(INDIRECT(AP$1&amp;AP$2&amp;$B838):INDIRECT(AP$1&amp;AP$3&amp;$B838))</f>
        <v>0</v>
      </c>
      <c r="AQ838" s="3081">
        <f t="shared" ca="1" si="1256"/>
        <v>0</v>
      </c>
      <c r="AR838" s="2716">
        <f t="shared" ca="1" si="1257"/>
        <v>0</v>
      </c>
      <c r="AT838" s="123">
        <f ca="1">SUM((INDIRECT(AT$2&amp;(ROW())):INDIRECT(AT$3&amp;(ROW()))))</f>
        <v>0</v>
      </c>
      <c r="AU838" s="123">
        <f ca="1">SUM(INDIRECT(AU$1&amp;AU$2&amp;$C838):INDIRECT(AU$1&amp;AU$3&amp;$C838))</f>
        <v>0</v>
      </c>
      <c r="AV838" s="3081">
        <f t="shared" ca="1" si="1258"/>
        <v>0</v>
      </c>
      <c r="AW838" s="2716">
        <f t="shared" ca="1" si="1259"/>
        <v>0</v>
      </c>
      <c r="AX838" s="123">
        <f ca="1">SUM(INDIRECT(AX$1&amp;AX$2&amp;$A838):INDIRECT(AX$1&amp;AX$3&amp;$A838))+SUM(INDIRECT(AX$1&amp;AX$2&amp;$B838):INDIRECT(AX$1&amp;AX$3&amp;$B838))</f>
        <v>0</v>
      </c>
      <c r="AY838" s="3081">
        <f t="shared" ca="1" si="1260"/>
        <v>0</v>
      </c>
      <c r="AZ838" s="2716">
        <f t="shared" ca="1" si="1261"/>
        <v>0</v>
      </c>
      <c r="BB838" s="123">
        <f ca="1">SUM((INDIRECT(BB$2&amp;(ROW())):INDIRECT(BB$3&amp;(ROW()))))</f>
        <v>0</v>
      </c>
      <c r="BC838" s="123">
        <f ca="1">SUM(INDIRECT(BC$1&amp;BC$2&amp;$C838):INDIRECT(BC$1&amp;BC$3&amp;$C838))</f>
        <v>0</v>
      </c>
      <c r="BD838" s="3081">
        <f t="shared" ca="1" si="1262"/>
        <v>0</v>
      </c>
      <c r="BE838" s="2716">
        <f t="shared" ca="1" si="1263"/>
        <v>0</v>
      </c>
      <c r="BF838" s="123">
        <f ca="1">SUM(INDIRECT(BF$1&amp;BF$2&amp;$A838):INDIRECT(BF$1&amp;BF$3&amp;$A838))+SUM(INDIRECT(BF$1&amp;BF$2&amp;$B838):INDIRECT(BF$1&amp;BF$3&amp;$B838))</f>
        <v>0</v>
      </c>
      <c r="BG838" s="3081">
        <f t="shared" ca="1" si="1264"/>
        <v>0</v>
      </c>
      <c r="BH838" s="2716">
        <f t="shared" ca="1" si="1265"/>
        <v>0</v>
      </c>
    </row>
    <row r="839" spans="1:60" s="69" customFormat="1" ht="14.5">
      <c r="A839" s="616">
        <f>A844</f>
        <v>762</v>
      </c>
      <c r="B839" s="616">
        <v>1</v>
      </c>
      <c r="C839" s="616">
        <f t="shared" si="1251"/>
        <v>836</v>
      </c>
      <c r="D839" s="709" t="s">
        <v>1308</v>
      </c>
      <c r="E839" s="2565" t="s">
        <v>1369</v>
      </c>
      <c r="F839" s="2566"/>
      <c r="G839" s="8"/>
      <c r="H839" s="22"/>
      <c r="I839" s="3281" t="s">
        <v>1507</v>
      </c>
      <c r="J839" s="2212"/>
      <c r="K839" s="1046"/>
      <c r="L839" s="1046"/>
      <c r="M839" s="1046"/>
      <c r="N839" s="1046"/>
      <c r="O839" s="1046"/>
      <c r="P839" s="1046"/>
      <c r="Q839" s="1816" t="str">
        <f>CHOOSE(2, "6722000003758", "FC COGS (1) Office TTL")</f>
        <v>FC COGS (1) Office TTL</v>
      </c>
      <c r="R839" s="1445">
        <f t="shared" ref="R839:AC839" si="1274">SUM(R840:R843)</f>
        <v>7547</v>
      </c>
      <c r="S839" s="1445">
        <f t="shared" si="1274"/>
        <v>7821</v>
      </c>
      <c r="T839" s="1445">
        <f t="shared" si="1274"/>
        <v>7933</v>
      </c>
      <c r="U839" s="1445">
        <f t="shared" si="1274"/>
        <v>7742</v>
      </c>
      <c r="V839" s="1445">
        <f t="shared" si="1274"/>
        <v>7506.5874735241305</v>
      </c>
      <c r="W839" s="1445">
        <f t="shared" si="1274"/>
        <v>7541</v>
      </c>
      <c r="X839" s="1445">
        <f t="shared" si="1274"/>
        <v>11688</v>
      </c>
      <c r="Y839" s="1445">
        <f t="shared" si="1274"/>
        <v>7345</v>
      </c>
      <c r="Z839" s="1445">
        <f t="shared" si="1274"/>
        <v>7725</v>
      </c>
      <c r="AA839" s="1445">
        <f t="shared" si="1274"/>
        <v>7908</v>
      </c>
      <c r="AB839" s="1445">
        <f t="shared" si="1274"/>
        <v>8142</v>
      </c>
      <c r="AC839" s="1445">
        <f t="shared" si="1274"/>
        <v>8840</v>
      </c>
      <c r="AD839" s="3282">
        <f t="shared" ref="AD839:AJ839" si="1275">SUM(AD840:AD843)</f>
        <v>23301</v>
      </c>
      <c r="AE839" s="1445">
        <f t="shared" si="1275"/>
        <v>22789.58747352413</v>
      </c>
      <c r="AF839" s="1445">
        <f t="shared" si="1275"/>
        <v>26758</v>
      </c>
      <c r="AG839" s="1445">
        <f t="shared" si="1275"/>
        <v>24890</v>
      </c>
      <c r="AH839" s="1445">
        <f t="shared" si="1275"/>
        <v>46090.58747352413</v>
      </c>
      <c r="AI839" s="1445">
        <f t="shared" si="1275"/>
        <v>51648</v>
      </c>
      <c r="AJ839" s="1445">
        <f t="shared" si="1275"/>
        <v>97738.587473524123</v>
      </c>
      <c r="AL839" s="3283">
        <f ca="1">SUM((INDIRECT(AL$2&amp;(ROW())):INDIRECT(AL$3&amp;(ROW()))))</f>
        <v>8840</v>
      </c>
      <c r="AM839" s="3283">
        <f ca="1">SUM(INDIRECT(AM$1&amp;AM$2&amp;$C839):INDIRECT(AM$1&amp;AM$3&amp;$C839))</f>
        <v>0</v>
      </c>
      <c r="AN839" s="3284">
        <f t="shared" ca="1" si="1254"/>
        <v>8840</v>
      </c>
      <c r="AO839" s="2937">
        <f t="shared" ca="1" si="1255"/>
        <v>0</v>
      </c>
      <c r="AP839" s="3283">
        <f ca="1">SUM(INDIRECT(AP$1&amp;AP$2&amp;$A839):INDIRECT(AP$1&amp;AP$3&amp;$A839))+SUM(INDIRECT(AP$1&amp;AP$2&amp;$B839):INDIRECT(AP$1&amp;AP$3&amp;$B839))</f>
        <v>0</v>
      </c>
      <c r="AQ839" s="3284">
        <f t="shared" ca="1" si="1256"/>
        <v>8840</v>
      </c>
      <c r="AR839" s="2937">
        <f t="shared" ca="1" si="1257"/>
        <v>0</v>
      </c>
      <c r="AT839" s="3283">
        <f ca="1">SUM((INDIRECT(AT$2&amp;(ROW())):INDIRECT(AT$3&amp;(ROW()))))</f>
        <v>24890</v>
      </c>
      <c r="AU839" s="3283">
        <f ca="1">SUM(INDIRECT(AU$1&amp;AU$2&amp;$C839):INDIRECT(AU$1&amp;AU$3&amp;$C839))</f>
        <v>0</v>
      </c>
      <c r="AV839" s="3284">
        <f t="shared" ca="1" si="1258"/>
        <v>24890</v>
      </c>
      <c r="AW839" s="2937">
        <f t="shared" ca="1" si="1259"/>
        <v>0</v>
      </c>
      <c r="AX839" s="3283">
        <f ca="1">SUM(INDIRECT(AX$1&amp;AX$2&amp;$A839):INDIRECT(AX$1&amp;AX$3&amp;$A839))+SUM(INDIRECT(AX$1&amp;AX$2&amp;$B839):INDIRECT(AX$1&amp;AX$3&amp;$B839))</f>
        <v>0</v>
      </c>
      <c r="AY839" s="3284">
        <f t="shared" ca="1" si="1260"/>
        <v>24890</v>
      </c>
      <c r="AZ839" s="2937">
        <f t="shared" ca="1" si="1261"/>
        <v>0</v>
      </c>
      <c r="BB839" s="3283">
        <f ca="1">SUM((INDIRECT(BB$2&amp;(ROW())):INDIRECT(BB$3&amp;(ROW()))))</f>
        <v>97738.587473524123</v>
      </c>
      <c r="BC839" s="3283">
        <f ca="1">SUM(INDIRECT(BC$1&amp;BC$2&amp;$C839):INDIRECT(BC$1&amp;BC$3&amp;$C839))</f>
        <v>0</v>
      </c>
      <c r="BD839" s="3284">
        <f t="shared" ca="1" si="1262"/>
        <v>97738.587473524123</v>
      </c>
      <c r="BE839" s="2937">
        <f t="shared" ca="1" si="1263"/>
        <v>0</v>
      </c>
      <c r="BF839" s="3283">
        <f ca="1">SUM(INDIRECT(BF$1&amp;BF$2&amp;$A839):INDIRECT(BF$1&amp;BF$3&amp;$A839))+SUM(INDIRECT(BF$1&amp;BF$2&amp;$B839):INDIRECT(BF$1&amp;BF$3&amp;$B839))</f>
        <v>0</v>
      </c>
      <c r="BG839" s="3284">
        <f t="shared" ca="1" si="1264"/>
        <v>97738.587473524123</v>
      </c>
      <c r="BH839" s="2937">
        <f t="shared" ca="1" si="1265"/>
        <v>0</v>
      </c>
    </row>
    <row r="840" spans="1:60" ht="14.5">
      <c r="A840" s="616">
        <f t="shared" si="1250"/>
        <v>763</v>
      </c>
      <c r="B840" s="616">
        <v>1</v>
      </c>
      <c r="C840" s="616">
        <f t="shared" si="1251"/>
        <v>837</v>
      </c>
      <c r="D840" s="709" t="s">
        <v>1308</v>
      </c>
      <c r="E840" s="2565" t="s">
        <v>1369</v>
      </c>
      <c r="F840" s="2566"/>
      <c r="G840" s="8"/>
      <c r="I840" s="223"/>
      <c r="J840" s="8" t="s">
        <v>1503</v>
      </c>
      <c r="K840" s="8"/>
      <c r="L840" s="8"/>
      <c r="Q840" s="1777" t="str">
        <f>CHOOSE(2, "6722000003759", "FC COGS Included in COGS [PC(Service)]")</f>
        <v>FC COGS Included in COGS [PC(Service)]</v>
      </c>
      <c r="R840" s="17">
        <f>SUM(R845,R850)</f>
        <v>2501</v>
      </c>
      <c r="S840" s="17">
        <f t="shared" ref="S840:AC843" si="1276">SUM(S845,S850)</f>
        <v>2798</v>
      </c>
      <c r="T840" s="17">
        <f t="shared" si="1276"/>
        <v>2514</v>
      </c>
      <c r="U840" s="17">
        <f t="shared" si="1276"/>
        <v>2743</v>
      </c>
      <c r="V840" s="17">
        <f t="shared" si="1276"/>
        <v>2407.5238235241304</v>
      </c>
      <c r="W840" s="17">
        <f t="shared" si="1276"/>
        <v>2373</v>
      </c>
      <c r="X840" s="17">
        <f t="shared" si="1276"/>
        <v>6071</v>
      </c>
      <c r="Y840" s="17">
        <f t="shared" si="1276"/>
        <v>2214</v>
      </c>
      <c r="Z840" s="17">
        <f t="shared" si="1276"/>
        <v>2266</v>
      </c>
      <c r="AA840" s="17">
        <f t="shared" si="1276"/>
        <v>2263</v>
      </c>
      <c r="AB840" s="17">
        <f t="shared" si="1276"/>
        <v>2279</v>
      </c>
      <c r="AC840" s="17">
        <f t="shared" si="1276"/>
        <v>1917</v>
      </c>
      <c r="AD840" s="125">
        <f>SUM(R840,S840,T840)</f>
        <v>7813</v>
      </c>
      <c r="AE840" s="126">
        <f t="shared" ref="AE840:AE843" si="1277">SUM(U840,V840,W840)</f>
        <v>7523.5238235241304</v>
      </c>
      <c r="AF840" s="126">
        <f t="shared" ref="AF840:AF843" si="1278">SUM(X840,Y840,Z840)</f>
        <v>10551</v>
      </c>
      <c r="AG840" s="126">
        <f t="shared" ref="AG840:AG843" si="1279">SUM(AA840,AB840,AC840)</f>
        <v>6459</v>
      </c>
      <c r="AH840" s="126">
        <f t="shared" ref="AH840:AH843" si="1280">AD840+AE840</f>
        <v>15336.52382352413</v>
      </c>
      <c r="AI840" s="126">
        <f t="shared" ref="AI840:AI843" si="1281">AG840+AF840</f>
        <v>17010</v>
      </c>
      <c r="AJ840" s="126">
        <f t="shared" ref="AJ840:AJ843" si="1282">AH840+AI840</f>
        <v>32346.52382352413</v>
      </c>
      <c r="AL840" s="126">
        <f ca="1">SUM((INDIRECT(AL$2&amp;(ROW())):INDIRECT(AL$3&amp;(ROW()))))</f>
        <v>1917</v>
      </c>
      <c r="AM840" s="126">
        <f ca="1">SUM(INDIRECT(AM$1&amp;AM$2&amp;$C840):INDIRECT(AM$1&amp;AM$3&amp;$C840))</f>
        <v>0</v>
      </c>
      <c r="AN840" s="3134">
        <f t="shared" ca="1" si="1254"/>
        <v>1917</v>
      </c>
      <c r="AO840" s="2787">
        <f t="shared" ca="1" si="1255"/>
        <v>0</v>
      </c>
      <c r="AP840" s="126">
        <f ca="1">SUM(INDIRECT(AP$1&amp;AP$2&amp;$A840):INDIRECT(AP$1&amp;AP$3&amp;$A840))+SUM(INDIRECT(AP$1&amp;AP$2&amp;$B840):INDIRECT(AP$1&amp;AP$3&amp;$B840))</f>
        <v>0</v>
      </c>
      <c r="AQ840" s="3134">
        <f t="shared" ca="1" si="1256"/>
        <v>1917</v>
      </c>
      <c r="AR840" s="2787">
        <f t="shared" ca="1" si="1257"/>
        <v>0</v>
      </c>
      <c r="AT840" s="126">
        <f ca="1">SUM((INDIRECT(AT$2&amp;(ROW())):INDIRECT(AT$3&amp;(ROW()))))</f>
        <v>6459</v>
      </c>
      <c r="AU840" s="126">
        <f ca="1">SUM(INDIRECT(AU$1&amp;AU$2&amp;$C840):INDIRECT(AU$1&amp;AU$3&amp;$C840))</f>
        <v>0</v>
      </c>
      <c r="AV840" s="3134">
        <f t="shared" ca="1" si="1258"/>
        <v>6459</v>
      </c>
      <c r="AW840" s="2787">
        <f t="shared" ca="1" si="1259"/>
        <v>0</v>
      </c>
      <c r="AX840" s="126">
        <f ca="1">SUM(INDIRECT(AX$1&amp;AX$2&amp;$A840):INDIRECT(AX$1&amp;AX$3&amp;$A840))+SUM(INDIRECT(AX$1&amp;AX$2&amp;$B840):INDIRECT(AX$1&amp;AX$3&amp;$B840))</f>
        <v>0</v>
      </c>
      <c r="AY840" s="3134">
        <f t="shared" ca="1" si="1260"/>
        <v>6459</v>
      </c>
      <c r="AZ840" s="2787">
        <f t="shared" ca="1" si="1261"/>
        <v>0</v>
      </c>
      <c r="BB840" s="126">
        <f ca="1">SUM((INDIRECT(BB$2&amp;(ROW())):INDIRECT(BB$3&amp;(ROW()))))</f>
        <v>32346.52382352413</v>
      </c>
      <c r="BC840" s="126">
        <f ca="1">SUM(INDIRECT(BC$1&amp;BC$2&amp;$C840):INDIRECT(BC$1&amp;BC$3&amp;$C840))</f>
        <v>0</v>
      </c>
      <c r="BD840" s="3134">
        <f t="shared" ca="1" si="1262"/>
        <v>32346.52382352413</v>
      </c>
      <c r="BE840" s="2787">
        <f t="shared" ca="1" si="1263"/>
        <v>0</v>
      </c>
      <c r="BF840" s="126">
        <f ca="1">SUM(INDIRECT(BF$1&amp;BF$2&amp;$A840):INDIRECT(BF$1&amp;BF$3&amp;$A840))+SUM(INDIRECT(BF$1&amp;BF$2&amp;$B840):INDIRECT(BF$1&amp;BF$3&amp;$B840))</f>
        <v>0</v>
      </c>
      <c r="BG840" s="3134">
        <f t="shared" ca="1" si="1264"/>
        <v>32346.52382352413</v>
      </c>
      <c r="BH840" s="2787">
        <f t="shared" ca="1" si="1265"/>
        <v>0</v>
      </c>
    </row>
    <row r="841" spans="1:60" ht="14.5">
      <c r="A841" s="616">
        <f t="shared" si="1250"/>
        <v>764</v>
      </c>
      <c r="B841" s="616">
        <v>1</v>
      </c>
      <c r="C841" s="616">
        <f t="shared" si="1251"/>
        <v>838</v>
      </c>
      <c r="D841" s="709" t="s">
        <v>1308</v>
      </c>
      <c r="E841" s="2565" t="s">
        <v>1369</v>
      </c>
      <c r="F841" s="2566"/>
      <c r="G841" s="8"/>
      <c r="I841" s="223"/>
      <c r="J841" s="8" t="s">
        <v>1504</v>
      </c>
      <c r="K841" s="8"/>
      <c r="L841" s="8"/>
      <c r="Q841" s="1777" t="str">
        <f>CHOOSE(2, "6722000003760", "FC COGS Included in COGS [TE(Service)]")</f>
        <v>FC COGS Included in COGS [TE(Service)]</v>
      </c>
      <c r="R841" s="17">
        <f t="shared" ref="R841:R843" si="1283">SUM(R846,R851)</f>
        <v>0</v>
      </c>
      <c r="S841" s="17">
        <f t="shared" si="1276"/>
        <v>177</v>
      </c>
      <c r="T841" s="17">
        <f t="shared" si="1276"/>
        <v>335</v>
      </c>
      <c r="U841" s="17">
        <f t="shared" si="1276"/>
        <v>312</v>
      </c>
      <c r="V841" s="17">
        <f t="shared" si="1276"/>
        <v>299.49299999999999</v>
      </c>
      <c r="W841" s="17">
        <f t="shared" si="1276"/>
        <v>469</v>
      </c>
      <c r="X841" s="17">
        <f t="shared" si="1276"/>
        <v>487</v>
      </c>
      <c r="Y841" s="17">
        <f t="shared" si="1276"/>
        <v>256</v>
      </c>
      <c r="Z841" s="17">
        <f t="shared" si="1276"/>
        <v>349</v>
      </c>
      <c r="AA841" s="17">
        <f t="shared" si="1276"/>
        <v>389</v>
      </c>
      <c r="AB841" s="17">
        <f t="shared" si="1276"/>
        <v>512</v>
      </c>
      <c r="AC841" s="17">
        <f t="shared" si="1276"/>
        <v>910</v>
      </c>
      <c r="AD841" s="125">
        <f>SUM(R841,S841,T841)</f>
        <v>512</v>
      </c>
      <c r="AE841" s="126">
        <f t="shared" si="1277"/>
        <v>1080.4929999999999</v>
      </c>
      <c r="AF841" s="126">
        <f t="shared" si="1278"/>
        <v>1092</v>
      </c>
      <c r="AG841" s="126">
        <f t="shared" si="1279"/>
        <v>1811</v>
      </c>
      <c r="AH841" s="126">
        <f t="shared" si="1280"/>
        <v>1592.4929999999999</v>
      </c>
      <c r="AI841" s="126">
        <f t="shared" si="1281"/>
        <v>2903</v>
      </c>
      <c r="AJ841" s="126">
        <f t="shared" si="1282"/>
        <v>4495.4930000000004</v>
      </c>
      <c r="AL841" s="126">
        <f ca="1">SUM((INDIRECT(AL$2&amp;(ROW())):INDIRECT(AL$3&amp;(ROW()))))</f>
        <v>910</v>
      </c>
      <c r="AM841" s="126">
        <f ca="1">SUM(INDIRECT(AM$1&amp;AM$2&amp;$C841):INDIRECT(AM$1&amp;AM$3&amp;$C841))</f>
        <v>0</v>
      </c>
      <c r="AN841" s="3134">
        <f t="shared" ca="1" si="1254"/>
        <v>910</v>
      </c>
      <c r="AO841" s="2787">
        <f t="shared" ca="1" si="1255"/>
        <v>0</v>
      </c>
      <c r="AP841" s="126">
        <f ca="1">SUM(INDIRECT(AP$1&amp;AP$2&amp;$A841):INDIRECT(AP$1&amp;AP$3&amp;$A841))+SUM(INDIRECT(AP$1&amp;AP$2&amp;$B841):INDIRECT(AP$1&amp;AP$3&amp;$B841))</f>
        <v>0</v>
      </c>
      <c r="AQ841" s="3134">
        <f t="shared" ca="1" si="1256"/>
        <v>910</v>
      </c>
      <c r="AR841" s="2787">
        <f t="shared" ca="1" si="1257"/>
        <v>0</v>
      </c>
      <c r="AT841" s="126">
        <f ca="1">SUM((INDIRECT(AT$2&amp;(ROW())):INDIRECT(AT$3&amp;(ROW()))))</f>
        <v>1811</v>
      </c>
      <c r="AU841" s="126">
        <f ca="1">SUM(INDIRECT(AU$1&amp;AU$2&amp;$C841):INDIRECT(AU$1&amp;AU$3&amp;$C841))</f>
        <v>0</v>
      </c>
      <c r="AV841" s="3134">
        <f t="shared" ca="1" si="1258"/>
        <v>1811</v>
      </c>
      <c r="AW841" s="2787">
        <f t="shared" ca="1" si="1259"/>
        <v>0</v>
      </c>
      <c r="AX841" s="126">
        <f ca="1">SUM(INDIRECT(AX$1&amp;AX$2&amp;$A841):INDIRECT(AX$1&amp;AX$3&amp;$A841))+SUM(INDIRECT(AX$1&amp;AX$2&amp;$B841):INDIRECT(AX$1&amp;AX$3&amp;$B841))</f>
        <v>0</v>
      </c>
      <c r="AY841" s="3134">
        <f t="shared" ca="1" si="1260"/>
        <v>1811</v>
      </c>
      <c r="AZ841" s="2787">
        <f t="shared" ca="1" si="1261"/>
        <v>0</v>
      </c>
      <c r="BB841" s="126">
        <f ca="1">SUM((INDIRECT(BB$2&amp;(ROW())):INDIRECT(BB$3&amp;(ROW()))))</f>
        <v>4495.4930000000004</v>
      </c>
      <c r="BC841" s="126">
        <f ca="1">SUM(INDIRECT(BC$1&amp;BC$2&amp;$C841):INDIRECT(BC$1&amp;BC$3&amp;$C841))</f>
        <v>0</v>
      </c>
      <c r="BD841" s="3134">
        <f t="shared" ca="1" si="1262"/>
        <v>4495.4930000000004</v>
      </c>
      <c r="BE841" s="2787">
        <f t="shared" ca="1" si="1263"/>
        <v>0</v>
      </c>
      <c r="BF841" s="126">
        <f ca="1">SUM(INDIRECT(BF$1&amp;BF$2&amp;$A841):INDIRECT(BF$1&amp;BF$3&amp;$A841))+SUM(INDIRECT(BF$1&amp;BF$2&amp;$B841):INDIRECT(BF$1&amp;BF$3&amp;$B841))</f>
        <v>0</v>
      </c>
      <c r="BG841" s="3134">
        <f t="shared" ca="1" si="1264"/>
        <v>4495.4930000000004</v>
      </c>
      <c r="BH841" s="2787">
        <f t="shared" ca="1" si="1265"/>
        <v>0</v>
      </c>
    </row>
    <row r="842" spans="1:60" ht="14.5">
      <c r="A842" s="616">
        <f t="shared" si="1250"/>
        <v>765</v>
      </c>
      <c r="B842" s="616">
        <v>1</v>
      </c>
      <c r="C842" s="616">
        <f t="shared" si="1251"/>
        <v>839</v>
      </c>
      <c r="D842" s="709" t="s">
        <v>1308</v>
      </c>
      <c r="E842" s="2565" t="s">
        <v>1369</v>
      </c>
      <c r="F842" s="2566"/>
      <c r="G842" s="8"/>
      <c r="I842" s="223"/>
      <c r="J842" s="8" t="s">
        <v>1505</v>
      </c>
      <c r="Q842" s="1782" t="str">
        <f>CHOOSE(2, "6722000003761", "FC COGS Included in COGS [OFC(Service)]")</f>
        <v>FC COGS Included in COGS [OFC(Service)]</v>
      </c>
      <c r="R842" s="1226">
        <f t="shared" si="1283"/>
        <v>5046</v>
      </c>
      <c r="S842" s="1226">
        <f t="shared" si="1276"/>
        <v>4846</v>
      </c>
      <c r="T842" s="1226">
        <f t="shared" si="1276"/>
        <v>5084</v>
      </c>
      <c r="U842" s="1226">
        <f t="shared" si="1276"/>
        <v>4687</v>
      </c>
      <c r="V842" s="1226">
        <f t="shared" si="1276"/>
        <v>4799.5706499999997</v>
      </c>
      <c r="W842" s="1226">
        <f t="shared" si="1276"/>
        <v>4699</v>
      </c>
      <c r="X842" s="1226">
        <f t="shared" si="1276"/>
        <v>5130</v>
      </c>
      <c r="Y842" s="1226">
        <f t="shared" si="1276"/>
        <v>4875</v>
      </c>
      <c r="Z842" s="1226">
        <f t="shared" si="1276"/>
        <v>5110</v>
      </c>
      <c r="AA842" s="1226">
        <f t="shared" si="1276"/>
        <v>5256</v>
      </c>
      <c r="AB842" s="1226">
        <f t="shared" si="1276"/>
        <v>5351</v>
      </c>
      <c r="AC842" s="1226">
        <f t="shared" si="1276"/>
        <v>6013</v>
      </c>
      <c r="AD842" s="125">
        <f>SUM(R842,S842,T842)</f>
        <v>14976</v>
      </c>
      <c r="AE842" s="126">
        <f t="shared" si="1277"/>
        <v>14185.57065</v>
      </c>
      <c r="AF842" s="126">
        <f t="shared" si="1278"/>
        <v>15115</v>
      </c>
      <c r="AG842" s="126">
        <f t="shared" si="1279"/>
        <v>16620</v>
      </c>
      <c r="AH842" s="126">
        <f t="shared" si="1280"/>
        <v>29161.570650000001</v>
      </c>
      <c r="AI842" s="126">
        <f t="shared" si="1281"/>
        <v>31735</v>
      </c>
      <c r="AJ842" s="126">
        <f t="shared" si="1282"/>
        <v>60896.570650000001</v>
      </c>
      <c r="AL842" s="126">
        <f ca="1">SUM((INDIRECT(AL$2&amp;(ROW())):INDIRECT(AL$3&amp;(ROW()))))</f>
        <v>6013</v>
      </c>
      <c r="AM842" s="126">
        <f ca="1">SUM(INDIRECT(AM$1&amp;AM$2&amp;$C842):INDIRECT(AM$1&amp;AM$3&amp;$C842))</f>
        <v>0</v>
      </c>
      <c r="AN842" s="3134">
        <f t="shared" ca="1" si="1254"/>
        <v>6013</v>
      </c>
      <c r="AO842" s="2787">
        <f t="shared" ca="1" si="1255"/>
        <v>0</v>
      </c>
      <c r="AP842" s="126">
        <f ca="1">SUM(INDIRECT(AP$1&amp;AP$2&amp;$A842):INDIRECT(AP$1&amp;AP$3&amp;$A842))+SUM(INDIRECT(AP$1&amp;AP$2&amp;$B842):INDIRECT(AP$1&amp;AP$3&amp;$B842))</f>
        <v>0</v>
      </c>
      <c r="AQ842" s="3134">
        <f t="shared" ca="1" si="1256"/>
        <v>6013</v>
      </c>
      <c r="AR842" s="2787">
        <f t="shared" ca="1" si="1257"/>
        <v>0</v>
      </c>
      <c r="AT842" s="126">
        <f ca="1">SUM((INDIRECT(AT$2&amp;(ROW())):INDIRECT(AT$3&amp;(ROW()))))</f>
        <v>16620</v>
      </c>
      <c r="AU842" s="126">
        <f ca="1">SUM(INDIRECT(AU$1&amp;AU$2&amp;$C842):INDIRECT(AU$1&amp;AU$3&amp;$C842))</f>
        <v>0</v>
      </c>
      <c r="AV842" s="3134">
        <f t="shared" ca="1" si="1258"/>
        <v>16620</v>
      </c>
      <c r="AW842" s="2787">
        <f t="shared" ca="1" si="1259"/>
        <v>0</v>
      </c>
      <c r="AX842" s="126">
        <f ca="1">SUM(INDIRECT(AX$1&amp;AX$2&amp;$A842):INDIRECT(AX$1&amp;AX$3&amp;$A842))+SUM(INDIRECT(AX$1&amp;AX$2&amp;$B842):INDIRECT(AX$1&amp;AX$3&amp;$B842))</f>
        <v>0</v>
      </c>
      <c r="AY842" s="3134">
        <f t="shared" ca="1" si="1260"/>
        <v>16620</v>
      </c>
      <c r="AZ842" s="2787">
        <f t="shared" ca="1" si="1261"/>
        <v>0</v>
      </c>
      <c r="BB842" s="126">
        <f ca="1">SUM((INDIRECT(BB$2&amp;(ROW())):INDIRECT(BB$3&amp;(ROW()))))</f>
        <v>60896.570650000001</v>
      </c>
      <c r="BC842" s="126">
        <f ca="1">SUM(INDIRECT(BC$1&amp;BC$2&amp;$C842):INDIRECT(BC$1&amp;BC$3&amp;$C842))</f>
        <v>0</v>
      </c>
      <c r="BD842" s="3134">
        <f t="shared" ca="1" si="1262"/>
        <v>60896.570650000001</v>
      </c>
      <c r="BE842" s="2787">
        <f t="shared" ca="1" si="1263"/>
        <v>0</v>
      </c>
      <c r="BF842" s="126">
        <f ca="1">SUM(INDIRECT(BF$1&amp;BF$2&amp;$A842):INDIRECT(BF$1&amp;BF$3&amp;$A842))+SUM(INDIRECT(BF$1&amp;BF$2&amp;$B842):INDIRECT(BF$1&amp;BF$3&amp;$B842))</f>
        <v>0</v>
      </c>
      <c r="BG842" s="3134">
        <f t="shared" ca="1" si="1264"/>
        <v>60896.570650000001</v>
      </c>
      <c r="BH842" s="2787">
        <f t="shared" ca="1" si="1265"/>
        <v>0</v>
      </c>
    </row>
    <row r="843" spans="1:60" ht="14.5">
      <c r="A843" s="616">
        <f t="shared" si="1250"/>
        <v>766</v>
      </c>
      <c r="B843" s="616">
        <v>1</v>
      </c>
      <c r="C843" s="616">
        <f t="shared" si="1251"/>
        <v>840</v>
      </c>
      <c r="D843" s="709" t="s">
        <v>1308</v>
      </c>
      <c r="E843" s="2565" t="s">
        <v>1369</v>
      </c>
      <c r="F843" s="2566"/>
      <c r="G843" s="8"/>
      <c r="I843" s="223"/>
      <c r="J843" s="285" t="s">
        <v>1506</v>
      </c>
      <c r="K843" s="1034"/>
      <c r="L843" s="1034"/>
      <c r="M843" s="285"/>
      <c r="N843" s="285"/>
      <c r="O843" s="285"/>
      <c r="P843" s="285"/>
      <c r="Q843" s="1782" t="str">
        <f>CHOOSE(2, "6722000003762", "FC COGS Included in COGS [D&amp;A]")</f>
        <v>FC COGS Included in COGS [D&amp;A]</v>
      </c>
      <c r="R843" s="1248">
        <f t="shared" si="1283"/>
        <v>0</v>
      </c>
      <c r="S843" s="1248">
        <f t="shared" si="1276"/>
        <v>0</v>
      </c>
      <c r="T843" s="1248">
        <f t="shared" si="1276"/>
        <v>0</v>
      </c>
      <c r="U843" s="1248">
        <f t="shared" si="1276"/>
        <v>0</v>
      </c>
      <c r="V843" s="1248">
        <f t="shared" si="1276"/>
        <v>0</v>
      </c>
      <c r="W843" s="1248">
        <f t="shared" si="1276"/>
        <v>0</v>
      </c>
      <c r="X843" s="1248">
        <f t="shared" si="1276"/>
        <v>0</v>
      </c>
      <c r="Y843" s="1248">
        <f t="shared" si="1276"/>
        <v>0</v>
      </c>
      <c r="Z843" s="1248">
        <f t="shared" si="1276"/>
        <v>0</v>
      </c>
      <c r="AA843" s="1248">
        <f t="shared" si="1276"/>
        <v>0</v>
      </c>
      <c r="AB843" s="1248">
        <f t="shared" si="1276"/>
        <v>0</v>
      </c>
      <c r="AC843" s="1248">
        <f t="shared" si="1276"/>
        <v>0</v>
      </c>
      <c r="AD843" s="1035">
        <f>SUM(R843,S843,T843)</f>
        <v>0</v>
      </c>
      <c r="AE843" s="975">
        <f t="shared" si="1277"/>
        <v>0</v>
      </c>
      <c r="AF843" s="975">
        <f t="shared" si="1278"/>
        <v>0</v>
      </c>
      <c r="AG843" s="975">
        <f t="shared" si="1279"/>
        <v>0</v>
      </c>
      <c r="AH843" s="975">
        <f t="shared" si="1280"/>
        <v>0</v>
      </c>
      <c r="AI843" s="975">
        <f t="shared" si="1281"/>
        <v>0</v>
      </c>
      <c r="AJ843" s="975">
        <f t="shared" si="1282"/>
        <v>0</v>
      </c>
      <c r="AL843" s="123">
        <f ca="1">SUM((INDIRECT(AL$2&amp;(ROW())):INDIRECT(AL$3&amp;(ROW()))))</f>
        <v>0</v>
      </c>
      <c r="AM843" s="123">
        <f ca="1">SUM(INDIRECT(AM$1&amp;AM$2&amp;$C843):INDIRECT(AM$1&amp;AM$3&amp;$C843))</f>
        <v>0</v>
      </c>
      <c r="AN843" s="3081">
        <f t="shared" ca="1" si="1254"/>
        <v>0</v>
      </c>
      <c r="AO843" s="2716">
        <f t="shared" ca="1" si="1255"/>
        <v>0</v>
      </c>
      <c r="AP843" s="123">
        <f ca="1">SUM(INDIRECT(AP$1&amp;AP$2&amp;$A843):INDIRECT(AP$1&amp;AP$3&amp;$A843))+SUM(INDIRECT(AP$1&amp;AP$2&amp;$B843):INDIRECT(AP$1&amp;AP$3&amp;$B843))</f>
        <v>843</v>
      </c>
      <c r="AQ843" s="3081">
        <f t="shared" ca="1" si="1256"/>
        <v>-843</v>
      </c>
      <c r="AR843" s="2716">
        <f t="shared" ca="1" si="1257"/>
        <v>0</v>
      </c>
      <c r="AT843" s="123">
        <f ca="1">SUM((INDIRECT(AT$2&amp;(ROW())):INDIRECT(AT$3&amp;(ROW()))))</f>
        <v>0</v>
      </c>
      <c r="AU843" s="123">
        <f ca="1">SUM(INDIRECT(AU$1&amp;AU$2&amp;$C843):INDIRECT(AU$1&amp;AU$3&amp;$C843))</f>
        <v>0</v>
      </c>
      <c r="AV843" s="3081">
        <f t="shared" ca="1" si="1258"/>
        <v>0</v>
      </c>
      <c r="AW843" s="2716">
        <f t="shared" ca="1" si="1259"/>
        <v>0</v>
      </c>
      <c r="AX843" s="123">
        <f ca="1">SUM(INDIRECT(AX$1&amp;AX$2&amp;$A843):INDIRECT(AX$1&amp;AX$3&amp;$A843))+SUM(INDIRECT(AX$1&amp;AX$2&amp;$B843):INDIRECT(AX$1&amp;AX$3&amp;$B843))</f>
        <v>887</v>
      </c>
      <c r="AY843" s="3081">
        <f t="shared" ca="1" si="1260"/>
        <v>-887</v>
      </c>
      <c r="AZ843" s="2716">
        <f t="shared" ca="1" si="1261"/>
        <v>0</v>
      </c>
      <c r="BB843" s="123">
        <f ca="1">SUM((INDIRECT(BB$2&amp;(ROW())):INDIRECT(BB$3&amp;(ROW()))))</f>
        <v>0</v>
      </c>
      <c r="BC843" s="123">
        <f ca="1">SUM(INDIRECT(BC$1&amp;BC$2&amp;$C843):INDIRECT(BC$1&amp;BC$3&amp;$C843))</f>
        <v>0</v>
      </c>
      <c r="BD843" s="3081">
        <f t="shared" ca="1" si="1262"/>
        <v>0</v>
      </c>
      <c r="BE843" s="2716">
        <f t="shared" ca="1" si="1263"/>
        <v>0</v>
      </c>
      <c r="BF843" s="123">
        <f ca="1">SUM(INDIRECT(BF$1&amp;BF$2&amp;$A843):INDIRECT(BF$1&amp;BF$3&amp;$A843))+SUM(INDIRECT(BF$1&amp;BF$2&amp;$B843):INDIRECT(BF$1&amp;BF$3&amp;$B843))</f>
        <v>6658</v>
      </c>
      <c r="BG843" s="3081">
        <f t="shared" ca="1" si="1264"/>
        <v>-6658</v>
      </c>
      <c r="BH843" s="2716">
        <f t="shared" ca="1" si="1265"/>
        <v>0</v>
      </c>
    </row>
    <row r="844" spans="1:60" s="69" customFormat="1" ht="14.5">
      <c r="A844" s="616">
        <f>A838+1</f>
        <v>762</v>
      </c>
      <c r="B844" s="616">
        <v>1</v>
      </c>
      <c r="C844" s="616">
        <f t="shared" si="1251"/>
        <v>841</v>
      </c>
      <c r="D844" s="709" t="s">
        <v>1308</v>
      </c>
      <c r="E844" s="2547">
        <v>1</v>
      </c>
      <c r="F844" s="8"/>
      <c r="G844" s="8"/>
      <c r="H844" s="22"/>
      <c r="I844" s="223"/>
      <c r="J844" s="1036" t="s">
        <v>1508</v>
      </c>
      <c r="K844" s="1037"/>
      <c r="L844" s="1037"/>
      <c r="M844" s="1037"/>
      <c r="N844" s="1037"/>
      <c r="O844" s="1037"/>
      <c r="P844" s="1038"/>
      <c r="Q844" s="1813" t="str">
        <f>CHOOSE(2, "6722000003763", "FC COGS (1)-1. Office")</f>
        <v>FC COGS (1)-1. Office</v>
      </c>
      <c r="R844" s="1444">
        <f>SUM(R845:R848)</f>
        <v>7547</v>
      </c>
      <c r="S844" s="1444">
        <f t="shared" ref="S844:AJ844" si="1284">SUM(S845:S848)</f>
        <v>7821</v>
      </c>
      <c r="T844" s="1444">
        <f t="shared" si="1284"/>
        <v>7933</v>
      </c>
      <c r="U844" s="1444">
        <f t="shared" si="1284"/>
        <v>7742</v>
      </c>
      <c r="V844" s="1444">
        <f t="shared" si="1284"/>
        <v>7506.5874735241305</v>
      </c>
      <c r="W844" s="1444">
        <f t="shared" si="1284"/>
        <v>7541</v>
      </c>
      <c r="X844" s="1444">
        <f t="shared" si="1284"/>
        <v>11688</v>
      </c>
      <c r="Y844" s="1444">
        <f t="shared" si="1284"/>
        <v>7345</v>
      </c>
      <c r="Z844" s="1444">
        <f t="shared" si="1284"/>
        <v>7725</v>
      </c>
      <c r="AA844" s="1444">
        <f t="shared" si="1284"/>
        <v>7908</v>
      </c>
      <c r="AB844" s="1444">
        <f t="shared" si="1284"/>
        <v>8142</v>
      </c>
      <c r="AC844" s="1444">
        <f t="shared" si="1284"/>
        <v>8840</v>
      </c>
      <c r="AD844" s="1033">
        <f t="shared" si="1284"/>
        <v>23301</v>
      </c>
      <c r="AE844" s="1444">
        <f t="shared" si="1284"/>
        <v>22789.58747352413</v>
      </c>
      <c r="AF844" s="1444">
        <f t="shared" si="1284"/>
        <v>26758</v>
      </c>
      <c r="AG844" s="1444">
        <f t="shared" si="1284"/>
        <v>24890</v>
      </c>
      <c r="AH844" s="1444">
        <f t="shared" si="1284"/>
        <v>46090.58747352413</v>
      </c>
      <c r="AI844" s="1444">
        <f t="shared" si="1284"/>
        <v>51648</v>
      </c>
      <c r="AJ844" s="1444">
        <f t="shared" si="1284"/>
        <v>97738.587473524123</v>
      </c>
      <c r="AL844" s="3283">
        <f ca="1">SUM((INDIRECT(AL$2&amp;(ROW())):INDIRECT(AL$3&amp;(ROW()))))</f>
        <v>8840</v>
      </c>
      <c r="AM844" s="3283">
        <f ca="1">SUM(INDIRECT(AM$1&amp;AM$2&amp;$C844):INDIRECT(AM$1&amp;AM$3&amp;$C844))</f>
        <v>0</v>
      </c>
      <c r="AN844" s="3284">
        <f t="shared" ca="1" si="1254"/>
        <v>8840</v>
      </c>
      <c r="AO844" s="2937">
        <f t="shared" ca="1" si="1255"/>
        <v>0</v>
      </c>
      <c r="AP844" s="3283">
        <f ca="1">SUM(INDIRECT(AP$1&amp;AP$2&amp;$A844):INDIRECT(AP$1&amp;AP$3&amp;$A844))+SUM(INDIRECT(AP$1&amp;AP$2&amp;$B844):INDIRECT(AP$1&amp;AP$3&amp;$B844))</f>
        <v>0</v>
      </c>
      <c r="AQ844" s="3284">
        <f t="shared" ca="1" si="1256"/>
        <v>8840</v>
      </c>
      <c r="AR844" s="2937">
        <f t="shared" ca="1" si="1257"/>
        <v>0</v>
      </c>
      <c r="AT844" s="3283">
        <f ca="1">SUM((INDIRECT(AT$2&amp;(ROW())):INDIRECT(AT$3&amp;(ROW()))))</f>
        <v>24890</v>
      </c>
      <c r="AU844" s="3283">
        <f ca="1">SUM(INDIRECT(AU$1&amp;AU$2&amp;$C844):INDIRECT(AU$1&amp;AU$3&amp;$C844))</f>
        <v>0</v>
      </c>
      <c r="AV844" s="3284">
        <f t="shared" ca="1" si="1258"/>
        <v>24890</v>
      </c>
      <c r="AW844" s="2937">
        <f t="shared" ca="1" si="1259"/>
        <v>0</v>
      </c>
      <c r="AX844" s="3283">
        <f ca="1">SUM(INDIRECT(AX$1&amp;AX$2&amp;$A844):INDIRECT(AX$1&amp;AX$3&amp;$A844))+SUM(INDIRECT(AX$1&amp;AX$2&amp;$B844):INDIRECT(AX$1&amp;AX$3&amp;$B844))</f>
        <v>0</v>
      </c>
      <c r="AY844" s="3284">
        <f t="shared" ca="1" si="1260"/>
        <v>24890</v>
      </c>
      <c r="AZ844" s="2937">
        <f t="shared" ca="1" si="1261"/>
        <v>0</v>
      </c>
      <c r="BB844" s="3283">
        <f ca="1">SUM((INDIRECT(BB$2&amp;(ROW())):INDIRECT(BB$3&amp;(ROW()))))</f>
        <v>97738.587473524123</v>
      </c>
      <c r="BC844" s="3283">
        <f ca="1">SUM(INDIRECT(BC$1&amp;BC$2&amp;$C844):INDIRECT(BC$1&amp;BC$3&amp;$C844))</f>
        <v>0</v>
      </c>
      <c r="BD844" s="3284">
        <f t="shared" ca="1" si="1262"/>
        <v>97738.587473524123</v>
      </c>
      <c r="BE844" s="2937">
        <f t="shared" ca="1" si="1263"/>
        <v>0</v>
      </c>
      <c r="BF844" s="3283">
        <f ca="1">SUM(INDIRECT(BF$1&amp;BF$2&amp;$A844):INDIRECT(BF$1&amp;BF$3&amp;$A844))+SUM(INDIRECT(BF$1&amp;BF$2&amp;$B844):INDIRECT(BF$1&amp;BF$3&amp;$B844))</f>
        <v>0</v>
      </c>
      <c r="BG844" s="3284">
        <f t="shared" ca="1" si="1264"/>
        <v>97738.587473524123</v>
      </c>
      <c r="BH844" s="2937">
        <f t="shared" ca="1" si="1265"/>
        <v>0</v>
      </c>
    </row>
    <row r="845" spans="1:60" ht="14.5">
      <c r="A845" s="616">
        <f t="shared" si="1250"/>
        <v>763</v>
      </c>
      <c r="B845" s="616">
        <v>1</v>
      </c>
      <c r="C845" s="616">
        <f t="shared" si="1251"/>
        <v>842</v>
      </c>
      <c r="D845" s="709" t="s">
        <v>1308</v>
      </c>
      <c r="E845" s="2547">
        <v>1</v>
      </c>
      <c r="F845" s="8"/>
      <c r="G845" s="8"/>
      <c r="I845" s="223"/>
      <c r="J845" s="1039"/>
      <c r="K845" s="8" t="s">
        <v>595</v>
      </c>
      <c r="L845" s="8"/>
      <c r="P845" s="1219"/>
      <c r="Q845" s="1777" t="str">
        <f>CHOOSE(2, "6722000003764", "FC COGS (1)-1. Office Included in COGS [PC(Service)]")</f>
        <v>FC COGS (1)-1. Office Included in COGS [PC(Service)]</v>
      </c>
      <c r="R845" s="17">
        <f t="shared" ref="R845:AC845" si="1285">(R502+R506+R526+R530)*-1</f>
        <v>2501</v>
      </c>
      <c r="S845" s="17">
        <f t="shared" si="1285"/>
        <v>2798</v>
      </c>
      <c r="T845" s="17">
        <f t="shared" si="1285"/>
        <v>2514</v>
      </c>
      <c r="U845" s="17">
        <f t="shared" si="1285"/>
        <v>2743</v>
      </c>
      <c r="V845" s="17">
        <f t="shared" si="1285"/>
        <v>2407.5238235241304</v>
      </c>
      <c r="W845" s="17">
        <f t="shared" si="1285"/>
        <v>2373</v>
      </c>
      <c r="X845" s="17">
        <f t="shared" si="1285"/>
        <v>6071</v>
      </c>
      <c r="Y845" s="17">
        <f t="shared" si="1285"/>
        <v>2214</v>
      </c>
      <c r="Z845" s="17">
        <f t="shared" si="1285"/>
        <v>2266</v>
      </c>
      <c r="AA845" s="17">
        <f t="shared" si="1285"/>
        <v>2263</v>
      </c>
      <c r="AB845" s="17">
        <f t="shared" si="1285"/>
        <v>2279</v>
      </c>
      <c r="AC845" s="17">
        <f t="shared" si="1285"/>
        <v>1917</v>
      </c>
      <c r="AD845" s="125">
        <f>SUM(R845,S845,T845)</f>
        <v>7813</v>
      </c>
      <c r="AE845" s="126">
        <f t="shared" ref="AE845:AE848" si="1286">SUM(U845,V845,W845)</f>
        <v>7523.5238235241304</v>
      </c>
      <c r="AF845" s="126">
        <f t="shared" ref="AF845:AF848" si="1287">SUM(X845,Y845,Z845)</f>
        <v>10551</v>
      </c>
      <c r="AG845" s="126">
        <f t="shared" ref="AG845:AG848" si="1288">SUM(AA845,AB845,AC845)</f>
        <v>6459</v>
      </c>
      <c r="AH845" s="126">
        <f t="shared" ref="AH845:AH848" si="1289">AD845+AE845</f>
        <v>15336.52382352413</v>
      </c>
      <c r="AI845" s="126">
        <f t="shared" ref="AI845:AI848" si="1290">AG845+AF845</f>
        <v>17010</v>
      </c>
      <c r="AJ845" s="126">
        <f t="shared" ref="AJ845:AJ848" si="1291">AH845+AI845</f>
        <v>32346.52382352413</v>
      </c>
      <c r="AL845" s="126">
        <f ca="1">SUM((INDIRECT(AL$2&amp;(ROW())):INDIRECT(AL$3&amp;(ROW()))))</f>
        <v>1917</v>
      </c>
      <c r="AM845" s="126">
        <f ca="1">SUM(INDIRECT(AM$1&amp;AM$2&amp;$C845):INDIRECT(AM$1&amp;AM$3&amp;$C845))</f>
        <v>28835.300000000003</v>
      </c>
      <c r="AN845" s="3134">
        <f t="shared" ca="1" si="1254"/>
        <v>-26918.300000000003</v>
      </c>
      <c r="AO845" s="2787">
        <f t="shared" ca="1" si="1255"/>
        <v>6.6481014589756304E-2</v>
      </c>
      <c r="AP845" s="126">
        <f ca="1">SUM(INDIRECT(AP$1&amp;AP$2&amp;$A845):INDIRECT(AP$1&amp;AP$3&amp;$A845))+SUM(INDIRECT(AP$1&amp;AP$2&amp;$B845):INDIRECT(AP$1&amp;AP$3&amp;$B845))</f>
        <v>0</v>
      </c>
      <c r="AQ845" s="3134">
        <f t="shared" ca="1" si="1256"/>
        <v>1917</v>
      </c>
      <c r="AR845" s="2787">
        <f t="shared" ca="1" si="1257"/>
        <v>0</v>
      </c>
      <c r="AT845" s="126">
        <f ca="1">SUM((INDIRECT(AT$2&amp;(ROW())):INDIRECT(AT$3&amp;(ROW()))))</f>
        <v>6459</v>
      </c>
      <c r="AU845" s="126">
        <f ca="1">SUM(INDIRECT(AU$1&amp;AU$2&amp;$C845):INDIRECT(AU$1&amp;AU$3&amp;$C845))</f>
        <v>85716.933333333334</v>
      </c>
      <c r="AV845" s="3134">
        <f t="shared" ca="1" si="1258"/>
        <v>-79257.933333333334</v>
      </c>
      <c r="AW845" s="2787">
        <f t="shared" ca="1" si="1259"/>
        <v>7.5352672439673529E-2</v>
      </c>
      <c r="AX845" s="126">
        <f ca="1">SUM(INDIRECT(AX$1&amp;AX$2&amp;$A845):INDIRECT(AX$1&amp;AX$3&amp;$A845))+SUM(INDIRECT(AX$1&amp;AX$2&amp;$B845):INDIRECT(AX$1&amp;AX$3&amp;$B845))</f>
        <v>0</v>
      </c>
      <c r="AY845" s="3134">
        <f t="shared" ca="1" si="1260"/>
        <v>6459</v>
      </c>
      <c r="AZ845" s="2787">
        <f t="shared" ca="1" si="1261"/>
        <v>0</v>
      </c>
      <c r="BB845" s="126">
        <f ca="1">SUM((INDIRECT(BB$2&amp;(ROW())):INDIRECT(BB$3&amp;(ROW()))))</f>
        <v>32346.52382352413</v>
      </c>
      <c r="BC845" s="126">
        <f ca="1">SUM(INDIRECT(BC$1&amp;BC$2&amp;$C845):INDIRECT(BC$1&amp;BC$3&amp;$C845))</f>
        <v>141809.60000000001</v>
      </c>
      <c r="BD845" s="3134">
        <f t="shared" ca="1" si="1262"/>
        <v>-109463.07617647588</v>
      </c>
      <c r="BE845" s="2787">
        <f t="shared" ca="1" si="1263"/>
        <v>0.22809826572759623</v>
      </c>
      <c r="BF845" s="126">
        <f ca="1">SUM(INDIRECT(BF$1&amp;BF$2&amp;$A845):INDIRECT(BF$1&amp;BF$3&amp;$A845))+SUM(INDIRECT(BF$1&amp;BF$2&amp;$B845):INDIRECT(BF$1&amp;BF$3&amp;$B845))</f>
        <v>0</v>
      </c>
      <c r="BG845" s="3134">
        <f t="shared" ca="1" si="1264"/>
        <v>32346.52382352413</v>
      </c>
      <c r="BH845" s="2787">
        <f t="shared" ca="1" si="1265"/>
        <v>0</v>
      </c>
    </row>
    <row r="846" spans="1:60" ht="14.5">
      <c r="A846" s="616">
        <f t="shared" si="1250"/>
        <v>764</v>
      </c>
      <c r="B846" s="616">
        <v>1</v>
      </c>
      <c r="C846" s="616">
        <f t="shared" si="1251"/>
        <v>843</v>
      </c>
      <c r="D846" s="709" t="s">
        <v>1308</v>
      </c>
      <c r="E846" s="2547">
        <v>1</v>
      </c>
      <c r="F846" s="8"/>
      <c r="G846" s="8"/>
      <c r="I846" s="223"/>
      <c r="J846" s="1039"/>
      <c r="K846" s="8" t="s">
        <v>596</v>
      </c>
      <c r="L846" s="8"/>
      <c r="P846" s="1219"/>
      <c r="Q846" s="1777" t="str">
        <f>CHOOSE(2, "6722000003765", "FC COGS (1)-1. Office Included in COGS [TE(Service)]")</f>
        <v>FC COGS (1)-1. Office Included in COGS [TE(Service)]</v>
      </c>
      <c r="R846" s="17">
        <f t="shared" ref="R846:AC846" si="1292">(R503+R527)*-1</f>
        <v>0</v>
      </c>
      <c r="S846" s="17">
        <f t="shared" si="1292"/>
        <v>177</v>
      </c>
      <c r="T846" s="17">
        <f t="shared" si="1292"/>
        <v>335</v>
      </c>
      <c r="U846" s="17">
        <f t="shared" si="1292"/>
        <v>312</v>
      </c>
      <c r="V846" s="17">
        <f t="shared" si="1292"/>
        <v>299.49299999999999</v>
      </c>
      <c r="W846" s="17">
        <f t="shared" si="1292"/>
        <v>469</v>
      </c>
      <c r="X846" s="17">
        <f t="shared" si="1292"/>
        <v>487</v>
      </c>
      <c r="Y846" s="17">
        <f t="shared" si="1292"/>
        <v>256</v>
      </c>
      <c r="Z846" s="17">
        <f t="shared" si="1292"/>
        <v>349</v>
      </c>
      <c r="AA846" s="17">
        <f t="shared" si="1292"/>
        <v>389</v>
      </c>
      <c r="AB846" s="17">
        <f t="shared" si="1292"/>
        <v>512</v>
      </c>
      <c r="AC846" s="17">
        <f t="shared" si="1292"/>
        <v>910</v>
      </c>
      <c r="AD846" s="125">
        <f>SUM(R846,S846,T846)</f>
        <v>512</v>
      </c>
      <c r="AE846" s="126">
        <f t="shared" si="1286"/>
        <v>1080.4929999999999</v>
      </c>
      <c r="AF846" s="126">
        <f t="shared" si="1287"/>
        <v>1092</v>
      </c>
      <c r="AG846" s="126">
        <f t="shared" si="1288"/>
        <v>1811</v>
      </c>
      <c r="AH846" s="126">
        <f t="shared" si="1289"/>
        <v>1592.4929999999999</v>
      </c>
      <c r="AI846" s="126">
        <f t="shared" si="1290"/>
        <v>2903</v>
      </c>
      <c r="AJ846" s="126">
        <f t="shared" si="1291"/>
        <v>4495.4930000000004</v>
      </c>
      <c r="AL846" s="126">
        <f ca="1">SUM((INDIRECT(AL$2&amp;(ROW())):INDIRECT(AL$3&amp;(ROW()))))</f>
        <v>910</v>
      </c>
      <c r="AM846" s="126">
        <f ca="1">SUM(INDIRECT(AM$1&amp;AM$2&amp;$C846):INDIRECT(AM$1&amp;AM$3&amp;$C846))</f>
        <v>19850.666666666672</v>
      </c>
      <c r="AN846" s="3134">
        <f t="shared" ca="1" si="1254"/>
        <v>-18940.666666666672</v>
      </c>
      <c r="AO846" s="2787">
        <f t="shared" ca="1" si="1255"/>
        <v>4.584228909188607E-2</v>
      </c>
      <c r="AP846" s="126">
        <f ca="1">SUM(INDIRECT(AP$1&amp;AP$2&amp;$A846):INDIRECT(AP$1&amp;AP$3&amp;$A846))+SUM(INDIRECT(AP$1&amp;AP$2&amp;$B846):INDIRECT(AP$1&amp;AP$3&amp;$B846))</f>
        <v>0</v>
      </c>
      <c r="AQ846" s="3134">
        <f t="shared" ca="1" si="1256"/>
        <v>910</v>
      </c>
      <c r="AR846" s="2787">
        <f t="shared" ca="1" si="1257"/>
        <v>0</v>
      </c>
      <c r="AT846" s="126">
        <f ca="1">SUM((INDIRECT(AT$2&amp;(ROW())):INDIRECT(AT$3&amp;(ROW()))))</f>
        <v>1811</v>
      </c>
      <c r="AU846" s="126">
        <f ca="1">SUM(INDIRECT(AU$1&amp;AU$2&amp;$C846):INDIRECT(AU$1&amp;AU$3&amp;$C846))</f>
        <v>58719.80000000001</v>
      </c>
      <c r="AV846" s="3134">
        <f t="shared" ca="1" si="1258"/>
        <v>-56908.80000000001</v>
      </c>
      <c r="AW846" s="2787">
        <f t="shared" ca="1" si="1259"/>
        <v>3.0841385699542569E-2</v>
      </c>
      <c r="AX846" s="126">
        <f ca="1">SUM(INDIRECT(AX$1&amp;AX$2&amp;$A846):INDIRECT(AX$1&amp;AX$3&amp;$A846))+SUM(INDIRECT(AX$1&amp;AX$2&amp;$B846):INDIRECT(AX$1&amp;AX$3&amp;$B846))</f>
        <v>0</v>
      </c>
      <c r="AY846" s="3134">
        <f t="shared" ca="1" si="1260"/>
        <v>1811</v>
      </c>
      <c r="AZ846" s="2787">
        <f t="shared" ca="1" si="1261"/>
        <v>0</v>
      </c>
      <c r="BB846" s="126">
        <f ca="1">SUM((INDIRECT(BB$2&amp;(ROW())):INDIRECT(BB$3&amp;(ROW()))))</f>
        <v>4495.4930000000004</v>
      </c>
      <c r="BC846" s="126">
        <f ca="1">SUM(INDIRECT(BC$1&amp;BC$2&amp;$C846):INDIRECT(BC$1&amp;BC$3&amp;$C846))</f>
        <v>96756.733333333352</v>
      </c>
      <c r="BD846" s="3134">
        <f t="shared" ca="1" si="1262"/>
        <v>-92261.24033333335</v>
      </c>
      <c r="BE846" s="2787">
        <f t="shared" ca="1" si="1263"/>
        <v>4.6461810409749255E-2</v>
      </c>
      <c r="BF846" s="126">
        <f ca="1">SUM(INDIRECT(BF$1&amp;BF$2&amp;$A846):INDIRECT(BF$1&amp;BF$3&amp;$A846))+SUM(INDIRECT(BF$1&amp;BF$2&amp;$B846):INDIRECT(BF$1&amp;BF$3&amp;$B846))</f>
        <v>0</v>
      </c>
      <c r="BG846" s="3134">
        <f t="shared" ca="1" si="1264"/>
        <v>4495.4930000000004</v>
      </c>
      <c r="BH846" s="2787">
        <f t="shared" ca="1" si="1265"/>
        <v>0</v>
      </c>
    </row>
    <row r="847" spans="1:60" ht="14.5">
      <c r="A847" s="616">
        <f t="shared" si="1250"/>
        <v>765</v>
      </c>
      <c r="B847" s="616">
        <v>1</v>
      </c>
      <c r="C847" s="616">
        <f t="shared" si="1251"/>
        <v>844</v>
      </c>
      <c r="D847" s="709" t="s">
        <v>1308</v>
      </c>
      <c r="E847" s="2547">
        <v>1</v>
      </c>
      <c r="F847" s="8"/>
      <c r="G847" s="8"/>
      <c r="I847" s="223"/>
      <c r="J847" s="1039"/>
      <c r="K847" s="8" t="s">
        <v>597</v>
      </c>
      <c r="P847" s="1219"/>
      <c r="Q847" s="1782" t="str">
        <f>CHOOSE(2, "6722000003766", "FC COGS (1)-1. Office Included in COGS [OFC(Service)]")</f>
        <v>FC COGS (1)-1. Office Included in COGS [OFC(Service)]</v>
      </c>
      <c r="R847" s="1226">
        <f t="shared" ref="R847:AC847" si="1293">(R504+R507+R528+R531)*-1</f>
        <v>5046</v>
      </c>
      <c r="S847" s="1226">
        <f t="shared" si="1293"/>
        <v>4846</v>
      </c>
      <c r="T847" s="1226">
        <f t="shared" si="1293"/>
        <v>5084</v>
      </c>
      <c r="U847" s="1226">
        <f t="shared" si="1293"/>
        <v>4687</v>
      </c>
      <c r="V847" s="1226">
        <f t="shared" si="1293"/>
        <v>4799.5706499999997</v>
      </c>
      <c r="W847" s="1226">
        <f t="shared" si="1293"/>
        <v>4699</v>
      </c>
      <c r="X847" s="1226">
        <f t="shared" si="1293"/>
        <v>5130</v>
      </c>
      <c r="Y847" s="1226">
        <f t="shared" si="1293"/>
        <v>4875</v>
      </c>
      <c r="Z847" s="1226">
        <f t="shared" si="1293"/>
        <v>5110</v>
      </c>
      <c r="AA847" s="1226">
        <f t="shared" si="1293"/>
        <v>5256</v>
      </c>
      <c r="AB847" s="1226">
        <f t="shared" si="1293"/>
        <v>5351</v>
      </c>
      <c r="AC847" s="1226">
        <f t="shared" si="1293"/>
        <v>6013</v>
      </c>
      <c r="AD847" s="125">
        <f>SUM(R847,S847,T847)</f>
        <v>14976</v>
      </c>
      <c r="AE847" s="126">
        <f t="shared" si="1286"/>
        <v>14185.57065</v>
      </c>
      <c r="AF847" s="126">
        <f t="shared" si="1287"/>
        <v>15115</v>
      </c>
      <c r="AG847" s="126">
        <f t="shared" si="1288"/>
        <v>16620</v>
      </c>
      <c r="AH847" s="126">
        <f t="shared" si="1289"/>
        <v>29161.570650000001</v>
      </c>
      <c r="AI847" s="126">
        <f t="shared" si="1290"/>
        <v>31735</v>
      </c>
      <c r="AJ847" s="126">
        <f t="shared" si="1291"/>
        <v>60896.570650000001</v>
      </c>
      <c r="AL847" s="126">
        <f ca="1">SUM((INDIRECT(AL$2&amp;(ROW())):INDIRECT(AL$3&amp;(ROW()))))</f>
        <v>6013</v>
      </c>
      <c r="AM847" s="126">
        <f ca="1">SUM(INDIRECT(AM$1&amp;AM$2&amp;$C847):INDIRECT(AM$1&amp;AM$3&amp;$C847))</f>
        <v>3263.3333333333335</v>
      </c>
      <c r="AN847" s="3134">
        <f t="shared" ca="1" si="1254"/>
        <v>2749.6666666666665</v>
      </c>
      <c r="AO847" s="2787">
        <f t="shared" ca="1" si="1255"/>
        <v>1.8425944841675177</v>
      </c>
      <c r="AP847" s="126">
        <f ca="1">SUM(INDIRECT(AP$1&amp;AP$2&amp;$A847):INDIRECT(AP$1&amp;AP$3&amp;$A847))+SUM(INDIRECT(AP$1&amp;AP$2&amp;$B847):INDIRECT(AP$1&amp;AP$3&amp;$B847))</f>
        <v>0</v>
      </c>
      <c r="AQ847" s="3134">
        <f t="shared" ca="1" si="1256"/>
        <v>6013</v>
      </c>
      <c r="AR847" s="2787">
        <f t="shared" ca="1" si="1257"/>
        <v>0</v>
      </c>
      <c r="AT847" s="126">
        <f ca="1">SUM((INDIRECT(AT$2&amp;(ROW())):INDIRECT(AT$3&amp;(ROW()))))</f>
        <v>16620</v>
      </c>
      <c r="AU847" s="126">
        <f ca="1">SUM(INDIRECT(AU$1&amp;AU$2&amp;$C847):INDIRECT(AU$1&amp;AU$3&amp;$C847))</f>
        <v>9780</v>
      </c>
      <c r="AV847" s="3134">
        <f t="shared" ca="1" si="1258"/>
        <v>6840</v>
      </c>
      <c r="AW847" s="2787">
        <f t="shared" ca="1" si="1259"/>
        <v>1.6993865030674846</v>
      </c>
      <c r="AX847" s="126">
        <f ca="1">SUM(INDIRECT(AX$1&amp;AX$2&amp;$A847):INDIRECT(AX$1&amp;AX$3&amp;$A847))+SUM(INDIRECT(AX$1&amp;AX$2&amp;$B847):INDIRECT(AX$1&amp;AX$3&amp;$B847))</f>
        <v>0</v>
      </c>
      <c r="AY847" s="3134">
        <f t="shared" ca="1" si="1260"/>
        <v>16620</v>
      </c>
      <c r="AZ847" s="2787">
        <f t="shared" ca="1" si="1261"/>
        <v>0</v>
      </c>
      <c r="BB847" s="126">
        <f ca="1">SUM((INDIRECT(BB$2&amp;(ROW())):INDIRECT(BB$3&amp;(ROW()))))</f>
        <v>60896.570650000001</v>
      </c>
      <c r="BC847" s="126">
        <f ca="1">SUM(INDIRECT(BC$1&amp;BC$2&amp;$C847):INDIRECT(BC$1&amp;BC$3&amp;$C847))</f>
        <v>16286.666666666668</v>
      </c>
      <c r="BD847" s="3134">
        <f t="shared" ca="1" si="1262"/>
        <v>44609.903983333337</v>
      </c>
      <c r="BE847" s="2787">
        <f t="shared" ca="1" si="1263"/>
        <v>3.7390444525173963</v>
      </c>
      <c r="BF847" s="126">
        <f ca="1">SUM(INDIRECT(BF$1&amp;BF$2&amp;$A847):INDIRECT(BF$1&amp;BF$3&amp;$A847))+SUM(INDIRECT(BF$1&amp;BF$2&amp;$B847):INDIRECT(BF$1&amp;BF$3&amp;$B847))</f>
        <v>0</v>
      </c>
      <c r="BG847" s="3134">
        <f t="shared" ca="1" si="1264"/>
        <v>60896.570650000001</v>
      </c>
      <c r="BH847" s="2787">
        <f t="shared" ca="1" si="1265"/>
        <v>0</v>
      </c>
    </row>
    <row r="848" spans="1:60" ht="14.5">
      <c r="A848" s="616">
        <f t="shared" si="1250"/>
        <v>766</v>
      </c>
      <c r="B848" s="616">
        <v>1</v>
      </c>
      <c r="C848" s="616">
        <f t="shared" si="1251"/>
        <v>845</v>
      </c>
      <c r="D848" s="709" t="s">
        <v>1308</v>
      </c>
      <c r="E848" s="2547">
        <v>1</v>
      </c>
      <c r="F848" s="8"/>
      <c r="G848" s="8"/>
      <c r="I848" s="223"/>
      <c r="J848" s="1040"/>
      <c r="K848" s="285" t="s">
        <v>598</v>
      </c>
      <c r="L848" s="1034"/>
      <c r="M848" s="285"/>
      <c r="N848" s="285"/>
      <c r="O848" s="285"/>
      <c r="P848" s="286"/>
      <c r="Q848" s="1782" t="str">
        <f>CHOOSE(2, "6722000003767", "FC COGS (1)-1. Office Included in COGS [D&amp;A]")</f>
        <v>FC COGS (1)-1. Office Included in COGS [D&amp;A]</v>
      </c>
      <c r="R848" s="1248">
        <f t="shared" ref="R848:AC848" si="1294">(R508+R532)*-1</f>
        <v>0</v>
      </c>
      <c r="S848" s="1248">
        <f t="shared" si="1294"/>
        <v>0</v>
      </c>
      <c r="T848" s="1248">
        <f t="shared" si="1294"/>
        <v>0</v>
      </c>
      <c r="U848" s="1248">
        <f t="shared" si="1294"/>
        <v>0</v>
      </c>
      <c r="V848" s="1248">
        <f t="shared" si="1294"/>
        <v>0</v>
      </c>
      <c r="W848" s="1248">
        <f t="shared" si="1294"/>
        <v>0</v>
      </c>
      <c r="X848" s="1248">
        <f t="shared" si="1294"/>
        <v>0</v>
      </c>
      <c r="Y848" s="1248">
        <f t="shared" si="1294"/>
        <v>0</v>
      </c>
      <c r="Z848" s="1248">
        <f t="shared" si="1294"/>
        <v>0</v>
      </c>
      <c r="AA848" s="1248">
        <f t="shared" si="1294"/>
        <v>0</v>
      </c>
      <c r="AB848" s="1248">
        <f t="shared" si="1294"/>
        <v>0</v>
      </c>
      <c r="AC848" s="1248">
        <f t="shared" si="1294"/>
        <v>0</v>
      </c>
      <c r="AD848" s="1035">
        <f>SUM(R848,S848,T848)</f>
        <v>0</v>
      </c>
      <c r="AE848" s="975">
        <f t="shared" si="1286"/>
        <v>0</v>
      </c>
      <c r="AF848" s="975">
        <f t="shared" si="1287"/>
        <v>0</v>
      </c>
      <c r="AG848" s="975">
        <f t="shared" si="1288"/>
        <v>0</v>
      </c>
      <c r="AH848" s="975">
        <f t="shared" si="1289"/>
        <v>0</v>
      </c>
      <c r="AI848" s="975">
        <f t="shared" si="1290"/>
        <v>0</v>
      </c>
      <c r="AJ848" s="975">
        <f t="shared" si="1291"/>
        <v>0</v>
      </c>
      <c r="AL848" s="123">
        <f ca="1">SUM((INDIRECT(AL$2&amp;(ROW())):INDIRECT(AL$3&amp;(ROW()))))</f>
        <v>0</v>
      </c>
      <c r="AM848" s="123">
        <f ca="1">SUM(INDIRECT(AM$1&amp;AM$2&amp;$C848):INDIRECT(AM$1&amp;AM$3&amp;$C848))</f>
        <v>5721.2999999999993</v>
      </c>
      <c r="AN848" s="3081">
        <f t="shared" ca="1" si="1254"/>
        <v>-5721.2999999999993</v>
      </c>
      <c r="AO848" s="2716">
        <f t="shared" ca="1" si="1255"/>
        <v>0</v>
      </c>
      <c r="AP848" s="123">
        <f ca="1">SUM(INDIRECT(AP$1&amp;AP$2&amp;$A848):INDIRECT(AP$1&amp;AP$3&amp;$A848))+SUM(INDIRECT(AP$1&amp;AP$2&amp;$B848):INDIRECT(AP$1&amp;AP$3&amp;$B848))</f>
        <v>843</v>
      </c>
      <c r="AQ848" s="3081">
        <f t="shared" ca="1" si="1256"/>
        <v>-843</v>
      </c>
      <c r="AR848" s="2716">
        <f t="shared" ca="1" si="1257"/>
        <v>0</v>
      </c>
      <c r="AT848" s="123">
        <f ca="1">SUM((INDIRECT(AT$2&amp;(ROW())):INDIRECT(AT$3&amp;(ROW()))))</f>
        <v>0</v>
      </c>
      <c r="AU848" s="123">
        <f ca="1">SUM(INDIRECT(AU$1&amp;AU$2&amp;$C848):INDIRECT(AU$1&amp;AU$3&amp;$C848))</f>
        <v>17217.133333333331</v>
      </c>
      <c r="AV848" s="3081">
        <f t="shared" ca="1" si="1258"/>
        <v>-17217.133333333331</v>
      </c>
      <c r="AW848" s="2716">
        <f t="shared" ca="1" si="1259"/>
        <v>0</v>
      </c>
      <c r="AX848" s="123">
        <f ca="1">SUM(INDIRECT(AX$1&amp;AX$2&amp;$A848):INDIRECT(AX$1&amp;AX$3&amp;$A848))+SUM(INDIRECT(AX$1&amp;AX$2&amp;$B848):INDIRECT(AX$1&amp;AX$3&amp;$B848))</f>
        <v>887</v>
      </c>
      <c r="AY848" s="3081">
        <f t="shared" ca="1" si="1260"/>
        <v>-887</v>
      </c>
      <c r="AZ848" s="2716">
        <f t="shared" ca="1" si="1261"/>
        <v>0</v>
      </c>
      <c r="BB848" s="123">
        <f ca="1">SUM((INDIRECT(BB$2&amp;(ROW())):INDIRECT(BB$3&amp;(ROW()))))</f>
        <v>0</v>
      </c>
      <c r="BC848" s="123">
        <f ca="1">SUM(INDIRECT(BC$1&amp;BC$2&amp;$C848):INDIRECT(BC$1&amp;BC$3&amp;$C848))</f>
        <v>28766.2</v>
      </c>
      <c r="BD848" s="3081">
        <f t="shared" ca="1" si="1262"/>
        <v>-28766.2</v>
      </c>
      <c r="BE848" s="2716">
        <f t="shared" ca="1" si="1263"/>
        <v>0</v>
      </c>
      <c r="BF848" s="123">
        <f ca="1">SUM(INDIRECT(BF$1&amp;BF$2&amp;$A848):INDIRECT(BF$1&amp;BF$3&amp;$A848))+SUM(INDIRECT(BF$1&amp;BF$2&amp;$B848):INDIRECT(BF$1&amp;BF$3&amp;$B848))</f>
        <v>6658</v>
      </c>
      <c r="BG848" s="3081">
        <f t="shared" ca="1" si="1264"/>
        <v>-6658</v>
      </c>
      <c r="BH848" s="2716">
        <f t="shared" ca="1" si="1265"/>
        <v>0</v>
      </c>
    </row>
    <row r="849" spans="1:60" s="69" customFormat="1" ht="14.5">
      <c r="A849" s="616">
        <v>1</v>
      </c>
      <c r="B849" s="616">
        <v>1</v>
      </c>
      <c r="C849" s="616">
        <f t="shared" si="1251"/>
        <v>846</v>
      </c>
      <c r="D849" s="709" t="s">
        <v>1308</v>
      </c>
      <c r="E849" s="2565" t="s">
        <v>1369</v>
      </c>
      <c r="F849" s="2566"/>
      <c r="G849" s="8"/>
      <c r="H849" s="22"/>
      <c r="I849" s="223"/>
      <c r="J849" s="1041" t="s">
        <v>796</v>
      </c>
      <c r="K849" s="1032"/>
      <c r="L849" s="1032"/>
      <c r="M849" s="1032"/>
      <c r="N849" s="1032"/>
      <c r="O849" s="1032"/>
      <c r="P849" s="1042"/>
      <c r="Q849" s="1813" t="str">
        <f>CHOOSE(2, "6722000003768", "FC COGS (1)-2. Solution")</f>
        <v>FC COGS (1)-2. Solution</v>
      </c>
      <c r="R849" s="1444">
        <f t="shared" ref="R849:AC849" si="1295">SUM(R850:R853)</f>
        <v>0</v>
      </c>
      <c r="S849" s="1444">
        <f t="shared" si="1295"/>
        <v>0</v>
      </c>
      <c r="T849" s="1444">
        <f t="shared" si="1295"/>
        <v>0</v>
      </c>
      <c r="U849" s="1444">
        <f t="shared" si="1295"/>
        <v>0</v>
      </c>
      <c r="V849" s="1444">
        <f t="shared" si="1295"/>
        <v>0</v>
      </c>
      <c r="W849" s="1444">
        <f t="shared" si="1295"/>
        <v>0</v>
      </c>
      <c r="X849" s="1444">
        <f t="shared" si="1295"/>
        <v>0</v>
      </c>
      <c r="Y849" s="1444">
        <f t="shared" si="1295"/>
        <v>0</v>
      </c>
      <c r="Z849" s="1444">
        <f t="shared" si="1295"/>
        <v>0</v>
      </c>
      <c r="AA849" s="1444">
        <f t="shared" si="1295"/>
        <v>0</v>
      </c>
      <c r="AB849" s="1444">
        <f t="shared" si="1295"/>
        <v>0</v>
      </c>
      <c r="AC849" s="1444">
        <f t="shared" si="1295"/>
        <v>0</v>
      </c>
      <c r="AD849" s="1033">
        <f t="shared" ref="AD849:AJ849" si="1296">SUM(AD850:AD853)</f>
        <v>0</v>
      </c>
      <c r="AE849" s="1444">
        <f t="shared" si="1296"/>
        <v>0</v>
      </c>
      <c r="AF849" s="1444">
        <f t="shared" si="1296"/>
        <v>0</v>
      </c>
      <c r="AG849" s="1444">
        <f t="shared" si="1296"/>
        <v>0</v>
      </c>
      <c r="AH849" s="1444">
        <f t="shared" si="1296"/>
        <v>0</v>
      </c>
      <c r="AI849" s="1444">
        <f t="shared" si="1296"/>
        <v>0</v>
      </c>
      <c r="AJ849" s="1444">
        <f t="shared" si="1296"/>
        <v>0</v>
      </c>
      <c r="AL849" s="3283">
        <f ca="1">SUM((INDIRECT(AL$2&amp;(ROW())):INDIRECT(AL$3&amp;(ROW()))))</f>
        <v>0</v>
      </c>
      <c r="AM849" s="3283">
        <f ca="1">SUM(INDIRECT(AM$1&amp;AM$2&amp;$C849):INDIRECT(AM$1&amp;AM$3&amp;$C849))</f>
        <v>0</v>
      </c>
      <c r="AN849" s="3284">
        <f t="shared" ca="1" si="1254"/>
        <v>0</v>
      </c>
      <c r="AO849" s="2937">
        <f t="shared" ca="1" si="1255"/>
        <v>0</v>
      </c>
      <c r="AP849" s="3283">
        <f ca="1">SUM(INDIRECT(AP$1&amp;AP$2&amp;$A849):INDIRECT(AP$1&amp;AP$3&amp;$A849))+SUM(INDIRECT(AP$1&amp;AP$2&amp;$B849):INDIRECT(AP$1&amp;AP$3&amp;$B849))</f>
        <v>0</v>
      </c>
      <c r="AQ849" s="3284">
        <f t="shared" ca="1" si="1256"/>
        <v>0</v>
      </c>
      <c r="AR849" s="2937">
        <f t="shared" ca="1" si="1257"/>
        <v>0</v>
      </c>
      <c r="AT849" s="3283">
        <f ca="1">SUM((INDIRECT(AT$2&amp;(ROW())):INDIRECT(AT$3&amp;(ROW()))))</f>
        <v>0</v>
      </c>
      <c r="AU849" s="3283">
        <f ca="1">SUM(INDIRECT(AU$1&amp;AU$2&amp;$C849):INDIRECT(AU$1&amp;AU$3&amp;$C849))</f>
        <v>0</v>
      </c>
      <c r="AV849" s="3284">
        <f t="shared" ca="1" si="1258"/>
        <v>0</v>
      </c>
      <c r="AW849" s="2937">
        <f t="shared" ca="1" si="1259"/>
        <v>0</v>
      </c>
      <c r="AX849" s="3283">
        <f ca="1">SUM(INDIRECT(AX$1&amp;AX$2&amp;$A849):INDIRECT(AX$1&amp;AX$3&amp;$A849))+SUM(INDIRECT(AX$1&amp;AX$2&amp;$B849):INDIRECT(AX$1&amp;AX$3&amp;$B849))</f>
        <v>0</v>
      </c>
      <c r="AY849" s="3284">
        <f t="shared" ca="1" si="1260"/>
        <v>0</v>
      </c>
      <c r="AZ849" s="2937">
        <f t="shared" ca="1" si="1261"/>
        <v>0</v>
      </c>
      <c r="BB849" s="3283">
        <f ca="1">SUM((INDIRECT(BB$2&amp;(ROW())):INDIRECT(BB$3&amp;(ROW()))))</f>
        <v>0</v>
      </c>
      <c r="BC849" s="3283">
        <f ca="1">SUM(INDIRECT(BC$1&amp;BC$2&amp;$C849):INDIRECT(BC$1&amp;BC$3&amp;$C849))</f>
        <v>0</v>
      </c>
      <c r="BD849" s="3284">
        <f t="shared" ca="1" si="1262"/>
        <v>0</v>
      </c>
      <c r="BE849" s="2937">
        <f t="shared" ca="1" si="1263"/>
        <v>0</v>
      </c>
      <c r="BF849" s="3283">
        <f ca="1">SUM(INDIRECT(BF$1&amp;BF$2&amp;$A849):INDIRECT(BF$1&amp;BF$3&amp;$A849))+SUM(INDIRECT(BF$1&amp;BF$2&amp;$B849):INDIRECT(BF$1&amp;BF$3&amp;$B849))</f>
        <v>0</v>
      </c>
      <c r="BG849" s="3284">
        <f t="shared" ca="1" si="1264"/>
        <v>0</v>
      </c>
      <c r="BH849" s="2937">
        <f t="shared" ca="1" si="1265"/>
        <v>0</v>
      </c>
    </row>
    <row r="850" spans="1:60" ht="14.5">
      <c r="A850" s="616">
        <v>1</v>
      </c>
      <c r="B850" s="616">
        <v>1</v>
      </c>
      <c r="C850" s="616">
        <f t="shared" si="1251"/>
        <v>847</v>
      </c>
      <c r="D850" s="709" t="s">
        <v>1308</v>
      </c>
      <c r="E850" s="2565" t="s">
        <v>1369</v>
      </c>
      <c r="F850" s="2566"/>
      <c r="G850" s="8"/>
      <c r="I850" s="223"/>
      <c r="J850" s="1039"/>
      <c r="K850" s="8" t="s">
        <v>595</v>
      </c>
      <c r="L850" s="8"/>
      <c r="P850" s="1219"/>
      <c r="Q850" s="1781" t="str">
        <f>CHOOSE(2, "6722000003769", "FC COGS (1)-2. Solution Included in COGS [PC(Service)]")</f>
        <v>FC COGS (1)-2. Solution Included in COGS [PC(Service)]</v>
      </c>
      <c r="R850" s="1281">
        <v>0</v>
      </c>
      <c r="S850" s="1281">
        <v>0</v>
      </c>
      <c r="T850" s="1281">
        <v>0</v>
      </c>
      <c r="U850" s="1281">
        <v>0</v>
      </c>
      <c r="V850" s="1281">
        <v>0</v>
      </c>
      <c r="W850" s="1281">
        <v>0</v>
      </c>
      <c r="X850" s="1281">
        <v>0</v>
      </c>
      <c r="Y850" s="1281">
        <v>0</v>
      </c>
      <c r="Z850" s="1281">
        <v>0</v>
      </c>
      <c r="AA850" s="1281">
        <v>0</v>
      </c>
      <c r="AB850" s="1281">
        <v>0</v>
      </c>
      <c r="AC850" s="1281">
        <v>0</v>
      </c>
      <c r="AD850" s="125">
        <f>SUM(R850,S850,T850)</f>
        <v>0</v>
      </c>
      <c r="AE850" s="126">
        <f t="shared" ref="AE850:AE853" si="1297">SUM(U850,V850,W850)</f>
        <v>0</v>
      </c>
      <c r="AF850" s="126">
        <f t="shared" ref="AF850:AF853" si="1298">SUM(X850,Y850,Z850)</f>
        <v>0</v>
      </c>
      <c r="AG850" s="126">
        <f t="shared" ref="AG850:AG853" si="1299">SUM(AA850,AB850,AC850)</f>
        <v>0</v>
      </c>
      <c r="AH850" s="126">
        <f t="shared" ref="AH850:AH853" si="1300">AD850+AE850</f>
        <v>0</v>
      </c>
      <c r="AI850" s="126">
        <f t="shared" ref="AI850:AI853" si="1301">AG850+AF850</f>
        <v>0</v>
      </c>
      <c r="AJ850" s="126">
        <f t="shared" ref="AJ850:AJ853" si="1302">AH850+AI850</f>
        <v>0</v>
      </c>
      <c r="AL850" s="126">
        <f ca="1">SUM((INDIRECT(AL$2&amp;(ROW())):INDIRECT(AL$3&amp;(ROW()))))</f>
        <v>0</v>
      </c>
      <c r="AM850" s="126">
        <f ca="1">SUM(INDIRECT(AM$1&amp;AM$2&amp;$C850):INDIRECT(AM$1&amp;AM$3&amp;$C850))</f>
        <v>8861.9666666666672</v>
      </c>
      <c r="AN850" s="3134">
        <f t="shared" ca="1" si="1254"/>
        <v>-8861.9666666666672</v>
      </c>
      <c r="AO850" s="2787">
        <f t="shared" ca="1" si="1255"/>
        <v>0</v>
      </c>
      <c r="AP850" s="126">
        <f ca="1">SUM(INDIRECT(AP$1&amp;AP$2&amp;$A850):INDIRECT(AP$1&amp;AP$3&amp;$A850))+SUM(INDIRECT(AP$1&amp;AP$2&amp;$B850):INDIRECT(AP$1&amp;AP$3&amp;$B850))</f>
        <v>0</v>
      </c>
      <c r="AQ850" s="3134">
        <f t="shared" ca="1" si="1256"/>
        <v>0</v>
      </c>
      <c r="AR850" s="2787">
        <f t="shared" ca="1" si="1257"/>
        <v>0</v>
      </c>
      <c r="AT850" s="126">
        <f ca="1">SUM((INDIRECT(AT$2&amp;(ROW())):INDIRECT(AT$3&amp;(ROW()))))</f>
        <v>0</v>
      </c>
      <c r="AU850" s="126">
        <f ca="1">SUM(INDIRECT(AU$1&amp;AU$2&amp;$C850):INDIRECT(AU$1&amp;AU$3&amp;$C850))</f>
        <v>26746.933333333334</v>
      </c>
      <c r="AV850" s="3134">
        <f t="shared" ca="1" si="1258"/>
        <v>-26746.933333333334</v>
      </c>
      <c r="AW850" s="2787">
        <f t="shared" ca="1" si="1259"/>
        <v>0</v>
      </c>
      <c r="AX850" s="126">
        <f ca="1">SUM(INDIRECT(AX$1&amp;AX$2&amp;$A850):INDIRECT(AX$1&amp;AX$3&amp;$A850))+SUM(INDIRECT(AX$1&amp;AX$2&amp;$B850):INDIRECT(AX$1&amp;AX$3&amp;$B850))</f>
        <v>0</v>
      </c>
      <c r="AY850" s="3134">
        <f t="shared" ca="1" si="1260"/>
        <v>0</v>
      </c>
      <c r="AZ850" s="2787">
        <f t="shared" ca="1" si="1261"/>
        <v>0</v>
      </c>
      <c r="BB850" s="126">
        <f ca="1">SUM((INDIRECT(BB$2&amp;(ROW())):INDIRECT(BB$3&amp;(ROW()))))</f>
        <v>0</v>
      </c>
      <c r="BC850" s="126">
        <f ca="1">SUM(INDIRECT(BC$1&amp;BC$2&amp;$C850):INDIRECT(BC$1&amp;BC$3&amp;$C850))</f>
        <v>44792.933333333342</v>
      </c>
      <c r="BD850" s="3134">
        <f t="shared" ca="1" si="1262"/>
        <v>-44792.933333333342</v>
      </c>
      <c r="BE850" s="2787">
        <f t="shared" ca="1" si="1263"/>
        <v>0</v>
      </c>
      <c r="BF850" s="126">
        <f ca="1">SUM(INDIRECT(BF$1&amp;BF$2&amp;$A850):INDIRECT(BF$1&amp;BF$3&amp;$A850))+SUM(INDIRECT(BF$1&amp;BF$2&amp;$B850):INDIRECT(BF$1&amp;BF$3&amp;$B850))</f>
        <v>0</v>
      </c>
      <c r="BG850" s="3134">
        <f t="shared" ca="1" si="1264"/>
        <v>0</v>
      </c>
      <c r="BH850" s="2787">
        <f t="shared" ca="1" si="1265"/>
        <v>0</v>
      </c>
    </row>
    <row r="851" spans="1:60" ht="14.5">
      <c r="A851" s="616">
        <v>1</v>
      </c>
      <c r="B851" s="616">
        <v>1</v>
      </c>
      <c r="C851" s="616">
        <f t="shared" si="1251"/>
        <v>848</v>
      </c>
      <c r="D851" s="709" t="s">
        <v>1308</v>
      </c>
      <c r="E851" s="2565" t="s">
        <v>1369</v>
      </c>
      <c r="F851" s="2566"/>
      <c r="G851" s="8"/>
      <c r="I851" s="223"/>
      <c r="J851" s="1039"/>
      <c r="K851" s="8" t="s">
        <v>596</v>
      </c>
      <c r="L851" s="8"/>
      <c r="P851" s="1219"/>
      <c r="Q851" s="1781" t="str">
        <f>CHOOSE(2, "6722000003770", "FC COGS (1)-2. Solution Included in COGS [TE(Service)]")</f>
        <v>FC COGS (1)-2. Solution Included in COGS [TE(Service)]</v>
      </c>
      <c r="R851" s="1281">
        <v>0</v>
      </c>
      <c r="S851" s="1281">
        <v>0</v>
      </c>
      <c r="T851" s="1281">
        <v>0</v>
      </c>
      <c r="U851" s="1281">
        <v>0</v>
      </c>
      <c r="V851" s="1281">
        <v>0</v>
      </c>
      <c r="W851" s="1281">
        <v>0</v>
      </c>
      <c r="X851" s="1281">
        <v>0</v>
      </c>
      <c r="Y851" s="1281">
        <v>0</v>
      </c>
      <c r="Z851" s="1281">
        <v>0</v>
      </c>
      <c r="AA851" s="1281">
        <v>0</v>
      </c>
      <c r="AB851" s="1281">
        <v>0</v>
      </c>
      <c r="AC851" s="1281">
        <v>0</v>
      </c>
      <c r="AD851" s="125">
        <f>SUM(R851,S851,T851)</f>
        <v>0</v>
      </c>
      <c r="AE851" s="126">
        <f t="shared" si="1297"/>
        <v>0</v>
      </c>
      <c r="AF851" s="126">
        <f t="shared" si="1298"/>
        <v>0</v>
      </c>
      <c r="AG851" s="126">
        <f t="shared" si="1299"/>
        <v>0</v>
      </c>
      <c r="AH851" s="126">
        <f t="shared" si="1300"/>
        <v>0</v>
      </c>
      <c r="AI851" s="126">
        <f t="shared" si="1301"/>
        <v>0</v>
      </c>
      <c r="AJ851" s="126">
        <f t="shared" si="1302"/>
        <v>0</v>
      </c>
      <c r="AL851" s="126">
        <f ca="1">SUM((INDIRECT(AL$2&amp;(ROW())):INDIRECT(AL$3&amp;(ROW()))))</f>
        <v>0</v>
      </c>
      <c r="AM851" s="126">
        <f ca="1">SUM(INDIRECT(AM$1&amp;AM$2&amp;$C851):INDIRECT(AM$1&amp;AM$3&amp;$C851))</f>
        <v>3024</v>
      </c>
      <c r="AN851" s="3134">
        <f t="shared" ca="1" si="1254"/>
        <v>-3024</v>
      </c>
      <c r="AO851" s="2787">
        <f t="shared" ca="1" si="1255"/>
        <v>0</v>
      </c>
      <c r="AP851" s="126">
        <f ca="1">SUM(INDIRECT(AP$1&amp;AP$2&amp;$A851):INDIRECT(AP$1&amp;AP$3&amp;$A851))+SUM(INDIRECT(AP$1&amp;AP$2&amp;$B851):INDIRECT(AP$1&amp;AP$3&amp;$B851))</f>
        <v>0</v>
      </c>
      <c r="AQ851" s="3134">
        <f t="shared" ca="1" si="1256"/>
        <v>0</v>
      </c>
      <c r="AR851" s="2787">
        <f t="shared" ca="1" si="1257"/>
        <v>0</v>
      </c>
      <c r="AT851" s="126">
        <f ca="1">SUM((INDIRECT(AT$2&amp;(ROW())):INDIRECT(AT$3&amp;(ROW()))))</f>
        <v>0</v>
      </c>
      <c r="AU851" s="126">
        <f ca="1">SUM(INDIRECT(AU$1&amp;AU$2&amp;$C851):INDIRECT(AU$1&amp;AU$3&amp;$C851))</f>
        <v>9179.8000000000011</v>
      </c>
      <c r="AV851" s="3134">
        <f t="shared" ca="1" si="1258"/>
        <v>-9179.8000000000011</v>
      </c>
      <c r="AW851" s="2787">
        <f t="shared" ca="1" si="1259"/>
        <v>0</v>
      </c>
      <c r="AX851" s="126">
        <f ca="1">SUM(INDIRECT(AX$1&amp;AX$2&amp;$A851):INDIRECT(AX$1&amp;AX$3&amp;$A851))+SUM(INDIRECT(AX$1&amp;AX$2&amp;$B851):INDIRECT(AX$1&amp;AX$3&amp;$B851))</f>
        <v>0</v>
      </c>
      <c r="AY851" s="3134">
        <f t="shared" ca="1" si="1260"/>
        <v>0</v>
      </c>
      <c r="AZ851" s="2787">
        <f t="shared" ca="1" si="1261"/>
        <v>0</v>
      </c>
      <c r="BB851" s="126">
        <f ca="1">SUM((INDIRECT(BB$2&amp;(ROW())):INDIRECT(BB$3&amp;(ROW()))))</f>
        <v>0</v>
      </c>
      <c r="BC851" s="126">
        <f ca="1">SUM(INDIRECT(BC$1&amp;BC$2&amp;$C851):INDIRECT(BC$1&amp;BC$3&amp;$C851))</f>
        <v>15443.400000000001</v>
      </c>
      <c r="BD851" s="3134">
        <f t="shared" ca="1" si="1262"/>
        <v>-15443.400000000001</v>
      </c>
      <c r="BE851" s="2787">
        <f t="shared" ca="1" si="1263"/>
        <v>0</v>
      </c>
      <c r="BF851" s="126">
        <f ca="1">SUM(INDIRECT(BF$1&amp;BF$2&amp;$A851):INDIRECT(BF$1&amp;BF$3&amp;$A851))+SUM(INDIRECT(BF$1&amp;BF$2&amp;$B851):INDIRECT(BF$1&amp;BF$3&amp;$B851))</f>
        <v>0</v>
      </c>
      <c r="BG851" s="3134">
        <f t="shared" ca="1" si="1264"/>
        <v>0</v>
      </c>
      <c r="BH851" s="2787">
        <f t="shared" ca="1" si="1265"/>
        <v>0</v>
      </c>
    </row>
    <row r="852" spans="1:60" ht="14.5">
      <c r="A852" s="616">
        <v>1</v>
      </c>
      <c r="B852" s="616">
        <v>1</v>
      </c>
      <c r="C852" s="616">
        <f t="shared" si="1251"/>
        <v>849</v>
      </c>
      <c r="D852" s="709" t="s">
        <v>1308</v>
      </c>
      <c r="E852" s="2565" t="s">
        <v>1369</v>
      </c>
      <c r="F852" s="2566"/>
      <c r="G852" s="8"/>
      <c r="I852" s="172"/>
      <c r="J852" s="1039"/>
      <c r="K852" s="8" t="s">
        <v>597</v>
      </c>
      <c r="P852" s="1219"/>
      <c r="Q852" s="1781" t="str">
        <f>CHOOSE(2, "6722000003771", "FC COGS (1)-2. Solution Included in COGS [OFC(Service)]")</f>
        <v>FC COGS (1)-2. Solution Included in COGS [OFC(Service)]</v>
      </c>
      <c r="R852" s="1281">
        <v>0</v>
      </c>
      <c r="S852" s="1281">
        <v>0</v>
      </c>
      <c r="T852" s="1281">
        <v>0</v>
      </c>
      <c r="U852" s="1281">
        <v>0</v>
      </c>
      <c r="V852" s="1281">
        <v>0</v>
      </c>
      <c r="W852" s="1281">
        <v>0</v>
      </c>
      <c r="X852" s="1281">
        <v>0</v>
      </c>
      <c r="Y852" s="1281">
        <v>0</v>
      </c>
      <c r="Z852" s="1281">
        <v>0</v>
      </c>
      <c r="AA852" s="1281">
        <v>0</v>
      </c>
      <c r="AB852" s="1281">
        <v>0</v>
      </c>
      <c r="AC852" s="1281">
        <v>0</v>
      </c>
      <c r="AD852" s="125">
        <f>SUM(R852,S852,T852)</f>
        <v>0</v>
      </c>
      <c r="AE852" s="126">
        <f t="shared" si="1297"/>
        <v>0</v>
      </c>
      <c r="AF852" s="126">
        <f t="shared" si="1298"/>
        <v>0</v>
      </c>
      <c r="AG852" s="126">
        <f t="shared" si="1299"/>
        <v>0</v>
      </c>
      <c r="AH852" s="126">
        <f t="shared" si="1300"/>
        <v>0</v>
      </c>
      <c r="AI852" s="126">
        <f t="shared" si="1301"/>
        <v>0</v>
      </c>
      <c r="AJ852" s="126">
        <f t="shared" si="1302"/>
        <v>0</v>
      </c>
      <c r="AL852" s="126">
        <f ca="1">SUM((INDIRECT(AL$2&amp;(ROW())):INDIRECT(AL$3&amp;(ROW()))))</f>
        <v>0</v>
      </c>
      <c r="AM852" s="126">
        <f ca="1">SUM(INDIRECT(AM$1&amp;AM$2&amp;$C852):INDIRECT(AM$1&amp;AM$3&amp;$C852))</f>
        <v>400</v>
      </c>
      <c r="AN852" s="3134">
        <f t="shared" ca="1" si="1254"/>
        <v>-400</v>
      </c>
      <c r="AO852" s="2787">
        <f t="shared" ca="1" si="1255"/>
        <v>0</v>
      </c>
      <c r="AP852" s="126">
        <f ca="1">SUM(INDIRECT(AP$1&amp;AP$2&amp;$A852):INDIRECT(AP$1&amp;AP$3&amp;$A852))+SUM(INDIRECT(AP$1&amp;AP$2&amp;$B852):INDIRECT(AP$1&amp;AP$3&amp;$B852))</f>
        <v>0</v>
      </c>
      <c r="AQ852" s="3134">
        <f t="shared" ca="1" si="1256"/>
        <v>0</v>
      </c>
      <c r="AR852" s="2787">
        <f t="shared" ca="1" si="1257"/>
        <v>0</v>
      </c>
      <c r="AT852" s="126">
        <f ca="1">SUM((INDIRECT(AT$2&amp;(ROW())):INDIRECT(AT$3&amp;(ROW()))))</f>
        <v>0</v>
      </c>
      <c r="AU852" s="126">
        <f ca="1">SUM(INDIRECT(AU$1&amp;AU$2&amp;$C852):INDIRECT(AU$1&amp;AU$3&amp;$C852))</f>
        <v>1200</v>
      </c>
      <c r="AV852" s="3134">
        <f t="shared" ca="1" si="1258"/>
        <v>-1200</v>
      </c>
      <c r="AW852" s="2787">
        <f t="shared" ca="1" si="1259"/>
        <v>0</v>
      </c>
      <c r="AX852" s="126">
        <f ca="1">SUM(INDIRECT(AX$1&amp;AX$2&amp;$A852):INDIRECT(AX$1&amp;AX$3&amp;$A852))+SUM(INDIRECT(AX$1&amp;AX$2&amp;$B852):INDIRECT(AX$1&amp;AX$3&amp;$B852))</f>
        <v>0</v>
      </c>
      <c r="AY852" s="3134">
        <f t="shared" ca="1" si="1260"/>
        <v>0</v>
      </c>
      <c r="AZ852" s="2787">
        <f t="shared" ca="1" si="1261"/>
        <v>0</v>
      </c>
      <c r="BB852" s="126">
        <f ca="1">SUM((INDIRECT(BB$2&amp;(ROW())):INDIRECT(BB$3&amp;(ROW()))))</f>
        <v>0</v>
      </c>
      <c r="BC852" s="126">
        <f ca="1">SUM(INDIRECT(BC$1&amp;BC$2&amp;$C852):INDIRECT(BC$1&amp;BC$3&amp;$C852))</f>
        <v>2000</v>
      </c>
      <c r="BD852" s="3134">
        <f t="shared" ca="1" si="1262"/>
        <v>-2000</v>
      </c>
      <c r="BE852" s="2787">
        <f t="shared" ca="1" si="1263"/>
        <v>0</v>
      </c>
      <c r="BF852" s="126">
        <f ca="1">SUM(INDIRECT(BF$1&amp;BF$2&amp;$A852):INDIRECT(BF$1&amp;BF$3&amp;$A852))+SUM(INDIRECT(BF$1&amp;BF$2&amp;$B852):INDIRECT(BF$1&amp;BF$3&amp;$B852))</f>
        <v>0</v>
      </c>
      <c r="BG852" s="3134">
        <f t="shared" ca="1" si="1264"/>
        <v>0</v>
      </c>
      <c r="BH852" s="2787">
        <f t="shared" ca="1" si="1265"/>
        <v>0</v>
      </c>
    </row>
    <row r="853" spans="1:60" ht="14.5">
      <c r="A853" s="616">
        <v>1</v>
      </c>
      <c r="B853" s="616">
        <v>1</v>
      </c>
      <c r="C853" s="616">
        <f t="shared" si="1251"/>
        <v>850</v>
      </c>
      <c r="D853" s="709" t="s">
        <v>1308</v>
      </c>
      <c r="E853" s="2565" t="s">
        <v>1369</v>
      </c>
      <c r="F853" s="2566"/>
      <c r="G853" s="8"/>
      <c r="I853" s="171"/>
      <c r="J853" s="1040"/>
      <c r="K853" s="285" t="s">
        <v>598</v>
      </c>
      <c r="L853" s="1034"/>
      <c r="M853" s="285"/>
      <c r="N853" s="11"/>
      <c r="O853" s="11"/>
      <c r="P853" s="78"/>
      <c r="Q853" s="1781" t="str">
        <f>CHOOSE(2, "6722000003772", "FC COGS (1)-2. Solution Included in COGS [D&amp;A]")</f>
        <v>FC COGS (1)-2. Solution Included in COGS [D&amp;A]</v>
      </c>
      <c r="R853" s="1282">
        <v>0</v>
      </c>
      <c r="S853" s="1282">
        <v>0</v>
      </c>
      <c r="T853" s="1282">
        <v>0</v>
      </c>
      <c r="U853" s="1282">
        <v>0</v>
      </c>
      <c r="V853" s="1282">
        <v>0</v>
      </c>
      <c r="W853" s="1282">
        <v>0</v>
      </c>
      <c r="X853" s="1282">
        <v>0</v>
      </c>
      <c r="Y853" s="1282">
        <v>0</v>
      </c>
      <c r="Z853" s="1282">
        <v>0</v>
      </c>
      <c r="AA853" s="1282">
        <v>0</v>
      </c>
      <c r="AB853" s="1282">
        <v>0</v>
      </c>
      <c r="AC853" s="1282">
        <v>0</v>
      </c>
      <c r="AD853" s="122">
        <f>SUM(R853,S853,T853)</f>
        <v>0</v>
      </c>
      <c r="AE853" s="123">
        <f t="shared" si="1297"/>
        <v>0</v>
      </c>
      <c r="AF853" s="123">
        <f t="shared" si="1298"/>
        <v>0</v>
      </c>
      <c r="AG853" s="123">
        <f t="shared" si="1299"/>
        <v>0</v>
      </c>
      <c r="AH853" s="123">
        <f t="shared" si="1300"/>
        <v>0</v>
      </c>
      <c r="AI853" s="123">
        <f t="shared" si="1301"/>
        <v>0</v>
      </c>
      <c r="AJ853" s="123">
        <f t="shared" si="1302"/>
        <v>0</v>
      </c>
      <c r="AL853" s="123">
        <f ca="1">SUM((INDIRECT(AL$2&amp;(ROW())):INDIRECT(AL$3&amp;(ROW()))))</f>
        <v>0</v>
      </c>
      <c r="AM853" s="123">
        <f ca="1">SUM(INDIRECT(AM$1&amp;AM$2&amp;$C853):INDIRECT(AM$1&amp;AM$3&amp;$C853))</f>
        <v>5437.9666666666662</v>
      </c>
      <c r="AN853" s="3081">
        <f t="shared" ca="1" si="1254"/>
        <v>-5437.9666666666662</v>
      </c>
      <c r="AO853" s="2716">
        <f t="shared" ca="1" si="1255"/>
        <v>0</v>
      </c>
      <c r="AP853" s="123">
        <f ca="1">SUM(INDIRECT(AP$1&amp;AP$2&amp;$A853):INDIRECT(AP$1&amp;AP$3&amp;$A853))+SUM(INDIRECT(AP$1&amp;AP$2&amp;$B853):INDIRECT(AP$1&amp;AP$3&amp;$B853))</f>
        <v>0</v>
      </c>
      <c r="AQ853" s="3081">
        <f t="shared" ca="1" si="1256"/>
        <v>0</v>
      </c>
      <c r="AR853" s="2716">
        <f t="shared" ca="1" si="1257"/>
        <v>0</v>
      </c>
      <c r="AT853" s="123">
        <f ca="1">SUM((INDIRECT(AT$2&amp;(ROW())):INDIRECT(AT$3&amp;(ROW()))))</f>
        <v>0</v>
      </c>
      <c r="AU853" s="123">
        <f ca="1">SUM(INDIRECT(AU$1&amp;AU$2&amp;$C853):INDIRECT(AU$1&amp;AU$3&amp;$C853))</f>
        <v>16367.133333333335</v>
      </c>
      <c r="AV853" s="3081">
        <f t="shared" ca="1" si="1258"/>
        <v>-16367.133333333335</v>
      </c>
      <c r="AW853" s="2716">
        <f t="shared" ca="1" si="1259"/>
        <v>0</v>
      </c>
      <c r="AX853" s="123">
        <f ca="1">SUM(INDIRECT(AX$1&amp;AX$2&amp;$A853):INDIRECT(AX$1&amp;AX$3&amp;$A853))+SUM(INDIRECT(AX$1&amp;AX$2&amp;$B853):INDIRECT(AX$1&amp;AX$3&amp;$B853))</f>
        <v>0</v>
      </c>
      <c r="AY853" s="3081">
        <f t="shared" ca="1" si="1260"/>
        <v>0</v>
      </c>
      <c r="AZ853" s="2716">
        <f t="shared" ca="1" si="1261"/>
        <v>0</v>
      </c>
      <c r="BB853" s="123">
        <f ca="1">SUM((INDIRECT(BB$2&amp;(ROW())):INDIRECT(BB$3&amp;(ROW()))))</f>
        <v>0</v>
      </c>
      <c r="BC853" s="123">
        <f ca="1">SUM(INDIRECT(BC$1&amp;BC$2&amp;$C853):INDIRECT(BC$1&amp;BC$3&amp;$C853))</f>
        <v>27349.533333333336</v>
      </c>
      <c r="BD853" s="3081">
        <f t="shared" ca="1" si="1262"/>
        <v>-27349.533333333336</v>
      </c>
      <c r="BE853" s="2716">
        <f t="shared" ca="1" si="1263"/>
        <v>0</v>
      </c>
      <c r="BF853" s="123">
        <f ca="1">SUM(INDIRECT(BF$1&amp;BF$2&amp;$A853):INDIRECT(BF$1&amp;BF$3&amp;$A853))+SUM(INDIRECT(BF$1&amp;BF$2&amp;$B853):INDIRECT(BF$1&amp;BF$3&amp;$B853))</f>
        <v>0</v>
      </c>
      <c r="BG853" s="3081">
        <f t="shared" ca="1" si="1264"/>
        <v>0</v>
      </c>
      <c r="BH853" s="2716">
        <f t="shared" ca="1" si="1265"/>
        <v>0</v>
      </c>
    </row>
    <row r="854" spans="1:60" s="69" customFormat="1" ht="14.5">
      <c r="A854" s="616">
        <f>A848+1</f>
        <v>767</v>
      </c>
      <c r="B854" s="616">
        <v>1</v>
      </c>
      <c r="C854" s="616">
        <f t="shared" si="1251"/>
        <v>851</v>
      </c>
      <c r="D854" s="709" t="s">
        <v>1308</v>
      </c>
      <c r="E854" s="2547">
        <v>1</v>
      </c>
      <c r="F854" s="8"/>
      <c r="G854" s="8"/>
      <c r="H854" s="22"/>
      <c r="I854" s="3285" t="s">
        <v>1395</v>
      </c>
      <c r="J854" s="587"/>
      <c r="K854" s="588"/>
      <c r="L854" s="588"/>
      <c r="M854" s="588"/>
      <c r="N854" s="588"/>
      <c r="O854" s="588"/>
      <c r="P854" s="588"/>
      <c r="Q854" s="1815" t="str">
        <f>CHOOSE(2, "6722000003773", "FC COGS (2) PP")</f>
        <v>FC COGS (2) PP</v>
      </c>
      <c r="R854" s="1265">
        <f>SUM(R855:R858)</f>
        <v>13687</v>
      </c>
      <c r="S854" s="1265">
        <f t="shared" ref="S854:AJ854" si="1303">SUM(S855:S858)</f>
        <v>14642</v>
      </c>
      <c r="T854" s="1265">
        <f t="shared" si="1303"/>
        <v>16081</v>
      </c>
      <c r="U854" s="1265">
        <f t="shared" si="1303"/>
        <v>17620</v>
      </c>
      <c r="V854" s="1265">
        <f t="shared" si="1303"/>
        <v>16858.855701118951</v>
      </c>
      <c r="W854" s="1265">
        <f t="shared" si="1303"/>
        <v>17021.748</v>
      </c>
      <c r="X854" s="1265">
        <f t="shared" si="1303"/>
        <v>27094.748</v>
      </c>
      <c r="Y854" s="1265">
        <f t="shared" si="1303"/>
        <v>15703</v>
      </c>
      <c r="Z854" s="1265">
        <f t="shared" si="1303"/>
        <v>16374</v>
      </c>
      <c r="AA854" s="1265">
        <f t="shared" si="1303"/>
        <v>15577</v>
      </c>
      <c r="AB854" s="1265">
        <f t="shared" si="1303"/>
        <v>26298.092000000001</v>
      </c>
      <c r="AC854" s="1265">
        <f t="shared" si="1303"/>
        <v>21071</v>
      </c>
      <c r="AD854" s="3286">
        <f t="shared" si="1303"/>
        <v>44410</v>
      </c>
      <c r="AE854" s="1265">
        <f t="shared" si="1303"/>
        <v>51500.603701118947</v>
      </c>
      <c r="AF854" s="1265">
        <f t="shared" si="1303"/>
        <v>59171.748</v>
      </c>
      <c r="AG854" s="1265">
        <f t="shared" si="1303"/>
        <v>62946.091999999997</v>
      </c>
      <c r="AH854" s="1265">
        <f t="shared" si="1303"/>
        <v>95910.603701118947</v>
      </c>
      <c r="AI854" s="1265">
        <f t="shared" si="1303"/>
        <v>122117.84</v>
      </c>
      <c r="AJ854" s="1265">
        <f t="shared" si="1303"/>
        <v>218028.44370111896</v>
      </c>
      <c r="AL854" s="1265">
        <f ca="1">SUM((INDIRECT(AL$2&amp;(ROW())):INDIRECT(AL$3&amp;(ROW()))))</f>
        <v>21071</v>
      </c>
      <c r="AM854" s="1265">
        <f ca="1">SUM(INDIRECT(AM$1&amp;AM$2&amp;$C854):INDIRECT(AM$1&amp;AM$3&amp;$C854))</f>
        <v>0</v>
      </c>
      <c r="AN854" s="3287">
        <f t="shared" ca="1" si="1254"/>
        <v>21071</v>
      </c>
      <c r="AO854" s="2939">
        <f t="shared" ca="1" si="1255"/>
        <v>0</v>
      </c>
      <c r="AP854" s="1265">
        <f ca="1">SUM(INDIRECT(AP$1&amp;AP$2&amp;$A854):INDIRECT(AP$1&amp;AP$3&amp;$A854))+SUM(INDIRECT(AP$1&amp;AP$2&amp;$B854):INDIRECT(AP$1&amp;AP$3&amp;$B854))</f>
        <v>0</v>
      </c>
      <c r="AQ854" s="3287">
        <f t="shared" ca="1" si="1256"/>
        <v>21071</v>
      </c>
      <c r="AR854" s="2939">
        <f t="shared" ca="1" si="1257"/>
        <v>0</v>
      </c>
      <c r="AT854" s="1265">
        <f ca="1">SUM((INDIRECT(AT$2&amp;(ROW())):INDIRECT(AT$3&amp;(ROW()))))</f>
        <v>62946.092000000004</v>
      </c>
      <c r="AU854" s="1265">
        <f ca="1">SUM(INDIRECT(AU$1&amp;AU$2&amp;$C854):INDIRECT(AU$1&amp;AU$3&amp;$C854))</f>
        <v>0</v>
      </c>
      <c r="AV854" s="3287">
        <f t="shared" ca="1" si="1258"/>
        <v>62946.092000000004</v>
      </c>
      <c r="AW854" s="2939">
        <f t="shared" ca="1" si="1259"/>
        <v>0</v>
      </c>
      <c r="AX854" s="1265">
        <f ca="1">SUM(INDIRECT(AX$1&amp;AX$2&amp;$A854):INDIRECT(AX$1&amp;AX$3&amp;$A854))+SUM(INDIRECT(AX$1&amp;AX$2&amp;$B854):INDIRECT(AX$1&amp;AX$3&amp;$B854))</f>
        <v>0</v>
      </c>
      <c r="AY854" s="3287">
        <f t="shared" ca="1" si="1260"/>
        <v>62946.092000000004</v>
      </c>
      <c r="AZ854" s="2939">
        <f t="shared" ca="1" si="1261"/>
        <v>0</v>
      </c>
      <c r="BB854" s="1265">
        <f ca="1">SUM((INDIRECT(BB$2&amp;(ROW())):INDIRECT(BB$3&amp;(ROW()))))</f>
        <v>218028.44370111896</v>
      </c>
      <c r="BC854" s="1265">
        <f ca="1">SUM(INDIRECT(BC$1&amp;BC$2&amp;$C854):INDIRECT(BC$1&amp;BC$3&amp;$C854))</f>
        <v>0</v>
      </c>
      <c r="BD854" s="3287">
        <f t="shared" ca="1" si="1262"/>
        <v>218028.44370111896</v>
      </c>
      <c r="BE854" s="2939">
        <f t="shared" ca="1" si="1263"/>
        <v>0</v>
      </c>
      <c r="BF854" s="1265">
        <f ca="1">SUM(INDIRECT(BF$1&amp;BF$2&amp;$A854):INDIRECT(BF$1&amp;BF$3&amp;$A854))+SUM(INDIRECT(BF$1&amp;BF$2&amp;$B854):INDIRECT(BF$1&amp;BF$3&amp;$B854))</f>
        <v>89</v>
      </c>
      <c r="BG854" s="3287">
        <f t="shared" ca="1" si="1264"/>
        <v>217939.44370111896</v>
      </c>
      <c r="BH854" s="2939">
        <f t="shared" ca="1" si="1265"/>
        <v>2449.7577943945948</v>
      </c>
    </row>
    <row r="855" spans="1:60" ht="14.5">
      <c r="A855" s="616">
        <f t="shared" si="1250"/>
        <v>768</v>
      </c>
      <c r="B855" s="616">
        <v>1</v>
      </c>
      <c r="C855" s="616">
        <f t="shared" si="1251"/>
        <v>852</v>
      </c>
      <c r="D855" s="709" t="s">
        <v>1308</v>
      </c>
      <c r="E855" s="2547">
        <v>1</v>
      </c>
      <c r="F855" s="8"/>
      <c r="G855" s="8"/>
      <c r="I855" s="223"/>
      <c r="J855" s="8" t="s">
        <v>1503</v>
      </c>
      <c r="K855" s="8"/>
      <c r="L855" s="8"/>
      <c r="Q855" s="1777" t="str">
        <f>CHOOSE(2, "6722000003774", "FC COGS (2) PP Included in COGS [PC(Service)]")</f>
        <v>FC COGS (2) PP Included in COGS [PC(Service)]</v>
      </c>
      <c r="R855" s="17">
        <f t="shared" ref="R855:AC855" si="1304">(R594+R598+R617+R621)*-1</f>
        <v>13368</v>
      </c>
      <c r="S855" s="17">
        <f t="shared" si="1304"/>
        <v>13249</v>
      </c>
      <c r="T855" s="17">
        <f t="shared" si="1304"/>
        <v>13514</v>
      </c>
      <c r="U855" s="17">
        <f t="shared" si="1304"/>
        <v>15078</v>
      </c>
      <c r="V855" s="17">
        <f t="shared" si="1304"/>
        <v>14059.14570111895</v>
      </c>
      <c r="W855" s="17">
        <f t="shared" si="1304"/>
        <v>13264</v>
      </c>
      <c r="X855" s="17">
        <f t="shared" si="1304"/>
        <v>22029</v>
      </c>
      <c r="Y855" s="17">
        <f t="shared" si="1304"/>
        <v>13234</v>
      </c>
      <c r="Z855" s="17">
        <f t="shared" si="1304"/>
        <v>13397</v>
      </c>
      <c r="AA855" s="17">
        <f t="shared" si="1304"/>
        <v>13114</v>
      </c>
      <c r="AB855" s="17">
        <f t="shared" si="1304"/>
        <v>22624</v>
      </c>
      <c r="AC855" s="17">
        <f t="shared" si="1304"/>
        <v>10762</v>
      </c>
      <c r="AD855" s="125">
        <f>SUM(R855,S855,T855)</f>
        <v>40131</v>
      </c>
      <c r="AE855" s="126">
        <f t="shared" ref="AE855:AE858" si="1305">SUM(U855,V855,W855)</f>
        <v>42401.145701118949</v>
      </c>
      <c r="AF855" s="126">
        <f t="shared" ref="AF855:AF858" si="1306">SUM(X855,Y855,Z855)</f>
        <v>48660</v>
      </c>
      <c r="AG855" s="126">
        <f t="shared" ref="AG855:AG858" si="1307">SUM(AA855,AB855,AC855)</f>
        <v>46500</v>
      </c>
      <c r="AH855" s="126">
        <f t="shared" ref="AH855:AH858" si="1308">AD855+AE855</f>
        <v>82532.145701118949</v>
      </c>
      <c r="AI855" s="126">
        <f t="shared" ref="AI855:AI858" si="1309">AG855+AF855</f>
        <v>95160</v>
      </c>
      <c r="AJ855" s="126">
        <f t="shared" ref="AJ855:AJ858" si="1310">AH855+AI855</f>
        <v>177692.14570111895</v>
      </c>
      <c r="AL855" s="126">
        <f ca="1">SUM((INDIRECT(AL$2&amp;(ROW())):INDIRECT(AL$3&amp;(ROW()))))</f>
        <v>10762</v>
      </c>
      <c r="AM855" s="126">
        <f ca="1">SUM(INDIRECT(AM$1&amp;AM$2&amp;$C855):INDIRECT(AM$1&amp;AM$3&amp;$C855))</f>
        <v>8861.9666666666672</v>
      </c>
      <c r="AN855" s="3134">
        <f t="shared" ca="1" si="1254"/>
        <v>1900.0333333333328</v>
      </c>
      <c r="AO855" s="2787">
        <f t="shared" ca="1" si="1255"/>
        <v>1.21440312346018</v>
      </c>
      <c r="AP855" s="126">
        <f ca="1">SUM(INDIRECT(AP$1&amp;AP$2&amp;$A855):INDIRECT(AP$1&amp;AP$3&amp;$A855))+SUM(INDIRECT(AP$1&amp;AP$2&amp;$B855):INDIRECT(AP$1&amp;AP$3&amp;$B855))</f>
        <v>843</v>
      </c>
      <c r="AQ855" s="3134">
        <f t="shared" ca="1" si="1256"/>
        <v>9919</v>
      </c>
      <c r="AR855" s="2787">
        <f t="shared" ca="1" si="1257"/>
        <v>12.766310794780546</v>
      </c>
      <c r="AT855" s="126">
        <f ca="1">SUM((INDIRECT(AT$2&amp;(ROW())):INDIRECT(AT$3&amp;(ROW()))))</f>
        <v>46500</v>
      </c>
      <c r="AU855" s="126">
        <f ca="1">SUM(INDIRECT(AU$1&amp;AU$2&amp;$C855):INDIRECT(AU$1&amp;AU$3&amp;$C855))</f>
        <v>26746.933333333334</v>
      </c>
      <c r="AV855" s="3134">
        <f t="shared" ca="1" si="1258"/>
        <v>19753.066666666666</v>
      </c>
      <c r="AW855" s="2787">
        <f t="shared" ca="1" si="1259"/>
        <v>1.7385170636384482</v>
      </c>
      <c r="AX855" s="126">
        <f ca="1">SUM(INDIRECT(AX$1&amp;AX$2&amp;$A855):INDIRECT(AX$1&amp;AX$3&amp;$A855))+SUM(INDIRECT(AX$1&amp;AX$2&amp;$B855):INDIRECT(AX$1&amp;AX$3&amp;$B855))</f>
        <v>887</v>
      </c>
      <c r="AY855" s="3134">
        <f t="shared" ca="1" si="1260"/>
        <v>45613</v>
      </c>
      <c r="AZ855" s="2787">
        <f t="shared" ca="1" si="1261"/>
        <v>52.423900789177004</v>
      </c>
      <c r="BB855" s="126">
        <f ca="1">SUM((INDIRECT(BB$2&amp;(ROW())):INDIRECT(BB$3&amp;(ROW()))))</f>
        <v>177692.14570111895</v>
      </c>
      <c r="BC855" s="126">
        <f ca="1">SUM(INDIRECT(BC$1&amp;BC$2&amp;$C855):INDIRECT(BC$1&amp;BC$3&amp;$C855))</f>
        <v>44792.933333333342</v>
      </c>
      <c r="BD855" s="3134">
        <f t="shared" ca="1" si="1262"/>
        <v>132899.2123677856</v>
      </c>
      <c r="BE855" s="2787">
        <f t="shared" ca="1" si="1263"/>
        <v>3.96696827999176</v>
      </c>
      <c r="BF855" s="126">
        <f ca="1">SUM(INDIRECT(BF$1&amp;BF$2&amp;$A855):INDIRECT(BF$1&amp;BF$3&amp;$A855))+SUM(INDIRECT(BF$1&amp;BF$2&amp;$B855):INDIRECT(BF$1&amp;BF$3&amp;$B855))</f>
        <v>6569</v>
      </c>
      <c r="BG855" s="3134">
        <f t="shared" ca="1" si="1264"/>
        <v>171123.14570111895</v>
      </c>
      <c r="BH855" s="2787">
        <f t="shared" ca="1" si="1265"/>
        <v>27.050105906701013</v>
      </c>
    </row>
    <row r="856" spans="1:60" ht="14.5">
      <c r="A856" s="616">
        <f t="shared" si="1250"/>
        <v>769</v>
      </c>
      <c r="B856" s="616">
        <v>1</v>
      </c>
      <c r="C856" s="616">
        <f t="shared" si="1251"/>
        <v>853</v>
      </c>
      <c r="D856" s="709" t="s">
        <v>1308</v>
      </c>
      <c r="E856" s="2547">
        <v>1</v>
      </c>
      <c r="F856" s="8"/>
      <c r="G856" s="8"/>
      <c r="I856" s="223"/>
      <c r="J856" s="8" t="s">
        <v>1504</v>
      </c>
      <c r="K856" s="8"/>
      <c r="L856" s="8"/>
      <c r="Q856" s="1777" t="str">
        <f>CHOOSE(2, "6722000003775", "FC COGS (2) PP Included in COGS [TE(Service)]")</f>
        <v>FC COGS (2) PP Included in COGS [TE(Service)]</v>
      </c>
      <c r="R856" s="17">
        <f t="shared" ref="R856:AC856" si="1311">(R595+R618)*-1</f>
        <v>0</v>
      </c>
      <c r="S856" s="17">
        <f t="shared" si="1311"/>
        <v>1074</v>
      </c>
      <c r="T856" s="17">
        <f t="shared" si="1311"/>
        <v>2392</v>
      </c>
      <c r="U856" s="17">
        <f t="shared" si="1311"/>
        <v>2268</v>
      </c>
      <c r="V856" s="17">
        <f t="shared" si="1311"/>
        <v>2511.962</v>
      </c>
      <c r="W856" s="17">
        <f t="shared" si="1311"/>
        <v>3470</v>
      </c>
      <c r="X856" s="17">
        <f t="shared" si="1311"/>
        <v>4778</v>
      </c>
      <c r="Y856" s="17">
        <f t="shared" si="1311"/>
        <v>2231</v>
      </c>
      <c r="Z856" s="17">
        <f t="shared" si="1311"/>
        <v>2689</v>
      </c>
      <c r="AA856" s="17">
        <f t="shared" si="1311"/>
        <v>2175</v>
      </c>
      <c r="AB856" s="17">
        <f t="shared" si="1311"/>
        <v>3386.3440000000001</v>
      </c>
      <c r="AC856" s="17">
        <f t="shared" si="1311"/>
        <v>9936</v>
      </c>
      <c r="AD856" s="125">
        <f>SUM(R856,S856,T856)</f>
        <v>3466</v>
      </c>
      <c r="AE856" s="126">
        <f t="shared" si="1305"/>
        <v>8249.9619999999995</v>
      </c>
      <c r="AF856" s="126">
        <f t="shared" si="1306"/>
        <v>9698</v>
      </c>
      <c r="AG856" s="126">
        <f t="shared" si="1307"/>
        <v>15497.344000000001</v>
      </c>
      <c r="AH856" s="126">
        <f t="shared" si="1308"/>
        <v>11715.962</v>
      </c>
      <c r="AI856" s="126">
        <f t="shared" si="1309"/>
        <v>25195.344000000001</v>
      </c>
      <c r="AJ856" s="126">
        <f t="shared" si="1310"/>
        <v>36911.305999999997</v>
      </c>
      <c r="AL856" s="126">
        <f ca="1">SUM((INDIRECT(AL$2&amp;(ROW())):INDIRECT(AL$3&amp;(ROW()))))</f>
        <v>9936</v>
      </c>
      <c r="AM856" s="126">
        <f ca="1">SUM(INDIRECT(AM$1&amp;AM$2&amp;$C856):INDIRECT(AM$1&amp;AM$3&amp;$C856))</f>
        <v>3024</v>
      </c>
      <c r="AN856" s="3134">
        <f t="shared" ca="1" si="1254"/>
        <v>6912</v>
      </c>
      <c r="AO856" s="2787">
        <f t="shared" ca="1" si="1255"/>
        <v>3.2857142857142856</v>
      </c>
      <c r="AP856" s="126">
        <f ca="1">SUM(INDIRECT(AP$1&amp;AP$2&amp;$A856):INDIRECT(AP$1&amp;AP$3&amp;$A856))+SUM(INDIRECT(AP$1&amp;AP$2&amp;$B856):INDIRECT(AP$1&amp;AP$3&amp;$B856))</f>
        <v>0</v>
      </c>
      <c r="AQ856" s="3134">
        <f t="shared" ca="1" si="1256"/>
        <v>9936</v>
      </c>
      <c r="AR856" s="2787">
        <f t="shared" ca="1" si="1257"/>
        <v>0</v>
      </c>
      <c r="AT856" s="126">
        <f ca="1">SUM((INDIRECT(AT$2&amp;(ROW())):INDIRECT(AT$3&amp;(ROW()))))</f>
        <v>15497.344000000001</v>
      </c>
      <c r="AU856" s="126">
        <f ca="1">SUM(INDIRECT(AU$1&amp;AU$2&amp;$C856):INDIRECT(AU$1&amp;AU$3&amp;$C856))</f>
        <v>9179.8000000000011</v>
      </c>
      <c r="AV856" s="3134">
        <f t="shared" ca="1" si="1258"/>
        <v>6317.5439999999999</v>
      </c>
      <c r="AW856" s="2787">
        <f t="shared" ca="1" si="1259"/>
        <v>1.6882006143924704</v>
      </c>
      <c r="AX856" s="126">
        <f ca="1">SUM(INDIRECT(AX$1&amp;AX$2&amp;$A856):INDIRECT(AX$1&amp;AX$3&amp;$A856))+SUM(INDIRECT(AX$1&amp;AX$2&amp;$B856):INDIRECT(AX$1&amp;AX$3&amp;$B856))</f>
        <v>0</v>
      </c>
      <c r="AY856" s="3134">
        <f t="shared" ca="1" si="1260"/>
        <v>15497.344000000001</v>
      </c>
      <c r="AZ856" s="2787">
        <f t="shared" ca="1" si="1261"/>
        <v>0</v>
      </c>
      <c r="BB856" s="126">
        <f ca="1">SUM((INDIRECT(BB$2&amp;(ROW())):INDIRECT(BB$3&amp;(ROW()))))</f>
        <v>36911.305999999997</v>
      </c>
      <c r="BC856" s="126">
        <f ca="1">SUM(INDIRECT(BC$1&amp;BC$2&amp;$C856):INDIRECT(BC$1&amp;BC$3&amp;$C856))</f>
        <v>15443.400000000001</v>
      </c>
      <c r="BD856" s="3134">
        <f t="shared" ca="1" si="1262"/>
        <v>21467.905999999995</v>
      </c>
      <c r="BE856" s="2787">
        <f t="shared" ca="1" si="1263"/>
        <v>2.3901023090770162</v>
      </c>
      <c r="BF856" s="126">
        <f ca="1">SUM(INDIRECT(BF$1&amp;BF$2&amp;$A856):INDIRECT(BF$1&amp;BF$3&amp;$A856))+SUM(INDIRECT(BF$1&amp;BF$2&amp;$B856):INDIRECT(BF$1&amp;BF$3&amp;$B856))</f>
        <v>0</v>
      </c>
      <c r="BG856" s="3134">
        <f t="shared" ca="1" si="1264"/>
        <v>36911.305999999997</v>
      </c>
      <c r="BH856" s="2787">
        <f t="shared" ca="1" si="1265"/>
        <v>0</v>
      </c>
    </row>
    <row r="857" spans="1:60" ht="14.5">
      <c r="A857" s="616">
        <f t="shared" si="1250"/>
        <v>770</v>
      </c>
      <c r="B857" s="616">
        <v>1</v>
      </c>
      <c r="C857" s="616">
        <f t="shared" si="1251"/>
        <v>854</v>
      </c>
      <c r="D857" s="709" t="s">
        <v>1308</v>
      </c>
      <c r="E857" s="2547">
        <v>1</v>
      </c>
      <c r="F857" s="8"/>
      <c r="G857" s="8"/>
      <c r="I857" s="172"/>
      <c r="J857" s="8" t="s">
        <v>1505</v>
      </c>
      <c r="Q857" s="1782" t="str">
        <f>CHOOSE(2, "6722000003776", "FC COGS (2) PP Included in COGS [OFC(Service)]")</f>
        <v>FC COGS (2) PP Included in COGS [OFC(Service)]</v>
      </c>
      <c r="R857" s="1226">
        <f t="shared" ref="R857:AC857" si="1312">(R596+R599+R619+R622)*-1</f>
        <v>319</v>
      </c>
      <c r="S857" s="1226">
        <f t="shared" si="1312"/>
        <v>319</v>
      </c>
      <c r="T857" s="1226">
        <f t="shared" si="1312"/>
        <v>175</v>
      </c>
      <c r="U857" s="1226">
        <f t="shared" si="1312"/>
        <v>274</v>
      </c>
      <c r="V857" s="1226">
        <f t="shared" si="1312"/>
        <v>287.74799999999999</v>
      </c>
      <c r="W857" s="1226">
        <f t="shared" si="1312"/>
        <v>287.74799999999999</v>
      </c>
      <c r="X857" s="1226">
        <f t="shared" si="1312"/>
        <v>287.74799999999999</v>
      </c>
      <c r="Y857" s="1226">
        <f t="shared" si="1312"/>
        <v>238</v>
      </c>
      <c r="Z857" s="1226">
        <f t="shared" si="1312"/>
        <v>288</v>
      </c>
      <c r="AA857" s="1226">
        <f t="shared" si="1312"/>
        <v>288</v>
      </c>
      <c r="AB857" s="1226">
        <f t="shared" si="1312"/>
        <v>287.74799999999999</v>
      </c>
      <c r="AC857" s="1226">
        <f t="shared" si="1312"/>
        <v>373</v>
      </c>
      <c r="AD857" s="125">
        <f>SUM(R857,S857,T857)</f>
        <v>813</v>
      </c>
      <c r="AE857" s="126">
        <f t="shared" si="1305"/>
        <v>849.49600000000009</v>
      </c>
      <c r="AF857" s="126">
        <f t="shared" si="1306"/>
        <v>813.74800000000005</v>
      </c>
      <c r="AG857" s="126">
        <f t="shared" si="1307"/>
        <v>948.74800000000005</v>
      </c>
      <c r="AH857" s="126">
        <f t="shared" si="1308"/>
        <v>1662.4960000000001</v>
      </c>
      <c r="AI857" s="126">
        <f t="shared" si="1309"/>
        <v>1762.4960000000001</v>
      </c>
      <c r="AJ857" s="126">
        <f t="shared" si="1310"/>
        <v>3424.9920000000002</v>
      </c>
      <c r="AL857" s="126">
        <f ca="1">SUM((INDIRECT(AL$2&amp;(ROW())):INDIRECT(AL$3&amp;(ROW()))))</f>
        <v>373</v>
      </c>
      <c r="AM857" s="126">
        <f ca="1">SUM(INDIRECT(AM$1&amp;AM$2&amp;$C857):INDIRECT(AM$1&amp;AM$3&amp;$C857))</f>
        <v>400</v>
      </c>
      <c r="AN857" s="3134">
        <f t="shared" ca="1" si="1254"/>
        <v>-27</v>
      </c>
      <c r="AO857" s="2787">
        <f t="shared" ca="1" si="1255"/>
        <v>0.9325</v>
      </c>
      <c r="AP857" s="126">
        <f ca="1">SUM(INDIRECT(AP$1&amp;AP$2&amp;$A857):INDIRECT(AP$1&amp;AP$3&amp;$A857))+SUM(INDIRECT(AP$1&amp;AP$2&amp;$B857):INDIRECT(AP$1&amp;AP$3&amp;$B857))</f>
        <v>0</v>
      </c>
      <c r="AQ857" s="3134">
        <f t="shared" ca="1" si="1256"/>
        <v>373</v>
      </c>
      <c r="AR857" s="2787">
        <f t="shared" ca="1" si="1257"/>
        <v>0</v>
      </c>
      <c r="AT857" s="126">
        <f ca="1">SUM((INDIRECT(AT$2&amp;(ROW())):INDIRECT(AT$3&amp;(ROW()))))</f>
        <v>948.74800000000005</v>
      </c>
      <c r="AU857" s="126">
        <f ca="1">SUM(INDIRECT(AU$1&amp;AU$2&amp;$C857):INDIRECT(AU$1&amp;AU$3&amp;$C857))</f>
        <v>1200</v>
      </c>
      <c r="AV857" s="3134">
        <f t="shared" ca="1" si="1258"/>
        <v>-251.25199999999995</v>
      </c>
      <c r="AW857" s="2787">
        <f t="shared" ca="1" si="1259"/>
        <v>0.79062333333333334</v>
      </c>
      <c r="AX857" s="126">
        <f ca="1">SUM(INDIRECT(AX$1&amp;AX$2&amp;$A857):INDIRECT(AX$1&amp;AX$3&amp;$A857))+SUM(INDIRECT(AX$1&amp;AX$2&amp;$B857):INDIRECT(AX$1&amp;AX$3&amp;$B857))</f>
        <v>0</v>
      </c>
      <c r="AY857" s="3134">
        <f t="shared" ca="1" si="1260"/>
        <v>948.74800000000005</v>
      </c>
      <c r="AZ857" s="2787">
        <f t="shared" ca="1" si="1261"/>
        <v>0</v>
      </c>
      <c r="BB857" s="126">
        <f ca="1">SUM((INDIRECT(BB$2&amp;(ROW())):INDIRECT(BB$3&amp;(ROW()))))</f>
        <v>3424.9920000000002</v>
      </c>
      <c r="BC857" s="126">
        <f ca="1">SUM(INDIRECT(BC$1&amp;BC$2&amp;$C857):INDIRECT(BC$1&amp;BC$3&amp;$C857))</f>
        <v>2000</v>
      </c>
      <c r="BD857" s="3134">
        <f t="shared" ca="1" si="1262"/>
        <v>1424.9920000000002</v>
      </c>
      <c r="BE857" s="2787">
        <f t="shared" ca="1" si="1263"/>
        <v>1.712496</v>
      </c>
      <c r="BF857" s="126">
        <f ca="1">SUM(INDIRECT(BF$1&amp;BF$2&amp;$A857):INDIRECT(BF$1&amp;BF$3&amp;$A857))+SUM(INDIRECT(BF$1&amp;BF$2&amp;$B857):INDIRECT(BF$1&amp;BF$3&amp;$B857))</f>
        <v>0</v>
      </c>
      <c r="BG857" s="3134">
        <f t="shared" ca="1" si="1264"/>
        <v>3424.9920000000002</v>
      </c>
      <c r="BH857" s="2787">
        <f t="shared" ca="1" si="1265"/>
        <v>0</v>
      </c>
    </row>
    <row r="858" spans="1:60" ht="14.5">
      <c r="A858" s="616">
        <f t="shared" si="1250"/>
        <v>771</v>
      </c>
      <c r="B858" s="616">
        <v>1</v>
      </c>
      <c r="C858" s="616">
        <f t="shared" si="1251"/>
        <v>855</v>
      </c>
      <c r="D858" s="709" t="s">
        <v>1308</v>
      </c>
      <c r="E858" s="2547">
        <v>1</v>
      </c>
      <c r="F858" s="8"/>
      <c r="G858" s="8"/>
      <c r="I858" s="171"/>
      <c r="J858" s="11" t="s">
        <v>1506</v>
      </c>
      <c r="K858" s="16"/>
      <c r="L858" s="16"/>
      <c r="M858" s="11"/>
      <c r="N858" s="11"/>
      <c r="O858" s="11"/>
      <c r="P858" s="11"/>
      <c r="Q858" s="1782" t="str">
        <f>CHOOSE(2, "6722000003777", "FC COGS (2) PP Included in COGS [D&amp;A]")</f>
        <v>FC COGS (2) PP Included in COGS [D&amp;A]</v>
      </c>
      <c r="R858" s="1228">
        <f t="shared" ref="R858:AC858" si="1313">(R600+R623)*-1</f>
        <v>0</v>
      </c>
      <c r="S858" s="1228">
        <f t="shared" si="1313"/>
        <v>0</v>
      </c>
      <c r="T858" s="1228">
        <f t="shared" si="1313"/>
        <v>0</v>
      </c>
      <c r="U858" s="1228">
        <f t="shared" si="1313"/>
        <v>0</v>
      </c>
      <c r="V858" s="1228">
        <f t="shared" si="1313"/>
        <v>0</v>
      </c>
      <c r="W858" s="1228">
        <f t="shared" si="1313"/>
        <v>0</v>
      </c>
      <c r="X858" s="1228">
        <f t="shared" si="1313"/>
        <v>0</v>
      </c>
      <c r="Y858" s="1228">
        <f t="shared" si="1313"/>
        <v>0</v>
      </c>
      <c r="Z858" s="1228">
        <f t="shared" si="1313"/>
        <v>0</v>
      </c>
      <c r="AA858" s="1228">
        <f t="shared" si="1313"/>
        <v>0</v>
      </c>
      <c r="AB858" s="1228">
        <f t="shared" si="1313"/>
        <v>0</v>
      </c>
      <c r="AC858" s="1228">
        <f t="shared" si="1313"/>
        <v>0</v>
      </c>
      <c r="AD858" s="122">
        <f>SUM(R858,S858,T858)</f>
        <v>0</v>
      </c>
      <c r="AE858" s="123">
        <f t="shared" si="1305"/>
        <v>0</v>
      </c>
      <c r="AF858" s="123">
        <f t="shared" si="1306"/>
        <v>0</v>
      </c>
      <c r="AG858" s="123">
        <f t="shared" si="1307"/>
        <v>0</v>
      </c>
      <c r="AH858" s="123">
        <f t="shared" si="1308"/>
        <v>0</v>
      </c>
      <c r="AI858" s="123">
        <f t="shared" si="1309"/>
        <v>0</v>
      </c>
      <c r="AJ858" s="123">
        <f t="shared" si="1310"/>
        <v>0</v>
      </c>
      <c r="AL858" s="123">
        <f ca="1">SUM((INDIRECT(AL$2&amp;(ROW())):INDIRECT(AL$3&amp;(ROW()))))</f>
        <v>0</v>
      </c>
      <c r="AM858" s="123">
        <f ca="1">SUM(INDIRECT(AM$1&amp;AM$2&amp;$C858):INDIRECT(AM$1&amp;AM$3&amp;$C858))</f>
        <v>5437.9666666666662</v>
      </c>
      <c r="AN858" s="3081">
        <f t="shared" ca="1" si="1254"/>
        <v>-5437.9666666666662</v>
      </c>
      <c r="AO858" s="2716">
        <f t="shared" ca="1" si="1255"/>
        <v>0</v>
      </c>
      <c r="AP858" s="123">
        <f ca="1">SUM(INDIRECT(AP$1&amp;AP$2&amp;$A858):INDIRECT(AP$1&amp;AP$3&amp;$A858))+SUM(INDIRECT(AP$1&amp;AP$2&amp;$B858):INDIRECT(AP$1&amp;AP$3&amp;$B858))</f>
        <v>0</v>
      </c>
      <c r="AQ858" s="3081">
        <f t="shared" ca="1" si="1256"/>
        <v>0</v>
      </c>
      <c r="AR858" s="2716">
        <f t="shared" ca="1" si="1257"/>
        <v>0</v>
      </c>
      <c r="AT858" s="123">
        <f ca="1">SUM((INDIRECT(AT$2&amp;(ROW())):INDIRECT(AT$3&amp;(ROW()))))</f>
        <v>0</v>
      </c>
      <c r="AU858" s="123">
        <f ca="1">SUM(INDIRECT(AU$1&amp;AU$2&amp;$C858):INDIRECT(AU$1&amp;AU$3&amp;$C858))</f>
        <v>16367.133333333335</v>
      </c>
      <c r="AV858" s="3081">
        <f t="shared" ca="1" si="1258"/>
        <v>-16367.133333333335</v>
      </c>
      <c r="AW858" s="2716">
        <f t="shared" ca="1" si="1259"/>
        <v>0</v>
      </c>
      <c r="AX858" s="123">
        <f ca="1">SUM(INDIRECT(AX$1&amp;AX$2&amp;$A858):INDIRECT(AX$1&amp;AX$3&amp;$A858))+SUM(INDIRECT(AX$1&amp;AX$2&amp;$B858):INDIRECT(AX$1&amp;AX$3&amp;$B858))</f>
        <v>0</v>
      </c>
      <c r="AY858" s="3081">
        <f t="shared" ca="1" si="1260"/>
        <v>0</v>
      </c>
      <c r="AZ858" s="2716">
        <f t="shared" ca="1" si="1261"/>
        <v>0</v>
      </c>
      <c r="BB858" s="123">
        <f ca="1">SUM((INDIRECT(BB$2&amp;(ROW())):INDIRECT(BB$3&amp;(ROW()))))</f>
        <v>0</v>
      </c>
      <c r="BC858" s="123">
        <f ca="1">SUM(INDIRECT(BC$1&amp;BC$2&amp;$C858):INDIRECT(BC$1&amp;BC$3&amp;$C858))</f>
        <v>27349.533333333336</v>
      </c>
      <c r="BD858" s="3081">
        <f t="shared" ca="1" si="1262"/>
        <v>-27349.533333333336</v>
      </c>
      <c r="BE858" s="2716">
        <f t="shared" ca="1" si="1263"/>
        <v>0</v>
      </c>
      <c r="BF858" s="123">
        <f ca="1">SUM(INDIRECT(BF$1&amp;BF$2&amp;$A858):INDIRECT(BF$1&amp;BF$3&amp;$A858))+SUM(INDIRECT(BF$1&amp;BF$2&amp;$B858):INDIRECT(BF$1&amp;BF$3&amp;$B858))</f>
        <v>0</v>
      </c>
      <c r="BG858" s="3081">
        <f t="shared" ca="1" si="1264"/>
        <v>0</v>
      </c>
      <c r="BH858" s="2716">
        <f t="shared" ca="1" si="1265"/>
        <v>0</v>
      </c>
    </row>
    <row r="859" spans="1:60" s="69" customFormat="1" ht="14.5">
      <c r="A859" s="616">
        <f t="shared" si="1250"/>
        <v>772</v>
      </c>
      <c r="B859" s="616">
        <v>1</v>
      </c>
      <c r="C859" s="616">
        <f t="shared" si="1251"/>
        <v>856</v>
      </c>
      <c r="D859" s="709" t="s">
        <v>1308</v>
      </c>
      <c r="E859" s="2547">
        <v>1</v>
      </c>
      <c r="F859" s="8"/>
      <c r="G859" s="8"/>
      <c r="H859" s="22"/>
      <c r="I859" s="3288" t="s">
        <v>1399</v>
      </c>
      <c r="J859" s="2224"/>
      <c r="K859" s="589"/>
      <c r="L859" s="589"/>
      <c r="M859" s="589"/>
      <c r="N859" s="589"/>
      <c r="O859" s="589"/>
      <c r="P859" s="589"/>
      <c r="Q859" s="1817" t="str">
        <f>CHOOSE(2, "6722000003778", "FC COGS (3) IP")</f>
        <v>FC COGS (3) IP</v>
      </c>
      <c r="R859" s="1268">
        <f>SUM(R860:R863)</f>
        <v>873</v>
      </c>
      <c r="S859" s="1268">
        <f t="shared" ref="S859:AJ859" si="1314">SUM(S860:S863)</f>
        <v>1061</v>
      </c>
      <c r="T859" s="1268">
        <f t="shared" si="1314"/>
        <v>1109</v>
      </c>
      <c r="U859" s="1268">
        <f t="shared" si="1314"/>
        <v>1127</v>
      </c>
      <c r="V859" s="1268">
        <f t="shared" si="1314"/>
        <v>1007.2377253569111</v>
      </c>
      <c r="W859" s="1268">
        <f t="shared" si="1314"/>
        <v>1020.6029885233163</v>
      </c>
      <c r="X859" s="1268">
        <f t="shared" si="1314"/>
        <v>1053</v>
      </c>
      <c r="Y859" s="1268">
        <f t="shared" si="1314"/>
        <v>940</v>
      </c>
      <c r="Z859" s="1268">
        <f t="shared" si="1314"/>
        <v>1105</v>
      </c>
      <c r="AA859" s="1268">
        <f t="shared" si="1314"/>
        <v>989</v>
      </c>
      <c r="AB859" s="1268">
        <f t="shared" si="1314"/>
        <v>955</v>
      </c>
      <c r="AC859" s="1268">
        <f t="shared" si="1314"/>
        <v>994</v>
      </c>
      <c r="AD859" s="3289">
        <f t="shared" si="1314"/>
        <v>3043</v>
      </c>
      <c r="AE859" s="1268">
        <f t="shared" si="1314"/>
        <v>3154.8407138802272</v>
      </c>
      <c r="AF859" s="1268">
        <f t="shared" si="1314"/>
        <v>3098</v>
      </c>
      <c r="AG859" s="1268">
        <f t="shared" si="1314"/>
        <v>2938</v>
      </c>
      <c r="AH859" s="1268">
        <f t="shared" si="1314"/>
        <v>6197.8407138802268</v>
      </c>
      <c r="AI859" s="1268">
        <f t="shared" si="1314"/>
        <v>6036</v>
      </c>
      <c r="AJ859" s="1268">
        <f t="shared" si="1314"/>
        <v>12233.840713880227</v>
      </c>
      <c r="AL859" s="1268">
        <f ca="1">SUM((INDIRECT(AL$2&amp;(ROW())):INDIRECT(AL$3&amp;(ROW()))))</f>
        <v>994</v>
      </c>
      <c r="AM859" s="1268">
        <f ca="1">SUM(INDIRECT(AM$1&amp;AM$2&amp;$C859):INDIRECT(AM$1&amp;AM$3&amp;$C859))</f>
        <v>0</v>
      </c>
      <c r="AN859" s="3290">
        <f t="shared" ca="1" si="1254"/>
        <v>994</v>
      </c>
      <c r="AO859" s="2941">
        <f t="shared" ca="1" si="1255"/>
        <v>0</v>
      </c>
      <c r="AP859" s="1268">
        <f ca="1">SUM(INDIRECT(AP$1&amp;AP$2&amp;$A859):INDIRECT(AP$1&amp;AP$3&amp;$A859))+SUM(INDIRECT(AP$1&amp;AP$2&amp;$B859):INDIRECT(AP$1&amp;AP$3&amp;$B859))</f>
        <v>0</v>
      </c>
      <c r="AQ859" s="3290">
        <f t="shared" ca="1" si="1256"/>
        <v>994</v>
      </c>
      <c r="AR859" s="2941">
        <f t="shared" ca="1" si="1257"/>
        <v>0</v>
      </c>
      <c r="AT859" s="1268">
        <f ca="1">SUM((INDIRECT(AT$2&amp;(ROW())):INDIRECT(AT$3&amp;(ROW()))))</f>
        <v>2938</v>
      </c>
      <c r="AU859" s="1268">
        <f ca="1">SUM(INDIRECT(AU$1&amp;AU$2&amp;$C859):INDIRECT(AU$1&amp;AU$3&amp;$C859))</f>
        <v>0</v>
      </c>
      <c r="AV859" s="3290">
        <f t="shared" ca="1" si="1258"/>
        <v>2938</v>
      </c>
      <c r="AW859" s="2941">
        <f t="shared" ca="1" si="1259"/>
        <v>0</v>
      </c>
      <c r="AX859" s="1268">
        <f ca="1">SUM(INDIRECT(AX$1&amp;AX$2&amp;$A859):INDIRECT(AX$1&amp;AX$3&amp;$A859))+SUM(INDIRECT(AX$1&amp;AX$2&amp;$B859):INDIRECT(AX$1&amp;AX$3&amp;$B859))</f>
        <v>0</v>
      </c>
      <c r="AY859" s="3290">
        <f t="shared" ca="1" si="1260"/>
        <v>2938</v>
      </c>
      <c r="AZ859" s="2941">
        <f t="shared" ca="1" si="1261"/>
        <v>0</v>
      </c>
      <c r="BB859" s="1268">
        <f ca="1">SUM((INDIRECT(BB$2&amp;(ROW())):INDIRECT(BB$3&amp;(ROW()))))</f>
        <v>12233.840713880229</v>
      </c>
      <c r="BC859" s="1268">
        <f ca="1">SUM(INDIRECT(BC$1&amp;BC$2&amp;$C859):INDIRECT(BC$1&amp;BC$3&amp;$C859))</f>
        <v>0</v>
      </c>
      <c r="BD859" s="3290">
        <f t="shared" ca="1" si="1262"/>
        <v>12233.840713880229</v>
      </c>
      <c r="BE859" s="2941">
        <f t="shared" ca="1" si="1263"/>
        <v>0</v>
      </c>
      <c r="BF859" s="1268">
        <f ca="1">SUM(INDIRECT(BF$1&amp;BF$2&amp;$A859):INDIRECT(BF$1&amp;BF$3&amp;$A859))+SUM(INDIRECT(BF$1&amp;BF$2&amp;$B859):INDIRECT(BF$1&amp;BF$3&amp;$B859))</f>
        <v>0</v>
      </c>
      <c r="BG859" s="3290">
        <f t="shared" ca="1" si="1264"/>
        <v>12233.840713880229</v>
      </c>
      <c r="BH859" s="2941">
        <f t="shared" ca="1" si="1265"/>
        <v>0</v>
      </c>
    </row>
    <row r="860" spans="1:60" ht="14.5">
      <c r="A860" s="616">
        <f t="shared" si="1250"/>
        <v>773</v>
      </c>
      <c r="B860" s="616">
        <v>1</v>
      </c>
      <c r="C860" s="616">
        <f t="shared" si="1251"/>
        <v>857</v>
      </c>
      <c r="D860" s="709" t="s">
        <v>1308</v>
      </c>
      <c r="E860" s="2547">
        <v>1</v>
      </c>
      <c r="F860" s="8"/>
      <c r="G860" s="8"/>
      <c r="I860" s="223"/>
      <c r="J860" s="8" t="s">
        <v>1503</v>
      </c>
      <c r="K860" s="8"/>
      <c r="L860" s="8"/>
      <c r="Q860" s="1777" t="str">
        <f>CHOOSE(2, "6722000003779", "FC COGS (3) IP Included in COGS [PC(Service)]")</f>
        <v>FC COGS (3) IP Included in COGS [PC(Service)]</v>
      </c>
      <c r="R860" s="17">
        <f t="shared" ref="R860:AC860" si="1315">(R676+R682+R688+R694+R700+R704+R720+R726+R732+R738+R744+R748)*-1</f>
        <v>873</v>
      </c>
      <c r="S860" s="17">
        <f t="shared" si="1315"/>
        <v>998</v>
      </c>
      <c r="T860" s="17">
        <f t="shared" si="1315"/>
        <v>981</v>
      </c>
      <c r="U860" s="17">
        <f t="shared" si="1315"/>
        <v>984</v>
      </c>
      <c r="V860" s="17">
        <f t="shared" si="1315"/>
        <v>878.60572535691119</v>
      </c>
      <c r="W860" s="17">
        <f t="shared" si="1315"/>
        <v>916.6029885233163</v>
      </c>
      <c r="X860" s="17">
        <f t="shared" si="1315"/>
        <v>863</v>
      </c>
      <c r="Y860" s="17">
        <f t="shared" si="1315"/>
        <v>888</v>
      </c>
      <c r="Z860" s="17">
        <f t="shared" si="1315"/>
        <v>975</v>
      </c>
      <c r="AA860" s="17">
        <f t="shared" si="1315"/>
        <v>877</v>
      </c>
      <c r="AB860" s="17">
        <f t="shared" si="1315"/>
        <v>872</v>
      </c>
      <c r="AC860" s="17">
        <f t="shared" si="1315"/>
        <v>698</v>
      </c>
      <c r="AD860" s="125">
        <f>SUM(R860,S860,T860)</f>
        <v>2852</v>
      </c>
      <c r="AE860" s="126">
        <f t="shared" ref="AE860:AE863" si="1316">SUM(U860,V860,W860)</f>
        <v>2779.2087138802272</v>
      </c>
      <c r="AF860" s="126">
        <f t="shared" ref="AF860:AF863" si="1317">SUM(X860,Y860,Z860)</f>
        <v>2726</v>
      </c>
      <c r="AG860" s="126">
        <f t="shared" ref="AG860:AG863" si="1318">SUM(AA860,AB860,AC860)</f>
        <v>2447</v>
      </c>
      <c r="AH860" s="126">
        <f t="shared" ref="AH860:AH863" si="1319">AD860+AE860</f>
        <v>5631.2087138802272</v>
      </c>
      <c r="AI860" s="126">
        <f t="shared" ref="AI860:AI863" si="1320">AG860+AF860</f>
        <v>5173</v>
      </c>
      <c r="AJ860" s="126">
        <f t="shared" ref="AJ860:AJ863" si="1321">AH860+AI860</f>
        <v>10804.208713880227</v>
      </c>
      <c r="AL860" s="126">
        <f ca="1">SUM((INDIRECT(AL$2&amp;(ROW())):INDIRECT(AL$3&amp;(ROW()))))</f>
        <v>698</v>
      </c>
      <c r="AM860" s="126">
        <f ca="1">SUM(INDIRECT(AM$1&amp;AM$2&amp;$C860):INDIRECT(AM$1&amp;AM$3&amp;$C860))</f>
        <v>0</v>
      </c>
      <c r="AN860" s="3134">
        <f t="shared" ca="1" si="1254"/>
        <v>698</v>
      </c>
      <c r="AO860" s="2787">
        <f t="shared" ca="1" si="1255"/>
        <v>0</v>
      </c>
      <c r="AP860" s="126">
        <f ca="1">SUM(INDIRECT(AP$1&amp;AP$2&amp;$A860):INDIRECT(AP$1&amp;AP$3&amp;$A860))+SUM(INDIRECT(AP$1&amp;AP$2&amp;$B860):INDIRECT(AP$1&amp;AP$3&amp;$B860))</f>
        <v>0</v>
      </c>
      <c r="AQ860" s="3134">
        <f t="shared" ca="1" si="1256"/>
        <v>698</v>
      </c>
      <c r="AR860" s="2787">
        <f t="shared" ca="1" si="1257"/>
        <v>0</v>
      </c>
      <c r="AT860" s="126">
        <f ca="1">SUM((INDIRECT(AT$2&amp;(ROW())):INDIRECT(AT$3&amp;(ROW()))))</f>
        <v>2447</v>
      </c>
      <c r="AU860" s="126">
        <f ca="1">SUM(INDIRECT(AU$1&amp;AU$2&amp;$C860):INDIRECT(AU$1&amp;AU$3&amp;$C860))</f>
        <v>0</v>
      </c>
      <c r="AV860" s="3134">
        <f t="shared" ca="1" si="1258"/>
        <v>2447</v>
      </c>
      <c r="AW860" s="2787">
        <f t="shared" ca="1" si="1259"/>
        <v>0</v>
      </c>
      <c r="AX860" s="126">
        <f ca="1">SUM(INDIRECT(AX$1&amp;AX$2&amp;$A860):INDIRECT(AX$1&amp;AX$3&amp;$A860))+SUM(INDIRECT(AX$1&amp;AX$2&amp;$B860):INDIRECT(AX$1&amp;AX$3&amp;$B860))</f>
        <v>0</v>
      </c>
      <c r="AY860" s="3134">
        <f t="shared" ca="1" si="1260"/>
        <v>2447</v>
      </c>
      <c r="AZ860" s="2787">
        <f t="shared" ca="1" si="1261"/>
        <v>0</v>
      </c>
      <c r="BB860" s="126">
        <f ca="1">SUM((INDIRECT(BB$2&amp;(ROW())):INDIRECT(BB$3&amp;(ROW()))))</f>
        <v>10804.208713880227</v>
      </c>
      <c r="BC860" s="126">
        <f ca="1">SUM(INDIRECT(BC$1&amp;BC$2&amp;$C860):INDIRECT(BC$1&amp;BC$3&amp;$C860))</f>
        <v>0</v>
      </c>
      <c r="BD860" s="3134">
        <f t="shared" ca="1" si="1262"/>
        <v>10804.208713880227</v>
      </c>
      <c r="BE860" s="2787">
        <f t="shared" ca="1" si="1263"/>
        <v>0</v>
      </c>
      <c r="BF860" s="126">
        <f ca="1">SUM(INDIRECT(BF$1&amp;BF$2&amp;$A860):INDIRECT(BF$1&amp;BF$3&amp;$A860))+SUM(INDIRECT(BF$1&amp;BF$2&amp;$B860):INDIRECT(BF$1&amp;BF$3&amp;$B860))</f>
        <v>0</v>
      </c>
      <c r="BG860" s="3134">
        <f t="shared" ca="1" si="1264"/>
        <v>10804.208713880227</v>
      </c>
      <c r="BH860" s="2787">
        <f t="shared" ca="1" si="1265"/>
        <v>0</v>
      </c>
    </row>
    <row r="861" spans="1:60" ht="14.5">
      <c r="A861" s="616">
        <f t="shared" si="1250"/>
        <v>774</v>
      </c>
      <c r="B861" s="616">
        <v>1</v>
      </c>
      <c r="C861" s="616">
        <f t="shared" si="1251"/>
        <v>858</v>
      </c>
      <c r="D861" s="709" t="s">
        <v>1308</v>
      </c>
      <c r="E861" s="2547">
        <v>1</v>
      </c>
      <c r="F861" s="8"/>
      <c r="G861" s="8"/>
      <c r="I861" s="223"/>
      <c r="J861" s="8" t="s">
        <v>1504</v>
      </c>
      <c r="K861" s="8"/>
      <c r="L861" s="8"/>
      <c r="Q861" s="1777" t="str">
        <f>CHOOSE(2, "6722000003780", "FC COGS (3) IP Included in COGS [TE(Service)]")</f>
        <v>FC COGS (3) IP Included in COGS [TE(Service)]</v>
      </c>
      <c r="R861" s="17">
        <f t="shared" ref="R861:AC861" si="1322">(R677+R683+R689+R695+R701+R721+R727+R733+R739+R745)*-1</f>
        <v>0</v>
      </c>
      <c r="S861" s="17">
        <f t="shared" si="1322"/>
        <v>63</v>
      </c>
      <c r="T861" s="17">
        <f t="shared" si="1322"/>
        <v>128</v>
      </c>
      <c r="U861" s="17">
        <f t="shared" si="1322"/>
        <v>143</v>
      </c>
      <c r="V861" s="17">
        <f t="shared" si="1322"/>
        <v>128.63200000000001</v>
      </c>
      <c r="W861" s="17">
        <f t="shared" si="1322"/>
        <v>104</v>
      </c>
      <c r="X861" s="17">
        <f t="shared" si="1322"/>
        <v>190</v>
      </c>
      <c r="Y861" s="17">
        <f t="shared" si="1322"/>
        <v>52</v>
      </c>
      <c r="Z861" s="17">
        <f t="shared" si="1322"/>
        <v>130</v>
      </c>
      <c r="AA861" s="17">
        <f t="shared" si="1322"/>
        <v>112</v>
      </c>
      <c r="AB861" s="17">
        <f t="shared" si="1322"/>
        <v>83</v>
      </c>
      <c r="AC861" s="17">
        <f t="shared" si="1322"/>
        <v>296</v>
      </c>
      <c r="AD861" s="125">
        <f>SUM(R861,S861,T861)</f>
        <v>191</v>
      </c>
      <c r="AE861" s="126">
        <f t="shared" si="1316"/>
        <v>375.63200000000001</v>
      </c>
      <c r="AF861" s="126">
        <f t="shared" si="1317"/>
        <v>372</v>
      </c>
      <c r="AG861" s="126">
        <f t="shared" si="1318"/>
        <v>491</v>
      </c>
      <c r="AH861" s="126">
        <f t="shared" si="1319"/>
        <v>566.63200000000006</v>
      </c>
      <c r="AI861" s="126">
        <f t="shared" si="1320"/>
        <v>863</v>
      </c>
      <c r="AJ861" s="126">
        <f t="shared" si="1321"/>
        <v>1429.6320000000001</v>
      </c>
      <c r="AL861" s="126">
        <f ca="1">SUM((INDIRECT(AL$2&amp;(ROW())):INDIRECT(AL$3&amp;(ROW()))))</f>
        <v>296</v>
      </c>
      <c r="AM861" s="126">
        <f ca="1">SUM(INDIRECT(AM$1&amp;AM$2&amp;$C861):INDIRECT(AM$1&amp;AM$3&amp;$C861))</f>
        <v>0</v>
      </c>
      <c r="AN861" s="3134">
        <f t="shared" ca="1" si="1254"/>
        <v>296</v>
      </c>
      <c r="AO861" s="2787">
        <f t="shared" ca="1" si="1255"/>
        <v>0</v>
      </c>
      <c r="AP861" s="126">
        <f ca="1">SUM(INDIRECT(AP$1&amp;AP$2&amp;$A861):INDIRECT(AP$1&amp;AP$3&amp;$A861))+SUM(INDIRECT(AP$1&amp;AP$2&amp;$B861):INDIRECT(AP$1&amp;AP$3&amp;$B861))</f>
        <v>0</v>
      </c>
      <c r="AQ861" s="3134">
        <f t="shared" ca="1" si="1256"/>
        <v>296</v>
      </c>
      <c r="AR861" s="2787">
        <f t="shared" ca="1" si="1257"/>
        <v>0</v>
      </c>
      <c r="AT861" s="126">
        <f ca="1">SUM((INDIRECT(AT$2&amp;(ROW())):INDIRECT(AT$3&amp;(ROW()))))</f>
        <v>491</v>
      </c>
      <c r="AU861" s="126">
        <f ca="1">SUM(INDIRECT(AU$1&amp;AU$2&amp;$C861):INDIRECT(AU$1&amp;AU$3&amp;$C861))</f>
        <v>0</v>
      </c>
      <c r="AV861" s="3134">
        <f t="shared" ca="1" si="1258"/>
        <v>491</v>
      </c>
      <c r="AW861" s="2787">
        <f t="shared" ca="1" si="1259"/>
        <v>0</v>
      </c>
      <c r="AX861" s="126">
        <f ca="1">SUM(INDIRECT(AX$1&amp;AX$2&amp;$A861):INDIRECT(AX$1&amp;AX$3&amp;$A861))+SUM(INDIRECT(AX$1&amp;AX$2&amp;$B861):INDIRECT(AX$1&amp;AX$3&amp;$B861))</f>
        <v>0</v>
      </c>
      <c r="AY861" s="3134">
        <f t="shared" ca="1" si="1260"/>
        <v>491</v>
      </c>
      <c r="AZ861" s="2787">
        <f t="shared" ca="1" si="1261"/>
        <v>0</v>
      </c>
      <c r="BB861" s="126">
        <f ca="1">SUM((INDIRECT(BB$2&amp;(ROW())):INDIRECT(BB$3&amp;(ROW()))))</f>
        <v>1429.6320000000001</v>
      </c>
      <c r="BC861" s="126">
        <f ca="1">SUM(INDIRECT(BC$1&amp;BC$2&amp;$C861):INDIRECT(BC$1&amp;BC$3&amp;$C861))</f>
        <v>0</v>
      </c>
      <c r="BD861" s="3134">
        <f t="shared" ca="1" si="1262"/>
        <v>1429.6320000000001</v>
      </c>
      <c r="BE861" s="2787">
        <f t="shared" ca="1" si="1263"/>
        <v>0</v>
      </c>
      <c r="BF861" s="126">
        <f ca="1">SUM(INDIRECT(BF$1&amp;BF$2&amp;$A861):INDIRECT(BF$1&amp;BF$3&amp;$A861))+SUM(INDIRECT(BF$1&amp;BF$2&amp;$B861):INDIRECT(BF$1&amp;BF$3&amp;$B861))</f>
        <v>0</v>
      </c>
      <c r="BG861" s="3134">
        <f t="shared" ca="1" si="1264"/>
        <v>1429.6320000000001</v>
      </c>
      <c r="BH861" s="2787">
        <f t="shared" ca="1" si="1265"/>
        <v>0</v>
      </c>
    </row>
    <row r="862" spans="1:60" ht="14.5">
      <c r="A862" s="616">
        <f t="shared" si="1250"/>
        <v>775</v>
      </c>
      <c r="B862" s="616">
        <v>1</v>
      </c>
      <c r="C862" s="616">
        <f t="shared" si="1251"/>
        <v>859</v>
      </c>
      <c r="D862" s="709" t="s">
        <v>1308</v>
      </c>
      <c r="E862" s="2547">
        <v>1</v>
      </c>
      <c r="F862" s="8"/>
      <c r="G862" s="8"/>
      <c r="I862" s="172"/>
      <c r="J862" s="8" t="s">
        <v>1505</v>
      </c>
      <c r="Q862" s="1782" t="str">
        <f>CHOOSE(2, "6722000003781", "FC COGS (3) IP Included in COGS [OFC(Service)]")</f>
        <v>FC COGS (3) IP Included in COGS [OFC(Service)]</v>
      </c>
      <c r="R862" s="1226">
        <f t="shared" ref="R862:AC862" si="1323">(R678+R684+R690+R696+R702+R705+R722+R728+R734+R740+R746+R749)*-1</f>
        <v>0</v>
      </c>
      <c r="S862" s="1226">
        <f t="shared" si="1323"/>
        <v>0</v>
      </c>
      <c r="T862" s="1226">
        <f t="shared" si="1323"/>
        <v>0</v>
      </c>
      <c r="U862" s="1226">
        <f t="shared" si="1323"/>
        <v>0</v>
      </c>
      <c r="V862" s="1226">
        <f t="shared" si="1323"/>
        <v>0</v>
      </c>
      <c r="W862" s="1226">
        <f t="shared" si="1323"/>
        <v>0</v>
      </c>
      <c r="X862" s="1226">
        <f t="shared" si="1323"/>
        <v>0</v>
      </c>
      <c r="Y862" s="1226">
        <f t="shared" si="1323"/>
        <v>0</v>
      </c>
      <c r="Z862" s="1226">
        <f t="shared" si="1323"/>
        <v>0</v>
      </c>
      <c r="AA862" s="1226">
        <f t="shared" si="1323"/>
        <v>0</v>
      </c>
      <c r="AB862" s="1226">
        <f t="shared" si="1323"/>
        <v>0</v>
      </c>
      <c r="AC862" s="1226">
        <f t="shared" si="1323"/>
        <v>0</v>
      </c>
      <c r="AD862" s="125">
        <f>SUM(R862,S862,T862)</f>
        <v>0</v>
      </c>
      <c r="AE862" s="126">
        <f t="shared" si="1316"/>
        <v>0</v>
      </c>
      <c r="AF862" s="126">
        <f t="shared" si="1317"/>
        <v>0</v>
      </c>
      <c r="AG862" s="126">
        <f t="shared" si="1318"/>
        <v>0</v>
      </c>
      <c r="AH862" s="126">
        <f t="shared" si="1319"/>
        <v>0</v>
      </c>
      <c r="AI862" s="126">
        <f t="shared" si="1320"/>
        <v>0</v>
      </c>
      <c r="AJ862" s="126">
        <f t="shared" si="1321"/>
        <v>0</v>
      </c>
      <c r="AL862" s="126">
        <f ca="1">SUM((INDIRECT(AL$2&amp;(ROW())):INDIRECT(AL$3&amp;(ROW()))))</f>
        <v>0</v>
      </c>
      <c r="AM862" s="126">
        <f ca="1">SUM(INDIRECT(AM$1&amp;AM$2&amp;$C862):INDIRECT(AM$1&amp;AM$3&amp;$C862))</f>
        <v>0</v>
      </c>
      <c r="AN862" s="3134">
        <f t="shared" ca="1" si="1254"/>
        <v>0</v>
      </c>
      <c r="AO862" s="2787">
        <f t="shared" ca="1" si="1255"/>
        <v>0</v>
      </c>
      <c r="AP862" s="126">
        <f ca="1">SUM(INDIRECT(AP$1&amp;AP$2&amp;$A862):INDIRECT(AP$1&amp;AP$3&amp;$A862))+SUM(INDIRECT(AP$1&amp;AP$2&amp;$B862):INDIRECT(AP$1&amp;AP$3&amp;$B862))</f>
        <v>0</v>
      </c>
      <c r="AQ862" s="3134">
        <f t="shared" ca="1" si="1256"/>
        <v>0</v>
      </c>
      <c r="AR862" s="2787">
        <f t="shared" ca="1" si="1257"/>
        <v>0</v>
      </c>
      <c r="AT862" s="126">
        <f ca="1">SUM((INDIRECT(AT$2&amp;(ROW())):INDIRECT(AT$3&amp;(ROW()))))</f>
        <v>0</v>
      </c>
      <c r="AU862" s="126">
        <f ca="1">SUM(INDIRECT(AU$1&amp;AU$2&amp;$C862):INDIRECT(AU$1&amp;AU$3&amp;$C862))</f>
        <v>0</v>
      </c>
      <c r="AV862" s="3134">
        <f t="shared" ca="1" si="1258"/>
        <v>0</v>
      </c>
      <c r="AW862" s="2787">
        <f t="shared" ca="1" si="1259"/>
        <v>0</v>
      </c>
      <c r="AX862" s="126">
        <f ca="1">SUM(INDIRECT(AX$1&amp;AX$2&amp;$A862):INDIRECT(AX$1&amp;AX$3&amp;$A862))+SUM(INDIRECT(AX$1&amp;AX$2&amp;$B862):INDIRECT(AX$1&amp;AX$3&amp;$B862))</f>
        <v>0</v>
      </c>
      <c r="AY862" s="3134">
        <f t="shared" ca="1" si="1260"/>
        <v>0</v>
      </c>
      <c r="AZ862" s="2787">
        <f t="shared" ca="1" si="1261"/>
        <v>0</v>
      </c>
      <c r="BB862" s="126">
        <f ca="1">SUM((INDIRECT(BB$2&amp;(ROW())):INDIRECT(BB$3&amp;(ROW()))))</f>
        <v>0</v>
      </c>
      <c r="BC862" s="126">
        <f ca="1">SUM(INDIRECT(BC$1&amp;BC$2&amp;$C862):INDIRECT(BC$1&amp;BC$3&amp;$C862))</f>
        <v>0</v>
      </c>
      <c r="BD862" s="3134">
        <f t="shared" ca="1" si="1262"/>
        <v>0</v>
      </c>
      <c r="BE862" s="2787">
        <f t="shared" ca="1" si="1263"/>
        <v>0</v>
      </c>
      <c r="BF862" s="126">
        <f ca="1">SUM(INDIRECT(BF$1&amp;BF$2&amp;$A862):INDIRECT(BF$1&amp;BF$3&amp;$A862))+SUM(INDIRECT(BF$1&amp;BF$2&amp;$B862):INDIRECT(BF$1&amp;BF$3&amp;$B862))</f>
        <v>0</v>
      </c>
      <c r="BG862" s="3134">
        <f t="shared" ca="1" si="1264"/>
        <v>0</v>
      </c>
      <c r="BH862" s="2787">
        <f t="shared" ca="1" si="1265"/>
        <v>0</v>
      </c>
    </row>
    <row r="863" spans="1:60" ht="14.5">
      <c r="A863" s="616">
        <f t="shared" si="1250"/>
        <v>776</v>
      </c>
      <c r="B863" s="616">
        <v>1</v>
      </c>
      <c r="C863" s="616">
        <f t="shared" si="1251"/>
        <v>860</v>
      </c>
      <c r="D863" s="709" t="s">
        <v>1308</v>
      </c>
      <c r="E863" s="2547">
        <v>1</v>
      </c>
      <c r="F863" s="8"/>
      <c r="G863" s="8"/>
      <c r="I863" s="171"/>
      <c r="J863" s="11" t="s">
        <v>1506</v>
      </c>
      <c r="K863" s="16"/>
      <c r="L863" s="16"/>
      <c r="M863" s="11"/>
      <c r="N863" s="11"/>
      <c r="O863" s="11"/>
      <c r="P863" s="11"/>
      <c r="Q863" s="1782" t="str">
        <f>CHOOSE(2, "6722000003782", "FC COGS (3) IP Included in COGS [D&amp;A]")</f>
        <v>FC COGS (3) IP Included in COGS [D&amp;A]</v>
      </c>
      <c r="R863" s="1228">
        <f t="shared" ref="R863:AC863" si="1324">(R706+R750)*-1</f>
        <v>0</v>
      </c>
      <c r="S863" s="1228">
        <f t="shared" si="1324"/>
        <v>0</v>
      </c>
      <c r="T863" s="1228">
        <f t="shared" si="1324"/>
        <v>0</v>
      </c>
      <c r="U863" s="1228">
        <f t="shared" si="1324"/>
        <v>0</v>
      </c>
      <c r="V863" s="1228">
        <f t="shared" si="1324"/>
        <v>0</v>
      </c>
      <c r="W863" s="1228">
        <f t="shared" si="1324"/>
        <v>0</v>
      </c>
      <c r="X863" s="1228">
        <f t="shared" si="1324"/>
        <v>0</v>
      </c>
      <c r="Y863" s="1228">
        <f t="shared" si="1324"/>
        <v>0</v>
      </c>
      <c r="Z863" s="1228">
        <f t="shared" si="1324"/>
        <v>0</v>
      </c>
      <c r="AA863" s="1228">
        <f t="shared" si="1324"/>
        <v>0</v>
      </c>
      <c r="AB863" s="1228">
        <f t="shared" si="1324"/>
        <v>0</v>
      </c>
      <c r="AC863" s="1228">
        <f t="shared" si="1324"/>
        <v>0</v>
      </c>
      <c r="AD863" s="122">
        <f>SUM(R863,S863,T863)</f>
        <v>0</v>
      </c>
      <c r="AE863" s="123">
        <f t="shared" si="1316"/>
        <v>0</v>
      </c>
      <c r="AF863" s="123">
        <f t="shared" si="1317"/>
        <v>0</v>
      </c>
      <c r="AG863" s="123">
        <f t="shared" si="1318"/>
        <v>0</v>
      </c>
      <c r="AH863" s="123">
        <f t="shared" si="1319"/>
        <v>0</v>
      </c>
      <c r="AI863" s="123">
        <f t="shared" si="1320"/>
        <v>0</v>
      </c>
      <c r="AJ863" s="123">
        <f t="shared" si="1321"/>
        <v>0</v>
      </c>
      <c r="AL863" s="123">
        <f ca="1">SUM((INDIRECT(AL$2&amp;(ROW())):INDIRECT(AL$3&amp;(ROW()))))</f>
        <v>0</v>
      </c>
      <c r="AM863" s="123">
        <f ca="1">SUM(INDIRECT(AM$1&amp;AM$2&amp;$C863):INDIRECT(AM$1&amp;AM$3&amp;$C863))</f>
        <v>0</v>
      </c>
      <c r="AN863" s="3081">
        <f t="shared" ca="1" si="1254"/>
        <v>0</v>
      </c>
      <c r="AO863" s="2716">
        <f t="shared" ca="1" si="1255"/>
        <v>0</v>
      </c>
      <c r="AP863" s="123">
        <f ca="1">SUM(INDIRECT(AP$1&amp;AP$2&amp;$A863):INDIRECT(AP$1&amp;AP$3&amp;$A863))+SUM(INDIRECT(AP$1&amp;AP$2&amp;$B863):INDIRECT(AP$1&amp;AP$3&amp;$B863))</f>
        <v>0</v>
      </c>
      <c r="AQ863" s="3081">
        <f t="shared" ca="1" si="1256"/>
        <v>0</v>
      </c>
      <c r="AR863" s="2716">
        <f t="shared" ca="1" si="1257"/>
        <v>0</v>
      </c>
      <c r="AT863" s="123">
        <f ca="1">SUM((INDIRECT(AT$2&amp;(ROW())):INDIRECT(AT$3&amp;(ROW()))))</f>
        <v>0</v>
      </c>
      <c r="AU863" s="123">
        <f ca="1">SUM(INDIRECT(AU$1&amp;AU$2&amp;$C863):INDIRECT(AU$1&amp;AU$3&amp;$C863))</f>
        <v>0</v>
      </c>
      <c r="AV863" s="3081">
        <f t="shared" ca="1" si="1258"/>
        <v>0</v>
      </c>
      <c r="AW863" s="2716">
        <f t="shared" ca="1" si="1259"/>
        <v>0</v>
      </c>
      <c r="AX863" s="123">
        <f ca="1">SUM(INDIRECT(AX$1&amp;AX$2&amp;$A863):INDIRECT(AX$1&amp;AX$3&amp;$A863))+SUM(INDIRECT(AX$1&amp;AX$2&amp;$B863):INDIRECT(AX$1&amp;AX$3&amp;$B863))</f>
        <v>0</v>
      </c>
      <c r="AY863" s="3081">
        <f t="shared" ca="1" si="1260"/>
        <v>0</v>
      </c>
      <c r="AZ863" s="2716">
        <f t="shared" ca="1" si="1261"/>
        <v>0</v>
      </c>
      <c r="BB863" s="123">
        <f ca="1">SUM((INDIRECT(BB$2&amp;(ROW())):INDIRECT(BB$3&amp;(ROW()))))</f>
        <v>0</v>
      </c>
      <c r="BC863" s="123">
        <f ca="1">SUM(INDIRECT(BC$1&amp;BC$2&amp;$C863):INDIRECT(BC$1&amp;BC$3&amp;$C863))</f>
        <v>0</v>
      </c>
      <c r="BD863" s="3081">
        <f t="shared" ca="1" si="1262"/>
        <v>0</v>
      </c>
      <c r="BE863" s="2716">
        <f t="shared" ca="1" si="1263"/>
        <v>0</v>
      </c>
      <c r="BF863" s="123">
        <f ca="1">SUM(INDIRECT(BF$1&amp;BF$2&amp;$A863):INDIRECT(BF$1&amp;BF$3&amp;$A863))+SUM(INDIRECT(BF$1&amp;BF$2&amp;$B863):INDIRECT(BF$1&amp;BF$3&amp;$B863))</f>
        <v>0</v>
      </c>
      <c r="BG863" s="3081">
        <f t="shared" ca="1" si="1264"/>
        <v>0</v>
      </c>
      <c r="BH863" s="2716">
        <f t="shared" ca="1" si="1265"/>
        <v>0</v>
      </c>
    </row>
    <row r="864" spans="1:60" s="69" customFormat="1" ht="14.5">
      <c r="A864" s="616">
        <f t="shared" si="1250"/>
        <v>777</v>
      </c>
      <c r="B864" s="616">
        <v>1</v>
      </c>
      <c r="C864" s="616">
        <f t="shared" si="1251"/>
        <v>861</v>
      </c>
      <c r="D864" s="709" t="s">
        <v>1308</v>
      </c>
      <c r="E864" s="2547">
        <v>1</v>
      </c>
      <c r="F864" s="8"/>
      <c r="G864" s="8"/>
      <c r="H864" s="22"/>
      <c r="I864" s="3291" t="s">
        <v>1456</v>
      </c>
      <c r="J864" s="590"/>
      <c r="K864" s="591"/>
      <c r="L864" s="591"/>
      <c r="M864" s="591"/>
      <c r="N864" s="591"/>
      <c r="O864" s="591"/>
      <c r="P864" s="591"/>
      <c r="Q864" s="1818" t="str">
        <f>CHOOSE(2, "6722000003783", "FC COGS (4) MS")</f>
        <v>FC COGS (4) MS</v>
      </c>
      <c r="R864" s="1266">
        <f>SUM(R865:R868)</f>
        <v>0</v>
      </c>
      <c r="S864" s="1266">
        <f t="shared" ref="S864:AJ864" si="1325">SUM(S865:S868)</f>
        <v>0</v>
      </c>
      <c r="T864" s="1266">
        <f t="shared" si="1325"/>
        <v>0</v>
      </c>
      <c r="U864" s="1266">
        <f t="shared" si="1325"/>
        <v>0</v>
      </c>
      <c r="V864" s="1266">
        <f t="shared" si="1325"/>
        <v>0</v>
      </c>
      <c r="W864" s="1266">
        <f t="shared" si="1325"/>
        <v>0</v>
      </c>
      <c r="X864" s="1266">
        <f t="shared" si="1325"/>
        <v>0</v>
      </c>
      <c r="Y864" s="1266">
        <f t="shared" si="1325"/>
        <v>0</v>
      </c>
      <c r="Z864" s="1266">
        <f t="shared" si="1325"/>
        <v>0</v>
      </c>
      <c r="AA864" s="1266">
        <f t="shared" si="1325"/>
        <v>0</v>
      </c>
      <c r="AB864" s="1266">
        <f t="shared" si="1325"/>
        <v>0</v>
      </c>
      <c r="AC864" s="1266">
        <f t="shared" si="1325"/>
        <v>0</v>
      </c>
      <c r="AD864" s="3292">
        <f t="shared" si="1325"/>
        <v>0</v>
      </c>
      <c r="AE864" s="1266">
        <f t="shared" si="1325"/>
        <v>0</v>
      </c>
      <c r="AF864" s="1266">
        <f t="shared" si="1325"/>
        <v>0</v>
      </c>
      <c r="AG864" s="1266">
        <f t="shared" si="1325"/>
        <v>0</v>
      </c>
      <c r="AH864" s="1266">
        <f t="shared" si="1325"/>
        <v>0</v>
      </c>
      <c r="AI864" s="1266">
        <f t="shared" si="1325"/>
        <v>0</v>
      </c>
      <c r="AJ864" s="1266">
        <f t="shared" si="1325"/>
        <v>0</v>
      </c>
      <c r="AL864" s="1266">
        <f ca="1">SUM((INDIRECT(AL$2&amp;(ROW())):INDIRECT(AL$3&amp;(ROW()))))</f>
        <v>0</v>
      </c>
      <c r="AM864" s="1266">
        <f ca="1">SUM(INDIRECT(AM$1&amp;AM$2&amp;$C864):INDIRECT(AM$1&amp;AM$3&amp;$C864))</f>
        <v>0</v>
      </c>
      <c r="AN864" s="3293">
        <f t="shared" ca="1" si="1254"/>
        <v>0</v>
      </c>
      <c r="AO864" s="2943">
        <f t="shared" ca="1" si="1255"/>
        <v>0</v>
      </c>
      <c r="AP864" s="1266">
        <f ca="1">SUM(INDIRECT(AP$1&amp;AP$2&amp;$A864):INDIRECT(AP$1&amp;AP$3&amp;$A864))+SUM(INDIRECT(AP$1&amp;AP$2&amp;$B864):INDIRECT(AP$1&amp;AP$3&amp;$B864))</f>
        <v>0</v>
      </c>
      <c r="AQ864" s="3293">
        <f t="shared" ca="1" si="1256"/>
        <v>0</v>
      </c>
      <c r="AR864" s="2943">
        <f t="shared" ca="1" si="1257"/>
        <v>0</v>
      </c>
      <c r="AT864" s="1266">
        <f ca="1">SUM((INDIRECT(AT$2&amp;(ROW())):INDIRECT(AT$3&amp;(ROW()))))</f>
        <v>0</v>
      </c>
      <c r="AU864" s="1266">
        <f ca="1">SUM(INDIRECT(AU$1&amp;AU$2&amp;$C864):INDIRECT(AU$1&amp;AU$3&amp;$C864))</f>
        <v>0</v>
      </c>
      <c r="AV864" s="3293">
        <f t="shared" ca="1" si="1258"/>
        <v>0</v>
      </c>
      <c r="AW864" s="2943">
        <f t="shared" ca="1" si="1259"/>
        <v>0</v>
      </c>
      <c r="AX864" s="1266">
        <f ca="1">SUM(INDIRECT(AX$1&amp;AX$2&amp;$A864):INDIRECT(AX$1&amp;AX$3&amp;$A864))+SUM(INDIRECT(AX$1&amp;AX$2&amp;$B864):INDIRECT(AX$1&amp;AX$3&amp;$B864))</f>
        <v>0</v>
      </c>
      <c r="AY864" s="3293">
        <f t="shared" ca="1" si="1260"/>
        <v>0</v>
      </c>
      <c r="AZ864" s="2943">
        <f t="shared" ca="1" si="1261"/>
        <v>0</v>
      </c>
      <c r="BB864" s="1266">
        <f ca="1">SUM((INDIRECT(BB$2&amp;(ROW())):INDIRECT(BB$3&amp;(ROW()))))</f>
        <v>0</v>
      </c>
      <c r="BC864" s="1266">
        <f ca="1">SUM(INDIRECT(BC$1&amp;BC$2&amp;$C864):INDIRECT(BC$1&amp;BC$3&amp;$C864))</f>
        <v>0</v>
      </c>
      <c r="BD864" s="3293">
        <f t="shared" ca="1" si="1262"/>
        <v>0</v>
      </c>
      <c r="BE864" s="2943">
        <f t="shared" ca="1" si="1263"/>
        <v>0</v>
      </c>
      <c r="BF864" s="1266">
        <f ca="1">SUM(INDIRECT(BF$1&amp;BF$2&amp;$A864):INDIRECT(BF$1&amp;BF$3&amp;$A864))+SUM(INDIRECT(BF$1&amp;BF$2&amp;$B864):INDIRECT(BF$1&amp;BF$3&amp;$B864))</f>
        <v>0</v>
      </c>
      <c r="BG864" s="3293">
        <f t="shared" ca="1" si="1264"/>
        <v>0</v>
      </c>
      <c r="BH864" s="2943">
        <f t="shared" ca="1" si="1265"/>
        <v>0</v>
      </c>
    </row>
    <row r="865" spans="1:60" ht="14.5">
      <c r="A865" s="616">
        <f t="shared" si="1250"/>
        <v>778</v>
      </c>
      <c r="B865" s="616">
        <v>1</v>
      </c>
      <c r="C865" s="616">
        <f t="shared" si="1251"/>
        <v>862</v>
      </c>
      <c r="D865" s="709" t="s">
        <v>1308</v>
      </c>
      <c r="E865" s="2547">
        <v>1</v>
      </c>
      <c r="F865" s="8"/>
      <c r="G865" s="8"/>
      <c r="I865" s="1235"/>
      <c r="J865" s="8" t="s">
        <v>1503</v>
      </c>
      <c r="K865" s="8"/>
      <c r="L865" s="8"/>
      <c r="Q865" s="1779" t="str">
        <f>CHOOSE(2, "6722000003784", "FC COGS (4) MS Included in COGS [PC(Service)]")</f>
        <v>FC COGS (4) MS Included in COGS [PC(Service)]</v>
      </c>
      <c r="R865" s="1217">
        <v>0</v>
      </c>
      <c r="S865" s="1217">
        <v>0</v>
      </c>
      <c r="T865" s="1217">
        <v>0</v>
      </c>
      <c r="U865" s="1217">
        <v>0</v>
      </c>
      <c r="V865" s="1217">
        <v>0</v>
      </c>
      <c r="W865" s="1217">
        <v>0</v>
      </c>
      <c r="X865" s="1217">
        <v>0</v>
      </c>
      <c r="Y865" s="1217">
        <v>0</v>
      </c>
      <c r="Z865" s="1217">
        <v>0</v>
      </c>
      <c r="AA865" s="1217">
        <v>0</v>
      </c>
      <c r="AB865" s="1217">
        <v>0</v>
      </c>
      <c r="AC865" s="1217">
        <v>0</v>
      </c>
      <c r="AD865" s="125">
        <f>SUM(R865,S865,T865)</f>
        <v>0</v>
      </c>
      <c r="AE865" s="126">
        <f t="shared" ref="AE865:AE868" si="1326">SUM(U865,V865,W865)</f>
        <v>0</v>
      </c>
      <c r="AF865" s="126">
        <f t="shared" ref="AF865:AF868" si="1327">SUM(X865,Y865,Z865)</f>
        <v>0</v>
      </c>
      <c r="AG865" s="126">
        <f t="shared" ref="AG865:AG868" si="1328">SUM(AA865,AB865,AC865)</f>
        <v>0</v>
      </c>
      <c r="AH865" s="126">
        <f t="shared" ref="AH865:AH868" si="1329">AD865+AE865</f>
        <v>0</v>
      </c>
      <c r="AI865" s="126">
        <f t="shared" ref="AI865:AI868" si="1330">AG865+AF865</f>
        <v>0</v>
      </c>
      <c r="AJ865" s="126">
        <f t="shared" ref="AJ865:AJ868" si="1331">AH865+AI865</f>
        <v>0</v>
      </c>
      <c r="AL865" s="126">
        <f ca="1">SUM((INDIRECT(AL$2&amp;(ROW())):INDIRECT(AL$3&amp;(ROW()))))</f>
        <v>0</v>
      </c>
      <c r="AM865" s="126">
        <f ca="1">SUM(INDIRECT(AM$1&amp;AM$2&amp;$C865):INDIRECT(AM$1&amp;AM$3&amp;$C865))</f>
        <v>18783.333333333336</v>
      </c>
      <c r="AN865" s="3134">
        <f t="shared" ca="1" si="1254"/>
        <v>-18783.333333333336</v>
      </c>
      <c r="AO865" s="2787">
        <f t="shared" ca="1" si="1255"/>
        <v>0</v>
      </c>
      <c r="AP865" s="126">
        <f ca="1">SUM(INDIRECT(AP$1&amp;AP$2&amp;$A865):INDIRECT(AP$1&amp;AP$3&amp;$A865))+SUM(INDIRECT(AP$1&amp;AP$2&amp;$B865):INDIRECT(AP$1&amp;AP$3&amp;$B865))</f>
        <v>0</v>
      </c>
      <c r="AQ865" s="3134">
        <f t="shared" ca="1" si="1256"/>
        <v>0</v>
      </c>
      <c r="AR865" s="2787">
        <f t="shared" ca="1" si="1257"/>
        <v>0</v>
      </c>
      <c r="AT865" s="126">
        <f ca="1">SUM((INDIRECT(AT$2&amp;(ROW())):INDIRECT(AT$3&amp;(ROW()))))</f>
        <v>0</v>
      </c>
      <c r="AU865" s="126">
        <f ca="1">SUM(INDIRECT(AU$1&amp;AU$2&amp;$C865):INDIRECT(AU$1&amp;AU$3&amp;$C865))</f>
        <v>55470.000000000007</v>
      </c>
      <c r="AV865" s="3134">
        <f t="shared" ca="1" si="1258"/>
        <v>-55470.000000000007</v>
      </c>
      <c r="AW865" s="2787">
        <f t="shared" ca="1" si="1259"/>
        <v>0</v>
      </c>
      <c r="AX865" s="126">
        <f ca="1">SUM(INDIRECT(AX$1&amp;AX$2&amp;$A865):INDIRECT(AX$1&amp;AX$3&amp;$A865))+SUM(INDIRECT(AX$1&amp;AX$2&amp;$B865):INDIRECT(AX$1&amp;AX$3&amp;$B865))</f>
        <v>0</v>
      </c>
      <c r="AY865" s="3134">
        <f t="shared" ca="1" si="1260"/>
        <v>0</v>
      </c>
      <c r="AZ865" s="2787">
        <f t="shared" ca="1" si="1261"/>
        <v>0</v>
      </c>
      <c r="BB865" s="126">
        <f ca="1">SUM((INDIRECT(BB$2&amp;(ROW())):INDIRECT(BB$3&amp;(ROW()))))</f>
        <v>0</v>
      </c>
      <c r="BC865" s="126">
        <f ca="1">SUM(INDIRECT(BC$1&amp;BC$2&amp;$C865):INDIRECT(BC$1&amp;BC$3&amp;$C865))</f>
        <v>91276.666666666686</v>
      </c>
      <c r="BD865" s="3134">
        <f t="shared" ca="1" si="1262"/>
        <v>-91276.666666666686</v>
      </c>
      <c r="BE865" s="2787">
        <f t="shared" ca="1" si="1263"/>
        <v>0</v>
      </c>
      <c r="BF865" s="126">
        <f ca="1">SUM(INDIRECT(BF$1&amp;BF$2&amp;$A865):INDIRECT(BF$1&amp;BF$3&amp;$A865))+SUM(INDIRECT(BF$1&amp;BF$2&amp;$B865):INDIRECT(BF$1&amp;BF$3&amp;$B865))</f>
        <v>0</v>
      </c>
      <c r="BG865" s="3134">
        <f t="shared" ca="1" si="1264"/>
        <v>0</v>
      </c>
      <c r="BH865" s="2787">
        <f t="shared" ca="1" si="1265"/>
        <v>0</v>
      </c>
    </row>
    <row r="866" spans="1:60" ht="14.5">
      <c r="A866" s="616">
        <f t="shared" si="1250"/>
        <v>779</v>
      </c>
      <c r="B866" s="616">
        <v>1</v>
      </c>
      <c r="C866" s="616">
        <f t="shared" si="1251"/>
        <v>863</v>
      </c>
      <c r="D866" s="709" t="s">
        <v>1308</v>
      </c>
      <c r="E866" s="2547">
        <v>1</v>
      </c>
      <c r="F866" s="8"/>
      <c r="G866" s="8"/>
      <c r="I866" s="1235"/>
      <c r="J866" s="8" t="s">
        <v>1504</v>
      </c>
      <c r="K866" s="8"/>
      <c r="L866" s="8"/>
      <c r="Q866" s="1779" t="str">
        <f>CHOOSE(2, "6722000003785", "FC COGS (4) MS Included in COGS [TE(Service)]")</f>
        <v>FC COGS (4) MS Included in COGS [TE(Service)]</v>
      </c>
      <c r="R866" s="1217">
        <v>0</v>
      </c>
      <c r="S866" s="1217">
        <v>0</v>
      </c>
      <c r="T866" s="1217">
        <v>0</v>
      </c>
      <c r="U866" s="1217">
        <v>0</v>
      </c>
      <c r="V866" s="1217">
        <v>0</v>
      </c>
      <c r="W866" s="1217">
        <v>0</v>
      </c>
      <c r="X866" s="1217">
        <v>0</v>
      </c>
      <c r="Y866" s="1217">
        <v>0</v>
      </c>
      <c r="Z866" s="1217">
        <v>0</v>
      </c>
      <c r="AA866" s="1217">
        <v>0</v>
      </c>
      <c r="AB866" s="1217">
        <v>0</v>
      </c>
      <c r="AC866" s="1217">
        <v>0</v>
      </c>
      <c r="AD866" s="125">
        <f>SUM(R866,S866,T866)</f>
        <v>0</v>
      </c>
      <c r="AE866" s="126">
        <f t="shared" si="1326"/>
        <v>0</v>
      </c>
      <c r="AF866" s="126">
        <f t="shared" si="1327"/>
        <v>0</v>
      </c>
      <c r="AG866" s="126">
        <f t="shared" si="1328"/>
        <v>0</v>
      </c>
      <c r="AH866" s="126">
        <f t="shared" si="1329"/>
        <v>0</v>
      </c>
      <c r="AI866" s="126">
        <f t="shared" si="1330"/>
        <v>0</v>
      </c>
      <c r="AJ866" s="126">
        <f t="shared" si="1331"/>
        <v>0</v>
      </c>
      <c r="AL866" s="126">
        <f ca="1">SUM((INDIRECT(AL$2&amp;(ROW())):INDIRECT(AL$3&amp;(ROW()))))</f>
        <v>0</v>
      </c>
      <c r="AM866" s="126">
        <f ca="1">SUM(INDIRECT(AM$1&amp;AM$2&amp;$C866):INDIRECT(AM$1&amp;AM$3&amp;$C866))</f>
        <v>15766.66666666667</v>
      </c>
      <c r="AN866" s="3134">
        <f t="shared" ca="1" si="1254"/>
        <v>-15766.66666666667</v>
      </c>
      <c r="AO866" s="2787">
        <f t="shared" ca="1" si="1255"/>
        <v>0</v>
      </c>
      <c r="AP866" s="126">
        <f ca="1">SUM(INDIRECT(AP$1&amp;AP$2&amp;$A866):INDIRECT(AP$1&amp;AP$3&amp;$A866))+SUM(INDIRECT(AP$1&amp;AP$2&amp;$B866):INDIRECT(AP$1&amp;AP$3&amp;$B866))</f>
        <v>0</v>
      </c>
      <c r="AQ866" s="3134">
        <f t="shared" ca="1" si="1256"/>
        <v>0</v>
      </c>
      <c r="AR866" s="2787">
        <f t="shared" ca="1" si="1257"/>
        <v>0</v>
      </c>
      <c r="AT866" s="126">
        <f ca="1">SUM((INDIRECT(AT$2&amp;(ROW())):INDIRECT(AT$3&amp;(ROW()))))</f>
        <v>0</v>
      </c>
      <c r="AU866" s="126">
        <f ca="1">SUM(INDIRECT(AU$1&amp;AU$2&amp;$C866):INDIRECT(AU$1&amp;AU$3&amp;$C866))</f>
        <v>46420.000000000007</v>
      </c>
      <c r="AV866" s="3134">
        <f t="shared" ca="1" si="1258"/>
        <v>-46420.000000000007</v>
      </c>
      <c r="AW866" s="2787">
        <f t="shared" ca="1" si="1259"/>
        <v>0</v>
      </c>
      <c r="AX866" s="126">
        <f ca="1">SUM(INDIRECT(AX$1&amp;AX$2&amp;$A866):INDIRECT(AX$1&amp;AX$3&amp;$A866))+SUM(INDIRECT(AX$1&amp;AX$2&amp;$B866):INDIRECT(AX$1&amp;AX$3&amp;$B866))</f>
        <v>0</v>
      </c>
      <c r="AY866" s="3134">
        <f t="shared" ca="1" si="1260"/>
        <v>0</v>
      </c>
      <c r="AZ866" s="2787">
        <f t="shared" ca="1" si="1261"/>
        <v>0</v>
      </c>
      <c r="BB866" s="126">
        <f ca="1">SUM((INDIRECT(BB$2&amp;(ROW())):INDIRECT(BB$3&amp;(ROW()))))</f>
        <v>0</v>
      </c>
      <c r="BC866" s="126">
        <f ca="1">SUM(INDIRECT(BC$1&amp;BC$2&amp;$C866):INDIRECT(BC$1&amp;BC$3&amp;$C866))</f>
        <v>76193.333333333343</v>
      </c>
      <c r="BD866" s="3134">
        <f t="shared" ca="1" si="1262"/>
        <v>-76193.333333333343</v>
      </c>
      <c r="BE866" s="2787">
        <f t="shared" ca="1" si="1263"/>
        <v>0</v>
      </c>
      <c r="BF866" s="126">
        <f ca="1">SUM(INDIRECT(BF$1&amp;BF$2&amp;$A866):INDIRECT(BF$1&amp;BF$3&amp;$A866))+SUM(INDIRECT(BF$1&amp;BF$2&amp;$B866):INDIRECT(BF$1&amp;BF$3&amp;$B866))</f>
        <v>0</v>
      </c>
      <c r="BG866" s="3134">
        <f t="shared" ca="1" si="1264"/>
        <v>0</v>
      </c>
      <c r="BH866" s="2787">
        <f t="shared" ca="1" si="1265"/>
        <v>0</v>
      </c>
    </row>
    <row r="867" spans="1:60" ht="14.5">
      <c r="A867" s="616">
        <f t="shared" si="1250"/>
        <v>780</v>
      </c>
      <c r="B867" s="616">
        <v>1</v>
      </c>
      <c r="C867" s="616">
        <f t="shared" si="1251"/>
        <v>864</v>
      </c>
      <c r="D867" s="709" t="s">
        <v>1308</v>
      </c>
      <c r="E867" s="2547">
        <v>1</v>
      </c>
      <c r="F867" s="8"/>
      <c r="G867" s="8"/>
      <c r="I867" s="172"/>
      <c r="J867" s="8" t="s">
        <v>1505</v>
      </c>
      <c r="Q867" s="1779" t="str">
        <f>CHOOSE(2, "6722000003786", "FC COGS (4) MS Included in COGS [OFC(Service)]")</f>
        <v>FC COGS (4) MS Included in COGS [OFC(Service)]</v>
      </c>
      <c r="R867" s="1217">
        <v>0</v>
      </c>
      <c r="S867" s="1217">
        <v>0</v>
      </c>
      <c r="T867" s="1217">
        <v>0</v>
      </c>
      <c r="U867" s="1217">
        <v>0</v>
      </c>
      <c r="V867" s="1217">
        <v>0</v>
      </c>
      <c r="W867" s="1217">
        <v>0</v>
      </c>
      <c r="X867" s="1217">
        <v>0</v>
      </c>
      <c r="Y867" s="1217">
        <v>0</v>
      </c>
      <c r="Z867" s="1217">
        <v>0</v>
      </c>
      <c r="AA867" s="1217">
        <v>0</v>
      </c>
      <c r="AB867" s="1217">
        <v>0</v>
      </c>
      <c r="AC867" s="1217">
        <v>0</v>
      </c>
      <c r="AD867" s="125">
        <f>SUM(R867,S867,T867)</f>
        <v>0</v>
      </c>
      <c r="AE867" s="126">
        <f t="shared" si="1326"/>
        <v>0</v>
      </c>
      <c r="AF867" s="126">
        <f t="shared" si="1327"/>
        <v>0</v>
      </c>
      <c r="AG867" s="126">
        <f t="shared" si="1328"/>
        <v>0</v>
      </c>
      <c r="AH867" s="126">
        <f t="shared" si="1329"/>
        <v>0</v>
      </c>
      <c r="AI867" s="126">
        <f t="shared" si="1330"/>
        <v>0</v>
      </c>
      <c r="AJ867" s="126">
        <f t="shared" si="1331"/>
        <v>0</v>
      </c>
      <c r="AL867" s="126">
        <f ca="1">SUM((INDIRECT(AL$2&amp;(ROW())):INDIRECT(AL$3&amp;(ROW()))))</f>
        <v>0</v>
      </c>
      <c r="AM867" s="126">
        <f ca="1">SUM(INDIRECT(AM$1&amp;AM$2&amp;$C867):INDIRECT(AM$1&amp;AM$3&amp;$C867))</f>
        <v>2733.3333333333335</v>
      </c>
      <c r="AN867" s="3134">
        <f t="shared" ca="1" si="1254"/>
        <v>-2733.3333333333335</v>
      </c>
      <c r="AO867" s="2787">
        <f t="shared" ca="1" si="1255"/>
        <v>0</v>
      </c>
      <c r="AP867" s="126">
        <f ca="1">SUM(INDIRECT(AP$1&amp;AP$2&amp;$A867):INDIRECT(AP$1&amp;AP$3&amp;$A867))+SUM(INDIRECT(AP$1&amp;AP$2&amp;$B867):INDIRECT(AP$1&amp;AP$3&amp;$B867))</f>
        <v>0</v>
      </c>
      <c r="AQ867" s="3134">
        <f t="shared" ca="1" si="1256"/>
        <v>0</v>
      </c>
      <c r="AR867" s="2787">
        <f t="shared" ca="1" si="1257"/>
        <v>0</v>
      </c>
      <c r="AT867" s="126">
        <f ca="1">SUM((INDIRECT(AT$2&amp;(ROW())):INDIRECT(AT$3&amp;(ROW()))))</f>
        <v>0</v>
      </c>
      <c r="AU867" s="126">
        <f ca="1">SUM(INDIRECT(AU$1&amp;AU$2&amp;$C867):INDIRECT(AU$1&amp;AU$3&amp;$C867))</f>
        <v>8200</v>
      </c>
      <c r="AV867" s="3134">
        <f t="shared" ca="1" si="1258"/>
        <v>-8200</v>
      </c>
      <c r="AW867" s="2787">
        <f t="shared" ca="1" si="1259"/>
        <v>0</v>
      </c>
      <c r="AX867" s="126">
        <f ca="1">SUM(INDIRECT(AX$1&amp;AX$2&amp;$A867):INDIRECT(AX$1&amp;AX$3&amp;$A867))+SUM(INDIRECT(AX$1&amp;AX$2&amp;$B867):INDIRECT(AX$1&amp;AX$3&amp;$B867))</f>
        <v>0</v>
      </c>
      <c r="AY867" s="3134">
        <f t="shared" ca="1" si="1260"/>
        <v>0</v>
      </c>
      <c r="AZ867" s="2787">
        <f t="shared" ca="1" si="1261"/>
        <v>0</v>
      </c>
      <c r="BB867" s="126">
        <f ca="1">SUM((INDIRECT(BB$2&amp;(ROW())):INDIRECT(BB$3&amp;(ROW()))))</f>
        <v>0</v>
      </c>
      <c r="BC867" s="126">
        <f ca="1">SUM(INDIRECT(BC$1&amp;BC$2&amp;$C867):INDIRECT(BC$1&amp;BC$3&amp;$C867))</f>
        <v>13666.666666666668</v>
      </c>
      <c r="BD867" s="3134">
        <f t="shared" ca="1" si="1262"/>
        <v>-13666.666666666668</v>
      </c>
      <c r="BE867" s="2787">
        <f t="shared" ca="1" si="1263"/>
        <v>0</v>
      </c>
      <c r="BF867" s="126">
        <f ca="1">SUM(INDIRECT(BF$1&amp;BF$2&amp;$A867):INDIRECT(BF$1&amp;BF$3&amp;$A867))+SUM(INDIRECT(BF$1&amp;BF$2&amp;$B867):INDIRECT(BF$1&amp;BF$3&amp;$B867))</f>
        <v>0</v>
      </c>
      <c r="BG867" s="3134">
        <f t="shared" ca="1" si="1264"/>
        <v>0</v>
      </c>
      <c r="BH867" s="2787">
        <f t="shared" ca="1" si="1265"/>
        <v>0</v>
      </c>
    </row>
    <row r="868" spans="1:60" ht="14.5">
      <c r="A868" s="616">
        <f t="shared" si="1250"/>
        <v>781</v>
      </c>
      <c r="B868" s="616">
        <v>1</v>
      </c>
      <c r="C868" s="616">
        <f t="shared" si="1251"/>
        <v>865</v>
      </c>
      <c r="D868" s="709" t="s">
        <v>1308</v>
      </c>
      <c r="E868" s="2547">
        <v>1</v>
      </c>
      <c r="F868" s="8"/>
      <c r="G868" s="8"/>
      <c r="I868" s="171"/>
      <c r="J868" s="11" t="s">
        <v>1506</v>
      </c>
      <c r="K868" s="16"/>
      <c r="L868" s="16"/>
      <c r="M868" s="11"/>
      <c r="N868" s="11"/>
      <c r="O868" s="11"/>
      <c r="P868" s="11"/>
      <c r="Q868" s="1779" t="str">
        <f>CHOOSE(2, "6722000003787", "FC COGS (4) MS Included in COGS [D&amp;A]")</f>
        <v>FC COGS (4) MS Included in COGS [D&amp;A]</v>
      </c>
      <c r="R868" s="1218">
        <v>0</v>
      </c>
      <c r="S868" s="1218">
        <v>0</v>
      </c>
      <c r="T868" s="1218">
        <v>0</v>
      </c>
      <c r="U868" s="1218">
        <v>0</v>
      </c>
      <c r="V868" s="1218">
        <v>0</v>
      </c>
      <c r="W868" s="1218">
        <v>0</v>
      </c>
      <c r="X868" s="1218">
        <v>0</v>
      </c>
      <c r="Y868" s="1218">
        <v>0</v>
      </c>
      <c r="Z868" s="1218">
        <v>0</v>
      </c>
      <c r="AA868" s="1218">
        <v>0</v>
      </c>
      <c r="AB868" s="1218">
        <v>0</v>
      </c>
      <c r="AC868" s="1218">
        <v>0</v>
      </c>
      <c r="AD868" s="122">
        <f>SUM(R868,S868,T868)</f>
        <v>0</v>
      </c>
      <c r="AE868" s="123">
        <f t="shared" si="1326"/>
        <v>0</v>
      </c>
      <c r="AF868" s="123">
        <f t="shared" si="1327"/>
        <v>0</v>
      </c>
      <c r="AG868" s="123">
        <f t="shared" si="1328"/>
        <v>0</v>
      </c>
      <c r="AH868" s="123">
        <f t="shared" si="1329"/>
        <v>0</v>
      </c>
      <c r="AI868" s="123">
        <f t="shared" si="1330"/>
        <v>0</v>
      </c>
      <c r="AJ868" s="123">
        <f t="shared" si="1331"/>
        <v>0</v>
      </c>
      <c r="AL868" s="123">
        <f ca="1">SUM((INDIRECT(AL$2&amp;(ROW())):INDIRECT(AL$3&amp;(ROW()))))</f>
        <v>0</v>
      </c>
      <c r="AM868" s="123">
        <f ca="1">SUM(INDIRECT(AM$1&amp;AM$2&amp;$C868):INDIRECT(AM$1&amp;AM$3&amp;$C868))</f>
        <v>283.33333333333331</v>
      </c>
      <c r="AN868" s="3081">
        <f t="shared" ca="1" si="1254"/>
        <v>-283.33333333333331</v>
      </c>
      <c r="AO868" s="2716">
        <f t="shared" ca="1" si="1255"/>
        <v>0</v>
      </c>
      <c r="AP868" s="123">
        <f ca="1">SUM(INDIRECT(AP$1&amp;AP$2&amp;$A868):INDIRECT(AP$1&amp;AP$3&amp;$A868))+SUM(INDIRECT(AP$1&amp;AP$2&amp;$B868):INDIRECT(AP$1&amp;AP$3&amp;$B868))</f>
        <v>0</v>
      </c>
      <c r="AQ868" s="3081">
        <f t="shared" ca="1" si="1256"/>
        <v>0</v>
      </c>
      <c r="AR868" s="2716">
        <f t="shared" ca="1" si="1257"/>
        <v>0</v>
      </c>
      <c r="AT868" s="123">
        <f ca="1">SUM((INDIRECT(AT$2&amp;(ROW())):INDIRECT(AT$3&amp;(ROW()))))</f>
        <v>0</v>
      </c>
      <c r="AU868" s="123">
        <f ca="1">SUM(INDIRECT(AU$1&amp;AU$2&amp;$C868):INDIRECT(AU$1&amp;AU$3&amp;$C868))</f>
        <v>850</v>
      </c>
      <c r="AV868" s="3081">
        <f t="shared" ca="1" si="1258"/>
        <v>-850</v>
      </c>
      <c r="AW868" s="2716">
        <f t="shared" ca="1" si="1259"/>
        <v>0</v>
      </c>
      <c r="AX868" s="123">
        <f ca="1">SUM(INDIRECT(AX$1&amp;AX$2&amp;$A868):INDIRECT(AX$1&amp;AX$3&amp;$A868))+SUM(INDIRECT(AX$1&amp;AX$2&amp;$B868):INDIRECT(AX$1&amp;AX$3&amp;$B868))</f>
        <v>0</v>
      </c>
      <c r="AY868" s="3081">
        <f t="shared" ca="1" si="1260"/>
        <v>0</v>
      </c>
      <c r="AZ868" s="2716">
        <f t="shared" ca="1" si="1261"/>
        <v>0</v>
      </c>
      <c r="BB868" s="123">
        <f ca="1">SUM((INDIRECT(BB$2&amp;(ROW())):INDIRECT(BB$3&amp;(ROW()))))</f>
        <v>0</v>
      </c>
      <c r="BC868" s="123">
        <f ca="1">SUM(INDIRECT(BC$1&amp;BC$2&amp;$C868):INDIRECT(BC$1&amp;BC$3&amp;$C868))</f>
        <v>1416.6666666666665</v>
      </c>
      <c r="BD868" s="3081">
        <f t="shared" ca="1" si="1262"/>
        <v>-1416.6666666666665</v>
      </c>
      <c r="BE868" s="2716">
        <f t="shared" ca="1" si="1263"/>
        <v>0</v>
      </c>
      <c r="BF868" s="123">
        <f ca="1">SUM(INDIRECT(BF$1&amp;BF$2&amp;$A868):INDIRECT(BF$1&amp;BF$3&amp;$A868))+SUM(INDIRECT(BF$1&amp;BF$2&amp;$B868):INDIRECT(BF$1&amp;BF$3&amp;$B868))</f>
        <v>0</v>
      </c>
      <c r="BG868" s="3081">
        <f t="shared" ca="1" si="1264"/>
        <v>0</v>
      </c>
      <c r="BH868" s="2716">
        <f t="shared" ca="1" si="1265"/>
        <v>0</v>
      </c>
    </row>
    <row r="869" spans="1:60" s="69" customFormat="1" ht="14.5">
      <c r="A869" s="616">
        <f t="shared" si="1250"/>
        <v>782</v>
      </c>
      <c r="B869" s="616">
        <v>1</v>
      </c>
      <c r="C869" s="616">
        <f t="shared" si="1251"/>
        <v>866</v>
      </c>
      <c r="D869" s="709" t="s">
        <v>1308</v>
      </c>
      <c r="E869" s="2544">
        <v>1</v>
      </c>
      <c r="F869" s="8"/>
      <c r="H869" s="22"/>
      <c r="I869" s="3294" t="s">
        <v>1427</v>
      </c>
      <c r="J869" s="592"/>
      <c r="K869" s="593"/>
      <c r="L869" s="593"/>
      <c r="M869" s="593"/>
      <c r="N869" s="593"/>
      <c r="O869" s="593"/>
      <c r="P869" s="594"/>
      <c r="Q869" s="1819" t="str">
        <f>CHOOSE(2, "6722000003788", "FC COGS (5) DW-DX")</f>
        <v>FC COGS (5) DW-DX</v>
      </c>
      <c r="R869" s="1264">
        <f>SUM(R870:R873)</f>
        <v>0</v>
      </c>
      <c r="S869" s="1264">
        <f t="shared" ref="S869:AJ869" si="1332">SUM(S870:S873)</f>
        <v>0</v>
      </c>
      <c r="T869" s="1264">
        <f t="shared" si="1332"/>
        <v>0</v>
      </c>
      <c r="U869" s="1264">
        <f t="shared" si="1332"/>
        <v>0</v>
      </c>
      <c r="V869" s="1264">
        <f t="shared" si="1332"/>
        <v>0</v>
      </c>
      <c r="W869" s="1264">
        <f t="shared" si="1332"/>
        <v>0</v>
      </c>
      <c r="X869" s="1264">
        <f t="shared" si="1332"/>
        <v>0</v>
      </c>
      <c r="Y869" s="1264">
        <f t="shared" si="1332"/>
        <v>0</v>
      </c>
      <c r="Z869" s="1264">
        <f t="shared" si="1332"/>
        <v>0</v>
      </c>
      <c r="AA869" s="1264">
        <f t="shared" si="1332"/>
        <v>0</v>
      </c>
      <c r="AB869" s="1264">
        <f t="shared" si="1332"/>
        <v>0</v>
      </c>
      <c r="AC869" s="1264">
        <f t="shared" si="1332"/>
        <v>0</v>
      </c>
      <c r="AD869" s="3295">
        <f t="shared" si="1332"/>
        <v>0</v>
      </c>
      <c r="AE869" s="1264">
        <f t="shared" si="1332"/>
        <v>0</v>
      </c>
      <c r="AF869" s="1264">
        <f t="shared" si="1332"/>
        <v>0</v>
      </c>
      <c r="AG869" s="1264">
        <f t="shared" si="1332"/>
        <v>0</v>
      </c>
      <c r="AH869" s="1264">
        <f t="shared" si="1332"/>
        <v>0</v>
      </c>
      <c r="AI869" s="1264">
        <f t="shared" si="1332"/>
        <v>0</v>
      </c>
      <c r="AJ869" s="1264">
        <f t="shared" si="1332"/>
        <v>0</v>
      </c>
      <c r="AL869" s="1264">
        <f ca="1">SUM((INDIRECT(AL$2&amp;(ROW())):INDIRECT(AL$3&amp;(ROW()))))</f>
        <v>0</v>
      </c>
      <c r="AM869" s="1264">
        <f ca="1">SUM(INDIRECT(AM$1&amp;AM$2&amp;$C869):INDIRECT(AM$1&amp;AM$3&amp;$C869))</f>
        <v>0</v>
      </c>
      <c r="AN869" s="3296">
        <f t="shared" ca="1" si="1254"/>
        <v>0</v>
      </c>
      <c r="AO869" s="2945">
        <f t="shared" ca="1" si="1255"/>
        <v>0</v>
      </c>
      <c r="AP869" s="1264">
        <f ca="1">SUM(INDIRECT(AP$1&amp;AP$2&amp;$A869):INDIRECT(AP$1&amp;AP$3&amp;$A869))+SUM(INDIRECT(AP$1&amp;AP$2&amp;$B869):INDIRECT(AP$1&amp;AP$3&amp;$B869))</f>
        <v>0</v>
      </c>
      <c r="AQ869" s="3296">
        <f t="shared" ca="1" si="1256"/>
        <v>0</v>
      </c>
      <c r="AR869" s="2945">
        <f t="shared" ca="1" si="1257"/>
        <v>0</v>
      </c>
      <c r="AT869" s="1264">
        <f ca="1">SUM((INDIRECT(AT$2&amp;(ROW())):INDIRECT(AT$3&amp;(ROW()))))</f>
        <v>0</v>
      </c>
      <c r="AU869" s="1264">
        <f ca="1">SUM(INDIRECT(AU$1&amp;AU$2&amp;$C869):INDIRECT(AU$1&amp;AU$3&amp;$C869))</f>
        <v>0</v>
      </c>
      <c r="AV869" s="3296">
        <f t="shared" ca="1" si="1258"/>
        <v>0</v>
      </c>
      <c r="AW869" s="2945">
        <f t="shared" ca="1" si="1259"/>
        <v>0</v>
      </c>
      <c r="AX869" s="1264">
        <f ca="1">SUM(INDIRECT(AX$1&amp;AX$2&amp;$A869):INDIRECT(AX$1&amp;AX$3&amp;$A869))+SUM(INDIRECT(AX$1&amp;AX$2&amp;$B869):INDIRECT(AX$1&amp;AX$3&amp;$B869))</f>
        <v>0</v>
      </c>
      <c r="AY869" s="3296">
        <f t="shared" ca="1" si="1260"/>
        <v>0</v>
      </c>
      <c r="AZ869" s="2945">
        <f t="shared" ca="1" si="1261"/>
        <v>0</v>
      </c>
      <c r="BB869" s="1264">
        <f ca="1">SUM((INDIRECT(BB$2&amp;(ROW())):INDIRECT(BB$3&amp;(ROW()))))</f>
        <v>0</v>
      </c>
      <c r="BC869" s="1264">
        <f ca="1">SUM(INDIRECT(BC$1&amp;BC$2&amp;$C869):INDIRECT(BC$1&amp;BC$3&amp;$C869))</f>
        <v>0</v>
      </c>
      <c r="BD869" s="3296">
        <f t="shared" ca="1" si="1262"/>
        <v>0</v>
      </c>
      <c r="BE869" s="2945">
        <f t="shared" ca="1" si="1263"/>
        <v>0</v>
      </c>
      <c r="BF869" s="1264">
        <f ca="1">SUM(INDIRECT(BF$1&amp;BF$2&amp;$A869):INDIRECT(BF$1&amp;BF$3&amp;$A869))+SUM(INDIRECT(BF$1&amp;BF$2&amp;$B869):INDIRECT(BF$1&amp;BF$3&amp;$B869))</f>
        <v>0</v>
      </c>
      <c r="BG869" s="3296">
        <f t="shared" ca="1" si="1264"/>
        <v>0</v>
      </c>
      <c r="BH869" s="2945">
        <f t="shared" ca="1" si="1265"/>
        <v>0</v>
      </c>
    </row>
    <row r="870" spans="1:60" ht="14.5">
      <c r="A870" s="616">
        <f t="shared" si="1250"/>
        <v>783</v>
      </c>
      <c r="B870" s="616">
        <v>1</v>
      </c>
      <c r="C870" s="616">
        <f t="shared" si="1251"/>
        <v>867</v>
      </c>
      <c r="D870" s="709" t="s">
        <v>1308</v>
      </c>
      <c r="E870" s="2594">
        <v>1</v>
      </c>
      <c r="F870" s="69"/>
      <c r="G870" s="69"/>
      <c r="I870" s="1235"/>
      <c r="J870" s="8" t="s">
        <v>1503</v>
      </c>
      <c r="K870" s="8"/>
      <c r="L870" s="8"/>
      <c r="Q870" s="1781" t="str">
        <f>CHOOSE(2, "6722000003789", "FC COGS (5) DW-DX Included in COGS [PC(Service)]")</f>
        <v>FC COGS (5) DW-DX Included in COGS [PC(Service)]</v>
      </c>
      <c r="R870" s="1281">
        <v>0</v>
      </c>
      <c r="S870" s="1281">
        <v>0</v>
      </c>
      <c r="T870" s="1281">
        <v>0</v>
      </c>
      <c r="U870" s="1281">
        <v>0</v>
      </c>
      <c r="V870" s="1281">
        <v>0</v>
      </c>
      <c r="W870" s="1281">
        <v>0</v>
      </c>
      <c r="X870" s="1281">
        <v>0</v>
      </c>
      <c r="Y870" s="1281">
        <v>0</v>
      </c>
      <c r="Z870" s="1281">
        <v>0</v>
      </c>
      <c r="AA870" s="1281">
        <v>0</v>
      </c>
      <c r="AB870" s="1281">
        <v>0</v>
      </c>
      <c r="AC870" s="1281">
        <v>0</v>
      </c>
      <c r="AD870" s="125">
        <f>SUM(R870,S870,T870)</f>
        <v>0</v>
      </c>
      <c r="AE870" s="126">
        <f t="shared" ref="AE870:AE873" si="1333">SUM(U870,V870,W870)</f>
        <v>0</v>
      </c>
      <c r="AF870" s="126">
        <f t="shared" ref="AF870:AF873" si="1334">SUM(X870,Y870,Z870)</f>
        <v>0</v>
      </c>
      <c r="AG870" s="126">
        <f t="shared" ref="AG870:AG873" si="1335">SUM(AA870,AB870,AC870)</f>
        <v>0</v>
      </c>
      <c r="AH870" s="126">
        <f t="shared" ref="AH870:AH873" si="1336">AD870+AE870</f>
        <v>0</v>
      </c>
      <c r="AI870" s="126">
        <f t="shared" ref="AI870:AI873" si="1337">AG870+AF870</f>
        <v>0</v>
      </c>
      <c r="AJ870" s="126">
        <f t="shared" ref="AJ870:AJ873" si="1338">AH870+AI870</f>
        <v>0</v>
      </c>
      <c r="AL870" s="126">
        <f ca="1">SUM((INDIRECT(AL$2&amp;(ROW())):INDIRECT(AL$3&amp;(ROW()))))</f>
        <v>0</v>
      </c>
      <c r="AM870" s="126">
        <f ca="1">SUM(INDIRECT(AM$1&amp;AM$2&amp;$C870):INDIRECT(AM$1&amp;AM$3&amp;$C870))</f>
        <v>1190</v>
      </c>
      <c r="AN870" s="3134">
        <f t="shared" ca="1" si="1254"/>
        <v>-1190</v>
      </c>
      <c r="AO870" s="2787">
        <f t="shared" ca="1" si="1255"/>
        <v>0</v>
      </c>
      <c r="AP870" s="126">
        <f ca="1">SUM(INDIRECT(AP$1&amp;AP$2&amp;$A870):INDIRECT(AP$1&amp;AP$3&amp;$A870))+SUM(INDIRECT(AP$1&amp;AP$2&amp;$B870):INDIRECT(AP$1&amp;AP$3&amp;$B870))</f>
        <v>0</v>
      </c>
      <c r="AQ870" s="3134">
        <f t="shared" ca="1" si="1256"/>
        <v>0</v>
      </c>
      <c r="AR870" s="2787">
        <f t="shared" ca="1" si="1257"/>
        <v>0</v>
      </c>
      <c r="AT870" s="126">
        <f ca="1">SUM((INDIRECT(AT$2&amp;(ROW())):INDIRECT(AT$3&amp;(ROW()))))</f>
        <v>0</v>
      </c>
      <c r="AU870" s="126">
        <f ca="1">SUM(INDIRECT(AU$1&amp;AU$2&amp;$C870):INDIRECT(AU$1&amp;AU$3&amp;$C870))</f>
        <v>3500</v>
      </c>
      <c r="AV870" s="3134">
        <f t="shared" ca="1" si="1258"/>
        <v>-3500</v>
      </c>
      <c r="AW870" s="2787">
        <f t="shared" ca="1" si="1259"/>
        <v>0</v>
      </c>
      <c r="AX870" s="126">
        <f ca="1">SUM(INDIRECT(AX$1&amp;AX$2&amp;$A870):INDIRECT(AX$1&amp;AX$3&amp;$A870))+SUM(INDIRECT(AX$1&amp;AX$2&amp;$B870):INDIRECT(AX$1&amp;AX$3&amp;$B870))</f>
        <v>0</v>
      </c>
      <c r="AY870" s="3134">
        <f t="shared" ca="1" si="1260"/>
        <v>0</v>
      </c>
      <c r="AZ870" s="2787">
        <f t="shared" ca="1" si="1261"/>
        <v>0</v>
      </c>
      <c r="BB870" s="126">
        <f ca="1">SUM((INDIRECT(BB$2&amp;(ROW())):INDIRECT(BB$3&amp;(ROW()))))</f>
        <v>0</v>
      </c>
      <c r="BC870" s="126">
        <f ca="1">SUM(INDIRECT(BC$1&amp;BC$2&amp;$C870):INDIRECT(BC$1&amp;BC$3&amp;$C870))</f>
        <v>5740</v>
      </c>
      <c r="BD870" s="3134">
        <f t="shared" ca="1" si="1262"/>
        <v>-5740</v>
      </c>
      <c r="BE870" s="2787">
        <f t="shared" ca="1" si="1263"/>
        <v>0</v>
      </c>
      <c r="BF870" s="126">
        <f ca="1">SUM(INDIRECT(BF$1&amp;BF$2&amp;$A870):INDIRECT(BF$1&amp;BF$3&amp;$A870))+SUM(INDIRECT(BF$1&amp;BF$2&amp;$B870):INDIRECT(BF$1&amp;BF$3&amp;$B870))</f>
        <v>0</v>
      </c>
      <c r="BG870" s="3134">
        <f t="shared" ca="1" si="1264"/>
        <v>0</v>
      </c>
      <c r="BH870" s="2787">
        <f t="shared" ca="1" si="1265"/>
        <v>0</v>
      </c>
    </row>
    <row r="871" spans="1:60" ht="14.5">
      <c r="A871" s="616">
        <f t="shared" si="1250"/>
        <v>784</v>
      </c>
      <c r="B871" s="616">
        <v>1</v>
      </c>
      <c r="C871" s="616">
        <f t="shared" si="1251"/>
        <v>868</v>
      </c>
      <c r="D871" s="709" t="s">
        <v>1308</v>
      </c>
      <c r="E871" s="2594">
        <v>1</v>
      </c>
      <c r="F871" s="69"/>
      <c r="G871" s="69"/>
      <c r="I871" s="1235"/>
      <c r="J871" s="8" t="s">
        <v>1504</v>
      </c>
      <c r="K871" s="8"/>
      <c r="L871" s="8"/>
      <c r="Q871" s="1781" t="str">
        <f>CHOOSE(2, "6722000003790", "FC COGS (5) DW-DX Included in COGS [TE(Service)]")</f>
        <v>FC COGS (5) DW-DX Included in COGS [TE(Service)]</v>
      </c>
      <c r="R871" s="1281">
        <v>0</v>
      </c>
      <c r="S871" s="1281">
        <v>0</v>
      </c>
      <c r="T871" s="1281">
        <v>0</v>
      </c>
      <c r="U871" s="1281">
        <v>0</v>
      </c>
      <c r="V871" s="1281">
        <v>0</v>
      </c>
      <c r="W871" s="1281">
        <v>0</v>
      </c>
      <c r="X871" s="1281">
        <v>0</v>
      </c>
      <c r="Y871" s="1281">
        <v>0</v>
      </c>
      <c r="Z871" s="1281">
        <v>0</v>
      </c>
      <c r="AA871" s="1281">
        <v>0</v>
      </c>
      <c r="AB871" s="1281">
        <v>0</v>
      </c>
      <c r="AC871" s="1281">
        <v>0</v>
      </c>
      <c r="AD871" s="125">
        <f>SUM(R871,S871,T871)</f>
        <v>0</v>
      </c>
      <c r="AE871" s="126">
        <f t="shared" si="1333"/>
        <v>0</v>
      </c>
      <c r="AF871" s="126">
        <f t="shared" si="1334"/>
        <v>0</v>
      </c>
      <c r="AG871" s="126">
        <f t="shared" si="1335"/>
        <v>0</v>
      </c>
      <c r="AH871" s="126">
        <f t="shared" si="1336"/>
        <v>0</v>
      </c>
      <c r="AI871" s="126">
        <f t="shared" si="1337"/>
        <v>0</v>
      </c>
      <c r="AJ871" s="126">
        <f t="shared" si="1338"/>
        <v>0</v>
      </c>
      <c r="AL871" s="126">
        <f ca="1">SUM((INDIRECT(AL$2&amp;(ROW())):INDIRECT(AL$3&amp;(ROW()))))</f>
        <v>0</v>
      </c>
      <c r="AM871" s="126">
        <f ca="1">SUM(INDIRECT(AM$1&amp;AM$2&amp;$C871):INDIRECT(AM$1&amp;AM$3&amp;$C871))</f>
        <v>1060</v>
      </c>
      <c r="AN871" s="3134">
        <f t="shared" ca="1" si="1254"/>
        <v>-1060</v>
      </c>
      <c r="AO871" s="2787">
        <f t="shared" ca="1" si="1255"/>
        <v>0</v>
      </c>
      <c r="AP871" s="126">
        <f ca="1">SUM(INDIRECT(AP$1&amp;AP$2&amp;$A871):INDIRECT(AP$1&amp;AP$3&amp;$A871))+SUM(INDIRECT(AP$1&amp;AP$2&amp;$B871):INDIRECT(AP$1&amp;AP$3&amp;$B871))</f>
        <v>0</v>
      </c>
      <c r="AQ871" s="3134">
        <f t="shared" ca="1" si="1256"/>
        <v>0</v>
      </c>
      <c r="AR871" s="2787">
        <f t="shared" ca="1" si="1257"/>
        <v>0</v>
      </c>
      <c r="AT871" s="126">
        <f ca="1">SUM((INDIRECT(AT$2&amp;(ROW())):INDIRECT(AT$3&amp;(ROW()))))</f>
        <v>0</v>
      </c>
      <c r="AU871" s="126">
        <f ca="1">SUM(INDIRECT(AU$1&amp;AU$2&amp;$C871):INDIRECT(AU$1&amp;AU$3&amp;$C871))</f>
        <v>3120</v>
      </c>
      <c r="AV871" s="3134">
        <f t="shared" ca="1" si="1258"/>
        <v>-3120</v>
      </c>
      <c r="AW871" s="2787">
        <f t="shared" ca="1" si="1259"/>
        <v>0</v>
      </c>
      <c r="AX871" s="126">
        <f ca="1">SUM(INDIRECT(AX$1&amp;AX$2&amp;$A871):INDIRECT(AX$1&amp;AX$3&amp;$A871))+SUM(INDIRECT(AX$1&amp;AX$2&amp;$B871):INDIRECT(AX$1&amp;AX$3&amp;$B871))</f>
        <v>0</v>
      </c>
      <c r="AY871" s="3134">
        <f t="shared" ca="1" si="1260"/>
        <v>0</v>
      </c>
      <c r="AZ871" s="2787">
        <f t="shared" ca="1" si="1261"/>
        <v>0</v>
      </c>
      <c r="BB871" s="126">
        <f ca="1">SUM((INDIRECT(BB$2&amp;(ROW())):INDIRECT(BB$3&amp;(ROW()))))</f>
        <v>0</v>
      </c>
      <c r="BC871" s="126">
        <f ca="1">SUM(INDIRECT(BC$1&amp;BC$2&amp;$C871):INDIRECT(BC$1&amp;BC$3&amp;$C871))</f>
        <v>5120</v>
      </c>
      <c r="BD871" s="3134">
        <f t="shared" ca="1" si="1262"/>
        <v>-5120</v>
      </c>
      <c r="BE871" s="2787">
        <f t="shared" ca="1" si="1263"/>
        <v>0</v>
      </c>
      <c r="BF871" s="126">
        <f ca="1">SUM(INDIRECT(BF$1&amp;BF$2&amp;$A871):INDIRECT(BF$1&amp;BF$3&amp;$A871))+SUM(INDIRECT(BF$1&amp;BF$2&amp;$B871):INDIRECT(BF$1&amp;BF$3&amp;$B871))</f>
        <v>0</v>
      </c>
      <c r="BG871" s="3134">
        <f t="shared" ca="1" si="1264"/>
        <v>0</v>
      </c>
      <c r="BH871" s="2787">
        <f t="shared" ca="1" si="1265"/>
        <v>0</v>
      </c>
    </row>
    <row r="872" spans="1:60" ht="14.5">
      <c r="A872" s="616">
        <f t="shared" si="1250"/>
        <v>785</v>
      </c>
      <c r="B872" s="616">
        <v>1</v>
      </c>
      <c r="C872" s="616">
        <f t="shared" si="1251"/>
        <v>869</v>
      </c>
      <c r="D872" s="709" t="s">
        <v>1308</v>
      </c>
      <c r="E872" s="2594">
        <v>1</v>
      </c>
      <c r="F872" s="69"/>
      <c r="G872" s="69"/>
      <c r="I872" s="172"/>
      <c r="J872" s="8" t="s">
        <v>1505</v>
      </c>
      <c r="Q872" s="1781" t="str">
        <f>CHOOSE(2, "6722000003791", "FC COGS (5) DW-DX Included in COGS [OFC(Service)]")</f>
        <v>FC COGS (5) DW-DX Included in COGS [OFC(Service)]</v>
      </c>
      <c r="R872" s="1281">
        <v>0</v>
      </c>
      <c r="S872" s="1281">
        <v>0</v>
      </c>
      <c r="T872" s="1281">
        <v>0</v>
      </c>
      <c r="U872" s="1281">
        <v>0</v>
      </c>
      <c r="V872" s="1281">
        <v>0</v>
      </c>
      <c r="W872" s="1281">
        <v>0</v>
      </c>
      <c r="X872" s="1281">
        <v>0</v>
      </c>
      <c r="Y872" s="1281">
        <v>0</v>
      </c>
      <c r="Z872" s="1281">
        <v>0</v>
      </c>
      <c r="AA872" s="1281">
        <v>0</v>
      </c>
      <c r="AB872" s="1281">
        <v>0</v>
      </c>
      <c r="AC872" s="1281">
        <v>0</v>
      </c>
      <c r="AD872" s="125">
        <f>SUM(R872,S872,T872)</f>
        <v>0</v>
      </c>
      <c r="AE872" s="126">
        <f t="shared" si="1333"/>
        <v>0</v>
      </c>
      <c r="AF872" s="126">
        <f t="shared" si="1334"/>
        <v>0</v>
      </c>
      <c r="AG872" s="126">
        <f t="shared" si="1335"/>
        <v>0</v>
      </c>
      <c r="AH872" s="126">
        <f t="shared" si="1336"/>
        <v>0</v>
      </c>
      <c r="AI872" s="126">
        <f t="shared" si="1337"/>
        <v>0</v>
      </c>
      <c r="AJ872" s="126">
        <f t="shared" si="1338"/>
        <v>0</v>
      </c>
      <c r="AL872" s="126">
        <f ca="1">SUM((INDIRECT(AL$2&amp;(ROW())):INDIRECT(AL$3&amp;(ROW()))))</f>
        <v>0</v>
      </c>
      <c r="AM872" s="126">
        <f ca="1">SUM(INDIRECT(AM$1&amp;AM$2&amp;$C872):INDIRECT(AM$1&amp;AM$3&amp;$C872))</f>
        <v>130</v>
      </c>
      <c r="AN872" s="3134">
        <f t="shared" ca="1" si="1254"/>
        <v>-130</v>
      </c>
      <c r="AO872" s="2787">
        <f t="shared" ca="1" si="1255"/>
        <v>0</v>
      </c>
      <c r="AP872" s="126">
        <f ca="1">SUM(INDIRECT(AP$1&amp;AP$2&amp;$A872):INDIRECT(AP$1&amp;AP$3&amp;$A872))+SUM(INDIRECT(AP$1&amp;AP$2&amp;$B872):INDIRECT(AP$1&amp;AP$3&amp;$B872))</f>
        <v>0</v>
      </c>
      <c r="AQ872" s="3134">
        <f t="shared" ca="1" si="1256"/>
        <v>0</v>
      </c>
      <c r="AR872" s="2787">
        <f t="shared" ca="1" si="1257"/>
        <v>0</v>
      </c>
      <c r="AT872" s="126">
        <f ca="1">SUM((INDIRECT(AT$2&amp;(ROW())):INDIRECT(AT$3&amp;(ROW()))))</f>
        <v>0</v>
      </c>
      <c r="AU872" s="126">
        <f ca="1">SUM(INDIRECT(AU$1&amp;AU$2&amp;$C872):INDIRECT(AU$1&amp;AU$3&amp;$C872))</f>
        <v>380</v>
      </c>
      <c r="AV872" s="3134">
        <f t="shared" ca="1" si="1258"/>
        <v>-380</v>
      </c>
      <c r="AW872" s="2787">
        <f t="shared" ca="1" si="1259"/>
        <v>0</v>
      </c>
      <c r="AX872" s="126">
        <f ca="1">SUM(INDIRECT(AX$1&amp;AX$2&amp;$A872):INDIRECT(AX$1&amp;AX$3&amp;$A872))+SUM(INDIRECT(AX$1&amp;AX$2&amp;$B872):INDIRECT(AX$1&amp;AX$3&amp;$B872))</f>
        <v>0</v>
      </c>
      <c r="AY872" s="3134">
        <f t="shared" ca="1" si="1260"/>
        <v>0</v>
      </c>
      <c r="AZ872" s="2787">
        <f t="shared" ca="1" si="1261"/>
        <v>0</v>
      </c>
      <c r="BB872" s="126">
        <f ca="1">SUM((INDIRECT(BB$2&amp;(ROW())):INDIRECT(BB$3&amp;(ROW()))))</f>
        <v>0</v>
      </c>
      <c r="BC872" s="126">
        <f ca="1">SUM(INDIRECT(BC$1&amp;BC$2&amp;$C872):INDIRECT(BC$1&amp;BC$3&amp;$C872))</f>
        <v>620</v>
      </c>
      <c r="BD872" s="3134">
        <f t="shared" ca="1" si="1262"/>
        <v>-620</v>
      </c>
      <c r="BE872" s="2787">
        <f t="shared" ca="1" si="1263"/>
        <v>0</v>
      </c>
      <c r="BF872" s="126">
        <f ca="1">SUM(INDIRECT(BF$1&amp;BF$2&amp;$A872):INDIRECT(BF$1&amp;BF$3&amp;$A872))+SUM(INDIRECT(BF$1&amp;BF$2&amp;$B872):INDIRECT(BF$1&amp;BF$3&amp;$B872))</f>
        <v>0</v>
      </c>
      <c r="BG872" s="3134">
        <f t="shared" ca="1" si="1264"/>
        <v>0</v>
      </c>
      <c r="BH872" s="2787">
        <f t="shared" ca="1" si="1265"/>
        <v>0</v>
      </c>
    </row>
    <row r="873" spans="1:60" ht="14.5">
      <c r="A873" s="616">
        <f t="shared" si="1250"/>
        <v>786</v>
      </c>
      <c r="B873" s="616">
        <v>1</v>
      </c>
      <c r="C873" s="616">
        <f t="shared" si="1251"/>
        <v>870</v>
      </c>
      <c r="D873" s="709" t="s">
        <v>1308</v>
      </c>
      <c r="E873" s="2594">
        <v>1</v>
      </c>
      <c r="F873" s="69"/>
      <c r="G873" s="69"/>
      <c r="I873" s="171"/>
      <c r="J873" s="11" t="s">
        <v>1506</v>
      </c>
      <c r="K873" s="16"/>
      <c r="L873" s="16"/>
      <c r="M873" s="11"/>
      <c r="N873" s="11"/>
      <c r="O873" s="11"/>
      <c r="P873" s="11"/>
      <c r="Q873" s="1781" t="str">
        <f>CHOOSE(2, "6722000003792", "FC COGS (5) DW-DX Included in COGS [D&amp;A]")</f>
        <v>FC COGS (5) DW-DX Included in COGS [D&amp;A]</v>
      </c>
      <c r="R873" s="1282">
        <v>0</v>
      </c>
      <c r="S873" s="1282">
        <v>0</v>
      </c>
      <c r="T873" s="1282">
        <v>0</v>
      </c>
      <c r="U873" s="1282">
        <v>0</v>
      </c>
      <c r="V873" s="1282">
        <v>0</v>
      </c>
      <c r="W873" s="1282">
        <v>0</v>
      </c>
      <c r="X873" s="1282">
        <v>0</v>
      </c>
      <c r="Y873" s="1282">
        <v>0</v>
      </c>
      <c r="Z873" s="1282">
        <v>0</v>
      </c>
      <c r="AA873" s="1282">
        <v>0</v>
      </c>
      <c r="AB873" s="1282">
        <v>0</v>
      </c>
      <c r="AC873" s="1282">
        <v>0</v>
      </c>
      <c r="AD873" s="122">
        <f>SUM(R873,S873,T873)</f>
        <v>0</v>
      </c>
      <c r="AE873" s="123">
        <f t="shared" si="1333"/>
        <v>0</v>
      </c>
      <c r="AF873" s="123">
        <f t="shared" si="1334"/>
        <v>0</v>
      </c>
      <c r="AG873" s="123">
        <f t="shared" si="1335"/>
        <v>0</v>
      </c>
      <c r="AH873" s="123">
        <f t="shared" si="1336"/>
        <v>0</v>
      </c>
      <c r="AI873" s="123">
        <f t="shared" si="1337"/>
        <v>0</v>
      </c>
      <c r="AJ873" s="123">
        <f t="shared" si="1338"/>
        <v>0</v>
      </c>
      <c r="AL873" s="123">
        <f ca="1">SUM((INDIRECT(AL$2&amp;(ROW())):INDIRECT(AL$3&amp;(ROW()))))</f>
        <v>0</v>
      </c>
      <c r="AM873" s="123">
        <f ca="1">SUM(INDIRECT(AM$1&amp;AM$2&amp;$C873):INDIRECT(AM$1&amp;AM$3&amp;$C873))</f>
        <v>0</v>
      </c>
      <c r="AN873" s="3081">
        <f t="shared" ca="1" si="1254"/>
        <v>0</v>
      </c>
      <c r="AO873" s="2716">
        <f t="shared" ca="1" si="1255"/>
        <v>0</v>
      </c>
      <c r="AP873" s="123">
        <f ca="1">SUM(INDIRECT(AP$1&amp;AP$2&amp;$A873):INDIRECT(AP$1&amp;AP$3&amp;$A873))+SUM(INDIRECT(AP$1&amp;AP$2&amp;$B873):INDIRECT(AP$1&amp;AP$3&amp;$B873))</f>
        <v>0</v>
      </c>
      <c r="AQ873" s="3081">
        <f t="shared" ca="1" si="1256"/>
        <v>0</v>
      </c>
      <c r="AR873" s="2716">
        <f t="shared" ca="1" si="1257"/>
        <v>0</v>
      </c>
      <c r="AT873" s="123">
        <f ca="1">SUM((INDIRECT(AT$2&amp;(ROW())):INDIRECT(AT$3&amp;(ROW()))))</f>
        <v>0</v>
      </c>
      <c r="AU873" s="123">
        <f ca="1">SUM(INDIRECT(AU$1&amp;AU$2&amp;$C873):INDIRECT(AU$1&amp;AU$3&amp;$C873))</f>
        <v>0</v>
      </c>
      <c r="AV873" s="3081">
        <f t="shared" ca="1" si="1258"/>
        <v>0</v>
      </c>
      <c r="AW873" s="2716">
        <f t="shared" ca="1" si="1259"/>
        <v>0</v>
      </c>
      <c r="AX873" s="123">
        <f ca="1">SUM(INDIRECT(AX$1&amp;AX$2&amp;$A873):INDIRECT(AX$1&amp;AX$3&amp;$A873))+SUM(INDIRECT(AX$1&amp;AX$2&amp;$B873):INDIRECT(AX$1&amp;AX$3&amp;$B873))</f>
        <v>0</v>
      </c>
      <c r="AY873" s="3081">
        <f t="shared" ca="1" si="1260"/>
        <v>0</v>
      </c>
      <c r="AZ873" s="2716">
        <f t="shared" ca="1" si="1261"/>
        <v>0</v>
      </c>
      <c r="BB873" s="123">
        <f ca="1">SUM((INDIRECT(BB$2&amp;(ROW())):INDIRECT(BB$3&amp;(ROW()))))</f>
        <v>0</v>
      </c>
      <c r="BC873" s="123">
        <f ca="1">SUM(INDIRECT(BC$1&amp;BC$2&amp;$C873):INDIRECT(BC$1&amp;BC$3&amp;$C873))</f>
        <v>0</v>
      </c>
      <c r="BD873" s="3081">
        <f t="shared" ca="1" si="1262"/>
        <v>0</v>
      </c>
      <c r="BE873" s="2716">
        <f t="shared" ca="1" si="1263"/>
        <v>0</v>
      </c>
      <c r="BF873" s="123">
        <f ca="1">SUM(INDIRECT(BF$1&amp;BF$2&amp;$A873):INDIRECT(BF$1&amp;BF$3&amp;$A873))+SUM(INDIRECT(BF$1&amp;BF$2&amp;$B873):INDIRECT(BF$1&amp;BF$3&amp;$B873))</f>
        <v>0</v>
      </c>
      <c r="BG873" s="3081">
        <f t="shared" ca="1" si="1264"/>
        <v>0</v>
      </c>
      <c r="BH873" s="2716">
        <f t="shared" ca="1" si="1265"/>
        <v>0</v>
      </c>
    </row>
    <row r="874" spans="1:60" s="69" customFormat="1" ht="14.5">
      <c r="A874" s="616">
        <f t="shared" si="1250"/>
        <v>787</v>
      </c>
      <c r="B874" s="616">
        <v>1</v>
      </c>
      <c r="C874" s="616">
        <f t="shared" si="1251"/>
        <v>871</v>
      </c>
      <c r="D874" s="709" t="s">
        <v>1308</v>
      </c>
      <c r="E874" s="2547">
        <v>1</v>
      </c>
      <c r="F874" s="8"/>
      <c r="G874" s="8"/>
      <c r="H874" s="4"/>
      <c r="I874" s="12"/>
      <c r="J874" s="28"/>
      <c r="K874" s="22"/>
      <c r="L874" s="22"/>
      <c r="M874" s="28"/>
      <c r="N874" s="3"/>
      <c r="O874" s="3"/>
      <c r="P874" s="3"/>
      <c r="Q874" s="1784" t="str">
        <f>CHOOSE(2, "6722000003793", "▷ Blank 24")</f>
        <v>▷ Blank 24</v>
      </c>
      <c r="R874" s="1392"/>
      <c r="S874" s="1220"/>
      <c r="T874" s="1220"/>
      <c r="U874" s="1220"/>
      <c r="V874" s="1220"/>
      <c r="W874" s="1220"/>
      <c r="X874" s="1220"/>
      <c r="Y874" s="1220"/>
      <c r="Z874" s="1220"/>
      <c r="AA874" s="1220"/>
      <c r="AB874" s="1220"/>
      <c r="AC874" s="1220"/>
      <c r="AD874" s="1220"/>
      <c r="AE874" s="1220"/>
      <c r="AF874" s="1220"/>
      <c r="AG874" s="1220"/>
      <c r="AH874" s="1220"/>
      <c r="AI874" s="1220"/>
      <c r="AJ874" s="1220"/>
      <c r="AL874" s="1220"/>
      <c r="AM874" s="1220"/>
      <c r="AN874" s="1220"/>
      <c r="AO874" s="1220"/>
      <c r="AP874" s="1220"/>
      <c r="AQ874" s="1220"/>
      <c r="AR874" s="1220"/>
      <c r="AT874" s="1220"/>
      <c r="AU874" s="1220"/>
      <c r="AV874" s="1220"/>
      <c r="AW874" s="1220"/>
      <c r="AX874" s="1220"/>
      <c r="AY874" s="1220"/>
      <c r="AZ874" s="1220"/>
      <c r="BB874" s="1220"/>
      <c r="BC874" s="1220"/>
      <c r="BD874" s="1220"/>
      <c r="BE874" s="1220"/>
      <c r="BF874" s="1220"/>
      <c r="BG874" s="1220"/>
      <c r="BH874" s="1220"/>
    </row>
    <row r="875" spans="1:60" ht="14.5">
      <c r="A875" s="616">
        <f t="shared" si="1250"/>
        <v>788</v>
      </c>
      <c r="B875" s="616">
        <v>1</v>
      </c>
      <c r="C875" s="616">
        <f t="shared" si="1251"/>
        <v>872</v>
      </c>
      <c r="E875" s="2547">
        <v>1</v>
      </c>
      <c r="F875" s="4"/>
      <c r="G875" s="4"/>
      <c r="H875" s="4"/>
      <c r="I875" s="4"/>
      <c r="J875" s="3"/>
      <c r="K875" s="4"/>
      <c r="L875" s="4"/>
      <c r="M875" s="3"/>
      <c r="N875" s="3"/>
      <c r="O875" s="3"/>
      <c r="P875" s="3"/>
      <c r="Q875" s="1773" t="str">
        <f>CHOOSE(2, "6722000003794", "▷ Blank 25")</f>
        <v>▷ Blank 25</v>
      </c>
      <c r="R875" s="2562"/>
      <c r="S875" s="2563"/>
      <c r="T875" s="2563"/>
      <c r="U875" s="2563"/>
      <c r="V875" s="2563"/>
      <c r="W875" s="2563"/>
      <c r="AA875" s="2558"/>
    </row>
    <row r="876" spans="1:60" ht="25">
      <c r="A876" s="616">
        <f t="shared" si="1250"/>
        <v>789</v>
      </c>
      <c r="B876" s="616">
        <v>1</v>
      </c>
      <c r="C876" s="616">
        <f t="shared" si="1251"/>
        <v>873</v>
      </c>
      <c r="D876" s="709" t="s">
        <v>1308</v>
      </c>
      <c r="E876" s="2547">
        <v>1</v>
      </c>
      <c r="F876" s="55" t="s">
        <v>1509</v>
      </c>
      <c r="G876" s="55"/>
      <c r="H876" s="453"/>
      <c r="P876" s="222"/>
      <c r="Q876" s="1772" t="str">
        <f>CHOOSE(2, "6722000003795", "3. Headcount")</f>
        <v>3. Headcount</v>
      </c>
      <c r="R876" s="2557"/>
    </row>
    <row r="877" spans="1:60" s="34" customFormat="1" ht="15.5">
      <c r="A877" s="616">
        <f t="shared" si="1250"/>
        <v>790</v>
      </c>
      <c r="B877" s="616">
        <v>1</v>
      </c>
      <c r="C877" s="616">
        <f t="shared" si="1251"/>
        <v>874</v>
      </c>
      <c r="D877" s="709" t="s">
        <v>1308</v>
      </c>
      <c r="E877" s="2547">
        <v>1</v>
      </c>
      <c r="G877" s="243" t="s">
        <v>1510</v>
      </c>
      <c r="H877" s="454"/>
      <c r="I877" s="4"/>
      <c r="J877" s="3"/>
      <c r="K877" s="4"/>
      <c r="L877" s="4"/>
      <c r="M877" s="3"/>
      <c r="N877" s="3"/>
      <c r="O877" s="3"/>
      <c r="P877" s="3"/>
      <c r="Q877" s="1773" t="str">
        <f>CHOOSE(2, "6722000003796", "3-1. Headcount Details")</f>
        <v>3-1. Headcount Details</v>
      </c>
      <c r="R877" s="2562"/>
      <c r="S877" s="2563"/>
      <c r="T877" s="2563"/>
      <c r="U877" s="2563"/>
      <c r="V877" s="2563"/>
      <c r="W877" s="2563"/>
      <c r="X877" s="2595"/>
      <c r="Y877" s="2595"/>
      <c r="Z877" s="2595"/>
      <c r="AA877" s="2595"/>
    </row>
    <row r="878" spans="1:60" s="34" customFormat="1" ht="14.5">
      <c r="A878" s="616">
        <f t="shared" si="1250"/>
        <v>791</v>
      </c>
      <c r="B878" s="616">
        <v>1</v>
      </c>
      <c r="C878" s="616">
        <f t="shared" si="1251"/>
        <v>875</v>
      </c>
      <c r="D878" s="709" t="s">
        <v>1308</v>
      </c>
      <c r="E878" s="2547">
        <v>1</v>
      </c>
      <c r="F878" s="4"/>
      <c r="G878" s="4"/>
      <c r="H878" s="4" t="s">
        <v>1450</v>
      </c>
      <c r="I878" s="4"/>
      <c r="J878" s="3"/>
      <c r="K878" s="4"/>
      <c r="L878" s="4"/>
      <c r="M878" s="3"/>
      <c r="N878" s="3"/>
      <c r="O878" s="3"/>
      <c r="P878" s="3"/>
      <c r="Q878" s="1773" t="str">
        <f>CHOOSE(2, "6722000003797", "HC (0) Total")</f>
        <v>HC (0) Total</v>
      </c>
      <c r="R878" s="2562"/>
      <c r="S878" s="2563"/>
      <c r="T878" s="2563"/>
      <c r="U878" s="2563"/>
      <c r="V878" s="2563"/>
      <c r="W878" s="2563"/>
      <c r="X878" s="2595"/>
      <c r="Y878" s="2595"/>
      <c r="Z878" s="2595"/>
      <c r="AA878" s="2595"/>
    </row>
    <row r="879" spans="1:60" s="272" customFormat="1" ht="14.5">
      <c r="A879" s="616">
        <f t="shared" si="1250"/>
        <v>792</v>
      </c>
      <c r="B879" s="616">
        <v>1</v>
      </c>
      <c r="C879" s="616">
        <f t="shared" si="1251"/>
        <v>876</v>
      </c>
      <c r="D879" s="709" t="s">
        <v>1308</v>
      </c>
      <c r="E879" s="2547">
        <v>1</v>
      </c>
      <c r="F879" s="267"/>
      <c r="G879" s="267"/>
      <c r="H879" s="268"/>
      <c r="I879" s="3297" t="s">
        <v>202</v>
      </c>
      <c r="J879" s="3298"/>
      <c r="K879" s="535"/>
      <c r="L879" s="535"/>
      <c r="M879" s="535"/>
      <c r="N879" s="535"/>
      <c r="O879" s="535"/>
      <c r="P879" s="535"/>
      <c r="Q879" s="1820" t="str">
        <f>CHOOSE(2, "6722000003798", "HC FE/TTOC")</f>
        <v>HC FE/TTOC</v>
      </c>
      <c r="R879" s="1321">
        <f t="shared" ref="R879:AJ879" si="1339">R880+R885+R891+R896+R902</f>
        <v>711</v>
      </c>
      <c r="S879" s="3299">
        <f t="shared" si="1339"/>
        <v>711</v>
      </c>
      <c r="T879" s="3299">
        <f t="shared" si="1339"/>
        <v>706</v>
      </c>
      <c r="U879" s="3299">
        <f t="shared" si="1339"/>
        <v>715</v>
      </c>
      <c r="V879" s="3299">
        <f t="shared" si="1339"/>
        <v>715</v>
      </c>
      <c r="W879" s="3299">
        <f t="shared" si="1339"/>
        <v>716</v>
      </c>
      <c r="X879" s="3299">
        <f t="shared" si="1339"/>
        <v>722</v>
      </c>
      <c r="Y879" s="3299">
        <f t="shared" si="1339"/>
        <v>725</v>
      </c>
      <c r="Z879" s="3299">
        <f t="shared" si="1339"/>
        <v>727</v>
      </c>
      <c r="AA879" s="3299">
        <f t="shared" si="1339"/>
        <v>732</v>
      </c>
      <c r="AB879" s="3299">
        <f t="shared" si="1339"/>
        <v>735</v>
      </c>
      <c r="AC879" s="3299">
        <f t="shared" si="1339"/>
        <v>732</v>
      </c>
      <c r="AD879" s="3299">
        <f t="shared" si="1339"/>
        <v>706</v>
      </c>
      <c r="AE879" s="3299">
        <f t="shared" si="1339"/>
        <v>716</v>
      </c>
      <c r="AF879" s="3299">
        <f t="shared" si="1339"/>
        <v>727</v>
      </c>
      <c r="AG879" s="3299">
        <f t="shared" si="1339"/>
        <v>732</v>
      </c>
      <c r="AH879" s="3299">
        <f t="shared" si="1339"/>
        <v>716</v>
      </c>
      <c r="AI879" s="3299">
        <f t="shared" si="1339"/>
        <v>732</v>
      </c>
      <c r="AJ879" s="3299">
        <f t="shared" si="1339"/>
        <v>732</v>
      </c>
      <c r="AL879" s="1321">
        <f t="shared" ref="AL879:AL906" ca="1" si="1340">INDIRECT(AL$3&amp;(ROW()))</f>
        <v>732</v>
      </c>
      <c r="AM879" s="3299">
        <f t="shared" ref="AM879:AM906" ca="1" si="1341">INDIRECT(AM$1&amp;AM$3&amp;$C879)</f>
        <v>0</v>
      </c>
      <c r="AN879" s="3300">
        <f t="shared" ref="AN879:AN906" ca="1" si="1342">AL879-AM879</f>
        <v>732</v>
      </c>
      <c r="AO879" s="3301">
        <f t="shared" ref="AO879:AO906" ca="1" si="1343">IFERROR(AL879/AM879,0)</f>
        <v>0</v>
      </c>
      <c r="AP879" s="3299">
        <f t="shared" ref="AP879:AP906" ca="1" si="1344">INDIRECT(AP$1&amp;AP$3&amp;$A879)+INDIRECT(AP$1&amp;AP$3&amp;$B879)</f>
        <v>0</v>
      </c>
      <c r="AQ879" s="3300">
        <f t="shared" ref="AQ879:AQ906" ca="1" si="1345">AL879-AP879</f>
        <v>732</v>
      </c>
      <c r="AR879" s="3301">
        <f t="shared" ref="AR879:AR906" ca="1" si="1346">IFERROR(AL879/AP879,0)</f>
        <v>0</v>
      </c>
      <c r="AT879" s="1321">
        <f t="shared" ref="AT879:AT906" ca="1" si="1347">INDIRECT(AT$3&amp;(ROW()))</f>
        <v>732</v>
      </c>
      <c r="AU879" s="3299">
        <f t="shared" ref="AU879:AU906" ca="1" si="1348">INDIRECT(AU$1&amp;AU$3&amp;$C879)</f>
        <v>0</v>
      </c>
      <c r="AV879" s="3300">
        <f t="shared" ref="AV879:AV906" ca="1" si="1349">AT879-AU879</f>
        <v>732</v>
      </c>
      <c r="AW879" s="3301">
        <f t="shared" ref="AW879:AW906" ca="1" si="1350">IFERROR(AT879/AU879,0)</f>
        <v>0</v>
      </c>
      <c r="AX879" s="3299">
        <f t="shared" ref="AX879:AX906" ca="1" si="1351">INDIRECT(AX$1&amp;AX$3&amp;$A879)+INDIRECT(AX$1&amp;AX$3&amp;$B879)</f>
        <v>0</v>
      </c>
      <c r="AY879" s="3300">
        <f t="shared" ref="AY879:AY906" ca="1" si="1352">AT879-AX879</f>
        <v>732</v>
      </c>
      <c r="AZ879" s="3301">
        <f t="shared" ref="AZ879:AZ906" ca="1" si="1353">IFERROR(AT879/AX879,0)</f>
        <v>0</v>
      </c>
      <c r="BB879" s="1321">
        <f t="shared" ref="BB879:BB906" ca="1" si="1354">INDIRECT(BB$3&amp;(ROW()))</f>
        <v>732</v>
      </c>
      <c r="BC879" s="3299">
        <f t="shared" ref="BC879:BC906" ca="1" si="1355">INDIRECT(BC$1&amp;BC$3&amp;$C879)</f>
        <v>0</v>
      </c>
      <c r="BD879" s="3300">
        <f t="shared" ref="BD879:BD906" ca="1" si="1356">BB879-BC879</f>
        <v>732</v>
      </c>
      <c r="BE879" s="3301">
        <f t="shared" ref="BE879:BE906" ca="1" si="1357">IFERROR(BB879/BC879,0)</f>
        <v>0</v>
      </c>
      <c r="BF879" s="3299">
        <f t="shared" ref="BF879:BF906" ca="1" si="1358">INDIRECT(BF$1&amp;BF$3&amp;$A879)+INDIRECT(BF$1&amp;BF$3&amp;$B879)</f>
        <v>0</v>
      </c>
      <c r="BG879" s="3300">
        <f t="shared" ref="BG879:BG906" ca="1" si="1359">BB879-BF879</f>
        <v>732</v>
      </c>
      <c r="BH879" s="3301">
        <f t="shared" ref="BH879:BH906" ca="1" si="1360">IFERROR(BB879/BF879,0)</f>
        <v>0</v>
      </c>
    </row>
    <row r="880" spans="1:60" s="34" customFormat="1" ht="14.5">
      <c r="A880" s="616">
        <f t="shared" si="1250"/>
        <v>793</v>
      </c>
      <c r="B880" s="616">
        <v>1</v>
      </c>
      <c r="C880" s="616">
        <f t="shared" si="1251"/>
        <v>877</v>
      </c>
      <c r="D880" s="709" t="s">
        <v>1308</v>
      </c>
      <c r="E880" s="2547">
        <v>1</v>
      </c>
      <c r="F880" s="4"/>
      <c r="G880" s="4"/>
      <c r="H880" s="4"/>
      <c r="I880" s="265"/>
      <c r="J880" s="48" t="s">
        <v>14</v>
      </c>
      <c r="K880" s="48"/>
      <c r="L880" s="48"/>
      <c r="M880" s="47"/>
      <c r="N880" s="47"/>
      <c r="O880" s="47"/>
      <c r="P880" s="47"/>
      <c r="Q880" s="1786" t="str">
        <f>CHOOSE(2, "6722000003799", "HC FE/TTOC Sales Total")</f>
        <v>HC FE/TTOC Sales Total</v>
      </c>
      <c r="R880" s="45">
        <f t="shared" ref="R880" si="1361">SUM(R881:R884)</f>
        <v>173</v>
      </c>
      <c r="S880" s="45">
        <f t="shared" ref="S880:AJ880" si="1362">SUM(S881:S884)</f>
        <v>172</v>
      </c>
      <c r="T880" s="45">
        <f t="shared" si="1362"/>
        <v>169</v>
      </c>
      <c r="U880" s="45">
        <f t="shared" si="1362"/>
        <v>171</v>
      </c>
      <c r="V880" s="45">
        <f t="shared" si="1362"/>
        <v>171</v>
      </c>
      <c r="W880" s="45">
        <f t="shared" si="1362"/>
        <v>173</v>
      </c>
      <c r="X880" s="45">
        <f t="shared" si="1362"/>
        <v>176</v>
      </c>
      <c r="Y880" s="45">
        <f t="shared" si="1362"/>
        <v>175</v>
      </c>
      <c r="Z880" s="45">
        <f t="shared" si="1362"/>
        <v>177</v>
      </c>
      <c r="AA880" s="45">
        <f t="shared" si="1362"/>
        <v>179</v>
      </c>
      <c r="AB880" s="45">
        <f t="shared" si="1362"/>
        <v>181</v>
      </c>
      <c r="AC880" s="45">
        <f t="shared" si="1362"/>
        <v>176</v>
      </c>
      <c r="AD880" s="911">
        <f t="shared" si="1362"/>
        <v>169</v>
      </c>
      <c r="AE880" s="45">
        <f t="shared" si="1362"/>
        <v>173</v>
      </c>
      <c r="AF880" s="45">
        <f t="shared" si="1362"/>
        <v>177</v>
      </c>
      <c r="AG880" s="45">
        <f t="shared" si="1362"/>
        <v>176</v>
      </c>
      <c r="AH880" s="45">
        <f t="shared" si="1362"/>
        <v>173</v>
      </c>
      <c r="AI880" s="45">
        <f t="shared" si="1362"/>
        <v>176</v>
      </c>
      <c r="AJ880" s="45">
        <f t="shared" si="1362"/>
        <v>176</v>
      </c>
      <c r="AL880" s="45">
        <f t="shared" ca="1" si="1340"/>
        <v>176</v>
      </c>
      <c r="AM880" s="45">
        <f t="shared" ca="1" si="1341"/>
        <v>0</v>
      </c>
      <c r="AN880" s="3302">
        <f t="shared" ca="1" si="1342"/>
        <v>176</v>
      </c>
      <c r="AO880" s="2949">
        <f t="shared" ca="1" si="1343"/>
        <v>0</v>
      </c>
      <c r="AP880" s="45">
        <f t="shared" ca="1" si="1344"/>
        <v>362</v>
      </c>
      <c r="AQ880" s="3302">
        <f t="shared" ca="1" si="1345"/>
        <v>-186</v>
      </c>
      <c r="AR880" s="2949">
        <f t="shared" ca="1" si="1346"/>
        <v>0.48618784530386738</v>
      </c>
      <c r="AT880" s="45">
        <f t="shared" ca="1" si="1347"/>
        <v>176</v>
      </c>
      <c r="AU880" s="45">
        <f t="shared" ca="1" si="1348"/>
        <v>0</v>
      </c>
      <c r="AV880" s="3302">
        <f t="shared" ca="1" si="1349"/>
        <v>176</v>
      </c>
      <c r="AW880" s="2949">
        <f t="shared" ca="1" si="1350"/>
        <v>0</v>
      </c>
      <c r="AX880" s="45">
        <f t="shared" ca="1" si="1351"/>
        <v>362</v>
      </c>
      <c r="AY880" s="3302">
        <f t="shared" ca="1" si="1352"/>
        <v>-186</v>
      </c>
      <c r="AZ880" s="2949">
        <f t="shared" ca="1" si="1353"/>
        <v>0.48618784530386738</v>
      </c>
      <c r="BB880" s="45">
        <f t="shared" ca="1" si="1354"/>
        <v>176</v>
      </c>
      <c r="BC880" s="45">
        <f t="shared" ca="1" si="1355"/>
        <v>0</v>
      </c>
      <c r="BD880" s="3302">
        <f t="shared" ca="1" si="1356"/>
        <v>176</v>
      </c>
      <c r="BE880" s="2949">
        <f t="shared" ca="1" si="1357"/>
        <v>0</v>
      </c>
      <c r="BF880" s="45">
        <f t="shared" ca="1" si="1358"/>
        <v>362</v>
      </c>
      <c r="BG880" s="3302">
        <f t="shared" ca="1" si="1359"/>
        <v>-186</v>
      </c>
      <c r="BH880" s="2949">
        <f t="shared" ca="1" si="1360"/>
        <v>0.48618784530386738</v>
      </c>
    </row>
    <row r="881" spans="1:60" s="34" customFormat="1" ht="14.5">
      <c r="A881" s="616">
        <f t="shared" si="1250"/>
        <v>794</v>
      </c>
      <c r="B881" s="616">
        <v>1</v>
      </c>
      <c r="C881" s="616">
        <f t="shared" si="1251"/>
        <v>878</v>
      </c>
      <c r="E881" s="2547">
        <v>1</v>
      </c>
      <c r="F881" s="4"/>
      <c r="G881" s="4"/>
      <c r="H881" s="4"/>
      <c r="I881" s="265"/>
      <c r="J881" s="4"/>
      <c r="K881" s="4"/>
      <c r="L881" s="4"/>
      <c r="M881" s="3"/>
      <c r="N881" s="41"/>
      <c r="O881" s="41" t="s">
        <v>45</v>
      </c>
      <c r="P881" s="3"/>
      <c r="Q881" s="1821" t="str">
        <f>CHOOSE(2, "6722000003800", "HC FE/TTOC Sales Total Direct sales rep.")</f>
        <v>HC FE/TTOC Sales Total Direct sales rep.</v>
      </c>
      <c r="R881" s="1236">
        <f t="shared" ref="R881:AC884" si="1363">R912+R1032+R942+R972+R1002</f>
        <v>104</v>
      </c>
      <c r="S881" s="1236">
        <f t="shared" si="1363"/>
        <v>104</v>
      </c>
      <c r="T881" s="1236">
        <f t="shared" si="1363"/>
        <v>101</v>
      </c>
      <c r="U881" s="1236">
        <f t="shared" si="1363"/>
        <v>103</v>
      </c>
      <c r="V881" s="1236">
        <f t="shared" si="1363"/>
        <v>104</v>
      </c>
      <c r="W881" s="1236">
        <f t="shared" si="1363"/>
        <v>108</v>
      </c>
      <c r="X881" s="1236">
        <f t="shared" si="1363"/>
        <v>109</v>
      </c>
      <c r="Y881" s="1236">
        <f t="shared" si="1363"/>
        <v>110</v>
      </c>
      <c r="Z881" s="1236">
        <f t="shared" si="1363"/>
        <v>110</v>
      </c>
      <c r="AA881" s="1236">
        <f t="shared" si="1363"/>
        <v>112</v>
      </c>
      <c r="AB881" s="1236">
        <f t="shared" si="1363"/>
        <v>112</v>
      </c>
      <c r="AC881" s="1236">
        <f t="shared" si="1363"/>
        <v>109</v>
      </c>
      <c r="AD881" s="877">
        <f>T881</f>
        <v>101</v>
      </c>
      <c r="AE881" s="40">
        <f>W881</f>
        <v>108</v>
      </c>
      <c r="AF881" s="40">
        <f>Z881</f>
        <v>110</v>
      </c>
      <c r="AG881" s="40">
        <f>AC881</f>
        <v>109</v>
      </c>
      <c r="AH881" s="40">
        <f>AE881</f>
        <v>108</v>
      </c>
      <c r="AI881" s="40">
        <f>AG881</f>
        <v>109</v>
      </c>
      <c r="AJ881" s="40">
        <f>AI881</f>
        <v>109</v>
      </c>
      <c r="AL881" s="40">
        <f t="shared" ca="1" si="1340"/>
        <v>109</v>
      </c>
      <c r="AM881" s="40">
        <f t="shared" ca="1" si="1341"/>
        <v>0</v>
      </c>
      <c r="AN881" s="3057">
        <f t="shared" ca="1" si="1342"/>
        <v>109</v>
      </c>
      <c r="AO881" s="2695">
        <f t="shared" ca="1" si="1343"/>
        <v>0</v>
      </c>
      <c r="AP881" s="40">
        <f t="shared" ca="1" si="1344"/>
        <v>362</v>
      </c>
      <c r="AQ881" s="3057">
        <f t="shared" ca="1" si="1345"/>
        <v>-253</v>
      </c>
      <c r="AR881" s="2695">
        <f t="shared" ca="1" si="1346"/>
        <v>0.30110497237569062</v>
      </c>
      <c r="AT881" s="40">
        <f t="shared" ca="1" si="1347"/>
        <v>109</v>
      </c>
      <c r="AU881" s="40">
        <f t="shared" ca="1" si="1348"/>
        <v>0</v>
      </c>
      <c r="AV881" s="3057">
        <f t="shared" ca="1" si="1349"/>
        <v>109</v>
      </c>
      <c r="AW881" s="2695">
        <f t="shared" ca="1" si="1350"/>
        <v>0</v>
      </c>
      <c r="AX881" s="40">
        <f t="shared" ca="1" si="1351"/>
        <v>362</v>
      </c>
      <c r="AY881" s="3057">
        <f t="shared" ca="1" si="1352"/>
        <v>-253</v>
      </c>
      <c r="AZ881" s="2695">
        <f t="shared" ca="1" si="1353"/>
        <v>0.30110497237569062</v>
      </c>
      <c r="BB881" s="40">
        <f t="shared" ca="1" si="1354"/>
        <v>109</v>
      </c>
      <c r="BC881" s="40">
        <f t="shared" ca="1" si="1355"/>
        <v>0</v>
      </c>
      <c r="BD881" s="3057">
        <f t="shared" ca="1" si="1356"/>
        <v>109</v>
      </c>
      <c r="BE881" s="2695">
        <f t="shared" ca="1" si="1357"/>
        <v>0</v>
      </c>
      <c r="BF881" s="40">
        <f t="shared" ca="1" si="1358"/>
        <v>362</v>
      </c>
      <c r="BG881" s="3057">
        <f t="shared" ca="1" si="1359"/>
        <v>-253</v>
      </c>
      <c r="BH881" s="2695">
        <f t="shared" ca="1" si="1360"/>
        <v>0.30110497237569062</v>
      </c>
    </row>
    <row r="882" spans="1:60" s="34" customFormat="1" ht="14.5">
      <c r="A882" s="616">
        <f t="shared" si="1250"/>
        <v>795</v>
      </c>
      <c r="B882" s="616">
        <v>1</v>
      </c>
      <c r="C882" s="616">
        <f t="shared" si="1251"/>
        <v>879</v>
      </c>
      <c r="E882" s="2547">
        <v>1</v>
      </c>
      <c r="F882" s="4"/>
      <c r="G882" s="4"/>
      <c r="H882" s="4"/>
      <c r="I882" s="265"/>
      <c r="J882" s="4"/>
      <c r="K882" s="4"/>
      <c r="L882" s="4"/>
      <c r="M882" s="3"/>
      <c r="N882" s="41"/>
      <c r="O882" s="41" t="s">
        <v>44</v>
      </c>
      <c r="P882" s="3"/>
      <c r="Q882" s="1821" t="str">
        <f>CHOOSE(2, "6722000003801", "HC FE/TTOC Sales Total Direct sales engineers")</f>
        <v>HC FE/TTOC Sales Total Direct sales engineers</v>
      </c>
      <c r="R882" s="1236">
        <f t="shared" si="1363"/>
        <v>7</v>
      </c>
      <c r="S882" s="1236">
        <f t="shared" si="1363"/>
        <v>7</v>
      </c>
      <c r="T882" s="1236">
        <f t="shared" si="1363"/>
        <v>7</v>
      </c>
      <c r="U882" s="1236">
        <f t="shared" si="1363"/>
        <v>7</v>
      </c>
      <c r="V882" s="1236">
        <f t="shared" si="1363"/>
        <v>7</v>
      </c>
      <c r="W882" s="1236">
        <f t="shared" si="1363"/>
        <v>7</v>
      </c>
      <c r="X882" s="1236">
        <f t="shared" si="1363"/>
        <v>7</v>
      </c>
      <c r="Y882" s="1236">
        <f t="shared" si="1363"/>
        <v>7</v>
      </c>
      <c r="Z882" s="1236">
        <f t="shared" si="1363"/>
        <v>7</v>
      </c>
      <c r="AA882" s="1236">
        <f t="shared" si="1363"/>
        <v>7</v>
      </c>
      <c r="AB882" s="1236">
        <f t="shared" si="1363"/>
        <v>7</v>
      </c>
      <c r="AC882" s="1236">
        <f t="shared" si="1363"/>
        <v>7</v>
      </c>
      <c r="AD882" s="877">
        <f>T882</f>
        <v>7</v>
      </c>
      <c r="AE882" s="40">
        <f>W882</f>
        <v>7</v>
      </c>
      <c r="AF882" s="40">
        <f>Z882</f>
        <v>7</v>
      </c>
      <c r="AG882" s="40">
        <f>AC882</f>
        <v>7</v>
      </c>
      <c r="AH882" s="40">
        <f>AE882</f>
        <v>7</v>
      </c>
      <c r="AI882" s="40">
        <f>AG882</f>
        <v>7</v>
      </c>
      <c r="AJ882" s="40">
        <f>AI882</f>
        <v>7</v>
      </c>
      <c r="AL882" s="40">
        <f t="shared" ca="1" si="1340"/>
        <v>7</v>
      </c>
      <c r="AM882" s="40">
        <f t="shared" ca="1" si="1341"/>
        <v>0</v>
      </c>
      <c r="AN882" s="3057">
        <f t="shared" ca="1" si="1342"/>
        <v>7</v>
      </c>
      <c r="AO882" s="2695">
        <f t="shared" ca="1" si="1343"/>
        <v>0</v>
      </c>
      <c r="AP882" s="40">
        <f t="shared" ca="1" si="1344"/>
        <v>0</v>
      </c>
      <c r="AQ882" s="3057">
        <f t="shared" ca="1" si="1345"/>
        <v>7</v>
      </c>
      <c r="AR882" s="2695">
        <f t="shared" ca="1" si="1346"/>
        <v>0</v>
      </c>
      <c r="AT882" s="40">
        <f t="shared" ca="1" si="1347"/>
        <v>7</v>
      </c>
      <c r="AU882" s="40">
        <f t="shared" ca="1" si="1348"/>
        <v>0</v>
      </c>
      <c r="AV882" s="3057">
        <f t="shared" ca="1" si="1349"/>
        <v>7</v>
      </c>
      <c r="AW882" s="2695">
        <f t="shared" ca="1" si="1350"/>
        <v>0</v>
      </c>
      <c r="AX882" s="40">
        <f t="shared" ca="1" si="1351"/>
        <v>0</v>
      </c>
      <c r="AY882" s="3057">
        <f t="shared" ca="1" si="1352"/>
        <v>7</v>
      </c>
      <c r="AZ882" s="2695">
        <f t="shared" ca="1" si="1353"/>
        <v>0</v>
      </c>
      <c r="BB882" s="40">
        <f t="shared" ca="1" si="1354"/>
        <v>7</v>
      </c>
      <c r="BC882" s="40">
        <f t="shared" ca="1" si="1355"/>
        <v>0</v>
      </c>
      <c r="BD882" s="3057">
        <f t="shared" ca="1" si="1356"/>
        <v>7</v>
      </c>
      <c r="BE882" s="2695">
        <f t="shared" ca="1" si="1357"/>
        <v>0</v>
      </c>
      <c r="BF882" s="40">
        <f t="shared" ca="1" si="1358"/>
        <v>0</v>
      </c>
      <c r="BG882" s="3057">
        <f t="shared" ca="1" si="1359"/>
        <v>7</v>
      </c>
      <c r="BH882" s="2695">
        <f t="shared" ca="1" si="1360"/>
        <v>0</v>
      </c>
    </row>
    <row r="883" spans="1:60" s="34" customFormat="1" ht="14.5">
      <c r="A883" s="616">
        <f t="shared" si="1250"/>
        <v>796</v>
      </c>
      <c r="B883" s="616">
        <v>1</v>
      </c>
      <c r="C883" s="616">
        <f t="shared" si="1251"/>
        <v>880</v>
      </c>
      <c r="E883" s="2547">
        <v>1</v>
      </c>
      <c r="F883" s="4"/>
      <c r="G883" s="4"/>
      <c r="H883" s="4"/>
      <c r="I883" s="265"/>
      <c r="J883" s="4"/>
      <c r="K883" s="4"/>
      <c r="L883" s="4"/>
      <c r="M883" s="3"/>
      <c r="N883" s="41"/>
      <c r="O883" s="41" t="s">
        <v>43</v>
      </c>
      <c r="P883" s="3"/>
      <c r="Q883" s="1821" t="str">
        <f>CHOOSE(2, "6722000003802", "HC FE/TTOC Sales Total Dealer(Indirect) sales rep.")</f>
        <v>HC FE/TTOC Sales Total Dealer(Indirect) sales rep.</v>
      </c>
      <c r="R883" s="1236">
        <f t="shared" si="1363"/>
        <v>29</v>
      </c>
      <c r="S883" s="1236">
        <f t="shared" si="1363"/>
        <v>29</v>
      </c>
      <c r="T883" s="1236">
        <f t="shared" si="1363"/>
        <v>29</v>
      </c>
      <c r="U883" s="1236">
        <f t="shared" si="1363"/>
        <v>29</v>
      </c>
      <c r="V883" s="1236">
        <f t="shared" si="1363"/>
        <v>28</v>
      </c>
      <c r="W883" s="1236">
        <f t="shared" si="1363"/>
        <v>28</v>
      </c>
      <c r="X883" s="1236">
        <f t="shared" si="1363"/>
        <v>28</v>
      </c>
      <c r="Y883" s="1236">
        <f t="shared" si="1363"/>
        <v>28</v>
      </c>
      <c r="Z883" s="1236">
        <f t="shared" si="1363"/>
        <v>28</v>
      </c>
      <c r="AA883" s="1236">
        <f t="shared" si="1363"/>
        <v>28</v>
      </c>
      <c r="AB883" s="1236">
        <f t="shared" si="1363"/>
        <v>29</v>
      </c>
      <c r="AC883" s="1236">
        <f t="shared" si="1363"/>
        <v>28</v>
      </c>
      <c r="AD883" s="877">
        <f>T883</f>
        <v>29</v>
      </c>
      <c r="AE883" s="40">
        <f>W883</f>
        <v>28</v>
      </c>
      <c r="AF883" s="40">
        <f>Z883</f>
        <v>28</v>
      </c>
      <c r="AG883" s="40">
        <f>AC883</f>
        <v>28</v>
      </c>
      <c r="AH883" s="40">
        <f>AE883</f>
        <v>28</v>
      </c>
      <c r="AI883" s="40">
        <f>AG883</f>
        <v>28</v>
      </c>
      <c r="AJ883" s="40">
        <f>AI883</f>
        <v>28</v>
      </c>
      <c r="AL883" s="40">
        <f t="shared" ca="1" si="1340"/>
        <v>28</v>
      </c>
      <c r="AM883" s="40">
        <f t="shared" ca="1" si="1341"/>
        <v>0</v>
      </c>
      <c r="AN883" s="3057">
        <f t="shared" ca="1" si="1342"/>
        <v>28</v>
      </c>
      <c r="AO883" s="2695">
        <f t="shared" ca="1" si="1343"/>
        <v>0</v>
      </c>
      <c r="AP883" s="40">
        <f t="shared" ca="1" si="1344"/>
        <v>0</v>
      </c>
      <c r="AQ883" s="3057">
        <f t="shared" ca="1" si="1345"/>
        <v>28</v>
      </c>
      <c r="AR883" s="2695">
        <f t="shared" ca="1" si="1346"/>
        <v>0</v>
      </c>
      <c r="AT883" s="40">
        <f t="shared" ca="1" si="1347"/>
        <v>28</v>
      </c>
      <c r="AU883" s="40">
        <f t="shared" ca="1" si="1348"/>
        <v>0</v>
      </c>
      <c r="AV883" s="3057">
        <f t="shared" ca="1" si="1349"/>
        <v>28</v>
      </c>
      <c r="AW883" s="2695">
        <f t="shared" ca="1" si="1350"/>
        <v>0</v>
      </c>
      <c r="AX883" s="40">
        <f t="shared" ca="1" si="1351"/>
        <v>0</v>
      </c>
      <c r="AY883" s="3057">
        <f t="shared" ca="1" si="1352"/>
        <v>28</v>
      </c>
      <c r="AZ883" s="2695">
        <f t="shared" ca="1" si="1353"/>
        <v>0</v>
      </c>
      <c r="BB883" s="40">
        <f t="shared" ca="1" si="1354"/>
        <v>28</v>
      </c>
      <c r="BC883" s="40">
        <f t="shared" ca="1" si="1355"/>
        <v>0</v>
      </c>
      <c r="BD883" s="3057">
        <f t="shared" ca="1" si="1356"/>
        <v>28</v>
      </c>
      <c r="BE883" s="2695">
        <f t="shared" ca="1" si="1357"/>
        <v>0</v>
      </c>
      <c r="BF883" s="40">
        <f t="shared" ca="1" si="1358"/>
        <v>0</v>
      </c>
      <c r="BG883" s="3057">
        <f t="shared" ca="1" si="1359"/>
        <v>28</v>
      </c>
      <c r="BH883" s="2695">
        <f t="shared" ca="1" si="1360"/>
        <v>0</v>
      </c>
    </row>
    <row r="884" spans="1:60" s="34" customFormat="1" ht="14.5">
      <c r="A884" s="616">
        <f t="shared" si="1250"/>
        <v>797</v>
      </c>
      <c r="B884" s="616">
        <v>1</v>
      </c>
      <c r="C884" s="616">
        <f t="shared" si="1251"/>
        <v>881</v>
      </c>
      <c r="E884" s="2547">
        <v>1</v>
      </c>
      <c r="F884" s="4"/>
      <c r="G884" s="4"/>
      <c r="H884" s="4"/>
      <c r="I884" s="265"/>
      <c r="J884" s="2"/>
      <c r="K884" s="2"/>
      <c r="L884" s="2"/>
      <c r="M884" s="1"/>
      <c r="N884" s="39"/>
      <c r="O884" s="39" t="s">
        <v>40</v>
      </c>
      <c r="P884" s="1"/>
      <c r="Q884" s="1821" t="str">
        <f>CHOOSE(2, "6722000003803", "HC FE/TTOC Sales Total Administration/Others")</f>
        <v>HC FE/TTOC Sales Total Administration/Others</v>
      </c>
      <c r="R884" s="1237">
        <f t="shared" si="1363"/>
        <v>33</v>
      </c>
      <c r="S884" s="1237">
        <f t="shared" si="1363"/>
        <v>32</v>
      </c>
      <c r="T884" s="1237">
        <f t="shared" si="1363"/>
        <v>32</v>
      </c>
      <c r="U884" s="1237">
        <f t="shared" si="1363"/>
        <v>32</v>
      </c>
      <c r="V884" s="1237">
        <f t="shared" si="1363"/>
        <v>32</v>
      </c>
      <c r="W884" s="1237">
        <f t="shared" si="1363"/>
        <v>30</v>
      </c>
      <c r="X884" s="1237">
        <f t="shared" si="1363"/>
        <v>32</v>
      </c>
      <c r="Y884" s="1237">
        <f t="shared" si="1363"/>
        <v>30</v>
      </c>
      <c r="Z884" s="1237">
        <f t="shared" si="1363"/>
        <v>32</v>
      </c>
      <c r="AA884" s="1237">
        <f t="shared" si="1363"/>
        <v>32</v>
      </c>
      <c r="AB884" s="1237">
        <f t="shared" si="1363"/>
        <v>33</v>
      </c>
      <c r="AC884" s="1237">
        <f t="shared" si="1363"/>
        <v>32</v>
      </c>
      <c r="AD884" s="912">
        <f>T884</f>
        <v>32</v>
      </c>
      <c r="AE884" s="38">
        <f>W884</f>
        <v>30</v>
      </c>
      <c r="AF884" s="38">
        <f>Z884</f>
        <v>32</v>
      </c>
      <c r="AG884" s="38">
        <f>AC884</f>
        <v>32</v>
      </c>
      <c r="AH884" s="38">
        <f>AE884</f>
        <v>30</v>
      </c>
      <c r="AI884" s="38">
        <f>AG884</f>
        <v>32</v>
      </c>
      <c r="AJ884" s="38">
        <f>AI884</f>
        <v>32</v>
      </c>
      <c r="AL884" s="38">
        <f t="shared" ca="1" si="1340"/>
        <v>32</v>
      </c>
      <c r="AM884" s="38">
        <f t="shared" ca="1" si="1341"/>
        <v>0</v>
      </c>
      <c r="AN884" s="3303">
        <f t="shared" ca="1" si="1342"/>
        <v>32</v>
      </c>
      <c r="AO884" s="2951">
        <f t="shared" ca="1" si="1343"/>
        <v>0</v>
      </c>
      <c r="AP884" s="38">
        <f t="shared" ca="1" si="1344"/>
        <v>0</v>
      </c>
      <c r="AQ884" s="3303">
        <f t="shared" ca="1" si="1345"/>
        <v>32</v>
      </c>
      <c r="AR884" s="2951">
        <f t="shared" ca="1" si="1346"/>
        <v>0</v>
      </c>
      <c r="AT884" s="38">
        <f t="shared" ca="1" si="1347"/>
        <v>32</v>
      </c>
      <c r="AU884" s="38">
        <f t="shared" ca="1" si="1348"/>
        <v>0</v>
      </c>
      <c r="AV884" s="3303">
        <f t="shared" ca="1" si="1349"/>
        <v>32</v>
      </c>
      <c r="AW884" s="2951">
        <f t="shared" ca="1" si="1350"/>
        <v>0</v>
      </c>
      <c r="AX884" s="38">
        <f t="shared" ca="1" si="1351"/>
        <v>0</v>
      </c>
      <c r="AY884" s="3303">
        <f t="shared" ca="1" si="1352"/>
        <v>32</v>
      </c>
      <c r="AZ884" s="2951">
        <f t="shared" ca="1" si="1353"/>
        <v>0</v>
      </c>
      <c r="BB884" s="38">
        <f t="shared" ca="1" si="1354"/>
        <v>32</v>
      </c>
      <c r="BC884" s="38">
        <f t="shared" ca="1" si="1355"/>
        <v>0</v>
      </c>
      <c r="BD884" s="3303">
        <f t="shared" ca="1" si="1356"/>
        <v>32</v>
      </c>
      <c r="BE884" s="2951">
        <f t="shared" ca="1" si="1357"/>
        <v>0</v>
      </c>
      <c r="BF884" s="38">
        <f t="shared" ca="1" si="1358"/>
        <v>0</v>
      </c>
      <c r="BG884" s="3303">
        <f t="shared" ca="1" si="1359"/>
        <v>32</v>
      </c>
      <c r="BH884" s="2951">
        <f t="shared" ca="1" si="1360"/>
        <v>0</v>
      </c>
    </row>
    <row r="885" spans="1:60" s="34" customFormat="1" ht="14.5">
      <c r="A885" s="616">
        <f t="shared" si="1250"/>
        <v>798</v>
      </c>
      <c r="B885" s="616">
        <v>1</v>
      </c>
      <c r="C885" s="616">
        <f t="shared" si="1251"/>
        <v>882</v>
      </c>
      <c r="D885" s="709" t="s">
        <v>1308</v>
      </c>
      <c r="E885" s="2547">
        <v>1</v>
      </c>
      <c r="F885" s="4"/>
      <c r="G885" s="4"/>
      <c r="H885" s="4"/>
      <c r="I885" s="265"/>
      <c r="J885" s="48" t="s">
        <v>204</v>
      </c>
      <c r="K885" s="48"/>
      <c r="L885" s="48"/>
      <c r="M885" s="47"/>
      <c r="N885" s="47"/>
      <c r="O885" s="47"/>
      <c r="P885" s="47"/>
      <c r="Q885" s="1784" t="str">
        <f>CHOOSE(2, "6722000003804", "HC FE/TTOC Service Total")</f>
        <v>HC FE/TTOC Service Total</v>
      </c>
      <c r="R885" s="1255">
        <f>SUM(R886:R890)</f>
        <v>414</v>
      </c>
      <c r="S885" s="1255">
        <f t="shared" ref="S885:AJ885" si="1364">SUM(S886:S890)</f>
        <v>415</v>
      </c>
      <c r="T885" s="1255">
        <f t="shared" si="1364"/>
        <v>410</v>
      </c>
      <c r="U885" s="1255">
        <f t="shared" si="1364"/>
        <v>416</v>
      </c>
      <c r="V885" s="1255">
        <f t="shared" si="1364"/>
        <v>417</v>
      </c>
      <c r="W885" s="1255">
        <f t="shared" si="1364"/>
        <v>416</v>
      </c>
      <c r="X885" s="1255">
        <f t="shared" si="1364"/>
        <v>419</v>
      </c>
      <c r="Y885" s="1255">
        <f t="shared" si="1364"/>
        <v>422</v>
      </c>
      <c r="Z885" s="1255">
        <f t="shared" si="1364"/>
        <v>421</v>
      </c>
      <c r="AA885" s="1255">
        <f t="shared" si="1364"/>
        <v>421</v>
      </c>
      <c r="AB885" s="1255">
        <f t="shared" si="1364"/>
        <v>420</v>
      </c>
      <c r="AC885" s="1255">
        <f t="shared" si="1364"/>
        <v>423</v>
      </c>
      <c r="AD885" s="911">
        <f t="shared" si="1364"/>
        <v>410</v>
      </c>
      <c r="AE885" s="45">
        <f t="shared" si="1364"/>
        <v>416</v>
      </c>
      <c r="AF885" s="45">
        <f t="shared" si="1364"/>
        <v>421</v>
      </c>
      <c r="AG885" s="45">
        <f t="shared" si="1364"/>
        <v>423</v>
      </c>
      <c r="AH885" s="45">
        <f t="shared" si="1364"/>
        <v>416</v>
      </c>
      <c r="AI885" s="45">
        <f t="shared" si="1364"/>
        <v>423</v>
      </c>
      <c r="AJ885" s="45">
        <f t="shared" si="1364"/>
        <v>423</v>
      </c>
      <c r="AL885" s="45">
        <f t="shared" ca="1" si="1340"/>
        <v>423</v>
      </c>
      <c r="AM885" s="45">
        <f t="shared" ca="1" si="1341"/>
        <v>0</v>
      </c>
      <c r="AN885" s="3302">
        <f t="shared" ca="1" si="1342"/>
        <v>423</v>
      </c>
      <c r="AO885" s="2949">
        <f t="shared" ca="1" si="1343"/>
        <v>0</v>
      </c>
      <c r="AP885" s="45">
        <f t="shared" ca="1" si="1344"/>
        <v>0</v>
      </c>
      <c r="AQ885" s="3302">
        <f t="shared" ca="1" si="1345"/>
        <v>423</v>
      </c>
      <c r="AR885" s="2949">
        <f t="shared" ca="1" si="1346"/>
        <v>0</v>
      </c>
      <c r="AT885" s="45">
        <f t="shared" ca="1" si="1347"/>
        <v>423</v>
      </c>
      <c r="AU885" s="45">
        <f t="shared" ca="1" si="1348"/>
        <v>0</v>
      </c>
      <c r="AV885" s="3302">
        <f t="shared" ca="1" si="1349"/>
        <v>423</v>
      </c>
      <c r="AW885" s="2949">
        <f t="shared" ca="1" si="1350"/>
        <v>0</v>
      </c>
      <c r="AX885" s="45">
        <f t="shared" ca="1" si="1351"/>
        <v>0</v>
      </c>
      <c r="AY885" s="3302">
        <f t="shared" ca="1" si="1352"/>
        <v>423</v>
      </c>
      <c r="AZ885" s="2949">
        <f t="shared" ca="1" si="1353"/>
        <v>0</v>
      </c>
      <c r="BB885" s="45">
        <f t="shared" ca="1" si="1354"/>
        <v>423</v>
      </c>
      <c r="BC885" s="45">
        <f t="shared" ca="1" si="1355"/>
        <v>0</v>
      </c>
      <c r="BD885" s="3302">
        <f t="shared" ca="1" si="1356"/>
        <v>423</v>
      </c>
      <c r="BE885" s="2949">
        <f t="shared" ca="1" si="1357"/>
        <v>0</v>
      </c>
      <c r="BF885" s="45">
        <f t="shared" ca="1" si="1358"/>
        <v>0</v>
      </c>
      <c r="BG885" s="3302">
        <f t="shared" ca="1" si="1359"/>
        <v>423</v>
      </c>
      <c r="BH885" s="2949">
        <f t="shared" ca="1" si="1360"/>
        <v>0</v>
      </c>
    </row>
    <row r="886" spans="1:60" s="34" customFormat="1" ht="14.5">
      <c r="A886" s="616">
        <f t="shared" si="1250"/>
        <v>799</v>
      </c>
      <c r="B886" s="616">
        <v>1</v>
      </c>
      <c r="C886" s="616">
        <f t="shared" si="1251"/>
        <v>883</v>
      </c>
      <c r="E886" s="2547">
        <v>1</v>
      </c>
      <c r="F886" s="4"/>
      <c r="G886" s="4"/>
      <c r="H886" s="4"/>
      <c r="I886" s="265"/>
      <c r="J886" s="4"/>
      <c r="K886" s="4"/>
      <c r="L886" s="4"/>
      <c r="M886" s="3"/>
      <c r="N886" s="41"/>
      <c r="O886" s="41" t="s">
        <v>15</v>
      </c>
      <c r="P886" s="3"/>
      <c r="Q886" s="1821" t="str">
        <f>CHOOSE(2, "6722000003805", "HC FE/TTOC Service Total Onsite Engineer")</f>
        <v>HC FE/TTOC Service Total Onsite Engineer</v>
      </c>
      <c r="R886" s="1236">
        <f t="shared" ref="R886:AC890" si="1365">R917+R1037+R947+R977+R1007</f>
        <v>336</v>
      </c>
      <c r="S886" s="1236">
        <f t="shared" si="1365"/>
        <v>335</v>
      </c>
      <c r="T886" s="1236">
        <f t="shared" si="1365"/>
        <v>332</v>
      </c>
      <c r="U886" s="1236">
        <f t="shared" si="1365"/>
        <v>337</v>
      </c>
      <c r="V886" s="1236">
        <f t="shared" si="1365"/>
        <v>337</v>
      </c>
      <c r="W886" s="1236">
        <f t="shared" si="1365"/>
        <v>336</v>
      </c>
      <c r="X886" s="1236">
        <f t="shared" si="1365"/>
        <v>339</v>
      </c>
      <c r="Y886" s="1236">
        <f t="shared" si="1365"/>
        <v>340</v>
      </c>
      <c r="Z886" s="1236">
        <f t="shared" si="1365"/>
        <v>340</v>
      </c>
      <c r="AA886" s="1236">
        <f t="shared" si="1365"/>
        <v>339</v>
      </c>
      <c r="AB886" s="1236">
        <f t="shared" si="1365"/>
        <v>337</v>
      </c>
      <c r="AC886" s="1236">
        <f t="shared" si="1365"/>
        <v>339</v>
      </c>
      <c r="AD886" s="877">
        <f>T886</f>
        <v>332</v>
      </c>
      <c r="AE886" s="40">
        <f>W886</f>
        <v>336</v>
      </c>
      <c r="AF886" s="40">
        <f>Z886</f>
        <v>340</v>
      </c>
      <c r="AG886" s="40">
        <f>AC886</f>
        <v>339</v>
      </c>
      <c r="AH886" s="40">
        <f>AE886</f>
        <v>336</v>
      </c>
      <c r="AI886" s="40">
        <f>AG886</f>
        <v>339</v>
      </c>
      <c r="AJ886" s="40">
        <f>AI886</f>
        <v>339</v>
      </c>
      <c r="AL886" s="40">
        <f t="shared" ca="1" si="1340"/>
        <v>339</v>
      </c>
      <c r="AM886" s="40">
        <f t="shared" ca="1" si="1341"/>
        <v>0</v>
      </c>
      <c r="AN886" s="3057">
        <f t="shared" ca="1" si="1342"/>
        <v>339</v>
      </c>
      <c r="AO886" s="2695">
        <f t="shared" ca="1" si="1343"/>
        <v>0</v>
      </c>
      <c r="AP886" s="40">
        <f t="shared" ca="1" si="1344"/>
        <v>0</v>
      </c>
      <c r="AQ886" s="3057">
        <f t="shared" ca="1" si="1345"/>
        <v>339</v>
      </c>
      <c r="AR886" s="2695">
        <f t="shared" ca="1" si="1346"/>
        <v>0</v>
      </c>
      <c r="AT886" s="40">
        <f t="shared" ca="1" si="1347"/>
        <v>339</v>
      </c>
      <c r="AU886" s="40">
        <f t="shared" ca="1" si="1348"/>
        <v>0</v>
      </c>
      <c r="AV886" s="3057">
        <f t="shared" ca="1" si="1349"/>
        <v>339</v>
      </c>
      <c r="AW886" s="2695">
        <f t="shared" ca="1" si="1350"/>
        <v>0</v>
      </c>
      <c r="AX886" s="40">
        <f t="shared" ca="1" si="1351"/>
        <v>0</v>
      </c>
      <c r="AY886" s="3057">
        <f t="shared" ca="1" si="1352"/>
        <v>339</v>
      </c>
      <c r="AZ886" s="2695">
        <f t="shared" ca="1" si="1353"/>
        <v>0</v>
      </c>
      <c r="BB886" s="40">
        <f t="shared" ca="1" si="1354"/>
        <v>339</v>
      </c>
      <c r="BC886" s="40">
        <f t="shared" ca="1" si="1355"/>
        <v>0</v>
      </c>
      <c r="BD886" s="3057">
        <f t="shared" ca="1" si="1356"/>
        <v>339</v>
      </c>
      <c r="BE886" s="2695">
        <f t="shared" ca="1" si="1357"/>
        <v>0</v>
      </c>
      <c r="BF886" s="40">
        <f t="shared" ca="1" si="1358"/>
        <v>0</v>
      </c>
      <c r="BG886" s="3057">
        <f t="shared" ca="1" si="1359"/>
        <v>339</v>
      </c>
      <c r="BH886" s="2695">
        <f t="shared" ca="1" si="1360"/>
        <v>0</v>
      </c>
    </row>
    <row r="887" spans="1:60" s="34" customFormat="1" ht="14.5">
      <c r="A887" s="616">
        <f t="shared" si="1250"/>
        <v>800</v>
      </c>
      <c r="B887" s="616">
        <v>1</v>
      </c>
      <c r="C887" s="616">
        <f t="shared" si="1251"/>
        <v>884</v>
      </c>
      <c r="E887" s="2547">
        <v>1</v>
      </c>
      <c r="F887" s="4"/>
      <c r="G887" s="4"/>
      <c r="H887" s="4"/>
      <c r="I887" s="265"/>
      <c r="J887" s="4"/>
      <c r="K887" s="4"/>
      <c r="L887" s="4"/>
      <c r="M887" s="3"/>
      <c r="N887" s="41"/>
      <c r="O887" s="41" t="s">
        <v>16</v>
      </c>
      <c r="P887" s="3"/>
      <c r="Q887" s="1821" t="str">
        <f>CHOOSE(2, "6722000003806", "HC FE/TTOC Service Total Remote Engineer")</f>
        <v>HC FE/TTOC Service Total Remote Engineer</v>
      </c>
      <c r="R887" s="1236">
        <f t="shared" si="1365"/>
        <v>1</v>
      </c>
      <c r="S887" s="1236">
        <f t="shared" si="1365"/>
        <v>1</v>
      </c>
      <c r="T887" s="1236">
        <f t="shared" si="1365"/>
        <v>1</v>
      </c>
      <c r="U887" s="1236">
        <f t="shared" si="1365"/>
        <v>1</v>
      </c>
      <c r="V887" s="1236">
        <f t="shared" si="1365"/>
        <v>1</v>
      </c>
      <c r="W887" s="1236">
        <f t="shared" si="1365"/>
        <v>1</v>
      </c>
      <c r="X887" s="1236">
        <f t="shared" si="1365"/>
        <v>1</v>
      </c>
      <c r="Y887" s="1236">
        <f t="shared" si="1365"/>
        <v>1</v>
      </c>
      <c r="Z887" s="1236">
        <f t="shared" si="1365"/>
        <v>1</v>
      </c>
      <c r="AA887" s="1236">
        <f t="shared" si="1365"/>
        <v>1</v>
      </c>
      <c r="AB887" s="1236">
        <f t="shared" si="1365"/>
        <v>1</v>
      </c>
      <c r="AC887" s="1236">
        <f t="shared" si="1365"/>
        <v>1</v>
      </c>
      <c r="AD887" s="877">
        <f>T887</f>
        <v>1</v>
      </c>
      <c r="AE887" s="40">
        <f>W887</f>
        <v>1</v>
      </c>
      <c r="AF887" s="40">
        <f>Z887</f>
        <v>1</v>
      </c>
      <c r="AG887" s="40">
        <f>AC887</f>
        <v>1</v>
      </c>
      <c r="AH887" s="40">
        <f>AE887</f>
        <v>1</v>
      </c>
      <c r="AI887" s="40">
        <f>AG887</f>
        <v>1</v>
      </c>
      <c r="AJ887" s="40">
        <f>AI887</f>
        <v>1</v>
      </c>
      <c r="AL887" s="40">
        <f t="shared" ca="1" si="1340"/>
        <v>1</v>
      </c>
      <c r="AM887" s="40">
        <f t="shared" ca="1" si="1341"/>
        <v>0</v>
      </c>
      <c r="AN887" s="3057">
        <f t="shared" ca="1" si="1342"/>
        <v>1</v>
      </c>
      <c r="AO887" s="2695">
        <f t="shared" ca="1" si="1343"/>
        <v>0</v>
      </c>
      <c r="AP887" s="40">
        <f t="shared" ca="1" si="1344"/>
        <v>0</v>
      </c>
      <c r="AQ887" s="3057">
        <f t="shared" ca="1" si="1345"/>
        <v>1</v>
      </c>
      <c r="AR887" s="2695">
        <f t="shared" ca="1" si="1346"/>
        <v>0</v>
      </c>
      <c r="AT887" s="40">
        <f t="shared" ca="1" si="1347"/>
        <v>1</v>
      </c>
      <c r="AU887" s="40">
        <f t="shared" ca="1" si="1348"/>
        <v>0</v>
      </c>
      <c r="AV887" s="3057">
        <f t="shared" ca="1" si="1349"/>
        <v>1</v>
      </c>
      <c r="AW887" s="2695">
        <f t="shared" ca="1" si="1350"/>
        <v>0</v>
      </c>
      <c r="AX887" s="40">
        <f t="shared" ca="1" si="1351"/>
        <v>0</v>
      </c>
      <c r="AY887" s="3057">
        <f t="shared" ca="1" si="1352"/>
        <v>1</v>
      </c>
      <c r="AZ887" s="2695">
        <f t="shared" ca="1" si="1353"/>
        <v>0</v>
      </c>
      <c r="BB887" s="40">
        <f t="shared" ca="1" si="1354"/>
        <v>1</v>
      </c>
      <c r="BC887" s="40">
        <f t="shared" ca="1" si="1355"/>
        <v>0</v>
      </c>
      <c r="BD887" s="3057">
        <f t="shared" ca="1" si="1356"/>
        <v>1</v>
      </c>
      <c r="BE887" s="2695">
        <f t="shared" ca="1" si="1357"/>
        <v>0</v>
      </c>
      <c r="BF887" s="40">
        <f t="shared" ca="1" si="1358"/>
        <v>0</v>
      </c>
      <c r="BG887" s="3057">
        <f t="shared" ca="1" si="1359"/>
        <v>1</v>
      </c>
      <c r="BH887" s="2695">
        <f t="shared" ca="1" si="1360"/>
        <v>0</v>
      </c>
    </row>
    <row r="888" spans="1:60" s="34" customFormat="1" ht="14.5">
      <c r="A888" s="616">
        <f t="shared" si="1250"/>
        <v>801</v>
      </c>
      <c r="B888" s="616">
        <v>1</v>
      </c>
      <c r="C888" s="616">
        <f t="shared" si="1251"/>
        <v>885</v>
      </c>
      <c r="E888" s="2547">
        <v>1</v>
      </c>
      <c r="F888" s="4"/>
      <c r="G888" s="4"/>
      <c r="H888" s="4"/>
      <c r="I888" s="265"/>
      <c r="J888" s="4"/>
      <c r="K888" s="4"/>
      <c r="L888" s="4"/>
      <c r="M888" s="3"/>
      <c r="N888" s="41"/>
      <c r="O888" s="41" t="s">
        <v>42</v>
      </c>
      <c r="P888" s="3"/>
      <c r="Q888" s="1821" t="str">
        <f>CHOOSE(2, "6722000003807", "HC FE/TTOC Service Total Technical support")</f>
        <v>HC FE/TTOC Service Total Technical support</v>
      </c>
      <c r="R888" s="1236">
        <f t="shared" si="1365"/>
        <v>45</v>
      </c>
      <c r="S888" s="1236">
        <f t="shared" si="1365"/>
        <v>47</v>
      </c>
      <c r="T888" s="1236">
        <f t="shared" si="1365"/>
        <v>46</v>
      </c>
      <c r="U888" s="1236">
        <f t="shared" si="1365"/>
        <v>47</v>
      </c>
      <c r="V888" s="1236">
        <f t="shared" si="1365"/>
        <v>48</v>
      </c>
      <c r="W888" s="1236">
        <f t="shared" si="1365"/>
        <v>49</v>
      </c>
      <c r="X888" s="1236">
        <f t="shared" si="1365"/>
        <v>49</v>
      </c>
      <c r="Y888" s="1236">
        <f t="shared" si="1365"/>
        <v>49</v>
      </c>
      <c r="Z888" s="1236">
        <f t="shared" si="1365"/>
        <v>48</v>
      </c>
      <c r="AA888" s="1236">
        <f t="shared" si="1365"/>
        <v>49</v>
      </c>
      <c r="AB888" s="1236">
        <f t="shared" si="1365"/>
        <v>49</v>
      </c>
      <c r="AC888" s="1236">
        <f t="shared" si="1365"/>
        <v>49</v>
      </c>
      <c r="AD888" s="877">
        <f>T888</f>
        <v>46</v>
      </c>
      <c r="AE888" s="40">
        <f>W888</f>
        <v>49</v>
      </c>
      <c r="AF888" s="40">
        <f>Z888</f>
        <v>48</v>
      </c>
      <c r="AG888" s="40">
        <f>AC888</f>
        <v>49</v>
      </c>
      <c r="AH888" s="40">
        <f>AE888</f>
        <v>49</v>
      </c>
      <c r="AI888" s="40">
        <f>AG888</f>
        <v>49</v>
      </c>
      <c r="AJ888" s="40">
        <f>AI888</f>
        <v>49</v>
      </c>
      <c r="AL888" s="40">
        <f t="shared" ca="1" si="1340"/>
        <v>49</v>
      </c>
      <c r="AM888" s="40">
        <f t="shared" ca="1" si="1341"/>
        <v>0</v>
      </c>
      <c r="AN888" s="3057">
        <f t="shared" ca="1" si="1342"/>
        <v>49</v>
      </c>
      <c r="AO888" s="2695">
        <f t="shared" ca="1" si="1343"/>
        <v>0</v>
      </c>
      <c r="AP888" s="40">
        <f t="shared" ca="1" si="1344"/>
        <v>0</v>
      </c>
      <c r="AQ888" s="3057">
        <f t="shared" ca="1" si="1345"/>
        <v>49</v>
      </c>
      <c r="AR888" s="2695">
        <f t="shared" ca="1" si="1346"/>
        <v>0</v>
      </c>
      <c r="AT888" s="40">
        <f t="shared" ca="1" si="1347"/>
        <v>49</v>
      </c>
      <c r="AU888" s="40">
        <f t="shared" ca="1" si="1348"/>
        <v>0</v>
      </c>
      <c r="AV888" s="3057">
        <f t="shared" ca="1" si="1349"/>
        <v>49</v>
      </c>
      <c r="AW888" s="2695">
        <f t="shared" ca="1" si="1350"/>
        <v>0</v>
      </c>
      <c r="AX888" s="40">
        <f t="shared" ca="1" si="1351"/>
        <v>0</v>
      </c>
      <c r="AY888" s="3057">
        <f t="shared" ca="1" si="1352"/>
        <v>49</v>
      </c>
      <c r="AZ888" s="2695">
        <f t="shared" ca="1" si="1353"/>
        <v>0</v>
      </c>
      <c r="BB888" s="40">
        <f t="shared" ca="1" si="1354"/>
        <v>49</v>
      </c>
      <c r="BC888" s="40">
        <f t="shared" ca="1" si="1355"/>
        <v>0</v>
      </c>
      <c r="BD888" s="3057">
        <f t="shared" ca="1" si="1356"/>
        <v>49</v>
      </c>
      <c r="BE888" s="2695">
        <f t="shared" ca="1" si="1357"/>
        <v>0</v>
      </c>
      <c r="BF888" s="40">
        <f t="shared" ca="1" si="1358"/>
        <v>0</v>
      </c>
      <c r="BG888" s="3057">
        <f t="shared" ca="1" si="1359"/>
        <v>49</v>
      </c>
      <c r="BH888" s="2695">
        <f t="shared" ca="1" si="1360"/>
        <v>0</v>
      </c>
    </row>
    <row r="889" spans="1:60" s="34" customFormat="1" ht="14.5">
      <c r="A889" s="616">
        <f t="shared" si="1250"/>
        <v>802</v>
      </c>
      <c r="B889" s="616">
        <v>1</v>
      </c>
      <c r="C889" s="616">
        <f t="shared" si="1251"/>
        <v>886</v>
      </c>
      <c r="E889" s="2547">
        <v>1</v>
      </c>
      <c r="F889" s="4"/>
      <c r="G889" s="4"/>
      <c r="H889" s="4"/>
      <c r="I889" s="265"/>
      <c r="J889" s="4"/>
      <c r="K889" s="4"/>
      <c r="L889" s="4"/>
      <c r="M889" s="3"/>
      <c r="N889" s="41"/>
      <c r="O889" s="41" t="s">
        <v>41</v>
      </c>
      <c r="P889" s="3"/>
      <c r="Q889" s="1821" t="str">
        <f>CHOOSE(2, "6722000003808", "HC FE/TTOC Service Total Dealer(Indirect) support")</f>
        <v>HC FE/TTOC Service Total Dealer(Indirect) support</v>
      </c>
      <c r="R889" s="1236">
        <f t="shared" si="1365"/>
        <v>0</v>
      </c>
      <c r="S889" s="1236">
        <f t="shared" si="1365"/>
        <v>0</v>
      </c>
      <c r="T889" s="1236">
        <f t="shared" si="1365"/>
        <v>0</v>
      </c>
      <c r="U889" s="1236">
        <f t="shared" si="1365"/>
        <v>0</v>
      </c>
      <c r="V889" s="1236">
        <f t="shared" si="1365"/>
        <v>0</v>
      </c>
      <c r="W889" s="1236">
        <f t="shared" si="1365"/>
        <v>0</v>
      </c>
      <c r="X889" s="1236">
        <f t="shared" si="1365"/>
        <v>0</v>
      </c>
      <c r="Y889" s="1236">
        <f t="shared" si="1365"/>
        <v>0</v>
      </c>
      <c r="Z889" s="1236">
        <f t="shared" si="1365"/>
        <v>0</v>
      </c>
      <c r="AA889" s="1236">
        <f t="shared" si="1365"/>
        <v>0</v>
      </c>
      <c r="AB889" s="1236">
        <f t="shared" si="1365"/>
        <v>0</v>
      </c>
      <c r="AC889" s="1236">
        <f t="shared" si="1365"/>
        <v>0</v>
      </c>
      <c r="AD889" s="877">
        <f>T889</f>
        <v>0</v>
      </c>
      <c r="AE889" s="40">
        <f>W889</f>
        <v>0</v>
      </c>
      <c r="AF889" s="40">
        <f>Z889</f>
        <v>0</v>
      </c>
      <c r="AG889" s="40">
        <f>AC889</f>
        <v>0</v>
      </c>
      <c r="AH889" s="40">
        <f>AE889</f>
        <v>0</v>
      </c>
      <c r="AI889" s="40">
        <f>AG889</f>
        <v>0</v>
      </c>
      <c r="AJ889" s="40">
        <f>AI889</f>
        <v>0</v>
      </c>
      <c r="AL889" s="40">
        <f t="shared" ca="1" si="1340"/>
        <v>0</v>
      </c>
      <c r="AM889" s="40">
        <f t="shared" ca="1" si="1341"/>
        <v>0</v>
      </c>
      <c r="AN889" s="3057">
        <f t="shared" ca="1" si="1342"/>
        <v>0</v>
      </c>
      <c r="AO889" s="2695">
        <f t="shared" ca="1" si="1343"/>
        <v>0</v>
      </c>
      <c r="AP889" s="40">
        <f t="shared" ca="1" si="1344"/>
        <v>0</v>
      </c>
      <c r="AQ889" s="3057">
        <f t="shared" ca="1" si="1345"/>
        <v>0</v>
      </c>
      <c r="AR889" s="2695">
        <f t="shared" ca="1" si="1346"/>
        <v>0</v>
      </c>
      <c r="AT889" s="40">
        <f t="shared" ca="1" si="1347"/>
        <v>0</v>
      </c>
      <c r="AU889" s="40">
        <f t="shared" ca="1" si="1348"/>
        <v>0</v>
      </c>
      <c r="AV889" s="3057">
        <f t="shared" ca="1" si="1349"/>
        <v>0</v>
      </c>
      <c r="AW889" s="2695">
        <f t="shared" ca="1" si="1350"/>
        <v>0</v>
      </c>
      <c r="AX889" s="40">
        <f t="shared" ca="1" si="1351"/>
        <v>0</v>
      </c>
      <c r="AY889" s="3057">
        <f t="shared" ca="1" si="1352"/>
        <v>0</v>
      </c>
      <c r="AZ889" s="2695">
        <f t="shared" ca="1" si="1353"/>
        <v>0</v>
      </c>
      <c r="BB889" s="40">
        <f t="shared" ca="1" si="1354"/>
        <v>0</v>
      </c>
      <c r="BC889" s="40">
        <f t="shared" ca="1" si="1355"/>
        <v>0</v>
      </c>
      <c r="BD889" s="3057">
        <f t="shared" ca="1" si="1356"/>
        <v>0</v>
      </c>
      <c r="BE889" s="2695">
        <f t="shared" ca="1" si="1357"/>
        <v>0</v>
      </c>
      <c r="BF889" s="40">
        <f t="shared" ca="1" si="1358"/>
        <v>0</v>
      </c>
      <c r="BG889" s="3057">
        <f t="shared" ca="1" si="1359"/>
        <v>0</v>
      </c>
      <c r="BH889" s="2695">
        <f t="shared" ca="1" si="1360"/>
        <v>0</v>
      </c>
    </row>
    <row r="890" spans="1:60" s="34" customFormat="1" ht="14.5">
      <c r="A890" s="616">
        <f t="shared" si="1250"/>
        <v>803</v>
      </c>
      <c r="B890" s="616">
        <v>1</v>
      </c>
      <c r="C890" s="616">
        <f t="shared" si="1251"/>
        <v>887</v>
      </c>
      <c r="E890" s="2547">
        <v>1</v>
      </c>
      <c r="F890" s="4"/>
      <c r="G890" s="4"/>
      <c r="H890" s="4"/>
      <c r="I890" s="265"/>
      <c r="J890" s="4"/>
      <c r="K890" s="4"/>
      <c r="L890" s="4"/>
      <c r="M890" s="3"/>
      <c r="N890" s="41"/>
      <c r="O890" s="41" t="s">
        <v>40</v>
      </c>
      <c r="P890" s="3"/>
      <c r="Q890" s="1821" t="str">
        <f>CHOOSE(2, "6722000003809", "HC FE/TTOC Service Total Administration/Others")</f>
        <v>HC FE/TTOC Service Total Administration/Others</v>
      </c>
      <c r="R890" s="1236">
        <f t="shared" si="1365"/>
        <v>32</v>
      </c>
      <c r="S890" s="1236">
        <f t="shared" si="1365"/>
        <v>32</v>
      </c>
      <c r="T890" s="1236">
        <f t="shared" si="1365"/>
        <v>31</v>
      </c>
      <c r="U890" s="1236">
        <f t="shared" si="1365"/>
        <v>31</v>
      </c>
      <c r="V890" s="1236">
        <f t="shared" si="1365"/>
        <v>31</v>
      </c>
      <c r="W890" s="1236">
        <f t="shared" si="1365"/>
        <v>30</v>
      </c>
      <c r="X890" s="1236">
        <f t="shared" si="1365"/>
        <v>30</v>
      </c>
      <c r="Y890" s="1236">
        <f t="shared" si="1365"/>
        <v>32</v>
      </c>
      <c r="Z890" s="1236">
        <f t="shared" si="1365"/>
        <v>32</v>
      </c>
      <c r="AA890" s="1236">
        <f t="shared" si="1365"/>
        <v>32</v>
      </c>
      <c r="AB890" s="1236">
        <f t="shared" si="1365"/>
        <v>33</v>
      </c>
      <c r="AC890" s="1236">
        <f t="shared" si="1365"/>
        <v>34</v>
      </c>
      <c r="AD890" s="877">
        <f>T890</f>
        <v>31</v>
      </c>
      <c r="AE890" s="40">
        <f>W890</f>
        <v>30</v>
      </c>
      <c r="AF890" s="40">
        <f>Z890</f>
        <v>32</v>
      </c>
      <c r="AG890" s="40">
        <f>AC890</f>
        <v>34</v>
      </c>
      <c r="AH890" s="40">
        <f>AE890</f>
        <v>30</v>
      </c>
      <c r="AI890" s="40">
        <f>AG890</f>
        <v>34</v>
      </c>
      <c r="AJ890" s="40">
        <f>AI890</f>
        <v>34</v>
      </c>
      <c r="AL890" s="40">
        <f t="shared" ca="1" si="1340"/>
        <v>34</v>
      </c>
      <c r="AM890" s="40">
        <f t="shared" ca="1" si="1341"/>
        <v>785</v>
      </c>
      <c r="AN890" s="3057">
        <f t="shared" ca="1" si="1342"/>
        <v>-751</v>
      </c>
      <c r="AO890" s="2695">
        <f t="shared" ca="1" si="1343"/>
        <v>4.3312101910828023E-2</v>
      </c>
      <c r="AP890" s="40">
        <f t="shared" ca="1" si="1344"/>
        <v>0</v>
      </c>
      <c r="AQ890" s="3057">
        <f t="shared" ca="1" si="1345"/>
        <v>34</v>
      </c>
      <c r="AR890" s="2695">
        <f t="shared" ca="1" si="1346"/>
        <v>0</v>
      </c>
      <c r="AT890" s="40">
        <f t="shared" ca="1" si="1347"/>
        <v>34</v>
      </c>
      <c r="AU890" s="40">
        <f t="shared" ca="1" si="1348"/>
        <v>785</v>
      </c>
      <c r="AV890" s="3057">
        <f t="shared" ca="1" si="1349"/>
        <v>-751</v>
      </c>
      <c r="AW890" s="2695">
        <f t="shared" ca="1" si="1350"/>
        <v>4.3312101910828023E-2</v>
      </c>
      <c r="AX890" s="40">
        <f t="shared" ca="1" si="1351"/>
        <v>0</v>
      </c>
      <c r="AY890" s="3057">
        <f t="shared" ca="1" si="1352"/>
        <v>34</v>
      </c>
      <c r="AZ890" s="2695">
        <f t="shared" ca="1" si="1353"/>
        <v>0</v>
      </c>
      <c r="BB890" s="40">
        <f t="shared" ca="1" si="1354"/>
        <v>34</v>
      </c>
      <c r="BC890" s="40">
        <f t="shared" ca="1" si="1355"/>
        <v>785</v>
      </c>
      <c r="BD890" s="3057">
        <f t="shared" ca="1" si="1356"/>
        <v>-751</v>
      </c>
      <c r="BE890" s="2695">
        <f t="shared" ca="1" si="1357"/>
        <v>4.3312101910828023E-2</v>
      </c>
      <c r="BF890" s="40">
        <f t="shared" ca="1" si="1358"/>
        <v>0</v>
      </c>
      <c r="BG890" s="3057">
        <f t="shared" ca="1" si="1359"/>
        <v>34</v>
      </c>
      <c r="BH890" s="2695">
        <f t="shared" ca="1" si="1360"/>
        <v>0</v>
      </c>
    </row>
    <row r="891" spans="1:60" s="34" customFormat="1" ht="14.5">
      <c r="A891" s="616">
        <f t="shared" si="1250"/>
        <v>804</v>
      </c>
      <c r="B891" s="616">
        <v>1</v>
      </c>
      <c r="C891" s="616">
        <f t="shared" si="1251"/>
        <v>888</v>
      </c>
      <c r="D891" s="709" t="s">
        <v>1308</v>
      </c>
      <c r="E891" s="2547">
        <v>1</v>
      </c>
      <c r="F891" s="4"/>
      <c r="G891" s="4"/>
      <c r="H891" s="4"/>
      <c r="I891" s="265"/>
      <c r="J891" s="252" t="s">
        <v>207</v>
      </c>
      <c r="K891" s="252"/>
      <c r="L891" s="252"/>
      <c r="M891" s="251"/>
      <c r="N891" s="251"/>
      <c r="O891" s="251"/>
      <c r="P891" s="251"/>
      <c r="Q891" s="1784" t="str">
        <f>CHOOSE(2, "6722000003810", "HC FE/TTOC Marketing")</f>
        <v>HC FE/TTOC Marketing</v>
      </c>
      <c r="R891" s="1380">
        <f t="shared" ref="R891" si="1366">SUM(R892:R895)</f>
        <v>18</v>
      </c>
      <c r="S891" s="1380">
        <f t="shared" ref="S891:AJ891" si="1367">SUM(S892:S895)</f>
        <v>18</v>
      </c>
      <c r="T891" s="1380">
        <f t="shared" si="1367"/>
        <v>18</v>
      </c>
      <c r="U891" s="1380">
        <f t="shared" si="1367"/>
        <v>18</v>
      </c>
      <c r="V891" s="1380">
        <f t="shared" si="1367"/>
        <v>18</v>
      </c>
      <c r="W891" s="1380">
        <f t="shared" si="1367"/>
        <v>17</v>
      </c>
      <c r="X891" s="1380">
        <f t="shared" si="1367"/>
        <v>17</v>
      </c>
      <c r="Y891" s="1380">
        <f t="shared" si="1367"/>
        <v>16</v>
      </c>
      <c r="Z891" s="1380">
        <f t="shared" si="1367"/>
        <v>16</v>
      </c>
      <c r="AA891" s="1380">
        <f t="shared" si="1367"/>
        <v>16</v>
      </c>
      <c r="AB891" s="1380">
        <f t="shared" si="1367"/>
        <v>16</v>
      </c>
      <c r="AC891" s="1380">
        <f t="shared" si="1367"/>
        <v>16</v>
      </c>
      <c r="AD891" s="745">
        <f t="shared" si="1367"/>
        <v>18</v>
      </c>
      <c r="AE891" s="3102">
        <f t="shared" si="1367"/>
        <v>17</v>
      </c>
      <c r="AF891" s="3102">
        <f t="shared" si="1367"/>
        <v>16</v>
      </c>
      <c r="AG891" s="3102">
        <f t="shared" si="1367"/>
        <v>16</v>
      </c>
      <c r="AH891" s="3102">
        <f t="shared" si="1367"/>
        <v>17</v>
      </c>
      <c r="AI891" s="3102">
        <f t="shared" si="1367"/>
        <v>16</v>
      </c>
      <c r="AJ891" s="3102">
        <f t="shared" si="1367"/>
        <v>16</v>
      </c>
      <c r="AL891" s="3102">
        <f t="shared" ca="1" si="1340"/>
        <v>16</v>
      </c>
      <c r="AM891" s="3102">
        <f t="shared" ca="1" si="1341"/>
        <v>196</v>
      </c>
      <c r="AN891" s="3304">
        <f t="shared" ca="1" si="1342"/>
        <v>-180</v>
      </c>
      <c r="AO891" s="2953">
        <f t="shared" ca="1" si="1343"/>
        <v>8.1632653061224483E-2</v>
      </c>
      <c r="AP891" s="3102">
        <f t="shared" ca="1" si="1344"/>
        <v>0</v>
      </c>
      <c r="AQ891" s="3304">
        <f t="shared" ca="1" si="1345"/>
        <v>16</v>
      </c>
      <c r="AR891" s="2953">
        <f t="shared" ca="1" si="1346"/>
        <v>0</v>
      </c>
      <c r="AT891" s="3102">
        <f t="shared" ca="1" si="1347"/>
        <v>16</v>
      </c>
      <c r="AU891" s="3102">
        <f t="shared" ca="1" si="1348"/>
        <v>196</v>
      </c>
      <c r="AV891" s="3304">
        <f t="shared" ca="1" si="1349"/>
        <v>-180</v>
      </c>
      <c r="AW891" s="2953">
        <f t="shared" ca="1" si="1350"/>
        <v>8.1632653061224483E-2</v>
      </c>
      <c r="AX891" s="3102">
        <f t="shared" ca="1" si="1351"/>
        <v>0</v>
      </c>
      <c r="AY891" s="3304">
        <f t="shared" ca="1" si="1352"/>
        <v>16</v>
      </c>
      <c r="AZ891" s="2953">
        <f t="shared" ca="1" si="1353"/>
        <v>0</v>
      </c>
      <c r="BB891" s="3102">
        <f t="shared" ca="1" si="1354"/>
        <v>16</v>
      </c>
      <c r="BC891" s="3102">
        <f t="shared" ca="1" si="1355"/>
        <v>196</v>
      </c>
      <c r="BD891" s="3304">
        <f t="shared" ca="1" si="1356"/>
        <v>-180</v>
      </c>
      <c r="BE891" s="2953">
        <f t="shared" ca="1" si="1357"/>
        <v>8.1632653061224483E-2</v>
      </c>
      <c r="BF891" s="3102">
        <f t="shared" ca="1" si="1358"/>
        <v>0</v>
      </c>
      <c r="BG891" s="3304">
        <f t="shared" ca="1" si="1359"/>
        <v>16</v>
      </c>
      <c r="BH891" s="2953">
        <f t="shared" ca="1" si="1360"/>
        <v>0</v>
      </c>
    </row>
    <row r="892" spans="1:60" s="34" customFormat="1" ht="14.5">
      <c r="A892" s="616">
        <f t="shared" si="1250"/>
        <v>805</v>
      </c>
      <c r="B892" s="616">
        <v>1</v>
      </c>
      <c r="C892" s="616">
        <f t="shared" si="1251"/>
        <v>889</v>
      </c>
      <c r="E892" s="2547">
        <v>1</v>
      </c>
      <c r="F892" s="4"/>
      <c r="G892" s="4"/>
      <c r="H892" s="4"/>
      <c r="I892" s="265"/>
      <c r="J892" s="4"/>
      <c r="K892" s="4"/>
      <c r="L892" s="4"/>
      <c r="M892" s="3"/>
      <c r="N892" s="41"/>
      <c r="O892" s="41" t="s">
        <v>198</v>
      </c>
      <c r="P892" s="3"/>
      <c r="Q892" s="1821" t="str">
        <f>CHOOSE(2, "6722000003811", "HC FE/TTOC Marketing Business Development")</f>
        <v>HC FE/TTOC Marketing Business Development</v>
      </c>
      <c r="R892" s="1236">
        <f t="shared" ref="R892:AC895" si="1368">R923+R1043+R953+R983+R1013</f>
        <v>8</v>
      </c>
      <c r="S892" s="1236">
        <f t="shared" si="1368"/>
        <v>8</v>
      </c>
      <c r="T892" s="1236">
        <f t="shared" si="1368"/>
        <v>8</v>
      </c>
      <c r="U892" s="1236">
        <f t="shared" si="1368"/>
        <v>8</v>
      </c>
      <c r="V892" s="1236">
        <f t="shared" si="1368"/>
        <v>8</v>
      </c>
      <c r="W892" s="1236">
        <f t="shared" si="1368"/>
        <v>7</v>
      </c>
      <c r="X892" s="1236">
        <f t="shared" si="1368"/>
        <v>7</v>
      </c>
      <c r="Y892" s="1236">
        <f t="shared" si="1368"/>
        <v>7</v>
      </c>
      <c r="Z892" s="1236">
        <f t="shared" si="1368"/>
        <v>7</v>
      </c>
      <c r="AA892" s="1236">
        <f t="shared" si="1368"/>
        <v>7</v>
      </c>
      <c r="AB892" s="1236">
        <f t="shared" si="1368"/>
        <v>7</v>
      </c>
      <c r="AC892" s="1236">
        <f t="shared" si="1368"/>
        <v>7</v>
      </c>
      <c r="AD892" s="877">
        <f>T892</f>
        <v>8</v>
      </c>
      <c r="AE892" s="40">
        <f>W892</f>
        <v>7</v>
      </c>
      <c r="AF892" s="40">
        <f>Z892</f>
        <v>7</v>
      </c>
      <c r="AG892" s="40">
        <f>AC892</f>
        <v>7</v>
      </c>
      <c r="AH892" s="40">
        <f>AE892</f>
        <v>7</v>
      </c>
      <c r="AI892" s="40">
        <f>AG892</f>
        <v>7</v>
      </c>
      <c r="AJ892" s="40">
        <f>AI892</f>
        <v>7</v>
      </c>
      <c r="AL892" s="40">
        <f t="shared" ca="1" si="1340"/>
        <v>7</v>
      </c>
      <c r="AM892" s="40">
        <f t="shared" ca="1" si="1341"/>
        <v>123</v>
      </c>
      <c r="AN892" s="3057">
        <f t="shared" ca="1" si="1342"/>
        <v>-116</v>
      </c>
      <c r="AO892" s="2695">
        <f t="shared" ca="1" si="1343"/>
        <v>5.6910569105691054E-2</v>
      </c>
      <c r="AP892" s="40">
        <f t="shared" ca="1" si="1344"/>
        <v>362</v>
      </c>
      <c r="AQ892" s="3057">
        <f t="shared" ca="1" si="1345"/>
        <v>-355</v>
      </c>
      <c r="AR892" s="2695">
        <f t="shared" ca="1" si="1346"/>
        <v>1.9337016574585635E-2</v>
      </c>
      <c r="AT892" s="40">
        <f t="shared" ca="1" si="1347"/>
        <v>7</v>
      </c>
      <c r="AU892" s="40">
        <f t="shared" ca="1" si="1348"/>
        <v>123</v>
      </c>
      <c r="AV892" s="3057">
        <f t="shared" ca="1" si="1349"/>
        <v>-116</v>
      </c>
      <c r="AW892" s="2695">
        <f t="shared" ca="1" si="1350"/>
        <v>5.6910569105691054E-2</v>
      </c>
      <c r="AX892" s="40">
        <f t="shared" ca="1" si="1351"/>
        <v>362</v>
      </c>
      <c r="AY892" s="3057">
        <f t="shared" ca="1" si="1352"/>
        <v>-355</v>
      </c>
      <c r="AZ892" s="2695">
        <f t="shared" ca="1" si="1353"/>
        <v>1.9337016574585635E-2</v>
      </c>
      <c r="BB892" s="40">
        <f t="shared" ca="1" si="1354"/>
        <v>7</v>
      </c>
      <c r="BC892" s="40">
        <f t="shared" ca="1" si="1355"/>
        <v>123</v>
      </c>
      <c r="BD892" s="3057">
        <f t="shared" ca="1" si="1356"/>
        <v>-116</v>
      </c>
      <c r="BE892" s="2695">
        <f t="shared" ca="1" si="1357"/>
        <v>5.6910569105691054E-2</v>
      </c>
      <c r="BF892" s="40">
        <f t="shared" ca="1" si="1358"/>
        <v>362</v>
      </c>
      <c r="BG892" s="3057">
        <f t="shared" ca="1" si="1359"/>
        <v>-355</v>
      </c>
      <c r="BH892" s="2695">
        <f t="shared" ca="1" si="1360"/>
        <v>1.9337016574585635E-2</v>
      </c>
    </row>
    <row r="893" spans="1:60" s="34" customFormat="1" ht="14.5">
      <c r="A893" s="616">
        <f t="shared" si="1250"/>
        <v>806</v>
      </c>
      <c r="B893" s="616">
        <v>1</v>
      </c>
      <c r="C893" s="616">
        <f t="shared" si="1251"/>
        <v>890</v>
      </c>
      <c r="E893" s="2547">
        <v>1</v>
      </c>
      <c r="F893" s="4"/>
      <c r="G893" s="4"/>
      <c r="H893" s="4"/>
      <c r="I893" s="265"/>
      <c r="J893" s="4"/>
      <c r="K893" s="4"/>
      <c r="L893" s="4"/>
      <c r="M893" s="3"/>
      <c r="N893" s="41"/>
      <c r="O893" s="41" t="s">
        <v>199</v>
      </c>
      <c r="P893" s="3"/>
      <c r="Q893" s="1821" t="str">
        <f>CHOOSE(2, "6722000003812", "HC FE/TTOC Marketing Channel Marketing")</f>
        <v>HC FE/TTOC Marketing Channel Marketing</v>
      </c>
      <c r="R893" s="1236">
        <f t="shared" si="1368"/>
        <v>0</v>
      </c>
      <c r="S893" s="1236">
        <f t="shared" si="1368"/>
        <v>0</v>
      </c>
      <c r="T893" s="1236">
        <f t="shared" si="1368"/>
        <v>0</v>
      </c>
      <c r="U893" s="1236">
        <f t="shared" si="1368"/>
        <v>0</v>
      </c>
      <c r="V893" s="1236">
        <f t="shared" si="1368"/>
        <v>0</v>
      </c>
      <c r="W893" s="1236">
        <f t="shared" si="1368"/>
        <v>0</v>
      </c>
      <c r="X893" s="1236">
        <f t="shared" si="1368"/>
        <v>0</v>
      </c>
      <c r="Y893" s="1236">
        <f t="shared" si="1368"/>
        <v>0</v>
      </c>
      <c r="Z893" s="1236">
        <f t="shared" si="1368"/>
        <v>0</v>
      </c>
      <c r="AA893" s="1236">
        <f t="shared" si="1368"/>
        <v>0</v>
      </c>
      <c r="AB893" s="1236">
        <f t="shared" si="1368"/>
        <v>0</v>
      </c>
      <c r="AC893" s="1236">
        <f t="shared" si="1368"/>
        <v>0</v>
      </c>
      <c r="AD893" s="877">
        <f>T893</f>
        <v>0</v>
      </c>
      <c r="AE893" s="40">
        <f>W893</f>
        <v>0</v>
      </c>
      <c r="AF893" s="40">
        <f>Z893</f>
        <v>0</v>
      </c>
      <c r="AG893" s="40">
        <f>AC893</f>
        <v>0</v>
      </c>
      <c r="AH893" s="40">
        <f>AE893</f>
        <v>0</v>
      </c>
      <c r="AI893" s="40">
        <f>AG893</f>
        <v>0</v>
      </c>
      <c r="AJ893" s="40">
        <f>AI893</f>
        <v>0</v>
      </c>
      <c r="AL893" s="40">
        <f t="shared" ca="1" si="1340"/>
        <v>0</v>
      </c>
      <c r="AM893" s="40">
        <f t="shared" ca="1" si="1341"/>
        <v>7</v>
      </c>
      <c r="AN893" s="3057">
        <f t="shared" ca="1" si="1342"/>
        <v>-7</v>
      </c>
      <c r="AO893" s="2695">
        <f t="shared" ca="1" si="1343"/>
        <v>0</v>
      </c>
      <c r="AP893" s="40">
        <f t="shared" ca="1" si="1344"/>
        <v>0</v>
      </c>
      <c r="AQ893" s="3057">
        <f t="shared" ca="1" si="1345"/>
        <v>0</v>
      </c>
      <c r="AR893" s="2695">
        <f t="shared" ca="1" si="1346"/>
        <v>0</v>
      </c>
      <c r="AT893" s="40">
        <f t="shared" ca="1" si="1347"/>
        <v>0</v>
      </c>
      <c r="AU893" s="40">
        <f t="shared" ca="1" si="1348"/>
        <v>7</v>
      </c>
      <c r="AV893" s="3057">
        <f t="shared" ca="1" si="1349"/>
        <v>-7</v>
      </c>
      <c r="AW893" s="2695">
        <f t="shared" ca="1" si="1350"/>
        <v>0</v>
      </c>
      <c r="AX893" s="40">
        <f t="shared" ca="1" si="1351"/>
        <v>0</v>
      </c>
      <c r="AY893" s="3057">
        <f t="shared" ca="1" si="1352"/>
        <v>0</v>
      </c>
      <c r="AZ893" s="2695">
        <f t="shared" ca="1" si="1353"/>
        <v>0</v>
      </c>
      <c r="BB893" s="40">
        <f t="shared" ca="1" si="1354"/>
        <v>0</v>
      </c>
      <c r="BC893" s="40">
        <f t="shared" ca="1" si="1355"/>
        <v>7</v>
      </c>
      <c r="BD893" s="3057">
        <f t="shared" ca="1" si="1356"/>
        <v>-7</v>
      </c>
      <c r="BE893" s="2695">
        <f t="shared" ca="1" si="1357"/>
        <v>0</v>
      </c>
      <c r="BF893" s="40">
        <f t="shared" ca="1" si="1358"/>
        <v>0</v>
      </c>
      <c r="BG893" s="3057">
        <f t="shared" ca="1" si="1359"/>
        <v>0</v>
      </c>
      <c r="BH893" s="2695">
        <f t="shared" ca="1" si="1360"/>
        <v>0</v>
      </c>
    </row>
    <row r="894" spans="1:60" s="34" customFormat="1" ht="14.5">
      <c r="A894" s="616">
        <f t="shared" si="1250"/>
        <v>807</v>
      </c>
      <c r="B894" s="616">
        <v>1</v>
      </c>
      <c r="C894" s="616">
        <f t="shared" si="1251"/>
        <v>891</v>
      </c>
      <c r="E894" s="2547">
        <v>1</v>
      </c>
      <c r="F894" s="4"/>
      <c r="G894" s="4"/>
      <c r="H894" s="4"/>
      <c r="I894" s="265"/>
      <c r="J894" s="4"/>
      <c r="K894" s="4"/>
      <c r="L894" s="4"/>
      <c r="M894" s="3"/>
      <c r="N894" s="41"/>
      <c r="O894" s="41" t="s">
        <v>200</v>
      </c>
      <c r="P894" s="3"/>
      <c r="Q894" s="1821" t="str">
        <f>CHOOSE(2, "6722000003813", "HC FE/TTOC Marketing Product Marketing")</f>
        <v>HC FE/TTOC Marketing Product Marketing</v>
      </c>
      <c r="R894" s="1236">
        <f t="shared" si="1368"/>
        <v>8</v>
      </c>
      <c r="S894" s="1236">
        <f t="shared" si="1368"/>
        <v>8</v>
      </c>
      <c r="T894" s="1236">
        <f t="shared" si="1368"/>
        <v>8</v>
      </c>
      <c r="U894" s="1236">
        <f t="shared" si="1368"/>
        <v>8</v>
      </c>
      <c r="V894" s="1236">
        <f t="shared" si="1368"/>
        <v>8</v>
      </c>
      <c r="W894" s="1236">
        <f t="shared" si="1368"/>
        <v>8</v>
      </c>
      <c r="X894" s="1236">
        <f t="shared" si="1368"/>
        <v>8</v>
      </c>
      <c r="Y894" s="1236">
        <f t="shared" si="1368"/>
        <v>7</v>
      </c>
      <c r="Z894" s="1236">
        <f t="shared" si="1368"/>
        <v>7</v>
      </c>
      <c r="AA894" s="1236">
        <f t="shared" si="1368"/>
        <v>7</v>
      </c>
      <c r="AB894" s="1236">
        <f t="shared" si="1368"/>
        <v>7</v>
      </c>
      <c r="AC894" s="1236">
        <f t="shared" si="1368"/>
        <v>7</v>
      </c>
      <c r="AD894" s="877">
        <f>T894</f>
        <v>8</v>
      </c>
      <c r="AE894" s="40">
        <f>W894</f>
        <v>8</v>
      </c>
      <c r="AF894" s="40">
        <f>Z894</f>
        <v>7</v>
      </c>
      <c r="AG894" s="40">
        <f>AC894</f>
        <v>7</v>
      </c>
      <c r="AH894" s="40">
        <f>AE894</f>
        <v>8</v>
      </c>
      <c r="AI894" s="40">
        <f>AG894</f>
        <v>7</v>
      </c>
      <c r="AJ894" s="40">
        <f>AI894</f>
        <v>7</v>
      </c>
      <c r="AL894" s="40">
        <f t="shared" ca="1" si="1340"/>
        <v>7</v>
      </c>
      <c r="AM894" s="40">
        <f t="shared" ca="1" si="1341"/>
        <v>29</v>
      </c>
      <c r="AN894" s="3057">
        <f t="shared" ca="1" si="1342"/>
        <v>-22</v>
      </c>
      <c r="AO894" s="2695">
        <f t="shared" ca="1" si="1343"/>
        <v>0.2413793103448276</v>
      </c>
      <c r="AP894" s="40">
        <f t="shared" ca="1" si="1344"/>
        <v>362</v>
      </c>
      <c r="AQ894" s="3057">
        <f t="shared" ca="1" si="1345"/>
        <v>-355</v>
      </c>
      <c r="AR894" s="2695">
        <f t="shared" ca="1" si="1346"/>
        <v>1.9337016574585635E-2</v>
      </c>
      <c r="AT894" s="40">
        <f t="shared" ca="1" si="1347"/>
        <v>7</v>
      </c>
      <c r="AU894" s="40">
        <f t="shared" ca="1" si="1348"/>
        <v>29</v>
      </c>
      <c r="AV894" s="3057">
        <f t="shared" ca="1" si="1349"/>
        <v>-22</v>
      </c>
      <c r="AW894" s="2695">
        <f t="shared" ca="1" si="1350"/>
        <v>0.2413793103448276</v>
      </c>
      <c r="AX894" s="40">
        <f t="shared" ca="1" si="1351"/>
        <v>362</v>
      </c>
      <c r="AY894" s="3057">
        <f t="shared" ca="1" si="1352"/>
        <v>-355</v>
      </c>
      <c r="AZ894" s="2695">
        <f t="shared" ca="1" si="1353"/>
        <v>1.9337016574585635E-2</v>
      </c>
      <c r="BB894" s="40">
        <f t="shared" ca="1" si="1354"/>
        <v>7</v>
      </c>
      <c r="BC894" s="40">
        <f t="shared" ca="1" si="1355"/>
        <v>29</v>
      </c>
      <c r="BD894" s="3057">
        <f t="shared" ca="1" si="1356"/>
        <v>-22</v>
      </c>
      <c r="BE894" s="2695">
        <f t="shared" ca="1" si="1357"/>
        <v>0.2413793103448276</v>
      </c>
      <c r="BF894" s="40">
        <f t="shared" ca="1" si="1358"/>
        <v>362</v>
      </c>
      <c r="BG894" s="3057">
        <f t="shared" ca="1" si="1359"/>
        <v>-355</v>
      </c>
      <c r="BH894" s="2695">
        <f t="shared" ca="1" si="1360"/>
        <v>1.9337016574585635E-2</v>
      </c>
    </row>
    <row r="895" spans="1:60" s="34" customFormat="1" ht="14.5">
      <c r="A895" s="616">
        <f t="shared" si="1250"/>
        <v>808</v>
      </c>
      <c r="B895" s="616">
        <v>1</v>
      </c>
      <c r="C895" s="616">
        <f t="shared" si="1251"/>
        <v>892</v>
      </c>
      <c r="E895" s="2547">
        <v>1</v>
      </c>
      <c r="F895" s="4"/>
      <c r="G895" s="4"/>
      <c r="H895" s="4"/>
      <c r="I895" s="265"/>
      <c r="J895" s="2"/>
      <c r="K895" s="2"/>
      <c r="L895" s="2"/>
      <c r="M895" s="1"/>
      <c r="N895" s="39"/>
      <c r="O895" s="39" t="s">
        <v>201</v>
      </c>
      <c r="P895" s="1"/>
      <c r="Q895" s="1821" t="str">
        <f>CHOOSE(2, "6722000003814", "HC FE/TTOC Marketing MC / O")</f>
        <v>HC FE/TTOC Marketing MC / O</v>
      </c>
      <c r="R895" s="1237">
        <f t="shared" si="1368"/>
        <v>2</v>
      </c>
      <c r="S895" s="1237">
        <f t="shared" si="1368"/>
        <v>2</v>
      </c>
      <c r="T895" s="1237">
        <f t="shared" si="1368"/>
        <v>2</v>
      </c>
      <c r="U895" s="1237">
        <f t="shared" si="1368"/>
        <v>2</v>
      </c>
      <c r="V895" s="1237">
        <f t="shared" si="1368"/>
        <v>2</v>
      </c>
      <c r="W895" s="1237">
        <f t="shared" si="1368"/>
        <v>2</v>
      </c>
      <c r="X895" s="1237">
        <f t="shared" si="1368"/>
        <v>2</v>
      </c>
      <c r="Y895" s="1237">
        <f t="shared" si="1368"/>
        <v>2</v>
      </c>
      <c r="Z895" s="1237">
        <f t="shared" si="1368"/>
        <v>2</v>
      </c>
      <c r="AA895" s="1237">
        <f t="shared" si="1368"/>
        <v>2</v>
      </c>
      <c r="AB895" s="1237">
        <f t="shared" si="1368"/>
        <v>2</v>
      </c>
      <c r="AC895" s="1237">
        <f t="shared" si="1368"/>
        <v>2</v>
      </c>
      <c r="AD895" s="912">
        <f>T895</f>
        <v>2</v>
      </c>
      <c r="AE895" s="38">
        <f>W895</f>
        <v>2</v>
      </c>
      <c r="AF895" s="38">
        <f>Z895</f>
        <v>2</v>
      </c>
      <c r="AG895" s="38">
        <f>AC895</f>
        <v>2</v>
      </c>
      <c r="AH895" s="38">
        <f>AE895</f>
        <v>2</v>
      </c>
      <c r="AI895" s="38">
        <f>AG895</f>
        <v>2</v>
      </c>
      <c r="AJ895" s="38">
        <f>AI895</f>
        <v>2</v>
      </c>
      <c r="AL895" s="38">
        <f t="shared" ca="1" si="1340"/>
        <v>2</v>
      </c>
      <c r="AM895" s="38">
        <f t="shared" ca="1" si="1341"/>
        <v>37</v>
      </c>
      <c r="AN895" s="3303">
        <f t="shared" ca="1" si="1342"/>
        <v>-35</v>
      </c>
      <c r="AO895" s="2951">
        <f t="shared" ca="1" si="1343"/>
        <v>5.4054054054054057E-2</v>
      </c>
      <c r="AP895" s="38">
        <f t="shared" ca="1" si="1344"/>
        <v>0</v>
      </c>
      <c r="AQ895" s="3303">
        <f t="shared" ca="1" si="1345"/>
        <v>2</v>
      </c>
      <c r="AR895" s="2951">
        <f t="shared" ca="1" si="1346"/>
        <v>0</v>
      </c>
      <c r="AT895" s="38">
        <f t="shared" ca="1" si="1347"/>
        <v>2</v>
      </c>
      <c r="AU895" s="38">
        <f t="shared" ca="1" si="1348"/>
        <v>37</v>
      </c>
      <c r="AV895" s="3303">
        <f t="shared" ca="1" si="1349"/>
        <v>-35</v>
      </c>
      <c r="AW895" s="2951">
        <f t="shared" ca="1" si="1350"/>
        <v>5.4054054054054057E-2</v>
      </c>
      <c r="AX895" s="38">
        <f t="shared" ca="1" si="1351"/>
        <v>0</v>
      </c>
      <c r="AY895" s="3303">
        <f t="shared" ca="1" si="1352"/>
        <v>2</v>
      </c>
      <c r="AZ895" s="2951">
        <f t="shared" ca="1" si="1353"/>
        <v>0</v>
      </c>
      <c r="BB895" s="38">
        <f t="shared" ca="1" si="1354"/>
        <v>2</v>
      </c>
      <c r="BC895" s="38">
        <f t="shared" ca="1" si="1355"/>
        <v>37</v>
      </c>
      <c r="BD895" s="3303">
        <f t="shared" ca="1" si="1356"/>
        <v>-35</v>
      </c>
      <c r="BE895" s="2951">
        <f t="shared" ca="1" si="1357"/>
        <v>5.4054054054054057E-2</v>
      </c>
      <c r="BF895" s="38">
        <f t="shared" ca="1" si="1358"/>
        <v>0</v>
      </c>
      <c r="BG895" s="3303">
        <f t="shared" ca="1" si="1359"/>
        <v>2</v>
      </c>
      <c r="BH895" s="2951">
        <f t="shared" ca="1" si="1360"/>
        <v>0</v>
      </c>
    </row>
    <row r="896" spans="1:60" s="34" customFormat="1" ht="14.5">
      <c r="A896" s="616">
        <f t="shared" si="1250"/>
        <v>809</v>
      </c>
      <c r="B896" s="616">
        <v>1</v>
      </c>
      <c r="C896" s="616">
        <f t="shared" si="1251"/>
        <v>893</v>
      </c>
      <c r="D896" s="709" t="s">
        <v>1308</v>
      </c>
      <c r="E896" s="2547">
        <v>1</v>
      </c>
      <c r="F896" s="4"/>
      <c r="G896" s="4"/>
      <c r="H896" s="4"/>
      <c r="I896" s="265"/>
      <c r="J896" s="48" t="s">
        <v>17</v>
      </c>
      <c r="K896" s="48"/>
      <c r="L896" s="48"/>
      <c r="M896" s="47"/>
      <c r="N896" s="47"/>
      <c r="O896" s="47"/>
      <c r="P896" s="47"/>
      <c r="Q896" s="1784" t="str">
        <f>CHOOSE(2, "6722000003815", "HC FE/TTOC Administration Total")</f>
        <v>HC FE/TTOC Administration Total</v>
      </c>
      <c r="R896" s="1255">
        <f>SUM(R897:R901)</f>
        <v>71</v>
      </c>
      <c r="S896" s="1255">
        <f t="shared" ref="S896:AJ896" si="1369">SUM(S897:S901)</f>
        <v>73</v>
      </c>
      <c r="T896" s="1255">
        <f t="shared" si="1369"/>
        <v>73</v>
      </c>
      <c r="U896" s="1255">
        <f t="shared" si="1369"/>
        <v>73</v>
      </c>
      <c r="V896" s="1255">
        <f t="shared" si="1369"/>
        <v>72</v>
      </c>
      <c r="W896" s="1255">
        <f t="shared" si="1369"/>
        <v>73</v>
      </c>
      <c r="X896" s="1255">
        <f t="shared" si="1369"/>
        <v>73</v>
      </c>
      <c r="Y896" s="1255">
        <f t="shared" si="1369"/>
        <v>74</v>
      </c>
      <c r="Z896" s="1255">
        <f t="shared" si="1369"/>
        <v>74</v>
      </c>
      <c r="AA896" s="1255">
        <f t="shared" si="1369"/>
        <v>77</v>
      </c>
      <c r="AB896" s="1255">
        <f t="shared" si="1369"/>
        <v>79</v>
      </c>
      <c r="AC896" s="1255">
        <f t="shared" si="1369"/>
        <v>78</v>
      </c>
      <c r="AD896" s="911">
        <f t="shared" si="1369"/>
        <v>73</v>
      </c>
      <c r="AE896" s="45">
        <f t="shared" si="1369"/>
        <v>73</v>
      </c>
      <c r="AF896" s="45">
        <f t="shared" si="1369"/>
        <v>74</v>
      </c>
      <c r="AG896" s="45">
        <f t="shared" si="1369"/>
        <v>78</v>
      </c>
      <c r="AH896" s="45">
        <f t="shared" si="1369"/>
        <v>73</v>
      </c>
      <c r="AI896" s="45">
        <f t="shared" si="1369"/>
        <v>78</v>
      </c>
      <c r="AJ896" s="45">
        <f t="shared" si="1369"/>
        <v>78</v>
      </c>
      <c r="AL896" s="45">
        <f t="shared" ca="1" si="1340"/>
        <v>78</v>
      </c>
      <c r="AM896" s="45">
        <f t="shared" ca="1" si="1341"/>
        <v>444</v>
      </c>
      <c r="AN896" s="3302">
        <f t="shared" ca="1" si="1342"/>
        <v>-366</v>
      </c>
      <c r="AO896" s="2949">
        <f t="shared" ca="1" si="1343"/>
        <v>0.17567567567567569</v>
      </c>
      <c r="AP896" s="45">
        <f t="shared" ca="1" si="1344"/>
        <v>0</v>
      </c>
      <c r="AQ896" s="3302">
        <f t="shared" ca="1" si="1345"/>
        <v>78</v>
      </c>
      <c r="AR896" s="2949">
        <f t="shared" ca="1" si="1346"/>
        <v>0</v>
      </c>
      <c r="AT896" s="45">
        <f t="shared" ca="1" si="1347"/>
        <v>78</v>
      </c>
      <c r="AU896" s="45">
        <f t="shared" ca="1" si="1348"/>
        <v>444</v>
      </c>
      <c r="AV896" s="3302">
        <f t="shared" ca="1" si="1349"/>
        <v>-366</v>
      </c>
      <c r="AW896" s="2949">
        <f t="shared" ca="1" si="1350"/>
        <v>0.17567567567567569</v>
      </c>
      <c r="AX896" s="45">
        <f t="shared" ca="1" si="1351"/>
        <v>0</v>
      </c>
      <c r="AY896" s="3302">
        <f t="shared" ca="1" si="1352"/>
        <v>78</v>
      </c>
      <c r="AZ896" s="2949">
        <f t="shared" ca="1" si="1353"/>
        <v>0</v>
      </c>
      <c r="BB896" s="45">
        <f t="shared" ca="1" si="1354"/>
        <v>78</v>
      </c>
      <c r="BC896" s="45">
        <f t="shared" ca="1" si="1355"/>
        <v>444</v>
      </c>
      <c r="BD896" s="3302">
        <f t="shared" ca="1" si="1356"/>
        <v>-366</v>
      </c>
      <c r="BE896" s="2949">
        <f t="shared" ca="1" si="1357"/>
        <v>0.17567567567567569</v>
      </c>
      <c r="BF896" s="45">
        <f t="shared" ca="1" si="1358"/>
        <v>0</v>
      </c>
      <c r="BG896" s="3302">
        <f t="shared" ca="1" si="1359"/>
        <v>78</v>
      </c>
      <c r="BH896" s="2949">
        <f t="shared" ca="1" si="1360"/>
        <v>0</v>
      </c>
    </row>
    <row r="897" spans="1:60" s="34" customFormat="1" ht="14.5">
      <c r="A897" s="616">
        <f t="shared" ref="A897:A960" si="1370">A896+1</f>
        <v>810</v>
      </c>
      <c r="B897" s="616">
        <v>1</v>
      </c>
      <c r="C897" s="616">
        <f t="shared" si="1251"/>
        <v>894</v>
      </c>
      <c r="E897" s="2547">
        <v>1</v>
      </c>
      <c r="F897" s="4"/>
      <c r="G897" s="4"/>
      <c r="H897" s="4"/>
      <c r="I897" s="265"/>
      <c r="J897" s="4"/>
      <c r="K897" s="4"/>
      <c r="L897" s="3"/>
      <c r="M897" s="3"/>
      <c r="N897" s="41"/>
      <c r="O897" s="41" t="s">
        <v>39</v>
      </c>
      <c r="P897" s="41"/>
      <c r="Q897" s="1821" t="str">
        <f>CHOOSE(2, "6722000003816", "HC FE/TTOC Administration Total Information Technology")</f>
        <v>HC FE/TTOC Administration Total Information Technology</v>
      </c>
      <c r="R897" s="1236">
        <f t="shared" ref="R897:AC901" si="1371">R928+R1048+R958+R988+R1018</f>
        <v>7</v>
      </c>
      <c r="S897" s="1236">
        <f t="shared" si="1371"/>
        <v>7</v>
      </c>
      <c r="T897" s="1236">
        <f t="shared" si="1371"/>
        <v>7</v>
      </c>
      <c r="U897" s="1236">
        <f t="shared" si="1371"/>
        <v>7</v>
      </c>
      <c r="V897" s="1236">
        <f t="shared" si="1371"/>
        <v>7</v>
      </c>
      <c r="W897" s="1236">
        <f t="shared" si="1371"/>
        <v>7</v>
      </c>
      <c r="X897" s="1236">
        <f t="shared" si="1371"/>
        <v>7</v>
      </c>
      <c r="Y897" s="1236">
        <f t="shared" si="1371"/>
        <v>7</v>
      </c>
      <c r="Z897" s="1236">
        <f t="shared" si="1371"/>
        <v>8</v>
      </c>
      <c r="AA897" s="1236">
        <f t="shared" si="1371"/>
        <v>8</v>
      </c>
      <c r="AB897" s="1236">
        <f t="shared" si="1371"/>
        <v>8</v>
      </c>
      <c r="AC897" s="1236">
        <f t="shared" si="1371"/>
        <v>8</v>
      </c>
      <c r="AD897" s="877">
        <f>T897</f>
        <v>7</v>
      </c>
      <c r="AE897" s="40">
        <f>W897</f>
        <v>7</v>
      </c>
      <c r="AF897" s="40">
        <f>Z897</f>
        <v>8</v>
      </c>
      <c r="AG897" s="40">
        <f>AC897</f>
        <v>8</v>
      </c>
      <c r="AH897" s="40">
        <f>AE897</f>
        <v>7</v>
      </c>
      <c r="AI897" s="40">
        <f>AG897</f>
        <v>8</v>
      </c>
      <c r="AJ897" s="40">
        <f>AI897</f>
        <v>8</v>
      </c>
      <c r="AL897" s="40">
        <f t="shared" ca="1" si="1340"/>
        <v>8</v>
      </c>
      <c r="AM897" s="40">
        <f t="shared" ca="1" si="1341"/>
        <v>362</v>
      </c>
      <c r="AN897" s="3057">
        <f t="shared" ca="1" si="1342"/>
        <v>-354</v>
      </c>
      <c r="AO897" s="2695">
        <f t="shared" ca="1" si="1343"/>
        <v>2.2099447513812154E-2</v>
      </c>
      <c r="AP897" s="40">
        <f t="shared" ca="1" si="1344"/>
        <v>0</v>
      </c>
      <c r="AQ897" s="3057">
        <f t="shared" ca="1" si="1345"/>
        <v>8</v>
      </c>
      <c r="AR897" s="2695">
        <f t="shared" ca="1" si="1346"/>
        <v>0</v>
      </c>
      <c r="AT897" s="40">
        <f t="shared" ca="1" si="1347"/>
        <v>8</v>
      </c>
      <c r="AU897" s="40">
        <f t="shared" ca="1" si="1348"/>
        <v>362</v>
      </c>
      <c r="AV897" s="3057">
        <f t="shared" ca="1" si="1349"/>
        <v>-354</v>
      </c>
      <c r="AW897" s="2695">
        <f t="shared" ca="1" si="1350"/>
        <v>2.2099447513812154E-2</v>
      </c>
      <c r="AX897" s="40">
        <f t="shared" ca="1" si="1351"/>
        <v>0</v>
      </c>
      <c r="AY897" s="3057">
        <f t="shared" ca="1" si="1352"/>
        <v>8</v>
      </c>
      <c r="AZ897" s="2695">
        <f t="shared" ca="1" si="1353"/>
        <v>0</v>
      </c>
      <c r="BB897" s="40">
        <f t="shared" ca="1" si="1354"/>
        <v>8</v>
      </c>
      <c r="BC897" s="40">
        <f t="shared" ca="1" si="1355"/>
        <v>362</v>
      </c>
      <c r="BD897" s="3057">
        <f t="shared" ca="1" si="1356"/>
        <v>-354</v>
      </c>
      <c r="BE897" s="2695">
        <f t="shared" ca="1" si="1357"/>
        <v>2.2099447513812154E-2</v>
      </c>
      <c r="BF897" s="40">
        <f t="shared" ca="1" si="1358"/>
        <v>0</v>
      </c>
      <c r="BG897" s="3057">
        <f t="shared" ca="1" si="1359"/>
        <v>8</v>
      </c>
      <c r="BH897" s="2695">
        <f t="shared" ca="1" si="1360"/>
        <v>0</v>
      </c>
    </row>
    <row r="898" spans="1:60" s="34" customFormat="1" ht="14.5">
      <c r="A898" s="616">
        <f t="shared" si="1370"/>
        <v>811</v>
      </c>
      <c r="B898" s="616">
        <v>1</v>
      </c>
      <c r="C898" s="616">
        <f t="shared" ref="C898:C961" si="1372">ROW()-3</f>
        <v>895</v>
      </c>
      <c r="E898" s="2547">
        <v>1</v>
      </c>
      <c r="F898" s="4"/>
      <c r="G898" s="4"/>
      <c r="H898" s="4"/>
      <c r="I898" s="265"/>
      <c r="J898" s="4"/>
      <c r="K898" s="4"/>
      <c r="L898" s="3"/>
      <c r="M898" s="3"/>
      <c r="N898" s="41"/>
      <c r="O898" s="41" t="s">
        <v>18</v>
      </c>
      <c r="P898" s="41"/>
      <c r="Q898" s="1821" t="str">
        <f>CHOOSE(2, "6722000003817", "HC FE/TTOC Administration Total Finance")</f>
        <v>HC FE/TTOC Administration Total Finance</v>
      </c>
      <c r="R898" s="1236">
        <f t="shared" si="1371"/>
        <v>41</v>
      </c>
      <c r="S898" s="1236">
        <f t="shared" si="1371"/>
        <v>41</v>
      </c>
      <c r="T898" s="1236">
        <f t="shared" si="1371"/>
        <v>41</v>
      </c>
      <c r="U898" s="1236">
        <f t="shared" si="1371"/>
        <v>41</v>
      </c>
      <c r="V898" s="1236">
        <f t="shared" si="1371"/>
        <v>40</v>
      </c>
      <c r="W898" s="1236">
        <f t="shared" si="1371"/>
        <v>42</v>
      </c>
      <c r="X898" s="1236">
        <f t="shared" si="1371"/>
        <v>43</v>
      </c>
      <c r="Y898" s="1236">
        <f t="shared" si="1371"/>
        <v>42</v>
      </c>
      <c r="Z898" s="1236">
        <f t="shared" si="1371"/>
        <v>40</v>
      </c>
      <c r="AA898" s="1236">
        <f t="shared" si="1371"/>
        <v>41</v>
      </c>
      <c r="AB898" s="1236">
        <f t="shared" si="1371"/>
        <v>43</v>
      </c>
      <c r="AC898" s="1236">
        <f t="shared" si="1371"/>
        <v>43</v>
      </c>
      <c r="AD898" s="877">
        <f>T898</f>
        <v>41</v>
      </c>
      <c r="AE898" s="40">
        <f>W898</f>
        <v>42</v>
      </c>
      <c r="AF898" s="40">
        <f>Z898</f>
        <v>40</v>
      </c>
      <c r="AG898" s="40">
        <f>AC898</f>
        <v>43</v>
      </c>
      <c r="AH898" s="40">
        <f>AE898</f>
        <v>42</v>
      </c>
      <c r="AI898" s="40">
        <f>AG898</f>
        <v>43</v>
      </c>
      <c r="AJ898" s="40">
        <f>AI898</f>
        <v>43</v>
      </c>
      <c r="AL898" s="40">
        <f t="shared" ca="1" si="1340"/>
        <v>43</v>
      </c>
      <c r="AM898" s="40">
        <f t="shared" ca="1" si="1341"/>
        <v>1</v>
      </c>
      <c r="AN898" s="3057">
        <f t="shared" ca="1" si="1342"/>
        <v>42</v>
      </c>
      <c r="AO898" s="2695">
        <f t="shared" ca="1" si="1343"/>
        <v>43</v>
      </c>
      <c r="AP898" s="40">
        <f t="shared" ca="1" si="1344"/>
        <v>0</v>
      </c>
      <c r="AQ898" s="3057">
        <f t="shared" ca="1" si="1345"/>
        <v>43</v>
      </c>
      <c r="AR898" s="2695">
        <f t="shared" ca="1" si="1346"/>
        <v>0</v>
      </c>
      <c r="AT898" s="40">
        <f t="shared" ca="1" si="1347"/>
        <v>43</v>
      </c>
      <c r="AU898" s="40">
        <f t="shared" ca="1" si="1348"/>
        <v>1</v>
      </c>
      <c r="AV898" s="3057">
        <f t="shared" ca="1" si="1349"/>
        <v>42</v>
      </c>
      <c r="AW898" s="2695">
        <f t="shared" ca="1" si="1350"/>
        <v>43</v>
      </c>
      <c r="AX898" s="40">
        <f t="shared" ca="1" si="1351"/>
        <v>0</v>
      </c>
      <c r="AY898" s="3057">
        <f t="shared" ca="1" si="1352"/>
        <v>43</v>
      </c>
      <c r="AZ898" s="2695">
        <f t="shared" ca="1" si="1353"/>
        <v>0</v>
      </c>
      <c r="BB898" s="40">
        <f t="shared" ca="1" si="1354"/>
        <v>43</v>
      </c>
      <c r="BC898" s="40">
        <f t="shared" ca="1" si="1355"/>
        <v>1</v>
      </c>
      <c r="BD898" s="3057">
        <f t="shared" ca="1" si="1356"/>
        <v>42</v>
      </c>
      <c r="BE898" s="2695">
        <f t="shared" ca="1" si="1357"/>
        <v>43</v>
      </c>
      <c r="BF898" s="40">
        <f t="shared" ca="1" si="1358"/>
        <v>0</v>
      </c>
      <c r="BG898" s="3057">
        <f t="shared" ca="1" si="1359"/>
        <v>43</v>
      </c>
      <c r="BH898" s="2695">
        <f t="shared" ca="1" si="1360"/>
        <v>0</v>
      </c>
    </row>
    <row r="899" spans="1:60" s="34" customFormat="1" ht="14.5">
      <c r="A899" s="616">
        <f t="shared" si="1370"/>
        <v>812</v>
      </c>
      <c r="B899" s="616">
        <v>1</v>
      </c>
      <c r="C899" s="616">
        <f t="shared" si="1372"/>
        <v>896</v>
      </c>
      <c r="E899" s="2547">
        <v>1</v>
      </c>
      <c r="F899" s="4"/>
      <c r="G899" s="4"/>
      <c r="H899" s="4"/>
      <c r="I899" s="265"/>
      <c r="J899" s="4"/>
      <c r="K899" s="4"/>
      <c r="L899" s="3"/>
      <c r="M899" s="3"/>
      <c r="N899" s="41"/>
      <c r="O899" s="41" t="s">
        <v>19</v>
      </c>
      <c r="P899" s="41"/>
      <c r="Q899" s="1821" t="str">
        <f>CHOOSE(2, "6722000003818", "HC FE/TTOC Administration Total HR")</f>
        <v>HC FE/TTOC Administration Total HR</v>
      </c>
      <c r="R899" s="1236">
        <f t="shared" si="1371"/>
        <v>7</v>
      </c>
      <c r="S899" s="1236">
        <f t="shared" si="1371"/>
        <v>7</v>
      </c>
      <c r="T899" s="1236">
        <f t="shared" si="1371"/>
        <v>7</v>
      </c>
      <c r="U899" s="1236">
        <f t="shared" si="1371"/>
        <v>8</v>
      </c>
      <c r="V899" s="1236">
        <f t="shared" si="1371"/>
        <v>8</v>
      </c>
      <c r="W899" s="1236">
        <f t="shared" si="1371"/>
        <v>7</v>
      </c>
      <c r="X899" s="1236">
        <f t="shared" si="1371"/>
        <v>7</v>
      </c>
      <c r="Y899" s="1236">
        <f t="shared" si="1371"/>
        <v>7</v>
      </c>
      <c r="Z899" s="1236">
        <f t="shared" si="1371"/>
        <v>8</v>
      </c>
      <c r="AA899" s="1236">
        <f t="shared" si="1371"/>
        <v>8</v>
      </c>
      <c r="AB899" s="1236">
        <f t="shared" si="1371"/>
        <v>8</v>
      </c>
      <c r="AC899" s="1236">
        <f t="shared" si="1371"/>
        <v>7</v>
      </c>
      <c r="AD899" s="877">
        <f>T899</f>
        <v>7</v>
      </c>
      <c r="AE899" s="40">
        <f>W899</f>
        <v>7</v>
      </c>
      <c r="AF899" s="40">
        <f>Z899</f>
        <v>8</v>
      </c>
      <c r="AG899" s="40">
        <f>AC899</f>
        <v>7</v>
      </c>
      <c r="AH899" s="40">
        <f>AE899</f>
        <v>7</v>
      </c>
      <c r="AI899" s="40">
        <f>AG899</f>
        <v>7</v>
      </c>
      <c r="AJ899" s="40">
        <f>AI899</f>
        <v>7</v>
      </c>
      <c r="AL899" s="40">
        <f t="shared" ca="1" si="1340"/>
        <v>7</v>
      </c>
      <c r="AM899" s="40">
        <f t="shared" ca="1" si="1341"/>
        <v>48</v>
      </c>
      <c r="AN899" s="3057">
        <f t="shared" ca="1" si="1342"/>
        <v>-41</v>
      </c>
      <c r="AO899" s="2695">
        <f t="shared" ca="1" si="1343"/>
        <v>0.14583333333333334</v>
      </c>
      <c r="AP899" s="40">
        <f t="shared" ca="1" si="1344"/>
        <v>0</v>
      </c>
      <c r="AQ899" s="3057">
        <f t="shared" ca="1" si="1345"/>
        <v>7</v>
      </c>
      <c r="AR899" s="2695">
        <f t="shared" ca="1" si="1346"/>
        <v>0</v>
      </c>
      <c r="AT899" s="40">
        <f t="shared" ca="1" si="1347"/>
        <v>7</v>
      </c>
      <c r="AU899" s="40">
        <f t="shared" ca="1" si="1348"/>
        <v>48</v>
      </c>
      <c r="AV899" s="3057">
        <f t="shared" ca="1" si="1349"/>
        <v>-41</v>
      </c>
      <c r="AW899" s="2695">
        <f t="shared" ca="1" si="1350"/>
        <v>0.14583333333333334</v>
      </c>
      <c r="AX899" s="40">
        <f t="shared" ca="1" si="1351"/>
        <v>0</v>
      </c>
      <c r="AY899" s="3057">
        <f t="shared" ca="1" si="1352"/>
        <v>7</v>
      </c>
      <c r="AZ899" s="2695">
        <f t="shared" ca="1" si="1353"/>
        <v>0</v>
      </c>
      <c r="BB899" s="40">
        <f t="shared" ca="1" si="1354"/>
        <v>7</v>
      </c>
      <c r="BC899" s="40">
        <f t="shared" ca="1" si="1355"/>
        <v>48</v>
      </c>
      <c r="BD899" s="3057">
        <f t="shared" ca="1" si="1356"/>
        <v>-41</v>
      </c>
      <c r="BE899" s="2695">
        <f t="shared" ca="1" si="1357"/>
        <v>0.14583333333333334</v>
      </c>
      <c r="BF899" s="40">
        <f t="shared" ca="1" si="1358"/>
        <v>0</v>
      </c>
      <c r="BG899" s="3057">
        <f t="shared" ca="1" si="1359"/>
        <v>7</v>
      </c>
      <c r="BH899" s="2695">
        <f t="shared" ca="1" si="1360"/>
        <v>0</v>
      </c>
    </row>
    <row r="900" spans="1:60" s="34" customFormat="1" ht="14.5">
      <c r="A900" s="616">
        <f t="shared" si="1370"/>
        <v>813</v>
      </c>
      <c r="B900" s="616">
        <v>1</v>
      </c>
      <c r="C900" s="616">
        <f t="shared" si="1372"/>
        <v>897</v>
      </c>
      <c r="E900" s="2547">
        <v>1</v>
      </c>
      <c r="F900" s="4"/>
      <c r="G900" s="4"/>
      <c r="H900" s="4"/>
      <c r="I900" s="265"/>
      <c r="J900" s="4"/>
      <c r="K900" s="4"/>
      <c r="L900" s="3"/>
      <c r="M900" s="3"/>
      <c r="N900" s="41"/>
      <c r="O900" s="41" t="s">
        <v>20</v>
      </c>
      <c r="P900" s="41"/>
      <c r="Q900" s="1821" t="str">
        <f>CHOOSE(2, "6722000003819", "HC FE/TTOC Administration Total Training")</f>
        <v>HC FE/TTOC Administration Total Training</v>
      </c>
      <c r="R900" s="1236">
        <f t="shared" si="1371"/>
        <v>0</v>
      </c>
      <c r="S900" s="1236">
        <f t="shared" si="1371"/>
        <v>0</v>
      </c>
      <c r="T900" s="1236">
        <f t="shared" si="1371"/>
        <v>0</v>
      </c>
      <c r="U900" s="1236">
        <f t="shared" si="1371"/>
        <v>0</v>
      </c>
      <c r="V900" s="1236">
        <f t="shared" si="1371"/>
        <v>0</v>
      </c>
      <c r="W900" s="1236">
        <f t="shared" si="1371"/>
        <v>0</v>
      </c>
      <c r="X900" s="1236">
        <f t="shared" si="1371"/>
        <v>0</v>
      </c>
      <c r="Y900" s="1236">
        <f t="shared" si="1371"/>
        <v>0</v>
      </c>
      <c r="Z900" s="1236">
        <f t="shared" si="1371"/>
        <v>0</v>
      </c>
      <c r="AA900" s="1236">
        <f t="shared" si="1371"/>
        <v>0</v>
      </c>
      <c r="AB900" s="1236">
        <f t="shared" si="1371"/>
        <v>0</v>
      </c>
      <c r="AC900" s="1236">
        <f t="shared" si="1371"/>
        <v>0</v>
      </c>
      <c r="AD900" s="877">
        <f>T900</f>
        <v>0</v>
      </c>
      <c r="AE900" s="40">
        <f>W900</f>
        <v>0</v>
      </c>
      <c r="AF900" s="40">
        <f>Z900</f>
        <v>0</v>
      </c>
      <c r="AG900" s="40">
        <f>AC900</f>
        <v>0</v>
      </c>
      <c r="AH900" s="40">
        <f>AE900</f>
        <v>0</v>
      </c>
      <c r="AI900" s="40">
        <f>AG900</f>
        <v>0</v>
      </c>
      <c r="AJ900" s="40">
        <f>AI900</f>
        <v>0</v>
      </c>
      <c r="AL900" s="40">
        <f t="shared" ca="1" si="1340"/>
        <v>0</v>
      </c>
      <c r="AM900" s="40">
        <f t="shared" ca="1" si="1341"/>
        <v>0</v>
      </c>
      <c r="AN900" s="3057">
        <f t="shared" ca="1" si="1342"/>
        <v>0</v>
      </c>
      <c r="AO900" s="2695">
        <f t="shared" ca="1" si="1343"/>
        <v>0</v>
      </c>
      <c r="AP900" s="40">
        <f t="shared" ca="1" si="1344"/>
        <v>0</v>
      </c>
      <c r="AQ900" s="3057">
        <f t="shared" ca="1" si="1345"/>
        <v>0</v>
      </c>
      <c r="AR900" s="2695">
        <f t="shared" ca="1" si="1346"/>
        <v>0</v>
      </c>
      <c r="AT900" s="40">
        <f t="shared" ca="1" si="1347"/>
        <v>0</v>
      </c>
      <c r="AU900" s="40">
        <f t="shared" ca="1" si="1348"/>
        <v>0</v>
      </c>
      <c r="AV900" s="3057">
        <f t="shared" ca="1" si="1349"/>
        <v>0</v>
      </c>
      <c r="AW900" s="2695">
        <f t="shared" ca="1" si="1350"/>
        <v>0</v>
      </c>
      <c r="AX900" s="40">
        <f t="shared" ca="1" si="1351"/>
        <v>0</v>
      </c>
      <c r="AY900" s="3057">
        <f t="shared" ca="1" si="1352"/>
        <v>0</v>
      </c>
      <c r="AZ900" s="2695">
        <f t="shared" ca="1" si="1353"/>
        <v>0</v>
      </c>
      <c r="BB900" s="40">
        <f t="shared" ca="1" si="1354"/>
        <v>0</v>
      </c>
      <c r="BC900" s="40">
        <f t="shared" ca="1" si="1355"/>
        <v>0</v>
      </c>
      <c r="BD900" s="3057">
        <f t="shared" ca="1" si="1356"/>
        <v>0</v>
      </c>
      <c r="BE900" s="2695">
        <f t="shared" ca="1" si="1357"/>
        <v>0</v>
      </c>
      <c r="BF900" s="40">
        <f t="shared" ca="1" si="1358"/>
        <v>0</v>
      </c>
      <c r="BG900" s="3057">
        <f t="shared" ca="1" si="1359"/>
        <v>0</v>
      </c>
      <c r="BH900" s="2695">
        <f t="shared" ca="1" si="1360"/>
        <v>0</v>
      </c>
    </row>
    <row r="901" spans="1:60" s="34" customFormat="1" ht="14.5">
      <c r="A901" s="616">
        <f t="shared" si="1370"/>
        <v>814</v>
      </c>
      <c r="B901" s="616">
        <v>1</v>
      </c>
      <c r="C901" s="616">
        <f t="shared" si="1372"/>
        <v>898</v>
      </c>
      <c r="E901" s="2547">
        <v>1</v>
      </c>
      <c r="F901" s="4"/>
      <c r="G901" s="4"/>
      <c r="H901" s="4"/>
      <c r="I901" s="265"/>
      <c r="J901" s="4"/>
      <c r="K901" s="4"/>
      <c r="L901" s="3"/>
      <c r="M901" s="3"/>
      <c r="N901" s="41"/>
      <c r="O901" s="41" t="s">
        <v>2</v>
      </c>
      <c r="P901" s="41"/>
      <c r="Q901" s="1821" t="str">
        <f>CHOOSE(2, "6722000003820", "HC FE/TTOC Administration Total Others")</f>
        <v>HC FE/TTOC Administration Total Others</v>
      </c>
      <c r="R901" s="1236">
        <f t="shared" si="1371"/>
        <v>16</v>
      </c>
      <c r="S901" s="1236">
        <f t="shared" si="1371"/>
        <v>18</v>
      </c>
      <c r="T901" s="1236">
        <f t="shared" si="1371"/>
        <v>18</v>
      </c>
      <c r="U901" s="1236">
        <f t="shared" si="1371"/>
        <v>17</v>
      </c>
      <c r="V901" s="1236">
        <f t="shared" si="1371"/>
        <v>17</v>
      </c>
      <c r="W901" s="1236">
        <f t="shared" si="1371"/>
        <v>17</v>
      </c>
      <c r="X901" s="1236">
        <f t="shared" si="1371"/>
        <v>16</v>
      </c>
      <c r="Y901" s="1236">
        <f t="shared" si="1371"/>
        <v>18</v>
      </c>
      <c r="Z901" s="1236">
        <f t="shared" si="1371"/>
        <v>18</v>
      </c>
      <c r="AA901" s="1236">
        <f t="shared" si="1371"/>
        <v>20</v>
      </c>
      <c r="AB901" s="1236">
        <f t="shared" si="1371"/>
        <v>20</v>
      </c>
      <c r="AC901" s="1236">
        <f t="shared" si="1371"/>
        <v>20</v>
      </c>
      <c r="AD901" s="877">
        <f>T901</f>
        <v>18</v>
      </c>
      <c r="AE901" s="40">
        <f>W901</f>
        <v>17</v>
      </c>
      <c r="AF901" s="40">
        <f>Z901</f>
        <v>18</v>
      </c>
      <c r="AG901" s="40">
        <f>AC901</f>
        <v>20</v>
      </c>
      <c r="AH901" s="40">
        <f>AE901</f>
        <v>17</v>
      </c>
      <c r="AI901" s="40">
        <f>AG901</f>
        <v>20</v>
      </c>
      <c r="AJ901" s="40">
        <f>AI901</f>
        <v>20</v>
      </c>
      <c r="AL901" s="40">
        <f t="shared" ca="1" si="1340"/>
        <v>20</v>
      </c>
      <c r="AM901" s="40">
        <f t="shared" ca="1" si="1341"/>
        <v>33</v>
      </c>
      <c r="AN901" s="3057">
        <f t="shared" ca="1" si="1342"/>
        <v>-13</v>
      </c>
      <c r="AO901" s="2695">
        <f t="shared" ca="1" si="1343"/>
        <v>0.60606060606060608</v>
      </c>
      <c r="AP901" s="40">
        <f t="shared" ca="1" si="1344"/>
        <v>0</v>
      </c>
      <c r="AQ901" s="3057">
        <f t="shared" ca="1" si="1345"/>
        <v>20</v>
      </c>
      <c r="AR901" s="2695">
        <f t="shared" ca="1" si="1346"/>
        <v>0</v>
      </c>
      <c r="AT901" s="40">
        <f t="shared" ca="1" si="1347"/>
        <v>20</v>
      </c>
      <c r="AU901" s="40">
        <f t="shared" ca="1" si="1348"/>
        <v>33</v>
      </c>
      <c r="AV901" s="3057">
        <f t="shared" ca="1" si="1349"/>
        <v>-13</v>
      </c>
      <c r="AW901" s="2695">
        <f t="shared" ca="1" si="1350"/>
        <v>0.60606060606060608</v>
      </c>
      <c r="AX901" s="40">
        <f t="shared" ca="1" si="1351"/>
        <v>0</v>
      </c>
      <c r="AY901" s="3057">
        <f t="shared" ca="1" si="1352"/>
        <v>20</v>
      </c>
      <c r="AZ901" s="2695">
        <f t="shared" ca="1" si="1353"/>
        <v>0</v>
      </c>
      <c r="BB901" s="40">
        <f t="shared" ca="1" si="1354"/>
        <v>20</v>
      </c>
      <c r="BC901" s="40">
        <f t="shared" ca="1" si="1355"/>
        <v>33</v>
      </c>
      <c r="BD901" s="3057">
        <f t="shared" ca="1" si="1356"/>
        <v>-13</v>
      </c>
      <c r="BE901" s="2695">
        <f t="shared" ca="1" si="1357"/>
        <v>0.60606060606060608</v>
      </c>
      <c r="BF901" s="40">
        <f t="shared" ca="1" si="1358"/>
        <v>0</v>
      </c>
      <c r="BG901" s="3057">
        <f t="shared" ca="1" si="1359"/>
        <v>20</v>
      </c>
      <c r="BH901" s="2695">
        <f t="shared" ca="1" si="1360"/>
        <v>0</v>
      </c>
    </row>
    <row r="902" spans="1:60" s="34" customFormat="1" ht="14.5">
      <c r="A902" s="616">
        <f t="shared" si="1370"/>
        <v>815</v>
      </c>
      <c r="B902" s="616">
        <v>1</v>
      </c>
      <c r="C902" s="616">
        <f t="shared" si="1372"/>
        <v>899</v>
      </c>
      <c r="D902" s="709" t="s">
        <v>1308</v>
      </c>
      <c r="E902" s="2547">
        <v>1</v>
      </c>
      <c r="F902" s="4"/>
      <c r="G902" s="4"/>
      <c r="H902" s="4"/>
      <c r="I902" s="265"/>
      <c r="J902" s="252" t="s">
        <v>206</v>
      </c>
      <c r="K902" s="252"/>
      <c r="L902" s="252"/>
      <c r="M902" s="251"/>
      <c r="N902" s="251"/>
      <c r="O902" s="251"/>
      <c r="P902" s="251"/>
      <c r="Q902" s="1784" t="str">
        <f>CHOOSE(2, "6722000003821", "HC FE/TTOC Logistics Total")</f>
        <v>HC FE/TTOC Logistics Total</v>
      </c>
      <c r="R902" s="1380">
        <f>SUM(R903:R905)</f>
        <v>35</v>
      </c>
      <c r="S902" s="1380">
        <f t="shared" ref="S902:AJ902" si="1373">SUM(S903:S905)</f>
        <v>33</v>
      </c>
      <c r="T902" s="1380">
        <f t="shared" si="1373"/>
        <v>36</v>
      </c>
      <c r="U902" s="1380">
        <f t="shared" si="1373"/>
        <v>37</v>
      </c>
      <c r="V902" s="1380">
        <f t="shared" si="1373"/>
        <v>37</v>
      </c>
      <c r="W902" s="1380">
        <f t="shared" si="1373"/>
        <v>37</v>
      </c>
      <c r="X902" s="1380">
        <f t="shared" si="1373"/>
        <v>37</v>
      </c>
      <c r="Y902" s="1380">
        <f t="shared" si="1373"/>
        <v>38</v>
      </c>
      <c r="Z902" s="1380">
        <f t="shared" si="1373"/>
        <v>39</v>
      </c>
      <c r="AA902" s="1380">
        <f t="shared" si="1373"/>
        <v>39</v>
      </c>
      <c r="AB902" s="1380">
        <f t="shared" si="1373"/>
        <v>39</v>
      </c>
      <c r="AC902" s="1380">
        <f t="shared" si="1373"/>
        <v>39</v>
      </c>
      <c r="AD902" s="745">
        <f t="shared" si="1373"/>
        <v>36</v>
      </c>
      <c r="AE902" s="3102">
        <f t="shared" si="1373"/>
        <v>37</v>
      </c>
      <c r="AF902" s="3102">
        <f t="shared" si="1373"/>
        <v>39</v>
      </c>
      <c r="AG902" s="3102">
        <f t="shared" si="1373"/>
        <v>39</v>
      </c>
      <c r="AH902" s="3102">
        <f t="shared" si="1373"/>
        <v>37</v>
      </c>
      <c r="AI902" s="3102">
        <f t="shared" si="1373"/>
        <v>39</v>
      </c>
      <c r="AJ902" s="3102">
        <f t="shared" si="1373"/>
        <v>39</v>
      </c>
      <c r="AL902" s="3102">
        <f t="shared" ca="1" si="1340"/>
        <v>39</v>
      </c>
      <c r="AM902" s="3102">
        <f t="shared" ca="1" si="1341"/>
        <v>20</v>
      </c>
      <c r="AN902" s="3304">
        <f t="shared" ca="1" si="1342"/>
        <v>19</v>
      </c>
      <c r="AO902" s="2953">
        <f t="shared" ca="1" si="1343"/>
        <v>1.95</v>
      </c>
      <c r="AP902" s="3102">
        <f t="shared" ca="1" si="1344"/>
        <v>0</v>
      </c>
      <c r="AQ902" s="3304">
        <f t="shared" ca="1" si="1345"/>
        <v>39</v>
      </c>
      <c r="AR902" s="2953">
        <f t="shared" ca="1" si="1346"/>
        <v>0</v>
      </c>
      <c r="AT902" s="3102">
        <f t="shared" ca="1" si="1347"/>
        <v>39</v>
      </c>
      <c r="AU902" s="3102">
        <f t="shared" ca="1" si="1348"/>
        <v>20</v>
      </c>
      <c r="AV902" s="3304">
        <f t="shared" ca="1" si="1349"/>
        <v>19</v>
      </c>
      <c r="AW902" s="2953">
        <f t="shared" ca="1" si="1350"/>
        <v>1.95</v>
      </c>
      <c r="AX902" s="3102">
        <f t="shared" ca="1" si="1351"/>
        <v>0</v>
      </c>
      <c r="AY902" s="3304">
        <f t="shared" ca="1" si="1352"/>
        <v>39</v>
      </c>
      <c r="AZ902" s="2953">
        <f t="shared" ca="1" si="1353"/>
        <v>0</v>
      </c>
      <c r="BB902" s="3102">
        <f t="shared" ca="1" si="1354"/>
        <v>39</v>
      </c>
      <c r="BC902" s="3102">
        <f t="shared" ca="1" si="1355"/>
        <v>20</v>
      </c>
      <c r="BD902" s="3304">
        <f t="shared" ca="1" si="1356"/>
        <v>19</v>
      </c>
      <c r="BE902" s="2953">
        <f t="shared" ca="1" si="1357"/>
        <v>1.95</v>
      </c>
      <c r="BF902" s="3102">
        <f t="shared" ca="1" si="1358"/>
        <v>0</v>
      </c>
      <c r="BG902" s="3304">
        <f t="shared" ca="1" si="1359"/>
        <v>39</v>
      </c>
      <c r="BH902" s="2953">
        <f t="shared" ca="1" si="1360"/>
        <v>0</v>
      </c>
    </row>
    <row r="903" spans="1:60" s="34" customFormat="1" ht="14.5">
      <c r="A903" s="616">
        <f t="shared" si="1370"/>
        <v>816</v>
      </c>
      <c r="B903" s="616">
        <v>1</v>
      </c>
      <c r="C903" s="616">
        <f t="shared" si="1372"/>
        <v>900</v>
      </c>
      <c r="E903" s="2547">
        <v>1</v>
      </c>
      <c r="F903" s="4"/>
      <c r="G903" s="4"/>
      <c r="H903" s="4"/>
      <c r="I903" s="265"/>
      <c r="J903" s="4"/>
      <c r="K903" s="4"/>
      <c r="L903" s="3"/>
      <c r="M903" s="3"/>
      <c r="N903" s="41"/>
      <c r="O903" s="41" t="s">
        <v>21</v>
      </c>
      <c r="P903" s="41"/>
      <c r="Q903" s="1821" t="str">
        <f>CHOOSE(2, "6722000003822", "HC FE/TTOC Logistics Total Administration")</f>
        <v>HC FE/TTOC Logistics Total Administration</v>
      </c>
      <c r="R903" s="1236">
        <f t="shared" ref="R903:AC906" si="1374">R934+R1054+R964+R994+R1024</f>
        <v>13</v>
      </c>
      <c r="S903" s="1236">
        <f t="shared" si="1374"/>
        <v>12</v>
      </c>
      <c r="T903" s="1236">
        <f t="shared" si="1374"/>
        <v>13</v>
      </c>
      <c r="U903" s="1236">
        <f t="shared" si="1374"/>
        <v>13</v>
      </c>
      <c r="V903" s="1236">
        <f t="shared" si="1374"/>
        <v>13</v>
      </c>
      <c r="W903" s="1236">
        <f t="shared" si="1374"/>
        <v>14</v>
      </c>
      <c r="X903" s="1236">
        <f t="shared" si="1374"/>
        <v>14</v>
      </c>
      <c r="Y903" s="1236">
        <f t="shared" si="1374"/>
        <v>13</v>
      </c>
      <c r="Z903" s="1236">
        <f t="shared" si="1374"/>
        <v>14</v>
      </c>
      <c r="AA903" s="1236">
        <f t="shared" si="1374"/>
        <v>14</v>
      </c>
      <c r="AB903" s="1236">
        <f t="shared" si="1374"/>
        <v>14</v>
      </c>
      <c r="AC903" s="1236">
        <f t="shared" si="1374"/>
        <v>14</v>
      </c>
      <c r="AD903" s="877">
        <f>T903</f>
        <v>13</v>
      </c>
      <c r="AE903" s="40">
        <f>W903</f>
        <v>14</v>
      </c>
      <c r="AF903" s="40">
        <f>Z903</f>
        <v>14</v>
      </c>
      <c r="AG903" s="40">
        <f>AC903</f>
        <v>14</v>
      </c>
      <c r="AH903" s="40">
        <f>AE903</f>
        <v>14</v>
      </c>
      <c r="AI903" s="40">
        <f>AG903</f>
        <v>14</v>
      </c>
      <c r="AJ903" s="40">
        <f>AI903</f>
        <v>14</v>
      </c>
      <c r="AL903" s="40">
        <f t="shared" ca="1" si="1340"/>
        <v>14</v>
      </c>
      <c r="AM903" s="40">
        <f t="shared" ca="1" si="1341"/>
        <v>9</v>
      </c>
      <c r="AN903" s="3057">
        <f t="shared" ca="1" si="1342"/>
        <v>5</v>
      </c>
      <c r="AO903" s="2695">
        <f t="shared" ca="1" si="1343"/>
        <v>1.5555555555555556</v>
      </c>
      <c r="AP903" s="40">
        <f t="shared" ca="1" si="1344"/>
        <v>0</v>
      </c>
      <c r="AQ903" s="3057">
        <f t="shared" ca="1" si="1345"/>
        <v>14</v>
      </c>
      <c r="AR903" s="2695">
        <f t="shared" ca="1" si="1346"/>
        <v>0</v>
      </c>
      <c r="AT903" s="40">
        <f t="shared" ca="1" si="1347"/>
        <v>14</v>
      </c>
      <c r="AU903" s="40">
        <f t="shared" ca="1" si="1348"/>
        <v>9</v>
      </c>
      <c r="AV903" s="3057">
        <f t="shared" ca="1" si="1349"/>
        <v>5</v>
      </c>
      <c r="AW903" s="2695">
        <f t="shared" ca="1" si="1350"/>
        <v>1.5555555555555556</v>
      </c>
      <c r="AX903" s="40">
        <f t="shared" ca="1" si="1351"/>
        <v>0</v>
      </c>
      <c r="AY903" s="3057">
        <f t="shared" ca="1" si="1352"/>
        <v>14</v>
      </c>
      <c r="AZ903" s="2695">
        <f t="shared" ca="1" si="1353"/>
        <v>0</v>
      </c>
      <c r="BB903" s="40">
        <f t="shared" ca="1" si="1354"/>
        <v>14</v>
      </c>
      <c r="BC903" s="40">
        <f t="shared" ca="1" si="1355"/>
        <v>9</v>
      </c>
      <c r="BD903" s="3057">
        <f t="shared" ca="1" si="1356"/>
        <v>5</v>
      </c>
      <c r="BE903" s="2695">
        <f t="shared" ca="1" si="1357"/>
        <v>1.5555555555555556</v>
      </c>
      <c r="BF903" s="40">
        <f t="shared" ca="1" si="1358"/>
        <v>0</v>
      </c>
      <c r="BG903" s="3057">
        <f t="shared" ca="1" si="1359"/>
        <v>14</v>
      </c>
      <c r="BH903" s="2695">
        <f t="shared" ca="1" si="1360"/>
        <v>0</v>
      </c>
    </row>
    <row r="904" spans="1:60" s="34" customFormat="1" ht="14.5">
      <c r="A904" s="616">
        <f t="shared" si="1370"/>
        <v>817</v>
      </c>
      <c r="B904" s="616">
        <v>1</v>
      </c>
      <c r="C904" s="616">
        <f t="shared" si="1372"/>
        <v>901</v>
      </c>
      <c r="E904" s="2547">
        <v>1</v>
      </c>
      <c r="F904" s="4"/>
      <c r="G904" s="4"/>
      <c r="H904" s="4"/>
      <c r="I904" s="265"/>
      <c r="J904" s="4"/>
      <c r="K904" s="4"/>
      <c r="L904" s="3"/>
      <c r="M904" s="3"/>
      <c r="N904" s="41"/>
      <c r="O904" s="41" t="s">
        <v>22</v>
      </c>
      <c r="P904" s="41"/>
      <c r="Q904" s="1821" t="str">
        <f>CHOOSE(2, "6722000003823", "HC FE/TTOC Logistics Total Warehouse")</f>
        <v>HC FE/TTOC Logistics Total Warehouse</v>
      </c>
      <c r="R904" s="1236">
        <f t="shared" si="1374"/>
        <v>22</v>
      </c>
      <c r="S904" s="1236">
        <f t="shared" si="1374"/>
        <v>21</v>
      </c>
      <c r="T904" s="1236">
        <f t="shared" si="1374"/>
        <v>23</v>
      </c>
      <c r="U904" s="1236">
        <f t="shared" si="1374"/>
        <v>24</v>
      </c>
      <c r="V904" s="1236">
        <f t="shared" si="1374"/>
        <v>24</v>
      </c>
      <c r="W904" s="1236">
        <f t="shared" si="1374"/>
        <v>23</v>
      </c>
      <c r="X904" s="1236">
        <f t="shared" si="1374"/>
        <v>23</v>
      </c>
      <c r="Y904" s="1236">
        <f t="shared" si="1374"/>
        <v>25</v>
      </c>
      <c r="Z904" s="1236">
        <f t="shared" si="1374"/>
        <v>25</v>
      </c>
      <c r="AA904" s="1236">
        <f t="shared" si="1374"/>
        <v>25</v>
      </c>
      <c r="AB904" s="1236">
        <f t="shared" si="1374"/>
        <v>25</v>
      </c>
      <c r="AC904" s="1236">
        <f t="shared" si="1374"/>
        <v>25</v>
      </c>
      <c r="AD904" s="877">
        <f>T904</f>
        <v>23</v>
      </c>
      <c r="AE904" s="40">
        <f>W904</f>
        <v>23</v>
      </c>
      <c r="AF904" s="40">
        <f>Z904</f>
        <v>25</v>
      </c>
      <c r="AG904" s="40">
        <f>AC904</f>
        <v>25</v>
      </c>
      <c r="AH904" s="40">
        <f>AE904</f>
        <v>23</v>
      </c>
      <c r="AI904" s="40">
        <f>AG904</f>
        <v>25</v>
      </c>
      <c r="AJ904" s="40">
        <f>AI904</f>
        <v>25</v>
      </c>
      <c r="AL904" s="40">
        <f t="shared" ca="1" si="1340"/>
        <v>25</v>
      </c>
      <c r="AM904" s="40">
        <f t="shared" ca="1" si="1341"/>
        <v>0</v>
      </c>
      <c r="AN904" s="3057">
        <f t="shared" ca="1" si="1342"/>
        <v>25</v>
      </c>
      <c r="AO904" s="2695">
        <f t="shared" ca="1" si="1343"/>
        <v>0</v>
      </c>
      <c r="AP904" s="40">
        <f t="shared" ca="1" si="1344"/>
        <v>0</v>
      </c>
      <c r="AQ904" s="3057">
        <f t="shared" ca="1" si="1345"/>
        <v>25</v>
      </c>
      <c r="AR904" s="2695">
        <f t="shared" ca="1" si="1346"/>
        <v>0</v>
      </c>
      <c r="AT904" s="40">
        <f t="shared" ca="1" si="1347"/>
        <v>25</v>
      </c>
      <c r="AU904" s="40">
        <f t="shared" ca="1" si="1348"/>
        <v>0</v>
      </c>
      <c r="AV904" s="3057">
        <f t="shared" ca="1" si="1349"/>
        <v>25</v>
      </c>
      <c r="AW904" s="2695">
        <f t="shared" ca="1" si="1350"/>
        <v>0</v>
      </c>
      <c r="AX904" s="40">
        <f t="shared" ca="1" si="1351"/>
        <v>0</v>
      </c>
      <c r="AY904" s="3057">
        <f t="shared" ca="1" si="1352"/>
        <v>25</v>
      </c>
      <c r="AZ904" s="2695">
        <f t="shared" ca="1" si="1353"/>
        <v>0</v>
      </c>
      <c r="BB904" s="40">
        <f t="shared" ca="1" si="1354"/>
        <v>25</v>
      </c>
      <c r="BC904" s="40">
        <f t="shared" ca="1" si="1355"/>
        <v>0</v>
      </c>
      <c r="BD904" s="3057">
        <f t="shared" ca="1" si="1356"/>
        <v>25</v>
      </c>
      <c r="BE904" s="2695">
        <f t="shared" ca="1" si="1357"/>
        <v>0</v>
      </c>
      <c r="BF904" s="40">
        <f t="shared" ca="1" si="1358"/>
        <v>0</v>
      </c>
      <c r="BG904" s="3057">
        <f t="shared" ca="1" si="1359"/>
        <v>25</v>
      </c>
      <c r="BH904" s="2695">
        <f t="shared" ca="1" si="1360"/>
        <v>0</v>
      </c>
    </row>
    <row r="905" spans="1:60" s="34" customFormat="1" ht="14.5">
      <c r="A905" s="616">
        <f t="shared" si="1370"/>
        <v>818</v>
      </c>
      <c r="B905" s="616">
        <v>1</v>
      </c>
      <c r="C905" s="616">
        <f t="shared" si="1372"/>
        <v>902</v>
      </c>
      <c r="E905" s="2547">
        <v>1</v>
      </c>
      <c r="F905" s="4"/>
      <c r="G905" s="4"/>
      <c r="H905" s="4"/>
      <c r="I905" s="266"/>
      <c r="J905" s="2"/>
      <c r="K905" s="2"/>
      <c r="L905" s="1"/>
      <c r="M905" s="1"/>
      <c r="N905" s="39"/>
      <c r="O905" s="39" t="s">
        <v>23</v>
      </c>
      <c r="P905" s="39"/>
      <c r="Q905" s="1821" t="str">
        <f>CHOOSE(2, "6722000003824", "HC FE/TTOC Logistics Total Workshop")</f>
        <v>HC FE/TTOC Logistics Total Workshop</v>
      </c>
      <c r="R905" s="1237">
        <f t="shared" si="1374"/>
        <v>0</v>
      </c>
      <c r="S905" s="1237">
        <f t="shared" si="1374"/>
        <v>0</v>
      </c>
      <c r="T905" s="1237">
        <f t="shared" si="1374"/>
        <v>0</v>
      </c>
      <c r="U905" s="1237">
        <f t="shared" si="1374"/>
        <v>0</v>
      </c>
      <c r="V905" s="1237">
        <f t="shared" si="1374"/>
        <v>0</v>
      </c>
      <c r="W905" s="1237">
        <f t="shared" si="1374"/>
        <v>0</v>
      </c>
      <c r="X905" s="1237">
        <f t="shared" si="1374"/>
        <v>0</v>
      </c>
      <c r="Y905" s="1237">
        <f t="shared" si="1374"/>
        <v>0</v>
      </c>
      <c r="Z905" s="1237">
        <f t="shared" si="1374"/>
        <v>0</v>
      </c>
      <c r="AA905" s="1237">
        <f t="shared" si="1374"/>
        <v>0</v>
      </c>
      <c r="AB905" s="1237">
        <f t="shared" si="1374"/>
        <v>0</v>
      </c>
      <c r="AC905" s="1237">
        <f t="shared" si="1374"/>
        <v>0</v>
      </c>
      <c r="AD905" s="912">
        <f>T905</f>
        <v>0</v>
      </c>
      <c r="AE905" s="38">
        <f>W905</f>
        <v>0</v>
      </c>
      <c r="AF905" s="38">
        <f>Z905</f>
        <v>0</v>
      </c>
      <c r="AG905" s="38">
        <f>AC905</f>
        <v>0</v>
      </c>
      <c r="AH905" s="38">
        <f>AE905</f>
        <v>0</v>
      </c>
      <c r="AI905" s="38">
        <f>AG905</f>
        <v>0</v>
      </c>
      <c r="AJ905" s="38">
        <f>AI905</f>
        <v>0</v>
      </c>
      <c r="AL905" s="38">
        <f t="shared" ca="1" si="1340"/>
        <v>0</v>
      </c>
      <c r="AM905" s="38">
        <f t="shared" ca="1" si="1341"/>
        <v>9</v>
      </c>
      <c r="AN905" s="3303">
        <f t="shared" ca="1" si="1342"/>
        <v>-9</v>
      </c>
      <c r="AO905" s="2951">
        <f t="shared" ca="1" si="1343"/>
        <v>0</v>
      </c>
      <c r="AP905" s="38">
        <f t="shared" ca="1" si="1344"/>
        <v>0</v>
      </c>
      <c r="AQ905" s="3303">
        <f t="shared" ca="1" si="1345"/>
        <v>0</v>
      </c>
      <c r="AR905" s="2951">
        <f t="shared" ca="1" si="1346"/>
        <v>0</v>
      </c>
      <c r="AT905" s="38">
        <f t="shared" ca="1" si="1347"/>
        <v>0</v>
      </c>
      <c r="AU905" s="38">
        <f t="shared" ca="1" si="1348"/>
        <v>9</v>
      </c>
      <c r="AV905" s="3303">
        <f t="shared" ca="1" si="1349"/>
        <v>-9</v>
      </c>
      <c r="AW905" s="2951">
        <f t="shared" ca="1" si="1350"/>
        <v>0</v>
      </c>
      <c r="AX905" s="38">
        <f t="shared" ca="1" si="1351"/>
        <v>0</v>
      </c>
      <c r="AY905" s="3303">
        <f t="shared" ca="1" si="1352"/>
        <v>0</v>
      </c>
      <c r="AZ905" s="2951">
        <f t="shared" ca="1" si="1353"/>
        <v>0</v>
      </c>
      <c r="BB905" s="38">
        <f t="shared" ca="1" si="1354"/>
        <v>0</v>
      </c>
      <c r="BC905" s="38">
        <f t="shared" ca="1" si="1355"/>
        <v>9</v>
      </c>
      <c r="BD905" s="3303">
        <f t="shared" ca="1" si="1356"/>
        <v>-9</v>
      </c>
      <c r="BE905" s="2951">
        <f t="shared" ca="1" si="1357"/>
        <v>0</v>
      </c>
      <c r="BF905" s="38">
        <f t="shared" ca="1" si="1358"/>
        <v>0</v>
      </c>
      <c r="BG905" s="3303">
        <f t="shared" ca="1" si="1359"/>
        <v>0</v>
      </c>
      <c r="BH905" s="2951">
        <f t="shared" ca="1" si="1360"/>
        <v>0</v>
      </c>
    </row>
    <row r="906" spans="1:60" s="34" customFormat="1" ht="14.5">
      <c r="A906" s="616">
        <f t="shared" si="1370"/>
        <v>819</v>
      </c>
      <c r="B906" s="616">
        <v>1</v>
      </c>
      <c r="C906" s="616">
        <f t="shared" si="1372"/>
        <v>903</v>
      </c>
      <c r="D906" s="709" t="s">
        <v>1308</v>
      </c>
      <c r="E906" s="2547">
        <v>1</v>
      </c>
      <c r="F906" s="4"/>
      <c r="G906" s="4"/>
      <c r="H906" s="4"/>
      <c r="I906" s="2253" t="s">
        <v>1511</v>
      </c>
      <c r="J906" s="1523"/>
      <c r="K906" s="1509"/>
      <c r="L906" s="1509"/>
      <c r="M906" s="1523"/>
      <c r="N906" s="1523"/>
      <c r="O906" s="1523"/>
      <c r="P906" s="1523"/>
      <c r="Q906" s="1784" t="str">
        <f>CHOOSE(2, "6722000003825", "HC Semi-Full-Time/Part-Time Employees /Contractors")</f>
        <v>HC Semi-Full-Time/Part-Time Employees /Contractors</v>
      </c>
      <c r="R906" s="3305">
        <f t="shared" si="1374"/>
        <v>19</v>
      </c>
      <c r="S906" s="3305">
        <f t="shared" si="1374"/>
        <v>19</v>
      </c>
      <c r="T906" s="3305">
        <f t="shared" si="1374"/>
        <v>18</v>
      </c>
      <c r="U906" s="3305">
        <f>U937+U1057+U967+U997+U1027</f>
        <v>17</v>
      </c>
      <c r="V906" s="3305">
        <f t="shared" si="1374"/>
        <v>17</v>
      </c>
      <c r="W906" s="3305">
        <f t="shared" si="1374"/>
        <v>22</v>
      </c>
      <c r="X906" s="3305">
        <f t="shared" si="1374"/>
        <v>25</v>
      </c>
      <c r="Y906" s="3305">
        <f t="shared" si="1374"/>
        <v>25</v>
      </c>
      <c r="Z906" s="3305">
        <f t="shared" si="1374"/>
        <v>27</v>
      </c>
      <c r="AA906" s="3305">
        <f t="shared" si="1374"/>
        <v>28</v>
      </c>
      <c r="AB906" s="3305">
        <f t="shared" si="1374"/>
        <v>28</v>
      </c>
      <c r="AC906" s="3305">
        <f t="shared" si="1374"/>
        <v>28</v>
      </c>
      <c r="AD906" s="3306">
        <f>T906</f>
        <v>18</v>
      </c>
      <c r="AE906" s="3198">
        <f>W906</f>
        <v>22</v>
      </c>
      <c r="AF906" s="3198">
        <f>Z906</f>
        <v>27</v>
      </c>
      <c r="AG906" s="3198">
        <f>AC906</f>
        <v>28</v>
      </c>
      <c r="AH906" s="3198">
        <f>AE906</f>
        <v>22</v>
      </c>
      <c r="AI906" s="3198">
        <f>AG906</f>
        <v>28</v>
      </c>
      <c r="AJ906" s="3198">
        <f>AI906</f>
        <v>28</v>
      </c>
      <c r="AL906" s="3198">
        <f t="shared" ca="1" si="1340"/>
        <v>28</v>
      </c>
      <c r="AM906" s="3198">
        <f t="shared" ca="1" si="1341"/>
        <v>2</v>
      </c>
      <c r="AN906" s="3199">
        <f t="shared" ca="1" si="1342"/>
        <v>26</v>
      </c>
      <c r="AO906" s="2850">
        <f t="shared" ca="1" si="1343"/>
        <v>14</v>
      </c>
      <c r="AP906" s="3198">
        <f t="shared" ca="1" si="1344"/>
        <v>0</v>
      </c>
      <c r="AQ906" s="3199">
        <f t="shared" ca="1" si="1345"/>
        <v>28</v>
      </c>
      <c r="AR906" s="2850">
        <f t="shared" ca="1" si="1346"/>
        <v>0</v>
      </c>
      <c r="AT906" s="3198">
        <f t="shared" ca="1" si="1347"/>
        <v>28</v>
      </c>
      <c r="AU906" s="3198">
        <f t="shared" ca="1" si="1348"/>
        <v>2</v>
      </c>
      <c r="AV906" s="3199">
        <f t="shared" ca="1" si="1349"/>
        <v>26</v>
      </c>
      <c r="AW906" s="2850">
        <f t="shared" ca="1" si="1350"/>
        <v>14</v>
      </c>
      <c r="AX906" s="3198">
        <f t="shared" ca="1" si="1351"/>
        <v>0</v>
      </c>
      <c r="AY906" s="3199">
        <f t="shared" ca="1" si="1352"/>
        <v>28</v>
      </c>
      <c r="AZ906" s="2850">
        <f t="shared" ca="1" si="1353"/>
        <v>0</v>
      </c>
      <c r="BB906" s="3198">
        <f t="shared" ca="1" si="1354"/>
        <v>28</v>
      </c>
      <c r="BC906" s="3198">
        <f t="shared" ca="1" si="1355"/>
        <v>2</v>
      </c>
      <c r="BD906" s="3199">
        <f t="shared" ca="1" si="1356"/>
        <v>26</v>
      </c>
      <c r="BE906" s="2850">
        <f t="shared" ca="1" si="1357"/>
        <v>14</v>
      </c>
      <c r="BF906" s="3198">
        <f t="shared" ca="1" si="1358"/>
        <v>0</v>
      </c>
      <c r="BG906" s="3199">
        <f t="shared" ca="1" si="1359"/>
        <v>28</v>
      </c>
      <c r="BH906" s="2850">
        <f t="shared" ca="1" si="1360"/>
        <v>0</v>
      </c>
    </row>
    <row r="907" spans="1:60" s="34" customFormat="1" ht="14.5">
      <c r="A907" s="616">
        <f t="shared" si="1370"/>
        <v>820</v>
      </c>
      <c r="B907" s="616">
        <v>1</v>
      </c>
      <c r="C907" s="616">
        <f t="shared" si="1372"/>
        <v>904</v>
      </c>
      <c r="D907" s="709" t="s">
        <v>1308</v>
      </c>
      <c r="E907" s="2547">
        <v>1</v>
      </c>
      <c r="F907" s="4"/>
      <c r="G907" s="4"/>
      <c r="H907" s="4"/>
      <c r="I907" s="4"/>
      <c r="J907" s="3"/>
      <c r="K907" s="4"/>
      <c r="L907" s="4"/>
      <c r="M907" s="3"/>
      <c r="N907" s="3"/>
      <c r="O907" s="3"/>
      <c r="P907" s="3"/>
      <c r="Q907" s="1773" t="str">
        <f>CHOOSE(2, "6722000003826", "▷ Blank 27")</f>
        <v>▷ Blank 27</v>
      </c>
      <c r="R907" s="3307"/>
      <c r="S907" s="2596"/>
      <c r="T907" s="2596"/>
      <c r="U907" s="2596"/>
      <c r="V907" s="2596"/>
      <c r="W907" s="2596"/>
      <c r="X907" s="2596"/>
      <c r="Y907" s="2596"/>
      <c r="Z907" s="2596"/>
      <c r="AA907" s="2596"/>
    </row>
    <row r="908" spans="1:60" s="34" customFormat="1" ht="15.5">
      <c r="A908" s="616">
        <f t="shared" si="1370"/>
        <v>821</v>
      </c>
      <c r="B908" s="616">
        <v>1</v>
      </c>
      <c r="C908" s="616">
        <f t="shared" si="1372"/>
        <v>905</v>
      </c>
      <c r="D908" s="709" t="s">
        <v>1308</v>
      </c>
      <c r="E908" s="2547">
        <v>1</v>
      </c>
      <c r="G908" s="243" t="s">
        <v>1512</v>
      </c>
      <c r="H908" s="454"/>
      <c r="I908" s="4"/>
      <c r="J908" s="3"/>
      <c r="K908" s="4"/>
      <c r="L908" s="4"/>
      <c r="M908" s="3"/>
      <c r="N908" s="3"/>
      <c r="O908" s="3"/>
      <c r="P908" s="3"/>
      <c r="Q908" s="1773" t="str">
        <f>CHOOSE(2, "6722000003827", "3-2. Headcount by BU")</f>
        <v>3-2. Headcount by BU</v>
      </c>
      <c r="R908" s="2597"/>
      <c r="S908" s="2598"/>
      <c r="T908" s="2598"/>
      <c r="U908" s="2598"/>
      <c r="V908" s="2598"/>
      <c r="W908" s="2598"/>
      <c r="X908" s="2598"/>
      <c r="Y908" s="2598"/>
      <c r="Z908" s="2598"/>
      <c r="AA908" s="2598"/>
    </row>
    <row r="909" spans="1:60" s="34" customFormat="1" ht="14.5">
      <c r="A909" s="616">
        <f t="shared" si="1370"/>
        <v>822</v>
      </c>
      <c r="B909" s="616">
        <v>1</v>
      </c>
      <c r="C909" s="616">
        <f t="shared" si="1372"/>
        <v>906</v>
      </c>
      <c r="D909" s="709" t="s">
        <v>1308</v>
      </c>
      <c r="E909" s="2547">
        <v>1</v>
      </c>
      <c r="F909" s="4"/>
      <c r="G909" s="4"/>
      <c r="H909" s="4" t="s">
        <v>30</v>
      </c>
      <c r="I909" s="4"/>
      <c r="J909" s="3"/>
      <c r="K909" s="4"/>
      <c r="L909" s="4"/>
      <c r="M909" s="3"/>
      <c r="N909" s="3"/>
      <c r="O909" s="3"/>
      <c r="P909" s="3"/>
      <c r="Q909" s="1773" t="str">
        <f>CHOOSE(2, "6722000003828", "HC (1) Office")</f>
        <v>HC (1) Office</v>
      </c>
      <c r="R909" s="2599"/>
      <c r="S909" s="2600"/>
      <c r="T909" s="2600"/>
      <c r="U909" s="2600"/>
      <c r="V909" s="2600"/>
      <c r="W909" s="2600"/>
      <c r="X909" s="2600"/>
      <c r="Y909" s="2600"/>
      <c r="Z909" s="2600"/>
      <c r="AA909" s="2600"/>
    </row>
    <row r="910" spans="1:60" s="272" customFormat="1" ht="14.5">
      <c r="A910" s="616">
        <f t="shared" si="1370"/>
        <v>823</v>
      </c>
      <c r="B910" s="616">
        <v>1</v>
      </c>
      <c r="C910" s="616">
        <f t="shared" si="1372"/>
        <v>907</v>
      </c>
      <c r="D910" s="709" t="s">
        <v>1308</v>
      </c>
      <c r="E910" s="2547">
        <v>1</v>
      </c>
      <c r="F910" s="267"/>
      <c r="G910" s="267"/>
      <c r="H910" s="268"/>
      <c r="I910" s="3308" t="s">
        <v>1513</v>
      </c>
      <c r="J910" s="3309"/>
      <c r="K910" s="870"/>
      <c r="L910" s="870"/>
      <c r="M910" s="870"/>
      <c r="N910" s="870"/>
      <c r="O910" s="870"/>
      <c r="P910" s="870"/>
      <c r="Q910" s="1788" t="str">
        <f>CHOOSE(2, "6722000003829", "HC Office FE/TTOC")</f>
        <v>HC Office FE/TTOC</v>
      </c>
      <c r="R910" s="1258">
        <f t="shared" ref="R910:AJ910" si="1375">R911+R916+R922+R927+R933</f>
        <v>223</v>
      </c>
      <c r="S910" s="3116">
        <f t="shared" si="1375"/>
        <v>225</v>
      </c>
      <c r="T910" s="3116">
        <f t="shared" si="1375"/>
        <v>224</v>
      </c>
      <c r="U910" s="3116">
        <f t="shared" si="1375"/>
        <v>227</v>
      </c>
      <c r="V910" s="3116">
        <f t="shared" si="1375"/>
        <v>228</v>
      </c>
      <c r="W910" s="3116">
        <f t="shared" si="1375"/>
        <v>229</v>
      </c>
      <c r="X910" s="3116">
        <f t="shared" si="1375"/>
        <v>231</v>
      </c>
      <c r="Y910" s="3116">
        <f t="shared" si="1375"/>
        <v>233</v>
      </c>
      <c r="Z910" s="3116">
        <f t="shared" si="1375"/>
        <v>237</v>
      </c>
      <c r="AA910" s="3116">
        <f t="shared" si="1375"/>
        <v>238</v>
      </c>
      <c r="AB910" s="3116">
        <f t="shared" si="1375"/>
        <v>241</v>
      </c>
      <c r="AC910" s="3116">
        <f t="shared" si="1375"/>
        <v>241</v>
      </c>
      <c r="AD910" s="3116">
        <f t="shared" si="1375"/>
        <v>224</v>
      </c>
      <c r="AE910" s="3116">
        <f t="shared" si="1375"/>
        <v>229</v>
      </c>
      <c r="AF910" s="3116">
        <f t="shared" si="1375"/>
        <v>237</v>
      </c>
      <c r="AG910" s="3116">
        <f t="shared" si="1375"/>
        <v>241</v>
      </c>
      <c r="AH910" s="3116">
        <f t="shared" si="1375"/>
        <v>229</v>
      </c>
      <c r="AI910" s="3116">
        <f t="shared" si="1375"/>
        <v>241</v>
      </c>
      <c r="AJ910" s="3116">
        <f t="shared" si="1375"/>
        <v>241</v>
      </c>
      <c r="AL910" s="1258">
        <f t="shared" ref="AL910:AL937" ca="1" si="1376">INDIRECT(AL$3&amp;(ROW()))</f>
        <v>241</v>
      </c>
      <c r="AM910" s="3116">
        <f t="shared" ref="AM910:AM937" ca="1" si="1377">INDIRECT(AM$1&amp;AM$3&amp;$C910)</f>
        <v>10</v>
      </c>
      <c r="AN910" s="3117">
        <f t="shared" ref="AN910:AN937" ca="1" si="1378">AL910-AM910</f>
        <v>231</v>
      </c>
      <c r="AO910" s="3118">
        <f t="shared" ref="AO910:AO937" ca="1" si="1379">IFERROR(AL910/AM910,0)</f>
        <v>24.1</v>
      </c>
      <c r="AP910" s="3116">
        <f t="shared" ref="AP910:AP937" ca="1" si="1380">INDIRECT(AP$1&amp;AP$3&amp;$A910)+INDIRECT(AP$1&amp;AP$3&amp;$B910)</f>
        <v>0</v>
      </c>
      <c r="AQ910" s="3117">
        <f t="shared" ref="AQ910:AQ937" ca="1" si="1381">AL910-AP910</f>
        <v>241</v>
      </c>
      <c r="AR910" s="3118">
        <f t="shared" ref="AR910:AR937" ca="1" si="1382">IFERROR(AL910/AP910,0)</f>
        <v>0</v>
      </c>
      <c r="AT910" s="1258">
        <f t="shared" ref="AT910:AT937" ca="1" si="1383">INDIRECT(AT$3&amp;(ROW()))</f>
        <v>241</v>
      </c>
      <c r="AU910" s="3116">
        <f t="shared" ref="AU910:AU937" ca="1" si="1384">INDIRECT(AU$1&amp;AU$3&amp;$C910)</f>
        <v>10</v>
      </c>
      <c r="AV910" s="3117">
        <f t="shared" ref="AV910:AV937" ca="1" si="1385">AT910-AU910</f>
        <v>231</v>
      </c>
      <c r="AW910" s="3118">
        <f t="shared" ref="AW910:AW937" ca="1" si="1386">IFERROR(AT910/AU910,0)</f>
        <v>24.1</v>
      </c>
      <c r="AX910" s="3116">
        <f t="shared" ref="AX910:AX937" ca="1" si="1387">INDIRECT(AX$1&amp;AX$3&amp;$A910)+INDIRECT(AX$1&amp;AX$3&amp;$B910)</f>
        <v>0</v>
      </c>
      <c r="AY910" s="3117">
        <f t="shared" ref="AY910:AY937" ca="1" si="1388">AT910-AX910</f>
        <v>241</v>
      </c>
      <c r="AZ910" s="3118">
        <f t="shared" ref="AZ910:AZ937" ca="1" si="1389">IFERROR(AT910/AX910,0)</f>
        <v>0</v>
      </c>
      <c r="BB910" s="1258">
        <f t="shared" ref="BB910:BB937" ca="1" si="1390">INDIRECT(BB$3&amp;(ROW()))</f>
        <v>241</v>
      </c>
      <c r="BC910" s="3116">
        <f t="shared" ref="BC910:BC937" ca="1" si="1391">INDIRECT(BC$1&amp;BC$3&amp;$C910)</f>
        <v>10</v>
      </c>
      <c r="BD910" s="3117">
        <f t="shared" ref="BD910:BD937" ca="1" si="1392">BB910-BC910</f>
        <v>231</v>
      </c>
      <c r="BE910" s="3118">
        <f t="shared" ref="BE910:BE937" ca="1" si="1393">IFERROR(BB910/BC910,0)</f>
        <v>24.1</v>
      </c>
      <c r="BF910" s="3116">
        <f t="shared" ref="BF910:BF937" ca="1" si="1394">INDIRECT(BF$1&amp;BF$3&amp;$A910)+INDIRECT(BF$1&amp;BF$3&amp;$B910)</f>
        <v>0</v>
      </c>
      <c r="BG910" s="3117">
        <f t="shared" ref="BG910:BG937" ca="1" si="1395">BB910-BF910</f>
        <v>241</v>
      </c>
      <c r="BH910" s="3118">
        <f t="shared" ref="BH910:BH937" ca="1" si="1396">IFERROR(BB910/BF910,0)</f>
        <v>0</v>
      </c>
    </row>
    <row r="911" spans="1:60" s="34" customFormat="1" ht="14.5">
      <c r="A911" s="616">
        <f t="shared" si="1370"/>
        <v>824</v>
      </c>
      <c r="B911" s="616">
        <v>1</v>
      </c>
      <c r="C911" s="616">
        <f t="shared" si="1372"/>
        <v>908</v>
      </c>
      <c r="D911" s="709" t="s">
        <v>1308</v>
      </c>
      <c r="E911" s="2547">
        <v>1</v>
      </c>
      <c r="F911" s="4"/>
      <c r="G911" s="4"/>
      <c r="H911" s="4"/>
      <c r="I911" s="262"/>
      <c r="J911" s="48" t="s">
        <v>14</v>
      </c>
      <c r="K911" s="48"/>
      <c r="L911" s="48"/>
      <c r="M911" s="47"/>
      <c r="N911" s="47"/>
      <c r="O911" s="47"/>
      <c r="P911" s="47"/>
      <c r="Q911" s="1786" t="str">
        <f>CHOOSE(2, "6722000003830", "HC Office FE/TTOC Sales Total")</f>
        <v>HC Office FE/TTOC Sales Total</v>
      </c>
      <c r="R911" s="45">
        <f>SUM(R912:R915)</f>
        <v>95</v>
      </c>
      <c r="S911" s="45">
        <f t="shared" ref="S911:AJ911" si="1397">SUM(S912:S915)</f>
        <v>95</v>
      </c>
      <c r="T911" s="45">
        <f t="shared" si="1397"/>
        <v>93</v>
      </c>
      <c r="U911" s="45">
        <f t="shared" si="1397"/>
        <v>94</v>
      </c>
      <c r="V911" s="45">
        <f t="shared" si="1397"/>
        <v>94</v>
      </c>
      <c r="W911" s="45">
        <f t="shared" si="1397"/>
        <v>94</v>
      </c>
      <c r="X911" s="45">
        <f t="shared" si="1397"/>
        <v>95</v>
      </c>
      <c r="Y911" s="45">
        <f t="shared" si="1397"/>
        <v>94</v>
      </c>
      <c r="Z911" s="45">
        <f t="shared" si="1397"/>
        <v>96</v>
      </c>
      <c r="AA911" s="45">
        <f t="shared" si="1397"/>
        <v>97</v>
      </c>
      <c r="AB911" s="45">
        <f t="shared" si="1397"/>
        <v>99</v>
      </c>
      <c r="AC911" s="45">
        <f t="shared" si="1397"/>
        <v>98</v>
      </c>
      <c r="AD911" s="911">
        <f t="shared" si="1397"/>
        <v>93</v>
      </c>
      <c r="AE911" s="45">
        <f t="shared" si="1397"/>
        <v>94</v>
      </c>
      <c r="AF911" s="45">
        <f t="shared" si="1397"/>
        <v>96</v>
      </c>
      <c r="AG911" s="45">
        <f t="shared" si="1397"/>
        <v>98</v>
      </c>
      <c r="AH911" s="45">
        <f t="shared" si="1397"/>
        <v>94</v>
      </c>
      <c r="AI911" s="45">
        <f t="shared" si="1397"/>
        <v>98</v>
      </c>
      <c r="AJ911" s="45">
        <f t="shared" si="1397"/>
        <v>98</v>
      </c>
      <c r="AL911" s="45">
        <f t="shared" ca="1" si="1376"/>
        <v>98</v>
      </c>
      <c r="AM911" s="45">
        <f t="shared" ca="1" si="1377"/>
        <v>0</v>
      </c>
      <c r="AN911" s="3302">
        <f t="shared" ca="1" si="1378"/>
        <v>98</v>
      </c>
      <c r="AO911" s="2949">
        <f t="shared" ca="1" si="1379"/>
        <v>0</v>
      </c>
      <c r="AP911" s="45">
        <f t="shared" ca="1" si="1380"/>
        <v>0</v>
      </c>
      <c r="AQ911" s="3302">
        <f t="shared" ca="1" si="1381"/>
        <v>98</v>
      </c>
      <c r="AR911" s="2949">
        <f t="shared" ca="1" si="1382"/>
        <v>0</v>
      </c>
      <c r="AT911" s="45">
        <f t="shared" ca="1" si="1383"/>
        <v>98</v>
      </c>
      <c r="AU911" s="45">
        <f t="shared" ca="1" si="1384"/>
        <v>0</v>
      </c>
      <c r="AV911" s="3302">
        <f t="shared" ca="1" si="1385"/>
        <v>98</v>
      </c>
      <c r="AW911" s="2949">
        <f t="shared" ca="1" si="1386"/>
        <v>0</v>
      </c>
      <c r="AX911" s="45">
        <f t="shared" ca="1" si="1387"/>
        <v>0</v>
      </c>
      <c r="AY911" s="3302">
        <f t="shared" ca="1" si="1388"/>
        <v>98</v>
      </c>
      <c r="AZ911" s="2949">
        <f t="shared" ca="1" si="1389"/>
        <v>0</v>
      </c>
      <c r="BB911" s="45">
        <f t="shared" ca="1" si="1390"/>
        <v>98</v>
      </c>
      <c r="BC911" s="45">
        <f t="shared" ca="1" si="1391"/>
        <v>0</v>
      </c>
      <c r="BD911" s="3302">
        <f t="shared" ca="1" si="1392"/>
        <v>98</v>
      </c>
      <c r="BE911" s="2949">
        <f t="shared" ca="1" si="1393"/>
        <v>0</v>
      </c>
      <c r="BF911" s="45">
        <f t="shared" ca="1" si="1394"/>
        <v>0</v>
      </c>
      <c r="BG911" s="3302">
        <f t="shared" ca="1" si="1395"/>
        <v>98</v>
      </c>
      <c r="BH911" s="2949">
        <f t="shared" ca="1" si="1396"/>
        <v>0</v>
      </c>
    </row>
    <row r="912" spans="1:60" s="34" customFormat="1" ht="14.5">
      <c r="A912" s="616">
        <f t="shared" si="1370"/>
        <v>825</v>
      </c>
      <c r="B912" s="616">
        <v>1</v>
      </c>
      <c r="C912" s="616">
        <f t="shared" si="1372"/>
        <v>909</v>
      </c>
      <c r="E912" s="2547">
        <v>1</v>
      </c>
      <c r="F912" s="4"/>
      <c r="G912" s="4"/>
      <c r="H912" s="4"/>
      <c r="I912" s="262"/>
      <c r="J912" s="4"/>
      <c r="K912" s="4"/>
      <c r="L912" s="4"/>
      <c r="M912" s="3"/>
      <c r="N912" s="41"/>
      <c r="O912" s="41" t="s">
        <v>45</v>
      </c>
      <c r="P912" s="3"/>
      <c r="Q912" s="1778" t="str">
        <f>CHOOSE(2, "6722000003831", "HC Office FE/TTOC Sales Total Direct sales rep.")</f>
        <v>HC Office FE/TTOC Sales Total Direct sales rep.</v>
      </c>
      <c r="R912" s="3310">
        <v>44</v>
      </c>
      <c r="S912" s="1212">
        <f>43</f>
        <v>43</v>
      </c>
      <c r="T912" s="1212">
        <v>41</v>
      </c>
      <c r="U912" s="1212">
        <v>42</v>
      </c>
      <c r="V912" s="1212">
        <v>43</v>
      </c>
      <c r="W912" s="1212">
        <v>45</v>
      </c>
      <c r="X912" s="1212">
        <v>45</v>
      </c>
      <c r="Y912" s="1212">
        <v>46</v>
      </c>
      <c r="Z912" s="1212">
        <v>46</v>
      </c>
      <c r="AA912" s="1212">
        <v>47</v>
      </c>
      <c r="AB912" s="1212">
        <v>47</v>
      </c>
      <c r="AC912" s="1212">
        <v>48</v>
      </c>
      <c r="AD912" s="877">
        <f>T912</f>
        <v>41</v>
      </c>
      <c r="AE912" s="40">
        <f>W912</f>
        <v>45</v>
      </c>
      <c r="AF912" s="40">
        <f>Z912</f>
        <v>46</v>
      </c>
      <c r="AG912" s="40">
        <f>AC912</f>
        <v>48</v>
      </c>
      <c r="AH912" s="40">
        <f>AE912</f>
        <v>45</v>
      </c>
      <c r="AI912" s="40">
        <f>AG912</f>
        <v>48</v>
      </c>
      <c r="AJ912" s="40">
        <f>AI912</f>
        <v>48</v>
      </c>
      <c r="AL912" s="40">
        <f t="shared" ca="1" si="1376"/>
        <v>48</v>
      </c>
      <c r="AM912" s="40">
        <f t="shared" ca="1" si="1377"/>
        <v>22</v>
      </c>
      <c r="AN912" s="3057">
        <f t="shared" ca="1" si="1378"/>
        <v>26</v>
      </c>
      <c r="AO912" s="2695">
        <f t="shared" ca="1" si="1379"/>
        <v>2.1818181818181817</v>
      </c>
      <c r="AP912" s="40">
        <f t="shared" ca="1" si="1380"/>
        <v>0</v>
      </c>
      <c r="AQ912" s="3057">
        <f t="shared" ca="1" si="1381"/>
        <v>48</v>
      </c>
      <c r="AR912" s="2695">
        <f t="shared" ca="1" si="1382"/>
        <v>0</v>
      </c>
      <c r="AT912" s="40">
        <f t="shared" ca="1" si="1383"/>
        <v>48</v>
      </c>
      <c r="AU912" s="40">
        <f t="shared" ca="1" si="1384"/>
        <v>22</v>
      </c>
      <c r="AV912" s="3057">
        <f t="shared" ca="1" si="1385"/>
        <v>26</v>
      </c>
      <c r="AW912" s="2695">
        <f t="shared" ca="1" si="1386"/>
        <v>2.1818181818181817</v>
      </c>
      <c r="AX912" s="40">
        <f t="shared" ca="1" si="1387"/>
        <v>0</v>
      </c>
      <c r="AY912" s="3057">
        <f t="shared" ca="1" si="1388"/>
        <v>48</v>
      </c>
      <c r="AZ912" s="2695">
        <f t="shared" ca="1" si="1389"/>
        <v>0</v>
      </c>
      <c r="BB912" s="40">
        <f t="shared" ca="1" si="1390"/>
        <v>48</v>
      </c>
      <c r="BC912" s="40">
        <f t="shared" ca="1" si="1391"/>
        <v>22</v>
      </c>
      <c r="BD912" s="3057">
        <f t="shared" ca="1" si="1392"/>
        <v>26</v>
      </c>
      <c r="BE912" s="2695">
        <f t="shared" ca="1" si="1393"/>
        <v>2.1818181818181817</v>
      </c>
      <c r="BF912" s="40">
        <f t="shared" ca="1" si="1394"/>
        <v>0</v>
      </c>
      <c r="BG912" s="3057">
        <f t="shared" ca="1" si="1395"/>
        <v>48</v>
      </c>
      <c r="BH912" s="2695">
        <f t="shared" ca="1" si="1396"/>
        <v>0</v>
      </c>
    </row>
    <row r="913" spans="1:60" s="34" customFormat="1" ht="14.5">
      <c r="A913" s="616">
        <f t="shared" si="1370"/>
        <v>826</v>
      </c>
      <c r="B913" s="616">
        <v>1</v>
      </c>
      <c r="C913" s="616">
        <f t="shared" si="1372"/>
        <v>910</v>
      </c>
      <c r="E913" s="2547">
        <v>1</v>
      </c>
      <c r="F913" s="4"/>
      <c r="G913" s="4"/>
      <c r="H913" s="4"/>
      <c r="I913" s="262"/>
      <c r="J913" s="4"/>
      <c r="K913" s="4"/>
      <c r="L913" s="4"/>
      <c r="M913" s="3"/>
      <c r="N913" s="41"/>
      <c r="O913" s="41" t="s">
        <v>44</v>
      </c>
      <c r="P913" s="3"/>
      <c r="Q913" s="1778" t="str">
        <f>CHOOSE(2, "6722000003832", "HC Office FE/TTOC Sales Total Direct sales engineers")</f>
        <v>HC Office FE/TTOC Sales Total Direct sales engineers</v>
      </c>
      <c r="R913" s="3310">
        <v>4</v>
      </c>
      <c r="S913" s="1212">
        <v>5</v>
      </c>
      <c r="T913" s="1212">
        <v>5</v>
      </c>
      <c r="U913" s="1212">
        <v>5</v>
      </c>
      <c r="V913" s="1212">
        <v>5</v>
      </c>
      <c r="W913" s="1212">
        <v>5</v>
      </c>
      <c r="X913" s="1212">
        <v>5</v>
      </c>
      <c r="Y913" s="1212">
        <v>5</v>
      </c>
      <c r="Z913" s="1212">
        <v>5</v>
      </c>
      <c r="AA913" s="1212">
        <v>5</v>
      </c>
      <c r="AB913" s="1212">
        <v>5</v>
      </c>
      <c r="AC913" s="1212">
        <v>5</v>
      </c>
      <c r="AD913" s="877">
        <f>T913</f>
        <v>5</v>
      </c>
      <c r="AE913" s="40">
        <f>W913</f>
        <v>5</v>
      </c>
      <c r="AF913" s="40">
        <f>Z913</f>
        <v>5</v>
      </c>
      <c r="AG913" s="40">
        <f>AC913</f>
        <v>5</v>
      </c>
      <c r="AH913" s="40">
        <f>AE913</f>
        <v>5</v>
      </c>
      <c r="AI913" s="40">
        <f>AG913</f>
        <v>5</v>
      </c>
      <c r="AJ913" s="40">
        <f>AI913</f>
        <v>5</v>
      </c>
      <c r="AL913" s="40">
        <f t="shared" ca="1" si="1376"/>
        <v>5</v>
      </c>
      <c r="AM913" s="40">
        <f t="shared" ca="1" si="1377"/>
        <v>40</v>
      </c>
      <c r="AN913" s="3057">
        <f t="shared" ca="1" si="1378"/>
        <v>-35</v>
      </c>
      <c r="AO913" s="2695">
        <f t="shared" ca="1" si="1379"/>
        <v>0.125</v>
      </c>
      <c r="AP913" s="40">
        <f t="shared" ca="1" si="1380"/>
        <v>0</v>
      </c>
      <c r="AQ913" s="3057">
        <f t="shared" ca="1" si="1381"/>
        <v>5</v>
      </c>
      <c r="AR913" s="2695">
        <f t="shared" ca="1" si="1382"/>
        <v>0</v>
      </c>
      <c r="AT913" s="40">
        <f t="shared" ca="1" si="1383"/>
        <v>5</v>
      </c>
      <c r="AU913" s="40">
        <f t="shared" ca="1" si="1384"/>
        <v>40</v>
      </c>
      <c r="AV913" s="3057">
        <f t="shared" ca="1" si="1385"/>
        <v>-35</v>
      </c>
      <c r="AW913" s="2695">
        <f t="shared" ca="1" si="1386"/>
        <v>0.125</v>
      </c>
      <c r="AX913" s="40">
        <f t="shared" ca="1" si="1387"/>
        <v>0</v>
      </c>
      <c r="AY913" s="3057">
        <f t="shared" ca="1" si="1388"/>
        <v>5</v>
      </c>
      <c r="AZ913" s="2695">
        <f t="shared" ca="1" si="1389"/>
        <v>0</v>
      </c>
      <c r="BB913" s="40">
        <f t="shared" ca="1" si="1390"/>
        <v>5</v>
      </c>
      <c r="BC913" s="40">
        <f t="shared" ca="1" si="1391"/>
        <v>40</v>
      </c>
      <c r="BD913" s="3057">
        <f t="shared" ca="1" si="1392"/>
        <v>-35</v>
      </c>
      <c r="BE913" s="2695">
        <f t="shared" ca="1" si="1393"/>
        <v>0.125</v>
      </c>
      <c r="BF913" s="40">
        <f t="shared" ca="1" si="1394"/>
        <v>0</v>
      </c>
      <c r="BG913" s="3057">
        <f t="shared" ca="1" si="1395"/>
        <v>5</v>
      </c>
      <c r="BH913" s="2695">
        <f t="shared" ca="1" si="1396"/>
        <v>0</v>
      </c>
    </row>
    <row r="914" spans="1:60" s="34" customFormat="1" ht="14.5">
      <c r="A914" s="616">
        <f t="shared" si="1370"/>
        <v>827</v>
      </c>
      <c r="B914" s="616">
        <v>1</v>
      </c>
      <c r="C914" s="616">
        <f t="shared" si="1372"/>
        <v>911</v>
      </c>
      <c r="E914" s="2547">
        <v>1</v>
      </c>
      <c r="F914" s="4"/>
      <c r="G914" s="4"/>
      <c r="H914" s="4"/>
      <c r="I914" s="262"/>
      <c r="J914" s="4"/>
      <c r="K914" s="4"/>
      <c r="L914" s="4"/>
      <c r="M914" s="3"/>
      <c r="N914" s="41"/>
      <c r="O914" s="41" t="s">
        <v>43</v>
      </c>
      <c r="P914" s="3"/>
      <c r="Q914" s="1778" t="str">
        <f>CHOOSE(2, "6722000003833", "HC Office FE/TTOC Sales Total Dealer(Indirect) sales rep.")</f>
        <v>HC Office FE/TTOC Sales Total Dealer(Indirect) sales rep.</v>
      </c>
      <c r="R914" s="3310">
        <v>28</v>
      </c>
      <c r="S914" s="1212">
        <v>28</v>
      </c>
      <c r="T914" s="1212">
        <v>28</v>
      </c>
      <c r="U914" s="1212">
        <v>28</v>
      </c>
      <c r="V914" s="1212">
        <v>27</v>
      </c>
      <c r="W914" s="1212">
        <v>27</v>
      </c>
      <c r="X914" s="1212">
        <v>27</v>
      </c>
      <c r="Y914" s="1212">
        <v>27</v>
      </c>
      <c r="Z914" s="1212">
        <v>27</v>
      </c>
      <c r="AA914" s="1212">
        <v>27</v>
      </c>
      <c r="AB914" s="1212">
        <v>28</v>
      </c>
      <c r="AC914" s="1212">
        <v>27</v>
      </c>
      <c r="AD914" s="877">
        <f>T914</f>
        <v>28</v>
      </c>
      <c r="AE914" s="40">
        <f>W914</f>
        <v>27</v>
      </c>
      <c r="AF914" s="40">
        <f>Z914</f>
        <v>27</v>
      </c>
      <c r="AG914" s="40">
        <f>AC914</f>
        <v>27</v>
      </c>
      <c r="AH914" s="40">
        <f>AE914</f>
        <v>27</v>
      </c>
      <c r="AI914" s="40">
        <f>AG914</f>
        <v>27</v>
      </c>
      <c r="AJ914" s="40">
        <f>AI914</f>
        <v>27</v>
      </c>
      <c r="AL914" s="40">
        <f t="shared" ca="1" si="1376"/>
        <v>27</v>
      </c>
      <c r="AM914" s="40">
        <f t="shared" ca="1" si="1377"/>
        <v>14</v>
      </c>
      <c r="AN914" s="3057">
        <f t="shared" ca="1" si="1378"/>
        <v>13</v>
      </c>
      <c r="AO914" s="2695">
        <f t="shared" ca="1" si="1379"/>
        <v>1.9285714285714286</v>
      </c>
      <c r="AP914" s="40">
        <f t="shared" ca="1" si="1380"/>
        <v>0</v>
      </c>
      <c r="AQ914" s="3057">
        <f t="shared" ca="1" si="1381"/>
        <v>27</v>
      </c>
      <c r="AR914" s="2695">
        <f t="shared" ca="1" si="1382"/>
        <v>0</v>
      </c>
      <c r="AT914" s="40">
        <f t="shared" ca="1" si="1383"/>
        <v>27</v>
      </c>
      <c r="AU914" s="40">
        <f t="shared" ca="1" si="1384"/>
        <v>14</v>
      </c>
      <c r="AV914" s="3057">
        <f t="shared" ca="1" si="1385"/>
        <v>13</v>
      </c>
      <c r="AW914" s="2695">
        <f t="shared" ca="1" si="1386"/>
        <v>1.9285714285714286</v>
      </c>
      <c r="AX914" s="40">
        <f t="shared" ca="1" si="1387"/>
        <v>0</v>
      </c>
      <c r="AY914" s="3057">
        <f t="shared" ca="1" si="1388"/>
        <v>27</v>
      </c>
      <c r="AZ914" s="2695">
        <f t="shared" ca="1" si="1389"/>
        <v>0</v>
      </c>
      <c r="BB914" s="40">
        <f t="shared" ca="1" si="1390"/>
        <v>27</v>
      </c>
      <c r="BC914" s="40">
        <f t="shared" ca="1" si="1391"/>
        <v>14</v>
      </c>
      <c r="BD914" s="3057">
        <f t="shared" ca="1" si="1392"/>
        <v>13</v>
      </c>
      <c r="BE914" s="2695">
        <f t="shared" ca="1" si="1393"/>
        <v>1.9285714285714286</v>
      </c>
      <c r="BF914" s="40">
        <f t="shared" ca="1" si="1394"/>
        <v>0</v>
      </c>
      <c r="BG914" s="3057">
        <f t="shared" ca="1" si="1395"/>
        <v>27</v>
      </c>
      <c r="BH914" s="2695">
        <f t="shared" ca="1" si="1396"/>
        <v>0</v>
      </c>
    </row>
    <row r="915" spans="1:60" s="34" customFormat="1" ht="14.5">
      <c r="A915" s="616">
        <f t="shared" si="1370"/>
        <v>828</v>
      </c>
      <c r="B915" s="616">
        <v>1</v>
      </c>
      <c r="C915" s="616">
        <f t="shared" si="1372"/>
        <v>912</v>
      </c>
      <c r="E915" s="2547">
        <v>1</v>
      </c>
      <c r="F915" s="4"/>
      <c r="G915" s="4"/>
      <c r="H915" s="4"/>
      <c r="I915" s="262"/>
      <c r="J915" s="2"/>
      <c r="K915" s="2"/>
      <c r="L915" s="2"/>
      <c r="M915" s="1"/>
      <c r="N915" s="39"/>
      <c r="O915" s="39" t="s">
        <v>40</v>
      </c>
      <c r="P915" s="1"/>
      <c r="Q915" s="1778" t="str">
        <f>CHOOSE(2, "6722000003834", "HC Office FE/TTOC Sales Total Administration/Others")</f>
        <v>HC Office FE/TTOC Sales Total Administration/Others</v>
      </c>
      <c r="R915" s="3311">
        <v>19</v>
      </c>
      <c r="S915" s="1211">
        <v>19</v>
      </c>
      <c r="T915" s="1211">
        <v>19</v>
      </c>
      <c r="U915" s="1211">
        <v>19</v>
      </c>
      <c r="V915" s="1211">
        <v>19</v>
      </c>
      <c r="W915" s="1211">
        <v>17</v>
      </c>
      <c r="X915" s="1211">
        <v>18</v>
      </c>
      <c r="Y915" s="1211">
        <v>16</v>
      </c>
      <c r="Z915" s="1211">
        <v>18</v>
      </c>
      <c r="AA915" s="1211">
        <v>18</v>
      </c>
      <c r="AB915" s="1211">
        <v>19</v>
      </c>
      <c r="AC915" s="1211">
        <v>18</v>
      </c>
      <c r="AD915" s="912">
        <f>T915</f>
        <v>19</v>
      </c>
      <c r="AE915" s="38">
        <f>W915</f>
        <v>17</v>
      </c>
      <c r="AF915" s="38">
        <f>Z915</f>
        <v>18</v>
      </c>
      <c r="AG915" s="38">
        <f>AC915</f>
        <v>18</v>
      </c>
      <c r="AH915" s="38">
        <f>AE915</f>
        <v>17</v>
      </c>
      <c r="AI915" s="38">
        <f>AG915</f>
        <v>18</v>
      </c>
      <c r="AJ915" s="38">
        <f>AI915</f>
        <v>18</v>
      </c>
      <c r="AL915" s="38">
        <f t="shared" ca="1" si="1376"/>
        <v>18</v>
      </c>
      <c r="AM915" s="38">
        <f t="shared" ca="1" si="1377"/>
        <v>26</v>
      </c>
      <c r="AN915" s="3303">
        <f t="shared" ca="1" si="1378"/>
        <v>-8</v>
      </c>
      <c r="AO915" s="2951">
        <f t="shared" ca="1" si="1379"/>
        <v>0.69230769230769229</v>
      </c>
      <c r="AP915" s="38">
        <f t="shared" ca="1" si="1380"/>
        <v>0</v>
      </c>
      <c r="AQ915" s="3303">
        <f t="shared" ca="1" si="1381"/>
        <v>18</v>
      </c>
      <c r="AR915" s="2951">
        <f t="shared" ca="1" si="1382"/>
        <v>0</v>
      </c>
      <c r="AT915" s="38">
        <f t="shared" ca="1" si="1383"/>
        <v>18</v>
      </c>
      <c r="AU915" s="38">
        <f t="shared" ca="1" si="1384"/>
        <v>26</v>
      </c>
      <c r="AV915" s="3303">
        <f t="shared" ca="1" si="1385"/>
        <v>-8</v>
      </c>
      <c r="AW915" s="2951">
        <f t="shared" ca="1" si="1386"/>
        <v>0.69230769230769229</v>
      </c>
      <c r="AX915" s="38">
        <f t="shared" ca="1" si="1387"/>
        <v>0</v>
      </c>
      <c r="AY915" s="3303">
        <f t="shared" ca="1" si="1388"/>
        <v>18</v>
      </c>
      <c r="AZ915" s="2951">
        <f t="shared" ca="1" si="1389"/>
        <v>0</v>
      </c>
      <c r="BB915" s="38">
        <f t="shared" ca="1" si="1390"/>
        <v>18</v>
      </c>
      <c r="BC915" s="38">
        <f t="shared" ca="1" si="1391"/>
        <v>26</v>
      </c>
      <c r="BD915" s="3303">
        <f t="shared" ca="1" si="1392"/>
        <v>-8</v>
      </c>
      <c r="BE915" s="2951">
        <f t="shared" ca="1" si="1393"/>
        <v>0.69230769230769229</v>
      </c>
      <c r="BF915" s="38">
        <f t="shared" ca="1" si="1394"/>
        <v>0</v>
      </c>
      <c r="BG915" s="3303">
        <f t="shared" ca="1" si="1395"/>
        <v>18</v>
      </c>
      <c r="BH915" s="2951">
        <f t="shared" ca="1" si="1396"/>
        <v>0</v>
      </c>
    </row>
    <row r="916" spans="1:60" s="34" customFormat="1" ht="14.5">
      <c r="A916" s="616">
        <f t="shared" si="1370"/>
        <v>829</v>
      </c>
      <c r="B916" s="616">
        <v>1</v>
      </c>
      <c r="C916" s="616">
        <f t="shared" si="1372"/>
        <v>913</v>
      </c>
      <c r="D916" s="709" t="s">
        <v>1308</v>
      </c>
      <c r="E916" s="2547">
        <v>1</v>
      </c>
      <c r="F916" s="4"/>
      <c r="G916" s="4"/>
      <c r="H916" s="4"/>
      <c r="I916" s="262"/>
      <c r="J916" s="48" t="s">
        <v>204</v>
      </c>
      <c r="K916" s="48"/>
      <c r="L916" s="48"/>
      <c r="M916" s="47"/>
      <c r="N916" s="47"/>
      <c r="O916" s="47"/>
      <c r="P916" s="47"/>
      <c r="Q916" s="1786" t="str">
        <f>CHOOSE(2, "6722000003835", "HC Office FE/TTOC Service Total")</f>
        <v>HC Office FE/TTOC Service Total</v>
      </c>
      <c r="R916" s="45">
        <f>SUM(R917:R921)</f>
        <v>88</v>
      </c>
      <c r="S916" s="45">
        <f t="shared" ref="S916:AJ916" si="1398">SUM(S917:S921)</f>
        <v>87</v>
      </c>
      <c r="T916" s="45">
        <f t="shared" si="1398"/>
        <v>86</v>
      </c>
      <c r="U916" s="45">
        <f t="shared" si="1398"/>
        <v>88</v>
      </c>
      <c r="V916" s="45">
        <f t="shared" si="1398"/>
        <v>90</v>
      </c>
      <c r="W916" s="45">
        <f t="shared" si="1398"/>
        <v>91</v>
      </c>
      <c r="X916" s="45">
        <f t="shared" si="1398"/>
        <v>91</v>
      </c>
      <c r="Y916" s="45">
        <f t="shared" si="1398"/>
        <v>92</v>
      </c>
      <c r="Z916" s="45">
        <f t="shared" si="1398"/>
        <v>93</v>
      </c>
      <c r="AA916" s="45">
        <f t="shared" si="1398"/>
        <v>92</v>
      </c>
      <c r="AB916" s="45">
        <f t="shared" si="1398"/>
        <v>91</v>
      </c>
      <c r="AC916" s="45">
        <f t="shared" si="1398"/>
        <v>93</v>
      </c>
      <c r="AD916" s="911">
        <f t="shared" si="1398"/>
        <v>86</v>
      </c>
      <c r="AE916" s="45">
        <f t="shared" si="1398"/>
        <v>91</v>
      </c>
      <c r="AF916" s="45">
        <f t="shared" si="1398"/>
        <v>93</v>
      </c>
      <c r="AG916" s="45">
        <f t="shared" si="1398"/>
        <v>93</v>
      </c>
      <c r="AH916" s="45">
        <f t="shared" si="1398"/>
        <v>91</v>
      </c>
      <c r="AI916" s="45">
        <f t="shared" si="1398"/>
        <v>93</v>
      </c>
      <c r="AJ916" s="45">
        <f t="shared" si="1398"/>
        <v>93</v>
      </c>
      <c r="AL916" s="45">
        <f t="shared" ca="1" si="1376"/>
        <v>93</v>
      </c>
      <c r="AM916" s="45">
        <f t="shared" ca="1" si="1377"/>
        <v>0</v>
      </c>
      <c r="AN916" s="3302">
        <f t="shared" ca="1" si="1378"/>
        <v>93</v>
      </c>
      <c r="AO916" s="2949">
        <f t="shared" ca="1" si="1379"/>
        <v>0</v>
      </c>
      <c r="AP916" s="45">
        <f t="shared" ca="1" si="1380"/>
        <v>0</v>
      </c>
      <c r="AQ916" s="3302">
        <f t="shared" ca="1" si="1381"/>
        <v>93</v>
      </c>
      <c r="AR916" s="2949">
        <f t="shared" ca="1" si="1382"/>
        <v>0</v>
      </c>
      <c r="AT916" s="45">
        <f t="shared" ca="1" si="1383"/>
        <v>93</v>
      </c>
      <c r="AU916" s="45">
        <f t="shared" ca="1" si="1384"/>
        <v>0</v>
      </c>
      <c r="AV916" s="3302">
        <f t="shared" ca="1" si="1385"/>
        <v>93</v>
      </c>
      <c r="AW916" s="2949">
        <f t="shared" ca="1" si="1386"/>
        <v>0</v>
      </c>
      <c r="AX916" s="45">
        <f t="shared" ca="1" si="1387"/>
        <v>0</v>
      </c>
      <c r="AY916" s="3302">
        <f t="shared" ca="1" si="1388"/>
        <v>93</v>
      </c>
      <c r="AZ916" s="2949">
        <f t="shared" ca="1" si="1389"/>
        <v>0</v>
      </c>
      <c r="BB916" s="45">
        <f t="shared" ca="1" si="1390"/>
        <v>93</v>
      </c>
      <c r="BC916" s="45">
        <f t="shared" ca="1" si="1391"/>
        <v>0</v>
      </c>
      <c r="BD916" s="3302">
        <f t="shared" ca="1" si="1392"/>
        <v>93</v>
      </c>
      <c r="BE916" s="2949">
        <f t="shared" ca="1" si="1393"/>
        <v>0</v>
      </c>
      <c r="BF916" s="45">
        <f t="shared" ca="1" si="1394"/>
        <v>0</v>
      </c>
      <c r="BG916" s="3302">
        <f t="shared" ca="1" si="1395"/>
        <v>93</v>
      </c>
      <c r="BH916" s="2949">
        <f t="shared" ca="1" si="1396"/>
        <v>0</v>
      </c>
    </row>
    <row r="917" spans="1:60" s="34" customFormat="1" ht="14.5">
      <c r="A917" s="616">
        <f t="shared" si="1370"/>
        <v>830</v>
      </c>
      <c r="B917" s="616">
        <v>1</v>
      </c>
      <c r="C917" s="616">
        <f t="shared" si="1372"/>
        <v>914</v>
      </c>
      <c r="E917" s="2547">
        <v>1</v>
      </c>
      <c r="F917" s="4"/>
      <c r="G917" s="4"/>
      <c r="H917" s="4"/>
      <c r="I917" s="262"/>
      <c r="J917" s="4"/>
      <c r="K917" s="4"/>
      <c r="L917" s="4"/>
      <c r="M917" s="3"/>
      <c r="N917" s="41"/>
      <c r="O917" s="41" t="s">
        <v>15</v>
      </c>
      <c r="P917" s="3"/>
      <c r="Q917" s="1778" t="str">
        <f>CHOOSE(2, "6722000003836", "HC Office FE/TTOC Service Total Onsite Engineer")</f>
        <v>HC Office FE/TTOC Service Total Onsite Engineer</v>
      </c>
      <c r="R917" s="3310">
        <v>50</v>
      </c>
      <c r="S917" s="1212">
        <v>50</v>
      </c>
      <c r="T917" s="1212">
        <v>49</v>
      </c>
      <c r="U917" s="1212">
        <v>51</v>
      </c>
      <c r="V917" s="1212">
        <v>52</v>
      </c>
      <c r="W917" s="1212">
        <v>53</v>
      </c>
      <c r="X917" s="1212">
        <v>53</v>
      </c>
      <c r="Y917" s="1212">
        <v>53</v>
      </c>
      <c r="Z917" s="1212">
        <v>54</v>
      </c>
      <c r="AA917" s="1212">
        <v>53</v>
      </c>
      <c r="AB917" s="1212">
        <v>52</v>
      </c>
      <c r="AC917" s="1212">
        <v>53</v>
      </c>
      <c r="AD917" s="877">
        <f>T917</f>
        <v>49</v>
      </c>
      <c r="AE917" s="40">
        <f>W917</f>
        <v>53</v>
      </c>
      <c r="AF917" s="40">
        <f>Z917</f>
        <v>54</v>
      </c>
      <c r="AG917" s="40">
        <f>AC917</f>
        <v>53</v>
      </c>
      <c r="AH917" s="40">
        <f>AE917</f>
        <v>53</v>
      </c>
      <c r="AI917" s="40">
        <f>AG917</f>
        <v>53</v>
      </c>
      <c r="AJ917" s="40">
        <f>AI917</f>
        <v>53</v>
      </c>
      <c r="AL917" s="40">
        <f t="shared" ca="1" si="1376"/>
        <v>53</v>
      </c>
      <c r="AM917" s="40">
        <f t="shared" ca="1" si="1377"/>
        <v>27</v>
      </c>
      <c r="AN917" s="3057">
        <f t="shared" ca="1" si="1378"/>
        <v>26</v>
      </c>
      <c r="AO917" s="2695">
        <f t="shared" ca="1" si="1379"/>
        <v>1.962962962962963</v>
      </c>
      <c r="AP917" s="40">
        <f t="shared" ca="1" si="1380"/>
        <v>0</v>
      </c>
      <c r="AQ917" s="3057">
        <f t="shared" ca="1" si="1381"/>
        <v>53</v>
      </c>
      <c r="AR917" s="2695">
        <f t="shared" ca="1" si="1382"/>
        <v>0</v>
      </c>
      <c r="AT917" s="40">
        <f t="shared" ca="1" si="1383"/>
        <v>53</v>
      </c>
      <c r="AU917" s="40">
        <f t="shared" ca="1" si="1384"/>
        <v>27</v>
      </c>
      <c r="AV917" s="3057">
        <f t="shared" ca="1" si="1385"/>
        <v>26</v>
      </c>
      <c r="AW917" s="2695">
        <f t="shared" ca="1" si="1386"/>
        <v>1.962962962962963</v>
      </c>
      <c r="AX917" s="40">
        <f t="shared" ca="1" si="1387"/>
        <v>0</v>
      </c>
      <c r="AY917" s="3057">
        <f t="shared" ca="1" si="1388"/>
        <v>53</v>
      </c>
      <c r="AZ917" s="2695">
        <f t="shared" ca="1" si="1389"/>
        <v>0</v>
      </c>
      <c r="BB917" s="40">
        <f t="shared" ca="1" si="1390"/>
        <v>53</v>
      </c>
      <c r="BC917" s="40">
        <f t="shared" ca="1" si="1391"/>
        <v>27</v>
      </c>
      <c r="BD917" s="3057">
        <f t="shared" ca="1" si="1392"/>
        <v>26</v>
      </c>
      <c r="BE917" s="2695">
        <f t="shared" ca="1" si="1393"/>
        <v>1.962962962962963</v>
      </c>
      <c r="BF917" s="40">
        <f t="shared" ca="1" si="1394"/>
        <v>0</v>
      </c>
      <c r="BG917" s="3057">
        <f t="shared" ca="1" si="1395"/>
        <v>53</v>
      </c>
      <c r="BH917" s="2695">
        <f t="shared" ca="1" si="1396"/>
        <v>0</v>
      </c>
    </row>
    <row r="918" spans="1:60" s="34" customFormat="1" ht="14.5">
      <c r="A918" s="616">
        <f t="shared" si="1370"/>
        <v>831</v>
      </c>
      <c r="B918" s="616">
        <v>1</v>
      </c>
      <c r="C918" s="616">
        <f t="shared" si="1372"/>
        <v>915</v>
      </c>
      <c r="E918" s="2547">
        <v>1</v>
      </c>
      <c r="F918" s="4"/>
      <c r="G918" s="4"/>
      <c r="H918" s="4"/>
      <c r="I918" s="262"/>
      <c r="J918" s="4"/>
      <c r="K918" s="4"/>
      <c r="L918" s="4"/>
      <c r="M918" s="3"/>
      <c r="N918" s="41"/>
      <c r="O918" s="41" t="s">
        <v>16</v>
      </c>
      <c r="P918" s="3"/>
      <c r="Q918" s="1778" t="str">
        <f>CHOOSE(2, "6722000003837", "HC Office FE/TTOC Service Total Remote Engineer")</f>
        <v>HC Office FE/TTOC Service Total Remote Engineer</v>
      </c>
      <c r="R918" s="3310">
        <v>1</v>
      </c>
      <c r="S918" s="1212">
        <v>1</v>
      </c>
      <c r="T918" s="1212">
        <v>1</v>
      </c>
      <c r="U918" s="1212">
        <v>1</v>
      </c>
      <c r="V918" s="1212">
        <v>1</v>
      </c>
      <c r="W918" s="1212">
        <v>1</v>
      </c>
      <c r="X918" s="1212">
        <v>1</v>
      </c>
      <c r="Y918" s="1212">
        <v>1</v>
      </c>
      <c r="Z918" s="1212">
        <v>1</v>
      </c>
      <c r="AA918" s="1212">
        <v>1</v>
      </c>
      <c r="AB918" s="1212">
        <v>1</v>
      </c>
      <c r="AC918" s="1212">
        <v>1</v>
      </c>
      <c r="AD918" s="877">
        <f>T918</f>
        <v>1</v>
      </c>
      <c r="AE918" s="40">
        <f>W918</f>
        <v>1</v>
      </c>
      <c r="AF918" s="40">
        <f>Z918</f>
        <v>1</v>
      </c>
      <c r="AG918" s="40">
        <f>AC918</f>
        <v>1</v>
      </c>
      <c r="AH918" s="40">
        <f>AE918</f>
        <v>1</v>
      </c>
      <c r="AI918" s="40">
        <f>AG918</f>
        <v>1</v>
      </c>
      <c r="AJ918" s="40">
        <f>AI918</f>
        <v>1</v>
      </c>
      <c r="AL918" s="40">
        <f t="shared" ca="1" si="1376"/>
        <v>1</v>
      </c>
      <c r="AM918" s="40">
        <f t="shared" ca="1" si="1377"/>
        <v>0</v>
      </c>
      <c r="AN918" s="3057">
        <f t="shared" ca="1" si="1378"/>
        <v>1</v>
      </c>
      <c r="AO918" s="2695">
        <f t="shared" ca="1" si="1379"/>
        <v>0</v>
      </c>
      <c r="AP918" s="40">
        <f t="shared" ca="1" si="1380"/>
        <v>0</v>
      </c>
      <c r="AQ918" s="3057">
        <f t="shared" ca="1" si="1381"/>
        <v>1</v>
      </c>
      <c r="AR918" s="2695">
        <f t="shared" ca="1" si="1382"/>
        <v>0</v>
      </c>
      <c r="AT918" s="40">
        <f t="shared" ca="1" si="1383"/>
        <v>1</v>
      </c>
      <c r="AU918" s="40">
        <f t="shared" ca="1" si="1384"/>
        <v>0</v>
      </c>
      <c r="AV918" s="3057">
        <f t="shared" ca="1" si="1385"/>
        <v>1</v>
      </c>
      <c r="AW918" s="2695">
        <f t="shared" ca="1" si="1386"/>
        <v>0</v>
      </c>
      <c r="AX918" s="40">
        <f t="shared" ca="1" si="1387"/>
        <v>0</v>
      </c>
      <c r="AY918" s="3057">
        <f t="shared" ca="1" si="1388"/>
        <v>1</v>
      </c>
      <c r="AZ918" s="2695">
        <f t="shared" ca="1" si="1389"/>
        <v>0</v>
      </c>
      <c r="BB918" s="40">
        <f t="shared" ca="1" si="1390"/>
        <v>1</v>
      </c>
      <c r="BC918" s="40">
        <f t="shared" ca="1" si="1391"/>
        <v>0</v>
      </c>
      <c r="BD918" s="3057">
        <f t="shared" ca="1" si="1392"/>
        <v>1</v>
      </c>
      <c r="BE918" s="2695">
        <f t="shared" ca="1" si="1393"/>
        <v>0</v>
      </c>
      <c r="BF918" s="40">
        <f t="shared" ca="1" si="1394"/>
        <v>0</v>
      </c>
      <c r="BG918" s="3057">
        <f t="shared" ca="1" si="1395"/>
        <v>1</v>
      </c>
      <c r="BH918" s="2695">
        <f t="shared" ca="1" si="1396"/>
        <v>0</v>
      </c>
    </row>
    <row r="919" spans="1:60" s="34" customFormat="1" ht="14.5">
      <c r="A919" s="616">
        <f t="shared" si="1370"/>
        <v>832</v>
      </c>
      <c r="B919" s="616">
        <v>1</v>
      </c>
      <c r="C919" s="616">
        <f t="shared" si="1372"/>
        <v>916</v>
      </c>
      <c r="E919" s="2547">
        <v>1</v>
      </c>
      <c r="F919" s="4"/>
      <c r="G919" s="4"/>
      <c r="H919" s="4"/>
      <c r="I919" s="262"/>
      <c r="J919" s="4"/>
      <c r="K919" s="4"/>
      <c r="L919" s="4"/>
      <c r="M919" s="3"/>
      <c r="N919" s="41"/>
      <c r="O919" s="41" t="s">
        <v>42</v>
      </c>
      <c r="P919" s="3"/>
      <c r="Q919" s="1778" t="str">
        <f>CHOOSE(2, "6722000003838", "HC Office FE/TTOC Service Total Technical support")</f>
        <v>HC Office FE/TTOC Service Total Technical support</v>
      </c>
      <c r="R919" s="3310">
        <v>17</v>
      </c>
      <c r="S919" s="1212">
        <v>17</v>
      </c>
      <c r="T919" s="1212">
        <v>17</v>
      </c>
      <c r="U919" s="1212">
        <v>17</v>
      </c>
      <c r="V919" s="1212">
        <v>18</v>
      </c>
      <c r="W919" s="1212">
        <v>18</v>
      </c>
      <c r="X919" s="1212">
        <v>18</v>
      </c>
      <c r="Y919" s="1212">
        <v>18</v>
      </c>
      <c r="Z919" s="1212">
        <v>18</v>
      </c>
      <c r="AA919" s="1212">
        <v>18</v>
      </c>
      <c r="AB919" s="1212">
        <v>18</v>
      </c>
      <c r="AC919" s="1212">
        <v>18</v>
      </c>
      <c r="AD919" s="877">
        <f>T919</f>
        <v>17</v>
      </c>
      <c r="AE919" s="40">
        <f>W919</f>
        <v>18</v>
      </c>
      <c r="AF919" s="40">
        <f>Z919</f>
        <v>18</v>
      </c>
      <c r="AG919" s="40">
        <f>AC919</f>
        <v>18</v>
      </c>
      <c r="AH919" s="40">
        <f>AE919</f>
        <v>18</v>
      </c>
      <c r="AI919" s="40">
        <f>AG919</f>
        <v>18</v>
      </c>
      <c r="AJ919" s="40">
        <f>AI919</f>
        <v>18</v>
      </c>
      <c r="AL919" s="40">
        <f t="shared" ca="1" si="1376"/>
        <v>18</v>
      </c>
      <c r="AM919" s="40">
        <f t="shared" ca="1" si="1377"/>
        <v>0</v>
      </c>
      <c r="AN919" s="3057">
        <f t="shared" ca="1" si="1378"/>
        <v>18</v>
      </c>
      <c r="AO919" s="2695">
        <f t="shared" ca="1" si="1379"/>
        <v>0</v>
      </c>
      <c r="AP919" s="40">
        <f t="shared" ca="1" si="1380"/>
        <v>0</v>
      </c>
      <c r="AQ919" s="3057">
        <f t="shared" ca="1" si="1381"/>
        <v>18</v>
      </c>
      <c r="AR919" s="2695">
        <f t="shared" ca="1" si="1382"/>
        <v>0</v>
      </c>
      <c r="AT919" s="40">
        <f t="shared" ca="1" si="1383"/>
        <v>18</v>
      </c>
      <c r="AU919" s="40">
        <f t="shared" ca="1" si="1384"/>
        <v>0</v>
      </c>
      <c r="AV919" s="3057">
        <f t="shared" ca="1" si="1385"/>
        <v>18</v>
      </c>
      <c r="AW919" s="2695">
        <f t="shared" ca="1" si="1386"/>
        <v>0</v>
      </c>
      <c r="AX919" s="40">
        <f t="shared" ca="1" si="1387"/>
        <v>0</v>
      </c>
      <c r="AY919" s="3057">
        <f t="shared" ca="1" si="1388"/>
        <v>18</v>
      </c>
      <c r="AZ919" s="2695">
        <f t="shared" ca="1" si="1389"/>
        <v>0</v>
      </c>
      <c r="BB919" s="40">
        <f t="shared" ca="1" si="1390"/>
        <v>18</v>
      </c>
      <c r="BC919" s="40">
        <f t="shared" ca="1" si="1391"/>
        <v>0</v>
      </c>
      <c r="BD919" s="3057">
        <f t="shared" ca="1" si="1392"/>
        <v>18</v>
      </c>
      <c r="BE919" s="2695">
        <f t="shared" ca="1" si="1393"/>
        <v>0</v>
      </c>
      <c r="BF919" s="40">
        <f t="shared" ca="1" si="1394"/>
        <v>0</v>
      </c>
      <c r="BG919" s="3057">
        <f t="shared" ca="1" si="1395"/>
        <v>18</v>
      </c>
      <c r="BH919" s="2695">
        <f t="shared" ca="1" si="1396"/>
        <v>0</v>
      </c>
    </row>
    <row r="920" spans="1:60" s="34" customFormat="1" ht="14.5">
      <c r="A920" s="616">
        <f t="shared" si="1370"/>
        <v>833</v>
      </c>
      <c r="B920" s="616">
        <v>1</v>
      </c>
      <c r="C920" s="616">
        <f t="shared" si="1372"/>
        <v>917</v>
      </c>
      <c r="E920" s="2547">
        <v>1</v>
      </c>
      <c r="F920" s="4"/>
      <c r="G920" s="4"/>
      <c r="H920" s="4"/>
      <c r="I920" s="262"/>
      <c r="J920" s="4"/>
      <c r="K920" s="4"/>
      <c r="L920" s="4"/>
      <c r="M920" s="3"/>
      <c r="N920" s="41"/>
      <c r="O920" s="41" t="s">
        <v>41</v>
      </c>
      <c r="P920" s="3"/>
      <c r="Q920" s="1778" t="str">
        <f>CHOOSE(2, "6722000003839", "HC Office FE/TTOC Service Total Dealer(Indirect) support")</f>
        <v>HC Office FE/TTOC Service Total Dealer(Indirect) support</v>
      </c>
      <c r="R920" s="3310">
        <v>0</v>
      </c>
      <c r="S920" s="1212">
        <v>0</v>
      </c>
      <c r="T920" s="1212">
        <v>0</v>
      </c>
      <c r="U920" s="1212">
        <v>0</v>
      </c>
      <c r="V920" s="1212">
        <v>0</v>
      </c>
      <c r="W920" s="1212">
        <v>0</v>
      </c>
      <c r="X920" s="1212">
        <v>0</v>
      </c>
      <c r="Y920" s="1212">
        <v>0</v>
      </c>
      <c r="Z920" s="1212">
        <v>0</v>
      </c>
      <c r="AA920" s="1212">
        <v>0</v>
      </c>
      <c r="AB920" s="1212">
        <v>0</v>
      </c>
      <c r="AC920" s="1212">
        <v>0</v>
      </c>
      <c r="AD920" s="877">
        <f>T920</f>
        <v>0</v>
      </c>
      <c r="AE920" s="40">
        <f>W920</f>
        <v>0</v>
      </c>
      <c r="AF920" s="40">
        <f>Z920</f>
        <v>0</v>
      </c>
      <c r="AG920" s="40">
        <f>AC920</f>
        <v>0</v>
      </c>
      <c r="AH920" s="40">
        <f>AE920</f>
        <v>0</v>
      </c>
      <c r="AI920" s="40">
        <f>AG920</f>
        <v>0</v>
      </c>
      <c r="AJ920" s="40">
        <f>AI920</f>
        <v>0</v>
      </c>
      <c r="AL920" s="40">
        <f t="shared" ca="1" si="1376"/>
        <v>0</v>
      </c>
      <c r="AM920" s="40">
        <f t="shared" ca="1" si="1377"/>
        <v>0</v>
      </c>
      <c r="AN920" s="3057">
        <f t="shared" ca="1" si="1378"/>
        <v>0</v>
      </c>
      <c r="AO920" s="2695">
        <f t="shared" ca="1" si="1379"/>
        <v>0</v>
      </c>
      <c r="AP920" s="40">
        <f t="shared" ca="1" si="1380"/>
        <v>0</v>
      </c>
      <c r="AQ920" s="3057">
        <f t="shared" ca="1" si="1381"/>
        <v>0</v>
      </c>
      <c r="AR920" s="2695">
        <f t="shared" ca="1" si="1382"/>
        <v>0</v>
      </c>
      <c r="AT920" s="40">
        <f t="shared" ca="1" si="1383"/>
        <v>0</v>
      </c>
      <c r="AU920" s="40">
        <f t="shared" ca="1" si="1384"/>
        <v>0</v>
      </c>
      <c r="AV920" s="3057">
        <f t="shared" ca="1" si="1385"/>
        <v>0</v>
      </c>
      <c r="AW920" s="2695">
        <f t="shared" ca="1" si="1386"/>
        <v>0</v>
      </c>
      <c r="AX920" s="40">
        <f t="shared" ca="1" si="1387"/>
        <v>0</v>
      </c>
      <c r="AY920" s="3057">
        <f t="shared" ca="1" si="1388"/>
        <v>0</v>
      </c>
      <c r="AZ920" s="2695">
        <f t="shared" ca="1" si="1389"/>
        <v>0</v>
      </c>
      <c r="BB920" s="40">
        <f t="shared" ca="1" si="1390"/>
        <v>0</v>
      </c>
      <c r="BC920" s="40">
        <f t="shared" ca="1" si="1391"/>
        <v>0</v>
      </c>
      <c r="BD920" s="3057">
        <f t="shared" ca="1" si="1392"/>
        <v>0</v>
      </c>
      <c r="BE920" s="2695">
        <f t="shared" ca="1" si="1393"/>
        <v>0</v>
      </c>
      <c r="BF920" s="40">
        <f t="shared" ca="1" si="1394"/>
        <v>0</v>
      </c>
      <c r="BG920" s="3057">
        <f t="shared" ca="1" si="1395"/>
        <v>0</v>
      </c>
      <c r="BH920" s="2695">
        <f t="shared" ca="1" si="1396"/>
        <v>0</v>
      </c>
    </row>
    <row r="921" spans="1:60" s="34" customFormat="1" ht="14.5">
      <c r="A921" s="616">
        <f t="shared" si="1370"/>
        <v>834</v>
      </c>
      <c r="B921" s="616">
        <v>1</v>
      </c>
      <c r="C921" s="616">
        <f t="shared" si="1372"/>
        <v>918</v>
      </c>
      <c r="E921" s="2547">
        <v>1</v>
      </c>
      <c r="F921" s="4"/>
      <c r="G921" s="4"/>
      <c r="H921" s="4"/>
      <c r="I921" s="262"/>
      <c r="J921" s="4"/>
      <c r="K921" s="4"/>
      <c r="L921" s="4"/>
      <c r="M921" s="3"/>
      <c r="N921" s="41"/>
      <c r="O921" s="41" t="s">
        <v>40</v>
      </c>
      <c r="P921" s="3"/>
      <c r="Q921" s="1778" t="str">
        <f>CHOOSE(2, "6722000003840", "HC Office FE/TTOC Service Total Administration/Others")</f>
        <v>HC Office FE/TTOC Service Total Administration/Others</v>
      </c>
      <c r="R921" s="3310">
        <v>20</v>
      </c>
      <c r="S921" s="1212">
        <v>19</v>
      </c>
      <c r="T921" s="1212">
        <v>19</v>
      </c>
      <c r="U921" s="1212">
        <v>19</v>
      </c>
      <c r="V921" s="1212">
        <v>19</v>
      </c>
      <c r="W921" s="1212">
        <v>19</v>
      </c>
      <c r="X921" s="1212">
        <v>19</v>
      </c>
      <c r="Y921" s="1212">
        <v>20</v>
      </c>
      <c r="Z921" s="1212">
        <v>20</v>
      </c>
      <c r="AA921" s="1212">
        <v>20</v>
      </c>
      <c r="AB921" s="1212">
        <v>20</v>
      </c>
      <c r="AC921" s="1212">
        <v>21</v>
      </c>
      <c r="AD921" s="877">
        <f>T921</f>
        <v>19</v>
      </c>
      <c r="AE921" s="40">
        <f>W921</f>
        <v>19</v>
      </c>
      <c r="AF921" s="40">
        <f>Z921</f>
        <v>20</v>
      </c>
      <c r="AG921" s="40">
        <f>AC921</f>
        <v>21</v>
      </c>
      <c r="AH921" s="40">
        <f>AE921</f>
        <v>19</v>
      </c>
      <c r="AI921" s="40">
        <f>AG921</f>
        <v>21</v>
      </c>
      <c r="AJ921" s="40">
        <f>AI921</f>
        <v>21</v>
      </c>
      <c r="AL921" s="40">
        <f t="shared" ca="1" si="1376"/>
        <v>21</v>
      </c>
      <c r="AM921" s="40">
        <f t="shared" ca="1" si="1377"/>
        <v>262</v>
      </c>
      <c r="AN921" s="3057">
        <f t="shared" ca="1" si="1378"/>
        <v>-241</v>
      </c>
      <c r="AO921" s="2695">
        <f t="shared" ca="1" si="1379"/>
        <v>8.0152671755725186E-2</v>
      </c>
      <c r="AP921" s="40">
        <f t="shared" ca="1" si="1380"/>
        <v>35395.092000000004</v>
      </c>
      <c r="AQ921" s="3057">
        <f t="shared" ca="1" si="1381"/>
        <v>-35374.092000000004</v>
      </c>
      <c r="AR921" s="2695">
        <f t="shared" ca="1" si="1382"/>
        <v>5.9330259686851488E-4</v>
      </c>
      <c r="AT921" s="40">
        <f t="shared" ca="1" si="1383"/>
        <v>21</v>
      </c>
      <c r="AU921" s="40">
        <f t="shared" ca="1" si="1384"/>
        <v>262</v>
      </c>
      <c r="AV921" s="3057">
        <f t="shared" ca="1" si="1385"/>
        <v>-241</v>
      </c>
      <c r="AW921" s="2695">
        <f t="shared" ca="1" si="1386"/>
        <v>8.0152671755725186E-2</v>
      </c>
      <c r="AX921" s="40">
        <f t="shared" ca="1" si="1387"/>
        <v>35395.092000000004</v>
      </c>
      <c r="AY921" s="3057">
        <f t="shared" ca="1" si="1388"/>
        <v>-35374.092000000004</v>
      </c>
      <c r="AZ921" s="2695">
        <f t="shared" ca="1" si="1389"/>
        <v>5.9330259686851488E-4</v>
      </c>
      <c r="BB921" s="40">
        <f t="shared" ca="1" si="1390"/>
        <v>21</v>
      </c>
      <c r="BC921" s="40">
        <f t="shared" ca="1" si="1391"/>
        <v>262</v>
      </c>
      <c r="BD921" s="3057">
        <f t="shared" ca="1" si="1392"/>
        <v>-241</v>
      </c>
      <c r="BE921" s="2695">
        <f t="shared" ca="1" si="1393"/>
        <v>8.0152671755725186E-2</v>
      </c>
      <c r="BF921" s="40">
        <f t="shared" ca="1" si="1394"/>
        <v>35395.092000000004</v>
      </c>
      <c r="BG921" s="3057">
        <f t="shared" ca="1" si="1395"/>
        <v>-35374.092000000004</v>
      </c>
      <c r="BH921" s="2695">
        <f t="shared" ca="1" si="1396"/>
        <v>5.9330259686851488E-4</v>
      </c>
    </row>
    <row r="922" spans="1:60" s="34" customFormat="1" ht="14.5">
      <c r="A922" s="616">
        <f t="shared" si="1370"/>
        <v>835</v>
      </c>
      <c r="B922" s="616">
        <v>1</v>
      </c>
      <c r="C922" s="616">
        <f t="shared" si="1372"/>
        <v>919</v>
      </c>
      <c r="D922" s="709" t="s">
        <v>1308</v>
      </c>
      <c r="E922" s="2547">
        <v>1</v>
      </c>
      <c r="F922" s="4"/>
      <c r="G922" s="4"/>
      <c r="H922" s="4"/>
      <c r="I922" s="262"/>
      <c r="J922" s="252" t="s">
        <v>205</v>
      </c>
      <c r="K922" s="252"/>
      <c r="L922" s="252"/>
      <c r="M922" s="251"/>
      <c r="N922" s="251"/>
      <c r="O922" s="251"/>
      <c r="P922" s="251"/>
      <c r="Q922" s="1786" t="str">
        <f>CHOOSE(2, "6722000003841", "HC Office FE/TTOC Marketing Total")</f>
        <v>HC Office FE/TTOC Marketing Total</v>
      </c>
      <c r="R922" s="3102">
        <f>SUM(R923:R926)</f>
        <v>4</v>
      </c>
      <c r="S922" s="3102">
        <f t="shared" ref="S922:AJ922" si="1399">SUM(S923:S926)</f>
        <v>4</v>
      </c>
      <c r="T922" s="3102">
        <f t="shared" si="1399"/>
        <v>4</v>
      </c>
      <c r="U922" s="3102">
        <f t="shared" si="1399"/>
        <v>4</v>
      </c>
      <c r="V922" s="3102">
        <f t="shared" si="1399"/>
        <v>4</v>
      </c>
      <c r="W922" s="3102">
        <f t="shared" si="1399"/>
        <v>4</v>
      </c>
      <c r="X922" s="3102">
        <f t="shared" si="1399"/>
        <v>4</v>
      </c>
      <c r="Y922" s="3102">
        <f t="shared" si="1399"/>
        <v>4</v>
      </c>
      <c r="Z922" s="3102">
        <f t="shared" si="1399"/>
        <v>4</v>
      </c>
      <c r="AA922" s="3102">
        <f t="shared" si="1399"/>
        <v>4</v>
      </c>
      <c r="AB922" s="3102">
        <f t="shared" si="1399"/>
        <v>4</v>
      </c>
      <c r="AC922" s="3102">
        <f t="shared" si="1399"/>
        <v>4</v>
      </c>
      <c r="AD922" s="745">
        <f t="shared" si="1399"/>
        <v>4</v>
      </c>
      <c r="AE922" s="3102">
        <f t="shared" si="1399"/>
        <v>4</v>
      </c>
      <c r="AF922" s="3102">
        <f t="shared" si="1399"/>
        <v>4</v>
      </c>
      <c r="AG922" s="3102">
        <f t="shared" si="1399"/>
        <v>4</v>
      </c>
      <c r="AH922" s="3102">
        <f t="shared" si="1399"/>
        <v>4</v>
      </c>
      <c r="AI922" s="3102">
        <f t="shared" si="1399"/>
        <v>4</v>
      </c>
      <c r="AJ922" s="3102">
        <f t="shared" si="1399"/>
        <v>4</v>
      </c>
      <c r="AL922" s="3102">
        <f t="shared" ca="1" si="1376"/>
        <v>4</v>
      </c>
      <c r="AM922" s="3102">
        <f t="shared" ca="1" si="1377"/>
        <v>111</v>
      </c>
      <c r="AN922" s="3304">
        <f t="shared" ca="1" si="1378"/>
        <v>-107</v>
      </c>
      <c r="AO922" s="2953">
        <f t="shared" ca="1" si="1379"/>
        <v>3.6036036036036036E-2</v>
      </c>
      <c r="AP922" s="3102">
        <f t="shared" ca="1" si="1380"/>
        <v>25775</v>
      </c>
      <c r="AQ922" s="3304">
        <f t="shared" ca="1" si="1381"/>
        <v>-25771</v>
      </c>
      <c r="AR922" s="2953">
        <f t="shared" ca="1" si="1382"/>
        <v>1.5518913676042676E-4</v>
      </c>
      <c r="AT922" s="3102">
        <f t="shared" ca="1" si="1383"/>
        <v>4</v>
      </c>
      <c r="AU922" s="3102">
        <f t="shared" ca="1" si="1384"/>
        <v>111</v>
      </c>
      <c r="AV922" s="3304">
        <f t="shared" ca="1" si="1385"/>
        <v>-107</v>
      </c>
      <c r="AW922" s="2953">
        <f t="shared" ca="1" si="1386"/>
        <v>3.6036036036036036E-2</v>
      </c>
      <c r="AX922" s="3102">
        <f t="shared" ca="1" si="1387"/>
        <v>25775</v>
      </c>
      <c r="AY922" s="3304">
        <f t="shared" ca="1" si="1388"/>
        <v>-25771</v>
      </c>
      <c r="AZ922" s="2953">
        <f t="shared" ca="1" si="1389"/>
        <v>1.5518913676042676E-4</v>
      </c>
      <c r="BB922" s="3102">
        <f t="shared" ca="1" si="1390"/>
        <v>4</v>
      </c>
      <c r="BC922" s="3102">
        <f t="shared" ca="1" si="1391"/>
        <v>111</v>
      </c>
      <c r="BD922" s="3304">
        <f t="shared" ca="1" si="1392"/>
        <v>-107</v>
      </c>
      <c r="BE922" s="2953">
        <f t="shared" ca="1" si="1393"/>
        <v>3.6036036036036036E-2</v>
      </c>
      <c r="BF922" s="3102">
        <f t="shared" ca="1" si="1394"/>
        <v>25775</v>
      </c>
      <c r="BG922" s="3304">
        <f t="shared" ca="1" si="1395"/>
        <v>-25771</v>
      </c>
      <c r="BH922" s="2953">
        <f t="shared" ca="1" si="1396"/>
        <v>1.5518913676042676E-4</v>
      </c>
    </row>
    <row r="923" spans="1:60" s="34" customFormat="1" ht="14.5">
      <c r="A923" s="616">
        <f t="shared" si="1370"/>
        <v>836</v>
      </c>
      <c r="B923" s="616">
        <v>1</v>
      </c>
      <c r="C923" s="616">
        <f t="shared" si="1372"/>
        <v>920</v>
      </c>
      <c r="E923" s="2547">
        <v>1</v>
      </c>
      <c r="F923" s="4"/>
      <c r="G923" s="4"/>
      <c r="H923" s="4"/>
      <c r="I923" s="262"/>
      <c r="J923" s="4"/>
      <c r="K923" s="4"/>
      <c r="L923" s="4"/>
      <c r="M923" s="3"/>
      <c r="N923" s="41"/>
      <c r="O923" s="41" t="s">
        <v>198</v>
      </c>
      <c r="P923" s="3"/>
      <c r="Q923" s="1778" t="str">
        <f>CHOOSE(2, "6722000003842", "HC Office FE/TTOC Marketing Total Business Development")</f>
        <v>HC Office FE/TTOC Marketing Total Business Development</v>
      </c>
      <c r="R923" s="1212">
        <v>0</v>
      </c>
      <c r="S923" s="1212">
        <v>0</v>
      </c>
      <c r="T923" s="1212">
        <v>0</v>
      </c>
      <c r="U923" s="1212">
        <v>0</v>
      </c>
      <c r="V923" s="1212">
        <v>0</v>
      </c>
      <c r="W923" s="1212">
        <v>0</v>
      </c>
      <c r="X923" s="1212">
        <v>0</v>
      </c>
      <c r="Y923" s="1212">
        <v>0</v>
      </c>
      <c r="Z923" s="1212">
        <v>0</v>
      </c>
      <c r="AA923" s="1212">
        <v>0</v>
      </c>
      <c r="AB923" s="1212">
        <v>0</v>
      </c>
      <c r="AC923" s="1212">
        <v>0</v>
      </c>
      <c r="AD923" s="877">
        <f>T923</f>
        <v>0</v>
      </c>
      <c r="AE923" s="40">
        <f>W923</f>
        <v>0</v>
      </c>
      <c r="AF923" s="40">
        <f>Z923</f>
        <v>0</v>
      </c>
      <c r="AG923" s="40">
        <f>AC923</f>
        <v>0</v>
      </c>
      <c r="AH923" s="40">
        <f>AE923</f>
        <v>0</v>
      </c>
      <c r="AI923" s="40">
        <f>AG923</f>
        <v>0</v>
      </c>
      <c r="AJ923" s="40">
        <f>AI923</f>
        <v>0</v>
      </c>
      <c r="AL923" s="40">
        <f t="shared" ca="1" si="1376"/>
        <v>0</v>
      </c>
      <c r="AM923" s="40">
        <f t="shared" ca="1" si="1377"/>
        <v>55</v>
      </c>
      <c r="AN923" s="3057">
        <f t="shared" ca="1" si="1378"/>
        <v>-55</v>
      </c>
      <c r="AO923" s="2695">
        <f t="shared" ca="1" si="1379"/>
        <v>0</v>
      </c>
      <c r="AP923" s="40">
        <f t="shared" ca="1" si="1380"/>
        <v>3981.3440000000001</v>
      </c>
      <c r="AQ923" s="3057">
        <f t="shared" ca="1" si="1381"/>
        <v>-3981.3440000000001</v>
      </c>
      <c r="AR923" s="2695">
        <f t="shared" ca="1" si="1382"/>
        <v>0</v>
      </c>
      <c r="AT923" s="40">
        <f t="shared" ca="1" si="1383"/>
        <v>0</v>
      </c>
      <c r="AU923" s="40">
        <f t="shared" ca="1" si="1384"/>
        <v>55</v>
      </c>
      <c r="AV923" s="3057">
        <f t="shared" ca="1" si="1385"/>
        <v>-55</v>
      </c>
      <c r="AW923" s="2695">
        <f t="shared" ca="1" si="1386"/>
        <v>0</v>
      </c>
      <c r="AX923" s="40">
        <f t="shared" ca="1" si="1387"/>
        <v>3981.3440000000001</v>
      </c>
      <c r="AY923" s="3057">
        <f t="shared" ca="1" si="1388"/>
        <v>-3981.3440000000001</v>
      </c>
      <c r="AZ923" s="2695">
        <f t="shared" ca="1" si="1389"/>
        <v>0</v>
      </c>
      <c r="BB923" s="40">
        <f t="shared" ca="1" si="1390"/>
        <v>0</v>
      </c>
      <c r="BC923" s="40">
        <f t="shared" ca="1" si="1391"/>
        <v>55</v>
      </c>
      <c r="BD923" s="3057">
        <f t="shared" ca="1" si="1392"/>
        <v>-55</v>
      </c>
      <c r="BE923" s="2695">
        <f t="shared" ca="1" si="1393"/>
        <v>0</v>
      </c>
      <c r="BF923" s="40">
        <f t="shared" ca="1" si="1394"/>
        <v>3981.3440000000001</v>
      </c>
      <c r="BG923" s="3057">
        <f t="shared" ca="1" si="1395"/>
        <v>-3981.3440000000001</v>
      </c>
      <c r="BH923" s="2695">
        <f t="shared" ca="1" si="1396"/>
        <v>0</v>
      </c>
    </row>
    <row r="924" spans="1:60" s="34" customFormat="1" ht="14.5">
      <c r="A924" s="616">
        <f t="shared" si="1370"/>
        <v>837</v>
      </c>
      <c r="B924" s="616">
        <v>1</v>
      </c>
      <c r="C924" s="616">
        <f t="shared" si="1372"/>
        <v>921</v>
      </c>
      <c r="E924" s="2547">
        <v>1</v>
      </c>
      <c r="F924" s="4"/>
      <c r="G924" s="4"/>
      <c r="H924" s="4"/>
      <c r="I924" s="262"/>
      <c r="J924" s="4"/>
      <c r="K924" s="4"/>
      <c r="L924" s="4"/>
      <c r="M924" s="3"/>
      <c r="N924" s="41"/>
      <c r="O924" s="41" t="s">
        <v>199</v>
      </c>
      <c r="P924" s="3"/>
      <c r="Q924" s="1778" t="str">
        <f>CHOOSE(2, "6722000003843", "HC Office FE/TTOC Marketing Total Channel Marketing")</f>
        <v>HC Office FE/TTOC Marketing Total Channel Marketing</v>
      </c>
      <c r="R924" s="1212">
        <v>0</v>
      </c>
      <c r="S924" s="1212">
        <v>0</v>
      </c>
      <c r="T924" s="1212">
        <v>0</v>
      </c>
      <c r="U924" s="1212">
        <v>0</v>
      </c>
      <c r="V924" s="1212">
        <v>0</v>
      </c>
      <c r="W924" s="1212">
        <v>0</v>
      </c>
      <c r="X924" s="1212">
        <v>0</v>
      </c>
      <c r="Y924" s="1212">
        <v>0</v>
      </c>
      <c r="Z924" s="1212">
        <v>0</v>
      </c>
      <c r="AA924" s="1212">
        <v>0</v>
      </c>
      <c r="AB924" s="1212">
        <v>0</v>
      </c>
      <c r="AC924" s="1212">
        <v>0</v>
      </c>
      <c r="AD924" s="877">
        <f>T924</f>
        <v>0</v>
      </c>
      <c r="AE924" s="40">
        <f>W924</f>
        <v>0</v>
      </c>
      <c r="AF924" s="40">
        <f>Z924</f>
        <v>0</v>
      </c>
      <c r="AG924" s="40">
        <f>AC924</f>
        <v>0</v>
      </c>
      <c r="AH924" s="40">
        <f>AE924</f>
        <v>0</v>
      </c>
      <c r="AI924" s="40">
        <f>AG924</f>
        <v>0</v>
      </c>
      <c r="AJ924" s="40">
        <f>AI924</f>
        <v>0</v>
      </c>
      <c r="AL924" s="40">
        <f t="shared" ca="1" si="1376"/>
        <v>0</v>
      </c>
      <c r="AM924" s="40">
        <f t="shared" ca="1" si="1377"/>
        <v>5</v>
      </c>
      <c r="AN924" s="3057">
        <f t="shared" ca="1" si="1378"/>
        <v>-5</v>
      </c>
      <c r="AO924" s="2695">
        <f t="shared" ca="1" si="1379"/>
        <v>0</v>
      </c>
      <c r="AP924" s="40">
        <f t="shared" ca="1" si="1380"/>
        <v>5638.7479999999996</v>
      </c>
      <c r="AQ924" s="3057">
        <f t="shared" ca="1" si="1381"/>
        <v>-5638.7479999999996</v>
      </c>
      <c r="AR924" s="2695">
        <f t="shared" ca="1" si="1382"/>
        <v>0</v>
      </c>
      <c r="AT924" s="40">
        <f t="shared" ca="1" si="1383"/>
        <v>0</v>
      </c>
      <c r="AU924" s="40">
        <f t="shared" ca="1" si="1384"/>
        <v>5</v>
      </c>
      <c r="AV924" s="3057">
        <f t="shared" ca="1" si="1385"/>
        <v>-5</v>
      </c>
      <c r="AW924" s="2695">
        <f t="shared" ca="1" si="1386"/>
        <v>0</v>
      </c>
      <c r="AX924" s="40">
        <f t="shared" ca="1" si="1387"/>
        <v>5638.7479999999996</v>
      </c>
      <c r="AY924" s="3057">
        <f t="shared" ca="1" si="1388"/>
        <v>-5638.7479999999996</v>
      </c>
      <c r="AZ924" s="2695">
        <f t="shared" ca="1" si="1389"/>
        <v>0</v>
      </c>
      <c r="BB924" s="40">
        <f t="shared" ca="1" si="1390"/>
        <v>0</v>
      </c>
      <c r="BC924" s="40">
        <f t="shared" ca="1" si="1391"/>
        <v>5</v>
      </c>
      <c r="BD924" s="3057">
        <f t="shared" ca="1" si="1392"/>
        <v>-5</v>
      </c>
      <c r="BE924" s="2695">
        <f t="shared" ca="1" si="1393"/>
        <v>0</v>
      </c>
      <c r="BF924" s="40">
        <f t="shared" ca="1" si="1394"/>
        <v>5638.7479999999996</v>
      </c>
      <c r="BG924" s="3057">
        <f t="shared" ca="1" si="1395"/>
        <v>-5638.7479999999996</v>
      </c>
      <c r="BH924" s="2695">
        <f t="shared" ca="1" si="1396"/>
        <v>0</v>
      </c>
    </row>
    <row r="925" spans="1:60" s="34" customFormat="1" ht="14.5">
      <c r="A925" s="616">
        <f t="shared" si="1370"/>
        <v>838</v>
      </c>
      <c r="B925" s="616">
        <v>1</v>
      </c>
      <c r="C925" s="616">
        <f t="shared" si="1372"/>
        <v>922</v>
      </c>
      <c r="E925" s="2547">
        <v>1</v>
      </c>
      <c r="F925" s="4"/>
      <c r="G925" s="4"/>
      <c r="H925" s="4"/>
      <c r="I925" s="262"/>
      <c r="J925" s="4"/>
      <c r="K925" s="4"/>
      <c r="L925" s="4"/>
      <c r="M925" s="3"/>
      <c r="N925" s="41"/>
      <c r="O925" s="41" t="s">
        <v>200</v>
      </c>
      <c r="P925" s="3"/>
      <c r="Q925" s="1778" t="str">
        <f>CHOOSE(2, "6722000003844", "HC Office FE/TTOC Marketing Total Product Marketing")</f>
        <v>HC Office FE/TTOC Marketing Total Product Marketing</v>
      </c>
      <c r="R925" s="3310">
        <v>4</v>
      </c>
      <c r="S925" s="1212">
        <f>2+2</f>
        <v>4</v>
      </c>
      <c r="T925" s="1212">
        <v>4</v>
      </c>
      <c r="U925" s="1212">
        <v>4</v>
      </c>
      <c r="V925" s="1212">
        <v>4</v>
      </c>
      <c r="W925" s="1212">
        <v>4</v>
      </c>
      <c r="X925" s="1212">
        <v>4</v>
      </c>
      <c r="Y925" s="1212">
        <v>4</v>
      </c>
      <c r="Z925" s="1212">
        <v>4</v>
      </c>
      <c r="AA925" s="1212">
        <v>4</v>
      </c>
      <c r="AB925" s="1212">
        <f>2+2</f>
        <v>4</v>
      </c>
      <c r="AC925" s="1212">
        <v>4</v>
      </c>
      <c r="AD925" s="877">
        <f>T925</f>
        <v>4</v>
      </c>
      <c r="AE925" s="40">
        <f>W925</f>
        <v>4</v>
      </c>
      <c r="AF925" s="40">
        <f>Z925</f>
        <v>4</v>
      </c>
      <c r="AG925" s="40">
        <f>AC925</f>
        <v>4</v>
      </c>
      <c r="AH925" s="40">
        <f>AE925</f>
        <v>4</v>
      </c>
      <c r="AI925" s="40">
        <f>AG925</f>
        <v>4</v>
      </c>
      <c r="AJ925" s="40">
        <f>AI925</f>
        <v>4</v>
      </c>
      <c r="AL925" s="40">
        <f t="shared" ca="1" si="1376"/>
        <v>4</v>
      </c>
      <c r="AM925" s="40">
        <f t="shared" ca="1" si="1377"/>
        <v>29</v>
      </c>
      <c r="AN925" s="3057">
        <f t="shared" ca="1" si="1378"/>
        <v>-25</v>
      </c>
      <c r="AO925" s="2695">
        <f t="shared" ca="1" si="1379"/>
        <v>0.13793103448275862</v>
      </c>
      <c r="AP925" s="40">
        <f t="shared" ca="1" si="1380"/>
        <v>0</v>
      </c>
      <c r="AQ925" s="3057">
        <f t="shared" ca="1" si="1381"/>
        <v>4</v>
      </c>
      <c r="AR925" s="2695">
        <f t="shared" ca="1" si="1382"/>
        <v>0</v>
      </c>
      <c r="AT925" s="40">
        <f t="shared" ca="1" si="1383"/>
        <v>4</v>
      </c>
      <c r="AU925" s="40">
        <f t="shared" ca="1" si="1384"/>
        <v>29</v>
      </c>
      <c r="AV925" s="3057">
        <f t="shared" ca="1" si="1385"/>
        <v>-25</v>
      </c>
      <c r="AW925" s="2695">
        <f t="shared" ca="1" si="1386"/>
        <v>0.13793103448275862</v>
      </c>
      <c r="AX925" s="40">
        <f t="shared" ca="1" si="1387"/>
        <v>0</v>
      </c>
      <c r="AY925" s="3057">
        <f t="shared" ca="1" si="1388"/>
        <v>4</v>
      </c>
      <c r="AZ925" s="2695">
        <f t="shared" ca="1" si="1389"/>
        <v>0</v>
      </c>
      <c r="BB925" s="40">
        <f t="shared" ca="1" si="1390"/>
        <v>4</v>
      </c>
      <c r="BC925" s="40">
        <f t="shared" ca="1" si="1391"/>
        <v>29</v>
      </c>
      <c r="BD925" s="3057">
        <f t="shared" ca="1" si="1392"/>
        <v>-25</v>
      </c>
      <c r="BE925" s="2695">
        <f t="shared" ca="1" si="1393"/>
        <v>0.13793103448275862</v>
      </c>
      <c r="BF925" s="40">
        <f t="shared" ca="1" si="1394"/>
        <v>0</v>
      </c>
      <c r="BG925" s="3057">
        <f t="shared" ca="1" si="1395"/>
        <v>4</v>
      </c>
      <c r="BH925" s="2695">
        <f t="shared" ca="1" si="1396"/>
        <v>0</v>
      </c>
    </row>
    <row r="926" spans="1:60" s="34" customFormat="1" ht="14.5">
      <c r="A926" s="616">
        <f t="shared" si="1370"/>
        <v>839</v>
      </c>
      <c r="B926" s="616">
        <v>1</v>
      </c>
      <c r="C926" s="616">
        <f t="shared" si="1372"/>
        <v>923</v>
      </c>
      <c r="E926" s="2547">
        <v>1</v>
      </c>
      <c r="F926" s="4"/>
      <c r="G926" s="4"/>
      <c r="H926" s="4"/>
      <c r="I926" s="262"/>
      <c r="J926" s="2"/>
      <c r="K926" s="2"/>
      <c r="L926" s="2"/>
      <c r="M926" s="1"/>
      <c r="N926" s="39"/>
      <c r="O926" s="39" t="s">
        <v>201</v>
      </c>
      <c r="P926" s="1"/>
      <c r="Q926" s="1778" t="str">
        <f>CHOOSE(2, "6722000003845", "HC Office FE/TTOC Marketing Total MC / O")</f>
        <v>HC Office FE/TTOC Marketing Total MC / O</v>
      </c>
      <c r="R926" s="1211">
        <v>0</v>
      </c>
      <c r="S926" s="1211">
        <v>0</v>
      </c>
      <c r="T926" s="1211">
        <v>0</v>
      </c>
      <c r="U926" s="1211">
        <v>0</v>
      </c>
      <c r="V926" s="1211">
        <v>0</v>
      </c>
      <c r="W926" s="1211">
        <v>0</v>
      </c>
      <c r="X926" s="1211">
        <v>0</v>
      </c>
      <c r="Y926" s="1211">
        <v>0</v>
      </c>
      <c r="Z926" s="1211">
        <v>0</v>
      </c>
      <c r="AA926" s="1211">
        <v>0</v>
      </c>
      <c r="AB926" s="1211">
        <v>0</v>
      </c>
      <c r="AC926" s="1211">
        <v>0</v>
      </c>
      <c r="AD926" s="912">
        <f>T926</f>
        <v>0</v>
      </c>
      <c r="AE926" s="38">
        <f>W926</f>
        <v>0</v>
      </c>
      <c r="AF926" s="38">
        <f>Z926</f>
        <v>0</v>
      </c>
      <c r="AG926" s="38">
        <f>AC926</f>
        <v>0</v>
      </c>
      <c r="AH926" s="38">
        <f>AE926</f>
        <v>0</v>
      </c>
      <c r="AI926" s="38">
        <f>AG926</f>
        <v>0</v>
      </c>
      <c r="AJ926" s="38">
        <f>AI926</f>
        <v>0</v>
      </c>
      <c r="AL926" s="38">
        <f t="shared" ca="1" si="1376"/>
        <v>0</v>
      </c>
      <c r="AM926" s="38">
        <f t="shared" ca="1" si="1377"/>
        <v>22</v>
      </c>
      <c r="AN926" s="3303">
        <f t="shared" ca="1" si="1378"/>
        <v>-22</v>
      </c>
      <c r="AO926" s="2951">
        <f t="shared" ca="1" si="1379"/>
        <v>0</v>
      </c>
      <c r="AP926" s="38">
        <f t="shared" ca="1" si="1380"/>
        <v>8142</v>
      </c>
      <c r="AQ926" s="3303">
        <f t="shared" ca="1" si="1381"/>
        <v>-8142</v>
      </c>
      <c r="AR926" s="2951">
        <f t="shared" ca="1" si="1382"/>
        <v>0</v>
      </c>
      <c r="AT926" s="38">
        <f t="shared" ca="1" si="1383"/>
        <v>0</v>
      </c>
      <c r="AU926" s="38">
        <f t="shared" ca="1" si="1384"/>
        <v>22</v>
      </c>
      <c r="AV926" s="3303">
        <f t="shared" ca="1" si="1385"/>
        <v>-22</v>
      </c>
      <c r="AW926" s="2951">
        <f t="shared" ca="1" si="1386"/>
        <v>0</v>
      </c>
      <c r="AX926" s="38">
        <f t="shared" ca="1" si="1387"/>
        <v>8142</v>
      </c>
      <c r="AY926" s="3303">
        <f t="shared" ca="1" si="1388"/>
        <v>-8142</v>
      </c>
      <c r="AZ926" s="2951">
        <f t="shared" ca="1" si="1389"/>
        <v>0</v>
      </c>
      <c r="BB926" s="38">
        <f t="shared" ca="1" si="1390"/>
        <v>0</v>
      </c>
      <c r="BC926" s="38">
        <f t="shared" ca="1" si="1391"/>
        <v>22</v>
      </c>
      <c r="BD926" s="3303">
        <f t="shared" ca="1" si="1392"/>
        <v>-22</v>
      </c>
      <c r="BE926" s="2951">
        <f t="shared" ca="1" si="1393"/>
        <v>0</v>
      </c>
      <c r="BF926" s="38">
        <f t="shared" ca="1" si="1394"/>
        <v>8142</v>
      </c>
      <c r="BG926" s="3303">
        <f t="shared" ca="1" si="1395"/>
        <v>-8142</v>
      </c>
      <c r="BH926" s="2951">
        <f t="shared" ca="1" si="1396"/>
        <v>0</v>
      </c>
    </row>
    <row r="927" spans="1:60" s="34" customFormat="1" ht="14.5">
      <c r="A927" s="616">
        <f t="shared" si="1370"/>
        <v>840</v>
      </c>
      <c r="B927" s="616">
        <v>1</v>
      </c>
      <c r="C927" s="616">
        <f t="shared" si="1372"/>
        <v>924</v>
      </c>
      <c r="D927" s="709" t="s">
        <v>1308</v>
      </c>
      <c r="E927" s="2547">
        <v>1</v>
      </c>
      <c r="F927" s="4"/>
      <c r="G927" s="4"/>
      <c r="H927" s="4"/>
      <c r="I927" s="262"/>
      <c r="J927" s="48" t="s">
        <v>17</v>
      </c>
      <c r="K927" s="48"/>
      <c r="L927" s="48"/>
      <c r="M927" s="47"/>
      <c r="N927" s="47"/>
      <c r="O927" s="47"/>
      <c r="P927" s="47"/>
      <c r="Q927" s="1786" t="str">
        <f>CHOOSE(2, "6722000003846", "HC Office FE/TTOC Administration Total")</f>
        <v>HC Office FE/TTOC Administration Total</v>
      </c>
      <c r="R927" s="45">
        <f>SUM(R928:R932)</f>
        <v>23</v>
      </c>
      <c r="S927" s="45">
        <f t="shared" ref="S927:AJ927" si="1400">SUM(S928:S932)</f>
        <v>26</v>
      </c>
      <c r="T927" s="45">
        <f t="shared" si="1400"/>
        <v>26</v>
      </c>
      <c r="U927" s="45">
        <f t="shared" si="1400"/>
        <v>26</v>
      </c>
      <c r="V927" s="45">
        <f t="shared" si="1400"/>
        <v>25</v>
      </c>
      <c r="W927" s="45">
        <f t="shared" si="1400"/>
        <v>25</v>
      </c>
      <c r="X927" s="45">
        <f t="shared" si="1400"/>
        <v>26</v>
      </c>
      <c r="Y927" s="45">
        <f t="shared" si="1400"/>
        <v>28</v>
      </c>
      <c r="Z927" s="45">
        <f t="shared" si="1400"/>
        <v>28</v>
      </c>
      <c r="AA927" s="45">
        <f t="shared" si="1400"/>
        <v>29</v>
      </c>
      <c r="AB927" s="45">
        <f t="shared" si="1400"/>
        <v>31</v>
      </c>
      <c r="AC927" s="45">
        <f t="shared" si="1400"/>
        <v>30</v>
      </c>
      <c r="AD927" s="911">
        <f t="shared" si="1400"/>
        <v>26</v>
      </c>
      <c r="AE927" s="45">
        <f t="shared" si="1400"/>
        <v>25</v>
      </c>
      <c r="AF927" s="45">
        <f t="shared" si="1400"/>
        <v>28</v>
      </c>
      <c r="AG927" s="45">
        <f t="shared" si="1400"/>
        <v>30</v>
      </c>
      <c r="AH927" s="45">
        <f t="shared" si="1400"/>
        <v>25</v>
      </c>
      <c r="AI927" s="45">
        <f t="shared" si="1400"/>
        <v>30</v>
      </c>
      <c r="AJ927" s="45">
        <f t="shared" si="1400"/>
        <v>30</v>
      </c>
      <c r="AL927" s="45">
        <f t="shared" ca="1" si="1376"/>
        <v>30</v>
      </c>
      <c r="AM927" s="45">
        <f t="shared" ca="1" si="1377"/>
        <v>97</v>
      </c>
      <c r="AN927" s="3302">
        <f t="shared" ca="1" si="1378"/>
        <v>-67</v>
      </c>
      <c r="AO927" s="2949">
        <f t="shared" ca="1" si="1379"/>
        <v>0.30927835051546393</v>
      </c>
      <c r="AP927" s="45">
        <f t="shared" ca="1" si="1380"/>
        <v>2279</v>
      </c>
      <c r="AQ927" s="3302">
        <f t="shared" ca="1" si="1381"/>
        <v>-2249</v>
      </c>
      <c r="AR927" s="2949">
        <f t="shared" ca="1" si="1382"/>
        <v>1.3163668275559455E-2</v>
      </c>
      <c r="AT927" s="45">
        <f t="shared" ca="1" si="1383"/>
        <v>30</v>
      </c>
      <c r="AU927" s="45">
        <f t="shared" ca="1" si="1384"/>
        <v>97</v>
      </c>
      <c r="AV927" s="3302">
        <f t="shared" ca="1" si="1385"/>
        <v>-67</v>
      </c>
      <c r="AW927" s="2949">
        <f t="shared" ca="1" si="1386"/>
        <v>0.30927835051546393</v>
      </c>
      <c r="AX927" s="45">
        <f t="shared" ca="1" si="1387"/>
        <v>2279</v>
      </c>
      <c r="AY927" s="3302">
        <f t="shared" ca="1" si="1388"/>
        <v>-2249</v>
      </c>
      <c r="AZ927" s="2949">
        <f t="shared" ca="1" si="1389"/>
        <v>1.3163668275559455E-2</v>
      </c>
      <c r="BB927" s="45">
        <f t="shared" ca="1" si="1390"/>
        <v>30</v>
      </c>
      <c r="BC927" s="45">
        <f t="shared" ca="1" si="1391"/>
        <v>97</v>
      </c>
      <c r="BD927" s="3302">
        <f t="shared" ca="1" si="1392"/>
        <v>-67</v>
      </c>
      <c r="BE927" s="2949">
        <f t="shared" ca="1" si="1393"/>
        <v>0.30927835051546393</v>
      </c>
      <c r="BF927" s="45">
        <f t="shared" ca="1" si="1394"/>
        <v>2279</v>
      </c>
      <c r="BG927" s="3302">
        <f t="shared" ca="1" si="1395"/>
        <v>-2249</v>
      </c>
      <c r="BH927" s="2949">
        <f t="shared" ca="1" si="1396"/>
        <v>1.3163668275559455E-2</v>
      </c>
    </row>
    <row r="928" spans="1:60" s="34" customFormat="1" ht="14.5">
      <c r="A928" s="616">
        <f t="shared" si="1370"/>
        <v>841</v>
      </c>
      <c r="B928" s="616">
        <v>1</v>
      </c>
      <c r="C928" s="616">
        <f t="shared" si="1372"/>
        <v>925</v>
      </c>
      <c r="E928" s="2547">
        <v>1</v>
      </c>
      <c r="F928" s="4"/>
      <c r="G928" s="4"/>
      <c r="H928" s="4"/>
      <c r="I928" s="262"/>
      <c r="J928" s="4"/>
      <c r="K928" s="4"/>
      <c r="L928" s="3"/>
      <c r="M928" s="3"/>
      <c r="N928" s="41"/>
      <c r="O928" s="41" t="s">
        <v>39</v>
      </c>
      <c r="P928" s="41"/>
      <c r="Q928" s="1778" t="str">
        <f>CHOOSE(2, "6722000003847", "HC Office FE/TTOC Administration Total IT")</f>
        <v>HC Office FE/TTOC Administration Total IT</v>
      </c>
      <c r="R928" s="3310">
        <v>2</v>
      </c>
      <c r="S928" s="1212">
        <v>2</v>
      </c>
      <c r="T928" s="1212">
        <v>2</v>
      </c>
      <c r="U928" s="1212">
        <v>2</v>
      </c>
      <c r="V928" s="1212">
        <v>2</v>
      </c>
      <c r="W928" s="1212">
        <v>2</v>
      </c>
      <c r="X928" s="1212">
        <v>2</v>
      </c>
      <c r="Y928" s="1212">
        <v>2</v>
      </c>
      <c r="Z928" s="1212">
        <v>2</v>
      </c>
      <c r="AA928" s="1212">
        <v>2</v>
      </c>
      <c r="AB928" s="1212">
        <v>2</v>
      </c>
      <c r="AC928" s="1212">
        <v>2</v>
      </c>
      <c r="AD928" s="877">
        <f>T928</f>
        <v>2</v>
      </c>
      <c r="AE928" s="40">
        <f>W928</f>
        <v>2</v>
      </c>
      <c r="AF928" s="40">
        <f>Z928</f>
        <v>2</v>
      </c>
      <c r="AG928" s="40">
        <f>AC928</f>
        <v>2</v>
      </c>
      <c r="AH928" s="40">
        <f>AE928</f>
        <v>2</v>
      </c>
      <c r="AI928" s="40">
        <f>AG928</f>
        <v>2</v>
      </c>
      <c r="AJ928" s="40">
        <f>AI928</f>
        <v>2</v>
      </c>
      <c r="AL928" s="40">
        <f t="shared" ca="1" si="1376"/>
        <v>2</v>
      </c>
      <c r="AM928" s="40">
        <f t="shared" ca="1" si="1377"/>
        <v>58</v>
      </c>
      <c r="AN928" s="3057">
        <f t="shared" ca="1" si="1378"/>
        <v>-56</v>
      </c>
      <c r="AO928" s="2695">
        <f t="shared" ca="1" si="1379"/>
        <v>3.4482758620689655E-2</v>
      </c>
      <c r="AP928" s="40">
        <f t="shared" ca="1" si="1380"/>
        <v>512</v>
      </c>
      <c r="AQ928" s="3057">
        <f t="shared" ca="1" si="1381"/>
        <v>-510</v>
      </c>
      <c r="AR928" s="2695">
        <f t="shared" ca="1" si="1382"/>
        <v>3.90625E-3</v>
      </c>
      <c r="AT928" s="40">
        <f t="shared" ca="1" si="1383"/>
        <v>2</v>
      </c>
      <c r="AU928" s="40">
        <f t="shared" ca="1" si="1384"/>
        <v>58</v>
      </c>
      <c r="AV928" s="3057">
        <f t="shared" ca="1" si="1385"/>
        <v>-56</v>
      </c>
      <c r="AW928" s="2695">
        <f t="shared" ca="1" si="1386"/>
        <v>3.4482758620689655E-2</v>
      </c>
      <c r="AX928" s="40">
        <f t="shared" ca="1" si="1387"/>
        <v>512</v>
      </c>
      <c r="AY928" s="3057">
        <f t="shared" ca="1" si="1388"/>
        <v>-510</v>
      </c>
      <c r="AZ928" s="2695">
        <f t="shared" ca="1" si="1389"/>
        <v>3.90625E-3</v>
      </c>
      <c r="BB928" s="40">
        <f t="shared" ca="1" si="1390"/>
        <v>2</v>
      </c>
      <c r="BC928" s="40">
        <f t="shared" ca="1" si="1391"/>
        <v>58</v>
      </c>
      <c r="BD928" s="3057">
        <f t="shared" ca="1" si="1392"/>
        <v>-56</v>
      </c>
      <c r="BE928" s="2695">
        <f t="shared" ca="1" si="1393"/>
        <v>3.4482758620689655E-2</v>
      </c>
      <c r="BF928" s="40">
        <f t="shared" ca="1" si="1394"/>
        <v>512</v>
      </c>
      <c r="BG928" s="3057">
        <f t="shared" ca="1" si="1395"/>
        <v>-510</v>
      </c>
      <c r="BH928" s="2695">
        <f t="shared" ca="1" si="1396"/>
        <v>3.90625E-3</v>
      </c>
    </row>
    <row r="929" spans="1:60" s="34" customFormat="1" ht="14.5">
      <c r="A929" s="616">
        <f t="shared" si="1370"/>
        <v>842</v>
      </c>
      <c r="B929" s="616">
        <v>1</v>
      </c>
      <c r="C929" s="616">
        <f t="shared" si="1372"/>
        <v>926</v>
      </c>
      <c r="E929" s="2547">
        <v>1</v>
      </c>
      <c r="F929" s="4"/>
      <c r="G929" s="4"/>
      <c r="H929" s="4"/>
      <c r="I929" s="262"/>
      <c r="J929" s="4"/>
      <c r="K929" s="4"/>
      <c r="L929" s="3"/>
      <c r="M929" s="3"/>
      <c r="N929" s="41"/>
      <c r="O929" s="41" t="s">
        <v>18</v>
      </c>
      <c r="P929" s="41"/>
      <c r="Q929" s="1778" t="str">
        <f>CHOOSE(2, "6722000003848", "HC Office FE/TTOC Administration Total Finance")</f>
        <v>HC Office FE/TTOC Administration Total Finance</v>
      </c>
      <c r="R929" s="3310">
        <v>13</v>
      </c>
      <c r="S929" s="1212">
        <v>13</v>
      </c>
      <c r="T929" s="1212">
        <v>13</v>
      </c>
      <c r="U929" s="1212">
        <v>13</v>
      </c>
      <c r="V929" s="1212">
        <v>12</v>
      </c>
      <c r="W929" s="1212">
        <v>13</v>
      </c>
      <c r="X929" s="1212">
        <v>14</v>
      </c>
      <c r="Y929" s="1212">
        <v>14</v>
      </c>
      <c r="Z929" s="1212">
        <v>13</v>
      </c>
      <c r="AA929" s="1212">
        <v>14</v>
      </c>
      <c r="AB929" s="1212">
        <v>16</v>
      </c>
      <c r="AC929" s="1212">
        <v>16</v>
      </c>
      <c r="AD929" s="877">
        <f>T929</f>
        <v>13</v>
      </c>
      <c r="AE929" s="40">
        <f>W929</f>
        <v>13</v>
      </c>
      <c r="AF929" s="40">
        <f>Z929</f>
        <v>13</v>
      </c>
      <c r="AG929" s="40">
        <f>AC929</f>
        <v>16</v>
      </c>
      <c r="AH929" s="40">
        <f>AE929</f>
        <v>13</v>
      </c>
      <c r="AI929" s="40">
        <f>AG929</f>
        <v>16</v>
      </c>
      <c r="AJ929" s="40">
        <f>AI929</f>
        <v>16</v>
      </c>
      <c r="AL929" s="40">
        <f t="shared" ca="1" si="1376"/>
        <v>16</v>
      </c>
      <c r="AM929" s="40">
        <f t="shared" ca="1" si="1377"/>
        <v>1</v>
      </c>
      <c r="AN929" s="3057">
        <f t="shared" ca="1" si="1378"/>
        <v>15</v>
      </c>
      <c r="AO929" s="2695">
        <f t="shared" ca="1" si="1379"/>
        <v>16</v>
      </c>
      <c r="AP929" s="40">
        <f t="shared" ca="1" si="1380"/>
        <v>5351</v>
      </c>
      <c r="AQ929" s="3057">
        <f t="shared" ca="1" si="1381"/>
        <v>-5335</v>
      </c>
      <c r="AR929" s="2695">
        <f t="shared" ca="1" si="1382"/>
        <v>2.9900953092879836E-3</v>
      </c>
      <c r="AT929" s="40">
        <f t="shared" ca="1" si="1383"/>
        <v>16</v>
      </c>
      <c r="AU929" s="40">
        <f t="shared" ca="1" si="1384"/>
        <v>1</v>
      </c>
      <c r="AV929" s="3057">
        <f t="shared" ca="1" si="1385"/>
        <v>15</v>
      </c>
      <c r="AW929" s="2695">
        <f t="shared" ca="1" si="1386"/>
        <v>16</v>
      </c>
      <c r="AX929" s="40">
        <f t="shared" ca="1" si="1387"/>
        <v>5351</v>
      </c>
      <c r="AY929" s="3057">
        <f t="shared" ca="1" si="1388"/>
        <v>-5335</v>
      </c>
      <c r="AZ929" s="2695">
        <f t="shared" ca="1" si="1389"/>
        <v>2.9900953092879836E-3</v>
      </c>
      <c r="BB929" s="40">
        <f t="shared" ca="1" si="1390"/>
        <v>16</v>
      </c>
      <c r="BC929" s="40">
        <f t="shared" ca="1" si="1391"/>
        <v>1</v>
      </c>
      <c r="BD929" s="3057">
        <f t="shared" ca="1" si="1392"/>
        <v>15</v>
      </c>
      <c r="BE929" s="2695">
        <f t="shared" ca="1" si="1393"/>
        <v>16</v>
      </c>
      <c r="BF929" s="40">
        <f t="shared" ca="1" si="1394"/>
        <v>5351</v>
      </c>
      <c r="BG929" s="3057">
        <f t="shared" ca="1" si="1395"/>
        <v>-5335</v>
      </c>
      <c r="BH929" s="2695">
        <f t="shared" ca="1" si="1396"/>
        <v>2.9900953092879836E-3</v>
      </c>
    </row>
    <row r="930" spans="1:60" s="34" customFormat="1" ht="14.5">
      <c r="A930" s="616">
        <f t="shared" si="1370"/>
        <v>843</v>
      </c>
      <c r="B930" s="616">
        <v>1</v>
      </c>
      <c r="C930" s="616">
        <f t="shared" si="1372"/>
        <v>927</v>
      </c>
      <c r="E930" s="2547">
        <v>1</v>
      </c>
      <c r="F930" s="4"/>
      <c r="G930" s="4"/>
      <c r="H930" s="4"/>
      <c r="I930" s="262"/>
      <c r="J930" s="4"/>
      <c r="K930" s="4"/>
      <c r="L930" s="3"/>
      <c r="M930" s="3"/>
      <c r="N930" s="41"/>
      <c r="O930" s="41" t="s">
        <v>19</v>
      </c>
      <c r="P930" s="41"/>
      <c r="Q930" s="1778" t="str">
        <f>CHOOSE(2, "6722000003849", "HC Office FE/TTOC Administration Total HR")</f>
        <v>HC Office FE/TTOC Administration Total HR</v>
      </c>
      <c r="R930" s="3310">
        <v>3</v>
      </c>
      <c r="S930" s="1212">
        <v>3</v>
      </c>
      <c r="T930" s="1212">
        <v>3</v>
      </c>
      <c r="U930" s="1212">
        <v>4</v>
      </c>
      <c r="V930" s="1212">
        <v>4</v>
      </c>
      <c r="W930" s="1212">
        <v>3</v>
      </c>
      <c r="X930" s="1212">
        <v>3</v>
      </c>
      <c r="Y930" s="1212">
        <v>3</v>
      </c>
      <c r="Z930" s="1212">
        <v>4</v>
      </c>
      <c r="AA930" s="1212">
        <v>4</v>
      </c>
      <c r="AB930" s="1212">
        <v>4</v>
      </c>
      <c r="AC930" s="1212">
        <v>4</v>
      </c>
      <c r="AD930" s="877">
        <f>T930</f>
        <v>3</v>
      </c>
      <c r="AE930" s="40">
        <f>W930</f>
        <v>3</v>
      </c>
      <c r="AF930" s="40">
        <f>Z930</f>
        <v>4</v>
      </c>
      <c r="AG930" s="40">
        <f>AC930</f>
        <v>4</v>
      </c>
      <c r="AH930" s="40">
        <f>AE930</f>
        <v>3</v>
      </c>
      <c r="AI930" s="40">
        <f>AG930</f>
        <v>4</v>
      </c>
      <c r="AJ930" s="40">
        <f>AI930</f>
        <v>4</v>
      </c>
      <c r="AL930" s="40">
        <f t="shared" ca="1" si="1376"/>
        <v>4</v>
      </c>
      <c r="AM930" s="40">
        <f t="shared" ca="1" si="1377"/>
        <v>18</v>
      </c>
      <c r="AN930" s="3057">
        <f t="shared" ca="1" si="1378"/>
        <v>-14</v>
      </c>
      <c r="AO930" s="2695">
        <f t="shared" ca="1" si="1379"/>
        <v>0.22222222222222221</v>
      </c>
      <c r="AP930" s="40">
        <f t="shared" ca="1" si="1380"/>
        <v>0</v>
      </c>
      <c r="AQ930" s="3057">
        <f t="shared" ca="1" si="1381"/>
        <v>4</v>
      </c>
      <c r="AR930" s="2695">
        <f t="shared" ca="1" si="1382"/>
        <v>0</v>
      </c>
      <c r="AT930" s="40">
        <f t="shared" ca="1" si="1383"/>
        <v>4</v>
      </c>
      <c r="AU930" s="40">
        <f t="shared" ca="1" si="1384"/>
        <v>18</v>
      </c>
      <c r="AV930" s="3057">
        <f t="shared" ca="1" si="1385"/>
        <v>-14</v>
      </c>
      <c r="AW930" s="2695">
        <f t="shared" ca="1" si="1386"/>
        <v>0.22222222222222221</v>
      </c>
      <c r="AX930" s="40">
        <f t="shared" ca="1" si="1387"/>
        <v>0</v>
      </c>
      <c r="AY930" s="3057">
        <f t="shared" ca="1" si="1388"/>
        <v>4</v>
      </c>
      <c r="AZ930" s="2695">
        <f t="shared" ca="1" si="1389"/>
        <v>0</v>
      </c>
      <c r="BB930" s="40">
        <f t="shared" ca="1" si="1390"/>
        <v>4</v>
      </c>
      <c r="BC930" s="40">
        <f t="shared" ca="1" si="1391"/>
        <v>18</v>
      </c>
      <c r="BD930" s="3057">
        <f t="shared" ca="1" si="1392"/>
        <v>-14</v>
      </c>
      <c r="BE930" s="2695">
        <f t="shared" ca="1" si="1393"/>
        <v>0.22222222222222221</v>
      </c>
      <c r="BF930" s="40">
        <f t="shared" ca="1" si="1394"/>
        <v>0</v>
      </c>
      <c r="BG930" s="3057">
        <f t="shared" ca="1" si="1395"/>
        <v>4</v>
      </c>
      <c r="BH930" s="2695">
        <f t="shared" ca="1" si="1396"/>
        <v>0</v>
      </c>
    </row>
    <row r="931" spans="1:60" s="34" customFormat="1" ht="14.5">
      <c r="A931" s="616">
        <f t="shared" si="1370"/>
        <v>844</v>
      </c>
      <c r="B931" s="616">
        <v>1</v>
      </c>
      <c r="C931" s="616">
        <f t="shared" si="1372"/>
        <v>928</v>
      </c>
      <c r="E931" s="2547">
        <v>1</v>
      </c>
      <c r="F931" s="4"/>
      <c r="G931" s="4"/>
      <c r="H931" s="4"/>
      <c r="I931" s="262"/>
      <c r="J931" s="4"/>
      <c r="K931" s="4"/>
      <c r="L931" s="3"/>
      <c r="M931" s="3"/>
      <c r="N931" s="41"/>
      <c r="O931" s="41" t="s">
        <v>20</v>
      </c>
      <c r="P931" s="41"/>
      <c r="Q931" s="1778" t="str">
        <f>CHOOSE(2, "6722000003850", "HC Office FE/TTOC Administration Total Training")</f>
        <v>HC Office FE/TTOC Administration Total Training</v>
      </c>
      <c r="R931" s="3310">
        <v>0</v>
      </c>
      <c r="S931" s="1212">
        <v>0</v>
      </c>
      <c r="T931" s="1212">
        <v>0</v>
      </c>
      <c r="U931" s="1212">
        <v>0</v>
      </c>
      <c r="V931" s="1212">
        <v>0</v>
      </c>
      <c r="W931" s="1212">
        <v>0</v>
      </c>
      <c r="X931" s="1212">
        <v>0</v>
      </c>
      <c r="Y931" s="1212">
        <v>0</v>
      </c>
      <c r="Z931" s="1212">
        <v>0</v>
      </c>
      <c r="AA931" s="1212">
        <v>0</v>
      </c>
      <c r="AB931" s="1212">
        <v>0</v>
      </c>
      <c r="AC931" s="1212">
        <v>0</v>
      </c>
      <c r="AD931" s="877">
        <f>T931</f>
        <v>0</v>
      </c>
      <c r="AE931" s="40">
        <f>W931</f>
        <v>0</v>
      </c>
      <c r="AF931" s="40">
        <f>Z931</f>
        <v>0</v>
      </c>
      <c r="AG931" s="40">
        <f>AC931</f>
        <v>0</v>
      </c>
      <c r="AH931" s="40">
        <f>AE931</f>
        <v>0</v>
      </c>
      <c r="AI931" s="40">
        <f>AG931</f>
        <v>0</v>
      </c>
      <c r="AJ931" s="40">
        <f>AI931</f>
        <v>0</v>
      </c>
      <c r="AL931" s="40">
        <f t="shared" ca="1" si="1376"/>
        <v>0</v>
      </c>
      <c r="AM931" s="40">
        <f t="shared" ca="1" si="1377"/>
        <v>0</v>
      </c>
      <c r="AN931" s="3057">
        <f t="shared" ca="1" si="1378"/>
        <v>0</v>
      </c>
      <c r="AO931" s="2695">
        <f t="shared" ca="1" si="1379"/>
        <v>0</v>
      </c>
      <c r="AP931" s="40">
        <f t="shared" ca="1" si="1380"/>
        <v>8142</v>
      </c>
      <c r="AQ931" s="3057">
        <f t="shared" ca="1" si="1381"/>
        <v>-8142</v>
      </c>
      <c r="AR931" s="2695">
        <f t="shared" ca="1" si="1382"/>
        <v>0</v>
      </c>
      <c r="AT931" s="40">
        <f t="shared" ca="1" si="1383"/>
        <v>0</v>
      </c>
      <c r="AU931" s="40">
        <f t="shared" ca="1" si="1384"/>
        <v>0</v>
      </c>
      <c r="AV931" s="3057">
        <f t="shared" ca="1" si="1385"/>
        <v>0</v>
      </c>
      <c r="AW931" s="2695">
        <f t="shared" ca="1" si="1386"/>
        <v>0</v>
      </c>
      <c r="AX931" s="40">
        <f t="shared" ca="1" si="1387"/>
        <v>8142</v>
      </c>
      <c r="AY931" s="3057">
        <f t="shared" ca="1" si="1388"/>
        <v>-8142</v>
      </c>
      <c r="AZ931" s="2695">
        <f t="shared" ca="1" si="1389"/>
        <v>0</v>
      </c>
      <c r="BB931" s="40">
        <f t="shared" ca="1" si="1390"/>
        <v>0</v>
      </c>
      <c r="BC931" s="40">
        <f t="shared" ca="1" si="1391"/>
        <v>0</v>
      </c>
      <c r="BD931" s="3057">
        <f t="shared" ca="1" si="1392"/>
        <v>0</v>
      </c>
      <c r="BE931" s="2695">
        <f t="shared" ca="1" si="1393"/>
        <v>0</v>
      </c>
      <c r="BF931" s="40">
        <f t="shared" ca="1" si="1394"/>
        <v>8142</v>
      </c>
      <c r="BG931" s="3057">
        <f t="shared" ca="1" si="1395"/>
        <v>-8142</v>
      </c>
      <c r="BH931" s="2695">
        <f t="shared" ca="1" si="1396"/>
        <v>0</v>
      </c>
    </row>
    <row r="932" spans="1:60" s="34" customFormat="1" ht="14.5">
      <c r="A932" s="616">
        <f t="shared" si="1370"/>
        <v>845</v>
      </c>
      <c r="B932" s="616">
        <v>1</v>
      </c>
      <c r="C932" s="616">
        <f t="shared" si="1372"/>
        <v>929</v>
      </c>
      <c r="E932" s="2547">
        <v>1</v>
      </c>
      <c r="F932" s="4"/>
      <c r="G932" s="4"/>
      <c r="H932" s="4"/>
      <c r="I932" s="262"/>
      <c r="J932" s="4"/>
      <c r="K932" s="4"/>
      <c r="L932" s="3"/>
      <c r="M932" s="3"/>
      <c r="N932" s="41"/>
      <c r="O932" s="41" t="s">
        <v>2</v>
      </c>
      <c r="P932" s="41"/>
      <c r="Q932" s="1778" t="str">
        <f>CHOOSE(2, "6722000003851", "HC Office FE/TTOC Administration Total Others")</f>
        <v>HC Office FE/TTOC Administration Total Others</v>
      </c>
      <c r="R932" s="3310">
        <v>5</v>
      </c>
      <c r="S932" s="1212">
        <v>8</v>
      </c>
      <c r="T932" s="1212">
        <v>8</v>
      </c>
      <c r="U932" s="1212">
        <v>7</v>
      </c>
      <c r="V932" s="1212">
        <v>7</v>
      </c>
      <c r="W932" s="1212">
        <v>7</v>
      </c>
      <c r="X932" s="1212">
        <v>7</v>
      </c>
      <c r="Y932" s="1212">
        <v>9</v>
      </c>
      <c r="Z932" s="1212">
        <v>9</v>
      </c>
      <c r="AA932" s="1212">
        <v>9</v>
      </c>
      <c r="AB932" s="1212">
        <v>9</v>
      </c>
      <c r="AC932" s="1212">
        <v>8</v>
      </c>
      <c r="AD932" s="877">
        <f>T932</f>
        <v>8</v>
      </c>
      <c r="AE932" s="40">
        <f>W932</f>
        <v>7</v>
      </c>
      <c r="AF932" s="40">
        <f>Z932</f>
        <v>9</v>
      </c>
      <c r="AG932" s="40">
        <f>AC932</f>
        <v>8</v>
      </c>
      <c r="AH932" s="40">
        <f>AE932</f>
        <v>7</v>
      </c>
      <c r="AI932" s="40">
        <f>AG932</f>
        <v>8</v>
      </c>
      <c r="AJ932" s="40">
        <f>AI932</f>
        <v>8</v>
      </c>
      <c r="AL932" s="40">
        <f t="shared" ca="1" si="1376"/>
        <v>8</v>
      </c>
      <c r="AM932" s="40">
        <f t="shared" ca="1" si="1377"/>
        <v>20</v>
      </c>
      <c r="AN932" s="3057">
        <f t="shared" ca="1" si="1378"/>
        <v>-12</v>
      </c>
      <c r="AO932" s="2695">
        <f t="shared" ca="1" si="1379"/>
        <v>0.4</v>
      </c>
      <c r="AP932" s="40">
        <f t="shared" ca="1" si="1380"/>
        <v>2279</v>
      </c>
      <c r="AQ932" s="3057">
        <f t="shared" ca="1" si="1381"/>
        <v>-2271</v>
      </c>
      <c r="AR932" s="2695">
        <f t="shared" ca="1" si="1382"/>
        <v>3.5103115401491883E-3</v>
      </c>
      <c r="AT932" s="40">
        <f t="shared" ca="1" si="1383"/>
        <v>8</v>
      </c>
      <c r="AU932" s="40">
        <f t="shared" ca="1" si="1384"/>
        <v>20</v>
      </c>
      <c r="AV932" s="3057">
        <f t="shared" ca="1" si="1385"/>
        <v>-12</v>
      </c>
      <c r="AW932" s="2695">
        <f t="shared" ca="1" si="1386"/>
        <v>0.4</v>
      </c>
      <c r="AX932" s="40">
        <f t="shared" ca="1" si="1387"/>
        <v>2279</v>
      </c>
      <c r="AY932" s="3057">
        <f t="shared" ca="1" si="1388"/>
        <v>-2271</v>
      </c>
      <c r="AZ932" s="2695">
        <f t="shared" ca="1" si="1389"/>
        <v>3.5103115401491883E-3</v>
      </c>
      <c r="BB932" s="40">
        <f t="shared" ca="1" si="1390"/>
        <v>8</v>
      </c>
      <c r="BC932" s="40">
        <f t="shared" ca="1" si="1391"/>
        <v>20</v>
      </c>
      <c r="BD932" s="3057">
        <f t="shared" ca="1" si="1392"/>
        <v>-12</v>
      </c>
      <c r="BE932" s="2695">
        <f t="shared" ca="1" si="1393"/>
        <v>0.4</v>
      </c>
      <c r="BF932" s="40">
        <f t="shared" ca="1" si="1394"/>
        <v>2279</v>
      </c>
      <c r="BG932" s="3057">
        <f t="shared" ca="1" si="1395"/>
        <v>-2271</v>
      </c>
      <c r="BH932" s="2695">
        <f t="shared" ca="1" si="1396"/>
        <v>3.5103115401491883E-3</v>
      </c>
    </row>
    <row r="933" spans="1:60" s="34" customFormat="1" ht="14.5">
      <c r="A933" s="616">
        <f t="shared" si="1370"/>
        <v>846</v>
      </c>
      <c r="B933" s="616">
        <v>1</v>
      </c>
      <c r="C933" s="616">
        <f t="shared" si="1372"/>
        <v>930</v>
      </c>
      <c r="D933" s="709" t="s">
        <v>1308</v>
      </c>
      <c r="E933" s="2547">
        <v>1</v>
      </c>
      <c r="F933" s="4"/>
      <c r="G933" s="4"/>
      <c r="H933" s="4"/>
      <c r="I933" s="262"/>
      <c r="J933" s="252" t="s">
        <v>206</v>
      </c>
      <c r="K933" s="252"/>
      <c r="L933" s="252"/>
      <c r="M933" s="251"/>
      <c r="N933" s="251"/>
      <c r="O933" s="251"/>
      <c r="P933" s="251"/>
      <c r="Q933" s="1786" t="str">
        <f>CHOOSE(2, "6722000003852", "HC Office FE/TTOC Logistics Total")</f>
        <v>HC Office FE/TTOC Logistics Total</v>
      </c>
      <c r="R933" s="3102">
        <f>SUM(R934:R936)</f>
        <v>13</v>
      </c>
      <c r="S933" s="3102">
        <f t="shared" ref="S933:AJ933" si="1401">SUM(S934:S936)</f>
        <v>13</v>
      </c>
      <c r="T933" s="3102">
        <f t="shared" si="1401"/>
        <v>15</v>
      </c>
      <c r="U933" s="3102">
        <f t="shared" si="1401"/>
        <v>15</v>
      </c>
      <c r="V933" s="3102">
        <f t="shared" si="1401"/>
        <v>15</v>
      </c>
      <c r="W933" s="3102">
        <f t="shared" si="1401"/>
        <v>15</v>
      </c>
      <c r="X933" s="3102">
        <f t="shared" si="1401"/>
        <v>15</v>
      </c>
      <c r="Y933" s="3102">
        <f t="shared" si="1401"/>
        <v>15</v>
      </c>
      <c r="Z933" s="3102">
        <f t="shared" si="1401"/>
        <v>16</v>
      </c>
      <c r="AA933" s="3102">
        <f t="shared" si="1401"/>
        <v>16</v>
      </c>
      <c r="AB933" s="3102">
        <f t="shared" si="1401"/>
        <v>16</v>
      </c>
      <c r="AC933" s="3102">
        <f t="shared" si="1401"/>
        <v>16</v>
      </c>
      <c r="AD933" s="745">
        <f t="shared" si="1401"/>
        <v>15</v>
      </c>
      <c r="AE933" s="3102">
        <f t="shared" si="1401"/>
        <v>15</v>
      </c>
      <c r="AF933" s="3102">
        <f t="shared" si="1401"/>
        <v>16</v>
      </c>
      <c r="AG933" s="3102">
        <f t="shared" si="1401"/>
        <v>16</v>
      </c>
      <c r="AH933" s="3102">
        <f t="shared" si="1401"/>
        <v>15</v>
      </c>
      <c r="AI933" s="3102">
        <f t="shared" si="1401"/>
        <v>16</v>
      </c>
      <c r="AJ933" s="3102">
        <f t="shared" si="1401"/>
        <v>16</v>
      </c>
      <c r="AL933" s="3102">
        <f t="shared" ca="1" si="1376"/>
        <v>16</v>
      </c>
      <c r="AM933" s="3102">
        <f t="shared" ca="1" si="1377"/>
        <v>5</v>
      </c>
      <c r="AN933" s="3304">
        <f t="shared" ca="1" si="1378"/>
        <v>11</v>
      </c>
      <c r="AO933" s="2953">
        <f t="shared" ca="1" si="1379"/>
        <v>3.2</v>
      </c>
      <c r="AP933" s="3102">
        <f t="shared" ca="1" si="1380"/>
        <v>512</v>
      </c>
      <c r="AQ933" s="3304">
        <f t="shared" ca="1" si="1381"/>
        <v>-496</v>
      </c>
      <c r="AR933" s="2953">
        <f t="shared" ca="1" si="1382"/>
        <v>3.125E-2</v>
      </c>
      <c r="AT933" s="3102">
        <f t="shared" ca="1" si="1383"/>
        <v>16</v>
      </c>
      <c r="AU933" s="3102">
        <f t="shared" ca="1" si="1384"/>
        <v>5</v>
      </c>
      <c r="AV933" s="3304">
        <f t="shared" ca="1" si="1385"/>
        <v>11</v>
      </c>
      <c r="AW933" s="2953">
        <f t="shared" ca="1" si="1386"/>
        <v>3.2</v>
      </c>
      <c r="AX933" s="3102">
        <f t="shared" ca="1" si="1387"/>
        <v>512</v>
      </c>
      <c r="AY933" s="3304">
        <f t="shared" ca="1" si="1388"/>
        <v>-496</v>
      </c>
      <c r="AZ933" s="2953">
        <f t="shared" ca="1" si="1389"/>
        <v>3.125E-2</v>
      </c>
      <c r="BB933" s="3102">
        <f t="shared" ca="1" si="1390"/>
        <v>16</v>
      </c>
      <c r="BC933" s="3102">
        <f t="shared" ca="1" si="1391"/>
        <v>5</v>
      </c>
      <c r="BD933" s="3304">
        <f t="shared" ca="1" si="1392"/>
        <v>11</v>
      </c>
      <c r="BE933" s="2953">
        <f t="shared" ca="1" si="1393"/>
        <v>3.2</v>
      </c>
      <c r="BF933" s="3102">
        <f t="shared" ca="1" si="1394"/>
        <v>512</v>
      </c>
      <c r="BG933" s="3304">
        <f t="shared" ca="1" si="1395"/>
        <v>-496</v>
      </c>
      <c r="BH933" s="2953">
        <f t="shared" ca="1" si="1396"/>
        <v>3.125E-2</v>
      </c>
    </row>
    <row r="934" spans="1:60" s="34" customFormat="1" ht="14.5">
      <c r="A934" s="616">
        <f t="shared" si="1370"/>
        <v>847</v>
      </c>
      <c r="B934" s="616">
        <v>1</v>
      </c>
      <c r="C934" s="616">
        <f t="shared" si="1372"/>
        <v>931</v>
      </c>
      <c r="E934" s="2547">
        <v>1</v>
      </c>
      <c r="F934" s="4"/>
      <c r="G934" s="4"/>
      <c r="H934" s="4"/>
      <c r="I934" s="262"/>
      <c r="J934" s="4"/>
      <c r="K934" s="4"/>
      <c r="L934" s="3"/>
      <c r="M934" s="3"/>
      <c r="N934" s="41"/>
      <c r="O934" s="41" t="s">
        <v>21</v>
      </c>
      <c r="P934" s="41"/>
      <c r="Q934" s="1778" t="str">
        <f>CHOOSE(2, "6722000003853", "HC Office FE/TTOC Logistics Total Administration")</f>
        <v>HC Office FE/TTOC Logistics Total Administration</v>
      </c>
      <c r="R934" s="3310">
        <v>4</v>
      </c>
      <c r="S934" s="1212">
        <v>4</v>
      </c>
      <c r="T934" s="1212">
        <v>5</v>
      </c>
      <c r="U934" s="1212">
        <v>5</v>
      </c>
      <c r="V934" s="1212">
        <v>5</v>
      </c>
      <c r="W934" s="1212">
        <v>6</v>
      </c>
      <c r="X934" s="1212">
        <v>6</v>
      </c>
      <c r="Y934" s="1212">
        <v>6</v>
      </c>
      <c r="Z934" s="1212">
        <v>7</v>
      </c>
      <c r="AA934" s="1212">
        <v>7</v>
      </c>
      <c r="AB934" s="1212">
        <v>7</v>
      </c>
      <c r="AC934" s="1212">
        <v>7</v>
      </c>
      <c r="AD934" s="877">
        <f>T934</f>
        <v>5</v>
      </c>
      <c r="AE934" s="40">
        <f>W934</f>
        <v>6</v>
      </c>
      <c r="AF934" s="40">
        <f>Z934</f>
        <v>7</v>
      </c>
      <c r="AG934" s="40">
        <f>AC934</f>
        <v>7</v>
      </c>
      <c r="AH934" s="40">
        <f>AE934</f>
        <v>6</v>
      </c>
      <c r="AI934" s="40">
        <f>AG934</f>
        <v>7</v>
      </c>
      <c r="AJ934" s="40">
        <f>AI934</f>
        <v>7</v>
      </c>
      <c r="AL934" s="40">
        <f t="shared" ca="1" si="1376"/>
        <v>7</v>
      </c>
      <c r="AM934" s="40">
        <f t="shared" ca="1" si="1377"/>
        <v>0</v>
      </c>
      <c r="AN934" s="3057">
        <f t="shared" ca="1" si="1378"/>
        <v>7</v>
      </c>
      <c r="AO934" s="2695">
        <f t="shared" ca="1" si="1379"/>
        <v>0</v>
      </c>
      <c r="AP934" s="40">
        <f t="shared" ca="1" si="1380"/>
        <v>5351</v>
      </c>
      <c r="AQ934" s="3057">
        <f t="shared" ca="1" si="1381"/>
        <v>-5344</v>
      </c>
      <c r="AR934" s="2695">
        <f t="shared" ca="1" si="1382"/>
        <v>1.3081666978134929E-3</v>
      </c>
      <c r="AT934" s="40">
        <f t="shared" ca="1" si="1383"/>
        <v>7</v>
      </c>
      <c r="AU934" s="40">
        <f t="shared" ca="1" si="1384"/>
        <v>0</v>
      </c>
      <c r="AV934" s="3057">
        <f t="shared" ca="1" si="1385"/>
        <v>7</v>
      </c>
      <c r="AW934" s="2695">
        <f t="shared" ca="1" si="1386"/>
        <v>0</v>
      </c>
      <c r="AX934" s="40">
        <f t="shared" ca="1" si="1387"/>
        <v>5351</v>
      </c>
      <c r="AY934" s="3057">
        <f t="shared" ca="1" si="1388"/>
        <v>-5344</v>
      </c>
      <c r="AZ934" s="2695">
        <f t="shared" ca="1" si="1389"/>
        <v>1.3081666978134929E-3</v>
      </c>
      <c r="BB934" s="40">
        <f t="shared" ca="1" si="1390"/>
        <v>7</v>
      </c>
      <c r="BC934" s="40">
        <f t="shared" ca="1" si="1391"/>
        <v>0</v>
      </c>
      <c r="BD934" s="3057">
        <f t="shared" ca="1" si="1392"/>
        <v>7</v>
      </c>
      <c r="BE934" s="2695">
        <f t="shared" ca="1" si="1393"/>
        <v>0</v>
      </c>
      <c r="BF934" s="40">
        <f t="shared" ca="1" si="1394"/>
        <v>5351</v>
      </c>
      <c r="BG934" s="3057">
        <f t="shared" ca="1" si="1395"/>
        <v>-5344</v>
      </c>
      <c r="BH934" s="2695">
        <f t="shared" ca="1" si="1396"/>
        <v>1.3081666978134929E-3</v>
      </c>
    </row>
    <row r="935" spans="1:60" s="34" customFormat="1" ht="14.5">
      <c r="A935" s="616">
        <f t="shared" si="1370"/>
        <v>848</v>
      </c>
      <c r="B935" s="616">
        <v>1</v>
      </c>
      <c r="C935" s="616">
        <f t="shared" si="1372"/>
        <v>932</v>
      </c>
      <c r="E935" s="2547">
        <v>1</v>
      </c>
      <c r="F935" s="4"/>
      <c r="G935" s="4"/>
      <c r="H935" s="4"/>
      <c r="I935" s="262"/>
      <c r="J935" s="4"/>
      <c r="K935" s="4"/>
      <c r="L935" s="3"/>
      <c r="M935" s="3"/>
      <c r="N935" s="41"/>
      <c r="O935" s="41" t="s">
        <v>22</v>
      </c>
      <c r="P935" s="41"/>
      <c r="Q935" s="1778" t="str">
        <f>CHOOSE(2, "6722000003854", "HC Office FE/TTOC Logistics Total Warehouse")</f>
        <v>HC Office FE/TTOC Logistics Total Warehouse</v>
      </c>
      <c r="R935" s="3310">
        <v>9</v>
      </c>
      <c r="S935" s="1212">
        <v>9</v>
      </c>
      <c r="T935" s="1212">
        <v>10</v>
      </c>
      <c r="U935" s="1212">
        <v>10</v>
      </c>
      <c r="V935" s="1212">
        <v>10</v>
      </c>
      <c r="W935" s="1212">
        <v>9</v>
      </c>
      <c r="X935" s="1212">
        <v>9</v>
      </c>
      <c r="Y935" s="1212">
        <v>9</v>
      </c>
      <c r="Z935" s="1212">
        <v>9</v>
      </c>
      <c r="AA935" s="1212">
        <v>9</v>
      </c>
      <c r="AB935" s="1212">
        <v>9</v>
      </c>
      <c r="AC935" s="1212">
        <v>9</v>
      </c>
      <c r="AD935" s="877">
        <f>T935</f>
        <v>10</v>
      </c>
      <c r="AE935" s="40">
        <f>W935</f>
        <v>9</v>
      </c>
      <c r="AF935" s="40">
        <f>Z935</f>
        <v>9</v>
      </c>
      <c r="AG935" s="40">
        <f>AC935</f>
        <v>9</v>
      </c>
      <c r="AH935" s="40">
        <f>AE935</f>
        <v>9</v>
      </c>
      <c r="AI935" s="40">
        <f>AG935</f>
        <v>9</v>
      </c>
      <c r="AJ935" s="40">
        <f>AI935</f>
        <v>9</v>
      </c>
      <c r="AL935" s="40">
        <f t="shared" ca="1" si="1376"/>
        <v>9</v>
      </c>
      <c r="AM935" s="40">
        <f t="shared" ca="1" si="1377"/>
        <v>0</v>
      </c>
      <c r="AN935" s="3057">
        <f t="shared" ca="1" si="1378"/>
        <v>9</v>
      </c>
      <c r="AO935" s="2695">
        <f t="shared" ca="1" si="1379"/>
        <v>0</v>
      </c>
      <c r="AP935" s="40">
        <f t="shared" ca="1" si="1380"/>
        <v>0</v>
      </c>
      <c r="AQ935" s="3057">
        <f t="shared" ca="1" si="1381"/>
        <v>9</v>
      </c>
      <c r="AR935" s="2695">
        <f t="shared" ca="1" si="1382"/>
        <v>0</v>
      </c>
      <c r="AT935" s="40">
        <f t="shared" ca="1" si="1383"/>
        <v>9</v>
      </c>
      <c r="AU935" s="40">
        <f t="shared" ca="1" si="1384"/>
        <v>0</v>
      </c>
      <c r="AV935" s="3057">
        <f t="shared" ca="1" si="1385"/>
        <v>9</v>
      </c>
      <c r="AW935" s="2695">
        <f t="shared" ca="1" si="1386"/>
        <v>0</v>
      </c>
      <c r="AX935" s="40">
        <f t="shared" ca="1" si="1387"/>
        <v>0</v>
      </c>
      <c r="AY935" s="3057">
        <f t="shared" ca="1" si="1388"/>
        <v>9</v>
      </c>
      <c r="AZ935" s="2695">
        <f t="shared" ca="1" si="1389"/>
        <v>0</v>
      </c>
      <c r="BB935" s="40">
        <f t="shared" ca="1" si="1390"/>
        <v>9</v>
      </c>
      <c r="BC935" s="40">
        <f t="shared" ca="1" si="1391"/>
        <v>0</v>
      </c>
      <c r="BD935" s="3057">
        <f t="shared" ca="1" si="1392"/>
        <v>9</v>
      </c>
      <c r="BE935" s="2695">
        <f t="shared" ca="1" si="1393"/>
        <v>0</v>
      </c>
      <c r="BF935" s="40">
        <f t="shared" ca="1" si="1394"/>
        <v>0</v>
      </c>
      <c r="BG935" s="3057">
        <f t="shared" ca="1" si="1395"/>
        <v>9</v>
      </c>
      <c r="BH935" s="2695">
        <f t="shared" ca="1" si="1396"/>
        <v>0</v>
      </c>
    </row>
    <row r="936" spans="1:60" s="34" customFormat="1" ht="14.5">
      <c r="A936" s="616">
        <f t="shared" si="1370"/>
        <v>849</v>
      </c>
      <c r="B936" s="616">
        <v>1</v>
      </c>
      <c r="C936" s="616">
        <f t="shared" si="1372"/>
        <v>933</v>
      </c>
      <c r="E936" s="2547">
        <v>1</v>
      </c>
      <c r="F936" s="4"/>
      <c r="G936" s="4"/>
      <c r="H936" s="4"/>
      <c r="I936" s="263"/>
      <c r="J936" s="2"/>
      <c r="K936" s="2"/>
      <c r="L936" s="1"/>
      <c r="M936" s="1"/>
      <c r="N936" s="39"/>
      <c r="O936" s="39" t="s">
        <v>23</v>
      </c>
      <c r="P936" s="39"/>
      <c r="Q936" s="1778" t="str">
        <f>CHOOSE(2, "6722000003855", "HC Office FE/TTOC Logistics Total Workshop")</f>
        <v>HC Office FE/TTOC Logistics Total Workshop</v>
      </c>
      <c r="R936" s="1211">
        <v>0</v>
      </c>
      <c r="S936" s="1211">
        <v>0</v>
      </c>
      <c r="T936" s="1211">
        <v>0</v>
      </c>
      <c r="U936" s="1211">
        <v>0</v>
      </c>
      <c r="V936" s="1211">
        <v>0</v>
      </c>
      <c r="W936" s="1211">
        <v>0</v>
      </c>
      <c r="X936" s="1211">
        <v>0</v>
      </c>
      <c r="Y936" s="1211">
        <v>0</v>
      </c>
      <c r="Z936" s="1211">
        <v>0</v>
      </c>
      <c r="AA936" s="1211">
        <v>0</v>
      </c>
      <c r="AB936" s="1211">
        <v>0</v>
      </c>
      <c r="AC936" s="1211">
        <v>0</v>
      </c>
      <c r="AD936" s="912">
        <f>T936</f>
        <v>0</v>
      </c>
      <c r="AE936" s="38">
        <f>W936</f>
        <v>0</v>
      </c>
      <c r="AF936" s="38">
        <f>Z936</f>
        <v>0</v>
      </c>
      <c r="AG936" s="38">
        <f>AC936</f>
        <v>0</v>
      </c>
      <c r="AH936" s="38">
        <f>AE936</f>
        <v>0</v>
      </c>
      <c r="AI936" s="38">
        <f>AG936</f>
        <v>0</v>
      </c>
      <c r="AJ936" s="38">
        <f>AI936</f>
        <v>0</v>
      </c>
      <c r="AL936" s="38">
        <f t="shared" ca="1" si="1376"/>
        <v>0</v>
      </c>
      <c r="AM936" s="38">
        <f t="shared" ca="1" si="1377"/>
        <v>5</v>
      </c>
      <c r="AN936" s="3303">
        <f t="shared" ca="1" si="1378"/>
        <v>-5</v>
      </c>
      <c r="AO936" s="2951">
        <f t="shared" ca="1" si="1379"/>
        <v>0</v>
      </c>
      <c r="AP936" s="38">
        <f t="shared" ca="1" si="1380"/>
        <v>0</v>
      </c>
      <c r="AQ936" s="3303">
        <f t="shared" ca="1" si="1381"/>
        <v>0</v>
      </c>
      <c r="AR936" s="2951">
        <f t="shared" ca="1" si="1382"/>
        <v>0</v>
      </c>
      <c r="AT936" s="38">
        <f t="shared" ca="1" si="1383"/>
        <v>0</v>
      </c>
      <c r="AU936" s="38">
        <f t="shared" ca="1" si="1384"/>
        <v>5</v>
      </c>
      <c r="AV936" s="3303">
        <f t="shared" ca="1" si="1385"/>
        <v>-5</v>
      </c>
      <c r="AW936" s="2951">
        <f t="shared" ca="1" si="1386"/>
        <v>0</v>
      </c>
      <c r="AX936" s="38">
        <f t="shared" ca="1" si="1387"/>
        <v>0</v>
      </c>
      <c r="AY936" s="3303">
        <f t="shared" ca="1" si="1388"/>
        <v>0</v>
      </c>
      <c r="AZ936" s="2951">
        <f t="shared" ca="1" si="1389"/>
        <v>0</v>
      </c>
      <c r="BB936" s="38">
        <f t="shared" ca="1" si="1390"/>
        <v>0</v>
      </c>
      <c r="BC936" s="38">
        <f t="shared" ca="1" si="1391"/>
        <v>5</v>
      </c>
      <c r="BD936" s="3303">
        <f t="shared" ca="1" si="1392"/>
        <v>-5</v>
      </c>
      <c r="BE936" s="2951">
        <f t="shared" ca="1" si="1393"/>
        <v>0</v>
      </c>
      <c r="BF936" s="38">
        <f t="shared" ca="1" si="1394"/>
        <v>0</v>
      </c>
      <c r="BG936" s="3303">
        <f t="shared" ca="1" si="1395"/>
        <v>0</v>
      </c>
      <c r="BH936" s="2951">
        <f t="shared" ca="1" si="1396"/>
        <v>0</v>
      </c>
    </row>
    <row r="937" spans="1:60" s="34" customFormat="1" ht="14.5">
      <c r="A937" s="616">
        <f t="shared" si="1370"/>
        <v>850</v>
      </c>
      <c r="B937" s="616">
        <v>1</v>
      </c>
      <c r="C937" s="616">
        <f t="shared" si="1372"/>
        <v>934</v>
      </c>
      <c r="D937" s="709" t="s">
        <v>1308</v>
      </c>
      <c r="E937" s="2547">
        <v>1</v>
      </c>
      <c r="F937" s="4"/>
      <c r="G937" s="4"/>
      <c r="H937" s="4"/>
      <c r="I937" s="2253" t="s">
        <v>1511</v>
      </c>
      <c r="J937" s="1523"/>
      <c r="K937" s="1509"/>
      <c r="L937" s="1509"/>
      <c r="M937" s="1523"/>
      <c r="N937" s="1523"/>
      <c r="O937" s="1523"/>
      <c r="P937" s="1523"/>
      <c r="Q937" s="1790" t="str">
        <f>CHOOSE(2, "6722000003856", "HC Office Semi-Full-Time/Part-Time Employees /Contractors")</f>
        <v>HC Office Semi-Full-Time/Part-Time Employees /Contractors</v>
      </c>
      <c r="R937" s="3312">
        <v>18</v>
      </c>
      <c r="S937" s="3312">
        <v>18</v>
      </c>
      <c r="T937" s="3312">
        <v>17</v>
      </c>
      <c r="U937" s="3312">
        <v>16</v>
      </c>
      <c r="V937" s="3312">
        <v>16</v>
      </c>
      <c r="W937" s="3312">
        <v>21</v>
      </c>
      <c r="X937" s="3312">
        <v>24</v>
      </c>
      <c r="Y937" s="3312">
        <v>24</v>
      </c>
      <c r="Z937" s="3312">
        <v>26</v>
      </c>
      <c r="AA937" s="3312">
        <v>27</v>
      </c>
      <c r="AB937" s="3312">
        <v>27</v>
      </c>
      <c r="AC937" s="3312">
        <v>27</v>
      </c>
      <c r="AD937" s="3306">
        <f>T937</f>
        <v>17</v>
      </c>
      <c r="AE937" s="3198">
        <f>W937</f>
        <v>21</v>
      </c>
      <c r="AF937" s="3198">
        <f>Z937</f>
        <v>26</v>
      </c>
      <c r="AG937" s="3198">
        <f>AC937</f>
        <v>27</v>
      </c>
      <c r="AH937" s="3198">
        <f>AE937</f>
        <v>21</v>
      </c>
      <c r="AI937" s="3198">
        <f>AG937</f>
        <v>27</v>
      </c>
      <c r="AJ937" s="3198">
        <f>AI937</f>
        <v>27</v>
      </c>
      <c r="AL937" s="3198">
        <f t="shared" ca="1" si="1376"/>
        <v>27</v>
      </c>
      <c r="AM937" s="3198">
        <f t="shared" ca="1" si="1377"/>
        <v>0</v>
      </c>
      <c r="AN937" s="3199">
        <f t="shared" ca="1" si="1378"/>
        <v>27</v>
      </c>
      <c r="AO937" s="2850">
        <f t="shared" ca="1" si="1379"/>
        <v>0</v>
      </c>
      <c r="AP937" s="3198">
        <f t="shared" ca="1" si="1380"/>
        <v>0</v>
      </c>
      <c r="AQ937" s="3199">
        <f t="shared" ca="1" si="1381"/>
        <v>27</v>
      </c>
      <c r="AR937" s="2850">
        <f t="shared" ca="1" si="1382"/>
        <v>0</v>
      </c>
      <c r="AT937" s="3198">
        <f t="shared" ca="1" si="1383"/>
        <v>27</v>
      </c>
      <c r="AU937" s="3198">
        <f t="shared" ca="1" si="1384"/>
        <v>0</v>
      </c>
      <c r="AV937" s="3199">
        <f t="shared" ca="1" si="1385"/>
        <v>27</v>
      </c>
      <c r="AW937" s="2850">
        <f t="shared" ca="1" si="1386"/>
        <v>0</v>
      </c>
      <c r="AX937" s="3198">
        <f t="shared" ca="1" si="1387"/>
        <v>0</v>
      </c>
      <c r="AY937" s="3199">
        <f t="shared" ca="1" si="1388"/>
        <v>27</v>
      </c>
      <c r="AZ937" s="2850">
        <f t="shared" ca="1" si="1389"/>
        <v>0</v>
      </c>
      <c r="BB937" s="3198">
        <f t="shared" ca="1" si="1390"/>
        <v>27</v>
      </c>
      <c r="BC937" s="3198">
        <f t="shared" ca="1" si="1391"/>
        <v>0</v>
      </c>
      <c r="BD937" s="3199">
        <f t="shared" ca="1" si="1392"/>
        <v>27</v>
      </c>
      <c r="BE937" s="2850">
        <f t="shared" ca="1" si="1393"/>
        <v>0</v>
      </c>
      <c r="BF937" s="3198">
        <f t="shared" ca="1" si="1394"/>
        <v>0</v>
      </c>
      <c r="BG937" s="3199">
        <f t="shared" ca="1" si="1395"/>
        <v>27</v>
      </c>
      <c r="BH937" s="2850">
        <f t="shared" ca="1" si="1396"/>
        <v>0</v>
      </c>
    </row>
    <row r="938" spans="1:60" s="34" customFormat="1" ht="14.5">
      <c r="A938" s="616">
        <f t="shared" si="1370"/>
        <v>851</v>
      </c>
      <c r="B938" s="616">
        <v>1</v>
      </c>
      <c r="C938" s="616">
        <f t="shared" si="1372"/>
        <v>935</v>
      </c>
      <c r="D938" s="709" t="s">
        <v>1308</v>
      </c>
      <c r="E938" s="2547">
        <v>1</v>
      </c>
      <c r="F938" s="4"/>
      <c r="G938" s="4"/>
      <c r="H938" s="4"/>
      <c r="I938" s="4"/>
      <c r="J938" s="3"/>
      <c r="K938" s="4"/>
      <c r="L938" s="4"/>
      <c r="M938" s="3"/>
      <c r="N938" s="3"/>
      <c r="O938" s="3"/>
      <c r="P938" s="3"/>
      <c r="Q938" s="1773" t="str">
        <f>CHOOSE(2, "6722000003857", "▷ Blank 28")</f>
        <v>▷ Blank 28</v>
      </c>
      <c r="R938" s="2562"/>
      <c r="S938" s="2563"/>
      <c r="T938" s="2563"/>
      <c r="U938" s="2563"/>
      <c r="V938" s="2563"/>
      <c r="W938" s="2563"/>
      <c r="X938" s="2563"/>
      <c r="Y938" s="2563"/>
      <c r="Z938" s="2563"/>
      <c r="AA938" s="2563"/>
    </row>
    <row r="939" spans="1:60" s="34" customFormat="1" ht="14.5">
      <c r="A939" s="616">
        <f t="shared" si="1370"/>
        <v>852</v>
      </c>
      <c r="B939" s="616">
        <v>1</v>
      </c>
      <c r="C939" s="616">
        <f t="shared" si="1372"/>
        <v>936</v>
      </c>
      <c r="D939" s="709" t="s">
        <v>1308</v>
      </c>
      <c r="E939" s="2547">
        <v>1</v>
      </c>
      <c r="F939" s="4"/>
      <c r="G939" s="4"/>
      <c r="H939" s="4" t="s">
        <v>1395</v>
      </c>
      <c r="I939" s="4"/>
      <c r="J939" s="3"/>
      <c r="K939" s="4"/>
      <c r="L939" s="4"/>
      <c r="M939" s="3"/>
      <c r="N939" s="3"/>
      <c r="O939" s="3"/>
      <c r="P939" s="3"/>
      <c r="Q939" s="1773" t="str">
        <f>CHOOSE(2, "6722000003858", "HC (2) PP")</f>
        <v>HC (2) PP</v>
      </c>
      <c r="R939" s="2562"/>
      <c r="S939" s="2563"/>
      <c r="T939" s="2563"/>
      <c r="U939" s="2563"/>
      <c r="V939" s="2563"/>
      <c r="W939" s="2563"/>
      <c r="X939" s="2563"/>
      <c r="Y939" s="2563"/>
      <c r="Z939" s="2563"/>
      <c r="AA939" s="2563"/>
    </row>
    <row r="940" spans="1:60" s="272" customFormat="1" ht="14.5">
      <c r="A940" s="616">
        <f t="shared" si="1370"/>
        <v>853</v>
      </c>
      <c r="B940" s="616">
        <v>1</v>
      </c>
      <c r="C940" s="616">
        <f t="shared" si="1372"/>
        <v>937</v>
      </c>
      <c r="D940" s="709" t="s">
        <v>1308</v>
      </c>
      <c r="E940" s="2547">
        <v>1</v>
      </c>
      <c r="F940" s="267"/>
      <c r="G940" s="267"/>
      <c r="H940" s="268"/>
      <c r="I940" s="3313" t="s">
        <v>202</v>
      </c>
      <c r="J940" s="3314"/>
      <c r="K940" s="871"/>
      <c r="L940" s="871"/>
      <c r="M940" s="871"/>
      <c r="N940" s="871"/>
      <c r="O940" s="871"/>
      <c r="P940" s="871"/>
      <c r="Q940" s="1822" t="str">
        <f>CHOOSE(2, "6722000003859", "HC PP FE/TTOC")</f>
        <v>HC PP FE/TTOC</v>
      </c>
      <c r="R940" s="1305">
        <f>R941+R946+R952+R957+R963</f>
        <v>458</v>
      </c>
      <c r="S940" s="3146">
        <f t="shared" ref="S940:AJ940" si="1402">S941+S946+S952+S957+S963</f>
        <v>457</v>
      </c>
      <c r="T940" s="3146">
        <f t="shared" si="1402"/>
        <v>454</v>
      </c>
      <c r="U940" s="3146">
        <f t="shared" si="1402"/>
        <v>460</v>
      </c>
      <c r="V940" s="3146">
        <f t="shared" si="1402"/>
        <v>459</v>
      </c>
      <c r="W940" s="3146">
        <f t="shared" si="1402"/>
        <v>459</v>
      </c>
      <c r="X940" s="3146">
        <f t="shared" si="1402"/>
        <v>463</v>
      </c>
      <c r="Y940" s="3146">
        <f t="shared" si="1402"/>
        <v>465</v>
      </c>
      <c r="Z940" s="3146">
        <f t="shared" si="1402"/>
        <v>463</v>
      </c>
      <c r="AA940" s="3146">
        <f t="shared" si="1402"/>
        <v>467</v>
      </c>
      <c r="AB940" s="3146">
        <f t="shared" si="1402"/>
        <v>467</v>
      </c>
      <c r="AC940" s="3146">
        <f t="shared" si="1402"/>
        <v>465</v>
      </c>
      <c r="AD940" s="3146">
        <f t="shared" si="1402"/>
        <v>454</v>
      </c>
      <c r="AE940" s="3146">
        <f t="shared" si="1402"/>
        <v>459</v>
      </c>
      <c r="AF940" s="3146">
        <f t="shared" si="1402"/>
        <v>463</v>
      </c>
      <c r="AG940" s="3146">
        <f t="shared" si="1402"/>
        <v>465</v>
      </c>
      <c r="AH940" s="3146">
        <f t="shared" si="1402"/>
        <v>459</v>
      </c>
      <c r="AI940" s="3146">
        <f t="shared" si="1402"/>
        <v>465</v>
      </c>
      <c r="AJ940" s="3146">
        <f t="shared" si="1402"/>
        <v>465</v>
      </c>
      <c r="AL940" s="1305">
        <f t="shared" ref="AL940:AL967" ca="1" si="1403">INDIRECT(AL$3&amp;(ROW()))</f>
        <v>465</v>
      </c>
      <c r="AM940" s="3146">
        <f t="shared" ref="AM940:AM967" ca="1" si="1404">INDIRECT(AM$1&amp;AM$3&amp;$C940)</f>
        <v>14</v>
      </c>
      <c r="AN940" s="3147">
        <f t="shared" ref="AN940:AN967" ca="1" si="1405">AL940-AM940</f>
        <v>451</v>
      </c>
      <c r="AO940" s="3148">
        <f t="shared" ref="AO940:AO967" ca="1" si="1406">IFERROR(AL940/AM940,0)</f>
        <v>33.214285714285715</v>
      </c>
      <c r="AP940" s="3146">
        <f t="shared" ref="AP940:AP967" ca="1" si="1407">INDIRECT(AP$1&amp;AP$3&amp;$A940)+INDIRECT(AP$1&amp;AP$3&amp;$B940)</f>
        <v>0</v>
      </c>
      <c r="AQ940" s="3147">
        <f t="shared" ref="AQ940:AQ967" ca="1" si="1408">AL940-AP940</f>
        <v>465</v>
      </c>
      <c r="AR940" s="3148">
        <f t="shared" ref="AR940:AR967" ca="1" si="1409">IFERROR(AL940/AP940,0)</f>
        <v>0</v>
      </c>
      <c r="AT940" s="1305">
        <f t="shared" ref="AT940:AT967" ca="1" si="1410">INDIRECT(AT$3&amp;(ROW()))</f>
        <v>465</v>
      </c>
      <c r="AU940" s="3146">
        <f t="shared" ref="AU940:AU967" ca="1" si="1411">INDIRECT(AU$1&amp;AU$3&amp;$C940)</f>
        <v>14</v>
      </c>
      <c r="AV940" s="3147">
        <f t="shared" ref="AV940:AV967" ca="1" si="1412">AT940-AU940</f>
        <v>451</v>
      </c>
      <c r="AW940" s="3148">
        <f t="shared" ref="AW940:AW967" ca="1" si="1413">IFERROR(AT940/AU940,0)</f>
        <v>33.214285714285715</v>
      </c>
      <c r="AX940" s="3146">
        <f t="shared" ref="AX940:AX967" ca="1" si="1414">INDIRECT(AX$1&amp;AX$3&amp;$A940)+INDIRECT(AX$1&amp;AX$3&amp;$B940)</f>
        <v>0</v>
      </c>
      <c r="AY940" s="3147">
        <f t="shared" ref="AY940:AY967" ca="1" si="1415">AT940-AX940</f>
        <v>465</v>
      </c>
      <c r="AZ940" s="3148">
        <f t="shared" ref="AZ940:AZ967" ca="1" si="1416">IFERROR(AT940/AX940,0)</f>
        <v>0</v>
      </c>
      <c r="BB940" s="1305">
        <f t="shared" ref="BB940:BB967" ca="1" si="1417">INDIRECT(BB$3&amp;(ROW()))</f>
        <v>465</v>
      </c>
      <c r="BC940" s="3146">
        <f t="shared" ref="BC940:BC967" ca="1" si="1418">INDIRECT(BC$1&amp;BC$3&amp;$C940)</f>
        <v>14</v>
      </c>
      <c r="BD940" s="3147">
        <f t="shared" ref="BD940:BD967" ca="1" si="1419">BB940-BC940</f>
        <v>451</v>
      </c>
      <c r="BE940" s="3148">
        <f t="shared" ref="BE940:BE967" ca="1" si="1420">IFERROR(BB940/BC940,0)</f>
        <v>33.214285714285715</v>
      </c>
      <c r="BF940" s="3146">
        <f t="shared" ref="BF940:BF967" ca="1" si="1421">INDIRECT(BF$1&amp;BF$3&amp;$A940)+INDIRECT(BF$1&amp;BF$3&amp;$B940)</f>
        <v>0</v>
      </c>
      <c r="BG940" s="3147">
        <f t="shared" ref="BG940:BG967" ca="1" si="1422">BB940-BF940</f>
        <v>465</v>
      </c>
      <c r="BH940" s="3148">
        <f t="shared" ref="BH940:BH967" ca="1" si="1423">IFERROR(BB940/BF940,0)</f>
        <v>0</v>
      </c>
    </row>
    <row r="941" spans="1:60" s="34" customFormat="1" ht="14.5">
      <c r="A941" s="616">
        <f t="shared" si="1370"/>
        <v>854</v>
      </c>
      <c r="B941" s="616">
        <v>1</v>
      </c>
      <c r="C941" s="616">
        <f t="shared" si="1372"/>
        <v>938</v>
      </c>
      <c r="D941" s="709" t="s">
        <v>1308</v>
      </c>
      <c r="E941" s="2547">
        <v>1</v>
      </c>
      <c r="F941" s="4"/>
      <c r="G941" s="4"/>
      <c r="H941" s="4"/>
      <c r="I941" s="258"/>
      <c r="J941" s="48" t="s">
        <v>1514</v>
      </c>
      <c r="K941" s="48"/>
      <c r="L941" s="48"/>
      <c r="M941" s="47"/>
      <c r="N941" s="47"/>
      <c r="O941" s="47"/>
      <c r="P941" s="47"/>
      <c r="Q941" s="1786" t="str">
        <f>CHOOSE(2, "6722000003860", "HC PP FE/TTOC Sales Total")</f>
        <v>HC PP FE/TTOC Sales Total</v>
      </c>
      <c r="R941" s="45">
        <f>SUM(R942:R945)</f>
        <v>67</v>
      </c>
      <c r="S941" s="45">
        <f t="shared" ref="S941:AJ941" si="1424">SUM(S942:S945)</f>
        <v>67</v>
      </c>
      <c r="T941" s="45">
        <f t="shared" si="1424"/>
        <v>66</v>
      </c>
      <c r="U941" s="45">
        <f>SUM(U942:U945)</f>
        <v>67</v>
      </c>
      <c r="V941" s="45">
        <f t="shared" si="1424"/>
        <v>67</v>
      </c>
      <c r="W941" s="45">
        <f t="shared" si="1424"/>
        <v>68</v>
      </c>
      <c r="X941" s="45">
        <f t="shared" si="1424"/>
        <v>70</v>
      </c>
      <c r="Y941" s="45">
        <f t="shared" si="1424"/>
        <v>70</v>
      </c>
      <c r="Z941" s="45">
        <f t="shared" si="1424"/>
        <v>70</v>
      </c>
      <c r="AA941" s="45">
        <f t="shared" si="1424"/>
        <v>71</v>
      </c>
      <c r="AB941" s="45">
        <f t="shared" si="1424"/>
        <v>71</v>
      </c>
      <c r="AC941" s="45">
        <f t="shared" si="1424"/>
        <v>68</v>
      </c>
      <c r="AD941" s="911">
        <f t="shared" si="1424"/>
        <v>66</v>
      </c>
      <c r="AE941" s="45">
        <f t="shared" si="1424"/>
        <v>68</v>
      </c>
      <c r="AF941" s="45">
        <f t="shared" si="1424"/>
        <v>70</v>
      </c>
      <c r="AG941" s="45">
        <f t="shared" si="1424"/>
        <v>68</v>
      </c>
      <c r="AH941" s="45">
        <f t="shared" si="1424"/>
        <v>68</v>
      </c>
      <c r="AI941" s="45">
        <f t="shared" si="1424"/>
        <v>68</v>
      </c>
      <c r="AJ941" s="45">
        <f t="shared" si="1424"/>
        <v>68</v>
      </c>
      <c r="AL941" s="45">
        <f t="shared" ca="1" si="1403"/>
        <v>68</v>
      </c>
      <c r="AM941" s="45">
        <f t="shared" ca="1" si="1404"/>
        <v>5</v>
      </c>
      <c r="AN941" s="3302">
        <f t="shared" ca="1" si="1405"/>
        <v>63</v>
      </c>
      <c r="AO941" s="2949">
        <f t="shared" ca="1" si="1406"/>
        <v>13.6</v>
      </c>
      <c r="AP941" s="45">
        <f t="shared" ca="1" si="1407"/>
        <v>26298.092000000001</v>
      </c>
      <c r="AQ941" s="3302">
        <f t="shared" ca="1" si="1408"/>
        <v>-26230.092000000001</v>
      </c>
      <c r="AR941" s="2949">
        <f t="shared" ca="1" si="1409"/>
        <v>2.5857389197664984E-3</v>
      </c>
      <c r="AT941" s="45">
        <f t="shared" ca="1" si="1410"/>
        <v>68</v>
      </c>
      <c r="AU941" s="45">
        <f t="shared" ca="1" si="1411"/>
        <v>5</v>
      </c>
      <c r="AV941" s="3302">
        <f t="shared" ca="1" si="1412"/>
        <v>63</v>
      </c>
      <c r="AW941" s="2949">
        <f t="shared" ca="1" si="1413"/>
        <v>13.6</v>
      </c>
      <c r="AX941" s="45">
        <f t="shared" ca="1" si="1414"/>
        <v>26298.092000000001</v>
      </c>
      <c r="AY941" s="3302">
        <f t="shared" ca="1" si="1415"/>
        <v>-26230.092000000001</v>
      </c>
      <c r="AZ941" s="2949">
        <f t="shared" ca="1" si="1416"/>
        <v>2.5857389197664984E-3</v>
      </c>
      <c r="BB941" s="45">
        <f t="shared" ca="1" si="1417"/>
        <v>68</v>
      </c>
      <c r="BC941" s="45">
        <f t="shared" ca="1" si="1418"/>
        <v>5</v>
      </c>
      <c r="BD941" s="3302">
        <f t="shared" ca="1" si="1419"/>
        <v>63</v>
      </c>
      <c r="BE941" s="2949">
        <f t="shared" ca="1" si="1420"/>
        <v>13.6</v>
      </c>
      <c r="BF941" s="45">
        <f t="shared" ca="1" si="1421"/>
        <v>26298.092000000001</v>
      </c>
      <c r="BG941" s="3302">
        <f t="shared" ca="1" si="1422"/>
        <v>-26230.092000000001</v>
      </c>
      <c r="BH941" s="2949">
        <f t="shared" ca="1" si="1423"/>
        <v>2.5857389197664984E-3</v>
      </c>
    </row>
    <row r="942" spans="1:60" s="34" customFormat="1" ht="14.5">
      <c r="A942" s="616">
        <f t="shared" si="1370"/>
        <v>855</v>
      </c>
      <c r="B942" s="616">
        <v>1</v>
      </c>
      <c r="C942" s="616">
        <f t="shared" si="1372"/>
        <v>939</v>
      </c>
      <c r="E942" s="2547">
        <v>1</v>
      </c>
      <c r="F942" s="4"/>
      <c r="G942" s="4"/>
      <c r="H942" s="4"/>
      <c r="I942" s="258"/>
      <c r="J942" s="4"/>
      <c r="K942" s="4"/>
      <c r="L942" s="4"/>
      <c r="M942" s="3"/>
      <c r="N942" s="41"/>
      <c r="O942" s="41" t="s">
        <v>45</v>
      </c>
      <c r="P942" s="3"/>
      <c r="Q942" s="1778" t="str">
        <f>CHOOSE(2, "6722000003861", "HC PP FE/TTOC Sales Total Direct sales rep.")</f>
        <v>HC PP FE/TTOC Sales Total Direct sales rep.</v>
      </c>
      <c r="R942" s="3310">
        <v>53</v>
      </c>
      <c r="S942" s="1212">
        <v>54</v>
      </c>
      <c r="T942" s="1212">
        <v>53</v>
      </c>
      <c r="U942" s="1212">
        <v>54</v>
      </c>
      <c r="V942" s="1212">
        <v>54</v>
      </c>
      <c r="W942" s="1212">
        <v>55</v>
      </c>
      <c r="X942" s="1212">
        <v>56</v>
      </c>
      <c r="Y942" s="1212">
        <v>56</v>
      </c>
      <c r="Z942" s="1212">
        <v>56</v>
      </c>
      <c r="AA942" s="1212">
        <v>57</v>
      </c>
      <c r="AB942" s="1212">
        <v>57</v>
      </c>
      <c r="AC942" s="1212">
        <v>54</v>
      </c>
      <c r="AD942" s="877">
        <f>T942</f>
        <v>53</v>
      </c>
      <c r="AE942" s="40">
        <f>W942</f>
        <v>55</v>
      </c>
      <c r="AF942" s="40">
        <f>Z942</f>
        <v>56</v>
      </c>
      <c r="AG942" s="40">
        <f>AC942</f>
        <v>54</v>
      </c>
      <c r="AH942" s="40">
        <f>AE942</f>
        <v>55</v>
      </c>
      <c r="AI942" s="40">
        <f>AG942</f>
        <v>54</v>
      </c>
      <c r="AJ942" s="40">
        <f>AI942</f>
        <v>54</v>
      </c>
      <c r="AL942" s="40">
        <f t="shared" ca="1" si="1403"/>
        <v>54</v>
      </c>
      <c r="AM942" s="40">
        <f t="shared" ca="1" si="1404"/>
        <v>0</v>
      </c>
      <c r="AN942" s="3057">
        <f t="shared" ca="1" si="1405"/>
        <v>54</v>
      </c>
      <c r="AO942" s="2695">
        <f t="shared" ca="1" si="1406"/>
        <v>0</v>
      </c>
      <c r="AP942" s="40">
        <f t="shared" ca="1" si="1407"/>
        <v>22624</v>
      </c>
      <c r="AQ942" s="3057">
        <f t="shared" ca="1" si="1408"/>
        <v>-22570</v>
      </c>
      <c r="AR942" s="2695">
        <f t="shared" ca="1" si="1409"/>
        <v>2.3868458274398869E-3</v>
      </c>
      <c r="AT942" s="40">
        <f t="shared" ca="1" si="1410"/>
        <v>54</v>
      </c>
      <c r="AU942" s="40">
        <f t="shared" ca="1" si="1411"/>
        <v>0</v>
      </c>
      <c r="AV942" s="3057">
        <f t="shared" ca="1" si="1412"/>
        <v>54</v>
      </c>
      <c r="AW942" s="2695">
        <f t="shared" ca="1" si="1413"/>
        <v>0</v>
      </c>
      <c r="AX942" s="40">
        <f t="shared" ca="1" si="1414"/>
        <v>22624</v>
      </c>
      <c r="AY942" s="3057">
        <f t="shared" ca="1" si="1415"/>
        <v>-22570</v>
      </c>
      <c r="AZ942" s="2695">
        <f t="shared" ca="1" si="1416"/>
        <v>2.3868458274398869E-3</v>
      </c>
      <c r="BB942" s="40">
        <f t="shared" ca="1" si="1417"/>
        <v>54</v>
      </c>
      <c r="BC942" s="40">
        <f t="shared" ca="1" si="1418"/>
        <v>0</v>
      </c>
      <c r="BD942" s="3057">
        <f t="shared" ca="1" si="1419"/>
        <v>54</v>
      </c>
      <c r="BE942" s="2695">
        <f t="shared" ca="1" si="1420"/>
        <v>0</v>
      </c>
      <c r="BF942" s="40">
        <f t="shared" ca="1" si="1421"/>
        <v>22624</v>
      </c>
      <c r="BG942" s="3057">
        <f t="shared" ca="1" si="1422"/>
        <v>-22570</v>
      </c>
      <c r="BH942" s="2695">
        <f t="shared" ca="1" si="1423"/>
        <v>2.3868458274398869E-3</v>
      </c>
    </row>
    <row r="943" spans="1:60" s="34" customFormat="1" ht="14.5">
      <c r="A943" s="616">
        <f t="shared" si="1370"/>
        <v>856</v>
      </c>
      <c r="B943" s="616">
        <v>1</v>
      </c>
      <c r="C943" s="616">
        <f t="shared" si="1372"/>
        <v>940</v>
      </c>
      <c r="E943" s="2547">
        <v>1</v>
      </c>
      <c r="F943" s="4"/>
      <c r="G943" s="4"/>
      <c r="H943" s="4"/>
      <c r="I943" s="258"/>
      <c r="J943" s="4"/>
      <c r="K943" s="4"/>
      <c r="L943" s="4"/>
      <c r="M943" s="3"/>
      <c r="N943" s="41"/>
      <c r="O943" s="41" t="s">
        <v>44</v>
      </c>
      <c r="P943" s="3"/>
      <c r="Q943" s="1778" t="str">
        <f>CHOOSE(2, "6722000003862", "HC PP FE/TTOC Sales Total Direct sales engineers")</f>
        <v>HC PP FE/TTOC Sales Total Direct sales engineers</v>
      </c>
      <c r="R943" s="3310">
        <v>0</v>
      </c>
      <c r="S943" s="1212">
        <v>0</v>
      </c>
      <c r="T943" s="1212">
        <v>0</v>
      </c>
      <c r="U943" s="1212">
        <v>0</v>
      </c>
      <c r="V943" s="1212">
        <v>0</v>
      </c>
      <c r="W943" s="1212">
        <v>0</v>
      </c>
      <c r="X943" s="1212">
        <v>0</v>
      </c>
      <c r="Y943" s="1212">
        <v>0</v>
      </c>
      <c r="Z943" s="1212">
        <v>0</v>
      </c>
      <c r="AA943" s="1212">
        <v>0</v>
      </c>
      <c r="AB943" s="1212">
        <v>0</v>
      </c>
      <c r="AC943" s="1212">
        <v>0</v>
      </c>
      <c r="AD943" s="877">
        <f>T943</f>
        <v>0</v>
      </c>
      <c r="AE943" s="40">
        <f>W943</f>
        <v>0</v>
      </c>
      <c r="AF943" s="40">
        <f>Z943</f>
        <v>0</v>
      </c>
      <c r="AG943" s="40">
        <f>AC943</f>
        <v>0</v>
      </c>
      <c r="AH943" s="40">
        <f>AE943</f>
        <v>0</v>
      </c>
      <c r="AI943" s="40">
        <f>AG943</f>
        <v>0</v>
      </c>
      <c r="AJ943" s="40">
        <f>AI943</f>
        <v>0</v>
      </c>
      <c r="AL943" s="40">
        <f t="shared" ca="1" si="1403"/>
        <v>0</v>
      </c>
      <c r="AM943" s="40">
        <f t="shared" ca="1" si="1404"/>
        <v>11</v>
      </c>
      <c r="AN943" s="3057">
        <f t="shared" ca="1" si="1405"/>
        <v>-11</v>
      </c>
      <c r="AO943" s="2695">
        <f t="shared" ca="1" si="1406"/>
        <v>0</v>
      </c>
      <c r="AP943" s="40">
        <f t="shared" ca="1" si="1407"/>
        <v>3386.3440000000001</v>
      </c>
      <c r="AQ943" s="3057">
        <f t="shared" ca="1" si="1408"/>
        <v>-3386.3440000000001</v>
      </c>
      <c r="AR943" s="2695">
        <f t="shared" ca="1" si="1409"/>
        <v>0</v>
      </c>
      <c r="AT943" s="40">
        <f t="shared" ca="1" si="1410"/>
        <v>0</v>
      </c>
      <c r="AU943" s="40">
        <f t="shared" ca="1" si="1411"/>
        <v>11</v>
      </c>
      <c r="AV943" s="3057">
        <f t="shared" ca="1" si="1412"/>
        <v>-11</v>
      </c>
      <c r="AW943" s="2695">
        <f t="shared" ca="1" si="1413"/>
        <v>0</v>
      </c>
      <c r="AX943" s="40">
        <f t="shared" ca="1" si="1414"/>
        <v>3386.3440000000001</v>
      </c>
      <c r="AY943" s="3057">
        <f t="shared" ca="1" si="1415"/>
        <v>-3386.3440000000001</v>
      </c>
      <c r="AZ943" s="2695">
        <f t="shared" ca="1" si="1416"/>
        <v>0</v>
      </c>
      <c r="BB943" s="40">
        <f t="shared" ca="1" si="1417"/>
        <v>0</v>
      </c>
      <c r="BC943" s="40">
        <f t="shared" ca="1" si="1418"/>
        <v>11</v>
      </c>
      <c r="BD943" s="3057">
        <f t="shared" ca="1" si="1419"/>
        <v>-11</v>
      </c>
      <c r="BE943" s="2695">
        <f t="shared" ca="1" si="1420"/>
        <v>0</v>
      </c>
      <c r="BF943" s="40">
        <f t="shared" ca="1" si="1421"/>
        <v>3386.3440000000001</v>
      </c>
      <c r="BG943" s="3057">
        <f t="shared" ca="1" si="1422"/>
        <v>-3386.3440000000001</v>
      </c>
      <c r="BH943" s="2695">
        <f t="shared" ca="1" si="1423"/>
        <v>0</v>
      </c>
    </row>
    <row r="944" spans="1:60" s="34" customFormat="1" ht="14.5">
      <c r="A944" s="616">
        <f t="shared" si="1370"/>
        <v>857</v>
      </c>
      <c r="B944" s="616">
        <v>1</v>
      </c>
      <c r="C944" s="616">
        <f t="shared" si="1372"/>
        <v>941</v>
      </c>
      <c r="E944" s="2547">
        <v>1</v>
      </c>
      <c r="F944" s="4"/>
      <c r="G944" s="4"/>
      <c r="H944" s="4"/>
      <c r="I944" s="258"/>
      <c r="J944" s="4"/>
      <c r="K944" s="4"/>
      <c r="L944" s="4"/>
      <c r="M944" s="3"/>
      <c r="N944" s="41"/>
      <c r="O944" s="41" t="s">
        <v>43</v>
      </c>
      <c r="P944" s="3"/>
      <c r="Q944" s="1778" t="str">
        <f>CHOOSE(2, "6722000003863", "HC PP FE/TTOC Sales Total Dealer(Indirect) sales rep.")</f>
        <v>HC PP FE/TTOC Sales Total Dealer(Indirect) sales rep.</v>
      </c>
      <c r="R944" s="3310">
        <v>0</v>
      </c>
      <c r="S944" s="1212">
        <v>0</v>
      </c>
      <c r="T944" s="1212">
        <v>0</v>
      </c>
      <c r="U944" s="1212">
        <v>0</v>
      </c>
      <c r="V944" s="1212">
        <v>0</v>
      </c>
      <c r="W944" s="1212">
        <v>0</v>
      </c>
      <c r="X944" s="1212">
        <v>0</v>
      </c>
      <c r="Y944" s="1212">
        <v>0</v>
      </c>
      <c r="Z944" s="1212">
        <v>0</v>
      </c>
      <c r="AA944" s="1212">
        <v>0</v>
      </c>
      <c r="AB944" s="1212">
        <v>0</v>
      </c>
      <c r="AC944" s="1212">
        <v>0</v>
      </c>
      <c r="AD944" s="877">
        <f>T944</f>
        <v>0</v>
      </c>
      <c r="AE944" s="40">
        <f>W944</f>
        <v>0</v>
      </c>
      <c r="AF944" s="40">
        <f>Z944</f>
        <v>0</v>
      </c>
      <c r="AG944" s="40">
        <f>AC944</f>
        <v>0</v>
      </c>
      <c r="AH944" s="40">
        <f>AE944</f>
        <v>0</v>
      </c>
      <c r="AI944" s="40">
        <f>AG944</f>
        <v>0</v>
      </c>
      <c r="AJ944" s="40">
        <f>AI944</f>
        <v>0</v>
      </c>
      <c r="AL944" s="40">
        <f t="shared" ca="1" si="1403"/>
        <v>0</v>
      </c>
      <c r="AM944" s="40">
        <f t="shared" ca="1" si="1404"/>
        <v>17</v>
      </c>
      <c r="AN944" s="3057">
        <f t="shared" ca="1" si="1405"/>
        <v>-17</v>
      </c>
      <c r="AO944" s="2695">
        <f t="shared" ca="1" si="1406"/>
        <v>0</v>
      </c>
      <c r="AP944" s="40">
        <f t="shared" ca="1" si="1407"/>
        <v>287.74799999999999</v>
      </c>
      <c r="AQ944" s="3057">
        <f t="shared" ca="1" si="1408"/>
        <v>-287.74799999999999</v>
      </c>
      <c r="AR944" s="2695">
        <f t="shared" ca="1" si="1409"/>
        <v>0</v>
      </c>
      <c r="AT944" s="40">
        <f t="shared" ca="1" si="1410"/>
        <v>0</v>
      </c>
      <c r="AU944" s="40">
        <f t="shared" ca="1" si="1411"/>
        <v>17</v>
      </c>
      <c r="AV944" s="3057">
        <f t="shared" ca="1" si="1412"/>
        <v>-17</v>
      </c>
      <c r="AW944" s="2695">
        <f t="shared" ca="1" si="1413"/>
        <v>0</v>
      </c>
      <c r="AX944" s="40">
        <f t="shared" ca="1" si="1414"/>
        <v>287.74799999999999</v>
      </c>
      <c r="AY944" s="3057">
        <f t="shared" ca="1" si="1415"/>
        <v>-287.74799999999999</v>
      </c>
      <c r="AZ944" s="2695">
        <f t="shared" ca="1" si="1416"/>
        <v>0</v>
      </c>
      <c r="BB944" s="40">
        <f t="shared" ca="1" si="1417"/>
        <v>0</v>
      </c>
      <c r="BC944" s="40">
        <f t="shared" ca="1" si="1418"/>
        <v>17</v>
      </c>
      <c r="BD944" s="3057">
        <f t="shared" ca="1" si="1419"/>
        <v>-17</v>
      </c>
      <c r="BE944" s="2695">
        <f t="shared" ca="1" si="1420"/>
        <v>0</v>
      </c>
      <c r="BF944" s="40">
        <f t="shared" ca="1" si="1421"/>
        <v>287.74799999999999</v>
      </c>
      <c r="BG944" s="3057">
        <f t="shared" ca="1" si="1422"/>
        <v>-287.74799999999999</v>
      </c>
      <c r="BH944" s="2695">
        <f t="shared" ca="1" si="1423"/>
        <v>0</v>
      </c>
    </row>
    <row r="945" spans="1:60" s="34" customFormat="1" ht="14.5">
      <c r="A945" s="616">
        <f t="shared" si="1370"/>
        <v>858</v>
      </c>
      <c r="B945" s="616">
        <v>1</v>
      </c>
      <c r="C945" s="616">
        <f t="shared" si="1372"/>
        <v>942</v>
      </c>
      <c r="E945" s="2547">
        <v>1</v>
      </c>
      <c r="F945" s="4"/>
      <c r="G945" s="4"/>
      <c r="H945" s="4"/>
      <c r="I945" s="258"/>
      <c r="J945" s="2"/>
      <c r="K945" s="2"/>
      <c r="L945" s="2"/>
      <c r="M945" s="1"/>
      <c r="N945" s="39"/>
      <c r="O945" s="39" t="s">
        <v>40</v>
      </c>
      <c r="P945" s="1"/>
      <c r="Q945" s="1778" t="str">
        <f>CHOOSE(2, "6722000003864", "HC PP FE/TTOC Sales Total Administration/Others")</f>
        <v>HC PP FE/TTOC Sales Total Administration/Others</v>
      </c>
      <c r="R945" s="3311">
        <v>14</v>
      </c>
      <c r="S945" s="1211">
        <v>13</v>
      </c>
      <c r="T945" s="1211">
        <v>13</v>
      </c>
      <c r="U945" s="1211">
        <v>13</v>
      </c>
      <c r="V945" s="1211">
        <v>13</v>
      </c>
      <c r="W945" s="1211">
        <v>13</v>
      </c>
      <c r="X945" s="1211">
        <v>14</v>
      </c>
      <c r="Y945" s="1211">
        <v>14</v>
      </c>
      <c r="Z945" s="1211">
        <v>14</v>
      </c>
      <c r="AA945" s="1211">
        <v>14</v>
      </c>
      <c r="AB945" s="1211">
        <v>14</v>
      </c>
      <c r="AC945" s="1211">
        <v>14</v>
      </c>
      <c r="AD945" s="912">
        <f>T945</f>
        <v>13</v>
      </c>
      <c r="AE945" s="38">
        <f>W945</f>
        <v>13</v>
      </c>
      <c r="AF945" s="38">
        <f>Z945</f>
        <v>14</v>
      </c>
      <c r="AG945" s="38">
        <f>AC945</f>
        <v>14</v>
      </c>
      <c r="AH945" s="38">
        <f>AE945</f>
        <v>13</v>
      </c>
      <c r="AI945" s="38">
        <f>AG945</f>
        <v>14</v>
      </c>
      <c r="AJ945" s="38">
        <f>AI945</f>
        <v>14</v>
      </c>
      <c r="AL945" s="38">
        <f t="shared" ca="1" si="1403"/>
        <v>14</v>
      </c>
      <c r="AM945" s="38">
        <f t="shared" ca="1" si="1404"/>
        <v>7</v>
      </c>
      <c r="AN945" s="3303">
        <f t="shared" ca="1" si="1405"/>
        <v>7</v>
      </c>
      <c r="AO945" s="2951">
        <f t="shared" ca="1" si="1406"/>
        <v>2</v>
      </c>
      <c r="AP945" s="38">
        <f t="shared" ca="1" si="1407"/>
        <v>0</v>
      </c>
      <c r="AQ945" s="3303">
        <f t="shared" ca="1" si="1408"/>
        <v>14</v>
      </c>
      <c r="AR945" s="2951">
        <f t="shared" ca="1" si="1409"/>
        <v>0</v>
      </c>
      <c r="AT945" s="38">
        <f t="shared" ca="1" si="1410"/>
        <v>14</v>
      </c>
      <c r="AU945" s="38">
        <f t="shared" ca="1" si="1411"/>
        <v>7</v>
      </c>
      <c r="AV945" s="3303">
        <f t="shared" ca="1" si="1412"/>
        <v>7</v>
      </c>
      <c r="AW945" s="2951">
        <f t="shared" ca="1" si="1413"/>
        <v>2</v>
      </c>
      <c r="AX945" s="38">
        <f t="shared" ca="1" si="1414"/>
        <v>0</v>
      </c>
      <c r="AY945" s="3303">
        <f t="shared" ca="1" si="1415"/>
        <v>14</v>
      </c>
      <c r="AZ945" s="2951">
        <f t="shared" ca="1" si="1416"/>
        <v>0</v>
      </c>
      <c r="BB945" s="38">
        <f t="shared" ca="1" si="1417"/>
        <v>14</v>
      </c>
      <c r="BC945" s="38">
        <f t="shared" ca="1" si="1418"/>
        <v>7</v>
      </c>
      <c r="BD945" s="3303">
        <f t="shared" ca="1" si="1419"/>
        <v>7</v>
      </c>
      <c r="BE945" s="2951">
        <f t="shared" ca="1" si="1420"/>
        <v>2</v>
      </c>
      <c r="BF945" s="38">
        <f t="shared" ca="1" si="1421"/>
        <v>0</v>
      </c>
      <c r="BG945" s="3303">
        <f t="shared" ca="1" si="1422"/>
        <v>14</v>
      </c>
      <c r="BH945" s="2951">
        <f t="shared" ca="1" si="1423"/>
        <v>0</v>
      </c>
    </row>
    <row r="946" spans="1:60" s="34" customFormat="1" ht="14.5">
      <c r="A946" s="616">
        <f t="shared" si="1370"/>
        <v>859</v>
      </c>
      <c r="B946" s="616">
        <v>1</v>
      </c>
      <c r="C946" s="616">
        <f t="shared" si="1372"/>
        <v>943</v>
      </c>
      <c r="D946" s="709" t="s">
        <v>1308</v>
      </c>
      <c r="E946" s="2547">
        <v>1</v>
      </c>
      <c r="F946" s="4"/>
      <c r="G946" s="4"/>
      <c r="H946" s="4"/>
      <c r="I946" s="258"/>
      <c r="J946" s="48" t="s">
        <v>1515</v>
      </c>
      <c r="K946" s="48"/>
      <c r="L946" s="48"/>
      <c r="M946" s="47"/>
      <c r="N946" s="47"/>
      <c r="O946" s="47"/>
      <c r="P946" s="47"/>
      <c r="Q946" s="1786" t="str">
        <f>CHOOSE(2, "6722000003865", "HC PP FE/TTOC Service Total")</f>
        <v>HC PP FE/TTOC Service Total</v>
      </c>
      <c r="R946" s="45">
        <f>SUM(R947:R951)</f>
        <v>313</v>
      </c>
      <c r="S946" s="45">
        <f t="shared" ref="S946:AJ946" si="1425">SUM(S947:S951)</f>
        <v>314</v>
      </c>
      <c r="T946" s="45">
        <f t="shared" si="1425"/>
        <v>311</v>
      </c>
      <c r="U946" s="45">
        <f t="shared" si="1425"/>
        <v>315</v>
      </c>
      <c r="V946" s="45">
        <f t="shared" si="1425"/>
        <v>314</v>
      </c>
      <c r="W946" s="45">
        <f t="shared" si="1425"/>
        <v>312</v>
      </c>
      <c r="X946" s="45">
        <f t="shared" si="1425"/>
        <v>315</v>
      </c>
      <c r="Y946" s="45">
        <f t="shared" si="1425"/>
        <v>317</v>
      </c>
      <c r="Z946" s="45">
        <f t="shared" si="1425"/>
        <v>315</v>
      </c>
      <c r="AA946" s="45">
        <f t="shared" si="1425"/>
        <v>316</v>
      </c>
      <c r="AB946" s="45">
        <f t="shared" si="1425"/>
        <v>316</v>
      </c>
      <c r="AC946" s="45">
        <f t="shared" si="1425"/>
        <v>317</v>
      </c>
      <c r="AD946" s="911">
        <f t="shared" si="1425"/>
        <v>311</v>
      </c>
      <c r="AE946" s="45">
        <f t="shared" si="1425"/>
        <v>312</v>
      </c>
      <c r="AF946" s="45">
        <f t="shared" si="1425"/>
        <v>315</v>
      </c>
      <c r="AG946" s="45">
        <f t="shared" si="1425"/>
        <v>317</v>
      </c>
      <c r="AH946" s="45">
        <f t="shared" si="1425"/>
        <v>312</v>
      </c>
      <c r="AI946" s="45">
        <f t="shared" si="1425"/>
        <v>317</v>
      </c>
      <c r="AJ946" s="45">
        <f t="shared" si="1425"/>
        <v>317</v>
      </c>
      <c r="AL946" s="45">
        <f t="shared" ca="1" si="1403"/>
        <v>317</v>
      </c>
      <c r="AM946" s="45">
        <f t="shared" ca="1" si="1404"/>
        <v>10</v>
      </c>
      <c r="AN946" s="3302">
        <f t="shared" ca="1" si="1405"/>
        <v>307</v>
      </c>
      <c r="AO946" s="2949">
        <f t="shared" ca="1" si="1406"/>
        <v>31.7</v>
      </c>
      <c r="AP946" s="45">
        <f t="shared" ca="1" si="1407"/>
        <v>955</v>
      </c>
      <c r="AQ946" s="3302">
        <f t="shared" ca="1" si="1408"/>
        <v>-638</v>
      </c>
      <c r="AR946" s="2949">
        <f t="shared" ca="1" si="1409"/>
        <v>0.33193717277486912</v>
      </c>
      <c r="AT946" s="45">
        <f t="shared" ca="1" si="1410"/>
        <v>317</v>
      </c>
      <c r="AU946" s="45">
        <f t="shared" ca="1" si="1411"/>
        <v>10</v>
      </c>
      <c r="AV946" s="3302">
        <f t="shared" ca="1" si="1412"/>
        <v>307</v>
      </c>
      <c r="AW946" s="2949">
        <f t="shared" ca="1" si="1413"/>
        <v>31.7</v>
      </c>
      <c r="AX946" s="45">
        <f t="shared" ca="1" si="1414"/>
        <v>955</v>
      </c>
      <c r="AY946" s="3302">
        <f t="shared" ca="1" si="1415"/>
        <v>-638</v>
      </c>
      <c r="AZ946" s="2949">
        <f t="shared" ca="1" si="1416"/>
        <v>0.33193717277486912</v>
      </c>
      <c r="BB946" s="45">
        <f t="shared" ca="1" si="1417"/>
        <v>317</v>
      </c>
      <c r="BC946" s="45">
        <f t="shared" ca="1" si="1418"/>
        <v>10</v>
      </c>
      <c r="BD946" s="3302">
        <f t="shared" ca="1" si="1419"/>
        <v>307</v>
      </c>
      <c r="BE946" s="2949">
        <f t="shared" ca="1" si="1420"/>
        <v>31.7</v>
      </c>
      <c r="BF946" s="45">
        <f t="shared" ca="1" si="1421"/>
        <v>955</v>
      </c>
      <c r="BG946" s="3302">
        <f t="shared" ca="1" si="1422"/>
        <v>-638</v>
      </c>
      <c r="BH946" s="2949">
        <f t="shared" ca="1" si="1423"/>
        <v>0.33193717277486912</v>
      </c>
    </row>
    <row r="947" spans="1:60" s="34" customFormat="1" ht="14.5">
      <c r="A947" s="616">
        <f t="shared" si="1370"/>
        <v>860</v>
      </c>
      <c r="B947" s="616">
        <v>1</v>
      </c>
      <c r="C947" s="616">
        <f t="shared" si="1372"/>
        <v>944</v>
      </c>
      <c r="E947" s="2547">
        <v>1</v>
      </c>
      <c r="F947" s="4"/>
      <c r="G947" s="4"/>
      <c r="H947" s="4"/>
      <c r="I947" s="258"/>
      <c r="J947" s="4"/>
      <c r="K947" s="4"/>
      <c r="L947" s="4"/>
      <c r="M947" s="3"/>
      <c r="N947" s="41"/>
      <c r="O947" s="41" t="s">
        <v>15</v>
      </c>
      <c r="P947" s="3"/>
      <c r="Q947" s="1778" t="str">
        <f>CHOOSE(2, "6722000003866", "HC PP FE/TTOC Service Total Onsite Engineer")</f>
        <v>HC PP FE/TTOC Service Total Onsite Engineer</v>
      </c>
      <c r="R947" s="3310">
        <v>273</v>
      </c>
      <c r="S947" s="1212">
        <v>271</v>
      </c>
      <c r="T947" s="1212">
        <v>270</v>
      </c>
      <c r="U947" s="1212">
        <v>273</v>
      </c>
      <c r="V947" s="1212">
        <v>272</v>
      </c>
      <c r="W947" s="1212">
        <v>270</v>
      </c>
      <c r="X947" s="1212">
        <v>273</v>
      </c>
      <c r="Y947" s="1212">
        <v>274</v>
      </c>
      <c r="Z947" s="1212">
        <v>273</v>
      </c>
      <c r="AA947" s="1212">
        <v>273</v>
      </c>
      <c r="AB947" s="1212">
        <v>272</v>
      </c>
      <c r="AC947" s="1212">
        <v>273</v>
      </c>
      <c r="AD947" s="877">
        <f>T947</f>
        <v>270</v>
      </c>
      <c r="AE947" s="40">
        <f>W947</f>
        <v>270</v>
      </c>
      <c r="AF947" s="40">
        <f>Z947</f>
        <v>273</v>
      </c>
      <c r="AG947" s="40">
        <f>AC947</f>
        <v>273</v>
      </c>
      <c r="AH947" s="40">
        <f>AE947</f>
        <v>270</v>
      </c>
      <c r="AI947" s="40">
        <f>AG947</f>
        <v>273</v>
      </c>
      <c r="AJ947" s="40">
        <f>AI947</f>
        <v>273</v>
      </c>
      <c r="AL947" s="40">
        <f t="shared" ca="1" si="1403"/>
        <v>273</v>
      </c>
      <c r="AM947" s="40">
        <f t="shared" ca="1" si="1404"/>
        <v>0</v>
      </c>
      <c r="AN947" s="3057">
        <f t="shared" ca="1" si="1405"/>
        <v>273</v>
      </c>
      <c r="AO947" s="2695">
        <f t="shared" ca="1" si="1406"/>
        <v>0</v>
      </c>
      <c r="AP947" s="40">
        <f t="shared" ca="1" si="1407"/>
        <v>872</v>
      </c>
      <c r="AQ947" s="3057">
        <f t="shared" ca="1" si="1408"/>
        <v>-599</v>
      </c>
      <c r="AR947" s="2695">
        <f t="shared" ca="1" si="1409"/>
        <v>0.31307339449541283</v>
      </c>
      <c r="AT947" s="40">
        <f t="shared" ca="1" si="1410"/>
        <v>273</v>
      </c>
      <c r="AU947" s="40">
        <f t="shared" ca="1" si="1411"/>
        <v>0</v>
      </c>
      <c r="AV947" s="3057">
        <f t="shared" ca="1" si="1412"/>
        <v>273</v>
      </c>
      <c r="AW947" s="2695">
        <f t="shared" ca="1" si="1413"/>
        <v>0</v>
      </c>
      <c r="AX947" s="40">
        <f t="shared" ca="1" si="1414"/>
        <v>872</v>
      </c>
      <c r="AY947" s="3057">
        <f t="shared" ca="1" si="1415"/>
        <v>-599</v>
      </c>
      <c r="AZ947" s="2695">
        <f t="shared" ca="1" si="1416"/>
        <v>0.31307339449541283</v>
      </c>
      <c r="BB947" s="40">
        <f t="shared" ca="1" si="1417"/>
        <v>273</v>
      </c>
      <c r="BC947" s="40">
        <f t="shared" ca="1" si="1418"/>
        <v>0</v>
      </c>
      <c r="BD947" s="3057">
        <f t="shared" ca="1" si="1419"/>
        <v>273</v>
      </c>
      <c r="BE947" s="2695">
        <f t="shared" ca="1" si="1420"/>
        <v>0</v>
      </c>
      <c r="BF947" s="40">
        <f t="shared" ca="1" si="1421"/>
        <v>872</v>
      </c>
      <c r="BG947" s="3057">
        <f t="shared" ca="1" si="1422"/>
        <v>-599</v>
      </c>
      <c r="BH947" s="2695">
        <f t="shared" ca="1" si="1423"/>
        <v>0.31307339449541283</v>
      </c>
    </row>
    <row r="948" spans="1:60" s="34" customFormat="1" ht="14.5">
      <c r="A948" s="616">
        <f t="shared" si="1370"/>
        <v>861</v>
      </c>
      <c r="B948" s="616">
        <v>1</v>
      </c>
      <c r="C948" s="616">
        <f t="shared" si="1372"/>
        <v>945</v>
      </c>
      <c r="E948" s="2547">
        <v>1</v>
      </c>
      <c r="F948" s="4"/>
      <c r="G948" s="4"/>
      <c r="H948" s="4"/>
      <c r="I948" s="258"/>
      <c r="J948" s="4"/>
      <c r="K948" s="4"/>
      <c r="L948" s="4"/>
      <c r="M948" s="3"/>
      <c r="N948" s="41"/>
      <c r="O948" s="41" t="s">
        <v>16</v>
      </c>
      <c r="P948" s="3"/>
      <c r="Q948" s="1778" t="str">
        <f>CHOOSE(2, "6722000003867", "HC PP FE/TTOC Service Total Remote Engineer")</f>
        <v>HC PP FE/TTOC Service Total Remote Engineer</v>
      </c>
      <c r="R948" s="3310">
        <v>0</v>
      </c>
      <c r="S948" s="1212">
        <v>0</v>
      </c>
      <c r="T948" s="1212">
        <v>0</v>
      </c>
      <c r="U948" s="1212">
        <v>0</v>
      </c>
      <c r="V948" s="1212">
        <v>0</v>
      </c>
      <c r="W948" s="1212">
        <v>0</v>
      </c>
      <c r="X948" s="1212">
        <v>0</v>
      </c>
      <c r="Y948" s="1212">
        <v>0</v>
      </c>
      <c r="Z948" s="1212">
        <v>0</v>
      </c>
      <c r="AA948" s="1212">
        <v>0</v>
      </c>
      <c r="AB948" s="1212">
        <v>0</v>
      </c>
      <c r="AC948" s="1212">
        <v>0</v>
      </c>
      <c r="AD948" s="877">
        <f>T948</f>
        <v>0</v>
      </c>
      <c r="AE948" s="40">
        <f>W948</f>
        <v>0</v>
      </c>
      <c r="AF948" s="40">
        <f>Z948</f>
        <v>0</v>
      </c>
      <c r="AG948" s="40">
        <f>AC948</f>
        <v>0</v>
      </c>
      <c r="AH948" s="40">
        <f>AE948</f>
        <v>0</v>
      </c>
      <c r="AI948" s="40">
        <f>AG948</f>
        <v>0</v>
      </c>
      <c r="AJ948" s="40">
        <f>AI948</f>
        <v>0</v>
      </c>
      <c r="AL948" s="40">
        <f t="shared" ca="1" si="1403"/>
        <v>0</v>
      </c>
      <c r="AM948" s="40">
        <f t="shared" ca="1" si="1404"/>
        <v>26</v>
      </c>
      <c r="AN948" s="3057">
        <f t="shared" ca="1" si="1405"/>
        <v>-26</v>
      </c>
      <c r="AO948" s="2695">
        <f t="shared" ca="1" si="1406"/>
        <v>0</v>
      </c>
      <c r="AP948" s="40">
        <f t="shared" ca="1" si="1407"/>
        <v>83</v>
      </c>
      <c r="AQ948" s="3057">
        <f t="shared" ca="1" si="1408"/>
        <v>-83</v>
      </c>
      <c r="AR948" s="2695">
        <f t="shared" ca="1" si="1409"/>
        <v>0</v>
      </c>
      <c r="AT948" s="40">
        <f t="shared" ca="1" si="1410"/>
        <v>0</v>
      </c>
      <c r="AU948" s="40">
        <f t="shared" ca="1" si="1411"/>
        <v>26</v>
      </c>
      <c r="AV948" s="3057">
        <f t="shared" ca="1" si="1412"/>
        <v>-26</v>
      </c>
      <c r="AW948" s="2695">
        <f t="shared" ca="1" si="1413"/>
        <v>0</v>
      </c>
      <c r="AX948" s="40">
        <f t="shared" ca="1" si="1414"/>
        <v>83</v>
      </c>
      <c r="AY948" s="3057">
        <f t="shared" ca="1" si="1415"/>
        <v>-83</v>
      </c>
      <c r="AZ948" s="2695">
        <f t="shared" ca="1" si="1416"/>
        <v>0</v>
      </c>
      <c r="BB948" s="40">
        <f t="shared" ca="1" si="1417"/>
        <v>0</v>
      </c>
      <c r="BC948" s="40">
        <f t="shared" ca="1" si="1418"/>
        <v>26</v>
      </c>
      <c r="BD948" s="3057">
        <f t="shared" ca="1" si="1419"/>
        <v>-26</v>
      </c>
      <c r="BE948" s="2695">
        <f t="shared" ca="1" si="1420"/>
        <v>0</v>
      </c>
      <c r="BF948" s="40">
        <f t="shared" ca="1" si="1421"/>
        <v>83</v>
      </c>
      <c r="BG948" s="3057">
        <f t="shared" ca="1" si="1422"/>
        <v>-83</v>
      </c>
      <c r="BH948" s="2695">
        <f t="shared" ca="1" si="1423"/>
        <v>0</v>
      </c>
    </row>
    <row r="949" spans="1:60" s="34" customFormat="1" ht="14.5">
      <c r="A949" s="616">
        <f t="shared" si="1370"/>
        <v>862</v>
      </c>
      <c r="B949" s="616">
        <v>1</v>
      </c>
      <c r="C949" s="616">
        <f t="shared" si="1372"/>
        <v>946</v>
      </c>
      <c r="E949" s="2547">
        <v>1</v>
      </c>
      <c r="F949" s="4"/>
      <c r="G949" s="4"/>
      <c r="H949" s="4"/>
      <c r="I949" s="258"/>
      <c r="J949" s="4"/>
      <c r="K949" s="4"/>
      <c r="L949" s="4"/>
      <c r="M949" s="3"/>
      <c r="N949" s="41"/>
      <c r="O949" s="41" t="s">
        <v>42</v>
      </c>
      <c r="P949" s="3"/>
      <c r="Q949" s="1778" t="str">
        <f>CHOOSE(2, "6722000003868", "HC PP FE/TTOC Service Total Technical support")</f>
        <v>HC PP FE/TTOC Service Total Technical support</v>
      </c>
      <c r="R949" s="3310">
        <v>28</v>
      </c>
      <c r="S949" s="1212">
        <v>30</v>
      </c>
      <c r="T949" s="1212">
        <v>29</v>
      </c>
      <c r="U949" s="1212">
        <v>30</v>
      </c>
      <c r="V949" s="1212">
        <v>30</v>
      </c>
      <c r="W949" s="1212">
        <v>31</v>
      </c>
      <c r="X949" s="1212">
        <v>31</v>
      </c>
      <c r="Y949" s="1212">
        <v>31</v>
      </c>
      <c r="Z949" s="1212">
        <v>30</v>
      </c>
      <c r="AA949" s="1212">
        <v>31</v>
      </c>
      <c r="AB949" s="1212">
        <v>31</v>
      </c>
      <c r="AC949" s="1212">
        <v>31</v>
      </c>
      <c r="AD949" s="877">
        <f>T949</f>
        <v>29</v>
      </c>
      <c r="AE949" s="40">
        <f>W949</f>
        <v>31</v>
      </c>
      <c r="AF949" s="40">
        <f>Z949</f>
        <v>30</v>
      </c>
      <c r="AG949" s="40">
        <f>AC949</f>
        <v>31</v>
      </c>
      <c r="AH949" s="40">
        <f>AE949</f>
        <v>31</v>
      </c>
      <c r="AI949" s="40">
        <f>AG949</f>
        <v>31</v>
      </c>
      <c r="AJ949" s="40">
        <f>AI949</f>
        <v>31</v>
      </c>
      <c r="AL949" s="40">
        <f t="shared" ca="1" si="1403"/>
        <v>31</v>
      </c>
      <c r="AM949" s="40">
        <f t="shared" ca="1" si="1404"/>
        <v>0</v>
      </c>
      <c r="AN949" s="3057">
        <f t="shared" ca="1" si="1405"/>
        <v>31</v>
      </c>
      <c r="AO949" s="2695">
        <f t="shared" ca="1" si="1406"/>
        <v>0</v>
      </c>
      <c r="AP949" s="40">
        <f t="shared" ca="1" si="1407"/>
        <v>0</v>
      </c>
      <c r="AQ949" s="3057">
        <f t="shared" ca="1" si="1408"/>
        <v>31</v>
      </c>
      <c r="AR949" s="2695">
        <f t="shared" ca="1" si="1409"/>
        <v>0</v>
      </c>
      <c r="AT949" s="40">
        <f t="shared" ca="1" si="1410"/>
        <v>31</v>
      </c>
      <c r="AU949" s="40">
        <f t="shared" ca="1" si="1411"/>
        <v>0</v>
      </c>
      <c r="AV949" s="3057">
        <f t="shared" ca="1" si="1412"/>
        <v>31</v>
      </c>
      <c r="AW949" s="2695">
        <f t="shared" ca="1" si="1413"/>
        <v>0</v>
      </c>
      <c r="AX949" s="40">
        <f t="shared" ca="1" si="1414"/>
        <v>0</v>
      </c>
      <c r="AY949" s="3057">
        <f t="shared" ca="1" si="1415"/>
        <v>31</v>
      </c>
      <c r="AZ949" s="2695">
        <f t="shared" ca="1" si="1416"/>
        <v>0</v>
      </c>
      <c r="BB949" s="40">
        <f t="shared" ca="1" si="1417"/>
        <v>31</v>
      </c>
      <c r="BC949" s="40">
        <f t="shared" ca="1" si="1418"/>
        <v>0</v>
      </c>
      <c r="BD949" s="3057">
        <f t="shared" ca="1" si="1419"/>
        <v>31</v>
      </c>
      <c r="BE949" s="2695">
        <f t="shared" ca="1" si="1420"/>
        <v>0</v>
      </c>
      <c r="BF949" s="40">
        <f t="shared" ca="1" si="1421"/>
        <v>0</v>
      </c>
      <c r="BG949" s="3057">
        <f t="shared" ca="1" si="1422"/>
        <v>31</v>
      </c>
      <c r="BH949" s="2695">
        <f t="shared" ca="1" si="1423"/>
        <v>0</v>
      </c>
    </row>
    <row r="950" spans="1:60" s="34" customFormat="1" ht="14.5">
      <c r="A950" s="616">
        <f t="shared" si="1370"/>
        <v>863</v>
      </c>
      <c r="B950" s="616">
        <v>1</v>
      </c>
      <c r="C950" s="616">
        <f t="shared" si="1372"/>
        <v>947</v>
      </c>
      <c r="E950" s="2547">
        <v>1</v>
      </c>
      <c r="F950" s="4"/>
      <c r="G950" s="4"/>
      <c r="H950" s="4"/>
      <c r="I950" s="258"/>
      <c r="J950" s="4"/>
      <c r="K950" s="4"/>
      <c r="L950" s="4"/>
      <c r="M950" s="3"/>
      <c r="N950" s="41"/>
      <c r="O950" s="41" t="s">
        <v>41</v>
      </c>
      <c r="P950" s="3"/>
      <c r="Q950" s="1778" t="str">
        <f>CHOOSE(2, "6722000003869", "HC PP FE/TTOC Service Total Dealer(Indirect) support")</f>
        <v>HC PP FE/TTOC Service Total Dealer(Indirect) support</v>
      </c>
      <c r="R950" s="3310">
        <v>0</v>
      </c>
      <c r="S950" s="1212">
        <v>0</v>
      </c>
      <c r="T950" s="1212">
        <v>0</v>
      </c>
      <c r="U950" s="1212">
        <v>0</v>
      </c>
      <c r="V950" s="1212">
        <v>0</v>
      </c>
      <c r="W950" s="1212">
        <v>0</v>
      </c>
      <c r="X950" s="1212">
        <v>0</v>
      </c>
      <c r="Y950" s="1212">
        <v>0</v>
      </c>
      <c r="Z950" s="1212">
        <v>0</v>
      </c>
      <c r="AA950" s="1212">
        <v>0</v>
      </c>
      <c r="AB950" s="1212">
        <v>0</v>
      </c>
      <c r="AC950" s="1212">
        <v>0</v>
      </c>
      <c r="AD950" s="877">
        <f>T950</f>
        <v>0</v>
      </c>
      <c r="AE950" s="40">
        <f>W950</f>
        <v>0</v>
      </c>
      <c r="AF950" s="40">
        <f>Z950</f>
        <v>0</v>
      </c>
      <c r="AG950" s="40">
        <f>AC950</f>
        <v>0</v>
      </c>
      <c r="AH950" s="40">
        <f>AE950</f>
        <v>0</v>
      </c>
      <c r="AI950" s="40">
        <f>AG950</f>
        <v>0</v>
      </c>
      <c r="AJ950" s="40">
        <f>AI950</f>
        <v>0</v>
      </c>
      <c r="AL950" s="40">
        <f t="shared" ca="1" si="1403"/>
        <v>0</v>
      </c>
      <c r="AM950" s="40">
        <f t="shared" ca="1" si="1404"/>
        <v>0</v>
      </c>
      <c r="AN950" s="3057">
        <f t="shared" ca="1" si="1405"/>
        <v>0</v>
      </c>
      <c r="AO950" s="2695">
        <f t="shared" ca="1" si="1406"/>
        <v>0</v>
      </c>
      <c r="AP950" s="40">
        <f t="shared" ca="1" si="1407"/>
        <v>0</v>
      </c>
      <c r="AQ950" s="3057">
        <f t="shared" ca="1" si="1408"/>
        <v>0</v>
      </c>
      <c r="AR950" s="2695">
        <f t="shared" ca="1" si="1409"/>
        <v>0</v>
      </c>
      <c r="AT950" s="40">
        <f t="shared" ca="1" si="1410"/>
        <v>0</v>
      </c>
      <c r="AU950" s="40">
        <f t="shared" ca="1" si="1411"/>
        <v>0</v>
      </c>
      <c r="AV950" s="3057">
        <f t="shared" ca="1" si="1412"/>
        <v>0</v>
      </c>
      <c r="AW950" s="2695">
        <f t="shared" ca="1" si="1413"/>
        <v>0</v>
      </c>
      <c r="AX950" s="40">
        <f t="shared" ca="1" si="1414"/>
        <v>0</v>
      </c>
      <c r="AY950" s="3057">
        <f t="shared" ca="1" si="1415"/>
        <v>0</v>
      </c>
      <c r="AZ950" s="2695">
        <f t="shared" ca="1" si="1416"/>
        <v>0</v>
      </c>
      <c r="BB950" s="40">
        <f t="shared" ca="1" si="1417"/>
        <v>0</v>
      </c>
      <c r="BC950" s="40">
        <f t="shared" ca="1" si="1418"/>
        <v>0</v>
      </c>
      <c r="BD950" s="3057">
        <f t="shared" ca="1" si="1419"/>
        <v>0</v>
      </c>
      <c r="BE950" s="2695">
        <f t="shared" ca="1" si="1420"/>
        <v>0</v>
      </c>
      <c r="BF950" s="40">
        <f t="shared" ca="1" si="1421"/>
        <v>0</v>
      </c>
      <c r="BG950" s="3057">
        <f t="shared" ca="1" si="1422"/>
        <v>0</v>
      </c>
      <c r="BH950" s="2695">
        <f t="shared" ca="1" si="1423"/>
        <v>0</v>
      </c>
    </row>
    <row r="951" spans="1:60" s="34" customFormat="1" ht="14.5">
      <c r="A951" s="616">
        <f t="shared" si="1370"/>
        <v>864</v>
      </c>
      <c r="B951" s="616">
        <v>1</v>
      </c>
      <c r="C951" s="616">
        <f t="shared" si="1372"/>
        <v>948</v>
      </c>
      <c r="E951" s="2547">
        <v>1</v>
      </c>
      <c r="F951" s="4"/>
      <c r="G951" s="4"/>
      <c r="H951" s="4"/>
      <c r="I951" s="258"/>
      <c r="J951" s="4"/>
      <c r="K951" s="4"/>
      <c r="L951" s="4"/>
      <c r="M951" s="3"/>
      <c r="N951" s="41"/>
      <c r="O951" s="41" t="s">
        <v>40</v>
      </c>
      <c r="P951" s="3"/>
      <c r="Q951" s="1778" t="str">
        <f>CHOOSE(2, "6722000003870", "HC PP FE/TTOC Service Total Administration/Others")</f>
        <v>HC PP FE/TTOC Service Total Administration/Others</v>
      </c>
      <c r="R951" s="3310">
        <v>12</v>
      </c>
      <c r="S951" s="1212">
        <v>13</v>
      </c>
      <c r="T951" s="1212">
        <v>12</v>
      </c>
      <c r="U951" s="1212">
        <v>12</v>
      </c>
      <c r="V951" s="1212">
        <v>12</v>
      </c>
      <c r="W951" s="1212">
        <v>11</v>
      </c>
      <c r="X951" s="1212">
        <v>11</v>
      </c>
      <c r="Y951" s="1212">
        <v>12</v>
      </c>
      <c r="Z951" s="1212">
        <v>12</v>
      </c>
      <c r="AA951" s="1212">
        <v>12</v>
      </c>
      <c r="AB951" s="1212">
        <v>13</v>
      </c>
      <c r="AC951" s="1212">
        <v>13</v>
      </c>
      <c r="AD951" s="877">
        <f>T951</f>
        <v>12</v>
      </c>
      <c r="AE951" s="40">
        <f>W951</f>
        <v>11</v>
      </c>
      <c r="AF951" s="40">
        <f>Z951</f>
        <v>12</v>
      </c>
      <c r="AG951" s="40">
        <f>AC951</f>
        <v>13</v>
      </c>
      <c r="AH951" s="40">
        <f>AE951</f>
        <v>11</v>
      </c>
      <c r="AI951" s="40">
        <f>AG951</f>
        <v>13</v>
      </c>
      <c r="AJ951" s="40">
        <f>AI951</f>
        <v>13</v>
      </c>
      <c r="AL951" s="40">
        <f t="shared" ca="1" si="1403"/>
        <v>13</v>
      </c>
      <c r="AM951" s="40">
        <f t="shared" ca="1" si="1404"/>
        <v>492</v>
      </c>
      <c r="AN951" s="3057">
        <f t="shared" ca="1" si="1405"/>
        <v>-479</v>
      </c>
      <c r="AO951" s="2695">
        <f t="shared" ca="1" si="1406"/>
        <v>2.6422764227642278E-2</v>
      </c>
      <c r="AP951" s="40">
        <f t="shared" ca="1" si="1407"/>
        <v>0</v>
      </c>
      <c r="AQ951" s="3057">
        <f t="shared" ca="1" si="1408"/>
        <v>13</v>
      </c>
      <c r="AR951" s="2695">
        <f t="shared" ca="1" si="1409"/>
        <v>0</v>
      </c>
      <c r="AT951" s="40">
        <f t="shared" ca="1" si="1410"/>
        <v>13</v>
      </c>
      <c r="AU951" s="40">
        <f t="shared" ca="1" si="1411"/>
        <v>492</v>
      </c>
      <c r="AV951" s="3057">
        <f t="shared" ca="1" si="1412"/>
        <v>-479</v>
      </c>
      <c r="AW951" s="2695">
        <f t="shared" ca="1" si="1413"/>
        <v>2.6422764227642278E-2</v>
      </c>
      <c r="AX951" s="40">
        <f t="shared" ca="1" si="1414"/>
        <v>0</v>
      </c>
      <c r="AY951" s="3057">
        <f t="shared" ca="1" si="1415"/>
        <v>13</v>
      </c>
      <c r="AZ951" s="2695">
        <f t="shared" ca="1" si="1416"/>
        <v>0</v>
      </c>
      <c r="BB951" s="40">
        <f t="shared" ca="1" si="1417"/>
        <v>13</v>
      </c>
      <c r="BC951" s="40">
        <f t="shared" ca="1" si="1418"/>
        <v>492</v>
      </c>
      <c r="BD951" s="3057">
        <f t="shared" ca="1" si="1419"/>
        <v>-479</v>
      </c>
      <c r="BE951" s="2695">
        <f t="shared" ca="1" si="1420"/>
        <v>2.6422764227642278E-2</v>
      </c>
      <c r="BF951" s="40">
        <f t="shared" ca="1" si="1421"/>
        <v>0</v>
      </c>
      <c r="BG951" s="3057">
        <f t="shared" ca="1" si="1422"/>
        <v>13</v>
      </c>
      <c r="BH951" s="2695">
        <f t="shared" ca="1" si="1423"/>
        <v>0</v>
      </c>
    </row>
    <row r="952" spans="1:60" s="34" customFormat="1" ht="14.5">
      <c r="A952" s="616">
        <f t="shared" si="1370"/>
        <v>865</v>
      </c>
      <c r="B952" s="616">
        <v>1</v>
      </c>
      <c r="C952" s="616">
        <f t="shared" si="1372"/>
        <v>949</v>
      </c>
      <c r="D952" s="709" t="s">
        <v>1308</v>
      </c>
      <c r="E952" s="2547">
        <v>1</v>
      </c>
      <c r="F952" s="4"/>
      <c r="G952" s="4"/>
      <c r="H952" s="4"/>
      <c r="I952" s="258"/>
      <c r="J952" s="252" t="s">
        <v>1516</v>
      </c>
      <c r="K952" s="252"/>
      <c r="L952" s="252"/>
      <c r="M952" s="251"/>
      <c r="N952" s="251"/>
      <c r="O952" s="251"/>
      <c r="P952" s="251"/>
      <c r="Q952" s="1786" t="str">
        <f>CHOOSE(2, "6722000003871", "HC PP FE/TTOC Marketing Total")</f>
        <v>HC PP FE/TTOC Marketing Total</v>
      </c>
      <c r="R952" s="3102">
        <f>SUM(R953:R956)</f>
        <v>9</v>
      </c>
      <c r="S952" s="3102">
        <f t="shared" ref="S952:AJ952" si="1426">SUM(S953:S956)</f>
        <v>9</v>
      </c>
      <c r="T952" s="3102">
        <f t="shared" si="1426"/>
        <v>9</v>
      </c>
      <c r="U952" s="3102">
        <f t="shared" si="1426"/>
        <v>9</v>
      </c>
      <c r="V952" s="3102">
        <f t="shared" si="1426"/>
        <v>9</v>
      </c>
      <c r="W952" s="3102">
        <f t="shared" si="1426"/>
        <v>9</v>
      </c>
      <c r="X952" s="3102">
        <f t="shared" si="1426"/>
        <v>9</v>
      </c>
      <c r="Y952" s="3102">
        <f t="shared" si="1426"/>
        <v>9</v>
      </c>
      <c r="Z952" s="3102">
        <f t="shared" si="1426"/>
        <v>9</v>
      </c>
      <c r="AA952" s="3102">
        <f t="shared" si="1426"/>
        <v>9</v>
      </c>
      <c r="AB952" s="3102">
        <f t="shared" si="1426"/>
        <v>9</v>
      </c>
      <c r="AC952" s="3102">
        <f t="shared" si="1426"/>
        <v>9</v>
      </c>
      <c r="AD952" s="745">
        <f t="shared" si="1426"/>
        <v>9</v>
      </c>
      <c r="AE952" s="3102">
        <f t="shared" si="1426"/>
        <v>9</v>
      </c>
      <c r="AF952" s="3102">
        <f t="shared" si="1426"/>
        <v>9</v>
      </c>
      <c r="AG952" s="3102">
        <f t="shared" si="1426"/>
        <v>9</v>
      </c>
      <c r="AH952" s="3102">
        <f t="shared" si="1426"/>
        <v>9</v>
      </c>
      <c r="AI952" s="3102">
        <f t="shared" si="1426"/>
        <v>9</v>
      </c>
      <c r="AJ952" s="3102">
        <f t="shared" si="1426"/>
        <v>9</v>
      </c>
      <c r="AL952" s="3102">
        <f t="shared" ca="1" si="1403"/>
        <v>9</v>
      </c>
      <c r="AM952" s="3102">
        <f t="shared" ca="1" si="1404"/>
        <v>73</v>
      </c>
      <c r="AN952" s="3304">
        <f t="shared" ca="1" si="1405"/>
        <v>-64</v>
      </c>
      <c r="AO952" s="2953">
        <f t="shared" ca="1" si="1406"/>
        <v>0.12328767123287671</v>
      </c>
      <c r="AP952" s="3102">
        <f t="shared" ca="1" si="1407"/>
        <v>0</v>
      </c>
      <c r="AQ952" s="3304">
        <f t="shared" ca="1" si="1408"/>
        <v>9</v>
      </c>
      <c r="AR952" s="2953">
        <f t="shared" ca="1" si="1409"/>
        <v>0</v>
      </c>
      <c r="AT952" s="3102">
        <f t="shared" ca="1" si="1410"/>
        <v>9</v>
      </c>
      <c r="AU952" s="3102">
        <f t="shared" ca="1" si="1411"/>
        <v>73</v>
      </c>
      <c r="AV952" s="3304">
        <f t="shared" ca="1" si="1412"/>
        <v>-64</v>
      </c>
      <c r="AW952" s="2953">
        <f t="shared" ca="1" si="1413"/>
        <v>0.12328767123287671</v>
      </c>
      <c r="AX952" s="3102">
        <f t="shared" ca="1" si="1414"/>
        <v>0</v>
      </c>
      <c r="AY952" s="3304">
        <f t="shared" ca="1" si="1415"/>
        <v>9</v>
      </c>
      <c r="AZ952" s="2953">
        <f t="shared" ca="1" si="1416"/>
        <v>0</v>
      </c>
      <c r="BB952" s="3102">
        <f t="shared" ca="1" si="1417"/>
        <v>9</v>
      </c>
      <c r="BC952" s="3102">
        <f t="shared" ca="1" si="1418"/>
        <v>73</v>
      </c>
      <c r="BD952" s="3304">
        <f t="shared" ca="1" si="1419"/>
        <v>-64</v>
      </c>
      <c r="BE952" s="2953">
        <f t="shared" ca="1" si="1420"/>
        <v>0.12328767123287671</v>
      </c>
      <c r="BF952" s="3102">
        <f t="shared" ca="1" si="1421"/>
        <v>0</v>
      </c>
      <c r="BG952" s="3304">
        <f t="shared" ca="1" si="1422"/>
        <v>9</v>
      </c>
      <c r="BH952" s="2953">
        <f t="shared" ca="1" si="1423"/>
        <v>0</v>
      </c>
    </row>
    <row r="953" spans="1:60" s="34" customFormat="1" ht="14.5">
      <c r="A953" s="616">
        <f t="shared" si="1370"/>
        <v>866</v>
      </c>
      <c r="B953" s="616">
        <v>1</v>
      </c>
      <c r="C953" s="616">
        <f t="shared" si="1372"/>
        <v>950</v>
      </c>
      <c r="E953" s="2547">
        <v>1</v>
      </c>
      <c r="F953" s="4"/>
      <c r="G953" s="4"/>
      <c r="H953" s="4"/>
      <c r="I953" s="258"/>
      <c r="J953" s="4"/>
      <c r="K953" s="4"/>
      <c r="L953" s="4"/>
      <c r="M953" s="3"/>
      <c r="N953" s="41"/>
      <c r="O953" s="41" t="s">
        <v>198</v>
      </c>
      <c r="P953" s="3"/>
      <c r="Q953" s="1778" t="str">
        <f>CHOOSE(2, "6722000003872", "HC PP FE/TTOC Marketing Total Business Development")</f>
        <v>HC PP FE/TTOC Marketing Total Business Development</v>
      </c>
      <c r="R953" s="3310">
        <v>6</v>
      </c>
      <c r="S953" s="1212">
        <v>6</v>
      </c>
      <c r="T953" s="1212">
        <v>6</v>
      </c>
      <c r="U953" s="1212">
        <v>6</v>
      </c>
      <c r="V953" s="1212">
        <v>6</v>
      </c>
      <c r="W953" s="1212">
        <v>6</v>
      </c>
      <c r="X953" s="1212">
        <v>6</v>
      </c>
      <c r="Y953" s="1212">
        <v>6</v>
      </c>
      <c r="Z953" s="1212">
        <v>6</v>
      </c>
      <c r="AA953" s="1212">
        <v>6</v>
      </c>
      <c r="AB953" s="1212">
        <v>6</v>
      </c>
      <c r="AC953" s="1212">
        <v>6</v>
      </c>
      <c r="AD953" s="877">
        <f>T953</f>
        <v>6</v>
      </c>
      <c r="AE953" s="40">
        <f>W953</f>
        <v>6</v>
      </c>
      <c r="AF953" s="40">
        <f>Z953</f>
        <v>6</v>
      </c>
      <c r="AG953" s="40">
        <f>AC953</f>
        <v>6</v>
      </c>
      <c r="AH953" s="40">
        <f>AE953</f>
        <v>6</v>
      </c>
      <c r="AI953" s="40">
        <f>AG953</f>
        <v>6</v>
      </c>
      <c r="AJ953" s="40">
        <f>AI953</f>
        <v>6</v>
      </c>
      <c r="AL953" s="40">
        <f t="shared" ca="1" si="1403"/>
        <v>6</v>
      </c>
      <c r="AM953" s="40">
        <f t="shared" ca="1" si="1404"/>
        <v>58</v>
      </c>
      <c r="AN953" s="3057">
        <f t="shared" ca="1" si="1405"/>
        <v>-52</v>
      </c>
      <c r="AO953" s="2695">
        <f t="shared" ca="1" si="1406"/>
        <v>0.10344827586206896</v>
      </c>
      <c r="AP953" s="40">
        <f t="shared" ca="1" si="1407"/>
        <v>0</v>
      </c>
      <c r="AQ953" s="3057">
        <f t="shared" ca="1" si="1408"/>
        <v>6</v>
      </c>
      <c r="AR953" s="2695">
        <f t="shared" ca="1" si="1409"/>
        <v>0</v>
      </c>
      <c r="AT953" s="40">
        <f t="shared" ca="1" si="1410"/>
        <v>6</v>
      </c>
      <c r="AU953" s="40">
        <f t="shared" ca="1" si="1411"/>
        <v>58</v>
      </c>
      <c r="AV953" s="3057">
        <f t="shared" ca="1" si="1412"/>
        <v>-52</v>
      </c>
      <c r="AW953" s="2695">
        <f t="shared" ca="1" si="1413"/>
        <v>0.10344827586206896</v>
      </c>
      <c r="AX953" s="40">
        <f t="shared" ca="1" si="1414"/>
        <v>0</v>
      </c>
      <c r="AY953" s="3057">
        <f t="shared" ca="1" si="1415"/>
        <v>6</v>
      </c>
      <c r="AZ953" s="2695">
        <f t="shared" ca="1" si="1416"/>
        <v>0</v>
      </c>
      <c r="BB953" s="40">
        <f t="shared" ca="1" si="1417"/>
        <v>6</v>
      </c>
      <c r="BC953" s="40">
        <f t="shared" ca="1" si="1418"/>
        <v>58</v>
      </c>
      <c r="BD953" s="3057">
        <f t="shared" ca="1" si="1419"/>
        <v>-52</v>
      </c>
      <c r="BE953" s="2695">
        <f t="shared" ca="1" si="1420"/>
        <v>0.10344827586206896</v>
      </c>
      <c r="BF953" s="40">
        <f t="shared" ca="1" si="1421"/>
        <v>0</v>
      </c>
      <c r="BG953" s="3057">
        <f t="shared" ca="1" si="1422"/>
        <v>6</v>
      </c>
      <c r="BH953" s="2695">
        <f t="shared" ca="1" si="1423"/>
        <v>0</v>
      </c>
    </row>
    <row r="954" spans="1:60" s="34" customFormat="1" ht="14.5">
      <c r="A954" s="616">
        <f t="shared" si="1370"/>
        <v>867</v>
      </c>
      <c r="B954" s="616">
        <v>1</v>
      </c>
      <c r="C954" s="616">
        <f t="shared" si="1372"/>
        <v>951</v>
      </c>
      <c r="E954" s="2547">
        <v>1</v>
      </c>
      <c r="F954" s="4"/>
      <c r="G954" s="4"/>
      <c r="H954" s="4"/>
      <c r="I954" s="258"/>
      <c r="J954" s="4"/>
      <c r="K954" s="4"/>
      <c r="L954" s="4"/>
      <c r="M954" s="3"/>
      <c r="N954" s="41"/>
      <c r="O954" s="41" t="s">
        <v>199</v>
      </c>
      <c r="P954" s="3"/>
      <c r="Q954" s="1778" t="str">
        <f>CHOOSE(2, "6722000003873", "HC PP FE/TTOC Marketing Total Channel Marketing")</f>
        <v>HC PP FE/TTOC Marketing Total Channel Marketing</v>
      </c>
      <c r="R954" s="3310">
        <v>0</v>
      </c>
      <c r="S954" s="1212">
        <v>0</v>
      </c>
      <c r="T954" s="1212">
        <v>0</v>
      </c>
      <c r="U954" s="1212">
        <v>0</v>
      </c>
      <c r="V954" s="1212">
        <v>0</v>
      </c>
      <c r="W954" s="1212">
        <v>0</v>
      </c>
      <c r="X954" s="1212">
        <v>0</v>
      </c>
      <c r="Y954" s="1212">
        <v>0</v>
      </c>
      <c r="Z954" s="1212">
        <v>0</v>
      </c>
      <c r="AA954" s="1212">
        <v>0</v>
      </c>
      <c r="AB954" s="1212">
        <v>0</v>
      </c>
      <c r="AC954" s="1212">
        <v>0</v>
      </c>
      <c r="AD954" s="877">
        <f>T954</f>
        <v>0</v>
      </c>
      <c r="AE954" s="40">
        <f>W954</f>
        <v>0</v>
      </c>
      <c r="AF954" s="40">
        <f>Z954</f>
        <v>0</v>
      </c>
      <c r="AG954" s="40">
        <f>AC954</f>
        <v>0</v>
      </c>
      <c r="AH954" s="40">
        <f>AE954</f>
        <v>0</v>
      </c>
      <c r="AI954" s="40">
        <f>AG954</f>
        <v>0</v>
      </c>
      <c r="AJ954" s="40">
        <f>AI954</f>
        <v>0</v>
      </c>
      <c r="AL954" s="40">
        <f t="shared" ca="1" si="1403"/>
        <v>0</v>
      </c>
      <c r="AM954" s="40">
        <f t="shared" ca="1" si="1404"/>
        <v>0</v>
      </c>
      <c r="AN954" s="3057">
        <f t="shared" ca="1" si="1405"/>
        <v>0</v>
      </c>
      <c r="AO954" s="2695">
        <f t="shared" ca="1" si="1406"/>
        <v>0</v>
      </c>
      <c r="AP954" s="40">
        <f t="shared" ca="1" si="1407"/>
        <v>0</v>
      </c>
      <c r="AQ954" s="3057">
        <f t="shared" ca="1" si="1408"/>
        <v>0</v>
      </c>
      <c r="AR954" s="2695">
        <f t="shared" ca="1" si="1409"/>
        <v>0</v>
      </c>
      <c r="AT954" s="40">
        <f t="shared" ca="1" si="1410"/>
        <v>0</v>
      </c>
      <c r="AU954" s="40">
        <f t="shared" ca="1" si="1411"/>
        <v>0</v>
      </c>
      <c r="AV954" s="3057">
        <f t="shared" ca="1" si="1412"/>
        <v>0</v>
      </c>
      <c r="AW954" s="2695">
        <f t="shared" ca="1" si="1413"/>
        <v>0</v>
      </c>
      <c r="AX954" s="40">
        <f t="shared" ca="1" si="1414"/>
        <v>0</v>
      </c>
      <c r="AY954" s="3057">
        <f t="shared" ca="1" si="1415"/>
        <v>0</v>
      </c>
      <c r="AZ954" s="2695">
        <f t="shared" ca="1" si="1416"/>
        <v>0</v>
      </c>
      <c r="BB954" s="40">
        <f t="shared" ca="1" si="1417"/>
        <v>0</v>
      </c>
      <c r="BC954" s="40">
        <f t="shared" ca="1" si="1418"/>
        <v>0</v>
      </c>
      <c r="BD954" s="3057">
        <f t="shared" ca="1" si="1419"/>
        <v>0</v>
      </c>
      <c r="BE954" s="2695">
        <f t="shared" ca="1" si="1420"/>
        <v>0</v>
      </c>
      <c r="BF954" s="40">
        <f t="shared" ca="1" si="1421"/>
        <v>0</v>
      </c>
      <c r="BG954" s="3057">
        <f t="shared" ca="1" si="1422"/>
        <v>0</v>
      </c>
      <c r="BH954" s="2695">
        <f t="shared" ca="1" si="1423"/>
        <v>0</v>
      </c>
    </row>
    <row r="955" spans="1:60" s="34" customFormat="1" ht="14.5">
      <c r="A955" s="616">
        <f t="shared" si="1370"/>
        <v>868</v>
      </c>
      <c r="B955" s="616">
        <v>1</v>
      </c>
      <c r="C955" s="616">
        <f t="shared" si="1372"/>
        <v>952</v>
      </c>
      <c r="E955" s="2547">
        <v>1</v>
      </c>
      <c r="F955" s="4"/>
      <c r="G955" s="4"/>
      <c r="H955" s="4"/>
      <c r="I955" s="258"/>
      <c r="J955" s="4"/>
      <c r="K955" s="4"/>
      <c r="L955" s="4"/>
      <c r="M955" s="3"/>
      <c r="N955" s="41"/>
      <c r="O955" s="41" t="s">
        <v>200</v>
      </c>
      <c r="P955" s="3"/>
      <c r="Q955" s="1778" t="str">
        <f>CHOOSE(2, "6722000003874", "HC PP FE/TTOC Marketing Total Product Marketing")</f>
        <v>HC PP FE/TTOC Marketing Total Product Marketing</v>
      </c>
      <c r="R955" s="3310">
        <v>1</v>
      </c>
      <c r="S955" s="1212">
        <v>1</v>
      </c>
      <c r="T955" s="1212">
        <v>1</v>
      </c>
      <c r="U955" s="1212">
        <v>1</v>
      </c>
      <c r="V955" s="1212">
        <v>1</v>
      </c>
      <c r="W955" s="1212">
        <v>1</v>
      </c>
      <c r="X955" s="1212">
        <v>1</v>
      </c>
      <c r="Y955" s="1212">
        <v>1</v>
      </c>
      <c r="Z955" s="1212">
        <v>1</v>
      </c>
      <c r="AA955" s="1212">
        <v>1</v>
      </c>
      <c r="AB955" s="1212">
        <v>1</v>
      </c>
      <c r="AC955" s="1212">
        <v>1</v>
      </c>
      <c r="AD955" s="877">
        <f>T955</f>
        <v>1</v>
      </c>
      <c r="AE955" s="40">
        <f>W955</f>
        <v>1</v>
      </c>
      <c r="AF955" s="40">
        <f>Z955</f>
        <v>1</v>
      </c>
      <c r="AG955" s="40">
        <f>AC955</f>
        <v>1</v>
      </c>
      <c r="AH955" s="40">
        <f>AE955</f>
        <v>1</v>
      </c>
      <c r="AI955" s="40">
        <f>AG955</f>
        <v>1</v>
      </c>
      <c r="AJ955" s="40">
        <f>AI955</f>
        <v>1</v>
      </c>
      <c r="AL955" s="40">
        <f t="shared" ca="1" si="1403"/>
        <v>1</v>
      </c>
      <c r="AM955" s="40">
        <f t="shared" ca="1" si="1404"/>
        <v>0</v>
      </c>
      <c r="AN955" s="3057">
        <f t="shared" ca="1" si="1405"/>
        <v>1</v>
      </c>
      <c r="AO955" s="2695">
        <f t="shared" ca="1" si="1406"/>
        <v>0</v>
      </c>
      <c r="AP955" s="40">
        <f t="shared" ca="1" si="1407"/>
        <v>0</v>
      </c>
      <c r="AQ955" s="3057">
        <f t="shared" ca="1" si="1408"/>
        <v>1</v>
      </c>
      <c r="AR955" s="2695">
        <f t="shared" ca="1" si="1409"/>
        <v>0</v>
      </c>
      <c r="AT955" s="40">
        <f t="shared" ca="1" si="1410"/>
        <v>1</v>
      </c>
      <c r="AU955" s="40">
        <f t="shared" ca="1" si="1411"/>
        <v>0</v>
      </c>
      <c r="AV955" s="3057">
        <f t="shared" ca="1" si="1412"/>
        <v>1</v>
      </c>
      <c r="AW955" s="2695">
        <f t="shared" ca="1" si="1413"/>
        <v>0</v>
      </c>
      <c r="AX955" s="40">
        <f t="shared" ca="1" si="1414"/>
        <v>0</v>
      </c>
      <c r="AY955" s="3057">
        <f t="shared" ca="1" si="1415"/>
        <v>1</v>
      </c>
      <c r="AZ955" s="2695">
        <f t="shared" ca="1" si="1416"/>
        <v>0</v>
      </c>
      <c r="BB955" s="40">
        <f t="shared" ca="1" si="1417"/>
        <v>1</v>
      </c>
      <c r="BC955" s="40">
        <f t="shared" ca="1" si="1418"/>
        <v>0</v>
      </c>
      <c r="BD955" s="3057">
        <f t="shared" ca="1" si="1419"/>
        <v>1</v>
      </c>
      <c r="BE955" s="2695">
        <f t="shared" ca="1" si="1420"/>
        <v>0</v>
      </c>
      <c r="BF955" s="40">
        <f t="shared" ca="1" si="1421"/>
        <v>0</v>
      </c>
      <c r="BG955" s="3057">
        <f t="shared" ca="1" si="1422"/>
        <v>1</v>
      </c>
      <c r="BH955" s="2695">
        <f t="shared" ca="1" si="1423"/>
        <v>0</v>
      </c>
    </row>
    <row r="956" spans="1:60" s="34" customFormat="1" ht="14.5">
      <c r="A956" s="616">
        <f t="shared" si="1370"/>
        <v>869</v>
      </c>
      <c r="B956" s="616">
        <v>1</v>
      </c>
      <c r="C956" s="616">
        <f t="shared" si="1372"/>
        <v>953</v>
      </c>
      <c r="E956" s="2547">
        <v>1</v>
      </c>
      <c r="F956" s="4"/>
      <c r="G956" s="4"/>
      <c r="H956" s="4"/>
      <c r="I956" s="258"/>
      <c r="J956" s="2"/>
      <c r="K956" s="2"/>
      <c r="L956" s="2"/>
      <c r="M956" s="1"/>
      <c r="N956" s="39"/>
      <c r="O956" s="39" t="s">
        <v>201</v>
      </c>
      <c r="P956" s="1"/>
      <c r="Q956" s="1778" t="str">
        <f>CHOOSE(2, "6722000003875", "HC PP FE/TTOC Marketing Total MC / O")</f>
        <v>HC PP FE/TTOC Marketing Total MC / O</v>
      </c>
      <c r="R956" s="3311">
        <v>2</v>
      </c>
      <c r="S956" s="1211">
        <v>2</v>
      </c>
      <c r="T956" s="1211">
        <v>2</v>
      </c>
      <c r="U956" s="1211">
        <v>2</v>
      </c>
      <c r="V956" s="1211">
        <v>2</v>
      </c>
      <c r="W956" s="1211">
        <v>2</v>
      </c>
      <c r="X956" s="1211">
        <v>2</v>
      </c>
      <c r="Y956" s="1211">
        <v>2</v>
      </c>
      <c r="Z956" s="1211">
        <v>2</v>
      </c>
      <c r="AA956" s="1211">
        <v>2</v>
      </c>
      <c r="AB956" s="1211">
        <v>2</v>
      </c>
      <c r="AC956" s="1211">
        <v>2</v>
      </c>
      <c r="AD956" s="912">
        <f>T956</f>
        <v>2</v>
      </c>
      <c r="AE956" s="38">
        <f>W956</f>
        <v>2</v>
      </c>
      <c r="AF956" s="38">
        <f>Z956</f>
        <v>2</v>
      </c>
      <c r="AG956" s="38">
        <f>AC956</f>
        <v>2</v>
      </c>
      <c r="AH956" s="38">
        <f>AE956</f>
        <v>2</v>
      </c>
      <c r="AI956" s="38">
        <f>AG956</f>
        <v>2</v>
      </c>
      <c r="AJ956" s="38">
        <f>AI956</f>
        <v>2</v>
      </c>
      <c r="AL956" s="38">
        <f t="shared" ca="1" si="1403"/>
        <v>2</v>
      </c>
      <c r="AM956" s="38">
        <f t="shared" ca="1" si="1404"/>
        <v>15</v>
      </c>
      <c r="AN956" s="3303">
        <f t="shared" ca="1" si="1405"/>
        <v>-13</v>
      </c>
      <c r="AO956" s="2951">
        <f t="shared" ca="1" si="1406"/>
        <v>0.13333333333333333</v>
      </c>
      <c r="AP956" s="38">
        <f t="shared" ca="1" si="1407"/>
        <v>0</v>
      </c>
      <c r="AQ956" s="3303">
        <f t="shared" ca="1" si="1408"/>
        <v>2</v>
      </c>
      <c r="AR956" s="2951">
        <f t="shared" ca="1" si="1409"/>
        <v>0</v>
      </c>
      <c r="AT956" s="38">
        <f t="shared" ca="1" si="1410"/>
        <v>2</v>
      </c>
      <c r="AU956" s="38">
        <f t="shared" ca="1" si="1411"/>
        <v>15</v>
      </c>
      <c r="AV956" s="3303">
        <f t="shared" ca="1" si="1412"/>
        <v>-13</v>
      </c>
      <c r="AW956" s="2951">
        <f t="shared" ca="1" si="1413"/>
        <v>0.13333333333333333</v>
      </c>
      <c r="AX956" s="38">
        <f t="shared" ca="1" si="1414"/>
        <v>0</v>
      </c>
      <c r="AY956" s="3303">
        <f t="shared" ca="1" si="1415"/>
        <v>2</v>
      </c>
      <c r="AZ956" s="2951">
        <f t="shared" ca="1" si="1416"/>
        <v>0</v>
      </c>
      <c r="BB956" s="38">
        <f t="shared" ca="1" si="1417"/>
        <v>2</v>
      </c>
      <c r="BC956" s="38">
        <f t="shared" ca="1" si="1418"/>
        <v>15</v>
      </c>
      <c r="BD956" s="3303">
        <f t="shared" ca="1" si="1419"/>
        <v>-13</v>
      </c>
      <c r="BE956" s="2951">
        <f t="shared" ca="1" si="1420"/>
        <v>0.13333333333333333</v>
      </c>
      <c r="BF956" s="38">
        <f t="shared" ca="1" si="1421"/>
        <v>0</v>
      </c>
      <c r="BG956" s="3303">
        <f t="shared" ca="1" si="1422"/>
        <v>2</v>
      </c>
      <c r="BH956" s="2951">
        <f t="shared" ca="1" si="1423"/>
        <v>0</v>
      </c>
    </row>
    <row r="957" spans="1:60" s="34" customFormat="1" ht="14.5">
      <c r="A957" s="616">
        <f t="shared" si="1370"/>
        <v>870</v>
      </c>
      <c r="B957" s="616">
        <v>1</v>
      </c>
      <c r="C957" s="616">
        <f t="shared" si="1372"/>
        <v>954</v>
      </c>
      <c r="D957" s="709" t="s">
        <v>1308</v>
      </c>
      <c r="E957" s="2547">
        <v>1</v>
      </c>
      <c r="F957" s="4"/>
      <c r="G957" s="4"/>
      <c r="H957" s="4"/>
      <c r="I957" s="258"/>
      <c r="J957" s="48" t="s">
        <v>1517</v>
      </c>
      <c r="K957" s="48"/>
      <c r="L957" s="48"/>
      <c r="M957" s="47"/>
      <c r="N957" s="47"/>
      <c r="O957" s="47"/>
      <c r="P957" s="47"/>
      <c r="Q957" s="1786" t="str">
        <f>CHOOSE(2, "6722000003876", "HC PP FE/TTOC Administration Total")</f>
        <v>HC PP FE/TTOC Administration Total</v>
      </c>
      <c r="R957" s="45">
        <f>SUM(R958:R962)</f>
        <v>47</v>
      </c>
      <c r="S957" s="45">
        <f t="shared" ref="S957:AJ957" si="1427">SUM(S958:S962)</f>
        <v>47</v>
      </c>
      <c r="T957" s="45">
        <f t="shared" si="1427"/>
        <v>47</v>
      </c>
      <c r="U957" s="45">
        <f t="shared" si="1427"/>
        <v>47</v>
      </c>
      <c r="V957" s="45">
        <f t="shared" si="1427"/>
        <v>47</v>
      </c>
      <c r="W957" s="45">
        <f t="shared" si="1427"/>
        <v>48</v>
      </c>
      <c r="X957" s="45">
        <f t="shared" si="1427"/>
        <v>47</v>
      </c>
      <c r="Y957" s="45">
        <f t="shared" si="1427"/>
        <v>46</v>
      </c>
      <c r="Z957" s="45">
        <f t="shared" si="1427"/>
        <v>46</v>
      </c>
      <c r="AA957" s="45">
        <f t="shared" si="1427"/>
        <v>48</v>
      </c>
      <c r="AB957" s="45">
        <f t="shared" si="1427"/>
        <v>48</v>
      </c>
      <c r="AC957" s="45">
        <f t="shared" si="1427"/>
        <v>48</v>
      </c>
      <c r="AD957" s="911">
        <f t="shared" si="1427"/>
        <v>47</v>
      </c>
      <c r="AE957" s="45">
        <f t="shared" si="1427"/>
        <v>48</v>
      </c>
      <c r="AF957" s="45">
        <f t="shared" si="1427"/>
        <v>46</v>
      </c>
      <c r="AG957" s="45">
        <f t="shared" si="1427"/>
        <v>48</v>
      </c>
      <c r="AH957" s="45">
        <f t="shared" si="1427"/>
        <v>48</v>
      </c>
      <c r="AI957" s="45">
        <f t="shared" si="1427"/>
        <v>48</v>
      </c>
      <c r="AJ957" s="45">
        <f t="shared" si="1427"/>
        <v>48</v>
      </c>
      <c r="AL957" s="45">
        <f t="shared" ca="1" si="1403"/>
        <v>48</v>
      </c>
      <c r="AM957" s="45">
        <f t="shared" ca="1" si="1404"/>
        <v>332</v>
      </c>
      <c r="AN957" s="3302">
        <f t="shared" ca="1" si="1405"/>
        <v>-284</v>
      </c>
      <c r="AO957" s="2949">
        <f t="shared" ca="1" si="1406"/>
        <v>0.14457831325301204</v>
      </c>
      <c r="AP957" s="45">
        <f t="shared" ca="1" si="1407"/>
        <v>0</v>
      </c>
      <c r="AQ957" s="3302">
        <f t="shared" ca="1" si="1408"/>
        <v>48</v>
      </c>
      <c r="AR957" s="2949">
        <f t="shared" ca="1" si="1409"/>
        <v>0</v>
      </c>
      <c r="AT957" s="45">
        <f t="shared" ca="1" si="1410"/>
        <v>48</v>
      </c>
      <c r="AU957" s="45">
        <f t="shared" ca="1" si="1411"/>
        <v>332</v>
      </c>
      <c r="AV957" s="3302">
        <f t="shared" ca="1" si="1412"/>
        <v>-284</v>
      </c>
      <c r="AW957" s="2949">
        <f t="shared" ca="1" si="1413"/>
        <v>0.14457831325301204</v>
      </c>
      <c r="AX957" s="45">
        <f t="shared" ca="1" si="1414"/>
        <v>0</v>
      </c>
      <c r="AY957" s="3302">
        <f t="shared" ca="1" si="1415"/>
        <v>48</v>
      </c>
      <c r="AZ957" s="2949">
        <f t="shared" ca="1" si="1416"/>
        <v>0</v>
      </c>
      <c r="BB957" s="45">
        <f t="shared" ca="1" si="1417"/>
        <v>48</v>
      </c>
      <c r="BC957" s="45">
        <f t="shared" ca="1" si="1418"/>
        <v>332</v>
      </c>
      <c r="BD957" s="3302">
        <f t="shared" ca="1" si="1419"/>
        <v>-284</v>
      </c>
      <c r="BE957" s="2949">
        <f t="shared" ca="1" si="1420"/>
        <v>0.14457831325301204</v>
      </c>
      <c r="BF957" s="45">
        <f t="shared" ca="1" si="1421"/>
        <v>0</v>
      </c>
      <c r="BG957" s="3302">
        <f t="shared" ca="1" si="1422"/>
        <v>48</v>
      </c>
      <c r="BH957" s="2949">
        <f t="shared" ca="1" si="1423"/>
        <v>0</v>
      </c>
    </row>
    <row r="958" spans="1:60" s="34" customFormat="1" ht="14.5">
      <c r="A958" s="616">
        <f t="shared" si="1370"/>
        <v>871</v>
      </c>
      <c r="B958" s="616">
        <v>1</v>
      </c>
      <c r="C958" s="616">
        <f t="shared" si="1372"/>
        <v>955</v>
      </c>
      <c r="E958" s="2547">
        <v>1</v>
      </c>
      <c r="F958" s="4"/>
      <c r="G958" s="4"/>
      <c r="H958" s="4"/>
      <c r="I958" s="258"/>
      <c r="J958" s="4"/>
      <c r="K958" s="4"/>
      <c r="L958" s="3"/>
      <c r="M958" s="3"/>
      <c r="N958" s="41"/>
      <c r="O958" s="41" t="s">
        <v>39</v>
      </c>
      <c r="P958" s="41"/>
      <c r="Q958" s="1778" t="str">
        <f>CHOOSE(2, "6722000003877", "HC PP FE/TTOC Administration Total IT")</f>
        <v>HC PP FE/TTOC Administration Total IT</v>
      </c>
      <c r="R958" s="3310">
        <v>5</v>
      </c>
      <c r="S958" s="1212">
        <v>5</v>
      </c>
      <c r="T958" s="1212">
        <v>5</v>
      </c>
      <c r="U958" s="1212">
        <v>5</v>
      </c>
      <c r="V958" s="1212">
        <v>5</v>
      </c>
      <c r="W958" s="1212">
        <v>5</v>
      </c>
      <c r="X958" s="1212">
        <v>5</v>
      </c>
      <c r="Y958" s="1212">
        <v>5</v>
      </c>
      <c r="Z958" s="1212">
        <v>6</v>
      </c>
      <c r="AA958" s="1212">
        <v>6</v>
      </c>
      <c r="AB958" s="1212">
        <v>6</v>
      </c>
      <c r="AC958" s="1212">
        <v>6</v>
      </c>
      <c r="AD958" s="877">
        <f>T958</f>
        <v>5</v>
      </c>
      <c r="AE958" s="40">
        <f>W958</f>
        <v>5</v>
      </c>
      <c r="AF958" s="40">
        <f>Z958</f>
        <v>6</v>
      </c>
      <c r="AG958" s="40">
        <f>AC958</f>
        <v>6</v>
      </c>
      <c r="AH958" s="40">
        <f>AE958</f>
        <v>5</v>
      </c>
      <c r="AI958" s="40">
        <f>AG958</f>
        <v>6</v>
      </c>
      <c r="AJ958" s="40">
        <f>AI958</f>
        <v>6</v>
      </c>
      <c r="AL958" s="40">
        <f t="shared" ca="1" si="1403"/>
        <v>6</v>
      </c>
      <c r="AM958" s="40">
        <f t="shared" ca="1" si="1404"/>
        <v>289</v>
      </c>
      <c r="AN958" s="3057">
        <f t="shared" ca="1" si="1405"/>
        <v>-283</v>
      </c>
      <c r="AO958" s="2695">
        <f t="shared" ca="1" si="1406"/>
        <v>2.0761245674740483E-2</v>
      </c>
      <c r="AP958" s="40">
        <f t="shared" ca="1" si="1407"/>
        <v>0</v>
      </c>
      <c r="AQ958" s="3057">
        <f t="shared" ca="1" si="1408"/>
        <v>6</v>
      </c>
      <c r="AR958" s="2695">
        <f t="shared" ca="1" si="1409"/>
        <v>0</v>
      </c>
      <c r="AT958" s="40">
        <f t="shared" ca="1" si="1410"/>
        <v>6</v>
      </c>
      <c r="AU958" s="40">
        <f t="shared" ca="1" si="1411"/>
        <v>289</v>
      </c>
      <c r="AV958" s="3057">
        <f t="shared" ca="1" si="1412"/>
        <v>-283</v>
      </c>
      <c r="AW958" s="2695">
        <f t="shared" ca="1" si="1413"/>
        <v>2.0761245674740483E-2</v>
      </c>
      <c r="AX958" s="40">
        <f t="shared" ca="1" si="1414"/>
        <v>0</v>
      </c>
      <c r="AY958" s="3057">
        <f t="shared" ca="1" si="1415"/>
        <v>6</v>
      </c>
      <c r="AZ958" s="2695">
        <f t="shared" ca="1" si="1416"/>
        <v>0</v>
      </c>
      <c r="BB958" s="40">
        <f t="shared" ca="1" si="1417"/>
        <v>6</v>
      </c>
      <c r="BC958" s="40">
        <f t="shared" ca="1" si="1418"/>
        <v>289</v>
      </c>
      <c r="BD958" s="3057">
        <f t="shared" ca="1" si="1419"/>
        <v>-283</v>
      </c>
      <c r="BE958" s="2695">
        <f t="shared" ca="1" si="1420"/>
        <v>2.0761245674740483E-2</v>
      </c>
      <c r="BF958" s="40">
        <f t="shared" ca="1" si="1421"/>
        <v>0</v>
      </c>
      <c r="BG958" s="3057">
        <f t="shared" ca="1" si="1422"/>
        <v>6</v>
      </c>
      <c r="BH958" s="2695">
        <f t="shared" ca="1" si="1423"/>
        <v>0</v>
      </c>
    </row>
    <row r="959" spans="1:60" s="34" customFormat="1" ht="14.5">
      <c r="A959" s="616">
        <f t="shared" si="1370"/>
        <v>872</v>
      </c>
      <c r="B959" s="616">
        <v>1</v>
      </c>
      <c r="C959" s="616">
        <f t="shared" si="1372"/>
        <v>956</v>
      </c>
      <c r="E959" s="2547">
        <v>1</v>
      </c>
      <c r="F959" s="4"/>
      <c r="G959" s="4"/>
      <c r="H959" s="4"/>
      <c r="I959" s="258"/>
      <c r="J959" s="4"/>
      <c r="K959" s="4"/>
      <c r="L959" s="3"/>
      <c r="M959" s="3"/>
      <c r="N959" s="41"/>
      <c r="O959" s="41" t="s">
        <v>18</v>
      </c>
      <c r="P959" s="41"/>
      <c r="Q959" s="1778" t="str">
        <f>CHOOSE(2, "6722000003878", "HC PP FE/TTOC Administration Total Finance")</f>
        <v>HC PP FE/TTOC Administration Total Finance</v>
      </c>
      <c r="R959" s="3310">
        <v>28</v>
      </c>
      <c r="S959" s="1212">
        <v>28</v>
      </c>
      <c r="T959" s="1212">
        <v>28</v>
      </c>
      <c r="U959" s="1212">
        <v>28</v>
      </c>
      <c r="V959" s="1212">
        <v>28</v>
      </c>
      <c r="W959" s="1212">
        <v>29</v>
      </c>
      <c r="X959" s="1212">
        <v>29</v>
      </c>
      <c r="Y959" s="1212">
        <v>28</v>
      </c>
      <c r="Z959" s="1212">
        <v>27</v>
      </c>
      <c r="AA959" s="1212">
        <v>27</v>
      </c>
      <c r="AB959" s="1212">
        <v>27</v>
      </c>
      <c r="AC959" s="1212">
        <v>27</v>
      </c>
      <c r="AD959" s="877">
        <f>T959</f>
        <v>28</v>
      </c>
      <c r="AE959" s="40">
        <f>W959</f>
        <v>29</v>
      </c>
      <c r="AF959" s="40">
        <f>Z959</f>
        <v>27</v>
      </c>
      <c r="AG959" s="40">
        <f>AC959</f>
        <v>27</v>
      </c>
      <c r="AH959" s="40">
        <f>AE959</f>
        <v>29</v>
      </c>
      <c r="AI959" s="40">
        <f>AG959</f>
        <v>27</v>
      </c>
      <c r="AJ959" s="40">
        <f>AI959</f>
        <v>27</v>
      </c>
      <c r="AL959" s="40">
        <f t="shared" ca="1" si="1403"/>
        <v>27</v>
      </c>
      <c r="AM959" s="40">
        <f t="shared" ca="1" si="1404"/>
        <v>0</v>
      </c>
      <c r="AN959" s="3057">
        <f t="shared" ca="1" si="1405"/>
        <v>27</v>
      </c>
      <c r="AO959" s="2695">
        <f t="shared" ca="1" si="1406"/>
        <v>0</v>
      </c>
      <c r="AP959" s="40">
        <f t="shared" ca="1" si="1407"/>
        <v>0</v>
      </c>
      <c r="AQ959" s="3057">
        <f t="shared" ca="1" si="1408"/>
        <v>27</v>
      </c>
      <c r="AR959" s="2695">
        <f t="shared" ca="1" si="1409"/>
        <v>0</v>
      </c>
      <c r="AT959" s="40">
        <f t="shared" ca="1" si="1410"/>
        <v>27</v>
      </c>
      <c r="AU959" s="40">
        <f t="shared" ca="1" si="1411"/>
        <v>0</v>
      </c>
      <c r="AV959" s="3057">
        <f t="shared" ca="1" si="1412"/>
        <v>27</v>
      </c>
      <c r="AW959" s="2695">
        <f t="shared" ca="1" si="1413"/>
        <v>0</v>
      </c>
      <c r="AX959" s="40">
        <f t="shared" ca="1" si="1414"/>
        <v>0</v>
      </c>
      <c r="AY959" s="3057">
        <f t="shared" ca="1" si="1415"/>
        <v>27</v>
      </c>
      <c r="AZ959" s="2695">
        <f t="shared" ca="1" si="1416"/>
        <v>0</v>
      </c>
      <c r="BB959" s="40">
        <f t="shared" ca="1" si="1417"/>
        <v>27</v>
      </c>
      <c r="BC959" s="40">
        <f t="shared" ca="1" si="1418"/>
        <v>0</v>
      </c>
      <c r="BD959" s="3057">
        <f t="shared" ca="1" si="1419"/>
        <v>27</v>
      </c>
      <c r="BE959" s="2695">
        <f t="shared" ca="1" si="1420"/>
        <v>0</v>
      </c>
      <c r="BF959" s="40">
        <f t="shared" ca="1" si="1421"/>
        <v>0</v>
      </c>
      <c r="BG959" s="3057">
        <f t="shared" ca="1" si="1422"/>
        <v>27</v>
      </c>
      <c r="BH959" s="2695">
        <f t="shared" ca="1" si="1423"/>
        <v>0</v>
      </c>
    </row>
    <row r="960" spans="1:60" s="34" customFormat="1" ht="14.5">
      <c r="A960" s="616">
        <f t="shared" si="1370"/>
        <v>873</v>
      </c>
      <c r="B960" s="616">
        <v>1</v>
      </c>
      <c r="C960" s="616">
        <f t="shared" si="1372"/>
        <v>957</v>
      </c>
      <c r="E960" s="2547">
        <v>1</v>
      </c>
      <c r="F960" s="4"/>
      <c r="G960" s="4"/>
      <c r="H960" s="4"/>
      <c r="I960" s="258"/>
      <c r="J960" s="4"/>
      <c r="K960" s="4"/>
      <c r="L960" s="3"/>
      <c r="M960" s="3"/>
      <c r="N960" s="41"/>
      <c r="O960" s="41" t="s">
        <v>19</v>
      </c>
      <c r="P960" s="41"/>
      <c r="Q960" s="1778" t="str">
        <f>CHOOSE(2, "6722000003879", "HC PP FE/TTOC Administration Total HR")</f>
        <v>HC PP FE/TTOC Administration Total HR</v>
      </c>
      <c r="R960" s="3310">
        <v>4</v>
      </c>
      <c r="S960" s="1212">
        <v>4</v>
      </c>
      <c r="T960" s="1212">
        <v>4</v>
      </c>
      <c r="U960" s="1212">
        <v>4</v>
      </c>
      <c r="V960" s="1212">
        <v>4</v>
      </c>
      <c r="W960" s="1212">
        <v>4</v>
      </c>
      <c r="X960" s="1212">
        <v>4</v>
      </c>
      <c r="Y960" s="1212">
        <v>4</v>
      </c>
      <c r="Z960" s="1212">
        <v>4</v>
      </c>
      <c r="AA960" s="1212">
        <v>4</v>
      </c>
      <c r="AB960" s="1212">
        <v>4</v>
      </c>
      <c r="AC960" s="1212">
        <v>3</v>
      </c>
      <c r="AD960" s="877">
        <f>T960</f>
        <v>4</v>
      </c>
      <c r="AE960" s="40">
        <f>W960</f>
        <v>4</v>
      </c>
      <c r="AF960" s="40">
        <f>Z960</f>
        <v>4</v>
      </c>
      <c r="AG960" s="40">
        <f>AC960</f>
        <v>3</v>
      </c>
      <c r="AH960" s="40">
        <f>AE960</f>
        <v>4</v>
      </c>
      <c r="AI960" s="40">
        <f>AG960</f>
        <v>3</v>
      </c>
      <c r="AJ960" s="40">
        <f>AI960</f>
        <v>3</v>
      </c>
      <c r="AL960" s="40">
        <f t="shared" ca="1" si="1403"/>
        <v>3</v>
      </c>
      <c r="AM960" s="40">
        <f t="shared" ca="1" si="1404"/>
        <v>30</v>
      </c>
      <c r="AN960" s="3057">
        <f t="shared" ca="1" si="1405"/>
        <v>-27</v>
      </c>
      <c r="AO960" s="2695">
        <f t="shared" ca="1" si="1406"/>
        <v>0.1</v>
      </c>
      <c r="AP960" s="40">
        <f t="shared" ca="1" si="1407"/>
        <v>0</v>
      </c>
      <c r="AQ960" s="3057">
        <f t="shared" ca="1" si="1408"/>
        <v>3</v>
      </c>
      <c r="AR960" s="2695">
        <f t="shared" ca="1" si="1409"/>
        <v>0</v>
      </c>
      <c r="AT960" s="40">
        <f t="shared" ca="1" si="1410"/>
        <v>3</v>
      </c>
      <c r="AU960" s="40">
        <f t="shared" ca="1" si="1411"/>
        <v>30</v>
      </c>
      <c r="AV960" s="3057">
        <f t="shared" ca="1" si="1412"/>
        <v>-27</v>
      </c>
      <c r="AW960" s="2695">
        <f t="shared" ca="1" si="1413"/>
        <v>0.1</v>
      </c>
      <c r="AX960" s="40">
        <f t="shared" ca="1" si="1414"/>
        <v>0</v>
      </c>
      <c r="AY960" s="3057">
        <f t="shared" ca="1" si="1415"/>
        <v>3</v>
      </c>
      <c r="AZ960" s="2695">
        <f t="shared" ca="1" si="1416"/>
        <v>0</v>
      </c>
      <c r="BB960" s="40">
        <f t="shared" ca="1" si="1417"/>
        <v>3</v>
      </c>
      <c r="BC960" s="40">
        <f t="shared" ca="1" si="1418"/>
        <v>30</v>
      </c>
      <c r="BD960" s="3057">
        <f t="shared" ca="1" si="1419"/>
        <v>-27</v>
      </c>
      <c r="BE960" s="2695">
        <f t="shared" ca="1" si="1420"/>
        <v>0.1</v>
      </c>
      <c r="BF960" s="40">
        <f t="shared" ca="1" si="1421"/>
        <v>0</v>
      </c>
      <c r="BG960" s="3057">
        <f t="shared" ca="1" si="1422"/>
        <v>3</v>
      </c>
      <c r="BH960" s="2695">
        <f t="shared" ca="1" si="1423"/>
        <v>0</v>
      </c>
    </row>
    <row r="961" spans="1:60" s="34" customFormat="1" ht="14.5">
      <c r="A961" s="616">
        <f t="shared" ref="A961:A1024" si="1428">A960+1</f>
        <v>874</v>
      </c>
      <c r="B961" s="616">
        <v>1</v>
      </c>
      <c r="C961" s="616">
        <f t="shared" si="1372"/>
        <v>958</v>
      </c>
      <c r="E961" s="2547">
        <v>1</v>
      </c>
      <c r="F961" s="4"/>
      <c r="G961" s="4"/>
      <c r="H961" s="4"/>
      <c r="I961" s="258"/>
      <c r="J961" s="4"/>
      <c r="K961" s="4"/>
      <c r="L961" s="3"/>
      <c r="M961" s="3"/>
      <c r="N961" s="41"/>
      <c r="O961" s="41" t="s">
        <v>20</v>
      </c>
      <c r="P961" s="41"/>
      <c r="Q961" s="1778" t="str">
        <f>CHOOSE(2, "6722000003880", "HC PP FE/TTOC Administration Total Training")</f>
        <v>HC PP FE/TTOC Administration Total Training</v>
      </c>
      <c r="R961" s="3310">
        <v>0</v>
      </c>
      <c r="S961" s="1212">
        <v>0</v>
      </c>
      <c r="T961" s="1212">
        <v>0</v>
      </c>
      <c r="U961" s="1212">
        <v>0</v>
      </c>
      <c r="V961" s="1212">
        <v>0</v>
      </c>
      <c r="W961" s="1212">
        <v>0</v>
      </c>
      <c r="X961" s="1212">
        <v>0</v>
      </c>
      <c r="Y961" s="1212">
        <v>0</v>
      </c>
      <c r="Z961" s="1212">
        <v>0</v>
      </c>
      <c r="AA961" s="1212">
        <v>0</v>
      </c>
      <c r="AB961" s="1212">
        <v>0</v>
      </c>
      <c r="AC961" s="1212">
        <v>0</v>
      </c>
      <c r="AD961" s="877">
        <f>T961</f>
        <v>0</v>
      </c>
      <c r="AE961" s="40">
        <f>W961</f>
        <v>0</v>
      </c>
      <c r="AF961" s="40">
        <f>Z961</f>
        <v>0</v>
      </c>
      <c r="AG961" s="40">
        <f>AC961</f>
        <v>0</v>
      </c>
      <c r="AH961" s="40">
        <f>AE961</f>
        <v>0</v>
      </c>
      <c r="AI961" s="40">
        <f>AG961</f>
        <v>0</v>
      </c>
      <c r="AJ961" s="40">
        <f>AI961</f>
        <v>0</v>
      </c>
      <c r="AL961" s="40">
        <f t="shared" ca="1" si="1403"/>
        <v>0</v>
      </c>
      <c r="AM961" s="40">
        <f t="shared" ca="1" si="1404"/>
        <v>0</v>
      </c>
      <c r="AN961" s="3057">
        <f t="shared" ca="1" si="1405"/>
        <v>0</v>
      </c>
      <c r="AO961" s="2695">
        <f t="shared" ca="1" si="1406"/>
        <v>0</v>
      </c>
      <c r="AP961" s="40">
        <f t="shared" ca="1" si="1407"/>
        <v>0</v>
      </c>
      <c r="AQ961" s="3057">
        <f t="shared" ca="1" si="1408"/>
        <v>0</v>
      </c>
      <c r="AR961" s="2695">
        <f t="shared" ca="1" si="1409"/>
        <v>0</v>
      </c>
      <c r="AT961" s="40">
        <f t="shared" ca="1" si="1410"/>
        <v>0</v>
      </c>
      <c r="AU961" s="40">
        <f t="shared" ca="1" si="1411"/>
        <v>0</v>
      </c>
      <c r="AV961" s="3057">
        <f t="shared" ca="1" si="1412"/>
        <v>0</v>
      </c>
      <c r="AW961" s="2695">
        <f t="shared" ca="1" si="1413"/>
        <v>0</v>
      </c>
      <c r="AX961" s="40">
        <f t="shared" ca="1" si="1414"/>
        <v>0</v>
      </c>
      <c r="AY961" s="3057">
        <f t="shared" ca="1" si="1415"/>
        <v>0</v>
      </c>
      <c r="AZ961" s="2695">
        <f t="shared" ca="1" si="1416"/>
        <v>0</v>
      </c>
      <c r="BB961" s="40">
        <f t="shared" ca="1" si="1417"/>
        <v>0</v>
      </c>
      <c r="BC961" s="40">
        <f t="shared" ca="1" si="1418"/>
        <v>0</v>
      </c>
      <c r="BD961" s="3057">
        <f t="shared" ca="1" si="1419"/>
        <v>0</v>
      </c>
      <c r="BE961" s="2695">
        <f t="shared" ca="1" si="1420"/>
        <v>0</v>
      </c>
      <c r="BF961" s="40">
        <f t="shared" ca="1" si="1421"/>
        <v>0</v>
      </c>
      <c r="BG961" s="3057">
        <f t="shared" ca="1" si="1422"/>
        <v>0</v>
      </c>
      <c r="BH961" s="2695">
        <f t="shared" ca="1" si="1423"/>
        <v>0</v>
      </c>
    </row>
    <row r="962" spans="1:60" s="34" customFormat="1" ht="14.5">
      <c r="A962" s="616">
        <f t="shared" si="1428"/>
        <v>875</v>
      </c>
      <c r="B962" s="616">
        <v>1</v>
      </c>
      <c r="C962" s="616">
        <f t="shared" ref="C962:C1025" si="1429">ROW()-3</f>
        <v>959</v>
      </c>
      <c r="E962" s="2547">
        <v>1</v>
      </c>
      <c r="F962" s="4"/>
      <c r="G962" s="4"/>
      <c r="H962" s="4"/>
      <c r="I962" s="258"/>
      <c r="J962" s="4"/>
      <c r="K962" s="4"/>
      <c r="L962" s="3"/>
      <c r="M962" s="3"/>
      <c r="N962" s="41"/>
      <c r="O962" s="41" t="s">
        <v>2</v>
      </c>
      <c r="P962" s="41"/>
      <c r="Q962" s="1778" t="str">
        <f>CHOOSE(2, "6722000003881", "HC PP FE/TTOC Administration Total Others")</f>
        <v>HC PP FE/TTOC Administration Total Others</v>
      </c>
      <c r="R962" s="3310">
        <v>10</v>
      </c>
      <c r="S962" s="1212">
        <v>10</v>
      </c>
      <c r="T962" s="1212">
        <v>10</v>
      </c>
      <c r="U962" s="1212">
        <v>10</v>
      </c>
      <c r="V962" s="1212">
        <v>10</v>
      </c>
      <c r="W962" s="1212">
        <v>10</v>
      </c>
      <c r="X962" s="1212">
        <v>9</v>
      </c>
      <c r="Y962" s="1212">
        <v>9</v>
      </c>
      <c r="Z962" s="1212">
        <v>9</v>
      </c>
      <c r="AA962" s="1212">
        <v>11</v>
      </c>
      <c r="AB962" s="1212">
        <v>11</v>
      </c>
      <c r="AC962" s="1212">
        <v>12</v>
      </c>
      <c r="AD962" s="877">
        <f>T962</f>
        <v>10</v>
      </c>
      <c r="AE962" s="40">
        <f>W962</f>
        <v>10</v>
      </c>
      <c r="AF962" s="40">
        <f>Z962</f>
        <v>9</v>
      </c>
      <c r="AG962" s="40">
        <f>AC962</f>
        <v>12</v>
      </c>
      <c r="AH962" s="40">
        <f>AE962</f>
        <v>10</v>
      </c>
      <c r="AI962" s="40">
        <f>AG962</f>
        <v>12</v>
      </c>
      <c r="AJ962" s="40">
        <f>AI962</f>
        <v>12</v>
      </c>
      <c r="AL962" s="40">
        <f t="shared" ca="1" si="1403"/>
        <v>12</v>
      </c>
      <c r="AM962" s="40">
        <f t="shared" ca="1" si="1404"/>
        <v>13</v>
      </c>
      <c r="AN962" s="3057">
        <f t="shared" ca="1" si="1405"/>
        <v>-1</v>
      </c>
      <c r="AO962" s="2695">
        <f t="shared" ca="1" si="1406"/>
        <v>0.92307692307692313</v>
      </c>
      <c r="AP962" s="40">
        <f t="shared" ca="1" si="1407"/>
        <v>0</v>
      </c>
      <c r="AQ962" s="3057">
        <f t="shared" ca="1" si="1408"/>
        <v>12</v>
      </c>
      <c r="AR962" s="2695">
        <f t="shared" ca="1" si="1409"/>
        <v>0</v>
      </c>
      <c r="AT962" s="40">
        <f t="shared" ca="1" si="1410"/>
        <v>12</v>
      </c>
      <c r="AU962" s="40">
        <f t="shared" ca="1" si="1411"/>
        <v>13</v>
      </c>
      <c r="AV962" s="3057">
        <f t="shared" ca="1" si="1412"/>
        <v>-1</v>
      </c>
      <c r="AW962" s="2695">
        <f t="shared" ca="1" si="1413"/>
        <v>0.92307692307692313</v>
      </c>
      <c r="AX962" s="40">
        <f t="shared" ca="1" si="1414"/>
        <v>0</v>
      </c>
      <c r="AY962" s="3057">
        <f t="shared" ca="1" si="1415"/>
        <v>12</v>
      </c>
      <c r="AZ962" s="2695">
        <f t="shared" ca="1" si="1416"/>
        <v>0</v>
      </c>
      <c r="BB962" s="40">
        <f t="shared" ca="1" si="1417"/>
        <v>12</v>
      </c>
      <c r="BC962" s="40">
        <f t="shared" ca="1" si="1418"/>
        <v>13</v>
      </c>
      <c r="BD962" s="3057">
        <f t="shared" ca="1" si="1419"/>
        <v>-1</v>
      </c>
      <c r="BE962" s="2695">
        <f t="shared" ca="1" si="1420"/>
        <v>0.92307692307692313</v>
      </c>
      <c r="BF962" s="40">
        <f t="shared" ca="1" si="1421"/>
        <v>0</v>
      </c>
      <c r="BG962" s="3057">
        <f t="shared" ca="1" si="1422"/>
        <v>12</v>
      </c>
      <c r="BH962" s="2695">
        <f t="shared" ca="1" si="1423"/>
        <v>0</v>
      </c>
    </row>
    <row r="963" spans="1:60" s="34" customFormat="1" ht="14.5">
      <c r="A963" s="616">
        <f t="shared" si="1428"/>
        <v>876</v>
      </c>
      <c r="B963" s="616">
        <v>1</v>
      </c>
      <c r="C963" s="616">
        <f t="shared" si="1429"/>
        <v>960</v>
      </c>
      <c r="D963" s="709" t="s">
        <v>1308</v>
      </c>
      <c r="E963" s="2547">
        <v>1</v>
      </c>
      <c r="F963" s="4"/>
      <c r="G963" s="4"/>
      <c r="H963" s="4"/>
      <c r="I963" s="258"/>
      <c r="J963" s="252" t="s">
        <v>1518</v>
      </c>
      <c r="K963" s="252"/>
      <c r="L963" s="252"/>
      <c r="M963" s="251"/>
      <c r="N963" s="251"/>
      <c r="O963" s="251"/>
      <c r="P963" s="251"/>
      <c r="Q963" s="1786" t="str">
        <f>CHOOSE(2, "6722000003882", "HC PP FE/TTOC Logistics Total")</f>
        <v>HC PP FE/TTOC Logistics Total</v>
      </c>
      <c r="R963" s="3102">
        <f>SUM(R964:R966)</f>
        <v>22</v>
      </c>
      <c r="S963" s="3102">
        <f t="shared" ref="S963:AJ963" si="1430">SUM(S964:S966)</f>
        <v>20</v>
      </c>
      <c r="T963" s="3102">
        <f t="shared" si="1430"/>
        <v>21</v>
      </c>
      <c r="U963" s="3102">
        <f t="shared" si="1430"/>
        <v>22</v>
      </c>
      <c r="V963" s="3102">
        <f t="shared" si="1430"/>
        <v>22</v>
      </c>
      <c r="W963" s="3102">
        <f t="shared" si="1430"/>
        <v>22</v>
      </c>
      <c r="X963" s="3102">
        <f t="shared" si="1430"/>
        <v>22</v>
      </c>
      <c r="Y963" s="3102">
        <f t="shared" si="1430"/>
        <v>23</v>
      </c>
      <c r="Z963" s="3102">
        <f t="shared" si="1430"/>
        <v>23</v>
      </c>
      <c r="AA963" s="3102">
        <f t="shared" si="1430"/>
        <v>23</v>
      </c>
      <c r="AB963" s="3102">
        <f t="shared" si="1430"/>
        <v>23</v>
      </c>
      <c r="AC963" s="3102">
        <f t="shared" si="1430"/>
        <v>23</v>
      </c>
      <c r="AD963" s="745">
        <f t="shared" si="1430"/>
        <v>21</v>
      </c>
      <c r="AE963" s="3102">
        <f t="shared" si="1430"/>
        <v>22</v>
      </c>
      <c r="AF963" s="3102">
        <f t="shared" si="1430"/>
        <v>23</v>
      </c>
      <c r="AG963" s="3102">
        <f t="shared" si="1430"/>
        <v>23</v>
      </c>
      <c r="AH963" s="3102">
        <f t="shared" si="1430"/>
        <v>22</v>
      </c>
      <c r="AI963" s="3102">
        <f t="shared" si="1430"/>
        <v>23</v>
      </c>
      <c r="AJ963" s="3102">
        <f t="shared" si="1430"/>
        <v>23</v>
      </c>
      <c r="AL963" s="3102">
        <f t="shared" ca="1" si="1403"/>
        <v>23</v>
      </c>
      <c r="AM963" s="3102">
        <f t="shared" ca="1" si="1404"/>
        <v>11</v>
      </c>
      <c r="AN963" s="3304">
        <f t="shared" ca="1" si="1405"/>
        <v>12</v>
      </c>
      <c r="AO963" s="2953">
        <f t="shared" ca="1" si="1406"/>
        <v>2.0909090909090908</v>
      </c>
      <c r="AP963" s="3102">
        <f t="shared" ca="1" si="1407"/>
        <v>0</v>
      </c>
      <c r="AQ963" s="3304">
        <f t="shared" ca="1" si="1408"/>
        <v>23</v>
      </c>
      <c r="AR963" s="2953">
        <f t="shared" ca="1" si="1409"/>
        <v>0</v>
      </c>
      <c r="AT963" s="3102">
        <f t="shared" ca="1" si="1410"/>
        <v>23</v>
      </c>
      <c r="AU963" s="3102">
        <f t="shared" ca="1" si="1411"/>
        <v>11</v>
      </c>
      <c r="AV963" s="3304">
        <f t="shared" ca="1" si="1412"/>
        <v>12</v>
      </c>
      <c r="AW963" s="2953">
        <f t="shared" ca="1" si="1413"/>
        <v>2.0909090909090908</v>
      </c>
      <c r="AX963" s="3102">
        <f t="shared" ca="1" si="1414"/>
        <v>0</v>
      </c>
      <c r="AY963" s="3304">
        <f t="shared" ca="1" si="1415"/>
        <v>23</v>
      </c>
      <c r="AZ963" s="2953">
        <f t="shared" ca="1" si="1416"/>
        <v>0</v>
      </c>
      <c r="BB963" s="3102">
        <f t="shared" ca="1" si="1417"/>
        <v>23</v>
      </c>
      <c r="BC963" s="3102">
        <f t="shared" ca="1" si="1418"/>
        <v>11</v>
      </c>
      <c r="BD963" s="3304">
        <f t="shared" ca="1" si="1419"/>
        <v>12</v>
      </c>
      <c r="BE963" s="2953">
        <f t="shared" ca="1" si="1420"/>
        <v>2.0909090909090908</v>
      </c>
      <c r="BF963" s="3102">
        <f t="shared" ca="1" si="1421"/>
        <v>0</v>
      </c>
      <c r="BG963" s="3304">
        <f t="shared" ca="1" si="1422"/>
        <v>23</v>
      </c>
      <c r="BH963" s="2953">
        <f t="shared" ca="1" si="1423"/>
        <v>0</v>
      </c>
    </row>
    <row r="964" spans="1:60" s="34" customFormat="1" ht="14.5">
      <c r="A964" s="616">
        <f t="shared" si="1428"/>
        <v>877</v>
      </c>
      <c r="B964" s="616">
        <v>1</v>
      </c>
      <c r="C964" s="616">
        <f t="shared" si="1429"/>
        <v>961</v>
      </c>
      <c r="E964" s="2547">
        <v>1</v>
      </c>
      <c r="F964" s="4"/>
      <c r="G964" s="4"/>
      <c r="H964" s="4"/>
      <c r="I964" s="258"/>
      <c r="J964" s="4"/>
      <c r="K964" s="4"/>
      <c r="L964" s="3"/>
      <c r="M964" s="3"/>
      <c r="N964" s="41"/>
      <c r="O964" s="41" t="s">
        <v>21</v>
      </c>
      <c r="P964" s="41"/>
      <c r="Q964" s="1778" t="str">
        <f>CHOOSE(2, "6722000003883", "HC PP FE/TTOC Logistics Total Administration")</f>
        <v>HC PP FE/TTOC Logistics Total Administration</v>
      </c>
      <c r="R964" s="3310">
        <v>9</v>
      </c>
      <c r="S964" s="1212">
        <v>8</v>
      </c>
      <c r="T964" s="1212">
        <v>8</v>
      </c>
      <c r="U964" s="1212">
        <v>8</v>
      </c>
      <c r="V964" s="1212">
        <v>8</v>
      </c>
      <c r="W964" s="1212">
        <v>8</v>
      </c>
      <c r="X964" s="1212">
        <v>8</v>
      </c>
      <c r="Y964" s="1212">
        <v>7</v>
      </c>
      <c r="Z964" s="1212">
        <v>7</v>
      </c>
      <c r="AA964" s="1212">
        <v>7</v>
      </c>
      <c r="AB964" s="1212">
        <v>7</v>
      </c>
      <c r="AC964" s="1212">
        <v>7</v>
      </c>
      <c r="AD964" s="877">
        <f>T964</f>
        <v>8</v>
      </c>
      <c r="AE964" s="40">
        <f>W964</f>
        <v>8</v>
      </c>
      <c r="AF964" s="40">
        <f>Z964</f>
        <v>7</v>
      </c>
      <c r="AG964" s="40">
        <f>AC964</f>
        <v>7</v>
      </c>
      <c r="AH964" s="40">
        <f>AE964</f>
        <v>8</v>
      </c>
      <c r="AI964" s="40">
        <f>AG964</f>
        <v>7</v>
      </c>
      <c r="AJ964" s="40">
        <f>AI964</f>
        <v>7</v>
      </c>
      <c r="AL964" s="40">
        <f t="shared" ca="1" si="1403"/>
        <v>7</v>
      </c>
      <c r="AM964" s="40">
        <f t="shared" ca="1" si="1404"/>
        <v>7</v>
      </c>
      <c r="AN964" s="3057">
        <f t="shared" ca="1" si="1405"/>
        <v>0</v>
      </c>
      <c r="AO964" s="2695">
        <f t="shared" ca="1" si="1406"/>
        <v>1</v>
      </c>
      <c r="AP964" s="40">
        <f t="shared" ca="1" si="1407"/>
        <v>0</v>
      </c>
      <c r="AQ964" s="3057">
        <f t="shared" ca="1" si="1408"/>
        <v>7</v>
      </c>
      <c r="AR964" s="2695">
        <f t="shared" ca="1" si="1409"/>
        <v>0</v>
      </c>
      <c r="AT964" s="40">
        <f t="shared" ca="1" si="1410"/>
        <v>7</v>
      </c>
      <c r="AU964" s="40">
        <f t="shared" ca="1" si="1411"/>
        <v>7</v>
      </c>
      <c r="AV964" s="3057">
        <f t="shared" ca="1" si="1412"/>
        <v>0</v>
      </c>
      <c r="AW964" s="2695">
        <f t="shared" ca="1" si="1413"/>
        <v>1</v>
      </c>
      <c r="AX964" s="40">
        <f t="shared" ca="1" si="1414"/>
        <v>0</v>
      </c>
      <c r="AY964" s="3057">
        <f t="shared" ca="1" si="1415"/>
        <v>7</v>
      </c>
      <c r="AZ964" s="2695">
        <f t="shared" ca="1" si="1416"/>
        <v>0</v>
      </c>
      <c r="BB964" s="40">
        <f t="shared" ca="1" si="1417"/>
        <v>7</v>
      </c>
      <c r="BC964" s="40">
        <f t="shared" ca="1" si="1418"/>
        <v>7</v>
      </c>
      <c r="BD964" s="3057">
        <f t="shared" ca="1" si="1419"/>
        <v>0</v>
      </c>
      <c r="BE964" s="2695">
        <f t="shared" ca="1" si="1420"/>
        <v>1</v>
      </c>
      <c r="BF964" s="40">
        <f t="shared" ca="1" si="1421"/>
        <v>0</v>
      </c>
      <c r="BG964" s="3057">
        <f t="shared" ca="1" si="1422"/>
        <v>7</v>
      </c>
      <c r="BH964" s="2695">
        <f t="shared" ca="1" si="1423"/>
        <v>0</v>
      </c>
    </row>
    <row r="965" spans="1:60" s="34" customFormat="1" ht="14.5">
      <c r="A965" s="616">
        <f t="shared" si="1428"/>
        <v>878</v>
      </c>
      <c r="B965" s="616">
        <v>1</v>
      </c>
      <c r="C965" s="616">
        <f t="shared" si="1429"/>
        <v>962</v>
      </c>
      <c r="E965" s="2547">
        <v>1</v>
      </c>
      <c r="F965" s="4"/>
      <c r="G965" s="4"/>
      <c r="H965" s="4"/>
      <c r="I965" s="258"/>
      <c r="J965" s="4"/>
      <c r="K965" s="4"/>
      <c r="L965" s="3"/>
      <c r="M965" s="3"/>
      <c r="N965" s="41"/>
      <c r="O965" s="41" t="s">
        <v>22</v>
      </c>
      <c r="P965" s="41"/>
      <c r="Q965" s="1778" t="str">
        <f>CHOOSE(2, "6722000003884", "HC PP FE/TTOC Logistics Total Warehouse")</f>
        <v>HC PP FE/TTOC Logistics Total Warehouse</v>
      </c>
      <c r="R965" s="3310">
        <v>13</v>
      </c>
      <c r="S965" s="1212">
        <v>12</v>
      </c>
      <c r="T965" s="1212">
        <v>13</v>
      </c>
      <c r="U965" s="1212">
        <v>14</v>
      </c>
      <c r="V965" s="1212">
        <v>14</v>
      </c>
      <c r="W965" s="1212">
        <v>14</v>
      </c>
      <c r="X965" s="1212">
        <v>14</v>
      </c>
      <c r="Y965" s="1212">
        <v>16</v>
      </c>
      <c r="Z965" s="1212">
        <v>16</v>
      </c>
      <c r="AA965" s="1212">
        <v>16</v>
      </c>
      <c r="AB965" s="1212">
        <v>16</v>
      </c>
      <c r="AC965" s="1212">
        <v>16</v>
      </c>
      <c r="AD965" s="877">
        <f>T965</f>
        <v>13</v>
      </c>
      <c r="AE965" s="40">
        <f>W965</f>
        <v>14</v>
      </c>
      <c r="AF965" s="40">
        <f>Z965</f>
        <v>16</v>
      </c>
      <c r="AG965" s="40">
        <f>AC965</f>
        <v>16</v>
      </c>
      <c r="AH965" s="40">
        <f>AE965</f>
        <v>14</v>
      </c>
      <c r="AI965" s="40">
        <f>AG965</f>
        <v>16</v>
      </c>
      <c r="AJ965" s="40">
        <f>AI965</f>
        <v>16</v>
      </c>
      <c r="AL965" s="40">
        <f t="shared" ca="1" si="1403"/>
        <v>16</v>
      </c>
      <c r="AM965" s="40">
        <f t="shared" ca="1" si="1404"/>
        <v>0</v>
      </c>
      <c r="AN965" s="3057">
        <f t="shared" ca="1" si="1405"/>
        <v>16</v>
      </c>
      <c r="AO965" s="2695">
        <f t="shared" ca="1" si="1406"/>
        <v>0</v>
      </c>
      <c r="AP965" s="40">
        <f t="shared" ca="1" si="1407"/>
        <v>0</v>
      </c>
      <c r="AQ965" s="3057">
        <f t="shared" ca="1" si="1408"/>
        <v>16</v>
      </c>
      <c r="AR965" s="2695">
        <f t="shared" ca="1" si="1409"/>
        <v>0</v>
      </c>
      <c r="AT965" s="40">
        <f t="shared" ca="1" si="1410"/>
        <v>16</v>
      </c>
      <c r="AU965" s="40">
        <f t="shared" ca="1" si="1411"/>
        <v>0</v>
      </c>
      <c r="AV965" s="3057">
        <f t="shared" ca="1" si="1412"/>
        <v>16</v>
      </c>
      <c r="AW965" s="2695">
        <f t="shared" ca="1" si="1413"/>
        <v>0</v>
      </c>
      <c r="AX965" s="40">
        <f t="shared" ca="1" si="1414"/>
        <v>0</v>
      </c>
      <c r="AY965" s="3057">
        <f t="shared" ca="1" si="1415"/>
        <v>16</v>
      </c>
      <c r="AZ965" s="2695">
        <f t="shared" ca="1" si="1416"/>
        <v>0</v>
      </c>
      <c r="BB965" s="40">
        <f t="shared" ca="1" si="1417"/>
        <v>16</v>
      </c>
      <c r="BC965" s="40">
        <f t="shared" ca="1" si="1418"/>
        <v>0</v>
      </c>
      <c r="BD965" s="3057">
        <f t="shared" ca="1" si="1419"/>
        <v>16</v>
      </c>
      <c r="BE965" s="2695">
        <f t="shared" ca="1" si="1420"/>
        <v>0</v>
      </c>
      <c r="BF965" s="40">
        <f t="shared" ca="1" si="1421"/>
        <v>0</v>
      </c>
      <c r="BG965" s="3057">
        <f t="shared" ca="1" si="1422"/>
        <v>16</v>
      </c>
      <c r="BH965" s="2695">
        <f t="shared" ca="1" si="1423"/>
        <v>0</v>
      </c>
    </row>
    <row r="966" spans="1:60" s="34" customFormat="1" ht="14.5">
      <c r="A966" s="616">
        <f t="shared" si="1428"/>
        <v>879</v>
      </c>
      <c r="B966" s="616">
        <v>1</v>
      </c>
      <c r="C966" s="616">
        <f t="shared" si="1429"/>
        <v>963</v>
      </c>
      <c r="E966" s="2547">
        <v>1</v>
      </c>
      <c r="F966" s="4"/>
      <c r="G966" s="4"/>
      <c r="H966" s="4"/>
      <c r="I966" s="259"/>
      <c r="J966" s="2"/>
      <c r="K966" s="2"/>
      <c r="L966" s="1"/>
      <c r="M966" s="1"/>
      <c r="N966" s="39"/>
      <c r="O966" s="39" t="s">
        <v>23</v>
      </c>
      <c r="P966" s="39"/>
      <c r="Q966" s="1778" t="str">
        <f>CHOOSE(2, "6722000003885", "HC PP FE/TTOC Logistics Total Workshop")</f>
        <v>HC PP FE/TTOC Logistics Total Workshop</v>
      </c>
      <c r="R966" s="1211">
        <v>0</v>
      </c>
      <c r="S966" s="1211">
        <v>0</v>
      </c>
      <c r="T966" s="1211">
        <v>0</v>
      </c>
      <c r="U966" s="1211">
        <v>0</v>
      </c>
      <c r="V966" s="1211">
        <v>0</v>
      </c>
      <c r="W966" s="1211">
        <v>0</v>
      </c>
      <c r="X966" s="1211">
        <v>0</v>
      </c>
      <c r="Y966" s="1211">
        <v>0</v>
      </c>
      <c r="Z966" s="1211">
        <v>0</v>
      </c>
      <c r="AA966" s="1211">
        <v>0</v>
      </c>
      <c r="AB966" s="1211">
        <v>0</v>
      </c>
      <c r="AC966" s="1211">
        <v>0</v>
      </c>
      <c r="AD966" s="912">
        <f>T966</f>
        <v>0</v>
      </c>
      <c r="AE966" s="38">
        <f>W966</f>
        <v>0</v>
      </c>
      <c r="AF966" s="38">
        <f>Z966</f>
        <v>0</v>
      </c>
      <c r="AG966" s="38">
        <f>AC966</f>
        <v>0</v>
      </c>
      <c r="AH966" s="38">
        <f>AE966</f>
        <v>0</v>
      </c>
      <c r="AI966" s="38">
        <f>AG966</f>
        <v>0</v>
      </c>
      <c r="AJ966" s="38">
        <f>AI966</f>
        <v>0</v>
      </c>
      <c r="AL966" s="38">
        <f t="shared" ca="1" si="1403"/>
        <v>0</v>
      </c>
      <c r="AM966" s="38">
        <f t="shared" ca="1" si="1404"/>
        <v>2</v>
      </c>
      <c r="AN966" s="3303">
        <f t="shared" ca="1" si="1405"/>
        <v>-2</v>
      </c>
      <c r="AO966" s="2951">
        <f t="shared" ca="1" si="1406"/>
        <v>0</v>
      </c>
      <c r="AP966" s="38">
        <f t="shared" ca="1" si="1407"/>
        <v>735</v>
      </c>
      <c r="AQ966" s="3303">
        <f t="shared" ca="1" si="1408"/>
        <v>-735</v>
      </c>
      <c r="AR966" s="2951">
        <f t="shared" ca="1" si="1409"/>
        <v>0</v>
      </c>
      <c r="AT966" s="38">
        <f t="shared" ca="1" si="1410"/>
        <v>0</v>
      </c>
      <c r="AU966" s="38">
        <f t="shared" ca="1" si="1411"/>
        <v>2</v>
      </c>
      <c r="AV966" s="3303">
        <f t="shared" ca="1" si="1412"/>
        <v>-2</v>
      </c>
      <c r="AW966" s="2951">
        <f t="shared" ca="1" si="1413"/>
        <v>0</v>
      </c>
      <c r="AX966" s="38">
        <f t="shared" ca="1" si="1414"/>
        <v>735</v>
      </c>
      <c r="AY966" s="3303">
        <f t="shared" ca="1" si="1415"/>
        <v>-735</v>
      </c>
      <c r="AZ966" s="2951">
        <f t="shared" ca="1" si="1416"/>
        <v>0</v>
      </c>
      <c r="BB966" s="38">
        <f t="shared" ca="1" si="1417"/>
        <v>0</v>
      </c>
      <c r="BC966" s="38">
        <f t="shared" ca="1" si="1418"/>
        <v>2</v>
      </c>
      <c r="BD966" s="3303">
        <f t="shared" ca="1" si="1419"/>
        <v>-2</v>
      </c>
      <c r="BE966" s="2951">
        <f t="shared" ca="1" si="1420"/>
        <v>0</v>
      </c>
      <c r="BF966" s="38">
        <f t="shared" ca="1" si="1421"/>
        <v>735</v>
      </c>
      <c r="BG966" s="3303">
        <f t="shared" ca="1" si="1422"/>
        <v>-735</v>
      </c>
      <c r="BH966" s="2951">
        <f t="shared" ca="1" si="1423"/>
        <v>0</v>
      </c>
    </row>
    <row r="967" spans="1:60" s="34" customFormat="1" ht="14.5">
      <c r="A967" s="616">
        <f t="shared" si="1428"/>
        <v>880</v>
      </c>
      <c r="B967" s="616">
        <v>1</v>
      </c>
      <c r="C967" s="616">
        <f t="shared" si="1429"/>
        <v>964</v>
      </c>
      <c r="D967" s="709" t="s">
        <v>1308</v>
      </c>
      <c r="E967" s="2547">
        <v>1</v>
      </c>
      <c r="F967" s="4"/>
      <c r="G967" s="4"/>
      <c r="H967" s="4"/>
      <c r="I967" s="2253" t="s">
        <v>1511</v>
      </c>
      <c r="J967" s="1523"/>
      <c r="K967" s="1509"/>
      <c r="L967" s="1509"/>
      <c r="M967" s="1523"/>
      <c r="N967" s="1523"/>
      <c r="O967" s="1523"/>
      <c r="P967" s="1523"/>
      <c r="Q967" s="1790" t="str">
        <f>CHOOSE(2, "6722000003886", "HC PP Semi-Full-Time/Part-Time Employees /Contractors")</f>
        <v>HC PP Semi-Full-Time/Part-Time Employees /Contractors</v>
      </c>
      <c r="R967" s="3312">
        <v>1</v>
      </c>
      <c r="S967" s="3312">
        <v>1</v>
      </c>
      <c r="T967" s="3312">
        <v>1</v>
      </c>
      <c r="U967" s="3312">
        <v>1</v>
      </c>
      <c r="V967" s="3312">
        <v>1</v>
      </c>
      <c r="W967" s="3312">
        <v>1</v>
      </c>
      <c r="X967" s="3312">
        <v>1</v>
      </c>
      <c r="Y967" s="3312">
        <v>1</v>
      </c>
      <c r="Z967" s="3312">
        <v>1</v>
      </c>
      <c r="AA967" s="3312">
        <v>1</v>
      </c>
      <c r="AB967" s="3312">
        <v>1</v>
      </c>
      <c r="AC967" s="3312">
        <v>1</v>
      </c>
      <c r="AD967" s="3306">
        <f>T967</f>
        <v>1</v>
      </c>
      <c r="AE967" s="3198">
        <f>W967</f>
        <v>1</v>
      </c>
      <c r="AF967" s="3198">
        <f>Z967</f>
        <v>1</v>
      </c>
      <c r="AG967" s="3198">
        <f>AC967</f>
        <v>1</v>
      </c>
      <c r="AH967" s="3198">
        <f>AE967</f>
        <v>1</v>
      </c>
      <c r="AI967" s="3198">
        <f>AG967</f>
        <v>1</v>
      </c>
      <c r="AJ967" s="3198">
        <f>AI967</f>
        <v>1</v>
      </c>
      <c r="AL967" s="3198">
        <f t="shared" ca="1" si="1403"/>
        <v>1</v>
      </c>
      <c r="AM967" s="3198">
        <f t="shared" ca="1" si="1404"/>
        <v>2</v>
      </c>
      <c r="AN967" s="3199">
        <f t="shared" ca="1" si="1405"/>
        <v>-1</v>
      </c>
      <c r="AO967" s="2850">
        <f t="shared" ca="1" si="1406"/>
        <v>0.5</v>
      </c>
      <c r="AP967" s="3198">
        <f t="shared" ca="1" si="1407"/>
        <v>181</v>
      </c>
      <c r="AQ967" s="3199">
        <f t="shared" ca="1" si="1408"/>
        <v>-180</v>
      </c>
      <c r="AR967" s="2850">
        <f t="shared" ca="1" si="1409"/>
        <v>5.5248618784530384E-3</v>
      </c>
      <c r="AT967" s="3198">
        <f t="shared" ca="1" si="1410"/>
        <v>1</v>
      </c>
      <c r="AU967" s="3198">
        <f t="shared" ca="1" si="1411"/>
        <v>2</v>
      </c>
      <c r="AV967" s="3199">
        <f t="shared" ca="1" si="1412"/>
        <v>-1</v>
      </c>
      <c r="AW967" s="2850">
        <f t="shared" ca="1" si="1413"/>
        <v>0.5</v>
      </c>
      <c r="AX967" s="3198">
        <f t="shared" ca="1" si="1414"/>
        <v>181</v>
      </c>
      <c r="AY967" s="3199">
        <f t="shared" ca="1" si="1415"/>
        <v>-180</v>
      </c>
      <c r="AZ967" s="2850">
        <f t="shared" ca="1" si="1416"/>
        <v>5.5248618784530384E-3</v>
      </c>
      <c r="BB967" s="3198">
        <f t="shared" ca="1" si="1417"/>
        <v>1</v>
      </c>
      <c r="BC967" s="3198">
        <f t="shared" ca="1" si="1418"/>
        <v>2</v>
      </c>
      <c r="BD967" s="3199">
        <f t="shared" ca="1" si="1419"/>
        <v>-1</v>
      </c>
      <c r="BE967" s="2850">
        <f t="shared" ca="1" si="1420"/>
        <v>0.5</v>
      </c>
      <c r="BF967" s="3198">
        <f t="shared" ca="1" si="1421"/>
        <v>181</v>
      </c>
      <c r="BG967" s="3199">
        <f t="shared" ca="1" si="1422"/>
        <v>-180</v>
      </c>
      <c r="BH967" s="2850">
        <f t="shared" ca="1" si="1423"/>
        <v>5.5248618784530384E-3</v>
      </c>
    </row>
    <row r="968" spans="1:60" s="34" customFormat="1" ht="14.5">
      <c r="A968" s="616">
        <f t="shared" si="1428"/>
        <v>881</v>
      </c>
      <c r="B968" s="616">
        <v>1</v>
      </c>
      <c r="C968" s="616">
        <f t="shared" si="1429"/>
        <v>965</v>
      </c>
      <c r="D968" s="709" t="s">
        <v>1308</v>
      </c>
      <c r="E968" s="2547">
        <v>1</v>
      </c>
      <c r="F968" s="4"/>
      <c r="G968" s="4"/>
      <c r="H968" s="4"/>
      <c r="I968" s="4"/>
      <c r="J968" s="3"/>
      <c r="K968" s="4"/>
      <c r="L968" s="4"/>
      <c r="M968" s="3"/>
      <c r="N968" s="3"/>
      <c r="O968" s="3"/>
      <c r="P968" s="3"/>
      <c r="Q968" s="1773" t="str">
        <f>CHOOSE(2, "6722000003887", "▷ Blank 29")</f>
        <v>▷ Blank 29</v>
      </c>
      <c r="R968" s="2562"/>
      <c r="S968" s="2563"/>
      <c r="T968" s="2563"/>
      <c r="U968" s="2563"/>
      <c r="V968" s="2563"/>
      <c r="W968" s="2563"/>
      <c r="X968" s="2563"/>
      <c r="Y968" s="2563"/>
      <c r="Z968" s="2563"/>
      <c r="AA968" s="2563"/>
    </row>
    <row r="969" spans="1:60" s="34" customFormat="1" ht="14.5">
      <c r="A969" s="616">
        <f t="shared" si="1428"/>
        <v>882</v>
      </c>
      <c r="B969" s="616">
        <v>1</v>
      </c>
      <c r="C969" s="616">
        <f t="shared" si="1429"/>
        <v>966</v>
      </c>
      <c r="D969" s="709" t="s">
        <v>1308</v>
      </c>
      <c r="E969" s="2547">
        <v>1</v>
      </c>
      <c r="F969" s="4"/>
      <c r="G969" s="4"/>
      <c r="H969" s="4" t="s">
        <v>1399</v>
      </c>
      <c r="I969" s="4"/>
      <c r="J969" s="3"/>
      <c r="K969" s="4"/>
      <c r="L969" s="4"/>
      <c r="M969" s="3"/>
      <c r="N969" s="3"/>
      <c r="O969" s="3"/>
      <c r="P969" s="3"/>
      <c r="Q969" s="1773" t="str">
        <f>CHOOSE(2, "6722000004515", "HC (3) IP")</f>
        <v>HC (3) IP</v>
      </c>
      <c r="R969" s="2562"/>
      <c r="S969" s="2563"/>
      <c r="T969" s="2563"/>
      <c r="U969" s="2563"/>
      <c r="V969" s="2563"/>
      <c r="W969" s="2563"/>
      <c r="X969" s="2563"/>
      <c r="Y969" s="2563"/>
      <c r="Z969" s="2563"/>
      <c r="AA969" s="2563"/>
    </row>
    <row r="970" spans="1:60" s="272" customFormat="1" ht="14.5">
      <c r="A970" s="616">
        <f t="shared" si="1428"/>
        <v>883</v>
      </c>
      <c r="B970" s="616">
        <v>1</v>
      </c>
      <c r="C970" s="616">
        <f t="shared" si="1429"/>
        <v>967</v>
      </c>
      <c r="D970" s="709" t="s">
        <v>1308</v>
      </c>
      <c r="E970" s="2547">
        <v>1</v>
      </c>
      <c r="F970" s="267"/>
      <c r="G970" s="267"/>
      <c r="H970" s="268"/>
      <c r="I970" s="3315" t="s">
        <v>202</v>
      </c>
      <c r="J970" s="3316"/>
      <c r="K970" s="872"/>
      <c r="L970" s="872"/>
      <c r="M970" s="872"/>
      <c r="N970" s="872"/>
      <c r="O970" s="872"/>
      <c r="P970" s="872"/>
      <c r="Q970" s="1795" t="str">
        <f>CHOOSE(2, "6722000003889", "HC IP FE/TTOC")</f>
        <v>HC IP FE/TTOC</v>
      </c>
      <c r="R970" s="1307">
        <f>R971+R976+R982+R987+R993</f>
        <v>22</v>
      </c>
      <c r="S970" s="3156">
        <f t="shared" ref="S970:AJ970" si="1431">S971+S976+S982+S987+S993</f>
        <v>23</v>
      </c>
      <c r="T970" s="3156">
        <f t="shared" si="1431"/>
        <v>22</v>
      </c>
      <c r="U970" s="3156">
        <f t="shared" si="1431"/>
        <v>22</v>
      </c>
      <c r="V970" s="3156">
        <f t="shared" si="1431"/>
        <v>22</v>
      </c>
      <c r="W970" s="3156">
        <f t="shared" si="1431"/>
        <v>22</v>
      </c>
      <c r="X970" s="3156">
        <f t="shared" si="1431"/>
        <v>22</v>
      </c>
      <c r="Y970" s="3156">
        <f t="shared" si="1431"/>
        <v>21</v>
      </c>
      <c r="Z970" s="3156">
        <f t="shared" si="1431"/>
        <v>21</v>
      </c>
      <c r="AA970" s="3156">
        <f t="shared" si="1431"/>
        <v>21</v>
      </c>
      <c r="AB970" s="3156">
        <f t="shared" si="1431"/>
        <v>21</v>
      </c>
      <c r="AC970" s="3156">
        <f t="shared" si="1431"/>
        <v>21</v>
      </c>
      <c r="AD970" s="3156">
        <f t="shared" si="1431"/>
        <v>22</v>
      </c>
      <c r="AE970" s="3156">
        <f t="shared" si="1431"/>
        <v>22</v>
      </c>
      <c r="AF970" s="3156">
        <f t="shared" si="1431"/>
        <v>21</v>
      </c>
      <c r="AG970" s="3156">
        <f t="shared" si="1431"/>
        <v>21</v>
      </c>
      <c r="AH970" s="3156">
        <f t="shared" si="1431"/>
        <v>22</v>
      </c>
      <c r="AI970" s="3156">
        <f t="shared" si="1431"/>
        <v>21</v>
      </c>
      <c r="AJ970" s="3156">
        <f t="shared" si="1431"/>
        <v>21</v>
      </c>
      <c r="AL970" s="1307">
        <f t="shared" ref="AL970:AL997" ca="1" si="1432">INDIRECT(AL$3&amp;(ROW()))</f>
        <v>21</v>
      </c>
      <c r="AM970" s="3156">
        <f t="shared" ref="AM970:AM997" ca="1" si="1433">INDIRECT(AM$1&amp;AM$3&amp;$C970)</f>
        <v>30</v>
      </c>
      <c r="AN970" s="3157">
        <f t="shared" ref="AN970:AN997" ca="1" si="1434">AL970-AM970</f>
        <v>-9</v>
      </c>
      <c r="AO970" s="3158">
        <f t="shared" ref="AO970:AO997" ca="1" si="1435">IFERROR(AL970/AM970,0)</f>
        <v>0.7</v>
      </c>
      <c r="AP970" s="3156">
        <f t="shared" ref="AP970:AP997" ca="1" si="1436">INDIRECT(AP$1&amp;AP$3&amp;$A970)+INDIRECT(AP$1&amp;AP$3&amp;$B970)</f>
        <v>29</v>
      </c>
      <c r="AQ970" s="3157">
        <f t="shared" ref="AQ970:AQ997" ca="1" si="1437">AL970-AP970</f>
        <v>-8</v>
      </c>
      <c r="AR970" s="3158">
        <f t="shared" ref="AR970:AR997" ca="1" si="1438">IFERROR(AL970/AP970,0)</f>
        <v>0.72413793103448276</v>
      </c>
      <c r="AT970" s="1307">
        <f t="shared" ref="AT970:AT997" ca="1" si="1439">INDIRECT(AT$3&amp;(ROW()))</f>
        <v>21</v>
      </c>
      <c r="AU970" s="3156">
        <f t="shared" ref="AU970:AU997" ca="1" si="1440">INDIRECT(AU$1&amp;AU$3&amp;$C970)</f>
        <v>30</v>
      </c>
      <c r="AV970" s="3157">
        <f t="shared" ref="AV970:AV997" ca="1" si="1441">AT970-AU970</f>
        <v>-9</v>
      </c>
      <c r="AW970" s="3158">
        <f t="shared" ref="AW970:AW997" ca="1" si="1442">IFERROR(AT970/AU970,0)</f>
        <v>0.7</v>
      </c>
      <c r="AX970" s="3156">
        <f t="shared" ref="AX970:AX997" ca="1" si="1443">INDIRECT(AX$1&amp;AX$3&amp;$A970)+INDIRECT(AX$1&amp;AX$3&amp;$B970)</f>
        <v>29</v>
      </c>
      <c r="AY970" s="3157">
        <f t="shared" ref="AY970:AY997" ca="1" si="1444">AT970-AX970</f>
        <v>-8</v>
      </c>
      <c r="AZ970" s="3158">
        <f t="shared" ref="AZ970:AZ997" ca="1" si="1445">IFERROR(AT970/AX970,0)</f>
        <v>0.72413793103448276</v>
      </c>
      <c r="BB970" s="1307">
        <f t="shared" ref="BB970:BB997" ca="1" si="1446">INDIRECT(BB$3&amp;(ROW()))</f>
        <v>21</v>
      </c>
      <c r="BC970" s="3156">
        <f t="shared" ref="BC970:BC997" ca="1" si="1447">INDIRECT(BC$1&amp;BC$3&amp;$C970)</f>
        <v>30</v>
      </c>
      <c r="BD970" s="3157">
        <f t="shared" ref="BD970:BD997" ca="1" si="1448">BB970-BC970</f>
        <v>-9</v>
      </c>
      <c r="BE970" s="3158">
        <f t="shared" ref="BE970:BE997" ca="1" si="1449">IFERROR(BB970/BC970,0)</f>
        <v>0.7</v>
      </c>
      <c r="BF970" s="3156">
        <f t="shared" ref="BF970:BF997" ca="1" si="1450">INDIRECT(BF$1&amp;BF$3&amp;$A970)+INDIRECT(BF$1&amp;BF$3&amp;$B970)</f>
        <v>29</v>
      </c>
      <c r="BG970" s="3157">
        <f t="shared" ref="BG970:BG997" ca="1" si="1451">BB970-BF970</f>
        <v>-8</v>
      </c>
      <c r="BH970" s="3158">
        <f t="shared" ref="BH970:BH997" ca="1" si="1452">IFERROR(BB970/BF970,0)</f>
        <v>0.72413793103448276</v>
      </c>
    </row>
    <row r="971" spans="1:60" s="34" customFormat="1" ht="14.5">
      <c r="A971" s="616">
        <f t="shared" si="1428"/>
        <v>884</v>
      </c>
      <c r="B971" s="616">
        <v>1</v>
      </c>
      <c r="C971" s="616">
        <f t="shared" si="1429"/>
        <v>968</v>
      </c>
      <c r="D971" s="709" t="s">
        <v>1308</v>
      </c>
      <c r="E971" s="2547">
        <v>1</v>
      </c>
      <c r="F971" s="4"/>
      <c r="G971" s="4"/>
      <c r="H971" s="4"/>
      <c r="I971" s="363"/>
      <c r="J971" s="48" t="s">
        <v>1514</v>
      </c>
      <c r="K971" s="47"/>
      <c r="L971" s="48"/>
      <c r="M971" s="48"/>
      <c r="N971" s="47"/>
      <c r="O971" s="47"/>
      <c r="P971" s="47"/>
      <c r="Q971" s="1786" t="str">
        <f>CHOOSE(2, "6722000003890", "HC IP FE/TTOC Sales Total")</f>
        <v>HC IP FE/TTOC Sales Total</v>
      </c>
      <c r="R971" s="45">
        <f>SUM(R972:R975)</f>
        <v>5</v>
      </c>
      <c r="S971" s="45">
        <f t="shared" ref="S971:AJ971" si="1453">SUM(S972:S975)</f>
        <v>5</v>
      </c>
      <c r="T971" s="45">
        <f t="shared" si="1453"/>
        <v>5</v>
      </c>
      <c r="U971" s="45">
        <f t="shared" si="1453"/>
        <v>5</v>
      </c>
      <c r="V971" s="45">
        <f t="shared" si="1453"/>
        <v>5</v>
      </c>
      <c r="W971" s="45">
        <f t="shared" si="1453"/>
        <v>6</v>
      </c>
      <c r="X971" s="45">
        <f t="shared" si="1453"/>
        <v>6</v>
      </c>
      <c r="Y971" s="45">
        <f t="shared" si="1453"/>
        <v>6</v>
      </c>
      <c r="Z971" s="45">
        <f t="shared" si="1453"/>
        <v>6</v>
      </c>
      <c r="AA971" s="45">
        <f t="shared" si="1453"/>
        <v>6</v>
      </c>
      <c r="AB971" s="45">
        <f t="shared" si="1453"/>
        <v>6</v>
      </c>
      <c r="AC971" s="45">
        <f t="shared" si="1453"/>
        <v>6</v>
      </c>
      <c r="AD971" s="911">
        <f t="shared" si="1453"/>
        <v>5</v>
      </c>
      <c r="AE971" s="45">
        <f t="shared" si="1453"/>
        <v>6</v>
      </c>
      <c r="AF971" s="45">
        <f t="shared" si="1453"/>
        <v>6</v>
      </c>
      <c r="AG971" s="45">
        <f t="shared" si="1453"/>
        <v>6</v>
      </c>
      <c r="AH971" s="45">
        <f t="shared" si="1453"/>
        <v>6</v>
      </c>
      <c r="AI971" s="45">
        <f t="shared" si="1453"/>
        <v>6</v>
      </c>
      <c r="AJ971" s="45">
        <f t="shared" si="1453"/>
        <v>6</v>
      </c>
      <c r="AL971" s="45">
        <f t="shared" ca="1" si="1432"/>
        <v>6</v>
      </c>
      <c r="AM971" s="45">
        <f t="shared" ca="1" si="1433"/>
        <v>5</v>
      </c>
      <c r="AN971" s="3302">
        <f t="shared" ca="1" si="1434"/>
        <v>1</v>
      </c>
      <c r="AO971" s="2949">
        <f t="shared" ca="1" si="1435"/>
        <v>1.2</v>
      </c>
      <c r="AP971" s="45">
        <f t="shared" ca="1" si="1436"/>
        <v>33</v>
      </c>
      <c r="AQ971" s="3302">
        <f t="shared" ca="1" si="1437"/>
        <v>-27</v>
      </c>
      <c r="AR971" s="2949">
        <f t="shared" ca="1" si="1438"/>
        <v>0.18181818181818182</v>
      </c>
      <c r="AT971" s="45">
        <f t="shared" ca="1" si="1439"/>
        <v>6</v>
      </c>
      <c r="AU971" s="45">
        <f t="shared" ca="1" si="1440"/>
        <v>5</v>
      </c>
      <c r="AV971" s="3302">
        <f t="shared" ca="1" si="1441"/>
        <v>1</v>
      </c>
      <c r="AW971" s="2949">
        <f t="shared" ca="1" si="1442"/>
        <v>1.2</v>
      </c>
      <c r="AX971" s="45">
        <f t="shared" ca="1" si="1443"/>
        <v>33</v>
      </c>
      <c r="AY971" s="3302">
        <f t="shared" ca="1" si="1444"/>
        <v>-27</v>
      </c>
      <c r="AZ971" s="2949">
        <f t="shared" ca="1" si="1445"/>
        <v>0.18181818181818182</v>
      </c>
      <c r="BB971" s="45">
        <f t="shared" ca="1" si="1446"/>
        <v>6</v>
      </c>
      <c r="BC971" s="45">
        <f t="shared" ca="1" si="1447"/>
        <v>5</v>
      </c>
      <c r="BD971" s="3302">
        <f t="shared" ca="1" si="1448"/>
        <v>1</v>
      </c>
      <c r="BE971" s="2949">
        <f t="shared" ca="1" si="1449"/>
        <v>1.2</v>
      </c>
      <c r="BF971" s="45">
        <f t="shared" ca="1" si="1450"/>
        <v>33</v>
      </c>
      <c r="BG971" s="3302">
        <f t="shared" ca="1" si="1451"/>
        <v>-27</v>
      </c>
      <c r="BH971" s="2949">
        <f t="shared" ca="1" si="1452"/>
        <v>0.18181818181818182</v>
      </c>
    </row>
    <row r="972" spans="1:60" s="34" customFormat="1" ht="14.5">
      <c r="A972" s="616">
        <f t="shared" si="1428"/>
        <v>885</v>
      </c>
      <c r="B972" s="616">
        <v>1</v>
      </c>
      <c r="C972" s="616">
        <f t="shared" si="1429"/>
        <v>969</v>
      </c>
      <c r="E972" s="2547">
        <v>1</v>
      </c>
      <c r="F972" s="4"/>
      <c r="G972" s="4"/>
      <c r="H972" s="4"/>
      <c r="I972" s="363"/>
      <c r="J972" s="4"/>
      <c r="K972" s="3"/>
      <c r="L972" s="4"/>
      <c r="M972" s="4"/>
      <c r="N972" s="41"/>
      <c r="O972" s="41" t="s">
        <v>45</v>
      </c>
      <c r="P972" s="3"/>
      <c r="Q972" s="1778" t="str">
        <f>CHOOSE(2, "6722000003891", "HC IP FE/TTOC Sales Total Direct sales rep.")</f>
        <v>HC IP FE/TTOC Sales Total Direct sales rep.</v>
      </c>
      <c r="R972" s="3310">
        <v>4</v>
      </c>
      <c r="S972" s="1212">
        <v>4</v>
      </c>
      <c r="T972" s="1212">
        <v>4</v>
      </c>
      <c r="U972" s="1212">
        <v>4</v>
      </c>
      <c r="V972" s="1212">
        <v>4</v>
      </c>
      <c r="W972" s="1212">
        <v>5</v>
      </c>
      <c r="X972" s="1212">
        <v>5</v>
      </c>
      <c r="Y972" s="1212">
        <v>5</v>
      </c>
      <c r="Z972" s="1212">
        <v>5</v>
      </c>
      <c r="AA972" s="1212">
        <v>5</v>
      </c>
      <c r="AB972" s="1212">
        <v>5</v>
      </c>
      <c r="AC972" s="1212">
        <v>5</v>
      </c>
      <c r="AD972" s="877">
        <f>T972</f>
        <v>4</v>
      </c>
      <c r="AE972" s="40">
        <f>W972</f>
        <v>5</v>
      </c>
      <c r="AF972" s="40">
        <f>Z972</f>
        <v>5</v>
      </c>
      <c r="AG972" s="40">
        <f>AC972</f>
        <v>5</v>
      </c>
      <c r="AH972" s="40">
        <f>AE972</f>
        <v>5</v>
      </c>
      <c r="AI972" s="40">
        <f>AG972</f>
        <v>5</v>
      </c>
      <c r="AJ972" s="40">
        <f>AI972</f>
        <v>5</v>
      </c>
      <c r="AL972" s="40">
        <f t="shared" ca="1" si="1432"/>
        <v>5</v>
      </c>
      <c r="AM972" s="40">
        <f t="shared" ca="1" si="1433"/>
        <v>0</v>
      </c>
      <c r="AN972" s="3057">
        <f t="shared" ca="1" si="1434"/>
        <v>5</v>
      </c>
      <c r="AO972" s="2695">
        <f t="shared" ca="1" si="1435"/>
        <v>0</v>
      </c>
      <c r="AP972" s="40">
        <f t="shared" ca="1" si="1436"/>
        <v>420</v>
      </c>
      <c r="AQ972" s="3057">
        <f t="shared" ca="1" si="1437"/>
        <v>-415</v>
      </c>
      <c r="AR972" s="2695">
        <f t="shared" ca="1" si="1438"/>
        <v>1.1904761904761904E-2</v>
      </c>
      <c r="AT972" s="40">
        <f t="shared" ca="1" si="1439"/>
        <v>5</v>
      </c>
      <c r="AU972" s="40">
        <f t="shared" ca="1" si="1440"/>
        <v>0</v>
      </c>
      <c r="AV972" s="3057">
        <f t="shared" ca="1" si="1441"/>
        <v>5</v>
      </c>
      <c r="AW972" s="2695">
        <f t="shared" ca="1" si="1442"/>
        <v>0</v>
      </c>
      <c r="AX972" s="40">
        <f t="shared" ca="1" si="1443"/>
        <v>420</v>
      </c>
      <c r="AY972" s="3057">
        <f t="shared" ca="1" si="1444"/>
        <v>-415</v>
      </c>
      <c r="AZ972" s="2695">
        <f t="shared" ca="1" si="1445"/>
        <v>1.1904761904761904E-2</v>
      </c>
      <c r="BB972" s="40">
        <f t="shared" ca="1" si="1446"/>
        <v>5</v>
      </c>
      <c r="BC972" s="40">
        <f t="shared" ca="1" si="1447"/>
        <v>0</v>
      </c>
      <c r="BD972" s="3057">
        <f t="shared" ca="1" si="1448"/>
        <v>5</v>
      </c>
      <c r="BE972" s="2695">
        <f t="shared" ca="1" si="1449"/>
        <v>0</v>
      </c>
      <c r="BF972" s="40">
        <f t="shared" ca="1" si="1450"/>
        <v>420</v>
      </c>
      <c r="BG972" s="3057">
        <f t="shared" ca="1" si="1451"/>
        <v>-415</v>
      </c>
      <c r="BH972" s="2695">
        <f t="shared" ca="1" si="1452"/>
        <v>1.1904761904761904E-2</v>
      </c>
    </row>
    <row r="973" spans="1:60" s="34" customFormat="1" ht="14.5">
      <c r="A973" s="616">
        <f t="shared" si="1428"/>
        <v>886</v>
      </c>
      <c r="B973" s="616">
        <v>1</v>
      </c>
      <c r="C973" s="616">
        <f t="shared" si="1429"/>
        <v>970</v>
      </c>
      <c r="E973" s="2547">
        <v>1</v>
      </c>
      <c r="F973" s="4"/>
      <c r="G973" s="4"/>
      <c r="H973" s="4"/>
      <c r="I973" s="363"/>
      <c r="J973" s="4"/>
      <c r="K973" s="3"/>
      <c r="L973" s="4"/>
      <c r="M973" s="4"/>
      <c r="N973" s="41"/>
      <c r="O973" s="41" t="s">
        <v>44</v>
      </c>
      <c r="P973" s="3"/>
      <c r="Q973" s="1778" t="str">
        <f>CHOOSE(2, "6722000003892", "HC IP FE/TTOC Sales Total Direct sales engineers")</f>
        <v>HC IP FE/TTOC Sales Total Direct sales engineers</v>
      </c>
      <c r="R973" s="3310">
        <v>0</v>
      </c>
      <c r="S973" s="1212">
        <v>0</v>
      </c>
      <c r="T973" s="1212">
        <v>0</v>
      </c>
      <c r="U973" s="1212">
        <v>0</v>
      </c>
      <c r="V973" s="1212">
        <v>0</v>
      </c>
      <c r="W973" s="1212">
        <v>0</v>
      </c>
      <c r="X973" s="1212">
        <v>0</v>
      </c>
      <c r="Y973" s="1212">
        <v>0</v>
      </c>
      <c r="Z973" s="1212">
        <v>0</v>
      </c>
      <c r="AA973" s="1212">
        <v>0</v>
      </c>
      <c r="AB973" s="1212">
        <v>0</v>
      </c>
      <c r="AC973" s="1212">
        <v>0</v>
      </c>
      <c r="AD973" s="877">
        <f>T973</f>
        <v>0</v>
      </c>
      <c r="AE973" s="40">
        <f>W973</f>
        <v>0</v>
      </c>
      <c r="AF973" s="40">
        <f>Z973</f>
        <v>0</v>
      </c>
      <c r="AG973" s="40">
        <f>AC973</f>
        <v>0</v>
      </c>
      <c r="AH973" s="40">
        <f>AE973</f>
        <v>0</v>
      </c>
      <c r="AI973" s="40">
        <f>AG973</f>
        <v>0</v>
      </c>
      <c r="AJ973" s="40">
        <f>AI973</f>
        <v>0</v>
      </c>
      <c r="AL973" s="40">
        <f t="shared" ca="1" si="1432"/>
        <v>0</v>
      </c>
      <c r="AM973" s="40">
        <f t="shared" ca="1" si="1433"/>
        <v>11</v>
      </c>
      <c r="AN973" s="3057">
        <f t="shared" ca="1" si="1434"/>
        <v>-11</v>
      </c>
      <c r="AO973" s="2695">
        <f t="shared" ca="1" si="1435"/>
        <v>0</v>
      </c>
      <c r="AP973" s="40">
        <f t="shared" ca="1" si="1436"/>
        <v>337</v>
      </c>
      <c r="AQ973" s="3057">
        <f t="shared" ca="1" si="1437"/>
        <v>-337</v>
      </c>
      <c r="AR973" s="2695">
        <f t="shared" ca="1" si="1438"/>
        <v>0</v>
      </c>
      <c r="AT973" s="40">
        <f t="shared" ca="1" si="1439"/>
        <v>0</v>
      </c>
      <c r="AU973" s="40">
        <f t="shared" ca="1" si="1440"/>
        <v>11</v>
      </c>
      <c r="AV973" s="3057">
        <f t="shared" ca="1" si="1441"/>
        <v>-11</v>
      </c>
      <c r="AW973" s="2695">
        <f t="shared" ca="1" si="1442"/>
        <v>0</v>
      </c>
      <c r="AX973" s="40">
        <f t="shared" ca="1" si="1443"/>
        <v>337</v>
      </c>
      <c r="AY973" s="3057">
        <f t="shared" ca="1" si="1444"/>
        <v>-337</v>
      </c>
      <c r="AZ973" s="2695">
        <f t="shared" ca="1" si="1445"/>
        <v>0</v>
      </c>
      <c r="BB973" s="40">
        <f t="shared" ca="1" si="1446"/>
        <v>0</v>
      </c>
      <c r="BC973" s="40">
        <f t="shared" ca="1" si="1447"/>
        <v>11</v>
      </c>
      <c r="BD973" s="3057">
        <f t="shared" ca="1" si="1448"/>
        <v>-11</v>
      </c>
      <c r="BE973" s="2695">
        <f t="shared" ca="1" si="1449"/>
        <v>0</v>
      </c>
      <c r="BF973" s="40">
        <f t="shared" ca="1" si="1450"/>
        <v>337</v>
      </c>
      <c r="BG973" s="3057">
        <f t="shared" ca="1" si="1451"/>
        <v>-337</v>
      </c>
      <c r="BH973" s="2695">
        <f t="shared" ca="1" si="1452"/>
        <v>0</v>
      </c>
    </row>
    <row r="974" spans="1:60" s="34" customFormat="1" ht="14.5">
      <c r="A974" s="616">
        <f t="shared" si="1428"/>
        <v>887</v>
      </c>
      <c r="B974" s="616">
        <v>1</v>
      </c>
      <c r="C974" s="616">
        <f t="shared" si="1429"/>
        <v>971</v>
      </c>
      <c r="E974" s="2547">
        <v>1</v>
      </c>
      <c r="F974" s="4"/>
      <c r="G974" s="4"/>
      <c r="H974" s="4"/>
      <c r="I974" s="363"/>
      <c r="J974" s="4"/>
      <c r="K974" s="3"/>
      <c r="L974" s="4"/>
      <c r="M974" s="4"/>
      <c r="N974" s="41"/>
      <c r="O974" s="41" t="s">
        <v>43</v>
      </c>
      <c r="P974" s="3"/>
      <c r="Q974" s="1778" t="str">
        <f>CHOOSE(2, "6722000003893", "HC IP FE/TTOC Sales Total Dealer(Indirect) sales rep.")</f>
        <v>HC IP FE/TTOC Sales Total Dealer(Indirect) sales rep.</v>
      </c>
      <c r="R974" s="3310">
        <v>1</v>
      </c>
      <c r="S974" s="1212">
        <v>1</v>
      </c>
      <c r="T974" s="1212">
        <v>1</v>
      </c>
      <c r="U974" s="1212">
        <v>1</v>
      </c>
      <c r="V974" s="1212">
        <v>1</v>
      </c>
      <c r="W974" s="1212">
        <v>1</v>
      </c>
      <c r="X974" s="1212">
        <v>1</v>
      </c>
      <c r="Y974" s="1212">
        <v>1</v>
      </c>
      <c r="Z974" s="1212">
        <v>1</v>
      </c>
      <c r="AA974" s="1212">
        <v>1</v>
      </c>
      <c r="AB974" s="1212">
        <v>1</v>
      </c>
      <c r="AC974" s="1212">
        <v>1</v>
      </c>
      <c r="AD974" s="877">
        <f>T974</f>
        <v>1</v>
      </c>
      <c r="AE974" s="40">
        <f>W974</f>
        <v>1</v>
      </c>
      <c r="AF974" s="40">
        <f>Z974</f>
        <v>1</v>
      </c>
      <c r="AG974" s="40">
        <f>AC974</f>
        <v>1</v>
      </c>
      <c r="AH974" s="40">
        <f>AE974</f>
        <v>1</v>
      </c>
      <c r="AI974" s="40">
        <f>AG974</f>
        <v>1</v>
      </c>
      <c r="AJ974" s="40">
        <f>AI974</f>
        <v>1</v>
      </c>
      <c r="AL974" s="40">
        <f t="shared" ca="1" si="1432"/>
        <v>1</v>
      </c>
      <c r="AM974" s="40">
        <f t="shared" ca="1" si="1433"/>
        <v>23</v>
      </c>
      <c r="AN974" s="3057">
        <f t="shared" ca="1" si="1434"/>
        <v>-22</v>
      </c>
      <c r="AO974" s="2695">
        <f t="shared" ca="1" si="1435"/>
        <v>4.3478260869565216E-2</v>
      </c>
      <c r="AP974" s="40">
        <f t="shared" ca="1" si="1436"/>
        <v>1</v>
      </c>
      <c r="AQ974" s="3057">
        <f t="shared" ca="1" si="1437"/>
        <v>0</v>
      </c>
      <c r="AR974" s="2695">
        <f t="shared" ca="1" si="1438"/>
        <v>1</v>
      </c>
      <c r="AT974" s="40">
        <f t="shared" ca="1" si="1439"/>
        <v>1</v>
      </c>
      <c r="AU974" s="40">
        <f t="shared" ca="1" si="1440"/>
        <v>23</v>
      </c>
      <c r="AV974" s="3057">
        <f t="shared" ca="1" si="1441"/>
        <v>-22</v>
      </c>
      <c r="AW974" s="2695">
        <f t="shared" ca="1" si="1442"/>
        <v>4.3478260869565216E-2</v>
      </c>
      <c r="AX974" s="40">
        <f t="shared" ca="1" si="1443"/>
        <v>1</v>
      </c>
      <c r="AY974" s="3057">
        <f t="shared" ca="1" si="1444"/>
        <v>0</v>
      </c>
      <c r="AZ974" s="2695">
        <f t="shared" ca="1" si="1445"/>
        <v>1</v>
      </c>
      <c r="BB974" s="40">
        <f t="shared" ca="1" si="1446"/>
        <v>1</v>
      </c>
      <c r="BC974" s="40">
        <f t="shared" ca="1" si="1447"/>
        <v>23</v>
      </c>
      <c r="BD974" s="3057">
        <f t="shared" ca="1" si="1448"/>
        <v>-22</v>
      </c>
      <c r="BE974" s="2695">
        <f t="shared" ca="1" si="1449"/>
        <v>4.3478260869565216E-2</v>
      </c>
      <c r="BF974" s="40">
        <f t="shared" ca="1" si="1450"/>
        <v>1</v>
      </c>
      <c r="BG974" s="3057">
        <f t="shared" ca="1" si="1451"/>
        <v>0</v>
      </c>
      <c r="BH974" s="2695">
        <f t="shared" ca="1" si="1452"/>
        <v>1</v>
      </c>
    </row>
    <row r="975" spans="1:60" s="34" customFormat="1" ht="14.5">
      <c r="A975" s="616">
        <f t="shared" si="1428"/>
        <v>888</v>
      </c>
      <c r="B975" s="616">
        <v>1</v>
      </c>
      <c r="C975" s="616">
        <f t="shared" si="1429"/>
        <v>972</v>
      </c>
      <c r="E975" s="2547">
        <v>1</v>
      </c>
      <c r="F975" s="4"/>
      <c r="G975" s="4"/>
      <c r="H975" s="4"/>
      <c r="I975" s="363"/>
      <c r="J975" s="2"/>
      <c r="K975" s="1"/>
      <c r="L975" s="2"/>
      <c r="M975" s="2"/>
      <c r="N975" s="39"/>
      <c r="O975" s="39" t="s">
        <v>40</v>
      </c>
      <c r="P975" s="1"/>
      <c r="Q975" s="1778" t="str">
        <f>CHOOSE(2, "6722000003894", "HC IP FE/TTOC Sales Total Administration/Others")</f>
        <v>HC IP FE/TTOC Sales Total Administration/Others</v>
      </c>
      <c r="R975" s="1211">
        <v>0</v>
      </c>
      <c r="S975" s="1211">
        <v>0</v>
      </c>
      <c r="T975" s="1211">
        <v>0</v>
      </c>
      <c r="U975" s="1211">
        <v>0</v>
      </c>
      <c r="V975" s="1211">
        <v>0</v>
      </c>
      <c r="W975" s="1211">
        <v>0</v>
      </c>
      <c r="X975" s="1211">
        <v>0</v>
      </c>
      <c r="Y975" s="1211">
        <v>0</v>
      </c>
      <c r="Z975" s="1211">
        <v>0</v>
      </c>
      <c r="AA975" s="1211">
        <v>0</v>
      </c>
      <c r="AB975" s="1211">
        <v>0</v>
      </c>
      <c r="AC975" s="1211">
        <v>0</v>
      </c>
      <c r="AD975" s="912">
        <f>T975</f>
        <v>0</v>
      </c>
      <c r="AE975" s="38">
        <f>W975</f>
        <v>0</v>
      </c>
      <c r="AF975" s="38">
        <f>Z975</f>
        <v>0</v>
      </c>
      <c r="AG975" s="38">
        <f>AC975</f>
        <v>0</v>
      </c>
      <c r="AH975" s="38">
        <f>AE975</f>
        <v>0</v>
      </c>
      <c r="AI975" s="38">
        <f>AG975</f>
        <v>0</v>
      </c>
      <c r="AJ975" s="38">
        <f>AI975</f>
        <v>0</v>
      </c>
      <c r="AL975" s="38">
        <f t="shared" ca="1" si="1432"/>
        <v>0</v>
      </c>
      <c r="AM975" s="38">
        <f t="shared" ca="1" si="1433"/>
        <v>7</v>
      </c>
      <c r="AN975" s="3303">
        <f t="shared" ca="1" si="1434"/>
        <v>-7</v>
      </c>
      <c r="AO975" s="2951">
        <f t="shared" ca="1" si="1435"/>
        <v>0</v>
      </c>
      <c r="AP975" s="38">
        <f t="shared" ca="1" si="1436"/>
        <v>49</v>
      </c>
      <c r="AQ975" s="3303">
        <f t="shared" ca="1" si="1437"/>
        <v>-49</v>
      </c>
      <c r="AR975" s="2951">
        <f t="shared" ca="1" si="1438"/>
        <v>0</v>
      </c>
      <c r="AT975" s="38">
        <f t="shared" ca="1" si="1439"/>
        <v>0</v>
      </c>
      <c r="AU975" s="38">
        <f t="shared" ca="1" si="1440"/>
        <v>7</v>
      </c>
      <c r="AV975" s="3303">
        <f t="shared" ca="1" si="1441"/>
        <v>-7</v>
      </c>
      <c r="AW975" s="2951">
        <f t="shared" ca="1" si="1442"/>
        <v>0</v>
      </c>
      <c r="AX975" s="38">
        <f t="shared" ca="1" si="1443"/>
        <v>49</v>
      </c>
      <c r="AY975" s="3303">
        <f t="shared" ca="1" si="1444"/>
        <v>-49</v>
      </c>
      <c r="AZ975" s="2951">
        <f t="shared" ca="1" si="1445"/>
        <v>0</v>
      </c>
      <c r="BB975" s="38">
        <f t="shared" ca="1" si="1446"/>
        <v>0</v>
      </c>
      <c r="BC975" s="38">
        <f t="shared" ca="1" si="1447"/>
        <v>7</v>
      </c>
      <c r="BD975" s="3303">
        <f t="shared" ca="1" si="1448"/>
        <v>-7</v>
      </c>
      <c r="BE975" s="2951">
        <f t="shared" ca="1" si="1449"/>
        <v>0</v>
      </c>
      <c r="BF975" s="38">
        <f t="shared" ca="1" si="1450"/>
        <v>49</v>
      </c>
      <c r="BG975" s="3303">
        <f t="shared" ca="1" si="1451"/>
        <v>-49</v>
      </c>
      <c r="BH975" s="2951">
        <f t="shared" ca="1" si="1452"/>
        <v>0</v>
      </c>
    </row>
    <row r="976" spans="1:60" s="34" customFormat="1" ht="14.5">
      <c r="A976" s="616">
        <f t="shared" si="1428"/>
        <v>889</v>
      </c>
      <c r="B976" s="616">
        <v>1</v>
      </c>
      <c r="C976" s="616">
        <f t="shared" si="1429"/>
        <v>973</v>
      </c>
      <c r="D976" s="709" t="s">
        <v>1308</v>
      </c>
      <c r="E976" s="2547">
        <v>1</v>
      </c>
      <c r="F976" s="4"/>
      <c r="G976" s="4"/>
      <c r="H976" s="4"/>
      <c r="I976" s="363"/>
      <c r="J976" s="48" t="s">
        <v>1515</v>
      </c>
      <c r="K976" s="47"/>
      <c r="L976" s="48"/>
      <c r="M976" s="48"/>
      <c r="N976" s="47"/>
      <c r="O976" s="47"/>
      <c r="P976" s="47"/>
      <c r="Q976" s="1786" t="str">
        <f>CHOOSE(2, "6722000003895", "HC IP FE/TTOC Service Total")</f>
        <v>HC IP FE/TTOC Service Total</v>
      </c>
      <c r="R976" s="45">
        <f>SUM(R977:R981)</f>
        <v>13</v>
      </c>
      <c r="S976" s="45">
        <f t="shared" ref="S976:AJ976" si="1454">SUM(S977:S981)</f>
        <v>14</v>
      </c>
      <c r="T976" s="45">
        <f t="shared" si="1454"/>
        <v>13</v>
      </c>
      <c r="U976" s="45">
        <f t="shared" si="1454"/>
        <v>13</v>
      </c>
      <c r="V976" s="45">
        <f t="shared" si="1454"/>
        <v>13</v>
      </c>
      <c r="W976" s="45">
        <f t="shared" si="1454"/>
        <v>13</v>
      </c>
      <c r="X976" s="45">
        <f t="shared" si="1454"/>
        <v>13</v>
      </c>
      <c r="Y976" s="45">
        <f t="shared" si="1454"/>
        <v>13</v>
      </c>
      <c r="Z976" s="45">
        <f t="shared" si="1454"/>
        <v>13</v>
      </c>
      <c r="AA976" s="45">
        <f t="shared" si="1454"/>
        <v>13</v>
      </c>
      <c r="AB976" s="45">
        <f t="shared" si="1454"/>
        <v>13</v>
      </c>
      <c r="AC976" s="45">
        <f t="shared" si="1454"/>
        <v>13</v>
      </c>
      <c r="AD976" s="911">
        <f t="shared" si="1454"/>
        <v>13</v>
      </c>
      <c r="AE976" s="45">
        <f t="shared" si="1454"/>
        <v>13</v>
      </c>
      <c r="AF976" s="45">
        <f t="shared" si="1454"/>
        <v>13</v>
      </c>
      <c r="AG976" s="45">
        <f t="shared" si="1454"/>
        <v>13</v>
      </c>
      <c r="AH976" s="45">
        <f t="shared" si="1454"/>
        <v>13</v>
      </c>
      <c r="AI976" s="45">
        <f t="shared" si="1454"/>
        <v>13</v>
      </c>
      <c r="AJ976" s="45">
        <f t="shared" si="1454"/>
        <v>13</v>
      </c>
      <c r="AL976" s="45">
        <f t="shared" ca="1" si="1432"/>
        <v>13</v>
      </c>
      <c r="AM976" s="45">
        <f t="shared" ca="1" si="1433"/>
        <v>16</v>
      </c>
      <c r="AN976" s="3302">
        <f t="shared" ca="1" si="1434"/>
        <v>-3</v>
      </c>
      <c r="AO976" s="2949">
        <f t="shared" ca="1" si="1435"/>
        <v>0.8125</v>
      </c>
      <c r="AP976" s="45">
        <f t="shared" ca="1" si="1436"/>
        <v>0</v>
      </c>
      <c r="AQ976" s="3302">
        <f t="shared" ca="1" si="1437"/>
        <v>13</v>
      </c>
      <c r="AR976" s="2949">
        <f t="shared" ca="1" si="1438"/>
        <v>0</v>
      </c>
      <c r="AT976" s="45">
        <f t="shared" ca="1" si="1439"/>
        <v>13</v>
      </c>
      <c r="AU976" s="45">
        <f t="shared" ca="1" si="1440"/>
        <v>16</v>
      </c>
      <c r="AV976" s="3302">
        <f t="shared" ca="1" si="1441"/>
        <v>-3</v>
      </c>
      <c r="AW976" s="2949">
        <f t="shared" ca="1" si="1442"/>
        <v>0.8125</v>
      </c>
      <c r="AX976" s="45">
        <f t="shared" ca="1" si="1443"/>
        <v>0</v>
      </c>
      <c r="AY976" s="3302">
        <f t="shared" ca="1" si="1444"/>
        <v>13</v>
      </c>
      <c r="AZ976" s="2949">
        <f t="shared" ca="1" si="1445"/>
        <v>0</v>
      </c>
      <c r="BB976" s="45">
        <f t="shared" ca="1" si="1446"/>
        <v>13</v>
      </c>
      <c r="BC976" s="45">
        <f t="shared" ca="1" si="1447"/>
        <v>16</v>
      </c>
      <c r="BD976" s="3302">
        <f t="shared" ca="1" si="1448"/>
        <v>-3</v>
      </c>
      <c r="BE976" s="2949">
        <f t="shared" ca="1" si="1449"/>
        <v>0.8125</v>
      </c>
      <c r="BF976" s="45">
        <f t="shared" ca="1" si="1450"/>
        <v>0</v>
      </c>
      <c r="BG976" s="3302">
        <f t="shared" ca="1" si="1451"/>
        <v>13</v>
      </c>
      <c r="BH976" s="2949">
        <f t="shared" ca="1" si="1452"/>
        <v>0</v>
      </c>
    </row>
    <row r="977" spans="1:60" s="34" customFormat="1" ht="14.5">
      <c r="A977" s="616">
        <f t="shared" si="1428"/>
        <v>890</v>
      </c>
      <c r="B977" s="616">
        <v>1</v>
      </c>
      <c r="C977" s="616">
        <f t="shared" si="1429"/>
        <v>974</v>
      </c>
      <c r="E977" s="2547">
        <v>1</v>
      </c>
      <c r="F977" s="4"/>
      <c r="G977" s="4"/>
      <c r="H977" s="4"/>
      <c r="I977" s="363"/>
      <c r="J977" s="4"/>
      <c r="K977" s="3"/>
      <c r="L977" s="4"/>
      <c r="M977" s="4"/>
      <c r="N977" s="41"/>
      <c r="O977" s="41" t="s">
        <v>15</v>
      </c>
      <c r="P977" s="3"/>
      <c r="Q977" s="1778" t="str">
        <f>CHOOSE(2, "6722000003896", "HC IP FE/TTOC Service Total Onsite Engineer")</f>
        <v>HC IP FE/TTOC Service Total Onsite Engineer</v>
      </c>
      <c r="R977" s="3310">
        <v>13</v>
      </c>
      <c r="S977" s="1212">
        <v>14</v>
      </c>
      <c r="T977" s="1212">
        <v>13</v>
      </c>
      <c r="U977" s="1212">
        <v>13</v>
      </c>
      <c r="V977" s="1212">
        <v>13</v>
      </c>
      <c r="W977" s="1212">
        <v>13</v>
      </c>
      <c r="X977" s="1212">
        <v>13</v>
      </c>
      <c r="Y977" s="1212">
        <v>13</v>
      </c>
      <c r="Z977" s="1212">
        <v>13</v>
      </c>
      <c r="AA977" s="1212">
        <v>13</v>
      </c>
      <c r="AB977" s="1212">
        <v>13</v>
      </c>
      <c r="AC977" s="1212">
        <v>13</v>
      </c>
      <c r="AD977" s="877">
        <f>T977</f>
        <v>13</v>
      </c>
      <c r="AE977" s="40">
        <f>W977</f>
        <v>13</v>
      </c>
      <c r="AF977" s="40">
        <f>Z977</f>
        <v>13</v>
      </c>
      <c r="AG977" s="40">
        <f>AC977</f>
        <v>13</v>
      </c>
      <c r="AH977" s="40">
        <f>AE977</f>
        <v>13</v>
      </c>
      <c r="AI977" s="40">
        <f>AG977</f>
        <v>13</v>
      </c>
      <c r="AJ977" s="40">
        <f>AI977</f>
        <v>13</v>
      </c>
      <c r="AL977" s="40">
        <f t="shared" ca="1" si="1432"/>
        <v>13</v>
      </c>
      <c r="AM977" s="40">
        <f t="shared" ca="1" si="1433"/>
        <v>0</v>
      </c>
      <c r="AN977" s="3057">
        <f t="shared" ca="1" si="1434"/>
        <v>13</v>
      </c>
      <c r="AO977" s="2695">
        <f t="shared" ca="1" si="1435"/>
        <v>0</v>
      </c>
      <c r="AP977" s="40">
        <f t="shared" ca="1" si="1436"/>
        <v>33</v>
      </c>
      <c r="AQ977" s="3057">
        <f t="shared" ca="1" si="1437"/>
        <v>-20</v>
      </c>
      <c r="AR977" s="2695">
        <f t="shared" ca="1" si="1438"/>
        <v>0.39393939393939392</v>
      </c>
      <c r="AT977" s="40">
        <f t="shared" ca="1" si="1439"/>
        <v>13</v>
      </c>
      <c r="AU977" s="40">
        <f t="shared" ca="1" si="1440"/>
        <v>0</v>
      </c>
      <c r="AV977" s="3057">
        <f t="shared" ca="1" si="1441"/>
        <v>13</v>
      </c>
      <c r="AW977" s="2695">
        <f t="shared" ca="1" si="1442"/>
        <v>0</v>
      </c>
      <c r="AX977" s="40">
        <f t="shared" ca="1" si="1443"/>
        <v>33</v>
      </c>
      <c r="AY977" s="3057">
        <f t="shared" ca="1" si="1444"/>
        <v>-20</v>
      </c>
      <c r="AZ977" s="2695">
        <f t="shared" ca="1" si="1445"/>
        <v>0.39393939393939392</v>
      </c>
      <c r="BB977" s="40">
        <f t="shared" ca="1" si="1446"/>
        <v>13</v>
      </c>
      <c r="BC977" s="40">
        <f t="shared" ca="1" si="1447"/>
        <v>0</v>
      </c>
      <c r="BD977" s="3057">
        <f t="shared" ca="1" si="1448"/>
        <v>13</v>
      </c>
      <c r="BE977" s="2695">
        <f t="shared" ca="1" si="1449"/>
        <v>0</v>
      </c>
      <c r="BF977" s="40">
        <f t="shared" ca="1" si="1450"/>
        <v>33</v>
      </c>
      <c r="BG977" s="3057">
        <f t="shared" ca="1" si="1451"/>
        <v>-20</v>
      </c>
      <c r="BH977" s="2695">
        <f t="shared" ca="1" si="1452"/>
        <v>0.39393939393939392</v>
      </c>
    </row>
    <row r="978" spans="1:60" s="34" customFormat="1" ht="14.5">
      <c r="A978" s="616">
        <f t="shared" si="1428"/>
        <v>891</v>
      </c>
      <c r="B978" s="616">
        <v>1</v>
      </c>
      <c r="C978" s="616">
        <f t="shared" si="1429"/>
        <v>975</v>
      </c>
      <c r="E978" s="2547">
        <v>1</v>
      </c>
      <c r="F978" s="4"/>
      <c r="G978" s="4"/>
      <c r="H978" s="4"/>
      <c r="I978" s="363"/>
      <c r="J978" s="4"/>
      <c r="K978" s="3"/>
      <c r="L978" s="4"/>
      <c r="M978" s="4"/>
      <c r="N978" s="41"/>
      <c r="O978" s="41" t="s">
        <v>16</v>
      </c>
      <c r="P978" s="3"/>
      <c r="Q978" s="1778" t="str">
        <f>CHOOSE(2, "6722000003897", "HC IP FE/TTOC Service Total Remote Engineer")</f>
        <v>HC IP FE/TTOC Service Total Remote Engineer</v>
      </c>
      <c r="R978" s="1212">
        <v>0</v>
      </c>
      <c r="S978" s="1212">
        <v>0</v>
      </c>
      <c r="T978" s="1212">
        <v>0</v>
      </c>
      <c r="U978" s="1212">
        <v>0</v>
      </c>
      <c r="V978" s="1212">
        <v>0</v>
      </c>
      <c r="W978" s="1212">
        <v>0</v>
      </c>
      <c r="X978" s="1212">
        <v>0</v>
      </c>
      <c r="Y978" s="1212">
        <v>0</v>
      </c>
      <c r="Z978" s="1212">
        <v>0</v>
      </c>
      <c r="AA978" s="1212">
        <v>0</v>
      </c>
      <c r="AB978" s="1212">
        <v>0</v>
      </c>
      <c r="AC978" s="1212">
        <v>0</v>
      </c>
      <c r="AD978" s="877">
        <f>T978</f>
        <v>0</v>
      </c>
      <c r="AE978" s="40">
        <f>W978</f>
        <v>0</v>
      </c>
      <c r="AF978" s="40">
        <f>Z978</f>
        <v>0</v>
      </c>
      <c r="AG978" s="40">
        <f>AC978</f>
        <v>0</v>
      </c>
      <c r="AH978" s="40">
        <f>AE978</f>
        <v>0</v>
      </c>
      <c r="AI978" s="40">
        <f>AG978</f>
        <v>0</v>
      </c>
      <c r="AJ978" s="40">
        <f>AI978</f>
        <v>0</v>
      </c>
      <c r="AL978" s="40">
        <f t="shared" ca="1" si="1432"/>
        <v>0</v>
      </c>
      <c r="AM978" s="40">
        <f t="shared" ca="1" si="1433"/>
        <v>1</v>
      </c>
      <c r="AN978" s="3057">
        <f t="shared" ca="1" si="1434"/>
        <v>-1</v>
      </c>
      <c r="AO978" s="2695">
        <f t="shared" ca="1" si="1435"/>
        <v>0</v>
      </c>
      <c r="AP978" s="40">
        <f t="shared" ca="1" si="1436"/>
        <v>16</v>
      </c>
      <c r="AQ978" s="3057">
        <f t="shared" ca="1" si="1437"/>
        <v>-16</v>
      </c>
      <c r="AR978" s="2695">
        <f t="shared" ca="1" si="1438"/>
        <v>0</v>
      </c>
      <c r="AT978" s="40">
        <f t="shared" ca="1" si="1439"/>
        <v>0</v>
      </c>
      <c r="AU978" s="40">
        <f t="shared" ca="1" si="1440"/>
        <v>1</v>
      </c>
      <c r="AV978" s="3057">
        <f t="shared" ca="1" si="1441"/>
        <v>-1</v>
      </c>
      <c r="AW978" s="2695">
        <f t="shared" ca="1" si="1442"/>
        <v>0</v>
      </c>
      <c r="AX978" s="40">
        <f t="shared" ca="1" si="1443"/>
        <v>16</v>
      </c>
      <c r="AY978" s="3057">
        <f t="shared" ca="1" si="1444"/>
        <v>-16</v>
      </c>
      <c r="AZ978" s="2695">
        <f t="shared" ca="1" si="1445"/>
        <v>0</v>
      </c>
      <c r="BB978" s="40">
        <f t="shared" ca="1" si="1446"/>
        <v>0</v>
      </c>
      <c r="BC978" s="40">
        <f t="shared" ca="1" si="1447"/>
        <v>1</v>
      </c>
      <c r="BD978" s="3057">
        <f t="shared" ca="1" si="1448"/>
        <v>-1</v>
      </c>
      <c r="BE978" s="2695">
        <f t="shared" ca="1" si="1449"/>
        <v>0</v>
      </c>
      <c r="BF978" s="40">
        <f t="shared" ca="1" si="1450"/>
        <v>16</v>
      </c>
      <c r="BG978" s="3057">
        <f t="shared" ca="1" si="1451"/>
        <v>-16</v>
      </c>
      <c r="BH978" s="2695">
        <f t="shared" ca="1" si="1452"/>
        <v>0</v>
      </c>
    </row>
    <row r="979" spans="1:60" s="34" customFormat="1" ht="14.5">
      <c r="A979" s="616">
        <f t="shared" si="1428"/>
        <v>892</v>
      </c>
      <c r="B979" s="616">
        <v>1</v>
      </c>
      <c r="C979" s="616">
        <f t="shared" si="1429"/>
        <v>976</v>
      </c>
      <c r="E979" s="2547">
        <v>1</v>
      </c>
      <c r="F979" s="4"/>
      <c r="G979" s="4"/>
      <c r="H979" s="4"/>
      <c r="I979" s="363"/>
      <c r="J979" s="4"/>
      <c r="K979" s="3"/>
      <c r="L979" s="4"/>
      <c r="M979" s="4"/>
      <c r="N979" s="41"/>
      <c r="O979" s="41" t="s">
        <v>42</v>
      </c>
      <c r="P979" s="3"/>
      <c r="Q979" s="1778" t="str">
        <f>CHOOSE(2, "6722000003898", "HC IP FE/TTOC Service Total Technical support")</f>
        <v>HC IP FE/TTOC Service Total Technical support</v>
      </c>
      <c r="R979" s="1212">
        <v>0</v>
      </c>
      <c r="S979" s="1212">
        <v>0</v>
      </c>
      <c r="T979" s="1212">
        <v>0</v>
      </c>
      <c r="U979" s="1212">
        <v>0</v>
      </c>
      <c r="V979" s="1212">
        <v>0</v>
      </c>
      <c r="W979" s="1212">
        <v>0</v>
      </c>
      <c r="X979" s="1212">
        <v>0</v>
      </c>
      <c r="Y979" s="1212">
        <v>0</v>
      </c>
      <c r="Z979" s="1212">
        <v>0</v>
      </c>
      <c r="AA979" s="1212">
        <v>0</v>
      </c>
      <c r="AB979" s="1212">
        <v>0</v>
      </c>
      <c r="AC979" s="1212">
        <v>0</v>
      </c>
      <c r="AD979" s="877">
        <f>T979</f>
        <v>0</v>
      </c>
      <c r="AE979" s="40">
        <f>W979</f>
        <v>0</v>
      </c>
      <c r="AF979" s="40">
        <f>Z979</f>
        <v>0</v>
      </c>
      <c r="AG979" s="40">
        <f>AC979</f>
        <v>0</v>
      </c>
      <c r="AH979" s="40">
        <f>AE979</f>
        <v>0</v>
      </c>
      <c r="AI979" s="40">
        <f>AG979</f>
        <v>0</v>
      </c>
      <c r="AJ979" s="40">
        <f>AI979</f>
        <v>0</v>
      </c>
      <c r="AL979" s="40">
        <f t="shared" ca="1" si="1432"/>
        <v>0</v>
      </c>
      <c r="AM979" s="40">
        <f t="shared" ca="1" si="1433"/>
        <v>0</v>
      </c>
      <c r="AN979" s="3057">
        <f t="shared" ca="1" si="1434"/>
        <v>0</v>
      </c>
      <c r="AO979" s="2695">
        <f t="shared" ca="1" si="1435"/>
        <v>0</v>
      </c>
      <c r="AP979" s="40">
        <f t="shared" ca="1" si="1436"/>
        <v>7</v>
      </c>
      <c r="AQ979" s="3057">
        <f t="shared" ca="1" si="1437"/>
        <v>-7</v>
      </c>
      <c r="AR979" s="2695">
        <f t="shared" ca="1" si="1438"/>
        <v>0</v>
      </c>
      <c r="AT979" s="40">
        <f t="shared" ca="1" si="1439"/>
        <v>0</v>
      </c>
      <c r="AU979" s="40">
        <f t="shared" ca="1" si="1440"/>
        <v>0</v>
      </c>
      <c r="AV979" s="3057">
        <f t="shared" ca="1" si="1441"/>
        <v>0</v>
      </c>
      <c r="AW979" s="2695">
        <f t="shared" ca="1" si="1442"/>
        <v>0</v>
      </c>
      <c r="AX979" s="40">
        <f t="shared" ca="1" si="1443"/>
        <v>7</v>
      </c>
      <c r="AY979" s="3057">
        <f t="shared" ca="1" si="1444"/>
        <v>-7</v>
      </c>
      <c r="AZ979" s="2695">
        <f t="shared" ca="1" si="1445"/>
        <v>0</v>
      </c>
      <c r="BB979" s="40">
        <f t="shared" ca="1" si="1446"/>
        <v>0</v>
      </c>
      <c r="BC979" s="40">
        <f t="shared" ca="1" si="1447"/>
        <v>0</v>
      </c>
      <c r="BD979" s="3057">
        <f t="shared" ca="1" si="1448"/>
        <v>0</v>
      </c>
      <c r="BE979" s="2695">
        <f t="shared" ca="1" si="1449"/>
        <v>0</v>
      </c>
      <c r="BF979" s="40">
        <f t="shared" ca="1" si="1450"/>
        <v>7</v>
      </c>
      <c r="BG979" s="3057">
        <f t="shared" ca="1" si="1451"/>
        <v>-7</v>
      </c>
      <c r="BH979" s="2695">
        <f t="shared" ca="1" si="1452"/>
        <v>0</v>
      </c>
    </row>
    <row r="980" spans="1:60" s="34" customFormat="1" ht="14.5">
      <c r="A980" s="616">
        <f t="shared" si="1428"/>
        <v>893</v>
      </c>
      <c r="B980" s="616">
        <v>1</v>
      </c>
      <c r="C980" s="616">
        <f t="shared" si="1429"/>
        <v>977</v>
      </c>
      <c r="E980" s="2547">
        <v>1</v>
      </c>
      <c r="F980" s="4"/>
      <c r="G980" s="4"/>
      <c r="H980" s="4"/>
      <c r="I980" s="363"/>
      <c r="J980" s="4"/>
      <c r="K980" s="3"/>
      <c r="L980" s="4"/>
      <c r="M980" s="4"/>
      <c r="N980" s="41"/>
      <c r="O980" s="41" t="s">
        <v>41</v>
      </c>
      <c r="P980" s="3"/>
      <c r="Q980" s="1778" t="str">
        <f>CHOOSE(2, "6722000003899", "HC IP FE/TTOC Service Total Dealer(Indirect) support")</f>
        <v>HC IP FE/TTOC Service Total Dealer(Indirect) support</v>
      </c>
      <c r="R980" s="1212">
        <v>0</v>
      </c>
      <c r="S980" s="1212">
        <v>0</v>
      </c>
      <c r="T980" s="1212">
        <v>0</v>
      </c>
      <c r="U980" s="1212">
        <v>0</v>
      </c>
      <c r="V980" s="1212">
        <v>0</v>
      </c>
      <c r="W980" s="1212">
        <v>0</v>
      </c>
      <c r="X980" s="1212">
        <v>0</v>
      </c>
      <c r="Y980" s="1212">
        <v>0</v>
      </c>
      <c r="Z980" s="1212">
        <v>0</v>
      </c>
      <c r="AA980" s="1212">
        <v>0</v>
      </c>
      <c r="AB980" s="1212">
        <v>0</v>
      </c>
      <c r="AC980" s="1212">
        <v>0</v>
      </c>
      <c r="AD980" s="877">
        <f>T980</f>
        <v>0</v>
      </c>
      <c r="AE980" s="40">
        <f>W980</f>
        <v>0</v>
      </c>
      <c r="AF980" s="40">
        <f>Z980</f>
        <v>0</v>
      </c>
      <c r="AG980" s="40">
        <f>AC980</f>
        <v>0</v>
      </c>
      <c r="AH980" s="40">
        <f>AE980</f>
        <v>0</v>
      </c>
      <c r="AI980" s="40">
        <f>AG980</f>
        <v>0</v>
      </c>
      <c r="AJ980" s="40">
        <f>AI980</f>
        <v>0</v>
      </c>
      <c r="AL980" s="40">
        <f t="shared" ca="1" si="1432"/>
        <v>0</v>
      </c>
      <c r="AM980" s="40">
        <f t="shared" ca="1" si="1433"/>
        <v>0</v>
      </c>
      <c r="AN980" s="3057">
        <f t="shared" ca="1" si="1434"/>
        <v>0</v>
      </c>
      <c r="AO980" s="2695">
        <f t="shared" ca="1" si="1435"/>
        <v>0</v>
      </c>
      <c r="AP980" s="40">
        <f t="shared" ca="1" si="1436"/>
        <v>0</v>
      </c>
      <c r="AQ980" s="3057">
        <f t="shared" ca="1" si="1437"/>
        <v>0</v>
      </c>
      <c r="AR980" s="2695">
        <f t="shared" ca="1" si="1438"/>
        <v>0</v>
      </c>
      <c r="AT980" s="40">
        <f t="shared" ca="1" si="1439"/>
        <v>0</v>
      </c>
      <c r="AU980" s="40">
        <f t="shared" ca="1" si="1440"/>
        <v>0</v>
      </c>
      <c r="AV980" s="3057">
        <f t="shared" ca="1" si="1441"/>
        <v>0</v>
      </c>
      <c r="AW980" s="2695">
        <f t="shared" ca="1" si="1442"/>
        <v>0</v>
      </c>
      <c r="AX980" s="40">
        <f t="shared" ca="1" si="1443"/>
        <v>0</v>
      </c>
      <c r="AY980" s="3057">
        <f t="shared" ca="1" si="1444"/>
        <v>0</v>
      </c>
      <c r="AZ980" s="2695">
        <f t="shared" ca="1" si="1445"/>
        <v>0</v>
      </c>
      <c r="BB980" s="40">
        <f t="shared" ca="1" si="1446"/>
        <v>0</v>
      </c>
      <c r="BC980" s="40">
        <f t="shared" ca="1" si="1447"/>
        <v>0</v>
      </c>
      <c r="BD980" s="3057">
        <f t="shared" ca="1" si="1448"/>
        <v>0</v>
      </c>
      <c r="BE980" s="2695">
        <f t="shared" ca="1" si="1449"/>
        <v>0</v>
      </c>
      <c r="BF980" s="40">
        <f t="shared" ca="1" si="1450"/>
        <v>0</v>
      </c>
      <c r="BG980" s="3057">
        <f t="shared" ca="1" si="1451"/>
        <v>0</v>
      </c>
      <c r="BH980" s="2695">
        <f t="shared" ca="1" si="1452"/>
        <v>0</v>
      </c>
    </row>
    <row r="981" spans="1:60" s="34" customFormat="1" ht="14.5">
      <c r="A981" s="616">
        <f t="shared" si="1428"/>
        <v>894</v>
      </c>
      <c r="B981" s="616">
        <v>1</v>
      </c>
      <c r="C981" s="616">
        <f t="shared" si="1429"/>
        <v>978</v>
      </c>
      <c r="E981" s="2547">
        <v>1</v>
      </c>
      <c r="F981" s="4"/>
      <c r="G981" s="4"/>
      <c r="H981" s="4"/>
      <c r="I981" s="363"/>
      <c r="J981" s="4"/>
      <c r="K981" s="3"/>
      <c r="L981" s="4"/>
      <c r="M981" s="4"/>
      <c r="N981" s="41"/>
      <c r="O981" s="41" t="s">
        <v>40</v>
      </c>
      <c r="P981" s="3"/>
      <c r="Q981" s="1778" t="str">
        <f>CHOOSE(2, "6722000003900", "HC IP FE/TTOC Service Total Administration/Others")</f>
        <v>HC IP FE/TTOC Service Total Administration/Others</v>
      </c>
      <c r="R981" s="1212">
        <v>0</v>
      </c>
      <c r="S981" s="1212">
        <v>0</v>
      </c>
      <c r="T981" s="1212">
        <v>0</v>
      </c>
      <c r="U981" s="1212">
        <v>0</v>
      </c>
      <c r="V981" s="1212">
        <v>0</v>
      </c>
      <c r="W981" s="1212">
        <v>0</v>
      </c>
      <c r="X981" s="1212">
        <v>0</v>
      </c>
      <c r="Y981" s="1212">
        <v>0</v>
      </c>
      <c r="Z981" s="1212">
        <v>0</v>
      </c>
      <c r="AA981" s="1212">
        <v>0</v>
      </c>
      <c r="AB981" s="1212">
        <v>0</v>
      </c>
      <c r="AC981" s="1212">
        <v>0</v>
      </c>
      <c r="AD981" s="877">
        <f>T981</f>
        <v>0</v>
      </c>
      <c r="AE981" s="40">
        <f>W981</f>
        <v>0</v>
      </c>
      <c r="AF981" s="40">
        <f>Z981</f>
        <v>0</v>
      </c>
      <c r="AG981" s="40">
        <f>AC981</f>
        <v>0</v>
      </c>
      <c r="AH981" s="40">
        <f>AE981</f>
        <v>0</v>
      </c>
      <c r="AI981" s="40">
        <f>AG981</f>
        <v>0</v>
      </c>
      <c r="AJ981" s="40">
        <f>AI981</f>
        <v>0</v>
      </c>
      <c r="AL981" s="40">
        <f t="shared" ca="1" si="1432"/>
        <v>0</v>
      </c>
      <c r="AM981" s="40">
        <f t="shared" ca="1" si="1433"/>
        <v>26</v>
      </c>
      <c r="AN981" s="3057">
        <f t="shared" ca="1" si="1434"/>
        <v>-26</v>
      </c>
      <c r="AO981" s="2695">
        <f t="shared" ca="1" si="1435"/>
        <v>0</v>
      </c>
      <c r="AP981" s="40">
        <f t="shared" ca="1" si="1436"/>
        <v>7</v>
      </c>
      <c r="AQ981" s="3057">
        <f t="shared" ca="1" si="1437"/>
        <v>-7</v>
      </c>
      <c r="AR981" s="2695">
        <f t="shared" ca="1" si="1438"/>
        <v>0</v>
      </c>
      <c r="AT981" s="40">
        <f t="shared" ca="1" si="1439"/>
        <v>0</v>
      </c>
      <c r="AU981" s="40">
        <f t="shared" ca="1" si="1440"/>
        <v>26</v>
      </c>
      <c r="AV981" s="3057">
        <f t="shared" ca="1" si="1441"/>
        <v>-26</v>
      </c>
      <c r="AW981" s="2695">
        <f t="shared" ca="1" si="1442"/>
        <v>0</v>
      </c>
      <c r="AX981" s="40">
        <f t="shared" ca="1" si="1443"/>
        <v>7</v>
      </c>
      <c r="AY981" s="3057">
        <f t="shared" ca="1" si="1444"/>
        <v>-7</v>
      </c>
      <c r="AZ981" s="2695">
        <f t="shared" ca="1" si="1445"/>
        <v>0</v>
      </c>
      <c r="BB981" s="40">
        <f t="shared" ca="1" si="1446"/>
        <v>0</v>
      </c>
      <c r="BC981" s="40">
        <f t="shared" ca="1" si="1447"/>
        <v>26</v>
      </c>
      <c r="BD981" s="3057">
        <f t="shared" ca="1" si="1448"/>
        <v>-26</v>
      </c>
      <c r="BE981" s="2695">
        <f t="shared" ca="1" si="1449"/>
        <v>0</v>
      </c>
      <c r="BF981" s="40">
        <f t="shared" ca="1" si="1450"/>
        <v>7</v>
      </c>
      <c r="BG981" s="3057">
        <f t="shared" ca="1" si="1451"/>
        <v>-7</v>
      </c>
      <c r="BH981" s="2695">
        <f t="shared" ca="1" si="1452"/>
        <v>0</v>
      </c>
    </row>
    <row r="982" spans="1:60" s="34" customFormat="1" ht="14.5">
      <c r="A982" s="616">
        <f t="shared" si="1428"/>
        <v>895</v>
      </c>
      <c r="B982" s="616">
        <v>1</v>
      </c>
      <c r="C982" s="616">
        <f t="shared" si="1429"/>
        <v>979</v>
      </c>
      <c r="D982" s="709" t="s">
        <v>1308</v>
      </c>
      <c r="E982" s="2547">
        <v>1</v>
      </c>
      <c r="F982" s="4"/>
      <c r="G982" s="4"/>
      <c r="H982" s="4"/>
      <c r="I982" s="363"/>
      <c r="J982" s="252" t="s">
        <v>1516</v>
      </c>
      <c r="K982" s="251"/>
      <c r="L982" s="252"/>
      <c r="M982" s="252"/>
      <c r="N982" s="251"/>
      <c r="O982" s="251"/>
      <c r="P982" s="251"/>
      <c r="Q982" s="1786" t="str">
        <f>CHOOSE(2, "6722000003901", "HC IP FE/TTOC Marketing Total")</f>
        <v>HC IP FE/TTOC Marketing Total</v>
      </c>
      <c r="R982" s="3102">
        <f>SUM(R983:R986)</f>
        <v>4</v>
      </c>
      <c r="S982" s="3102">
        <f t="shared" ref="S982:AJ982" si="1455">SUM(S983:S986)</f>
        <v>4</v>
      </c>
      <c r="T982" s="3102">
        <f t="shared" si="1455"/>
        <v>4</v>
      </c>
      <c r="U982" s="3102">
        <f t="shared" si="1455"/>
        <v>4</v>
      </c>
      <c r="V982" s="3102">
        <f t="shared" si="1455"/>
        <v>4</v>
      </c>
      <c r="W982" s="3102">
        <f t="shared" si="1455"/>
        <v>3</v>
      </c>
      <c r="X982" s="3102">
        <f t="shared" si="1455"/>
        <v>3</v>
      </c>
      <c r="Y982" s="3102">
        <f t="shared" si="1455"/>
        <v>2</v>
      </c>
      <c r="Z982" s="3102">
        <f t="shared" si="1455"/>
        <v>2</v>
      </c>
      <c r="AA982" s="3102">
        <f t="shared" si="1455"/>
        <v>2</v>
      </c>
      <c r="AB982" s="3102">
        <f t="shared" si="1455"/>
        <v>2</v>
      </c>
      <c r="AC982" s="3102">
        <f t="shared" si="1455"/>
        <v>2</v>
      </c>
      <c r="AD982" s="745">
        <f t="shared" si="1455"/>
        <v>4</v>
      </c>
      <c r="AE982" s="3102">
        <f t="shared" si="1455"/>
        <v>3</v>
      </c>
      <c r="AF982" s="3102">
        <f t="shared" si="1455"/>
        <v>2</v>
      </c>
      <c r="AG982" s="3102">
        <f t="shared" si="1455"/>
        <v>2</v>
      </c>
      <c r="AH982" s="3102">
        <f t="shared" si="1455"/>
        <v>3</v>
      </c>
      <c r="AI982" s="3102">
        <f t="shared" si="1455"/>
        <v>2</v>
      </c>
      <c r="AJ982" s="3102">
        <f t="shared" si="1455"/>
        <v>2</v>
      </c>
      <c r="AL982" s="3102">
        <f t="shared" ca="1" si="1432"/>
        <v>2</v>
      </c>
      <c r="AM982" s="3102">
        <f t="shared" ca="1" si="1433"/>
        <v>7</v>
      </c>
      <c r="AN982" s="3304">
        <f t="shared" ca="1" si="1434"/>
        <v>-5</v>
      </c>
      <c r="AO982" s="2953">
        <f t="shared" ca="1" si="1435"/>
        <v>0.2857142857142857</v>
      </c>
      <c r="AP982" s="3102">
        <f t="shared" ca="1" si="1436"/>
        <v>2</v>
      </c>
      <c r="AQ982" s="3304">
        <f t="shared" ca="1" si="1437"/>
        <v>0</v>
      </c>
      <c r="AR982" s="2953">
        <f t="shared" ca="1" si="1438"/>
        <v>1</v>
      </c>
      <c r="AT982" s="3102">
        <f t="shared" ca="1" si="1439"/>
        <v>2</v>
      </c>
      <c r="AU982" s="3102">
        <f t="shared" ca="1" si="1440"/>
        <v>7</v>
      </c>
      <c r="AV982" s="3304">
        <f t="shared" ca="1" si="1441"/>
        <v>-5</v>
      </c>
      <c r="AW982" s="2953">
        <f t="shared" ca="1" si="1442"/>
        <v>0.2857142857142857</v>
      </c>
      <c r="AX982" s="3102">
        <f t="shared" ca="1" si="1443"/>
        <v>2</v>
      </c>
      <c r="AY982" s="3304">
        <f t="shared" ca="1" si="1444"/>
        <v>0</v>
      </c>
      <c r="AZ982" s="2953">
        <f t="shared" ca="1" si="1445"/>
        <v>1</v>
      </c>
      <c r="BB982" s="3102">
        <f t="shared" ca="1" si="1446"/>
        <v>2</v>
      </c>
      <c r="BC982" s="3102">
        <f t="shared" ca="1" si="1447"/>
        <v>7</v>
      </c>
      <c r="BD982" s="3304">
        <f t="shared" ca="1" si="1448"/>
        <v>-5</v>
      </c>
      <c r="BE982" s="2953">
        <f t="shared" ca="1" si="1449"/>
        <v>0.2857142857142857</v>
      </c>
      <c r="BF982" s="3102">
        <f t="shared" ca="1" si="1450"/>
        <v>2</v>
      </c>
      <c r="BG982" s="3304">
        <f t="shared" ca="1" si="1451"/>
        <v>0</v>
      </c>
      <c r="BH982" s="2953">
        <f t="shared" ca="1" si="1452"/>
        <v>1</v>
      </c>
    </row>
    <row r="983" spans="1:60" s="34" customFormat="1" ht="14.5">
      <c r="A983" s="616">
        <f t="shared" si="1428"/>
        <v>896</v>
      </c>
      <c r="B983" s="616">
        <v>1</v>
      </c>
      <c r="C983" s="616">
        <f t="shared" si="1429"/>
        <v>980</v>
      </c>
      <c r="E983" s="2547">
        <v>1</v>
      </c>
      <c r="F983" s="4"/>
      <c r="G983" s="4"/>
      <c r="H983" s="4"/>
      <c r="I983" s="363"/>
      <c r="J983" s="4"/>
      <c r="K983" s="3"/>
      <c r="L983" s="4"/>
      <c r="M983" s="4"/>
      <c r="N983" s="41"/>
      <c r="O983" s="41" t="s">
        <v>198</v>
      </c>
      <c r="P983" s="3"/>
      <c r="Q983" s="1778" t="str">
        <f>CHOOSE(2, "6722000003902", "HC IP FE/TTOC Marketing Total Business Development")</f>
        <v>HC IP FE/TTOC Marketing Total Business Development</v>
      </c>
      <c r="R983" s="3310">
        <v>2</v>
      </c>
      <c r="S983" s="1212">
        <v>2</v>
      </c>
      <c r="T983" s="1212">
        <v>2</v>
      </c>
      <c r="U983" s="1212">
        <v>2</v>
      </c>
      <c r="V983" s="1212">
        <v>2</v>
      </c>
      <c r="W983" s="1212">
        <v>1</v>
      </c>
      <c r="X983" s="1212">
        <v>1</v>
      </c>
      <c r="Y983" s="1212">
        <v>1</v>
      </c>
      <c r="Z983" s="1212">
        <v>1</v>
      </c>
      <c r="AA983" s="1212">
        <v>1</v>
      </c>
      <c r="AB983" s="1212">
        <v>1</v>
      </c>
      <c r="AC983" s="1212">
        <v>1</v>
      </c>
      <c r="AD983" s="877">
        <f>T983</f>
        <v>2</v>
      </c>
      <c r="AE983" s="40">
        <f>W983</f>
        <v>1</v>
      </c>
      <c r="AF983" s="40">
        <f>Z983</f>
        <v>1</v>
      </c>
      <c r="AG983" s="40">
        <f>AC983</f>
        <v>1</v>
      </c>
      <c r="AH983" s="40">
        <f>AE983</f>
        <v>1</v>
      </c>
      <c r="AI983" s="40">
        <f>AG983</f>
        <v>1</v>
      </c>
      <c r="AJ983" s="40">
        <f>AI983</f>
        <v>1</v>
      </c>
      <c r="AL983" s="40">
        <f t="shared" ca="1" si="1432"/>
        <v>1</v>
      </c>
      <c r="AM983" s="40">
        <f t="shared" ca="1" si="1433"/>
        <v>7</v>
      </c>
      <c r="AN983" s="3057">
        <f t="shared" ca="1" si="1434"/>
        <v>-6</v>
      </c>
      <c r="AO983" s="2695">
        <f t="shared" ca="1" si="1435"/>
        <v>0.14285714285714285</v>
      </c>
      <c r="AP983" s="40">
        <f t="shared" ca="1" si="1436"/>
        <v>79</v>
      </c>
      <c r="AQ983" s="3057">
        <f t="shared" ca="1" si="1437"/>
        <v>-78</v>
      </c>
      <c r="AR983" s="2695">
        <f t="shared" ca="1" si="1438"/>
        <v>1.2658227848101266E-2</v>
      </c>
      <c r="AT983" s="40">
        <f t="shared" ca="1" si="1439"/>
        <v>1</v>
      </c>
      <c r="AU983" s="40">
        <f t="shared" ca="1" si="1440"/>
        <v>7</v>
      </c>
      <c r="AV983" s="3057">
        <f t="shared" ca="1" si="1441"/>
        <v>-6</v>
      </c>
      <c r="AW983" s="2695">
        <f t="shared" ca="1" si="1442"/>
        <v>0.14285714285714285</v>
      </c>
      <c r="AX983" s="40">
        <f t="shared" ca="1" si="1443"/>
        <v>79</v>
      </c>
      <c r="AY983" s="3057">
        <f t="shared" ca="1" si="1444"/>
        <v>-78</v>
      </c>
      <c r="AZ983" s="2695">
        <f t="shared" ca="1" si="1445"/>
        <v>1.2658227848101266E-2</v>
      </c>
      <c r="BB983" s="40">
        <f t="shared" ca="1" si="1446"/>
        <v>1</v>
      </c>
      <c r="BC983" s="40">
        <f t="shared" ca="1" si="1447"/>
        <v>7</v>
      </c>
      <c r="BD983" s="3057">
        <f t="shared" ca="1" si="1448"/>
        <v>-6</v>
      </c>
      <c r="BE983" s="2695">
        <f t="shared" ca="1" si="1449"/>
        <v>0.14285714285714285</v>
      </c>
      <c r="BF983" s="40">
        <f t="shared" ca="1" si="1450"/>
        <v>79</v>
      </c>
      <c r="BG983" s="3057">
        <f t="shared" ca="1" si="1451"/>
        <v>-78</v>
      </c>
      <c r="BH983" s="2695">
        <f t="shared" ca="1" si="1452"/>
        <v>1.2658227848101266E-2</v>
      </c>
    </row>
    <row r="984" spans="1:60" s="34" customFormat="1" ht="14.5">
      <c r="A984" s="616">
        <f t="shared" si="1428"/>
        <v>897</v>
      </c>
      <c r="B984" s="616">
        <v>1</v>
      </c>
      <c r="C984" s="616">
        <f t="shared" si="1429"/>
        <v>981</v>
      </c>
      <c r="E984" s="2547">
        <v>1</v>
      </c>
      <c r="F984" s="4"/>
      <c r="G984" s="4"/>
      <c r="H984" s="4"/>
      <c r="I984" s="363"/>
      <c r="J984" s="4"/>
      <c r="K984" s="3"/>
      <c r="L984" s="4"/>
      <c r="M984" s="4"/>
      <c r="N984" s="41"/>
      <c r="O984" s="41" t="s">
        <v>199</v>
      </c>
      <c r="P984" s="3"/>
      <c r="Q984" s="1778" t="str">
        <f>CHOOSE(2, "6722000003903", "HC IP FE/TTOC Marketing Total Channel Marketing")</f>
        <v>HC IP FE/TTOC Marketing Total Channel Marketing</v>
      </c>
      <c r="R984" s="3310">
        <v>0</v>
      </c>
      <c r="S984" s="1212">
        <v>0</v>
      </c>
      <c r="T984" s="1212">
        <v>0</v>
      </c>
      <c r="U984" s="1212">
        <v>0</v>
      </c>
      <c r="V984" s="1212">
        <v>0</v>
      </c>
      <c r="W984" s="1212">
        <v>0</v>
      </c>
      <c r="X984" s="1212">
        <v>0</v>
      </c>
      <c r="Y984" s="1212">
        <v>0</v>
      </c>
      <c r="Z984" s="1212">
        <v>0</v>
      </c>
      <c r="AA984" s="1212">
        <v>0</v>
      </c>
      <c r="AB984" s="1212">
        <v>0</v>
      </c>
      <c r="AC984" s="1212">
        <v>0</v>
      </c>
      <c r="AD984" s="877">
        <f>T984</f>
        <v>0</v>
      </c>
      <c r="AE984" s="40">
        <f>W984</f>
        <v>0</v>
      </c>
      <c r="AF984" s="40">
        <f>Z984</f>
        <v>0</v>
      </c>
      <c r="AG984" s="40">
        <f>AC984</f>
        <v>0</v>
      </c>
      <c r="AH984" s="40">
        <f>AE984</f>
        <v>0</v>
      </c>
      <c r="AI984" s="40">
        <f>AG984</f>
        <v>0</v>
      </c>
      <c r="AJ984" s="40">
        <f>AI984</f>
        <v>0</v>
      </c>
      <c r="AL984" s="40">
        <f t="shared" ca="1" si="1432"/>
        <v>0</v>
      </c>
      <c r="AM984" s="40">
        <f t="shared" ca="1" si="1433"/>
        <v>0</v>
      </c>
      <c r="AN984" s="3057">
        <f t="shared" ca="1" si="1434"/>
        <v>0</v>
      </c>
      <c r="AO984" s="2695">
        <f t="shared" ca="1" si="1435"/>
        <v>0</v>
      </c>
      <c r="AP984" s="40">
        <f t="shared" ca="1" si="1436"/>
        <v>8</v>
      </c>
      <c r="AQ984" s="3057">
        <f t="shared" ca="1" si="1437"/>
        <v>-8</v>
      </c>
      <c r="AR984" s="2695">
        <f t="shared" ca="1" si="1438"/>
        <v>0</v>
      </c>
      <c r="AT984" s="40">
        <f t="shared" ca="1" si="1439"/>
        <v>0</v>
      </c>
      <c r="AU984" s="40">
        <f t="shared" ca="1" si="1440"/>
        <v>0</v>
      </c>
      <c r="AV984" s="3057">
        <f t="shared" ca="1" si="1441"/>
        <v>0</v>
      </c>
      <c r="AW984" s="2695">
        <f t="shared" ca="1" si="1442"/>
        <v>0</v>
      </c>
      <c r="AX984" s="40">
        <f t="shared" ca="1" si="1443"/>
        <v>8</v>
      </c>
      <c r="AY984" s="3057">
        <f t="shared" ca="1" si="1444"/>
        <v>-8</v>
      </c>
      <c r="AZ984" s="2695">
        <f t="shared" ca="1" si="1445"/>
        <v>0</v>
      </c>
      <c r="BB984" s="40">
        <f t="shared" ca="1" si="1446"/>
        <v>0</v>
      </c>
      <c r="BC984" s="40">
        <f t="shared" ca="1" si="1447"/>
        <v>0</v>
      </c>
      <c r="BD984" s="3057">
        <f t="shared" ca="1" si="1448"/>
        <v>0</v>
      </c>
      <c r="BE984" s="2695">
        <f t="shared" ca="1" si="1449"/>
        <v>0</v>
      </c>
      <c r="BF984" s="40">
        <f t="shared" ca="1" si="1450"/>
        <v>8</v>
      </c>
      <c r="BG984" s="3057">
        <f t="shared" ca="1" si="1451"/>
        <v>-8</v>
      </c>
      <c r="BH984" s="2695">
        <f t="shared" ca="1" si="1452"/>
        <v>0</v>
      </c>
    </row>
    <row r="985" spans="1:60" s="34" customFormat="1" ht="14.5">
      <c r="A985" s="616">
        <f t="shared" si="1428"/>
        <v>898</v>
      </c>
      <c r="B985" s="616">
        <v>1</v>
      </c>
      <c r="C985" s="616">
        <f t="shared" si="1429"/>
        <v>982</v>
      </c>
      <c r="E985" s="2547">
        <v>1</v>
      </c>
      <c r="F985" s="4"/>
      <c r="G985" s="4"/>
      <c r="H985" s="4"/>
      <c r="I985" s="363"/>
      <c r="J985" s="4"/>
      <c r="K985" s="3"/>
      <c r="L985" s="4"/>
      <c r="M985" s="4"/>
      <c r="N985" s="41"/>
      <c r="O985" s="41" t="s">
        <v>200</v>
      </c>
      <c r="P985" s="3"/>
      <c r="Q985" s="1778" t="str">
        <f>CHOOSE(2, "6722000003904", "HC IP FE/TTOC Marketing Total Product Marketing")</f>
        <v>HC IP FE/TTOC Marketing Total Product Marketing</v>
      </c>
      <c r="R985" s="3310">
        <v>2</v>
      </c>
      <c r="S985" s="1212">
        <v>2</v>
      </c>
      <c r="T985" s="1212">
        <v>2</v>
      </c>
      <c r="U985" s="1212">
        <v>2</v>
      </c>
      <c r="V985" s="1212">
        <v>2</v>
      </c>
      <c r="W985" s="1212">
        <v>2</v>
      </c>
      <c r="X985" s="1212">
        <v>2</v>
      </c>
      <c r="Y985" s="1212">
        <v>1</v>
      </c>
      <c r="Z985" s="1212">
        <v>1</v>
      </c>
      <c r="AA985" s="1212">
        <v>1</v>
      </c>
      <c r="AB985" s="1212">
        <v>1</v>
      </c>
      <c r="AC985" s="1212">
        <v>1</v>
      </c>
      <c r="AD985" s="877">
        <f>T985</f>
        <v>2</v>
      </c>
      <c r="AE985" s="40">
        <f>W985</f>
        <v>2</v>
      </c>
      <c r="AF985" s="40">
        <f>Z985</f>
        <v>1</v>
      </c>
      <c r="AG985" s="40">
        <f>AC985</f>
        <v>1</v>
      </c>
      <c r="AH985" s="40">
        <f>AE985</f>
        <v>2</v>
      </c>
      <c r="AI985" s="40">
        <f>AG985</f>
        <v>1</v>
      </c>
      <c r="AJ985" s="40">
        <f>AI985</f>
        <v>1</v>
      </c>
      <c r="AL985" s="40">
        <f t="shared" ca="1" si="1432"/>
        <v>1</v>
      </c>
      <c r="AM985" s="40">
        <f t="shared" ca="1" si="1433"/>
        <v>0</v>
      </c>
      <c r="AN985" s="3057">
        <f t="shared" ca="1" si="1434"/>
        <v>1</v>
      </c>
      <c r="AO985" s="2695">
        <f t="shared" ca="1" si="1435"/>
        <v>0</v>
      </c>
      <c r="AP985" s="40">
        <f t="shared" ca="1" si="1436"/>
        <v>43</v>
      </c>
      <c r="AQ985" s="3057">
        <f t="shared" ca="1" si="1437"/>
        <v>-42</v>
      </c>
      <c r="AR985" s="2695">
        <f t="shared" ca="1" si="1438"/>
        <v>2.3255813953488372E-2</v>
      </c>
      <c r="AT985" s="40">
        <f t="shared" ca="1" si="1439"/>
        <v>1</v>
      </c>
      <c r="AU985" s="40">
        <f t="shared" ca="1" si="1440"/>
        <v>0</v>
      </c>
      <c r="AV985" s="3057">
        <f t="shared" ca="1" si="1441"/>
        <v>1</v>
      </c>
      <c r="AW985" s="2695">
        <f t="shared" ca="1" si="1442"/>
        <v>0</v>
      </c>
      <c r="AX985" s="40">
        <f t="shared" ca="1" si="1443"/>
        <v>43</v>
      </c>
      <c r="AY985" s="3057">
        <f t="shared" ca="1" si="1444"/>
        <v>-42</v>
      </c>
      <c r="AZ985" s="2695">
        <f t="shared" ca="1" si="1445"/>
        <v>2.3255813953488372E-2</v>
      </c>
      <c r="BB985" s="40">
        <f t="shared" ca="1" si="1446"/>
        <v>1</v>
      </c>
      <c r="BC985" s="40">
        <f t="shared" ca="1" si="1447"/>
        <v>0</v>
      </c>
      <c r="BD985" s="3057">
        <f t="shared" ca="1" si="1448"/>
        <v>1</v>
      </c>
      <c r="BE985" s="2695">
        <f t="shared" ca="1" si="1449"/>
        <v>0</v>
      </c>
      <c r="BF985" s="40">
        <f t="shared" ca="1" si="1450"/>
        <v>43</v>
      </c>
      <c r="BG985" s="3057">
        <f t="shared" ca="1" si="1451"/>
        <v>-42</v>
      </c>
      <c r="BH985" s="2695">
        <f t="shared" ca="1" si="1452"/>
        <v>2.3255813953488372E-2</v>
      </c>
    </row>
    <row r="986" spans="1:60" s="34" customFormat="1" ht="14.5">
      <c r="A986" s="616">
        <f t="shared" si="1428"/>
        <v>899</v>
      </c>
      <c r="B986" s="616">
        <v>1</v>
      </c>
      <c r="C986" s="616">
        <f t="shared" si="1429"/>
        <v>983</v>
      </c>
      <c r="E986" s="2547">
        <v>1</v>
      </c>
      <c r="F986" s="4"/>
      <c r="G986" s="4"/>
      <c r="H986" s="4"/>
      <c r="I986" s="363"/>
      <c r="J986" s="2"/>
      <c r="K986" s="1"/>
      <c r="L986" s="2"/>
      <c r="M986" s="2"/>
      <c r="N986" s="39"/>
      <c r="O986" s="39" t="s">
        <v>201</v>
      </c>
      <c r="P986" s="1"/>
      <c r="Q986" s="1778" t="str">
        <f>CHOOSE(2, "6722000003905", "HC IP FE/TTOC Marketing Total MC / O")</f>
        <v>HC IP FE/TTOC Marketing Total MC / O</v>
      </c>
      <c r="R986" s="1211">
        <v>0</v>
      </c>
      <c r="S986" s="1211">
        <v>0</v>
      </c>
      <c r="T986" s="1211">
        <v>0</v>
      </c>
      <c r="U986" s="1211">
        <v>0</v>
      </c>
      <c r="V986" s="1211">
        <v>0</v>
      </c>
      <c r="W986" s="1211">
        <v>0</v>
      </c>
      <c r="X986" s="1211">
        <v>0</v>
      </c>
      <c r="Y986" s="1211">
        <v>0</v>
      </c>
      <c r="Z986" s="1211">
        <v>0</v>
      </c>
      <c r="AA986" s="1211">
        <v>0</v>
      </c>
      <c r="AB986" s="1211">
        <v>0</v>
      </c>
      <c r="AC986" s="1211">
        <v>0</v>
      </c>
      <c r="AD986" s="912">
        <f>T986</f>
        <v>0</v>
      </c>
      <c r="AE986" s="38">
        <f>W986</f>
        <v>0</v>
      </c>
      <c r="AF986" s="38">
        <f>Z986</f>
        <v>0</v>
      </c>
      <c r="AG986" s="38">
        <f>AC986</f>
        <v>0</v>
      </c>
      <c r="AH986" s="38">
        <f>AE986</f>
        <v>0</v>
      </c>
      <c r="AI986" s="38">
        <f>AG986</f>
        <v>0</v>
      </c>
      <c r="AJ986" s="38">
        <f>AI986</f>
        <v>0</v>
      </c>
      <c r="AL986" s="38">
        <f t="shared" ca="1" si="1432"/>
        <v>0</v>
      </c>
      <c r="AM986" s="38">
        <f t="shared" ca="1" si="1433"/>
        <v>0</v>
      </c>
      <c r="AN986" s="3303">
        <f t="shared" ca="1" si="1434"/>
        <v>0</v>
      </c>
      <c r="AO986" s="2951">
        <f t="shared" ca="1" si="1435"/>
        <v>0</v>
      </c>
      <c r="AP986" s="38">
        <f t="shared" ca="1" si="1436"/>
        <v>8</v>
      </c>
      <c r="AQ986" s="3303">
        <f t="shared" ca="1" si="1437"/>
        <v>-8</v>
      </c>
      <c r="AR986" s="2951">
        <f t="shared" ca="1" si="1438"/>
        <v>0</v>
      </c>
      <c r="AT986" s="38">
        <f t="shared" ca="1" si="1439"/>
        <v>0</v>
      </c>
      <c r="AU986" s="38">
        <f t="shared" ca="1" si="1440"/>
        <v>0</v>
      </c>
      <c r="AV986" s="3303">
        <f t="shared" ca="1" si="1441"/>
        <v>0</v>
      </c>
      <c r="AW986" s="2951">
        <f t="shared" ca="1" si="1442"/>
        <v>0</v>
      </c>
      <c r="AX986" s="38">
        <f t="shared" ca="1" si="1443"/>
        <v>8</v>
      </c>
      <c r="AY986" s="3303">
        <f t="shared" ca="1" si="1444"/>
        <v>-8</v>
      </c>
      <c r="AZ986" s="2951">
        <f t="shared" ca="1" si="1445"/>
        <v>0</v>
      </c>
      <c r="BB986" s="38">
        <f t="shared" ca="1" si="1446"/>
        <v>0</v>
      </c>
      <c r="BC986" s="38">
        <f t="shared" ca="1" si="1447"/>
        <v>0</v>
      </c>
      <c r="BD986" s="3303">
        <f t="shared" ca="1" si="1448"/>
        <v>0</v>
      </c>
      <c r="BE986" s="2951">
        <f t="shared" ca="1" si="1449"/>
        <v>0</v>
      </c>
      <c r="BF986" s="38">
        <f t="shared" ca="1" si="1450"/>
        <v>8</v>
      </c>
      <c r="BG986" s="3303">
        <f t="shared" ca="1" si="1451"/>
        <v>-8</v>
      </c>
      <c r="BH986" s="2951">
        <f t="shared" ca="1" si="1452"/>
        <v>0</v>
      </c>
    </row>
    <row r="987" spans="1:60" s="34" customFormat="1" ht="14.5">
      <c r="A987" s="616">
        <f t="shared" si="1428"/>
        <v>900</v>
      </c>
      <c r="B987" s="616">
        <v>1</v>
      </c>
      <c r="C987" s="616">
        <f t="shared" si="1429"/>
        <v>984</v>
      </c>
      <c r="D987" s="709" t="s">
        <v>1308</v>
      </c>
      <c r="E987" s="2547">
        <v>1</v>
      </c>
      <c r="F987" s="4"/>
      <c r="G987" s="4"/>
      <c r="H987" s="4"/>
      <c r="I987" s="363"/>
      <c r="J987" s="48" t="s">
        <v>1517</v>
      </c>
      <c r="K987" s="47"/>
      <c r="L987" s="48"/>
      <c r="M987" s="48"/>
      <c r="N987" s="47"/>
      <c r="O987" s="47"/>
      <c r="P987" s="47"/>
      <c r="Q987" s="1786" t="str">
        <f>CHOOSE(2, "6722000003906", "HC IP FE/TTOC Administration Total")</f>
        <v>HC IP FE/TTOC Administration Total</v>
      </c>
      <c r="R987" s="45">
        <f>SUM(R988:R992)</f>
        <v>0</v>
      </c>
      <c r="S987" s="45">
        <f t="shared" ref="S987:AJ987" si="1456">SUM(S988:S992)</f>
        <v>0</v>
      </c>
      <c r="T987" s="45">
        <f t="shared" si="1456"/>
        <v>0</v>
      </c>
      <c r="U987" s="45">
        <f t="shared" si="1456"/>
        <v>0</v>
      </c>
      <c r="V987" s="45">
        <f t="shared" si="1456"/>
        <v>0</v>
      </c>
      <c r="W987" s="45">
        <f t="shared" si="1456"/>
        <v>0</v>
      </c>
      <c r="X987" s="45">
        <f t="shared" si="1456"/>
        <v>0</v>
      </c>
      <c r="Y987" s="45">
        <f t="shared" si="1456"/>
        <v>0</v>
      </c>
      <c r="Z987" s="45">
        <f t="shared" si="1456"/>
        <v>0</v>
      </c>
      <c r="AA987" s="45">
        <f t="shared" si="1456"/>
        <v>0</v>
      </c>
      <c r="AB987" s="45">
        <f t="shared" si="1456"/>
        <v>0</v>
      </c>
      <c r="AC987" s="45">
        <f t="shared" si="1456"/>
        <v>0</v>
      </c>
      <c r="AD987" s="911">
        <f t="shared" si="1456"/>
        <v>0</v>
      </c>
      <c r="AE987" s="45">
        <f t="shared" si="1456"/>
        <v>0</v>
      </c>
      <c r="AF987" s="45">
        <f t="shared" si="1456"/>
        <v>0</v>
      </c>
      <c r="AG987" s="45">
        <f t="shared" si="1456"/>
        <v>0</v>
      </c>
      <c r="AH987" s="45">
        <f t="shared" si="1456"/>
        <v>0</v>
      </c>
      <c r="AI987" s="45">
        <f t="shared" si="1456"/>
        <v>0</v>
      </c>
      <c r="AJ987" s="45">
        <f t="shared" si="1456"/>
        <v>0</v>
      </c>
      <c r="AL987" s="45">
        <f t="shared" ca="1" si="1432"/>
        <v>0</v>
      </c>
      <c r="AM987" s="45">
        <f t="shared" ca="1" si="1433"/>
        <v>15</v>
      </c>
      <c r="AN987" s="3302">
        <f t="shared" ca="1" si="1434"/>
        <v>-15</v>
      </c>
      <c r="AO987" s="2949">
        <f t="shared" ca="1" si="1435"/>
        <v>0</v>
      </c>
      <c r="AP987" s="45">
        <f t="shared" ca="1" si="1436"/>
        <v>0</v>
      </c>
      <c r="AQ987" s="3302">
        <f t="shared" ca="1" si="1437"/>
        <v>0</v>
      </c>
      <c r="AR987" s="2949">
        <f t="shared" ca="1" si="1438"/>
        <v>0</v>
      </c>
      <c r="AT987" s="45">
        <f t="shared" ca="1" si="1439"/>
        <v>0</v>
      </c>
      <c r="AU987" s="45">
        <f t="shared" ca="1" si="1440"/>
        <v>15</v>
      </c>
      <c r="AV987" s="3302">
        <f t="shared" ca="1" si="1441"/>
        <v>-15</v>
      </c>
      <c r="AW987" s="2949">
        <f t="shared" ca="1" si="1442"/>
        <v>0</v>
      </c>
      <c r="AX987" s="45">
        <f t="shared" ca="1" si="1443"/>
        <v>0</v>
      </c>
      <c r="AY987" s="3302">
        <f t="shared" ca="1" si="1444"/>
        <v>0</v>
      </c>
      <c r="AZ987" s="2949">
        <f t="shared" ca="1" si="1445"/>
        <v>0</v>
      </c>
      <c r="BB987" s="45">
        <f t="shared" ca="1" si="1446"/>
        <v>0</v>
      </c>
      <c r="BC987" s="45">
        <f t="shared" ca="1" si="1447"/>
        <v>15</v>
      </c>
      <c r="BD987" s="3302">
        <f t="shared" ca="1" si="1448"/>
        <v>-15</v>
      </c>
      <c r="BE987" s="2949">
        <f t="shared" ca="1" si="1449"/>
        <v>0</v>
      </c>
      <c r="BF987" s="45">
        <f t="shared" ca="1" si="1450"/>
        <v>0</v>
      </c>
      <c r="BG987" s="3302">
        <f t="shared" ca="1" si="1451"/>
        <v>0</v>
      </c>
      <c r="BH987" s="2949">
        <f t="shared" ca="1" si="1452"/>
        <v>0</v>
      </c>
    </row>
    <row r="988" spans="1:60" s="34" customFormat="1" ht="14.5">
      <c r="A988" s="616">
        <f t="shared" si="1428"/>
        <v>901</v>
      </c>
      <c r="B988" s="616">
        <v>1</v>
      </c>
      <c r="C988" s="616">
        <f t="shared" si="1429"/>
        <v>985</v>
      </c>
      <c r="E988" s="2547">
        <v>1</v>
      </c>
      <c r="F988" s="4"/>
      <c r="G988" s="4"/>
      <c r="H988" s="4"/>
      <c r="I988" s="363"/>
      <c r="J988" s="4"/>
      <c r="K988" s="3"/>
      <c r="L988" s="4"/>
      <c r="M988" s="3"/>
      <c r="N988" s="41"/>
      <c r="O988" s="41" t="s">
        <v>39</v>
      </c>
      <c r="P988" s="41"/>
      <c r="Q988" s="1778" t="str">
        <f>CHOOSE(2, "6722000003907", "HC IP FE/TTOC Administration Total IT")</f>
        <v>HC IP FE/TTOC Administration Total IT</v>
      </c>
      <c r="R988" s="1212">
        <v>0</v>
      </c>
      <c r="S988" s="1212">
        <v>0</v>
      </c>
      <c r="T988" s="1212">
        <v>0</v>
      </c>
      <c r="U988" s="1212">
        <v>0</v>
      </c>
      <c r="V988" s="1212">
        <v>0</v>
      </c>
      <c r="W988" s="1212">
        <v>0</v>
      </c>
      <c r="X988" s="1212">
        <v>0</v>
      </c>
      <c r="Y988" s="1212">
        <v>0</v>
      </c>
      <c r="Z988" s="1212">
        <v>0</v>
      </c>
      <c r="AA988" s="1212">
        <v>0</v>
      </c>
      <c r="AB988" s="1212">
        <v>0</v>
      </c>
      <c r="AC988" s="1212">
        <v>0</v>
      </c>
      <c r="AD988" s="877">
        <f>T988</f>
        <v>0</v>
      </c>
      <c r="AE988" s="40">
        <f>W988</f>
        <v>0</v>
      </c>
      <c r="AF988" s="40">
        <f>Z988</f>
        <v>0</v>
      </c>
      <c r="AG988" s="40">
        <f>AC988</f>
        <v>0</v>
      </c>
      <c r="AH988" s="40">
        <f>AE988</f>
        <v>0</v>
      </c>
      <c r="AI988" s="40">
        <f>AG988</f>
        <v>0</v>
      </c>
      <c r="AJ988" s="40">
        <f>AI988</f>
        <v>0</v>
      </c>
      <c r="AL988" s="40">
        <f t="shared" ca="1" si="1432"/>
        <v>0</v>
      </c>
      <c r="AM988" s="40">
        <f t="shared" ca="1" si="1433"/>
        <v>15</v>
      </c>
      <c r="AN988" s="3057">
        <f t="shared" ca="1" si="1434"/>
        <v>-15</v>
      </c>
      <c r="AO988" s="2695">
        <f t="shared" ca="1" si="1435"/>
        <v>0</v>
      </c>
      <c r="AP988" s="40">
        <f t="shared" ca="1" si="1436"/>
        <v>20</v>
      </c>
      <c r="AQ988" s="3057">
        <f t="shared" ca="1" si="1437"/>
        <v>-20</v>
      </c>
      <c r="AR988" s="2695">
        <f t="shared" ca="1" si="1438"/>
        <v>0</v>
      </c>
      <c r="AT988" s="40">
        <f t="shared" ca="1" si="1439"/>
        <v>0</v>
      </c>
      <c r="AU988" s="40">
        <f t="shared" ca="1" si="1440"/>
        <v>15</v>
      </c>
      <c r="AV988" s="3057">
        <f t="shared" ca="1" si="1441"/>
        <v>-15</v>
      </c>
      <c r="AW988" s="2695">
        <f t="shared" ca="1" si="1442"/>
        <v>0</v>
      </c>
      <c r="AX988" s="40">
        <f t="shared" ca="1" si="1443"/>
        <v>20</v>
      </c>
      <c r="AY988" s="3057">
        <f t="shared" ca="1" si="1444"/>
        <v>-20</v>
      </c>
      <c r="AZ988" s="2695">
        <f t="shared" ca="1" si="1445"/>
        <v>0</v>
      </c>
      <c r="BB988" s="40">
        <f t="shared" ca="1" si="1446"/>
        <v>0</v>
      </c>
      <c r="BC988" s="40">
        <f t="shared" ca="1" si="1447"/>
        <v>15</v>
      </c>
      <c r="BD988" s="3057">
        <f t="shared" ca="1" si="1448"/>
        <v>-15</v>
      </c>
      <c r="BE988" s="2695">
        <f t="shared" ca="1" si="1449"/>
        <v>0</v>
      </c>
      <c r="BF988" s="40">
        <f t="shared" ca="1" si="1450"/>
        <v>20</v>
      </c>
      <c r="BG988" s="3057">
        <f t="shared" ca="1" si="1451"/>
        <v>-20</v>
      </c>
      <c r="BH988" s="2695">
        <f t="shared" ca="1" si="1452"/>
        <v>0</v>
      </c>
    </row>
    <row r="989" spans="1:60" s="34" customFormat="1" ht="14.5">
      <c r="A989" s="616">
        <f t="shared" si="1428"/>
        <v>902</v>
      </c>
      <c r="B989" s="616">
        <v>1</v>
      </c>
      <c r="C989" s="616">
        <f t="shared" si="1429"/>
        <v>986</v>
      </c>
      <c r="E989" s="2547">
        <v>1</v>
      </c>
      <c r="F989" s="4"/>
      <c r="G989" s="4"/>
      <c r="H989" s="4"/>
      <c r="I989" s="363"/>
      <c r="J989" s="4"/>
      <c r="K989" s="3"/>
      <c r="L989" s="4"/>
      <c r="M989" s="3"/>
      <c r="N989" s="41"/>
      <c r="O989" s="41" t="s">
        <v>18</v>
      </c>
      <c r="P989" s="41"/>
      <c r="Q989" s="1778" t="str">
        <f>CHOOSE(2, "6722000003908", "HC IP FE/TTOC Administration Total Finance")</f>
        <v>HC IP FE/TTOC Administration Total Finance</v>
      </c>
      <c r="R989" s="1212">
        <v>0</v>
      </c>
      <c r="S989" s="1212">
        <v>0</v>
      </c>
      <c r="T989" s="1212">
        <v>0</v>
      </c>
      <c r="U989" s="1212">
        <v>0</v>
      </c>
      <c r="V989" s="1212">
        <v>0</v>
      </c>
      <c r="W989" s="1212">
        <v>0</v>
      </c>
      <c r="X989" s="1212">
        <v>0</v>
      </c>
      <c r="Y989" s="1212">
        <v>0</v>
      </c>
      <c r="Z989" s="1212">
        <v>0</v>
      </c>
      <c r="AA989" s="1212">
        <v>0</v>
      </c>
      <c r="AB989" s="1212">
        <v>0</v>
      </c>
      <c r="AC989" s="1212">
        <v>0</v>
      </c>
      <c r="AD989" s="877">
        <f>T989</f>
        <v>0</v>
      </c>
      <c r="AE989" s="40">
        <f>W989</f>
        <v>0</v>
      </c>
      <c r="AF989" s="40">
        <f>Z989</f>
        <v>0</v>
      </c>
      <c r="AG989" s="40">
        <f>AC989</f>
        <v>0</v>
      </c>
      <c r="AH989" s="40">
        <f>AE989</f>
        <v>0</v>
      </c>
      <c r="AI989" s="40">
        <f>AG989</f>
        <v>0</v>
      </c>
      <c r="AJ989" s="40">
        <f>AI989</f>
        <v>0</v>
      </c>
      <c r="AL989" s="40">
        <f t="shared" ca="1" si="1432"/>
        <v>0</v>
      </c>
      <c r="AM989" s="40">
        <f t="shared" ca="1" si="1433"/>
        <v>0</v>
      </c>
      <c r="AN989" s="3057">
        <f t="shared" ca="1" si="1434"/>
        <v>0</v>
      </c>
      <c r="AO989" s="2695">
        <f t="shared" ca="1" si="1435"/>
        <v>0</v>
      </c>
      <c r="AP989" s="40">
        <f t="shared" ca="1" si="1436"/>
        <v>39</v>
      </c>
      <c r="AQ989" s="3057">
        <f t="shared" ca="1" si="1437"/>
        <v>-39</v>
      </c>
      <c r="AR989" s="2695">
        <f t="shared" ca="1" si="1438"/>
        <v>0</v>
      </c>
      <c r="AT989" s="40">
        <f t="shared" ca="1" si="1439"/>
        <v>0</v>
      </c>
      <c r="AU989" s="40">
        <f t="shared" ca="1" si="1440"/>
        <v>0</v>
      </c>
      <c r="AV989" s="3057">
        <f t="shared" ca="1" si="1441"/>
        <v>0</v>
      </c>
      <c r="AW989" s="2695">
        <f t="shared" ca="1" si="1442"/>
        <v>0</v>
      </c>
      <c r="AX989" s="40">
        <f t="shared" ca="1" si="1443"/>
        <v>39</v>
      </c>
      <c r="AY989" s="3057">
        <f t="shared" ca="1" si="1444"/>
        <v>-39</v>
      </c>
      <c r="AZ989" s="2695">
        <f t="shared" ca="1" si="1445"/>
        <v>0</v>
      </c>
      <c r="BB989" s="40">
        <f t="shared" ca="1" si="1446"/>
        <v>0</v>
      </c>
      <c r="BC989" s="40">
        <f t="shared" ca="1" si="1447"/>
        <v>0</v>
      </c>
      <c r="BD989" s="3057">
        <f t="shared" ca="1" si="1448"/>
        <v>0</v>
      </c>
      <c r="BE989" s="2695">
        <f t="shared" ca="1" si="1449"/>
        <v>0</v>
      </c>
      <c r="BF989" s="40">
        <f t="shared" ca="1" si="1450"/>
        <v>39</v>
      </c>
      <c r="BG989" s="3057">
        <f t="shared" ca="1" si="1451"/>
        <v>-39</v>
      </c>
      <c r="BH989" s="2695">
        <f t="shared" ca="1" si="1452"/>
        <v>0</v>
      </c>
    </row>
    <row r="990" spans="1:60" s="34" customFormat="1" ht="14.5">
      <c r="A990" s="616">
        <f t="shared" si="1428"/>
        <v>903</v>
      </c>
      <c r="B990" s="616">
        <v>1</v>
      </c>
      <c r="C990" s="616">
        <f t="shared" si="1429"/>
        <v>987</v>
      </c>
      <c r="E990" s="2547">
        <v>1</v>
      </c>
      <c r="F990" s="4"/>
      <c r="G990" s="4"/>
      <c r="H990" s="4"/>
      <c r="I990" s="363"/>
      <c r="J990" s="4"/>
      <c r="K990" s="3"/>
      <c r="L990" s="4"/>
      <c r="M990" s="3"/>
      <c r="N990" s="41"/>
      <c r="O990" s="41" t="s">
        <v>19</v>
      </c>
      <c r="P990" s="41"/>
      <c r="Q990" s="1778" t="str">
        <f>CHOOSE(2, "6722000003909", "HC IP FE/TTOC Administration Total HR")</f>
        <v>HC IP FE/TTOC Administration Total HR</v>
      </c>
      <c r="R990" s="1212">
        <v>0</v>
      </c>
      <c r="S990" s="1212">
        <v>0</v>
      </c>
      <c r="T990" s="1212">
        <v>0</v>
      </c>
      <c r="U990" s="1212">
        <v>0</v>
      </c>
      <c r="V990" s="1212">
        <v>0</v>
      </c>
      <c r="W990" s="1212">
        <v>0</v>
      </c>
      <c r="X990" s="1212">
        <v>0</v>
      </c>
      <c r="Y990" s="1212">
        <v>0</v>
      </c>
      <c r="Z990" s="1212">
        <v>0</v>
      </c>
      <c r="AA990" s="1212">
        <v>0</v>
      </c>
      <c r="AB990" s="1212">
        <v>0</v>
      </c>
      <c r="AC990" s="1212">
        <v>0</v>
      </c>
      <c r="AD990" s="877">
        <f>T990</f>
        <v>0</v>
      </c>
      <c r="AE990" s="40">
        <f>W990</f>
        <v>0</v>
      </c>
      <c r="AF990" s="40">
        <f>Z990</f>
        <v>0</v>
      </c>
      <c r="AG990" s="40">
        <f>AC990</f>
        <v>0</v>
      </c>
      <c r="AH990" s="40">
        <f>AE990</f>
        <v>0</v>
      </c>
      <c r="AI990" s="40">
        <f>AG990</f>
        <v>0</v>
      </c>
      <c r="AJ990" s="40">
        <f>AI990</f>
        <v>0</v>
      </c>
      <c r="AL990" s="40">
        <f t="shared" ca="1" si="1432"/>
        <v>0</v>
      </c>
      <c r="AM990" s="40">
        <f t="shared" ca="1" si="1433"/>
        <v>0</v>
      </c>
      <c r="AN990" s="3057">
        <f t="shared" ca="1" si="1434"/>
        <v>0</v>
      </c>
      <c r="AO990" s="2695">
        <f t="shared" ca="1" si="1435"/>
        <v>0</v>
      </c>
      <c r="AP990" s="40">
        <f t="shared" ca="1" si="1436"/>
        <v>14</v>
      </c>
      <c r="AQ990" s="3057">
        <f t="shared" ca="1" si="1437"/>
        <v>-14</v>
      </c>
      <c r="AR990" s="2695">
        <f t="shared" ca="1" si="1438"/>
        <v>0</v>
      </c>
      <c r="AT990" s="40">
        <f t="shared" ca="1" si="1439"/>
        <v>0</v>
      </c>
      <c r="AU990" s="40">
        <f t="shared" ca="1" si="1440"/>
        <v>0</v>
      </c>
      <c r="AV990" s="3057">
        <f t="shared" ca="1" si="1441"/>
        <v>0</v>
      </c>
      <c r="AW990" s="2695">
        <f t="shared" ca="1" si="1442"/>
        <v>0</v>
      </c>
      <c r="AX990" s="40">
        <f t="shared" ca="1" si="1443"/>
        <v>14</v>
      </c>
      <c r="AY990" s="3057">
        <f t="shared" ca="1" si="1444"/>
        <v>-14</v>
      </c>
      <c r="AZ990" s="2695">
        <f t="shared" ca="1" si="1445"/>
        <v>0</v>
      </c>
      <c r="BB990" s="40">
        <f t="shared" ca="1" si="1446"/>
        <v>0</v>
      </c>
      <c r="BC990" s="40">
        <f t="shared" ca="1" si="1447"/>
        <v>0</v>
      </c>
      <c r="BD990" s="3057">
        <f t="shared" ca="1" si="1448"/>
        <v>0</v>
      </c>
      <c r="BE990" s="2695">
        <f t="shared" ca="1" si="1449"/>
        <v>0</v>
      </c>
      <c r="BF990" s="40">
        <f t="shared" ca="1" si="1450"/>
        <v>14</v>
      </c>
      <c r="BG990" s="3057">
        <f t="shared" ca="1" si="1451"/>
        <v>-14</v>
      </c>
      <c r="BH990" s="2695">
        <f t="shared" ca="1" si="1452"/>
        <v>0</v>
      </c>
    </row>
    <row r="991" spans="1:60" s="34" customFormat="1" ht="14.5">
      <c r="A991" s="616">
        <f t="shared" si="1428"/>
        <v>904</v>
      </c>
      <c r="B991" s="616">
        <v>1</v>
      </c>
      <c r="C991" s="616">
        <f t="shared" si="1429"/>
        <v>988</v>
      </c>
      <c r="E991" s="2547">
        <v>1</v>
      </c>
      <c r="F991" s="4"/>
      <c r="G991" s="4"/>
      <c r="H991" s="4"/>
      <c r="I991" s="363"/>
      <c r="J991" s="4"/>
      <c r="K991" s="3"/>
      <c r="L991" s="4"/>
      <c r="M991" s="3"/>
      <c r="N991" s="41"/>
      <c r="O991" s="41" t="s">
        <v>20</v>
      </c>
      <c r="P991" s="41"/>
      <c r="Q991" s="1778" t="str">
        <f>CHOOSE(2, "6722000003910", "HC IP FE/TTOC Administration Total Training")</f>
        <v>HC IP FE/TTOC Administration Total Training</v>
      </c>
      <c r="R991" s="1212">
        <v>0</v>
      </c>
      <c r="S991" s="1212">
        <v>0</v>
      </c>
      <c r="T991" s="1212">
        <v>0</v>
      </c>
      <c r="U991" s="1212">
        <v>0</v>
      </c>
      <c r="V991" s="1212">
        <v>0</v>
      </c>
      <c r="W991" s="1212">
        <v>0</v>
      </c>
      <c r="X991" s="1212">
        <v>0</v>
      </c>
      <c r="Y991" s="1212">
        <v>0</v>
      </c>
      <c r="Z991" s="1212">
        <v>0</v>
      </c>
      <c r="AA991" s="1212">
        <v>0</v>
      </c>
      <c r="AB991" s="1212">
        <v>0</v>
      </c>
      <c r="AC991" s="1212">
        <v>0</v>
      </c>
      <c r="AD991" s="877">
        <f>T991</f>
        <v>0</v>
      </c>
      <c r="AE991" s="40">
        <f>W991</f>
        <v>0</v>
      </c>
      <c r="AF991" s="40">
        <f>Z991</f>
        <v>0</v>
      </c>
      <c r="AG991" s="40">
        <f>AC991</f>
        <v>0</v>
      </c>
      <c r="AH991" s="40">
        <f>AE991</f>
        <v>0</v>
      </c>
      <c r="AI991" s="40">
        <f>AG991</f>
        <v>0</v>
      </c>
      <c r="AJ991" s="40">
        <f>AI991</f>
        <v>0</v>
      </c>
      <c r="AL991" s="40">
        <f t="shared" ca="1" si="1432"/>
        <v>0</v>
      </c>
      <c r="AM991" s="40">
        <f t="shared" ca="1" si="1433"/>
        <v>0</v>
      </c>
      <c r="AN991" s="3057">
        <f t="shared" ca="1" si="1434"/>
        <v>0</v>
      </c>
      <c r="AO991" s="2695">
        <f t="shared" ca="1" si="1435"/>
        <v>0</v>
      </c>
      <c r="AP991" s="40">
        <f t="shared" ca="1" si="1436"/>
        <v>25</v>
      </c>
      <c r="AQ991" s="3057">
        <f t="shared" ca="1" si="1437"/>
        <v>-25</v>
      </c>
      <c r="AR991" s="2695">
        <f t="shared" ca="1" si="1438"/>
        <v>0</v>
      </c>
      <c r="AT991" s="40">
        <f t="shared" ca="1" si="1439"/>
        <v>0</v>
      </c>
      <c r="AU991" s="40">
        <f t="shared" ca="1" si="1440"/>
        <v>0</v>
      </c>
      <c r="AV991" s="3057">
        <f t="shared" ca="1" si="1441"/>
        <v>0</v>
      </c>
      <c r="AW991" s="2695">
        <f t="shared" ca="1" si="1442"/>
        <v>0</v>
      </c>
      <c r="AX991" s="40">
        <f t="shared" ca="1" si="1443"/>
        <v>25</v>
      </c>
      <c r="AY991" s="3057">
        <f t="shared" ca="1" si="1444"/>
        <v>-25</v>
      </c>
      <c r="AZ991" s="2695">
        <f t="shared" ca="1" si="1445"/>
        <v>0</v>
      </c>
      <c r="BB991" s="40">
        <f t="shared" ca="1" si="1446"/>
        <v>0</v>
      </c>
      <c r="BC991" s="40">
        <f t="shared" ca="1" si="1447"/>
        <v>0</v>
      </c>
      <c r="BD991" s="3057">
        <f t="shared" ca="1" si="1448"/>
        <v>0</v>
      </c>
      <c r="BE991" s="2695">
        <f t="shared" ca="1" si="1449"/>
        <v>0</v>
      </c>
      <c r="BF991" s="40">
        <f t="shared" ca="1" si="1450"/>
        <v>25</v>
      </c>
      <c r="BG991" s="3057">
        <f t="shared" ca="1" si="1451"/>
        <v>-25</v>
      </c>
      <c r="BH991" s="2695">
        <f t="shared" ca="1" si="1452"/>
        <v>0</v>
      </c>
    </row>
    <row r="992" spans="1:60" s="34" customFormat="1" ht="14.5">
      <c r="A992" s="616">
        <f t="shared" si="1428"/>
        <v>905</v>
      </c>
      <c r="B992" s="616">
        <v>1</v>
      </c>
      <c r="C992" s="616">
        <f t="shared" si="1429"/>
        <v>989</v>
      </c>
      <c r="E992" s="2547">
        <v>1</v>
      </c>
      <c r="F992" s="4"/>
      <c r="G992" s="4"/>
      <c r="H992" s="4"/>
      <c r="I992" s="363"/>
      <c r="J992" s="4"/>
      <c r="K992" s="3"/>
      <c r="L992" s="4"/>
      <c r="M992" s="3"/>
      <c r="N992" s="41"/>
      <c r="O992" s="41" t="s">
        <v>2</v>
      </c>
      <c r="P992" s="41"/>
      <c r="Q992" s="1778" t="str">
        <f>CHOOSE(2, "6722000003911", "HC IP FE/TTOC Administration Total Others")</f>
        <v>HC IP FE/TTOC Administration Total Others</v>
      </c>
      <c r="R992" s="1212">
        <v>0</v>
      </c>
      <c r="S992" s="1212">
        <v>0</v>
      </c>
      <c r="T992" s="1212">
        <v>0</v>
      </c>
      <c r="U992" s="1212">
        <v>0</v>
      </c>
      <c r="V992" s="1212">
        <v>0</v>
      </c>
      <c r="W992" s="1212">
        <v>0</v>
      </c>
      <c r="X992" s="1212">
        <v>0</v>
      </c>
      <c r="Y992" s="1212">
        <v>0</v>
      </c>
      <c r="Z992" s="1212">
        <v>0</v>
      </c>
      <c r="AA992" s="1212">
        <v>0</v>
      </c>
      <c r="AB992" s="1212">
        <v>0</v>
      </c>
      <c r="AC992" s="1212">
        <v>0</v>
      </c>
      <c r="AD992" s="877">
        <f>T992</f>
        <v>0</v>
      </c>
      <c r="AE992" s="40">
        <f>W992</f>
        <v>0</v>
      </c>
      <c r="AF992" s="40">
        <f>Z992</f>
        <v>0</v>
      </c>
      <c r="AG992" s="40">
        <f>AC992</f>
        <v>0</v>
      </c>
      <c r="AH992" s="40">
        <f>AE992</f>
        <v>0</v>
      </c>
      <c r="AI992" s="40">
        <f>AG992</f>
        <v>0</v>
      </c>
      <c r="AJ992" s="40">
        <f>AI992</f>
        <v>0</v>
      </c>
      <c r="AL992" s="40">
        <f t="shared" ca="1" si="1432"/>
        <v>0</v>
      </c>
      <c r="AM992" s="40">
        <f t="shared" ca="1" si="1433"/>
        <v>0</v>
      </c>
      <c r="AN992" s="3057">
        <f t="shared" ca="1" si="1434"/>
        <v>0</v>
      </c>
      <c r="AO992" s="2695">
        <f t="shared" ca="1" si="1435"/>
        <v>0</v>
      </c>
      <c r="AP992" s="40">
        <f t="shared" ca="1" si="1436"/>
        <v>0</v>
      </c>
      <c r="AQ992" s="3057">
        <f t="shared" ca="1" si="1437"/>
        <v>0</v>
      </c>
      <c r="AR992" s="2695">
        <f t="shared" ca="1" si="1438"/>
        <v>0</v>
      </c>
      <c r="AT992" s="40">
        <f t="shared" ca="1" si="1439"/>
        <v>0</v>
      </c>
      <c r="AU992" s="40">
        <f t="shared" ca="1" si="1440"/>
        <v>0</v>
      </c>
      <c r="AV992" s="3057">
        <f t="shared" ca="1" si="1441"/>
        <v>0</v>
      </c>
      <c r="AW992" s="2695">
        <f t="shared" ca="1" si="1442"/>
        <v>0</v>
      </c>
      <c r="AX992" s="40">
        <f t="shared" ca="1" si="1443"/>
        <v>0</v>
      </c>
      <c r="AY992" s="3057">
        <f t="shared" ca="1" si="1444"/>
        <v>0</v>
      </c>
      <c r="AZ992" s="2695">
        <f t="shared" ca="1" si="1445"/>
        <v>0</v>
      </c>
      <c r="BB992" s="40">
        <f t="shared" ca="1" si="1446"/>
        <v>0</v>
      </c>
      <c r="BC992" s="40">
        <f t="shared" ca="1" si="1447"/>
        <v>0</v>
      </c>
      <c r="BD992" s="3057">
        <f t="shared" ca="1" si="1448"/>
        <v>0</v>
      </c>
      <c r="BE992" s="2695">
        <f t="shared" ca="1" si="1449"/>
        <v>0</v>
      </c>
      <c r="BF992" s="40">
        <f t="shared" ca="1" si="1450"/>
        <v>0</v>
      </c>
      <c r="BG992" s="3057">
        <f t="shared" ca="1" si="1451"/>
        <v>0</v>
      </c>
      <c r="BH992" s="2695">
        <f t="shared" ca="1" si="1452"/>
        <v>0</v>
      </c>
    </row>
    <row r="993" spans="1:60" s="34" customFormat="1" ht="14.5">
      <c r="A993" s="616">
        <f t="shared" si="1428"/>
        <v>906</v>
      </c>
      <c r="B993" s="616">
        <v>1</v>
      </c>
      <c r="C993" s="616">
        <f t="shared" si="1429"/>
        <v>990</v>
      </c>
      <c r="D993" s="709" t="s">
        <v>1308</v>
      </c>
      <c r="E993" s="2547">
        <v>1</v>
      </c>
      <c r="F993" s="4"/>
      <c r="G993" s="4"/>
      <c r="H993" s="4"/>
      <c r="I993" s="363"/>
      <c r="J993" s="252" t="s">
        <v>1518</v>
      </c>
      <c r="K993" s="251"/>
      <c r="L993" s="252"/>
      <c r="M993" s="252"/>
      <c r="N993" s="251"/>
      <c r="O993" s="251"/>
      <c r="P993" s="251"/>
      <c r="Q993" s="1786" t="str">
        <f>CHOOSE(2, "6722000003912", "HC IP FE/TTOC Logistics Total")</f>
        <v>HC IP FE/TTOC Logistics Total</v>
      </c>
      <c r="R993" s="3102">
        <f>SUM(R994:R996)</f>
        <v>0</v>
      </c>
      <c r="S993" s="3102">
        <f t="shared" ref="S993:AJ993" si="1457">SUM(S994:S996)</f>
        <v>0</v>
      </c>
      <c r="T993" s="3102">
        <f t="shared" si="1457"/>
        <v>0</v>
      </c>
      <c r="U993" s="3102">
        <f t="shared" si="1457"/>
        <v>0</v>
      </c>
      <c r="V993" s="3102">
        <f t="shared" si="1457"/>
        <v>0</v>
      </c>
      <c r="W993" s="3102">
        <f t="shared" si="1457"/>
        <v>0</v>
      </c>
      <c r="X993" s="3102">
        <f t="shared" si="1457"/>
        <v>0</v>
      </c>
      <c r="Y993" s="3102">
        <f t="shared" si="1457"/>
        <v>0</v>
      </c>
      <c r="Z993" s="3102">
        <f t="shared" si="1457"/>
        <v>0</v>
      </c>
      <c r="AA993" s="3102">
        <f t="shared" si="1457"/>
        <v>0</v>
      </c>
      <c r="AB993" s="3102">
        <f t="shared" si="1457"/>
        <v>0</v>
      </c>
      <c r="AC993" s="3102">
        <f t="shared" si="1457"/>
        <v>0</v>
      </c>
      <c r="AD993" s="745">
        <f t="shared" si="1457"/>
        <v>0</v>
      </c>
      <c r="AE993" s="3102">
        <f t="shared" si="1457"/>
        <v>0</v>
      </c>
      <c r="AF993" s="3102">
        <f t="shared" si="1457"/>
        <v>0</v>
      </c>
      <c r="AG993" s="3102">
        <f t="shared" si="1457"/>
        <v>0</v>
      </c>
      <c r="AH993" s="3102">
        <f t="shared" si="1457"/>
        <v>0</v>
      </c>
      <c r="AI993" s="3102">
        <f t="shared" si="1457"/>
        <v>0</v>
      </c>
      <c r="AJ993" s="3102">
        <f t="shared" si="1457"/>
        <v>0</v>
      </c>
      <c r="AL993" s="3102">
        <f t="shared" ca="1" si="1432"/>
        <v>0</v>
      </c>
      <c r="AM993" s="3102">
        <f t="shared" ca="1" si="1433"/>
        <v>4</v>
      </c>
      <c r="AN993" s="3304">
        <f t="shared" ca="1" si="1434"/>
        <v>-4</v>
      </c>
      <c r="AO993" s="2953">
        <f t="shared" ca="1" si="1435"/>
        <v>0</v>
      </c>
      <c r="AP993" s="3102">
        <f t="shared" ca="1" si="1436"/>
        <v>28</v>
      </c>
      <c r="AQ993" s="3304">
        <f t="shared" ca="1" si="1437"/>
        <v>-28</v>
      </c>
      <c r="AR993" s="2953">
        <f t="shared" ca="1" si="1438"/>
        <v>0</v>
      </c>
      <c r="AT993" s="3102">
        <f t="shared" ca="1" si="1439"/>
        <v>0</v>
      </c>
      <c r="AU993" s="3102">
        <f t="shared" ca="1" si="1440"/>
        <v>4</v>
      </c>
      <c r="AV993" s="3304">
        <f t="shared" ca="1" si="1441"/>
        <v>-4</v>
      </c>
      <c r="AW993" s="2953">
        <f t="shared" ca="1" si="1442"/>
        <v>0</v>
      </c>
      <c r="AX993" s="3102">
        <f t="shared" ca="1" si="1443"/>
        <v>28</v>
      </c>
      <c r="AY993" s="3304">
        <f t="shared" ca="1" si="1444"/>
        <v>-28</v>
      </c>
      <c r="AZ993" s="2953">
        <f t="shared" ca="1" si="1445"/>
        <v>0</v>
      </c>
      <c r="BB993" s="3102">
        <f t="shared" ca="1" si="1446"/>
        <v>0</v>
      </c>
      <c r="BC993" s="3102">
        <f t="shared" ca="1" si="1447"/>
        <v>4</v>
      </c>
      <c r="BD993" s="3304">
        <f t="shared" ca="1" si="1448"/>
        <v>-4</v>
      </c>
      <c r="BE993" s="2953">
        <f t="shared" ca="1" si="1449"/>
        <v>0</v>
      </c>
      <c r="BF993" s="3102">
        <f t="shared" ca="1" si="1450"/>
        <v>28</v>
      </c>
      <c r="BG993" s="3304">
        <f t="shared" ca="1" si="1451"/>
        <v>-28</v>
      </c>
      <c r="BH993" s="2953">
        <f t="shared" ca="1" si="1452"/>
        <v>0</v>
      </c>
    </row>
    <row r="994" spans="1:60" s="34" customFormat="1" ht="14.5">
      <c r="A994" s="616">
        <f t="shared" si="1428"/>
        <v>907</v>
      </c>
      <c r="B994" s="616">
        <v>1</v>
      </c>
      <c r="C994" s="616">
        <f t="shared" si="1429"/>
        <v>991</v>
      </c>
      <c r="E994" s="2547">
        <v>1</v>
      </c>
      <c r="F994" s="4"/>
      <c r="G994" s="4"/>
      <c r="H994" s="4"/>
      <c r="I994" s="363"/>
      <c r="J994" s="4"/>
      <c r="K994" s="3"/>
      <c r="L994" s="4"/>
      <c r="M994" s="3"/>
      <c r="N994" s="41"/>
      <c r="O994" s="41" t="s">
        <v>21</v>
      </c>
      <c r="P994" s="41"/>
      <c r="Q994" s="1778" t="str">
        <f>CHOOSE(2, "6722000003913", "HC IP FE/TTOC Logistics Total Administration")</f>
        <v>HC IP FE/TTOC Logistics Total Administration</v>
      </c>
      <c r="R994" s="1212">
        <v>0</v>
      </c>
      <c r="S994" s="1212">
        <v>0</v>
      </c>
      <c r="T994" s="1212">
        <v>0</v>
      </c>
      <c r="U994" s="1212">
        <v>0</v>
      </c>
      <c r="V994" s="1212">
        <v>0</v>
      </c>
      <c r="W994" s="1212">
        <v>0</v>
      </c>
      <c r="X994" s="1212">
        <v>0</v>
      </c>
      <c r="Y994" s="1212">
        <v>0</v>
      </c>
      <c r="Z994" s="1212">
        <v>0</v>
      </c>
      <c r="AA994" s="1212">
        <v>0</v>
      </c>
      <c r="AB994" s="1212">
        <v>0</v>
      </c>
      <c r="AC994" s="1212">
        <v>0</v>
      </c>
      <c r="AD994" s="877">
        <f>T994</f>
        <v>0</v>
      </c>
      <c r="AE994" s="40">
        <f>W994</f>
        <v>0</v>
      </c>
      <c r="AF994" s="40">
        <f>Z994</f>
        <v>0</v>
      </c>
      <c r="AG994" s="40">
        <f>AC994</f>
        <v>0</v>
      </c>
      <c r="AH994" s="40">
        <f>AE994</f>
        <v>0</v>
      </c>
      <c r="AI994" s="40">
        <f>AG994</f>
        <v>0</v>
      </c>
      <c r="AJ994" s="40">
        <f>AI994</f>
        <v>0</v>
      </c>
      <c r="AL994" s="40">
        <f t="shared" ca="1" si="1432"/>
        <v>0</v>
      </c>
      <c r="AM994" s="40">
        <f t="shared" ca="1" si="1433"/>
        <v>2</v>
      </c>
      <c r="AN994" s="3057">
        <f t="shared" ca="1" si="1434"/>
        <v>-2</v>
      </c>
      <c r="AO994" s="2695">
        <f t="shared" ca="1" si="1435"/>
        <v>0</v>
      </c>
      <c r="AP994" s="40">
        <f t="shared" ca="1" si="1436"/>
        <v>0</v>
      </c>
      <c r="AQ994" s="3057">
        <f t="shared" ca="1" si="1437"/>
        <v>0</v>
      </c>
      <c r="AR994" s="2695">
        <f t="shared" ca="1" si="1438"/>
        <v>0</v>
      </c>
      <c r="AT994" s="40">
        <f t="shared" ca="1" si="1439"/>
        <v>0</v>
      </c>
      <c r="AU994" s="40">
        <f t="shared" ca="1" si="1440"/>
        <v>2</v>
      </c>
      <c r="AV994" s="3057">
        <f t="shared" ca="1" si="1441"/>
        <v>-2</v>
      </c>
      <c r="AW994" s="2695">
        <f t="shared" ca="1" si="1442"/>
        <v>0</v>
      </c>
      <c r="AX994" s="40">
        <f t="shared" ca="1" si="1443"/>
        <v>0</v>
      </c>
      <c r="AY994" s="3057">
        <f t="shared" ca="1" si="1444"/>
        <v>0</v>
      </c>
      <c r="AZ994" s="2695">
        <f t="shared" ca="1" si="1445"/>
        <v>0</v>
      </c>
      <c r="BB994" s="40">
        <f t="shared" ca="1" si="1446"/>
        <v>0</v>
      </c>
      <c r="BC994" s="40">
        <f t="shared" ca="1" si="1447"/>
        <v>2</v>
      </c>
      <c r="BD994" s="3057">
        <f t="shared" ca="1" si="1448"/>
        <v>-2</v>
      </c>
      <c r="BE994" s="2695">
        <f t="shared" ca="1" si="1449"/>
        <v>0</v>
      </c>
      <c r="BF994" s="40">
        <f t="shared" ca="1" si="1450"/>
        <v>0</v>
      </c>
      <c r="BG994" s="3057">
        <f t="shared" ca="1" si="1451"/>
        <v>0</v>
      </c>
      <c r="BH994" s="2695">
        <f t="shared" ca="1" si="1452"/>
        <v>0</v>
      </c>
    </row>
    <row r="995" spans="1:60" s="34" customFormat="1" ht="14.5">
      <c r="A995" s="616">
        <f t="shared" si="1428"/>
        <v>908</v>
      </c>
      <c r="B995" s="616">
        <v>1</v>
      </c>
      <c r="C995" s="616">
        <f t="shared" si="1429"/>
        <v>992</v>
      </c>
      <c r="E995" s="2547">
        <v>1</v>
      </c>
      <c r="F995" s="4"/>
      <c r="G995" s="4"/>
      <c r="H995" s="4"/>
      <c r="I995" s="363"/>
      <c r="J995" s="4"/>
      <c r="K995" s="3"/>
      <c r="L995" s="4"/>
      <c r="M995" s="3"/>
      <c r="N995" s="41"/>
      <c r="O995" s="41" t="s">
        <v>22</v>
      </c>
      <c r="P995" s="41"/>
      <c r="Q995" s="1778" t="str">
        <f>CHOOSE(2, "6722000003914", "HC IP FE/TTOC Logistics Total Warehouse")</f>
        <v>HC IP FE/TTOC Logistics Total Warehouse</v>
      </c>
      <c r="R995" s="1212">
        <v>0</v>
      </c>
      <c r="S995" s="1212">
        <v>0</v>
      </c>
      <c r="T995" s="1212">
        <v>0</v>
      </c>
      <c r="U995" s="1212">
        <v>0</v>
      </c>
      <c r="V995" s="1212">
        <v>0</v>
      </c>
      <c r="W995" s="1212">
        <v>0</v>
      </c>
      <c r="X995" s="1212">
        <v>0</v>
      </c>
      <c r="Y995" s="1212">
        <v>0</v>
      </c>
      <c r="Z995" s="1212">
        <v>0</v>
      </c>
      <c r="AA995" s="1212">
        <v>0</v>
      </c>
      <c r="AB995" s="1212">
        <v>0</v>
      </c>
      <c r="AC995" s="1212">
        <v>0</v>
      </c>
      <c r="AD995" s="877">
        <f>T995</f>
        <v>0</v>
      </c>
      <c r="AE995" s="40">
        <f>W995</f>
        <v>0</v>
      </c>
      <c r="AF995" s="40">
        <f>Z995</f>
        <v>0</v>
      </c>
      <c r="AG995" s="40">
        <f>AC995</f>
        <v>0</v>
      </c>
      <c r="AH995" s="40">
        <f>AE995</f>
        <v>0</v>
      </c>
      <c r="AI995" s="40">
        <f>AG995</f>
        <v>0</v>
      </c>
      <c r="AJ995" s="40">
        <f>AI995</f>
        <v>0</v>
      </c>
      <c r="AL995" s="40">
        <f t="shared" ca="1" si="1432"/>
        <v>0</v>
      </c>
      <c r="AM995" s="40">
        <f t="shared" ca="1" si="1433"/>
        <v>0</v>
      </c>
      <c r="AN995" s="3057">
        <f t="shared" ca="1" si="1434"/>
        <v>0</v>
      </c>
      <c r="AO995" s="2695">
        <f t="shared" ca="1" si="1435"/>
        <v>0</v>
      </c>
      <c r="AP995" s="40">
        <f t="shared" ca="1" si="1436"/>
        <v>0</v>
      </c>
      <c r="AQ995" s="3057">
        <f t="shared" ca="1" si="1437"/>
        <v>0</v>
      </c>
      <c r="AR995" s="2695">
        <f t="shared" ca="1" si="1438"/>
        <v>0</v>
      </c>
      <c r="AT995" s="40">
        <f t="shared" ca="1" si="1439"/>
        <v>0</v>
      </c>
      <c r="AU995" s="40">
        <f t="shared" ca="1" si="1440"/>
        <v>0</v>
      </c>
      <c r="AV995" s="3057">
        <f t="shared" ca="1" si="1441"/>
        <v>0</v>
      </c>
      <c r="AW995" s="2695">
        <f t="shared" ca="1" si="1442"/>
        <v>0</v>
      </c>
      <c r="AX995" s="40">
        <f t="shared" ca="1" si="1443"/>
        <v>0</v>
      </c>
      <c r="AY995" s="3057">
        <f t="shared" ca="1" si="1444"/>
        <v>0</v>
      </c>
      <c r="AZ995" s="2695">
        <f t="shared" ca="1" si="1445"/>
        <v>0</v>
      </c>
      <c r="BB995" s="40">
        <f t="shared" ca="1" si="1446"/>
        <v>0</v>
      </c>
      <c r="BC995" s="40">
        <f t="shared" ca="1" si="1447"/>
        <v>0</v>
      </c>
      <c r="BD995" s="3057">
        <f t="shared" ca="1" si="1448"/>
        <v>0</v>
      </c>
      <c r="BE995" s="2695">
        <f t="shared" ca="1" si="1449"/>
        <v>0</v>
      </c>
      <c r="BF995" s="40">
        <f t="shared" ca="1" si="1450"/>
        <v>0</v>
      </c>
      <c r="BG995" s="3057">
        <f t="shared" ca="1" si="1451"/>
        <v>0</v>
      </c>
      <c r="BH995" s="2695">
        <f t="shared" ca="1" si="1452"/>
        <v>0</v>
      </c>
    </row>
    <row r="996" spans="1:60" s="34" customFormat="1" ht="14.5">
      <c r="A996" s="616">
        <f t="shared" si="1428"/>
        <v>909</v>
      </c>
      <c r="B996" s="616">
        <v>1</v>
      </c>
      <c r="C996" s="616">
        <f t="shared" si="1429"/>
        <v>993</v>
      </c>
      <c r="E996" s="2547">
        <v>1</v>
      </c>
      <c r="F996" s="4"/>
      <c r="G996" s="4"/>
      <c r="H996" s="4"/>
      <c r="I996" s="364"/>
      <c r="J996" s="2"/>
      <c r="K996" s="1"/>
      <c r="L996" s="2"/>
      <c r="M996" s="1"/>
      <c r="N996" s="39"/>
      <c r="O996" s="39" t="s">
        <v>23</v>
      </c>
      <c r="P996" s="39"/>
      <c r="Q996" s="1778" t="str">
        <f>CHOOSE(2, "6722000003915", "HC IP FE/TTOC Logistics Total Workshop")</f>
        <v>HC IP FE/TTOC Logistics Total Workshop</v>
      </c>
      <c r="R996" s="1211">
        <v>0</v>
      </c>
      <c r="S996" s="1211">
        <v>0</v>
      </c>
      <c r="T996" s="1211">
        <v>0</v>
      </c>
      <c r="U996" s="1211">
        <v>0</v>
      </c>
      <c r="V996" s="1211">
        <v>0</v>
      </c>
      <c r="W996" s="1211">
        <v>0</v>
      </c>
      <c r="X996" s="1211">
        <v>0</v>
      </c>
      <c r="Y996" s="1211">
        <v>0</v>
      </c>
      <c r="Z996" s="1211">
        <v>0</v>
      </c>
      <c r="AA996" s="1211">
        <v>0</v>
      </c>
      <c r="AB996" s="1211">
        <v>0</v>
      </c>
      <c r="AC996" s="1211">
        <v>0</v>
      </c>
      <c r="AD996" s="912">
        <f>T996</f>
        <v>0</v>
      </c>
      <c r="AE996" s="38">
        <f>W996</f>
        <v>0</v>
      </c>
      <c r="AF996" s="38">
        <f>Z996</f>
        <v>0</v>
      </c>
      <c r="AG996" s="38">
        <f>AC996</f>
        <v>0</v>
      </c>
      <c r="AH996" s="38">
        <f>AE996</f>
        <v>0</v>
      </c>
      <c r="AI996" s="38">
        <f>AG996</f>
        <v>0</v>
      </c>
      <c r="AJ996" s="38">
        <f>AI996</f>
        <v>0</v>
      </c>
      <c r="AL996" s="38">
        <f t="shared" ca="1" si="1432"/>
        <v>0</v>
      </c>
      <c r="AM996" s="38">
        <f t="shared" ca="1" si="1433"/>
        <v>2</v>
      </c>
      <c r="AN996" s="3303">
        <f t="shared" ca="1" si="1434"/>
        <v>-2</v>
      </c>
      <c r="AO996" s="2951">
        <f t="shared" ca="1" si="1435"/>
        <v>0</v>
      </c>
      <c r="AP996" s="38">
        <f t="shared" ca="1" si="1436"/>
        <v>0</v>
      </c>
      <c r="AQ996" s="3303">
        <f t="shared" ca="1" si="1437"/>
        <v>0</v>
      </c>
      <c r="AR996" s="2951">
        <f t="shared" ca="1" si="1438"/>
        <v>0</v>
      </c>
      <c r="AT996" s="38">
        <f t="shared" ca="1" si="1439"/>
        <v>0</v>
      </c>
      <c r="AU996" s="38">
        <f t="shared" ca="1" si="1440"/>
        <v>2</v>
      </c>
      <c r="AV996" s="3303">
        <f t="shared" ca="1" si="1441"/>
        <v>-2</v>
      </c>
      <c r="AW996" s="2951">
        <f t="shared" ca="1" si="1442"/>
        <v>0</v>
      </c>
      <c r="AX996" s="38">
        <f t="shared" ca="1" si="1443"/>
        <v>0</v>
      </c>
      <c r="AY996" s="3303">
        <f t="shared" ca="1" si="1444"/>
        <v>0</v>
      </c>
      <c r="AZ996" s="2951">
        <f t="shared" ca="1" si="1445"/>
        <v>0</v>
      </c>
      <c r="BB996" s="38">
        <f t="shared" ca="1" si="1446"/>
        <v>0</v>
      </c>
      <c r="BC996" s="38">
        <f t="shared" ca="1" si="1447"/>
        <v>2</v>
      </c>
      <c r="BD996" s="3303">
        <f t="shared" ca="1" si="1448"/>
        <v>-2</v>
      </c>
      <c r="BE996" s="2951">
        <f t="shared" ca="1" si="1449"/>
        <v>0</v>
      </c>
      <c r="BF996" s="38">
        <f t="shared" ca="1" si="1450"/>
        <v>0</v>
      </c>
      <c r="BG996" s="3303">
        <f t="shared" ca="1" si="1451"/>
        <v>0</v>
      </c>
      <c r="BH996" s="2951">
        <f t="shared" ca="1" si="1452"/>
        <v>0</v>
      </c>
    </row>
    <row r="997" spans="1:60" s="34" customFormat="1" ht="14.5">
      <c r="A997" s="616">
        <f t="shared" si="1428"/>
        <v>910</v>
      </c>
      <c r="B997" s="616">
        <v>1</v>
      </c>
      <c r="C997" s="616">
        <f t="shared" si="1429"/>
        <v>994</v>
      </c>
      <c r="D997" s="709" t="s">
        <v>1308</v>
      </c>
      <c r="E997" s="2547">
        <v>1</v>
      </c>
      <c r="F997" s="4"/>
      <c r="G997" s="4"/>
      <c r="H997" s="4"/>
      <c r="I997" s="2253" t="s">
        <v>1511</v>
      </c>
      <c r="J997" s="1523"/>
      <c r="K997" s="1509"/>
      <c r="L997" s="1509"/>
      <c r="M997" s="1523"/>
      <c r="N997" s="1523"/>
      <c r="O997" s="1523"/>
      <c r="P997" s="1523"/>
      <c r="Q997" s="1790" t="str">
        <f>CHOOSE(2, "6722000003916", "HC IP Semi-Full-Time/Part-Time Employees /Contractors")</f>
        <v>HC IP Semi-Full-Time/Part-Time Employees /Contractors</v>
      </c>
      <c r="R997" s="3312">
        <v>0</v>
      </c>
      <c r="S997" s="3312">
        <v>0</v>
      </c>
      <c r="T997" s="3312">
        <v>0</v>
      </c>
      <c r="U997" s="3312">
        <v>0</v>
      </c>
      <c r="V997" s="3312">
        <v>0</v>
      </c>
      <c r="W997" s="3312">
        <v>0</v>
      </c>
      <c r="X997" s="3312">
        <v>0</v>
      </c>
      <c r="Y997" s="3312">
        <v>0</v>
      </c>
      <c r="Z997" s="3312">
        <v>0</v>
      </c>
      <c r="AA997" s="3312">
        <v>0</v>
      </c>
      <c r="AB997" s="3312">
        <v>0</v>
      </c>
      <c r="AC997" s="3312">
        <v>0</v>
      </c>
      <c r="AD997" s="3306">
        <f>T997</f>
        <v>0</v>
      </c>
      <c r="AE997" s="3198">
        <f>W997</f>
        <v>0</v>
      </c>
      <c r="AF997" s="3198">
        <f>Z997</f>
        <v>0</v>
      </c>
      <c r="AG997" s="3198">
        <f>AC997</f>
        <v>0</v>
      </c>
      <c r="AH997" s="3198">
        <f>AE997</f>
        <v>0</v>
      </c>
      <c r="AI997" s="3198">
        <f>AG997</f>
        <v>0</v>
      </c>
      <c r="AJ997" s="3198">
        <f>AI997</f>
        <v>0</v>
      </c>
      <c r="AL997" s="3198">
        <f t="shared" ca="1" si="1432"/>
        <v>0</v>
      </c>
      <c r="AM997" s="3198">
        <f t="shared" ca="1" si="1433"/>
        <v>0</v>
      </c>
      <c r="AN997" s="3199">
        <f t="shared" ca="1" si="1434"/>
        <v>0</v>
      </c>
      <c r="AO997" s="2850">
        <f t="shared" ca="1" si="1435"/>
        <v>0</v>
      </c>
      <c r="AP997" s="3198">
        <f t="shared" ca="1" si="1436"/>
        <v>241</v>
      </c>
      <c r="AQ997" s="3199">
        <f t="shared" ca="1" si="1437"/>
        <v>-241</v>
      </c>
      <c r="AR997" s="2850">
        <f t="shared" ca="1" si="1438"/>
        <v>0</v>
      </c>
      <c r="AT997" s="3198">
        <f t="shared" ca="1" si="1439"/>
        <v>0</v>
      </c>
      <c r="AU997" s="3198">
        <f t="shared" ca="1" si="1440"/>
        <v>0</v>
      </c>
      <c r="AV997" s="3199">
        <f t="shared" ca="1" si="1441"/>
        <v>0</v>
      </c>
      <c r="AW997" s="2850">
        <f t="shared" ca="1" si="1442"/>
        <v>0</v>
      </c>
      <c r="AX997" s="3198">
        <f t="shared" ca="1" si="1443"/>
        <v>241</v>
      </c>
      <c r="AY997" s="3199">
        <f t="shared" ca="1" si="1444"/>
        <v>-241</v>
      </c>
      <c r="AZ997" s="2850">
        <f t="shared" ca="1" si="1445"/>
        <v>0</v>
      </c>
      <c r="BB997" s="3198">
        <f t="shared" ca="1" si="1446"/>
        <v>0</v>
      </c>
      <c r="BC997" s="3198">
        <f t="shared" ca="1" si="1447"/>
        <v>0</v>
      </c>
      <c r="BD997" s="3199">
        <f t="shared" ca="1" si="1448"/>
        <v>0</v>
      </c>
      <c r="BE997" s="2850">
        <f t="shared" ca="1" si="1449"/>
        <v>0</v>
      </c>
      <c r="BF997" s="3198">
        <f t="shared" ca="1" si="1450"/>
        <v>241</v>
      </c>
      <c r="BG997" s="3199">
        <f t="shared" ca="1" si="1451"/>
        <v>-241</v>
      </c>
      <c r="BH997" s="2850">
        <f t="shared" ca="1" si="1452"/>
        <v>0</v>
      </c>
    </row>
    <row r="998" spans="1:60" s="34" customFormat="1" ht="14.5">
      <c r="A998" s="616">
        <f t="shared" si="1428"/>
        <v>911</v>
      </c>
      <c r="B998" s="616">
        <v>1</v>
      </c>
      <c r="C998" s="616">
        <f t="shared" si="1429"/>
        <v>995</v>
      </c>
      <c r="D998" s="709" t="s">
        <v>1308</v>
      </c>
      <c r="E998" s="2547">
        <v>1</v>
      </c>
      <c r="F998" s="35"/>
      <c r="G998" s="35"/>
      <c r="H998" s="4"/>
      <c r="I998" s="35"/>
      <c r="J998" s="36"/>
      <c r="K998" s="35"/>
      <c r="L998" s="35"/>
      <c r="M998" s="35"/>
      <c r="N998" s="35"/>
      <c r="O998" s="35"/>
      <c r="P998" s="35"/>
      <c r="Q998" s="1773" t="str">
        <f>CHOOSE(2, "6722000003917", "▷ Blank 30")</f>
        <v>▷ Blank 30</v>
      </c>
      <c r="R998" s="2562"/>
      <c r="S998" s="2563"/>
      <c r="T998" s="2563"/>
      <c r="U998" s="2563"/>
      <c r="V998" s="2563"/>
      <c r="W998" s="2563"/>
      <c r="X998" s="2595"/>
      <c r="Y998" s="2595"/>
      <c r="Z998" s="2595"/>
      <c r="AA998" s="2595"/>
    </row>
    <row r="999" spans="1:60" s="34" customFormat="1" ht="14.5">
      <c r="A999" s="616">
        <f t="shared" si="1428"/>
        <v>912</v>
      </c>
      <c r="B999" s="616">
        <v>1</v>
      </c>
      <c r="C999" s="616">
        <f t="shared" si="1429"/>
        <v>996</v>
      </c>
      <c r="D999" s="709" t="s">
        <v>1308</v>
      </c>
      <c r="E999" s="2547">
        <v>1</v>
      </c>
      <c r="F999" s="4"/>
      <c r="G999" s="4"/>
      <c r="H999" s="4" t="s">
        <v>1412</v>
      </c>
      <c r="I999" s="4"/>
      <c r="J999" s="3"/>
      <c r="K999" s="4"/>
      <c r="L999" s="4"/>
      <c r="M999" s="3"/>
      <c r="N999" s="3"/>
      <c r="O999" s="3"/>
      <c r="P999" s="3"/>
      <c r="Q999" s="1773" t="str">
        <f>CHOOSE(2, "6722000003918", "HC (4) MS (Marketing Service)")</f>
        <v>HC (4) MS (Marketing Service)</v>
      </c>
      <c r="R999" s="2562"/>
      <c r="S999" s="2563"/>
      <c r="T999" s="2563"/>
      <c r="U999" s="2563"/>
      <c r="V999" s="2563"/>
      <c r="W999" s="2563"/>
      <c r="X999" s="2563"/>
      <c r="Y999" s="2563"/>
      <c r="Z999" s="2563"/>
      <c r="AA999" s="2563"/>
    </row>
    <row r="1000" spans="1:60" s="34" customFormat="1" ht="14.5">
      <c r="A1000" s="616">
        <f t="shared" si="1428"/>
        <v>913</v>
      </c>
      <c r="B1000" s="616">
        <v>1</v>
      </c>
      <c r="C1000" s="616">
        <f t="shared" si="1429"/>
        <v>997</v>
      </c>
      <c r="D1000" s="709" t="s">
        <v>1308</v>
      </c>
      <c r="E1000" s="2547">
        <v>1</v>
      </c>
      <c r="F1000" s="4"/>
      <c r="G1000" s="4"/>
      <c r="H1000" s="268"/>
      <c r="I1000" s="3162" t="s">
        <v>1513</v>
      </c>
      <c r="J1000" s="595"/>
      <c r="K1000" s="867"/>
      <c r="L1000" s="867"/>
      <c r="M1000" s="595"/>
      <c r="N1000" s="595"/>
      <c r="O1000" s="595"/>
      <c r="P1000" s="595"/>
      <c r="Q1000" s="1808" t="str">
        <f>CHOOSE(2, "6722000003919", "HC MS FE/TTOC")</f>
        <v>HC MS FE/TTOC</v>
      </c>
      <c r="R1000" s="1314">
        <f t="shared" ref="R1000:AJ1000" si="1458">R1001+R1006+R1012+R1017+R1023</f>
        <v>0</v>
      </c>
      <c r="S1000" s="3164">
        <f t="shared" si="1458"/>
        <v>0</v>
      </c>
      <c r="T1000" s="3164">
        <f t="shared" si="1458"/>
        <v>0</v>
      </c>
      <c r="U1000" s="3164">
        <f t="shared" si="1458"/>
        <v>0</v>
      </c>
      <c r="V1000" s="3164">
        <f t="shared" si="1458"/>
        <v>0</v>
      </c>
      <c r="W1000" s="3164">
        <f t="shared" si="1458"/>
        <v>0</v>
      </c>
      <c r="X1000" s="3164">
        <f t="shared" si="1458"/>
        <v>0</v>
      </c>
      <c r="Y1000" s="3164">
        <f t="shared" si="1458"/>
        <v>0</v>
      </c>
      <c r="Z1000" s="3164">
        <f t="shared" si="1458"/>
        <v>0</v>
      </c>
      <c r="AA1000" s="3164">
        <f t="shared" si="1458"/>
        <v>0</v>
      </c>
      <c r="AB1000" s="3164">
        <f t="shared" si="1458"/>
        <v>0</v>
      </c>
      <c r="AC1000" s="3164">
        <f t="shared" si="1458"/>
        <v>0</v>
      </c>
      <c r="AD1000" s="3164">
        <f t="shared" si="1458"/>
        <v>0</v>
      </c>
      <c r="AE1000" s="3164">
        <f t="shared" si="1458"/>
        <v>0</v>
      </c>
      <c r="AF1000" s="3164">
        <f t="shared" si="1458"/>
        <v>0</v>
      </c>
      <c r="AG1000" s="3164">
        <f t="shared" si="1458"/>
        <v>0</v>
      </c>
      <c r="AH1000" s="3164">
        <f t="shared" si="1458"/>
        <v>0</v>
      </c>
      <c r="AI1000" s="3164">
        <f t="shared" si="1458"/>
        <v>0</v>
      </c>
      <c r="AJ1000" s="3164">
        <f t="shared" si="1458"/>
        <v>0</v>
      </c>
      <c r="AL1000" s="1314">
        <f t="shared" ref="AL1000:AL1027" ca="1" si="1459">INDIRECT(AL$3&amp;(ROW()))</f>
        <v>0</v>
      </c>
      <c r="AM1000" s="3164">
        <f t="shared" ref="AM1000:AM1027" ca="1" si="1460">INDIRECT(AM$1&amp;AM$3&amp;$C1000)</f>
        <v>0</v>
      </c>
      <c r="AN1000" s="3165">
        <f t="shared" ref="AN1000:AN1027" ca="1" si="1461">AL1000-AM1000</f>
        <v>0</v>
      </c>
      <c r="AO1000" s="3166">
        <f t="shared" ref="AO1000:AO1027" ca="1" si="1462">IFERROR(AL1000/AM1000,0)</f>
        <v>0</v>
      </c>
      <c r="AP1000" s="3164">
        <f t="shared" ref="AP1000:AP1027" ca="1" si="1463">INDIRECT(AP$1&amp;AP$3&amp;$A1000)+INDIRECT(AP$1&amp;AP$3&amp;$B1000)</f>
        <v>5</v>
      </c>
      <c r="AQ1000" s="3165">
        <f t="shared" ref="AQ1000:AQ1027" ca="1" si="1464">AL1000-AP1000</f>
        <v>-5</v>
      </c>
      <c r="AR1000" s="3166">
        <f t="shared" ref="AR1000:AR1027" ca="1" si="1465">IFERROR(AL1000/AP1000,0)</f>
        <v>0</v>
      </c>
      <c r="AT1000" s="1314">
        <f t="shared" ref="AT1000:AT1027" ca="1" si="1466">INDIRECT(AT$3&amp;(ROW()))</f>
        <v>0</v>
      </c>
      <c r="AU1000" s="3164">
        <f t="shared" ref="AU1000:AU1027" ca="1" si="1467">INDIRECT(AU$1&amp;AU$3&amp;$C1000)</f>
        <v>0</v>
      </c>
      <c r="AV1000" s="3165">
        <f t="shared" ref="AV1000:AV1027" ca="1" si="1468">AT1000-AU1000</f>
        <v>0</v>
      </c>
      <c r="AW1000" s="3166">
        <f t="shared" ref="AW1000:AW1027" ca="1" si="1469">IFERROR(AT1000/AU1000,0)</f>
        <v>0</v>
      </c>
      <c r="AX1000" s="3164">
        <f t="shared" ref="AX1000:AX1027" ca="1" si="1470">INDIRECT(AX$1&amp;AX$3&amp;$A1000)+INDIRECT(AX$1&amp;AX$3&amp;$B1000)</f>
        <v>5</v>
      </c>
      <c r="AY1000" s="3165">
        <f t="shared" ref="AY1000:AY1027" ca="1" si="1471">AT1000-AX1000</f>
        <v>-5</v>
      </c>
      <c r="AZ1000" s="3166">
        <f t="shared" ref="AZ1000:AZ1027" ca="1" si="1472">IFERROR(AT1000/AX1000,0)</f>
        <v>0</v>
      </c>
      <c r="BB1000" s="1314">
        <f t="shared" ref="BB1000:BB1027" ca="1" si="1473">INDIRECT(BB$3&amp;(ROW()))</f>
        <v>0</v>
      </c>
      <c r="BC1000" s="3164">
        <f t="shared" ref="BC1000:BC1027" ca="1" si="1474">INDIRECT(BC$1&amp;BC$3&amp;$C1000)</f>
        <v>0</v>
      </c>
      <c r="BD1000" s="3165">
        <f t="shared" ref="BD1000:BD1027" ca="1" si="1475">BB1000-BC1000</f>
        <v>0</v>
      </c>
      <c r="BE1000" s="3166">
        <f t="shared" ref="BE1000:BE1027" ca="1" si="1476">IFERROR(BB1000/BC1000,0)</f>
        <v>0</v>
      </c>
      <c r="BF1000" s="3164">
        <f t="shared" ref="BF1000:BF1027" ca="1" si="1477">INDIRECT(BF$1&amp;BF$3&amp;$A1000)+INDIRECT(BF$1&amp;BF$3&amp;$B1000)</f>
        <v>5</v>
      </c>
      <c r="BG1000" s="3165">
        <f t="shared" ref="BG1000:BG1027" ca="1" si="1478">BB1000-BF1000</f>
        <v>-5</v>
      </c>
      <c r="BH1000" s="3166">
        <f t="shared" ref="BH1000:BH1027" ca="1" si="1479">IFERROR(BB1000/BF1000,0)</f>
        <v>0</v>
      </c>
    </row>
    <row r="1001" spans="1:60" s="34" customFormat="1" ht="14.5">
      <c r="A1001" s="616">
        <f t="shared" si="1428"/>
        <v>914</v>
      </c>
      <c r="B1001" s="616">
        <v>1</v>
      </c>
      <c r="C1001" s="616">
        <f t="shared" si="1429"/>
        <v>998</v>
      </c>
      <c r="D1001" s="709" t="s">
        <v>1308</v>
      </c>
      <c r="E1001" s="2547">
        <v>1</v>
      </c>
      <c r="F1001" s="4"/>
      <c r="G1001" s="4"/>
      <c r="H1001" s="4"/>
      <c r="I1001" s="256"/>
      <c r="J1001" s="48" t="s">
        <v>1514</v>
      </c>
      <c r="K1001" s="47"/>
      <c r="L1001" s="48"/>
      <c r="M1001" s="48"/>
      <c r="N1001" s="47"/>
      <c r="O1001" s="47"/>
      <c r="P1001" s="47"/>
      <c r="Q1001" s="1786" t="str">
        <f>CHOOSE(2, "6722000003920", "HC MS FE/TTOC Sales Total")</f>
        <v>HC MS FE/TTOC Sales Total</v>
      </c>
      <c r="R1001" s="45">
        <f>SUM(R1002:R1005)</f>
        <v>0</v>
      </c>
      <c r="S1001" s="45">
        <f t="shared" ref="S1001:AJ1001" si="1480">SUM(S1002:S1005)</f>
        <v>0</v>
      </c>
      <c r="T1001" s="45">
        <f t="shared" si="1480"/>
        <v>0</v>
      </c>
      <c r="U1001" s="45">
        <f t="shared" si="1480"/>
        <v>0</v>
      </c>
      <c r="V1001" s="45">
        <f t="shared" si="1480"/>
        <v>0</v>
      </c>
      <c r="W1001" s="45">
        <f t="shared" si="1480"/>
        <v>0</v>
      </c>
      <c r="X1001" s="45">
        <f t="shared" si="1480"/>
        <v>0</v>
      </c>
      <c r="Y1001" s="45">
        <f t="shared" si="1480"/>
        <v>0</v>
      </c>
      <c r="Z1001" s="45">
        <f t="shared" si="1480"/>
        <v>0</v>
      </c>
      <c r="AA1001" s="45">
        <f t="shared" si="1480"/>
        <v>0</v>
      </c>
      <c r="AB1001" s="45">
        <f t="shared" si="1480"/>
        <v>0</v>
      </c>
      <c r="AC1001" s="45">
        <f t="shared" si="1480"/>
        <v>0</v>
      </c>
      <c r="AD1001" s="911">
        <f t="shared" si="1480"/>
        <v>0</v>
      </c>
      <c r="AE1001" s="45">
        <f t="shared" si="1480"/>
        <v>0</v>
      </c>
      <c r="AF1001" s="45">
        <f t="shared" si="1480"/>
        <v>0</v>
      </c>
      <c r="AG1001" s="45">
        <f t="shared" si="1480"/>
        <v>0</v>
      </c>
      <c r="AH1001" s="45">
        <f t="shared" si="1480"/>
        <v>0</v>
      </c>
      <c r="AI1001" s="45">
        <f t="shared" si="1480"/>
        <v>0</v>
      </c>
      <c r="AJ1001" s="45">
        <f t="shared" si="1480"/>
        <v>0</v>
      </c>
      <c r="AL1001" s="45">
        <f t="shared" ca="1" si="1459"/>
        <v>0</v>
      </c>
      <c r="AM1001" s="45">
        <f t="shared" ca="1" si="1460"/>
        <v>0</v>
      </c>
      <c r="AN1001" s="3302">
        <f t="shared" ca="1" si="1461"/>
        <v>0</v>
      </c>
      <c r="AO1001" s="2949">
        <f t="shared" ca="1" si="1462"/>
        <v>0</v>
      </c>
      <c r="AP1001" s="45">
        <f t="shared" ca="1" si="1463"/>
        <v>28</v>
      </c>
      <c r="AQ1001" s="3302">
        <f t="shared" ca="1" si="1464"/>
        <v>-28</v>
      </c>
      <c r="AR1001" s="2949">
        <f t="shared" ca="1" si="1465"/>
        <v>0</v>
      </c>
      <c r="AT1001" s="45">
        <f t="shared" ca="1" si="1466"/>
        <v>0</v>
      </c>
      <c r="AU1001" s="45">
        <f t="shared" ca="1" si="1467"/>
        <v>0</v>
      </c>
      <c r="AV1001" s="3302">
        <f t="shared" ca="1" si="1468"/>
        <v>0</v>
      </c>
      <c r="AW1001" s="2949">
        <f t="shared" ca="1" si="1469"/>
        <v>0</v>
      </c>
      <c r="AX1001" s="45">
        <f t="shared" ca="1" si="1470"/>
        <v>28</v>
      </c>
      <c r="AY1001" s="3302">
        <f t="shared" ca="1" si="1471"/>
        <v>-28</v>
      </c>
      <c r="AZ1001" s="2949">
        <f t="shared" ca="1" si="1472"/>
        <v>0</v>
      </c>
      <c r="BB1001" s="45">
        <f t="shared" ca="1" si="1473"/>
        <v>0</v>
      </c>
      <c r="BC1001" s="45">
        <f t="shared" ca="1" si="1474"/>
        <v>0</v>
      </c>
      <c r="BD1001" s="3302">
        <f t="shared" ca="1" si="1475"/>
        <v>0</v>
      </c>
      <c r="BE1001" s="2949">
        <f t="shared" ca="1" si="1476"/>
        <v>0</v>
      </c>
      <c r="BF1001" s="45">
        <f t="shared" ca="1" si="1477"/>
        <v>28</v>
      </c>
      <c r="BG1001" s="3302">
        <f t="shared" ca="1" si="1478"/>
        <v>-28</v>
      </c>
      <c r="BH1001" s="2949">
        <f t="shared" ca="1" si="1479"/>
        <v>0</v>
      </c>
    </row>
    <row r="1002" spans="1:60" s="34" customFormat="1" ht="14.5">
      <c r="A1002" s="616">
        <f t="shared" si="1428"/>
        <v>915</v>
      </c>
      <c r="B1002" s="616">
        <v>1</v>
      </c>
      <c r="C1002" s="616">
        <f t="shared" si="1429"/>
        <v>999</v>
      </c>
      <c r="E1002" s="2547">
        <v>1</v>
      </c>
      <c r="F1002" s="4"/>
      <c r="G1002" s="4"/>
      <c r="H1002" s="4"/>
      <c r="I1002" s="256"/>
      <c r="J1002" s="4"/>
      <c r="K1002" s="3"/>
      <c r="L1002" s="4"/>
      <c r="M1002" s="4"/>
      <c r="N1002" s="41"/>
      <c r="O1002" s="41" t="s">
        <v>45</v>
      </c>
      <c r="P1002" s="3"/>
      <c r="Q1002" s="1778" t="str">
        <f>CHOOSE(2, "6722000003921", "HC MS FE/TTOC Sales Total Direct sales rep.")</f>
        <v>HC MS FE/TTOC Sales Total Direct sales rep.</v>
      </c>
      <c r="R1002" s="1212">
        <v>0</v>
      </c>
      <c r="S1002" s="1212">
        <v>0</v>
      </c>
      <c r="T1002" s="1212">
        <v>0</v>
      </c>
      <c r="U1002" s="1212">
        <v>0</v>
      </c>
      <c r="V1002" s="1212">
        <v>0</v>
      </c>
      <c r="W1002" s="1212">
        <v>0</v>
      </c>
      <c r="X1002" s="1212">
        <v>0</v>
      </c>
      <c r="Y1002" s="1212">
        <v>0</v>
      </c>
      <c r="Z1002" s="1212">
        <v>0</v>
      </c>
      <c r="AA1002" s="1212">
        <v>0</v>
      </c>
      <c r="AB1002" s="1212">
        <v>0</v>
      </c>
      <c r="AC1002" s="1212">
        <v>0</v>
      </c>
      <c r="AD1002" s="877">
        <f>T1002</f>
        <v>0</v>
      </c>
      <c r="AE1002" s="40">
        <f>W1002</f>
        <v>0</v>
      </c>
      <c r="AF1002" s="40">
        <f>Z1002</f>
        <v>0</v>
      </c>
      <c r="AG1002" s="40">
        <f>AC1002</f>
        <v>0</v>
      </c>
      <c r="AH1002" s="40">
        <f>AE1002</f>
        <v>0</v>
      </c>
      <c r="AI1002" s="40">
        <f>AG1002</f>
        <v>0</v>
      </c>
      <c r="AJ1002" s="40">
        <f>AI1002</f>
        <v>0</v>
      </c>
      <c r="AL1002" s="40">
        <f t="shared" ca="1" si="1459"/>
        <v>0</v>
      </c>
      <c r="AM1002" s="40">
        <f t="shared" ca="1" si="1460"/>
        <v>0</v>
      </c>
      <c r="AN1002" s="3057">
        <f t="shared" ca="1" si="1461"/>
        <v>0</v>
      </c>
      <c r="AO1002" s="2695">
        <f t="shared" ca="1" si="1462"/>
        <v>0</v>
      </c>
      <c r="AP1002" s="40">
        <f t="shared" ca="1" si="1463"/>
        <v>19</v>
      </c>
      <c r="AQ1002" s="3057">
        <f t="shared" ca="1" si="1464"/>
        <v>-19</v>
      </c>
      <c r="AR1002" s="2695">
        <f t="shared" ca="1" si="1465"/>
        <v>0</v>
      </c>
      <c r="AT1002" s="40">
        <f t="shared" ca="1" si="1466"/>
        <v>0</v>
      </c>
      <c r="AU1002" s="40">
        <f t="shared" ca="1" si="1467"/>
        <v>0</v>
      </c>
      <c r="AV1002" s="3057">
        <f t="shared" ca="1" si="1468"/>
        <v>0</v>
      </c>
      <c r="AW1002" s="2695">
        <f t="shared" ca="1" si="1469"/>
        <v>0</v>
      </c>
      <c r="AX1002" s="40">
        <f t="shared" ca="1" si="1470"/>
        <v>19</v>
      </c>
      <c r="AY1002" s="3057">
        <f t="shared" ca="1" si="1471"/>
        <v>-19</v>
      </c>
      <c r="AZ1002" s="2695">
        <f t="shared" ca="1" si="1472"/>
        <v>0</v>
      </c>
      <c r="BB1002" s="40">
        <f t="shared" ca="1" si="1473"/>
        <v>0</v>
      </c>
      <c r="BC1002" s="40">
        <f t="shared" ca="1" si="1474"/>
        <v>0</v>
      </c>
      <c r="BD1002" s="3057">
        <f t="shared" ca="1" si="1475"/>
        <v>0</v>
      </c>
      <c r="BE1002" s="2695">
        <f t="shared" ca="1" si="1476"/>
        <v>0</v>
      </c>
      <c r="BF1002" s="40">
        <f t="shared" ca="1" si="1477"/>
        <v>19</v>
      </c>
      <c r="BG1002" s="3057">
        <f t="shared" ca="1" si="1478"/>
        <v>-19</v>
      </c>
      <c r="BH1002" s="2695">
        <f t="shared" ca="1" si="1479"/>
        <v>0</v>
      </c>
    </row>
    <row r="1003" spans="1:60" s="34" customFormat="1" ht="14.5">
      <c r="A1003" s="616">
        <f t="shared" si="1428"/>
        <v>916</v>
      </c>
      <c r="B1003" s="616">
        <v>1</v>
      </c>
      <c r="C1003" s="616">
        <f t="shared" si="1429"/>
        <v>1000</v>
      </c>
      <c r="E1003" s="2547">
        <v>1</v>
      </c>
      <c r="F1003" s="4"/>
      <c r="G1003" s="4"/>
      <c r="H1003" s="4"/>
      <c r="I1003" s="256"/>
      <c r="J1003" s="4"/>
      <c r="K1003" s="3"/>
      <c r="L1003" s="4"/>
      <c r="M1003" s="4"/>
      <c r="N1003" s="41"/>
      <c r="O1003" s="41" t="s">
        <v>44</v>
      </c>
      <c r="P1003" s="3"/>
      <c r="Q1003" s="1778" t="str">
        <f>CHOOSE(2, "6722000003922", "HC MS FE/TTOC Sales Total Direct sales engineers")</f>
        <v>HC MS FE/TTOC Sales Total Direct sales engineers</v>
      </c>
      <c r="R1003" s="1212">
        <v>0</v>
      </c>
      <c r="S1003" s="1212">
        <v>0</v>
      </c>
      <c r="T1003" s="1212">
        <v>0</v>
      </c>
      <c r="U1003" s="1212">
        <v>0</v>
      </c>
      <c r="V1003" s="1212">
        <v>0</v>
      </c>
      <c r="W1003" s="1212">
        <v>0</v>
      </c>
      <c r="X1003" s="1212">
        <v>0</v>
      </c>
      <c r="Y1003" s="1212">
        <v>0</v>
      </c>
      <c r="Z1003" s="1212">
        <v>0</v>
      </c>
      <c r="AA1003" s="1212">
        <v>0</v>
      </c>
      <c r="AB1003" s="1212">
        <v>0</v>
      </c>
      <c r="AC1003" s="1212">
        <v>0</v>
      </c>
      <c r="AD1003" s="877">
        <f>T1003</f>
        <v>0</v>
      </c>
      <c r="AE1003" s="40">
        <f>W1003</f>
        <v>0</v>
      </c>
      <c r="AF1003" s="40">
        <f>Z1003</f>
        <v>0</v>
      </c>
      <c r="AG1003" s="40">
        <f>AC1003</f>
        <v>0</v>
      </c>
      <c r="AH1003" s="40">
        <f>AE1003</f>
        <v>0</v>
      </c>
      <c r="AI1003" s="40">
        <f>AG1003</f>
        <v>0</v>
      </c>
      <c r="AJ1003" s="40">
        <f>AI1003</f>
        <v>0</v>
      </c>
      <c r="AL1003" s="40">
        <f t="shared" ca="1" si="1459"/>
        <v>0</v>
      </c>
      <c r="AM1003" s="40">
        <f t="shared" ca="1" si="1460"/>
        <v>0</v>
      </c>
      <c r="AN1003" s="3057">
        <f t="shared" ca="1" si="1461"/>
        <v>0</v>
      </c>
      <c r="AO1003" s="2695">
        <f t="shared" ca="1" si="1462"/>
        <v>0</v>
      </c>
      <c r="AP1003" s="40">
        <f t="shared" ca="1" si="1463"/>
        <v>91</v>
      </c>
      <c r="AQ1003" s="3057">
        <f t="shared" ca="1" si="1464"/>
        <v>-91</v>
      </c>
      <c r="AR1003" s="2695">
        <f t="shared" ca="1" si="1465"/>
        <v>0</v>
      </c>
      <c r="AT1003" s="40">
        <f t="shared" ca="1" si="1466"/>
        <v>0</v>
      </c>
      <c r="AU1003" s="40">
        <f t="shared" ca="1" si="1467"/>
        <v>0</v>
      </c>
      <c r="AV1003" s="3057">
        <f t="shared" ca="1" si="1468"/>
        <v>0</v>
      </c>
      <c r="AW1003" s="2695">
        <f t="shared" ca="1" si="1469"/>
        <v>0</v>
      </c>
      <c r="AX1003" s="40">
        <f t="shared" ca="1" si="1470"/>
        <v>91</v>
      </c>
      <c r="AY1003" s="3057">
        <f t="shared" ca="1" si="1471"/>
        <v>-91</v>
      </c>
      <c r="AZ1003" s="2695">
        <f t="shared" ca="1" si="1472"/>
        <v>0</v>
      </c>
      <c r="BB1003" s="40">
        <f t="shared" ca="1" si="1473"/>
        <v>0</v>
      </c>
      <c r="BC1003" s="40">
        <f t="shared" ca="1" si="1474"/>
        <v>0</v>
      </c>
      <c r="BD1003" s="3057">
        <f t="shared" ca="1" si="1475"/>
        <v>0</v>
      </c>
      <c r="BE1003" s="2695">
        <f t="shared" ca="1" si="1476"/>
        <v>0</v>
      </c>
      <c r="BF1003" s="40">
        <f t="shared" ca="1" si="1477"/>
        <v>91</v>
      </c>
      <c r="BG1003" s="3057">
        <f t="shared" ca="1" si="1478"/>
        <v>-91</v>
      </c>
      <c r="BH1003" s="2695">
        <f t="shared" ca="1" si="1479"/>
        <v>0</v>
      </c>
    </row>
    <row r="1004" spans="1:60" s="34" customFormat="1" ht="14.5">
      <c r="A1004" s="616">
        <f t="shared" si="1428"/>
        <v>917</v>
      </c>
      <c r="B1004" s="616">
        <v>1</v>
      </c>
      <c r="C1004" s="616">
        <f t="shared" si="1429"/>
        <v>1001</v>
      </c>
      <c r="E1004" s="2547">
        <v>1</v>
      </c>
      <c r="F1004" s="4"/>
      <c r="G1004" s="4"/>
      <c r="H1004" s="4"/>
      <c r="I1004" s="256"/>
      <c r="J1004" s="4"/>
      <c r="K1004" s="3"/>
      <c r="L1004" s="4"/>
      <c r="M1004" s="4"/>
      <c r="N1004" s="41"/>
      <c r="O1004" s="41" t="s">
        <v>43</v>
      </c>
      <c r="P1004" s="3"/>
      <c r="Q1004" s="1778" t="str">
        <f>CHOOSE(2, "6722000003923", "HC MS FE/TTOC Sales Total Dealer(Indirect) sales rep.")</f>
        <v>HC MS FE/TTOC Sales Total Dealer(Indirect) sales rep.</v>
      </c>
      <c r="R1004" s="1212">
        <v>0</v>
      </c>
      <c r="S1004" s="1212">
        <v>0</v>
      </c>
      <c r="T1004" s="1212">
        <v>0</v>
      </c>
      <c r="U1004" s="1212">
        <v>0</v>
      </c>
      <c r="V1004" s="1212">
        <v>0</v>
      </c>
      <c r="W1004" s="1212">
        <v>0</v>
      </c>
      <c r="X1004" s="1212">
        <v>0</v>
      </c>
      <c r="Y1004" s="1212">
        <v>0</v>
      </c>
      <c r="Z1004" s="1212">
        <v>0</v>
      </c>
      <c r="AA1004" s="1212">
        <v>0</v>
      </c>
      <c r="AB1004" s="1212">
        <v>0</v>
      </c>
      <c r="AC1004" s="1212">
        <v>0</v>
      </c>
      <c r="AD1004" s="877">
        <f>T1004</f>
        <v>0</v>
      </c>
      <c r="AE1004" s="40">
        <f>W1004</f>
        <v>0</v>
      </c>
      <c r="AF1004" s="40">
        <f>Z1004</f>
        <v>0</v>
      </c>
      <c r="AG1004" s="40">
        <f>AC1004</f>
        <v>0</v>
      </c>
      <c r="AH1004" s="40">
        <f>AE1004</f>
        <v>0</v>
      </c>
      <c r="AI1004" s="40">
        <f>AG1004</f>
        <v>0</v>
      </c>
      <c r="AJ1004" s="40">
        <f>AI1004</f>
        <v>0</v>
      </c>
      <c r="AL1004" s="40">
        <f t="shared" ca="1" si="1459"/>
        <v>0</v>
      </c>
      <c r="AM1004" s="40">
        <f t="shared" ca="1" si="1460"/>
        <v>0</v>
      </c>
      <c r="AN1004" s="3057">
        <f t="shared" ca="1" si="1461"/>
        <v>0</v>
      </c>
      <c r="AO1004" s="2695">
        <f t="shared" ca="1" si="1462"/>
        <v>0</v>
      </c>
      <c r="AP1004" s="40">
        <f t="shared" ca="1" si="1463"/>
        <v>52</v>
      </c>
      <c r="AQ1004" s="3057">
        <f t="shared" ca="1" si="1464"/>
        <v>-52</v>
      </c>
      <c r="AR1004" s="2695">
        <f t="shared" ca="1" si="1465"/>
        <v>0</v>
      </c>
      <c r="AT1004" s="40">
        <f t="shared" ca="1" si="1466"/>
        <v>0</v>
      </c>
      <c r="AU1004" s="40">
        <f t="shared" ca="1" si="1467"/>
        <v>0</v>
      </c>
      <c r="AV1004" s="3057">
        <f t="shared" ca="1" si="1468"/>
        <v>0</v>
      </c>
      <c r="AW1004" s="2695">
        <f t="shared" ca="1" si="1469"/>
        <v>0</v>
      </c>
      <c r="AX1004" s="40">
        <f t="shared" ca="1" si="1470"/>
        <v>52</v>
      </c>
      <c r="AY1004" s="3057">
        <f t="shared" ca="1" si="1471"/>
        <v>-52</v>
      </c>
      <c r="AZ1004" s="2695">
        <f t="shared" ca="1" si="1472"/>
        <v>0</v>
      </c>
      <c r="BB1004" s="40">
        <f t="shared" ca="1" si="1473"/>
        <v>0</v>
      </c>
      <c r="BC1004" s="40">
        <f t="shared" ca="1" si="1474"/>
        <v>0</v>
      </c>
      <c r="BD1004" s="3057">
        <f t="shared" ca="1" si="1475"/>
        <v>0</v>
      </c>
      <c r="BE1004" s="2695">
        <f t="shared" ca="1" si="1476"/>
        <v>0</v>
      </c>
      <c r="BF1004" s="40">
        <f t="shared" ca="1" si="1477"/>
        <v>52</v>
      </c>
      <c r="BG1004" s="3057">
        <f t="shared" ca="1" si="1478"/>
        <v>-52</v>
      </c>
      <c r="BH1004" s="2695">
        <f t="shared" ca="1" si="1479"/>
        <v>0</v>
      </c>
    </row>
    <row r="1005" spans="1:60" s="34" customFormat="1" ht="14.5">
      <c r="A1005" s="616">
        <f t="shared" si="1428"/>
        <v>918</v>
      </c>
      <c r="B1005" s="616">
        <v>1</v>
      </c>
      <c r="C1005" s="616">
        <f t="shared" si="1429"/>
        <v>1002</v>
      </c>
      <c r="E1005" s="2547">
        <v>1</v>
      </c>
      <c r="F1005" s="4"/>
      <c r="G1005" s="4"/>
      <c r="H1005" s="4"/>
      <c r="I1005" s="256"/>
      <c r="J1005" s="2"/>
      <c r="K1005" s="1"/>
      <c r="L1005" s="2"/>
      <c r="M1005" s="2"/>
      <c r="N1005" s="39"/>
      <c r="O1005" s="39" t="s">
        <v>40</v>
      </c>
      <c r="P1005" s="1"/>
      <c r="Q1005" s="1778" t="str">
        <f>CHOOSE(2, "6722000003924", "HC MS FE/TTOC Sales Total Administration/Others")</f>
        <v>HC MS FE/TTOC Sales Total Administration/Others</v>
      </c>
      <c r="R1005" s="1211">
        <v>0</v>
      </c>
      <c r="S1005" s="1211">
        <v>0</v>
      </c>
      <c r="T1005" s="1211">
        <v>0</v>
      </c>
      <c r="U1005" s="1211">
        <v>0</v>
      </c>
      <c r="V1005" s="1211">
        <v>0</v>
      </c>
      <c r="W1005" s="1211">
        <v>0</v>
      </c>
      <c r="X1005" s="1211">
        <v>0</v>
      </c>
      <c r="Y1005" s="1211">
        <v>0</v>
      </c>
      <c r="Z1005" s="1211">
        <v>0</v>
      </c>
      <c r="AA1005" s="1211">
        <v>0</v>
      </c>
      <c r="AB1005" s="1211">
        <v>0</v>
      </c>
      <c r="AC1005" s="1211">
        <v>0</v>
      </c>
      <c r="AD1005" s="912">
        <f>T1005</f>
        <v>0</v>
      </c>
      <c r="AE1005" s="38">
        <f>W1005</f>
        <v>0</v>
      </c>
      <c r="AF1005" s="38">
        <f>Z1005</f>
        <v>0</v>
      </c>
      <c r="AG1005" s="38">
        <f>AC1005</f>
        <v>0</v>
      </c>
      <c r="AH1005" s="38">
        <f>AE1005</f>
        <v>0</v>
      </c>
      <c r="AI1005" s="38">
        <f>AG1005</f>
        <v>0</v>
      </c>
      <c r="AJ1005" s="38">
        <f>AI1005</f>
        <v>0</v>
      </c>
      <c r="AL1005" s="38">
        <f t="shared" ca="1" si="1459"/>
        <v>0</v>
      </c>
      <c r="AM1005" s="38">
        <f t="shared" ca="1" si="1460"/>
        <v>0</v>
      </c>
      <c r="AN1005" s="3303">
        <f t="shared" ca="1" si="1461"/>
        <v>0</v>
      </c>
      <c r="AO1005" s="2951">
        <f t="shared" ca="1" si="1462"/>
        <v>0</v>
      </c>
      <c r="AP1005" s="38">
        <f t="shared" ca="1" si="1463"/>
        <v>1</v>
      </c>
      <c r="AQ1005" s="3303">
        <f t="shared" ca="1" si="1464"/>
        <v>-1</v>
      </c>
      <c r="AR1005" s="2951">
        <f t="shared" ca="1" si="1465"/>
        <v>0</v>
      </c>
      <c r="AT1005" s="38">
        <f t="shared" ca="1" si="1466"/>
        <v>0</v>
      </c>
      <c r="AU1005" s="38">
        <f t="shared" ca="1" si="1467"/>
        <v>0</v>
      </c>
      <c r="AV1005" s="3303">
        <f t="shared" ca="1" si="1468"/>
        <v>0</v>
      </c>
      <c r="AW1005" s="2951">
        <f t="shared" ca="1" si="1469"/>
        <v>0</v>
      </c>
      <c r="AX1005" s="38">
        <f t="shared" ca="1" si="1470"/>
        <v>1</v>
      </c>
      <c r="AY1005" s="3303">
        <f t="shared" ca="1" si="1471"/>
        <v>-1</v>
      </c>
      <c r="AZ1005" s="2951">
        <f t="shared" ca="1" si="1472"/>
        <v>0</v>
      </c>
      <c r="BB1005" s="38">
        <f t="shared" ca="1" si="1473"/>
        <v>0</v>
      </c>
      <c r="BC1005" s="38">
        <f t="shared" ca="1" si="1474"/>
        <v>0</v>
      </c>
      <c r="BD1005" s="3303">
        <f t="shared" ca="1" si="1475"/>
        <v>0</v>
      </c>
      <c r="BE1005" s="2951">
        <f t="shared" ca="1" si="1476"/>
        <v>0</v>
      </c>
      <c r="BF1005" s="38">
        <f t="shared" ca="1" si="1477"/>
        <v>1</v>
      </c>
      <c r="BG1005" s="3303">
        <f t="shared" ca="1" si="1478"/>
        <v>-1</v>
      </c>
      <c r="BH1005" s="2951">
        <f t="shared" ca="1" si="1479"/>
        <v>0</v>
      </c>
    </row>
    <row r="1006" spans="1:60" s="34" customFormat="1" ht="14.5">
      <c r="A1006" s="616">
        <f t="shared" si="1428"/>
        <v>919</v>
      </c>
      <c r="B1006" s="616">
        <v>1</v>
      </c>
      <c r="C1006" s="616">
        <f t="shared" si="1429"/>
        <v>1003</v>
      </c>
      <c r="D1006" s="709" t="s">
        <v>1308</v>
      </c>
      <c r="E1006" s="2547">
        <v>1</v>
      </c>
      <c r="F1006" s="4"/>
      <c r="G1006" s="4"/>
      <c r="H1006" s="4"/>
      <c r="I1006" s="256"/>
      <c r="J1006" s="48" t="s">
        <v>1515</v>
      </c>
      <c r="K1006" s="47"/>
      <c r="L1006" s="48"/>
      <c r="M1006" s="48"/>
      <c r="N1006" s="47"/>
      <c r="O1006" s="47"/>
      <c r="P1006" s="47"/>
      <c r="Q1006" s="1786" t="str">
        <f>CHOOSE(2, "6722000003925", "HC MS FE/TTOC Service Total")</f>
        <v>HC MS FE/TTOC Service Total</v>
      </c>
      <c r="R1006" s="45">
        <f>SUM(R1007:R1011)</f>
        <v>0</v>
      </c>
      <c r="S1006" s="45">
        <f t="shared" ref="S1006:AJ1006" si="1481">SUM(S1007:S1011)</f>
        <v>0</v>
      </c>
      <c r="T1006" s="45">
        <f t="shared" si="1481"/>
        <v>0</v>
      </c>
      <c r="U1006" s="45">
        <f t="shared" si="1481"/>
        <v>0</v>
      </c>
      <c r="V1006" s="45">
        <f t="shared" si="1481"/>
        <v>0</v>
      </c>
      <c r="W1006" s="45">
        <f t="shared" si="1481"/>
        <v>0</v>
      </c>
      <c r="X1006" s="45">
        <f t="shared" si="1481"/>
        <v>0</v>
      </c>
      <c r="Y1006" s="45">
        <f t="shared" si="1481"/>
        <v>0</v>
      </c>
      <c r="Z1006" s="45">
        <f t="shared" si="1481"/>
        <v>0</v>
      </c>
      <c r="AA1006" s="45">
        <f t="shared" si="1481"/>
        <v>0</v>
      </c>
      <c r="AB1006" s="45">
        <f t="shared" si="1481"/>
        <v>0</v>
      </c>
      <c r="AC1006" s="45">
        <f t="shared" si="1481"/>
        <v>0</v>
      </c>
      <c r="AD1006" s="911">
        <f t="shared" si="1481"/>
        <v>0</v>
      </c>
      <c r="AE1006" s="45">
        <f t="shared" si="1481"/>
        <v>0</v>
      </c>
      <c r="AF1006" s="45">
        <f t="shared" si="1481"/>
        <v>0</v>
      </c>
      <c r="AG1006" s="45">
        <f t="shared" si="1481"/>
        <v>0</v>
      </c>
      <c r="AH1006" s="45">
        <f t="shared" si="1481"/>
        <v>0</v>
      </c>
      <c r="AI1006" s="45">
        <f t="shared" si="1481"/>
        <v>0</v>
      </c>
      <c r="AJ1006" s="45">
        <f t="shared" si="1481"/>
        <v>0</v>
      </c>
      <c r="AL1006" s="45">
        <f t="shared" ca="1" si="1459"/>
        <v>0</v>
      </c>
      <c r="AM1006" s="45">
        <f t="shared" ca="1" si="1460"/>
        <v>0</v>
      </c>
      <c r="AN1006" s="3302">
        <f t="shared" ca="1" si="1461"/>
        <v>0</v>
      </c>
      <c r="AO1006" s="2949">
        <f t="shared" ca="1" si="1462"/>
        <v>0</v>
      </c>
      <c r="AP1006" s="45">
        <f t="shared" ca="1" si="1463"/>
        <v>18</v>
      </c>
      <c r="AQ1006" s="3302">
        <f t="shared" ca="1" si="1464"/>
        <v>-18</v>
      </c>
      <c r="AR1006" s="2949">
        <f t="shared" ca="1" si="1465"/>
        <v>0</v>
      </c>
      <c r="AT1006" s="45">
        <f t="shared" ca="1" si="1466"/>
        <v>0</v>
      </c>
      <c r="AU1006" s="45">
        <f t="shared" ca="1" si="1467"/>
        <v>0</v>
      </c>
      <c r="AV1006" s="3302">
        <f t="shared" ca="1" si="1468"/>
        <v>0</v>
      </c>
      <c r="AW1006" s="2949">
        <f t="shared" ca="1" si="1469"/>
        <v>0</v>
      </c>
      <c r="AX1006" s="45">
        <f t="shared" ca="1" si="1470"/>
        <v>18</v>
      </c>
      <c r="AY1006" s="3302">
        <f t="shared" ca="1" si="1471"/>
        <v>-18</v>
      </c>
      <c r="AZ1006" s="2949">
        <f t="shared" ca="1" si="1472"/>
        <v>0</v>
      </c>
      <c r="BB1006" s="45">
        <f t="shared" ca="1" si="1473"/>
        <v>0</v>
      </c>
      <c r="BC1006" s="45">
        <f t="shared" ca="1" si="1474"/>
        <v>0</v>
      </c>
      <c r="BD1006" s="3302">
        <f t="shared" ca="1" si="1475"/>
        <v>0</v>
      </c>
      <c r="BE1006" s="2949">
        <f t="shared" ca="1" si="1476"/>
        <v>0</v>
      </c>
      <c r="BF1006" s="45">
        <f t="shared" ca="1" si="1477"/>
        <v>18</v>
      </c>
      <c r="BG1006" s="3302">
        <f t="shared" ca="1" si="1478"/>
        <v>-18</v>
      </c>
      <c r="BH1006" s="2949">
        <f t="shared" ca="1" si="1479"/>
        <v>0</v>
      </c>
    </row>
    <row r="1007" spans="1:60" s="34" customFormat="1" ht="14.5">
      <c r="A1007" s="616">
        <f t="shared" si="1428"/>
        <v>920</v>
      </c>
      <c r="B1007" s="616">
        <v>1</v>
      </c>
      <c r="C1007" s="616">
        <f t="shared" si="1429"/>
        <v>1004</v>
      </c>
      <c r="E1007" s="2547">
        <v>1</v>
      </c>
      <c r="F1007" s="4"/>
      <c r="G1007" s="4"/>
      <c r="H1007" s="4"/>
      <c r="I1007" s="256"/>
      <c r="J1007" s="4"/>
      <c r="K1007" s="3"/>
      <c r="L1007" s="4"/>
      <c r="M1007" s="4"/>
      <c r="N1007" s="41"/>
      <c r="O1007" s="41" t="s">
        <v>15</v>
      </c>
      <c r="P1007" s="3"/>
      <c r="Q1007" s="1778" t="str">
        <f>CHOOSE(2, "6722000003926", "HC MS FE/TTOC Service Total Onsite Engineer")</f>
        <v>HC MS FE/TTOC Service Total Onsite Engineer</v>
      </c>
      <c r="R1007" s="1212">
        <v>0</v>
      </c>
      <c r="S1007" s="1212">
        <v>0</v>
      </c>
      <c r="T1007" s="1212">
        <v>0</v>
      </c>
      <c r="U1007" s="1212">
        <v>0</v>
      </c>
      <c r="V1007" s="1212">
        <v>0</v>
      </c>
      <c r="W1007" s="1212">
        <v>0</v>
      </c>
      <c r="X1007" s="1212">
        <v>0</v>
      </c>
      <c r="Y1007" s="1212">
        <v>0</v>
      </c>
      <c r="Z1007" s="1212">
        <v>0</v>
      </c>
      <c r="AA1007" s="1212">
        <v>0</v>
      </c>
      <c r="AB1007" s="1212">
        <v>0</v>
      </c>
      <c r="AC1007" s="1212">
        <v>0</v>
      </c>
      <c r="AD1007" s="877">
        <f>T1007</f>
        <v>0</v>
      </c>
      <c r="AE1007" s="40">
        <f>W1007</f>
        <v>0</v>
      </c>
      <c r="AF1007" s="40">
        <f>Z1007</f>
        <v>0</v>
      </c>
      <c r="AG1007" s="40">
        <f>AC1007</f>
        <v>0</v>
      </c>
      <c r="AH1007" s="40">
        <f>AE1007</f>
        <v>0</v>
      </c>
      <c r="AI1007" s="40">
        <f>AG1007</f>
        <v>0</v>
      </c>
      <c r="AJ1007" s="40">
        <f>AI1007</f>
        <v>0</v>
      </c>
      <c r="AL1007" s="40">
        <f t="shared" ca="1" si="1459"/>
        <v>0</v>
      </c>
      <c r="AM1007" s="40">
        <f t="shared" ca="1" si="1460"/>
        <v>0</v>
      </c>
      <c r="AN1007" s="3057">
        <f t="shared" ca="1" si="1461"/>
        <v>0</v>
      </c>
      <c r="AO1007" s="2695">
        <f t="shared" ca="1" si="1462"/>
        <v>0</v>
      </c>
      <c r="AP1007" s="40">
        <f t="shared" ca="1" si="1463"/>
        <v>0</v>
      </c>
      <c r="AQ1007" s="3057">
        <f t="shared" ca="1" si="1464"/>
        <v>0</v>
      </c>
      <c r="AR1007" s="2695">
        <f t="shared" ca="1" si="1465"/>
        <v>0</v>
      </c>
      <c r="AT1007" s="40">
        <f t="shared" ca="1" si="1466"/>
        <v>0</v>
      </c>
      <c r="AU1007" s="40">
        <f t="shared" ca="1" si="1467"/>
        <v>0</v>
      </c>
      <c r="AV1007" s="3057">
        <f t="shared" ca="1" si="1468"/>
        <v>0</v>
      </c>
      <c r="AW1007" s="2695">
        <f t="shared" ca="1" si="1469"/>
        <v>0</v>
      </c>
      <c r="AX1007" s="40">
        <f t="shared" ca="1" si="1470"/>
        <v>0</v>
      </c>
      <c r="AY1007" s="3057">
        <f t="shared" ca="1" si="1471"/>
        <v>0</v>
      </c>
      <c r="AZ1007" s="2695">
        <f t="shared" ca="1" si="1472"/>
        <v>0</v>
      </c>
      <c r="BB1007" s="40">
        <f t="shared" ca="1" si="1473"/>
        <v>0</v>
      </c>
      <c r="BC1007" s="40">
        <f t="shared" ca="1" si="1474"/>
        <v>0</v>
      </c>
      <c r="BD1007" s="3057">
        <f t="shared" ca="1" si="1475"/>
        <v>0</v>
      </c>
      <c r="BE1007" s="2695">
        <f t="shared" ca="1" si="1476"/>
        <v>0</v>
      </c>
      <c r="BF1007" s="40">
        <f t="shared" ca="1" si="1477"/>
        <v>0</v>
      </c>
      <c r="BG1007" s="3057">
        <f t="shared" ca="1" si="1478"/>
        <v>0</v>
      </c>
      <c r="BH1007" s="2695">
        <f t="shared" ca="1" si="1479"/>
        <v>0</v>
      </c>
    </row>
    <row r="1008" spans="1:60" s="34" customFormat="1" ht="14.5">
      <c r="A1008" s="616">
        <f t="shared" si="1428"/>
        <v>921</v>
      </c>
      <c r="B1008" s="616">
        <v>1</v>
      </c>
      <c r="C1008" s="616">
        <f t="shared" si="1429"/>
        <v>1005</v>
      </c>
      <c r="E1008" s="2547">
        <v>1</v>
      </c>
      <c r="F1008" s="4"/>
      <c r="G1008" s="4"/>
      <c r="H1008" s="4"/>
      <c r="I1008" s="256"/>
      <c r="J1008" s="4"/>
      <c r="K1008" s="3"/>
      <c r="L1008" s="4"/>
      <c r="M1008" s="4"/>
      <c r="N1008" s="41"/>
      <c r="O1008" s="41" t="s">
        <v>16</v>
      </c>
      <c r="P1008" s="3"/>
      <c r="Q1008" s="1778" t="str">
        <f>CHOOSE(2, "6722000003927", "HC MS FE/TTOC Service Total Remote Engineer")</f>
        <v>HC MS FE/TTOC Service Total Remote Engineer</v>
      </c>
      <c r="R1008" s="1212">
        <v>0</v>
      </c>
      <c r="S1008" s="1212">
        <v>0</v>
      </c>
      <c r="T1008" s="1212">
        <v>0</v>
      </c>
      <c r="U1008" s="1212">
        <v>0</v>
      </c>
      <c r="V1008" s="1212">
        <v>0</v>
      </c>
      <c r="W1008" s="1212">
        <v>0</v>
      </c>
      <c r="X1008" s="1212">
        <v>0</v>
      </c>
      <c r="Y1008" s="1212">
        <v>0</v>
      </c>
      <c r="Z1008" s="1212">
        <v>0</v>
      </c>
      <c r="AA1008" s="1212">
        <v>0</v>
      </c>
      <c r="AB1008" s="1212">
        <v>0</v>
      </c>
      <c r="AC1008" s="1212">
        <v>0</v>
      </c>
      <c r="AD1008" s="877">
        <f>T1008</f>
        <v>0</v>
      </c>
      <c r="AE1008" s="40">
        <f>W1008</f>
        <v>0</v>
      </c>
      <c r="AF1008" s="40">
        <f>Z1008</f>
        <v>0</v>
      </c>
      <c r="AG1008" s="40">
        <f>AC1008</f>
        <v>0</v>
      </c>
      <c r="AH1008" s="40">
        <f>AE1008</f>
        <v>0</v>
      </c>
      <c r="AI1008" s="40">
        <f>AG1008</f>
        <v>0</v>
      </c>
      <c r="AJ1008" s="40">
        <f>AI1008</f>
        <v>0</v>
      </c>
      <c r="AL1008" s="40">
        <f t="shared" ca="1" si="1459"/>
        <v>0</v>
      </c>
      <c r="AM1008" s="40">
        <f t="shared" ca="1" si="1460"/>
        <v>0</v>
      </c>
      <c r="AN1008" s="3057">
        <f t="shared" ca="1" si="1461"/>
        <v>0</v>
      </c>
      <c r="AO1008" s="2695">
        <f t="shared" ca="1" si="1462"/>
        <v>0</v>
      </c>
      <c r="AP1008" s="40">
        <f t="shared" ca="1" si="1463"/>
        <v>20</v>
      </c>
      <c r="AQ1008" s="3057">
        <f t="shared" ca="1" si="1464"/>
        <v>-20</v>
      </c>
      <c r="AR1008" s="2695">
        <f t="shared" ca="1" si="1465"/>
        <v>0</v>
      </c>
      <c r="AT1008" s="40">
        <f t="shared" ca="1" si="1466"/>
        <v>0</v>
      </c>
      <c r="AU1008" s="40">
        <f t="shared" ca="1" si="1467"/>
        <v>0</v>
      </c>
      <c r="AV1008" s="3057">
        <f t="shared" ca="1" si="1468"/>
        <v>0</v>
      </c>
      <c r="AW1008" s="2695">
        <f t="shared" ca="1" si="1469"/>
        <v>0</v>
      </c>
      <c r="AX1008" s="40">
        <f t="shared" ca="1" si="1470"/>
        <v>20</v>
      </c>
      <c r="AY1008" s="3057">
        <f t="shared" ca="1" si="1471"/>
        <v>-20</v>
      </c>
      <c r="AZ1008" s="2695">
        <f t="shared" ca="1" si="1472"/>
        <v>0</v>
      </c>
      <c r="BB1008" s="40">
        <f t="shared" ca="1" si="1473"/>
        <v>0</v>
      </c>
      <c r="BC1008" s="40">
        <f t="shared" ca="1" si="1474"/>
        <v>0</v>
      </c>
      <c r="BD1008" s="3057">
        <f t="shared" ca="1" si="1475"/>
        <v>0</v>
      </c>
      <c r="BE1008" s="2695">
        <f t="shared" ca="1" si="1476"/>
        <v>0</v>
      </c>
      <c r="BF1008" s="40">
        <f t="shared" ca="1" si="1477"/>
        <v>20</v>
      </c>
      <c r="BG1008" s="3057">
        <f t="shared" ca="1" si="1478"/>
        <v>-20</v>
      </c>
      <c r="BH1008" s="2695">
        <f t="shared" ca="1" si="1479"/>
        <v>0</v>
      </c>
    </row>
    <row r="1009" spans="1:60" s="34" customFormat="1" ht="14.5">
      <c r="A1009" s="616">
        <f t="shared" si="1428"/>
        <v>922</v>
      </c>
      <c r="B1009" s="616">
        <v>1</v>
      </c>
      <c r="C1009" s="616">
        <f t="shared" si="1429"/>
        <v>1006</v>
      </c>
      <c r="E1009" s="2547">
        <v>1</v>
      </c>
      <c r="F1009" s="4"/>
      <c r="G1009" s="4"/>
      <c r="H1009" s="4"/>
      <c r="I1009" s="256"/>
      <c r="J1009" s="4"/>
      <c r="K1009" s="3"/>
      <c r="L1009" s="4"/>
      <c r="M1009" s="4"/>
      <c r="N1009" s="41"/>
      <c r="O1009" s="41" t="s">
        <v>42</v>
      </c>
      <c r="P1009" s="3"/>
      <c r="Q1009" s="1778" t="str">
        <f>CHOOSE(2, "6722000003928", "HC MS FE/TTOC Service Total Technical support")</f>
        <v>HC MS FE/TTOC Service Total Technical support</v>
      </c>
      <c r="R1009" s="1212">
        <v>0</v>
      </c>
      <c r="S1009" s="1212">
        <v>0</v>
      </c>
      <c r="T1009" s="1212">
        <v>0</v>
      </c>
      <c r="U1009" s="1212">
        <v>0</v>
      </c>
      <c r="V1009" s="1212">
        <v>0</v>
      </c>
      <c r="W1009" s="1212">
        <v>0</v>
      </c>
      <c r="X1009" s="1212">
        <v>0</v>
      </c>
      <c r="Y1009" s="1212">
        <v>0</v>
      </c>
      <c r="Z1009" s="1212">
        <v>0</v>
      </c>
      <c r="AA1009" s="1212">
        <v>0</v>
      </c>
      <c r="AB1009" s="1212">
        <v>0</v>
      </c>
      <c r="AC1009" s="1212">
        <v>0</v>
      </c>
      <c r="AD1009" s="877">
        <f>T1009</f>
        <v>0</v>
      </c>
      <c r="AE1009" s="40">
        <f>W1009</f>
        <v>0</v>
      </c>
      <c r="AF1009" s="40">
        <f>Z1009</f>
        <v>0</v>
      </c>
      <c r="AG1009" s="40">
        <f>AC1009</f>
        <v>0</v>
      </c>
      <c r="AH1009" s="40">
        <f>AE1009</f>
        <v>0</v>
      </c>
      <c r="AI1009" s="40">
        <f>AG1009</f>
        <v>0</v>
      </c>
      <c r="AJ1009" s="40">
        <f>AI1009</f>
        <v>0</v>
      </c>
      <c r="AL1009" s="40">
        <f t="shared" ca="1" si="1459"/>
        <v>0</v>
      </c>
      <c r="AM1009" s="40">
        <f t="shared" ca="1" si="1460"/>
        <v>0</v>
      </c>
      <c r="AN1009" s="3057">
        <f t="shared" ca="1" si="1461"/>
        <v>0</v>
      </c>
      <c r="AO1009" s="2695">
        <f t="shared" ca="1" si="1462"/>
        <v>0</v>
      </c>
      <c r="AP1009" s="40">
        <f t="shared" ca="1" si="1463"/>
        <v>4</v>
      </c>
      <c r="AQ1009" s="3057">
        <f t="shared" ca="1" si="1464"/>
        <v>-4</v>
      </c>
      <c r="AR1009" s="2695">
        <f t="shared" ca="1" si="1465"/>
        <v>0</v>
      </c>
      <c r="AT1009" s="40">
        <f t="shared" ca="1" si="1466"/>
        <v>0</v>
      </c>
      <c r="AU1009" s="40">
        <f t="shared" ca="1" si="1467"/>
        <v>0</v>
      </c>
      <c r="AV1009" s="3057">
        <f t="shared" ca="1" si="1468"/>
        <v>0</v>
      </c>
      <c r="AW1009" s="2695">
        <f t="shared" ca="1" si="1469"/>
        <v>0</v>
      </c>
      <c r="AX1009" s="40">
        <f t="shared" ca="1" si="1470"/>
        <v>4</v>
      </c>
      <c r="AY1009" s="3057">
        <f t="shared" ca="1" si="1471"/>
        <v>-4</v>
      </c>
      <c r="AZ1009" s="2695">
        <f t="shared" ca="1" si="1472"/>
        <v>0</v>
      </c>
      <c r="BB1009" s="40">
        <f t="shared" ca="1" si="1473"/>
        <v>0</v>
      </c>
      <c r="BC1009" s="40">
        <f t="shared" ca="1" si="1474"/>
        <v>0</v>
      </c>
      <c r="BD1009" s="3057">
        <f t="shared" ca="1" si="1475"/>
        <v>0</v>
      </c>
      <c r="BE1009" s="2695">
        <f t="shared" ca="1" si="1476"/>
        <v>0</v>
      </c>
      <c r="BF1009" s="40">
        <f t="shared" ca="1" si="1477"/>
        <v>4</v>
      </c>
      <c r="BG1009" s="3057">
        <f t="shared" ca="1" si="1478"/>
        <v>-4</v>
      </c>
      <c r="BH1009" s="2695">
        <f t="shared" ca="1" si="1479"/>
        <v>0</v>
      </c>
    </row>
    <row r="1010" spans="1:60" s="34" customFormat="1" ht="14.5">
      <c r="A1010" s="616">
        <f t="shared" si="1428"/>
        <v>923</v>
      </c>
      <c r="B1010" s="616">
        <v>1</v>
      </c>
      <c r="C1010" s="616">
        <f t="shared" si="1429"/>
        <v>1007</v>
      </c>
      <c r="E1010" s="2547">
        <v>1</v>
      </c>
      <c r="F1010" s="4"/>
      <c r="G1010" s="4"/>
      <c r="H1010" s="4"/>
      <c r="I1010" s="256"/>
      <c r="J1010" s="4"/>
      <c r="K1010" s="3"/>
      <c r="L1010" s="4"/>
      <c r="M1010" s="4"/>
      <c r="N1010" s="41"/>
      <c r="O1010" s="41" t="s">
        <v>41</v>
      </c>
      <c r="P1010" s="3"/>
      <c r="Q1010" s="1778" t="str">
        <f>CHOOSE(2, "6722000003929", "HC MS FE/TTOC Service Total Dealer(Indirect) support")</f>
        <v>HC MS FE/TTOC Service Total Dealer(Indirect) support</v>
      </c>
      <c r="R1010" s="1212">
        <v>0</v>
      </c>
      <c r="S1010" s="1212">
        <v>0</v>
      </c>
      <c r="T1010" s="1212">
        <v>0</v>
      </c>
      <c r="U1010" s="1212">
        <v>0</v>
      </c>
      <c r="V1010" s="1212">
        <v>0</v>
      </c>
      <c r="W1010" s="1212">
        <v>0</v>
      </c>
      <c r="X1010" s="1212">
        <v>0</v>
      </c>
      <c r="Y1010" s="1212">
        <v>0</v>
      </c>
      <c r="Z1010" s="1212">
        <v>0</v>
      </c>
      <c r="AA1010" s="1212">
        <v>0</v>
      </c>
      <c r="AB1010" s="1212">
        <v>0</v>
      </c>
      <c r="AC1010" s="1212">
        <v>0</v>
      </c>
      <c r="AD1010" s="877">
        <f>T1010</f>
        <v>0</v>
      </c>
      <c r="AE1010" s="40">
        <f>W1010</f>
        <v>0</v>
      </c>
      <c r="AF1010" s="40">
        <f>Z1010</f>
        <v>0</v>
      </c>
      <c r="AG1010" s="40">
        <f>AC1010</f>
        <v>0</v>
      </c>
      <c r="AH1010" s="40">
        <f>AE1010</f>
        <v>0</v>
      </c>
      <c r="AI1010" s="40">
        <f>AG1010</f>
        <v>0</v>
      </c>
      <c r="AJ1010" s="40">
        <f>AI1010</f>
        <v>0</v>
      </c>
      <c r="AL1010" s="40">
        <f t="shared" ca="1" si="1459"/>
        <v>0</v>
      </c>
      <c r="AM1010" s="40">
        <f t="shared" ca="1" si="1460"/>
        <v>0</v>
      </c>
      <c r="AN1010" s="3057">
        <f t="shared" ca="1" si="1461"/>
        <v>0</v>
      </c>
      <c r="AO1010" s="2695">
        <f t="shared" ca="1" si="1462"/>
        <v>0</v>
      </c>
      <c r="AP1010" s="40">
        <f t="shared" ca="1" si="1463"/>
        <v>0</v>
      </c>
      <c r="AQ1010" s="3057">
        <f t="shared" ca="1" si="1464"/>
        <v>0</v>
      </c>
      <c r="AR1010" s="2695">
        <f t="shared" ca="1" si="1465"/>
        <v>0</v>
      </c>
      <c r="AT1010" s="40">
        <f t="shared" ca="1" si="1466"/>
        <v>0</v>
      </c>
      <c r="AU1010" s="40">
        <f t="shared" ca="1" si="1467"/>
        <v>0</v>
      </c>
      <c r="AV1010" s="3057">
        <f t="shared" ca="1" si="1468"/>
        <v>0</v>
      </c>
      <c r="AW1010" s="2695">
        <f t="shared" ca="1" si="1469"/>
        <v>0</v>
      </c>
      <c r="AX1010" s="40">
        <f t="shared" ca="1" si="1470"/>
        <v>0</v>
      </c>
      <c r="AY1010" s="3057">
        <f t="shared" ca="1" si="1471"/>
        <v>0</v>
      </c>
      <c r="AZ1010" s="2695">
        <f t="shared" ca="1" si="1472"/>
        <v>0</v>
      </c>
      <c r="BB1010" s="40">
        <f t="shared" ca="1" si="1473"/>
        <v>0</v>
      </c>
      <c r="BC1010" s="40">
        <f t="shared" ca="1" si="1474"/>
        <v>0</v>
      </c>
      <c r="BD1010" s="3057">
        <f t="shared" ca="1" si="1475"/>
        <v>0</v>
      </c>
      <c r="BE1010" s="2695">
        <f t="shared" ca="1" si="1476"/>
        <v>0</v>
      </c>
      <c r="BF1010" s="40">
        <f t="shared" ca="1" si="1477"/>
        <v>0</v>
      </c>
      <c r="BG1010" s="3057">
        <f t="shared" ca="1" si="1478"/>
        <v>0</v>
      </c>
      <c r="BH1010" s="2695">
        <f t="shared" ca="1" si="1479"/>
        <v>0</v>
      </c>
    </row>
    <row r="1011" spans="1:60" s="34" customFormat="1" ht="14.5">
      <c r="A1011" s="616">
        <f t="shared" si="1428"/>
        <v>924</v>
      </c>
      <c r="B1011" s="616">
        <v>1</v>
      </c>
      <c r="C1011" s="616">
        <f t="shared" si="1429"/>
        <v>1008</v>
      </c>
      <c r="E1011" s="2547">
        <v>1</v>
      </c>
      <c r="F1011" s="4"/>
      <c r="G1011" s="4"/>
      <c r="H1011" s="4"/>
      <c r="I1011" s="256"/>
      <c r="J1011" s="4"/>
      <c r="K1011" s="3"/>
      <c r="L1011" s="4"/>
      <c r="M1011" s="4"/>
      <c r="N1011" s="41"/>
      <c r="O1011" s="41" t="s">
        <v>40</v>
      </c>
      <c r="P1011" s="3"/>
      <c r="Q1011" s="1778" t="str">
        <f>CHOOSE(2, "6722000003930", "HC MS FE/TTOC Service Total Administration/Others")</f>
        <v>HC MS FE/TTOC Service Total Administration/Others</v>
      </c>
      <c r="R1011" s="1212">
        <v>0</v>
      </c>
      <c r="S1011" s="1212">
        <v>0</v>
      </c>
      <c r="T1011" s="1212">
        <v>0</v>
      </c>
      <c r="U1011" s="1212">
        <v>0</v>
      </c>
      <c r="V1011" s="1212">
        <v>0</v>
      </c>
      <c r="W1011" s="1212">
        <v>0</v>
      </c>
      <c r="X1011" s="1212">
        <v>0</v>
      </c>
      <c r="Y1011" s="1212">
        <v>0</v>
      </c>
      <c r="Z1011" s="1212">
        <v>0</v>
      </c>
      <c r="AA1011" s="1212">
        <v>0</v>
      </c>
      <c r="AB1011" s="1212">
        <v>0</v>
      </c>
      <c r="AC1011" s="1212">
        <v>0</v>
      </c>
      <c r="AD1011" s="877">
        <f>T1011</f>
        <v>0</v>
      </c>
      <c r="AE1011" s="40">
        <f>W1011</f>
        <v>0</v>
      </c>
      <c r="AF1011" s="40">
        <f>Z1011</f>
        <v>0</v>
      </c>
      <c r="AG1011" s="40">
        <f>AC1011</f>
        <v>0</v>
      </c>
      <c r="AH1011" s="40">
        <f>AE1011</f>
        <v>0</v>
      </c>
      <c r="AI1011" s="40">
        <f>AG1011</f>
        <v>0</v>
      </c>
      <c r="AJ1011" s="40">
        <f>AI1011</f>
        <v>0</v>
      </c>
      <c r="AL1011" s="40">
        <f t="shared" ca="1" si="1459"/>
        <v>0</v>
      </c>
      <c r="AM1011" s="40">
        <f t="shared" ca="1" si="1460"/>
        <v>0</v>
      </c>
      <c r="AN1011" s="3057">
        <f t="shared" ca="1" si="1461"/>
        <v>0</v>
      </c>
      <c r="AO1011" s="2695">
        <f t="shared" ca="1" si="1462"/>
        <v>0</v>
      </c>
      <c r="AP1011" s="40">
        <f t="shared" ca="1" si="1463"/>
        <v>0</v>
      </c>
      <c r="AQ1011" s="3057">
        <f t="shared" ca="1" si="1464"/>
        <v>0</v>
      </c>
      <c r="AR1011" s="2695">
        <f t="shared" ca="1" si="1465"/>
        <v>0</v>
      </c>
      <c r="AT1011" s="40">
        <f t="shared" ca="1" si="1466"/>
        <v>0</v>
      </c>
      <c r="AU1011" s="40">
        <f t="shared" ca="1" si="1467"/>
        <v>0</v>
      </c>
      <c r="AV1011" s="3057">
        <f t="shared" ca="1" si="1468"/>
        <v>0</v>
      </c>
      <c r="AW1011" s="2695">
        <f t="shared" ca="1" si="1469"/>
        <v>0</v>
      </c>
      <c r="AX1011" s="40">
        <f t="shared" ca="1" si="1470"/>
        <v>0</v>
      </c>
      <c r="AY1011" s="3057">
        <f t="shared" ca="1" si="1471"/>
        <v>0</v>
      </c>
      <c r="AZ1011" s="2695">
        <f t="shared" ca="1" si="1472"/>
        <v>0</v>
      </c>
      <c r="BB1011" s="40">
        <f t="shared" ca="1" si="1473"/>
        <v>0</v>
      </c>
      <c r="BC1011" s="40">
        <f t="shared" ca="1" si="1474"/>
        <v>0</v>
      </c>
      <c r="BD1011" s="3057">
        <f t="shared" ca="1" si="1475"/>
        <v>0</v>
      </c>
      <c r="BE1011" s="2695">
        <f t="shared" ca="1" si="1476"/>
        <v>0</v>
      </c>
      <c r="BF1011" s="40">
        <f t="shared" ca="1" si="1477"/>
        <v>0</v>
      </c>
      <c r="BG1011" s="3057">
        <f t="shared" ca="1" si="1478"/>
        <v>0</v>
      </c>
      <c r="BH1011" s="2695">
        <f t="shared" ca="1" si="1479"/>
        <v>0</v>
      </c>
    </row>
    <row r="1012" spans="1:60" s="34" customFormat="1" ht="14.5">
      <c r="A1012" s="616">
        <f t="shared" si="1428"/>
        <v>925</v>
      </c>
      <c r="B1012" s="616">
        <v>1</v>
      </c>
      <c r="C1012" s="616">
        <f t="shared" si="1429"/>
        <v>1009</v>
      </c>
      <c r="D1012" s="709" t="s">
        <v>1308</v>
      </c>
      <c r="E1012" s="2547">
        <v>1</v>
      </c>
      <c r="F1012" s="4"/>
      <c r="G1012" s="4"/>
      <c r="H1012" s="4"/>
      <c r="I1012" s="256"/>
      <c r="J1012" s="252" t="s">
        <v>1516</v>
      </c>
      <c r="K1012" s="251"/>
      <c r="L1012" s="252"/>
      <c r="M1012" s="252"/>
      <c r="N1012" s="251"/>
      <c r="O1012" s="251"/>
      <c r="P1012" s="251"/>
      <c r="Q1012" s="1786" t="str">
        <f>CHOOSE(2, "6722000003931", "HC MS FE/TTOC Marketing Total")</f>
        <v>HC MS FE/TTOC Marketing Total</v>
      </c>
      <c r="R1012" s="3102">
        <f>SUM(R1013:R1016)</f>
        <v>0</v>
      </c>
      <c r="S1012" s="3102">
        <f t="shared" ref="S1012:AJ1012" si="1482">SUM(S1013:S1016)</f>
        <v>0</v>
      </c>
      <c r="T1012" s="3102">
        <f t="shared" si="1482"/>
        <v>0</v>
      </c>
      <c r="U1012" s="3102">
        <f t="shared" si="1482"/>
        <v>0</v>
      </c>
      <c r="V1012" s="3102">
        <f t="shared" si="1482"/>
        <v>0</v>
      </c>
      <c r="W1012" s="3102">
        <f t="shared" si="1482"/>
        <v>0</v>
      </c>
      <c r="X1012" s="3102">
        <f t="shared" si="1482"/>
        <v>0</v>
      </c>
      <c r="Y1012" s="3102">
        <f t="shared" si="1482"/>
        <v>0</v>
      </c>
      <c r="Z1012" s="3102">
        <f t="shared" si="1482"/>
        <v>0</v>
      </c>
      <c r="AA1012" s="3102">
        <f t="shared" si="1482"/>
        <v>0</v>
      </c>
      <c r="AB1012" s="3102">
        <f t="shared" si="1482"/>
        <v>0</v>
      </c>
      <c r="AC1012" s="3102">
        <f t="shared" si="1482"/>
        <v>0</v>
      </c>
      <c r="AD1012" s="745">
        <f t="shared" si="1482"/>
        <v>0</v>
      </c>
      <c r="AE1012" s="3102">
        <f t="shared" si="1482"/>
        <v>0</v>
      </c>
      <c r="AF1012" s="3102">
        <f t="shared" si="1482"/>
        <v>0</v>
      </c>
      <c r="AG1012" s="3102">
        <f t="shared" si="1482"/>
        <v>0</v>
      </c>
      <c r="AH1012" s="3102">
        <f t="shared" si="1482"/>
        <v>0</v>
      </c>
      <c r="AI1012" s="3102">
        <f t="shared" si="1482"/>
        <v>0</v>
      </c>
      <c r="AJ1012" s="3102">
        <f t="shared" si="1482"/>
        <v>0</v>
      </c>
      <c r="AL1012" s="3102">
        <f t="shared" ca="1" si="1459"/>
        <v>0</v>
      </c>
      <c r="AM1012" s="3102">
        <f t="shared" ca="1" si="1460"/>
        <v>0</v>
      </c>
      <c r="AN1012" s="3304">
        <f t="shared" ca="1" si="1461"/>
        <v>0</v>
      </c>
      <c r="AO1012" s="2953">
        <f t="shared" ca="1" si="1462"/>
        <v>0</v>
      </c>
      <c r="AP1012" s="3102">
        <f t="shared" ca="1" si="1463"/>
        <v>4</v>
      </c>
      <c r="AQ1012" s="3304">
        <f t="shared" ca="1" si="1464"/>
        <v>-4</v>
      </c>
      <c r="AR1012" s="2953">
        <f t="shared" ca="1" si="1465"/>
        <v>0</v>
      </c>
      <c r="AT1012" s="3102">
        <f t="shared" ca="1" si="1466"/>
        <v>0</v>
      </c>
      <c r="AU1012" s="3102">
        <f t="shared" ca="1" si="1467"/>
        <v>0</v>
      </c>
      <c r="AV1012" s="3304">
        <f t="shared" ca="1" si="1468"/>
        <v>0</v>
      </c>
      <c r="AW1012" s="2953">
        <f t="shared" ca="1" si="1469"/>
        <v>0</v>
      </c>
      <c r="AX1012" s="3102">
        <f t="shared" ca="1" si="1470"/>
        <v>4</v>
      </c>
      <c r="AY1012" s="3304">
        <f t="shared" ca="1" si="1471"/>
        <v>-4</v>
      </c>
      <c r="AZ1012" s="2953">
        <f t="shared" ca="1" si="1472"/>
        <v>0</v>
      </c>
      <c r="BB1012" s="3102">
        <f t="shared" ca="1" si="1473"/>
        <v>0</v>
      </c>
      <c r="BC1012" s="3102">
        <f t="shared" ca="1" si="1474"/>
        <v>0</v>
      </c>
      <c r="BD1012" s="3304">
        <f t="shared" ca="1" si="1475"/>
        <v>0</v>
      </c>
      <c r="BE1012" s="2953">
        <f t="shared" ca="1" si="1476"/>
        <v>0</v>
      </c>
      <c r="BF1012" s="3102">
        <f t="shared" ca="1" si="1477"/>
        <v>4</v>
      </c>
      <c r="BG1012" s="3304">
        <f t="shared" ca="1" si="1478"/>
        <v>-4</v>
      </c>
      <c r="BH1012" s="2953">
        <f t="shared" ca="1" si="1479"/>
        <v>0</v>
      </c>
    </row>
    <row r="1013" spans="1:60" s="34" customFormat="1" ht="14.5">
      <c r="A1013" s="616">
        <f t="shared" si="1428"/>
        <v>926</v>
      </c>
      <c r="B1013" s="616">
        <v>1</v>
      </c>
      <c r="C1013" s="616">
        <f t="shared" si="1429"/>
        <v>1010</v>
      </c>
      <c r="E1013" s="2547">
        <v>1</v>
      </c>
      <c r="F1013" s="4"/>
      <c r="G1013" s="4"/>
      <c r="H1013" s="4"/>
      <c r="I1013" s="256"/>
      <c r="J1013" s="4"/>
      <c r="K1013" s="3"/>
      <c r="L1013" s="4"/>
      <c r="M1013" s="4"/>
      <c r="N1013" s="41"/>
      <c r="O1013" s="41" t="s">
        <v>198</v>
      </c>
      <c r="P1013" s="3"/>
      <c r="Q1013" s="1778" t="str">
        <f>CHOOSE(2, "6722000003932", "HC MS FE/TTOC Marketing Total Business Development")</f>
        <v>HC MS FE/TTOC Marketing Total Business Development</v>
      </c>
      <c r="R1013" s="1212">
        <v>0</v>
      </c>
      <c r="S1013" s="1212">
        <v>0</v>
      </c>
      <c r="T1013" s="1212">
        <v>0</v>
      </c>
      <c r="U1013" s="1212">
        <v>0</v>
      </c>
      <c r="V1013" s="1212">
        <v>0</v>
      </c>
      <c r="W1013" s="1212">
        <v>0</v>
      </c>
      <c r="X1013" s="1212">
        <v>0</v>
      </c>
      <c r="Y1013" s="1212">
        <v>0</v>
      </c>
      <c r="Z1013" s="1212">
        <v>0</v>
      </c>
      <c r="AA1013" s="1212">
        <v>0</v>
      </c>
      <c r="AB1013" s="1212">
        <v>0</v>
      </c>
      <c r="AC1013" s="1212">
        <v>0</v>
      </c>
      <c r="AD1013" s="877">
        <f>T1013</f>
        <v>0</v>
      </c>
      <c r="AE1013" s="40">
        <f>W1013</f>
        <v>0</v>
      </c>
      <c r="AF1013" s="40">
        <f>Z1013</f>
        <v>0</v>
      </c>
      <c r="AG1013" s="40">
        <f>AC1013</f>
        <v>0</v>
      </c>
      <c r="AH1013" s="40">
        <f>AE1013</f>
        <v>0</v>
      </c>
      <c r="AI1013" s="40">
        <f>AG1013</f>
        <v>0</v>
      </c>
      <c r="AJ1013" s="40">
        <f>AI1013</f>
        <v>0</v>
      </c>
      <c r="AL1013" s="40">
        <f t="shared" ca="1" si="1459"/>
        <v>0</v>
      </c>
      <c r="AM1013" s="40">
        <f t="shared" ca="1" si="1460"/>
        <v>0</v>
      </c>
      <c r="AN1013" s="3057">
        <f t="shared" ca="1" si="1461"/>
        <v>0</v>
      </c>
      <c r="AO1013" s="2695">
        <f t="shared" ca="1" si="1462"/>
        <v>0</v>
      </c>
      <c r="AP1013" s="40">
        <f t="shared" ca="1" si="1463"/>
        <v>0</v>
      </c>
      <c r="AQ1013" s="3057">
        <f t="shared" ca="1" si="1464"/>
        <v>0</v>
      </c>
      <c r="AR1013" s="2695">
        <f t="shared" ca="1" si="1465"/>
        <v>0</v>
      </c>
      <c r="AT1013" s="40">
        <f t="shared" ca="1" si="1466"/>
        <v>0</v>
      </c>
      <c r="AU1013" s="40">
        <f t="shared" ca="1" si="1467"/>
        <v>0</v>
      </c>
      <c r="AV1013" s="3057">
        <f t="shared" ca="1" si="1468"/>
        <v>0</v>
      </c>
      <c r="AW1013" s="2695">
        <f t="shared" ca="1" si="1469"/>
        <v>0</v>
      </c>
      <c r="AX1013" s="40">
        <f t="shared" ca="1" si="1470"/>
        <v>0</v>
      </c>
      <c r="AY1013" s="3057">
        <f t="shared" ca="1" si="1471"/>
        <v>0</v>
      </c>
      <c r="AZ1013" s="2695">
        <f t="shared" ca="1" si="1472"/>
        <v>0</v>
      </c>
      <c r="BB1013" s="40">
        <f t="shared" ca="1" si="1473"/>
        <v>0</v>
      </c>
      <c r="BC1013" s="40">
        <f t="shared" ca="1" si="1474"/>
        <v>0</v>
      </c>
      <c r="BD1013" s="3057">
        <f t="shared" ca="1" si="1475"/>
        <v>0</v>
      </c>
      <c r="BE1013" s="2695">
        <f t="shared" ca="1" si="1476"/>
        <v>0</v>
      </c>
      <c r="BF1013" s="40">
        <f t="shared" ca="1" si="1477"/>
        <v>0</v>
      </c>
      <c r="BG1013" s="3057">
        <f t="shared" ca="1" si="1478"/>
        <v>0</v>
      </c>
      <c r="BH1013" s="2695">
        <f t="shared" ca="1" si="1479"/>
        <v>0</v>
      </c>
    </row>
    <row r="1014" spans="1:60" s="34" customFormat="1" ht="14.5">
      <c r="A1014" s="616">
        <f t="shared" si="1428"/>
        <v>927</v>
      </c>
      <c r="B1014" s="616">
        <v>1</v>
      </c>
      <c r="C1014" s="616">
        <f t="shared" si="1429"/>
        <v>1011</v>
      </c>
      <c r="E1014" s="2547">
        <v>1</v>
      </c>
      <c r="F1014" s="4"/>
      <c r="G1014" s="4"/>
      <c r="H1014" s="4"/>
      <c r="I1014" s="256"/>
      <c r="J1014" s="4"/>
      <c r="K1014" s="3"/>
      <c r="L1014" s="4"/>
      <c r="M1014" s="4"/>
      <c r="N1014" s="41"/>
      <c r="O1014" s="41" t="s">
        <v>199</v>
      </c>
      <c r="P1014" s="3"/>
      <c r="Q1014" s="1778" t="str">
        <f>CHOOSE(2, "6722000003933", "HC MS FE/TTOC Marketing Total Channel Marketing")</f>
        <v>HC MS FE/TTOC Marketing Total Channel Marketing</v>
      </c>
      <c r="R1014" s="1212">
        <v>0</v>
      </c>
      <c r="S1014" s="1212">
        <v>0</v>
      </c>
      <c r="T1014" s="1212">
        <v>0</v>
      </c>
      <c r="U1014" s="1212">
        <v>0</v>
      </c>
      <c r="V1014" s="1212">
        <v>0</v>
      </c>
      <c r="W1014" s="1212">
        <v>0</v>
      </c>
      <c r="X1014" s="1212">
        <v>0</v>
      </c>
      <c r="Y1014" s="1212">
        <v>0</v>
      </c>
      <c r="Z1014" s="1212">
        <v>0</v>
      </c>
      <c r="AA1014" s="1212">
        <v>0</v>
      </c>
      <c r="AB1014" s="1212">
        <v>0</v>
      </c>
      <c r="AC1014" s="1212">
        <v>0</v>
      </c>
      <c r="AD1014" s="877">
        <f>T1014</f>
        <v>0</v>
      </c>
      <c r="AE1014" s="40">
        <f>W1014</f>
        <v>0</v>
      </c>
      <c r="AF1014" s="40">
        <f>Z1014</f>
        <v>0</v>
      </c>
      <c r="AG1014" s="40">
        <f>AC1014</f>
        <v>0</v>
      </c>
      <c r="AH1014" s="40">
        <f>AE1014</f>
        <v>0</v>
      </c>
      <c r="AI1014" s="40">
        <f>AG1014</f>
        <v>0</v>
      </c>
      <c r="AJ1014" s="40">
        <f>AI1014</f>
        <v>0</v>
      </c>
      <c r="AL1014" s="40">
        <f t="shared" ca="1" si="1459"/>
        <v>0</v>
      </c>
      <c r="AM1014" s="40">
        <f t="shared" ca="1" si="1460"/>
        <v>0</v>
      </c>
      <c r="AN1014" s="3057">
        <f t="shared" ca="1" si="1461"/>
        <v>0</v>
      </c>
      <c r="AO1014" s="2695">
        <f t="shared" ca="1" si="1462"/>
        <v>0</v>
      </c>
      <c r="AP1014" s="40">
        <f t="shared" ca="1" si="1463"/>
        <v>31</v>
      </c>
      <c r="AQ1014" s="3057">
        <f t="shared" ca="1" si="1464"/>
        <v>-31</v>
      </c>
      <c r="AR1014" s="2695">
        <f t="shared" ca="1" si="1465"/>
        <v>0</v>
      </c>
      <c r="AT1014" s="40">
        <f t="shared" ca="1" si="1466"/>
        <v>0</v>
      </c>
      <c r="AU1014" s="40">
        <f t="shared" ca="1" si="1467"/>
        <v>0</v>
      </c>
      <c r="AV1014" s="3057">
        <f t="shared" ca="1" si="1468"/>
        <v>0</v>
      </c>
      <c r="AW1014" s="2695">
        <f t="shared" ca="1" si="1469"/>
        <v>0</v>
      </c>
      <c r="AX1014" s="40">
        <f t="shared" ca="1" si="1470"/>
        <v>31</v>
      </c>
      <c r="AY1014" s="3057">
        <f t="shared" ca="1" si="1471"/>
        <v>-31</v>
      </c>
      <c r="AZ1014" s="2695">
        <f t="shared" ca="1" si="1472"/>
        <v>0</v>
      </c>
      <c r="BB1014" s="40">
        <f t="shared" ca="1" si="1473"/>
        <v>0</v>
      </c>
      <c r="BC1014" s="40">
        <f t="shared" ca="1" si="1474"/>
        <v>0</v>
      </c>
      <c r="BD1014" s="3057">
        <f t="shared" ca="1" si="1475"/>
        <v>0</v>
      </c>
      <c r="BE1014" s="2695">
        <f t="shared" ca="1" si="1476"/>
        <v>0</v>
      </c>
      <c r="BF1014" s="40">
        <f t="shared" ca="1" si="1477"/>
        <v>31</v>
      </c>
      <c r="BG1014" s="3057">
        <f t="shared" ca="1" si="1478"/>
        <v>-31</v>
      </c>
      <c r="BH1014" s="2695">
        <f t="shared" ca="1" si="1479"/>
        <v>0</v>
      </c>
    </row>
    <row r="1015" spans="1:60" s="34" customFormat="1" ht="14.5">
      <c r="A1015" s="616">
        <f t="shared" si="1428"/>
        <v>928</v>
      </c>
      <c r="B1015" s="616">
        <v>1</v>
      </c>
      <c r="C1015" s="616">
        <f t="shared" si="1429"/>
        <v>1012</v>
      </c>
      <c r="E1015" s="2547">
        <v>1</v>
      </c>
      <c r="F1015" s="4"/>
      <c r="G1015" s="4"/>
      <c r="H1015" s="4"/>
      <c r="I1015" s="256"/>
      <c r="J1015" s="4"/>
      <c r="K1015" s="3"/>
      <c r="L1015" s="4"/>
      <c r="M1015" s="4"/>
      <c r="N1015" s="41"/>
      <c r="O1015" s="41" t="s">
        <v>200</v>
      </c>
      <c r="P1015" s="3"/>
      <c r="Q1015" s="1778" t="str">
        <f>CHOOSE(2, "6722000003934", "HC MS FE/TTOC Marketing Total Product Marketing")</f>
        <v>HC MS FE/TTOC Marketing Total Product Marketing</v>
      </c>
      <c r="R1015" s="1212">
        <v>0</v>
      </c>
      <c r="S1015" s="1212">
        <v>0</v>
      </c>
      <c r="T1015" s="1212">
        <v>0</v>
      </c>
      <c r="U1015" s="1212">
        <v>0</v>
      </c>
      <c r="V1015" s="1212">
        <v>0</v>
      </c>
      <c r="W1015" s="1212">
        <v>0</v>
      </c>
      <c r="X1015" s="1212">
        <v>0</v>
      </c>
      <c r="Y1015" s="1212">
        <v>0</v>
      </c>
      <c r="Z1015" s="1212">
        <v>0</v>
      </c>
      <c r="AA1015" s="1212">
        <v>0</v>
      </c>
      <c r="AB1015" s="1212">
        <v>0</v>
      </c>
      <c r="AC1015" s="1212">
        <v>0</v>
      </c>
      <c r="AD1015" s="877">
        <f>T1015</f>
        <v>0</v>
      </c>
      <c r="AE1015" s="40">
        <f>W1015</f>
        <v>0</v>
      </c>
      <c r="AF1015" s="40">
        <f>Z1015</f>
        <v>0</v>
      </c>
      <c r="AG1015" s="40">
        <f>AC1015</f>
        <v>0</v>
      </c>
      <c r="AH1015" s="40">
        <f>AE1015</f>
        <v>0</v>
      </c>
      <c r="AI1015" s="40">
        <f>AG1015</f>
        <v>0</v>
      </c>
      <c r="AJ1015" s="40">
        <f>AI1015</f>
        <v>0</v>
      </c>
      <c r="AL1015" s="40">
        <f t="shared" ca="1" si="1459"/>
        <v>0</v>
      </c>
      <c r="AM1015" s="40">
        <f t="shared" ca="1" si="1460"/>
        <v>0</v>
      </c>
      <c r="AN1015" s="3057">
        <f t="shared" ca="1" si="1461"/>
        <v>0</v>
      </c>
      <c r="AO1015" s="2695">
        <f t="shared" ca="1" si="1462"/>
        <v>0</v>
      </c>
      <c r="AP1015" s="40">
        <f t="shared" ca="1" si="1463"/>
        <v>2</v>
      </c>
      <c r="AQ1015" s="3057">
        <f t="shared" ca="1" si="1464"/>
        <v>-2</v>
      </c>
      <c r="AR1015" s="2695">
        <f t="shared" ca="1" si="1465"/>
        <v>0</v>
      </c>
      <c r="AT1015" s="40">
        <f t="shared" ca="1" si="1466"/>
        <v>0</v>
      </c>
      <c r="AU1015" s="40">
        <f t="shared" ca="1" si="1467"/>
        <v>0</v>
      </c>
      <c r="AV1015" s="3057">
        <f t="shared" ca="1" si="1468"/>
        <v>0</v>
      </c>
      <c r="AW1015" s="2695">
        <f t="shared" ca="1" si="1469"/>
        <v>0</v>
      </c>
      <c r="AX1015" s="40">
        <f t="shared" ca="1" si="1470"/>
        <v>2</v>
      </c>
      <c r="AY1015" s="3057">
        <f t="shared" ca="1" si="1471"/>
        <v>-2</v>
      </c>
      <c r="AZ1015" s="2695">
        <f t="shared" ca="1" si="1472"/>
        <v>0</v>
      </c>
      <c r="BB1015" s="40">
        <f t="shared" ca="1" si="1473"/>
        <v>0</v>
      </c>
      <c r="BC1015" s="40">
        <f t="shared" ca="1" si="1474"/>
        <v>0</v>
      </c>
      <c r="BD1015" s="3057">
        <f t="shared" ca="1" si="1475"/>
        <v>0</v>
      </c>
      <c r="BE1015" s="2695">
        <f t="shared" ca="1" si="1476"/>
        <v>0</v>
      </c>
      <c r="BF1015" s="40">
        <f t="shared" ca="1" si="1477"/>
        <v>2</v>
      </c>
      <c r="BG1015" s="3057">
        <f t="shared" ca="1" si="1478"/>
        <v>-2</v>
      </c>
      <c r="BH1015" s="2695">
        <f t="shared" ca="1" si="1479"/>
        <v>0</v>
      </c>
    </row>
    <row r="1016" spans="1:60" s="34" customFormat="1" ht="14.5">
      <c r="A1016" s="616">
        <f t="shared" si="1428"/>
        <v>929</v>
      </c>
      <c r="B1016" s="616">
        <v>1</v>
      </c>
      <c r="C1016" s="616">
        <f t="shared" si="1429"/>
        <v>1013</v>
      </c>
      <c r="E1016" s="2547">
        <v>1</v>
      </c>
      <c r="F1016" s="4"/>
      <c r="G1016" s="4"/>
      <c r="H1016" s="4"/>
      <c r="I1016" s="256"/>
      <c r="J1016" s="2"/>
      <c r="K1016" s="1"/>
      <c r="L1016" s="2"/>
      <c r="M1016" s="2"/>
      <c r="N1016" s="39"/>
      <c r="O1016" s="39" t="s">
        <v>201</v>
      </c>
      <c r="P1016" s="1"/>
      <c r="Q1016" s="1778" t="str">
        <f>CHOOSE(2, "6722000003935", "HC MS FE/TTOC Marketing Total MC / O")</f>
        <v>HC MS FE/TTOC Marketing Total MC / O</v>
      </c>
      <c r="R1016" s="1211">
        <v>0</v>
      </c>
      <c r="S1016" s="1211">
        <v>0</v>
      </c>
      <c r="T1016" s="1211">
        <v>0</v>
      </c>
      <c r="U1016" s="1211">
        <v>0</v>
      </c>
      <c r="V1016" s="1211">
        <v>0</v>
      </c>
      <c r="W1016" s="1211">
        <v>0</v>
      </c>
      <c r="X1016" s="1211">
        <v>0</v>
      </c>
      <c r="Y1016" s="1211">
        <v>0</v>
      </c>
      <c r="Z1016" s="1211">
        <v>0</v>
      </c>
      <c r="AA1016" s="1211">
        <v>0</v>
      </c>
      <c r="AB1016" s="1211">
        <v>0</v>
      </c>
      <c r="AC1016" s="1211">
        <v>0</v>
      </c>
      <c r="AD1016" s="912">
        <f>T1016</f>
        <v>0</v>
      </c>
      <c r="AE1016" s="38">
        <f>W1016</f>
        <v>0</v>
      </c>
      <c r="AF1016" s="38">
        <f>Z1016</f>
        <v>0</v>
      </c>
      <c r="AG1016" s="38">
        <f>AC1016</f>
        <v>0</v>
      </c>
      <c r="AH1016" s="38">
        <f>AE1016</f>
        <v>0</v>
      </c>
      <c r="AI1016" s="38">
        <f>AG1016</f>
        <v>0</v>
      </c>
      <c r="AJ1016" s="38">
        <f>AI1016</f>
        <v>0</v>
      </c>
      <c r="AL1016" s="38">
        <f t="shared" ca="1" si="1459"/>
        <v>0</v>
      </c>
      <c r="AM1016" s="38">
        <f t="shared" ca="1" si="1460"/>
        <v>0</v>
      </c>
      <c r="AN1016" s="3303">
        <f t="shared" ca="1" si="1461"/>
        <v>0</v>
      </c>
      <c r="AO1016" s="2951">
        <f t="shared" ca="1" si="1462"/>
        <v>0</v>
      </c>
      <c r="AP1016" s="38">
        <f t="shared" ca="1" si="1463"/>
        <v>16</v>
      </c>
      <c r="AQ1016" s="3303">
        <f t="shared" ca="1" si="1464"/>
        <v>-16</v>
      </c>
      <c r="AR1016" s="2951">
        <f t="shared" ca="1" si="1465"/>
        <v>0</v>
      </c>
      <c r="AT1016" s="38">
        <f t="shared" ca="1" si="1466"/>
        <v>0</v>
      </c>
      <c r="AU1016" s="38">
        <f t="shared" ca="1" si="1467"/>
        <v>0</v>
      </c>
      <c r="AV1016" s="3303">
        <f t="shared" ca="1" si="1468"/>
        <v>0</v>
      </c>
      <c r="AW1016" s="2951">
        <f t="shared" ca="1" si="1469"/>
        <v>0</v>
      </c>
      <c r="AX1016" s="38">
        <f t="shared" ca="1" si="1470"/>
        <v>16</v>
      </c>
      <c r="AY1016" s="3303">
        <f t="shared" ca="1" si="1471"/>
        <v>-16</v>
      </c>
      <c r="AZ1016" s="2951">
        <f t="shared" ca="1" si="1472"/>
        <v>0</v>
      </c>
      <c r="BB1016" s="38">
        <f t="shared" ca="1" si="1473"/>
        <v>0</v>
      </c>
      <c r="BC1016" s="38">
        <f t="shared" ca="1" si="1474"/>
        <v>0</v>
      </c>
      <c r="BD1016" s="3303">
        <f t="shared" ca="1" si="1475"/>
        <v>0</v>
      </c>
      <c r="BE1016" s="2951">
        <f t="shared" ca="1" si="1476"/>
        <v>0</v>
      </c>
      <c r="BF1016" s="38">
        <f t="shared" ca="1" si="1477"/>
        <v>16</v>
      </c>
      <c r="BG1016" s="3303">
        <f t="shared" ca="1" si="1478"/>
        <v>-16</v>
      </c>
      <c r="BH1016" s="2951">
        <f t="shared" ca="1" si="1479"/>
        <v>0</v>
      </c>
    </row>
    <row r="1017" spans="1:60" s="34" customFormat="1" ht="14.5">
      <c r="A1017" s="616">
        <f t="shared" si="1428"/>
        <v>930</v>
      </c>
      <c r="B1017" s="616">
        <v>1</v>
      </c>
      <c r="C1017" s="616">
        <f t="shared" si="1429"/>
        <v>1014</v>
      </c>
      <c r="D1017" s="709" t="s">
        <v>1308</v>
      </c>
      <c r="E1017" s="2547">
        <v>1</v>
      </c>
      <c r="F1017" s="4"/>
      <c r="G1017" s="4"/>
      <c r="H1017" s="4"/>
      <c r="I1017" s="256"/>
      <c r="J1017" s="48" t="s">
        <v>1517</v>
      </c>
      <c r="K1017" s="47"/>
      <c r="L1017" s="48"/>
      <c r="M1017" s="48"/>
      <c r="N1017" s="47"/>
      <c r="O1017" s="47"/>
      <c r="P1017" s="47"/>
      <c r="Q1017" s="1786" t="str">
        <f>CHOOSE(2, "6722000003936", "HC MS FE/TTOC Administration Total")</f>
        <v>HC MS FE/TTOC Administration Total</v>
      </c>
      <c r="R1017" s="45">
        <f>SUM(R1018:R1022)</f>
        <v>0</v>
      </c>
      <c r="S1017" s="45">
        <f t="shared" ref="S1017:AJ1017" si="1483">SUM(S1018:S1022)</f>
        <v>0</v>
      </c>
      <c r="T1017" s="45">
        <f t="shared" si="1483"/>
        <v>0</v>
      </c>
      <c r="U1017" s="45">
        <f t="shared" si="1483"/>
        <v>0</v>
      </c>
      <c r="V1017" s="45">
        <f t="shared" si="1483"/>
        <v>0</v>
      </c>
      <c r="W1017" s="45">
        <f t="shared" si="1483"/>
        <v>0</v>
      </c>
      <c r="X1017" s="45">
        <f t="shared" si="1483"/>
        <v>0</v>
      </c>
      <c r="Y1017" s="45">
        <f t="shared" si="1483"/>
        <v>0</v>
      </c>
      <c r="Z1017" s="45">
        <f t="shared" si="1483"/>
        <v>0</v>
      </c>
      <c r="AA1017" s="45">
        <f t="shared" si="1483"/>
        <v>0</v>
      </c>
      <c r="AB1017" s="45">
        <f t="shared" si="1483"/>
        <v>0</v>
      </c>
      <c r="AC1017" s="45">
        <f t="shared" si="1483"/>
        <v>0</v>
      </c>
      <c r="AD1017" s="911">
        <f t="shared" si="1483"/>
        <v>0</v>
      </c>
      <c r="AE1017" s="45">
        <f t="shared" si="1483"/>
        <v>0</v>
      </c>
      <c r="AF1017" s="45">
        <f t="shared" si="1483"/>
        <v>0</v>
      </c>
      <c r="AG1017" s="45">
        <f t="shared" si="1483"/>
        <v>0</v>
      </c>
      <c r="AH1017" s="45">
        <f t="shared" si="1483"/>
        <v>0</v>
      </c>
      <c r="AI1017" s="45">
        <f t="shared" si="1483"/>
        <v>0</v>
      </c>
      <c r="AJ1017" s="45">
        <f t="shared" si="1483"/>
        <v>0</v>
      </c>
      <c r="AL1017" s="45">
        <f t="shared" ca="1" si="1459"/>
        <v>0</v>
      </c>
      <c r="AM1017" s="45">
        <f t="shared" ca="1" si="1460"/>
        <v>0</v>
      </c>
      <c r="AN1017" s="3302">
        <f t="shared" ca="1" si="1461"/>
        <v>0</v>
      </c>
      <c r="AO1017" s="2949">
        <f t="shared" ca="1" si="1462"/>
        <v>0</v>
      </c>
      <c r="AP1017" s="45">
        <f t="shared" ca="1" si="1463"/>
        <v>4</v>
      </c>
      <c r="AQ1017" s="3302">
        <f t="shared" ca="1" si="1464"/>
        <v>-4</v>
      </c>
      <c r="AR1017" s="2949">
        <f t="shared" ca="1" si="1465"/>
        <v>0</v>
      </c>
      <c r="AT1017" s="45">
        <f t="shared" ca="1" si="1466"/>
        <v>0</v>
      </c>
      <c r="AU1017" s="45">
        <f t="shared" ca="1" si="1467"/>
        <v>0</v>
      </c>
      <c r="AV1017" s="3302">
        <f t="shared" ca="1" si="1468"/>
        <v>0</v>
      </c>
      <c r="AW1017" s="2949">
        <f t="shared" ca="1" si="1469"/>
        <v>0</v>
      </c>
      <c r="AX1017" s="45">
        <f t="shared" ca="1" si="1470"/>
        <v>4</v>
      </c>
      <c r="AY1017" s="3302">
        <f t="shared" ca="1" si="1471"/>
        <v>-4</v>
      </c>
      <c r="AZ1017" s="2949">
        <f t="shared" ca="1" si="1472"/>
        <v>0</v>
      </c>
      <c r="BB1017" s="45">
        <f t="shared" ca="1" si="1473"/>
        <v>0</v>
      </c>
      <c r="BC1017" s="45">
        <f t="shared" ca="1" si="1474"/>
        <v>0</v>
      </c>
      <c r="BD1017" s="3302">
        <f t="shared" ca="1" si="1475"/>
        <v>0</v>
      </c>
      <c r="BE1017" s="2949">
        <f t="shared" ca="1" si="1476"/>
        <v>0</v>
      </c>
      <c r="BF1017" s="45">
        <f t="shared" ca="1" si="1477"/>
        <v>4</v>
      </c>
      <c r="BG1017" s="3302">
        <f t="shared" ca="1" si="1478"/>
        <v>-4</v>
      </c>
      <c r="BH1017" s="2949">
        <f t="shared" ca="1" si="1479"/>
        <v>0</v>
      </c>
    </row>
    <row r="1018" spans="1:60" s="34" customFormat="1" ht="14.5">
      <c r="A1018" s="616">
        <f t="shared" si="1428"/>
        <v>931</v>
      </c>
      <c r="B1018" s="616">
        <v>1</v>
      </c>
      <c r="C1018" s="616">
        <f t="shared" si="1429"/>
        <v>1015</v>
      </c>
      <c r="E1018" s="2547">
        <v>1</v>
      </c>
      <c r="F1018" s="4"/>
      <c r="G1018" s="4"/>
      <c r="H1018" s="4"/>
      <c r="I1018" s="256"/>
      <c r="J1018" s="4"/>
      <c r="K1018" s="3"/>
      <c r="L1018" s="4"/>
      <c r="M1018" s="3"/>
      <c r="N1018" s="41"/>
      <c r="O1018" s="41" t="s">
        <v>39</v>
      </c>
      <c r="P1018" s="41"/>
      <c r="Q1018" s="1778" t="str">
        <f>CHOOSE(2, "6722000003937", "HC MS FE/TTOC Administration Total IT")</f>
        <v>HC MS FE/TTOC Administration Total IT</v>
      </c>
      <c r="R1018" s="1212">
        <v>0</v>
      </c>
      <c r="S1018" s="1212">
        <v>0</v>
      </c>
      <c r="T1018" s="1212">
        <v>0</v>
      </c>
      <c r="U1018" s="1212">
        <v>0</v>
      </c>
      <c r="V1018" s="1212">
        <v>0</v>
      </c>
      <c r="W1018" s="1212">
        <v>0</v>
      </c>
      <c r="X1018" s="1212">
        <v>0</v>
      </c>
      <c r="Y1018" s="1212">
        <v>0</v>
      </c>
      <c r="Z1018" s="1212">
        <v>0</v>
      </c>
      <c r="AA1018" s="1212">
        <v>0</v>
      </c>
      <c r="AB1018" s="1212">
        <v>0</v>
      </c>
      <c r="AC1018" s="1212">
        <v>0</v>
      </c>
      <c r="AD1018" s="877">
        <f>T1018</f>
        <v>0</v>
      </c>
      <c r="AE1018" s="40">
        <f>W1018</f>
        <v>0</v>
      </c>
      <c r="AF1018" s="40">
        <f>Z1018</f>
        <v>0</v>
      </c>
      <c r="AG1018" s="40">
        <f>AC1018</f>
        <v>0</v>
      </c>
      <c r="AH1018" s="40">
        <f>AE1018</f>
        <v>0</v>
      </c>
      <c r="AI1018" s="40">
        <f>AG1018</f>
        <v>0</v>
      </c>
      <c r="AJ1018" s="40">
        <f>AI1018</f>
        <v>0</v>
      </c>
      <c r="AL1018" s="40">
        <f t="shared" ca="1" si="1459"/>
        <v>0</v>
      </c>
      <c r="AM1018" s="40">
        <f t="shared" ca="1" si="1460"/>
        <v>0</v>
      </c>
      <c r="AN1018" s="3057">
        <f t="shared" ca="1" si="1461"/>
        <v>0</v>
      </c>
      <c r="AO1018" s="2695">
        <f t="shared" ca="1" si="1462"/>
        <v>0</v>
      </c>
      <c r="AP1018" s="40">
        <f t="shared" ca="1" si="1463"/>
        <v>0</v>
      </c>
      <c r="AQ1018" s="3057">
        <f t="shared" ca="1" si="1464"/>
        <v>0</v>
      </c>
      <c r="AR1018" s="2695">
        <f t="shared" ca="1" si="1465"/>
        <v>0</v>
      </c>
      <c r="AT1018" s="40">
        <f t="shared" ca="1" si="1466"/>
        <v>0</v>
      </c>
      <c r="AU1018" s="40">
        <f t="shared" ca="1" si="1467"/>
        <v>0</v>
      </c>
      <c r="AV1018" s="3057">
        <f t="shared" ca="1" si="1468"/>
        <v>0</v>
      </c>
      <c r="AW1018" s="2695">
        <f t="shared" ca="1" si="1469"/>
        <v>0</v>
      </c>
      <c r="AX1018" s="40">
        <f t="shared" ca="1" si="1470"/>
        <v>0</v>
      </c>
      <c r="AY1018" s="3057">
        <f t="shared" ca="1" si="1471"/>
        <v>0</v>
      </c>
      <c r="AZ1018" s="2695">
        <f t="shared" ca="1" si="1472"/>
        <v>0</v>
      </c>
      <c r="BB1018" s="40">
        <f t="shared" ca="1" si="1473"/>
        <v>0</v>
      </c>
      <c r="BC1018" s="40">
        <f t="shared" ca="1" si="1474"/>
        <v>0</v>
      </c>
      <c r="BD1018" s="3057">
        <f t="shared" ca="1" si="1475"/>
        <v>0</v>
      </c>
      <c r="BE1018" s="2695">
        <f t="shared" ca="1" si="1476"/>
        <v>0</v>
      </c>
      <c r="BF1018" s="40">
        <f t="shared" ca="1" si="1477"/>
        <v>0</v>
      </c>
      <c r="BG1018" s="3057">
        <f t="shared" ca="1" si="1478"/>
        <v>0</v>
      </c>
      <c r="BH1018" s="2695">
        <f t="shared" ca="1" si="1479"/>
        <v>0</v>
      </c>
    </row>
    <row r="1019" spans="1:60" s="34" customFormat="1" ht="14.5">
      <c r="A1019" s="616">
        <f t="shared" si="1428"/>
        <v>932</v>
      </c>
      <c r="B1019" s="616">
        <v>1</v>
      </c>
      <c r="C1019" s="616">
        <f t="shared" si="1429"/>
        <v>1016</v>
      </c>
      <c r="E1019" s="2547">
        <v>1</v>
      </c>
      <c r="F1019" s="4"/>
      <c r="G1019" s="4"/>
      <c r="H1019" s="4"/>
      <c r="I1019" s="256"/>
      <c r="J1019" s="4"/>
      <c r="K1019" s="3"/>
      <c r="L1019" s="4"/>
      <c r="M1019" s="3"/>
      <c r="N1019" s="41"/>
      <c r="O1019" s="41" t="s">
        <v>18</v>
      </c>
      <c r="P1019" s="41"/>
      <c r="Q1019" s="1778" t="str">
        <f>CHOOSE(2, "6722000003938", "HC MS FE/TTOC Administration Total Finance")</f>
        <v>HC MS FE/TTOC Administration Total Finance</v>
      </c>
      <c r="R1019" s="1212">
        <v>0</v>
      </c>
      <c r="S1019" s="1212">
        <v>0</v>
      </c>
      <c r="T1019" s="1212">
        <v>0</v>
      </c>
      <c r="U1019" s="1212">
        <v>0</v>
      </c>
      <c r="V1019" s="1212">
        <v>0</v>
      </c>
      <c r="W1019" s="1212">
        <v>0</v>
      </c>
      <c r="X1019" s="1212">
        <v>0</v>
      </c>
      <c r="Y1019" s="1212">
        <v>0</v>
      </c>
      <c r="Z1019" s="1212">
        <v>0</v>
      </c>
      <c r="AA1019" s="1212">
        <v>0</v>
      </c>
      <c r="AB1019" s="1212">
        <v>0</v>
      </c>
      <c r="AC1019" s="1212">
        <v>0</v>
      </c>
      <c r="AD1019" s="877">
        <f>T1019</f>
        <v>0</v>
      </c>
      <c r="AE1019" s="40">
        <f>W1019</f>
        <v>0</v>
      </c>
      <c r="AF1019" s="40">
        <f>Z1019</f>
        <v>0</v>
      </c>
      <c r="AG1019" s="40">
        <f>AC1019</f>
        <v>0</v>
      </c>
      <c r="AH1019" s="40">
        <f>AE1019</f>
        <v>0</v>
      </c>
      <c r="AI1019" s="40">
        <f>AG1019</f>
        <v>0</v>
      </c>
      <c r="AJ1019" s="40">
        <f>AI1019</f>
        <v>0</v>
      </c>
      <c r="AL1019" s="40">
        <f t="shared" ca="1" si="1459"/>
        <v>0</v>
      </c>
      <c r="AM1019" s="40">
        <f t="shared" ca="1" si="1460"/>
        <v>0</v>
      </c>
      <c r="AN1019" s="3057">
        <f t="shared" ca="1" si="1461"/>
        <v>0</v>
      </c>
      <c r="AO1019" s="2695">
        <f t="shared" ca="1" si="1462"/>
        <v>0</v>
      </c>
      <c r="AP1019" s="40">
        <f t="shared" ca="1" si="1463"/>
        <v>9</v>
      </c>
      <c r="AQ1019" s="3057">
        <f t="shared" ca="1" si="1464"/>
        <v>-9</v>
      </c>
      <c r="AR1019" s="2695">
        <f t="shared" ca="1" si="1465"/>
        <v>0</v>
      </c>
      <c r="AT1019" s="40">
        <f t="shared" ca="1" si="1466"/>
        <v>0</v>
      </c>
      <c r="AU1019" s="40">
        <f t="shared" ca="1" si="1467"/>
        <v>0</v>
      </c>
      <c r="AV1019" s="3057">
        <f t="shared" ca="1" si="1468"/>
        <v>0</v>
      </c>
      <c r="AW1019" s="2695">
        <f t="shared" ca="1" si="1469"/>
        <v>0</v>
      </c>
      <c r="AX1019" s="40">
        <f t="shared" ca="1" si="1470"/>
        <v>9</v>
      </c>
      <c r="AY1019" s="3057">
        <f t="shared" ca="1" si="1471"/>
        <v>-9</v>
      </c>
      <c r="AZ1019" s="2695">
        <f t="shared" ca="1" si="1472"/>
        <v>0</v>
      </c>
      <c r="BB1019" s="40">
        <f t="shared" ca="1" si="1473"/>
        <v>0</v>
      </c>
      <c r="BC1019" s="40">
        <f t="shared" ca="1" si="1474"/>
        <v>0</v>
      </c>
      <c r="BD1019" s="3057">
        <f t="shared" ca="1" si="1475"/>
        <v>0</v>
      </c>
      <c r="BE1019" s="2695">
        <f t="shared" ca="1" si="1476"/>
        <v>0</v>
      </c>
      <c r="BF1019" s="40">
        <f t="shared" ca="1" si="1477"/>
        <v>9</v>
      </c>
      <c r="BG1019" s="3057">
        <f t="shared" ca="1" si="1478"/>
        <v>-9</v>
      </c>
      <c r="BH1019" s="2695">
        <f t="shared" ca="1" si="1479"/>
        <v>0</v>
      </c>
    </row>
    <row r="1020" spans="1:60" s="34" customFormat="1" ht="14.5">
      <c r="A1020" s="616">
        <f t="shared" si="1428"/>
        <v>933</v>
      </c>
      <c r="B1020" s="616">
        <v>1</v>
      </c>
      <c r="C1020" s="616">
        <f t="shared" si="1429"/>
        <v>1017</v>
      </c>
      <c r="E1020" s="2547">
        <v>1</v>
      </c>
      <c r="F1020" s="4"/>
      <c r="G1020" s="4"/>
      <c r="H1020" s="4"/>
      <c r="I1020" s="256"/>
      <c r="J1020" s="4"/>
      <c r="K1020" s="3"/>
      <c r="L1020" s="4"/>
      <c r="M1020" s="3"/>
      <c r="N1020" s="41"/>
      <c r="O1020" s="41" t="s">
        <v>19</v>
      </c>
      <c r="P1020" s="41"/>
      <c r="Q1020" s="1778" t="str">
        <f>CHOOSE(2, "6722000003939", "HC MS FE/TTOC Administration Total HR")</f>
        <v>HC MS FE/TTOC Administration Total HR</v>
      </c>
      <c r="R1020" s="1212">
        <v>0</v>
      </c>
      <c r="S1020" s="1212">
        <v>0</v>
      </c>
      <c r="T1020" s="1212">
        <v>0</v>
      </c>
      <c r="U1020" s="1212">
        <v>0</v>
      </c>
      <c r="V1020" s="1212">
        <v>0</v>
      </c>
      <c r="W1020" s="1212">
        <v>0</v>
      </c>
      <c r="X1020" s="1212">
        <v>0</v>
      </c>
      <c r="Y1020" s="1212">
        <v>0</v>
      </c>
      <c r="Z1020" s="1212">
        <v>0</v>
      </c>
      <c r="AA1020" s="1212">
        <v>0</v>
      </c>
      <c r="AB1020" s="1212">
        <v>0</v>
      </c>
      <c r="AC1020" s="1212">
        <v>0</v>
      </c>
      <c r="AD1020" s="877">
        <f>T1020</f>
        <v>0</v>
      </c>
      <c r="AE1020" s="40">
        <f>W1020</f>
        <v>0</v>
      </c>
      <c r="AF1020" s="40">
        <f>Z1020</f>
        <v>0</v>
      </c>
      <c r="AG1020" s="40">
        <f>AC1020</f>
        <v>0</v>
      </c>
      <c r="AH1020" s="40">
        <f>AE1020</f>
        <v>0</v>
      </c>
      <c r="AI1020" s="40">
        <f>AG1020</f>
        <v>0</v>
      </c>
      <c r="AJ1020" s="40">
        <f>AI1020</f>
        <v>0</v>
      </c>
      <c r="AL1020" s="40">
        <f t="shared" ca="1" si="1459"/>
        <v>0</v>
      </c>
      <c r="AM1020" s="40">
        <f t="shared" ca="1" si="1460"/>
        <v>0</v>
      </c>
      <c r="AN1020" s="3057">
        <f t="shared" ca="1" si="1461"/>
        <v>0</v>
      </c>
      <c r="AO1020" s="2695">
        <f t="shared" ca="1" si="1462"/>
        <v>0</v>
      </c>
      <c r="AP1020" s="40">
        <f t="shared" ca="1" si="1463"/>
        <v>16</v>
      </c>
      <c r="AQ1020" s="3057">
        <f t="shared" ca="1" si="1464"/>
        <v>-16</v>
      </c>
      <c r="AR1020" s="2695">
        <f t="shared" ca="1" si="1465"/>
        <v>0</v>
      </c>
      <c r="AT1020" s="40">
        <f t="shared" ca="1" si="1466"/>
        <v>0</v>
      </c>
      <c r="AU1020" s="40">
        <f t="shared" ca="1" si="1467"/>
        <v>0</v>
      </c>
      <c r="AV1020" s="3057">
        <f t="shared" ca="1" si="1468"/>
        <v>0</v>
      </c>
      <c r="AW1020" s="2695">
        <f t="shared" ca="1" si="1469"/>
        <v>0</v>
      </c>
      <c r="AX1020" s="40">
        <f t="shared" ca="1" si="1470"/>
        <v>16</v>
      </c>
      <c r="AY1020" s="3057">
        <f t="shared" ca="1" si="1471"/>
        <v>-16</v>
      </c>
      <c r="AZ1020" s="2695">
        <f t="shared" ca="1" si="1472"/>
        <v>0</v>
      </c>
      <c r="BB1020" s="40">
        <f t="shared" ca="1" si="1473"/>
        <v>0</v>
      </c>
      <c r="BC1020" s="40">
        <f t="shared" ca="1" si="1474"/>
        <v>0</v>
      </c>
      <c r="BD1020" s="3057">
        <f t="shared" ca="1" si="1475"/>
        <v>0</v>
      </c>
      <c r="BE1020" s="2695">
        <f t="shared" ca="1" si="1476"/>
        <v>0</v>
      </c>
      <c r="BF1020" s="40">
        <f t="shared" ca="1" si="1477"/>
        <v>16</v>
      </c>
      <c r="BG1020" s="3057">
        <f t="shared" ca="1" si="1478"/>
        <v>-16</v>
      </c>
      <c r="BH1020" s="2695">
        <f t="shared" ca="1" si="1479"/>
        <v>0</v>
      </c>
    </row>
    <row r="1021" spans="1:60" s="34" customFormat="1" ht="14.5">
      <c r="A1021" s="616">
        <f t="shared" si="1428"/>
        <v>934</v>
      </c>
      <c r="B1021" s="616">
        <v>1</v>
      </c>
      <c r="C1021" s="616">
        <f t="shared" si="1429"/>
        <v>1018</v>
      </c>
      <c r="E1021" s="2547">
        <v>1</v>
      </c>
      <c r="F1021" s="4"/>
      <c r="G1021" s="4"/>
      <c r="H1021" s="4"/>
      <c r="I1021" s="256"/>
      <c r="J1021" s="4"/>
      <c r="K1021" s="3"/>
      <c r="L1021" s="4"/>
      <c r="M1021" s="3"/>
      <c r="N1021" s="41"/>
      <c r="O1021" s="41" t="s">
        <v>20</v>
      </c>
      <c r="P1021" s="41"/>
      <c r="Q1021" s="1778" t="str">
        <f>CHOOSE(2, "6722000003940", "HC MS FE/TTOC Administration Total Training")</f>
        <v>HC MS FE/TTOC Administration Total Training</v>
      </c>
      <c r="R1021" s="1212">
        <v>0</v>
      </c>
      <c r="S1021" s="1212">
        <v>0</v>
      </c>
      <c r="T1021" s="1212">
        <v>0</v>
      </c>
      <c r="U1021" s="1212">
        <v>0</v>
      </c>
      <c r="V1021" s="1212">
        <v>0</v>
      </c>
      <c r="W1021" s="1212">
        <v>0</v>
      </c>
      <c r="X1021" s="1212">
        <v>0</v>
      </c>
      <c r="Y1021" s="1212">
        <v>0</v>
      </c>
      <c r="Z1021" s="1212">
        <v>0</v>
      </c>
      <c r="AA1021" s="1212">
        <v>0</v>
      </c>
      <c r="AB1021" s="1212">
        <v>0</v>
      </c>
      <c r="AC1021" s="1212">
        <v>0</v>
      </c>
      <c r="AD1021" s="877">
        <f>T1021</f>
        <v>0</v>
      </c>
      <c r="AE1021" s="40">
        <f>W1021</f>
        <v>0</v>
      </c>
      <c r="AF1021" s="40">
        <f>Z1021</f>
        <v>0</v>
      </c>
      <c r="AG1021" s="40">
        <f>AC1021</f>
        <v>0</v>
      </c>
      <c r="AH1021" s="40">
        <f>AE1021</f>
        <v>0</v>
      </c>
      <c r="AI1021" s="40">
        <f>AG1021</f>
        <v>0</v>
      </c>
      <c r="AJ1021" s="40">
        <f>AI1021</f>
        <v>0</v>
      </c>
      <c r="AL1021" s="40">
        <f t="shared" ca="1" si="1459"/>
        <v>0</v>
      </c>
      <c r="AM1021" s="40">
        <f t="shared" ca="1" si="1460"/>
        <v>0</v>
      </c>
      <c r="AN1021" s="3057">
        <f t="shared" ca="1" si="1461"/>
        <v>0</v>
      </c>
      <c r="AO1021" s="2695">
        <f t="shared" ca="1" si="1462"/>
        <v>0</v>
      </c>
      <c r="AP1021" s="40">
        <f t="shared" ca="1" si="1463"/>
        <v>7</v>
      </c>
      <c r="AQ1021" s="3057">
        <f t="shared" ca="1" si="1464"/>
        <v>-7</v>
      </c>
      <c r="AR1021" s="2695">
        <f t="shared" ca="1" si="1465"/>
        <v>0</v>
      </c>
      <c r="AT1021" s="40">
        <f t="shared" ca="1" si="1466"/>
        <v>0</v>
      </c>
      <c r="AU1021" s="40">
        <f t="shared" ca="1" si="1467"/>
        <v>0</v>
      </c>
      <c r="AV1021" s="3057">
        <f t="shared" ca="1" si="1468"/>
        <v>0</v>
      </c>
      <c r="AW1021" s="2695">
        <f t="shared" ca="1" si="1469"/>
        <v>0</v>
      </c>
      <c r="AX1021" s="40">
        <f t="shared" ca="1" si="1470"/>
        <v>7</v>
      </c>
      <c r="AY1021" s="3057">
        <f t="shared" ca="1" si="1471"/>
        <v>-7</v>
      </c>
      <c r="AZ1021" s="2695">
        <f t="shared" ca="1" si="1472"/>
        <v>0</v>
      </c>
      <c r="BB1021" s="40">
        <f t="shared" ca="1" si="1473"/>
        <v>0</v>
      </c>
      <c r="BC1021" s="40">
        <f t="shared" ca="1" si="1474"/>
        <v>0</v>
      </c>
      <c r="BD1021" s="3057">
        <f t="shared" ca="1" si="1475"/>
        <v>0</v>
      </c>
      <c r="BE1021" s="2695">
        <f t="shared" ca="1" si="1476"/>
        <v>0</v>
      </c>
      <c r="BF1021" s="40">
        <f t="shared" ca="1" si="1477"/>
        <v>7</v>
      </c>
      <c r="BG1021" s="3057">
        <f t="shared" ca="1" si="1478"/>
        <v>-7</v>
      </c>
      <c r="BH1021" s="2695">
        <f t="shared" ca="1" si="1479"/>
        <v>0</v>
      </c>
    </row>
    <row r="1022" spans="1:60" s="34" customFormat="1" ht="14.5">
      <c r="A1022" s="616">
        <f t="shared" si="1428"/>
        <v>935</v>
      </c>
      <c r="B1022" s="616">
        <v>1</v>
      </c>
      <c r="C1022" s="616">
        <f t="shared" si="1429"/>
        <v>1019</v>
      </c>
      <c r="E1022" s="2547">
        <v>1</v>
      </c>
      <c r="F1022" s="4"/>
      <c r="G1022" s="4"/>
      <c r="H1022" s="4"/>
      <c r="I1022" s="256"/>
      <c r="J1022" s="4"/>
      <c r="K1022" s="3"/>
      <c r="L1022" s="4"/>
      <c r="M1022" s="3"/>
      <c r="N1022" s="41"/>
      <c r="O1022" s="41" t="s">
        <v>2</v>
      </c>
      <c r="P1022" s="41"/>
      <c r="Q1022" s="1778" t="str">
        <f>CHOOSE(2, "6722000003941", "HC MS FE/TTOC Administration Total Others")</f>
        <v>HC MS FE/TTOC Administration Total Others</v>
      </c>
      <c r="R1022" s="1212">
        <v>0</v>
      </c>
      <c r="S1022" s="1212">
        <v>0</v>
      </c>
      <c r="T1022" s="1212">
        <v>0</v>
      </c>
      <c r="U1022" s="1212">
        <v>0</v>
      </c>
      <c r="V1022" s="1212">
        <v>0</v>
      </c>
      <c r="W1022" s="1212">
        <v>0</v>
      </c>
      <c r="X1022" s="1212">
        <v>0</v>
      </c>
      <c r="Y1022" s="1212">
        <v>0</v>
      </c>
      <c r="Z1022" s="1212">
        <v>0</v>
      </c>
      <c r="AA1022" s="1212">
        <v>0</v>
      </c>
      <c r="AB1022" s="1212">
        <v>0</v>
      </c>
      <c r="AC1022" s="1212">
        <v>0</v>
      </c>
      <c r="AD1022" s="877">
        <f>T1022</f>
        <v>0</v>
      </c>
      <c r="AE1022" s="40">
        <f>W1022</f>
        <v>0</v>
      </c>
      <c r="AF1022" s="40">
        <f>Z1022</f>
        <v>0</v>
      </c>
      <c r="AG1022" s="40">
        <f>AC1022</f>
        <v>0</v>
      </c>
      <c r="AH1022" s="40">
        <f>AE1022</f>
        <v>0</v>
      </c>
      <c r="AI1022" s="40">
        <f>AG1022</f>
        <v>0</v>
      </c>
      <c r="AJ1022" s="40">
        <f>AI1022</f>
        <v>0</v>
      </c>
      <c r="AL1022" s="40">
        <f t="shared" ca="1" si="1459"/>
        <v>0</v>
      </c>
      <c r="AM1022" s="40">
        <f t="shared" ca="1" si="1460"/>
        <v>0</v>
      </c>
      <c r="AN1022" s="3057">
        <f t="shared" ca="1" si="1461"/>
        <v>0</v>
      </c>
      <c r="AO1022" s="2695">
        <f t="shared" ca="1" si="1462"/>
        <v>0</v>
      </c>
      <c r="AP1022" s="40">
        <f t="shared" ca="1" si="1463"/>
        <v>9</v>
      </c>
      <c r="AQ1022" s="3057">
        <f t="shared" ca="1" si="1464"/>
        <v>-9</v>
      </c>
      <c r="AR1022" s="2695">
        <f t="shared" ca="1" si="1465"/>
        <v>0</v>
      </c>
      <c r="AT1022" s="40">
        <f t="shared" ca="1" si="1466"/>
        <v>0</v>
      </c>
      <c r="AU1022" s="40">
        <f t="shared" ca="1" si="1467"/>
        <v>0</v>
      </c>
      <c r="AV1022" s="3057">
        <f t="shared" ca="1" si="1468"/>
        <v>0</v>
      </c>
      <c r="AW1022" s="2695">
        <f t="shared" ca="1" si="1469"/>
        <v>0</v>
      </c>
      <c r="AX1022" s="40">
        <f t="shared" ca="1" si="1470"/>
        <v>9</v>
      </c>
      <c r="AY1022" s="3057">
        <f t="shared" ca="1" si="1471"/>
        <v>-9</v>
      </c>
      <c r="AZ1022" s="2695">
        <f t="shared" ca="1" si="1472"/>
        <v>0</v>
      </c>
      <c r="BB1022" s="40">
        <f t="shared" ca="1" si="1473"/>
        <v>0</v>
      </c>
      <c r="BC1022" s="40">
        <f t="shared" ca="1" si="1474"/>
        <v>0</v>
      </c>
      <c r="BD1022" s="3057">
        <f t="shared" ca="1" si="1475"/>
        <v>0</v>
      </c>
      <c r="BE1022" s="2695">
        <f t="shared" ca="1" si="1476"/>
        <v>0</v>
      </c>
      <c r="BF1022" s="40">
        <f t="shared" ca="1" si="1477"/>
        <v>9</v>
      </c>
      <c r="BG1022" s="3057">
        <f t="shared" ca="1" si="1478"/>
        <v>-9</v>
      </c>
      <c r="BH1022" s="2695">
        <f t="shared" ca="1" si="1479"/>
        <v>0</v>
      </c>
    </row>
    <row r="1023" spans="1:60" s="34" customFormat="1" ht="14.5">
      <c r="A1023" s="616">
        <f t="shared" si="1428"/>
        <v>936</v>
      </c>
      <c r="B1023" s="616">
        <v>1</v>
      </c>
      <c r="C1023" s="616">
        <f t="shared" si="1429"/>
        <v>1020</v>
      </c>
      <c r="D1023" s="709" t="s">
        <v>1308</v>
      </c>
      <c r="E1023" s="2547">
        <v>1</v>
      </c>
      <c r="F1023" s="4"/>
      <c r="G1023" s="4"/>
      <c r="H1023" s="4"/>
      <c r="I1023" s="256"/>
      <c r="J1023" s="252" t="s">
        <v>1518</v>
      </c>
      <c r="K1023" s="251"/>
      <c r="L1023" s="252"/>
      <c r="M1023" s="252"/>
      <c r="N1023" s="251"/>
      <c r="O1023" s="251"/>
      <c r="P1023" s="251"/>
      <c r="Q1023" s="1786" t="str">
        <f>CHOOSE(2, "6722000003942", "HC MS FE/TTOC Logistics Total")</f>
        <v>HC MS FE/TTOC Logistics Total</v>
      </c>
      <c r="R1023" s="3102">
        <f>SUM(R1024:R1026)</f>
        <v>0</v>
      </c>
      <c r="S1023" s="3102">
        <f t="shared" ref="S1023:AJ1023" si="1484">SUM(S1024:S1026)</f>
        <v>0</v>
      </c>
      <c r="T1023" s="3102">
        <f t="shared" si="1484"/>
        <v>0</v>
      </c>
      <c r="U1023" s="3102">
        <f t="shared" si="1484"/>
        <v>0</v>
      </c>
      <c r="V1023" s="3102">
        <f t="shared" si="1484"/>
        <v>0</v>
      </c>
      <c r="W1023" s="3102">
        <f t="shared" si="1484"/>
        <v>0</v>
      </c>
      <c r="X1023" s="3102">
        <f t="shared" si="1484"/>
        <v>0</v>
      </c>
      <c r="Y1023" s="3102">
        <f t="shared" si="1484"/>
        <v>0</v>
      </c>
      <c r="Z1023" s="3102">
        <f t="shared" si="1484"/>
        <v>0</v>
      </c>
      <c r="AA1023" s="3102">
        <f t="shared" si="1484"/>
        <v>0</v>
      </c>
      <c r="AB1023" s="3102">
        <f t="shared" si="1484"/>
        <v>0</v>
      </c>
      <c r="AC1023" s="3102">
        <f t="shared" si="1484"/>
        <v>0</v>
      </c>
      <c r="AD1023" s="745">
        <f t="shared" si="1484"/>
        <v>0</v>
      </c>
      <c r="AE1023" s="3102">
        <f t="shared" si="1484"/>
        <v>0</v>
      </c>
      <c r="AF1023" s="3102">
        <f t="shared" si="1484"/>
        <v>0</v>
      </c>
      <c r="AG1023" s="3102">
        <f t="shared" si="1484"/>
        <v>0</v>
      </c>
      <c r="AH1023" s="3102">
        <f t="shared" si="1484"/>
        <v>0</v>
      </c>
      <c r="AI1023" s="3102">
        <f t="shared" si="1484"/>
        <v>0</v>
      </c>
      <c r="AJ1023" s="3102">
        <f t="shared" si="1484"/>
        <v>0</v>
      </c>
      <c r="AL1023" s="3102">
        <f t="shared" ca="1" si="1459"/>
        <v>0</v>
      </c>
      <c r="AM1023" s="3102">
        <f t="shared" ca="1" si="1460"/>
        <v>0</v>
      </c>
      <c r="AN1023" s="3304">
        <f t="shared" ca="1" si="1461"/>
        <v>0</v>
      </c>
      <c r="AO1023" s="2953">
        <f t="shared" ca="1" si="1462"/>
        <v>0</v>
      </c>
      <c r="AP1023" s="3102">
        <f t="shared" ca="1" si="1463"/>
        <v>0</v>
      </c>
      <c r="AQ1023" s="3304">
        <f t="shared" ca="1" si="1464"/>
        <v>0</v>
      </c>
      <c r="AR1023" s="2953">
        <f t="shared" ca="1" si="1465"/>
        <v>0</v>
      </c>
      <c r="AT1023" s="3102">
        <f t="shared" ca="1" si="1466"/>
        <v>0</v>
      </c>
      <c r="AU1023" s="3102">
        <f t="shared" ca="1" si="1467"/>
        <v>0</v>
      </c>
      <c r="AV1023" s="3304">
        <f t="shared" ca="1" si="1468"/>
        <v>0</v>
      </c>
      <c r="AW1023" s="2953">
        <f t="shared" ca="1" si="1469"/>
        <v>0</v>
      </c>
      <c r="AX1023" s="3102">
        <f t="shared" ca="1" si="1470"/>
        <v>0</v>
      </c>
      <c r="AY1023" s="3304">
        <f t="shared" ca="1" si="1471"/>
        <v>0</v>
      </c>
      <c r="AZ1023" s="2953">
        <f t="shared" ca="1" si="1472"/>
        <v>0</v>
      </c>
      <c r="BB1023" s="3102">
        <f t="shared" ca="1" si="1473"/>
        <v>0</v>
      </c>
      <c r="BC1023" s="3102">
        <f t="shared" ca="1" si="1474"/>
        <v>0</v>
      </c>
      <c r="BD1023" s="3304">
        <f t="shared" ca="1" si="1475"/>
        <v>0</v>
      </c>
      <c r="BE1023" s="2953">
        <f t="shared" ca="1" si="1476"/>
        <v>0</v>
      </c>
      <c r="BF1023" s="3102">
        <f t="shared" ca="1" si="1477"/>
        <v>0</v>
      </c>
      <c r="BG1023" s="3304">
        <f t="shared" ca="1" si="1478"/>
        <v>0</v>
      </c>
      <c r="BH1023" s="2953">
        <f t="shared" ca="1" si="1479"/>
        <v>0</v>
      </c>
    </row>
    <row r="1024" spans="1:60" s="34" customFormat="1" ht="14.5">
      <c r="A1024" s="616">
        <f t="shared" si="1428"/>
        <v>937</v>
      </c>
      <c r="B1024" s="616">
        <v>1</v>
      </c>
      <c r="C1024" s="616">
        <f t="shared" si="1429"/>
        <v>1021</v>
      </c>
      <c r="E1024" s="2547">
        <v>1</v>
      </c>
      <c r="F1024" s="4"/>
      <c r="G1024" s="4"/>
      <c r="H1024" s="4"/>
      <c r="I1024" s="256"/>
      <c r="J1024" s="4"/>
      <c r="K1024" s="3"/>
      <c r="L1024" s="4"/>
      <c r="M1024" s="3"/>
      <c r="N1024" s="41"/>
      <c r="O1024" s="41" t="s">
        <v>21</v>
      </c>
      <c r="P1024" s="41"/>
      <c r="Q1024" s="1778" t="str">
        <f>CHOOSE(2, "6722000003943", "HC MS FE/TTOC Logistics Total Administration")</f>
        <v>HC MS FE/TTOC Logistics Total Administration</v>
      </c>
      <c r="R1024" s="1212">
        <v>0</v>
      </c>
      <c r="S1024" s="1212">
        <v>0</v>
      </c>
      <c r="T1024" s="1212">
        <v>0</v>
      </c>
      <c r="U1024" s="1212">
        <v>0</v>
      </c>
      <c r="V1024" s="1212">
        <v>0</v>
      </c>
      <c r="W1024" s="1212">
        <v>0</v>
      </c>
      <c r="X1024" s="1212">
        <v>0</v>
      </c>
      <c r="Y1024" s="1212">
        <v>0</v>
      </c>
      <c r="Z1024" s="1212">
        <v>0</v>
      </c>
      <c r="AA1024" s="1212">
        <v>0</v>
      </c>
      <c r="AB1024" s="1212">
        <v>0</v>
      </c>
      <c r="AC1024" s="1212">
        <v>0</v>
      </c>
      <c r="AD1024" s="877">
        <f>T1024</f>
        <v>0</v>
      </c>
      <c r="AE1024" s="40">
        <f>W1024</f>
        <v>0</v>
      </c>
      <c r="AF1024" s="40">
        <f>Z1024</f>
        <v>0</v>
      </c>
      <c r="AG1024" s="40">
        <f>AC1024</f>
        <v>0</v>
      </c>
      <c r="AH1024" s="40">
        <f>AE1024</f>
        <v>0</v>
      </c>
      <c r="AI1024" s="40">
        <f>AG1024</f>
        <v>0</v>
      </c>
      <c r="AJ1024" s="40">
        <f>AI1024</f>
        <v>0</v>
      </c>
      <c r="AL1024" s="40">
        <f t="shared" ca="1" si="1459"/>
        <v>0</v>
      </c>
      <c r="AM1024" s="40">
        <f t="shared" ca="1" si="1460"/>
        <v>0</v>
      </c>
      <c r="AN1024" s="3057">
        <f t="shared" ca="1" si="1461"/>
        <v>0</v>
      </c>
      <c r="AO1024" s="2695">
        <f t="shared" ca="1" si="1462"/>
        <v>0</v>
      </c>
      <c r="AP1024" s="40">
        <f t="shared" ca="1" si="1463"/>
        <v>27</v>
      </c>
      <c r="AQ1024" s="3057">
        <f t="shared" ca="1" si="1464"/>
        <v>-27</v>
      </c>
      <c r="AR1024" s="2695">
        <f t="shared" ca="1" si="1465"/>
        <v>0</v>
      </c>
      <c r="AT1024" s="40">
        <f t="shared" ca="1" si="1466"/>
        <v>0</v>
      </c>
      <c r="AU1024" s="40">
        <f t="shared" ca="1" si="1467"/>
        <v>0</v>
      </c>
      <c r="AV1024" s="3057">
        <f t="shared" ca="1" si="1468"/>
        <v>0</v>
      </c>
      <c r="AW1024" s="2695">
        <f t="shared" ca="1" si="1469"/>
        <v>0</v>
      </c>
      <c r="AX1024" s="40">
        <f t="shared" ca="1" si="1470"/>
        <v>27</v>
      </c>
      <c r="AY1024" s="3057">
        <f t="shared" ca="1" si="1471"/>
        <v>-27</v>
      </c>
      <c r="AZ1024" s="2695">
        <f t="shared" ca="1" si="1472"/>
        <v>0</v>
      </c>
      <c r="BB1024" s="40">
        <f t="shared" ca="1" si="1473"/>
        <v>0</v>
      </c>
      <c r="BC1024" s="40">
        <f t="shared" ca="1" si="1474"/>
        <v>0</v>
      </c>
      <c r="BD1024" s="3057">
        <f t="shared" ca="1" si="1475"/>
        <v>0</v>
      </c>
      <c r="BE1024" s="2695">
        <f t="shared" ca="1" si="1476"/>
        <v>0</v>
      </c>
      <c r="BF1024" s="40">
        <f t="shared" ca="1" si="1477"/>
        <v>27</v>
      </c>
      <c r="BG1024" s="3057">
        <f t="shared" ca="1" si="1478"/>
        <v>-27</v>
      </c>
      <c r="BH1024" s="2695">
        <f t="shared" ca="1" si="1479"/>
        <v>0</v>
      </c>
    </row>
    <row r="1025" spans="1:60" s="34" customFormat="1" ht="14.5">
      <c r="A1025" s="616">
        <f t="shared" ref="A1025:A1088" si="1485">A1024+1</f>
        <v>938</v>
      </c>
      <c r="B1025" s="616">
        <v>1</v>
      </c>
      <c r="C1025" s="616">
        <f t="shared" si="1429"/>
        <v>1022</v>
      </c>
      <c r="E1025" s="2547">
        <v>1</v>
      </c>
      <c r="F1025" s="4"/>
      <c r="G1025" s="4"/>
      <c r="H1025" s="4"/>
      <c r="I1025" s="256"/>
      <c r="J1025" s="4"/>
      <c r="K1025" s="3"/>
      <c r="L1025" s="4"/>
      <c r="M1025" s="3"/>
      <c r="N1025" s="41"/>
      <c r="O1025" s="41" t="s">
        <v>22</v>
      </c>
      <c r="P1025" s="41"/>
      <c r="Q1025" s="1778" t="str">
        <f>CHOOSE(2, "6722000003944", "HC MS FE/TTOC Logistics Total Warehouse")</f>
        <v>HC MS FE/TTOC Logistics Total Warehouse</v>
      </c>
      <c r="R1025" s="1212">
        <v>0</v>
      </c>
      <c r="S1025" s="1212">
        <v>0</v>
      </c>
      <c r="T1025" s="1212">
        <v>0</v>
      </c>
      <c r="U1025" s="1212">
        <v>0</v>
      </c>
      <c r="V1025" s="1212">
        <v>0</v>
      </c>
      <c r="W1025" s="1212">
        <v>0</v>
      </c>
      <c r="X1025" s="1212">
        <v>0</v>
      </c>
      <c r="Y1025" s="1212">
        <v>0</v>
      </c>
      <c r="Z1025" s="1212">
        <v>0</v>
      </c>
      <c r="AA1025" s="1212">
        <v>0</v>
      </c>
      <c r="AB1025" s="1212">
        <v>0</v>
      </c>
      <c r="AC1025" s="1212">
        <v>0</v>
      </c>
      <c r="AD1025" s="877">
        <f>T1025</f>
        <v>0</v>
      </c>
      <c r="AE1025" s="40">
        <f>W1025</f>
        <v>0</v>
      </c>
      <c r="AF1025" s="40">
        <f>Z1025</f>
        <v>0</v>
      </c>
      <c r="AG1025" s="40">
        <f>AC1025</f>
        <v>0</v>
      </c>
      <c r="AH1025" s="40">
        <f>AE1025</f>
        <v>0</v>
      </c>
      <c r="AI1025" s="40">
        <f>AG1025</f>
        <v>0</v>
      </c>
      <c r="AJ1025" s="40">
        <f>AI1025</f>
        <v>0</v>
      </c>
      <c r="AL1025" s="40">
        <f t="shared" ca="1" si="1459"/>
        <v>0</v>
      </c>
      <c r="AM1025" s="40">
        <f t="shared" ca="1" si="1460"/>
        <v>0</v>
      </c>
      <c r="AN1025" s="3057">
        <f t="shared" ca="1" si="1461"/>
        <v>0</v>
      </c>
      <c r="AO1025" s="2695">
        <f t="shared" ca="1" si="1462"/>
        <v>0</v>
      </c>
      <c r="AP1025" s="40">
        <f t="shared" ca="1" si="1463"/>
        <v>0</v>
      </c>
      <c r="AQ1025" s="3057">
        <f t="shared" ca="1" si="1464"/>
        <v>0</v>
      </c>
      <c r="AR1025" s="2695">
        <f t="shared" ca="1" si="1465"/>
        <v>0</v>
      </c>
      <c r="AT1025" s="40">
        <f t="shared" ca="1" si="1466"/>
        <v>0</v>
      </c>
      <c r="AU1025" s="40">
        <f t="shared" ca="1" si="1467"/>
        <v>0</v>
      </c>
      <c r="AV1025" s="3057">
        <f t="shared" ca="1" si="1468"/>
        <v>0</v>
      </c>
      <c r="AW1025" s="2695">
        <f t="shared" ca="1" si="1469"/>
        <v>0</v>
      </c>
      <c r="AX1025" s="40">
        <f t="shared" ca="1" si="1470"/>
        <v>0</v>
      </c>
      <c r="AY1025" s="3057">
        <f t="shared" ca="1" si="1471"/>
        <v>0</v>
      </c>
      <c r="AZ1025" s="2695">
        <f t="shared" ca="1" si="1472"/>
        <v>0</v>
      </c>
      <c r="BB1025" s="40">
        <f t="shared" ca="1" si="1473"/>
        <v>0</v>
      </c>
      <c r="BC1025" s="40">
        <f t="shared" ca="1" si="1474"/>
        <v>0</v>
      </c>
      <c r="BD1025" s="3057">
        <f t="shared" ca="1" si="1475"/>
        <v>0</v>
      </c>
      <c r="BE1025" s="2695">
        <f t="shared" ca="1" si="1476"/>
        <v>0</v>
      </c>
      <c r="BF1025" s="40">
        <f t="shared" ca="1" si="1477"/>
        <v>0</v>
      </c>
      <c r="BG1025" s="3057">
        <f t="shared" ca="1" si="1478"/>
        <v>0</v>
      </c>
      <c r="BH1025" s="2695">
        <f t="shared" ca="1" si="1479"/>
        <v>0</v>
      </c>
    </row>
    <row r="1026" spans="1:60" s="34" customFormat="1" ht="14.5">
      <c r="A1026" s="616">
        <f t="shared" si="1485"/>
        <v>939</v>
      </c>
      <c r="B1026" s="616">
        <v>1</v>
      </c>
      <c r="C1026" s="616">
        <f t="shared" ref="C1026:C1089" si="1486">ROW()-3</f>
        <v>1023</v>
      </c>
      <c r="E1026" s="2547">
        <v>1</v>
      </c>
      <c r="F1026" s="4"/>
      <c r="G1026" s="4"/>
      <c r="H1026" s="4"/>
      <c r="I1026" s="257"/>
      <c r="J1026" s="2"/>
      <c r="K1026" s="1"/>
      <c r="L1026" s="2"/>
      <c r="M1026" s="1"/>
      <c r="N1026" s="39"/>
      <c r="O1026" s="39" t="s">
        <v>23</v>
      </c>
      <c r="P1026" s="39"/>
      <c r="Q1026" s="1778" t="str">
        <f>CHOOSE(2, "6722000003945", "HC MS FE/TTOC Logistics Total Workshop")</f>
        <v>HC MS FE/TTOC Logistics Total Workshop</v>
      </c>
      <c r="R1026" s="1211">
        <v>0</v>
      </c>
      <c r="S1026" s="1211">
        <v>0</v>
      </c>
      <c r="T1026" s="1211">
        <v>0</v>
      </c>
      <c r="U1026" s="1211">
        <v>0</v>
      </c>
      <c r="V1026" s="1211">
        <v>0</v>
      </c>
      <c r="W1026" s="1211">
        <v>0</v>
      </c>
      <c r="X1026" s="1211">
        <v>0</v>
      </c>
      <c r="Y1026" s="1211">
        <v>0</v>
      </c>
      <c r="Z1026" s="1211">
        <v>0</v>
      </c>
      <c r="AA1026" s="1211">
        <v>0</v>
      </c>
      <c r="AB1026" s="1211">
        <v>0</v>
      </c>
      <c r="AC1026" s="1211">
        <v>0</v>
      </c>
      <c r="AD1026" s="912">
        <f>T1026</f>
        <v>0</v>
      </c>
      <c r="AE1026" s="38">
        <f>W1026</f>
        <v>0</v>
      </c>
      <c r="AF1026" s="38">
        <f>Z1026</f>
        <v>0</v>
      </c>
      <c r="AG1026" s="38">
        <f>AC1026</f>
        <v>0</v>
      </c>
      <c r="AH1026" s="38">
        <f>AE1026</f>
        <v>0</v>
      </c>
      <c r="AI1026" s="38">
        <f>AG1026</f>
        <v>0</v>
      </c>
      <c r="AJ1026" s="38">
        <f>AI1026</f>
        <v>0</v>
      </c>
      <c r="AL1026" s="38">
        <f t="shared" ca="1" si="1459"/>
        <v>0</v>
      </c>
      <c r="AM1026" s="38">
        <f t="shared" ca="1" si="1460"/>
        <v>0</v>
      </c>
      <c r="AN1026" s="3303">
        <f t="shared" ca="1" si="1461"/>
        <v>0</v>
      </c>
      <c r="AO1026" s="2951">
        <f t="shared" ca="1" si="1462"/>
        <v>0</v>
      </c>
      <c r="AP1026" s="38">
        <f t="shared" ca="1" si="1463"/>
        <v>0</v>
      </c>
      <c r="AQ1026" s="3303">
        <f t="shared" ca="1" si="1464"/>
        <v>0</v>
      </c>
      <c r="AR1026" s="2951">
        <f t="shared" ca="1" si="1465"/>
        <v>0</v>
      </c>
      <c r="AT1026" s="38">
        <f t="shared" ca="1" si="1466"/>
        <v>0</v>
      </c>
      <c r="AU1026" s="38">
        <f t="shared" ca="1" si="1467"/>
        <v>0</v>
      </c>
      <c r="AV1026" s="3303">
        <f t="shared" ca="1" si="1468"/>
        <v>0</v>
      </c>
      <c r="AW1026" s="2951">
        <f t="shared" ca="1" si="1469"/>
        <v>0</v>
      </c>
      <c r="AX1026" s="38">
        <f t="shared" ca="1" si="1470"/>
        <v>0</v>
      </c>
      <c r="AY1026" s="3303">
        <f t="shared" ca="1" si="1471"/>
        <v>0</v>
      </c>
      <c r="AZ1026" s="2951">
        <f t="shared" ca="1" si="1472"/>
        <v>0</v>
      </c>
      <c r="BB1026" s="38">
        <f t="shared" ca="1" si="1473"/>
        <v>0</v>
      </c>
      <c r="BC1026" s="38">
        <f t="shared" ca="1" si="1474"/>
        <v>0</v>
      </c>
      <c r="BD1026" s="3303">
        <f t="shared" ca="1" si="1475"/>
        <v>0</v>
      </c>
      <c r="BE1026" s="2951">
        <f t="shared" ca="1" si="1476"/>
        <v>0</v>
      </c>
      <c r="BF1026" s="38">
        <f t="shared" ca="1" si="1477"/>
        <v>0</v>
      </c>
      <c r="BG1026" s="3303">
        <f t="shared" ca="1" si="1478"/>
        <v>0</v>
      </c>
      <c r="BH1026" s="2951">
        <f t="shared" ca="1" si="1479"/>
        <v>0</v>
      </c>
    </row>
    <row r="1027" spans="1:60" s="34" customFormat="1" ht="14.5">
      <c r="A1027" s="616">
        <f t="shared" si="1485"/>
        <v>940</v>
      </c>
      <c r="B1027" s="616">
        <v>1</v>
      </c>
      <c r="C1027" s="616">
        <f t="shared" si="1486"/>
        <v>1024</v>
      </c>
      <c r="D1027" s="709" t="s">
        <v>1308</v>
      </c>
      <c r="E1027" s="2547">
        <v>1</v>
      </c>
      <c r="F1027" s="4"/>
      <c r="G1027" s="4"/>
      <c r="H1027" s="4"/>
      <c r="I1027" s="2253" t="s">
        <v>1511</v>
      </c>
      <c r="J1027" s="1523"/>
      <c r="K1027" s="1509"/>
      <c r="L1027" s="1509"/>
      <c r="M1027" s="1523"/>
      <c r="N1027" s="1523"/>
      <c r="O1027" s="1523"/>
      <c r="P1027" s="1523"/>
      <c r="Q1027" s="1790" t="str">
        <f>CHOOSE(2, "6722000003946", "HC MS Semi-Full-Time/Part-Time Employees /Contractors")</f>
        <v>HC MS Semi-Full-Time/Part-Time Employees /Contractors</v>
      </c>
      <c r="R1027" s="3312">
        <v>0</v>
      </c>
      <c r="S1027" s="3312">
        <v>0</v>
      </c>
      <c r="T1027" s="3312">
        <v>0</v>
      </c>
      <c r="U1027" s="3312">
        <v>0</v>
      </c>
      <c r="V1027" s="3312">
        <v>0</v>
      </c>
      <c r="W1027" s="3312">
        <v>0</v>
      </c>
      <c r="X1027" s="3312">
        <v>0</v>
      </c>
      <c r="Y1027" s="3312">
        <v>0</v>
      </c>
      <c r="Z1027" s="3312">
        <v>0</v>
      </c>
      <c r="AA1027" s="3312">
        <v>0</v>
      </c>
      <c r="AB1027" s="3312">
        <v>0</v>
      </c>
      <c r="AC1027" s="3312">
        <v>0</v>
      </c>
      <c r="AD1027" s="3306">
        <f>T1027</f>
        <v>0</v>
      </c>
      <c r="AE1027" s="3198">
        <f>W1027</f>
        <v>0</v>
      </c>
      <c r="AF1027" s="3198">
        <f>Z1027</f>
        <v>0</v>
      </c>
      <c r="AG1027" s="3198">
        <f>AC1027</f>
        <v>0</v>
      </c>
      <c r="AH1027" s="3198">
        <f>AE1027</f>
        <v>0</v>
      </c>
      <c r="AI1027" s="3198">
        <f>AG1027</f>
        <v>0</v>
      </c>
      <c r="AJ1027" s="3198">
        <f>AI1027</f>
        <v>0</v>
      </c>
      <c r="AL1027" s="3198">
        <f t="shared" ca="1" si="1459"/>
        <v>0</v>
      </c>
      <c r="AM1027" s="3198">
        <f t="shared" ca="1" si="1460"/>
        <v>0</v>
      </c>
      <c r="AN1027" s="3199">
        <f t="shared" ca="1" si="1461"/>
        <v>0</v>
      </c>
      <c r="AO1027" s="2850">
        <f t="shared" ca="1" si="1462"/>
        <v>0</v>
      </c>
      <c r="AP1027" s="3198">
        <f t="shared" ca="1" si="1463"/>
        <v>467</v>
      </c>
      <c r="AQ1027" s="3199">
        <f t="shared" ca="1" si="1464"/>
        <v>-467</v>
      </c>
      <c r="AR1027" s="2850">
        <f t="shared" ca="1" si="1465"/>
        <v>0</v>
      </c>
      <c r="AT1027" s="3198">
        <f t="shared" ca="1" si="1466"/>
        <v>0</v>
      </c>
      <c r="AU1027" s="3198">
        <f t="shared" ca="1" si="1467"/>
        <v>0</v>
      </c>
      <c r="AV1027" s="3199">
        <f t="shared" ca="1" si="1468"/>
        <v>0</v>
      </c>
      <c r="AW1027" s="2850">
        <f t="shared" ca="1" si="1469"/>
        <v>0</v>
      </c>
      <c r="AX1027" s="3198">
        <f t="shared" ca="1" si="1470"/>
        <v>467</v>
      </c>
      <c r="AY1027" s="3199">
        <f t="shared" ca="1" si="1471"/>
        <v>-467</v>
      </c>
      <c r="AZ1027" s="2850">
        <f t="shared" ca="1" si="1472"/>
        <v>0</v>
      </c>
      <c r="BB1027" s="3198">
        <f t="shared" ca="1" si="1473"/>
        <v>0</v>
      </c>
      <c r="BC1027" s="3198">
        <f t="shared" ca="1" si="1474"/>
        <v>0</v>
      </c>
      <c r="BD1027" s="3199">
        <f t="shared" ca="1" si="1475"/>
        <v>0</v>
      </c>
      <c r="BE1027" s="2850">
        <f t="shared" ca="1" si="1476"/>
        <v>0</v>
      </c>
      <c r="BF1027" s="3198">
        <f t="shared" ca="1" si="1477"/>
        <v>467</v>
      </c>
      <c r="BG1027" s="3199">
        <f t="shared" ca="1" si="1478"/>
        <v>-467</v>
      </c>
      <c r="BH1027" s="2850">
        <f t="shared" ca="1" si="1479"/>
        <v>0</v>
      </c>
    </row>
    <row r="1028" spans="1:60" s="34" customFormat="1" ht="14.5">
      <c r="A1028" s="616">
        <f t="shared" si="1485"/>
        <v>941</v>
      </c>
      <c r="B1028" s="616">
        <v>1</v>
      </c>
      <c r="C1028" s="616">
        <f t="shared" si="1486"/>
        <v>1025</v>
      </c>
      <c r="D1028" s="709" t="s">
        <v>1308</v>
      </c>
      <c r="E1028" s="2547">
        <v>1</v>
      </c>
      <c r="F1028" s="4"/>
      <c r="G1028" s="4"/>
      <c r="H1028" s="4"/>
      <c r="I1028" s="4"/>
      <c r="J1028" s="3"/>
      <c r="K1028" s="4"/>
      <c r="L1028" s="4"/>
      <c r="M1028" s="4"/>
      <c r="N1028" s="3"/>
      <c r="O1028" s="3"/>
      <c r="P1028" s="3"/>
      <c r="Q1028" s="1773" t="str">
        <f>CHOOSE(2, "6722000003947", "▷ Blank 31")</f>
        <v>▷ Blank 31</v>
      </c>
      <c r="R1028" s="2562"/>
      <c r="S1028" s="2563"/>
      <c r="T1028" s="2563"/>
      <c r="U1028" s="2563"/>
      <c r="V1028" s="2563"/>
      <c r="W1028" s="2563"/>
      <c r="X1028" s="2563"/>
      <c r="Y1028" s="2563"/>
      <c r="Z1028" s="2563"/>
      <c r="AA1028" s="2563"/>
    </row>
    <row r="1029" spans="1:60" s="34" customFormat="1" ht="14.5">
      <c r="A1029" s="616">
        <f t="shared" si="1485"/>
        <v>942</v>
      </c>
      <c r="B1029" s="616">
        <v>1</v>
      </c>
      <c r="C1029" s="616">
        <f t="shared" si="1486"/>
        <v>1026</v>
      </c>
      <c r="D1029" s="709" t="s">
        <v>1308</v>
      </c>
      <c r="E1029" s="2544">
        <v>1</v>
      </c>
      <c r="F1029" s="8"/>
      <c r="G1029" s="22"/>
      <c r="H1029" s="4" t="s">
        <v>1427</v>
      </c>
      <c r="I1029" s="4"/>
      <c r="J1029" s="3"/>
      <c r="K1029" s="4"/>
      <c r="L1029" s="4"/>
      <c r="M1029" s="3"/>
      <c r="N1029" s="3"/>
      <c r="O1029" s="3"/>
      <c r="P1029" s="3"/>
      <c r="Q1029" s="1773" t="str">
        <f>CHOOSE(2, "6722000003948", "HC (5) DW-DX")</f>
        <v>HC (5) DW-DX</v>
      </c>
      <c r="R1029" s="2562"/>
      <c r="S1029" s="2563"/>
      <c r="T1029" s="2563"/>
      <c r="U1029" s="2563"/>
      <c r="V1029" s="2563"/>
      <c r="W1029" s="2563"/>
      <c r="X1029" s="2563"/>
      <c r="Y1029" s="2563"/>
      <c r="Z1029" s="2563"/>
      <c r="AA1029" s="2563"/>
    </row>
    <row r="1030" spans="1:60" s="272" customFormat="1" ht="14.5">
      <c r="A1030" s="616">
        <f t="shared" si="1485"/>
        <v>943</v>
      </c>
      <c r="B1030" s="616">
        <v>1</v>
      </c>
      <c r="C1030" s="616">
        <f t="shared" si="1486"/>
        <v>1027</v>
      </c>
      <c r="D1030" s="709" t="s">
        <v>1308</v>
      </c>
      <c r="E1030" s="2547">
        <v>1</v>
      </c>
      <c r="F1030" s="267"/>
      <c r="G1030" s="267"/>
      <c r="H1030" s="268"/>
      <c r="I1030" s="3317" t="s">
        <v>202</v>
      </c>
      <c r="J1030" s="3318"/>
      <c r="K1030" s="873"/>
      <c r="L1030" s="873"/>
      <c r="M1030" s="873"/>
      <c r="N1030" s="873"/>
      <c r="O1030" s="873"/>
      <c r="P1030" s="873"/>
      <c r="Q1030" s="1804" t="str">
        <f>CHOOSE(2, "6722000003949", "HC DW-DX FE/TTOC")</f>
        <v>HC DW-DX FE/TTOC</v>
      </c>
      <c r="R1030" s="1316">
        <f>R1031+R1036+R1042+R1047+R1053</f>
        <v>8</v>
      </c>
      <c r="S1030" s="3188">
        <f t="shared" ref="S1030:AJ1030" si="1487">S1031+S1036+S1042+S1047+S1053</f>
        <v>6</v>
      </c>
      <c r="T1030" s="3188">
        <f t="shared" si="1487"/>
        <v>6</v>
      </c>
      <c r="U1030" s="3188">
        <f t="shared" si="1487"/>
        <v>6</v>
      </c>
      <c r="V1030" s="3188">
        <f t="shared" si="1487"/>
        <v>6</v>
      </c>
      <c r="W1030" s="3188">
        <f t="shared" si="1487"/>
        <v>6</v>
      </c>
      <c r="X1030" s="3188">
        <f t="shared" si="1487"/>
        <v>6</v>
      </c>
      <c r="Y1030" s="3188">
        <f t="shared" si="1487"/>
        <v>6</v>
      </c>
      <c r="Z1030" s="3188">
        <f t="shared" si="1487"/>
        <v>6</v>
      </c>
      <c r="AA1030" s="3188">
        <f t="shared" si="1487"/>
        <v>6</v>
      </c>
      <c r="AB1030" s="3188">
        <f t="shared" si="1487"/>
        <v>6</v>
      </c>
      <c r="AC1030" s="3188">
        <f t="shared" si="1487"/>
        <v>5</v>
      </c>
      <c r="AD1030" s="3188">
        <f t="shared" si="1487"/>
        <v>6</v>
      </c>
      <c r="AE1030" s="3188">
        <f t="shared" si="1487"/>
        <v>6</v>
      </c>
      <c r="AF1030" s="3188">
        <f t="shared" si="1487"/>
        <v>6</v>
      </c>
      <c r="AG1030" s="3188">
        <f t="shared" si="1487"/>
        <v>5</v>
      </c>
      <c r="AH1030" s="3188">
        <f t="shared" si="1487"/>
        <v>6</v>
      </c>
      <c r="AI1030" s="3188">
        <f t="shared" si="1487"/>
        <v>5</v>
      </c>
      <c r="AJ1030" s="3188">
        <f t="shared" si="1487"/>
        <v>5</v>
      </c>
      <c r="AL1030" s="1316">
        <f t="shared" ref="AL1030:AL1057" ca="1" si="1488">INDIRECT(AL$3&amp;(ROW()))</f>
        <v>5</v>
      </c>
      <c r="AM1030" s="3188">
        <f t="shared" ref="AM1030:AM1057" ca="1" si="1489">INDIRECT(AM$1&amp;AM$3&amp;$C1030)</f>
        <v>0</v>
      </c>
      <c r="AN1030" s="3189">
        <f t="shared" ref="AN1030:AN1057" ca="1" si="1490">AL1030-AM1030</f>
        <v>5</v>
      </c>
      <c r="AO1030" s="3190">
        <f t="shared" ref="AO1030:AO1057" ca="1" si="1491">IFERROR(AL1030/AM1030,0)</f>
        <v>0</v>
      </c>
      <c r="AP1030" s="3188">
        <f t="shared" ref="AP1030:AP1057" ca="1" si="1492">INDIRECT(AP$1&amp;AP$3&amp;$A1030)+INDIRECT(AP$1&amp;AP$3&amp;$B1030)</f>
        <v>0</v>
      </c>
      <c r="AQ1030" s="3189">
        <f t="shared" ref="AQ1030:AQ1057" ca="1" si="1493">AL1030-AP1030</f>
        <v>5</v>
      </c>
      <c r="AR1030" s="3190">
        <f t="shared" ref="AR1030:AR1057" ca="1" si="1494">IFERROR(AL1030/AP1030,0)</f>
        <v>0</v>
      </c>
      <c r="AT1030" s="1316">
        <f t="shared" ref="AT1030:AT1057" ca="1" si="1495">INDIRECT(AT$3&amp;(ROW()))</f>
        <v>5</v>
      </c>
      <c r="AU1030" s="3188">
        <f t="shared" ref="AU1030:AU1057" ca="1" si="1496">INDIRECT(AU$1&amp;AU$3&amp;$C1030)</f>
        <v>0</v>
      </c>
      <c r="AV1030" s="3189">
        <f t="shared" ref="AV1030:AV1057" ca="1" si="1497">AT1030-AU1030</f>
        <v>5</v>
      </c>
      <c r="AW1030" s="3190">
        <f t="shared" ref="AW1030:AW1057" ca="1" si="1498">IFERROR(AT1030/AU1030,0)</f>
        <v>0</v>
      </c>
      <c r="AX1030" s="3188">
        <f t="shared" ref="AX1030:AX1057" ca="1" si="1499">INDIRECT(AX$1&amp;AX$3&amp;$A1030)+INDIRECT(AX$1&amp;AX$3&amp;$B1030)</f>
        <v>0</v>
      </c>
      <c r="AY1030" s="3189">
        <f t="shared" ref="AY1030:AY1057" ca="1" si="1500">AT1030-AX1030</f>
        <v>5</v>
      </c>
      <c r="AZ1030" s="3190">
        <f t="shared" ref="AZ1030:AZ1057" ca="1" si="1501">IFERROR(AT1030/AX1030,0)</f>
        <v>0</v>
      </c>
      <c r="BB1030" s="1316">
        <f t="shared" ref="BB1030:BB1057" ca="1" si="1502">INDIRECT(BB$3&amp;(ROW()))</f>
        <v>5</v>
      </c>
      <c r="BC1030" s="3188">
        <f t="shared" ref="BC1030:BC1057" ca="1" si="1503">INDIRECT(BC$1&amp;BC$3&amp;$C1030)</f>
        <v>0</v>
      </c>
      <c r="BD1030" s="3189">
        <f t="shared" ref="BD1030:BD1057" ca="1" si="1504">BB1030-BC1030</f>
        <v>5</v>
      </c>
      <c r="BE1030" s="3190">
        <f t="shared" ref="BE1030:BE1057" ca="1" si="1505">IFERROR(BB1030/BC1030,0)</f>
        <v>0</v>
      </c>
      <c r="BF1030" s="3188">
        <f t="shared" ref="BF1030:BF1057" ca="1" si="1506">INDIRECT(BF$1&amp;BF$3&amp;$A1030)+INDIRECT(BF$1&amp;BF$3&amp;$B1030)</f>
        <v>0</v>
      </c>
      <c r="BG1030" s="3189">
        <f t="shared" ref="BG1030:BG1057" ca="1" si="1507">BB1030-BF1030</f>
        <v>5</v>
      </c>
      <c r="BH1030" s="3190">
        <f t="shared" ref="BH1030:BH1057" ca="1" si="1508">IFERROR(BB1030/BF1030,0)</f>
        <v>0</v>
      </c>
    </row>
    <row r="1031" spans="1:60" s="34" customFormat="1" ht="14.5">
      <c r="A1031" s="616">
        <f t="shared" si="1485"/>
        <v>944</v>
      </c>
      <c r="B1031" s="616">
        <v>1</v>
      </c>
      <c r="C1031" s="616">
        <f t="shared" si="1486"/>
        <v>1028</v>
      </c>
      <c r="D1031" s="709" t="s">
        <v>1308</v>
      </c>
      <c r="E1031" s="2547">
        <v>1</v>
      </c>
      <c r="F1031" s="4"/>
      <c r="G1031" s="4"/>
      <c r="H1031" s="4"/>
      <c r="I1031" s="260"/>
      <c r="J1031" s="48" t="s">
        <v>1514</v>
      </c>
      <c r="K1031" s="47"/>
      <c r="L1031" s="48"/>
      <c r="M1031" s="48"/>
      <c r="N1031" s="47"/>
      <c r="O1031" s="47"/>
      <c r="P1031" s="47"/>
      <c r="Q1031" s="1786" t="str">
        <f>CHOOSE(2, "6722000003950", "HC DW-DX FE/TTOC Sales Total")</f>
        <v>HC DW-DX FE/TTOC Sales Total</v>
      </c>
      <c r="R1031" s="45">
        <f>SUM(R1032:R1035)</f>
        <v>6</v>
      </c>
      <c r="S1031" s="45">
        <f t="shared" ref="S1031:AJ1031" si="1509">SUM(S1032:S1035)</f>
        <v>5</v>
      </c>
      <c r="T1031" s="45">
        <f t="shared" si="1509"/>
        <v>5</v>
      </c>
      <c r="U1031" s="45">
        <f t="shared" si="1509"/>
        <v>5</v>
      </c>
      <c r="V1031" s="45">
        <f t="shared" si="1509"/>
        <v>5</v>
      </c>
      <c r="W1031" s="45">
        <f t="shared" si="1509"/>
        <v>5</v>
      </c>
      <c r="X1031" s="45">
        <f t="shared" si="1509"/>
        <v>5</v>
      </c>
      <c r="Y1031" s="45">
        <f t="shared" si="1509"/>
        <v>5</v>
      </c>
      <c r="Z1031" s="45">
        <f t="shared" si="1509"/>
        <v>5</v>
      </c>
      <c r="AA1031" s="45">
        <f t="shared" si="1509"/>
        <v>5</v>
      </c>
      <c r="AB1031" s="45">
        <f t="shared" si="1509"/>
        <v>5</v>
      </c>
      <c r="AC1031" s="45">
        <f t="shared" si="1509"/>
        <v>4</v>
      </c>
      <c r="AD1031" s="911">
        <f t="shared" si="1509"/>
        <v>5</v>
      </c>
      <c r="AE1031" s="45">
        <f t="shared" si="1509"/>
        <v>5</v>
      </c>
      <c r="AF1031" s="45">
        <f t="shared" si="1509"/>
        <v>5</v>
      </c>
      <c r="AG1031" s="45">
        <f t="shared" si="1509"/>
        <v>4</v>
      </c>
      <c r="AH1031" s="45">
        <f t="shared" si="1509"/>
        <v>5</v>
      </c>
      <c r="AI1031" s="45">
        <f t="shared" si="1509"/>
        <v>4</v>
      </c>
      <c r="AJ1031" s="45">
        <f t="shared" si="1509"/>
        <v>4</v>
      </c>
      <c r="AL1031" s="45">
        <f t="shared" ca="1" si="1488"/>
        <v>4</v>
      </c>
      <c r="AM1031" s="45">
        <f t="shared" ca="1" si="1489"/>
        <v>0</v>
      </c>
      <c r="AN1031" s="3302">
        <f t="shared" ca="1" si="1490"/>
        <v>4</v>
      </c>
      <c r="AO1031" s="2949">
        <f t="shared" ca="1" si="1491"/>
        <v>0</v>
      </c>
      <c r="AP1031" s="45">
        <f t="shared" ca="1" si="1492"/>
        <v>0</v>
      </c>
      <c r="AQ1031" s="3302">
        <f t="shared" ca="1" si="1493"/>
        <v>4</v>
      </c>
      <c r="AR1031" s="2949">
        <f t="shared" ca="1" si="1494"/>
        <v>0</v>
      </c>
      <c r="AT1031" s="45">
        <f t="shared" ca="1" si="1495"/>
        <v>4</v>
      </c>
      <c r="AU1031" s="45">
        <f t="shared" ca="1" si="1496"/>
        <v>0</v>
      </c>
      <c r="AV1031" s="3302">
        <f t="shared" ca="1" si="1497"/>
        <v>4</v>
      </c>
      <c r="AW1031" s="2949">
        <f t="shared" ca="1" si="1498"/>
        <v>0</v>
      </c>
      <c r="AX1031" s="45">
        <f t="shared" ca="1" si="1499"/>
        <v>0</v>
      </c>
      <c r="AY1031" s="3302">
        <f t="shared" ca="1" si="1500"/>
        <v>4</v>
      </c>
      <c r="AZ1031" s="2949">
        <f t="shared" ca="1" si="1501"/>
        <v>0</v>
      </c>
      <c r="BB1031" s="45">
        <f t="shared" ca="1" si="1502"/>
        <v>4</v>
      </c>
      <c r="BC1031" s="45">
        <f t="shared" ca="1" si="1503"/>
        <v>0</v>
      </c>
      <c r="BD1031" s="3302">
        <f t="shared" ca="1" si="1504"/>
        <v>4</v>
      </c>
      <c r="BE1031" s="2949">
        <f t="shared" ca="1" si="1505"/>
        <v>0</v>
      </c>
      <c r="BF1031" s="45">
        <f t="shared" ca="1" si="1506"/>
        <v>0</v>
      </c>
      <c r="BG1031" s="3302">
        <f t="shared" ca="1" si="1507"/>
        <v>4</v>
      </c>
      <c r="BH1031" s="2949">
        <f t="shared" ca="1" si="1508"/>
        <v>0</v>
      </c>
    </row>
    <row r="1032" spans="1:60" s="34" customFormat="1" ht="14.5">
      <c r="A1032" s="616">
        <f t="shared" si="1485"/>
        <v>945</v>
      </c>
      <c r="B1032" s="616">
        <v>1</v>
      </c>
      <c r="C1032" s="616">
        <f t="shared" si="1486"/>
        <v>1029</v>
      </c>
      <c r="E1032" s="2547">
        <v>1</v>
      </c>
      <c r="F1032" s="4"/>
      <c r="G1032" s="4"/>
      <c r="H1032" s="4"/>
      <c r="I1032" s="260"/>
      <c r="J1032" s="4"/>
      <c r="K1032" s="3"/>
      <c r="L1032" s="4"/>
      <c r="M1032" s="4"/>
      <c r="N1032" s="41"/>
      <c r="O1032" s="41" t="s">
        <v>45</v>
      </c>
      <c r="P1032" s="3"/>
      <c r="Q1032" s="1778" t="str">
        <f>CHOOSE(2, "6722000003951", "HC DW-DX FE/TTOC Sales Total Direct sales rep.")</f>
        <v>HC DW-DX FE/TTOC Sales Total Direct sales rep.</v>
      </c>
      <c r="R1032" s="3310">
        <v>3</v>
      </c>
      <c r="S1032" s="1212">
        <v>3</v>
      </c>
      <c r="T1032" s="1212">
        <v>3</v>
      </c>
      <c r="U1032" s="1212">
        <v>3</v>
      </c>
      <c r="V1032" s="1212">
        <v>3</v>
      </c>
      <c r="W1032" s="1212">
        <v>3</v>
      </c>
      <c r="X1032" s="1212">
        <v>3</v>
      </c>
      <c r="Y1032" s="1212">
        <v>3</v>
      </c>
      <c r="Z1032" s="1212">
        <v>3</v>
      </c>
      <c r="AA1032" s="1212">
        <v>3</v>
      </c>
      <c r="AB1032" s="1212">
        <v>3</v>
      </c>
      <c r="AC1032" s="1212">
        <v>2</v>
      </c>
      <c r="AD1032" s="877">
        <f>T1032</f>
        <v>3</v>
      </c>
      <c r="AE1032" s="40">
        <f>W1032</f>
        <v>3</v>
      </c>
      <c r="AF1032" s="40">
        <f>Z1032</f>
        <v>3</v>
      </c>
      <c r="AG1032" s="40">
        <f>AC1032</f>
        <v>2</v>
      </c>
      <c r="AH1032" s="40">
        <f>AE1032</f>
        <v>3</v>
      </c>
      <c r="AI1032" s="40">
        <f>AG1032</f>
        <v>2</v>
      </c>
      <c r="AJ1032" s="40">
        <f>AI1032</f>
        <v>2</v>
      </c>
      <c r="AL1032" s="40">
        <f t="shared" ca="1" si="1488"/>
        <v>2</v>
      </c>
      <c r="AM1032" s="40">
        <f t="shared" ca="1" si="1489"/>
        <v>0</v>
      </c>
      <c r="AN1032" s="3057">
        <f t="shared" ca="1" si="1490"/>
        <v>2</v>
      </c>
      <c r="AO1032" s="2695">
        <f t="shared" ca="1" si="1491"/>
        <v>0</v>
      </c>
      <c r="AP1032" s="40">
        <f t="shared" ca="1" si="1492"/>
        <v>14</v>
      </c>
      <c r="AQ1032" s="3057">
        <f t="shared" ca="1" si="1493"/>
        <v>-12</v>
      </c>
      <c r="AR1032" s="2695">
        <f t="shared" ca="1" si="1494"/>
        <v>0.14285714285714285</v>
      </c>
      <c r="AT1032" s="40">
        <f t="shared" ca="1" si="1495"/>
        <v>2</v>
      </c>
      <c r="AU1032" s="40">
        <f t="shared" ca="1" si="1496"/>
        <v>0</v>
      </c>
      <c r="AV1032" s="3057">
        <f t="shared" ca="1" si="1497"/>
        <v>2</v>
      </c>
      <c r="AW1032" s="2695">
        <f t="shared" ca="1" si="1498"/>
        <v>0</v>
      </c>
      <c r="AX1032" s="40">
        <f t="shared" ca="1" si="1499"/>
        <v>14</v>
      </c>
      <c r="AY1032" s="3057">
        <f t="shared" ca="1" si="1500"/>
        <v>-12</v>
      </c>
      <c r="AZ1032" s="2695">
        <f t="shared" ca="1" si="1501"/>
        <v>0.14285714285714285</v>
      </c>
      <c r="BB1032" s="40">
        <f t="shared" ca="1" si="1502"/>
        <v>2</v>
      </c>
      <c r="BC1032" s="40">
        <f t="shared" ca="1" si="1503"/>
        <v>0</v>
      </c>
      <c r="BD1032" s="3057">
        <f t="shared" ca="1" si="1504"/>
        <v>2</v>
      </c>
      <c r="BE1032" s="2695">
        <f t="shared" ca="1" si="1505"/>
        <v>0</v>
      </c>
      <c r="BF1032" s="40">
        <f t="shared" ca="1" si="1506"/>
        <v>14</v>
      </c>
      <c r="BG1032" s="3057">
        <f t="shared" ca="1" si="1507"/>
        <v>-12</v>
      </c>
      <c r="BH1032" s="2695">
        <f t="shared" ca="1" si="1508"/>
        <v>0.14285714285714285</v>
      </c>
    </row>
    <row r="1033" spans="1:60" s="34" customFormat="1" ht="14.5">
      <c r="A1033" s="616">
        <f t="shared" si="1485"/>
        <v>946</v>
      </c>
      <c r="B1033" s="616">
        <v>1</v>
      </c>
      <c r="C1033" s="616">
        <f t="shared" si="1486"/>
        <v>1030</v>
      </c>
      <c r="E1033" s="2544">
        <v>1</v>
      </c>
      <c r="F1033" s="8"/>
      <c r="G1033" s="4"/>
      <c r="H1033" s="4"/>
      <c r="I1033" s="260"/>
      <c r="J1033" s="4"/>
      <c r="K1033" s="3"/>
      <c r="L1033" s="4"/>
      <c r="M1033" s="4"/>
      <c r="N1033" s="41"/>
      <c r="O1033" s="41" t="s">
        <v>1519</v>
      </c>
      <c r="P1033" s="725"/>
      <c r="Q1033" s="1778" t="str">
        <f>CHOOSE(2, "6722000003952", "HC DW-DX FE/TTOC Sales Total Direct sales engineers")</f>
        <v>HC DW-DX FE/TTOC Sales Total Direct sales engineers</v>
      </c>
      <c r="R1033" s="3310">
        <v>3</v>
      </c>
      <c r="S1033" s="1212">
        <v>2</v>
      </c>
      <c r="T1033" s="1212">
        <v>2</v>
      </c>
      <c r="U1033" s="1212">
        <v>2</v>
      </c>
      <c r="V1033" s="1212">
        <v>2</v>
      </c>
      <c r="W1033" s="1212">
        <v>2</v>
      </c>
      <c r="X1033" s="1212">
        <v>2</v>
      </c>
      <c r="Y1033" s="1212">
        <v>2</v>
      </c>
      <c r="Z1033" s="1212">
        <v>2</v>
      </c>
      <c r="AA1033" s="1212">
        <v>2</v>
      </c>
      <c r="AB1033" s="1212">
        <v>2</v>
      </c>
      <c r="AC1033" s="1212">
        <v>2</v>
      </c>
      <c r="AD1033" s="877">
        <f>T1033</f>
        <v>2</v>
      </c>
      <c r="AE1033" s="40">
        <f>W1033</f>
        <v>2</v>
      </c>
      <c r="AF1033" s="40">
        <f>Z1033</f>
        <v>2</v>
      </c>
      <c r="AG1033" s="40">
        <f>AC1033</f>
        <v>2</v>
      </c>
      <c r="AH1033" s="40">
        <f>AE1033</f>
        <v>2</v>
      </c>
      <c r="AI1033" s="40">
        <f>AG1033</f>
        <v>2</v>
      </c>
      <c r="AJ1033" s="40">
        <f>AI1033</f>
        <v>2</v>
      </c>
      <c r="AL1033" s="40">
        <f t="shared" ca="1" si="1488"/>
        <v>2</v>
      </c>
      <c r="AM1033" s="40">
        <f t="shared" ca="1" si="1489"/>
        <v>0</v>
      </c>
      <c r="AN1033" s="3057">
        <f t="shared" ca="1" si="1490"/>
        <v>2</v>
      </c>
      <c r="AO1033" s="2695">
        <f t="shared" ca="1" si="1491"/>
        <v>0</v>
      </c>
      <c r="AP1033" s="40">
        <f t="shared" ca="1" si="1492"/>
        <v>316</v>
      </c>
      <c r="AQ1033" s="3057">
        <f t="shared" ca="1" si="1493"/>
        <v>-314</v>
      </c>
      <c r="AR1033" s="2695">
        <f t="shared" ca="1" si="1494"/>
        <v>6.3291139240506328E-3</v>
      </c>
      <c r="AT1033" s="40">
        <f t="shared" ca="1" si="1495"/>
        <v>2</v>
      </c>
      <c r="AU1033" s="40">
        <f t="shared" ca="1" si="1496"/>
        <v>0</v>
      </c>
      <c r="AV1033" s="3057">
        <f t="shared" ca="1" si="1497"/>
        <v>2</v>
      </c>
      <c r="AW1033" s="2695">
        <f t="shared" ca="1" si="1498"/>
        <v>0</v>
      </c>
      <c r="AX1033" s="40">
        <f t="shared" ca="1" si="1499"/>
        <v>316</v>
      </c>
      <c r="AY1033" s="3057">
        <f t="shared" ca="1" si="1500"/>
        <v>-314</v>
      </c>
      <c r="AZ1033" s="2695">
        <f t="shared" ca="1" si="1501"/>
        <v>6.3291139240506328E-3</v>
      </c>
      <c r="BB1033" s="40">
        <f t="shared" ca="1" si="1502"/>
        <v>2</v>
      </c>
      <c r="BC1033" s="40">
        <f t="shared" ca="1" si="1503"/>
        <v>0</v>
      </c>
      <c r="BD1033" s="3057">
        <f t="shared" ca="1" si="1504"/>
        <v>2</v>
      </c>
      <c r="BE1033" s="2695">
        <f t="shared" ca="1" si="1505"/>
        <v>0</v>
      </c>
      <c r="BF1033" s="40">
        <f t="shared" ca="1" si="1506"/>
        <v>316</v>
      </c>
      <c r="BG1033" s="3057">
        <f t="shared" ca="1" si="1507"/>
        <v>-314</v>
      </c>
      <c r="BH1033" s="2695">
        <f t="shared" ca="1" si="1508"/>
        <v>6.3291139240506328E-3</v>
      </c>
    </row>
    <row r="1034" spans="1:60" s="34" customFormat="1" ht="14.5">
      <c r="A1034" s="616">
        <f t="shared" si="1485"/>
        <v>947</v>
      </c>
      <c r="B1034" s="616">
        <v>1</v>
      </c>
      <c r="C1034" s="616">
        <f t="shared" si="1486"/>
        <v>1031</v>
      </c>
      <c r="E1034" s="2547">
        <v>1</v>
      </c>
      <c r="F1034" s="4"/>
      <c r="G1034" s="4"/>
      <c r="H1034" s="4"/>
      <c r="I1034" s="260"/>
      <c r="J1034" s="4"/>
      <c r="K1034" s="3"/>
      <c r="L1034" s="4"/>
      <c r="M1034" s="4"/>
      <c r="N1034" s="41"/>
      <c r="O1034" s="41" t="s">
        <v>43</v>
      </c>
      <c r="P1034" s="3"/>
      <c r="Q1034" s="1778" t="str">
        <f>CHOOSE(2, "6722000003953", "HC DW-DX FE/TTOC Sales Total Dealer(Indirect) sales rep.")</f>
        <v>HC DW-DX FE/TTOC Sales Total Dealer(Indirect) sales rep.</v>
      </c>
      <c r="R1034" s="1212">
        <v>0</v>
      </c>
      <c r="S1034" s="1212">
        <v>0</v>
      </c>
      <c r="T1034" s="1212">
        <v>0</v>
      </c>
      <c r="U1034" s="1212">
        <v>0</v>
      </c>
      <c r="V1034" s="1212">
        <v>0</v>
      </c>
      <c r="W1034" s="1212">
        <v>0</v>
      </c>
      <c r="X1034" s="1212">
        <v>0</v>
      </c>
      <c r="Y1034" s="1212">
        <v>0</v>
      </c>
      <c r="Z1034" s="1212">
        <v>0</v>
      </c>
      <c r="AA1034" s="1212">
        <v>0</v>
      </c>
      <c r="AB1034" s="1212">
        <v>0</v>
      </c>
      <c r="AC1034" s="1212">
        <v>0</v>
      </c>
      <c r="AD1034" s="877">
        <f>T1034</f>
        <v>0</v>
      </c>
      <c r="AE1034" s="40">
        <f>W1034</f>
        <v>0</v>
      </c>
      <c r="AF1034" s="40">
        <f>Z1034</f>
        <v>0</v>
      </c>
      <c r="AG1034" s="40">
        <f>AC1034</f>
        <v>0</v>
      </c>
      <c r="AH1034" s="40">
        <f>AE1034</f>
        <v>0</v>
      </c>
      <c r="AI1034" s="40">
        <f>AG1034</f>
        <v>0</v>
      </c>
      <c r="AJ1034" s="40">
        <f>AI1034</f>
        <v>0</v>
      </c>
      <c r="AL1034" s="40">
        <f t="shared" ca="1" si="1488"/>
        <v>0</v>
      </c>
      <c r="AM1034" s="40">
        <f t="shared" ca="1" si="1489"/>
        <v>0</v>
      </c>
      <c r="AN1034" s="3057">
        <f t="shared" ca="1" si="1490"/>
        <v>0</v>
      </c>
      <c r="AO1034" s="2695">
        <f t="shared" ca="1" si="1491"/>
        <v>0</v>
      </c>
      <c r="AP1034" s="40">
        <f t="shared" ca="1" si="1492"/>
        <v>272</v>
      </c>
      <c r="AQ1034" s="3057">
        <f t="shared" ca="1" si="1493"/>
        <v>-272</v>
      </c>
      <c r="AR1034" s="2695">
        <f t="shared" ca="1" si="1494"/>
        <v>0</v>
      </c>
      <c r="AT1034" s="40">
        <f t="shared" ca="1" si="1495"/>
        <v>0</v>
      </c>
      <c r="AU1034" s="40">
        <f t="shared" ca="1" si="1496"/>
        <v>0</v>
      </c>
      <c r="AV1034" s="3057">
        <f t="shared" ca="1" si="1497"/>
        <v>0</v>
      </c>
      <c r="AW1034" s="2695">
        <f t="shared" ca="1" si="1498"/>
        <v>0</v>
      </c>
      <c r="AX1034" s="40">
        <f t="shared" ca="1" si="1499"/>
        <v>272</v>
      </c>
      <c r="AY1034" s="3057">
        <f t="shared" ca="1" si="1500"/>
        <v>-272</v>
      </c>
      <c r="AZ1034" s="2695">
        <f t="shared" ca="1" si="1501"/>
        <v>0</v>
      </c>
      <c r="BB1034" s="40">
        <f t="shared" ca="1" si="1502"/>
        <v>0</v>
      </c>
      <c r="BC1034" s="40">
        <f t="shared" ca="1" si="1503"/>
        <v>0</v>
      </c>
      <c r="BD1034" s="3057">
        <f t="shared" ca="1" si="1504"/>
        <v>0</v>
      </c>
      <c r="BE1034" s="2695">
        <f t="shared" ca="1" si="1505"/>
        <v>0</v>
      </c>
      <c r="BF1034" s="40">
        <f t="shared" ca="1" si="1506"/>
        <v>272</v>
      </c>
      <c r="BG1034" s="3057">
        <f t="shared" ca="1" si="1507"/>
        <v>-272</v>
      </c>
      <c r="BH1034" s="2695">
        <f t="shared" ca="1" si="1508"/>
        <v>0</v>
      </c>
    </row>
    <row r="1035" spans="1:60" s="34" customFormat="1" ht="14.5">
      <c r="A1035" s="616">
        <f t="shared" si="1485"/>
        <v>948</v>
      </c>
      <c r="B1035" s="616">
        <v>1</v>
      </c>
      <c r="C1035" s="616">
        <f t="shared" si="1486"/>
        <v>1032</v>
      </c>
      <c r="E1035" s="2547">
        <v>1</v>
      </c>
      <c r="F1035" s="4"/>
      <c r="G1035" s="4"/>
      <c r="H1035" s="4"/>
      <c r="I1035" s="260"/>
      <c r="J1035" s="2"/>
      <c r="K1035" s="1"/>
      <c r="L1035" s="2"/>
      <c r="M1035" s="2"/>
      <c r="N1035" s="39"/>
      <c r="O1035" s="39" t="s">
        <v>40</v>
      </c>
      <c r="P1035" s="1"/>
      <c r="Q1035" s="1778" t="str">
        <f>CHOOSE(2, "6722000003954", "HC DW-DX FE/TTOC Sales Total Administration/Others")</f>
        <v>HC DW-DX FE/TTOC Sales Total Administration/Others</v>
      </c>
      <c r="R1035" s="1211">
        <v>0</v>
      </c>
      <c r="S1035" s="1211">
        <v>0</v>
      </c>
      <c r="T1035" s="1211">
        <v>0</v>
      </c>
      <c r="U1035" s="1211">
        <v>0</v>
      </c>
      <c r="V1035" s="1211">
        <v>0</v>
      </c>
      <c r="W1035" s="1211">
        <v>0</v>
      </c>
      <c r="X1035" s="1211">
        <v>0</v>
      </c>
      <c r="Y1035" s="1211">
        <v>0</v>
      </c>
      <c r="Z1035" s="1211">
        <v>0</v>
      </c>
      <c r="AA1035" s="1211">
        <v>0</v>
      </c>
      <c r="AB1035" s="1211">
        <v>0</v>
      </c>
      <c r="AC1035" s="1211">
        <v>0</v>
      </c>
      <c r="AD1035" s="912">
        <f>T1035</f>
        <v>0</v>
      </c>
      <c r="AE1035" s="38">
        <f>W1035</f>
        <v>0</v>
      </c>
      <c r="AF1035" s="38">
        <f>Z1035</f>
        <v>0</v>
      </c>
      <c r="AG1035" s="38">
        <f>AC1035</f>
        <v>0</v>
      </c>
      <c r="AH1035" s="38">
        <f>AE1035</f>
        <v>0</v>
      </c>
      <c r="AI1035" s="38">
        <f>AG1035</f>
        <v>0</v>
      </c>
      <c r="AJ1035" s="38">
        <f>AI1035</f>
        <v>0</v>
      </c>
      <c r="AL1035" s="38">
        <f t="shared" ca="1" si="1488"/>
        <v>0</v>
      </c>
      <c r="AM1035" s="38">
        <f t="shared" ca="1" si="1489"/>
        <v>0</v>
      </c>
      <c r="AN1035" s="3303">
        <f t="shared" ca="1" si="1490"/>
        <v>0</v>
      </c>
      <c r="AO1035" s="2951">
        <f t="shared" ca="1" si="1491"/>
        <v>0</v>
      </c>
      <c r="AP1035" s="38">
        <f t="shared" ca="1" si="1492"/>
        <v>0</v>
      </c>
      <c r="AQ1035" s="3303">
        <f t="shared" ca="1" si="1493"/>
        <v>0</v>
      </c>
      <c r="AR1035" s="2951">
        <f t="shared" ca="1" si="1494"/>
        <v>0</v>
      </c>
      <c r="AT1035" s="38">
        <f t="shared" ca="1" si="1495"/>
        <v>0</v>
      </c>
      <c r="AU1035" s="38">
        <f t="shared" ca="1" si="1496"/>
        <v>0</v>
      </c>
      <c r="AV1035" s="3303">
        <f t="shared" ca="1" si="1497"/>
        <v>0</v>
      </c>
      <c r="AW1035" s="2951">
        <f t="shared" ca="1" si="1498"/>
        <v>0</v>
      </c>
      <c r="AX1035" s="38">
        <f t="shared" ca="1" si="1499"/>
        <v>0</v>
      </c>
      <c r="AY1035" s="3303">
        <f t="shared" ca="1" si="1500"/>
        <v>0</v>
      </c>
      <c r="AZ1035" s="2951">
        <f t="shared" ca="1" si="1501"/>
        <v>0</v>
      </c>
      <c r="BB1035" s="38">
        <f t="shared" ca="1" si="1502"/>
        <v>0</v>
      </c>
      <c r="BC1035" s="38">
        <f t="shared" ca="1" si="1503"/>
        <v>0</v>
      </c>
      <c r="BD1035" s="3303">
        <f t="shared" ca="1" si="1504"/>
        <v>0</v>
      </c>
      <c r="BE1035" s="2951">
        <f t="shared" ca="1" si="1505"/>
        <v>0</v>
      </c>
      <c r="BF1035" s="38">
        <f t="shared" ca="1" si="1506"/>
        <v>0</v>
      </c>
      <c r="BG1035" s="3303">
        <f t="shared" ca="1" si="1507"/>
        <v>0</v>
      </c>
      <c r="BH1035" s="2951">
        <f t="shared" ca="1" si="1508"/>
        <v>0</v>
      </c>
    </row>
    <row r="1036" spans="1:60" s="34" customFormat="1" ht="14.5">
      <c r="A1036" s="616">
        <f t="shared" si="1485"/>
        <v>949</v>
      </c>
      <c r="B1036" s="616">
        <v>1</v>
      </c>
      <c r="C1036" s="616">
        <f t="shared" si="1486"/>
        <v>1033</v>
      </c>
      <c r="D1036" s="709" t="s">
        <v>1308</v>
      </c>
      <c r="E1036" s="2547">
        <v>1</v>
      </c>
      <c r="F1036" s="4"/>
      <c r="G1036" s="4"/>
      <c r="H1036" s="4"/>
      <c r="I1036" s="260"/>
      <c r="J1036" s="48" t="s">
        <v>1515</v>
      </c>
      <c r="K1036" s="47"/>
      <c r="L1036" s="48"/>
      <c r="M1036" s="48"/>
      <c r="N1036" s="47"/>
      <c r="O1036" s="47"/>
      <c r="P1036" s="47"/>
      <c r="Q1036" s="1786" t="str">
        <f>CHOOSE(2, "6722000003955", "HC DW-DX FE/TTOC Service Total")</f>
        <v>HC DW-DX FE/TTOC Service Total</v>
      </c>
      <c r="R1036" s="45">
        <f>SUM(R1037:R1041)</f>
        <v>0</v>
      </c>
      <c r="S1036" s="45">
        <f t="shared" ref="S1036:AJ1036" si="1510">SUM(S1037:S1041)</f>
        <v>0</v>
      </c>
      <c r="T1036" s="45">
        <f t="shared" si="1510"/>
        <v>0</v>
      </c>
      <c r="U1036" s="45">
        <f t="shared" si="1510"/>
        <v>0</v>
      </c>
      <c r="V1036" s="45">
        <f t="shared" si="1510"/>
        <v>0</v>
      </c>
      <c r="W1036" s="45">
        <f t="shared" si="1510"/>
        <v>0</v>
      </c>
      <c r="X1036" s="45">
        <f t="shared" si="1510"/>
        <v>0</v>
      </c>
      <c r="Y1036" s="45">
        <f t="shared" si="1510"/>
        <v>0</v>
      </c>
      <c r="Z1036" s="45">
        <f t="shared" si="1510"/>
        <v>0</v>
      </c>
      <c r="AA1036" s="45">
        <f t="shared" si="1510"/>
        <v>0</v>
      </c>
      <c r="AB1036" s="45">
        <f t="shared" si="1510"/>
        <v>0</v>
      </c>
      <c r="AC1036" s="45">
        <f t="shared" si="1510"/>
        <v>0</v>
      </c>
      <c r="AD1036" s="911">
        <f t="shared" si="1510"/>
        <v>0</v>
      </c>
      <c r="AE1036" s="45">
        <f t="shared" si="1510"/>
        <v>0</v>
      </c>
      <c r="AF1036" s="45">
        <f t="shared" si="1510"/>
        <v>0</v>
      </c>
      <c r="AG1036" s="45">
        <f t="shared" si="1510"/>
        <v>0</v>
      </c>
      <c r="AH1036" s="45">
        <f t="shared" si="1510"/>
        <v>0</v>
      </c>
      <c r="AI1036" s="45">
        <f t="shared" si="1510"/>
        <v>0</v>
      </c>
      <c r="AJ1036" s="45">
        <f t="shared" si="1510"/>
        <v>0</v>
      </c>
      <c r="AL1036" s="45">
        <f t="shared" ca="1" si="1488"/>
        <v>0</v>
      </c>
      <c r="AM1036" s="45">
        <f t="shared" ca="1" si="1489"/>
        <v>0</v>
      </c>
      <c r="AN1036" s="3302">
        <f t="shared" ca="1" si="1490"/>
        <v>0</v>
      </c>
      <c r="AO1036" s="2949">
        <f t="shared" ca="1" si="1491"/>
        <v>0</v>
      </c>
      <c r="AP1036" s="45">
        <f t="shared" ca="1" si="1492"/>
        <v>31</v>
      </c>
      <c r="AQ1036" s="3302">
        <f t="shared" ca="1" si="1493"/>
        <v>-31</v>
      </c>
      <c r="AR1036" s="2949">
        <f t="shared" ca="1" si="1494"/>
        <v>0</v>
      </c>
      <c r="AT1036" s="45">
        <f t="shared" ca="1" si="1495"/>
        <v>0</v>
      </c>
      <c r="AU1036" s="45">
        <f t="shared" ca="1" si="1496"/>
        <v>0</v>
      </c>
      <c r="AV1036" s="3302">
        <f t="shared" ca="1" si="1497"/>
        <v>0</v>
      </c>
      <c r="AW1036" s="2949">
        <f t="shared" ca="1" si="1498"/>
        <v>0</v>
      </c>
      <c r="AX1036" s="45">
        <f t="shared" ca="1" si="1499"/>
        <v>31</v>
      </c>
      <c r="AY1036" s="3302">
        <f t="shared" ca="1" si="1500"/>
        <v>-31</v>
      </c>
      <c r="AZ1036" s="2949">
        <f t="shared" ca="1" si="1501"/>
        <v>0</v>
      </c>
      <c r="BB1036" s="45">
        <f t="shared" ca="1" si="1502"/>
        <v>0</v>
      </c>
      <c r="BC1036" s="45">
        <f t="shared" ca="1" si="1503"/>
        <v>0</v>
      </c>
      <c r="BD1036" s="3302">
        <f t="shared" ca="1" si="1504"/>
        <v>0</v>
      </c>
      <c r="BE1036" s="2949">
        <f t="shared" ca="1" si="1505"/>
        <v>0</v>
      </c>
      <c r="BF1036" s="45">
        <f t="shared" ca="1" si="1506"/>
        <v>31</v>
      </c>
      <c r="BG1036" s="3302">
        <f t="shared" ca="1" si="1507"/>
        <v>-31</v>
      </c>
      <c r="BH1036" s="2949">
        <f t="shared" ca="1" si="1508"/>
        <v>0</v>
      </c>
    </row>
    <row r="1037" spans="1:60" s="34" customFormat="1" ht="14.5">
      <c r="A1037" s="616">
        <f t="shared" si="1485"/>
        <v>950</v>
      </c>
      <c r="B1037" s="616">
        <v>1</v>
      </c>
      <c r="C1037" s="616">
        <f t="shared" si="1486"/>
        <v>1034</v>
      </c>
      <c r="E1037" s="2547">
        <v>1</v>
      </c>
      <c r="F1037" s="4"/>
      <c r="G1037" s="4"/>
      <c r="H1037" s="4"/>
      <c r="I1037" s="260"/>
      <c r="J1037" s="4"/>
      <c r="K1037" s="3"/>
      <c r="L1037" s="4"/>
      <c r="M1037" s="4"/>
      <c r="N1037" s="41"/>
      <c r="O1037" s="41" t="s">
        <v>15</v>
      </c>
      <c r="P1037" s="3"/>
      <c r="Q1037" s="1778" t="str">
        <f>CHOOSE(2, "6722000003956", "HC DW-DX FE/TTOC Service Total Onsite Engineer")</f>
        <v>HC DW-DX FE/TTOC Service Total Onsite Engineer</v>
      </c>
      <c r="R1037" s="1212">
        <v>0</v>
      </c>
      <c r="S1037" s="1212">
        <v>0</v>
      </c>
      <c r="T1037" s="1212">
        <v>0</v>
      </c>
      <c r="U1037" s="1212">
        <v>0</v>
      </c>
      <c r="V1037" s="1212">
        <v>0</v>
      </c>
      <c r="W1037" s="1212">
        <v>0</v>
      </c>
      <c r="X1037" s="1212">
        <v>0</v>
      </c>
      <c r="Y1037" s="1212">
        <v>0</v>
      </c>
      <c r="Z1037" s="1212">
        <v>0</v>
      </c>
      <c r="AA1037" s="1212">
        <v>0</v>
      </c>
      <c r="AB1037" s="1212">
        <v>0</v>
      </c>
      <c r="AC1037" s="1212">
        <v>0</v>
      </c>
      <c r="AD1037" s="877">
        <f>T1037</f>
        <v>0</v>
      </c>
      <c r="AE1037" s="40">
        <f>W1037</f>
        <v>0</v>
      </c>
      <c r="AF1037" s="40">
        <f>Z1037</f>
        <v>0</v>
      </c>
      <c r="AG1037" s="40">
        <f>AC1037</f>
        <v>0</v>
      </c>
      <c r="AH1037" s="40">
        <f>AE1037</f>
        <v>0</v>
      </c>
      <c r="AI1037" s="40">
        <f>AG1037</f>
        <v>0</v>
      </c>
      <c r="AJ1037" s="40">
        <f>AI1037</f>
        <v>0</v>
      </c>
      <c r="AL1037" s="40">
        <f t="shared" ca="1" si="1488"/>
        <v>0</v>
      </c>
      <c r="AM1037" s="40">
        <f t="shared" ca="1" si="1489"/>
        <v>0</v>
      </c>
      <c r="AN1037" s="3057">
        <f t="shared" ca="1" si="1490"/>
        <v>0</v>
      </c>
      <c r="AO1037" s="2695">
        <f t="shared" ca="1" si="1491"/>
        <v>0</v>
      </c>
      <c r="AP1037" s="40">
        <f t="shared" ca="1" si="1492"/>
        <v>0</v>
      </c>
      <c r="AQ1037" s="3057">
        <f t="shared" ca="1" si="1493"/>
        <v>0</v>
      </c>
      <c r="AR1037" s="2695">
        <f t="shared" ca="1" si="1494"/>
        <v>0</v>
      </c>
      <c r="AT1037" s="40">
        <f t="shared" ca="1" si="1495"/>
        <v>0</v>
      </c>
      <c r="AU1037" s="40">
        <f t="shared" ca="1" si="1496"/>
        <v>0</v>
      </c>
      <c r="AV1037" s="3057">
        <f t="shared" ca="1" si="1497"/>
        <v>0</v>
      </c>
      <c r="AW1037" s="2695">
        <f t="shared" ca="1" si="1498"/>
        <v>0</v>
      </c>
      <c r="AX1037" s="40">
        <f t="shared" ca="1" si="1499"/>
        <v>0</v>
      </c>
      <c r="AY1037" s="3057">
        <f t="shared" ca="1" si="1500"/>
        <v>0</v>
      </c>
      <c r="AZ1037" s="2695">
        <f t="shared" ca="1" si="1501"/>
        <v>0</v>
      </c>
      <c r="BB1037" s="40">
        <f t="shared" ca="1" si="1502"/>
        <v>0</v>
      </c>
      <c r="BC1037" s="40">
        <f t="shared" ca="1" si="1503"/>
        <v>0</v>
      </c>
      <c r="BD1037" s="3057">
        <f t="shared" ca="1" si="1504"/>
        <v>0</v>
      </c>
      <c r="BE1037" s="2695">
        <f t="shared" ca="1" si="1505"/>
        <v>0</v>
      </c>
      <c r="BF1037" s="40">
        <f t="shared" ca="1" si="1506"/>
        <v>0</v>
      </c>
      <c r="BG1037" s="3057">
        <f t="shared" ca="1" si="1507"/>
        <v>0</v>
      </c>
      <c r="BH1037" s="2695">
        <f t="shared" ca="1" si="1508"/>
        <v>0</v>
      </c>
    </row>
    <row r="1038" spans="1:60" s="34" customFormat="1" ht="14.5">
      <c r="A1038" s="616">
        <f t="shared" si="1485"/>
        <v>951</v>
      </c>
      <c r="B1038" s="616">
        <v>1</v>
      </c>
      <c r="C1038" s="616">
        <f t="shared" si="1486"/>
        <v>1035</v>
      </c>
      <c r="E1038" s="2544">
        <v>1</v>
      </c>
      <c r="F1038" s="8"/>
      <c r="G1038" s="4"/>
      <c r="H1038" s="4"/>
      <c r="I1038" s="260"/>
      <c r="J1038" s="4"/>
      <c r="K1038" s="3"/>
      <c r="L1038" s="4"/>
      <c r="M1038" s="4"/>
      <c r="N1038" s="41"/>
      <c r="O1038" s="41" t="s">
        <v>1520</v>
      </c>
      <c r="P1038" s="725"/>
      <c r="Q1038" s="1778" t="str">
        <f>CHOOSE(2, "6722000003957", "HC DW-DX FE/TTOC Service Total Remote Engineer")</f>
        <v>HC DW-DX FE/TTOC Service Total Remote Engineer</v>
      </c>
      <c r="R1038" s="1212">
        <v>0</v>
      </c>
      <c r="S1038" s="1212">
        <v>0</v>
      </c>
      <c r="T1038" s="1212">
        <v>0</v>
      </c>
      <c r="U1038" s="1212">
        <v>0</v>
      </c>
      <c r="V1038" s="1212">
        <v>0</v>
      </c>
      <c r="W1038" s="1212">
        <v>0</v>
      </c>
      <c r="X1038" s="1212">
        <v>0</v>
      </c>
      <c r="Y1038" s="1212">
        <v>0</v>
      </c>
      <c r="Z1038" s="1212">
        <v>0</v>
      </c>
      <c r="AA1038" s="1212">
        <v>0</v>
      </c>
      <c r="AB1038" s="1212">
        <v>0</v>
      </c>
      <c r="AC1038" s="1212">
        <v>0</v>
      </c>
      <c r="AD1038" s="877">
        <f>T1038</f>
        <v>0</v>
      </c>
      <c r="AE1038" s="40">
        <f>W1038</f>
        <v>0</v>
      </c>
      <c r="AF1038" s="40">
        <f>Z1038</f>
        <v>0</v>
      </c>
      <c r="AG1038" s="40">
        <f>AC1038</f>
        <v>0</v>
      </c>
      <c r="AH1038" s="40">
        <f>AE1038</f>
        <v>0</v>
      </c>
      <c r="AI1038" s="40">
        <f>AG1038</f>
        <v>0</v>
      </c>
      <c r="AJ1038" s="40">
        <f>AI1038</f>
        <v>0</v>
      </c>
      <c r="AL1038" s="40">
        <f t="shared" ca="1" si="1488"/>
        <v>0</v>
      </c>
      <c r="AM1038" s="40">
        <f t="shared" ca="1" si="1489"/>
        <v>0</v>
      </c>
      <c r="AN1038" s="3057">
        <f t="shared" ca="1" si="1490"/>
        <v>0</v>
      </c>
      <c r="AO1038" s="2695">
        <f t="shared" ca="1" si="1491"/>
        <v>0</v>
      </c>
      <c r="AP1038" s="40">
        <f t="shared" ca="1" si="1492"/>
        <v>13</v>
      </c>
      <c r="AQ1038" s="3057">
        <f t="shared" ca="1" si="1493"/>
        <v>-13</v>
      </c>
      <c r="AR1038" s="2695">
        <f t="shared" ca="1" si="1494"/>
        <v>0</v>
      </c>
      <c r="AT1038" s="40">
        <f t="shared" ca="1" si="1495"/>
        <v>0</v>
      </c>
      <c r="AU1038" s="40">
        <f t="shared" ca="1" si="1496"/>
        <v>0</v>
      </c>
      <c r="AV1038" s="3057">
        <f t="shared" ca="1" si="1497"/>
        <v>0</v>
      </c>
      <c r="AW1038" s="2695">
        <f t="shared" ca="1" si="1498"/>
        <v>0</v>
      </c>
      <c r="AX1038" s="40">
        <f t="shared" ca="1" si="1499"/>
        <v>13</v>
      </c>
      <c r="AY1038" s="3057">
        <f t="shared" ca="1" si="1500"/>
        <v>-13</v>
      </c>
      <c r="AZ1038" s="2695">
        <f t="shared" ca="1" si="1501"/>
        <v>0</v>
      </c>
      <c r="BB1038" s="40">
        <f t="shared" ca="1" si="1502"/>
        <v>0</v>
      </c>
      <c r="BC1038" s="40">
        <f t="shared" ca="1" si="1503"/>
        <v>0</v>
      </c>
      <c r="BD1038" s="3057">
        <f t="shared" ca="1" si="1504"/>
        <v>0</v>
      </c>
      <c r="BE1038" s="2695">
        <f t="shared" ca="1" si="1505"/>
        <v>0</v>
      </c>
      <c r="BF1038" s="40">
        <f t="shared" ca="1" si="1506"/>
        <v>13</v>
      </c>
      <c r="BG1038" s="3057">
        <f t="shared" ca="1" si="1507"/>
        <v>-13</v>
      </c>
      <c r="BH1038" s="2695">
        <f t="shared" ca="1" si="1508"/>
        <v>0</v>
      </c>
    </row>
    <row r="1039" spans="1:60" s="34" customFormat="1" ht="14.5">
      <c r="A1039" s="616">
        <f t="shared" si="1485"/>
        <v>952</v>
      </c>
      <c r="B1039" s="616">
        <v>1</v>
      </c>
      <c r="C1039" s="616">
        <f t="shared" si="1486"/>
        <v>1036</v>
      </c>
      <c r="E1039" s="2547">
        <v>1</v>
      </c>
      <c r="F1039" s="4"/>
      <c r="G1039" s="4"/>
      <c r="H1039" s="4"/>
      <c r="I1039" s="260"/>
      <c r="J1039" s="4"/>
      <c r="K1039" s="3"/>
      <c r="L1039" s="4"/>
      <c r="M1039" s="4"/>
      <c r="N1039" s="41"/>
      <c r="O1039" s="41" t="s">
        <v>42</v>
      </c>
      <c r="P1039" s="3"/>
      <c r="Q1039" s="1778" t="str">
        <f>CHOOSE(2, "6722000003958", "HC DW-DX FE/TTOC Service Total Technical support")</f>
        <v>HC DW-DX FE/TTOC Service Total Technical support</v>
      </c>
      <c r="R1039" s="1212">
        <v>0</v>
      </c>
      <c r="S1039" s="1212">
        <v>0</v>
      </c>
      <c r="T1039" s="1212">
        <v>0</v>
      </c>
      <c r="U1039" s="1212">
        <v>0</v>
      </c>
      <c r="V1039" s="1212">
        <v>0</v>
      </c>
      <c r="W1039" s="1212">
        <v>0</v>
      </c>
      <c r="X1039" s="1212">
        <v>0</v>
      </c>
      <c r="Y1039" s="1212">
        <v>0</v>
      </c>
      <c r="Z1039" s="1212">
        <v>0</v>
      </c>
      <c r="AA1039" s="1212">
        <v>0</v>
      </c>
      <c r="AB1039" s="1212">
        <v>0</v>
      </c>
      <c r="AC1039" s="1212">
        <v>0</v>
      </c>
      <c r="AD1039" s="877">
        <f>T1039</f>
        <v>0</v>
      </c>
      <c r="AE1039" s="40">
        <f>W1039</f>
        <v>0</v>
      </c>
      <c r="AF1039" s="40">
        <f>Z1039</f>
        <v>0</v>
      </c>
      <c r="AG1039" s="40">
        <f>AC1039</f>
        <v>0</v>
      </c>
      <c r="AH1039" s="40">
        <f>AE1039</f>
        <v>0</v>
      </c>
      <c r="AI1039" s="40">
        <f>AG1039</f>
        <v>0</v>
      </c>
      <c r="AJ1039" s="40">
        <f>AI1039</f>
        <v>0</v>
      </c>
      <c r="AL1039" s="40">
        <f t="shared" ca="1" si="1488"/>
        <v>0</v>
      </c>
      <c r="AM1039" s="40">
        <f t="shared" ca="1" si="1489"/>
        <v>0</v>
      </c>
      <c r="AN1039" s="3057">
        <f t="shared" ca="1" si="1490"/>
        <v>0</v>
      </c>
      <c r="AO1039" s="2695">
        <f t="shared" ca="1" si="1491"/>
        <v>0</v>
      </c>
      <c r="AP1039" s="40">
        <f t="shared" ca="1" si="1492"/>
        <v>9</v>
      </c>
      <c r="AQ1039" s="3057">
        <f t="shared" ca="1" si="1493"/>
        <v>-9</v>
      </c>
      <c r="AR1039" s="2695">
        <f t="shared" ca="1" si="1494"/>
        <v>0</v>
      </c>
      <c r="AT1039" s="40">
        <f t="shared" ca="1" si="1495"/>
        <v>0</v>
      </c>
      <c r="AU1039" s="40">
        <f t="shared" ca="1" si="1496"/>
        <v>0</v>
      </c>
      <c r="AV1039" s="3057">
        <f t="shared" ca="1" si="1497"/>
        <v>0</v>
      </c>
      <c r="AW1039" s="2695">
        <f t="shared" ca="1" si="1498"/>
        <v>0</v>
      </c>
      <c r="AX1039" s="40">
        <f t="shared" ca="1" si="1499"/>
        <v>9</v>
      </c>
      <c r="AY1039" s="3057">
        <f t="shared" ca="1" si="1500"/>
        <v>-9</v>
      </c>
      <c r="AZ1039" s="2695">
        <f t="shared" ca="1" si="1501"/>
        <v>0</v>
      </c>
      <c r="BB1039" s="40">
        <f t="shared" ca="1" si="1502"/>
        <v>0</v>
      </c>
      <c r="BC1039" s="40">
        <f t="shared" ca="1" si="1503"/>
        <v>0</v>
      </c>
      <c r="BD1039" s="3057">
        <f t="shared" ca="1" si="1504"/>
        <v>0</v>
      </c>
      <c r="BE1039" s="2695">
        <f t="shared" ca="1" si="1505"/>
        <v>0</v>
      </c>
      <c r="BF1039" s="40">
        <f t="shared" ca="1" si="1506"/>
        <v>9</v>
      </c>
      <c r="BG1039" s="3057">
        <f t="shared" ca="1" si="1507"/>
        <v>-9</v>
      </c>
      <c r="BH1039" s="2695">
        <f t="shared" ca="1" si="1508"/>
        <v>0</v>
      </c>
    </row>
    <row r="1040" spans="1:60" s="34" customFormat="1" ht="14.5">
      <c r="A1040" s="616">
        <f t="shared" si="1485"/>
        <v>953</v>
      </c>
      <c r="B1040" s="616">
        <v>1</v>
      </c>
      <c r="C1040" s="616">
        <f t="shared" si="1486"/>
        <v>1037</v>
      </c>
      <c r="E1040" s="2547">
        <v>1</v>
      </c>
      <c r="F1040" s="4"/>
      <c r="G1040" s="4"/>
      <c r="H1040" s="4"/>
      <c r="I1040" s="260"/>
      <c r="J1040" s="4"/>
      <c r="K1040" s="3"/>
      <c r="L1040" s="4"/>
      <c r="M1040" s="4"/>
      <c r="N1040" s="41"/>
      <c r="O1040" s="41" t="s">
        <v>41</v>
      </c>
      <c r="P1040" s="3"/>
      <c r="Q1040" s="1778" t="str">
        <f>CHOOSE(2, "6722000003959", "HC DW-DX FE/TTOC Service Total Dealer(Indirect) support")</f>
        <v>HC DW-DX FE/TTOC Service Total Dealer(Indirect) support</v>
      </c>
      <c r="R1040" s="1212">
        <v>0</v>
      </c>
      <c r="S1040" s="1212">
        <v>0</v>
      </c>
      <c r="T1040" s="1212">
        <v>0</v>
      </c>
      <c r="U1040" s="1212">
        <v>0</v>
      </c>
      <c r="V1040" s="1212">
        <v>0</v>
      </c>
      <c r="W1040" s="1212">
        <v>0</v>
      </c>
      <c r="X1040" s="1212">
        <v>0</v>
      </c>
      <c r="Y1040" s="1212">
        <v>0</v>
      </c>
      <c r="Z1040" s="1212">
        <v>0</v>
      </c>
      <c r="AA1040" s="1212">
        <v>0</v>
      </c>
      <c r="AB1040" s="1212">
        <v>0</v>
      </c>
      <c r="AC1040" s="1212">
        <v>0</v>
      </c>
      <c r="AD1040" s="877">
        <f>T1040</f>
        <v>0</v>
      </c>
      <c r="AE1040" s="40">
        <f>W1040</f>
        <v>0</v>
      </c>
      <c r="AF1040" s="40">
        <f>Z1040</f>
        <v>0</v>
      </c>
      <c r="AG1040" s="40">
        <f>AC1040</f>
        <v>0</v>
      </c>
      <c r="AH1040" s="40">
        <f>AE1040</f>
        <v>0</v>
      </c>
      <c r="AI1040" s="40">
        <f>AG1040</f>
        <v>0</v>
      </c>
      <c r="AJ1040" s="40">
        <f>AI1040</f>
        <v>0</v>
      </c>
      <c r="AL1040" s="40">
        <f t="shared" ca="1" si="1488"/>
        <v>0</v>
      </c>
      <c r="AM1040" s="40">
        <f t="shared" ca="1" si="1489"/>
        <v>0</v>
      </c>
      <c r="AN1040" s="3057">
        <f t="shared" ca="1" si="1490"/>
        <v>0</v>
      </c>
      <c r="AO1040" s="2695">
        <f t="shared" ca="1" si="1491"/>
        <v>0</v>
      </c>
      <c r="AP1040" s="40">
        <f t="shared" ca="1" si="1492"/>
        <v>6</v>
      </c>
      <c r="AQ1040" s="3057">
        <f t="shared" ca="1" si="1493"/>
        <v>-6</v>
      </c>
      <c r="AR1040" s="2695">
        <f t="shared" ca="1" si="1494"/>
        <v>0</v>
      </c>
      <c r="AT1040" s="40">
        <f t="shared" ca="1" si="1495"/>
        <v>0</v>
      </c>
      <c r="AU1040" s="40">
        <f t="shared" ca="1" si="1496"/>
        <v>0</v>
      </c>
      <c r="AV1040" s="3057">
        <f t="shared" ca="1" si="1497"/>
        <v>0</v>
      </c>
      <c r="AW1040" s="2695">
        <f t="shared" ca="1" si="1498"/>
        <v>0</v>
      </c>
      <c r="AX1040" s="40">
        <f t="shared" ca="1" si="1499"/>
        <v>6</v>
      </c>
      <c r="AY1040" s="3057">
        <f t="shared" ca="1" si="1500"/>
        <v>-6</v>
      </c>
      <c r="AZ1040" s="2695">
        <f t="shared" ca="1" si="1501"/>
        <v>0</v>
      </c>
      <c r="BB1040" s="40">
        <f t="shared" ca="1" si="1502"/>
        <v>0</v>
      </c>
      <c r="BC1040" s="40">
        <f t="shared" ca="1" si="1503"/>
        <v>0</v>
      </c>
      <c r="BD1040" s="3057">
        <f t="shared" ca="1" si="1504"/>
        <v>0</v>
      </c>
      <c r="BE1040" s="2695">
        <f t="shared" ca="1" si="1505"/>
        <v>0</v>
      </c>
      <c r="BF1040" s="40">
        <f t="shared" ca="1" si="1506"/>
        <v>6</v>
      </c>
      <c r="BG1040" s="3057">
        <f t="shared" ca="1" si="1507"/>
        <v>-6</v>
      </c>
      <c r="BH1040" s="2695">
        <f t="shared" ca="1" si="1508"/>
        <v>0</v>
      </c>
    </row>
    <row r="1041" spans="1:60" s="34" customFormat="1" ht="14.5">
      <c r="A1041" s="616">
        <f t="shared" si="1485"/>
        <v>954</v>
      </c>
      <c r="B1041" s="616">
        <v>1</v>
      </c>
      <c r="C1041" s="616">
        <f t="shared" si="1486"/>
        <v>1038</v>
      </c>
      <c r="E1041" s="2547">
        <v>1</v>
      </c>
      <c r="F1041" s="4"/>
      <c r="G1041" s="4"/>
      <c r="H1041" s="4"/>
      <c r="I1041" s="260"/>
      <c r="J1041" s="4"/>
      <c r="K1041" s="3"/>
      <c r="L1041" s="4"/>
      <c r="M1041" s="4"/>
      <c r="N1041" s="41"/>
      <c r="O1041" s="41" t="s">
        <v>40</v>
      </c>
      <c r="P1041" s="3"/>
      <c r="Q1041" s="1778" t="str">
        <f>CHOOSE(2, "6722000003960", "HC DW-DX FE/TTOC Service Total Administration/Others")</f>
        <v>HC DW-DX FE/TTOC Service Total Administration/Others</v>
      </c>
      <c r="R1041" s="1212">
        <v>0</v>
      </c>
      <c r="S1041" s="1212">
        <v>0</v>
      </c>
      <c r="T1041" s="1212">
        <v>0</v>
      </c>
      <c r="U1041" s="1212">
        <v>0</v>
      </c>
      <c r="V1041" s="1212">
        <v>0</v>
      </c>
      <c r="W1041" s="1212">
        <v>0</v>
      </c>
      <c r="X1041" s="1212">
        <v>0</v>
      </c>
      <c r="Y1041" s="1212">
        <v>0</v>
      </c>
      <c r="Z1041" s="1212">
        <v>0</v>
      </c>
      <c r="AA1041" s="1212">
        <v>0</v>
      </c>
      <c r="AB1041" s="1212">
        <v>0</v>
      </c>
      <c r="AC1041" s="1212">
        <v>0</v>
      </c>
      <c r="AD1041" s="877">
        <f>T1041</f>
        <v>0</v>
      </c>
      <c r="AE1041" s="40">
        <f>W1041</f>
        <v>0</v>
      </c>
      <c r="AF1041" s="40">
        <f>Z1041</f>
        <v>0</v>
      </c>
      <c r="AG1041" s="40">
        <f>AC1041</f>
        <v>0</v>
      </c>
      <c r="AH1041" s="40">
        <f>AE1041</f>
        <v>0</v>
      </c>
      <c r="AI1041" s="40">
        <f>AG1041</f>
        <v>0</v>
      </c>
      <c r="AJ1041" s="40">
        <f>AI1041</f>
        <v>0</v>
      </c>
      <c r="AL1041" s="40">
        <f t="shared" ca="1" si="1488"/>
        <v>0</v>
      </c>
      <c r="AM1041" s="40">
        <f t="shared" ca="1" si="1489"/>
        <v>5</v>
      </c>
      <c r="AN1041" s="3057">
        <f t="shared" ca="1" si="1490"/>
        <v>-5</v>
      </c>
      <c r="AO1041" s="2695">
        <f t="shared" ca="1" si="1491"/>
        <v>0</v>
      </c>
      <c r="AP1041" s="40">
        <f t="shared" ca="1" si="1492"/>
        <v>0</v>
      </c>
      <c r="AQ1041" s="3057">
        <f t="shared" ca="1" si="1493"/>
        <v>0</v>
      </c>
      <c r="AR1041" s="2695">
        <f t="shared" ca="1" si="1494"/>
        <v>0</v>
      </c>
      <c r="AT1041" s="40">
        <f t="shared" ca="1" si="1495"/>
        <v>0</v>
      </c>
      <c r="AU1041" s="40">
        <f t="shared" ca="1" si="1496"/>
        <v>5</v>
      </c>
      <c r="AV1041" s="3057">
        <f t="shared" ca="1" si="1497"/>
        <v>-5</v>
      </c>
      <c r="AW1041" s="2695">
        <f t="shared" ca="1" si="1498"/>
        <v>0</v>
      </c>
      <c r="AX1041" s="40">
        <f t="shared" ca="1" si="1499"/>
        <v>0</v>
      </c>
      <c r="AY1041" s="3057">
        <f t="shared" ca="1" si="1500"/>
        <v>0</v>
      </c>
      <c r="AZ1041" s="2695">
        <f t="shared" ca="1" si="1501"/>
        <v>0</v>
      </c>
      <c r="BB1041" s="40">
        <f t="shared" ca="1" si="1502"/>
        <v>0</v>
      </c>
      <c r="BC1041" s="40">
        <f t="shared" ca="1" si="1503"/>
        <v>5</v>
      </c>
      <c r="BD1041" s="3057">
        <f t="shared" ca="1" si="1504"/>
        <v>-5</v>
      </c>
      <c r="BE1041" s="2695">
        <f t="shared" ca="1" si="1505"/>
        <v>0</v>
      </c>
      <c r="BF1041" s="40">
        <f t="shared" ca="1" si="1506"/>
        <v>0</v>
      </c>
      <c r="BG1041" s="3057">
        <f t="shared" ca="1" si="1507"/>
        <v>0</v>
      </c>
      <c r="BH1041" s="2695">
        <f t="shared" ca="1" si="1508"/>
        <v>0</v>
      </c>
    </row>
    <row r="1042" spans="1:60" s="34" customFormat="1" ht="14.5">
      <c r="A1042" s="616">
        <f t="shared" si="1485"/>
        <v>955</v>
      </c>
      <c r="B1042" s="616">
        <v>1</v>
      </c>
      <c r="C1042" s="616">
        <f t="shared" si="1486"/>
        <v>1039</v>
      </c>
      <c r="D1042" s="709" t="s">
        <v>1308</v>
      </c>
      <c r="E1042" s="2547">
        <v>1</v>
      </c>
      <c r="F1042" s="4"/>
      <c r="G1042" s="4"/>
      <c r="H1042" s="4"/>
      <c r="I1042" s="260"/>
      <c r="J1042" s="252" t="s">
        <v>1516</v>
      </c>
      <c r="K1042" s="252"/>
      <c r="L1042" s="252"/>
      <c r="M1042" s="251"/>
      <c r="N1042" s="251"/>
      <c r="O1042" s="251"/>
      <c r="P1042" s="251"/>
      <c r="Q1042" s="1786" t="str">
        <f>CHOOSE(2, "6722000003961", "HC DW-DX FE/TTOC Marketing Total")</f>
        <v>HC DW-DX FE/TTOC Marketing Total</v>
      </c>
      <c r="R1042" s="3102">
        <f>SUM(R1043:R1046)</f>
        <v>1</v>
      </c>
      <c r="S1042" s="3102">
        <f t="shared" ref="S1042:AJ1042" si="1511">SUM(S1043:S1046)</f>
        <v>1</v>
      </c>
      <c r="T1042" s="3102">
        <f t="shared" si="1511"/>
        <v>1</v>
      </c>
      <c r="U1042" s="3102">
        <f t="shared" si="1511"/>
        <v>1</v>
      </c>
      <c r="V1042" s="3102">
        <f t="shared" si="1511"/>
        <v>1</v>
      </c>
      <c r="W1042" s="3102">
        <f t="shared" si="1511"/>
        <v>1</v>
      </c>
      <c r="X1042" s="3102">
        <f t="shared" si="1511"/>
        <v>1</v>
      </c>
      <c r="Y1042" s="3102">
        <f t="shared" si="1511"/>
        <v>1</v>
      </c>
      <c r="Z1042" s="3102">
        <f t="shared" si="1511"/>
        <v>1</v>
      </c>
      <c r="AA1042" s="3102">
        <f t="shared" si="1511"/>
        <v>1</v>
      </c>
      <c r="AB1042" s="3102">
        <f t="shared" si="1511"/>
        <v>1</v>
      </c>
      <c r="AC1042" s="3102">
        <f t="shared" si="1511"/>
        <v>1</v>
      </c>
      <c r="AD1042" s="745">
        <f t="shared" si="1511"/>
        <v>1</v>
      </c>
      <c r="AE1042" s="3102">
        <f t="shared" si="1511"/>
        <v>1</v>
      </c>
      <c r="AF1042" s="3102">
        <f t="shared" si="1511"/>
        <v>1</v>
      </c>
      <c r="AG1042" s="3102">
        <f t="shared" si="1511"/>
        <v>1</v>
      </c>
      <c r="AH1042" s="3102">
        <f t="shared" si="1511"/>
        <v>1</v>
      </c>
      <c r="AI1042" s="3102">
        <f t="shared" si="1511"/>
        <v>1</v>
      </c>
      <c r="AJ1042" s="3102">
        <f t="shared" si="1511"/>
        <v>1</v>
      </c>
      <c r="AL1042" s="3102">
        <f t="shared" ca="1" si="1488"/>
        <v>1</v>
      </c>
      <c r="AM1042" s="3102">
        <f t="shared" ca="1" si="1489"/>
        <v>5</v>
      </c>
      <c r="AN1042" s="3304">
        <f t="shared" ca="1" si="1490"/>
        <v>-4</v>
      </c>
      <c r="AO1042" s="2953">
        <f t="shared" ca="1" si="1491"/>
        <v>0.2</v>
      </c>
      <c r="AP1042" s="3102">
        <f t="shared" ca="1" si="1492"/>
        <v>1</v>
      </c>
      <c r="AQ1042" s="3304">
        <f t="shared" ca="1" si="1493"/>
        <v>0</v>
      </c>
      <c r="AR1042" s="2953">
        <f t="shared" ca="1" si="1494"/>
        <v>1</v>
      </c>
      <c r="AT1042" s="3102">
        <f t="shared" ca="1" si="1495"/>
        <v>1</v>
      </c>
      <c r="AU1042" s="3102">
        <f t="shared" ca="1" si="1496"/>
        <v>5</v>
      </c>
      <c r="AV1042" s="3304">
        <f t="shared" ca="1" si="1497"/>
        <v>-4</v>
      </c>
      <c r="AW1042" s="2953">
        <f t="shared" ca="1" si="1498"/>
        <v>0.2</v>
      </c>
      <c r="AX1042" s="3102">
        <f t="shared" ca="1" si="1499"/>
        <v>1</v>
      </c>
      <c r="AY1042" s="3304">
        <f t="shared" ca="1" si="1500"/>
        <v>0</v>
      </c>
      <c r="AZ1042" s="2953">
        <f t="shared" ca="1" si="1501"/>
        <v>1</v>
      </c>
      <c r="BB1042" s="3102">
        <f t="shared" ca="1" si="1502"/>
        <v>1</v>
      </c>
      <c r="BC1042" s="3102">
        <f t="shared" ca="1" si="1503"/>
        <v>5</v>
      </c>
      <c r="BD1042" s="3304">
        <f t="shared" ca="1" si="1504"/>
        <v>-4</v>
      </c>
      <c r="BE1042" s="2953">
        <f t="shared" ca="1" si="1505"/>
        <v>0.2</v>
      </c>
      <c r="BF1042" s="3102">
        <f t="shared" ca="1" si="1506"/>
        <v>1</v>
      </c>
      <c r="BG1042" s="3304">
        <f t="shared" ca="1" si="1507"/>
        <v>0</v>
      </c>
      <c r="BH1042" s="2953">
        <f t="shared" ca="1" si="1508"/>
        <v>1</v>
      </c>
    </row>
    <row r="1043" spans="1:60" s="34" customFormat="1" ht="14.5">
      <c r="A1043" s="616">
        <f t="shared" si="1485"/>
        <v>956</v>
      </c>
      <c r="B1043" s="616">
        <v>1</v>
      </c>
      <c r="C1043" s="616">
        <f t="shared" si="1486"/>
        <v>1040</v>
      </c>
      <c r="E1043" s="2547">
        <v>1</v>
      </c>
      <c r="F1043" s="4"/>
      <c r="G1043" s="4"/>
      <c r="H1043" s="4"/>
      <c r="I1043" s="260"/>
      <c r="J1043" s="4"/>
      <c r="K1043" s="4"/>
      <c r="L1043" s="4"/>
      <c r="M1043" s="3"/>
      <c r="N1043" s="41"/>
      <c r="O1043" s="41" t="s">
        <v>198</v>
      </c>
      <c r="P1043" s="3"/>
      <c r="Q1043" s="1778" t="str">
        <f>CHOOSE(2, "6722000003962", "HC DW-DX FE/TTOC Marketing Total Business Development")</f>
        <v>HC DW-DX FE/TTOC Marketing Total Business Development</v>
      </c>
      <c r="R1043" s="1212">
        <v>0</v>
      </c>
      <c r="S1043" s="1212">
        <v>0</v>
      </c>
      <c r="T1043" s="1212">
        <v>0</v>
      </c>
      <c r="U1043" s="1212">
        <v>0</v>
      </c>
      <c r="V1043" s="1212">
        <v>0</v>
      </c>
      <c r="W1043" s="1212">
        <v>0</v>
      </c>
      <c r="X1043" s="1212">
        <v>0</v>
      </c>
      <c r="Y1043" s="1212">
        <v>0</v>
      </c>
      <c r="Z1043" s="1212">
        <v>0</v>
      </c>
      <c r="AA1043" s="1212">
        <v>0</v>
      </c>
      <c r="AB1043" s="1212">
        <v>0</v>
      </c>
      <c r="AC1043" s="1212">
        <v>0</v>
      </c>
      <c r="AD1043" s="877">
        <f>T1043</f>
        <v>0</v>
      </c>
      <c r="AE1043" s="40">
        <f>W1043</f>
        <v>0</v>
      </c>
      <c r="AF1043" s="40">
        <f>Z1043</f>
        <v>0</v>
      </c>
      <c r="AG1043" s="40">
        <f>AC1043</f>
        <v>0</v>
      </c>
      <c r="AH1043" s="40">
        <f>AE1043</f>
        <v>0</v>
      </c>
      <c r="AI1043" s="40">
        <f>AG1043</f>
        <v>0</v>
      </c>
      <c r="AJ1043" s="40">
        <f>AI1043</f>
        <v>0</v>
      </c>
      <c r="AL1043" s="40">
        <f t="shared" ca="1" si="1488"/>
        <v>0</v>
      </c>
      <c r="AM1043" s="40">
        <f t="shared" ca="1" si="1489"/>
        <v>3</v>
      </c>
      <c r="AN1043" s="3057">
        <f t="shared" ca="1" si="1490"/>
        <v>-3</v>
      </c>
      <c r="AO1043" s="2695">
        <f t="shared" ca="1" si="1491"/>
        <v>0</v>
      </c>
      <c r="AP1043" s="40">
        <f t="shared" ca="1" si="1492"/>
        <v>2</v>
      </c>
      <c r="AQ1043" s="3057">
        <f t="shared" ca="1" si="1493"/>
        <v>-2</v>
      </c>
      <c r="AR1043" s="2695">
        <f t="shared" ca="1" si="1494"/>
        <v>0</v>
      </c>
      <c r="AT1043" s="40">
        <f t="shared" ca="1" si="1495"/>
        <v>0</v>
      </c>
      <c r="AU1043" s="40">
        <f t="shared" ca="1" si="1496"/>
        <v>3</v>
      </c>
      <c r="AV1043" s="3057">
        <f t="shared" ca="1" si="1497"/>
        <v>-3</v>
      </c>
      <c r="AW1043" s="2695">
        <f t="shared" ca="1" si="1498"/>
        <v>0</v>
      </c>
      <c r="AX1043" s="40">
        <f t="shared" ca="1" si="1499"/>
        <v>2</v>
      </c>
      <c r="AY1043" s="3057">
        <f t="shared" ca="1" si="1500"/>
        <v>-2</v>
      </c>
      <c r="AZ1043" s="2695">
        <f t="shared" ca="1" si="1501"/>
        <v>0</v>
      </c>
      <c r="BB1043" s="40">
        <f t="shared" ca="1" si="1502"/>
        <v>0</v>
      </c>
      <c r="BC1043" s="40">
        <f t="shared" ca="1" si="1503"/>
        <v>3</v>
      </c>
      <c r="BD1043" s="3057">
        <f t="shared" ca="1" si="1504"/>
        <v>-3</v>
      </c>
      <c r="BE1043" s="2695">
        <f t="shared" ca="1" si="1505"/>
        <v>0</v>
      </c>
      <c r="BF1043" s="40">
        <f t="shared" ca="1" si="1506"/>
        <v>2</v>
      </c>
      <c r="BG1043" s="3057">
        <f t="shared" ca="1" si="1507"/>
        <v>-2</v>
      </c>
      <c r="BH1043" s="2695">
        <f t="shared" ca="1" si="1508"/>
        <v>0</v>
      </c>
    </row>
    <row r="1044" spans="1:60" s="34" customFormat="1" ht="14.5">
      <c r="A1044" s="616">
        <f t="shared" si="1485"/>
        <v>957</v>
      </c>
      <c r="B1044" s="616">
        <v>1</v>
      </c>
      <c r="C1044" s="616">
        <f t="shared" si="1486"/>
        <v>1041</v>
      </c>
      <c r="E1044" s="2547">
        <v>1</v>
      </c>
      <c r="F1044" s="4"/>
      <c r="G1044" s="4"/>
      <c r="H1044" s="4"/>
      <c r="I1044" s="260"/>
      <c r="J1044" s="4"/>
      <c r="K1044" s="4"/>
      <c r="L1044" s="4"/>
      <c r="M1044" s="3"/>
      <c r="N1044" s="41"/>
      <c r="O1044" s="41" t="s">
        <v>199</v>
      </c>
      <c r="P1044" s="3"/>
      <c r="Q1044" s="1778" t="str">
        <f>CHOOSE(2, "6722000003963", "HC DW-DX FE/TTOC Marketing Total Channel Marketing")</f>
        <v>HC DW-DX FE/TTOC Marketing Total Channel Marketing</v>
      </c>
      <c r="R1044" s="1212">
        <v>0</v>
      </c>
      <c r="S1044" s="1212">
        <v>0</v>
      </c>
      <c r="T1044" s="1212">
        <v>0</v>
      </c>
      <c r="U1044" s="1212">
        <v>0</v>
      </c>
      <c r="V1044" s="1212">
        <v>0</v>
      </c>
      <c r="W1044" s="1212">
        <v>0</v>
      </c>
      <c r="X1044" s="1212">
        <v>0</v>
      </c>
      <c r="Y1044" s="1212">
        <v>0</v>
      </c>
      <c r="Z1044" s="1212">
        <v>0</v>
      </c>
      <c r="AA1044" s="1212">
        <v>0</v>
      </c>
      <c r="AB1044" s="1212">
        <v>0</v>
      </c>
      <c r="AC1044" s="1212">
        <v>0</v>
      </c>
      <c r="AD1044" s="877">
        <f>T1044</f>
        <v>0</v>
      </c>
      <c r="AE1044" s="40">
        <f>W1044</f>
        <v>0</v>
      </c>
      <c r="AF1044" s="40">
        <f>Z1044</f>
        <v>0</v>
      </c>
      <c r="AG1044" s="40">
        <f>AC1044</f>
        <v>0</v>
      </c>
      <c r="AH1044" s="40">
        <f>AE1044</f>
        <v>0</v>
      </c>
      <c r="AI1044" s="40">
        <f>AG1044</f>
        <v>0</v>
      </c>
      <c r="AJ1044" s="40">
        <f>AI1044</f>
        <v>0</v>
      </c>
      <c r="AL1044" s="40">
        <f t="shared" ca="1" si="1488"/>
        <v>0</v>
      </c>
      <c r="AM1044" s="40">
        <f t="shared" ca="1" si="1489"/>
        <v>2</v>
      </c>
      <c r="AN1044" s="3057">
        <f t="shared" ca="1" si="1490"/>
        <v>-2</v>
      </c>
      <c r="AO1044" s="2695">
        <f t="shared" ca="1" si="1491"/>
        <v>0</v>
      </c>
      <c r="AP1044" s="40">
        <f t="shared" ca="1" si="1492"/>
        <v>48</v>
      </c>
      <c r="AQ1044" s="3057">
        <f t="shared" ca="1" si="1493"/>
        <v>-48</v>
      </c>
      <c r="AR1044" s="2695">
        <f t="shared" ca="1" si="1494"/>
        <v>0</v>
      </c>
      <c r="AT1044" s="40">
        <f t="shared" ca="1" si="1495"/>
        <v>0</v>
      </c>
      <c r="AU1044" s="40">
        <f t="shared" ca="1" si="1496"/>
        <v>2</v>
      </c>
      <c r="AV1044" s="3057">
        <f t="shared" ca="1" si="1497"/>
        <v>-2</v>
      </c>
      <c r="AW1044" s="2695">
        <f t="shared" ca="1" si="1498"/>
        <v>0</v>
      </c>
      <c r="AX1044" s="40">
        <f t="shared" ca="1" si="1499"/>
        <v>48</v>
      </c>
      <c r="AY1044" s="3057">
        <f t="shared" ca="1" si="1500"/>
        <v>-48</v>
      </c>
      <c r="AZ1044" s="2695">
        <f t="shared" ca="1" si="1501"/>
        <v>0</v>
      </c>
      <c r="BB1044" s="40">
        <f t="shared" ca="1" si="1502"/>
        <v>0</v>
      </c>
      <c r="BC1044" s="40">
        <f t="shared" ca="1" si="1503"/>
        <v>2</v>
      </c>
      <c r="BD1044" s="3057">
        <f t="shared" ca="1" si="1504"/>
        <v>-2</v>
      </c>
      <c r="BE1044" s="2695">
        <f t="shared" ca="1" si="1505"/>
        <v>0</v>
      </c>
      <c r="BF1044" s="40">
        <f t="shared" ca="1" si="1506"/>
        <v>48</v>
      </c>
      <c r="BG1044" s="3057">
        <f t="shared" ca="1" si="1507"/>
        <v>-48</v>
      </c>
      <c r="BH1044" s="2695">
        <f t="shared" ca="1" si="1508"/>
        <v>0</v>
      </c>
    </row>
    <row r="1045" spans="1:60" s="34" customFormat="1" ht="14.5">
      <c r="A1045" s="616">
        <f t="shared" si="1485"/>
        <v>958</v>
      </c>
      <c r="B1045" s="616">
        <v>1</v>
      </c>
      <c r="C1045" s="616">
        <f t="shared" si="1486"/>
        <v>1042</v>
      </c>
      <c r="E1045" s="2547">
        <v>1</v>
      </c>
      <c r="F1045" s="4"/>
      <c r="G1045" s="4"/>
      <c r="H1045" s="4"/>
      <c r="I1045" s="260"/>
      <c r="J1045" s="4"/>
      <c r="K1045" s="4"/>
      <c r="L1045" s="4"/>
      <c r="M1045" s="3"/>
      <c r="N1045" s="41"/>
      <c r="O1045" s="41" t="s">
        <v>200</v>
      </c>
      <c r="P1045" s="3"/>
      <c r="Q1045" s="1778" t="str">
        <f>CHOOSE(2, "6722000003964", "HC DW-DX FE/TTOC Marketing Total Product Marketing")</f>
        <v>HC DW-DX FE/TTOC Marketing Total Product Marketing</v>
      </c>
      <c r="R1045" s="3310">
        <v>1</v>
      </c>
      <c r="S1045" s="1212">
        <v>1</v>
      </c>
      <c r="T1045" s="1212">
        <v>1</v>
      </c>
      <c r="U1045" s="1212">
        <v>1</v>
      </c>
      <c r="V1045" s="1212">
        <v>1</v>
      </c>
      <c r="W1045" s="1212">
        <v>1</v>
      </c>
      <c r="X1045" s="1212">
        <v>1</v>
      </c>
      <c r="Y1045" s="1212">
        <v>1</v>
      </c>
      <c r="Z1045" s="1212">
        <v>1</v>
      </c>
      <c r="AA1045" s="1212">
        <v>1</v>
      </c>
      <c r="AB1045" s="1212">
        <v>1</v>
      </c>
      <c r="AC1045" s="1212">
        <v>1</v>
      </c>
      <c r="AD1045" s="877">
        <f>T1045</f>
        <v>1</v>
      </c>
      <c r="AE1045" s="40">
        <f>W1045</f>
        <v>1</v>
      </c>
      <c r="AF1045" s="40">
        <f>Z1045</f>
        <v>1</v>
      </c>
      <c r="AG1045" s="40">
        <f>AC1045</f>
        <v>1</v>
      </c>
      <c r="AH1045" s="40">
        <f>AE1045</f>
        <v>1</v>
      </c>
      <c r="AI1045" s="40">
        <f>AG1045</f>
        <v>1</v>
      </c>
      <c r="AJ1045" s="40">
        <f>AI1045</f>
        <v>1</v>
      </c>
      <c r="AL1045" s="40">
        <f t="shared" ca="1" si="1488"/>
        <v>1</v>
      </c>
      <c r="AM1045" s="40">
        <f t="shared" ca="1" si="1489"/>
        <v>0</v>
      </c>
      <c r="AN1045" s="3057">
        <f t="shared" ca="1" si="1490"/>
        <v>1</v>
      </c>
      <c r="AO1045" s="2695">
        <f t="shared" ca="1" si="1491"/>
        <v>0</v>
      </c>
      <c r="AP1045" s="40">
        <f t="shared" ca="1" si="1492"/>
        <v>6</v>
      </c>
      <c r="AQ1045" s="3057">
        <f t="shared" ca="1" si="1493"/>
        <v>-5</v>
      </c>
      <c r="AR1045" s="2695">
        <f t="shared" ca="1" si="1494"/>
        <v>0.16666666666666666</v>
      </c>
      <c r="AT1045" s="40">
        <f t="shared" ca="1" si="1495"/>
        <v>1</v>
      </c>
      <c r="AU1045" s="40">
        <f t="shared" ca="1" si="1496"/>
        <v>0</v>
      </c>
      <c r="AV1045" s="3057">
        <f t="shared" ca="1" si="1497"/>
        <v>1</v>
      </c>
      <c r="AW1045" s="2695">
        <f t="shared" ca="1" si="1498"/>
        <v>0</v>
      </c>
      <c r="AX1045" s="40">
        <f t="shared" ca="1" si="1499"/>
        <v>6</v>
      </c>
      <c r="AY1045" s="3057">
        <f t="shared" ca="1" si="1500"/>
        <v>-5</v>
      </c>
      <c r="AZ1045" s="2695">
        <f t="shared" ca="1" si="1501"/>
        <v>0.16666666666666666</v>
      </c>
      <c r="BB1045" s="40">
        <f t="shared" ca="1" si="1502"/>
        <v>1</v>
      </c>
      <c r="BC1045" s="40">
        <f t="shared" ca="1" si="1503"/>
        <v>0</v>
      </c>
      <c r="BD1045" s="3057">
        <f t="shared" ca="1" si="1504"/>
        <v>1</v>
      </c>
      <c r="BE1045" s="2695">
        <f t="shared" ca="1" si="1505"/>
        <v>0</v>
      </c>
      <c r="BF1045" s="40">
        <f t="shared" ca="1" si="1506"/>
        <v>6</v>
      </c>
      <c r="BG1045" s="3057">
        <f t="shared" ca="1" si="1507"/>
        <v>-5</v>
      </c>
      <c r="BH1045" s="2695">
        <f t="shared" ca="1" si="1508"/>
        <v>0.16666666666666666</v>
      </c>
    </row>
    <row r="1046" spans="1:60" s="34" customFormat="1" ht="14.5">
      <c r="A1046" s="616">
        <f t="shared" si="1485"/>
        <v>959</v>
      </c>
      <c r="B1046" s="616">
        <v>1</v>
      </c>
      <c r="C1046" s="616">
        <f t="shared" si="1486"/>
        <v>1043</v>
      </c>
      <c r="E1046" s="2547">
        <v>1</v>
      </c>
      <c r="F1046" s="4"/>
      <c r="G1046" s="4"/>
      <c r="H1046" s="4"/>
      <c r="I1046" s="260"/>
      <c r="J1046" s="2"/>
      <c r="K1046" s="2"/>
      <c r="L1046" s="2"/>
      <c r="M1046" s="1"/>
      <c r="N1046" s="39"/>
      <c r="O1046" s="39" t="s">
        <v>201</v>
      </c>
      <c r="P1046" s="1"/>
      <c r="Q1046" s="1778" t="str">
        <f>CHOOSE(2, "6722000003965", "HC DW-DX FE/TTOC Marketing Total MC / O")</f>
        <v>HC DW-DX FE/TTOC Marketing Total MC / O</v>
      </c>
      <c r="R1046" s="1211">
        <v>0</v>
      </c>
      <c r="S1046" s="1211">
        <v>0</v>
      </c>
      <c r="T1046" s="1211">
        <v>0</v>
      </c>
      <c r="U1046" s="1211">
        <v>0</v>
      </c>
      <c r="V1046" s="1211">
        <v>0</v>
      </c>
      <c r="W1046" s="1211">
        <v>0</v>
      </c>
      <c r="X1046" s="1211">
        <v>0</v>
      </c>
      <c r="Y1046" s="1211">
        <v>0</v>
      </c>
      <c r="Z1046" s="1211">
        <v>0</v>
      </c>
      <c r="AA1046" s="1211">
        <v>0</v>
      </c>
      <c r="AB1046" s="1211">
        <v>0</v>
      </c>
      <c r="AC1046" s="1211">
        <v>0</v>
      </c>
      <c r="AD1046" s="912">
        <f>T1046</f>
        <v>0</v>
      </c>
      <c r="AE1046" s="38">
        <f>W1046</f>
        <v>0</v>
      </c>
      <c r="AF1046" s="38">
        <f>Z1046</f>
        <v>0</v>
      </c>
      <c r="AG1046" s="38">
        <f>AC1046</f>
        <v>0</v>
      </c>
      <c r="AH1046" s="38">
        <f>AE1046</f>
        <v>0</v>
      </c>
      <c r="AI1046" s="38">
        <f>AG1046</f>
        <v>0</v>
      </c>
      <c r="AJ1046" s="38">
        <f>AI1046</f>
        <v>0</v>
      </c>
      <c r="AL1046" s="38">
        <f t="shared" ca="1" si="1488"/>
        <v>0</v>
      </c>
      <c r="AM1046" s="38">
        <f t="shared" ca="1" si="1489"/>
        <v>0</v>
      </c>
      <c r="AN1046" s="3303">
        <f t="shared" ca="1" si="1490"/>
        <v>0</v>
      </c>
      <c r="AO1046" s="2951">
        <f t="shared" ca="1" si="1491"/>
        <v>0</v>
      </c>
      <c r="AP1046" s="38">
        <f t="shared" ca="1" si="1492"/>
        <v>27</v>
      </c>
      <c r="AQ1046" s="3303">
        <f t="shared" ca="1" si="1493"/>
        <v>-27</v>
      </c>
      <c r="AR1046" s="2951">
        <f t="shared" ca="1" si="1494"/>
        <v>0</v>
      </c>
      <c r="AT1046" s="38">
        <f t="shared" ca="1" si="1495"/>
        <v>0</v>
      </c>
      <c r="AU1046" s="38">
        <f t="shared" ca="1" si="1496"/>
        <v>0</v>
      </c>
      <c r="AV1046" s="3303">
        <f t="shared" ca="1" si="1497"/>
        <v>0</v>
      </c>
      <c r="AW1046" s="2951">
        <f t="shared" ca="1" si="1498"/>
        <v>0</v>
      </c>
      <c r="AX1046" s="38">
        <f t="shared" ca="1" si="1499"/>
        <v>27</v>
      </c>
      <c r="AY1046" s="3303">
        <f t="shared" ca="1" si="1500"/>
        <v>-27</v>
      </c>
      <c r="AZ1046" s="2951">
        <f t="shared" ca="1" si="1501"/>
        <v>0</v>
      </c>
      <c r="BB1046" s="38">
        <f t="shared" ca="1" si="1502"/>
        <v>0</v>
      </c>
      <c r="BC1046" s="38">
        <f t="shared" ca="1" si="1503"/>
        <v>0</v>
      </c>
      <c r="BD1046" s="3303">
        <f t="shared" ca="1" si="1504"/>
        <v>0</v>
      </c>
      <c r="BE1046" s="2951">
        <f t="shared" ca="1" si="1505"/>
        <v>0</v>
      </c>
      <c r="BF1046" s="38">
        <f t="shared" ca="1" si="1506"/>
        <v>27</v>
      </c>
      <c r="BG1046" s="3303">
        <f t="shared" ca="1" si="1507"/>
        <v>-27</v>
      </c>
      <c r="BH1046" s="2951">
        <f t="shared" ca="1" si="1508"/>
        <v>0</v>
      </c>
    </row>
    <row r="1047" spans="1:60" s="34" customFormat="1" ht="14.5">
      <c r="A1047" s="616">
        <f t="shared" si="1485"/>
        <v>960</v>
      </c>
      <c r="B1047" s="616">
        <v>1</v>
      </c>
      <c r="C1047" s="616">
        <f t="shared" si="1486"/>
        <v>1044</v>
      </c>
      <c r="D1047" s="709" t="s">
        <v>1308</v>
      </c>
      <c r="E1047" s="2547">
        <v>1</v>
      </c>
      <c r="F1047" s="4"/>
      <c r="G1047" s="4"/>
      <c r="H1047" s="4"/>
      <c r="I1047" s="260"/>
      <c r="J1047" s="48" t="s">
        <v>1517</v>
      </c>
      <c r="K1047" s="48"/>
      <c r="L1047" s="48"/>
      <c r="M1047" s="47"/>
      <c r="N1047" s="47"/>
      <c r="O1047" s="47"/>
      <c r="P1047" s="47"/>
      <c r="Q1047" s="1786" t="str">
        <f>CHOOSE(2, "6722000003966", "HC DW-DX FE/TTOC Administration Total")</f>
        <v>HC DW-DX FE/TTOC Administration Total</v>
      </c>
      <c r="R1047" s="45">
        <f>SUM(R1048:R1052)</f>
        <v>1</v>
      </c>
      <c r="S1047" s="45">
        <f t="shared" ref="S1047:AJ1047" si="1512">SUM(S1048:S1052)</f>
        <v>0</v>
      </c>
      <c r="T1047" s="45">
        <f t="shared" si="1512"/>
        <v>0</v>
      </c>
      <c r="U1047" s="45">
        <f t="shared" si="1512"/>
        <v>0</v>
      </c>
      <c r="V1047" s="45">
        <f t="shared" si="1512"/>
        <v>0</v>
      </c>
      <c r="W1047" s="45">
        <f t="shared" si="1512"/>
        <v>0</v>
      </c>
      <c r="X1047" s="45">
        <f t="shared" si="1512"/>
        <v>0</v>
      </c>
      <c r="Y1047" s="45">
        <f t="shared" si="1512"/>
        <v>0</v>
      </c>
      <c r="Z1047" s="45">
        <f t="shared" si="1512"/>
        <v>0</v>
      </c>
      <c r="AA1047" s="45">
        <f t="shared" si="1512"/>
        <v>0</v>
      </c>
      <c r="AB1047" s="45">
        <f t="shared" si="1512"/>
        <v>0</v>
      </c>
      <c r="AC1047" s="45">
        <f t="shared" si="1512"/>
        <v>0</v>
      </c>
      <c r="AD1047" s="911">
        <f t="shared" si="1512"/>
        <v>0</v>
      </c>
      <c r="AE1047" s="45">
        <f t="shared" si="1512"/>
        <v>0</v>
      </c>
      <c r="AF1047" s="45">
        <f t="shared" si="1512"/>
        <v>0</v>
      </c>
      <c r="AG1047" s="45">
        <f t="shared" si="1512"/>
        <v>0</v>
      </c>
      <c r="AH1047" s="45">
        <f t="shared" si="1512"/>
        <v>0</v>
      </c>
      <c r="AI1047" s="45">
        <f t="shared" si="1512"/>
        <v>0</v>
      </c>
      <c r="AJ1047" s="45">
        <f t="shared" si="1512"/>
        <v>0</v>
      </c>
      <c r="AL1047" s="45">
        <f t="shared" ca="1" si="1488"/>
        <v>0</v>
      </c>
      <c r="AM1047" s="45">
        <f t="shared" ca="1" si="1489"/>
        <v>0</v>
      </c>
      <c r="AN1047" s="3302">
        <f t="shared" ca="1" si="1490"/>
        <v>0</v>
      </c>
      <c r="AO1047" s="2949">
        <f t="shared" ca="1" si="1491"/>
        <v>0</v>
      </c>
      <c r="AP1047" s="45">
        <f t="shared" ca="1" si="1492"/>
        <v>4</v>
      </c>
      <c r="AQ1047" s="3302">
        <f t="shared" ca="1" si="1493"/>
        <v>-4</v>
      </c>
      <c r="AR1047" s="2949">
        <f t="shared" ca="1" si="1494"/>
        <v>0</v>
      </c>
      <c r="AT1047" s="45">
        <f t="shared" ca="1" si="1495"/>
        <v>0</v>
      </c>
      <c r="AU1047" s="45">
        <f t="shared" ca="1" si="1496"/>
        <v>0</v>
      </c>
      <c r="AV1047" s="3302">
        <f t="shared" ca="1" si="1497"/>
        <v>0</v>
      </c>
      <c r="AW1047" s="2949">
        <f t="shared" ca="1" si="1498"/>
        <v>0</v>
      </c>
      <c r="AX1047" s="45">
        <f t="shared" ca="1" si="1499"/>
        <v>4</v>
      </c>
      <c r="AY1047" s="3302">
        <f t="shared" ca="1" si="1500"/>
        <v>-4</v>
      </c>
      <c r="AZ1047" s="2949">
        <f t="shared" ca="1" si="1501"/>
        <v>0</v>
      </c>
      <c r="BB1047" s="45">
        <f t="shared" ca="1" si="1502"/>
        <v>0</v>
      </c>
      <c r="BC1047" s="45">
        <f t="shared" ca="1" si="1503"/>
        <v>0</v>
      </c>
      <c r="BD1047" s="3302">
        <f t="shared" ca="1" si="1504"/>
        <v>0</v>
      </c>
      <c r="BE1047" s="2949">
        <f t="shared" ca="1" si="1505"/>
        <v>0</v>
      </c>
      <c r="BF1047" s="45">
        <f t="shared" ca="1" si="1506"/>
        <v>4</v>
      </c>
      <c r="BG1047" s="3302">
        <f t="shared" ca="1" si="1507"/>
        <v>-4</v>
      </c>
      <c r="BH1047" s="2949">
        <f t="shared" ca="1" si="1508"/>
        <v>0</v>
      </c>
    </row>
    <row r="1048" spans="1:60" s="34" customFormat="1" ht="14.5">
      <c r="A1048" s="616">
        <f t="shared" si="1485"/>
        <v>961</v>
      </c>
      <c r="B1048" s="616">
        <v>1</v>
      </c>
      <c r="C1048" s="616">
        <f t="shared" si="1486"/>
        <v>1045</v>
      </c>
      <c r="E1048" s="2547">
        <v>1</v>
      </c>
      <c r="F1048" s="4"/>
      <c r="G1048" s="4"/>
      <c r="H1048" s="4"/>
      <c r="I1048" s="260"/>
      <c r="J1048" s="4"/>
      <c r="K1048" s="4"/>
      <c r="L1048" s="3"/>
      <c r="M1048" s="3"/>
      <c r="N1048" s="41"/>
      <c r="O1048" s="41" t="s">
        <v>39</v>
      </c>
      <c r="P1048" s="41"/>
      <c r="Q1048" s="1778" t="str">
        <f>CHOOSE(2, "6722000003967", "HC DW-DX FE/TTOC Administration Total IT")</f>
        <v>HC DW-DX FE/TTOC Administration Total IT</v>
      </c>
      <c r="R1048" s="1212">
        <v>0</v>
      </c>
      <c r="S1048" s="1212">
        <v>0</v>
      </c>
      <c r="T1048" s="1212">
        <v>0</v>
      </c>
      <c r="U1048" s="1212">
        <v>0</v>
      </c>
      <c r="V1048" s="1212">
        <v>0</v>
      </c>
      <c r="W1048" s="1212">
        <v>0</v>
      </c>
      <c r="X1048" s="1212">
        <v>0</v>
      </c>
      <c r="Y1048" s="1212">
        <v>0</v>
      </c>
      <c r="Z1048" s="1212">
        <v>0</v>
      </c>
      <c r="AA1048" s="1212">
        <v>0</v>
      </c>
      <c r="AB1048" s="1212">
        <v>0</v>
      </c>
      <c r="AC1048" s="1212">
        <v>0</v>
      </c>
      <c r="AD1048" s="877">
        <f>T1048</f>
        <v>0</v>
      </c>
      <c r="AE1048" s="40">
        <f>W1048</f>
        <v>0</v>
      </c>
      <c r="AF1048" s="40">
        <f>Z1048</f>
        <v>0</v>
      </c>
      <c r="AG1048" s="40">
        <f>AC1048</f>
        <v>0</v>
      </c>
      <c r="AH1048" s="40">
        <f>AE1048</f>
        <v>0</v>
      </c>
      <c r="AI1048" s="40">
        <f>AG1048</f>
        <v>0</v>
      </c>
      <c r="AJ1048" s="40">
        <f>AI1048</f>
        <v>0</v>
      </c>
      <c r="AL1048" s="40">
        <f t="shared" ca="1" si="1488"/>
        <v>0</v>
      </c>
      <c r="AM1048" s="40">
        <f t="shared" ca="1" si="1489"/>
        <v>0</v>
      </c>
      <c r="AN1048" s="3057">
        <f t="shared" ca="1" si="1490"/>
        <v>0</v>
      </c>
      <c r="AO1048" s="2695">
        <f t="shared" ca="1" si="1491"/>
        <v>0</v>
      </c>
      <c r="AP1048" s="40">
        <f t="shared" ca="1" si="1492"/>
        <v>0</v>
      </c>
      <c r="AQ1048" s="3057">
        <f t="shared" ca="1" si="1493"/>
        <v>0</v>
      </c>
      <c r="AR1048" s="2695">
        <f t="shared" ca="1" si="1494"/>
        <v>0</v>
      </c>
      <c r="AT1048" s="40">
        <f t="shared" ca="1" si="1495"/>
        <v>0</v>
      </c>
      <c r="AU1048" s="40">
        <f t="shared" ca="1" si="1496"/>
        <v>0</v>
      </c>
      <c r="AV1048" s="3057">
        <f t="shared" ca="1" si="1497"/>
        <v>0</v>
      </c>
      <c r="AW1048" s="2695">
        <f t="shared" ca="1" si="1498"/>
        <v>0</v>
      </c>
      <c r="AX1048" s="40">
        <f t="shared" ca="1" si="1499"/>
        <v>0</v>
      </c>
      <c r="AY1048" s="3057">
        <f t="shared" ca="1" si="1500"/>
        <v>0</v>
      </c>
      <c r="AZ1048" s="2695">
        <f t="shared" ca="1" si="1501"/>
        <v>0</v>
      </c>
      <c r="BB1048" s="40">
        <f t="shared" ca="1" si="1502"/>
        <v>0</v>
      </c>
      <c r="BC1048" s="40">
        <f t="shared" ca="1" si="1503"/>
        <v>0</v>
      </c>
      <c r="BD1048" s="3057">
        <f t="shared" ca="1" si="1504"/>
        <v>0</v>
      </c>
      <c r="BE1048" s="2695">
        <f t="shared" ca="1" si="1505"/>
        <v>0</v>
      </c>
      <c r="BF1048" s="40">
        <f t="shared" ca="1" si="1506"/>
        <v>0</v>
      </c>
      <c r="BG1048" s="3057">
        <f t="shared" ca="1" si="1507"/>
        <v>0</v>
      </c>
      <c r="BH1048" s="2695">
        <f t="shared" ca="1" si="1508"/>
        <v>0</v>
      </c>
    </row>
    <row r="1049" spans="1:60" s="34" customFormat="1" ht="14.5">
      <c r="A1049" s="616">
        <f t="shared" si="1485"/>
        <v>962</v>
      </c>
      <c r="B1049" s="616">
        <v>1</v>
      </c>
      <c r="C1049" s="616">
        <f t="shared" si="1486"/>
        <v>1046</v>
      </c>
      <c r="E1049" s="2547">
        <v>1</v>
      </c>
      <c r="F1049" s="4"/>
      <c r="G1049" s="4"/>
      <c r="H1049" s="4"/>
      <c r="I1049" s="260"/>
      <c r="J1049" s="4"/>
      <c r="K1049" s="4"/>
      <c r="L1049" s="3"/>
      <c r="M1049" s="3"/>
      <c r="N1049" s="41"/>
      <c r="O1049" s="41" t="s">
        <v>18</v>
      </c>
      <c r="P1049" s="41"/>
      <c r="Q1049" s="1778" t="str">
        <f>CHOOSE(2, "6722000003968", "HC DW-DX FE/TTOC Administration Total Finance")</f>
        <v>HC DW-DX FE/TTOC Administration Total Finance</v>
      </c>
      <c r="R1049" s="1212">
        <v>0</v>
      </c>
      <c r="S1049" s="1212">
        <v>0</v>
      </c>
      <c r="T1049" s="1212">
        <v>0</v>
      </c>
      <c r="U1049" s="1212">
        <v>0</v>
      </c>
      <c r="V1049" s="1212">
        <v>0</v>
      </c>
      <c r="W1049" s="1212">
        <v>0</v>
      </c>
      <c r="X1049" s="1212">
        <v>0</v>
      </c>
      <c r="Y1049" s="1212">
        <v>0</v>
      </c>
      <c r="Z1049" s="1212">
        <v>0</v>
      </c>
      <c r="AA1049" s="1212">
        <v>0</v>
      </c>
      <c r="AB1049" s="1212">
        <v>0</v>
      </c>
      <c r="AC1049" s="1212">
        <v>0</v>
      </c>
      <c r="AD1049" s="877">
        <f>T1049</f>
        <v>0</v>
      </c>
      <c r="AE1049" s="40">
        <f>W1049</f>
        <v>0</v>
      </c>
      <c r="AF1049" s="40">
        <f>Z1049</f>
        <v>0</v>
      </c>
      <c r="AG1049" s="40">
        <f>AC1049</f>
        <v>0</v>
      </c>
      <c r="AH1049" s="40">
        <f>AE1049</f>
        <v>0</v>
      </c>
      <c r="AI1049" s="40">
        <f>AG1049</f>
        <v>0</v>
      </c>
      <c r="AJ1049" s="40">
        <f>AI1049</f>
        <v>0</v>
      </c>
      <c r="AL1049" s="40">
        <f t="shared" ca="1" si="1488"/>
        <v>0</v>
      </c>
      <c r="AM1049" s="40">
        <f t="shared" ca="1" si="1489"/>
        <v>0</v>
      </c>
      <c r="AN1049" s="3057">
        <f t="shared" ca="1" si="1490"/>
        <v>0</v>
      </c>
      <c r="AO1049" s="2695">
        <f t="shared" ca="1" si="1491"/>
        <v>0</v>
      </c>
      <c r="AP1049" s="40">
        <f t="shared" ca="1" si="1492"/>
        <v>11</v>
      </c>
      <c r="AQ1049" s="3057">
        <f t="shared" ca="1" si="1493"/>
        <v>-11</v>
      </c>
      <c r="AR1049" s="2695">
        <f t="shared" ca="1" si="1494"/>
        <v>0</v>
      </c>
      <c r="AT1049" s="40">
        <f t="shared" ca="1" si="1495"/>
        <v>0</v>
      </c>
      <c r="AU1049" s="40">
        <f t="shared" ca="1" si="1496"/>
        <v>0</v>
      </c>
      <c r="AV1049" s="3057">
        <f t="shared" ca="1" si="1497"/>
        <v>0</v>
      </c>
      <c r="AW1049" s="2695">
        <f t="shared" ca="1" si="1498"/>
        <v>0</v>
      </c>
      <c r="AX1049" s="40">
        <f t="shared" ca="1" si="1499"/>
        <v>11</v>
      </c>
      <c r="AY1049" s="3057">
        <f t="shared" ca="1" si="1500"/>
        <v>-11</v>
      </c>
      <c r="AZ1049" s="2695">
        <f t="shared" ca="1" si="1501"/>
        <v>0</v>
      </c>
      <c r="BB1049" s="40">
        <f t="shared" ca="1" si="1502"/>
        <v>0</v>
      </c>
      <c r="BC1049" s="40">
        <f t="shared" ca="1" si="1503"/>
        <v>0</v>
      </c>
      <c r="BD1049" s="3057">
        <f t="shared" ca="1" si="1504"/>
        <v>0</v>
      </c>
      <c r="BE1049" s="2695">
        <f t="shared" ca="1" si="1505"/>
        <v>0</v>
      </c>
      <c r="BF1049" s="40">
        <f t="shared" ca="1" si="1506"/>
        <v>11</v>
      </c>
      <c r="BG1049" s="3057">
        <f t="shared" ca="1" si="1507"/>
        <v>-11</v>
      </c>
      <c r="BH1049" s="2695">
        <f t="shared" ca="1" si="1508"/>
        <v>0</v>
      </c>
    </row>
    <row r="1050" spans="1:60" s="34" customFormat="1" ht="14.5">
      <c r="A1050" s="616">
        <f t="shared" si="1485"/>
        <v>963</v>
      </c>
      <c r="B1050" s="616">
        <v>1</v>
      </c>
      <c r="C1050" s="616">
        <f t="shared" si="1486"/>
        <v>1047</v>
      </c>
      <c r="E1050" s="2547">
        <v>1</v>
      </c>
      <c r="F1050" s="4"/>
      <c r="G1050" s="4"/>
      <c r="H1050" s="4"/>
      <c r="I1050" s="260"/>
      <c r="J1050" s="4"/>
      <c r="K1050" s="4"/>
      <c r="L1050" s="3"/>
      <c r="M1050" s="3"/>
      <c r="N1050" s="41"/>
      <c r="O1050" s="41" t="s">
        <v>19</v>
      </c>
      <c r="P1050" s="41"/>
      <c r="Q1050" s="1778" t="str">
        <f>CHOOSE(2, "6722000003969", "HC DW-DX FE/TTOC Administration Total HR")</f>
        <v>HC DW-DX FE/TTOC Administration Total HR</v>
      </c>
      <c r="R1050" s="1212">
        <v>0</v>
      </c>
      <c r="S1050" s="1212">
        <v>0</v>
      </c>
      <c r="T1050" s="1212">
        <v>0</v>
      </c>
      <c r="U1050" s="1212">
        <v>0</v>
      </c>
      <c r="V1050" s="1212">
        <v>0</v>
      </c>
      <c r="W1050" s="1212">
        <v>0</v>
      </c>
      <c r="X1050" s="1212">
        <v>0</v>
      </c>
      <c r="Y1050" s="1212">
        <v>0</v>
      </c>
      <c r="Z1050" s="1212">
        <v>0</v>
      </c>
      <c r="AA1050" s="1212">
        <v>0</v>
      </c>
      <c r="AB1050" s="1212">
        <v>0</v>
      </c>
      <c r="AC1050" s="1212">
        <v>0</v>
      </c>
      <c r="AD1050" s="877">
        <f>T1050</f>
        <v>0</v>
      </c>
      <c r="AE1050" s="40">
        <f>W1050</f>
        <v>0</v>
      </c>
      <c r="AF1050" s="40">
        <f>Z1050</f>
        <v>0</v>
      </c>
      <c r="AG1050" s="40">
        <f>AC1050</f>
        <v>0</v>
      </c>
      <c r="AH1050" s="40">
        <f>AE1050</f>
        <v>0</v>
      </c>
      <c r="AI1050" s="40">
        <f>AG1050</f>
        <v>0</v>
      </c>
      <c r="AJ1050" s="40">
        <f>AI1050</f>
        <v>0</v>
      </c>
      <c r="AL1050" s="40">
        <f t="shared" ca="1" si="1488"/>
        <v>0</v>
      </c>
      <c r="AM1050" s="40">
        <f t="shared" ca="1" si="1489"/>
        <v>0</v>
      </c>
      <c r="AN1050" s="3057">
        <f t="shared" ca="1" si="1490"/>
        <v>0</v>
      </c>
      <c r="AO1050" s="2695">
        <f t="shared" ca="1" si="1491"/>
        <v>0</v>
      </c>
      <c r="AP1050" s="40">
        <f t="shared" ca="1" si="1492"/>
        <v>23</v>
      </c>
      <c r="AQ1050" s="3057">
        <f t="shared" ca="1" si="1493"/>
        <v>-23</v>
      </c>
      <c r="AR1050" s="2695">
        <f t="shared" ca="1" si="1494"/>
        <v>0</v>
      </c>
      <c r="AT1050" s="40">
        <f t="shared" ca="1" si="1495"/>
        <v>0</v>
      </c>
      <c r="AU1050" s="40">
        <f t="shared" ca="1" si="1496"/>
        <v>0</v>
      </c>
      <c r="AV1050" s="3057">
        <f t="shared" ca="1" si="1497"/>
        <v>0</v>
      </c>
      <c r="AW1050" s="2695">
        <f t="shared" ca="1" si="1498"/>
        <v>0</v>
      </c>
      <c r="AX1050" s="40">
        <f t="shared" ca="1" si="1499"/>
        <v>23</v>
      </c>
      <c r="AY1050" s="3057">
        <f t="shared" ca="1" si="1500"/>
        <v>-23</v>
      </c>
      <c r="AZ1050" s="2695">
        <f t="shared" ca="1" si="1501"/>
        <v>0</v>
      </c>
      <c r="BB1050" s="40">
        <f t="shared" ca="1" si="1502"/>
        <v>0</v>
      </c>
      <c r="BC1050" s="40">
        <f t="shared" ca="1" si="1503"/>
        <v>0</v>
      </c>
      <c r="BD1050" s="3057">
        <f t="shared" ca="1" si="1504"/>
        <v>0</v>
      </c>
      <c r="BE1050" s="2695">
        <f t="shared" ca="1" si="1505"/>
        <v>0</v>
      </c>
      <c r="BF1050" s="40">
        <f t="shared" ca="1" si="1506"/>
        <v>23</v>
      </c>
      <c r="BG1050" s="3057">
        <f t="shared" ca="1" si="1507"/>
        <v>-23</v>
      </c>
      <c r="BH1050" s="2695">
        <f t="shared" ca="1" si="1508"/>
        <v>0</v>
      </c>
    </row>
    <row r="1051" spans="1:60" s="34" customFormat="1" ht="14.5">
      <c r="A1051" s="616">
        <f t="shared" si="1485"/>
        <v>964</v>
      </c>
      <c r="B1051" s="616">
        <v>1</v>
      </c>
      <c r="C1051" s="616">
        <f t="shared" si="1486"/>
        <v>1048</v>
      </c>
      <c r="E1051" s="2547">
        <v>1</v>
      </c>
      <c r="F1051" s="4"/>
      <c r="G1051" s="4"/>
      <c r="H1051" s="4"/>
      <c r="I1051" s="260"/>
      <c r="J1051" s="4"/>
      <c r="K1051" s="4"/>
      <c r="L1051" s="3"/>
      <c r="M1051" s="3"/>
      <c r="N1051" s="41"/>
      <c r="O1051" s="41" t="s">
        <v>20</v>
      </c>
      <c r="P1051" s="41"/>
      <c r="Q1051" s="1778" t="str">
        <f>CHOOSE(2, "6722000003970", "HC DW-DX FE/TTOC Administration Total Training")</f>
        <v>HC DW-DX FE/TTOC Administration Total Training</v>
      </c>
      <c r="R1051" s="1212">
        <v>0</v>
      </c>
      <c r="S1051" s="1212">
        <v>0</v>
      </c>
      <c r="T1051" s="1212">
        <v>0</v>
      </c>
      <c r="U1051" s="1212">
        <v>0</v>
      </c>
      <c r="V1051" s="1212">
        <v>0</v>
      </c>
      <c r="W1051" s="1212">
        <v>0</v>
      </c>
      <c r="X1051" s="1212">
        <v>0</v>
      </c>
      <c r="Y1051" s="1212">
        <v>0</v>
      </c>
      <c r="Z1051" s="1212">
        <v>0</v>
      </c>
      <c r="AA1051" s="1212">
        <v>0</v>
      </c>
      <c r="AB1051" s="1212">
        <v>0</v>
      </c>
      <c r="AC1051" s="1212">
        <v>0</v>
      </c>
      <c r="AD1051" s="877">
        <f>T1051</f>
        <v>0</v>
      </c>
      <c r="AE1051" s="40">
        <f>W1051</f>
        <v>0</v>
      </c>
      <c r="AF1051" s="40">
        <f>Z1051</f>
        <v>0</v>
      </c>
      <c r="AG1051" s="40">
        <f>AC1051</f>
        <v>0</v>
      </c>
      <c r="AH1051" s="40">
        <f>AE1051</f>
        <v>0</v>
      </c>
      <c r="AI1051" s="40">
        <f>AG1051</f>
        <v>0</v>
      </c>
      <c r="AJ1051" s="40">
        <f>AI1051</f>
        <v>0</v>
      </c>
      <c r="AL1051" s="40">
        <f t="shared" ca="1" si="1488"/>
        <v>0</v>
      </c>
      <c r="AM1051" s="40">
        <f t="shared" ca="1" si="1489"/>
        <v>0</v>
      </c>
      <c r="AN1051" s="3057">
        <f t="shared" ca="1" si="1490"/>
        <v>0</v>
      </c>
      <c r="AO1051" s="2695">
        <f t="shared" ca="1" si="1491"/>
        <v>0</v>
      </c>
      <c r="AP1051" s="40">
        <f t="shared" ca="1" si="1492"/>
        <v>7</v>
      </c>
      <c r="AQ1051" s="3057">
        <f t="shared" ca="1" si="1493"/>
        <v>-7</v>
      </c>
      <c r="AR1051" s="2695">
        <f t="shared" ca="1" si="1494"/>
        <v>0</v>
      </c>
      <c r="AT1051" s="40">
        <f t="shared" ca="1" si="1495"/>
        <v>0</v>
      </c>
      <c r="AU1051" s="40">
        <f t="shared" ca="1" si="1496"/>
        <v>0</v>
      </c>
      <c r="AV1051" s="3057">
        <f t="shared" ca="1" si="1497"/>
        <v>0</v>
      </c>
      <c r="AW1051" s="2695">
        <f t="shared" ca="1" si="1498"/>
        <v>0</v>
      </c>
      <c r="AX1051" s="40">
        <f t="shared" ca="1" si="1499"/>
        <v>7</v>
      </c>
      <c r="AY1051" s="3057">
        <f t="shared" ca="1" si="1500"/>
        <v>-7</v>
      </c>
      <c r="AZ1051" s="2695">
        <f t="shared" ca="1" si="1501"/>
        <v>0</v>
      </c>
      <c r="BB1051" s="40">
        <f t="shared" ca="1" si="1502"/>
        <v>0</v>
      </c>
      <c r="BC1051" s="40">
        <f t="shared" ca="1" si="1503"/>
        <v>0</v>
      </c>
      <c r="BD1051" s="3057">
        <f t="shared" ca="1" si="1504"/>
        <v>0</v>
      </c>
      <c r="BE1051" s="2695">
        <f t="shared" ca="1" si="1505"/>
        <v>0</v>
      </c>
      <c r="BF1051" s="40">
        <f t="shared" ca="1" si="1506"/>
        <v>7</v>
      </c>
      <c r="BG1051" s="3057">
        <f t="shared" ca="1" si="1507"/>
        <v>-7</v>
      </c>
      <c r="BH1051" s="2695">
        <f t="shared" ca="1" si="1508"/>
        <v>0</v>
      </c>
    </row>
    <row r="1052" spans="1:60" s="34" customFormat="1" ht="14.5">
      <c r="A1052" s="616">
        <f t="shared" si="1485"/>
        <v>965</v>
      </c>
      <c r="B1052" s="616">
        <v>1</v>
      </c>
      <c r="C1052" s="616">
        <f t="shared" si="1486"/>
        <v>1049</v>
      </c>
      <c r="E1052" s="2547">
        <v>1</v>
      </c>
      <c r="F1052" s="4"/>
      <c r="G1052" s="4"/>
      <c r="H1052" s="4"/>
      <c r="I1052" s="260"/>
      <c r="J1052" s="4"/>
      <c r="K1052" s="4"/>
      <c r="L1052" s="3"/>
      <c r="M1052" s="3"/>
      <c r="N1052" s="41"/>
      <c r="O1052" s="41" t="s">
        <v>2</v>
      </c>
      <c r="P1052" s="41"/>
      <c r="Q1052" s="1778" t="str">
        <f>CHOOSE(2, "6722000003971", "HC DW-DX FE/TTOC Administration Total Others")</f>
        <v>HC DW-DX FE/TTOC Administration Total Others</v>
      </c>
      <c r="R1052" s="3310">
        <v>1</v>
      </c>
      <c r="S1052" s="1212">
        <v>0</v>
      </c>
      <c r="T1052" s="1212">
        <v>0</v>
      </c>
      <c r="U1052" s="1212">
        <v>0</v>
      </c>
      <c r="V1052" s="1212">
        <v>0</v>
      </c>
      <c r="W1052" s="1212">
        <v>0</v>
      </c>
      <c r="X1052" s="1212">
        <v>0</v>
      </c>
      <c r="Y1052" s="1212">
        <v>0</v>
      </c>
      <c r="Z1052" s="1212">
        <v>0</v>
      </c>
      <c r="AA1052" s="1212">
        <v>0</v>
      </c>
      <c r="AB1052" s="1212">
        <v>0</v>
      </c>
      <c r="AC1052" s="1212">
        <v>0</v>
      </c>
      <c r="AD1052" s="877">
        <f>T1052</f>
        <v>0</v>
      </c>
      <c r="AE1052" s="40">
        <f>W1052</f>
        <v>0</v>
      </c>
      <c r="AF1052" s="40">
        <f>Z1052</f>
        <v>0</v>
      </c>
      <c r="AG1052" s="40">
        <f>AC1052</f>
        <v>0</v>
      </c>
      <c r="AH1052" s="40">
        <f>AE1052</f>
        <v>0</v>
      </c>
      <c r="AI1052" s="40">
        <f>AG1052</f>
        <v>0</v>
      </c>
      <c r="AJ1052" s="40">
        <f>AI1052</f>
        <v>0</v>
      </c>
      <c r="AL1052" s="40">
        <f t="shared" ca="1" si="1488"/>
        <v>0</v>
      </c>
      <c r="AM1052" s="40">
        <f t="shared" ca="1" si="1489"/>
        <v>0</v>
      </c>
      <c r="AN1052" s="3057">
        <f t="shared" ca="1" si="1490"/>
        <v>0</v>
      </c>
      <c r="AO1052" s="2695">
        <f t="shared" ca="1" si="1491"/>
        <v>0</v>
      </c>
      <c r="AP1052" s="40">
        <f t="shared" ca="1" si="1492"/>
        <v>16</v>
      </c>
      <c r="AQ1052" s="3057">
        <f t="shared" ca="1" si="1493"/>
        <v>-16</v>
      </c>
      <c r="AR1052" s="2695">
        <f t="shared" ca="1" si="1494"/>
        <v>0</v>
      </c>
      <c r="AT1052" s="40">
        <f t="shared" ca="1" si="1495"/>
        <v>0</v>
      </c>
      <c r="AU1052" s="40">
        <f t="shared" ca="1" si="1496"/>
        <v>0</v>
      </c>
      <c r="AV1052" s="3057">
        <f t="shared" ca="1" si="1497"/>
        <v>0</v>
      </c>
      <c r="AW1052" s="2695">
        <f t="shared" ca="1" si="1498"/>
        <v>0</v>
      </c>
      <c r="AX1052" s="40">
        <f t="shared" ca="1" si="1499"/>
        <v>16</v>
      </c>
      <c r="AY1052" s="3057">
        <f t="shared" ca="1" si="1500"/>
        <v>-16</v>
      </c>
      <c r="AZ1052" s="2695">
        <f t="shared" ca="1" si="1501"/>
        <v>0</v>
      </c>
      <c r="BB1052" s="40">
        <f t="shared" ca="1" si="1502"/>
        <v>0</v>
      </c>
      <c r="BC1052" s="40">
        <f t="shared" ca="1" si="1503"/>
        <v>0</v>
      </c>
      <c r="BD1052" s="3057">
        <f t="shared" ca="1" si="1504"/>
        <v>0</v>
      </c>
      <c r="BE1052" s="2695">
        <f t="shared" ca="1" si="1505"/>
        <v>0</v>
      </c>
      <c r="BF1052" s="40">
        <f t="shared" ca="1" si="1506"/>
        <v>16</v>
      </c>
      <c r="BG1052" s="3057">
        <f t="shared" ca="1" si="1507"/>
        <v>-16</v>
      </c>
      <c r="BH1052" s="2695">
        <f t="shared" ca="1" si="1508"/>
        <v>0</v>
      </c>
    </row>
    <row r="1053" spans="1:60" s="34" customFormat="1" ht="14.5">
      <c r="A1053" s="616">
        <f t="shared" si="1485"/>
        <v>966</v>
      </c>
      <c r="B1053" s="616">
        <v>1</v>
      </c>
      <c r="C1053" s="616">
        <f t="shared" si="1486"/>
        <v>1050</v>
      </c>
      <c r="D1053" s="709" t="s">
        <v>1308</v>
      </c>
      <c r="E1053" s="2547">
        <v>1</v>
      </c>
      <c r="F1053" s="4"/>
      <c r="G1053" s="4"/>
      <c r="H1053" s="4"/>
      <c r="I1053" s="260"/>
      <c r="J1053" s="252" t="s">
        <v>1518</v>
      </c>
      <c r="K1053" s="252"/>
      <c r="L1053" s="252"/>
      <c r="M1053" s="251"/>
      <c r="N1053" s="251"/>
      <c r="O1053" s="251"/>
      <c r="P1053" s="251"/>
      <c r="Q1053" s="1786" t="str">
        <f>CHOOSE(2, "6722000003972", "HC DW-DX FE/TTOC Logistics Total")</f>
        <v>HC DW-DX FE/TTOC Logistics Total</v>
      </c>
      <c r="R1053" s="3102">
        <f>SUM(R1054:R1056)</f>
        <v>0</v>
      </c>
      <c r="S1053" s="3102">
        <f t="shared" ref="S1053:AJ1053" si="1513">SUM(S1054:S1056)</f>
        <v>0</v>
      </c>
      <c r="T1053" s="3102">
        <f t="shared" si="1513"/>
        <v>0</v>
      </c>
      <c r="U1053" s="3102">
        <f t="shared" si="1513"/>
        <v>0</v>
      </c>
      <c r="V1053" s="3102">
        <f t="shared" si="1513"/>
        <v>0</v>
      </c>
      <c r="W1053" s="3102">
        <f t="shared" si="1513"/>
        <v>0</v>
      </c>
      <c r="X1053" s="3102">
        <f t="shared" si="1513"/>
        <v>0</v>
      </c>
      <c r="Y1053" s="3102">
        <f t="shared" si="1513"/>
        <v>0</v>
      </c>
      <c r="Z1053" s="3102">
        <f t="shared" si="1513"/>
        <v>0</v>
      </c>
      <c r="AA1053" s="3102">
        <f t="shared" si="1513"/>
        <v>0</v>
      </c>
      <c r="AB1053" s="3102">
        <f t="shared" si="1513"/>
        <v>0</v>
      </c>
      <c r="AC1053" s="3102">
        <f t="shared" si="1513"/>
        <v>0</v>
      </c>
      <c r="AD1053" s="745">
        <f t="shared" si="1513"/>
        <v>0</v>
      </c>
      <c r="AE1053" s="3102">
        <f t="shared" si="1513"/>
        <v>0</v>
      </c>
      <c r="AF1053" s="3102">
        <f t="shared" si="1513"/>
        <v>0</v>
      </c>
      <c r="AG1053" s="3102">
        <f t="shared" si="1513"/>
        <v>0</v>
      </c>
      <c r="AH1053" s="3102">
        <f t="shared" si="1513"/>
        <v>0</v>
      </c>
      <c r="AI1053" s="3102">
        <f t="shared" si="1513"/>
        <v>0</v>
      </c>
      <c r="AJ1053" s="3102">
        <f t="shared" si="1513"/>
        <v>0</v>
      </c>
      <c r="AL1053" s="3102">
        <f t="shared" ca="1" si="1488"/>
        <v>0</v>
      </c>
      <c r="AM1053" s="3102">
        <f t="shared" ca="1" si="1489"/>
        <v>0</v>
      </c>
      <c r="AN1053" s="3304">
        <f t="shared" ca="1" si="1490"/>
        <v>0</v>
      </c>
      <c r="AO1053" s="2953">
        <f t="shared" ca="1" si="1491"/>
        <v>0</v>
      </c>
      <c r="AP1053" s="3102">
        <f t="shared" ca="1" si="1492"/>
        <v>0</v>
      </c>
      <c r="AQ1053" s="3304">
        <f t="shared" ca="1" si="1493"/>
        <v>0</v>
      </c>
      <c r="AR1053" s="2953">
        <f t="shared" ca="1" si="1494"/>
        <v>0</v>
      </c>
      <c r="AT1053" s="3102">
        <f t="shared" ca="1" si="1495"/>
        <v>0</v>
      </c>
      <c r="AU1053" s="3102">
        <f t="shared" ca="1" si="1496"/>
        <v>0</v>
      </c>
      <c r="AV1053" s="3304">
        <f t="shared" ca="1" si="1497"/>
        <v>0</v>
      </c>
      <c r="AW1053" s="2953">
        <f t="shared" ca="1" si="1498"/>
        <v>0</v>
      </c>
      <c r="AX1053" s="3102">
        <f t="shared" ca="1" si="1499"/>
        <v>0</v>
      </c>
      <c r="AY1053" s="3304">
        <f t="shared" ca="1" si="1500"/>
        <v>0</v>
      </c>
      <c r="AZ1053" s="2953">
        <f t="shared" ca="1" si="1501"/>
        <v>0</v>
      </c>
      <c r="BB1053" s="3102">
        <f t="shared" ca="1" si="1502"/>
        <v>0</v>
      </c>
      <c r="BC1053" s="3102">
        <f t="shared" ca="1" si="1503"/>
        <v>0</v>
      </c>
      <c r="BD1053" s="3304">
        <f t="shared" ca="1" si="1504"/>
        <v>0</v>
      </c>
      <c r="BE1053" s="2953">
        <f t="shared" ca="1" si="1505"/>
        <v>0</v>
      </c>
      <c r="BF1053" s="3102">
        <f t="shared" ca="1" si="1506"/>
        <v>0</v>
      </c>
      <c r="BG1053" s="3304">
        <f t="shared" ca="1" si="1507"/>
        <v>0</v>
      </c>
      <c r="BH1053" s="2953">
        <f t="shared" ca="1" si="1508"/>
        <v>0</v>
      </c>
    </row>
    <row r="1054" spans="1:60" s="34" customFormat="1" ht="14.5">
      <c r="A1054" s="616">
        <f t="shared" si="1485"/>
        <v>967</v>
      </c>
      <c r="B1054" s="616">
        <v>1</v>
      </c>
      <c r="C1054" s="616">
        <f t="shared" si="1486"/>
        <v>1051</v>
      </c>
      <c r="E1054" s="2547">
        <v>1</v>
      </c>
      <c r="F1054" s="4"/>
      <c r="G1054" s="4"/>
      <c r="H1054" s="4"/>
      <c r="I1054" s="260"/>
      <c r="J1054" s="4"/>
      <c r="K1054" s="4"/>
      <c r="L1054" s="3"/>
      <c r="M1054" s="3"/>
      <c r="N1054" s="41"/>
      <c r="O1054" s="41" t="s">
        <v>21</v>
      </c>
      <c r="P1054" s="41"/>
      <c r="Q1054" s="1778" t="str">
        <f>CHOOSE(2, "6722000003973", "HC DW-DX FE/TTOC Logistics Total Administration")</f>
        <v>HC DW-DX FE/TTOC Logistics Total Administration</v>
      </c>
      <c r="R1054" s="1212">
        <v>0</v>
      </c>
      <c r="S1054" s="1212">
        <v>0</v>
      </c>
      <c r="T1054" s="1212">
        <v>0</v>
      </c>
      <c r="U1054" s="1212">
        <v>0</v>
      </c>
      <c r="V1054" s="1212">
        <v>0</v>
      </c>
      <c r="W1054" s="1212">
        <v>0</v>
      </c>
      <c r="X1054" s="1212">
        <v>0</v>
      </c>
      <c r="Y1054" s="1212">
        <v>0</v>
      </c>
      <c r="Z1054" s="1212">
        <v>0</v>
      </c>
      <c r="AA1054" s="1212">
        <v>0</v>
      </c>
      <c r="AB1054" s="1212">
        <v>0</v>
      </c>
      <c r="AC1054" s="1212">
        <v>0</v>
      </c>
      <c r="AD1054" s="877">
        <f>T1054</f>
        <v>0</v>
      </c>
      <c r="AE1054" s="40">
        <f>W1054</f>
        <v>0</v>
      </c>
      <c r="AF1054" s="40">
        <f>Z1054</f>
        <v>0</v>
      </c>
      <c r="AG1054" s="40">
        <f>AC1054</f>
        <v>0</v>
      </c>
      <c r="AH1054" s="40">
        <f>AE1054</f>
        <v>0</v>
      </c>
      <c r="AI1054" s="40">
        <f>AG1054</f>
        <v>0</v>
      </c>
      <c r="AJ1054" s="40">
        <f>AI1054</f>
        <v>0</v>
      </c>
      <c r="AL1054" s="40">
        <f t="shared" ca="1" si="1488"/>
        <v>0</v>
      </c>
      <c r="AM1054" s="40">
        <f t="shared" ca="1" si="1489"/>
        <v>0</v>
      </c>
      <c r="AN1054" s="3057">
        <f t="shared" ca="1" si="1490"/>
        <v>0</v>
      </c>
      <c r="AO1054" s="2695">
        <f t="shared" ca="1" si="1491"/>
        <v>0</v>
      </c>
      <c r="AP1054" s="40">
        <f t="shared" ca="1" si="1492"/>
        <v>1</v>
      </c>
      <c r="AQ1054" s="3057">
        <f t="shared" ca="1" si="1493"/>
        <v>-1</v>
      </c>
      <c r="AR1054" s="2695">
        <f t="shared" ca="1" si="1494"/>
        <v>0</v>
      </c>
      <c r="AT1054" s="40">
        <f t="shared" ca="1" si="1495"/>
        <v>0</v>
      </c>
      <c r="AU1054" s="40">
        <f t="shared" ca="1" si="1496"/>
        <v>0</v>
      </c>
      <c r="AV1054" s="3057">
        <f t="shared" ca="1" si="1497"/>
        <v>0</v>
      </c>
      <c r="AW1054" s="2695">
        <f t="shared" ca="1" si="1498"/>
        <v>0</v>
      </c>
      <c r="AX1054" s="40">
        <f t="shared" ca="1" si="1499"/>
        <v>1</v>
      </c>
      <c r="AY1054" s="3057">
        <f t="shared" ca="1" si="1500"/>
        <v>-1</v>
      </c>
      <c r="AZ1054" s="2695">
        <f t="shared" ca="1" si="1501"/>
        <v>0</v>
      </c>
      <c r="BB1054" s="40">
        <f t="shared" ca="1" si="1502"/>
        <v>0</v>
      </c>
      <c r="BC1054" s="40">
        <f t="shared" ca="1" si="1503"/>
        <v>0</v>
      </c>
      <c r="BD1054" s="3057">
        <f t="shared" ca="1" si="1504"/>
        <v>0</v>
      </c>
      <c r="BE1054" s="2695">
        <f t="shared" ca="1" si="1505"/>
        <v>0</v>
      </c>
      <c r="BF1054" s="40">
        <f t="shared" ca="1" si="1506"/>
        <v>1</v>
      </c>
      <c r="BG1054" s="3057">
        <f t="shared" ca="1" si="1507"/>
        <v>-1</v>
      </c>
      <c r="BH1054" s="2695">
        <f t="shared" ca="1" si="1508"/>
        <v>0</v>
      </c>
    </row>
    <row r="1055" spans="1:60" s="34" customFormat="1" ht="14.5">
      <c r="A1055" s="616">
        <f t="shared" si="1485"/>
        <v>968</v>
      </c>
      <c r="B1055" s="616">
        <v>1</v>
      </c>
      <c r="C1055" s="616">
        <f t="shared" si="1486"/>
        <v>1052</v>
      </c>
      <c r="E1055" s="2547">
        <v>1</v>
      </c>
      <c r="F1055" s="4"/>
      <c r="G1055" s="4"/>
      <c r="H1055" s="4"/>
      <c r="I1055" s="260"/>
      <c r="J1055" s="4"/>
      <c r="K1055" s="4"/>
      <c r="L1055" s="3"/>
      <c r="M1055" s="3"/>
      <c r="N1055" s="41"/>
      <c r="O1055" s="41" t="s">
        <v>22</v>
      </c>
      <c r="P1055" s="41"/>
      <c r="Q1055" s="1778" t="str">
        <f>CHOOSE(2, "6722000003974", "HC DW-DX FE/TTOC Logistics Total Warehouse")</f>
        <v>HC DW-DX FE/TTOC Logistics Total Warehouse</v>
      </c>
      <c r="R1055" s="1212">
        <v>0</v>
      </c>
      <c r="S1055" s="1212">
        <v>0</v>
      </c>
      <c r="T1055" s="1212">
        <v>0</v>
      </c>
      <c r="U1055" s="1212">
        <v>0</v>
      </c>
      <c r="V1055" s="1212">
        <v>0</v>
      </c>
      <c r="W1055" s="1212">
        <v>0</v>
      </c>
      <c r="X1055" s="1212">
        <v>0</v>
      </c>
      <c r="Y1055" s="1212">
        <v>0</v>
      </c>
      <c r="Z1055" s="1212">
        <v>0</v>
      </c>
      <c r="AA1055" s="1212">
        <v>0</v>
      </c>
      <c r="AB1055" s="1212">
        <v>0</v>
      </c>
      <c r="AC1055" s="1212">
        <v>0</v>
      </c>
      <c r="AD1055" s="877">
        <f>T1055</f>
        <v>0</v>
      </c>
      <c r="AE1055" s="40">
        <f>W1055</f>
        <v>0</v>
      </c>
      <c r="AF1055" s="40">
        <f>Z1055</f>
        <v>0</v>
      </c>
      <c r="AG1055" s="40">
        <f>AC1055</f>
        <v>0</v>
      </c>
      <c r="AH1055" s="40">
        <f>AE1055</f>
        <v>0</v>
      </c>
      <c r="AI1055" s="40">
        <f>AG1055</f>
        <v>0</v>
      </c>
      <c r="AJ1055" s="40">
        <f>AI1055</f>
        <v>0</v>
      </c>
      <c r="AL1055" s="40">
        <f t="shared" ca="1" si="1488"/>
        <v>0</v>
      </c>
      <c r="AM1055" s="40">
        <f t="shared" ca="1" si="1489"/>
        <v>0</v>
      </c>
      <c r="AN1055" s="3057">
        <f t="shared" ca="1" si="1490"/>
        <v>0</v>
      </c>
      <c r="AO1055" s="2695">
        <f t="shared" ca="1" si="1491"/>
        <v>0</v>
      </c>
      <c r="AP1055" s="40">
        <f t="shared" ca="1" si="1492"/>
        <v>0</v>
      </c>
      <c r="AQ1055" s="3057">
        <f t="shared" ca="1" si="1493"/>
        <v>0</v>
      </c>
      <c r="AR1055" s="2695">
        <f t="shared" ca="1" si="1494"/>
        <v>0</v>
      </c>
      <c r="AT1055" s="40">
        <f t="shared" ca="1" si="1495"/>
        <v>0</v>
      </c>
      <c r="AU1055" s="40">
        <f t="shared" ca="1" si="1496"/>
        <v>0</v>
      </c>
      <c r="AV1055" s="3057">
        <f t="shared" ca="1" si="1497"/>
        <v>0</v>
      </c>
      <c r="AW1055" s="2695">
        <f t="shared" ca="1" si="1498"/>
        <v>0</v>
      </c>
      <c r="AX1055" s="40">
        <f t="shared" ca="1" si="1499"/>
        <v>0</v>
      </c>
      <c r="AY1055" s="3057">
        <f t="shared" ca="1" si="1500"/>
        <v>0</v>
      </c>
      <c r="AZ1055" s="2695">
        <f t="shared" ca="1" si="1501"/>
        <v>0</v>
      </c>
      <c r="BB1055" s="40">
        <f t="shared" ca="1" si="1502"/>
        <v>0</v>
      </c>
      <c r="BC1055" s="40">
        <f t="shared" ca="1" si="1503"/>
        <v>0</v>
      </c>
      <c r="BD1055" s="3057">
        <f t="shared" ca="1" si="1504"/>
        <v>0</v>
      </c>
      <c r="BE1055" s="2695">
        <f t="shared" ca="1" si="1505"/>
        <v>0</v>
      </c>
      <c r="BF1055" s="40">
        <f t="shared" ca="1" si="1506"/>
        <v>0</v>
      </c>
      <c r="BG1055" s="3057">
        <f t="shared" ca="1" si="1507"/>
        <v>0</v>
      </c>
      <c r="BH1055" s="2695">
        <f t="shared" ca="1" si="1508"/>
        <v>0</v>
      </c>
    </row>
    <row r="1056" spans="1:60" s="34" customFormat="1" ht="14.5">
      <c r="A1056" s="616">
        <f t="shared" si="1485"/>
        <v>969</v>
      </c>
      <c r="B1056" s="616">
        <v>1</v>
      </c>
      <c r="C1056" s="616">
        <f t="shared" si="1486"/>
        <v>1053</v>
      </c>
      <c r="E1056" s="2547">
        <v>1</v>
      </c>
      <c r="F1056" s="4"/>
      <c r="G1056" s="4"/>
      <c r="H1056" s="4"/>
      <c r="I1056" s="261"/>
      <c r="J1056" s="2"/>
      <c r="K1056" s="2"/>
      <c r="L1056" s="1"/>
      <c r="M1056" s="1"/>
      <c r="N1056" s="39"/>
      <c r="O1056" s="39" t="s">
        <v>23</v>
      </c>
      <c r="P1056" s="39"/>
      <c r="Q1056" s="1778" t="str">
        <f>CHOOSE(2, "6722000003975", "HC DW-DX FE/TTOC Logistics Total Workshop")</f>
        <v>HC DW-DX FE/TTOC Logistics Total Workshop</v>
      </c>
      <c r="R1056" s="1211">
        <v>0</v>
      </c>
      <c r="S1056" s="1211">
        <v>0</v>
      </c>
      <c r="T1056" s="1211">
        <v>0</v>
      </c>
      <c r="U1056" s="1211">
        <v>0</v>
      </c>
      <c r="V1056" s="1211">
        <v>0</v>
      </c>
      <c r="W1056" s="1211">
        <v>0</v>
      </c>
      <c r="X1056" s="1211">
        <v>0</v>
      </c>
      <c r="Y1056" s="1211">
        <v>0</v>
      </c>
      <c r="Z1056" s="1211">
        <v>0</v>
      </c>
      <c r="AA1056" s="1211">
        <v>0</v>
      </c>
      <c r="AB1056" s="1211">
        <v>0</v>
      </c>
      <c r="AC1056" s="1211">
        <v>0</v>
      </c>
      <c r="AD1056" s="912">
        <f>T1056</f>
        <v>0</v>
      </c>
      <c r="AE1056" s="38">
        <f>W1056</f>
        <v>0</v>
      </c>
      <c r="AF1056" s="38">
        <f>Z1056</f>
        <v>0</v>
      </c>
      <c r="AG1056" s="38">
        <f>AC1056</f>
        <v>0</v>
      </c>
      <c r="AH1056" s="38">
        <f>AE1056</f>
        <v>0</v>
      </c>
      <c r="AI1056" s="38">
        <f>AG1056</f>
        <v>0</v>
      </c>
      <c r="AJ1056" s="38">
        <f>AI1056</f>
        <v>0</v>
      </c>
      <c r="AL1056" s="38">
        <f t="shared" ca="1" si="1488"/>
        <v>0</v>
      </c>
      <c r="AM1056" s="38">
        <f t="shared" ca="1" si="1489"/>
        <v>0</v>
      </c>
      <c r="AN1056" s="3303">
        <f t="shared" ca="1" si="1490"/>
        <v>0</v>
      </c>
      <c r="AO1056" s="2951">
        <f t="shared" ca="1" si="1491"/>
        <v>0</v>
      </c>
      <c r="AP1056" s="38">
        <f t="shared" ca="1" si="1492"/>
        <v>0</v>
      </c>
      <c r="AQ1056" s="3303">
        <f t="shared" ca="1" si="1493"/>
        <v>0</v>
      </c>
      <c r="AR1056" s="2951">
        <f t="shared" ca="1" si="1494"/>
        <v>0</v>
      </c>
      <c r="AT1056" s="38">
        <f t="shared" ca="1" si="1495"/>
        <v>0</v>
      </c>
      <c r="AU1056" s="38">
        <f t="shared" ca="1" si="1496"/>
        <v>0</v>
      </c>
      <c r="AV1056" s="3303">
        <f t="shared" ca="1" si="1497"/>
        <v>0</v>
      </c>
      <c r="AW1056" s="2951">
        <f t="shared" ca="1" si="1498"/>
        <v>0</v>
      </c>
      <c r="AX1056" s="38">
        <f t="shared" ca="1" si="1499"/>
        <v>0</v>
      </c>
      <c r="AY1056" s="3303">
        <f t="shared" ca="1" si="1500"/>
        <v>0</v>
      </c>
      <c r="AZ1056" s="2951">
        <f t="shared" ca="1" si="1501"/>
        <v>0</v>
      </c>
      <c r="BB1056" s="38">
        <f t="shared" ca="1" si="1502"/>
        <v>0</v>
      </c>
      <c r="BC1056" s="38">
        <f t="shared" ca="1" si="1503"/>
        <v>0</v>
      </c>
      <c r="BD1056" s="3303">
        <f t="shared" ca="1" si="1504"/>
        <v>0</v>
      </c>
      <c r="BE1056" s="2951">
        <f t="shared" ca="1" si="1505"/>
        <v>0</v>
      </c>
      <c r="BF1056" s="38">
        <f t="shared" ca="1" si="1506"/>
        <v>0</v>
      </c>
      <c r="BG1056" s="3303">
        <f t="shared" ca="1" si="1507"/>
        <v>0</v>
      </c>
      <c r="BH1056" s="2951">
        <f t="shared" ca="1" si="1508"/>
        <v>0</v>
      </c>
    </row>
    <row r="1057" spans="1:60" s="34" customFormat="1" ht="14.5">
      <c r="A1057" s="616">
        <f t="shared" si="1485"/>
        <v>970</v>
      </c>
      <c r="B1057" s="616">
        <v>1</v>
      </c>
      <c r="C1057" s="616">
        <f t="shared" si="1486"/>
        <v>1054</v>
      </c>
      <c r="D1057" s="709" t="s">
        <v>1308</v>
      </c>
      <c r="E1057" s="2547">
        <v>1</v>
      </c>
      <c r="F1057" s="4"/>
      <c r="G1057" s="4"/>
      <c r="H1057" s="4"/>
      <c r="I1057" s="2253" t="s">
        <v>1511</v>
      </c>
      <c r="J1057" s="1523"/>
      <c r="K1057" s="1509"/>
      <c r="L1057" s="1509"/>
      <c r="M1057" s="1523"/>
      <c r="N1057" s="1523"/>
      <c r="O1057" s="1523"/>
      <c r="P1057" s="1523"/>
      <c r="Q1057" s="1790" t="str">
        <f>CHOOSE(2, "6722000003976", "HC DW-DX Semi-Full-Time/Part-Time Employees /Contractors")</f>
        <v>HC DW-DX Semi-Full-Time/Part-Time Employees /Contractors</v>
      </c>
      <c r="R1057" s="3312">
        <v>0</v>
      </c>
      <c r="S1057" s="3312">
        <v>0</v>
      </c>
      <c r="T1057" s="3312">
        <v>0</v>
      </c>
      <c r="U1057" s="3312">
        <v>0</v>
      </c>
      <c r="V1057" s="3312">
        <v>0</v>
      </c>
      <c r="W1057" s="3312">
        <v>0</v>
      </c>
      <c r="X1057" s="3312">
        <v>0</v>
      </c>
      <c r="Y1057" s="3312">
        <v>0</v>
      </c>
      <c r="Z1057" s="3312">
        <v>0</v>
      </c>
      <c r="AA1057" s="3312">
        <v>0</v>
      </c>
      <c r="AB1057" s="3312">
        <v>0</v>
      </c>
      <c r="AC1057" s="3312">
        <v>0</v>
      </c>
      <c r="AD1057" s="3306">
        <f>T1057</f>
        <v>0</v>
      </c>
      <c r="AE1057" s="3198">
        <f>W1057</f>
        <v>0</v>
      </c>
      <c r="AF1057" s="3198">
        <f>Z1057</f>
        <v>0</v>
      </c>
      <c r="AG1057" s="3198">
        <f>AC1057</f>
        <v>0</v>
      </c>
      <c r="AH1057" s="3198">
        <f>AE1057</f>
        <v>0</v>
      </c>
      <c r="AI1057" s="3198">
        <f>AG1057</f>
        <v>0</v>
      </c>
      <c r="AJ1057" s="3198">
        <f>AI1057</f>
        <v>0</v>
      </c>
      <c r="AL1057" s="3198">
        <f t="shared" ca="1" si="1488"/>
        <v>0</v>
      </c>
      <c r="AM1057" s="3198">
        <f t="shared" ca="1" si="1489"/>
        <v>0</v>
      </c>
      <c r="AN1057" s="3199">
        <f t="shared" ca="1" si="1490"/>
        <v>0</v>
      </c>
      <c r="AO1057" s="2850">
        <f t="shared" ca="1" si="1491"/>
        <v>0</v>
      </c>
      <c r="AP1057" s="3198">
        <f t="shared" ca="1" si="1492"/>
        <v>21</v>
      </c>
      <c r="AQ1057" s="3199">
        <f t="shared" ca="1" si="1493"/>
        <v>-21</v>
      </c>
      <c r="AR1057" s="2850">
        <f t="shared" ca="1" si="1494"/>
        <v>0</v>
      </c>
      <c r="AT1057" s="3198">
        <f t="shared" ca="1" si="1495"/>
        <v>0</v>
      </c>
      <c r="AU1057" s="3198">
        <f t="shared" ca="1" si="1496"/>
        <v>0</v>
      </c>
      <c r="AV1057" s="3199">
        <f t="shared" ca="1" si="1497"/>
        <v>0</v>
      </c>
      <c r="AW1057" s="2850">
        <f t="shared" ca="1" si="1498"/>
        <v>0</v>
      </c>
      <c r="AX1057" s="3198">
        <f t="shared" ca="1" si="1499"/>
        <v>21</v>
      </c>
      <c r="AY1057" s="3199">
        <f t="shared" ca="1" si="1500"/>
        <v>-21</v>
      </c>
      <c r="AZ1057" s="2850">
        <f t="shared" ca="1" si="1501"/>
        <v>0</v>
      </c>
      <c r="BB1057" s="3198">
        <f t="shared" ca="1" si="1502"/>
        <v>0</v>
      </c>
      <c r="BC1057" s="3198">
        <f t="shared" ca="1" si="1503"/>
        <v>0</v>
      </c>
      <c r="BD1057" s="3199">
        <f t="shared" ca="1" si="1504"/>
        <v>0</v>
      </c>
      <c r="BE1057" s="2850">
        <f t="shared" ca="1" si="1505"/>
        <v>0</v>
      </c>
      <c r="BF1057" s="3198">
        <f t="shared" ca="1" si="1506"/>
        <v>21</v>
      </c>
      <c r="BG1057" s="3199">
        <f t="shared" ca="1" si="1507"/>
        <v>-21</v>
      </c>
      <c r="BH1057" s="2850">
        <f t="shared" ca="1" si="1508"/>
        <v>0</v>
      </c>
    </row>
    <row r="1058" spans="1:60" s="34" customFormat="1" ht="14.5">
      <c r="A1058" s="616">
        <f t="shared" si="1485"/>
        <v>971</v>
      </c>
      <c r="B1058" s="616">
        <v>1</v>
      </c>
      <c r="C1058" s="616">
        <f t="shared" si="1486"/>
        <v>1055</v>
      </c>
      <c r="D1058" s="709" t="s">
        <v>1308</v>
      </c>
      <c r="E1058" s="2547">
        <v>1</v>
      </c>
      <c r="F1058" s="4"/>
      <c r="G1058" s="4"/>
      <c r="H1058" s="4"/>
      <c r="I1058" s="4"/>
      <c r="J1058" s="3"/>
      <c r="K1058" s="4"/>
      <c r="L1058" s="4"/>
      <c r="M1058" s="3"/>
      <c r="N1058" s="3"/>
      <c r="O1058" s="3"/>
      <c r="P1058" s="3"/>
      <c r="Q1058" s="1773" t="str">
        <f>CHOOSE(2, "6722000003977", "▷ Blank 32")</f>
        <v>▷ Blank 32</v>
      </c>
      <c r="R1058" s="2562"/>
      <c r="S1058" s="2563"/>
      <c r="T1058" s="2563"/>
      <c r="U1058" s="2563"/>
      <c r="V1058" s="2563"/>
      <c r="W1058" s="2563"/>
      <c r="X1058" s="2563"/>
      <c r="Y1058" s="2563"/>
      <c r="Z1058" s="2563"/>
      <c r="AA1058" s="2563"/>
    </row>
    <row r="1059" spans="1:60" ht="18">
      <c r="A1059" s="616">
        <f t="shared" si="1485"/>
        <v>972</v>
      </c>
      <c r="B1059" s="616">
        <v>1</v>
      </c>
      <c r="C1059" s="616">
        <f t="shared" si="1486"/>
        <v>1056</v>
      </c>
      <c r="D1059" s="709" t="s">
        <v>1308</v>
      </c>
      <c r="E1059" s="2547">
        <v>1</v>
      </c>
      <c r="F1059" s="242" t="s">
        <v>1521</v>
      </c>
      <c r="G1059" s="242"/>
      <c r="I1059" s="4"/>
      <c r="J1059" s="3"/>
      <c r="K1059" s="4"/>
      <c r="L1059" s="4"/>
      <c r="M1059" s="3"/>
      <c r="N1059" s="3"/>
      <c r="O1059" s="3"/>
      <c r="P1059" s="222"/>
      <c r="Q1059" s="1773" t="str">
        <f>CHOOSE(2, "6722000003978", "4. B/S (1) - Inventories")</f>
        <v>4. B/S (1) - Inventories</v>
      </c>
      <c r="R1059" s="2562"/>
      <c r="S1059" s="2563"/>
      <c r="T1059" s="2563"/>
      <c r="U1059" s="2563"/>
      <c r="V1059" s="2563"/>
      <c r="W1059" s="2563"/>
    </row>
    <row r="1060" spans="1:60" ht="15.5">
      <c r="A1060" s="616">
        <f t="shared" si="1485"/>
        <v>973</v>
      </c>
      <c r="B1060" s="616">
        <v>1</v>
      </c>
      <c r="C1060" s="616">
        <f t="shared" si="1486"/>
        <v>1057</v>
      </c>
      <c r="D1060" s="709" t="s">
        <v>1308</v>
      </c>
      <c r="E1060" s="2547">
        <v>1</v>
      </c>
      <c r="F1060" s="8"/>
      <c r="G1060" s="243" t="s">
        <v>1522</v>
      </c>
      <c r="I1060" s="4"/>
      <c r="J1060" s="3"/>
      <c r="K1060" s="4"/>
      <c r="L1060" s="4"/>
      <c r="M1060" s="3"/>
      <c r="N1060" s="3"/>
      <c r="O1060" s="3"/>
      <c r="P1060" s="3"/>
      <c r="Q1060" s="1773" t="str">
        <f>CHOOSE(2, "6722000003979", "4-1. Inventories")</f>
        <v>4-1. Inventories</v>
      </c>
      <c r="R1060" s="2562"/>
      <c r="S1060" s="2563"/>
      <c r="T1060" s="2563"/>
      <c r="U1060" s="2563"/>
      <c r="V1060" s="2563"/>
      <c r="W1060" s="2563"/>
    </row>
    <row r="1061" spans="1:60" ht="14.5">
      <c r="A1061" s="616">
        <f t="shared" si="1485"/>
        <v>974</v>
      </c>
      <c r="B1061" s="616">
        <v>1</v>
      </c>
      <c r="C1061" s="616">
        <f t="shared" si="1486"/>
        <v>1058</v>
      </c>
      <c r="D1061" s="709" t="s">
        <v>1308</v>
      </c>
      <c r="E1061" s="2547">
        <v>1</v>
      </c>
      <c r="F1061" s="4"/>
      <c r="G1061" s="4"/>
      <c r="H1061" s="69"/>
      <c r="I1061" s="3041"/>
      <c r="J1061" s="447"/>
      <c r="K1061" s="514"/>
      <c r="L1061" s="514"/>
      <c r="M1061" s="447"/>
      <c r="N1061" s="447"/>
      <c r="O1061" s="447"/>
      <c r="P1061" s="447"/>
      <c r="Q1061" s="1773" t="str">
        <f>CHOOSE(2, "6722000003980", "▷ Blank 33")</f>
        <v>▷ Blank 33</v>
      </c>
      <c r="R1061" s="1878">
        <f>R13</f>
        <v>44652</v>
      </c>
      <c r="S1061" s="1878">
        <f t="shared" ref="S1061:AC1061" si="1514">S13</f>
        <v>44682</v>
      </c>
      <c r="T1061" s="1878">
        <f t="shared" si="1514"/>
        <v>44713</v>
      </c>
      <c r="U1061" s="1878">
        <f t="shared" si="1514"/>
        <v>44743</v>
      </c>
      <c r="V1061" s="1878">
        <f t="shared" si="1514"/>
        <v>44774</v>
      </c>
      <c r="W1061" s="1878">
        <f t="shared" si="1514"/>
        <v>44805</v>
      </c>
      <c r="X1061" s="1878">
        <f t="shared" si="1514"/>
        <v>44835</v>
      </c>
      <c r="Y1061" s="1878">
        <f t="shared" si="1514"/>
        <v>44866</v>
      </c>
      <c r="Z1061" s="1878">
        <f t="shared" si="1514"/>
        <v>44896</v>
      </c>
      <c r="AA1061" s="1878">
        <f t="shared" si="1514"/>
        <v>44927</v>
      </c>
      <c r="AB1061" s="1878">
        <f t="shared" si="1514"/>
        <v>44958</v>
      </c>
      <c r="AC1061" s="1878">
        <f t="shared" si="1514"/>
        <v>44986</v>
      </c>
      <c r="AD1061" s="2545" t="str">
        <f t="shared" ref="AD1061:AJ1061" si="1515">AD$13</f>
        <v>Q1</v>
      </c>
      <c r="AE1061" s="2546" t="str">
        <f t="shared" si="1515"/>
        <v>Q2</v>
      </c>
      <c r="AF1061" s="2546" t="str">
        <f t="shared" si="1515"/>
        <v>Q3</v>
      </c>
      <c r="AG1061" s="2546" t="str">
        <f t="shared" si="1515"/>
        <v>Q4</v>
      </c>
      <c r="AH1061" s="2546" t="str">
        <f t="shared" si="1515"/>
        <v>1st H</v>
      </c>
      <c r="AI1061" s="2546" t="str">
        <f t="shared" si="1515"/>
        <v>2nd H</v>
      </c>
      <c r="AJ1061" s="2546" t="str">
        <f t="shared" si="1515"/>
        <v>Yr.</v>
      </c>
      <c r="AL1061" s="2723">
        <f>AL$10</f>
        <v>0</v>
      </c>
      <c r="AM1061" s="2724">
        <f t="shared" ref="AM1061:AR1061" si="1516">AM$10</f>
        <v>0</v>
      </c>
      <c r="AN1061" s="2725">
        <f t="shared" si="1516"/>
        <v>0</v>
      </c>
      <c r="AO1061" s="2726">
        <f t="shared" si="1516"/>
        <v>0</v>
      </c>
      <c r="AP1061" s="2724">
        <f t="shared" si="1516"/>
        <v>0</v>
      </c>
      <c r="AQ1061" s="2725">
        <f t="shared" si="1516"/>
        <v>0</v>
      </c>
      <c r="AR1061" s="2727">
        <f t="shared" si="1516"/>
        <v>0</v>
      </c>
      <c r="AT1061" s="2723">
        <f>AT$10</f>
        <v>0</v>
      </c>
      <c r="AU1061" s="2724">
        <f t="shared" ref="AU1061:AZ1061" si="1517">AU$10</f>
        <v>0</v>
      </c>
      <c r="AV1061" s="2725">
        <f t="shared" si="1517"/>
        <v>0</v>
      </c>
      <c r="AW1061" s="2726">
        <f t="shared" si="1517"/>
        <v>0</v>
      </c>
      <c r="AX1061" s="2724">
        <f t="shared" si="1517"/>
        <v>0</v>
      </c>
      <c r="AY1061" s="2725">
        <f t="shared" si="1517"/>
        <v>0</v>
      </c>
      <c r="AZ1061" s="2727">
        <f t="shared" si="1517"/>
        <v>0</v>
      </c>
      <c r="BB1061" s="2723">
        <f>BB$10</f>
        <v>0</v>
      </c>
      <c r="BC1061" s="2724">
        <f t="shared" ref="BC1061:BH1061" si="1518">BC$10</f>
        <v>0</v>
      </c>
      <c r="BD1061" s="2725">
        <f t="shared" si="1518"/>
        <v>0</v>
      </c>
      <c r="BE1061" s="2726">
        <f t="shared" si="1518"/>
        <v>0</v>
      </c>
      <c r="BF1061" s="2724">
        <f t="shared" si="1518"/>
        <v>0</v>
      </c>
      <c r="BG1061" s="2725">
        <f t="shared" si="1518"/>
        <v>0</v>
      </c>
      <c r="BH1061" s="2727">
        <f t="shared" si="1518"/>
        <v>0</v>
      </c>
    </row>
    <row r="1062" spans="1:60" ht="14.5">
      <c r="A1062" s="616">
        <f t="shared" si="1485"/>
        <v>975</v>
      </c>
      <c r="B1062" s="616">
        <v>1</v>
      </c>
      <c r="C1062" s="616">
        <f t="shared" si="1486"/>
        <v>1059</v>
      </c>
      <c r="D1062" s="709" t="s">
        <v>1308</v>
      </c>
      <c r="E1062" s="2547">
        <v>1</v>
      </c>
      <c r="F1062" s="4"/>
      <c r="G1062" s="4"/>
      <c r="H1062" s="69"/>
      <c r="I1062" s="2253" t="s">
        <v>1523</v>
      </c>
      <c r="J1062" s="1509"/>
      <c r="K1062" s="1509"/>
      <c r="L1062" s="1509"/>
      <c r="M1062" s="1523"/>
      <c r="N1062" s="1523"/>
      <c r="O1062" s="1523"/>
      <c r="P1062" s="1523"/>
      <c r="Q1062" s="1786" t="str">
        <f>CHOOSE(2, "6722000003981", "BS (0) Total Inventories")</f>
        <v>BS (0) Total Inventories</v>
      </c>
      <c r="R1062" s="3319">
        <f>R1063+R1064+R1065</f>
        <v>967611.44212309434</v>
      </c>
      <c r="S1062" s="3319">
        <f t="shared" ref="S1062:AJ1062" si="1519">S1063+S1064+S1065</f>
        <v>1148683.4073328776</v>
      </c>
      <c r="T1062" s="3319">
        <f t="shared" si="1519"/>
        <v>1157112.1469635426</v>
      </c>
      <c r="U1062" s="3319">
        <f t="shared" si="1519"/>
        <v>1414816.9568983035</v>
      </c>
      <c r="V1062" s="3319">
        <f t="shared" si="1519"/>
        <v>1317908</v>
      </c>
      <c r="W1062" s="3319">
        <f t="shared" si="1519"/>
        <v>1450521.9303787234</v>
      </c>
      <c r="X1062" s="3319">
        <f t="shared" si="1519"/>
        <v>1460645.3832580918</v>
      </c>
      <c r="Y1062" s="3319">
        <f t="shared" si="1519"/>
        <v>1617307.3673690674</v>
      </c>
      <c r="Z1062" s="3319">
        <f t="shared" si="1519"/>
        <v>1584540.3093000001</v>
      </c>
      <c r="AA1062" s="3319">
        <f t="shared" si="1519"/>
        <v>1643267.7213260049</v>
      </c>
      <c r="AB1062" s="3319">
        <f t="shared" si="1519"/>
        <v>1889406.76883</v>
      </c>
      <c r="AC1062" s="3319">
        <f t="shared" si="1519"/>
        <v>1794234.6737707402</v>
      </c>
      <c r="AD1062" s="3320">
        <f t="shared" si="1519"/>
        <v>1157112.1469635426</v>
      </c>
      <c r="AE1062" s="3319">
        <f t="shared" si="1519"/>
        <v>1450521.9303787234</v>
      </c>
      <c r="AF1062" s="3319">
        <f t="shared" si="1519"/>
        <v>1584540.3093000001</v>
      </c>
      <c r="AG1062" s="3319">
        <f t="shared" si="1519"/>
        <v>1794234.6737707402</v>
      </c>
      <c r="AH1062" s="3319">
        <f t="shared" si="1519"/>
        <v>1450521.9303787234</v>
      </c>
      <c r="AI1062" s="3319">
        <f t="shared" si="1519"/>
        <v>1794234.6737707402</v>
      </c>
      <c r="AJ1062" s="3319">
        <f t="shared" si="1519"/>
        <v>1794234.6737707402</v>
      </c>
      <c r="AL1062" s="3319">
        <f t="shared" ref="AL1062:AL1081" ca="1" si="1520">INDIRECT(AL$3&amp;(ROW()))</f>
        <v>1794234.6737707402</v>
      </c>
      <c r="AM1062" s="3319">
        <f t="shared" ref="AM1062:AM1081" ca="1" si="1521">INDIRECT(AM$1&amp;AM$3&amp;$C1062)</f>
        <v>0</v>
      </c>
      <c r="AN1062" s="3321">
        <f t="shared" ref="AN1062:AN1081" ca="1" si="1522">AL1062-AM1062</f>
        <v>1794234.6737707402</v>
      </c>
      <c r="AO1062" s="2955">
        <f t="shared" ref="AO1062:AO1081" ca="1" si="1523">IFERROR(AL1062/AM1062,0)</f>
        <v>0</v>
      </c>
      <c r="AP1062" s="3319">
        <f t="shared" ref="AP1062:AP1081" ca="1" si="1524">INDIRECT(AP$1&amp;AP$3&amp;$A1062)+INDIRECT(AP$1&amp;AP$3&amp;$B1062)</f>
        <v>0</v>
      </c>
      <c r="AQ1062" s="3321">
        <f t="shared" ref="AQ1062:AQ1081" ca="1" si="1525">AL1062-AP1062</f>
        <v>1794234.6737707402</v>
      </c>
      <c r="AR1062" s="2955">
        <f t="shared" ref="AR1062:AR1081" ca="1" si="1526">IFERROR(AL1062/AP1062,0)</f>
        <v>0</v>
      </c>
      <c r="AT1062" s="3319">
        <f t="shared" ref="AT1062:AT1081" ca="1" si="1527">INDIRECT(AT$3&amp;(ROW()))</f>
        <v>1794234.6737707402</v>
      </c>
      <c r="AU1062" s="3319">
        <f t="shared" ref="AU1062:AU1081" ca="1" si="1528">INDIRECT(AU$1&amp;AU$3&amp;$C1062)</f>
        <v>0</v>
      </c>
      <c r="AV1062" s="3321">
        <f t="shared" ref="AV1062:AV1081" ca="1" si="1529">AT1062-AU1062</f>
        <v>1794234.6737707402</v>
      </c>
      <c r="AW1062" s="2955">
        <f t="shared" ref="AW1062:AW1081" ca="1" si="1530">IFERROR(AT1062/AU1062,0)</f>
        <v>0</v>
      </c>
      <c r="AX1062" s="3319">
        <f t="shared" ref="AX1062:AX1081" ca="1" si="1531">INDIRECT(AX$1&amp;AX$3&amp;$A1062)+INDIRECT(AX$1&amp;AX$3&amp;$B1062)</f>
        <v>0</v>
      </c>
      <c r="AY1062" s="3321">
        <f t="shared" ref="AY1062:AY1081" ca="1" si="1532">AT1062-AX1062</f>
        <v>1794234.6737707402</v>
      </c>
      <c r="AZ1062" s="2955">
        <f t="shared" ref="AZ1062:AZ1081" ca="1" si="1533">IFERROR(AT1062/AX1062,0)</f>
        <v>0</v>
      </c>
      <c r="BB1062" s="3319">
        <f t="shared" ref="BB1062:BB1081" ca="1" si="1534">INDIRECT(BB$3&amp;(ROW()))</f>
        <v>1794234.6737707402</v>
      </c>
      <c r="BC1062" s="3319">
        <f t="shared" ref="BC1062:BC1081" ca="1" si="1535">INDIRECT(BC$1&amp;BC$3&amp;$C1062)</f>
        <v>0</v>
      </c>
      <c r="BD1062" s="3321">
        <f t="shared" ref="BD1062:BD1081" ca="1" si="1536">BB1062-BC1062</f>
        <v>1794234.6737707402</v>
      </c>
      <c r="BE1062" s="2955">
        <f t="shared" ref="BE1062:BE1081" ca="1" si="1537">IFERROR(BB1062/BC1062,0)</f>
        <v>0</v>
      </c>
      <c r="BF1062" s="3319">
        <f t="shared" ref="BF1062:BF1081" ca="1" si="1538">INDIRECT(BF$1&amp;BF$3&amp;$A1062)+INDIRECT(BF$1&amp;BF$3&amp;$B1062)</f>
        <v>0</v>
      </c>
      <c r="BG1062" s="3321">
        <f t="shared" ref="BG1062:BG1081" ca="1" si="1539">BB1062-BF1062</f>
        <v>1794234.6737707402</v>
      </c>
      <c r="BH1062" s="2955">
        <f t="shared" ref="BH1062:BH1081" ca="1" si="1540">IFERROR(BB1062/BF1062,0)</f>
        <v>0</v>
      </c>
    </row>
    <row r="1063" spans="1:60" ht="14.5">
      <c r="A1063" s="616">
        <f t="shared" si="1485"/>
        <v>976</v>
      </c>
      <c r="B1063" s="616">
        <v>1</v>
      </c>
      <c r="C1063" s="616">
        <f t="shared" si="1486"/>
        <v>1060</v>
      </c>
      <c r="D1063" s="709" t="s">
        <v>1308</v>
      </c>
      <c r="E1063" s="2547">
        <v>1</v>
      </c>
      <c r="F1063" s="4"/>
      <c r="G1063" s="4"/>
      <c r="H1063" s="69"/>
      <c r="I1063" s="27"/>
      <c r="J1063" s="4"/>
      <c r="K1063" s="4"/>
      <c r="L1063" s="4"/>
      <c r="M1063" s="4"/>
      <c r="N1063" s="3" t="s">
        <v>1524</v>
      </c>
      <c r="O1063" s="3"/>
      <c r="P1063" s="3"/>
      <c r="Q1063" s="1786" t="str">
        <f>CHOOSE(2, "6722000003982", "BS (0) Total Inventories P BT &lt;exclude MGI&gt;")</f>
        <v>BS (0) Total Inventories P BT &lt;exclude MGI&gt;</v>
      </c>
      <c r="R1063" s="3322">
        <f t="shared" ref="R1063:AJ1063" si="1541">R1067+R1080+R1070+R1073+R1077</f>
        <v>912500.0072930943</v>
      </c>
      <c r="S1063" s="3322">
        <f t="shared" si="1541"/>
        <v>1057728.1900828776</v>
      </c>
      <c r="T1063" s="3322">
        <f t="shared" si="1541"/>
        <v>1064651.5355435426</v>
      </c>
      <c r="U1063" s="3322">
        <f t="shared" si="1541"/>
        <v>1310622.5068683035</v>
      </c>
      <c r="V1063" s="3322">
        <f t="shared" si="1541"/>
        <v>1221310</v>
      </c>
      <c r="W1063" s="3322">
        <f t="shared" si="1541"/>
        <v>1373521.3772287234</v>
      </c>
      <c r="X1063" s="3322">
        <f t="shared" si="1541"/>
        <v>1381460.6760780916</v>
      </c>
      <c r="Y1063" s="3322">
        <f t="shared" si="1541"/>
        <v>1570998.2130390673</v>
      </c>
      <c r="Z1063" s="3322">
        <f t="shared" si="1541"/>
        <v>1538521</v>
      </c>
      <c r="AA1063" s="3322">
        <f t="shared" si="1541"/>
        <v>1601374.491856005</v>
      </c>
      <c r="AB1063" s="3070">
        <f t="shared" si="1541"/>
        <v>1848091.1529199998</v>
      </c>
      <c r="AC1063" s="3070">
        <f t="shared" si="1541"/>
        <v>1739296.3354207401</v>
      </c>
      <c r="AD1063" s="88">
        <f t="shared" si="1541"/>
        <v>1064651.5355435426</v>
      </c>
      <c r="AE1063" s="17">
        <f t="shared" si="1541"/>
        <v>1373521.3772287234</v>
      </c>
      <c r="AF1063" s="17">
        <f t="shared" si="1541"/>
        <v>1538521</v>
      </c>
      <c r="AG1063" s="17">
        <f t="shared" si="1541"/>
        <v>1739296.3354207401</v>
      </c>
      <c r="AH1063" s="17">
        <f t="shared" si="1541"/>
        <v>1373521.3772287234</v>
      </c>
      <c r="AI1063" s="17">
        <f t="shared" si="1541"/>
        <v>1739296.3354207401</v>
      </c>
      <c r="AJ1063" s="17">
        <f t="shared" si="1541"/>
        <v>1739296.3354207401</v>
      </c>
      <c r="AL1063" s="17">
        <f t="shared" ca="1" si="1520"/>
        <v>1739296.3354207401</v>
      </c>
      <c r="AM1063" s="17">
        <f t="shared" ca="1" si="1521"/>
        <v>0</v>
      </c>
      <c r="AN1063" s="3072">
        <f t="shared" ca="1" si="1522"/>
        <v>1739296.3354207401</v>
      </c>
      <c r="AO1063" s="2708">
        <f t="shared" ca="1" si="1523"/>
        <v>0</v>
      </c>
      <c r="AP1063" s="17">
        <f t="shared" ca="1" si="1524"/>
        <v>13</v>
      </c>
      <c r="AQ1063" s="3072">
        <f t="shared" ca="1" si="1525"/>
        <v>1739283.3354207401</v>
      </c>
      <c r="AR1063" s="2708">
        <f t="shared" ca="1" si="1526"/>
        <v>133792.02580159539</v>
      </c>
      <c r="AT1063" s="17">
        <f t="shared" ca="1" si="1527"/>
        <v>1739296.3354207401</v>
      </c>
      <c r="AU1063" s="17">
        <f t="shared" ca="1" si="1528"/>
        <v>0</v>
      </c>
      <c r="AV1063" s="3072">
        <f t="shared" ca="1" si="1529"/>
        <v>1739296.3354207401</v>
      </c>
      <c r="AW1063" s="2708">
        <f t="shared" ca="1" si="1530"/>
        <v>0</v>
      </c>
      <c r="AX1063" s="17">
        <f t="shared" ca="1" si="1531"/>
        <v>13</v>
      </c>
      <c r="AY1063" s="3072">
        <f t="shared" ca="1" si="1532"/>
        <v>1739283.3354207401</v>
      </c>
      <c r="AZ1063" s="2708">
        <f t="shared" ca="1" si="1533"/>
        <v>133792.02580159539</v>
      </c>
      <c r="BB1063" s="17">
        <f t="shared" ca="1" si="1534"/>
        <v>1739296.3354207401</v>
      </c>
      <c r="BC1063" s="17">
        <f t="shared" ca="1" si="1535"/>
        <v>0</v>
      </c>
      <c r="BD1063" s="3072">
        <f t="shared" ca="1" si="1536"/>
        <v>1739296.3354207401</v>
      </c>
      <c r="BE1063" s="2708">
        <f t="shared" ca="1" si="1537"/>
        <v>0</v>
      </c>
      <c r="BF1063" s="17">
        <f t="shared" ca="1" si="1538"/>
        <v>13</v>
      </c>
      <c r="BG1063" s="3072">
        <f t="shared" ca="1" si="1539"/>
        <v>1739283.3354207401</v>
      </c>
      <c r="BH1063" s="2708">
        <f t="shared" ca="1" si="1540"/>
        <v>133792.02580159539</v>
      </c>
    </row>
    <row r="1064" spans="1:60" ht="14.5">
      <c r="A1064" s="616">
        <f t="shared" si="1485"/>
        <v>977</v>
      </c>
      <c r="B1064" s="616">
        <v>1</v>
      </c>
      <c r="C1064" s="616">
        <f t="shared" si="1486"/>
        <v>1061</v>
      </c>
      <c r="D1064" s="709" t="s">
        <v>1308</v>
      </c>
      <c r="E1064" s="2547">
        <v>1</v>
      </c>
      <c r="F1064" s="8"/>
      <c r="G1064" s="8"/>
      <c r="H1064" s="69"/>
      <c r="I1064" s="27"/>
      <c r="J1064" s="4"/>
      <c r="K1064" s="4"/>
      <c r="L1064" s="4"/>
      <c r="M1064" s="4"/>
      <c r="N1064" s="3" t="s">
        <v>1525</v>
      </c>
      <c r="O1064" s="3"/>
      <c r="P1064" s="3"/>
      <c r="Q1064" s="1786" t="str">
        <f>CHOOSE(2, "6722000003983", "BS (0) Total Inventories Purchased from MGI (BT-Gr)")</f>
        <v>BS (0) Total Inventories Purchased from MGI (BT-Gr)</v>
      </c>
      <c r="R1064" s="3323">
        <f t="shared" ref="R1064:AJ1064" si="1542">R1074</f>
        <v>14131</v>
      </c>
      <c r="S1064" s="3323">
        <f t="shared" si="1542"/>
        <v>18188</v>
      </c>
      <c r="T1064" s="3323">
        <f t="shared" si="1542"/>
        <v>15879</v>
      </c>
      <c r="U1064" s="3323">
        <f t="shared" si="1542"/>
        <v>20626</v>
      </c>
      <c r="V1064" s="3323">
        <f t="shared" si="1542"/>
        <v>22247</v>
      </c>
      <c r="W1064" s="3323">
        <f t="shared" si="1542"/>
        <v>22395</v>
      </c>
      <c r="X1064" s="3323">
        <f t="shared" si="1542"/>
        <v>21938.57761</v>
      </c>
      <c r="Y1064" s="3323">
        <f t="shared" si="1542"/>
        <v>18211</v>
      </c>
      <c r="Z1064" s="3323">
        <f t="shared" si="1542"/>
        <v>20238.521679999998</v>
      </c>
      <c r="AA1064" s="3323">
        <f t="shared" si="1542"/>
        <v>18741.294670000003</v>
      </c>
      <c r="AB1064" s="17">
        <f t="shared" si="1542"/>
        <v>17607.8033</v>
      </c>
      <c r="AC1064" s="17">
        <f t="shared" si="1542"/>
        <v>21659.121199999998</v>
      </c>
      <c r="AD1064" s="88">
        <f t="shared" si="1542"/>
        <v>15879</v>
      </c>
      <c r="AE1064" s="17">
        <f t="shared" si="1542"/>
        <v>22395</v>
      </c>
      <c r="AF1064" s="17">
        <f t="shared" si="1542"/>
        <v>20238.521679999998</v>
      </c>
      <c r="AG1064" s="17">
        <f t="shared" si="1542"/>
        <v>21659.121199999998</v>
      </c>
      <c r="AH1064" s="17">
        <f t="shared" si="1542"/>
        <v>22395</v>
      </c>
      <c r="AI1064" s="17">
        <f t="shared" si="1542"/>
        <v>21659.121199999998</v>
      </c>
      <c r="AJ1064" s="17">
        <f t="shared" si="1542"/>
        <v>21659.121199999998</v>
      </c>
      <c r="AL1064" s="17">
        <f t="shared" ca="1" si="1520"/>
        <v>21659.121199999998</v>
      </c>
      <c r="AM1064" s="17">
        <f t="shared" ca="1" si="1521"/>
        <v>0</v>
      </c>
      <c r="AN1064" s="3072">
        <f t="shared" ca="1" si="1522"/>
        <v>21659.121199999998</v>
      </c>
      <c r="AO1064" s="2708">
        <f t="shared" ca="1" si="1523"/>
        <v>0</v>
      </c>
      <c r="AP1064" s="17">
        <f t="shared" ca="1" si="1524"/>
        <v>13</v>
      </c>
      <c r="AQ1064" s="3072">
        <f t="shared" ca="1" si="1525"/>
        <v>21646.121199999998</v>
      </c>
      <c r="AR1064" s="2708">
        <f t="shared" ca="1" si="1526"/>
        <v>1666.0862461538459</v>
      </c>
      <c r="AT1064" s="17">
        <f t="shared" ca="1" si="1527"/>
        <v>21659.121199999998</v>
      </c>
      <c r="AU1064" s="17">
        <f t="shared" ca="1" si="1528"/>
        <v>0</v>
      </c>
      <c r="AV1064" s="3072">
        <f t="shared" ca="1" si="1529"/>
        <v>21659.121199999998</v>
      </c>
      <c r="AW1064" s="2708">
        <f t="shared" ca="1" si="1530"/>
        <v>0</v>
      </c>
      <c r="AX1064" s="17">
        <f t="shared" ca="1" si="1531"/>
        <v>13</v>
      </c>
      <c r="AY1064" s="3072">
        <f t="shared" ca="1" si="1532"/>
        <v>21646.121199999998</v>
      </c>
      <c r="AZ1064" s="2708">
        <f t="shared" ca="1" si="1533"/>
        <v>1666.0862461538459</v>
      </c>
      <c r="BB1064" s="17">
        <f t="shared" ca="1" si="1534"/>
        <v>21659.121199999998</v>
      </c>
      <c r="BC1064" s="17">
        <f t="shared" ca="1" si="1535"/>
        <v>0</v>
      </c>
      <c r="BD1064" s="3072">
        <f t="shared" ca="1" si="1536"/>
        <v>21659.121199999998</v>
      </c>
      <c r="BE1064" s="2708">
        <f t="shared" ca="1" si="1537"/>
        <v>0</v>
      </c>
      <c r="BF1064" s="17">
        <f t="shared" ca="1" si="1538"/>
        <v>13</v>
      </c>
      <c r="BG1064" s="3072">
        <f t="shared" ca="1" si="1539"/>
        <v>21646.121199999998</v>
      </c>
      <c r="BH1064" s="2708">
        <f t="shared" ca="1" si="1540"/>
        <v>1666.0862461538459</v>
      </c>
    </row>
    <row r="1065" spans="1:60" ht="14.5">
      <c r="A1065" s="616">
        <f t="shared" si="1485"/>
        <v>978</v>
      </c>
      <c r="B1065" s="616">
        <v>1</v>
      </c>
      <c r="C1065" s="616">
        <f t="shared" si="1486"/>
        <v>1062</v>
      </c>
      <c r="D1065" s="709" t="s">
        <v>1308</v>
      </c>
      <c r="E1065" s="2547">
        <v>1</v>
      </c>
      <c r="F1065" s="4"/>
      <c r="G1065" s="4"/>
      <c r="H1065" s="69"/>
      <c r="I1065" s="25"/>
      <c r="J1065" s="4"/>
      <c r="K1065" s="4"/>
      <c r="L1065" s="4"/>
      <c r="M1065" s="4"/>
      <c r="N1065" s="3" t="s">
        <v>1464</v>
      </c>
      <c r="O1065" s="3"/>
      <c r="P1065" s="3"/>
      <c r="Q1065" s="1786" t="str">
        <f>CHOOSE(2, "6722000003984", "BS (0) Total Inventories 3rd Party")</f>
        <v>BS (0) Total Inventories 3rd Party</v>
      </c>
      <c r="R1065" s="3324">
        <f t="shared" ref="R1065:AJ1065" si="1543">R1068+R1081+R1071+R1075+R1078</f>
        <v>40980.434829999998</v>
      </c>
      <c r="S1065" s="3324">
        <f t="shared" si="1543"/>
        <v>72767.217250000045</v>
      </c>
      <c r="T1065" s="3324">
        <f t="shared" si="1543"/>
        <v>76581.611420000074</v>
      </c>
      <c r="U1065" s="3324">
        <f t="shared" si="1543"/>
        <v>83568.450030000051</v>
      </c>
      <c r="V1065" s="3324">
        <f t="shared" si="1543"/>
        <v>74351</v>
      </c>
      <c r="W1065" s="3324">
        <f t="shared" si="1543"/>
        <v>54605.553150000051</v>
      </c>
      <c r="X1065" s="3324">
        <f t="shared" si="1543"/>
        <v>57246.129570000048</v>
      </c>
      <c r="Y1065" s="3324">
        <f t="shared" si="1543"/>
        <v>28098.154330000027</v>
      </c>
      <c r="Z1065" s="3324">
        <f t="shared" si="1543"/>
        <v>25780.787620000025</v>
      </c>
      <c r="AA1065" s="3324">
        <f t="shared" si="1543"/>
        <v>23151.934800000035</v>
      </c>
      <c r="AB1065" s="15">
        <f t="shared" si="1543"/>
        <v>23707.812610000037</v>
      </c>
      <c r="AC1065" s="15">
        <f t="shared" si="1543"/>
        <v>33279.21715000004</v>
      </c>
      <c r="AD1065" s="88">
        <f t="shared" si="1543"/>
        <v>76581.611420000074</v>
      </c>
      <c r="AE1065" s="17">
        <f t="shared" si="1543"/>
        <v>54605.553150000051</v>
      </c>
      <c r="AF1065" s="17">
        <f t="shared" si="1543"/>
        <v>25780.787620000025</v>
      </c>
      <c r="AG1065" s="17">
        <f t="shared" si="1543"/>
        <v>33279.21715000004</v>
      </c>
      <c r="AH1065" s="17">
        <f t="shared" si="1543"/>
        <v>54605.553150000051</v>
      </c>
      <c r="AI1065" s="17">
        <f t="shared" si="1543"/>
        <v>33279.21715000004</v>
      </c>
      <c r="AJ1065" s="17">
        <f t="shared" si="1543"/>
        <v>33279.21715000004</v>
      </c>
      <c r="AL1065" s="17">
        <f t="shared" ca="1" si="1520"/>
        <v>33279.21715000004</v>
      </c>
      <c r="AM1065" s="17">
        <f t="shared" ca="1" si="1521"/>
        <v>0</v>
      </c>
      <c r="AN1065" s="3072">
        <f t="shared" ca="1" si="1522"/>
        <v>33279.21715000004</v>
      </c>
      <c r="AO1065" s="2708">
        <f t="shared" ca="1" si="1523"/>
        <v>0</v>
      </c>
      <c r="AP1065" s="17">
        <f t="shared" ca="1" si="1524"/>
        <v>0</v>
      </c>
      <c r="AQ1065" s="3072">
        <f t="shared" ca="1" si="1525"/>
        <v>33279.21715000004</v>
      </c>
      <c r="AR1065" s="2708">
        <f t="shared" ca="1" si="1526"/>
        <v>0</v>
      </c>
      <c r="AT1065" s="17">
        <f t="shared" ca="1" si="1527"/>
        <v>33279.21715000004</v>
      </c>
      <c r="AU1065" s="17">
        <f t="shared" ca="1" si="1528"/>
        <v>0</v>
      </c>
      <c r="AV1065" s="3072">
        <f t="shared" ca="1" si="1529"/>
        <v>33279.21715000004</v>
      </c>
      <c r="AW1065" s="2708">
        <f t="shared" ca="1" si="1530"/>
        <v>0</v>
      </c>
      <c r="AX1065" s="17">
        <f t="shared" ca="1" si="1531"/>
        <v>0</v>
      </c>
      <c r="AY1065" s="3072">
        <f t="shared" ca="1" si="1532"/>
        <v>33279.21715000004</v>
      </c>
      <c r="AZ1065" s="2708">
        <f t="shared" ca="1" si="1533"/>
        <v>0</v>
      </c>
      <c r="BB1065" s="17">
        <f t="shared" ca="1" si="1534"/>
        <v>33279.21715000004</v>
      </c>
      <c r="BC1065" s="17">
        <f t="shared" ca="1" si="1535"/>
        <v>0</v>
      </c>
      <c r="BD1065" s="3072">
        <f t="shared" ca="1" si="1536"/>
        <v>33279.21715000004</v>
      </c>
      <c r="BE1065" s="2708">
        <f t="shared" ca="1" si="1537"/>
        <v>0</v>
      </c>
      <c r="BF1065" s="17">
        <f t="shared" ca="1" si="1538"/>
        <v>0</v>
      </c>
      <c r="BG1065" s="3072">
        <f t="shared" ca="1" si="1539"/>
        <v>33279.21715000004</v>
      </c>
      <c r="BH1065" s="2708">
        <f t="shared" ca="1" si="1540"/>
        <v>0</v>
      </c>
    </row>
    <row r="1066" spans="1:60" ht="14.5">
      <c r="A1066" s="616">
        <f t="shared" si="1485"/>
        <v>979</v>
      </c>
      <c r="B1066" s="616">
        <v>1</v>
      </c>
      <c r="C1066" s="616">
        <f t="shared" si="1486"/>
        <v>1063</v>
      </c>
      <c r="D1066" s="709" t="s">
        <v>1308</v>
      </c>
      <c r="E1066" s="2547">
        <v>1</v>
      </c>
      <c r="F1066" s="4"/>
      <c r="G1066" s="4"/>
      <c r="H1066" s="69"/>
      <c r="I1066" s="7" t="s">
        <v>30</v>
      </c>
      <c r="J1066" s="2283"/>
      <c r="K1066" s="2283"/>
      <c r="L1066" s="2283"/>
      <c r="M1066" s="2283"/>
      <c r="N1066" s="874"/>
      <c r="O1066" s="874"/>
      <c r="P1066" s="874"/>
      <c r="Q1066" s="1805" t="str">
        <f>CHOOSE(2, "6722000003985", "BS (1) Office")</f>
        <v>BS (1) Office</v>
      </c>
      <c r="R1066" s="1263">
        <f>SUM(R1067:R1068)</f>
        <v>216570</v>
      </c>
      <c r="S1066" s="1263">
        <f t="shared" ref="S1066:AJ1066" si="1544">SUM(S1067:S1068)</f>
        <v>246006</v>
      </c>
      <c r="T1066" s="1263">
        <f t="shared" si="1544"/>
        <v>253403</v>
      </c>
      <c r="U1066" s="1263">
        <f t="shared" si="1544"/>
        <v>355360</v>
      </c>
      <c r="V1066" s="1263">
        <f t="shared" si="1544"/>
        <v>337162</v>
      </c>
      <c r="W1066" s="1263">
        <f t="shared" si="1544"/>
        <v>384687</v>
      </c>
      <c r="X1066" s="1263">
        <f t="shared" si="1544"/>
        <v>358623.00989188929</v>
      </c>
      <c r="Y1066" s="1263">
        <f t="shared" si="1544"/>
        <v>431745</v>
      </c>
      <c r="Z1066" s="1263">
        <f t="shared" si="1544"/>
        <v>409311</v>
      </c>
      <c r="AA1066" s="1263">
        <f>SUM(AA1067:AA1068)</f>
        <v>479339</v>
      </c>
      <c r="AB1066" s="1263">
        <f t="shared" si="1544"/>
        <v>587597.64107224962</v>
      </c>
      <c r="AC1066" s="1263">
        <f t="shared" si="1544"/>
        <v>586352.85967000003</v>
      </c>
      <c r="AD1066" s="3325">
        <f t="shared" si="1544"/>
        <v>253403</v>
      </c>
      <c r="AE1066" s="1263">
        <f t="shared" si="1544"/>
        <v>384687</v>
      </c>
      <c r="AF1066" s="1263">
        <f t="shared" si="1544"/>
        <v>409311</v>
      </c>
      <c r="AG1066" s="1263">
        <f t="shared" si="1544"/>
        <v>586352.85967000003</v>
      </c>
      <c r="AH1066" s="1263">
        <f t="shared" si="1544"/>
        <v>384687</v>
      </c>
      <c r="AI1066" s="1263">
        <f t="shared" si="1544"/>
        <v>586352.85967000003</v>
      </c>
      <c r="AJ1066" s="1263">
        <f t="shared" si="1544"/>
        <v>586352.85967000003</v>
      </c>
      <c r="AL1066" s="1263">
        <f t="shared" ca="1" si="1520"/>
        <v>586352.85967000003</v>
      </c>
      <c r="AM1066" s="1263">
        <f t="shared" ca="1" si="1521"/>
        <v>0</v>
      </c>
      <c r="AN1066" s="3204">
        <f t="shared" ca="1" si="1522"/>
        <v>586352.85967000003</v>
      </c>
      <c r="AO1066" s="2856">
        <f t="shared" ca="1" si="1523"/>
        <v>0</v>
      </c>
      <c r="AP1066" s="1263">
        <f t="shared" ca="1" si="1524"/>
        <v>0</v>
      </c>
      <c r="AQ1066" s="3204">
        <f t="shared" ca="1" si="1525"/>
        <v>586352.85967000003</v>
      </c>
      <c r="AR1066" s="2856">
        <f t="shared" ca="1" si="1526"/>
        <v>0</v>
      </c>
      <c r="AT1066" s="1263">
        <f t="shared" ca="1" si="1527"/>
        <v>586352.85967000003</v>
      </c>
      <c r="AU1066" s="1263">
        <f t="shared" ca="1" si="1528"/>
        <v>0</v>
      </c>
      <c r="AV1066" s="3204">
        <f t="shared" ca="1" si="1529"/>
        <v>586352.85967000003</v>
      </c>
      <c r="AW1066" s="2856">
        <f t="shared" ca="1" si="1530"/>
        <v>0</v>
      </c>
      <c r="AX1066" s="1263">
        <f t="shared" ca="1" si="1531"/>
        <v>0</v>
      </c>
      <c r="AY1066" s="3204">
        <f t="shared" ca="1" si="1532"/>
        <v>586352.85967000003</v>
      </c>
      <c r="AZ1066" s="2856">
        <f t="shared" ca="1" si="1533"/>
        <v>0</v>
      </c>
      <c r="BB1066" s="1263">
        <f t="shared" ca="1" si="1534"/>
        <v>586352.85967000003</v>
      </c>
      <c r="BC1066" s="1263">
        <f t="shared" ca="1" si="1535"/>
        <v>0</v>
      </c>
      <c r="BD1066" s="3204">
        <f t="shared" ca="1" si="1536"/>
        <v>586352.85967000003</v>
      </c>
      <c r="BE1066" s="2856">
        <f t="shared" ca="1" si="1537"/>
        <v>0</v>
      </c>
      <c r="BF1066" s="1263">
        <f t="shared" ca="1" si="1538"/>
        <v>0</v>
      </c>
      <c r="BG1066" s="3204">
        <f t="shared" ca="1" si="1539"/>
        <v>586352.85967000003</v>
      </c>
      <c r="BH1066" s="2856">
        <f t="shared" ca="1" si="1540"/>
        <v>0</v>
      </c>
    </row>
    <row r="1067" spans="1:60" ht="14.5">
      <c r="A1067" s="616">
        <f t="shared" si="1485"/>
        <v>980</v>
      </c>
      <c r="B1067" s="616">
        <v>1</v>
      </c>
      <c r="C1067" s="616">
        <f t="shared" si="1486"/>
        <v>1064</v>
      </c>
      <c r="D1067" s="709" t="s">
        <v>1308</v>
      </c>
      <c r="E1067" s="2547">
        <v>1</v>
      </c>
      <c r="F1067" s="4"/>
      <c r="G1067" s="4"/>
      <c r="H1067" s="69"/>
      <c r="I1067" s="27"/>
      <c r="J1067" s="4"/>
      <c r="K1067" s="4"/>
      <c r="L1067" s="4"/>
      <c r="M1067" s="4"/>
      <c r="N1067" s="3" t="s">
        <v>1526</v>
      </c>
      <c r="O1067" s="3"/>
      <c r="P1067" s="3"/>
      <c r="Q1067" s="1790" t="str">
        <f>CHOOSE(2, "6722000003986", "BS (1) Office Purchased from BT cons. companies")</f>
        <v>BS (1) Office Purchased from BT cons. companies</v>
      </c>
      <c r="R1067" s="1215">
        <f>224347-9910</f>
        <v>214437</v>
      </c>
      <c r="S1067" s="1215">
        <f>252823-9063</f>
        <v>243760</v>
      </c>
      <c r="T1067" s="1215">
        <f>260182-9007</f>
        <v>251175</v>
      </c>
      <c r="U1067" s="1215">
        <f>359078-8976</f>
        <v>350102</v>
      </c>
      <c r="V1067" s="1215">
        <v>332502</v>
      </c>
      <c r="W1067" s="1215">
        <v>380405</v>
      </c>
      <c r="X1067" s="1215">
        <v>353496.00989188929</v>
      </c>
      <c r="Y1067" s="1215">
        <v>427338</v>
      </c>
      <c r="Z1067" s="1215">
        <v>405737</v>
      </c>
      <c r="AA1067" s="1215">
        <v>475891</v>
      </c>
      <c r="AB1067" s="1215">
        <v>582284.04480224964</v>
      </c>
      <c r="AC1067" s="1215">
        <v>575224</v>
      </c>
      <c r="AD1067" s="1221">
        <f>T1067</f>
        <v>251175</v>
      </c>
      <c r="AE1067" s="1214">
        <f>W1067</f>
        <v>380405</v>
      </c>
      <c r="AF1067" s="1214">
        <f>Z1067</f>
        <v>405737</v>
      </c>
      <c r="AG1067" s="1214">
        <f>AC1067</f>
        <v>575224</v>
      </c>
      <c r="AH1067" s="1214">
        <f>AE1067</f>
        <v>380405</v>
      </c>
      <c r="AI1067" s="1214">
        <f>AG1067</f>
        <v>575224</v>
      </c>
      <c r="AJ1067" s="1214">
        <f>AI1067</f>
        <v>575224</v>
      </c>
      <c r="AL1067" s="1214">
        <f t="shared" ca="1" si="1520"/>
        <v>575224</v>
      </c>
      <c r="AM1067" s="1214">
        <f t="shared" ca="1" si="1521"/>
        <v>0</v>
      </c>
      <c r="AN1067" s="3326">
        <f t="shared" ca="1" si="1522"/>
        <v>575224</v>
      </c>
      <c r="AO1067" s="2957">
        <f t="shared" ca="1" si="1523"/>
        <v>0</v>
      </c>
      <c r="AP1067" s="1214">
        <f t="shared" ca="1" si="1524"/>
        <v>0</v>
      </c>
      <c r="AQ1067" s="3326">
        <f t="shared" ca="1" si="1525"/>
        <v>575224</v>
      </c>
      <c r="AR1067" s="2957">
        <f t="shared" ca="1" si="1526"/>
        <v>0</v>
      </c>
      <c r="AT1067" s="1214">
        <f t="shared" ca="1" si="1527"/>
        <v>575224</v>
      </c>
      <c r="AU1067" s="1214">
        <f t="shared" ca="1" si="1528"/>
        <v>0</v>
      </c>
      <c r="AV1067" s="3326">
        <f t="shared" ca="1" si="1529"/>
        <v>575224</v>
      </c>
      <c r="AW1067" s="2957">
        <f t="shared" ca="1" si="1530"/>
        <v>0</v>
      </c>
      <c r="AX1067" s="1214">
        <f t="shared" ca="1" si="1531"/>
        <v>0</v>
      </c>
      <c r="AY1067" s="3326">
        <f t="shared" ca="1" si="1532"/>
        <v>575224</v>
      </c>
      <c r="AZ1067" s="2957">
        <f t="shared" ca="1" si="1533"/>
        <v>0</v>
      </c>
      <c r="BB1067" s="1214">
        <f t="shared" ca="1" si="1534"/>
        <v>575224</v>
      </c>
      <c r="BC1067" s="1214">
        <f t="shared" ca="1" si="1535"/>
        <v>0</v>
      </c>
      <c r="BD1067" s="3326">
        <f t="shared" ca="1" si="1536"/>
        <v>575224</v>
      </c>
      <c r="BE1067" s="2957">
        <f t="shared" ca="1" si="1537"/>
        <v>0</v>
      </c>
      <c r="BF1067" s="1214">
        <f t="shared" ca="1" si="1538"/>
        <v>0</v>
      </c>
      <c r="BG1067" s="3326">
        <f t="shared" ca="1" si="1539"/>
        <v>575224</v>
      </c>
      <c r="BH1067" s="2957">
        <f t="shared" ca="1" si="1540"/>
        <v>0</v>
      </c>
    </row>
    <row r="1068" spans="1:60" ht="14.5">
      <c r="A1068" s="616">
        <f t="shared" si="1485"/>
        <v>981</v>
      </c>
      <c r="B1068" s="616">
        <v>1</v>
      </c>
      <c r="C1068" s="616">
        <f t="shared" si="1486"/>
        <v>1065</v>
      </c>
      <c r="D1068" s="709" t="s">
        <v>1308</v>
      </c>
      <c r="E1068" s="2547">
        <v>1</v>
      </c>
      <c r="F1068" s="4"/>
      <c r="G1068" s="4"/>
      <c r="H1068" s="69"/>
      <c r="I1068" s="25"/>
      <c r="J1068" s="4"/>
      <c r="K1068" s="4"/>
      <c r="L1068" s="4"/>
      <c r="M1068" s="4"/>
      <c r="N1068" s="3" t="s">
        <v>1464</v>
      </c>
      <c r="O1068" s="3"/>
      <c r="P1068" s="3"/>
      <c r="Q1068" s="1790" t="str">
        <f>CHOOSE(2, "6722000003987", "BS (1) Office 3rd Party")</f>
        <v>BS (1) Office 3rd Party</v>
      </c>
      <c r="R1068" s="1215">
        <v>2133</v>
      </c>
      <c r="S1068" s="1215">
        <v>2246</v>
      </c>
      <c r="T1068" s="1215">
        <v>2228</v>
      </c>
      <c r="U1068" s="1215">
        <v>5258</v>
      </c>
      <c r="V1068" s="1215">
        <v>4660</v>
      </c>
      <c r="W1068" s="1215">
        <v>4282</v>
      </c>
      <c r="X1068" s="1215">
        <v>5127</v>
      </c>
      <c r="Y1068" s="1215">
        <v>4407</v>
      </c>
      <c r="Z1068" s="1215">
        <v>3574</v>
      </c>
      <c r="AA1068" s="1215">
        <v>3448</v>
      </c>
      <c r="AB1068" s="1215">
        <v>5313.5962700000055</v>
      </c>
      <c r="AC1068" s="1215">
        <v>11128.859670000002</v>
      </c>
      <c r="AD1068" s="1221">
        <f>T1068</f>
        <v>2228</v>
      </c>
      <c r="AE1068" s="1214">
        <f>W1068</f>
        <v>4282</v>
      </c>
      <c r="AF1068" s="1214">
        <f>Z1068</f>
        <v>3574</v>
      </c>
      <c r="AG1068" s="1214">
        <f>AC1068</f>
        <v>11128.859670000002</v>
      </c>
      <c r="AH1068" s="1214">
        <f>AE1068</f>
        <v>4282</v>
      </c>
      <c r="AI1068" s="1214">
        <f>AG1068</f>
        <v>11128.859670000002</v>
      </c>
      <c r="AJ1068" s="1214">
        <f>AI1068</f>
        <v>11128.859670000002</v>
      </c>
      <c r="AL1068" s="1214">
        <f t="shared" ca="1" si="1520"/>
        <v>11128.859670000002</v>
      </c>
      <c r="AM1068" s="1214">
        <f t="shared" ca="1" si="1521"/>
        <v>0</v>
      </c>
      <c r="AN1068" s="3326">
        <f t="shared" ca="1" si="1522"/>
        <v>11128.859670000002</v>
      </c>
      <c r="AO1068" s="2957">
        <f t="shared" ca="1" si="1523"/>
        <v>0</v>
      </c>
      <c r="AP1068" s="1214">
        <f t="shared" ca="1" si="1524"/>
        <v>0</v>
      </c>
      <c r="AQ1068" s="3326">
        <f t="shared" ca="1" si="1525"/>
        <v>11128.859670000002</v>
      </c>
      <c r="AR1068" s="2957">
        <f t="shared" ca="1" si="1526"/>
        <v>0</v>
      </c>
      <c r="AT1068" s="1214">
        <f t="shared" ca="1" si="1527"/>
        <v>11128.859670000002</v>
      </c>
      <c r="AU1068" s="1214">
        <f t="shared" ca="1" si="1528"/>
        <v>0</v>
      </c>
      <c r="AV1068" s="3326">
        <f t="shared" ca="1" si="1529"/>
        <v>11128.859670000002</v>
      </c>
      <c r="AW1068" s="2957">
        <f t="shared" ca="1" si="1530"/>
        <v>0</v>
      </c>
      <c r="AX1068" s="1214">
        <f t="shared" ca="1" si="1531"/>
        <v>0</v>
      </c>
      <c r="AY1068" s="3326">
        <f t="shared" ca="1" si="1532"/>
        <v>11128.859670000002</v>
      </c>
      <c r="AZ1068" s="2957">
        <f t="shared" ca="1" si="1533"/>
        <v>0</v>
      </c>
      <c r="BB1068" s="1214">
        <f t="shared" ca="1" si="1534"/>
        <v>11128.859670000002</v>
      </c>
      <c r="BC1068" s="1214">
        <f t="shared" ca="1" si="1535"/>
        <v>0</v>
      </c>
      <c r="BD1068" s="3326">
        <f t="shared" ca="1" si="1536"/>
        <v>11128.859670000002</v>
      </c>
      <c r="BE1068" s="2957">
        <f t="shared" ca="1" si="1537"/>
        <v>0</v>
      </c>
      <c r="BF1068" s="1214">
        <f t="shared" ca="1" si="1538"/>
        <v>0</v>
      </c>
      <c r="BG1068" s="3326">
        <f t="shared" ca="1" si="1539"/>
        <v>11128.859670000002</v>
      </c>
      <c r="BH1068" s="2957">
        <f t="shared" ca="1" si="1540"/>
        <v>0</v>
      </c>
    </row>
    <row r="1069" spans="1:60" ht="14.5">
      <c r="A1069" s="616">
        <f t="shared" si="1485"/>
        <v>982</v>
      </c>
      <c r="B1069" s="616">
        <v>1</v>
      </c>
      <c r="C1069" s="616">
        <f t="shared" si="1486"/>
        <v>1066</v>
      </c>
      <c r="D1069" s="709" t="s">
        <v>1308</v>
      </c>
      <c r="E1069" s="2547">
        <v>1</v>
      </c>
      <c r="F1069" s="4"/>
      <c r="G1069" s="4"/>
      <c r="H1069" s="69"/>
      <c r="I1069" s="6" t="s">
        <v>1395</v>
      </c>
      <c r="J1069" s="2285"/>
      <c r="K1069" s="2285"/>
      <c r="L1069" s="2285"/>
      <c r="M1069" s="2285"/>
      <c r="N1069" s="706"/>
      <c r="O1069" s="706"/>
      <c r="P1069" s="706"/>
      <c r="Q1069" s="1806" t="str">
        <f>CHOOSE(2, "6722000003988", "BS (2) PP")</f>
        <v>BS (2) PP</v>
      </c>
      <c r="R1069" s="1262">
        <f>SUM(R1070:R1071)</f>
        <v>711417.44212309434</v>
      </c>
      <c r="S1069" s="1262">
        <f t="shared" ref="S1069:AJ1069" si="1545">SUM(S1070:S1071)</f>
        <v>843713.61815188744</v>
      </c>
      <c r="T1069" s="1262">
        <f t="shared" si="1545"/>
        <v>840783.29475354264</v>
      </c>
      <c r="U1069" s="1262">
        <f t="shared" si="1545"/>
        <v>986395.95689830359</v>
      </c>
      <c r="V1069" s="1262">
        <f t="shared" si="1545"/>
        <v>915550</v>
      </c>
      <c r="W1069" s="1262">
        <f t="shared" si="1545"/>
        <v>998566.93037872354</v>
      </c>
      <c r="X1069" s="1262">
        <f t="shared" si="1545"/>
        <v>1025900.7996262023</v>
      </c>
      <c r="Y1069" s="1262">
        <f t="shared" si="1545"/>
        <v>1117019.3673690674</v>
      </c>
      <c r="Z1069" s="1262">
        <f t="shared" si="1545"/>
        <v>1104374.1585200001</v>
      </c>
      <c r="AA1069" s="1262">
        <f t="shared" si="1545"/>
        <v>1088677.3579382203</v>
      </c>
      <c r="AB1069" s="1262">
        <f t="shared" si="1545"/>
        <v>1160828.024790497</v>
      </c>
      <c r="AC1069" s="1262">
        <f t="shared" si="1545"/>
        <v>1100482.1667938512</v>
      </c>
      <c r="AD1069" s="3327">
        <f t="shared" si="1545"/>
        <v>840783.29475354264</v>
      </c>
      <c r="AE1069" s="1262">
        <f t="shared" si="1545"/>
        <v>998566.93037872354</v>
      </c>
      <c r="AF1069" s="1262">
        <f t="shared" si="1545"/>
        <v>1104374.1585200001</v>
      </c>
      <c r="AG1069" s="1262">
        <f t="shared" si="1545"/>
        <v>1100482.1667938512</v>
      </c>
      <c r="AH1069" s="1262">
        <f t="shared" si="1545"/>
        <v>998566.93037872354</v>
      </c>
      <c r="AI1069" s="1262">
        <f t="shared" si="1545"/>
        <v>1100482.1667938512</v>
      </c>
      <c r="AJ1069" s="1262">
        <f t="shared" si="1545"/>
        <v>1100482.1667938512</v>
      </c>
      <c r="AL1069" s="1262">
        <f t="shared" ca="1" si="1520"/>
        <v>1100482.1667938512</v>
      </c>
      <c r="AM1069" s="1262">
        <f t="shared" ca="1" si="1521"/>
        <v>0</v>
      </c>
      <c r="AN1069" s="3328">
        <f t="shared" ca="1" si="1522"/>
        <v>1100482.1667938512</v>
      </c>
      <c r="AO1069" s="2959">
        <f t="shared" ca="1" si="1523"/>
        <v>0</v>
      </c>
      <c r="AP1069" s="1262">
        <f t="shared" ca="1" si="1524"/>
        <v>2</v>
      </c>
      <c r="AQ1069" s="3328">
        <f t="shared" ca="1" si="1525"/>
        <v>1100480.1667938512</v>
      </c>
      <c r="AR1069" s="2959">
        <f t="shared" ca="1" si="1526"/>
        <v>550241.08339692559</v>
      </c>
      <c r="AT1069" s="1262">
        <f t="shared" ca="1" si="1527"/>
        <v>1100482.1667938512</v>
      </c>
      <c r="AU1069" s="1262">
        <f t="shared" ca="1" si="1528"/>
        <v>0</v>
      </c>
      <c r="AV1069" s="3328">
        <f t="shared" ca="1" si="1529"/>
        <v>1100482.1667938512</v>
      </c>
      <c r="AW1069" s="2959">
        <f t="shared" ca="1" si="1530"/>
        <v>0</v>
      </c>
      <c r="AX1069" s="1262">
        <f t="shared" ca="1" si="1531"/>
        <v>2</v>
      </c>
      <c r="AY1069" s="3328">
        <f t="shared" ca="1" si="1532"/>
        <v>1100480.1667938512</v>
      </c>
      <c r="AZ1069" s="2959">
        <f t="shared" ca="1" si="1533"/>
        <v>550241.08339692559</v>
      </c>
      <c r="BB1069" s="1262">
        <f t="shared" ca="1" si="1534"/>
        <v>1100482.1667938512</v>
      </c>
      <c r="BC1069" s="1262">
        <f t="shared" ca="1" si="1535"/>
        <v>0</v>
      </c>
      <c r="BD1069" s="3328">
        <f t="shared" ca="1" si="1536"/>
        <v>1100482.1667938512</v>
      </c>
      <c r="BE1069" s="2959">
        <f t="shared" ca="1" si="1537"/>
        <v>0</v>
      </c>
      <c r="BF1069" s="1262">
        <f t="shared" ca="1" si="1538"/>
        <v>2</v>
      </c>
      <c r="BG1069" s="3328">
        <f t="shared" ca="1" si="1539"/>
        <v>1100480.1667938512</v>
      </c>
      <c r="BH1069" s="2959">
        <f t="shared" ca="1" si="1540"/>
        <v>550241.08339692559</v>
      </c>
    </row>
    <row r="1070" spans="1:60" ht="14.5">
      <c r="A1070" s="616">
        <f t="shared" si="1485"/>
        <v>983</v>
      </c>
      <c r="B1070" s="616">
        <v>1</v>
      </c>
      <c r="C1070" s="616">
        <f t="shared" si="1486"/>
        <v>1067</v>
      </c>
      <c r="D1070" s="709" t="s">
        <v>1308</v>
      </c>
      <c r="E1070" s="2547">
        <v>1</v>
      </c>
      <c r="F1070" s="4"/>
      <c r="G1070" s="4"/>
      <c r="H1070" s="69"/>
      <c r="I1070" s="27"/>
      <c r="J1070" s="4"/>
      <c r="K1070" s="4"/>
      <c r="L1070" s="4"/>
      <c r="M1070" s="4"/>
      <c r="N1070" s="3" t="s">
        <v>1526</v>
      </c>
      <c r="O1070" s="3"/>
      <c r="P1070" s="3"/>
      <c r="Q1070" s="1790" t="str">
        <f>CHOOSE(2, "6722000003989", "BS (2) PP Purchased from BT cons. companies")</f>
        <v>BS (2) PP Purchased from BT cons. companies</v>
      </c>
      <c r="R1070" s="1215">
        <v>680613.0072930943</v>
      </c>
      <c r="S1070" s="1215">
        <v>783863.16616188735</v>
      </c>
      <c r="T1070" s="1215">
        <v>774370.53554354259</v>
      </c>
      <c r="U1070" s="1215">
        <v>917600.50686830352</v>
      </c>
      <c r="V1070" s="1215">
        <v>855220</v>
      </c>
      <c r="W1070" s="1215">
        <v>952471.37722872349</v>
      </c>
      <c r="X1070" s="1215">
        <v>983683.66618620232</v>
      </c>
      <c r="Y1070" s="1215">
        <v>1102388.2130390673</v>
      </c>
      <c r="Z1070" s="1215">
        <v>1090795</v>
      </c>
      <c r="AA1070" s="1215">
        <v>1076297.3190482203</v>
      </c>
      <c r="AB1070" s="1215">
        <v>1150361.513350497</v>
      </c>
      <c r="AC1070" s="1215">
        <v>1090209.2609738512</v>
      </c>
      <c r="AD1070" s="1221">
        <f>T1070</f>
        <v>774370.53554354259</v>
      </c>
      <c r="AE1070" s="1214">
        <f>W1070</f>
        <v>952471.37722872349</v>
      </c>
      <c r="AF1070" s="1214">
        <f>Z1070</f>
        <v>1090795</v>
      </c>
      <c r="AG1070" s="1214">
        <f>AC1070</f>
        <v>1090209.2609738512</v>
      </c>
      <c r="AH1070" s="1214">
        <f>AE1070</f>
        <v>952471.37722872349</v>
      </c>
      <c r="AI1070" s="1214">
        <f>AG1070</f>
        <v>1090209.2609738512</v>
      </c>
      <c r="AJ1070" s="1214">
        <f>AI1070</f>
        <v>1090209.2609738512</v>
      </c>
      <c r="AL1070" s="1214">
        <f t="shared" ca="1" si="1520"/>
        <v>1090209.2609738512</v>
      </c>
      <c r="AM1070" s="1214">
        <f t="shared" ca="1" si="1521"/>
        <v>0</v>
      </c>
      <c r="AN1070" s="3326">
        <f t="shared" ca="1" si="1522"/>
        <v>1090209.2609738512</v>
      </c>
      <c r="AO1070" s="2957">
        <f t="shared" ca="1" si="1523"/>
        <v>0</v>
      </c>
      <c r="AP1070" s="1214">
        <f t="shared" ca="1" si="1524"/>
        <v>1</v>
      </c>
      <c r="AQ1070" s="3326">
        <f t="shared" ca="1" si="1525"/>
        <v>1090208.2609738512</v>
      </c>
      <c r="AR1070" s="2957">
        <f t="shared" ca="1" si="1526"/>
        <v>1090209.2609738512</v>
      </c>
      <c r="AT1070" s="1214">
        <f t="shared" ca="1" si="1527"/>
        <v>1090209.2609738512</v>
      </c>
      <c r="AU1070" s="1214">
        <f t="shared" ca="1" si="1528"/>
        <v>0</v>
      </c>
      <c r="AV1070" s="3326">
        <f t="shared" ca="1" si="1529"/>
        <v>1090209.2609738512</v>
      </c>
      <c r="AW1070" s="2957">
        <f t="shared" ca="1" si="1530"/>
        <v>0</v>
      </c>
      <c r="AX1070" s="1214">
        <f t="shared" ca="1" si="1531"/>
        <v>1</v>
      </c>
      <c r="AY1070" s="3326">
        <f t="shared" ca="1" si="1532"/>
        <v>1090208.2609738512</v>
      </c>
      <c r="AZ1070" s="2957">
        <f t="shared" ca="1" si="1533"/>
        <v>1090209.2609738512</v>
      </c>
      <c r="BB1070" s="1214">
        <f t="shared" ca="1" si="1534"/>
        <v>1090209.2609738512</v>
      </c>
      <c r="BC1070" s="1214">
        <f t="shared" ca="1" si="1535"/>
        <v>0</v>
      </c>
      <c r="BD1070" s="3326">
        <f t="shared" ca="1" si="1536"/>
        <v>1090209.2609738512</v>
      </c>
      <c r="BE1070" s="2957">
        <f t="shared" ca="1" si="1537"/>
        <v>0</v>
      </c>
      <c r="BF1070" s="1214">
        <f t="shared" ca="1" si="1538"/>
        <v>1</v>
      </c>
      <c r="BG1070" s="3326">
        <f t="shared" ca="1" si="1539"/>
        <v>1090208.2609738512</v>
      </c>
      <c r="BH1070" s="2957">
        <f t="shared" ca="1" si="1540"/>
        <v>1090209.2609738512</v>
      </c>
    </row>
    <row r="1071" spans="1:60" ht="14.5">
      <c r="A1071" s="616">
        <f t="shared" si="1485"/>
        <v>984</v>
      </c>
      <c r="B1071" s="616">
        <v>1</v>
      </c>
      <c r="C1071" s="616">
        <f t="shared" si="1486"/>
        <v>1068</v>
      </c>
      <c r="D1071" s="709" t="s">
        <v>1308</v>
      </c>
      <c r="E1071" s="2547">
        <v>1</v>
      </c>
      <c r="F1071" s="4"/>
      <c r="G1071" s="4"/>
      <c r="H1071" s="69"/>
      <c r="I1071" s="25"/>
      <c r="J1071" s="4"/>
      <c r="K1071" s="4"/>
      <c r="L1071" s="4"/>
      <c r="M1071" s="4"/>
      <c r="N1071" s="3" t="s">
        <v>1464</v>
      </c>
      <c r="O1071" s="3"/>
      <c r="P1071" s="3"/>
      <c r="Q1071" s="1790" t="str">
        <f>CHOOSE(2, "6722000003990", "BS (2) PP 3rd Party")</f>
        <v>BS (2) PP 3rd Party</v>
      </c>
      <c r="R1071" s="1215">
        <v>30804.434830000002</v>
      </c>
      <c r="S1071" s="1215">
        <v>59850.451990000038</v>
      </c>
      <c r="T1071" s="1215">
        <v>66412.759210000047</v>
      </c>
      <c r="U1071" s="1215">
        <v>68795.450030000051</v>
      </c>
      <c r="V1071" s="1215">
        <v>60330</v>
      </c>
      <c r="W1071" s="1215">
        <v>46095.553150000051</v>
      </c>
      <c r="X1071" s="1215">
        <v>42217.133440000063</v>
      </c>
      <c r="Y1071" s="1215">
        <v>14631.154330000025</v>
      </c>
      <c r="Z1071" s="1215">
        <v>13579.158520000008</v>
      </c>
      <c r="AA1071" s="1215">
        <v>12380.038890000023</v>
      </c>
      <c r="AB1071" s="1215">
        <v>10466.511440000017</v>
      </c>
      <c r="AC1071" s="1215">
        <v>10272.905820000015</v>
      </c>
      <c r="AD1071" s="1221">
        <f>T1071</f>
        <v>66412.759210000047</v>
      </c>
      <c r="AE1071" s="1214">
        <f>W1071</f>
        <v>46095.553150000051</v>
      </c>
      <c r="AF1071" s="1214">
        <f>Z1071</f>
        <v>13579.158520000008</v>
      </c>
      <c r="AG1071" s="1214">
        <f>AC1071</f>
        <v>10272.905820000015</v>
      </c>
      <c r="AH1071" s="1214">
        <f>AE1071</f>
        <v>46095.553150000051</v>
      </c>
      <c r="AI1071" s="1214">
        <f>AG1071</f>
        <v>10272.905820000015</v>
      </c>
      <c r="AJ1071" s="1214">
        <f>AI1071</f>
        <v>10272.905820000015</v>
      </c>
      <c r="AL1071" s="1214">
        <f t="shared" ca="1" si="1520"/>
        <v>10272.905820000015</v>
      </c>
      <c r="AM1071" s="1214">
        <f t="shared" ca="1" si="1521"/>
        <v>0</v>
      </c>
      <c r="AN1071" s="3326">
        <f t="shared" ca="1" si="1522"/>
        <v>10272.905820000015</v>
      </c>
      <c r="AO1071" s="2957">
        <f t="shared" ca="1" si="1523"/>
        <v>0</v>
      </c>
      <c r="AP1071" s="1214">
        <f t="shared" ca="1" si="1524"/>
        <v>0</v>
      </c>
      <c r="AQ1071" s="3326">
        <f t="shared" ca="1" si="1525"/>
        <v>10272.905820000015</v>
      </c>
      <c r="AR1071" s="2957">
        <f t="shared" ca="1" si="1526"/>
        <v>0</v>
      </c>
      <c r="AT1071" s="1214">
        <f t="shared" ca="1" si="1527"/>
        <v>10272.905820000015</v>
      </c>
      <c r="AU1071" s="1214">
        <f t="shared" ca="1" si="1528"/>
        <v>0</v>
      </c>
      <c r="AV1071" s="3326">
        <f t="shared" ca="1" si="1529"/>
        <v>10272.905820000015</v>
      </c>
      <c r="AW1071" s="2957">
        <f t="shared" ca="1" si="1530"/>
        <v>0</v>
      </c>
      <c r="AX1071" s="1214">
        <f t="shared" ca="1" si="1531"/>
        <v>0</v>
      </c>
      <c r="AY1071" s="3326">
        <f t="shared" ca="1" si="1532"/>
        <v>10272.905820000015</v>
      </c>
      <c r="AZ1071" s="2957">
        <f t="shared" ca="1" si="1533"/>
        <v>0</v>
      </c>
      <c r="BB1071" s="1214">
        <f t="shared" ca="1" si="1534"/>
        <v>10272.905820000015</v>
      </c>
      <c r="BC1071" s="1214">
        <f t="shared" ca="1" si="1535"/>
        <v>0</v>
      </c>
      <c r="BD1071" s="3326">
        <f t="shared" ca="1" si="1536"/>
        <v>10272.905820000015</v>
      </c>
      <c r="BE1071" s="2957">
        <f t="shared" ca="1" si="1537"/>
        <v>0</v>
      </c>
      <c r="BF1071" s="1214">
        <f t="shared" ca="1" si="1538"/>
        <v>0</v>
      </c>
      <c r="BG1071" s="3326">
        <f t="shared" ca="1" si="1539"/>
        <v>10272.905820000015</v>
      </c>
      <c r="BH1071" s="2957">
        <f t="shared" ca="1" si="1540"/>
        <v>0</v>
      </c>
    </row>
    <row r="1072" spans="1:60" ht="14.5">
      <c r="A1072" s="616">
        <f t="shared" si="1485"/>
        <v>985</v>
      </c>
      <c r="B1072" s="616">
        <v>1</v>
      </c>
      <c r="C1072" s="616">
        <f t="shared" si="1486"/>
        <v>1069</v>
      </c>
      <c r="D1072" s="709" t="s">
        <v>1308</v>
      </c>
      <c r="E1072" s="2547">
        <v>1</v>
      </c>
      <c r="F1072" s="4"/>
      <c r="G1072" s="4"/>
      <c r="H1072" s="69"/>
      <c r="I1072" s="3155" t="s">
        <v>1399</v>
      </c>
      <c r="J1072" s="581"/>
      <c r="K1072" s="581"/>
      <c r="L1072" s="581"/>
      <c r="M1072" s="581"/>
      <c r="N1072" s="489"/>
      <c r="O1072" s="489"/>
      <c r="P1072" s="489"/>
      <c r="Q1072" s="1795" t="str">
        <f>CHOOSE(2, "6722000003991", "BS (3) IP")</f>
        <v>BS (3) IP</v>
      </c>
      <c r="R1072" s="1269">
        <f>SUM(R1073:R1075)</f>
        <v>38764</v>
      </c>
      <c r="S1072" s="1269">
        <f t="shared" ref="S1072:AJ1072" si="1546">SUM(S1073:S1075)</f>
        <v>58038</v>
      </c>
      <c r="T1072" s="1269">
        <f t="shared" si="1546"/>
        <v>62141.852210000026</v>
      </c>
      <c r="U1072" s="1269">
        <f t="shared" si="1546"/>
        <v>70620</v>
      </c>
      <c r="V1072" s="1269">
        <f t="shared" si="1546"/>
        <v>62910</v>
      </c>
      <c r="W1072" s="1269">
        <f t="shared" si="1546"/>
        <v>64868</v>
      </c>
      <c r="X1072" s="1269">
        <f t="shared" si="1546"/>
        <v>73506.573739999993</v>
      </c>
      <c r="Y1072" s="1269">
        <f t="shared" si="1546"/>
        <v>67043</v>
      </c>
      <c r="Z1072" s="1269">
        <f t="shared" si="1546"/>
        <v>70024.150780000011</v>
      </c>
      <c r="AA1072" s="1269">
        <f t="shared" si="1546"/>
        <v>73665.861800000013</v>
      </c>
      <c r="AB1072" s="1269">
        <f t="shared" si="1546"/>
        <v>139148.15546332579</v>
      </c>
      <c r="AC1072" s="1269">
        <f t="shared" si="1546"/>
        <v>105994.45755000002</v>
      </c>
      <c r="AD1072" s="3265">
        <f t="shared" si="1546"/>
        <v>62141.852210000026</v>
      </c>
      <c r="AE1072" s="1269">
        <f t="shared" si="1546"/>
        <v>64868</v>
      </c>
      <c r="AF1072" s="1269">
        <f t="shared" si="1546"/>
        <v>70024.150780000011</v>
      </c>
      <c r="AG1072" s="1269">
        <f t="shared" si="1546"/>
        <v>105994.45755000002</v>
      </c>
      <c r="AH1072" s="1269">
        <f t="shared" si="1546"/>
        <v>64868</v>
      </c>
      <c r="AI1072" s="1269">
        <f t="shared" si="1546"/>
        <v>105994.45755000002</v>
      </c>
      <c r="AJ1072" s="1269">
        <f t="shared" si="1546"/>
        <v>105994.45755000002</v>
      </c>
      <c r="AL1072" s="1269">
        <f t="shared" ca="1" si="1520"/>
        <v>105994.45755000002</v>
      </c>
      <c r="AM1072" s="1269">
        <f t="shared" ca="1" si="1521"/>
        <v>0</v>
      </c>
      <c r="AN1072" s="3266">
        <f t="shared" ca="1" si="1522"/>
        <v>105994.45755000002</v>
      </c>
      <c r="AO1072" s="2919">
        <f t="shared" ca="1" si="1523"/>
        <v>0</v>
      </c>
      <c r="AP1072" s="1269">
        <f t="shared" ca="1" si="1524"/>
        <v>1</v>
      </c>
      <c r="AQ1072" s="3266">
        <f t="shared" ca="1" si="1525"/>
        <v>105993.45755000002</v>
      </c>
      <c r="AR1072" s="2919">
        <f t="shared" ca="1" si="1526"/>
        <v>105994.45755000002</v>
      </c>
      <c r="AT1072" s="1269">
        <f t="shared" ca="1" si="1527"/>
        <v>105994.45755000002</v>
      </c>
      <c r="AU1072" s="1269">
        <f t="shared" ca="1" si="1528"/>
        <v>0</v>
      </c>
      <c r="AV1072" s="3266">
        <f t="shared" ca="1" si="1529"/>
        <v>105994.45755000002</v>
      </c>
      <c r="AW1072" s="2919">
        <f t="shared" ca="1" si="1530"/>
        <v>0</v>
      </c>
      <c r="AX1072" s="1269">
        <f t="shared" ca="1" si="1531"/>
        <v>1</v>
      </c>
      <c r="AY1072" s="3266">
        <f t="shared" ca="1" si="1532"/>
        <v>105993.45755000002</v>
      </c>
      <c r="AZ1072" s="2919">
        <f t="shared" ca="1" si="1533"/>
        <v>105994.45755000002</v>
      </c>
      <c r="BB1072" s="1269">
        <f t="shared" ca="1" si="1534"/>
        <v>105994.45755000002</v>
      </c>
      <c r="BC1072" s="1269">
        <f t="shared" ca="1" si="1535"/>
        <v>0</v>
      </c>
      <c r="BD1072" s="3266">
        <f t="shared" ca="1" si="1536"/>
        <v>105994.45755000002</v>
      </c>
      <c r="BE1072" s="2919">
        <f t="shared" ca="1" si="1537"/>
        <v>0</v>
      </c>
      <c r="BF1072" s="1269">
        <f t="shared" ca="1" si="1538"/>
        <v>1</v>
      </c>
      <c r="BG1072" s="3266">
        <f t="shared" ca="1" si="1539"/>
        <v>105993.45755000002</v>
      </c>
      <c r="BH1072" s="2919">
        <f t="shared" ca="1" si="1540"/>
        <v>105994.45755000002</v>
      </c>
    </row>
    <row r="1073" spans="1:60" ht="14.5">
      <c r="A1073" s="616">
        <f t="shared" si="1485"/>
        <v>986</v>
      </c>
      <c r="B1073" s="616">
        <v>1</v>
      </c>
      <c r="C1073" s="616">
        <f t="shared" si="1486"/>
        <v>1070</v>
      </c>
      <c r="D1073" s="709" t="s">
        <v>1308</v>
      </c>
      <c r="E1073" s="2547">
        <v>1</v>
      </c>
      <c r="F1073" s="4"/>
      <c r="G1073" s="4"/>
      <c r="H1073" s="69"/>
      <c r="I1073" s="27"/>
      <c r="J1073" s="4"/>
      <c r="K1073" s="4"/>
      <c r="L1073" s="4"/>
      <c r="M1073" s="4"/>
      <c r="N1073" s="3" t="s">
        <v>1524</v>
      </c>
      <c r="O1073" s="3"/>
      <c r="P1073" s="3"/>
      <c r="Q1073" s="1790" t="str">
        <f>CHOOSE(2, "6722000003992", "BS (3) IP P BT &lt;exclude MGI&gt;")</f>
        <v>BS (3) IP P BT &lt;exclude MGI&gt;</v>
      </c>
      <c r="R1073" s="1215">
        <v>17212</v>
      </c>
      <c r="S1073" s="1215">
        <v>29855</v>
      </c>
      <c r="T1073" s="1215">
        <v>38885</v>
      </c>
      <c r="U1073" s="1215">
        <v>42651</v>
      </c>
      <c r="V1073" s="1215">
        <v>33358</v>
      </c>
      <c r="W1073" s="1215">
        <v>40406</v>
      </c>
      <c r="X1073" s="1215">
        <v>44062</v>
      </c>
      <c r="Y1073" s="1215">
        <v>41013</v>
      </c>
      <c r="Z1073" s="1215">
        <v>41728</v>
      </c>
      <c r="AA1073" s="1215">
        <f>45268+3662</f>
        <v>48930</v>
      </c>
      <c r="AB1073" s="1215">
        <v>115180.70584332576</v>
      </c>
      <c r="AC1073" s="1215">
        <v>73505</v>
      </c>
      <c r="AD1073" s="1221">
        <f>T1073</f>
        <v>38885</v>
      </c>
      <c r="AE1073" s="1214">
        <f>W1073</f>
        <v>40406</v>
      </c>
      <c r="AF1073" s="1214">
        <f>Z1073</f>
        <v>41728</v>
      </c>
      <c r="AG1073" s="1214">
        <f>AC1073</f>
        <v>73505</v>
      </c>
      <c r="AH1073" s="1214">
        <f>AE1073</f>
        <v>40406</v>
      </c>
      <c r="AI1073" s="1214">
        <f>AG1073</f>
        <v>73505</v>
      </c>
      <c r="AJ1073" s="1214">
        <f>AI1073</f>
        <v>73505</v>
      </c>
      <c r="AL1073" s="1214">
        <f t="shared" ca="1" si="1520"/>
        <v>73505</v>
      </c>
      <c r="AM1073" s="1214">
        <f t="shared" ca="1" si="1521"/>
        <v>0</v>
      </c>
      <c r="AN1073" s="3326">
        <f t="shared" ca="1" si="1522"/>
        <v>73505</v>
      </c>
      <c r="AO1073" s="2957">
        <f t="shared" ca="1" si="1523"/>
        <v>0</v>
      </c>
      <c r="AP1073" s="1214">
        <f t="shared" ca="1" si="1524"/>
        <v>0</v>
      </c>
      <c r="AQ1073" s="3326">
        <f t="shared" ca="1" si="1525"/>
        <v>73505</v>
      </c>
      <c r="AR1073" s="2957">
        <f t="shared" ca="1" si="1526"/>
        <v>0</v>
      </c>
      <c r="AT1073" s="1214">
        <f t="shared" ca="1" si="1527"/>
        <v>73505</v>
      </c>
      <c r="AU1073" s="1214">
        <f t="shared" ca="1" si="1528"/>
        <v>0</v>
      </c>
      <c r="AV1073" s="3326">
        <f t="shared" ca="1" si="1529"/>
        <v>73505</v>
      </c>
      <c r="AW1073" s="2957">
        <f t="shared" ca="1" si="1530"/>
        <v>0</v>
      </c>
      <c r="AX1073" s="1214">
        <f t="shared" ca="1" si="1531"/>
        <v>0</v>
      </c>
      <c r="AY1073" s="3326">
        <f t="shared" ca="1" si="1532"/>
        <v>73505</v>
      </c>
      <c r="AZ1073" s="2957">
        <f t="shared" ca="1" si="1533"/>
        <v>0</v>
      </c>
      <c r="BB1073" s="1214">
        <f t="shared" ca="1" si="1534"/>
        <v>73505</v>
      </c>
      <c r="BC1073" s="1214">
        <f t="shared" ca="1" si="1535"/>
        <v>0</v>
      </c>
      <c r="BD1073" s="3326">
        <f t="shared" ca="1" si="1536"/>
        <v>73505</v>
      </c>
      <c r="BE1073" s="2957">
        <f t="shared" ca="1" si="1537"/>
        <v>0</v>
      </c>
      <c r="BF1073" s="1214">
        <f t="shared" ca="1" si="1538"/>
        <v>0</v>
      </c>
      <c r="BG1073" s="3326">
        <f t="shared" ca="1" si="1539"/>
        <v>73505</v>
      </c>
      <c r="BH1073" s="2957">
        <f t="shared" ca="1" si="1540"/>
        <v>0</v>
      </c>
    </row>
    <row r="1074" spans="1:60" ht="14.5">
      <c r="A1074" s="616">
        <f t="shared" si="1485"/>
        <v>987</v>
      </c>
      <c r="B1074" s="616">
        <v>1</v>
      </c>
      <c r="C1074" s="616">
        <f t="shared" si="1486"/>
        <v>1071</v>
      </c>
      <c r="D1074" s="709" t="s">
        <v>1308</v>
      </c>
      <c r="E1074" s="2547">
        <v>1</v>
      </c>
      <c r="F1074" s="8"/>
      <c r="G1074" s="8"/>
      <c r="H1074" s="69"/>
      <c r="I1074" s="27"/>
      <c r="J1074" s="4"/>
      <c r="K1074" s="4"/>
      <c r="L1074" s="4"/>
      <c r="M1074" s="4"/>
      <c r="N1074" s="3" t="s">
        <v>1525</v>
      </c>
      <c r="O1074" s="3"/>
      <c r="P1074" s="3"/>
      <c r="Q1074" s="1790" t="str">
        <f>CHOOSE(2, "6722000003993", "BS (3) IP Purchased from MGI (BT-Gr)")</f>
        <v>BS (3) IP Purchased from MGI (BT-Gr)</v>
      </c>
      <c r="R1074" s="1215">
        <v>14131</v>
      </c>
      <c r="S1074" s="1215">
        <v>18188</v>
      </c>
      <c r="T1074" s="1215">
        <v>15879</v>
      </c>
      <c r="U1074" s="1215">
        <v>20626</v>
      </c>
      <c r="V1074" s="1215">
        <v>22247</v>
      </c>
      <c r="W1074" s="1215">
        <v>22395</v>
      </c>
      <c r="X1074" s="1215">
        <v>21938.57761</v>
      </c>
      <c r="Y1074" s="1215">
        <v>18211</v>
      </c>
      <c r="Z1074" s="1215">
        <v>20238.521679999998</v>
      </c>
      <c r="AA1074" s="1215">
        <v>18741.294670000003</v>
      </c>
      <c r="AB1074" s="1215">
        <v>17607.8033</v>
      </c>
      <c r="AC1074" s="1215">
        <v>21659.121199999998</v>
      </c>
      <c r="AD1074" s="1221">
        <f>T1074</f>
        <v>15879</v>
      </c>
      <c r="AE1074" s="1214">
        <f>W1074</f>
        <v>22395</v>
      </c>
      <c r="AF1074" s="1214">
        <f>Z1074</f>
        <v>20238.521679999998</v>
      </c>
      <c r="AG1074" s="1214">
        <f>AC1074</f>
        <v>21659.121199999998</v>
      </c>
      <c r="AH1074" s="1214">
        <f>AE1074</f>
        <v>22395</v>
      </c>
      <c r="AI1074" s="1214">
        <f>AG1074</f>
        <v>21659.121199999998</v>
      </c>
      <c r="AJ1074" s="1214">
        <f>AI1074</f>
        <v>21659.121199999998</v>
      </c>
      <c r="AL1074" s="1214">
        <f t="shared" ca="1" si="1520"/>
        <v>21659.121199999998</v>
      </c>
      <c r="AM1074" s="1214">
        <f t="shared" ca="1" si="1521"/>
        <v>0</v>
      </c>
      <c r="AN1074" s="3326">
        <f t="shared" ca="1" si="1522"/>
        <v>21659.121199999998</v>
      </c>
      <c r="AO1074" s="2957">
        <f t="shared" ca="1" si="1523"/>
        <v>0</v>
      </c>
      <c r="AP1074" s="1214">
        <f t="shared" ca="1" si="1524"/>
        <v>0</v>
      </c>
      <c r="AQ1074" s="3326">
        <f t="shared" ca="1" si="1525"/>
        <v>21659.121199999998</v>
      </c>
      <c r="AR1074" s="2957">
        <f t="shared" ca="1" si="1526"/>
        <v>0</v>
      </c>
      <c r="AT1074" s="1214">
        <f t="shared" ca="1" si="1527"/>
        <v>21659.121199999998</v>
      </c>
      <c r="AU1074" s="1214">
        <f t="shared" ca="1" si="1528"/>
        <v>0</v>
      </c>
      <c r="AV1074" s="3326">
        <f t="shared" ca="1" si="1529"/>
        <v>21659.121199999998</v>
      </c>
      <c r="AW1074" s="2957">
        <f t="shared" ca="1" si="1530"/>
        <v>0</v>
      </c>
      <c r="AX1074" s="1214">
        <f t="shared" ca="1" si="1531"/>
        <v>0</v>
      </c>
      <c r="AY1074" s="3326">
        <f t="shared" ca="1" si="1532"/>
        <v>21659.121199999998</v>
      </c>
      <c r="AZ1074" s="2957">
        <f t="shared" ca="1" si="1533"/>
        <v>0</v>
      </c>
      <c r="BB1074" s="1214">
        <f t="shared" ca="1" si="1534"/>
        <v>21659.121199999998</v>
      </c>
      <c r="BC1074" s="1214">
        <f t="shared" ca="1" si="1535"/>
        <v>0</v>
      </c>
      <c r="BD1074" s="3326">
        <f t="shared" ca="1" si="1536"/>
        <v>21659.121199999998</v>
      </c>
      <c r="BE1074" s="2957">
        <f t="shared" ca="1" si="1537"/>
        <v>0</v>
      </c>
      <c r="BF1074" s="1214">
        <f t="shared" ca="1" si="1538"/>
        <v>0</v>
      </c>
      <c r="BG1074" s="3326">
        <f t="shared" ca="1" si="1539"/>
        <v>21659.121199999998</v>
      </c>
      <c r="BH1074" s="2957">
        <f t="shared" ca="1" si="1540"/>
        <v>0</v>
      </c>
    </row>
    <row r="1075" spans="1:60" ht="14.5">
      <c r="A1075" s="616">
        <f t="shared" si="1485"/>
        <v>988</v>
      </c>
      <c r="B1075" s="616">
        <v>1</v>
      </c>
      <c r="C1075" s="616">
        <f t="shared" si="1486"/>
        <v>1072</v>
      </c>
      <c r="D1075" s="709" t="s">
        <v>1308</v>
      </c>
      <c r="E1075" s="2547">
        <v>1</v>
      </c>
      <c r="F1075" s="4"/>
      <c r="G1075" s="4"/>
      <c r="H1075" s="69"/>
      <c r="I1075" s="25"/>
      <c r="J1075" s="2"/>
      <c r="K1075" s="2"/>
      <c r="L1075" s="2"/>
      <c r="M1075" s="2"/>
      <c r="N1075" s="1" t="s">
        <v>1464</v>
      </c>
      <c r="O1075" s="1"/>
      <c r="P1075" s="1"/>
      <c r="Q1075" s="1790" t="str">
        <f>CHOOSE(2, "6722000003994", "BS (3) IP 3rd Party")</f>
        <v>BS (3) IP 3rd Party</v>
      </c>
      <c r="R1075" s="1215">
        <v>7421</v>
      </c>
      <c r="S1075" s="1215">
        <v>9995</v>
      </c>
      <c r="T1075" s="1215">
        <v>7377.8522100000228</v>
      </c>
      <c r="U1075" s="1215">
        <v>7343</v>
      </c>
      <c r="V1075" s="1215">
        <v>7305</v>
      </c>
      <c r="W1075" s="1215">
        <v>2067</v>
      </c>
      <c r="X1075" s="1215">
        <v>7505.9961299999886</v>
      </c>
      <c r="Y1075" s="1215">
        <v>7819</v>
      </c>
      <c r="Z1075" s="1215">
        <v>8057.6291000000165</v>
      </c>
      <c r="AA1075" s="1215">
        <v>5994.5671300000104</v>
      </c>
      <c r="AB1075" s="1215">
        <v>6359.6463200000144</v>
      </c>
      <c r="AC1075" s="1215">
        <v>10830.336350000023</v>
      </c>
      <c r="AD1075" s="1221">
        <f>T1075</f>
        <v>7377.8522100000228</v>
      </c>
      <c r="AE1075" s="1214">
        <f>W1075</f>
        <v>2067</v>
      </c>
      <c r="AF1075" s="1214">
        <f>Z1075</f>
        <v>8057.6291000000165</v>
      </c>
      <c r="AG1075" s="1214">
        <f>AC1075</f>
        <v>10830.336350000023</v>
      </c>
      <c r="AH1075" s="1214">
        <f>AE1075</f>
        <v>2067</v>
      </c>
      <c r="AI1075" s="1214">
        <f>AG1075</f>
        <v>10830.336350000023</v>
      </c>
      <c r="AJ1075" s="1214">
        <f>AI1075</f>
        <v>10830.336350000023</v>
      </c>
      <c r="AL1075" s="1214">
        <f t="shared" ca="1" si="1520"/>
        <v>10830.336350000023</v>
      </c>
      <c r="AM1075" s="1214">
        <f t="shared" ca="1" si="1521"/>
        <v>0</v>
      </c>
      <c r="AN1075" s="3326">
        <f t="shared" ca="1" si="1522"/>
        <v>10830.336350000023</v>
      </c>
      <c r="AO1075" s="2957">
        <f t="shared" ca="1" si="1523"/>
        <v>0</v>
      </c>
      <c r="AP1075" s="1214">
        <f t="shared" ca="1" si="1524"/>
        <v>0</v>
      </c>
      <c r="AQ1075" s="3326">
        <f t="shared" ca="1" si="1525"/>
        <v>10830.336350000023</v>
      </c>
      <c r="AR1075" s="2957">
        <f t="shared" ca="1" si="1526"/>
        <v>0</v>
      </c>
      <c r="AT1075" s="1214">
        <f t="shared" ca="1" si="1527"/>
        <v>10830.336350000023</v>
      </c>
      <c r="AU1075" s="1214">
        <f t="shared" ca="1" si="1528"/>
        <v>0</v>
      </c>
      <c r="AV1075" s="3326">
        <f t="shared" ca="1" si="1529"/>
        <v>10830.336350000023</v>
      </c>
      <c r="AW1075" s="2957">
        <f t="shared" ca="1" si="1530"/>
        <v>0</v>
      </c>
      <c r="AX1075" s="1214">
        <f t="shared" ca="1" si="1531"/>
        <v>0</v>
      </c>
      <c r="AY1075" s="3326">
        <f t="shared" ca="1" si="1532"/>
        <v>10830.336350000023</v>
      </c>
      <c r="AZ1075" s="2957">
        <f t="shared" ca="1" si="1533"/>
        <v>0</v>
      </c>
      <c r="BB1075" s="1214">
        <f t="shared" ca="1" si="1534"/>
        <v>10830.336350000023</v>
      </c>
      <c r="BC1075" s="1214">
        <f t="shared" ca="1" si="1535"/>
        <v>0</v>
      </c>
      <c r="BD1075" s="3326">
        <f t="shared" ca="1" si="1536"/>
        <v>10830.336350000023</v>
      </c>
      <c r="BE1075" s="2957">
        <f t="shared" ca="1" si="1537"/>
        <v>0</v>
      </c>
      <c r="BF1075" s="1214">
        <f t="shared" ca="1" si="1538"/>
        <v>0</v>
      </c>
      <c r="BG1075" s="3326">
        <f t="shared" ca="1" si="1539"/>
        <v>10830.336350000023</v>
      </c>
      <c r="BH1075" s="2957">
        <f t="shared" ca="1" si="1540"/>
        <v>0</v>
      </c>
    </row>
    <row r="1076" spans="1:60" ht="14.5">
      <c r="A1076" s="616">
        <f t="shared" si="1485"/>
        <v>989</v>
      </c>
      <c r="B1076" s="616">
        <v>1</v>
      </c>
      <c r="C1076" s="616">
        <f t="shared" si="1486"/>
        <v>1073</v>
      </c>
      <c r="D1076" s="709" t="s">
        <v>1308</v>
      </c>
      <c r="E1076" s="2547">
        <v>1</v>
      </c>
      <c r="F1076" s="4"/>
      <c r="G1076" s="4"/>
      <c r="H1076" s="69"/>
      <c r="I1076" s="5" t="s">
        <v>1456</v>
      </c>
      <c r="J1076" s="867"/>
      <c r="K1076" s="867"/>
      <c r="L1076" s="867"/>
      <c r="M1076" s="867"/>
      <c r="N1076" s="595"/>
      <c r="O1076" s="595"/>
      <c r="P1076" s="595"/>
      <c r="Q1076" s="1808" t="str">
        <f>CHOOSE(2, "6722000003995", "BS (4) MS")</f>
        <v>BS (4) MS</v>
      </c>
      <c r="R1076" s="1261">
        <f>SUM(R1077:R1078)</f>
        <v>0</v>
      </c>
      <c r="S1076" s="1261">
        <f t="shared" ref="S1076:AJ1076" si="1547">SUM(S1077:S1078)</f>
        <v>0</v>
      </c>
      <c r="T1076" s="1261">
        <f t="shared" si="1547"/>
        <v>0</v>
      </c>
      <c r="U1076" s="1261">
        <f t="shared" si="1547"/>
        <v>0</v>
      </c>
      <c r="V1076" s="1261">
        <f t="shared" si="1547"/>
        <v>0</v>
      </c>
      <c r="W1076" s="1261">
        <f t="shared" si="1547"/>
        <v>0</v>
      </c>
      <c r="X1076" s="1261">
        <f t="shared" si="1547"/>
        <v>0</v>
      </c>
      <c r="Y1076" s="1261">
        <f t="shared" si="1547"/>
        <v>0</v>
      </c>
      <c r="Z1076" s="1261">
        <f t="shared" si="1547"/>
        <v>0</v>
      </c>
      <c r="AA1076" s="1261">
        <f t="shared" si="1547"/>
        <v>0</v>
      </c>
      <c r="AB1076" s="1261">
        <f t="shared" si="1547"/>
        <v>0</v>
      </c>
      <c r="AC1076" s="1261">
        <f t="shared" si="1547"/>
        <v>0</v>
      </c>
      <c r="AD1076" s="3329">
        <f t="shared" si="1547"/>
        <v>0</v>
      </c>
      <c r="AE1076" s="1261">
        <f t="shared" si="1547"/>
        <v>0</v>
      </c>
      <c r="AF1076" s="1261">
        <f t="shared" si="1547"/>
        <v>0</v>
      </c>
      <c r="AG1076" s="1261">
        <f t="shared" si="1547"/>
        <v>0</v>
      </c>
      <c r="AH1076" s="1261">
        <f t="shared" si="1547"/>
        <v>0</v>
      </c>
      <c r="AI1076" s="1261">
        <f t="shared" si="1547"/>
        <v>0</v>
      </c>
      <c r="AJ1076" s="1261">
        <f t="shared" si="1547"/>
        <v>0</v>
      </c>
      <c r="AL1076" s="1261">
        <f t="shared" ca="1" si="1520"/>
        <v>0</v>
      </c>
      <c r="AM1076" s="1261">
        <f t="shared" ca="1" si="1521"/>
        <v>0</v>
      </c>
      <c r="AN1076" s="3330">
        <f t="shared" ca="1" si="1522"/>
        <v>0</v>
      </c>
      <c r="AO1076" s="2961">
        <f t="shared" ca="1" si="1523"/>
        <v>0</v>
      </c>
      <c r="AP1076" s="1261">
        <f t="shared" ca="1" si="1524"/>
        <v>0</v>
      </c>
      <c r="AQ1076" s="3330">
        <f t="shared" ca="1" si="1525"/>
        <v>0</v>
      </c>
      <c r="AR1076" s="2961">
        <f t="shared" ca="1" si="1526"/>
        <v>0</v>
      </c>
      <c r="AT1076" s="1261">
        <f t="shared" ca="1" si="1527"/>
        <v>0</v>
      </c>
      <c r="AU1076" s="1261">
        <f t="shared" ca="1" si="1528"/>
        <v>0</v>
      </c>
      <c r="AV1076" s="3330">
        <f t="shared" ca="1" si="1529"/>
        <v>0</v>
      </c>
      <c r="AW1076" s="2961">
        <f t="shared" ca="1" si="1530"/>
        <v>0</v>
      </c>
      <c r="AX1076" s="1261">
        <f t="shared" ca="1" si="1531"/>
        <v>0</v>
      </c>
      <c r="AY1076" s="3330">
        <f t="shared" ca="1" si="1532"/>
        <v>0</v>
      </c>
      <c r="AZ1076" s="2961">
        <f t="shared" ca="1" si="1533"/>
        <v>0</v>
      </c>
      <c r="BB1076" s="1261">
        <f t="shared" ca="1" si="1534"/>
        <v>0</v>
      </c>
      <c r="BC1076" s="1261">
        <f t="shared" ca="1" si="1535"/>
        <v>0</v>
      </c>
      <c r="BD1076" s="3330">
        <f t="shared" ca="1" si="1536"/>
        <v>0</v>
      </c>
      <c r="BE1076" s="2961">
        <f t="shared" ca="1" si="1537"/>
        <v>0</v>
      </c>
      <c r="BF1076" s="1261">
        <f t="shared" ca="1" si="1538"/>
        <v>0</v>
      </c>
      <c r="BG1076" s="3330">
        <f t="shared" ca="1" si="1539"/>
        <v>0</v>
      </c>
      <c r="BH1076" s="2961">
        <f t="shared" ca="1" si="1540"/>
        <v>0</v>
      </c>
    </row>
    <row r="1077" spans="1:60" ht="14.5">
      <c r="A1077" s="616">
        <f t="shared" si="1485"/>
        <v>990</v>
      </c>
      <c r="B1077" s="616">
        <v>1</v>
      </c>
      <c r="C1077" s="616">
        <f t="shared" si="1486"/>
        <v>1074</v>
      </c>
      <c r="D1077" s="709" t="s">
        <v>1308</v>
      </c>
      <c r="E1077" s="2547">
        <v>1</v>
      </c>
      <c r="F1077" s="4"/>
      <c r="G1077" s="4"/>
      <c r="H1077" s="69"/>
      <c r="I1077" s="27"/>
      <c r="J1077" s="4"/>
      <c r="K1077" s="4"/>
      <c r="L1077" s="4"/>
      <c r="M1077" s="4"/>
      <c r="N1077" s="3" t="s">
        <v>1526</v>
      </c>
      <c r="O1077" s="3"/>
      <c r="P1077" s="3"/>
      <c r="Q1077" s="1790" t="str">
        <f>CHOOSE(2, "6722000003996", "BS (4) MS Purchased from BT cons. companies")</f>
        <v>BS (4) MS Purchased from BT cons. companies</v>
      </c>
      <c r="R1077" s="1215">
        <v>0</v>
      </c>
      <c r="S1077" s="1215">
        <v>0</v>
      </c>
      <c r="T1077" s="1215">
        <v>0</v>
      </c>
      <c r="U1077" s="1215">
        <v>0</v>
      </c>
      <c r="V1077" s="1215">
        <v>0</v>
      </c>
      <c r="W1077" s="1215">
        <v>0</v>
      </c>
      <c r="X1077" s="1215">
        <v>0</v>
      </c>
      <c r="Y1077" s="1215">
        <v>0</v>
      </c>
      <c r="Z1077" s="1215">
        <v>0</v>
      </c>
      <c r="AA1077" s="1215">
        <v>0</v>
      </c>
      <c r="AB1077" s="1215">
        <v>0</v>
      </c>
      <c r="AC1077" s="1215">
        <v>0</v>
      </c>
      <c r="AD1077" s="1221">
        <f>T1077</f>
        <v>0</v>
      </c>
      <c r="AE1077" s="1214">
        <f>W1077</f>
        <v>0</v>
      </c>
      <c r="AF1077" s="1214">
        <f>Z1077</f>
        <v>0</v>
      </c>
      <c r="AG1077" s="1214">
        <f>AC1077</f>
        <v>0</v>
      </c>
      <c r="AH1077" s="1214">
        <f>AE1077</f>
        <v>0</v>
      </c>
      <c r="AI1077" s="1214">
        <f>AG1077</f>
        <v>0</v>
      </c>
      <c r="AJ1077" s="1214">
        <f>AI1077</f>
        <v>0</v>
      </c>
      <c r="AL1077" s="1214">
        <f t="shared" ca="1" si="1520"/>
        <v>0</v>
      </c>
      <c r="AM1077" s="1214">
        <f t="shared" ca="1" si="1521"/>
        <v>0</v>
      </c>
      <c r="AN1077" s="3326">
        <f t="shared" ca="1" si="1522"/>
        <v>0</v>
      </c>
      <c r="AO1077" s="2957">
        <f t="shared" ca="1" si="1523"/>
        <v>0</v>
      </c>
      <c r="AP1077" s="1214">
        <f t="shared" ca="1" si="1524"/>
        <v>0</v>
      </c>
      <c r="AQ1077" s="3326">
        <f t="shared" ca="1" si="1525"/>
        <v>0</v>
      </c>
      <c r="AR1077" s="2957">
        <f t="shared" ca="1" si="1526"/>
        <v>0</v>
      </c>
      <c r="AT1077" s="1214">
        <f t="shared" ca="1" si="1527"/>
        <v>0</v>
      </c>
      <c r="AU1077" s="1214">
        <f t="shared" ca="1" si="1528"/>
        <v>0</v>
      </c>
      <c r="AV1077" s="3326">
        <f t="shared" ca="1" si="1529"/>
        <v>0</v>
      </c>
      <c r="AW1077" s="2957">
        <f t="shared" ca="1" si="1530"/>
        <v>0</v>
      </c>
      <c r="AX1077" s="1214">
        <f t="shared" ca="1" si="1531"/>
        <v>0</v>
      </c>
      <c r="AY1077" s="3326">
        <f t="shared" ca="1" si="1532"/>
        <v>0</v>
      </c>
      <c r="AZ1077" s="2957">
        <f t="shared" ca="1" si="1533"/>
        <v>0</v>
      </c>
      <c r="BB1077" s="1214">
        <f t="shared" ca="1" si="1534"/>
        <v>0</v>
      </c>
      <c r="BC1077" s="1214">
        <f t="shared" ca="1" si="1535"/>
        <v>0</v>
      </c>
      <c r="BD1077" s="3326">
        <f t="shared" ca="1" si="1536"/>
        <v>0</v>
      </c>
      <c r="BE1077" s="2957">
        <f t="shared" ca="1" si="1537"/>
        <v>0</v>
      </c>
      <c r="BF1077" s="1214">
        <f t="shared" ca="1" si="1538"/>
        <v>0</v>
      </c>
      <c r="BG1077" s="3326">
        <f t="shared" ca="1" si="1539"/>
        <v>0</v>
      </c>
      <c r="BH1077" s="2957">
        <f t="shared" ca="1" si="1540"/>
        <v>0</v>
      </c>
    </row>
    <row r="1078" spans="1:60" ht="14.5">
      <c r="A1078" s="616">
        <f t="shared" si="1485"/>
        <v>991</v>
      </c>
      <c r="B1078" s="616">
        <v>1</v>
      </c>
      <c r="C1078" s="616">
        <f t="shared" si="1486"/>
        <v>1075</v>
      </c>
      <c r="D1078" s="709" t="s">
        <v>1308</v>
      </c>
      <c r="E1078" s="2547">
        <v>1</v>
      </c>
      <c r="F1078" s="4"/>
      <c r="G1078" s="4"/>
      <c r="H1078" s="69"/>
      <c r="I1078" s="25"/>
      <c r="J1078" s="2"/>
      <c r="K1078" s="2"/>
      <c r="L1078" s="2"/>
      <c r="M1078" s="2"/>
      <c r="N1078" s="1" t="s">
        <v>1464</v>
      </c>
      <c r="O1078" s="1"/>
      <c r="P1078" s="1"/>
      <c r="Q1078" s="1790" t="str">
        <f>CHOOSE(2, "6722000003997", "BS (4) MS 3rd Party")</f>
        <v>BS (4) MS 3rd Party</v>
      </c>
      <c r="R1078" s="1213">
        <v>0</v>
      </c>
      <c r="S1078" s="1213">
        <v>0</v>
      </c>
      <c r="T1078" s="1213">
        <v>0</v>
      </c>
      <c r="U1078" s="1213">
        <v>0</v>
      </c>
      <c r="V1078" s="1213">
        <v>0</v>
      </c>
      <c r="W1078" s="1213">
        <v>0</v>
      </c>
      <c r="X1078" s="1213">
        <v>0</v>
      </c>
      <c r="Y1078" s="1213">
        <v>0</v>
      </c>
      <c r="Z1078" s="1213">
        <v>0</v>
      </c>
      <c r="AA1078" s="1213">
        <v>0</v>
      </c>
      <c r="AB1078" s="1213">
        <v>0</v>
      </c>
      <c r="AC1078" s="1213">
        <v>0</v>
      </c>
      <c r="AD1078" s="917">
        <f>T1078</f>
        <v>0</v>
      </c>
      <c r="AE1078" s="10">
        <f>W1078</f>
        <v>0</v>
      </c>
      <c r="AF1078" s="10">
        <f>Z1078</f>
        <v>0</v>
      </c>
      <c r="AG1078" s="10">
        <f>AC1078</f>
        <v>0</v>
      </c>
      <c r="AH1078" s="10">
        <f>AE1078</f>
        <v>0</v>
      </c>
      <c r="AI1078" s="10">
        <f>AG1078</f>
        <v>0</v>
      </c>
      <c r="AJ1078" s="10">
        <f>AI1078</f>
        <v>0</v>
      </c>
      <c r="AL1078" s="10">
        <f t="shared" ca="1" si="1520"/>
        <v>0</v>
      </c>
      <c r="AM1078" s="10">
        <f t="shared" ca="1" si="1521"/>
        <v>0</v>
      </c>
      <c r="AN1078" s="3331">
        <f t="shared" ca="1" si="1522"/>
        <v>0</v>
      </c>
      <c r="AO1078" s="2963">
        <f t="shared" ca="1" si="1523"/>
        <v>0</v>
      </c>
      <c r="AP1078" s="10">
        <f t="shared" ca="1" si="1524"/>
        <v>0</v>
      </c>
      <c r="AQ1078" s="3331">
        <f t="shared" ca="1" si="1525"/>
        <v>0</v>
      </c>
      <c r="AR1078" s="2963">
        <f t="shared" ca="1" si="1526"/>
        <v>0</v>
      </c>
      <c r="AT1078" s="10">
        <f t="shared" ca="1" si="1527"/>
        <v>0</v>
      </c>
      <c r="AU1078" s="10">
        <f t="shared" ca="1" si="1528"/>
        <v>0</v>
      </c>
      <c r="AV1078" s="3331">
        <f t="shared" ca="1" si="1529"/>
        <v>0</v>
      </c>
      <c r="AW1078" s="2963">
        <f t="shared" ca="1" si="1530"/>
        <v>0</v>
      </c>
      <c r="AX1078" s="10">
        <f t="shared" ca="1" si="1531"/>
        <v>0</v>
      </c>
      <c r="AY1078" s="3331">
        <f t="shared" ca="1" si="1532"/>
        <v>0</v>
      </c>
      <c r="AZ1078" s="2963">
        <f t="shared" ca="1" si="1533"/>
        <v>0</v>
      </c>
      <c r="BB1078" s="10">
        <f t="shared" ca="1" si="1534"/>
        <v>0</v>
      </c>
      <c r="BC1078" s="10">
        <f t="shared" ca="1" si="1535"/>
        <v>0</v>
      </c>
      <c r="BD1078" s="3331">
        <f t="shared" ca="1" si="1536"/>
        <v>0</v>
      </c>
      <c r="BE1078" s="2963">
        <f t="shared" ca="1" si="1537"/>
        <v>0</v>
      </c>
      <c r="BF1078" s="10">
        <f t="shared" ca="1" si="1538"/>
        <v>0</v>
      </c>
      <c r="BG1078" s="3331">
        <f t="shared" ca="1" si="1539"/>
        <v>0</v>
      </c>
      <c r="BH1078" s="2963">
        <f t="shared" ca="1" si="1540"/>
        <v>0</v>
      </c>
    </row>
    <row r="1079" spans="1:60" ht="14.5">
      <c r="A1079" s="616">
        <f t="shared" si="1485"/>
        <v>992</v>
      </c>
      <c r="B1079" s="616">
        <v>1</v>
      </c>
      <c r="C1079" s="616">
        <f t="shared" si="1486"/>
        <v>1076</v>
      </c>
      <c r="D1079" s="709" t="s">
        <v>1308</v>
      </c>
      <c r="E1079" s="2544">
        <v>1</v>
      </c>
      <c r="F1079" s="8"/>
      <c r="G1079" s="4"/>
      <c r="H1079" s="69"/>
      <c r="I1079" s="3167" t="s">
        <v>1427</v>
      </c>
      <c r="J1079" s="471"/>
      <c r="K1079" s="471"/>
      <c r="L1079" s="471"/>
      <c r="M1079" s="471"/>
      <c r="N1079" s="471"/>
      <c r="O1079" s="471"/>
      <c r="P1079" s="471"/>
      <c r="Q1079" s="1801" t="str">
        <f>CHOOSE(2, "6722000003998", "BS (5) DW-DX")</f>
        <v>BS (5) DW-DX</v>
      </c>
      <c r="R1079" s="1273">
        <f>SUM(R1080:R1081)</f>
        <v>860</v>
      </c>
      <c r="S1079" s="1273">
        <f t="shared" ref="S1079:AJ1079" si="1548">SUM(S1080:S1081)</f>
        <v>925.78918099027669</v>
      </c>
      <c r="T1079" s="1273">
        <f t="shared" si="1548"/>
        <v>784</v>
      </c>
      <c r="U1079" s="1273">
        <f t="shared" si="1548"/>
        <v>2441</v>
      </c>
      <c r="V1079" s="1273">
        <f t="shared" si="1548"/>
        <v>2286</v>
      </c>
      <c r="W1079" s="1273">
        <f t="shared" si="1548"/>
        <v>2400</v>
      </c>
      <c r="X1079" s="1273">
        <f t="shared" si="1548"/>
        <v>2615</v>
      </c>
      <c r="Y1079" s="1273">
        <f t="shared" si="1548"/>
        <v>1500</v>
      </c>
      <c r="Z1079" s="1273">
        <f t="shared" si="1548"/>
        <v>831</v>
      </c>
      <c r="AA1079" s="1273">
        <f t="shared" si="1548"/>
        <v>1585.5015877848073</v>
      </c>
      <c r="AB1079" s="1273">
        <f t="shared" si="1548"/>
        <v>1832.9475039275867</v>
      </c>
      <c r="AC1079" s="1273">
        <f t="shared" si="1548"/>
        <v>1405.1897568888669</v>
      </c>
      <c r="AD1079" s="3332">
        <f t="shared" si="1548"/>
        <v>784</v>
      </c>
      <c r="AE1079" s="1273">
        <f t="shared" si="1548"/>
        <v>2400</v>
      </c>
      <c r="AF1079" s="1273">
        <f t="shared" si="1548"/>
        <v>831</v>
      </c>
      <c r="AG1079" s="1273">
        <f t="shared" si="1548"/>
        <v>1405.1897568888669</v>
      </c>
      <c r="AH1079" s="1273">
        <f t="shared" si="1548"/>
        <v>2400</v>
      </c>
      <c r="AI1079" s="1273">
        <f t="shared" si="1548"/>
        <v>1405.1897568888669</v>
      </c>
      <c r="AJ1079" s="1273">
        <f t="shared" si="1548"/>
        <v>1405.1897568888669</v>
      </c>
      <c r="AL1079" s="1273">
        <f t="shared" ca="1" si="1520"/>
        <v>1405.1897568888669</v>
      </c>
      <c r="AM1079" s="1273">
        <f t="shared" ca="1" si="1521"/>
        <v>0</v>
      </c>
      <c r="AN1079" s="3333">
        <f t="shared" ca="1" si="1522"/>
        <v>1405.1897568888669</v>
      </c>
      <c r="AO1079" s="2965">
        <f t="shared" ca="1" si="1523"/>
        <v>0</v>
      </c>
      <c r="AP1079" s="1273">
        <f t="shared" ca="1" si="1524"/>
        <v>0</v>
      </c>
      <c r="AQ1079" s="3333">
        <f t="shared" ca="1" si="1525"/>
        <v>1405.1897568888669</v>
      </c>
      <c r="AR1079" s="2965">
        <f t="shared" ca="1" si="1526"/>
        <v>0</v>
      </c>
      <c r="AT1079" s="1273">
        <f t="shared" ca="1" si="1527"/>
        <v>1405.1897568888669</v>
      </c>
      <c r="AU1079" s="1273">
        <f t="shared" ca="1" si="1528"/>
        <v>0</v>
      </c>
      <c r="AV1079" s="3333">
        <f t="shared" ca="1" si="1529"/>
        <v>1405.1897568888669</v>
      </c>
      <c r="AW1079" s="2965">
        <f t="shared" ca="1" si="1530"/>
        <v>0</v>
      </c>
      <c r="AX1079" s="1273">
        <f t="shared" ca="1" si="1531"/>
        <v>0</v>
      </c>
      <c r="AY1079" s="3333">
        <f t="shared" ca="1" si="1532"/>
        <v>1405.1897568888669</v>
      </c>
      <c r="AZ1079" s="2965">
        <f t="shared" ca="1" si="1533"/>
        <v>0</v>
      </c>
      <c r="BB1079" s="1273">
        <f t="shared" ca="1" si="1534"/>
        <v>1405.1897568888669</v>
      </c>
      <c r="BC1079" s="1273">
        <f t="shared" ca="1" si="1535"/>
        <v>0</v>
      </c>
      <c r="BD1079" s="3333">
        <f t="shared" ca="1" si="1536"/>
        <v>1405.1897568888669</v>
      </c>
      <c r="BE1079" s="2965">
        <f t="shared" ca="1" si="1537"/>
        <v>0</v>
      </c>
      <c r="BF1079" s="1273">
        <f t="shared" ca="1" si="1538"/>
        <v>0</v>
      </c>
      <c r="BG1079" s="3333">
        <f t="shared" ca="1" si="1539"/>
        <v>1405.1897568888669</v>
      </c>
      <c r="BH1079" s="2965">
        <f t="shared" ca="1" si="1540"/>
        <v>0</v>
      </c>
    </row>
    <row r="1080" spans="1:60" ht="14.5">
      <c r="A1080" s="616">
        <f t="shared" si="1485"/>
        <v>993</v>
      </c>
      <c r="B1080" s="616">
        <v>1</v>
      </c>
      <c r="C1080" s="616">
        <f t="shared" si="1486"/>
        <v>1077</v>
      </c>
      <c r="D1080" s="709" t="s">
        <v>1308</v>
      </c>
      <c r="E1080" s="2547">
        <v>1</v>
      </c>
      <c r="F1080" s="4"/>
      <c r="G1080" s="4"/>
      <c r="H1080" s="69"/>
      <c r="I1080" s="29"/>
      <c r="J1080" s="4"/>
      <c r="K1080" s="4"/>
      <c r="L1080" s="4"/>
      <c r="M1080" s="4"/>
      <c r="N1080" s="3" t="s">
        <v>1526</v>
      </c>
      <c r="O1080" s="3"/>
      <c r="P1080" s="3"/>
      <c r="Q1080" s="1790" t="str">
        <f>CHOOSE(2, "6722000003999", "BS (5) DW-DX Purchased from BT cons. companies")</f>
        <v>BS (5) DW-DX Purchased from BT cons. companies</v>
      </c>
      <c r="R1080" s="1215">
        <v>238</v>
      </c>
      <c r="S1080" s="1215">
        <v>250.02392099027634</v>
      </c>
      <c r="T1080" s="1215">
        <v>221</v>
      </c>
      <c r="U1080" s="1215">
        <v>269</v>
      </c>
      <c r="V1080" s="1215">
        <v>230</v>
      </c>
      <c r="W1080" s="1215">
        <v>239</v>
      </c>
      <c r="X1080" s="1215">
        <v>219</v>
      </c>
      <c r="Y1080" s="1215">
        <v>259</v>
      </c>
      <c r="Z1080" s="1215">
        <v>261</v>
      </c>
      <c r="AA1080" s="1215">
        <v>256.1728077848062</v>
      </c>
      <c r="AB1080" s="1215">
        <v>264.88892392758595</v>
      </c>
      <c r="AC1080" s="1215">
        <v>358.07444688886579</v>
      </c>
      <c r="AD1080" s="1221">
        <f>T1080</f>
        <v>221</v>
      </c>
      <c r="AE1080" s="1214">
        <f>W1080</f>
        <v>239</v>
      </c>
      <c r="AF1080" s="1214">
        <f>Z1080</f>
        <v>261</v>
      </c>
      <c r="AG1080" s="1214">
        <f>AC1080</f>
        <v>358.07444688886579</v>
      </c>
      <c r="AH1080" s="1214">
        <f>AE1080</f>
        <v>239</v>
      </c>
      <c r="AI1080" s="1214">
        <f>AG1080</f>
        <v>358.07444688886579</v>
      </c>
      <c r="AJ1080" s="1214">
        <f>AI1080</f>
        <v>358.07444688886579</v>
      </c>
      <c r="AL1080" s="1214">
        <f t="shared" ca="1" si="1520"/>
        <v>358.07444688886579</v>
      </c>
      <c r="AM1080" s="1214">
        <f t="shared" ca="1" si="1521"/>
        <v>0</v>
      </c>
      <c r="AN1080" s="3326">
        <f t="shared" ca="1" si="1522"/>
        <v>358.07444688886579</v>
      </c>
      <c r="AO1080" s="2957">
        <f t="shared" ca="1" si="1523"/>
        <v>0</v>
      </c>
      <c r="AP1080" s="1214">
        <f t="shared" ca="1" si="1524"/>
        <v>0</v>
      </c>
      <c r="AQ1080" s="3326">
        <f t="shared" ca="1" si="1525"/>
        <v>358.07444688886579</v>
      </c>
      <c r="AR1080" s="2957">
        <f t="shared" ca="1" si="1526"/>
        <v>0</v>
      </c>
      <c r="AT1080" s="1214">
        <f t="shared" ca="1" si="1527"/>
        <v>358.07444688886579</v>
      </c>
      <c r="AU1080" s="1214">
        <f t="shared" ca="1" si="1528"/>
        <v>0</v>
      </c>
      <c r="AV1080" s="3326">
        <f t="shared" ca="1" si="1529"/>
        <v>358.07444688886579</v>
      </c>
      <c r="AW1080" s="2957">
        <f t="shared" ca="1" si="1530"/>
        <v>0</v>
      </c>
      <c r="AX1080" s="1214">
        <f t="shared" ca="1" si="1531"/>
        <v>0</v>
      </c>
      <c r="AY1080" s="3326">
        <f t="shared" ca="1" si="1532"/>
        <v>358.07444688886579</v>
      </c>
      <c r="AZ1080" s="2957">
        <f t="shared" ca="1" si="1533"/>
        <v>0</v>
      </c>
      <c r="BB1080" s="1214">
        <f t="shared" ca="1" si="1534"/>
        <v>358.07444688886579</v>
      </c>
      <c r="BC1080" s="1214">
        <f t="shared" ca="1" si="1535"/>
        <v>0</v>
      </c>
      <c r="BD1080" s="3326">
        <f t="shared" ca="1" si="1536"/>
        <v>358.07444688886579</v>
      </c>
      <c r="BE1080" s="2957">
        <f t="shared" ca="1" si="1537"/>
        <v>0</v>
      </c>
      <c r="BF1080" s="1214">
        <f t="shared" ca="1" si="1538"/>
        <v>0</v>
      </c>
      <c r="BG1080" s="3326">
        <f t="shared" ca="1" si="1539"/>
        <v>358.07444688886579</v>
      </c>
      <c r="BH1080" s="2957">
        <f t="shared" ca="1" si="1540"/>
        <v>0</v>
      </c>
    </row>
    <row r="1081" spans="1:60" ht="14.5">
      <c r="A1081" s="616">
        <f t="shared" si="1485"/>
        <v>994</v>
      </c>
      <c r="B1081" s="616">
        <v>1</v>
      </c>
      <c r="C1081" s="616">
        <f t="shared" si="1486"/>
        <v>1078</v>
      </c>
      <c r="D1081" s="709" t="s">
        <v>1308</v>
      </c>
      <c r="E1081" s="2547">
        <v>1</v>
      </c>
      <c r="F1081" s="4"/>
      <c r="G1081" s="4"/>
      <c r="H1081" s="69"/>
      <c r="I1081" s="366"/>
      <c r="J1081" s="2"/>
      <c r="K1081" s="2"/>
      <c r="L1081" s="2"/>
      <c r="M1081" s="2"/>
      <c r="N1081" s="1" t="s">
        <v>1464</v>
      </c>
      <c r="O1081" s="1"/>
      <c r="P1081" s="1"/>
      <c r="Q1081" s="1790" t="str">
        <f>CHOOSE(2, "6722000004000", "BS (5) DW-DX 3rd Party")</f>
        <v>BS (5) DW-DX 3rd Party</v>
      </c>
      <c r="R1081" s="1213">
        <v>622</v>
      </c>
      <c r="S1081" s="1213">
        <v>675.76526000000035</v>
      </c>
      <c r="T1081" s="1213">
        <v>563</v>
      </c>
      <c r="U1081" s="1213">
        <v>2172</v>
      </c>
      <c r="V1081" s="1213">
        <v>2056</v>
      </c>
      <c r="W1081" s="1213">
        <v>2161</v>
      </c>
      <c r="X1081" s="1213">
        <v>2396</v>
      </c>
      <c r="Y1081" s="1213">
        <v>1241</v>
      </c>
      <c r="Z1081" s="1213">
        <v>570</v>
      </c>
      <c r="AA1081" s="1213">
        <v>1329.328780000001</v>
      </c>
      <c r="AB1081" s="1213">
        <v>1568.0585800000008</v>
      </c>
      <c r="AC1081" s="1213">
        <v>1047.115310000001</v>
      </c>
      <c r="AD1081" s="917">
        <f>T1081</f>
        <v>563</v>
      </c>
      <c r="AE1081" s="10">
        <f>W1081</f>
        <v>2161</v>
      </c>
      <c r="AF1081" s="10">
        <f>Z1081</f>
        <v>570</v>
      </c>
      <c r="AG1081" s="10">
        <f>AC1081</f>
        <v>1047.115310000001</v>
      </c>
      <c r="AH1081" s="10">
        <f>AE1081</f>
        <v>2161</v>
      </c>
      <c r="AI1081" s="10">
        <f>AG1081</f>
        <v>1047.115310000001</v>
      </c>
      <c r="AJ1081" s="10">
        <f>AI1081</f>
        <v>1047.115310000001</v>
      </c>
      <c r="AL1081" s="10">
        <f t="shared" ca="1" si="1520"/>
        <v>1047.115310000001</v>
      </c>
      <c r="AM1081" s="10">
        <f t="shared" ca="1" si="1521"/>
        <v>45139</v>
      </c>
      <c r="AN1081" s="3331">
        <f t="shared" ca="1" si="1522"/>
        <v>-44091.884689999999</v>
      </c>
      <c r="AO1081" s="2963">
        <f t="shared" ca="1" si="1523"/>
        <v>2.3197574381355394E-2</v>
      </c>
      <c r="AP1081" s="10">
        <f t="shared" ca="1" si="1524"/>
        <v>0</v>
      </c>
      <c r="AQ1081" s="3331">
        <f t="shared" ca="1" si="1525"/>
        <v>1047.115310000001</v>
      </c>
      <c r="AR1081" s="2963">
        <f t="shared" ca="1" si="1526"/>
        <v>0</v>
      </c>
      <c r="AT1081" s="10">
        <f t="shared" ca="1" si="1527"/>
        <v>1047.115310000001</v>
      </c>
      <c r="AU1081" s="10">
        <f t="shared" ca="1" si="1528"/>
        <v>45139</v>
      </c>
      <c r="AV1081" s="3331">
        <f t="shared" ca="1" si="1529"/>
        <v>-44091.884689999999</v>
      </c>
      <c r="AW1081" s="2963">
        <f t="shared" ca="1" si="1530"/>
        <v>2.3197574381355394E-2</v>
      </c>
      <c r="AX1081" s="10">
        <f t="shared" ca="1" si="1531"/>
        <v>0</v>
      </c>
      <c r="AY1081" s="3331">
        <f t="shared" ca="1" si="1532"/>
        <v>1047.115310000001</v>
      </c>
      <c r="AZ1081" s="2963">
        <f t="shared" ca="1" si="1533"/>
        <v>0</v>
      </c>
      <c r="BB1081" s="10">
        <f t="shared" ca="1" si="1534"/>
        <v>1047.115310000001</v>
      </c>
      <c r="BC1081" s="10">
        <f t="shared" ca="1" si="1535"/>
        <v>45139</v>
      </c>
      <c r="BD1081" s="3331">
        <f t="shared" ca="1" si="1536"/>
        <v>-44091.884689999999</v>
      </c>
      <c r="BE1081" s="2963">
        <f t="shared" ca="1" si="1537"/>
        <v>2.3197574381355394E-2</v>
      </c>
      <c r="BF1081" s="10">
        <f t="shared" ca="1" si="1538"/>
        <v>0</v>
      </c>
      <c r="BG1081" s="3331">
        <f t="shared" ca="1" si="1539"/>
        <v>1047.115310000001</v>
      </c>
      <c r="BH1081" s="2963">
        <f t="shared" ca="1" si="1540"/>
        <v>0</v>
      </c>
    </row>
    <row r="1082" spans="1:60" ht="14.5">
      <c r="A1082" s="616">
        <f t="shared" si="1485"/>
        <v>995</v>
      </c>
      <c r="C1082" s="616">
        <f t="shared" si="1486"/>
        <v>1079</v>
      </c>
      <c r="E1082" s="2547">
        <v>1</v>
      </c>
      <c r="H1082" s="4"/>
      <c r="I1082" s="4"/>
      <c r="J1082" s="3"/>
      <c r="K1082" s="3"/>
      <c r="L1082" s="3"/>
      <c r="M1082" s="3"/>
      <c r="N1082" s="3"/>
      <c r="O1082" s="3"/>
      <c r="P1082" s="3"/>
      <c r="Q1082" s="1773" t="str">
        <f>CHOOSE(2, "6722000004001", "▷ Blank 34")</f>
        <v>▷ Blank 34</v>
      </c>
      <c r="R1082" s="2562"/>
      <c r="S1082" s="2563"/>
      <c r="T1082" s="2563"/>
      <c r="U1082" s="2563"/>
      <c r="V1082" s="2563"/>
      <c r="W1082" s="2563"/>
    </row>
    <row r="1083" spans="1:60" ht="15.5">
      <c r="A1083" s="616">
        <f t="shared" si="1485"/>
        <v>996</v>
      </c>
      <c r="B1083" s="616">
        <v>1</v>
      </c>
      <c r="C1083" s="616">
        <f t="shared" si="1486"/>
        <v>1080</v>
      </c>
      <c r="E1083" s="2544">
        <v>1</v>
      </c>
      <c r="F1083" s="8"/>
      <c r="G1083" s="243" t="s">
        <v>550</v>
      </c>
      <c r="H1083" s="4"/>
      <c r="I1083" s="4"/>
      <c r="J1083" s="3"/>
      <c r="K1083" s="3"/>
      <c r="L1083" s="3"/>
      <c r="M1083" s="3"/>
      <c r="N1083" s="3"/>
      <c r="O1083" s="3"/>
      <c r="P1083" s="3"/>
      <c r="Q1083" s="1773" t="str">
        <f>CHOOSE(2, "6722000004002", "4-2. IP Inventories by product")</f>
        <v>4-2. IP Inventories by product</v>
      </c>
      <c r="R1083" s="2562"/>
      <c r="S1083" s="2563"/>
      <c r="T1083" s="2563"/>
      <c r="U1083" s="2563"/>
      <c r="V1083" s="2563"/>
      <c r="W1083" s="2563"/>
    </row>
    <row r="1084" spans="1:60" ht="14.5">
      <c r="A1084" s="616">
        <f t="shared" si="1485"/>
        <v>997</v>
      </c>
      <c r="B1084" s="616">
        <v>1</v>
      </c>
      <c r="C1084" s="616">
        <f t="shared" si="1486"/>
        <v>1081</v>
      </c>
      <c r="E1084" s="2544">
        <v>1</v>
      </c>
      <c r="F1084" s="8"/>
      <c r="H1084" s="4"/>
      <c r="I1084" s="3155" t="s">
        <v>1399</v>
      </c>
      <c r="J1084" s="581"/>
      <c r="K1084" s="581"/>
      <c r="L1084" s="581"/>
      <c r="M1084" s="581"/>
      <c r="N1084" s="489"/>
      <c r="O1084" s="489"/>
      <c r="P1084" s="489"/>
      <c r="Q1084" s="1807" t="str">
        <f>CHOOSE(2, "6722000003888", "(3) IP")</f>
        <v>(3) IP</v>
      </c>
      <c r="R1084" s="1357">
        <f>R1085+R1090</f>
        <v>38764</v>
      </c>
      <c r="S1084" s="1357">
        <f t="shared" ref="S1084:AJ1084" si="1549">S1085+S1090</f>
        <v>58038</v>
      </c>
      <c r="T1084" s="1357">
        <f t="shared" si="1549"/>
        <v>62141.852210000026</v>
      </c>
      <c r="U1084" s="1357">
        <f t="shared" si="1549"/>
        <v>70620</v>
      </c>
      <c r="V1084" s="1357">
        <f t="shared" si="1549"/>
        <v>62910</v>
      </c>
      <c r="W1084" s="1357">
        <f t="shared" si="1549"/>
        <v>64868</v>
      </c>
      <c r="X1084" s="1358">
        <f t="shared" si="1549"/>
        <v>73506.573739999993</v>
      </c>
      <c r="Y1084" s="1358">
        <f t="shared" si="1549"/>
        <v>67043</v>
      </c>
      <c r="Z1084" s="1358">
        <f t="shared" si="1549"/>
        <v>70024.150780000011</v>
      </c>
      <c r="AA1084" s="1358">
        <f t="shared" si="1549"/>
        <v>73665.861800000013</v>
      </c>
      <c r="AB1084" s="1358">
        <f t="shared" si="1549"/>
        <v>139148.15546332579</v>
      </c>
      <c r="AC1084" s="1358">
        <f t="shared" si="1549"/>
        <v>105994.45755000002</v>
      </c>
      <c r="AD1084" s="3334">
        <f t="shared" si="1549"/>
        <v>62141.852210000026</v>
      </c>
      <c r="AE1084" s="1358">
        <f t="shared" si="1549"/>
        <v>64868</v>
      </c>
      <c r="AF1084" s="1358">
        <f t="shared" si="1549"/>
        <v>70024.150780000011</v>
      </c>
      <c r="AG1084" s="1358">
        <f t="shared" si="1549"/>
        <v>105994.45755000002</v>
      </c>
      <c r="AH1084" s="1358">
        <f t="shared" si="1549"/>
        <v>64868</v>
      </c>
      <c r="AI1084" s="1358">
        <f t="shared" si="1549"/>
        <v>105994.45755000002</v>
      </c>
      <c r="AJ1084" s="1358">
        <f t="shared" si="1549"/>
        <v>105994.45755000002</v>
      </c>
      <c r="AL1084" s="1269">
        <f t="shared" ref="AL1084:AL1093" ca="1" si="1550">INDIRECT(AL$3&amp;(ROW()))</f>
        <v>105994.45755000002</v>
      </c>
      <c r="AM1084" s="1269">
        <f t="shared" ref="AM1084:AM1093" ca="1" si="1551">INDIRECT(AM$1&amp;AM$3&amp;$C1084)</f>
        <v>21407</v>
      </c>
      <c r="AN1084" s="3266">
        <f t="shared" ref="AN1084:AN1093" ca="1" si="1552">AL1084-AM1084</f>
        <v>84587.457550000021</v>
      </c>
      <c r="AO1084" s="2919">
        <f t="shared" ref="AO1084:AO1093" ca="1" si="1553">IFERROR(AL1084/AM1084,0)</f>
        <v>4.9513924207035096</v>
      </c>
      <c r="AP1084" s="1269">
        <f t="shared" ref="AP1084:AP1093" ca="1" si="1554">INDIRECT(AP$1&amp;AP$3&amp;$A1084)+INDIRECT(AP$1&amp;AP$3&amp;$B1084)</f>
        <v>0</v>
      </c>
      <c r="AQ1084" s="3266">
        <f t="shared" ref="AQ1084:AQ1093" ca="1" si="1555">AL1084-AP1084</f>
        <v>105994.45755000002</v>
      </c>
      <c r="AR1084" s="2919">
        <f t="shared" ref="AR1084:AR1093" ca="1" si="1556">IFERROR(AL1084/AP1084,0)</f>
        <v>0</v>
      </c>
      <c r="AT1084" s="1269">
        <f t="shared" ref="AT1084:AT1093" ca="1" si="1557">INDIRECT(AT$3&amp;(ROW()))</f>
        <v>105994.45755000002</v>
      </c>
      <c r="AU1084" s="1269">
        <f t="shared" ref="AU1084:AU1093" ca="1" si="1558">INDIRECT(AU$1&amp;AU$3&amp;$C1084)</f>
        <v>21407</v>
      </c>
      <c r="AV1084" s="3266">
        <f t="shared" ref="AV1084:AV1093" ca="1" si="1559">AT1084-AU1084</f>
        <v>84587.457550000021</v>
      </c>
      <c r="AW1084" s="2919">
        <f t="shared" ref="AW1084:AW1093" ca="1" si="1560">IFERROR(AT1084/AU1084,0)</f>
        <v>4.9513924207035096</v>
      </c>
      <c r="AX1084" s="1269">
        <f t="shared" ref="AX1084:AX1093" ca="1" si="1561">INDIRECT(AX$1&amp;AX$3&amp;$A1084)+INDIRECT(AX$1&amp;AX$3&amp;$B1084)</f>
        <v>0</v>
      </c>
      <c r="AY1084" s="3266">
        <f t="shared" ref="AY1084:AY1093" ca="1" si="1562">AT1084-AX1084</f>
        <v>105994.45755000002</v>
      </c>
      <c r="AZ1084" s="2919">
        <f t="shared" ref="AZ1084:AZ1093" ca="1" si="1563">IFERROR(AT1084/AX1084,0)</f>
        <v>0</v>
      </c>
      <c r="BB1084" s="1269">
        <f t="shared" ref="BB1084:BB1093" ca="1" si="1564">INDIRECT(BB$3&amp;(ROW()))</f>
        <v>105994.45755000002</v>
      </c>
      <c r="BC1084" s="1269">
        <f t="shared" ref="BC1084:BC1093" ca="1" si="1565">INDIRECT(BC$1&amp;BC$3&amp;$C1084)</f>
        <v>21407</v>
      </c>
      <c r="BD1084" s="3266">
        <f t="shared" ref="BD1084:BD1093" ca="1" si="1566">BB1084-BC1084</f>
        <v>84587.457550000021</v>
      </c>
      <c r="BE1084" s="2919">
        <f t="shared" ref="BE1084:BE1093" ca="1" si="1567">IFERROR(BB1084/BC1084,0)</f>
        <v>4.9513924207035096</v>
      </c>
      <c r="BF1084" s="1269">
        <f t="shared" ref="BF1084:BF1093" ca="1" si="1568">INDIRECT(BF$1&amp;BF$3&amp;$A1084)+INDIRECT(BF$1&amp;BF$3&amp;$B1084)</f>
        <v>0</v>
      </c>
      <c r="BG1084" s="3266">
        <f t="shared" ref="BG1084:BG1093" ca="1" si="1569">BB1084-BF1084</f>
        <v>105994.45755000002</v>
      </c>
      <c r="BH1084" s="2919">
        <f t="shared" ref="BH1084:BH1093" ca="1" si="1570">IFERROR(BB1084/BF1084,0)</f>
        <v>0</v>
      </c>
    </row>
    <row r="1085" spans="1:60" ht="14.5">
      <c r="A1085" s="616">
        <f t="shared" si="1485"/>
        <v>998</v>
      </c>
      <c r="B1085" s="616">
        <v>1</v>
      </c>
      <c r="C1085" s="616">
        <f t="shared" si="1486"/>
        <v>1082</v>
      </c>
      <c r="E1085" s="2544">
        <v>1</v>
      </c>
      <c r="F1085" s="8"/>
      <c r="H1085" s="4"/>
      <c r="I1085" s="27"/>
      <c r="J1085" s="3"/>
      <c r="K1085" s="3"/>
      <c r="L1085" s="3"/>
      <c r="M1085" s="3"/>
      <c r="N1085" s="3" t="s">
        <v>1527</v>
      </c>
      <c r="O1085" s="47"/>
      <c r="P1085" s="47"/>
      <c r="Q1085" s="1786" t="str">
        <f>CHOOSE(2, "6722000004003", "(3) IP from BT")</f>
        <v>(3) IP from BT</v>
      </c>
      <c r="R1085" s="45">
        <f>R1073+R1074</f>
        <v>31343</v>
      </c>
      <c r="S1085" s="45">
        <f t="shared" ref="S1085:AJ1085" si="1571">S1073+S1074</f>
        <v>48043</v>
      </c>
      <c r="T1085" s="45">
        <f t="shared" si="1571"/>
        <v>54764</v>
      </c>
      <c r="U1085" s="45">
        <f t="shared" si="1571"/>
        <v>63277</v>
      </c>
      <c r="V1085" s="45">
        <f t="shared" si="1571"/>
        <v>55605</v>
      </c>
      <c r="W1085" s="45">
        <f t="shared" si="1571"/>
        <v>62801</v>
      </c>
      <c r="X1085" s="45">
        <f t="shared" si="1571"/>
        <v>66000.577610000008</v>
      </c>
      <c r="Y1085" s="45">
        <f t="shared" si="1571"/>
        <v>59224</v>
      </c>
      <c r="Z1085" s="45">
        <f t="shared" si="1571"/>
        <v>61966.521679999998</v>
      </c>
      <c r="AA1085" s="45">
        <f t="shared" si="1571"/>
        <v>67671.294670000003</v>
      </c>
      <c r="AB1085" s="45">
        <f t="shared" si="1571"/>
        <v>132788.50914332576</v>
      </c>
      <c r="AC1085" s="45">
        <f t="shared" si="1571"/>
        <v>95164.121199999994</v>
      </c>
      <c r="AD1085" s="911">
        <f t="shared" si="1571"/>
        <v>54764</v>
      </c>
      <c r="AE1085" s="45">
        <f t="shared" si="1571"/>
        <v>62801</v>
      </c>
      <c r="AF1085" s="45">
        <f t="shared" si="1571"/>
        <v>61966.521679999998</v>
      </c>
      <c r="AG1085" s="45">
        <f t="shared" si="1571"/>
        <v>95164.121199999994</v>
      </c>
      <c r="AH1085" s="45">
        <f t="shared" si="1571"/>
        <v>62801</v>
      </c>
      <c r="AI1085" s="45">
        <f t="shared" si="1571"/>
        <v>95164.121199999994</v>
      </c>
      <c r="AJ1085" s="45">
        <f t="shared" si="1571"/>
        <v>95164.121199999994</v>
      </c>
      <c r="AL1085" s="1255">
        <f t="shared" ca="1" si="1550"/>
        <v>95164.121199999994</v>
      </c>
      <c r="AM1085" s="1255">
        <f t="shared" ca="1" si="1551"/>
        <v>86861</v>
      </c>
      <c r="AN1085" s="3335">
        <f t="shared" ca="1" si="1552"/>
        <v>8303.1211999999941</v>
      </c>
      <c r="AO1085" s="2967">
        <f t="shared" ca="1" si="1553"/>
        <v>1.0955909004040938</v>
      </c>
      <c r="AP1085" s="1255">
        <f t="shared" ca="1" si="1554"/>
        <v>0</v>
      </c>
      <c r="AQ1085" s="3335">
        <f t="shared" ca="1" si="1555"/>
        <v>95164.121199999994</v>
      </c>
      <c r="AR1085" s="2967">
        <f t="shared" ca="1" si="1556"/>
        <v>0</v>
      </c>
      <c r="AS1085" s="69"/>
      <c r="AT1085" s="1255">
        <f t="shared" ca="1" si="1557"/>
        <v>95164.121199999994</v>
      </c>
      <c r="AU1085" s="1255">
        <f t="shared" ca="1" si="1558"/>
        <v>86861</v>
      </c>
      <c r="AV1085" s="3335">
        <f t="shared" ca="1" si="1559"/>
        <v>8303.1211999999941</v>
      </c>
      <c r="AW1085" s="2967">
        <f t="shared" ca="1" si="1560"/>
        <v>1.0955909004040938</v>
      </c>
      <c r="AX1085" s="1255">
        <f t="shared" ca="1" si="1561"/>
        <v>0</v>
      </c>
      <c r="AY1085" s="3335">
        <f t="shared" ca="1" si="1562"/>
        <v>95164.121199999994</v>
      </c>
      <c r="AZ1085" s="2967">
        <f t="shared" ca="1" si="1563"/>
        <v>0</v>
      </c>
      <c r="BA1085" s="69"/>
      <c r="BB1085" s="1255">
        <f t="shared" ca="1" si="1564"/>
        <v>95164.121199999994</v>
      </c>
      <c r="BC1085" s="1255">
        <f t="shared" ca="1" si="1565"/>
        <v>86861</v>
      </c>
      <c r="BD1085" s="3335">
        <f t="shared" ca="1" si="1566"/>
        <v>8303.1211999999941</v>
      </c>
      <c r="BE1085" s="2967">
        <f t="shared" ca="1" si="1567"/>
        <v>1.0955909004040938</v>
      </c>
      <c r="BF1085" s="1255">
        <f t="shared" ca="1" si="1568"/>
        <v>0</v>
      </c>
      <c r="BG1085" s="3335">
        <f t="shared" ca="1" si="1569"/>
        <v>95164.121199999994</v>
      </c>
      <c r="BH1085" s="2967">
        <f t="shared" ca="1" si="1570"/>
        <v>0</v>
      </c>
    </row>
    <row r="1086" spans="1:60" ht="14.5">
      <c r="A1086" s="616">
        <f t="shared" si="1485"/>
        <v>999</v>
      </c>
      <c r="B1086" s="616">
        <v>1</v>
      </c>
      <c r="C1086" s="616">
        <f t="shared" si="1486"/>
        <v>1083</v>
      </c>
      <c r="E1086" s="2544">
        <v>1</v>
      </c>
      <c r="F1086" s="8"/>
      <c r="H1086" s="4"/>
      <c r="I1086" s="27"/>
      <c r="J1086" s="3"/>
      <c r="K1086" s="3"/>
      <c r="L1086" s="3"/>
      <c r="M1086" s="3"/>
      <c r="N1086" s="3"/>
      <c r="O1086" s="740" t="s">
        <v>1489</v>
      </c>
      <c r="P1086" s="3"/>
      <c r="Q1086" s="1787" t="str">
        <f>CHOOSE(2, "6722000004004", "(3) IP from BT KM-1/KM-1e")</f>
        <v>(3) IP from BT KM-1/KM-1e</v>
      </c>
      <c r="R1086" s="1350">
        <v>0</v>
      </c>
      <c r="S1086" s="1350">
        <v>0</v>
      </c>
      <c r="T1086" s="1350">
        <v>0</v>
      </c>
      <c r="U1086" s="1350">
        <v>0</v>
      </c>
      <c r="V1086" s="1350">
        <v>0</v>
      </c>
      <c r="W1086" s="1350">
        <v>0</v>
      </c>
      <c r="X1086" s="1281">
        <v>0</v>
      </c>
      <c r="Y1086" s="1281">
        <v>0</v>
      </c>
      <c r="Z1086" s="1281">
        <v>0</v>
      </c>
      <c r="AA1086" s="1281">
        <v>0</v>
      </c>
      <c r="AB1086" s="1281">
        <v>0</v>
      </c>
      <c r="AC1086" s="1281">
        <v>0</v>
      </c>
      <c r="AD1086" s="88">
        <f t="shared" ref="AD1086:AD1089" si="1572">T1086</f>
        <v>0</v>
      </c>
      <c r="AE1086" s="17">
        <f t="shared" ref="AE1086:AE1089" si="1573">W1086</f>
        <v>0</v>
      </c>
      <c r="AF1086" s="17">
        <f t="shared" ref="AF1086:AF1089" si="1574">Z1086</f>
        <v>0</v>
      </c>
      <c r="AG1086" s="17">
        <f t="shared" ref="AG1086:AG1089" si="1575">AC1086</f>
        <v>0</v>
      </c>
      <c r="AH1086" s="17">
        <f t="shared" ref="AH1086:AH1089" si="1576">AE1086</f>
        <v>0</v>
      </c>
      <c r="AI1086" s="17">
        <f t="shared" ref="AI1086:AI1089" si="1577">AG1086</f>
        <v>0</v>
      </c>
      <c r="AJ1086" s="17">
        <f t="shared" ref="AJ1086:AJ1089" si="1578">AI1086</f>
        <v>0</v>
      </c>
      <c r="AL1086" s="1289">
        <f t="shared" ca="1" si="1550"/>
        <v>0</v>
      </c>
      <c r="AM1086" s="1289">
        <f t="shared" ca="1" si="1551"/>
        <v>504436</v>
      </c>
      <c r="AN1086" s="3336">
        <f t="shared" ca="1" si="1552"/>
        <v>-504436</v>
      </c>
      <c r="AO1086" s="2969">
        <f t="shared" ca="1" si="1553"/>
        <v>0</v>
      </c>
      <c r="AP1086" s="1289">
        <f t="shared" ca="1" si="1554"/>
        <v>0</v>
      </c>
      <c r="AQ1086" s="3336">
        <f t="shared" ca="1" si="1555"/>
        <v>0</v>
      </c>
      <c r="AR1086" s="2969">
        <f t="shared" ca="1" si="1556"/>
        <v>0</v>
      </c>
      <c r="AS1086" s="69"/>
      <c r="AT1086" s="1289">
        <f t="shared" ca="1" si="1557"/>
        <v>0</v>
      </c>
      <c r="AU1086" s="1289">
        <f t="shared" ca="1" si="1558"/>
        <v>504436</v>
      </c>
      <c r="AV1086" s="3336">
        <f t="shared" ca="1" si="1559"/>
        <v>-504436</v>
      </c>
      <c r="AW1086" s="2969">
        <f t="shared" ca="1" si="1560"/>
        <v>0</v>
      </c>
      <c r="AX1086" s="1289">
        <f t="shared" ca="1" si="1561"/>
        <v>0</v>
      </c>
      <c r="AY1086" s="3336">
        <f t="shared" ca="1" si="1562"/>
        <v>0</v>
      </c>
      <c r="AZ1086" s="2969">
        <f t="shared" ca="1" si="1563"/>
        <v>0</v>
      </c>
      <c r="BA1086" s="69"/>
      <c r="BB1086" s="1289">
        <f t="shared" ca="1" si="1564"/>
        <v>0</v>
      </c>
      <c r="BC1086" s="1289">
        <f t="shared" ca="1" si="1565"/>
        <v>504436</v>
      </c>
      <c r="BD1086" s="3336">
        <f t="shared" ca="1" si="1566"/>
        <v>-504436</v>
      </c>
      <c r="BE1086" s="2969">
        <f t="shared" ca="1" si="1567"/>
        <v>0</v>
      </c>
      <c r="BF1086" s="1289">
        <f t="shared" ca="1" si="1568"/>
        <v>0</v>
      </c>
      <c r="BG1086" s="3336">
        <f t="shared" ca="1" si="1569"/>
        <v>0</v>
      </c>
      <c r="BH1086" s="2969">
        <f t="shared" ca="1" si="1570"/>
        <v>0</v>
      </c>
    </row>
    <row r="1087" spans="1:60" ht="14.5">
      <c r="A1087" s="616">
        <f t="shared" si="1485"/>
        <v>1000</v>
      </c>
      <c r="B1087" s="616">
        <v>1</v>
      </c>
      <c r="C1087" s="616">
        <f t="shared" si="1486"/>
        <v>1084</v>
      </c>
      <c r="E1087" s="2544">
        <v>1</v>
      </c>
      <c r="F1087" s="8"/>
      <c r="H1087" s="4"/>
      <c r="I1087" s="27"/>
      <c r="J1087" s="3"/>
      <c r="K1087" s="3"/>
      <c r="L1087" s="3"/>
      <c r="M1087" s="3"/>
      <c r="N1087" s="3"/>
      <c r="O1087" s="740" t="s">
        <v>1528</v>
      </c>
      <c r="P1087" s="3"/>
      <c r="Q1087" s="1787" t="str">
        <f>CHOOSE(2, "6722000004005", "(3) IP from BT Label")</f>
        <v>(3) IP from BT Label</v>
      </c>
      <c r="R1087" s="1350">
        <v>0</v>
      </c>
      <c r="S1087" s="1350">
        <v>0</v>
      </c>
      <c r="T1087" s="1350">
        <v>0</v>
      </c>
      <c r="U1087" s="1350">
        <v>0</v>
      </c>
      <c r="V1087" s="1350">
        <v>0</v>
      </c>
      <c r="W1087" s="1350">
        <v>0</v>
      </c>
      <c r="X1087" s="1281">
        <v>0</v>
      </c>
      <c r="Y1087" s="1281">
        <v>0</v>
      </c>
      <c r="Z1087" s="1281">
        <v>0</v>
      </c>
      <c r="AA1087" s="1281">
        <v>0</v>
      </c>
      <c r="AB1087" s="1281">
        <v>0</v>
      </c>
      <c r="AC1087" s="1281">
        <v>0</v>
      </c>
      <c r="AD1087" s="88">
        <f t="shared" si="1572"/>
        <v>0</v>
      </c>
      <c r="AE1087" s="17">
        <f t="shared" si="1573"/>
        <v>0</v>
      </c>
      <c r="AF1087" s="17">
        <f t="shared" si="1574"/>
        <v>0</v>
      </c>
      <c r="AG1087" s="17">
        <f t="shared" si="1575"/>
        <v>0</v>
      </c>
      <c r="AH1087" s="17">
        <f t="shared" si="1576"/>
        <v>0</v>
      </c>
      <c r="AI1087" s="17">
        <f t="shared" si="1577"/>
        <v>0</v>
      </c>
      <c r="AJ1087" s="17">
        <f t="shared" si="1578"/>
        <v>0</v>
      </c>
      <c r="AL1087" s="1289">
        <f t="shared" ca="1" si="1550"/>
        <v>0</v>
      </c>
      <c r="AM1087" s="1289">
        <f t="shared" ca="1" si="1551"/>
        <v>499318</v>
      </c>
      <c r="AN1087" s="3336">
        <f t="shared" ca="1" si="1552"/>
        <v>-499318</v>
      </c>
      <c r="AO1087" s="2969">
        <f t="shared" ca="1" si="1553"/>
        <v>0</v>
      </c>
      <c r="AP1087" s="1289">
        <f t="shared" ca="1" si="1554"/>
        <v>0</v>
      </c>
      <c r="AQ1087" s="3336">
        <f t="shared" ca="1" si="1555"/>
        <v>0</v>
      </c>
      <c r="AR1087" s="2969">
        <f t="shared" ca="1" si="1556"/>
        <v>0</v>
      </c>
      <c r="AS1087" s="69"/>
      <c r="AT1087" s="1289">
        <f t="shared" ca="1" si="1557"/>
        <v>0</v>
      </c>
      <c r="AU1087" s="1289">
        <f t="shared" ca="1" si="1558"/>
        <v>499318</v>
      </c>
      <c r="AV1087" s="3336">
        <f t="shared" ca="1" si="1559"/>
        <v>-499318</v>
      </c>
      <c r="AW1087" s="2969">
        <f t="shared" ca="1" si="1560"/>
        <v>0</v>
      </c>
      <c r="AX1087" s="1289">
        <f t="shared" ca="1" si="1561"/>
        <v>0</v>
      </c>
      <c r="AY1087" s="3336">
        <f t="shared" ca="1" si="1562"/>
        <v>0</v>
      </c>
      <c r="AZ1087" s="2969">
        <f t="shared" ca="1" si="1563"/>
        <v>0</v>
      </c>
      <c r="BA1087" s="69"/>
      <c r="BB1087" s="1289">
        <f t="shared" ca="1" si="1564"/>
        <v>0</v>
      </c>
      <c r="BC1087" s="1289">
        <f t="shared" ca="1" si="1565"/>
        <v>499318</v>
      </c>
      <c r="BD1087" s="3336">
        <f t="shared" ca="1" si="1566"/>
        <v>-499318</v>
      </c>
      <c r="BE1087" s="2969">
        <f t="shared" ca="1" si="1567"/>
        <v>0</v>
      </c>
      <c r="BF1087" s="1289">
        <f t="shared" ca="1" si="1568"/>
        <v>0</v>
      </c>
      <c r="BG1087" s="3336">
        <f t="shared" ca="1" si="1569"/>
        <v>0</v>
      </c>
      <c r="BH1087" s="2969">
        <f t="shared" ca="1" si="1570"/>
        <v>0</v>
      </c>
    </row>
    <row r="1088" spans="1:60" ht="14.5">
      <c r="A1088" s="616">
        <f t="shared" si="1485"/>
        <v>1001</v>
      </c>
      <c r="B1088" s="616">
        <v>1</v>
      </c>
      <c r="C1088" s="616">
        <f t="shared" si="1486"/>
        <v>1085</v>
      </c>
      <c r="E1088" s="2544">
        <v>1</v>
      </c>
      <c r="F1088" s="8"/>
      <c r="H1088" s="4"/>
      <c r="I1088" s="27"/>
      <c r="J1088" s="3"/>
      <c r="K1088" s="3"/>
      <c r="L1088" s="3"/>
      <c r="M1088" s="3"/>
      <c r="N1088" s="3"/>
      <c r="O1088" s="740" t="s">
        <v>1529</v>
      </c>
      <c r="P1088" s="3"/>
      <c r="Q1088" s="1786" t="str">
        <f>CHOOSE(2, "6722000004006", "(3) IP from BT MGI")</f>
        <v>(3) IP from BT MGI</v>
      </c>
      <c r="R1088" s="37">
        <f>R1074</f>
        <v>14131</v>
      </c>
      <c r="S1088" s="37">
        <f t="shared" ref="S1088:AC1088" si="1579">S1074</f>
        <v>18188</v>
      </c>
      <c r="T1088" s="37">
        <f t="shared" si="1579"/>
        <v>15879</v>
      </c>
      <c r="U1088" s="37">
        <f t="shared" si="1579"/>
        <v>20626</v>
      </c>
      <c r="V1088" s="37">
        <f t="shared" si="1579"/>
        <v>22247</v>
      </c>
      <c r="W1088" s="37">
        <f t="shared" si="1579"/>
        <v>22395</v>
      </c>
      <c r="X1088" s="17">
        <f t="shared" si="1579"/>
        <v>21938.57761</v>
      </c>
      <c r="Y1088" s="17">
        <f t="shared" si="1579"/>
        <v>18211</v>
      </c>
      <c r="Z1088" s="17">
        <f t="shared" si="1579"/>
        <v>20238.521679999998</v>
      </c>
      <c r="AA1088" s="17">
        <f t="shared" si="1579"/>
        <v>18741.294670000003</v>
      </c>
      <c r="AB1088" s="17">
        <f t="shared" si="1579"/>
        <v>17607.8033</v>
      </c>
      <c r="AC1088" s="17">
        <f t="shared" si="1579"/>
        <v>21659.121199999998</v>
      </c>
      <c r="AD1088" s="88">
        <f t="shared" si="1572"/>
        <v>15879</v>
      </c>
      <c r="AE1088" s="17">
        <f t="shared" si="1573"/>
        <v>22395</v>
      </c>
      <c r="AF1088" s="17">
        <f t="shared" si="1574"/>
        <v>20238.521679999998</v>
      </c>
      <c r="AG1088" s="17">
        <f t="shared" si="1575"/>
        <v>21659.121199999998</v>
      </c>
      <c r="AH1088" s="17">
        <f t="shared" si="1576"/>
        <v>22395</v>
      </c>
      <c r="AI1088" s="17">
        <f t="shared" si="1577"/>
        <v>21659.121199999998</v>
      </c>
      <c r="AJ1088" s="17">
        <f t="shared" si="1578"/>
        <v>21659.121199999998</v>
      </c>
      <c r="AL1088" s="1289">
        <f t="shared" ca="1" si="1550"/>
        <v>21659.121199999998</v>
      </c>
      <c r="AM1088" s="1289">
        <f t="shared" ca="1" si="1551"/>
        <v>5118</v>
      </c>
      <c r="AN1088" s="3336">
        <f t="shared" ca="1" si="1552"/>
        <v>16541.121199999998</v>
      </c>
      <c r="AO1088" s="2969">
        <f t="shared" ca="1" si="1553"/>
        <v>4.2319502149277053</v>
      </c>
      <c r="AP1088" s="1289">
        <f t="shared" ca="1" si="1554"/>
        <v>0</v>
      </c>
      <c r="AQ1088" s="3336">
        <f t="shared" ca="1" si="1555"/>
        <v>21659.121199999998</v>
      </c>
      <c r="AR1088" s="2969">
        <f t="shared" ca="1" si="1556"/>
        <v>0</v>
      </c>
      <c r="AS1088" s="69"/>
      <c r="AT1088" s="1289">
        <f t="shared" ca="1" si="1557"/>
        <v>21659.121199999998</v>
      </c>
      <c r="AU1088" s="1289">
        <f t="shared" ca="1" si="1558"/>
        <v>5118</v>
      </c>
      <c r="AV1088" s="3336">
        <f t="shared" ca="1" si="1559"/>
        <v>16541.121199999998</v>
      </c>
      <c r="AW1088" s="2969">
        <f t="shared" ca="1" si="1560"/>
        <v>4.2319502149277053</v>
      </c>
      <c r="AX1088" s="1289">
        <f t="shared" ca="1" si="1561"/>
        <v>0</v>
      </c>
      <c r="AY1088" s="3336">
        <f t="shared" ca="1" si="1562"/>
        <v>21659.121199999998</v>
      </c>
      <c r="AZ1088" s="2969">
        <f t="shared" ca="1" si="1563"/>
        <v>0</v>
      </c>
      <c r="BA1088" s="69"/>
      <c r="BB1088" s="1289">
        <f t="shared" ca="1" si="1564"/>
        <v>21659.121199999998</v>
      </c>
      <c r="BC1088" s="1289">
        <f t="shared" ca="1" si="1565"/>
        <v>5118</v>
      </c>
      <c r="BD1088" s="3336">
        <f t="shared" ca="1" si="1566"/>
        <v>16541.121199999998</v>
      </c>
      <c r="BE1088" s="2969">
        <f t="shared" ca="1" si="1567"/>
        <v>4.2319502149277053</v>
      </c>
      <c r="BF1088" s="1289">
        <f t="shared" ca="1" si="1568"/>
        <v>0</v>
      </c>
      <c r="BG1088" s="3336">
        <f t="shared" ca="1" si="1569"/>
        <v>21659.121199999998</v>
      </c>
      <c r="BH1088" s="2969">
        <f t="shared" ca="1" si="1570"/>
        <v>0</v>
      </c>
    </row>
    <row r="1089" spans="1:60" ht="14.5">
      <c r="A1089" s="616">
        <f t="shared" ref="A1089:A1104" si="1580">A1088+1</f>
        <v>1002</v>
      </c>
      <c r="B1089" s="616">
        <v>1</v>
      </c>
      <c r="C1089" s="616">
        <f t="shared" si="1486"/>
        <v>1086</v>
      </c>
      <c r="E1089" s="2544">
        <v>1</v>
      </c>
      <c r="F1089" s="8"/>
      <c r="H1089" s="4"/>
      <c r="I1089" s="27"/>
      <c r="J1089" s="3"/>
      <c r="K1089" s="3"/>
      <c r="L1089" s="3"/>
      <c r="M1089" s="3"/>
      <c r="N1089" s="1"/>
      <c r="O1089" s="741" t="s">
        <v>1530</v>
      </c>
      <c r="P1089" s="1"/>
      <c r="Q1089" s="1786" t="str">
        <f>CHOOSE(2, "6722000004007", "(3) IP from BT Others")</f>
        <v>(3) IP from BT Others</v>
      </c>
      <c r="R1089" s="60">
        <f>R1085-SUM(R1086:R1088)</f>
        <v>17212</v>
      </c>
      <c r="S1089" s="60">
        <f t="shared" ref="S1089:AC1089" si="1581">S1085-SUM(S1086:S1088)</f>
        <v>29855</v>
      </c>
      <c r="T1089" s="60">
        <f t="shared" si="1581"/>
        <v>38885</v>
      </c>
      <c r="U1089" s="60">
        <f t="shared" si="1581"/>
        <v>42651</v>
      </c>
      <c r="V1089" s="60">
        <f t="shared" si="1581"/>
        <v>33358</v>
      </c>
      <c r="W1089" s="60">
        <f t="shared" si="1581"/>
        <v>40406</v>
      </c>
      <c r="X1089" s="15">
        <f t="shared" si="1581"/>
        <v>44062.000000000007</v>
      </c>
      <c r="Y1089" s="15">
        <f t="shared" si="1581"/>
        <v>41013</v>
      </c>
      <c r="Z1089" s="15">
        <f t="shared" si="1581"/>
        <v>41728</v>
      </c>
      <c r="AA1089" s="15">
        <f t="shared" si="1581"/>
        <v>48930</v>
      </c>
      <c r="AB1089" s="15">
        <f t="shared" si="1581"/>
        <v>115180.70584332576</v>
      </c>
      <c r="AC1089" s="15">
        <f t="shared" si="1581"/>
        <v>73505</v>
      </c>
      <c r="AD1089" s="87">
        <f t="shared" si="1572"/>
        <v>38885</v>
      </c>
      <c r="AE1089" s="15">
        <f t="shared" si="1573"/>
        <v>40406</v>
      </c>
      <c r="AF1089" s="15">
        <f t="shared" si="1574"/>
        <v>41728</v>
      </c>
      <c r="AG1089" s="15">
        <f t="shared" si="1575"/>
        <v>73505</v>
      </c>
      <c r="AH1089" s="15">
        <f t="shared" si="1576"/>
        <v>40406</v>
      </c>
      <c r="AI1089" s="15">
        <f t="shared" si="1577"/>
        <v>73505</v>
      </c>
      <c r="AJ1089" s="15">
        <f t="shared" si="1578"/>
        <v>73505</v>
      </c>
      <c r="AL1089" s="1290">
        <f t="shared" ca="1" si="1550"/>
        <v>73505</v>
      </c>
      <c r="AM1089" s="1290">
        <f t="shared" ca="1" si="1551"/>
        <v>1377054</v>
      </c>
      <c r="AN1089" s="3337">
        <f t="shared" ca="1" si="1552"/>
        <v>-1303549</v>
      </c>
      <c r="AO1089" s="2971">
        <f t="shared" ca="1" si="1553"/>
        <v>5.3378444127826503E-2</v>
      </c>
      <c r="AP1089" s="1290">
        <f t="shared" ca="1" si="1554"/>
        <v>0</v>
      </c>
      <c r="AQ1089" s="3337">
        <f t="shared" ca="1" si="1555"/>
        <v>73505</v>
      </c>
      <c r="AR1089" s="2971">
        <f t="shared" ca="1" si="1556"/>
        <v>0</v>
      </c>
      <c r="AS1089" s="69"/>
      <c r="AT1089" s="1290">
        <f t="shared" ca="1" si="1557"/>
        <v>73505</v>
      </c>
      <c r="AU1089" s="1290">
        <f t="shared" ca="1" si="1558"/>
        <v>1377054</v>
      </c>
      <c r="AV1089" s="3337">
        <f t="shared" ca="1" si="1559"/>
        <v>-1303549</v>
      </c>
      <c r="AW1089" s="2971">
        <f t="shared" ca="1" si="1560"/>
        <v>5.3378444127826503E-2</v>
      </c>
      <c r="AX1089" s="1290">
        <f t="shared" ca="1" si="1561"/>
        <v>0</v>
      </c>
      <c r="AY1089" s="3337">
        <f t="shared" ca="1" si="1562"/>
        <v>73505</v>
      </c>
      <c r="AZ1089" s="2971">
        <f t="shared" ca="1" si="1563"/>
        <v>0</v>
      </c>
      <c r="BA1089" s="69"/>
      <c r="BB1089" s="1290">
        <f t="shared" ca="1" si="1564"/>
        <v>73505</v>
      </c>
      <c r="BC1089" s="1290">
        <f t="shared" ca="1" si="1565"/>
        <v>1377054</v>
      </c>
      <c r="BD1089" s="3337">
        <f t="shared" ca="1" si="1566"/>
        <v>-1303549</v>
      </c>
      <c r="BE1089" s="2971">
        <f t="shared" ca="1" si="1567"/>
        <v>5.3378444127826503E-2</v>
      </c>
      <c r="BF1089" s="1290">
        <f t="shared" ca="1" si="1568"/>
        <v>0</v>
      </c>
      <c r="BG1089" s="3337">
        <f t="shared" ca="1" si="1569"/>
        <v>73505</v>
      </c>
      <c r="BH1089" s="2971">
        <f t="shared" ca="1" si="1570"/>
        <v>0</v>
      </c>
    </row>
    <row r="1090" spans="1:60" ht="14.5">
      <c r="A1090" s="616">
        <f t="shared" si="1580"/>
        <v>1003</v>
      </c>
      <c r="B1090" s="616">
        <v>1</v>
      </c>
      <c r="C1090" s="616">
        <f t="shared" ref="C1090:C1103" si="1582">ROW()-3</f>
        <v>1087</v>
      </c>
      <c r="E1090" s="2544">
        <v>1</v>
      </c>
      <c r="F1090" s="8"/>
      <c r="H1090" s="4"/>
      <c r="I1090" s="27"/>
      <c r="J1090" s="3"/>
      <c r="K1090" s="3"/>
      <c r="L1090" s="3"/>
      <c r="M1090" s="3"/>
      <c r="N1090" s="3" t="s">
        <v>1531</v>
      </c>
      <c r="O1090" s="47"/>
      <c r="P1090" s="47"/>
      <c r="Q1090" s="1786" t="str">
        <f>CHOOSE(2, "6722000004008", "(3) IP from 3rd Party")</f>
        <v>(3) IP from 3rd Party</v>
      </c>
      <c r="R1090" s="45">
        <f>R1075</f>
        <v>7421</v>
      </c>
      <c r="S1090" s="45">
        <f t="shared" ref="S1090:AJ1090" si="1583">S1075</f>
        <v>9995</v>
      </c>
      <c r="T1090" s="45">
        <f t="shared" si="1583"/>
        <v>7377.8522100000228</v>
      </c>
      <c r="U1090" s="45">
        <f t="shared" si="1583"/>
        <v>7343</v>
      </c>
      <c r="V1090" s="45">
        <f t="shared" si="1583"/>
        <v>7305</v>
      </c>
      <c r="W1090" s="45">
        <f t="shared" si="1583"/>
        <v>2067</v>
      </c>
      <c r="X1090" s="45">
        <f t="shared" si="1583"/>
        <v>7505.9961299999886</v>
      </c>
      <c r="Y1090" s="45">
        <f t="shared" si="1583"/>
        <v>7819</v>
      </c>
      <c r="Z1090" s="45">
        <f t="shared" si="1583"/>
        <v>8057.6291000000165</v>
      </c>
      <c r="AA1090" s="45">
        <f t="shared" si="1583"/>
        <v>5994.5671300000104</v>
      </c>
      <c r="AB1090" s="45">
        <f t="shared" si="1583"/>
        <v>6359.6463200000144</v>
      </c>
      <c r="AC1090" s="45">
        <f t="shared" si="1583"/>
        <v>10830.336350000023</v>
      </c>
      <c r="AD1090" s="911">
        <f t="shared" si="1583"/>
        <v>7377.8522100000228</v>
      </c>
      <c r="AE1090" s="45">
        <f t="shared" si="1583"/>
        <v>2067</v>
      </c>
      <c r="AF1090" s="45">
        <f t="shared" si="1583"/>
        <v>8057.6291000000165</v>
      </c>
      <c r="AG1090" s="45">
        <f t="shared" si="1583"/>
        <v>10830.336350000023</v>
      </c>
      <c r="AH1090" s="45">
        <f t="shared" si="1583"/>
        <v>2067</v>
      </c>
      <c r="AI1090" s="45">
        <f t="shared" si="1583"/>
        <v>10830.336350000023</v>
      </c>
      <c r="AJ1090" s="45">
        <f t="shared" si="1583"/>
        <v>10830.336350000023</v>
      </c>
      <c r="AL1090" s="1255">
        <f t="shared" ca="1" si="1550"/>
        <v>10830.336350000023</v>
      </c>
      <c r="AM1090" s="1255">
        <f t="shared" ca="1" si="1551"/>
        <v>1309939</v>
      </c>
      <c r="AN1090" s="3335">
        <f t="shared" ca="1" si="1552"/>
        <v>-1299108.66365</v>
      </c>
      <c r="AO1090" s="2967">
        <f t="shared" ca="1" si="1553"/>
        <v>8.2678173182110185E-3</v>
      </c>
      <c r="AP1090" s="1255">
        <f t="shared" ca="1" si="1554"/>
        <v>0</v>
      </c>
      <c r="AQ1090" s="3335">
        <f t="shared" ca="1" si="1555"/>
        <v>10830.336350000023</v>
      </c>
      <c r="AR1090" s="2967">
        <f t="shared" ca="1" si="1556"/>
        <v>0</v>
      </c>
      <c r="AS1090" s="69"/>
      <c r="AT1090" s="1255">
        <f t="shared" ca="1" si="1557"/>
        <v>10830.336350000023</v>
      </c>
      <c r="AU1090" s="1255">
        <f t="shared" ca="1" si="1558"/>
        <v>1309939</v>
      </c>
      <c r="AV1090" s="3335">
        <f t="shared" ca="1" si="1559"/>
        <v>-1299108.66365</v>
      </c>
      <c r="AW1090" s="2967">
        <f t="shared" ca="1" si="1560"/>
        <v>8.2678173182110185E-3</v>
      </c>
      <c r="AX1090" s="1255">
        <f t="shared" ca="1" si="1561"/>
        <v>0</v>
      </c>
      <c r="AY1090" s="3335">
        <f t="shared" ca="1" si="1562"/>
        <v>10830.336350000023</v>
      </c>
      <c r="AZ1090" s="2967">
        <f t="shared" ca="1" si="1563"/>
        <v>0</v>
      </c>
      <c r="BA1090" s="69"/>
      <c r="BB1090" s="1255">
        <f t="shared" ca="1" si="1564"/>
        <v>10830.336350000023</v>
      </c>
      <c r="BC1090" s="1255">
        <f t="shared" ca="1" si="1565"/>
        <v>1309939</v>
      </c>
      <c r="BD1090" s="3335">
        <f t="shared" ca="1" si="1566"/>
        <v>-1299108.66365</v>
      </c>
      <c r="BE1090" s="2967">
        <f t="shared" ca="1" si="1567"/>
        <v>8.2678173182110185E-3</v>
      </c>
      <c r="BF1090" s="1255">
        <f t="shared" ca="1" si="1568"/>
        <v>0</v>
      </c>
      <c r="BG1090" s="3335">
        <f t="shared" ca="1" si="1569"/>
        <v>10830.336350000023</v>
      </c>
      <c r="BH1090" s="2967">
        <f t="shared" ca="1" si="1570"/>
        <v>0</v>
      </c>
    </row>
    <row r="1091" spans="1:60" ht="14.5">
      <c r="A1091" s="616">
        <f t="shared" si="1580"/>
        <v>1004</v>
      </c>
      <c r="B1091" s="616">
        <v>1</v>
      </c>
      <c r="C1091" s="616">
        <f t="shared" si="1582"/>
        <v>1088</v>
      </c>
      <c r="E1091" s="2544">
        <v>1</v>
      </c>
      <c r="F1091" s="8"/>
      <c r="H1091" s="4"/>
      <c r="I1091" s="27"/>
      <c r="J1091" s="3"/>
      <c r="K1091" s="3"/>
      <c r="L1091" s="3"/>
      <c r="M1091" s="3"/>
      <c r="N1091" s="3"/>
      <c r="O1091" s="740" t="s">
        <v>1489</v>
      </c>
      <c r="P1091" s="3"/>
      <c r="Q1091" s="1787" t="str">
        <f>CHOOSE(2, "6722000004009", "(3) IP from 3rd Party KM-1/KM-1e")</f>
        <v>(3) IP from 3rd Party KM-1/KM-1e</v>
      </c>
      <c r="R1091" s="1350">
        <v>0</v>
      </c>
      <c r="S1091" s="1350">
        <v>0</v>
      </c>
      <c r="T1091" s="1350">
        <v>0</v>
      </c>
      <c r="U1091" s="1350">
        <v>0</v>
      </c>
      <c r="V1091" s="1350">
        <v>0</v>
      </c>
      <c r="W1091" s="1350">
        <v>0</v>
      </c>
      <c r="X1091" s="1281">
        <v>0</v>
      </c>
      <c r="Y1091" s="1281">
        <v>0</v>
      </c>
      <c r="Z1091" s="1281">
        <v>0</v>
      </c>
      <c r="AA1091" s="1281">
        <v>0</v>
      </c>
      <c r="AB1091" s="1281">
        <v>0</v>
      </c>
      <c r="AC1091" s="1281">
        <v>0</v>
      </c>
      <c r="AD1091" s="88">
        <f t="shared" ref="AD1091:AD1093" si="1584">T1091</f>
        <v>0</v>
      </c>
      <c r="AE1091" s="17">
        <f t="shared" ref="AE1091:AE1093" si="1585">W1091</f>
        <v>0</v>
      </c>
      <c r="AF1091" s="17">
        <f t="shared" ref="AF1091:AF1093" si="1586">Z1091</f>
        <v>0</v>
      </c>
      <c r="AG1091" s="17">
        <f t="shared" ref="AG1091:AG1093" si="1587">AC1091</f>
        <v>0</v>
      </c>
      <c r="AH1091" s="17">
        <f t="shared" ref="AH1091:AH1093" si="1588">AE1091</f>
        <v>0</v>
      </c>
      <c r="AI1091" s="17">
        <f t="shared" ref="AI1091:AI1093" si="1589">AG1091</f>
        <v>0</v>
      </c>
      <c r="AJ1091" s="17">
        <f t="shared" ref="AJ1091:AJ1093" si="1590">AI1091</f>
        <v>0</v>
      </c>
      <c r="AL1091" s="1289">
        <f t="shared" ca="1" si="1550"/>
        <v>0</v>
      </c>
      <c r="AM1091" s="1289">
        <f t="shared" ca="1" si="1551"/>
        <v>67115</v>
      </c>
      <c r="AN1091" s="3336">
        <f t="shared" ca="1" si="1552"/>
        <v>-67115</v>
      </c>
      <c r="AO1091" s="2969">
        <f t="shared" ca="1" si="1553"/>
        <v>0</v>
      </c>
      <c r="AP1091" s="1289">
        <f t="shared" ca="1" si="1554"/>
        <v>0</v>
      </c>
      <c r="AQ1091" s="3336">
        <f t="shared" ca="1" si="1555"/>
        <v>0</v>
      </c>
      <c r="AR1091" s="2969">
        <f t="shared" ca="1" si="1556"/>
        <v>0</v>
      </c>
      <c r="AS1091" s="69"/>
      <c r="AT1091" s="1289">
        <f t="shared" ca="1" si="1557"/>
        <v>0</v>
      </c>
      <c r="AU1091" s="1289">
        <f t="shared" ca="1" si="1558"/>
        <v>67115</v>
      </c>
      <c r="AV1091" s="3336">
        <f t="shared" ca="1" si="1559"/>
        <v>-67115</v>
      </c>
      <c r="AW1091" s="2969">
        <f t="shared" ca="1" si="1560"/>
        <v>0</v>
      </c>
      <c r="AX1091" s="1289">
        <f t="shared" ca="1" si="1561"/>
        <v>0</v>
      </c>
      <c r="AY1091" s="3336">
        <f t="shared" ca="1" si="1562"/>
        <v>0</v>
      </c>
      <c r="AZ1091" s="2969">
        <f t="shared" ca="1" si="1563"/>
        <v>0</v>
      </c>
      <c r="BA1091" s="69"/>
      <c r="BB1091" s="1289">
        <f t="shared" ca="1" si="1564"/>
        <v>0</v>
      </c>
      <c r="BC1091" s="1289">
        <f t="shared" ca="1" si="1565"/>
        <v>67115</v>
      </c>
      <c r="BD1091" s="3336">
        <f t="shared" ca="1" si="1566"/>
        <v>-67115</v>
      </c>
      <c r="BE1091" s="2969">
        <f t="shared" ca="1" si="1567"/>
        <v>0</v>
      </c>
      <c r="BF1091" s="1289">
        <f t="shared" ca="1" si="1568"/>
        <v>0</v>
      </c>
      <c r="BG1091" s="3336">
        <f t="shared" ca="1" si="1569"/>
        <v>0</v>
      </c>
      <c r="BH1091" s="2969">
        <f t="shared" ca="1" si="1570"/>
        <v>0</v>
      </c>
    </row>
    <row r="1092" spans="1:60" ht="14.5">
      <c r="A1092" s="616">
        <f t="shared" si="1580"/>
        <v>1005</v>
      </c>
      <c r="B1092" s="616">
        <v>1</v>
      </c>
      <c r="C1092" s="616">
        <f t="shared" si="1582"/>
        <v>1089</v>
      </c>
      <c r="E1092" s="2544">
        <v>1</v>
      </c>
      <c r="F1092" s="8"/>
      <c r="H1092" s="4"/>
      <c r="I1092" s="27"/>
      <c r="J1092" s="3"/>
      <c r="K1092" s="3"/>
      <c r="L1092" s="3"/>
      <c r="M1092" s="3"/>
      <c r="N1092" s="3"/>
      <c r="O1092" s="740" t="s">
        <v>1528</v>
      </c>
      <c r="P1092" s="3"/>
      <c r="Q1092" s="1787" t="str">
        <f>CHOOSE(2, "6722000004010", "(3) IP from 3rd Party Label")</f>
        <v>(3) IP from 3rd Party Label</v>
      </c>
      <c r="R1092" s="1350">
        <v>0</v>
      </c>
      <c r="S1092" s="1350">
        <v>0</v>
      </c>
      <c r="T1092" s="1350">
        <v>0</v>
      </c>
      <c r="U1092" s="1350">
        <v>0</v>
      </c>
      <c r="V1092" s="1350">
        <v>0</v>
      </c>
      <c r="W1092" s="1350">
        <v>0</v>
      </c>
      <c r="X1092" s="1281">
        <v>0</v>
      </c>
      <c r="Y1092" s="1281">
        <v>0</v>
      </c>
      <c r="Z1092" s="1281">
        <v>0</v>
      </c>
      <c r="AA1092" s="1281">
        <v>0</v>
      </c>
      <c r="AB1092" s="1281">
        <v>0</v>
      </c>
      <c r="AC1092" s="1281">
        <v>0</v>
      </c>
      <c r="AD1092" s="88">
        <f t="shared" si="1584"/>
        <v>0</v>
      </c>
      <c r="AE1092" s="17">
        <f t="shared" si="1585"/>
        <v>0</v>
      </c>
      <c r="AF1092" s="17">
        <f t="shared" si="1586"/>
        <v>0</v>
      </c>
      <c r="AG1092" s="17">
        <f t="shared" si="1587"/>
        <v>0</v>
      </c>
      <c r="AH1092" s="17">
        <f t="shared" si="1588"/>
        <v>0</v>
      </c>
      <c r="AI1092" s="17">
        <f t="shared" si="1589"/>
        <v>0</v>
      </c>
      <c r="AJ1092" s="17">
        <f t="shared" si="1590"/>
        <v>0</v>
      </c>
      <c r="AL1092" s="1289">
        <f t="shared" ca="1" si="1550"/>
        <v>0</v>
      </c>
      <c r="AM1092" s="1289">
        <f t="shared" ca="1" si="1551"/>
        <v>98234</v>
      </c>
      <c r="AN1092" s="3336">
        <f t="shared" ca="1" si="1552"/>
        <v>-98234</v>
      </c>
      <c r="AO1092" s="2969">
        <f t="shared" ca="1" si="1553"/>
        <v>0</v>
      </c>
      <c r="AP1092" s="1289">
        <f t="shared" ca="1" si="1554"/>
        <v>0</v>
      </c>
      <c r="AQ1092" s="3336">
        <f t="shared" ca="1" si="1555"/>
        <v>0</v>
      </c>
      <c r="AR1092" s="2969">
        <f t="shared" ca="1" si="1556"/>
        <v>0</v>
      </c>
      <c r="AS1092" s="69"/>
      <c r="AT1092" s="1289">
        <f t="shared" ca="1" si="1557"/>
        <v>0</v>
      </c>
      <c r="AU1092" s="1289">
        <f t="shared" ca="1" si="1558"/>
        <v>98234</v>
      </c>
      <c r="AV1092" s="3336">
        <f t="shared" ca="1" si="1559"/>
        <v>-98234</v>
      </c>
      <c r="AW1092" s="2969">
        <f t="shared" ca="1" si="1560"/>
        <v>0</v>
      </c>
      <c r="AX1092" s="1289">
        <f t="shared" ca="1" si="1561"/>
        <v>0</v>
      </c>
      <c r="AY1092" s="3336">
        <f t="shared" ca="1" si="1562"/>
        <v>0</v>
      </c>
      <c r="AZ1092" s="2969">
        <f t="shared" ca="1" si="1563"/>
        <v>0</v>
      </c>
      <c r="BA1092" s="69"/>
      <c r="BB1092" s="1289">
        <f t="shared" ca="1" si="1564"/>
        <v>0</v>
      </c>
      <c r="BC1092" s="1289">
        <f t="shared" ca="1" si="1565"/>
        <v>98234</v>
      </c>
      <c r="BD1092" s="3336">
        <f t="shared" ca="1" si="1566"/>
        <v>-98234</v>
      </c>
      <c r="BE1092" s="2969">
        <f t="shared" ca="1" si="1567"/>
        <v>0</v>
      </c>
      <c r="BF1092" s="1289">
        <f t="shared" ca="1" si="1568"/>
        <v>0</v>
      </c>
      <c r="BG1092" s="3336">
        <f t="shared" ca="1" si="1569"/>
        <v>0</v>
      </c>
      <c r="BH1092" s="2969">
        <f t="shared" ca="1" si="1570"/>
        <v>0</v>
      </c>
    </row>
    <row r="1093" spans="1:60" ht="14.5">
      <c r="A1093" s="616">
        <f t="shared" si="1580"/>
        <v>1006</v>
      </c>
      <c r="B1093" s="616">
        <v>1</v>
      </c>
      <c r="C1093" s="616">
        <f t="shared" si="1582"/>
        <v>1090</v>
      </c>
      <c r="E1093" s="2544">
        <v>1</v>
      </c>
      <c r="F1093" s="8"/>
      <c r="H1093" s="4"/>
      <c r="I1093" s="25"/>
      <c r="J1093" s="1"/>
      <c r="K1093" s="1"/>
      <c r="L1093" s="1"/>
      <c r="M1093" s="1"/>
      <c r="N1093" s="1"/>
      <c r="O1093" s="741" t="s">
        <v>1530</v>
      </c>
      <c r="P1093" s="1"/>
      <c r="Q1093" s="1786" t="str">
        <f>CHOOSE(2, "6722000004011", "(3) IP from 3rd Party Others")</f>
        <v>(3) IP from 3rd Party Others</v>
      </c>
      <c r="R1093" s="60">
        <f t="shared" ref="R1093:AC1093" si="1591">R1090-SUM(R1091:R1092)</f>
        <v>7421</v>
      </c>
      <c r="S1093" s="60">
        <f t="shared" si="1591"/>
        <v>9995</v>
      </c>
      <c r="T1093" s="60">
        <f t="shared" si="1591"/>
        <v>7377.8522100000228</v>
      </c>
      <c r="U1093" s="60">
        <f t="shared" si="1591"/>
        <v>7343</v>
      </c>
      <c r="V1093" s="60">
        <f t="shared" si="1591"/>
        <v>7305</v>
      </c>
      <c r="W1093" s="60">
        <f t="shared" si="1591"/>
        <v>2067</v>
      </c>
      <c r="X1093" s="15">
        <f t="shared" si="1591"/>
        <v>7505.9961299999886</v>
      </c>
      <c r="Y1093" s="15">
        <f t="shared" si="1591"/>
        <v>7819</v>
      </c>
      <c r="Z1093" s="15">
        <f t="shared" si="1591"/>
        <v>8057.6291000000165</v>
      </c>
      <c r="AA1093" s="15">
        <f t="shared" si="1591"/>
        <v>5994.5671300000104</v>
      </c>
      <c r="AB1093" s="15">
        <f t="shared" si="1591"/>
        <v>6359.6463200000144</v>
      </c>
      <c r="AC1093" s="15">
        <f t="shared" si="1591"/>
        <v>10830.336350000023</v>
      </c>
      <c r="AD1093" s="87">
        <f t="shared" si="1584"/>
        <v>7377.8522100000228</v>
      </c>
      <c r="AE1093" s="15">
        <f t="shared" si="1585"/>
        <v>2067</v>
      </c>
      <c r="AF1093" s="15">
        <f t="shared" si="1586"/>
        <v>8057.6291000000165</v>
      </c>
      <c r="AG1093" s="15">
        <f t="shared" si="1587"/>
        <v>10830.336350000023</v>
      </c>
      <c r="AH1093" s="15">
        <f t="shared" si="1588"/>
        <v>2067</v>
      </c>
      <c r="AI1093" s="15">
        <f t="shared" si="1589"/>
        <v>10830.336350000023</v>
      </c>
      <c r="AJ1093" s="15">
        <f t="shared" si="1590"/>
        <v>10830.336350000023</v>
      </c>
      <c r="AL1093" s="1290">
        <f t="shared" ca="1" si="1550"/>
        <v>10830.336350000023</v>
      </c>
      <c r="AM1093" s="1290">
        <f t="shared" ca="1" si="1551"/>
        <v>63884</v>
      </c>
      <c r="AN1093" s="3337">
        <f t="shared" ca="1" si="1552"/>
        <v>-53053.663649999973</v>
      </c>
      <c r="AO1093" s="2971">
        <f t="shared" ca="1" si="1553"/>
        <v>0.16953128091540953</v>
      </c>
      <c r="AP1093" s="1290">
        <f t="shared" ca="1" si="1554"/>
        <v>0</v>
      </c>
      <c r="AQ1093" s="3337">
        <f t="shared" ca="1" si="1555"/>
        <v>10830.336350000023</v>
      </c>
      <c r="AR1093" s="2971">
        <f t="shared" ca="1" si="1556"/>
        <v>0</v>
      </c>
      <c r="AS1093" s="69"/>
      <c r="AT1093" s="1290">
        <f t="shared" ca="1" si="1557"/>
        <v>10830.336350000023</v>
      </c>
      <c r="AU1093" s="1290">
        <f t="shared" ca="1" si="1558"/>
        <v>63884</v>
      </c>
      <c r="AV1093" s="3337">
        <f t="shared" ca="1" si="1559"/>
        <v>-53053.663649999973</v>
      </c>
      <c r="AW1093" s="2971">
        <f t="shared" ca="1" si="1560"/>
        <v>0.16953128091540953</v>
      </c>
      <c r="AX1093" s="1290">
        <f t="shared" ca="1" si="1561"/>
        <v>0</v>
      </c>
      <c r="AY1093" s="3337">
        <f t="shared" ca="1" si="1562"/>
        <v>10830.336350000023</v>
      </c>
      <c r="AZ1093" s="2971">
        <f t="shared" ca="1" si="1563"/>
        <v>0</v>
      </c>
      <c r="BA1093" s="69"/>
      <c r="BB1093" s="1290">
        <f t="shared" ca="1" si="1564"/>
        <v>10830.336350000023</v>
      </c>
      <c r="BC1093" s="1290">
        <f t="shared" ca="1" si="1565"/>
        <v>63884</v>
      </c>
      <c r="BD1093" s="3337">
        <f t="shared" ca="1" si="1566"/>
        <v>-53053.663649999973</v>
      </c>
      <c r="BE1093" s="2971">
        <f t="shared" ca="1" si="1567"/>
        <v>0.16953128091540953</v>
      </c>
      <c r="BF1093" s="1290">
        <f t="shared" ca="1" si="1568"/>
        <v>0</v>
      </c>
      <c r="BG1093" s="3337">
        <f t="shared" ca="1" si="1569"/>
        <v>10830.336350000023</v>
      </c>
      <c r="BH1093" s="2971">
        <f t="shared" ca="1" si="1570"/>
        <v>0</v>
      </c>
    </row>
    <row r="1094" spans="1:60" ht="14.5">
      <c r="A1094" s="616">
        <f t="shared" si="1580"/>
        <v>1007</v>
      </c>
      <c r="B1094" s="616">
        <v>1</v>
      </c>
      <c r="C1094" s="616">
        <f t="shared" si="1582"/>
        <v>1091</v>
      </c>
      <c r="E1094" s="2547">
        <v>1</v>
      </c>
      <c r="H1094" s="4"/>
      <c r="I1094" s="4"/>
      <c r="J1094" s="3"/>
      <c r="K1094" s="3"/>
      <c r="L1094" s="3"/>
      <c r="M1094" s="3"/>
      <c r="N1094" s="739"/>
      <c r="O1094" s="3"/>
      <c r="P1094" s="3"/>
      <c r="Q1094" s="1773" t="str">
        <f>CHOOSE(2, "6722000004012", "▷ Blank 35")</f>
        <v>▷ Blank 35</v>
      </c>
      <c r="R1094" s="2562"/>
      <c r="S1094" s="2563"/>
      <c r="T1094" s="2563"/>
      <c r="U1094" s="2563"/>
      <c r="V1094" s="2563"/>
      <c r="W1094" s="2563"/>
    </row>
    <row r="1095" spans="1:60" ht="18">
      <c r="A1095" s="616">
        <f t="shared" si="1580"/>
        <v>1008</v>
      </c>
      <c r="B1095" s="616">
        <v>1</v>
      </c>
      <c r="C1095" s="616">
        <f t="shared" si="1582"/>
        <v>1092</v>
      </c>
      <c r="E1095" s="2547">
        <v>1</v>
      </c>
      <c r="F1095" s="242" t="s">
        <v>1532</v>
      </c>
      <c r="G1095" s="242"/>
      <c r="Q1095" s="1772" t="str">
        <f>CHOOSE(2, "6722000004013", "5. One Rate / Free to Fee")</f>
        <v>5. One Rate / Free to Fee</v>
      </c>
      <c r="R1095" s="2557"/>
    </row>
    <row r="1096" spans="1:60" ht="15.5">
      <c r="A1096" s="616">
        <f t="shared" si="1580"/>
        <v>1009</v>
      </c>
      <c r="B1096" s="616">
        <v>1</v>
      </c>
      <c r="C1096" s="616">
        <f t="shared" si="1582"/>
        <v>1093</v>
      </c>
      <c r="E1096" s="2547">
        <v>1</v>
      </c>
      <c r="F1096" s="244"/>
      <c r="G1096" s="243" t="s">
        <v>1533</v>
      </c>
      <c r="P1096" s="578" t="s">
        <v>1534</v>
      </c>
      <c r="Q1096" s="1772" t="str">
        <f>CHOOSE(2, "6722000004014", "5-1. One Rate  (included in Office/ITS)")</f>
        <v>5-1. One Rate  (included in Office/ITS)</v>
      </c>
      <c r="R1096" s="2557"/>
    </row>
    <row r="1097" spans="1:60" ht="14.5">
      <c r="A1097" s="616">
        <f t="shared" si="1580"/>
        <v>1010</v>
      </c>
      <c r="B1097" s="616">
        <v>1</v>
      </c>
      <c r="C1097" s="616">
        <f t="shared" si="1582"/>
        <v>1094</v>
      </c>
      <c r="E1097" s="2547">
        <v>1</v>
      </c>
      <c r="F1097" s="244"/>
      <c r="I1097" s="3338" t="s">
        <v>1535</v>
      </c>
      <c r="J1097" s="2293"/>
      <c r="K1097" s="2293"/>
      <c r="L1097" s="2293"/>
      <c r="M1097" s="2293"/>
      <c r="N1097" s="2293"/>
      <c r="O1097" s="2293"/>
      <c r="P1097" s="2294" t="s">
        <v>1536</v>
      </c>
      <c r="Q1097" s="1781" t="str">
        <f>CHOOSE(2, "6722000004015", "Unit Sales (One Rate) (Unit)")</f>
        <v>Unit Sales (One Rate) (Unit)</v>
      </c>
      <c r="R1097" s="3339">
        <v>0</v>
      </c>
      <c r="S1097" s="3339">
        <v>0</v>
      </c>
      <c r="T1097" s="3339">
        <v>0</v>
      </c>
      <c r="U1097" s="3339">
        <v>0</v>
      </c>
      <c r="V1097" s="3339">
        <v>0</v>
      </c>
      <c r="W1097" s="3339">
        <v>0</v>
      </c>
      <c r="X1097" s="3339">
        <v>0</v>
      </c>
      <c r="Y1097" s="3339">
        <v>0</v>
      </c>
      <c r="Z1097" s="3339">
        <v>0</v>
      </c>
      <c r="AA1097" s="3339">
        <v>0</v>
      </c>
      <c r="AB1097" s="3339">
        <v>0</v>
      </c>
      <c r="AC1097" s="3339">
        <v>0</v>
      </c>
      <c r="AD1097" s="3340">
        <f>SUM(R1097,S1097,T1097)</f>
        <v>0</v>
      </c>
      <c r="AE1097" s="3341">
        <f t="shared" ref="AE1097" si="1592">SUM(U1097,V1097,W1097)</f>
        <v>0</v>
      </c>
      <c r="AF1097" s="3341">
        <f t="shared" ref="AF1097" si="1593">SUM(X1097,Y1097,Z1097)</f>
        <v>0</v>
      </c>
      <c r="AG1097" s="3341">
        <f t="shared" ref="AG1097" si="1594">SUM(AA1097,AB1097,AC1097)</f>
        <v>0</v>
      </c>
      <c r="AH1097" s="3341">
        <f>AD1097+AE1097</f>
        <v>0</v>
      </c>
      <c r="AI1097" s="3341">
        <f>AG1097+AF1097</f>
        <v>0</v>
      </c>
      <c r="AJ1097" s="3341">
        <f>AH1097+AI1097</f>
        <v>0</v>
      </c>
      <c r="AL1097" s="3341">
        <f ca="1">SUM((INDIRECT(AL$2&amp;(ROW())):INDIRECT(AL$3&amp;(ROW()))))</f>
        <v>0</v>
      </c>
      <c r="AM1097" s="3341">
        <f ca="1">SUM(INDIRECT(AM$1&amp;AM$2&amp;$C1097):INDIRECT(AM$1&amp;AM$3&amp;$C1097))</f>
        <v>0</v>
      </c>
      <c r="AN1097" s="3342">
        <f ca="1">AL1097-AM1097</f>
        <v>0</v>
      </c>
      <c r="AO1097" s="2973">
        <f ca="1">IFERROR(AL1097/AM1097,0)</f>
        <v>0</v>
      </c>
      <c r="AP1097" s="3341">
        <f ca="1">SUM(INDIRECT(AP$1&amp;AP$2&amp;$A1097):INDIRECT(AP$1&amp;AP$3&amp;$A1097))+SUM(INDIRECT(AP$1&amp;AP$2&amp;$B1097):INDIRECT(AP$1&amp;AP$3&amp;$B1097))</f>
        <v>0</v>
      </c>
      <c r="AQ1097" s="3342">
        <f ca="1">AL1097-AP1097</f>
        <v>0</v>
      </c>
      <c r="AR1097" s="2973">
        <f ca="1">IFERROR(AL1097/AP1097,0)</f>
        <v>0</v>
      </c>
      <c r="AT1097" s="3341">
        <f ca="1">SUM((INDIRECT(AT$2&amp;(ROW())):INDIRECT(AT$3&amp;(ROW()))))</f>
        <v>0</v>
      </c>
      <c r="AU1097" s="3341">
        <f ca="1">SUM(INDIRECT(AU$1&amp;AU$2&amp;$C1097):INDIRECT(AU$1&amp;AU$3&amp;$C1097))</f>
        <v>0</v>
      </c>
      <c r="AV1097" s="3342">
        <f ca="1">AT1097-AU1097</f>
        <v>0</v>
      </c>
      <c r="AW1097" s="2973">
        <f ca="1">IFERROR(AT1097/AU1097,0)</f>
        <v>0</v>
      </c>
      <c r="AX1097" s="3341">
        <f ca="1">SUM(INDIRECT(AX$1&amp;AX$2&amp;$A1097):INDIRECT(AX$1&amp;AX$3&amp;$A1097))+SUM(INDIRECT(AX$1&amp;AX$2&amp;$B1097):INDIRECT(AX$1&amp;AX$3&amp;$B1097))</f>
        <v>0</v>
      </c>
      <c r="AY1097" s="3342">
        <f ca="1">AT1097-AX1097</f>
        <v>0</v>
      </c>
      <c r="AZ1097" s="2973">
        <f ca="1">IFERROR(AT1097/AX1097,0)</f>
        <v>0</v>
      </c>
      <c r="BB1097" s="3341">
        <f ca="1">SUM((INDIRECT(BB$2&amp;(ROW())):INDIRECT(BB$3&amp;(ROW()))))</f>
        <v>0</v>
      </c>
      <c r="BC1097" s="3341">
        <f ca="1">SUM(INDIRECT(BC$1&amp;BC$2&amp;$C1097):INDIRECT(BC$1&amp;BC$3&amp;$C1097))</f>
        <v>0</v>
      </c>
      <c r="BD1097" s="3342">
        <f ca="1">BB1097-BC1097</f>
        <v>0</v>
      </c>
      <c r="BE1097" s="2973">
        <f ca="1">IFERROR(BB1097/BC1097,0)</f>
        <v>0</v>
      </c>
      <c r="BF1097" s="3341">
        <f ca="1">SUM(INDIRECT(BF$1&amp;BF$2&amp;$A1097):INDIRECT(BF$1&amp;BF$3&amp;$A1097))+SUM(INDIRECT(BF$1&amp;BF$2&amp;$B1097):INDIRECT(BF$1&amp;BF$3&amp;$B1097))</f>
        <v>0</v>
      </c>
      <c r="BG1097" s="3342">
        <f ca="1">BB1097-BF1097</f>
        <v>0</v>
      </c>
      <c r="BH1097" s="2973">
        <f ca="1">IFERROR(BB1097/BF1097,0)</f>
        <v>0</v>
      </c>
    </row>
    <row r="1098" spans="1:60" ht="14.5">
      <c r="A1098" s="616">
        <f t="shared" si="1580"/>
        <v>1011</v>
      </c>
      <c r="B1098" s="616">
        <v>1</v>
      </c>
      <c r="C1098" s="616">
        <f t="shared" si="1582"/>
        <v>1095</v>
      </c>
      <c r="E1098" s="2547">
        <v>1</v>
      </c>
      <c r="F1098" s="244"/>
      <c r="I1098" s="562" t="s">
        <v>1537</v>
      </c>
      <c r="J1098" s="563"/>
      <c r="K1098" s="563"/>
      <c r="L1098" s="563"/>
      <c r="M1098" s="563"/>
      <c r="N1098" s="563"/>
      <c r="O1098" s="563"/>
      <c r="P1098" s="563"/>
      <c r="Q1098" s="1823" t="str">
        <f>CHOOSE(2, "6722000004016", "Net Sales (One Rate)")</f>
        <v>Net Sales (One Rate)</v>
      </c>
      <c r="R1098" s="1297">
        <f>R1099+R1100</f>
        <v>0</v>
      </c>
      <c r="S1098" s="1297">
        <f t="shared" ref="S1098:AC1098" si="1595">S1099+S1100</f>
        <v>0</v>
      </c>
      <c r="T1098" s="1297">
        <f t="shared" si="1595"/>
        <v>0</v>
      </c>
      <c r="U1098" s="1297">
        <f t="shared" si="1595"/>
        <v>0</v>
      </c>
      <c r="V1098" s="1297">
        <f t="shared" si="1595"/>
        <v>0</v>
      </c>
      <c r="W1098" s="1297">
        <f t="shared" si="1595"/>
        <v>0</v>
      </c>
      <c r="X1098" s="1297">
        <f t="shared" si="1595"/>
        <v>0</v>
      </c>
      <c r="Y1098" s="1297">
        <f t="shared" si="1595"/>
        <v>0</v>
      </c>
      <c r="Z1098" s="1297">
        <f t="shared" si="1595"/>
        <v>0</v>
      </c>
      <c r="AA1098" s="1297">
        <f t="shared" si="1595"/>
        <v>0</v>
      </c>
      <c r="AB1098" s="1297">
        <f t="shared" si="1595"/>
        <v>0</v>
      </c>
      <c r="AC1098" s="1297">
        <f t="shared" si="1595"/>
        <v>0</v>
      </c>
      <c r="AD1098" s="921">
        <f>SUM(R1098:T1098)</f>
        <v>0</v>
      </c>
      <c r="AE1098" s="1297">
        <f>SUM(U1098:W1098)</f>
        <v>0</v>
      </c>
      <c r="AF1098" s="1297">
        <f>SUM(X1098:Z1098)</f>
        <v>0</v>
      </c>
      <c r="AG1098" s="1297">
        <f>SUM(AA1098:AC1098)</f>
        <v>0</v>
      </c>
      <c r="AH1098" s="1297">
        <f>AD1098+AE1098</f>
        <v>0</v>
      </c>
      <c r="AI1098" s="1297">
        <f>AG1098+AF1098</f>
        <v>0</v>
      </c>
      <c r="AJ1098" s="1297">
        <f>AH1098+AI1098</f>
        <v>0</v>
      </c>
      <c r="AL1098" s="1297">
        <f ca="1">SUM((INDIRECT(AL$2&amp;(ROW())):INDIRECT(AL$3&amp;(ROW()))))</f>
        <v>0</v>
      </c>
      <c r="AM1098" s="1297">
        <f ca="1">SUM(INDIRECT(AM$1&amp;AM$2&amp;$C1098):INDIRECT(AM$1&amp;AM$3&amp;$C1098))</f>
        <v>0</v>
      </c>
      <c r="AN1098" s="3343">
        <f ca="1">AL1098-AM1098</f>
        <v>0</v>
      </c>
      <c r="AO1098" s="2975">
        <f ca="1">IFERROR(AL1098/AM1098,0)</f>
        <v>0</v>
      </c>
      <c r="AP1098" s="1297">
        <f ca="1">SUM(INDIRECT(AP$1&amp;AP$2&amp;$A1098):INDIRECT(AP$1&amp;AP$3&amp;$A1098))+SUM(INDIRECT(AP$1&amp;AP$2&amp;$B1098):INDIRECT(AP$1&amp;AP$3&amp;$B1098))</f>
        <v>0</v>
      </c>
      <c r="AQ1098" s="3343">
        <f ca="1">AL1098-AP1098</f>
        <v>0</v>
      </c>
      <c r="AR1098" s="2975">
        <f ca="1">IFERROR(AL1098/AP1098,0)</f>
        <v>0</v>
      </c>
      <c r="AT1098" s="1297">
        <f ca="1">SUM((INDIRECT(AT$2&amp;(ROW())):INDIRECT(AT$3&amp;(ROW()))))</f>
        <v>0</v>
      </c>
      <c r="AU1098" s="1297">
        <f ca="1">SUM(INDIRECT(AU$1&amp;AU$2&amp;$C1098):INDIRECT(AU$1&amp;AU$3&amp;$C1098))</f>
        <v>0</v>
      </c>
      <c r="AV1098" s="3343">
        <f ca="1">AT1098-AU1098</f>
        <v>0</v>
      </c>
      <c r="AW1098" s="2975">
        <f ca="1">IFERROR(AT1098/AU1098,0)</f>
        <v>0</v>
      </c>
      <c r="AX1098" s="1297">
        <f ca="1">SUM(INDIRECT(AX$1&amp;AX$2&amp;$A1098):INDIRECT(AX$1&amp;AX$3&amp;$A1098))+SUM(INDIRECT(AX$1&amp;AX$2&amp;$B1098):INDIRECT(AX$1&amp;AX$3&amp;$B1098))</f>
        <v>0</v>
      </c>
      <c r="AY1098" s="3343">
        <f ca="1">AT1098-AX1098</f>
        <v>0</v>
      </c>
      <c r="AZ1098" s="2975">
        <f ca="1">IFERROR(AT1098/AX1098,0)</f>
        <v>0</v>
      </c>
      <c r="BB1098" s="1297">
        <f ca="1">SUM((INDIRECT(BB$2&amp;(ROW())):INDIRECT(BB$3&amp;(ROW()))))</f>
        <v>0</v>
      </c>
      <c r="BC1098" s="1297">
        <f ca="1">SUM(INDIRECT(BC$1&amp;BC$2&amp;$C1098):INDIRECT(BC$1&amp;BC$3&amp;$C1098))</f>
        <v>0</v>
      </c>
      <c r="BD1098" s="3343">
        <f ca="1">BB1098-BC1098</f>
        <v>0</v>
      </c>
      <c r="BE1098" s="2975">
        <f ca="1">IFERROR(BB1098/BC1098,0)</f>
        <v>0</v>
      </c>
      <c r="BF1098" s="1297">
        <f ca="1">SUM(INDIRECT(BF$1&amp;BF$2&amp;$A1098):INDIRECT(BF$1&amp;BF$3&amp;$A1098))+SUM(INDIRECT(BF$1&amp;BF$2&amp;$B1098):INDIRECT(BF$1&amp;BF$3&amp;$B1098))</f>
        <v>0</v>
      </c>
      <c r="BG1098" s="3343">
        <f ca="1">BB1098-BF1098</f>
        <v>0</v>
      </c>
      <c r="BH1098" s="2975">
        <f ca="1">IFERROR(BB1098/BF1098,0)</f>
        <v>0</v>
      </c>
    </row>
    <row r="1099" spans="1:60" ht="14.5">
      <c r="A1099" s="616">
        <f t="shared" si="1580"/>
        <v>1012</v>
      </c>
      <c r="B1099" s="616">
        <v>1</v>
      </c>
      <c r="C1099" s="616">
        <f t="shared" si="1582"/>
        <v>1096</v>
      </c>
      <c r="E1099" s="2547">
        <v>1</v>
      </c>
      <c r="F1099" s="244"/>
      <c r="I1099" s="564"/>
      <c r="J1099" s="565" t="s">
        <v>384</v>
      </c>
      <c r="K1099" s="565"/>
      <c r="L1099" s="565"/>
      <c r="M1099" s="565"/>
      <c r="N1099" s="565"/>
      <c r="O1099" s="565"/>
      <c r="P1099" s="565"/>
      <c r="Q1099" s="1781" t="str">
        <f>CHOOSE(2, "6722000004017", "Net Sales (One Rate) HW(One Rate)")</f>
        <v>Net Sales (One Rate) HW(One Rate)</v>
      </c>
      <c r="R1099" s="1300">
        <v>0</v>
      </c>
      <c r="S1099" s="1300">
        <v>0</v>
      </c>
      <c r="T1099" s="1300">
        <v>0</v>
      </c>
      <c r="U1099" s="1300">
        <v>0</v>
      </c>
      <c r="V1099" s="1300">
        <v>0</v>
      </c>
      <c r="W1099" s="1300">
        <v>0</v>
      </c>
      <c r="X1099" s="1300">
        <v>0</v>
      </c>
      <c r="Y1099" s="1300">
        <v>0</v>
      </c>
      <c r="Z1099" s="1300">
        <v>0</v>
      </c>
      <c r="AA1099" s="1300">
        <v>0</v>
      </c>
      <c r="AB1099" s="1300">
        <v>0</v>
      </c>
      <c r="AC1099" s="1300">
        <v>0</v>
      </c>
      <c r="AD1099" s="922">
        <f>SUM(R1099,S1099,T1099)</f>
        <v>0</v>
      </c>
      <c r="AE1099" s="569">
        <f t="shared" ref="AE1099:AE1100" si="1596">SUM(U1099,V1099,W1099)</f>
        <v>0</v>
      </c>
      <c r="AF1099" s="569">
        <f t="shared" ref="AF1099:AF1100" si="1597">SUM(X1099,Y1099,Z1099)</f>
        <v>0</v>
      </c>
      <c r="AG1099" s="569">
        <f t="shared" ref="AG1099:AG1100" si="1598">SUM(AA1099,AB1099,AC1099)</f>
        <v>0</v>
      </c>
      <c r="AH1099" s="569">
        <f>AD1099+AE1099</f>
        <v>0</v>
      </c>
      <c r="AI1099" s="569">
        <f>AG1099+AF1099</f>
        <v>0</v>
      </c>
      <c r="AJ1099" s="569">
        <f>AH1099+AI1099</f>
        <v>0</v>
      </c>
      <c r="AL1099" s="569">
        <f ca="1">SUM((INDIRECT(AL$2&amp;(ROW())):INDIRECT(AL$3&amp;(ROW()))))</f>
        <v>0</v>
      </c>
      <c r="AM1099" s="569">
        <f ca="1">SUM(INDIRECT(AM$1&amp;AM$2&amp;$C1099):INDIRECT(AM$1&amp;AM$3&amp;$C1099))</f>
        <v>2058</v>
      </c>
      <c r="AN1099" s="3344">
        <f ca="1">AL1099-AM1099</f>
        <v>-2058</v>
      </c>
      <c r="AO1099" s="2977">
        <f ca="1">IFERROR(AL1099/AM1099,0)</f>
        <v>0</v>
      </c>
      <c r="AP1099" s="569">
        <f ca="1">SUM(INDIRECT(AP$1&amp;AP$2&amp;$A1099):INDIRECT(AP$1&amp;AP$3&amp;$A1099))+SUM(INDIRECT(AP$1&amp;AP$2&amp;$B1099):INDIRECT(AP$1&amp;AP$3&amp;$B1099))</f>
        <v>0</v>
      </c>
      <c r="AQ1099" s="3344">
        <f ca="1">AL1099-AP1099</f>
        <v>0</v>
      </c>
      <c r="AR1099" s="2977">
        <f ca="1">IFERROR(AL1099/AP1099,0)</f>
        <v>0</v>
      </c>
      <c r="AT1099" s="569">
        <f ca="1">SUM((INDIRECT(AT$2&amp;(ROW())):INDIRECT(AT$3&amp;(ROW()))))</f>
        <v>0</v>
      </c>
      <c r="AU1099" s="569">
        <f ca="1">SUM(INDIRECT(AU$1&amp;AU$2&amp;$C1099):INDIRECT(AU$1&amp;AU$3&amp;$C1099))</f>
        <v>6131</v>
      </c>
      <c r="AV1099" s="3344">
        <f ca="1">AT1099-AU1099</f>
        <v>-6131</v>
      </c>
      <c r="AW1099" s="2977">
        <f ca="1">IFERROR(AT1099/AU1099,0)</f>
        <v>0</v>
      </c>
      <c r="AX1099" s="569">
        <f ca="1">SUM(INDIRECT(AX$1&amp;AX$2&amp;$A1099):INDIRECT(AX$1&amp;AX$3&amp;$A1099))+SUM(INDIRECT(AX$1&amp;AX$2&amp;$B1099):INDIRECT(AX$1&amp;AX$3&amp;$B1099))</f>
        <v>0</v>
      </c>
      <c r="AY1099" s="3344">
        <f ca="1">AT1099-AX1099</f>
        <v>0</v>
      </c>
      <c r="AZ1099" s="2977">
        <f ca="1">IFERROR(AT1099/AX1099,0)</f>
        <v>0</v>
      </c>
      <c r="BB1099" s="569">
        <f ca="1">SUM((INDIRECT(BB$2&amp;(ROW())):INDIRECT(BB$3&amp;(ROW()))))</f>
        <v>0</v>
      </c>
      <c r="BC1099" s="569">
        <f ca="1">SUM(INDIRECT(BC$1&amp;BC$2&amp;$C1099):INDIRECT(BC$1&amp;BC$3&amp;$C1099))</f>
        <v>10086</v>
      </c>
      <c r="BD1099" s="3344">
        <f ca="1">BB1099-BC1099</f>
        <v>-10086</v>
      </c>
      <c r="BE1099" s="2977">
        <f ca="1">IFERROR(BB1099/BC1099,0)</f>
        <v>0</v>
      </c>
      <c r="BF1099" s="569">
        <f ca="1">SUM(INDIRECT(BF$1&amp;BF$2&amp;$A1099):INDIRECT(BF$1&amp;BF$3&amp;$A1099))+SUM(INDIRECT(BF$1&amp;BF$2&amp;$B1099):INDIRECT(BF$1&amp;BF$3&amp;$B1099))</f>
        <v>0</v>
      </c>
      <c r="BG1099" s="3344">
        <f ca="1">BB1099-BF1099</f>
        <v>0</v>
      </c>
      <c r="BH1099" s="2977">
        <f ca="1">IFERROR(BB1099/BF1099,0)</f>
        <v>0</v>
      </c>
    </row>
    <row r="1100" spans="1:60" ht="14.5">
      <c r="A1100" s="616">
        <f t="shared" si="1580"/>
        <v>1013</v>
      </c>
      <c r="B1100" s="616">
        <v>1</v>
      </c>
      <c r="C1100" s="616">
        <f t="shared" si="1582"/>
        <v>1097</v>
      </c>
      <c r="E1100" s="2547">
        <v>1</v>
      </c>
      <c r="F1100" s="244"/>
      <c r="I1100" s="561"/>
      <c r="J1100" s="558" t="s">
        <v>385</v>
      </c>
      <c r="K1100" s="558"/>
      <c r="L1100" s="558"/>
      <c r="M1100" s="558"/>
      <c r="N1100" s="558"/>
      <c r="O1100" s="558"/>
      <c r="P1100" s="558"/>
      <c r="Q1100" s="1781" t="str">
        <f>CHOOSE(2, "6722000004018", "Net Sales (One Rate) NH(One Rate)")</f>
        <v>Net Sales (One Rate) NH(One Rate)</v>
      </c>
      <c r="R1100" s="1301">
        <v>0</v>
      </c>
      <c r="S1100" s="1301">
        <v>0</v>
      </c>
      <c r="T1100" s="1301">
        <v>0</v>
      </c>
      <c r="U1100" s="1301">
        <v>0</v>
      </c>
      <c r="V1100" s="1301">
        <v>0</v>
      </c>
      <c r="W1100" s="1301">
        <v>0</v>
      </c>
      <c r="X1100" s="1301">
        <v>0</v>
      </c>
      <c r="Y1100" s="1301">
        <v>0</v>
      </c>
      <c r="Z1100" s="1301">
        <v>0</v>
      </c>
      <c r="AA1100" s="1301">
        <v>0</v>
      </c>
      <c r="AB1100" s="1301">
        <v>0</v>
      </c>
      <c r="AC1100" s="1301">
        <v>0</v>
      </c>
      <c r="AD1100" s="923">
        <f>SUM(R1100,S1100,T1100)</f>
        <v>0</v>
      </c>
      <c r="AE1100" s="571">
        <f t="shared" si="1596"/>
        <v>0</v>
      </c>
      <c r="AF1100" s="571">
        <f t="shared" si="1597"/>
        <v>0</v>
      </c>
      <c r="AG1100" s="571">
        <f t="shared" si="1598"/>
        <v>0</v>
      </c>
      <c r="AH1100" s="571">
        <f>AD1100+AE1100</f>
        <v>0</v>
      </c>
      <c r="AI1100" s="571">
        <f>AG1100+AF1100</f>
        <v>0</v>
      </c>
      <c r="AJ1100" s="571">
        <f>AH1100+AI1100</f>
        <v>0</v>
      </c>
      <c r="AL1100" s="571">
        <f ca="1">SUM((INDIRECT(AL$2&amp;(ROW())):INDIRECT(AL$3&amp;(ROW()))))</f>
        <v>0</v>
      </c>
      <c r="AM1100" s="571">
        <f ca="1">SUM(INDIRECT(AM$1&amp;AM$2&amp;$C1100):INDIRECT(AM$1&amp;AM$3&amp;$C1100))</f>
        <v>373</v>
      </c>
      <c r="AN1100" s="3345">
        <f ca="1">AL1100-AM1100</f>
        <v>-373</v>
      </c>
      <c r="AO1100" s="2979">
        <f ca="1">IFERROR(AL1100/AM1100,0)</f>
        <v>0</v>
      </c>
      <c r="AP1100" s="571">
        <f ca="1">SUM(INDIRECT(AP$1&amp;AP$2&amp;$A1100):INDIRECT(AP$1&amp;AP$3&amp;$A1100))+SUM(INDIRECT(AP$1&amp;AP$2&amp;$B1100):INDIRECT(AP$1&amp;AP$3&amp;$B1100))</f>
        <v>0</v>
      </c>
      <c r="AQ1100" s="3345">
        <f ca="1">AL1100-AP1100</f>
        <v>0</v>
      </c>
      <c r="AR1100" s="2979">
        <f ca="1">IFERROR(AL1100/AP1100,0)</f>
        <v>0</v>
      </c>
      <c r="AT1100" s="571">
        <f ca="1">SUM((INDIRECT(AT$2&amp;(ROW())):INDIRECT(AT$3&amp;(ROW()))))</f>
        <v>0</v>
      </c>
      <c r="AU1100" s="571">
        <f ca="1">SUM(INDIRECT(AU$1&amp;AU$2&amp;$C1100):INDIRECT(AU$1&amp;AU$3&amp;$C1100))</f>
        <v>1111</v>
      </c>
      <c r="AV1100" s="3345">
        <f ca="1">AT1100-AU1100</f>
        <v>-1111</v>
      </c>
      <c r="AW1100" s="2979">
        <f ca="1">IFERROR(AT1100/AU1100,0)</f>
        <v>0</v>
      </c>
      <c r="AX1100" s="571">
        <f ca="1">SUM(INDIRECT(AX$1&amp;AX$2&amp;$A1100):INDIRECT(AX$1&amp;AX$3&amp;$A1100))+SUM(INDIRECT(AX$1&amp;AX$2&amp;$B1100):INDIRECT(AX$1&amp;AX$3&amp;$B1100))</f>
        <v>0</v>
      </c>
      <c r="AY1100" s="3345">
        <f ca="1">AT1100-AX1100</f>
        <v>0</v>
      </c>
      <c r="AZ1100" s="2979">
        <f ca="1">IFERROR(AT1100/AX1100,0)</f>
        <v>0</v>
      </c>
      <c r="BB1100" s="571">
        <f ca="1">SUM((INDIRECT(BB$2&amp;(ROW())):INDIRECT(BB$3&amp;(ROW()))))</f>
        <v>0</v>
      </c>
      <c r="BC1100" s="571">
        <f ca="1">SUM(INDIRECT(BC$1&amp;BC$2&amp;$C1100):INDIRECT(BC$1&amp;BC$3&amp;$C1100))</f>
        <v>1828</v>
      </c>
      <c r="BD1100" s="3345">
        <f ca="1">BB1100-BC1100</f>
        <v>-1828</v>
      </c>
      <c r="BE1100" s="2979">
        <f ca="1">IFERROR(BB1100/BC1100,0)</f>
        <v>0</v>
      </c>
      <c r="BF1100" s="571">
        <f ca="1">SUM(INDIRECT(BF$1&amp;BF$2&amp;$A1100):INDIRECT(BF$1&amp;BF$3&amp;$A1100))+SUM(INDIRECT(BF$1&amp;BF$2&amp;$B1100):INDIRECT(BF$1&amp;BF$3&amp;$B1100))</f>
        <v>0</v>
      </c>
      <c r="BG1100" s="3345">
        <f ca="1">BB1100-BF1100</f>
        <v>0</v>
      </c>
      <c r="BH1100" s="2979">
        <f ca="1">IFERROR(BB1100/BF1100,0)</f>
        <v>0</v>
      </c>
    </row>
    <row r="1101" spans="1:60" ht="14.5">
      <c r="A1101" s="616">
        <f t="shared" si="1580"/>
        <v>1014</v>
      </c>
      <c r="B1101" s="616">
        <v>1</v>
      </c>
      <c r="C1101" s="616">
        <f t="shared" si="1582"/>
        <v>1098</v>
      </c>
      <c r="E1101" s="2547">
        <v>1</v>
      </c>
      <c r="F1101" s="244"/>
      <c r="I1101" s="22"/>
      <c r="J1101" s="69"/>
      <c r="K1101" s="22"/>
      <c r="L1101" s="22"/>
      <c r="M1101" s="69"/>
      <c r="N1101" s="69"/>
      <c r="O1101" s="69"/>
      <c r="P1101" s="69"/>
      <c r="Q1101" s="1772" t="str">
        <f>CHOOSE(2, "6722000004019", "▷ Blank 36")</f>
        <v>▷ Blank 36</v>
      </c>
      <c r="R1101" s="2557"/>
    </row>
    <row r="1102" spans="1:60" ht="15.5">
      <c r="A1102" s="616">
        <f t="shared" si="1580"/>
        <v>1015</v>
      </c>
      <c r="B1102" s="616">
        <v>1</v>
      </c>
      <c r="C1102" s="616">
        <f t="shared" si="1582"/>
        <v>1099</v>
      </c>
      <c r="E1102" s="2547">
        <v>1</v>
      </c>
      <c r="F1102" s="244"/>
      <c r="G1102" s="243" t="s">
        <v>1538</v>
      </c>
      <c r="I1102" s="22"/>
      <c r="J1102" s="69"/>
      <c r="K1102" s="22"/>
      <c r="L1102" s="22"/>
      <c r="M1102" s="69"/>
      <c r="N1102" s="69"/>
      <c r="O1102" s="69"/>
      <c r="P1102" s="578" t="s">
        <v>1534</v>
      </c>
      <c r="Q1102" s="1772" t="str">
        <f>CHOOSE(2, "6722000004020", "5-2. Free to Fee  (included in Office/ITS)")</f>
        <v>5-2. Free to Fee  (included in Office/ITS)</v>
      </c>
      <c r="R1102" s="2557"/>
    </row>
    <row r="1103" spans="1:60" ht="14.5">
      <c r="A1103" s="616">
        <f t="shared" si="1580"/>
        <v>1016</v>
      </c>
      <c r="B1103" s="616">
        <v>1</v>
      </c>
      <c r="C1103" s="616">
        <f t="shared" si="1582"/>
        <v>1100</v>
      </c>
      <c r="E1103" s="2547">
        <v>1</v>
      </c>
      <c r="F1103" s="244"/>
      <c r="I1103" s="2307" t="s">
        <v>1539</v>
      </c>
      <c r="J1103" s="2308"/>
      <c r="K1103" s="2308"/>
      <c r="L1103" s="2308"/>
      <c r="M1103" s="2308"/>
      <c r="N1103" s="2308"/>
      <c r="O1103" s="2308"/>
      <c r="P1103" s="2308"/>
      <c r="Q1103" s="1781" t="str">
        <f>CHOOSE(2, "6722000004021", "Net Sales (Free to Fee)")</f>
        <v>Net Sales (Free to Fee)</v>
      </c>
      <c r="R1103" s="3339">
        <v>0</v>
      </c>
      <c r="S1103" s="3339">
        <v>0</v>
      </c>
      <c r="T1103" s="3339">
        <v>0</v>
      </c>
      <c r="U1103" s="3339">
        <v>0</v>
      </c>
      <c r="V1103" s="3339">
        <v>0</v>
      </c>
      <c r="W1103" s="3339">
        <v>0</v>
      </c>
      <c r="X1103" s="3339">
        <v>0</v>
      </c>
      <c r="Y1103" s="3339">
        <v>0</v>
      </c>
      <c r="Z1103" s="3339">
        <v>0</v>
      </c>
      <c r="AA1103" s="3339">
        <v>0</v>
      </c>
      <c r="AB1103" s="3339">
        <v>0</v>
      </c>
      <c r="AC1103" s="3339">
        <v>0</v>
      </c>
      <c r="AD1103" s="3340">
        <f>SUM(R1103,S1103,T1103)</f>
        <v>0</v>
      </c>
      <c r="AE1103" s="3341">
        <f t="shared" ref="AE1103" si="1599">SUM(U1103,V1103,W1103)</f>
        <v>0</v>
      </c>
      <c r="AF1103" s="3341">
        <f t="shared" ref="AF1103" si="1600">SUM(X1103,Y1103,Z1103)</f>
        <v>0</v>
      </c>
      <c r="AG1103" s="3341">
        <f t="shared" ref="AG1103" si="1601">SUM(AA1103,AB1103,AC1103)</f>
        <v>0</v>
      </c>
      <c r="AH1103" s="3341">
        <f>AD1103+AE1103</f>
        <v>0</v>
      </c>
      <c r="AI1103" s="3341">
        <f>AG1103+AF1103</f>
        <v>0</v>
      </c>
      <c r="AJ1103" s="3341">
        <f>AH1103+AI1103</f>
        <v>0</v>
      </c>
      <c r="AL1103" s="3341">
        <f ca="1">SUM((INDIRECT(AL$2&amp;(ROW())):INDIRECT(AL$3&amp;(ROW()))))</f>
        <v>0</v>
      </c>
      <c r="AM1103" s="3341">
        <f ca="1">SUM(INDIRECT(AM$1&amp;AM$2&amp;$C1103):INDIRECT(AM$1&amp;AM$3&amp;$C1103))</f>
        <v>0</v>
      </c>
      <c r="AN1103" s="2980">
        <f ca="1">AL1103-AM1103</f>
        <v>0</v>
      </c>
      <c r="AO1103" s="2973">
        <f ca="1">IFERROR(AL1103/AM1103,0)</f>
        <v>0</v>
      </c>
      <c r="AP1103" s="3341">
        <f ca="1">SUM(INDIRECT(AP$1&amp;AP$2&amp;$A1103):INDIRECT(AP$1&amp;AP$3&amp;$A1103))+SUM(INDIRECT(AP$1&amp;AP$2&amp;$B1103):INDIRECT(AP$1&amp;AP$3&amp;$B1103))</f>
        <v>0</v>
      </c>
      <c r="AQ1103" s="2980">
        <f ca="1">AL1103-AP1103</f>
        <v>0</v>
      </c>
      <c r="AR1103" s="2973">
        <f ca="1">IFERROR(AL1103/AP1103,0)</f>
        <v>0</v>
      </c>
      <c r="AT1103" s="3341">
        <f ca="1">SUM((INDIRECT(AT$2&amp;(ROW())):INDIRECT(AT$3&amp;(ROW()))))</f>
        <v>0</v>
      </c>
      <c r="AU1103" s="3341">
        <f ca="1">SUM(INDIRECT(AU$1&amp;AU$2&amp;$C1103):INDIRECT(AU$1&amp;AU$3&amp;$C1103))</f>
        <v>0</v>
      </c>
      <c r="AV1103" s="2980">
        <f ca="1">AT1103-AU1103</f>
        <v>0</v>
      </c>
      <c r="AW1103" s="2973">
        <f ca="1">IFERROR(AT1103/AU1103,0)</f>
        <v>0</v>
      </c>
      <c r="AX1103" s="3341">
        <f ca="1">SUM(INDIRECT(AX$1&amp;AX$2&amp;$A1103):INDIRECT(AX$1&amp;AX$3&amp;$A1103))+SUM(INDIRECT(AX$1&amp;AX$2&amp;$B1103):INDIRECT(AX$1&amp;AX$3&amp;$B1103))</f>
        <v>0</v>
      </c>
      <c r="AY1103" s="2980">
        <f ca="1">AT1103-AX1103</f>
        <v>0</v>
      </c>
      <c r="AZ1103" s="2973">
        <f ca="1">IFERROR(AT1103/AX1103,0)</f>
        <v>0</v>
      </c>
      <c r="BB1103" s="3341">
        <f ca="1">SUM((INDIRECT(BB$2&amp;(ROW())):INDIRECT(BB$3&amp;(ROW()))))</f>
        <v>0</v>
      </c>
      <c r="BC1103" s="3341">
        <f ca="1">SUM(INDIRECT(BC$1&amp;BC$2&amp;$C1103):INDIRECT(BC$1&amp;BC$3&amp;$C1103))</f>
        <v>0</v>
      </c>
      <c r="BD1103" s="2980">
        <f ca="1">BB1103-BC1103</f>
        <v>0</v>
      </c>
      <c r="BE1103" s="2973">
        <f ca="1">IFERROR(BB1103/BC1103,0)</f>
        <v>0</v>
      </c>
      <c r="BF1103" s="3341">
        <f ca="1">SUM(INDIRECT(BF$1&amp;BF$2&amp;$A1103):INDIRECT(BF$1&amp;BF$3&amp;$A1103))+SUM(INDIRECT(BF$1&amp;BF$2&amp;$B1103):INDIRECT(BF$1&amp;BF$3&amp;$B1103))</f>
        <v>0</v>
      </c>
      <c r="BG1103" s="2980">
        <f ca="1">BB1103-BF1103</f>
        <v>0</v>
      </c>
      <c r="BH1103" s="2973">
        <f ca="1">IFERROR(BB1103/BF1103,0)</f>
        <v>0</v>
      </c>
    </row>
    <row r="1104" spans="1:60" s="69" customFormat="1" ht="14.5">
      <c r="A1104" s="616">
        <f t="shared" si="1580"/>
        <v>1017</v>
      </c>
      <c r="B1104" s="616"/>
      <c r="C1104" s="616" t="s">
        <v>1540</v>
      </c>
      <c r="D1104" s="709" t="s">
        <v>1308</v>
      </c>
      <c r="E1104" s="2547">
        <v>1</v>
      </c>
      <c r="F1104" s="244"/>
      <c r="G1104" s="244"/>
      <c r="H1104" s="455"/>
      <c r="I1104" s="216"/>
      <c r="J1104" s="216"/>
      <c r="K1104" s="216"/>
      <c r="L1104" s="210"/>
      <c r="M1104" s="22"/>
      <c r="Q1104" s="1821" t="str">
        <f>CHOOSE(2, "6722000004022", "▷ Blank 37")</f>
        <v>▷ Blank 37</v>
      </c>
      <c r="R1104" s="1393"/>
      <c r="S1104" s="1239"/>
      <c r="T1104" s="1239"/>
      <c r="U1104" s="1239"/>
      <c r="V1104" s="1239"/>
      <c r="W1104" s="1239"/>
      <c r="X1104" s="1239"/>
      <c r="Y1104" s="1239"/>
      <c r="Z1104" s="1239"/>
      <c r="AA1104" s="1239"/>
      <c r="AB1104" s="1239"/>
      <c r="AC1104" s="1239"/>
      <c r="AD1104" s="1239"/>
      <c r="AE1104" s="217"/>
      <c r="AF1104" s="217"/>
      <c r="AG1104" s="217"/>
      <c r="AH1104" s="217"/>
      <c r="AI1104" s="217"/>
      <c r="AJ1104" s="217"/>
    </row>
    <row r="1105" spans="1:36" ht="18">
      <c r="A1105" s="616">
        <v>1</v>
      </c>
      <c r="B1105" s="616">
        <v>1</v>
      </c>
      <c r="C1105" s="616" t="s">
        <v>1540</v>
      </c>
      <c r="D1105" s="709" t="s">
        <v>1308</v>
      </c>
      <c r="E1105" s="2568" t="s">
        <v>1370</v>
      </c>
      <c r="F1105" s="2605" t="s">
        <v>1541</v>
      </c>
      <c r="G1105" s="242"/>
      <c r="Q1105" s="3346" t="e">
        <f t="shared" ref="Q1105" si="1602">Q1090+Q1098</f>
        <v>#VALUE!</v>
      </c>
      <c r="R1105" s="2557"/>
    </row>
    <row r="1106" spans="1:36" ht="14.5">
      <c r="A1106" s="616">
        <v>1</v>
      </c>
      <c r="B1106" s="616">
        <v>1</v>
      </c>
      <c r="C1106" s="616" t="s">
        <v>1540</v>
      </c>
      <c r="D1106" s="709" t="s">
        <v>1308</v>
      </c>
      <c r="E1106" s="2568" t="s">
        <v>1370</v>
      </c>
      <c r="F1106" s="2606"/>
      <c r="G1106" s="22" t="s">
        <v>1542</v>
      </c>
      <c r="O1106" s="477" t="s">
        <v>1543</v>
      </c>
      <c r="Q1106" s="1772" t="str">
        <f>CHOOSE(2, "6722000004024", "6-1. Detail of Purchase")</f>
        <v>6-1. Detail of Purchase</v>
      </c>
      <c r="R1106" s="2557"/>
    </row>
    <row r="1107" spans="1:36" s="392" customFormat="1" ht="14.5">
      <c r="A1107" s="616">
        <v>1</v>
      </c>
      <c r="B1107" s="616">
        <v>1</v>
      </c>
      <c r="C1107" s="616" t="s">
        <v>1540</v>
      </c>
      <c r="D1107" s="709" t="s">
        <v>1308</v>
      </c>
      <c r="E1107" s="2568" t="s">
        <v>1370</v>
      </c>
      <c r="F1107" s="2607"/>
      <c r="G1107" s="476"/>
      <c r="I1107" s="831" t="s">
        <v>1544</v>
      </c>
      <c r="J1107" s="180"/>
      <c r="K1107" s="180"/>
      <c r="L1107" s="180"/>
      <c r="M1107" s="179"/>
      <c r="N1107" s="179"/>
      <c r="O1107" s="179"/>
      <c r="P1107" s="179"/>
      <c r="Q1107" s="1824" t="str">
        <f>CHOOSE(2, "6722000004025", "▷ Blank 38")</f>
        <v>▷ Blank 38</v>
      </c>
      <c r="R1107" s="1127"/>
      <c r="S1107" s="8"/>
      <c r="T1107" s="173"/>
      <c r="U1107" s="1234"/>
    </row>
    <row r="1108" spans="1:36" s="392" customFormat="1" ht="14.5">
      <c r="A1108" s="616">
        <v>1</v>
      </c>
      <c r="B1108" s="616">
        <v>1</v>
      </c>
      <c r="C1108" s="616" t="s">
        <v>1540</v>
      </c>
      <c r="D1108" s="709" t="s">
        <v>1308</v>
      </c>
      <c r="E1108" s="2568" t="s">
        <v>1370</v>
      </c>
      <c r="F1108" s="2608"/>
      <c r="G1108" s="238"/>
      <c r="H1108" s="238"/>
      <c r="I1108" s="3347" t="s">
        <v>1545</v>
      </c>
      <c r="J1108" s="405"/>
      <c r="K1108" s="402"/>
      <c r="L1108" s="402"/>
      <c r="M1108" s="403"/>
      <c r="N1108" s="403"/>
      <c r="O1108" s="403"/>
      <c r="P1108" s="403"/>
      <c r="Q1108" s="1825" t="str">
        <f>CHOOSE(2, "6722000004026", "TPA")</f>
        <v>TPA</v>
      </c>
      <c r="R1108" s="1203">
        <f t="shared" ref="R1108:AC1108" si="1603">SUM(R1110,R1134,R1135,R1136)</f>
        <v>522883.87781999999</v>
      </c>
      <c r="S1108" s="1203">
        <f t="shared" si="1603"/>
        <v>605870.51039000007</v>
      </c>
      <c r="T1108" s="1203">
        <f t="shared" si="1603"/>
        <v>427467.67182639992</v>
      </c>
      <c r="U1108" s="1203">
        <f t="shared" si="1603"/>
        <v>663160.82662499999</v>
      </c>
      <c r="V1108" s="1203">
        <f t="shared" si="1603"/>
        <v>401695.44968999992</v>
      </c>
      <c r="W1108" s="1203">
        <f t="shared" si="1603"/>
        <v>601916.04891000001</v>
      </c>
      <c r="X1108" s="1203">
        <f t="shared" si="1603"/>
        <v>485918.24277899996</v>
      </c>
      <c r="Y1108" s="1203">
        <f t="shared" si="1603"/>
        <v>627354.90008039994</v>
      </c>
      <c r="Z1108" s="1203">
        <f t="shared" si="1603"/>
        <v>486884.81614599994</v>
      </c>
      <c r="AA1108" s="1203">
        <f t="shared" si="1603"/>
        <v>515012.62365999992</v>
      </c>
      <c r="AB1108" s="1203">
        <f t="shared" si="1603"/>
        <v>721690.12837000017</v>
      </c>
      <c r="AC1108" s="1203">
        <f t="shared" si="1603"/>
        <v>404757.07627000008</v>
      </c>
      <c r="AD1108" s="3348">
        <f>SUM(R1108:T1108)</f>
        <v>1556222.0600363999</v>
      </c>
      <c r="AE1108" s="1203">
        <f>SUM(U1108:W1108)</f>
        <v>1666772.3252249998</v>
      </c>
      <c r="AF1108" s="1203">
        <f>SUM(X1108:Z1108)</f>
        <v>1600157.9590053996</v>
      </c>
      <c r="AG1108" s="1203">
        <f>SUM(AA1108:AC1108)</f>
        <v>1641459.8283000002</v>
      </c>
      <c r="AH1108" s="1203">
        <f>SUM(AD1108:AE1108)</f>
        <v>3222994.3852613997</v>
      </c>
      <c r="AI1108" s="1203">
        <f>SUM(AF1108:AG1108)</f>
        <v>3241617.7873053998</v>
      </c>
      <c r="AJ1108" s="1203">
        <f>SUM(AH1108:AI1108)</f>
        <v>6464612.1725667994</v>
      </c>
    </row>
    <row r="1109" spans="1:36" s="392" customFormat="1" ht="14.5">
      <c r="A1109" s="616">
        <v>1</v>
      </c>
      <c r="B1109" s="616">
        <v>1</v>
      </c>
      <c r="C1109" s="616" t="s">
        <v>1540</v>
      </c>
      <c r="D1109" s="709" t="s">
        <v>1308</v>
      </c>
      <c r="E1109" s="2568" t="s">
        <v>1370</v>
      </c>
      <c r="F1109" s="2609"/>
      <c r="G1109" s="237"/>
      <c r="H1109" s="237"/>
      <c r="I1109" s="406"/>
      <c r="J1109" s="3349" t="s">
        <v>1546</v>
      </c>
      <c r="K1109" s="393"/>
      <c r="L1109" s="393"/>
      <c r="M1109" s="394"/>
      <c r="N1109" s="3350"/>
      <c r="O1109" s="394"/>
      <c r="P1109" s="394"/>
      <c r="Q1109" s="1826" t="str">
        <f>CHOOSE(2, "6722000004027", "TPA Total BT-G PA")</f>
        <v>TPA Total BT-G PA</v>
      </c>
      <c r="R1109" s="1202">
        <f t="shared" ref="R1109:AC1109" si="1604">R1110+R1134+R1135</f>
        <v>520305.48463000002</v>
      </c>
      <c r="S1109" s="1202">
        <f t="shared" si="1604"/>
        <v>580207.83039000002</v>
      </c>
      <c r="T1109" s="1202">
        <f t="shared" si="1604"/>
        <v>421571.12376999995</v>
      </c>
      <c r="U1109" s="1202">
        <f t="shared" si="1604"/>
        <v>651494.73959499993</v>
      </c>
      <c r="V1109" s="1202">
        <f t="shared" si="1604"/>
        <v>397051.64568999992</v>
      </c>
      <c r="W1109" s="1202">
        <f t="shared" si="1604"/>
        <v>595496.78781000001</v>
      </c>
      <c r="X1109" s="1202">
        <f t="shared" si="1604"/>
        <v>484355.11245399999</v>
      </c>
      <c r="Y1109" s="1202">
        <f t="shared" si="1604"/>
        <v>623302.13732999994</v>
      </c>
      <c r="Z1109" s="1202">
        <f t="shared" si="1604"/>
        <v>484118.75517399993</v>
      </c>
      <c r="AA1109" s="1202">
        <f t="shared" si="1604"/>
        <v>511615.19968999992</v>
      </c>
      <c r="AB1109" s="1202">
        <f t="shared" si="1604"/>
        <v>717394.22837000014</v>
      </c>
      <c r="AC1109" s="1202">
        <f t="shared" si="1604"/>
        <v>387991.00941000006</v>
      </c>
      <c r="AD1109" s="3351">
        <f>SUM(R1109:T1109)</f>
        <v>1522084.43879</v>
      </c>
      <c r="AE1109" s="1202">
        <f>SUM(U1109:W1109)</f>
        <v>1644043.173095</v>
      </c>
      <c r="AF1109" s="1202">
        <f>SUM(X1109:Z1109)</f>
        <v>1591776.004958</v>
      </c>
      <c r="AG1109" s="1202">
        <f>SUM(AA1109:AC1109)</f>
        <v>1617000.4374700002</v>
      </c>
      <c r="AH1109" s="1202">
        <f>SUM(AD1109:AE1109)</f>
        <v>3166127.611885</v>
      </c>
      <c r="AI1109" s="1202">
        <f>SUM(AF1109:AG1109)</f>
        <v>3208776.4424280003</v>
      </c>
      <c r="AJ1109" s="1202">
        <f>SUM(AH1109:AI1109)</f>
        <v>6374904.0543130003</v>
      </c>
    </row>
    <row r="1110" spans="1:36" s="392" customFormat="1" ht="14.5">
      <c r="A1110" s="616">
        <v>1</v>
      </c>
      <c r="B1110" s="616">
        <v>1</v>
      </c>
      <c r="C1110" s="616" t="s">
        <v>1540</v>
      </c>
      <c r="D1110" s="709" t="s">
        <v>1308</v>
      </c>
      <c r="E1110" s="2568" t="s">
        <v>1370</v>
      </c>
      <c r="F1110" s="2608"/>
      <c r="G1110" s="238"/>
      <c r="H1110" s="238"/>
      <c r="I1110" s="398"/>
      <c r="J1110" s="397"/>
      <c r="K1110" s="2314" t="s">
        <v>255</v>
      </c>
      <c r="L1110" s="2315"/>
      <c r="M1110" s="2316"/>
      <c r="N1110" s="2316"/>
      <c r="O1110" s="2316"/>
      <c r="P1110" s="2316"/>
      <c r="Q1110" s="1827" t="str">
        <f>CHOOSE(2, "6722000004028", "TPA Total BT-G PA ①Supplier = BT")</f>
        <v>TPA Total BT-G PA ①Supplier = BT</v>
      </c>
      <c r="R1110" s="2317">
        <f t="shared" ref="R1110:AJ1110" si="1605">R1111+R1120+R1129+R1132+R1133</f>
        <v>499510.40017000004</v>
      </c>
      <c r="S1110" s="2317">
        <f t="shared" si="1605"/>
        <v>533337.10016999999</v>
      </c>
      <c r="T1110" s="2317">
        <f t="shared" si="1605"/>
        <v>402270.62826999993</v>
      </c>
      <c r="U1110" s="2317">
        <f t="shared" si="1605"/>
        <v>630884.29184999992</v>
      </c>
      <c r="V1110" s="2317">
        <f t="shared" si="1605"/>
        <v>390624.89628999995</v>
      </c>
      <c r="W1110" s="2317">
        <f t="shared" si="1605"/>
        <v>577694.82490999997</v>
      </c>
      <c r="X1110" s="2317">
        <f t="shared" si="1605"/>
        <v>467296.52916999994</v>
      </c>
      <c r="Y1110" s="2317">
        <f t="shared" si="1605"/>
        <v>621020.52732999995</v>
      </c>
      <c r="Z1110" s="2317">
        <f t="shared" si="1605"/>
        <v>475606.91235999996</v>
      </c>
      <c r="AA1110" s="2317">
        <f t="shared" si="1605"/>
        <v>501454.44831999991</v>
      </c>
      <c r="AB1110" s="2317">
        <f t="shared" si="1605"/>
        <v>713265.78057000018</v>
      </c>
      <c r="AC1110" s="2317">
        <f t="shared" si="1605"/>
        <v>354999.20489000005</v>
      </c>
      <c r="AD1110" s="2318">
        <f t="shared" si="1605"/>
        <v>1435118.12861</v>
      </c>
      <c r="AE1110" s="2317">
        <f t="shared" si="1605"/>
        <v>1599204.01305</v>
      </c>
      <c r="AF1110" s="2317">
        <f t="shared" si="1605"/>
        <v>1563923.9688599999</v>
      </c>
      <c r="AG1110" s="2317">
        <f t="shared" si="1605"/>
        <v>1569719.4337799998</v>
      </c>
      <c r="AH1110" s="2317">
        <f t="shared" si="1605"/>
        <v>3034322.1416599997</v>
      </c>
      <c r="AI1110" s="2317">
        <f t="shared" si="1605"/>
        <v>3133643.40264</v>
      </c>
      <c r="AJ1110" s="2317">
        <f t="shared" si="1605"/>
        <v>6167965.5442999993</v>
      </c>
    </row>
    <row r="1111" spans="1:36" s="392" customFormat="1" ht="14.5">
      <c r="A1111" s="616">
        <v>1</v>
      </c>
      <c r="B1111" s="616">
        <v>1</v>
      </c>
      <c r="C1111" s="616" t="s">
        <v>1540</v>
      </c>
      <c r="D1111" s="709" t="s">
        <v>1308</v>
      </c>
      <c r="E1111" s="2568" t="s">
        <v>1370</v>
      </c>
      <c r="F1111" s="2608"/>
      <c r="G1111" s="391"/>
      <c r="H1111" s="391"/>
      <c r="I1111" s="398"/>
      <c r="J1111" s="396"/>
      <c r="K1111" s="3352" t="s">
        <v>1547</v>
      </c>
      <c r="L1111" s="416"/>
      <c r="M1111" s="417"/>
      <c r="N1111" s="417"/>
      <c r="O1111" s="417"/>
      <c r="P1111" s="417"/>
      <c r="Q1111" s="1827" t="str">
        <f>CHOOSE(2, "6722000004029", "TPA Total BT-G PA (1) Office")</f>
        <v>TPA Total BT-G PA (1) Office</v>
      </c>
      <c r="R1111" s="818">
        <f t="shared" ref="R1111:AJ1111" si="1606">R1112+R1116</f>
        <v>117838.65737</v>
      </c>
      <c r="S1111" s="818">
        <f t="shared" si="1606"/>
        <v>143041.85399999999</v>
      </c>
      <c r="T1111" s="818">
        <f t="shared" si="1606"/>
        <v>130231.13675000001</v>
      </c>
      <c r="U1111" s="818">
        <f t="shared" si="1606"/>
        <v>209462.28473000001</v>
      </c>
      <c r="V1111" s="818">
        <f t="shared" si="1606"/>
        <v>145946.06989000001</v>
      </c>
      <c r="W1111" s="818">
        <f t="shared" si="1606"/>
        <v>216905.01378000001</v>
      </c>
      <c r="X1111" s="818">
        <f t="shared" si="1606"/>
        <v>133177.23604000002</v>
      </c>
      <c r="Y1111" s="818">
        <f t="shared" si="1606"/>
        <v>194544.29459000003</v>
      </c>
      <c r="Z1111" s="818">
        <f t="shared" si="1606"/>
        <v>175496.84118000002</v>
      </c>
      <c r="AA1111" s="818">
        <f t="shared" si="1606"/>
        <v>199222.52066000001</v>
      </c>
      <c r="AB1111" s="818">
        <f t="shared" si="1606"/>
        <v>229973.68180000002</v>
      </c>
      <c r="AC1111" s="818">
        <f t="shared" si="1606"/>
        <v>121580.72789000001</v>
      </c>
      <c r="AD1111" s="927">
        <f t="shared" si="1606"/>
        <v>391111.64811999997</v>
      </c>
      <c r="AE1111" s="818">
        <f t="shared" si="1606"/>
        <v>572313.36840000004</v>
      </c>
      <c r="AF1111" s="818">
        <f t="shared" si="1606"/>
        <v>503218.37180999998</v>
      </c>
      <c r="AG1111" s="818">
        <f t="shared" si="1606"/>
        <v>550776.93035000004</v>
      </c>
      <c r="AH1111" s="818">
        <f t="shared" si="1606"/>
        <v>963425.01652000006</v>
      </c>
      <c r="AI1111" s="818">
        <f t="shared" si="1606"/>
        <v>1053995.30216</v>
      </c>
      <c r="AJ1111" s="818">
        <f t="shared" si="1606"/>
        <v>2017420.31868</v>
      </c>
    </row>
    <row r="1112" spans="1:36" s="392" customFormat="1" ht="14.5">
      <c r="A1112" s="616">
        <v>1</v>
      </c>
      <c r="B1112" s="616">
        <v>1</v>
      </c>
      <c r="C1112" s="616" t="s">
        <v>1540</v>
      </c>
      <c r="D1112" s="709" t="s">
        <v>1308</v>
      </c>
      <c r="E1112" s="2568" t="s">
        <v>1370</v>
      </c>
      <c r="F1112" s="2608"/>
      <c r="G1112" s="391"/>
      <c r="H1112" s="391"/>
      <c r="I1112" s="398"/>
      <c r="J1112" s="395"/>
      <c r="K1112" s="411"/>
      <c r="L1112" s="385" t="s">
        <v>1548</v>
      </c>
      <c r="M1112" s="811"/>
      <c r="N1112" s="803"/>
      <c r="O1112" s="803"/>
      <c r="P1112" s="803"/>
      <c r="Q1112" s="1828" t="str">
        <f>CHOOSE(2, "6722000004030", "TPA Total BT-G PA (1) Office RR")</f>
        <v>TPA Total BT-G PA (1) Office RR</v>
      </c>
      <c r="R1112" s="819">
        <f t="shared" ref="R1112" si="1607">SUM(R1113:R1115)</f>
        <v>113472.367</v>
      </c>
      <c r="S1112" s="819">
        <f t="shared" ref="S1112:AJ1112" si="1608">SUM(S1113:S1115)</f>
        <v>139925.766</v>
      </c>
      <c r="T1112" s="819">
        <f t="shared" si="1608"/>
        <v>126763.826</v>
      </c>
      <c r="U1112" s="819">
        <f t="shared" si="1608"/>
        <v>205956.01400000002</v>
      </c>
      <c r="V1112" s="819">
        <f t="shared" si="1608"/>
        <v>141269.65700000001</v>
      </c>
      <c r="W1112" s="819">
        <f t="shared" si="1608"/>
        <v>211053.253</v>
      </c>
      <c r="X1112" s="819">
        <f t="shared" si="1608"/>
        <v>126577.85400000001</v>
      </c>
      <c r="Y1112" s="819">
        <f t="shared" si="1608"/>
        <v>188244.54200000002</v>
      </c>
      <c r="Z1112" s="819">
        <f t="shared" si="1608"/>
        <v>168921.08900000001</v>
      </c>
      <c r="AA1112" s="819">
        <f t="shared" si="1608"/>
        <v>195343.09700000001</v>
      </c>
      <c r="AB1112" s="819">
        <f t="shared" si="1608"/>
        <v>222120.52300000002</v>
      </c>
      <c r="AC1112" s="819">
        <f t="shared" si="1608"/>
        <v>115827.04100000001</v>
      </c>
      <c r="AD1112" s="928">
        <f t="shared" si="1608"/>
        <v>380161.95899999997</v>
      </c>
      <c r="AE1112" s="819">
        <f t="shared" si="1608"/>
        <v>558278.924</v>
      </c>
      <c r="AF1112" s="819">
        <f t="shared" si="1608"/>
        <v>483743.48499999999</v>
      </c>
      <c r="AG1112" s="819">
        <f t="shared" si="1608"/>
        <v>533290.66100000008</v>
      </c>
      <c r="AH1112" s="819">
        <f t="shared" si="1608"/>
        <v>938440.88300000003</v>
      </c>
      <c r="AI1112" s="819">
        <f t="shared" si="1608"/>
        <v>1017034.1459999999</v>
      </c>
      <c r="AJ1112" s="819">
        <f t="shared" si="1608"/>
        <v>1955475.0290000001</v>
      </c>
    </row>
    <row r="1113" spans="1:36" s="392" customFormat="1" ht="14.5">
      <c r="A1113" s="616">
        <v>1</v>
      </c>
      <c r="B1113" s="616">
        <v>1</v>
      </c>
      <c r="C1113" s="616" t="s">
        <v>1540</v>
      </c>
      <c r="D1113" s="709" t="s">
        <v>1308</v>
      </c>
      <c r="E1113" s="2568" t="s">
        <v>1370</v>
      </c>
      <c r="F1113" s="2608"/>
      <c r="G1113" s="238"/>
      <c r="H1113" s="238"/>
      <c r="I1113" s="398"/>
      <c r="J1113" s="395"/>
      <c r="K1113" s="411"/>
      <c r="L1113" s="1381"/>
      <c r="M1113" s="812"/>
      <c r="N1113" s="387" t="s">
        <v>72</v>
      </c>
      <c r="O1113" s="804"/>
      <c r="P1113" s="804"/>
      <c r="Q1113" s="1829" t="str">
        <f>CHOOSE(2, "6722000004031", "TPA Total BT-G PA (1) Office RR Machine")</f>
        <v>TPA Total BT-G PA (1) Office RR Machine</v>
      </c>
      <c r="R1113" s="1128">
        <v>74055.649999999994</v>
      </c>
      <c r="S1113" s="1128">
        <v>89872.020999999993</v>
      </c>
      <c r="T1113" s="1128">
        <v>90122.138000000006</v>
      </c>
      <c r="U1113" s="1128">
        <v>144623.24100000001</v>
      </c>
      <c r="V1113" s="1128">
        <v>85144.857000000004</v>
      </c>
      <c r="W1113" s="1128">
        <v>154056.37</v>
      </c>
      <c r="X1113" s="1128">
        <v>71553.888000000006</v>
      </c>
      <c r="Y1113" s="1128">
        <v>141734.47200000001</v>
      </c>
      <c r="Z1113" s="1128">
        <v>104283.709</v>
      </c>
      <c r="AA1113" s="1128">
        <v>157034.65400000001</v>
      </c>
      <c r="AB1113" s="1128">
        <v>152191.78400000001</v>
      </c>
      <c r="AC1113" s="1128">
        <v>77503.528000000006</v>
      </c>
      <c r="AD1113" s="929">
        <f>SUM(R1113,S1113,T1113)</f>
        <v>254049.80899999998</v>
      </c>
      <c r="AE1113" s="820">
        <f t="shared" ref="AE1113:AE1115" si="1609">SUM(U1113,V1113,W1113)</f>
        <v>383824.46799999999</v>
      </c>
      <c r="AF1113" s="820">
        <f t="shared" ref="AF1113:AF1115" si="1610">SUM(X1113,Y1113,Z1113)</f>
        <v>317572.06900000002</v>
      </c>
      <c r="AG1113" s="820">
        <f t="shared" ref="AG1113:AG1115" si="1611">SUM(AA1113,AB1113,AC1113)</f>
        <v>386729.96600000001</v>
      </c>
      <c r="AH1113" s="820">
        <f t="shared" ref="AH1113:AH1115" si="1612">AD1113+AE1113</f>
        <v>637874.277</v>
      </c>
      <c r="AI1113" s="820">
        <f t="shared" ref="AI1113:AI1115" si="1613">AG1113+AF1113</f>
        <v>704302.03500000003</v>
      </c>
      <c r="AJ1113" s="820">
        <f t="shared" ref="AJ1113:AJ1115" si="1614">AH1113+AI1113</f>
        <v>1342176.3119999999</v>
      </c>
    </row>
    <row r="1114" spans="1:36" s="392" customFormat="1" ht="14.5">
      <c r="A1114" s="616">
        <v>1</v>
      </c>
      <c r="B1114" s="616">
        <v>1</v>
      </c>
      <c r="C1114" s="616" t="s">
        <v>1540</v>
      </c>
      <c r="D1114" s="709" t="s">
        <v>1308</v>
      </c>
      <c r="E1114" s="2568" t="s">
        <v>1370</v>
      </c>
      <c r="F1114" s="2608"/>
      <c r="G1114" s="238"/>
      <c r="H1114" s="238"/>
      <c r="I1114" s="398"/>
      <c r="J1114" s="395"/>
      <c r="K1114" s="411"/>
      <c r="L1114" s="1381"/>
      <c r="M1114" s="812"/>
      <c r="N1114" s="388" t="s">
        <v>71</v>
      </c>
      <c r="O1114" s="805"/>
      <c r="P1114" s="805"/>
      <c r="Q1114" s="1829" t="str">
        <f>CHOOSE(2, "6722000004032", "TPA Total BT-G PA (1) Office RR Option")</f>
        <v>TPA Total BT-G PA (1) Office RR Option</v>
      </c>
      <c r="R1114" s="1129">
        <v>10706.806</v>
      </c>
      <c r="S1114" s="1129">
        <v>8368.125</v>
      </c>
      <c r="T1114" s="1129">
        <v>3050.453</v>
      </c>
      <c r="U1114" s="1129">
        <v>19572.656999999999</v>
      </c>
      <c r="V1114" s="1129">
        <v>13584.476000000001</v>
      </c>
      <c r="W1114" s="1129">
        <v>25947.734</v>
      </c>
      <c r="X1114" s="1129">
        <v>18840.919999999998</v>
      </c>
      <c r="Y1114" s="1129">
        <v>10346.089</v>
      </c>
      <c r="Z1114" s="1129">
        <v>36459.461000000003</v>
      </c>
      <c r="AA1114" s="1129">
        <v>11151.31</v>
      </c>
      <c r="AB1114" s="1129">
        <v>15960.981</v>
      </c>
      <c r="AC1114" s="1129">
        <v>5151.5010000000002</v>
      </c>
      <c r="AD1114" s="930">
        <f>SUM(R1114,S1114,T1114)</f>
        <v>22125.384000000002</v>
      </c>
      <c r="AE1114" s="821">
        <f t="shared" si="1609"/>
        <v>59104.866999999998</v>
      </c>
      <c r="AF1114" s="821">
        <f t="shared" si="1610"/>
        <v>65646.47</v>
      </c>
      <c r="AG1114" s="821">
        <f t="shared" si="1611"/>
        <v>32263.791999999998</v>
      </c>
      <c r="AH1114" s="821">
        <f t="shared" si="1612"/>
        <v>81230.251000000004</v>
      </c>
      <c r="AI1114" s="821">
        <f t="shared" si="1613"/>
        <v>97910.262000000002</v>
      </c>
      <c r="AJ1114" s="821">
        <f t="shared" si="1614"/>
        <v>179140.51300000001</v>
      </c>
    </row>
    <row r="1115" spans="1:36" s="392" customFormat="1" ht="14.5">
      <c r="A1115" s="616">
        <v>1</v>
      </c>
      <c r="B1115" s="616">
        <v>1</v>
      </c>
      <c r="C1115" s="616" t="s">
        <v>1540</v>
      </c>
      <c r="D1115" s="709" t="s">
        <v>1308</v>
      </c>
      <c r="E1115" s="2568" t="s">
        <v>1370</v>
      </c>
      <c r="F1115" s="2608"/>
      <c r="G1115" s="238"/>
      <c r="H1115" s="238"/>
      <c r="I1115" s="398"/>
      <c r="J1115" s="395"/>
      <c r="K1115" s="411"/>
      <c r="L1115" s="1382"/>
      <c r="M1115" s="813"/>
      <c r="N1115" s="389" t="s">
        <v>70</v>
      </c>
      <c r="O1115" s="806"/>
      <c r="P1115" s="806"/>
      <c r="Q1115" s="1829" t="str">
        <f>CHOOSE(2, "6722000004033", "TPA Total BT-G PA (1) Office RR Supplies")</f>
        <v>TPA Total BT-G PA (1) Office RR Supplies</v>
      </c>
      <c r="R1115" s="1130">
        <v>28709.911</v>
      </c>
      <c r="S1115" s="1130">
        <v>41685.620000000003</v>
      </c>
      <c r="T1115" s="1130">
        <v>33591.235000000001</v>
      </c>
      <c r="U1115" s="1130">
        <v>41760.116000000002</v>
      </c>
      <c r="V1115" s="1130">
        <v>42540.324000000001</v>
      </c>
      <c r="W1115" s="1130">
        <v>31049.149000000001</v>
      </c>
      <c r="X1115" s="1130">
        <v>36183.046000000002</v>
      </c>
      <c r="Y1115" s="1130">
        <v>36163.981</v>
      </c>
      <c r="Z1115" s="1130">
        <v>28177.919000000002</v>
      </c>
      <c r="AA1115" s="1130">
        <v>27157.133000000002</v>
      </c>
      <c r="AB1115" s="1130">
        <v>53967.758000000002</v>
      </c>
      <c r="AC1115" s="1130">
        <v>33172.012000000002</v>
      </c>
      <c r="AD1115" s="931">
        <f>SUM(R1115,S1115,T1115)</f>
        <v>103986.766</v>
      </c>
      <c r="AE1115" s="822">
        <f t="shared" si="1609"/>
        <v>115349.58900000001</v>
      </c>
      <c r="AF1115" s="822">
        <f t="shared" si="1610"/>
        <v>100524.946</v>
      </c>
      <c r="AG1115" s="822">
        <f t="shared" si="1611"/>
        <v>114296.90300000001</v>
      </c>
      <c r="AH1115" s="822">
        <f t="shared" si="1612"/>
        <v>219336.35500000001</v>
      </c>
      <c r="AI1115" s="822">
        <f t="shared" si="1613"/>
        <v>214821.84899999999</v>
      </c>
      <c r="AJ1115" s="822">
        <f t="shared" si="1614"/>
        <v>434158.20400000003</v>
      </c>
    </row>
    <row r="1116" spans="1:36" s="392" customFormat="1" ht="14.5">
      <c r="A1116" s="616">
        <v>1</v>
      </c>
      <c r="B1116" s="616">
        <v>1</v>
      </c>
      <c r="C1116" s="616" t="s">
        <v>1540</v>
      </c>
      <c r="D1116" s="709" t="s">
        <v>1308</v>
      </c>
      <c r="E1116" s="2568" t="s">
        <v>1370</v>
      </c>
      <c r="F1116" s="2608"/>
      <c r="G1116" s="391"/>
      <c r="H1116" s="391"/>
      <c r="I1116" s="398"/>
      <c r="J1116" s="395"/>
      <c r="K1116" s="411"/>
      <c r="L1116" s="385" t="s">
        <v>1549</v>
      </c>
      <c r="N1116" s="386"/>
      <c r="O1116" s="806"/>
      <c r="P1116" s="806"/>
      <c r="Q1116" s="1828" t="str">
        <f>CHOOSE(2, "6722000004034", "TPA Total BT-G PA (1) Office Non-RR")</f>
        <v>TPA Total BT-G PA (1) Office Non-RR</v>
      </c>
      <c r="R1116" s="822">
        <f t="shared" ref="R1116:AC1116" si="1615">SUM(R1117:R1119)</f>
        <v>4366.2903700000043</v>
      </c>
      <c r="S1116" s="822">
        <f t="shared" si="1615"/>
        <v>3116.0880000000002</v>
      </c>
      <c r="T1116" s="822">
        <f t="shared" si="1615"/>
        <v>3467.3107499999969</v>
      </c>
      <c r="U1116" s="822">
        <f t="shared" si="1615"/>
        <v>3506.2707299999997</v>
      </c>
      <c r="V1116" s="822">
        <f t="shared" si="1615"/>
        <v>4676.4128900000005</v>
      </c>
      <c r="W1116" s="822">
        <f t="shared" si="1615"/>
        <v>5851.7607800000014</v>
      </c>
      <c r="X1116" s="822">
        <f t="shared" si="1615"/>
        <v>6599.3820399999986</v>
      </c>
      <c r="Y1116" s="822">
        <f t="shared" si="1615"/>
        <v>6299.7525900000064</v>
      </c>
      <c r="Z1116" s="822">
        <f t="shared" si="1615"/>
        <v>6575.752180000005</v>
      </c>
      <c r="AA1116" s="822">
        <f t="shared" si="1615"/>
        <v>3879.4236600000013</v>
      </c>
      <c r="AB1116" s="822">
        <f t="shared" si="1615"/>
        <v>7853.158800000002</v>
      </c>
      <c r="AC1116" s="822">
        <f t="shared" si="1615"/>
        <v>5753.6868899999981</v>
      </c>
      <c r="AD1116" s="931">
        <f t="shared" ref="AD1116:AJ1116" si="1616">SUM(AD1117:AD1119)</f>
        <v>10949.689120000001</v>
      </c>
      <c r="AE1116" s="822">
        <f t="shared" si="1616"/>
        <v>14034.4444</v>
      </c>
      <c r="AF1116" s="822">
        <f t="shared" si="1616"/>
        <v>19474.886810000011</v>
      </c>
      <c r="AG1116" s="822">
        <f t="shared" si="1616"/>
        <v>17486.269350000002</v>
      </c>
      <c r="AH1116" s="822">
        <f t="shared" si="1616"/>
        <v>24984.133520000003</v>
      </c>
      <c r="AI1116" s="822">
        <f t="shared" si="1616"/>
        <v>36961.156160000013</v>
      </c>
      <c r="AJ1116" s="822">
        <f t="shared" si="1616"/>
        <v>61945.289680000016</v>
      </c>
    </row>
    <row r="1117" spans="1:36" s="392" customFormat="1" ht="14.5">
      <c r="A1117" s="616">
        <v>1</v>
      </c>
      <c r="B1117" s="616">
        <v>1</v>
      </c>
      <c r="C1117" s="616" t="s">
        <v>1540</v>
      </c>
      <c r="D1117" s="709" t="s">
        <v>1308</v>
      </c>
      <c r="E1117" s="2568" t="s">
        <v>1370</v>
      </c>
      <c r="F1117" s="2608"/>
      <c r="G1117" s="238"/>
      <c r="H1117" s="238"/>
      <c r="I1117" s="398"/>
      <c r="J1117" s="395"/>
      <c r="K1117" s="411"/>
      <c r="L1117" s="1381"/>
      <c r="M1117" s="812"/>
      <c r="N1117" s="387" t="s">
        <v>1550</v>
      </c>
      <c r="O1117" s="804"/>
      <c r="P1117" s="804"/>
      <c r="Q1117" s="1829" t="str">
        <f>CHOOSE(2, "6722000004035", "TPA Total BT-G PA (1) Office Non-RR Others")</f>
        <v>TPA Total BT-G PA (1) Office Non-RR Others</v>
      </c>
      <c r="R1117" s="1128">
        <v>0</v>
      </c>
      <c r="S1117" s="1128">
        <v>0</v>
      </c>
      <c r="T1117" s="1128">
        <v>0</v>
      </c>
      <c r="U1117" s="1128">
        <v>0</v>
      </c>
      <c r="V1117" s="1128">
        <v>0</v>
      </c>
      <c r="W1117" s="1128">
        <v>0</v>
      </c>
      <c r="X1117" s="1128">
        <v>0</v>
      </c>
      <c r="Y1117" s="1128">
        <v>0</v>
      </c>
      <c r="Z1117" s="1128">
        <v>0</v>
      </c>
      <c r="AA1117" s="1128">
        <v>0</v>
      </c>
      <c r="AB1117" s="1128">
        <v>0</v>
      </c>
      <c r="AC1117" s="1128">
        <v>0</v>
      </c>
      <c r="AD1117" s="929">
        <f>SUM(R1117,S1117,T1117)</f>
        <v>0</v>
      </c>
      <c r="AE1117" s="820">
        <f t="shared" ref="AE1117:AE1119" si="1617">SUM(U1117,V1117,W1117)</f>
        <v>0</v>
      </c>
      <c r="AF1117" s="820">
        <f t="shared" ref="AF1117:AF1119" si="1618">SUM(X1117,Y1117,Z1117)</f>
        <v>0</v>
      </c>
      <c r="AG1117" s="820">
        <f t="shared" ref="AG1117:AG1119" si="1619">SUM(AA1117,AB1117,AC1117)</f>
        <v>0</v>
      </c>
      <c r="AH1117" s="820">
        <f t="shared" ref="AH1117:AH1119" si="1620">AD1117+AE1117</f>
        <v>0</v>
      </c>
      <c r="AI1117" s="820">
        <f t="shared" ref="AI1117:AI1119" si="1621">AG1117+AF1117</f>
        <v>0</v>
      </c>
      <c r="AJ1117" s="820">
        <f t="shared" ref="AJ1117:AJ1119" si="1622">AH1117+AI1117</f>
        <v>0</v>
      </c>
    </row>
    <row r="1118" spans="1:36" s="392" customFormat="1" ht="14.5">
      <c r="A1118" s="616">
        <v>1</v>
      </c>
      <c r="B1118" s="616">
        <v>1</v>
      </c>
      <c r="C1118" s="616" t="s">
        <v>1540</v>
      </c>
      <c r="D1118" s="709" t="s">
        <v>1308</v>
      </c>
      <c r="E1118" s="2568" t="s">
        <v>1370</v>
      </c>
      <c r="F1118" s="2608"/>
      <c r="G1118" s="238"/>
      <c r="H1118" s="238"/>
      <c r="I1118" s="398"/>
      <c r="J1118" s="395"/>
      <c r="K1118" s="411"/>
      <c r="L1118" s="1381"/>
      <c r="M1118" s="812"/>
      <c r="N1118" s="388" t="s">
        <v>1551</v>
      </c>
      <c r="O1118" s="805"/>
      <c r="P1118" s="805"/>
      <c r="Q1118" s="1829" t="str">
        <f>CHOOSE(2, "6722000004036", "TPA Total BT-G PA (1) Office Non-RR BT Support/Discount")</f>
        <v>TPA Total BT-G PA (1) Office Non-RR BT Support/Discount</v>
      </c>
      <c r="R1118" s="1129">
        <v>0</v>
      </c>
      <c r="S1118" s="1129">
        <v>0</v>
      </c>
      <c r="T1118" s="1129">
        <v>0</v>
      </c>
      <c r="U1118" s="1129">
        <v>0</v>
      </c>
      <c r="V1118" s="1129">
        <v>0</v>
      </c>
      <c r="W1118" s="1129">
        <v>0</v>
      </c>
      <c r="X1118" s="1129">
        <v>0</v>
      </c>
      <c r="Y1118" s="1129">
        <v>0</v>
      </c>
      <c r="Z1118" s="1129">
        <v>0</v>
      </c>
      <c r="AA1118" s="1129">
        <v>0</v>
      </c>
      <c r="AB1118" s="1129">
        <v>0</v>
      </c>
      <c r="AC1118" s="1129">
        <v>0</v>
      </c>
      <c r="AD1118" s="930">
        <f>SUM(R1118,S1118,T1118)</f>
        <v>0</v>
      </c>
      <c r="AE1118" s="821">
        <f t="shared" si="1617"/>
        <v>0</v>
      </c>
      <c r="AF1118" s="821">
        <f t="shared" si="1618"/>
        <v>0</v>
      </c>
      <c r="AG1118" s="821">
        <f t="shared" si="1619"/>
        <v>0</v>
      </c>
      <c r="AH1118" s="821">
        <f t="shared" si="1620"/>
        <v>0</v>
      </c>
      <c r="AI1118" s="821">
        <f t="shared" si="1621"/>
        <v>0</v>
      </c>
      <c r="AJ1118" s="821">
        <f t="shared" si="1622"/>
        <v>0</v>
      </c>
    </row>
    <row r="1119" spans="1:36" s="392" customFormat="1" ht="14.5">
      <c r="A1119" s="616">
        <v>1</v>
      </c>
      <c r="B1119" s="616">
        <v>1</v>
      </c>
      <c r="C1119" s="616" t="s">
        <v>1540</v>
      </c>
      <c r="D1119" s="709" t="s">
        <v>1308</v>
      </c>
      <c r="E1119" s="2568" t="s">
        <v>1370</v>
      </c>
      <c r="F1119" s="2608"/>
      <c r="G1119" s="238"/>
      <c r="H1119" s="238"/>
      <c r="I1119" s="398"/>
      <c r="J1119" s="395"/>
      <c r="K1119" s="412"/>
      <c r="L1119" s="1382"/>
      <c r="M1119" s="814"/>
      <c r="N1119" s="390" t="s">
        <v>1552</v>
      </c>
      <c r="O1119" s="807"/>
      <c r="P1119" s="807"/>
      <c r="Q1119" s="1829" t="str">
        <f>CHOOSE(2, "6722000004037", "TPA Total BT-G PA (1) Office Non-RR Parts")</f>
        <v>TPA Total BT-G PA (1) Office Non-RR Parts</v>
      </c>
      <c r="R1119" s="1131">
        <v>4366.2903700000043</v>
      </c>
      <c r="S1119" s="1131">
        <v>3116.0880000000002</v>
      </c>
      <c r="T1119" s="1131">
        <v>3467.3107499999969</v>
      </c>
      <c r="U1119" s="1131">
        <v>3506.2707299999997</v>
      </c>
      <c r="V1119" s="1131">
        <v>4676.4128900000005</v>
      </c>
      <c r="W1119" s="1131">
        <v>5851.7607800000014</v>
      </c>
      <c r="X1119" s="1131">
        <v>6599.3820399999986</v>
      </c>
      <c r="Y1119" s="1131">
        <v>6299.7525900000064</v>
      </c>
      <c r="Z1119" s="1131">
        <v>6575.752180000005</v>
      </c>
      <c r="AA1119" s="1131">
        <v>3879.4236600000013</v>
      </c>
      <c r="AB1119" s="1131">
        <v>7853.158800000002</v>
      </c>
      <c r="AC1119" s="1131">
        <v>5753.6868899999981</v>
      </c>
      <c r="AD1119" s="932">
        <f>SUM(R1119,S1119,T1119)</f>
        <v>10949.689120000001</v>
      </c>
      <c r="AE1119" s="823">
        <f t="shared" si="1617"/>
        <v>14034.4444</v>
      </c>
      <c r="AF1119" s="823">
        <f t="shared" si="1618"/>
        <v>19474.886810000011</v>
      </c>
      <c r="AG1119" s="823">
        <f t="shared" si="1619"/>
        <v>17486.269350000002</v>
      </c>
      <c r="AH1119" s="823">
        <f t="shared" si="1620"/>
        <v>24984.133520000003</v>
      </c>
      <c r="AI1119" s="823">
        <f t="shared" si="1621"/>
        <v>36961.156160000013</v>
      </c>
      <c r="AJ1119" s="823">
        <f t="shared" si="1622"/>
        <v>61945.289680000016</v>
      </c>
    </row>
    <row r="1120" spans="1:36" s="392" customFormat="1" ht="14.5">
      <c r="A1120" s="616">
        <v>1</v>
      </c>
      <c r="B1120" s="616">
        <v>1</v>
      </c>
      <c r="C1120" s="616" t="s">
        <v>1540</v>
      </c>
      <c r="D1120" s="709" t="s">
        <v>1308</v>
      </c>
      <c r="E1120" s="2568" t="s">
        <v>1370</v>
      </c>
      <c r="F1120" s="2608"/>
      <c r="G1120" s="391"/>
      <c r="H1120" s="391"/>
      <c r="I1120" s="399"/>
      <c r="J1120" s="396"/>
      <c r="K1120" s="3352" t="s">
        <v>1553</v>
      </c>
      <c r="L1120" s="416"/>
      <c r="M1120" s="417"/>
      <c r="N1120" s="417"/>
      <c r="O1120" s="417"/>
      <c r="P1120" s="417"/>
      <c r="Q1120" s="1827" t="str">
        <f>CHOOSE(2, "6722000004038", "TPA Total BT-G PA (2) PP")</f>
        <v>TPA Total BT-G PA (2) PP</v>
      </c>
      <c r="R1120" s="818">
        <f t="shared" ref="R1120:AJ1120" si="1623">R1121+R1125</f>
        <v>380891.81681000005</v>
      </c>
      <c r="S1120" s="818">
        <f t="shared" si="1623"/>
        <v>389351.22116999998</v>
      </c>
      <c r="T1120" s="818">
        <f t="shared" si="1623"/>
        <v>269288.85857999994</v>
      </c>
      <c r="U1120" s="818">
        <f t="shared" si="1623"/>
        <v>420512.00711999997</v>
      </c>
      <c r="V1120" s="818">
        <f t="shared" si="1623"/>
        <v>243787.80246999988</v>
      </c>
      <c r="W1120" s="818">
        <f t="shared" si="1623"/>
        <v>359763.81112999999</v>
      </c>
      <c r="X1120" s="818">
        <f t="shared" si="1623"/>
        <v>334060.06027999992</v>
      </c>
      <c r="Y1120" s="818">
        <f t="shared" si="1623"/>
        <v>424863.73931999999</v>
      </c>
      <c r="Z1120" s="818">
        <f t="shared" si="1623"/>
        <v>299641.36375999992</v>
      </c>
      <c r="AA1120" s="818">
        <f t="shared" si="1623"/>
        <v>301484.48089999991</v>
      </c>
      <c r="AB1120" s="818">
        <f t="shared" si="1623"/>
        <v>404770.91677000013</v>
      </c>
      <c r="AC1120" s="818">
        <f t="shared" si="1623"/>
        <v>215862.16179000001</v>
      </c>
      <c r="AD1120" s="927">
        <f t="shared" si="1623"/>
        <v>1039531.89656</v>
      </c>
      <c r="AE1120" s="818">
        <f t="shared" si="1623"/>
        <v>1024063.6207199999</v>
      </c>
      <c r="AF1120" s="818">
        <f t="shared" si="1623"/>
        <v>1058565.1633599999</v>
      </c>
      <c r="AG1120" s="818">
        <f t="shared" si="1623"/>
        <v>922117.5594599999</v>
      </c>
      <c r="AH1120" s="818">
        <f t="shared" si="1623"/>
        <v>2063595.5172799998</v>
      </c>
      <c r="AI1120" s="818">
        <f t="shared" si="1623"/>
        <v>1980682.7228199998</v>
      </c>
      <c r="AJ1120" s="818">
        <f t="shared" si="1623"/>
        <v>4044278.2400999996</v>
      </c>
    </row>
    <row r="1121" spans="1:36" s="392" customFormat="1" ht="14.5">
      <c r="A1121" s="616">
        <v>1</v>
      </c>
      <c r="B1121" s="616">
        <v>1</v>
      </c>
      <c r="C1121" s="616" t="s">
        <v>1540</v>
      </c>
      <c r="D1121" s="709" t="s">
        <v>1308</v>
      </c>
      <c r="E1121" s="2568" t="s">
        <v>1370</v>
      </c>
      <c r="F1121" s="2608"/>
      <c r="G1121" s="391"/>
      <c r="H1121" s="391"/>
      <c r="I1121" s="398"/>
      <c r="J1121" s="395"/>
      <c r="K1121" s="411"/>
      <c r="L1121" s="385" t="s">
        <v>1548</v>
      </c>
      <c r="N1121" s="386"/>
      <c r="O1121" s="803"/>
      <c r="P1121" s="803"/>
      <c r="Q1121" s="1828" t="str">
        <f>CHOOSE(2, "6722000004039", "TPA Total BT-G PA (2) PP RR")</f>
        <v>TPA Total BT-G PA (2) PP RR</v>
      </c>
      <c r="R1121" s="819">
        <f t="shared" ref="R1121:AC1121" si="1624">SUM(R1122:R1124)</f>
        <v>363214.66700000002</v>
      </c>
      <c r="S1121" s="819">
        <f t="shared" si="1624"/>
        <v>341793.01199999999</v>
      </c>
      <c r="T1121" s="819">
        <f t="shared" si="1624"/>
        <v>228893.39199999999</v>
      </c>
      <c r="U1121" s="819">
        <f t="shared" si="1624"/>
        <v>384482.12699999998</v>
      </c>
      <c r="V1121" s="819">
        <f t="shared" si="1624"/>
        <v>193790.7</v>
      </c>
      <c r="W1121" s="819">
        <f t="shared" si="1624"/>
        <v>321972.06900000002</v>
      </c>
      <c r="X1121" s="819">
        <f t="shared" si="1624"/>
        <v>282005.57699999999</v>
      </c>
      <c r="Y1121" s="819">
        <f t="shared" si="1624"/>
        <v>377088.70600000001</v>
      </c>
      <c r="Z1121" s="819">
        <f t="shared" si="1624"/>
        <v>260410.59599999999</v>
      </c>
      <c r="AA1121" s="819">
        <f t="shared" si="1624"/>
        <v>242272.18500000003</v>
      </c>
      <c r="AB1121" s="819">
        <f t="shared" si="1624"/>
        <v>333176.41500000004</v>
      </c>
      <c r="AC1121" s="819">
        <f t="shared" si="1624"/>
        <v>163178.23199999999</v>
      </c>
      <c r="AD1121" s="928">
        <f t="shared" ref="AD1121:AJ1121" si="1625">SUM(AD1122:AD1124)</f>
        <v>933901.071</v>
      </c>
      <c r="AE1121" s="819">
        <f t="shared" si="1625"/>
        <v>900244.89600000007</v>
      </c>
      <c r="AF1121" s="819">
        <f t="shared" si="1625"/>
        <v>919504.87899999996</v>
      </c>
      <c r="AG1121" s="819">
        <f t="shared" si="1625"/>
        <v>738626.83199999994</v>
      </c>
      <c r="AH1121" s="819">
        <f t="shared" si="1625"/>
        <v>1834145.9669999999</v>
      </c>
      <c r="AI1121" s="819">
        <f t="shared" si="1625"/>
        <v>1658131.7109999999</v>
      </c>
      <c r="AJ1121" s="819">
        <f t="shared" si="1625"/>
        <v>3492277.6779999998</v>
      </c>
    </row>
    <row r="1122" spans="1:36" s="392" customFormat="1" ht="14.5">
      <c r="A1122" s="616">
        <v>1</v>
      </c>
      <c r="B1122" s="616">
        <v>1</v>
      </c>
      <c r="C1122" s="616" t="s">
        <v>1540</v>
      </c>
      <c r="D1122" s="709" t="s">
        <v>1308</v>
      </c>
      <c r="E1122" s="2568" t="s">
        <v>1370</v>
      </c>
      <c r="F1122" s="2608"/>
      <c r="G1122" s="238"/>
      <c r="H1122" s="238"/>
      <c r="I1122" s="398"/>
      <c r="J1122" s="395"/>
      <c r="K1122" s="411"/>
      <c r="L1122" s="1381"/>
      <c r="M1122" s="812"/>
      <c r="N1122" s="387" t="s">
        <v>72</v>
      </c>
      <c r="O1122" s="804"/>
      <c r="P1122" s="804"/>
      <c r="Q1122" s="1829" t="str">
        <f>CHOOSE(2, "6722000004040", "TPA Total BT-G PA (2) PP RR Machine")</f>
        <v>TPA Total BT-G PA (2) PP RR Machine</v>
      </c>
      <c r="R1122" s="1128">
        <v>98521.282999999996</v>
      </c>
      <c r="S1122" s="1128">
        <v>88642.195999999996</v>
      </c>
      <c r="T1122" s="1128">
        <v>37528.097000000002</v>
      </c>
      <c r="U1122" s="1128">
        <v>94794.964999999997</v>
      </c>
      <c r="V1122" s="1128">
        <v>49876.796999999999</v>
      </c>
      <c r="W1122" s="1128">
        <v>85073.296000000002</v>
      </c>
      <c r="X1122" s="1128">
        <v>67148.009999999995</v>
      </c>
      <c r="Y1122" s="1128">
        <v>117479.5</v>
      </c>
      <c r="Z1122" s="1128">
        <v>32784.898999999998</v>
      </c>
      <c r="AA1122" s="1128">
        <v>87913.926000000007</v>
      </c>
      <c r="AB1122" s="1128">
        <v>75335.400999999998</v>
      </c>
      <c r="AC1122" s="1128">
        <v>27468.45</v>
      </c>
      <c r="AD1122" s="929">
        <f>SUM(R1122,S1122,T1122)</f>
        <v>224691.576</v>
      </c>
      <c r="AE1122" s="820">
        <f t="shared" ref="AE1122:AE1124" si="1626">SUM(U1122,V1122,W1122)</f>
        <v>229745.05799999999</v>
      </c>
      <c r="AF1122" s="820">
        <f t="shared" ref="AF1122:AF1124" si="1627">SUM(X1122,Y1122,Z1122)</f>
        <v>217412.40900000001</v>
      </c>
      <c r="AG1122" s="820">
        <f t="shared" ref="AG1122:AG1124" si="1628">SUM(AA1122,AB1122,AC1122)</f>
        <v>190717.777</v>
      </c>
      <c r="AH1122" s="820">
        <f t="shared" ref="AH1122:AH1124" si="1629">AD1122+AE1122</f>
        <v>454436.63399999996</v>
      </c>
      <c r="AI1122" s="820">
        <f t="shared" ref="AI1122:AI1124" si="1630">AG1122+AF1122</f>
        <v>408130.18599999999</v>
      </c>
      <c r="AJ1122" s="820">
        <f t="shared" ref="AJ1122:AJ1124" si="1631">AH1122+AI1122</f>
        <v>862566.82</v>
      </c>
    </row>
    <row r="1123" spans="1:36" s="392" customFormat="1" ht="14.5">
      <c r="A1123" s="616">
        <v>1</v>
      </c>
      <c r="B1123" s="616">
        <v>1</v>
      </c>
      <c r="C1123" s="616" t="s">
        <v>1540</v>
      </c>
      <c r="D1123" s="709" t="s">
        <v>1308</v>
      </c>
      <c r="E1123" s="2568" t="s">
        <v>1370</v>
      </c>
      <c r="F1123" s="2608"/>
      <c r="G1123" s="238"/>
      <c r="H1123" s="238"/>
      <c r="I1123" s="398"/>
      <c r="J1123" s="395"/>
      <c r="K1123" s="411"/>
      <c r="L1123" s="1381"/>
      <c r="M1123" s="812"/>
      <c r="N1123" s="388" t="s">
        <v>71</v>
      </c>
      <c r="O1123" s="805"/>
      <c r="P1123" s="805"/>
      <c r="Q1123" s="1829" t="str">
        <f>CHOOSE(2, "6722000004041", "TPA Total BT-G PA (2) PP RR Option")</f>
        <v>TPA Total BT-G PA (2) PP RR Option</v>
      </c>
      <c r="R1123" s="1129">
        <v>23673.569</v>
      </c>
      <c r="S1123" s="1129">
        <v>22893.304</v>
      </c>
      <c r="T1123" s="1129">
        <v>13877.425999999999</v>
      </c>
      <c r="U1123" s="1129">
        <v>24845.114000000001</v>
      </c>
      <c r="V1123" s="1129">
        <v>11283.263000000001</v>
      </c>
      <c r="W1123" s="1129">
        <v>32817.400999999998</v>
      </c>
      <c r="X1123" s="1129">
        <v>22204.617999999999</v>
      </c>
      <c r="Y1123" s="1129">
        <v>22514.518</v>
      </c>
      <c r="Z1123" s="1129">
        <v>13765.623</v>
      </c>
      <c r="AA1123" s="1129">
        <v>17946.705999999998</v>
      </c>
      <c r="AB1123" s="1129">
        <v>50176.197</v>
      </c>
      <c r="AC1123" s="1129">
        <v>4558.5450000000001</v>
      </c>
      <c r="AD1123" s="930">
        <f>SUM(R1123,S1123,T1123)</f>
        <v>60444.298999999999</v>
      </c>
      <c r="AE1123" s="821">
        <f t="shared" si="1626"/>
        <v>68945.777999999991</v>
      </c>
      <c r="AF1123" s="821">
        <f t="shared" si="1627"/>
        <v>58484.758999999998</v>
      </c>
      <c r="AG1123" s="821">
        <f t="shared" si="1628"/>
        <v>72681.447999999989</v>
      </c>
      <c r="AH1123" s="821">
        <f t="shared" si="1629"/>
        <v>129390.07699999999</v>
      </c>
      <c r="AI1123" s="821">
        <f t="shared" si="1630"/>
        <v>131166.20699999999</v>
      </c>
      <c r="AJ1123" s="821">
        <f t="shared" si="1631"/>
        <v>260556.28399999999</v>
      </c>
    </row>
    <row r="1124" spans="1:36" s="392" customFormat="1" ht="14.5">
      <c r="A1124" s="616">
        <v>1</v>
      </c>
      <c r="B1124" s="616">
        <v>1</v>
      </c>
      <c r="C1124" s="616" t="s">
        <v>1540</v>
      </c>
      <c r="D1124" s="709" t="s">
        <v>1308</v>
      </c>
      <c r="E1124" s="2568" t="s">
        <v>1370</v>
      </c>
      <c r="F1124" s="2608"/>
      <c r="G1124" s="238"/>
      <c r="H1124" s="238"/>
      <c r="I1124" s="398"/>
      <c r="J1124" s="395"/>
      <c r="K1124" s="411"/>
      <c r="L1124" s="1382"/>
      <c r="M1124" s="813"/>
      <c r="N1124" s="389" t="s">
        <v>70</v>
      </c>
      <c r="O1124" s="806"/>
      <c r="P1124" s="806"/>
      <c r="Q1124" s="1829" t="str">
        <f>CHOOSE(2, "6722000004042", "TPA Total BT-G PA (2) PP RR Supplies")</f>
        <v>TPA Total BT-G PA (2) PP RR Supplies</v>
      </c>
      <c r="R1124" s="1130">
        <v>241019.815</v>
      </c>
      <c r="S1124" s="1130">
        <v>230257.51199999999</v>
      </c>
      <c r="T1124" s="1130">
        <v>177487.86900000001</v>
      </c>
      <c r="U1124" s="1130">
        <v>264842.04800000001</v>
      </c>
      <c r="V1124" s="1130">
        <v>132630.64000000001</v>
      </c>
      <c r="W1124" s="1130">
        <v>204081.372</v>
      </c>
      <c r="X1124" s="1130">
        <v>192652.94899999999</v>
      </c>
      <c r="Y1124" s="1130">
        <v>237094.68799999999</v>
      </c>
      <c r="Z1124" s="1130">
        <v>213860.07399999999</v>
      </c>
      <c r="AA1124" s="1130">
        <v>136411.55300000001</v>
      </c>
      <c r="AB1124" s="1130">
        <v>207664.81700000001</v>
      </c>
      <c r="AC1124" s="1130">
        <v>131151.23699999999</v>
      </c>
      <c r="AD1124" s="931">
        <f>SUM(R1124,S1124,T1124)</f>
        <v>648765.196</v>
      </c>
      <c r="AE1124" s="822">
        <f t="shared" si="1626"/>
        <v>601554.06000000006</v>
      </c>
      <c r="AF1124" s="822">
        <f t="shared" si="1627"/>
        <v>643607.71100000001</v>
      </c>
      <c r="AG1124" s="822">
        <f t="shared" si="1628"/>
        <v>475227.60699999996</v>
      </c>
      <c r="AH1124" s="822">
        <f t="shared" si="1629"/>
        <v>1250319.2560000001</v>
      </c>
      <c r="AI1124" s="822">
        <f t="shared" si="1630"/>
        <v>1118835.318</v>
      </c>
      <c r="AJ1124" s="822">
        <f t="shared" si="1631"/>
        <v>2369154.574</v>
      </c>
    </row>
    <row r="1125" spans="1:36" s="392" customFormat="1" ht="14.5">
      <c r="A1125" s="616">
        <v>1</v>
      </c>
      <c r="B1125" s="616">
        <v>1</v>
      </c>
      <c r="C1125" s="616" t="s">
        <v>1540</v>
      </c>
      <c r="D1125" s="709" t="s">
        <v>1308</v>
      </c>
      <c r="E1125" s="2568" t="s">
        <v>1370</v>
      </c>
      <c r="F1125" s="2608"/>
      <c r="G1125" s="238"/>
      <c r="H1125" s="238"/>
      <c r="I1125" s="398"/>
      <c r="J1125" s="395"/>
      <c r="K1125" s="411"/>
      <c r="L1125" s="385" t="s">
        <v>1549</v>
      </c>
      <c r="N1125" s="386"/>
      <c r="O1125" s="806"/>
      <c r="P1125" s="806"/>
      <c r="Q1125" s="1828" t="str">
        <f>CHOOSE(2, "6722000004043", "TPA Total BT-G PA (2) PP Non-RR")</f>
        <v>TPA Total BT-G PA (2) PP Non-RR</v>
      </c>
      <c r="R1125" s="822">
        <f t="shared" ref="R1125:AC1125" si="1632">SUM(R1126:R1128)</f>
        <v>17677.149810000024</v>
      </c>
      <c r="S1125" s="822">
        <f t="shared" si="1632"/>
        <v>47558.209170000002</v>
      </c>
      <c r="T1125" s="822">
        <f t="shared" si="1632"/>
        <v>40395.466579999964</v>
      </c>
      <c r="U1125" s="822">
        <f t="shared" si="1632"/>
        <v>36029.880119999973</v>
      </c>
      <c r="V1125" s="822">
        <f t="shared" si="1632"/>
        <v>49997.102469999882</v>
      </c>
      <c r="W1125" s="822">
        <f t="shared" si="1632"/>
        <v>37791.74212999997</v>
      </c>
      <c r="X1125" s="822">
        <f t="shared" si="1632"/>
        <v>52054.48327999992</v>
      </c>
      <c r="Y1125" s="822">
        <f t="shared" si="1632"/>
        <v>47775.033319999988</v>
      </c>
      <c r="Z1125" s="822">
        <f t="shared" si="1632"/>
        <v>39230.767759999952</v>
      </c>
      <c r="AA1125" s="822">
        <f t="shared" si="1632"/>
        <v>59212.295899999866</v>
      </c>
      <c r="AB1125" s="822">
        <f t="shared" si="1632"/>
        <v>71594.50177000009</v>
      </c>
      <c r="AC1125" s="822">
        <f t="shared" si="1632"/>
        <v>52683.929790000017</v>
      </c>
      <c r="AD1125" s="931">
        <f t="shared" ref="AD1125:AJ1125" si="1633">SUM(AD1126:AD1128)</f>
        <v>105630.82556</v>
      </c>
      <c r="AE1125" s="822">
        <f t="shared" si="1633"/>
        <v>123818.72471999982</v>
      </c>
      <c r="AF1125" s="822">
        <f t="shared" si="1633"/>
        <v>139060.28435999987</v>
      </c>
      <c r="AG1125" s="822">
        <f t="shared" si="1633"/>
        <v>183490.72745999997</v>
      </c>
      <c r="AH1125" s="822">
        <f t="shared" si="1633"/>
        <v>229449.55027999982</v>
      </c>
      <c r="AI1125" s="822">
        <f t="shared" si="1633"/>
        <v>322551.01181999984</v>
      </c>
      <c r="AJ1125" s="822">
        <f t="shared" si="1633"/>
        <v>552000.56209999963</v>
      </c>
    </row>
    <row r="1126" spans="1:36" s="392" customFormat="1" ht="14.5">
      <c r="A1126" s="616">
        <v>1</v>
      </c>
      <c r="B1126" s="616">
        <v>1</v>
      </c>
      <c r="C1126" s="616" t="s">
        <v>1540</v>
      </c>
      <c r="D1126" s="709" t="s">
        <v>1308</v>
      </c>
      <c r="E1126" s="2568" t="s">
        <v>1370</v>
      </c>
      <c r="F1126" s="2608"/>
      <c r="G1126" s="238"/>
      <c r="H1126" s="238"/>
      <c r="I1126" s="398"/>
      <c r="J1126" s="395"/>
      <c r="K1126" s="411"/>
      <c r="L1126" s="1381"/>
      <c r="M1126" s="812"/>
      <c r="N1126" s="387" t="s">
        <v>1550</v>
      </c>
      <c r="O1126" s="804"/>
      <c r="P1126" s="804"/>
      <c r="Q1126" s="1829" t="str">
        <f>CHOOSE(2, "6722000004044", "TPA Total BT-G PA (2) PP Non-RR Others")</f>
        <v>TPA Total BT-G PA (2) PP Non-RR Others</v>
      </c>
      <c r="R1126" s="1128">
        <v>0</v>
      </c>
      <c r="S1126" s="1128">
        <v>0</v>
      </c>
      <c r="T1126" s="1128">
        <v>0</v>
      </c>
      <c r="U1126" s="1128">
        <v>0</v>
      </c>
      <c r="V1126" s="1128">
        <v>0</v>
      </c>
      <c r="W1126" s="1128">
        <v>0</v>
      </c>
      <c r="X1126" s="1128">
        <v>0</v>
      </c>
      <c r="Y1126" s="1128">
        <v>0</v>
      </c>
      <c r="Z1126" s="1128">
        <v>0</v>
      </c>
      <c r="AA1126" s="1128">
        <v>0</v>
      </c>
      <c r="AB1126" s="1128">
        <v>0</v>
      </c>
      <c r="AC1126" s="1128">
        <v>0</v>
      </c>
      <c r="AD1126" s="929">
        <f>SUM(R1126,S1126,T1126)</f>
        <v>0</v>
      </c>
      <c r="AE1126" s="820">
        <f t="shared" ref="AE1126:AE1128" si="1634">SUM(U1126,V1126,W1126)</f>
        <v>0</v>
      </c>
      <c r="AF1126" s="820">
        <f t="shared" ref="AF1126:AF1128" si="1635">SUM(X1126,Y1126,Z1126)</f>
        <v>0</v>
      </c>
      <c r="AG1126" s="820">
        <f t="shared" ref="AG1126:AG1128" si="1636">SUM(AA1126,AB1126,AC1126)</f>
        <v>0</v>
      </c>
      <c r="AH1126" s="820">
        <f t="shared" ref="AH1126:AH1128" si="1637">AD1126+AE1126</f>
        <v>0</v>
      </c>
      <c r="AI1126" s="820">
        <f t="shared" ref="AI1126:AI1128" si="1638">AG1126+AF1126</f>
        <v>0</v>
      </c>
      <c r="AJ1126" s="820">
        <f t="shared" ref="AJ1126:AJ1128" si="1639">AH1126+AI1126</f>
        <v>0</v>
      </c>
    </row>
    <row r="1127" spans="1:36" s="392" customFormat="1" ht="14.5">
      <c r="A1127" s="616">
        <v>1</v>
      </c>
      <c r="B1127" s="616">
        <v>1</v>
      </c>
      <c r="C1127" s="616" t="s">
        <v>1540</v>
      </c>
      <c r="D1127" s="709" t="s">
        <v>1308</v>
      </c>
      <c r="E1127" s="2568" t="s">
        <v>1370</v>
      </c>
      <c r="F1127" s="2608"/>
      <c r="G1127" s="238"/>
      <c r="H1127" s="238"/>
      <c r="I1127" s="398"/>
      <c r="J1127" s="395"/>
      <c r="K1127" s="411"/>
      <c r="L1127" s="1381"/>
      <c r="M1127" s="812"/>
      <c r="N1127" s="388" t="s">
        <v>1551</v>
      </c>
      <c r="O1127" s="805"/>
      <c r="P1127" s="805"/>
      <c r="Q1127" s="1829" t="str">
        <f>CHOOSE(2, "6722000004045", "TPA Total BT-G PA (2) PP Non-RR BT Support/Discount")</f>
        <v>TPA Total BT-G PA (2) PP Non-RR BT Support/Discount</v>
      </c>
      <c r="R1127" s="1129">
        <v>0</v>
      </c>
      <c r="S1127" s="1129">
        <v>0</v>
      </c>
      <c r="T1127" s="1129">
        <v>0</v>
      </c>
      <c r="U1127" s="1129">
        <v>0</v>
      </c>
      <c r="V1127" s="1129">
        <v>0</v>
      </c>
      <c r="W1127" s="1129">
        <v>0</v>
      </c>
      <c r="X1127" s="1129">
        <v>0</v>
      </c>
      <c r="Y1127" s="1129">
        <v>0</v>
      </c>
      <c r="Z1127" s="1129">
        <v>0</v>
      </c>
      <c r="AA1127" s="1129">
        <v>0</v>
      </c>
      <c r="AB1127" s="1129">
        <v>0</v>
      </c>
      <c r="AC1127" s="1129">
        <v>0</v>
      </c>
      <c r="AD1127" s="930">
        <f>SUM(R1127,S1127,T1127)</f>
        <v>0</v>
      </c>
      <c r="AE1127" s="821">
        <f t="shared" si="1634"/>
        <v>0</v>
      </c>
      <c r="AF1127" s="821">
        <f t="shared" si="1635"/>
        <v>0</v>
      </c>
      <c r="AG1127" s="821">
        <f t="shared" si="1636"/>
        <v>0</v>
      </c>
      <c r="AH1127" s="821">
        <f t="shared" si="1637"/>
        <v>0</v>
      </c>
      <c r="AI1127" s="821">
        <f t="shared" si="1638"/>
        <v>0</v>
      </c>
      <c r="AJ1127" s="821">
        <f t="shared" si="1639"/>
        <v>0</v>
      </c>
    </row>
    <row r="1128" spans="1:36" s="392" customFormat="1" ht="14.5">
      <c r="A1128" s="616">
        <v>1</v>
      </c>
      <c r="B1128" s="616">
        <v>1</v>
      </c>
      <c r="C1128" s="616" t="s">
        <v>1540</v>
      </c>
      <c r="D1128" s="709" t="s">
        <v>1308</v>
      </c>
      <c r="E1128" s="2568" t="s">
        <v>1370</v>
      </c>
      <c r="F1128" s="2608"/>
      <c r="G1128" s="238"/>
      <c r="H1128" s="238"/>
      <c r="I1128" s="398"/>
      <c r="J1128" s="395"/>
      <c r="K1128" s="412"/>
      <c r="L1128" s="1382"/>
      <c r="M1128" s="814"/>
      <c r="N1128" s="390" t="s">
        <v>1552</v>
      </c>
      <c r="O1128" s="807"/>
      <c r="P1128" s="807"/>
      <c r="Q1128" s="1829" t="str">
        <f>CHOOSE(2, "6722000004046", "TPA Total BT-G PA (2) PP Non-RR Parts")</f>
        <v>TPA Total BT-G PA (2) PP Non-RR Parts</v>
      </c>
      <c r="R1128" s="1131">
        <v>17677.149810000024</v>
      </c>
      <c r="S1128" s="1131">
        <v>47558.209170000002</v>
      </c>
      <c r="T1128" s="1131">
        <v>40395.466579999964</v>
      </c>
      <c r="U1128" s="1131">
        <v>36029.880119999973</v>
      </c>
      <c r="V1128" s="1131">
        <v>49997.102469999882</v>
      </c>
      <c r="W1128" s="1131">
        <v>37791.74212999997</v>
      </c>
      <c r="X1128" s="1131">
        <v>52054.48327999992</v>
      </c>
      <c r="Y1128" s="1131">
        <v>47775.033319999988</v>
      </c>
      <c r="Z1128" s="1131">
        <v>39230.767759999952</v>
      </c>
      <c r="AA1128" s="1131">
        <v>59212.295899999866</v>
      </c>
      <c r="AB1128" s="1131">
        <v>71594.50177000009</v>
      </c>
      <c r="AC1128" s="1131">
        <v>52683.929790000017</v>
      </c>
      <c r="AD1128" s="932">
        <f>SUM(R1128,S1128,T1128)</f>
        <v>105630.82556</v>
      </c>
      <c r="AE1128" s="823">
        <f t="shared" si="1634"/>
        <v>123818.72471999982</v>
      </c>
      <c r="AF1128" s="823">
        <f t="shared" si="1635"/>
        <v>139060.28435999987</v>
      </c>
      <c r="AG1128" s="823">
        <f t="shared" si="1636"/>
        <v>183490.72745999997</v>
      </c>
      <c r="AH1128" s="823">
        <f t="shared" si="1637"/>
        <v>229449.55027999982</v>
      </c>
      <c r="AI1128" s="823">
        <f t="shared" si="1638"/>
        <v>322551.01181999984</v>
      </c>
      <c r="AJ1128" s="823">
        <f t="shared" si="1639"/>
        <v>552000.56209999963</v>
      </c>
    </row>
    <row r="1129" spans="1:36" s="392" customFormat="1" ht="14.5">
      <c r="A1129" s="616">
        <v>1</v>
      </c>
      <c r="B1129" s="616">
        <v>1</v>
      </c>
      <c r="C1129" s="616" t="s">
        <v>1540</v>
      </c>
      <c r="D1129" s="709" t="s">
        <v>1308</v>
      </c>
      <c r="E1129" s="2568" t="s">
        <v>1370</v>
      </c>
      <c r="F1129" s="2608"/>
      <c r="G1129" s="238"/>
      <c r="H1129" s="238"/>
      <c r="I1129" s="398"/>
      <c r="J1129" s="395"/>
      <c r="K1129" s="3352" t="s">
        <v>1554</v>
      </c>
      <c r="L1129" s="416"/>
      <c r="M1129" s="418"/>
      <c r="N1129" s="418"/>
      <c r="O1129" s="418"/>
      <c r="P1129" s="418"/>
      <c r="Q1129" s="1827" t="str">
        <f>CHOOSE(2, "6722000004047", "TPA Total BT-G PA (3) IP")</f>
        <v>TPA Total BT-G PA (3) IP</v>
      </c>
      <c r="R1129" s="818">
        <f t="shared" ref="R1129:AC1129" si="1640">SUM(R1130:R1131)</f>
        <v>779.92598999999996</v>
      </c>
      <c r="S1129" s="818">
        <f t="shared" si="1640"/>
        <v>944.02499999999998</v>
      </c>
      <c r="T1129" s="818">
        <f t="shared" si="1640"/>
        <v>2750.63294</v>
      </c>
      <c r="U1129" s="818">
        <f t="shared" si="1640"/>
        <v>910</v>
      </c>
      <c r="V1129" s="818">
        <f t="shared" si="1640"/>
        <v>891.02392999999995</v>
      </c>
      <c r="W1129" s="818">
        <f t="shared" si="1640"/>
        <v>1026</v>
      </c>
      <c r="X1129" s="818">
        <f t="shared" si="1640"/>
        <v>59.232849999999999</v>
      </c>
      <c r="Y1129" s="818">
        <f t="shared" si="1640"/>
        <v>1612.49342</v>
      </c>
      <c r="Z1129" s="818">
        <f t="shared" si="1640"/>
        <v>468.70741999999996</v>
      </c>
      <c r="AA1129" s="818">
        <f t="shared" si="1640"/>
        <v>747.44676000000004</v>
      </c>
      <c r="AB1129" s="818">
        <f t="shared" si="1640"/>
        <v>78521.182000000001</v>
      </c>
      <c r="AC1129" s="818">
        <f t="shared" si="1640"/>
        <v>17556.315210000001</v>
      </c>
      <c r="AD1129" s="927">
        <f t="shared" ref="AD1129:AJ1129" si="1641">SUM(AD1130:AD1131)</f>
        <v>4474.5839299999998</v>
      </c>
      <c r="AE1129" s="818">
        <f t="shared" si="1641"/>
        <v>2827.0239299999998</v>
      </c>
      <c r="AF1129" s="818">
        <f t="shared" si="1641"/>
        <v>2140.4336899999998</v>
      </c>
      <c r="AG1129" s="818">
        <f t="shared" si="1641"/>
        <v>96824.943970000008</v>
      </c>
      <c r="AH1129" s="818">
        <f t="shared" si="1641"/>
        <v>7301.6078600000001</v>
      </c>
      <c r="AI1129" s="818">
        <f t="shared" si="1641"/>
        <v>98965.377660000013</v>
      </c>
      <c r="AJ1129" s="818">
        <f t="shared" si="1641"/>
        <v>106266.98552000002</v>
      </c>
    </row>
    <row r="1130" spans="1:36" s="392" customFormat="1" ht="14.5">
      <c r="A1130" s="616">
        <v>1</v>
      </c>
      <c r="B1130" s="616">
        <v>1</v>
      </c>
      <c r="C1130" s="616" t="s">
        <v>1540</v>
      </c>
      <c r="D1130" s="709" t="s">
        <v>1308</v>
      </c>
      <c r="E1130" s="2568" t="s">
        <v>1370</v>
      </c>
      <c r="F1130" s="2608"/>
      <c r="G1130" s="238"/>
      <c r="H1130" s="238"/>
      <c r="I1130" s="398"/>
      <c r="J1130" s="395"/>
      <c r="K1130" s="411"/>
      <c r="L1130" s="385" t="s">
        <v>1548</v>
      </c>
      <c r="N1130" s="385" t="s">
        <v>1499</v>
      </c>
      <c r="O1130" s="808"/>
      <c r="P1130" s="808"/>
      <c r="Q1130" s="1829" t="str">
        <f>CHOOSE(2, "6722000004048", "TPA Total BT-G PA (3) IP RR Label Printer")</f>
        <v>TPA Total BT-G PA (3) IP RR Label Printer</v>
      </c>
      <c r="R1130" s="1128">
        <v>0</v>
      </c>
      <c r="S1130" s="1128">
        <v>0</v>
      </c>
      <c r="T1130" s="1128">
        <v>0</v>
      </c>
      <c r="U1130" s="1128">
        <v>0</v>
      </c>
      <c r="V1130" s="1128">
        <v>0</v>
      </c>
      <c r="W1130" s="1128">
        <v>0</v>
      </c>
      <c r="X1130" s="1128">
        <v>0</v>
      </c>
      <c r="Y1130" s="1128">
        <v>0</v>
      </c>
      <c r="Z1130" s="1128">
        <v>0</v>
      </c>
      <c r="AA1130" s="1128">
        <v>0</v>
      </c>
      <c r="AB1130" s="1128">
        <v>1575</v>
      </c>
      <c r="AC1130" s="1128">
        <v>13081.9</v>
      </c>
      <c r="AD1130" s="929">
        <f t="shared" ref="AD1130:AD1136" si="1642">SUM(R1130,S1130,T1130)</f>
        <v>0</v>
      </c>
      <c r="AE1130" s="820">
        <f t="shared" ref="AE1130:AE1136" si="1643">SUM(U1130,V1130,W1130)</f>
        <v>0</v>
      </c>
      <c r="AF1130" s="820">
        <f t="shared" ref="AF1130:AF1136" si="1644">SUM(X1130,Y1130,Z1130)</f>
        <v>0</v>
      </c>
      <c r="AG1130" s="820">
        <f t="shared" ref="AG1130:AG1136" si="1645">SUM(AA1130,AB1130,AC1130)</f>
        <v>14656.9</v>
      </c>
      <c r="AH1130" s="820">
        <f t="shared" ref="AH1130:AH1136" si="1646">AD1130+AE1130</f>
        <v>0</v>
      </c>
      <c r="AI1130" s="820">
        <f t="shared" ref="AI1130:AI1136" si="1647">AG1130+AF1130</f>
        <v>14656.9</v>
      </c>
      <c r="AJ1130" s="820">
        <f t="shared" ref="AJ1130:AJ1136" si="1648">AH1130+AI1130</f>
        <v>14656.9</v>
      </c>
    </row>
    <row r="1131" spans="1:36" s="392" customFormat="1" ht="14.5">
      <c r="A1131" s="616">
        <v>1</v>
      </c>
      <c r="B1131" s="616">
        <v>1</v>
      </c>
      <c r="C1131" s="616" t="s">
        <v>1540</v>
      </c>
      <c r="D1131" s="709" t="s">
        <v>1308</v>
      </c>
      <c r="E1131" s="2568" t="s">
        <v>1370</v>
      </c>
      <c r="F1131" s="2608"/>
      <c r="G1131" s="238"/>
      <c r="H1131" s="238"/>
      <c r="I1131" s="398"/>
      <c r="J1131" s="395"/>
      <c r="K1131" s="412"/>
      <c r="L1131" s="1292" t="s">
        <v>1549</v>
      </c>
      <c r="M1131" s="814"/>
      <c r="N1131" s="542" t="s">
        <v>1555</v>
      </c>
      <c r="O1131" s="809"/>
      <c r="P1131" s="809"/>
      <c r="Q1131" s="1829" t="str">
        <f>CHOOSE(2, "6722000004049", "TPA Total BT-G PA (3) IP Non-RR Others")</f>
        <v>TPA Total BT-G PA (3) IP Non-RR Others</v>
      </c>
      <c r="R1131" s="1131">
        <v>779.92598999999996</v>
      </c>
      <c r="S1131" s="1131">
        <v>944.02499999999998</v>
      </c>
      <c r="T1131" s="1131">
        <v>2750.63294</v>
      </c>
      <c r="U1131" s="1131">
        <v>910</v>
      </c>
      <c r="V1131" s="1131">
        <v>891.02392999999995</v>
      </c>
      <c r="W1131" s="1131">
        <v>1026</v>
      </c>
      <c r="X1131" s="1131">
        <v>59.232849999999999</v>
      </c>
      <c r="Y1131" s="1131">
        <v>1612.49342</v>
      </c>
      <c r="Z1131" s="1131">
        <v>468.70741999999996</v>
      </c>
      <c r="AA1131" s="1131">
        <v>747.44676000000004</v>
      </c>
      <c r="AB1131" s="1131">
        <v>76946.182000000001</v>
      </c>
      <c r="AC1131" s="1131">
        <v>4474.4152100000001</v>
      </c>
      <c r="AD1131" s="932">
        <f t="shared" si="1642"/>
        <v>4474.5839299999998</v>
      </c>
      <c r="AE1131" s="823">
        <f t="shared" si="1643"/>
        <v>2827.0239299999998</v>
      </c>
      <c r="AF1131" s="823">
        <f t="shared" si="1644"/>
        <v>2140.4336899999998</v>
      </c>
      <c r="AG1131" s="823">
        <f t="shared" si="1645"/>
        <v>82168.043970000013</v>
      </c>
      <c r="AH1131" s="823">
        <f t="shared" si="1646"/>
        <v>7301.6078600000001</v>
      </c>
      <c r="AI1131" s="823">
        <f t="shared" si="1647"/>
        <v>84308.477660000019</v>
      </c>
      <c r="AJ1131" s="823">
        <f t="shared" si="1648"/>
        <v>91610.085520000022</v>
      </c>
    </row>
    <row r="1132" spans="1:36" s="392" customFormat="1" ht="14.5">
      <c r="A1132" s="616">
        <v>1</v>
      </c>
      <c r="B1132" s="616">
        <v>1</v>
      </c>
      <c r="C1132" s="616" t="s">
        <v>1540</v>
      </c>
      <c r="D1132" s="709" t="s">
        <v>1308</v>
      </c>
      <c r="E1132" s="2568" t="s">
        <v>1370</v>
      </c>
      <c r="F1132" s="2608"/>
      <c r="G1132" s="238"/>
      <c r="H1132" s="238"/>
      <c r="I1132" s="398"/>
      <c r="J1132" s="395"/>
      <c r="K1132" s="413" t="s">
        <v>1456</v>
      </c>
      <c r="L1132" s="415"/>
      <c r="M1132" s="419"/>
      <c r="N1132" s="420"/>
      <c r="O1132" s="420"/>
      <c r="P1132" s="420"/>
      <c r="Q1132" s="1827" t="str">
        <f>CHOOSE(2, "6722000004050", "TPA Total BT-G PA (4) MS")</f>
        <v>TPA Total BT-G PA (4) MS</v>
      </c>
      <c r="R1132" s="2610">
        <v>0</v>
      </c>
      <c r="S1132" s="2610">
        <v>0</v>
      </c>
      <c r="T1132" s="2610">
        <v>0</v>
      </c>
      <c r="U1132" s="2610">
        <v>0</v>
      </c>
      <c r="V1132" s="2610">
        <v>0</v>
      </c>
      <c r="W1132" s="2610">
        <v>0</v>
      </c>
      <c r="X1132" s="2610">
        <v>0</v>
      </c>
      <c r="Y1132" s="2610">
        <v>0</v>
      </c>
      <c r="Z1132" s="2610">
        <v>0</v>
      </c>
      <c r="AA1132" s="2610">
        <v>0</v>
      </c>
      <c r="AB1132" s="2610">
        <v>0</v>
      </c>
      <c r="AC1132" s="2610">
        <v>0</v>
      </c>
      <c r="AD1132" s="2319">
        <f t="shared" si="1642"/>
        <v>0</v>
      </c>
      <c r="AE1132" s="2320">
        <f t="shared" si="1643"/>
        <v>0</v>
      </c>
      <c r="AF1132" s="2320">
        <f t="shared" si="1644"/>
        <v>0</v>
      </c>
      <c r="AG1132" s="2320">
        <f t="shared" si="1645"/>
        <v>0</v>
      </c>
      <c r="AH1132" s="2320">
        <f t="shared" si="1646"/>
        <v>0</v>
      </c>
      <c r="AI1132" s="2320">
        <f t="shared" si="1647"/>
        <v>0</v>
      </c>
      <c r="AJ1132" s="2320">
        <f t="shared" si="1648"/>
        <v>0</v>
      </c>
    </row>
    <row r="1133" spans="1:36" s="392" customFormat="1" ht="14.5">
      <c r="A1133" s="616">
        <v>1</v>
      </c>
      <c r="B1133" s="616">
        <v>1</v>
      </c>
      <c r="C1133" s="616" t="s">
        <v>1540</v>
      </c>
      <c r="D1133" s="709" t="s">
        <v>1308</v>
      </c>
      <c r="E1133" s="2568" t="s">
        <v>1370</v>
      </c>
      <c r="F1133" s="2608"/>
      <c r="G1133" s="238"/>
      <c r="H1133" s="238"/>
      <c r="I1133" s="398"/>
      <c r="J1133" s="395"/>
      <c r="K1133" s="2321" t="s">
        <v>1556</v>
      </c>
      <c r="L1133" s="2315"/>
      <c r="M1133" s="415"/>
      <c r="N1133" s="415"/>
      <c r="O1133" s="415"/>
      <c r="P1133" s="415"/>
      <c r="Q1133" s="1827" t="str">
        <f>CHOOSE(2, "6722000004051", "TPA Total BT-G PA (5) DW-DX")</f>
        <v>TPA Total BT-G PA (5) DW-DX</v>
      </c>
      <c r="R1133" s="825">
        <v>0</v>
      </c>
      <c r="S1133" s="825">
        <v>0</v>
      </c>
      <c r="T1133" s="825">
        <v>0</v>
      </c>
      <c r="U1133" s="825">
        <v>0</v>
      </c>
      <c r="V1133" s="825">
        <v>0</v>
      </c>
      <c r="W1133" s="825">
        <v>0</v>
      </c>
      <c r="X1133" s="825">
        <v>0</v>
      </c>
      <c r="Y1133" s="825">
        <v>0</v>
      </c>
      <c r="Z1133" s="825">
        <v>0</v>
      </c>
      <c r="AA1133" s="825">
        <v>0</v>
      </c>
      <c r="AB1133" s="825">
        <v>0</v>
      </c>
      <c r="AC1133" s="825">
        <v>0</v>
      </c>
      <c r="AD1133" s="934">
        <f t="shared" si="1642"/>
        <v>0</v>
      </c>
      <c r="AE1133" s="825">
        <f t="shared" si="1643"/>
        <v>0</v>
      </c>
      <c r="AF1133" s="825">
        <f t="shared" si="1644"/>
        <v>0</v>
      </c>
      <c r="AG1133" s="825">
        <f t="shared" si="1645"/>
        <v>0</v>
      </c>
      <c r="AH1133" s="825">
        <f t="shared" si="1646"/>
        <v>0</v>
      </c>
      <c r="AI1133" s="825">
        <f t="shared" si="1647"/>
        <v>0</v>
      </c>
      <c r="AJ1133" s="825">
        <f t="shared" si="1648"/>
        <v>0</v>
      </c>
    </row>
    <row r="1134" spans="1:36" s="392" customFormat="1" ht="14.5">
      <c r="A1134" s="616">
        <v>1</v>
      </c>
      <c r="B1134" s="616">
        <v>1</v>
      </c>
      <c r="C1134" s="616" t="s">
        <v>1540</v>
      </c>
      <c r="D1134" s="709" t="s">
        <v>1308</v>
      </c>
      <c r="E1134" s="2568" t="s">
        <v>1370</v>
      </c>
      <c r="F1134" s="2608"/>
      <c r="G1134" s="238"/>
      <c r="H1134" s="238"/>
      <c r="I1134" s="398"/>
      <c r="J1134" s="395"/>
      <c r="K1134" s="2322" t="s">
        <v>252</v>
      </c>
      <c r="L1134" s="2323"/>
      <c r="M1134" s="2323"/>
      <c r="N1134" s="2324"/>
      <c r="O1134" s="810"/>
      <c r="P1134" s="810"/>
      <c r="Q1134" s="1829" t="str">
        <f>CHOOSE(2, "6722000004052", "TPA Total BT-G PA ②Other BT-Gr Suppliers (BSF/BCUS)")</f>
        <v>TPA Total BT-G PA ②Other BT-Gr Suppliers (BSF/BCUS)</v>
      </c>
      <c r="R1134" s="1132">
        <v>16260.632160000001</v>
      </c>
      <c r="S1134" s="1132">
        <v>41868.830099999999</v>
      </c>
      <c r="T1134" s="1132">
        <v>18869.553</v>
      </c>
      <c r="U1134" s="1132">
        <v>14896.326384999998</v>
      </c>
      <c r="V1134" s="1132">
        <v>1824</v>
      </c>
      <c r="W1134" s="1132">
        <v>17302.468000000001</v>
      </c>
      <c r="X1134" s="1132">
        <v>10905.216199999999</v>
      </c>
      <c r="Y1134" s="1132">
        <v>2184.5160000000001</v>
      </c>
      <c r="Z1134" s="1132">
        <v>4074.0017640000005</v>
      </c>
      <c r="AA1134" s="1132">
        <v>8952.2235000000001</v>
      </c>
      <c r="AB1134" s="1132">
        <v>1882.14</v>
      </c>
      <c r="AC1134" s="1132">
        <v>20284.5537</v>
      </c>
      <c r="AD1134" s="2325">
        <f t="shared" si="1642"/>
        <v>76999.01526</v>
      </c>
      <c r="AE1134" s="2326">
        <f t="shared" si="1643"/>
        <v>34022.794385000001</v>
      </c>
      <c r="AF1134" s="2326">
        <f t="shared" si="1644"/>
        <v>17163.733963999999</v>
      </c>
      <c r="AG1134" s="2326">
        <f t="shared" si="1645"/>
        <v>31118.9172</v>
      </c>
      <c r="AH1134" s="2326">
        <f t="shared" si="1646"/>
        <v>111021.809645</v>
      </c>
      <c r="AI1134" s="2326">
        <f t="shared" si="1647"/>
        <v>48282.651163999995</v>
      </c>
      <c r="AJ1134" s="2326">
        <f t="shared" si="1648"/>
        <v>159304.46080900001</v>
      </c>
    </row>
    <row r="1135" spans="1:36" s="392" customFormat="1" ht="14.5">
      <c r="A1135" s="616">
        <v>1</v>
      </c>
      <c r="B1135" s="616">
        <v>1</v>
      </c>
      <c r="C1135" s="616" t="s">
        <v>1540</v>
      </c>
      <c r="D1135" s="709" t="s">
        <v>1308</v>
      </c>
      <c r="E1135" s="2568" t="s">
        <v>1370</v>
      </c>
      <c r="F1135" s="2608"/>
      <c r="G1135" s="238"/>
      <c r="H1135" s="238"/>
      <c r="I1135" s="400"/>
      <c r="J1135" s="404"/>
      <c r="K1135" s="2327" t="s">
        <v>253</v>
      </c>
      <c r="L1135" s="2328"/>
      <c r="M1135" s="2329"/>
      <c r="N1135" s="2325"/>
      <c r="O1135" s="2329"/>
      <c r="P1135" s="2329"/>
      <c r="Q1135" s="1829" t="str">
        <f>CHOOSE(2, "6722000004053", "TPA Total BT-G PA ③Other BT-Gr Suppliers (MGI)")</f>
        <v>TPA Total BT-G PA ③Other BT-Gr Suppliers (MGI)</v>
      </c>
      <c r="R1135" s="2330">
        <v>4534.4522999999999</v>
      </c>
      <c r="S1135" s="2330">
        <v>5001.9001200000002</v>
      </c>
      <c r="T1135" s="2330">
        <v>430.9425</v>
      </c>
      <c r="U1135" s="2330">
        <v>5714.1213600000001</v>
      </c>
      <c r="V1135" s="2330">
        <v>4602.7493999999997</v>
      </c>
      <c r="W1135" s="2330">
        <v>499.49489999999997</v>
      </c>
      <c r="X1135" s="2330">
        <v>6153.3670839999995</v>
      </c>
      <c r="Y1135" s="2330">
        <v>97.093999999999994</v>
      </c>
      <c r="Z1135" s="2330">
        <v>4437.84105</v>
      </c>
      <c r="AA1135" s="2330">
        <v>1208.5278699999999</v>
      </c>
      <c r="AB1135" s="2330">
        <v>2246.3077999999996</v>
      </c>
      <c r="AC1135" s="2330">
        <v>12707.250819999999</v>
      </c>
      <c r="AD1135" s="2325">
        <f t="shared" si="1642"/>
        <v>9967.2949199999985</v>
      </c>
      <c r="AE1135" s="2326">
        <f t="shared" si="1643"/>
        <v>10816.365659999999</v>
      </c>
      <c r="AF1135" s="2326">
        <f t="shared" si="1644"/>
        <v>10688.302134</v>
      </c>
      <c r="AG1135" s="2326">
        <f t="shared" si="1645"/>
        <v>16162.086489999998</v>
      </c>
      <c r="AH1135" s="2326">
        <f t="shared" si="1646"/>
        <v>20783.660579999996</v>
      </c>
      <c r="AI1135" s="2326">
        <f t="shared" si="1647"/>
        <v>26850.388623999999</v>
      </c>
      <c r="AJ1135" s="2326">
        <f t="shared" si="1648"/>
        <v>47634.049203999995</v>
      </c>
    </row>
    <row r="1136" spans="1:36" s="392" customFormat="1" ht="14.5">
      <c r="A1136" s="616">
        <v>1</v>
      </c>
      <c r="B1136" s="616">
        <v>1</v>
      </c>
      <c r="C1136" s="616" t="s">
        <v>1540</v>
      </c>
      <c r="D1136" s="709" t="s">
        <v>1308</v>
      </c>
      <c r="E1136" s="2568" t="s">
        <v>1370</v>
      </c>
      <c r="F1136" s="2608"/>
      <c r="G1136" s="238"/>
      <c r="H1136" s="238"/>
      <c r="I1136" s="401"/>
      <c r="J1136" s="2331" t="s">
        <v>1557</v>
      </c>
      <c r="K1136" s="2332"/>
      <c r="L1136" s="2332"/>
      <c r="M1136" s="2323"/>
      <c r="N1136" s="2323"/>
      <c r="O1136" s="2323"/>
      <c r="P1136" s="2323"/>
      <c r="Q1136" s="1829" t="str">
        <f>CHOOSE(2, "6722000004054", "TPA ④Other (3rd Party） Suppliers")</f>
        <v>TPA ④Other (3rd Party） Suppliers</v>
      </c>
      <c r="R1136" s="2330">
        <v>2578.3931899999998</v>
      </c>
      <c r="S1136" s="2330">
        <v>25662.68</v>
      </c>
      <c r="T1136" s="2330">
        <v>5896.5480564</v>
      </c>
      <c r="U1136" s="2330">
        <v>11666.087030000001</v>
      </c>
      <c r="V1136" s="2330">
        <v>4643.8040000000001</v>
      </c>
      <c r="W1136" s="2330">
        <v>6419.2611000000006</v>
      </c>
      <c r="X1136" s="2330">
        <v>1563.1303249999999</v>
      </c>
      <c r="Y1136" s="2330">
        <v>4052.7627504000002</v>
      </c>
      <c r="Z1136" s="2330">
        <v>2766.0609720000002</v>
      </c>
      <c r="AA1136" s="2330">
        <v>3397.4239699999998</v>
      </c>
      <c r="AB1136" s="2330">
        <v>4295.8999999999996</v>
      </c>
      <c r="AC1136" s="2330">
        <v>16766.066859999999</v>
      </c>
      <c r="AD1136" s="2325">
        <f t="shared" si="1642"/>
        <v>34137.621246399998</v>
      </c>
      <c r="AE1136" s="2326">
        <f t="shared" si="1643"/>
        <v>22729.152130000002</v>
      </c>
      <c r="AF1136" s="2326">
        <f t="shared" si="1644"/>
        <v>8381.9540474000005</v>
      </c>
      <c r="AG1136" s="2326">
        <f t="shared" si="1645"/>
        <v>24459.390829999997</v>
      </c>
      <c r="AH1136" s="2326">
        <f t="shared" si="1646"/>
        <v>56866.7733764</v>
      </c>
      <c r="AI1136" s="2326">
        <f t="shared" si="1647"/>
        <v>32841.344877399999</v>
      </c>
      <c r="AJ1136" s="2326">
        <f t="shared" si="1648"/>
        <v>89708.118253799999</v>
      </c>
    </row>
    <row r="1137" spans="1:36" s="392" customFormat="1" ht="14.5">
      <c r="A1137" s="616">
        <v>1</v>
      </c>
      <c r="B1137" s="616">
        <v>1</v>
      </c>
      <c r="C1137" s="616" t="s">
        <v>1540</v>
      </c>
      <c r="D1137" s="709" t="s">
        <v>1308</v>
      </c>
      <c r="E1137" s="2568" t="s">
        <v>1370</v>
      </c>
      <c r="F1137" s="2608"/>
      <c r="G1137" s="238"/>
      <c r="H1137" s="238"/>
      <c r="I1137" s="8"/>
      <c r="J1137" s="8"/>
      <c r="K1137" s="8"/>
      <c r="L1137" s="8"/>
      <c r="M1137" s="8"/>
      <c r="N1137" s="8"/>
      <c r="O1137" s="8"/>
      <c r="P1137" s="8"/>
      <c r="Q1137" s="1772" t="str">
        <f>CHOOSE(2, "6722000004055", "▷ Blank 39")</f>
        <v>▷ Blank 39</v>
      </c>
      <c r="R1137" s="1235"/>
      <c r="S1137" s="8"/>
      <c r="T1137" s="8"/>
      <c r="U1137" s="8"/>
      <c r="V1137" s="8"/>
      <c r="W1137" s="8"/>
      <c r="X1137" s="8"/>
      <c r="Y1137" s="1234"/>
      <c r="Z1137" s="1234"/>
    </row>
    <row r="1138" spans="1:36" ht="14.5">
      <c r="A1138" s="616">
        <v>1</v>
      </c>
      <c r="B1138" s="616">
        <v>1</v>
      </c>
      <c r="C1138" s="616" t="s">
        <v>1540</v>
      </c>
      <c r="D1138" s="709" t="s">
        <v>1308</v>
      </c>
      <c r="E1138" s="2568" t="s">
        <v>1370</v>
      </c>
      <c r="F1138" s="2606"/>
      <c r="G1138" s="22" t="s">
        <v>1558</v>
      </c>
      <c r="O1138" s="477"/>
      <c r="Q1138" s="1772" t="str">
        <f>CHOOSE(2, "6722000004056", "6-2. Additional Purchase information")</f>
        <v>6-2. Additional Purchase information</v>
      </c>
      <c r="R1138" s="2557"/>
    </row>
    <row r="1139" spans="1:36" s="517" customFormat="1" ht="14.5">
      <c r="A1139" s="616">
        <v>1</v>
      </c>
      <c r="B1139" s="616">
        <v>1</v>
      </c>
      <c r="C1139" s="616" t="s">
        <v>1540</v>
      </c>
      <c r="D1139" s="709" t="s">
        <v>1308</v>
      </c>
      <c r="E1139" s="2568" t="s">
        <v>1370</v>
      </c>
      <c r="F1139" s="2608"/>
      <c r="G1139" s="238"/>
      <c r="I1139" s="831" t="s">
        <v>1559</v>
      </c>
      <c r="J1139" s="181"/>
      <c r="K1139" s="827"/>
      <c r="L1139" s="827"/>
      <c r="M1139" s="827"/>
      <c r="N1139" s="179"/>
      <c r="O1139" s="179"/>
      <c r="P1139" s="179"/>
      <c r="Q1139" s="1772" t="str">
        <f>CHOOSE(2, "6722000004057", "▷ Blank 40")</f>
        <v>▷ Blank 40</v>
      </c>
      <c r="R1139" s="1235"/>
      <c r="S1139" s="8"/>
      <c r="T1139" s="8"/>
      <c r="U1139" s="8"/>
      <c r="V1139" s="8"/>
      <c r="W1139" s="8"/>
      <c r="X1139" s="8"/>
      <c r="Y1139" s="516"/>
      <c r="Z1139" s="516"/>
      <c r="AA1139" s="516"/>
    </row>
    <row r="1140" spans="1:36" s="517" customFormat="1" ht="14.5">
      <c r="A1140" s="616">
        <v>1</v>
      </c>
      <c r="B1140" s="616">
        <v>1</v>
      </c>
      <c r="C1140" s="616" t="s">
        <v>1540</v>
      </c>
      <c r="D1140" s="709" t="s">
        <v>1308</v>
      </c>
      <c r="E1140" s="2568" t="s">
        <v>1370</v>
      </c>
      <c r="F1140" s="2608"/>
      <c r="G1140" s="238"/>
      <c r="I1140" s="3353" t="s">
        <v>197</v>
      </c>
      <c r="J1140" s="378"/>
      <c r="K1140" s="378"/>
      <c r="L1140" s="378"/>
      <c r="M1140" s="378"/>
      <c r="N1140" s="487"/>
      <c r="O1140" s="487"/>
      <c r="P1140" s="487"/>
      <c r="Q1140" s="1772" t="str">
        <f>CHOOSE(2, "6722000004058", "①Supplier = BT")</f>
        <v>①Supplier = BT</v>
      </c>
      <c r="R1140" s="3354">
        <f t="shared" ref="R1140:AJ1140" si="1649">R1110</f>
        <v>499510.40017000004</v>
      </c>
      <c r="S1140" s="3354">
        <f t="shared" si="1649"/>
        <v>533337.10016999999</v>
      </c>
      <c r="T1140" s="3354">
        <f t="shared" si="1649"/>
        <v>402270.62826999993</v>
      </c>
      <c r="U1140" s="3354">
        <f t="shared" si="1649"/>
        <v>630884.29184999992</v>
      </c>
      <c r="V1140" s="3354">
        <f t="shared" si="1649"/>
        <v>390624.89628999995</v>
      </c>
      <c r="W1140" s="3354">
        <f t="shared" si="1649"/>
        <v>577694.82490999997</v>
      </c>
      <c r="X1140" s="3354">
        <f t="shared" si="1649"/>
        <v>467296.52916999994</v>
      </c>
      <c r="Y1140" s="3355">
        <f t="shared" si="1649"/>
        <v>621020.52732999995</v>
      </c>
      <c r="Z1140" s="2611">
        <f t="shared" si="1649"/>
        <v>475606.91235999996</v>
      </c>
      <c r="AA1140" s="2612">
        <f t="shared" si="1649"/>
        <v>501454.44831999991</v>
      </c>
      <c r="AB1140" s="2612">
        <f t="shared" si="1649"/>
        <v>713265.78057000018</v>
      </c>
      <c r="AC1140" s="2612">
        <f t="shared" si="1649"/>
        <v>354999.20489000005</v>
      </c>
      <c r="AD1140" s="3356">
        <f t="shared" si="1649"/>
        <v>1435118.12861</v>
      </c>
      <c r="AE1140" s="2612">
        <f t="shared" si="1649"/>
        <v>1599204.01305</v>
      </c>
      <c r="AF1140" s="2612">
        <f t="shared" si="1649"/>
        <v>1563923.9688599999</v>
      </c>
      <c r="AG1140" s="2612">
        <f t="shared" si="1649"/>
        <v>1569719.4337799998</v>
      </c>
      <c r="AH1140" s="2612">
        <f t="shared" si="1649"/>
        <v>3034322.1416599997</v>
      </c>
      <c r="AI1140" s="2612">
        <f t="shared" si="1649"/>
        <v>3133643.40264</v>
      </c>
      <c r="AJ1140" s="2612">
        <f t="shared" si="1649"/>
        <v>6167965.5442999993</v>
      </c>
    </row>
    <row r="1141" spans="1:36" s="517" customFormat="1" ht="14.5">
      <c r="A1141" s="616">
        <v>1</v>
      </c>
      <c r="B1141" s="616">
        <v>1</v>
      </c>
      <c r="C1141" s="616" t="s">
        <v>1540</v>
      </c>
      <c r="D1141" s="709" t="s">
        <v>1308</v>
      </c>
      <c r="E1141" s="2568" t="s">
        <v>1370</v>
      </c>
      <c r="F1141" s="2608"/>
      <c r="G1141" s="238"/>
      <c r="I1141" s="225"/>
      <c r="J1141" s="424"/>
      <c r="K1141" s="425" t="s">
        <v>1560</v>
      </c>
      <c r="L1141" s="422"/>
      <c r="M1141" s="828"/>
      <c r="N1141" s="422"/>
      <c r="O1141" s="422"/>
      <c r="P1141" s="422"/>
      <c r="Q1141" s="1830" t="str">
        <f>CHOOSE(2, "6722000004059", "①Supplier = BT RR Purchase")</f>
        <v>①Supplier = BT RR Purchase</v>
      </c>
      <c r="R1141" s="3357">
        <v>499510.40017000004</v>
      </c>
      <c r="S1141" s="3357">
        <v>533337.10016999999</v>
      </c>
      <c r="T1141" s="3357">
        <v>402270.62826999993</v>
      </c>
      <c r="U1141" s="3357">
        <v>630884.29184999992</v>
      </c>
      <c r="V1141" s="3357">
        <v>390624.89628999995</v>
      </c>
      <c r="W1141" s="3357">
        <v>577694.82490999997</v>
      </c>
      <c r="X1141" s="3357">
        <v>467296.52916999994</v>
      </c>
      <c r="Y1141" s="3358">
        <v>621020.52732999995</v>
      </c>
      <c r="Z1141" s="2613">
        <v>475606.91235999996</v>
      </c>
      <c r="AA1141" s="2613">
        <v>501454.44831999991</v>
      </c>
      <c r="AB1141" s="2613">
        <v>713265.78057000018</v>
      </c>
      <c r="AC1141" s="2613">
        <v>354999.20489000005</v>
      </c>
      <c r="AD1141" s="2614">
        <f t="shared" ref="AD1141:AD1147" si="1650">SUM(R1141,S1141,T1141)</f>
        <v>1435118.12861</v>
      </c>
      <c r="AE1141" s="2615">
        <f t="shared" ref="AE1141:AE1147" si="1651">SUM(U1141,V1141,W1141)</f>
        <v>1599204.0130499997</v>
      </c>
      <c r="AF1141" s="2615">
        <f t="shared" ref="AF1141:AF1147" si="1652">SUM(X1141,Y1141,Z1141)</f>
        <v>1563923.9688599999</v>
      </c>
      <c r="AG1141" s="2615">
        <f t="shared" ref="AG1141:AG1147" si="1653">SUM(AA1141,AB1141,AC1141)</f>
        <v>1569719.4337800001</v>
      </c>
      <c r="AH1141" s="2615">
        <f t="shared" ref="AH1141:AH1147" si="1654">AD1141+AE1141</f>
        <v>3034322.1416599997</v>
      </c>
      <c r="AI1141" s="2615">
        <f t="shared" ref="AI1141:AI1147" si="1655">AG1141+AF1141</f>
        <v>3133643.40264</v>
      </c>
      <c r="AJ1141" s="2615">
        <f t="shared" ref="AJ1141:AJ1147" si="1656">AH1141+AI1141</f>
        <v>6167965.5442999993</v>
      </c>
    </row>
    <row r="1142" spans="1:36" s="517" customFormat="1" ht="14.5">
      <c r="A1142" s="616">
        <v>1</v>
      </c>
      <c r="B1142" s="616">
        <v>1</v>
      </c>
      <c r="C1142" s="616" t="s">
        <v>1540</v>
      </c>
      <c r="D1142" s="709" t="s">
        <v>1308</v>
      </c>
      <c r="E1142" s="2568" t="s">
        <v>1370</v>
      </c>
      <c r="F1142" s="2608"/>
      <c r="G1142" s="238"/>
      <c r="I1142" s="225"/>
      <c r="J1142" s="424"/>
      <c r="K1142" s="426" t="s">
        <v>194</v>
      </c>
      <c r="L1142" s="423"/>
      <c r="M1142" s="829"/>
      <c r="N1142" s="423"/>
      <c r="O1142" s="423"/>
      <c r="P1142" s="423"/>
      <c r="Q1142" s="1830" t="str">
        <f>CHOOSE(2, "6722000004060", "①Supplier = BT Non-RR")</f>
        <v>①Supplier = BT Non-RR</v>
      </c>
      <c r="R1142" s="2616">
        <v>0</v>
      </c>
      <c r="S1142" s="2616">
        <v>0</v>
      </c>
      <c r="T1142" s="2616">
        <v>0</v>
      </c>
      <c r="U1142" s="2616">
        <v>0</v>
      </c>
      <c r="V1142" s="2616">
        <v>0</v>
      </c>
      <c r="W1142" s="2616">
        <v>0</v>
      </c>
      <c r="X1142" s="2616">
        <v>0</v>
      </c>
      <c r="Y1142" s="2617">
        <v>0</v>
      </c>
      <c r="Z1142" s="2617">
        <v>0</v>
      </c>
      <c r="AA1142" s="2617">
        <v>0</v>
      </c>
      <c r="AB1142" s="2617">
        <v>0</v>
      </c>
      <c r="AC1142" s="2617">
        <v>0</v>
      </c>
      <c r="AD1142" s="2618">
        <f t="shared" si="1650"/>
        <v>0</v>
      </c>
      <c r="AE1142" s="2619">
        <f t="shared" si="1651"/>
        <v>0</v>
      </c>
      <c r="AF1142" s="2619">
        <f t="shared" si="1652"/>
        <v>0</v>
      </c>
      <c r="AG1142" s="2619">
        <f t="shared" si="1653"/>
        <v>0</v>
      </c>
      <c r="AH1142" s="2619">
        <f t="shared" si="1654"/>
        <v>0</v>
      </c>
      <c r="AI1142" s="2619">
        <f t="shared" si="1655"/>
        <v>0</v>
      </c>
      <c r="AJ1142" s="2619">
        <f t="shared" si="1656"/>
        <v>0</v>
      </c>
    </row>
    <row r="1143" spans="1:36" s="517" customFormat="1" ht="14.5">
      <c r="A1143" s="616">
        <v>1</v>
      </c>
      <c r="B1143" s="616">
        <v>1</v>
      </c>
      <c r="C1143" s="616" t="s">
        <v>1540</v>
      </c>
      <c r="D1143" s="709" t="s">
        <v>1308</v>
      </c>
      <c r="E1143" s="2568" t="s">
        <v>1370</v>
      </c>
      <c r="F1143" s="2608"/>
      <c r="G1143" s="238"/>
      <c r="I1143" s="225"/>
      <c r="J1143" s="424"/>
      <c r="K1143" s="427" t="s">
        <v>195</v>
      </c>
      <c r="L1143" s="383"/>
      <c r="N1143" s="383" t="s">
        <v>1561</v>
      </c>
      <c r="O1143" s="383"/>
      <c r="P1143" s="383"/>
      <c r="Q1143" s="1830" t="str">
        <f>CHOOSE(2, "6722000004061", "①Supplier = BT Purchase for South Africa (for BEU)")</f>
        <v>①Supplier = BT Purchase for South Africa (for BEU)</v>
      </c>
      <c r="R1143" s="2620">
        <v>0</v>
      </c>
      <c r="S1143" s="2620">
        <v>0</v>
      </c>
      <c r="T1143" s="2620">
        <v>0</v>
      </c>
      <c r="U1143" s="2620">
        <v>0</v>
      </c>
      <c r="V1143" s="2620">
        <v>0</v>
      </c>
      <c r="W1143" s="2620">
        <v>0</v>
      </c>
      <c r="X1143" s="2620">
        <v>0</v>
      </c>
      <c r="Y1143" s="2621">
        <v>0</v>
      </c>
      <c r="Z1143" s="2621">
        <v>0</v>
      </c>
      <c r="AA1143" s="2621">
        <v>0</v>
      </c>
      <c r="AB1143" s="2621">
        <v>0</v>
      </c>
      <c r="AC1143" s="2621">
        <v>0</v>
      </c>
      <c r="AD1143" s="2622">
        <f t="shared" si="1650"/>
        <v>0</v>
      </c>
      <c r="AE1143" s="2623">
        <f t="shared" si="1651"/>
        <v>0</v>
      </c>
      <c r="AF1143" s="2623">
        <f t="shared" si="1652"/>
        <v>0</v>
      </c>
      <c r="AG1143" s="2623">
        <f t="shared" si="1653"/>
        <v>0</v>
      </c>
      <c r="AH1143" s="2623">
        <f t="shared" si="1654"/>
        <v>0</v>
      </c>
      <c r="AI1143" s="2623">
        <f t="shared" si="1655"/>
        <v>0</v>
      </c>
      <c r="AJ1143" s="2623">
        <f t="shared" si="1656"/>
        <v>0</v>
      </c>
    </row>
    <row r="1144" spans="1:36" s="517" customFormat="1" ht="14.5">
      <c r="A1144" s="616">
        <v>1</v>
      </c>
      <c r="B1144" s="616">
        <v>1</v>
      </c>
      <c r="C1144" s="616" t="s">
        <v>1540</v>
      </c>
      <c r="D1144" s="709" t="s">
        <v>1308</v>
      </c>
      <c r="E1144" s="2568" t="s">
        <v>1370</v>
      </c>
      <c r="F1144" s="2608"/>
      <c r="G1144" s="238"/>
      <c r="I1144" s="225"/>
      <c r="J1144" s="424"/>
      <c r="K1144" s="427" t="s">
        <v>196</v>
      </c>
      <c r="L1144" s="383"/>
      <c r="N1144" s="383" t="s">
        <v>1562</v>
      </c>
      <c r="O1144" s="383"/>
      <c r="P1144" s="383"/>
      <c r="Q1144" s="1830" t="str">
        <f>CHOOSE(2, "6722000004062", "①Supplier = BT Purchase for Oli (for BEU)")</f>
        <v>①Supplier = BT Purchase for Oli (for BEU)</v>
      </c>
      <c r="R1144" s="2620">
        <v>0</v>
      </c>
      <c r="S1144" s="2620">
        <v>0</v>
      </c>
      <c r="T1144" s="2620">
        <v>0</v>
      </c>
      <c r="U1144" s="2620">
        <v>0</v>
      </c>
      <c r="V1144" s="2620">
        <v>0</v>
      </c>
      <c r="W1144" s="2620">
        <v>0</v>
      </c>
      <c r="X1144" s="2620">
        <v>0</v>
      </c>
      <c r="Y1144" s="2621">
        <v>0</v>
      </c>
      <c r="Z1144" s="2621">
        <v>0</v>
      </c>
      <c r="AA1144" s="2621">
        <v>0</v>
      </c>
      <c r="AB1144" s="2621">
        <v>0</v>
      </c>
      <c r="AC1144" s="2621">
        <v>0</v>
      </c>
      <c r="AD1144" s="2622">
        <f t="shared" si="1650"/>
        <v>0</v>
      </c>
      <c r="AE1144" s="2623">
        <f t="shared" si="1651"/>
        <v>0</v>
      </c>
      <c r="AF1144" s="2623">
        <f t="shared" si="1652"/>
        <v>0</v>
      </c>
      <c r="AG1144" s="2623">
        <f t="shared" si="1653"/>
        <v>0</v>
      </c>
      <c r="AH1144" s="2623">
        <f t="shared" si="1654"/>
        <v>0</v>
      </c>
      <c r="AI1144" s="2623">
        <f t="shared" si="1655"/>
        <v>0</v>
      </c>
      <c r="AJ1144" s="2623">
        <f t="shared" si="1656"/>
        <v>0</v>
      </c>
    </row>
    <row r="1145" spans="1:36" s="517" customFormat="1" ht="14.5">
      <c r="A1145" s="616">
        <v>1</v>
      </c>
      <c r="B1145" s="616">
        <v>1</v>
      </c>
      <c r="C1145" s="616" t="s">
        <v>1540</v>
      </c>
      <c r="D1145" s="709" t="s">
        <v>1308</v>
      </c>
      <c r="E1145" s="2568" t="s">
        <v>1370</v>
      </c>
      <c r="F1145" s="2608"/>
      <c r="G1145" s="238"/>
      <c r="I1145" s="225"/>
      <c r="J1145" s="424"/>
      <c r="K1145" s="427" t="s">
        <v>1563</v>
      </c>
      <c r="L1145" s="383"/>
      <c r="N1145" s="383" t="s">
        <v>1564</v>
      </c>
      <c r="O1145" s="383"/>
      <c r="P1145" s="383"/>
      <c r="Q1145" s="1830" t="str">
        <f>CHOOSE(2, "6722000004063", "①Supplier = BT Purchase for Aurora (for BCN)")</f>
        <v>①Supplier = BT Purchase for Aurora (for BCN)</v>
      </c>
      <c r="R1145" s="2620">
        <v>0</v>
      </c>
      <c r="S1145" s="2620">
        <v>0</v>
      </c>
      <c r="T1145" s="2620">
        <v>0</v>
      </c>
      <c r="U1145" s="2620">
        <v>0</v>
      </c>
      <c r="V1145" s="2620">
        <v>0</v>
      </c>
      <c r="W1145" s="2620">
        <v>0</v>
      </c>
      <c r="X1145" s="2620">
        <v>0</v>
      </c>
      <c r="Y1145" s="2621">
        <v>0</v>
      </c>
      <c r="Z1145" s="2621">
        <v>0</v>
      </c>
      <c r="AA1145" s="2621">
        <v>0</v>
      </c>
      <c r="AB1145" s="2621">
        <v>0</v>
      </c>
      <c r="AC1145" s="2621">
        <v>0</v>
      </c>
      <c r="AD1145" s="2622">
        <f t="shared" si="1650"/>
        <v>0</v>
      </c>
      <c r="AE1145" s="2623">
        <f t="shared" si="1651"/>
        <v>0</v>
      </c>
      <c r="AF1145" s="2623">
        <f t="shared" si="1652"/>
        <v>0</v>
      </c>
      <c r="AG1145" s="2623">
        <f t="shared" si="1653"/>
        <v>0</v>
      </c>
      <c r="AH1145" s="2623">
        <f t="shared" si="1654"/>
        <v>0</v>
      </c>
      <c r="AI1145" s="2623">
        <f t="shared" si="1655"/>
        <v>0</v>
      </c>
      <c r="AJ1145" s="2623">
        <f t="shared" si="1656"/>
        <v>0</v>
      </c>
    </row>
    <row r="1146" spans="1:36" s="517" customFormat="1" ht="14.5">
      <c r="A1146" s="616">
        <v>1</v>
      </c>
      <c r="B1146" s="616">
        <v>1</v>
      </c>
      <c r="C1146" s="616" t="s">
        <v>1540</v>
      </c>
      <c r="D1146" s="709" t="s">
        <v>1308</v>
      </c>
      <c r="E1146" s="2568" t="s">
        <v>1370</v>
      </c>
      <c r="F1146" s="2608"/>
      <c r="G1146" s="238"/>
      <c r="I1146" s="225"/>
      <c r="J1146" s="424"/>
      <c r="K1146" s="427" t="s">
        <v>1565</v>
      </c>
      <c r="L1146" s="383"/>
      <c r="N1146" s="383" t="s">
        <v>1566</v>
      </c>
      <c r="O1146" s="383"/>
      <c r="P1146" s="383"/>
      <c r="Q1146" s="1830" t="str">
        <f>CHOOSE(2, "6722000004064", "①Supplier = BT Purchase for Murata (for KMJ)")</f>
        <v>①Supplier = BT Purchase for Murata (for KMJ)</v>
      </c>
      <c r="R1146" s="2620">
        <v>0</v>
      </c>
      <c r="S1146" s="2620">
        <v>0</v>
      </c>
      <c r="T1146" s="2620">
        <v>0</v>
      </c>
      <c r="U1146" s="2620">
        <v>0</v>
      </c>
      <c r="V1146" s="2620">
        <v>0</v>
      </c>
      <c r="W1146" s="2620">
        <v>0</v>
      </c>
      <c r="X1146" s="2620">
        <v>0</v>
      </c>
      <c r="Y1146" s="2621">
        <v>0</v>
      </c>
      <c r="Z1146" s="2621">
        <v>0</v>
      </c>
      <c r="AA1146" s="2621">
        <v>0</v>
      </c>
      <c r="AB1146" s="2621">
        <v>0</v>
      </c>
      <c r="AC1146" s="2621">
        <v>0</v>
      </c>
      <c r="AD1146" s="2622">
        <f t="shared" si="1650"/>
        <v>0</v>
      </c>
      <c r="AE1146" s="2623">
        <f t="shared" si="1651"/>
        <v>0</v>
      </c>
      <c r="AF1146" s="2623">
        <f t="shared" si="1652"/>
        <v>0</v>
      </c>
      <c r="AG1146" s="2623">
        <f t="shared" si="1653"/>
        <v>0</v>
      </c>
      <c r="AH1146" s="2623">
        <f t="shared" si="1654"/>
        <v>0</v>
      </c>
      <c r="AI1146" s="2623">
        <f t="shared" si="1655"/>
        <v>0</v>
      </c>
      <c r="AJ1146" s="2623">
        <f t="shared" si="1656"/>
        <v>0</v>
      </c>
    </row>
    <row r="1147" spans="1:36" s="517" customFormat="1" ht="14.5">
      <c r="A1147" s="616">
        <v>1</v>
      </c>
      <c r="B1147" s="616">
        <v>1</v>
      </c>
      <c r="C1147" s="616" t="s">
        <v>1540</v>
      </c>
      <c r="D1147" s="709" t="s">
        <v>1308</v>
      </c>
      <c r="E1147" s="2568" t="s">
        <v>1370</v>
      </c>
      <c r="F1147" s="2608"/>
      <c r="G1147" s="238"/>
      <c r="I1147" s="226"/>
      <c r="J1147" s="428"/>
      <c r="K1147" s="429" t="s">
        <v>1551</v>
      </c>
      <c r="L1147" s="227"/>
      <c r="M1147" s="227"/>
      <c r="N1147" s="11" t="s">
        <v>1567</v>
      </c>
      <c r="O1147" s="11"/>
      <c r="P1147" s="11"/>
      <c r="Q1147" s="1830" t="str">
        <f>CHOOSE(2, "6722000004065", "①Supplier = BT BT Support/Discount (for KMJ/BEU/BCN)")</f>
        <v>①Supplier = BT BT Support/Discount (for KMJ/BEU/BCN)</v>
      </c>
      <c r="R1147" s="2624">
        <v>0</v>
      </c>
      <c r="S1147" s="2624">
        <v>0</v>
      </c>
      <c r="T1147" s="2624">
        <v>0</v>
      </c>
      <c r="U1147" s="2624">
        <v>0</v>
      </c>
      <c r="V1147" s="2624">
        <v>0</v>
      </c>
      <c r="W1147" s="2624">
        <v>0</v>
      </c>
      <c r="X1147" s="2624">
        <v>0</v>
      </c>
      <c r="Y1147" s="2625">
        <v>0</v>
      </c>
      <c r="Z1147" s="2625">
        <v>0</v>
      </c>
      <c r="AA1147" s="2625">
        <v>0</v>
      </c>
      <c r="AB1147" s="2625">
        <v>0</v>
      </c>
      <c r="AC1147" s="2625">
        <v>0</v>
      </c>
      <c r="AD1147" s="2626">
        <f t="shared" si="1650"/>
        <v>0</v>
      </c>
      <c r="AE1147" s="2627">
        <f t="shared" si="1651"/>
        <v>0</v>
      </c>
      <c r="AF1147" s="2627">
        <f t="shared" si="1652"/>
        <v>0</v>
      </c>
      <c r="AG1147" s="2627">
        <f t="shared" si="1653"/>
        <v>0</v>
      </c>
      <c r="AH1147" s="2627">
        <f t="shared" si="1654"/>
        <v>0</v>
      </c>
      <c r="AI1147" s="2627">
        <f t="shared" si="1655"/>
        <v>0</v>
      </c>
      <c r="AJ1147" s="2627">
        <f t="shared" si="1656"/>
        <v>0</v>
      </c>
    </row>
    <row r="1148" spans="1:36" s="392" customFormat="1" ht="14.5">
      <c r="A1148" s="616">
        <v>1</v>
      </c>
      <c r="B1148" s="616">
        <v>1</v>
      </c>
      <c r="C1148" s="616" t="s">
        <v>1540</v>
      </c>
      <c r="D1148" s="709" t="s">
        <v>1308</v>
      </c>
      <c r="E1148" s="2568" t="s">
        <v>1370</v>
      </c>
      <c r="F1148" s="2608"/>
      <c r="G1148" s="238"/>
      <c r="I1148" s="8"/>
      <c r="J1148" s="8"/>
      <c r="L1148" s="8"/>
      <c r="M1148" s="8"/>
      <c r="N1148" s="8"/>
      <c r="O1148" s="8"/>
      <c r="P1148" s="175" t="s">
        <v>1568</v>
      </c>
      <c r="Q1148" s="1772" t="str">
        <f>CHOOSE(2, "6722000004066", "①Supplier = BT BT Support/Discount (for KMJ/BEU/BCN) CHK--&gt;")</f>
        <v>①Supplier = BT BT Support/Discount (for KMJ/BEU/BCN) CHK--&gt;</v>
      </c>
      <c r="R1148" s="2628" t="str">
        <f t="shared" ref="R1148" si="1657">IF(ROUND(R1140,0)=ROUND(SUM(R1141:R1147),0),"OK","NG")</f>
        <v>OK</v>
      </c>
      <c r="S1148" s="2629" t="str">
        <f t="shared" ref="S1148:AC1148" si="1658">IF(ROUND(S1140,0)=ROUND(SUM(S1141:S1147),0),"OK","NG")</f>
        <v>OK</v>
      </c>
      <c r="T1148" s="2629" t="str">
        <f t="shared" si="1658"/>
        <v>OK</v>
      </c>
      <c r="U1148" s="2629" t="str">
        <f t="shared" si="1658"/>
        <v>OK</v>
      </c>
      <c r="V1148" s="2629" t="str">
        <f t="shared" si="1658"/>
        <v>OK</v>
      </c>
      <c r="W1148" s="2629" t="str">
        <f t="shared" si="1658"/>
        <v>OK</v>
      </c>
      <c r="X1148" s="2629" t="str">
        <f t="shared" si="1658"/>
        <v>OK</v>
      </c>
      <c r="Y1148" s="2629" t="str">
        <f t="shared" si="1658"/>
        <v>OK</v>
      </c>
      <c r="Z1148" s="2629" t="str">
        <f t="shared" si="1658"/>
        <v>OK</v>
      </c>
      <c r="AA1148" s="2629" t="str">
        <f t="shared" si="1658"/>
        <v>OK</v>
      </c>
      <c r="AB1148" s="2629" t="str">
        <f t="shared" si="1658"/>
        <v>OK</v>
      </c>
      <c r="AC1148" s="2630" t="str">
        <f t="shared" si="1658"/>
        <v>OK</v>
      </c>
      <c r="AD1148" s="1644"/>
    </row>
    <row r="1149" spans="1:36" ht="14.5">
      <c r="A1149" s="616">
        <v>1</v>
      </c>
      <c r="B1149" s="616">
        <v>1</v>
      </c>
      <c r="C1149" s="616" t="s">
        <v>1540</v>
      </c>
      <c r="D1149" s="709" t="s">
        <v>1308</v>
      </c>
      <c r="E1149" s="2568" t="s">
        <v>1370</v>
      </c>
      <c r="F1149" s="2606"/>
      <c r="G1149" s="22" t="s">
        <v>1569</v>
      </c>
      <c r="O1149" s="477"/>
      <c r="Q1149" s="1772" t="str">
        <f>CHOOSE(2, "6722000004067", "6-3. Inventory Analysis")</f>
        <v>6-3. Inventory Analysis</v>
      </c>
      <c r="R1149" s="2557"/>
    </row>
    <row r="1150" spans="1:36" s="392" customFormat="1" ht="14.5">
      <c r="A1150" s="616">
        <v>1</v>
      </c>
      <c r="B1150" s="616">
        <v>1</v>
      </c>
      <c r="C1150" s="616" t="s">
        <v>1540</v>
      </c>
      <c r="D1150" s="709" t="s">
        <v>1308</v>
      </c>
      <c r="E1150" s="2568" t="s">
        <v>1370</v>
      </c>
      <c r="F1150" s="2608"/>
      <c r="G1150" s="238"/>
      <c r="I1150" s="831" t="s">
        <v>1570</v>
      </c>
      <c r="J1150" s="181"/>
      <c r="K1150" s="180"/>
      <c r="L1150" s="180"/>
      <c r="M1150" s="180"/>
      <c r="N1150" s="179"/>
      <c r="O1150" s="179"/>
      <c r="P1150" s="179"/>
      <c r="Q1150" s="1772" t="str">
        <f>CHOOSE(2, "6722000004068", "▷ Blank 41")</f>
        <v>▷ Blank 41</v>
      </c>
      <c r="R1150" s="1235"/>
      <c r="S1150" s="8"/>
      <c r="T1150" s="8"/>
      <c r="U1150" s="8"/>
      <c r="V1150" s="8"/>
      <c r="W1150" s="8"/>
      <c r="X1150" s="8"/>
      <c r="Y1150" s="1234"/>
      <c r="Z1150" s="1234"/>
      <c r="AA1150" s="1234"/>
    </row>
    <row r="1151" spans="1:36" s="392" customFormat="1" ht="14.5">
      <c r="A1151" s="616">
        <v>1</v>
      </c>
      <c r="B1151" s="616">
        <v>1</v>
      </c>
      <c r="C1151" s="616" t="s">
        <v>1540</v>
      </c>
      <c r="D1151" s="709" t="s">
        <v>1308</v>
      </c>
      <c r="E1151" s="2568" t="s">
        <v>1370</v>
      </c>
      <c r="F1151" s="2608"/>
      <c r="G1151" s="238"/>
      <c r="I1151" s="3359" t="s">
        <v>1571</v>
      </c>
      <c r="J1151" s="463"/>
      <c r="K1151" s="463"/>
      <c r="L1151" s="463"/>
      <c r="M1151" s="464"/>
      <c r="N1151" s="464"/>
      <c r="O1151" s="464"/>
      <c r="P1151" s="464"/>
      <c r="Q1151" s="1831" t="str">
        <f>CHOOSE(2, "6722000004069", "IN Total")</f>
        <v>IN Total</v>
      </c>
      <c r="R1151" s="1275">
        <f t="shared" ref="R1151:AC1151" si="1659">SUM(R1152,R1155,R1158)</f>
        <v>1328386.8778200001</v>
      </c>
      <c r="S1151" s="1276">
        <f t="shared" si="1659"/>
        <v>1571277.3485828773</v>
      </c>
      <c r="T1151" s="1276">
        <f t="shared" si="1659"/>
        <v>1578065.9412248854</v>
      </c>
      <c r="U1151" s="1276">
        <f t="shared" si="1659"/>
        <v>1847516.8063623053</v>
      </c>
      <c r="V1151" s="1276">
        <f t="shared" si="1659"/>
        <v>1822035.3405819922</v>
      </c>
      <c r="W1151" s="1277">
        <f t="shared" si="1659"/>
        <v>1958635.0489099999</v>
      </c>
      <c r="X1151" s="1277">
        <f t="shared" si="1659"/>
        <v>1931778.1731577234</v>
      </c>
      <c r="Y1151" s="1277">
        <f t="shared" si="1659"/>
        <v>2170878.2833384918</v>
      </c>
      <c r="Z1151" s="1277">
        <f t="shared" si="1659"/>
        <v>2155536.1835150672</v>
      </c>
      <c r="AA1151" s="1277">
        <f t="shared" si="1659"/>
        <v>2134678.5570449871</v>
      </c>
      <c r="AB1151" s="1277">
        <f t="shared" si="1659"/>
        <v>2474443.2777715288</v>
      </c>
      <c r="AC1151" s="1278">
        <f t="shared" si="1659"/>
        <v>2533434.8451</v>
      </c>
      <c r="AD1151" s="177"/>
      <c r="AE1151" s="177"/>
      <c r="AF1151" s="177"/>
      <c r="AG1151" s="177"/>
      <c r="AH1151" s="177"/>
      <c r="AI1151" s="177"/>
      <c r="AJ1151" s="177"/>
    </row>
    <row r="1152" spans="1:36" s="392" customFormat="1" ht="14.5">
      <c r="A1152" s="616">
        <v>1</v>
      </c>
      <c r="B1152" s="616">
        <v>1</v>
      </c>
      <c r="C1152" s="616" t="s">
        <v>1540</v>
      </c>
      <c r="D1152" s="709" t="s">
        <v>1308</v>
      </c>
      <c r="E1152" s="2568" t="s">
        <v>1370</v>
      </c>
      <c r="F1152" s="2608"/>
      <c r="G1152" s="238"/>
      <c r="I1152" s="466"/>
      <c r="J1152" s="283" t="s">
        <v>264</v>
      </c>
      <c r="K1152" s="283"/>
      <c r="L1152" s="283"/>
      <c r="M1152" s="468"/>
      <c r="N1152" s="468"/>
      <c r="O1152" s="468"/>
      <c r="P1152" s="468"/>
      <c r="Q1152" s="1832" t="str">
        <f>CHOOSE(2, "6722000004070", "IN Total Inventory at the beginning")</f>
        <v>IN Total Inventory at the beginning</v>
      </c>
      <c r="R1152" s="1133">
        <f t="shared" ref="R1152:AC1152" si="1660">SUM(R1153:R1154)</f>
        <v>819912</v>
      </c>
      <c r="S1152" s="1134">
        <f t="shared" si="1660"/>
        <v>967611.44212309434</v>
      </c>
      <c r="T1152" s="1134">
        <f t="shared" si="1660"/>
        <v>1148683.4073328776</v>
      </c>
      <c r="U1152" s="1134">
        <f t="shared" si="1660"/>
        <v>1157112.1469635426</v>
      </c>
      <c r="V1152" s="1134">
        <f t="shared" si="1660"/>
        <v>1414816.9568983035</v>
      </c>
      <c r="W1152" s="1135">
        <f t="shared" si="1660"/>
        <v>1317908</v>
      </c>
      <c r="X1152" s="1135">
        <f t="shared" si="1660"/>
        <v>1450521.9303787234</v>
      </c>
      <c r="Y1152" s="1135">
        <f t="shared" si="1660"/>
        <v>1460645.3832580918</v>
      </c>
      <c r="Z1152" s="1135">
        <f t="shared" si="1660"/>
        <v>1617307.3673690674</v>
      </c>
      <c r="AA1152" s="1135">
        <f t="shared" si="1660"/>
        <v>1584540.3093000001</v>
      </c>
      <c r="AB1152" s="1135">
        <f t="shared" si="1660"/>
        <v>1643267.7213260049</v>
      </c>
      <c r="AC1152" s="1136">
        <f t="shared" si="1660"/>
        <v>1889406.76883</v>
      </c>
      <c r="AD1152" s="176"/>
      <c r="AE1152" s="176"/>
      <c r="AF1152" s="176"/>
      <c r="AG1152" s="176"/>
      <c r="AH1152" s="176"/>
      <c r="AI1152" s="176"/>
      <c r="AJ1152" s="176"/>
    </row>
    <row r="1153" spans="1:36" s="392" customFormat="1" ht="14.5">
      <c r="A1153" s="616">
        <v>1</v>
      </c>
      <c r="B1153" s="616">
        <v>1</v>
      </c>
      <c r="C1153" s="616" t="s">
        <v>1540</v>
      </c>
      <c r="D1153" s="709" t="s">
        <v>1308</v>
      </c>
      <c r="E1153" s="2568" t="s">
        <v>1370</v>
      </c>
      <c r="F1153" s="2608"/>
      <c r="G1153" s="238"/>
      <c r="I1153" s="466"/>
      <c r="J1153" s="283"/>
      <c r="K1153" s="459" t="s">
        <v>262</v>
      </c>
      <c r="L1153" s="459"/>
      <c r="M1153" s="460"/>
      <c r="N1153" s="460"/>
      <c r="O1153" s="460"/>
      <c r="P1153" s="460"/>
      <c r="Q1153" s="1833" t="str">
        <f>CHOOSE(2, "6722000004071", "IN Total Inventory at the beginning From BT-Gr")</f>
        <v>IN Total Inventory at the beginning From BT-Gr</v>
      </c>
      <c r="R1153" s="1430">
        <v>792745</v>
      </c>
      <c r="S1153" s="1137">
        <f>R1181</f>
        <v>926631.0072930943</v>
      </c>
      <c r="T1153" s="1137">
        <f t="shared" ref="T1153:AC1153" si="1661">S1181</f>
        <v>1075916.1900828776</v>
      </c>
      <c r="U1153" s="1137">
        <f t="shared" si="1661"/>
        <v>1080530.5355435426</v>
      </c>
      <c r="V1153" s="1381">
        <f t="shared" si="1661"/>
        <v>1331248.5068683035</v>
      </c>
      <c r="W1153" s="1381">
        <f t="shared" si="1661"/>
        <v>1243557</v>
      </c>
      <c r="X1153" s="1381">
        <f t="shared" si="1661"/>
        <v>1395916.3772287234</v>
      </c>
      <c r="Y1153" s="1381">
        <f t="shared" si="1661"/>
        <v>1403399.2536880916</v>
      </c>
      <c r="Z1153" s="1381">
        <f t="shared" si="1661"/>
        <v>1589209.2130390673</v>
      </c>
      <c r="AA1153" s="1381">
        <f t="shared" si="1661"/>
        <v>1558759.52168</v>
      </c>
      <c r="AB1153" s="1381">
        <f t="shared" si="1661"/>
        <v>1620115.786526005</v>
      </c>
      <c r="AC1153" s="1138">
        <f t="shared" si="1661"/>
        <v>1865698.9562199998</v>
      </c>
      <c r="AD1153" s="176"/>
      <c r="AE1153" s="176"/>
      <c r="AF1153" s="176"/>
      <c r="AG1153" s="176"/>
      <c r="AH1153" s="176"/>
      <c r="AI1153" s="176"/>
      <c r="AJ1153" s="176"/>
    </row>
    <row r="1154" spans="1:36" s="392" customFormat="1" ht="14.5">
      <c r="A1154" s="616">
        <v>1</v>
      </c>
      <c r="B1154" s="616">
        <v>1</v>
      </c>
      <c r="C1154" s="616" t="s">
        <v>1540</v>
      </c>
      <c r="D1154" s="709" t="s">
        <v>1308</v>
      </c>
      <c r="E1154" s="2568" t="s">
        <v>1370</v>
      </c>
      <c r="F1154" s="2608"/>
      <c r="G1154" s="238"/>
      <c r="I1154" s="466"/>
      <c r="J1154" s="457"/>
      <c r="K1154" s="224" t="s">
        <v>1572</v>
      </c>
      <c r="L1154" s="224"/>
      <c r="M1154" s="178"/>
      <c r="N1154" s="178"/>
      <c r="O1154" s="178"/>
      <c r="P1154" s="178"/>
      <c r="Q1154" s="1833" t="str">
        <f>CHOOSE(2, "6722000004072", "IN Total Inventory at the beginning Others(3rd Party)")</f>
        <v>IN Total Inventory at the beginning Others(3rd Party)</v>
      </c>
      <c r="R1154" s="1431">
        <v>27167</v>
      </c>
      <c r="S1154" s="1139">
        <f t="shared" ref="S1154:AC1154" si="1662">R1182</f>
        <v>40980.434829999998</v>
      </c>
      <c r="T1154" s="1139">
        <f t="shared" si="1662"/>
        <v>72767.217250000045</v>
      </c>
      <c r="U1154" s="1139">
        <f t="shared" si="1662"/>
        <v>76581.611420000074</v>
      </c>
      <c r="V1154" s="1292">
        <f t="shared" si="1662"/>
        <v>83568.450030000051</v>
      </c>
      <c r="W1154" s="1292">
        <f t="shared" si="1662"/>
        <v>74351</v>
      </c>
      <c r="X1154" s="1292">
        <f t="shared" si="1662"/>
        <v>54605.553150000051</v>
      </c>
      <c r="Y1154" s="1292">
        <f t="shared" si="1662"/>
        <v>57246.129570000048</v>
      </c>
      <c r="Z1154" s="1292">
        <f t="shared" si="1662"/>
        <v>28098.154330000027</v>
      </c>
      <c r="AA1154" s="1292">
        <f t="shared" si="1662"/>
        <v>25780.787620000025</v>
      </c>
      <c r="AB1154" s="1292">
        <f t="shared" si="1662"/>
        <v>23151.934800000035</v>
      </c>
      <c r="AC1154" s="1140">
        <f t="shared" si="1662"/>
        <v>23707.812610000037</v>
      </c>
      <c r="AD1154" s="176"/>
      <c r="AE1154" s="176"/>
      <c r="AF1154" s="176"/>
      <c r="AG1154" s="176"/>
      <c r="AH1154" s="176"/>
      <c r="AI1154" s="176"/>
      <c r="AJ1154" s="176"/>
    </row>
    <row r="1155" spans="1:36" s="392" customFormat="1" ht="14.25" customHeight="1">
      <c r="A1155" s="616">
        <v>1</v>
      </c>
      <c r="B1155" s="616">
        <v>1</v>
      </c>
      <c r="C1155" s="616" t="s">
        <v>1540</v>
      </c>
      <c r="D1155" s="709" t="s">
        <v>1308</v>
      </c>
      <c r="E1155" s="2568" t="s">
        <v>1370</v>
      </c>
      <c r="F1155" s="2608"/>
      <c r="G1155" s="238"/>
      <c r="I1155" s="466"/>
      <c r="J1155" s="379" t="s">
        <v>265</v>
      </c>
      <c r="K1155" s="379"/>
      <c r="L1155" s="379"/>
      <c r="M1155" s="430"/>
      <c r="N1155" s="430"/>
      <c r="O1155" s="430"/>
      <c r="P1155" s="430"/>
      <c r="Q1155" s="1834" t="str">
        <f>CHOOSE(2, "6722000004073", "IN Total Purchase")</f>
        <v>IN Total Purchase</v>
      </c>
      <c r="R1155" s="1270">
        <f t="shared" ref="R1155:AC1155" si="1663">SUM(R1156:R1157)</f>
        <v>522883.87781999999</v>
      </c>
      <c r="S1155" s="1271">
        <f t="shared" si="1663"/>
        <v>605870.51039000007</v>
      </c>
      <c r="T1155" s="1271">
        <f t="shared" si="1663"/>
        <v>427467.67182639992</v>
      </c>
      <c r="U1155" s="1271">
        <f t="shared" si="1663"/>
        <v>663160.82662499999</v>
      </c>
      <c r="V1155" s="1271">
        <f t="shared" si="1663"/>
        <v>401695.44968999992</v>
      </c>
      <c r="W1155" s="1272">
        <f t="shared" si="1663"/>
        <v>601916.04891000001</v>
      </c>
      <c r="X1155" s="1272">
        <f t="shared" si="1663"/>
        <v>485918.24277899996</v>
      </c>
      <c r="Y1155" s="1271">
        <f t="shared" si="1663"/>
        <v>627354.90008039994</v>
      </c>
      <c r="Z1155" s="1272">
        <f t="shared" si="1663"/>
        <v>486884.81614599994</v>
      </c>
      <c r="AA1155" s="1272">
        <f t="shared" si="1663"/>
        <v>515012.62365999992</v>
      </c>
      <c r="AB1155" s="1272">
        <f t="shared" si="1663"/>
        <v>721690.12837000017</v>
      </c>
      <c r="AC1155" s="1274">
        <f t="shared" si="1663"/>
        <v>404757.07627000008</v>
      </c>
      <c r="AE1155" s="177"/>
      <c r="AF1155" s="177"/>
      <c r="AG1155" s="177"/>
      <c r="AH1155" s="177"/>
      <c r="AI1155" s="177"/>
      <c r="AJ1155" s="177"/>
    </row>
    <row r="1156" spans="1:36" s="392" customFormat="1" ht="14.5">
      <c r="A1156" s="616">
        <v>1</v>
      </c>
      <c r="B1156" s="616">
        <v>1</v>
      </c>
      <c r="C1156" s="616" t="s">
        <v>1540</v>
      </c>
      <c r="D1156" s="709" t="s">
        <v>1308</v>
      </c>
      <c r="E1156" s="2568" t="s">
        <v>1370</v>
      </c>
      <c r="F1156" s="2608"/>
      <c r="G1156" s="238"/>
      <c r="I1156" s="466"/>
      <c r="J1156" s="380"/>
      <c r="K1156" s="459" t="s">
        <v>262</v>
      </c>
      <c r="L1156" s="459"/>
      <c r="M1156" s="460"/>
      <c r="N1156" s="460"/>
      <c r="O1156" s="460"/>
      <c r="P1156" s="460"/>
      <c r="Q1156" s="1835" t="str">
        <f>CHOOSE(2, "6722000004074", "IN Total Purchase From BT-Gr (Include BSF/BCUS/MGI)")</f>
        <v>IN Total Purchase From BT-Gr (Include BSF/BCUS/MGI)</v>
      </c>
      <c r="R1156" s="1141">
        <f t="shared" ref="R1156:AC1156" si="1664">R1109</f>
        <v>520305.48463000002</v>
      </c>
      <c r="S1156" s="1142">
        <f t="shared" si="1664"/>
        <v>580207.83039000002</v>
      </c>
      <c r="T1156" s="1142">
        <f t="shared" si="1664"/>
        <v>421571.12376999995</v>
      </c>
      <c r="U1156" s="1142">
        <f t="shared" si="1664"/>
        <v>651494.73959499993</v>
      </c>
      <c r="V1156" s="1142">
        <f t="shared" si="1664"/>
        <v>397051.64568999992</v>
      </c>
      <c r="W1156" s="1143">
        <f t="shared" si="1664"/>
        <v>595496.78781000001</v>
      </c>
      <c r="X1156" s="1143">
        <v>484355.11245399999</v>
      </c>
      <c r="Y1156" s="1143">
        <f t="shared" si="1664"/>
        <v>623302.13732999994</v>
      </c>
      <c r="Z1156" s="1143">
        <f t="shared" si="1664"/>
        <v>484118.75517399993</v>
      </c>
      <c r="AA1156" s="1143">
        <f t="shared" si="1664"/>
        <v>511615.19968999992</v>
      </c>
      <c r="AB1156" s="1143">
        <f t="shared" si="1664"/>
        <v>717394.22837000014</v>
      </c>
      <c r="AC1156" s="1144">
        <f t="shared" si="1664"/>
        <v>387991.00941000006</v>
      </c>
      <c r="AE1156" s="176"/>
      <c r="AF1156" s="176"/>
      <c r="AG1156" s="176"/>
      <c r="AH1156" s="176"/>
      <c r="AI1156" s="176"/>
      <c r="AJ1156" s="176"/>
    </row>
    <row r="1157" spans="1:36" s="392" customFormat="1" ht="14.5">
      <c r="A1157" s="616">
        <v>1</v>
      </c>
      <c r="B1157" s="616">
        <v>1</v>
      </c>
      <c r="C1157" s="616" t="s">
        <v>1540</v>
      </c>
      <c r="D1157" s="709" t="s">
        <v>1308</v>
      </c>
      <c r="E1157" s="2568" t="s">
        <v>1370</v>
      </c>
      <c r="F1157" s="2608"/>
      <c r="G1157" s="238"/>
      <c r="I1157" s="466"/>
      <c r="J1157" s="381"/>
      <c r="K1157" s="224" t="s">
        <v>1572</v>
      </c>
      <c r="L1157" s="224"/>
      <c r="M1157" s="178"/>
      <c r="N1157" s="178"/>
      <c r="O1157" s="178"/>
      <c r="P1157" s="178"/>
      <c r="Q1157" s="1835" t="str">
        <f>CHOOSE(2, "6722000004075", "IN Total Purchase Others(3rd Party)")</f>
        <v>IN Total Purchase Others(3rd Party)</v>
      </c>
      <c r="R1157" s="1145">
        <f t="shared" ref="R1157:AC1157" si="1665">R1136</f>
        <v>2578.3931899999998</v>
      </c>
      <c r="S1157" s="1146">
        <f t="shared" si="1665"/>
        <v>25662.68</v>
      </c>
      <c r="T1157" s="1146">
        <f t="shared" si="1665"/>
        <v>5896.5480564</v>
      </c>
      <c r="U1157" s="1146">
        <f t="shared" si="1665"/>
        <v>11666.087030000001</v>
      </c>
      <c r="V1157" s="1146">
        <f t="shared" si="1665"/>
        <v>4643.8040000000001</v>
      </c>
      <c r="W1157" s="1147">
        <f t="shared" si="1665"/>
        <v>6419.2611000000006</v>
      </c>
      <c r="X1157" s="1147">
        <v>1563.1303249999999</v>
      </c>
      <c r="Y1157" s="1147">
        <f t="shared" si="1665"/>
        <v>4052.7627504000002</v>
      </c>
      <c r="Z1157" s="1147">
        <f t="shared" si="1665"/>
        <v>2766.0609720000002</v>
      </c>
      <c r="AA1157" s="1147">
        <f t="shared" si="1665"/>
        <v>3397.4239699999998</v>
      </c>
      <c r="AB1157" s="1147">
        <f t="shared" si="1665"/>
        <v>4295.8999999999996</v>
      </c>
      <c r="AC1157" s="1148">
        <f t="shared" si="1665"/>
        <v>16766.066859999999</v>
      </c>
      <c r="AD1157" s="176"/>
      <c r="AE1157" s="176"/>
      <c r="AF1157" s="176"/>
      <c r="AG1157" s="176"/>
      <c r="AH1157" s="176"/>
      <c r="AI1157" s="176"/>
      <c r="AJ1157" s="176"/>
    </row>
    <row r="1158" spans="1:36" s="392" customFormat="1" ht="14.25" customHeight="1">
      <c r="A1158" s="616">
        <v>1</v>
      </c>
      <c r="B1158" s="616">
        <v>1</v>
      </c>
      <c r="C1158" s="616" t="s">
        <v>1540</v>
      </c>
      <c r="D1158" s="709" t="s">
        <v>1308</v>
      </c>
      <c r="E1158" s="2568" t="s">
        <v>1370</v>
      </c>
      <c r="F1158" s="2608"/>
      <c r="G1158" s="238"/>
      <c r="I1158" s="466"/>
      <c r="J1158" s="379" t="s">
        <v>2</v>
      </c>
      <c r="K1158" s="379"/>
      <c r="L1158" s="379"/>
      <c r="M1158" s="430"/>
      <c r="N1158" s="430"/>
      <c r="O1158" s="430"/>
      <c r="P1158" s="430"/>
      <c r="Q1158" s="1834" t="str">
        <f>CHOOSE(2, "6722000004076", "IN Total Others")</f>
        <v>IN Total Others</v>
      </c>
      <c r="R1158" s="1270">
        <f t="shared" ref="R1158:AC1158" si="1666">SUM(R1159:R1160)</f>
        <v>-14409</v>
      </c>
      <c r="S1158" s="1271">
        <f t="shared" si="1666"/>
        <v>-2204.6039302172098</v>
      </c>
      <c r="T1158" s="1271">
        <f t="shared" si="1666"/>
        <v>1914.8620656079099</v>
      </c>
      <c r="U1158" s="1271">
        <f t="shared" si="1666"/>
        <v>27243.832773762701</v>
      </c>
      <c r="V1158" s="1271">
        <f t="shared" si="1666"/>
        <v>5522.9339936887845</v>
      </c>
      <c r="W1158" s="1272">
        <f t="shared" si="1666"/>
        <v>38811</v>
      </c>
      <c r="X1158" s="1272">
        <f t="shared" si="1666"/>
        <v>-4662</v>
      </c>
      <c r="Y1158" s="1272">
        <f t="shared" si="1666"/>
        <v>82878</v>
      </c>
      <c r="Z1158" s="1272">
        <f t="shared" si="1666"/>
        <v>51344</v>
      </c>
      <c r="AA1158" s="1272">
        <f t="shared" si="1666"/>
        <v>35125.624084987212</v>
      </c>
      <c r="AB1158" s="1272">
        <f t="shared" si="1666"/>
        <v>109485.42807552358</v>
      </c>
      <c r="AC1158" s="1274">
        <f t="shared" si="1666"/>
        <v>239271</v>
      </c>
      <c r="AD1158" s="177"/>
      <c r="AE1158" s="177"/>
      <c r="AF1158" s="177"/>
      <c r="AG1158" s="177"/>
      <c r="AH1158" s="177"/>
      <c r="AI1158" s="177"/>
      <c r="AJ1158" s="177"/>
    </row>
    <row r="1159" spans="1:36" s="392" customFormat="1" ht="14.5">
      <c r="A1159" s="616">
        <v>1</v>
      </c>
      <c r="B1159" s="616">
        <v>1</v>
      </c>
      <c r="C1159" s="616" t="s">
        <v>1540</v>
      </c>
      <c r="D1159" s="709" t="s">
        <v>1308</v>
      </c>
      <c r="E1159" s="2568" t="s">
        <v>1370</v>
      </c>
      <c r="F1159" s="2608"/>
      <c r="G1159" s="238"/>
      <c r="I1159" s="466"/>
      <c r="J1159" s="380"/>
      <c r="K1159" s="459" t="s">
        <v>1573</v>
      </c>
      <c r="L1159" s="459"/>
      <c r="M1159" s="460"/>
      <c r="N1159" s="460"/>
      <c r="O1159" s="460"/>
      <c r="P1159" s="460"/>
      <c r="Q1159" s="1833" t="str">
        <f>CHOOSE(2, "6722000004077", "IN Total Others Incidental Cost")</f>
        <v>IN Total Others Incidental Cost</v>
      </c>
      <c r="R1159" s="1430">
        <v>0</v>
      </c>
      <c r="S1159" s="1149">
        <v>0</v>
      </c>
      <c r="T1159" s="1149">
        <v>0</v>
      </c>
      <c r="U1159" s="1149">
        <v>0</v>
      </c>
      <c r="V1159" s="1149">
        <v>0</v>
      </c>
      <c r="W1159" s="1150">
        <v>0</v>
      </c>
      <c r="X1159" s="1150">
        <v>0</v>
      </c>
      <c r="Y1159" s="1150">
        <v>0</v>
      </c>
      <c r="Z1159" s="1150">
        <v>0</v>
      </c>
      <c r="AA1159" s="1150">
        <v>0</v>
      </c>
      <c r="AB1159" s="1150"/>
      <c r="AC1159" s="1151">
        <v>0</v>
      </c>
      <c r="AD1159" s="176"/>
      <c r="AE1159" s="176"/>
      <c r="AF1159" s="176"/>
      <c r="AG1159" s="176"/>
      <c r="AH1159" s="176"/>
      <c r="AI1159" s="176"/>
      <c r="AJ1159" s="176"/>
    </row>
    <row r="1160" spans="1:36" s="392" customFormat="1" ht="14.5">
      <c r="A1160" s="616">
        <v>1</v>
      </c>
      <c r="B1160" s="616">
        <v>1</v>
      </c>
      <c r="C1160" s="616" t="s">
        <v>1540</v>
      </c>
      <c r="D1160" s="709" t="s">
        <v>1308</v>
      </c>
      <c r="E1160" s="2568" t="s">
        <v>1370</v>
      </c>
      <c r="F1160" s="2608"/>
      <c r="G1160" s="238"/>
      <c r="I1160" s="467"/>
      <c r="J1160" s="381"/>
      <c r="K1160" s="1029" t="s">
        <v>1574</v>
      </c>
      <c r="L1160" s="211"/>
      <c r="M1160" s="308"/>
      <c r="N1160" s="308"/>
      <c r="O1160" s="308"/>
      <c r="P1160" s="308"/>
      <c r="Q1160" s="1833" t="str">
        <f>CHOOSE(2, "6722000004078", "IN Total Others &lt; free input &gt;")</f>
        <v>IN Total Others &lt; free input &gt;</v>
      </c>
      <c r="R1160" s="1431">
        <f>-4499-9910</f>
        <v>-14409</v>
      </c>
      <c r="S1160" s="1149">
        <v>-2204.6039302172098</v>
      </c>
      <c r="T1160" s="1152">
        <v>1914.8620656079099</v>
      </c>
      <c r="U1160" s="1149">
        <f>27212.8327737627-8976+9007</f>
        <v>27243.832773762701</v>
      </c>
      <c r="V1160" s="1152">
        <v>5522.9339936887845</v>
      </c>
      <c r="W1160" s="1150">
        <v>38811</v>
      </c>
      <c r="X1160" s="1150">
        <v>-4662</v>
      </c>
      <c r="Y1160" s="1150">
        <v>82878</v>
      </c>
      <c r="Z1160" s="1150">
        <v>51344</v>
      </c>
      <c r="AA1160" s="1153">
        <v>35125.624084987212</v>
      </c>
      <c r="AB1160" s="1150">
        <v>109485.42807552358</v>
      </c>
      <c r="AC1160" s="1154">
        <v>239271</v>
      </c>
      <c r="AD1160" s="176"/>
      <c r="AE1160" s="176"/>
      <c r="AF1160" s="176"/>
      <c r="AG1160" s="176"/>
      <c r="AH1160" s="176"/>
      <c r="AI1160" s="176"/>
      <c r="AJ1160" s="176"/>
    </row>
    <row r="1161" spans="1:36" s="392" customFormat="1" ht="14.25" customHeight="1">
      <c r="A1161" s="616">
        <v>1</v>
      </c>
      <c r="B1161" s="616">
        <v>1</v>
      </c>
      <c r="C1161" s="616" t="s">
        <v>1540</v>
      </c>
      <c r="D1161" s="709" t="s">
        <v>1308</v>
      </c>
      <c r="E1161" s="2568" t="s">
        <v>1370</v>
      </c>
      <c r="F1161" s="2608"/>
      <c r="G1161" s="238"/>
      <c r="I1161" s="3359" t="s">
        <v>1575</v>
      </c>
      <c r="J1161" s="463"/>
      <c r="K1161" s="463"/>
      <c r="L1161" s="463"/>
      <c r="M1161" s="464"/>
      <c r="N1161" s="464"/>
      <c r="O1161" s="464"/>
      <c r="P1161" s="464"/>
      <c r="Q1161" s="1831" t="str">
        <f>CHOOSE(2, "6722000004079", "OUT Total")</f>
        <v>OUT Total</v>
      </c>
      <c r="R1161" s="1275">
        <f t="shared" ref="R1161:AC1161" si="1667">SUM(R1162,R1175,R1176,R1180)</f>
        <v>1328386.5332450876</v>
      </c>
      <c r="S1161" s="1276">
        <f t="shared" si="1667"/>
        <v>1571277.3485828773</v>
      </c>
      <c r="T1161" s="1276">
        <f t="shared" si="1667"/>
        <v>1578065.9412248854</v>
      </c>
      <c r="U1161" s="1276">
        <f t="shared" si="1667"/>
        <v>1847516.8063623053</v>
      </c>
      <c r="V1161" s="1276">
        <f t="shared" si="1667"/>
        <v>1822035.3405819922</v>
      </c>
      <c r="W1161" s="1277">
        <f t="shared" si="1667"/>
        <v>1958635.0037127247</v>
      </c>
      <c r="X1161" s="1277">
        <f t="shared" si="1667"/>
        <v>1931778.4204481193</v>
      </c>
      <c r="Y1161" s="1277">
        <f t="shared" si="1667"/>
        <v>2170878.0401070574</v>
      </c>
      <c r="Z1161" s="1277">
        <f t="shared" si="1667"/>
        <v>2155535.8084689858</v>
      </c>
      <c r="AA1161" s="1277">
        <f t="shared" si="1667"/>
        <v>2138340.5570449871</v>
      </c>
      <c r="AB1161" s="1277">
        <f t="shared" si="1667"/>
        <v>2474443.2777715288</v>
      </c>
      <c r="AC1161" s="1278">
        <f t="shared" si="1667"/>
        <v>2533434.8905772283</v>
      </c>
      <c r="AD1161" s="177">
        <f>AB1161-AB1151</f>
        <v>0</v>
      </c>
      <c r="AE1161" s="177"/>
      <c r="AF1161" s="177"/>
      <c r="AG1161" s="177"/>
      <c r="AH1161" s="177"/>
      <c r="AI1161" s="177"/>
      <c r="AJ1161" s="177"/>
    </row>
    <row r="1162" spans="1:36" s="392" customFormat="1" ht="14.5">
      <c r="A1162" s="616">
        <v>1</v>
      </c>
      <c r="B1162" s="616">
        <v>1</v>
      </c>
      <c r="C1162" s="616" t="s">
        <v>1540</v>
      </c>
      <c r="D1162" s="709" t="s">
        <v>1308</v>
      </c>
      <c r="E1162" s="2568" t="s">
        <v>1370</v>
      </c>
      <c r="F1162" s="2608"/>
      <c r="G1162" s="238"/>
      <c r="I1162" s="466"/>
      <c r="J1162" s="380" t="s">
        <v>1576</v>
      </c>
      <c r="K1162" s="380"/>
      <c r="L1162" s="380"/>
      <c r="M1162" s="465"/>
      <c r="N1162" s="465"/>
      <c r="O1162" s="465"/>
      <c r="P1162" s="465"/>
      <c r="Q1162" s="1836" t="str">
        <f>CHOOSE(2, "6722000004080", "OUT Total TFI")</f>
        <v>OUT Total TFI</v>
      </c>
      <c r="R1162" s="1155">
        <f t="shared" ref="R1162:AC1162" si="1668">R1163+R1171</f>
        <v>360604.6903219932</v>
      </c>
      <c r="S1162" s="1156">
        <f t="shared" si="1668"/>
        <v>421120.06505999976</v>
      </c>
      <c r="T1162" s="1156">
        <f t="shared" si="1668"/>
        <v>420691.93751134287</v>
      </c>
      <c r="U1162" s="1156">
        <f t="shared" si="1668"/>
        <v>432639.77808400197</v>
      </c>
      <c r="V1162" s="1156">
        <f t="shared" si="1668"/>
        <v>503579.47494199232</v>
      </c>
      <c r="W1162" s="1157">
        <f t="shared" si="1668"/>
        <v>504167.61945400119</v>
      </c>
      <c r="X1162" s="1157">
        <f t="shared" si="1668"/>
        <v>469406.23719002766</v>
      </c>
      <c r="Y1162" s="1157">
        <f t="shared" si="1668"/>
        <v>527470.78659798985</v>
      </c>
      <c r="Z1162" s="1157">
        <f t="shared" si="1668"/>
        <v>569658.4738089859</v>
      </c>
      <c r="AA1162" s="1157">
        <f t="shared" si="1668"/>
        <v>492406.54266898212</v>
      </c>
      <c r="AB1162" s="1157">
        <f t="shared" si="1668"/>
        <v>580290.42287152912</v>
      </c>
      <c r="AC1162" s="1158">
        <f t="shared" si="1668"/>
        <v>727280.69267648819</v>
      </c>
      <c r="AD1162" s="176"/>
      <c r="AE1162" s="176"/>
      <c r="AF1162" s="176"/>
      <c r="AG1162" s="176"/>
      <c r="AH1162" s="176"/>
      <c r="AI1162" s="176"/>
      <c r="AJ1162" s="176"/>
    </row>
    <row r="1163" spans="1:36" s="392" customFormat="1" ht="14.25" customHeight="1">
      <c r="A1163" s="616">
        <v>1</v>
      </c>
      <c r="B1163" s="616">
        <v>1</v>
      </c>
      <c r="C1163" s="616" t="s">
        <v>1540</v>
      </c>
      <c r="D1163" s="709" t="s">
        <v>1308</v>
      </c>
      <c r="E1163" s="2568" t="s">
        <v>1370</v>
      </c>
      <c r="F1163" s="2608"/>
      <c r="G1163" s="238"/>
      <c r="I1163" s="466"/>
      <c r="J1163" s="380"/>
      <c r="K1163" s="459" t="s">
        <v>262</v>
      </c>
      <c r="L1163" s="459"/>
      <c r="M1163" s="462"/>
      <c r="N1163" s="462"/>
      <c r="O1163" s="462"/>
      <c r="P1163" s="462"/>
      <c r="Q1163" s="1824" t="str">
        <f>CHOOSE(2, "6722000004081", "OUT Total TFI From BT-Gr")</f>
        <v>OUT Total TFI From BT-Gr</v>
      </c>
      <c r="R1163" s="1159">
        <f t="shared" ref="R1163:AC1163" si="1669">R1164+R1167+R1170</f>
        <v>360604.6903219932</v>
      </c>
      <c r="S1163" s="1137">
        <f t="shared" si="1669"/>
        <v>421120.06505999976</v>
      </c>
      <c r="T1163" s="1137">
        <f t="shared" si="1669"/>
        <v>420691.93751134287</v>
      </c>
      <c r="U1163" s="1137">
        <f t="shared" si="1669"/>
        <v>432639.77808400197</v>
      </c>
      <c r="V1163" s="1137">
        <f t="shared" si="1669"/>
        <v>503579.47494199232</v>
      </c>
      <c r="W1163" s="1381">
        <f t="shared" si="1669"/>
        <v>504167.61945400119</v>
      </c>
      <c r="X1163" s="1381">
        <f t="shared" si="1669"/>
        <v>469406.23719002766</v>
      </c>
      <c r="Y1163" s="1381">
        <f t="shared" si="1669"/>
        <v>527470.78659798985</v>
      </c>
      <c r="Z1163" s="1381">
        <f t="shared" si="1669"/>
        <v>569658.4738089859</v>
      </c>
      <c r="AA1163" s="1381">
        <f t="shared" si="1669"/>
        <v>492406.54266898212</v>
      </c>
      <c r="AB1163" s="1381">
        <f t="shared" si="1669"/>
        <v>580290.42287152912</v>
      </c>
      <c r="AC1163" s="1138">
        <f t="shared" si="1669"/>
        <v>727280.69267648819</v>
      </c>
      <c r="AD1163" s="176"/>
      <c r="AE1163" s="176"/>
      <c r="AF1163" s="176"/>
      <c r="AG1163" s="176"/>
      <c r="AH1163" s="176"/>
      <c r="AI1163" s="176"/>
      <c r="AJ1163" s="176"/>
    </row>
    <row r="1164" spans="1:36" s="392" customFormat="1" ht="14.25" customHeight="1">
      <c r="A1164" s="616">
        <v>1</v>
      </c>
      <c r="B1164" s="616">
        <v>1</v>
      </c>
      <c r="C1164" s="616" t="s">
        <v>1540</v>
      </c>
      <c r="D1164" s="709" t="s">
        <v>1308</v>
      </c>
      <c r="E1164" s="2568" t="s">
        <v>1370</v>
      </c>
      <c r="F1164" s="2608"/>
      <c r="G1164" s="238"/>
      <c r="I1164" s="466"/>
      <c r="J1164" s="380"/>
      <c r="K1164" s="459"/>
      <c r="L1164" s="479" t="s">
        <v>1577</v>
      </c>
      <c r="M1164" s="480" t="s">
        <v>1578</v>
      </c>
      <c r="N1164" s="480"/>
      <c r="O1164" s="480"/>
      <c r="P1164" s="480"/>
      <c r="Q1164" s="1833" t="str">
        <f>CHOOSE(2, "6722000004082", "OUT Total TFI From BT-Gr Office Total")</f>
        <v>OUT Total TFI From BT-Gr Office Total</v>
      </c>
      <c r="R1164" s="1160">
        <v>57868.770232000054</v>
      </c>
      <c r="S1164" s="1161">
        <v>114160.06505999975</v>
      </c>
      <c r="T1164" s="1161">
        <v>122623.22366135049</v>
      </c>
      <c r="U1164" s="1161">
        <v>131266.92691599982</v>
      </c>
      <c r="V1164" s="1161">
        <v>165369.73212800015</v>
      </c>
      <c r="W1164" s="1162">
        <v>182656.40850400052</v>
      </c>
      <c r="X1164" s="1162">
        <v>142843.34418000135</v>
      </c>
      <c r="Y1164" s="1162">
        <v>163586.19476000062</v>
      </c>
      <c r="Z1164" s="1162">
        <v>226808.36543399896</v>
      </c>
      <c r="AA1164" s="1162">
        <v>133341.54547000001</v>
      </c>
      <c r="AB1164" s="1162">
        <v>193692.44051800031</v>
      </c>
      <c r="AC1164" s="1163">
        <v>216718.8803679983</v>
      </c>
      <c r="AD1164" s="176"/>
      <c r="AE1164" s="176"/>
      <c r="AF1164" s="176"/>
      <c r="AG1164" s="176"/>
      <c r="AH1164" s="176"/>
      <c r="AI1164" s="176"/>
      <c r="AJ1164" s="176"/>
    </row>
    <row r="1165" spans="1:36" s="392" customFormat="1" ht="14.25" customHeight="1">
      <c r="A1165" s="616">
        <v>1</v>
      </c>
      <c r="B1165" s="616">
        <v>1</v>
      </c>
      <c r="C1165" s="616" t="s">
        <v>1540</v>
      </c>
      <c r="D1165" s="709" t="s">
        <v>1308</v>
      </c>
      <c r="E1165" s="2568" t="s">
        <v>1370</v>
      </c>
      <c r="F1165" s="2608"/>
      <c r="G1165" s="238"/>
      <c r="I1165" s="466"/>
      <c r="J1165" s="380"/>
      <c r="K1165" s="459"/>
      <c r="L1165" s="459"/>
      <c r="M1165" s="462" t="s">
        <v>1579</v>
      </c>
      <c r="N1165" s="462"/>
      <c r="O1165" s="462"/>
      <c r="P1165" s="462"/>
      <c r="Q1165" s="1824" t="str">
        <f>CHOOSE(2, "6722000004083", "OUT Total TFI From BT-Gr Office except BT Support (HW, NH)")</f>
        <v>OUT Total TFI From BT-Gr Office except BT Support (HW, NH)</v>
      </c>
      <c r="R1165" s="1159">
        <f t="shared" ref="R1165:AC1165" si="1670">R1164-R1166</f>
        <v>57868.770232000054</v>
      </c>
      <c r="S1165" s="1137">
        <f t="shared" si="1670"/>
        <v>114160.06505999975</v>
      </c>
      <c r="T1165" s="1137">
        <f t="shared" si="1670"/>
        <v>122623.22366135049</v>
      </c>
      <c r="U1165" s="1137">
        <f t="shared" si="1670"/>
        <v>131266.92691599982</v>
      </c>
      <c r="V1165" s="1137">
        <f t="shared" si="1670"/>
        <v>165369.73212800015</v>
      </c>
      <c r="W1165" s="1381">
        <f t="shared" si="1670"/>
        <v>182656.40850400052</v>
      </c>
      <c r="X1165" s="1381">
        <f t="shared" si="1670"/>
        <v>142843.34418000135</v>
      </c>
      <c r="Y1165" s="1381">
        <f t="shared" si="1670"/>
        <v>163586.19476000062</v>
      </c>
      <c r="Z1165" s="1381">
        <f t="shared" si="1670"/>
        <v>226808.36543399896</v>
      </c>
      <c r="AA1165" s="1381">
        <f t="shared" si="1670"/>
        <v>133341.54547000001</v>
      </c>
      <c r="AB1165" s="1381">
        <f t="shared" si="1670"/>
        <v>193692.44051800031</v>
      </c>
      <c r="AC1165" s="1138">
        <f t="shared" si="1670"/>
        <v>216718.8803679983</v>
      </c>
      <c r="AD1165" s="176"/>
      <c r="AE1165" s="176"/>
      <c r="AF1165" s="176"/>
      <c r="AG1165" s="176"/>
      <c r="AH1165" s="176"/>
      <c r="AI1165" s="176"/>
      <c r="AJ1165" s="176"/>
    </row>
    <row r="1166" spans="1:36" s="392" customFormat="1" ht="14.25" customHeight="1">
      <c r="A1166" s="616">
        <v>1</v>
      </c>
      <c r="B1166" s="616">
        <v>1</v>
      </c>
      <c r="C1166" s="616" t="s">
        <v>1540</v>
      </c>
      <c r="D1166" s="709" t="s">
        <v>1308</v>
      </c>
      <c r="E1166" s="2568" t="s">
        <v>1370</v>
      </c>
      <c r="F1166" s="2608"/>
      <c r="G1166" s="238"/>
      <c r="I1166" s="466"/>
      <c r="J1166" s="380"/>
      <c r="K1166" s="459"/>
      <c r="L1166" s="481"/>
      <c r="M1166" s="482" t="s">
        <v>1580</v>
      </c>
      <c r="N1166" s="482"/>
      <c r="O1166" s="482"/>
      <c r="P1166" s="482"/>
      <c r="Q1166" s="1824" t="str">
        <f>CHOOSE(2, "6722000004084", "OUT Total TFI From BT-Gr Office BT Support")</f>
        <v>OUT Total TFI From BT-Gr Office BT Support</v>
      </c>
      <c r="R1166" s="1164">
        <f t="shared" ref="R1166:AC1166" si="1671">R1118</f>
        <v>0</v>
      </c>
      <c r="S1166" s="1165">
        <f t="shared" si="1671"/>
        <v>0</v>
      </c>
      <c r="T1166" s="1165">
        <f t="shared" si="1671"/>
        <v>0</v>
      </c>
      <c r="U1166" s="1165">
        <f t="shared" si="1671"/>
        <v>0</v>
      </c>
      <c r="V1166" s="1165">
        <f t="shared" si="1671"/>
        <v>0</v>
      </c>
      <c r="W1166" s="1382">
        <f t="shared" si="1671"/>
        <v>0</v>
      </c>
      <c r="X1166" s="1382">
        <f t="shared" si="1671"/>
        <v>0</v>
      </c>
      <c r="Y1166" s="1382">
        <f t="shared" si="1671"/>
        <v>0</v>
      </c>
      <c r="Z1166" s="1382">
        <f t="shared" si="1671"/>
        <v>0</v>
      </c>
      <c r="AA1166" s="1382">
        <f t="shared" si="1671"/>
        <v>0</v>
      </c>
      <c r="AB1166" s="1382">
        <f t="shared" si="1671"/>
        <v>0</v>
      </c>
      <c r="AC1166" s="1166">
        <f t="shared" si="1671"/>
        <v>0</v>
      </c>
      <c r="AD1166" s="176"/>
      <c r="AE1166" s="176"/>
      <c r="AF1166" s="176"/>
      <c r="AG1166" s="176"/>
      <c r="AH1166" s="176"/>
      <c r="AI1166" s="176"/>
      <c r="AJ1166" s="176"/>
    </row>
    <row r="1167" spans="1:36" s="392" customFormat="1" ht="14.25" customHeight="1">
      <c r="A1167" s="616">
        <v>1</v>
      </c>
      <c r="B1167" s="616">
        <v>1</v>
      </c>
      <c r="C1167" s="616" t="s">
        <v>1540</v>
      </c>
      <c r="D1167" s="709" t="s">
        <v>1308</v>
      </c>
      <c r="E1167" s="2568" t="s">
        <v>1370</v>
      </c>
      <c r="F1167" s="2608"/>
      <c r="G1167" s="238"/>
      <c r="I1167" s="466"/>
      <c r="J1167" s="380"/>
      <c r="K1167" s="459"/>
      <c r="L1167" s="459" t="s">
        <v>1581</v>
      </c>
      <c r="M1167" s="480" t="s">
        <v>1578</v>
      </c>
      <c r="N1167" s="480"/>
      <c r="O1167" s="480"/>
      <c r="P1167" s="480"/>
      <c r="Q1167" s="1833" t="str">
        <f>CHOOSE(2, "6722000004085", "OUT Total TFI From BT-Gr PP Total")</f>
        <v>OUT Total TFI From BT-Gr PP Total</v>
      </c>
      <c r="R1167" s="1167">
        <v>298135.70568999316</v>
      </c>
      <c r="S1167" s="1168">
        <v>303731</v>
      </c>
      <c r="T1167" s="1161">
        <v>281456.89194999239</v>
      </c>
      <c r="U1167" s="1161">
        <v>296085.97506800212</v>
      </c>
      <c r="V1167" s="1161">
        <v>323068.02802399214</v>
      </c>
      <c r="W1167" s="1162">
        <v>304561.2625900007</v>
      </c>
      <c r="X1167" s="1162">
        <v>323394.05828002631</v>
      </c>
      <c r="Y1167" s="1162">
        <v>350049.58608798921</v>
      </c>
      <c r="Z1167" s="1162">
        <v>335730.64362498687</v>
      </c>
      <c r="AA1167" s="1162">
        <v>341412.51615898212</v>
      </c>
      <c r="AB1167" s="1162">
        <v>379492.2960935288</v>
      </c>
      <c r="AC1167" s="1163">
        <v>403826.50268848991</v>
      </c>
      <c r="AD1167" s="176"/>
      <c r="AE1167" s="176"/>
      <c r="AF1167" s="176"/>
      <c r="AG1167" s="176"/>
      <c r="AH1167" s="176"/>
      <c r="AI1167" s="176"/>
      <c r="AJ1167" s="176"/>
    </row>
    <row r="1168" spans="1:36" s="392" customFormat="1" ht="14.25" customHeight="1">
      <c r="A1168" s="616">
        <v>1</v>
      </c>
      <c r="B1168" s="616">
        <v>1</v>
      </c>
      <c r="C1168" s="616" t="s">
        <v>1540</v>
      </c>
      <c r="D1168" s="709" t="s">
        <v>1308</v>
      </c>
      <c r="E1168" s="2568" t="s">
        <v>1370</v>
      </c>
      <c r="F1168" s="2608"/>
      <c r="G1168" s="238"/>
      <c r="I1168" s="466"/>
      <c r="J1168" s="380"/>
      <c r="K1168" s="459"/>
      <c r="L1168" s="459"/>
      <c r="M1168" s="462" t="s">
        <v>1579</v>
      </c>
      <c r="N1168" s="462"/>
      <c r="O1168" s="462"/>
      <c r="P1168" s="462"/>
      <c r="Q1168" s="1824" t="str">
        <f>CHOOSE(2, "6722000004086", "OUT Total TFI From BT-Gr PP except BT Support (HW, NH)")</f>
        <v>OUT Total TFI From BT-Gr PP except BT Support (HW, NH)</v>
      </c>
      <c r="R1168" s="1159">
        <f t="shared" ref="R1168:AC1168" si="1672">R1167-R1169</f>
        <v>298135.70568999316</v>
      </c>
      <c r="S1168" s="1137">
        <f t="shared" si="1672"/>
        <v>303731</v>
      </c>
      <c r="T1168" s="1137">
        <f t="shared" si="1672"/>
        <v>281456.89194999239</v>
      </c>
      <c r="U1168" s="1137">
        <f t="shared" si="1672"/>
        <v>296085.97506800212</v>
      </c>
      <c r="V1168" s="1137">
        <f t="shared" si="1672"/>
        <v>323068.02802399214</v>
      </c>
      <c r="W1168" s="1381">
        <f t="shared" si="1672"/>
        <v>304561.2625900007</v>
      </c>
      <c r="X1168" s="1381">
        <f t="shared" si="1672"/>
        <v>323394.05828002631</v>
      </c>
      <c r="Y1168" s="1381">
        <f t="shared" si="1672"/>
        <v>350049.58608798921</v>
      </c>
      <c r="Z1168" s="1381">
        <f t="shared" si="1672"/>
        <v>335730.64362498687</v>
      </c>
      <c r="AA1168" s="1381">
        <f t="shared" si="1672"/>
        <v>341412.51615898212</v>
      </c>
      <c r="AB1168" s="1381">
        <f t="shared" si="1672"/>
        <v>379492.2960935288</v>
      </c>
      <c r="AC1168" s="1138">
        <f t="shared" si="1672"/>
        <v>403826.50268848991</v>
      </c>
      <c r="AD1168" s="176"/>
      <c r="AE1168" s="176"/>
      <c r="AF1168" s="176"/>
      <c r="AG1168" s="176"/>
      <c r="AH1168" s="176"/>
      <c r="AI1168" s="176"/>
      <c r="AJ1168" s="176"/>
    </row>
    <row r="1169" spans="1:36" s="392" customFormat="1" ht="14.25" customHeight="1">
      <c r="A1169" s="616">
        <v>1</v>
      </c>
      <c r="B1169" s="616">
        <v>1</v>
      </c>
      <c r="C1169" s="616" t="s">
        <v>1540</v>
      </c>
      <c r="D1169" s="709" t="s">
        <v>1308</v>
      </c>
      <c r="E1169" s="2568" t="s">
        <v>1370</v>
      </c>
      <c r="F1169" s="2608"/>
      <c r="G1169" s="238"/>
      <c r="I1169" s="466"/>
      <c r="J1169" s="380"/>
      <c r="K1169" s="459"/>
      <c r="L1169" s="481"/>
      <c r="M1169" s="482" t="s">
        <v>1580</v>
      </c>
      <c r="N1169" s="482"/>
      <c r="O1169" s="482"/>
      <c r="P1169" s="482"/>
      <c r="Q1169" s="1824" t="str">
        <f>CHOOSE(2, "6722000004087", "OUT Total TFI From BT-Gr PP BT Support")</f>
        <v>OUT Total TFI From BT-Gr PP BT Support</v>
      </c>
      <c r="R1169" s="1164">
        <f t="shared" ref="R1169:AC1169" si="1673">R1127</f>
        <v>0</v>
      </c>
      <c r="S1169" s="1165">
        <f t="shared" si="1673"/>
        <v>0</v>
      </c>
      <c r="T1169" s="1165">
        <f t="shared" si="1673"/>
        <v>0</v>
      </c>
      <c r="U1169" s="1165">
        <f t="shared" si="1673"/>
        <v>0</v>
      </c>
      <c r="V1169" s="1165">
        <f t="shared" si="1673"/>
        <v>0</v>
      </c>
      <c r="W1169" s="1382">
        <f t="shared" si="1673"/>
        <v>0</v>
      </c>
      <c r="X1169" s="1382">
        <f t="shared" si="1673"/>
        <v>0</v>
      </c>
      <c r="Y1169" s="1382">
        <f t="shared" si="1673"/>
        <v>0</v>
      </c>
      <c r="Z1169" s="1382">
        <f t="shared" si="1673"/>
        <v>0</v>
      </c>
      <c r="AA1169" s="1382">
        <f t="shared" si="1673"/>
        <v>0</v>
      </c>
      <c r="AB1169" s="1382">
        <f t="shared" si="1673"/>
        <v>0</v>
      </c>
      <c r="AC1169" s="1166">
        <f t="shared" si="1673"/>
        <v>0</v>
      </c>
      <c r="AD1169" s="176"/>
      <c r="AE1169" s="176"/>
      <c r="AF1169" s="176"/>
      <c r="AG1169" s="176"/>
      <c r="AH1169" s="176"/>
      <c r="AI1169" s="176"/>
      <c r="AJ1169" s="176"/>
    </row>
    <row r="1170" spans="1:36" s="392" customFormat="1" ht="14.25" customHeight="1">
      <c r="A1170" s="616">
        <v>1</v>
      </c>
      <c r="B1170" s="616">
        <v>1</v>
      </c>
      <c r="C1170" s="616" t="s">
        <v>1540</v>
      </c>
      <c r="D1170" s="709" t="s">
        <v>1308</v>
      </c>
      <c r="E1170" s="2568" t="s">
        <v>1370</v>
      </c>
      <c r="F1170" s="2608"/>
      <c r="G1170" s="238"/>
      <c r="I1170" s="466"/>
      <c r="J1170" s="380"/>
      <c r="K1170" s="481"/>
      <c r="L1170" s="481" t="s">
        <v>1550</v>
      </c>
      <c r="M1170" s="482" t="s">
        <v>1582</v>
      </c>
      <c r="N1170" s="482"/>
      <c r="O1170" s="482"/>
      <c r="P1170" s="482"/>
      <c r="Q1170" s="1833" t="str">
        <f>CHOOSE(2, "6722000004088", "OUT Total TFI From BT-Gr Others IP, DW-DX, Others")</f>
        <v>OUT Total TFI From BT-Gr Others IP, DW-DX, Others</v>
      </c>
      <c r="R1170" s="1160">
        <v>4600.2143999999953</v>
      </c>
      <c r="S1170" s="1161">
        <v>3229</v>
      </c>
      <c r="T1170" s="1168">
        <v>16611.821900000006</v>
      </c>
      <c r="U1170" s="1168">
        <v>5286.8760999999995</v>
      </c>
      <c r="V1170" s="1168">
        <v>15141.714790000007</v>
      </c>
      <c r="W1170" s="1169">
        <v>16949.948360000006</v>
      </c>
      <c r="X1170" s="1169">
        <v>3168.8347300000019</v>
      </c>
      <c r="Y1170" s="1169">
        <v>13835.005750000004</v>
      </c>
      <c r="Z1170" s="1169">
        <v>7119.464750000001</v>
      </c>
      <c r="AA1170" s="1169">
        <v>17652.481040000006</v>
      </c>
      <c r="AB1170" s="1169">
        <v>7105.6862599999986</v>
      </c>
      <c r="AC1170" s="1170">
        <v>106735.30961999999</v>
      </c>
      <c r="AD1170" s="176"/>
      <c r="AE1170" s="176"/>
      <c r="AF1170" s="176"/>
      <c r="AG1170" s="176"/>
      <c r="AH1170" s="176"/>
      <c r="AI1170" s="176"/>
      <c r="AJ1170" s="176"/>
    </row>
    <row r="1171" spans="1:36" s="392" customFormat="1" ht="14.5">
      <c r="A1171" s="616">
        <v>1</v>
      </c>
      <c r="B1171" s="616">
        <v>1</v>
      </c>
      <c r="C1171" s="616" t="s">
        <v>1540</v>
      </c>
      <c r="D1171" s="709" t="s">
        <v>1308</v>
      </c>
      <c r="E1171" s="2568" t="s">
        <v>1370</v>
      </c>
      <c r="F1171" s="2608"/>
      <c r="G1171" s="238"/>
      <c r="I1171" s="466"/>
      <c r="J1171" s="380"/>
      <c r="K1171" s="459" t="s">
        <v>1572</v>
      </c>
      <c r="L1171" s="459"/>
      <c r="M1171" s="462"/>
      <c r="N1171" s="462"/>
      <c r="O1171" s="462"/>
      <c r="P1171" s="462"/>
      <c r="Q1171" s="1824" t="str">
        <f>CHOOSE(2, "6722000004089", "OUT Total TFI Others(3rd Party)")</f>
        <v>OUT Total TFI Others(3rd Party)</v>
      </c>
      <c r="R1171" s="1159">
        <f t="shared" ref="R1171" si="1674">SUM(R1172:R1174)</f>
        <v>0</v>
      </c>
      <c r="S1171" s="1137">
        <f t="shared" ref="S1171:AC1171" si="1675">SUM(S1172:S1174)</f>
        <v>0</v>
      </c>
      <c r="T1171" s="1137">
        <f t="shared" si="1675"/>
        <v>0</v>
      </c>
      <c r="U1171" s="1137">
        <f t="shared" si="1675"/>
        <v>0</v>
      </c>
      <c r="V1171" s="1137">
        <f t="shared" si="1675"/>
        <v>0</v>
      </c>
      <c r="W1171" s="1381">
        <f t="shared" si="1675"/>
        <v>0</v>
      </c>
      <c r="X1171" s="1381">
        <f t="shared" si="1675"/>
        <v>0</v>
      </c>
      <c r="Y1171" s="1381">
        <f t="shared" si="1675"/>
        <v>0</v>
      </c>
      <c r="Z1171" s="1381">
        <f t="shared" si="1675"/>
        <v>0</v>
      </c>
      <c r="AA1171" s="1381">
        <f t="shared" si="1675"/>
        <v>0</v>
      </c>
      <c r="AB1171" s="1381">
        <f t="shared" si="1675"/>
        <v>0</v>
      </c>
      <c r="AC1171" s="1138">
        <f t="shared" si="1675"/>
        <v>0</v>
      </c>
      <c r="AD1171" s="176"/>
      <c r="AE1171" s="176"/>
      <c r="AF1171" s="176"/>
      <c r="AG1171" s="176"/>
      <c r="AH1171" s="176"/>
      <c r="AI1171" s="176"/>
      <c r="AJ1171" s="176"/>
    </row>
    <row r="1172" spans="1:36" s="392" customFormat="1" ht="14.25" customHeight="1">
      <c r="A1172" s="616">
        <v>1</v>
      </c>
      <c r="B1172" s="616">
        <v>1</v>
      </c>
      <c r="C1172" s="616" t="s">
        <v>1540</v>
      </c>
      <c r="D1172" s="709" t="s">
        <v>1308</v>
      </c>
      <c r="E1172" s="2568" t="s">
        <v>1370</v>
      </c>
      <c r="F1172" s="2608"/>
      <c r="G1172" s="238"/>
      <c r="I1172" s="466"/>
      <c r="J1172" s="380"/>
      <c r="K1172" s="459"/>
      <c r="L1172" s="459" t="s">
        <v>1577</v>
      </c>
      <c r="M1172" s="462"/>
      <c r="N1172" s="462"/>
      <c r="O1172" s="462"/>
      <c r="P1172" s="462"/>
      <c r="Q1172" s="1833" t="str">
        <f>CHOOSE(2, "6722000004090", "OUT Total TFI Others(3rd Party) Office")</f>
        <v>OUT Total TFI Others(3rd Party) Office</v>
      </c>
      <c r="R1172" s="1430">
        <v>0</v>
      </c>
      <c r="S1172" s="1149">
        <v>0</v>
      </c>
      <c r="T1172" s="1149">
        <v>0</v>
      </c>
      <c r="U1172" s="1149">
        <v>0</v>
      </c>
      <c r="V1172" s="1149">
        <v>0</v>
      </c>
      <c r="W1172" s="1150">
        <v>0</v>
      </c>
      <c r="X1172" s="1150">
        <v>0</v>
      </c>
      <c r="Y1172" s="1150">
        <v>0</v>
      </c>
      <c r="Z1172" s="1150">
        <v>0</v>
      </c>
      <c r="AA1172" s="1150">
        <v>0</v>
      </c>
      <c r="AB1172" s="1150">
        <v>0</v>
      </c>
      <c r="AC1172" s="1151">
        <v>0</v>
      </c>
      <c r="AD1172" s="176"/>
      <c r="AE1172" s="176"/>
      <c r="AF1172" s="176"/>
      <c r="AG1172" s="176"/>
      <c r="AH1172" s="176"/>
      <c r="AI1172" s="176"/>
      <c r="AJ1172" s="176"/>
    </row>
    <row r="1173" spans="1:36" s="392" customFormat="1" ht="14.25" customHeight="1">
      <c r="A1173" s="616">
        <v>1</v>
      </c>
      <c r="B1173" s="616">
        <v>1</v>
      </c>
      <c r="C1173" s="616" t="s">
        <v>1540</v>
      </c>
      <c r="D1173" s="709" t="s">
        <v>1308</v>
      </c>
      <c r="E1173" s="2568" t="s">
        <v>1370</v>
      </c>
      <c r="F1173" s="2608"/>
      <c r="G1173" s="238"/>
      <c r="I1173" s="466"/>
      <c r="J1173" s="380"/>
      <c r="K1173" s="459"/>
      <c r="L1173" s="459" t="s">
        <v>1581</v>
      </c>
      <c r="M1173" s="462"/>
      <c r="N1173" s="462"/>
      <c r="O1173" s="462"/>
      <c r="P1173" s="462"/>
      <c r="Q1173" s="1833" t="str">
        <f>CHOOSE(2, "6722000004091", "OUT Total TFI Others(3rd Party) PP")</f>
        <v>OUT Total TFI Others(3rd Party) PP</v>
      </c>
      <c r="R1173" s="1430">
        <v>0</v>
      </c>
      <c r="S1173" s="1149">
        <v>0</v>
      </c>
      <c r="T1173" s="1149">
        <v>0</v>
      </c>
      <c r="U1173" s="1149">
        <v>0</v>
      </c>
      <c r="V1173" s="1149">
        <v>0</v>
      </c>
      <c r="W1173" s="1150">
        <v>0</v>
      </c>
      <c r="X1173" s="1150">
        <v>0</v>
      </c>
      <c r="Y1173" s="1150">
        <v>0</v>
      </c>
      <c r="Z1173" s="1150">
        <v>0</v>
      </c>
      <c r="AA1173" s="1150">
        <v>0</v>
      </c>
      <c r="AB1173" s="1150">
        <v>0</v>
      </c>
      <c r="AC1173" s="1151">
        <v>0</v>
      </c>
      <c r="AD1173" s="176"/>
      <c r="AE1173" s="176"/>
      <c r="AF1173" s="176"/>
      <c r="AG1173" s="176"/>
      <c r="AH1173" s="176"/>
      <c r="AI1173" s="176"/>
      <c r="AJ1173" s="176"/>
    </row>
    <row r="1174" spans="1:36" s="392" customFormat="1" ht="14.25" customHeight="1">
      <c r="A1174" s="616">
        <v>1</v>
      </c>
      <c r="B1174" s="616">
        <v>1</v>
      </c>
      <c r="C1174" s="616" t="s">
        <v>1540</v>
      </c>
      <c r="D1174" s="709" t="s">
        <v>1308</v>
      </c>
      <c r="E1174" s="2568" t="s">
        <v>1370</v>
      </c>
      <c r="F1174" s="2608"/>
      <c r="G1174" s="238"/>
      <c r="I1174" s="466"/>
      <c r="J1174" s="380"/>
      <c r="K1174" s="459"/>
      <c r="L1174" s="459" t="s">
        <v>1550</v>
      </c>
      <c r="M1174" s="482" t="s">
        <v>1582</v>
      </c>
      <c r="N1174" s="462"/>
      <c r="O1174" s="462"/>
      <c r="P1174" s="462"/>
      <c r="Q1174" s="1833" t="str">
        <f>CHOOSE(2, "6722000004092", "OUT Total TFI Others(3rd Party) Others IP, DW-DX, Others")</f>
        <v>OUT Total TFI Others(3rd Party) Others IP, DW-DX, Others</v>
      </c>
      <c r="R1174" s="1430">
        <v>0</v>
      </c>
      <c r="S1174" s="1149">
        <v>0</v>
      </c>
      <c r="T1174" s="1149">
        <v>0</v>
      </c>
      <c r="U1174" s="1149">
        <v>0</v>
      </c>
      <c r="V1174" s="1149">
        <v>0</v>
      </c>
      <c r="W1174" s="1150">
        <v>0</v>
      </c>
      <c r="X1174" s="1150">
        <v>0</v>
      </c>
      <c r="Y1174" s="1150">
        <v>0</v>
      </c>
      <c r="Z1174" s="1150">
        <v>0</v>
      </c>
      <c r="AA1174" s="1150">
        <v>0</v>
      </c>
      <c r="AB1174" s="1150">
        <v>0</v>
      </c>
      <c r="AC1174" s="1151">
        <v>0</v>
      </c>
      <c r="AD1174" s="176"/>
      <c r="AE1174" s="176"/>
      <c r="AF1174" s="176"/>
      <c r="AG1174" s="176"/>
      <c r="AH1174" s="176"/>
      <c r="AI1174" s="176"/>
      <c r="AJ1174" s="176"/>
    </row>
    <row r="1175" spans="1:36" s="392" customFormat="1" ht="14.5">
      <c r="A1175" s="616">
        <v>1</v>
      </c>
      <c r="B1175" s="616">
        <v>1</v>
      </c>
      <c r="C1175" s="616" t="s">
        <v>1540</v>
      </c>
      <c r="D1175" s="709" t="s">
        <v>1308</v>
      </c>
      <c r="E1175" s="2568" t="s">
        <v>1370</v>
      </c>
      <c r="F1175" s="2608"/>
      <c r="G1175" s="238"/>
      <c r="I1175" s="466"/>
      <c r="J1175" s="379" t="s">
        <v>266</v>
      </c>
      <c r="K1175" s="379"/>
      <c r="L1175" s="379"/>
      <c r="M1175" s="430"/>
      <c r="N1175" s="430"/>
      <c r="O1175" s="430"/>
      <c r="P1175" s="430"/>
      <c r="Q1175" s="1830" t="str">
        <f>CHOOSE(2, "6722000004093", "OUT Total L&amp;DoI")</f>
        <v>OUT Total L&amp;DoI</v>
      </c>
      <c r="R1175" s="1432">
        <v>170.40079999999995</v>
      </c>
      <c r="S1175" s="1433">
        <v>1473.87619</v>
      </c>
      <c r="T1175" s="1433">
        <v>261.85674999999998</v>
      </c>
      <c r="U1175" s="1433">
        <v>60.07137999999977</v>
      </c>
      <c r="V1175" s="1433">
        <v>547.86563999999964</v>
      </c>
      <c r="W1175" s="1434">
        <v>3945.4538799999964</v>
      </c>
      <c r="X1175" s="1434">
        <v>1726.8</v>
      </c>
      <c r="Y1175" s="1434">
        <v>26099.886140000013</v>
      </c>
      <c r="Z1175" s="1434">
        <v>1337.0253600000003</v>
      </c>
      <c r="AA1175" s="1434">
        <v>2666.2930499999989</v>
      </c>
      <c r="AB1175" s="1434">
        <v>4746.0860699999967</v>
      </c>
      <c r="AC1175" s="1435">
        <v>11919.524129999982</v>
      </c>
      <c r="AD1175" s="177"/>
      <c r="AE1175" s="177"/>
      <c r="AF1175" s="177"/>
      <c r="AG1175" s="177"/>
      <c r="AH1175" s="177"/>
      <c r="AI1175" s="177"/>
      <c r="AJ1175" s="177"/>
    </row>
    <row r="1176" spans="1:36" s="392" customFormat="1" ht="14.25" customHeight="1">
      <c r="A1176" s="616">
        <v>1</v>
      </c>
      <c r="B1176" s="616">
        <v>1</v>
      </c>
      <c r="C1176" s="616" t="s">
        <v>1540</v>
      </c>
      <c r="D1176" s="709" t="s">
        <v>1308</v>
      </c>
      <c r="E1176" s="2568" t="s">
        <v>1370</v>
      </c>
      <c r="F1176" s="2608"/>
      <c r="G1176" s="238"/>
      <c r="I1176" s="466"/>
      <c r="J1176" s="379" t="s">
        <v>2</v>
      </c>
      <c r="K1176" s="379"/>
      <c r="L1176" s="379"/>
      <c r="M1176" s="430"/>
      <c r="N1176" s="430"/>
      <c r="O1176" s="430"/>
      <c r="P1176" s="430"/>
      <c r="Q1176" s="1834" t="str">
        <f>CHOOSE(2, "6722000004094", "OUT Total Others")</f>
        <v>OUT Total Others</v>
      </c>
      <c r="R1176" s="1270">
        <f t="shared" ref="R1176:AC1176" si="1676">SUM(R1177:R1179)</f>
        <v>0</v>
      </c>
      <c r="S1176" s="1271">
        <f t="shared" si="1676"/>
        <v>0</v>
      </c>
      <c r="T1176" s="1271">
        <f t="shared" si="1676"/>
        <v>0</v>
      </c>
      <c r="U1176" s="1271">
        <f t="shared" si="1676"/>
        <v>0</v>
      </c>
      <c r="V1176" s="1271">
        <f t="shared" si="1676"/>
        <v>0</v>
      </c>
      <c r="W1176" s="1272">
        <f t="shared" si="1676"/>
        <v>0</v>
      </c>
      <c r="X1176" s="1272">
        <f t="shared" si="1676"/>
        <v>0</v>
      </c>
      <c r="Y1176" s="1272">
        <f t="shared" si="1676"/>
        <v>0</v>
      </c>
      <c r="Z1176" s="1272">
        <f t="shared" si="1676"/>
        <v>0</v>
      </c>
      <c r="AA1176" s="1272">
        <f t="shared" si="1676"/>
        <v>0</v>
      </c>
      <c r="AB1176" s="1272">
        <f t="shared" si="1676"/>
        <v>0</v>
      </c>
      <c r="AC1176" s="1274">
        <f t="shared" si="1676"/>
        <v>0</v>
      </c>
      <c r="AD1176" s="177"/>
      <c r="AE1176" s="177"/>
      <c r="AF1176" s="177"/>
      <c r="AG1176" s="177"/>
      <c r="AH1176" s="177"/>
      <c r="AI1176" s="177"/>
      <c r="AJ1176" s="177"/>
    </row>
    <row r="1177" spans="1:36" s="392" customFormat="1" ht="14.25" customHeight="1">
      <c r="A1177" s="616">
        <v>1</v>
      </c>
      <c r="B1177" s="616">
        <v>1</v>
      </c>
      <c r="C1177" s="616" t="s">
        <v>1540</v>
      </c>
      <c r="D1177" s="709" t="s">
        <v>1308</v>
      </c>
      <c r="E1177" s="2568" t="s">
        <v>1370</v>
      </c>
      <c r="F1177" s="2608"/>
      <c r="G1177" s="238"/>
      <c r="I1177" s="466"/>
      <c r="J1177" s="380"/>
      <c r="K1177" s="1030" t="s">
        <v>1574</v>
      </c>
      <c r="L1177" s="69"/>
      <c r="M1177" s="1031"/>
      <c r="N1177" s="1031"/>
      <c r="O1177" s="1031"/>
      <c r="P1177" s="1031"/>
      <c r="Q1177" s="1830" t="str">
        <f>CHOOSE(2, "6722000004095", "OUT Total Others &lt; free input 1 &gt;")</f>
        <v>OUT Total Others &lt; free input 1 &gt;</v>
      </c>
      <c r="R1177" s="1436">
        <v>0</v>
      </c>
      <c r="S1177" s="1437">
        <v>0</v>
      </c>
      <c r="T1177" s="1437">
        <v>0</v>
      </c>
      <c r="U1177" s="1437">
        <v>0</v>
      </c>
      <c r="V1177" s="1437">
        <v>0</v>
      </c>
      <c r="W1177" s="1438">
        <v>0</v>
      </c>
      <c r="X1177" s="1438">
        <v>0</v>
      </c>
      <c r="Y1177" s="1438">
        <v>0</v>
      </c>
      <c r="Z1177" s="1438">
        <v>0</v>
      </c>
      <c r="AA1177" s="1438">
        <v>0</v>
      </c>
      <c r="AB1177" s="1438">
        <v>0</v>
      </c>
      <c r="AC1177" s="1439">
        <v>0</v>
      </c>
      <c r="AD1177" s="177"/>
      <c r="AE1177" s="177"/>
      <c r="AF1177" s="177"/>
      <c r="AG1177" s="177"/>
      <c r="AH1177" s="177"/>
      <c r="AI1177" s="177"/>
      <c r="AJ1177" s="177"/>
    </row>
    <row r="1178" spans="1:36" s="392" customFormat="1" ht="14.25" customHeight="1">
      <c r="A1178" s="616">
        <v>1</v>
      </c>
      <c r="B1178" s="616">
        <v>1</v>
      </c>
      <c r="C1178" s="616" t="s">
        <v>1540</v>
      </c>
      <c r="D1178" s="709" t="s">
        <v>1308</v>
      </c>
      <c r="E1178" s="2568" t="s">
        <v>1370</v>
      </c>
      <c r="F1178" s="2608"/>
      <c r="G1178" s="238"/>
      <c r="I1178" s="466"/>
      <c r="J1178" s="380"/>
      <c r="K1178" s="1030" t="s">
        <v>1574</v>
      </c>
      <c r="L1178" s="69"/>
      <c r="M1178" s="1031"/>
      <c r="N1178" s="1031"/>
      <c r="O1178" s="1031"/>
      <c r="P1178" s="1031"/>
      <c r="Q1178" s="1830" t="str">
        <f>CHOOSE(2, "6722000004096", "OUT Total Others &lt; free input 2 &gt;")</f>
        <v>OUT Total Others &lt; free input 2 &gt;</v>
      </c>
      <c r="R1178" s="1436">
        <v>0</v>
      </c>
      <c r="S1178" s="1437">
        <v>0</v>
      </c>
      <c r="T1178" s="1437">
        <v>0</v>
      </c>
      <c r="U1178" s="1437">
        <v>0</v>
      </c>
      <c r="V1178" s="1437">
        <v>0</v>
      </c>
      <c r="W1178" s="1438">
        <v>0</v>
      </c>
      <c r="X1178" s="1438">
        <v>0</v>
      </c>
      <c r="Y1178" s="1438">
        <v>0</v>
      </c>
      <c r="Z1178" s="1438">
        <v>0</v>
      </c>
      <c r="AA1178" s="1438">
        <v>0</v>
      </c>
      <c r="AB1178" s="1438">
        <v>0</v>
      </c>
      <c r="AC1178" s="1439">
        <v>0</v>
      </c>
      <c r="AD1178" s="177"/>
      <c r="AE1178" s="177"/>
      <c r="AF1178" s="177"/>
      <c r="AG1178" s="177"/>
      <c r="AH1178" s="177"/>
      <c r="AI1178" s="177"/>
      <c r="AJ1178" s="177"/>
    </row>
    <row r="1179" spans="1:36" s="392" customFormat="1" ht="14.5">
      <c r="A1179" s="616">
        <v>1</v>
      </c>
      <c r="B1179" s="616">
        <v>1</v>
      </c>
      <c r="C1179" s="616" t="s">
        <v>1540</v>
      </c>
      <c r="D1179" s="709" t="s">
        <v>1308</v>
      </c>
      <c r="E1179" s="2568" t="s">
        <v>1370</v>
      </c>
      <c r="F1179" s="2608"/>
      <c r="G1179" s="238"/>
      <c r="I1179" s="466"/>
      <c r="J1179" s="381"/>
      <c r="K1179" s="211" t="s">
        <v>1550</v>
      </c>
      <c r="L1179" s="211"/>
      <c r="M1179" s="483"/>
      <c r="N1179" s="483"/>
      <c r="O1179" s="483"/>
      <c r="P1179" s="483"/>
      <c r="Q1179" s="1830" t="str">
        <f>CHOOSE(2, "6722000004097", "OUT Total Others Others")</f>
        <v>OUT Total Others Others</v>
      </c>
      <c r="R1179" s="1440">
        <v>0</v>
      </c>
      <c r="S1179" s="1441">
        <v>0</v>
      </c>
      <c r="T1179" s="1441">
        <v>0</v>
      </c>
      <c r="U1179" s="1441">
        <v>0</v>
      </c>
      <c r="V1179" s="1441">
        <v>0</v>
      </c>
      <c r="W1179" s="1442">
        <v>0</v>
      </c>
      <c r="X1179" s="1442">
        <v>0</v>
      </c>
      <c r="Y1179" s="1442">
        <v>0</v>
      </c>
      <c r="Z1179" s="1442">
        <v>0</v>
      </c>
      <c r="AA1179" s="1442">
        <v>0</v>
      </c>
      <c r="AB1179" s="1442">
        <v>0</v>
      </c>
      <c r="AC1179" s="1443">
        <v>0</v>
      </c>
      <c r="AD1179" s="177"/>
      <c r="AE1179" s="177"/>
      <c r="AF1179" s="177"/>
      <c r="AG1179" s="177"/>
      <c r="AH1179" s="177"/>
      <c r="AI1179" s="177"/>
      <c r="AJ1179" s="177"/>
    </row>
    <row r="1180" spans="1:36" s="392" customFormat="1" ht="14.5">
      <c r="A1180" s="616">
        <v>1</v>
      </c>
      <c r="B1180" s="616">
        <v>1</v>
      </c>
      <c r="C1180" s="616" t="s">
        <v>1540</v>
      </c>
      <c r="D1180" s="709" t="s">
        <v>1308</v>
      </c>
      <c r="E1180" s="2568" t="s">
        <v>1370</v>
      </c>
      <c r="F1180" s="2608"/>
      <c r="G1180" s="238"/>
      <c r="I1180" s="466"/>
      <c r="J1180" s="456" t="s">
        <v>267</v>
      </c>
      <c r="K1180" s="456"/>
      <c r="L1180" s="456"/>
      <c r="M1180" s="461"/>
      <c r="N1180" s="461"/>
      <c r="O1180" s="461"/>
      <c r="P1180" s="461"/>
      <c r="Q1180" s="1832" t="str">
        <f>CHOOSE(2, "6722000004098", "OUT Total Inventory at the end")</f>
        <v>OUT Total Inventory at the end</v>
      </c>
      <c r="R1180" s="1179">
        <f t="shared" ref="R1180:AC1180" si="1677">SUM(R1181:R1182)</f>
        <v>967611.44212309434</v>
      </c>
      <c r="S1180" s="1180">
        <f t="shared" si="1677"/>
        <v>1148683.4073328776</v>
      </c>
      <c r="T1180" s="1180">
        <f t="shared" si="1677"/>
        <v>1157112.1469635426</v>
      </c>
      <c r="U1180" s="1180">
        <f t="shared" si="1677"/>
        <v>1414816.9568983035</v>
      </c>
      <c r="V1180" s="1180">
        <f t="shared" si="1677"/>
        <v>1317908</v>
      </c>
      <c r="W1180" s="1204">
        <f t="shared" si="1677"/>
        <v>1450521.9303787234</v>
      </c>
      <c r="X1180" s="1204">
        <f t="shared" si="1677"/>
        <v>1460645.3832580918</v>
      </c>
      <c r="Y1180" s="1204">
        <f t="shared" si="1677"/>
        <v>1617307.3673690674</v>
      </c>
      <c r="Z1180" s="1204">
        <f t="shared" si="1677"/>
        <v>1584540.3093000001</v>
      </c>
      <c r="AA1180" s="1204">
        <f t="shared" si="1677"/>
        <v>1643267.7213260049</v>
      </c>
      <c r="AB1180" s="1204">
        <f t="shared" si="1677"/>
        <v>1889406.76883</v>
      </c>
      <c r="AC1180" s="1181">
        <f t="shared" si="1677"/>
        <v>1794234.6737707402</v>
      </c>
      <c r="AD1180" s="176"/>
      <c r="AE1180" s="176"/>
      <c r="AF1180" s="176"/>
      <c r="AG1180" s="176"/>
      <c r="AH1180" s="176"/>
      <c r="AI1180" s="176"/>
      <c r="AJ1180" s="176"/>
    </row>
    <row r="1181" spans="1:36" s="392" customFormat="1" ht="14.25" customHeight="1">
      <c r="A1181" s="616">
        <v>1</v>
      </c>
      <c r="B1181" s="616">
        <v>1</v>
      </c>
      <c r="C1181" s="616" t="s">
        <v>1540</v>
      </c>
      <c r="D1181" s="709" t="s">
        <v>1308</v>
      </c>
      <c r="E1181" s="2568" t="s">
        <v>1370</v>
      </c>
      <c r="F1181" s="2608"/>
      <c r="G1181" s="238"/>
      <c r="I1181" s="466"/>
      <c r="J1181" s="283"/>
      <c r="K1181" s="459" t="s">
        <v>262</v>
      </c>
      <c r="L1181" s="459"/>
      <c r="M1181" s="462"/>
      <c r="N1181" s="462"/>
      <c r="O1181" s="462"/>
      <c r="P1181" s="462"/>
      <c r="Q1181" s="1824" t="str">
        <f>CHOOSE(2, "6722000004099", "OUT Total Inventory at the end From BT-Gr")</f>
        <v>OUT Total Inventory at the end From BT-Gr</v>
      </c>
      <c r="R1181" s="1159">
        <f>R1063+R1064</f>
        <v>926631.0072930943</v>
      </c>
      <c r="S1181" s="1137">
        <f t="shared" ref="S1181:AC1181" si="1678">S1063+S1064</f>
        <v>1075916.1900828776</v>
      </c>
      <c r="T1181" s="1137">
        <f t="shared" si="1678"/>
        <v>1080530.5355435426</v>
      </c>
      <c r="U1181" s="1137">
        <f t="shared" si="1678"/>
        <v>1331248.5068683035</v>
      </c>
      <c r="V1181" s="1137">
        <f t="shared" si="1678"/>
        <v>1243557</v>
      </c>
      <c r="W1181" s="1137">
        <f t="shared" si="1678"/>
        <v>1395916.3772287234</v>
      </c>
      <c r="X1181" s="1137">
        <f t="shared" si="1678"/>
        <v>1403399.2536880916</v>
      </c>
      <c r="Y1181" s="1137">
        <f t="shared" si="1678"/>
        <v>1589209.2130390673</v>
      </c>
      <c r="Z1181" s="1137">
        <f t="shared" si="1678"/>
        <v>1558759.52168</v>
      </c>
      <c r="AA1181" s="1137">
        <f t="shared" si="1678"/>
        <v>1620115.786526005</v>
      </c>
      <c r="AB1181" s="1137">
        <f t="shared" si="1678"/>
        <v>1865698.9562199998</v>
      </c>
      <c r="AC1181" s="1138">
        <f t="shared" si="1678"/>
        <v>1760955.45662074</v>
      </c>
      <c r="AD1181" s="176"/>
      <c r="AE1181" s="176"/>
      <c r="AF1181" s="176"/>
      <c r="AG1181" s="176"/>
      <c r="AH1181" s="176"/>
      <c r="AI1181" s="176"/>
      <c r="AJ1181" s="176"/>
    </row>
    <row r="1182" spans="1:36" s="392" customFormat="1" ht="14.5">
      <c r="A1182" s="616">
        <v>1</v>
      </c>
      <c r="B1182" s="616">
        <v>1</v>
      </c>
      <c r="C1182" s="616" t="s">
        <v>1540</v>
      </c>
      <c r="D1182" s="709" t="s">
        <v>1308</v>
      </c>
      <c r="E1182" s="2568" t="s">
        <v>1370</v>
      </c>
      <c r="F1182" s="2631"/>
      <c r="G1182" s="236"/>
      <c r="I1182" s="467"/>
      <c r="J1182" s="457"/>
      <c r="K1182" s="211" t="s">
        <v>1550</v>
      </c>
      <c r="L1182" s="211"/>
      <c r="M1182" s="308"/>
      <c r="N1182" s="308"/>
      <c r="O1182" s="308"/>
      <c r="P1182" s="308"/>
      <c r="Q1182" s="1824" t="str">
        <f>CHOOSE(2, "6722000004100", "OUT Total Inventory at the end Others")</f>
        <v>OUT Total Inventory at the end Others</v>
      </c>
      <c r="R1182" s="1171">
        <f>R1065</f>
        <v>40980.434829999998</v>
      </c>
      <c r="S1182" s="1139">
        <f t="shared" ref="S1182:AC1182" si="1679">S1065</f>
        <v>72767.217250000045</v>
      </c>
      <c r="T1182" s="1139">
        <f t="shared" si="1679"/>
        <v>76581.611420000074</v>
      </c>
      <c r="U1182" s="1139">
        <f t="shared" si="1679"/>
        <v>83568.450030000051</v>
      </c>
      <c r="V1182" s="1139">
        <f t="shared" si="1679"/>
        <v>74351</v>
      </c>
      <c r="W1182" s="1139">
        <f t="shared" si="1679"/>
        <v>54605.553150000051</v>
      </c>
      <c r="X1182" s="1139">
        <f t="shared" si="1679"/>
        <v>57246.129570000048</v>
      </c>
      <c r="Y1182" s="1139">
        <f t="shared" si="1679"/>
        <v>28098.154330000027</v>
      </c>
      <c r="Z1182" s="1139">
        <f t="shared" si="1679"/>
        <v>25780.787620000025</v>
      </c>
      <c r="AA1182" s="1139">
        <f t="shared" si="1679"/>
        <v>23151.934800000035</v>
      </c>
      <c r="AB1182" s="1139">
        <f t="shared" si="1679"/>
        <v>23707.812610000037</v>
      </c>
      <c r="AC1182" s="1140">
        <f t="shared" si="1679"/>
        <v>33279.21715000004</v>
      </c>
      <c r="AD1182" s="176"/>
      <c r="AE1182" s="176"/>
      <c r="AF1182" s="176"/>
      <c r="AG1182" s="176"/>
      <c r="AH1182" s="176"/>
      <c r="AI1182" s="176"/>
      <c r="AJ1182" s="176"/>
    </row>
    <row r="1183" spans="1:36" s="392" customFormat="1" ht="14.5">
      <c r="A1183" s="616">
        <v>1</v>
      </c>
      <c r="B1183" s="616">
        <v>1</v>
      </c>
      <c r="C1183" s="616" t="s">
        <v>1540</v>
      </c>
      <c r="D1183" s="709" t="s">
        <v>1308</v>
      </c>
      <c r="E1183" s="2568" t="s">
        <v>1370</v>
      </c>
      <c r="F1183" s="2632"/>
      <c r="G1183" s="1234"/>
      <c r="I1183" s="8"/>
      <c r="J1183" s="8"/>
      <c r="L1183" s="175"/>
      <c r="M1183" s="173"/>
      <c r="N1183" s="8"/>
      <c r="P1183" s="175" t="s">
        <v>1583</v>
      </c>
      <c r="Q1183" s="1772" t="str">
        <f>CHOOSE(2, "6722000004101", "▷ Blank 42")</f>
        <v>▷ Blank 42</v>
      </c>
      <c r="R1183" s="2628" t="str">
        <f t="shared" ref="R1183:W1183" si="1680">IF(ROUND(R1151,0)=ROUND(R1161,0),"OK","NG")</f>
        <v>OK</v>
      </c>
      <c r="S1183" s="2629" t="str">
        <f t="shared" si="1680"/>
        <v>OK</v>
      </c>
      <c r="T1183" s="2629" t="str">
        <f t="shared" si="1680"/>
        <v>OK</v>
      </c>
      <c r="U1183" s="2629" t="str">
        <f t="shared" si="1680"/>
        <v>OK</v>
      </c>
      <c r="V1183" s="2629" t="str">
        <f t="shared" si="1680"/>
        <v>OK</v>
      </c>
      <c r="W1183" s="2629" t="str">
        <f t="shared" si="1680"/>
        <v>OK</v>
      </c>
      <c r="X1183" s="2629" t="str">
        <f>IF(ROUND(X1151,0)=ROUND(X1161,0),"OK","NG")</f>
        <v>OK</v>
      </c>
      <c r="Y1183" s="2629" t="str">
        <f>IF(ROUND(Y1151,0)=ROUND(Y1161,0),"OK","NG")</f>
        <v>OK</v>
      </c>
      <c r="Z1183" s="2629" t="str">
        <f>IF(ROUND(Z1151,0)=ROUND(Z1161,0),"OK","NG")</f>
        <v>OK</v>
      </c>
      <c r="AA1183" s="2629" t="str">
        <f t="shared" ref="AA1183:AB1183" si="1681">IF(ROUND(AA1151,0)=ROUND(AA1161,0),"OK","NG")</f>
        <v>NG</v>
      </c>
      <c r="AB1183" s="2629" t="str">
        <f t="shared" si="1681"/>
        <v>OK</v>
      </c>
      <c r="AC1183" s="2629" t="str">
        <f>IF(ROUND(AC1151,0)=ROUND(AC1161,0),"OK","NG")</f>
        <v>OK</v>
      </c>
      <c r="AD1183" s="174"/>
      <c r="AE1183" s="174"/>
      <c r="AF1183" s="174"/>
      <c r="AG1183" s="174"/>
      <c r="AH1183" s="174"/>
    </row>
    <row r="1184" spans="1:36" s="522" customFormat="1" ht="14.5" hidden="1" outlineLevel="1">
      <c r="A1184" s="616">
        <v>1</v>
      </c>
      <c r="B1184" s="616">
        <v>1</v>
      </c>
      <c r="C1184" s="616" t="s">
        <v>1540</v>
      </c>
      <c r="D1184" s="709" t="s">
        <v>1308</v>
      </c>
      <c r="E1184" s="2568" t="s">
        <v>1370</v>
      </c>
      <c r="F1184" s="2633"/>
      <c r="I1184" s="521" t="s">
        <v>1584</v>
      </c>
      <c r="J1184" s="520"/>
      <c r="K1184" s="520"/>
      <c r="L1184" s="520"/>
      <c r="M1184" s="520"/>
      <c r="N1184" s="520"/>
      <c r="O1184" s="520"/>
      <c r="P1184" s="520"/>
      <c r="Q1184" s="1837" t="str">
        <f>CHOOSE(2, "6722000004102", "OUT check by BU")</f>
        <v>OUT check by BU</v>
      </c>
      <c r="R1184" s="2634"/>
      <c r="S1184" s="520"/>
      <c r="T1184" s="520"/>
      <c r="U1184" s="520"/>
      <c r="V1184" s="520"/>
      <c r="W1184" s="520"/>
      <c r="X1184" s="520"/>
      <c r="Y1184" s="520"/>
      <c r="Z1184" s="520"/>
      <c r="AA1184" s="520"/>
    </row>
    <row r="1185" spans="1:36" s="524" customFormat="1" ht="14.25" hidden="1" customHeight="1" outlineLevel="1">
      <c r="A1185" s="616">
        <v>1</v>
      </c>
      <c r="B1185" s="616">
        <v>1</v>
      </c>
      <c r="C1185" s="616" t="s">
        <v>1540</v>
      </c>
      <c r="D1185" s="709" t="s">
        <v>1308</v>
      </c>
      <c r="E1185" s="2568" t="s">
        <v>1370</v>
      </c>
      <c r="F1185" s="2635"/>
      <c r="I1185" s="3360"/>
      <c r="J1185" s="523" t="s">
        <v>1585</v>
      </c>
      <c r="K1185" s="523"/>
      <c r="L1185" s="523"/>
      <c r="M1185" s="523"/>
      <c r="N1185" s="523"/>
      <c r="O1185" s="523"/>
      <c r="P1185" s="523"/>
      <c r="Q1185" s="1777" t="str">
        <f>CHOOSE(2, "6722000004103", "OUT check by BU Office &lt;OUT&gt;")</f>
        <v>OUT check by BU Office &lt;OUT&gt;</v>
      </c>
      <c r="R1185" s="3361">
        <f>R1164+R1172+R1066</f>
        <v>274438.77023200004</v>
      </c>
      <c r="S1185" s="3362">
        <f t="shared" ref="S1185:AC1185" si="1682">S1164+S1172+S1066</f>
        <v>360166.06505999976</v>
      </c>
      <c r="T1185" s="3362">
        <f t="shared" si="1682"/>
        <v>376026.22366135049</v>
      </c>
      <c r="U1185" s="3362">
        <f t="shared" si="1682"/>
        <v>486626.92691599985</v>
      </c>
      <c r="V1185" s="3362">
        <f t="shared" si="1682"/>
        <v>502531.73212800012</v>
      </c>
      <c r="W1185" s="3362">
        <f t="shared" si="1682"/>
        <v>567343.40850400052</v>
      </c>
      <c r="X1185" s="3362">
        <f t="shared" si="1682"/>
        <v>501466.35407189064</v>
      </c>
      <c r="Y1185" s="3362">
        <f t="shared" si="1682"/>
        <v>595331.19476000057</v>
      </c>
      <c r="Z1185" s="3362">
        <f t="shared" si="1682"/>
        <v>636119.36543399899</v>
      </c>
      <c r="AA1185" s="3362">
        <f t="shared" si="1682"/>
        <v>612680.54547000001</v>
      </c>
      <c r="AB1185" s="3362">
        <f t="shared" si="1682"/>
        <v>781290.0815902499</v>
      </c>
      <c r="AC1185" s="3363">
        <f t="shared" si="1682"/>
        <v>803071.7400379983</v>
      </c>
    </row>
    <row r="1186" spans="1:36" s="524" customFormat="1" ht="14.5" hidden="1" outlineLevel="1">
      <c r="A1186" s="616">
        <v>1</v>
      </c>
      <c r="B1186" s="616">
        <v>1</v>
      </c>
      <c r="C1186" s="616" t="s">
        <v>1540</v>
      </c>
      <c r="D1186" s="709" t="s">
        <v>1308</v>
      </c>
      <c r="E1186" s="2568" t="s">
        <v>1370</v>
      </c>
      <c r="F1186" s="2635"/>
      <c r="I1186" s="525"/>
      <c r="J1186" s="526" t="s">
        <v>1586</v>
      </c>
      <c r="K1186" s="526"/>
      <c r="L1186" s="526"/>
      <c r="M1186" s="526"/>
      <c r="N1186" s="526"/>
      <c r="O1186" s="526"/>
      <c r="P1186" s="526"/>
      <c r="Q1186" s="1777" t="str">
        <f>CHOOSE(2, "6722000004104", "OUT check by BU PP &lt;OUT&gt;")</f>
        <v>OUT check by BU PP &lt;OUT&gt;</v>
      </c>
      <c r="R1186" s="3364">
        <f>R1167+R1173+R1069</f>
        <v>1009553.1478130876</v>
      </c>
      <c r="S1186" s="3365">
        <f t="shared" ref="S1186:AC1186" si="1683">S1167+S1173+S1069</f>
        <v>1147444.6181518873</v>
      </c>
      <c r="T1186" s="3365">
        <f t="shared" si="1683"/>
        <v>1122240.186703535</v>
      </c>
      <c r="U1186" s="3365">
        <f t="shared" si="1683"/>
        <v>1282481.9319663057</v>
      </c>
      <c r="V1186" s="3365">
        <f t="shared" si="1683"/>
        <v>1238618.0280239922</v>
      </c>
      <c r="W1186" s="3365">
        <f t="shared" si="1683"/>
        <v>1303128.1929687243</v>
      </c>
      <c r="X1186" s="3365">
        <f t="shared" si="1683"/>
        <v>1349294.8579062286</v>
      </c>
      <c r="Y1186" s="3365">
        <f t="shared" si="1683"/>
        <v>1467068.9534570565</v>
      </c>
      <c r="Z1186" s="3365">
        <f t="shared" si="1683"/>
        <v>1440104.802144987</v>
      </c>
      <c r="AA1186" s="3365">
        <f t="shared" si="1683"/>
        <v>1430089.8740972024</v>
      </c>
      <c r="AB1186" s="3365">
        <f t="shared" si="1683"/>
        <v>1540320.3208840259</v>
      </c>
      <c r="AC1186" s="3366">
        <f t="shared" si="1683"/>
        <v>1504308.669482341</v>
      </c>
    </row>
    <row r="1187" spans="1:36" s="524" customFormat="1" ht="14.25" hidden="1" customHeight="1" outlineLevel="1">
      <c r="A1187" s="616">
        <v>1</v>
      </c>
      <c r="B1187" s="616">
        <v>1</v>
      </c>
      <c r="C1187" s="616" t="s">
        <v>1540</v>
      </c>
      <c r="D1187" s="709" t="s">
        <v>1308</v>
      </c>
      <c r="E1187" s="2568" t="s">
        <v>1370</v>
      </c>
      <c r="F1187" s="2635"/>
      <c r="I1187" s="525"/>
      <c r="J1187" s="526" t="s">
        <v>1587</v>
      </c>
      <c r="K1187" s="526"/>
      <c r="L1187" s="526"/>
      <c r="M1187" s="526"/>
      <c r="N1187" s="526"/>
      <c r="O1187" s="526"/>
      <c r="P1187" s="526"/>
      <c r="Q1187" s="1777" t="str">
        <f>CHOOSE(2, "6722000004105", "OUT check by BU Others &lt;OUT&gt;")</f>
        <v>OUT check by BU Others &lt;OUT&gt;</v>
      </c>
      <c r="R1187" s="3364">
        <f>R1170+R1174+R1072+R1076+R1079</f>
        <v>44224.214399999997</v>
      </c>
      <c r="S1187" s="3365">
        <f t="shared" ref="S1187:AC1187" si="1684">S1170+S1174+S1072+S1076+S1079</f>
        <v>62192.789180990279</v>
      </c>
      <c r="T1187" s="3365">
        <f t="shared" si="1684"/>
        <v>79537.674110000036</v>
      </c>
      <c r="U1187" s="3365">
        <f t="shared" si="1684"/>
        <v>78347.876099999994</v>
      </c>
      <c r="V1187" s="3365">
        <f t="shared" si="1684"/>
        <v>80337.714790000013</v>
      </c>
      <c r="W1187" s="3365">
        <f t="shared" si="1684"/>
        <v>84217.948360000009</v>
      </c>
      <c r="X1187" s="3365">
        <f t="shared" si="1684"/>
        <v>79290.408469999995</v>
      </c>
      <c r="Y1187" s="3365">
        <f t="shared" si="1684"/>
        <v>82378.005750000011</v>
      </c>
      <c r="Z1187" s="3365">
        <f t="shared" si="1684"/>
        <v>77974.61553000001</v>
      </c>
      <c r="AA1187" s="3365">
        <f t="shared" si="1684"/>
        <v>92903.844427784832</v>
      </c>
      <c r="AB1187" s="3365">
        <f t="shared" si="1684"/>
        <v>148086.78922725338</v>
      </c>
      <c r="AC1187" s="3366">
        <f t="shared" si="1684"/>
        <v>214134.95692688887</v>
      </c>
    </row>
    <row r="1188" spans="1:36" s="524" customFormat="1" ht="14.5" hidden="1" outlineLevel="1">
      <c r="A1188" s="616">
        <v>1</v>
      </c>
      <c r="B1188" s="616">
        <v>1</v>
      </c>
      <c r="C1188" s="616" t="s">
        <v>1540</v>
      </c>
      <c r="D1188" s="709" t="s">
        <v>1308</v>
      </c>
      <c r="E1188" s="2568" t="s">
        <v>1370</v>
      </c>
      <c r="F1188" s="2635"/>
      <c r="I1188" s="525"/>
      <c r="J1188" s="524" t="s">
        <v>266</v>
      </c>
      <c r="K1188" s="526"/>
      <c r="L1188" s="526"/>
      <c r="M1188" s="526"/>
      <c r="N1188" s="526"/>
      <c r="O1188" s="526"/>
      <c r="P1188" s="526"/>
      <c r="Q1188" s="1777" t="str">
        <f>CHOOSE(2, "6722000004106", "OUT check by BU L&amp;DoI")</f>
        <v>OUT check by BU L&amp;DoI</v>
      </c>
      <c r="R1188" s="3364">
        <f t="shared" ref="R1188:AC1189" si="1685">R1175</f>
        <v>170.40079999999995</v>
      </c>
      <c r="S1188" s="3365">
        <f t="shared" si="1685"/>
        <v>1473.87619</v>
      </c>
      <c r="T1188" s="3365">
        <f t="shared" si="1685"/>
        <v>261.85674999999998</v>
      </c>
      <c r="U1188" s="3365">
        <f t="shared" si="1685"/>
        <v>60.07137999999977</v>
      </c>
      <c r="V1188" s="3365">
        <f t="shared" si="1685"/>
        <v>547.86563999999964</v>
      </c>
      <c r="W1188" s="3365">
        <f t="shared" si="1685"/>
        <v>3945.4538799999964</v>
      </c>
      <c r="X1188" s="3365">
        <f t="shared" si="1685"/>
        <v>1726.8</v>
      </c>
      <c r="Y1188" s="3365">
        <f t="shared" si="1685"/>
        <v>26099.886140000013</v>
      </c>
      <c r="Z1188" s="3365">
        <f t="shared" si="1685"/>
        <v>1337.0253600000003</v>
      </c>
      <c r="AA1188" s="3365">
        <f t="shared" si="1685"/>
        <v>2666.2930499999989</v>
      </c>
      <c r="AB1188" s="3365">
        <f t="shared" si="1685"/>
        <v>4746.0860699999967</v>
      </c>
      <c r="AC1188" s="3366">
        <f t="shared" si="1685"/>
        <v>11919.524129999982</v>
      </c>
    </row>
    <row r="1189" spans="1:36" s="524" customFormat="1" ht="14.5" hidden="1" outlineLevel="1">
      <c r="A1189" s="616">
        <v>1</v>
      </c>
      <c r="B1189" s="616">
        <v>1</v>
      </c>
      <c r="C1189" s="616" t="s">
        <v>1540</v>
      </c>
      <c r="D1189" s="709" t="s">
        <v>1308</v>
      </c>
      <c r="E1189" s="2568" t="s">
        <v>1370</v>
      </c>
      <c r="F1189" s="2635"/>
      <c r="I1189" s="527"/>
      <c r="J1189" s="528"/>
      <c r="K1189" s="529" t="s">
        <v>1588</v>
      </c>
      <c r="L1189" s="529"/>
      <c r="M1189" s="530"/>
      <c r="N1189" s="530"/>
      <c r="O1189" s="530"/>
      <c r="P1189" s="530"/>
      <c r="Q1189" s="1777" t="str">
        <f>CHOOSE(2, "6722000004107", "OUT check by BU L&amp;DoI Others of Others")</f>
        <v>OUT check by BU L&amp;DoI Others of Others</v>
      </c>
      <c r="R1189" s="3367">
        <f t="shared" si="1685"/>
        <v>0</v>
      </c>
      <c r="S1189" s="3368">
        <f t="shared" si="1685"/>
        <v>0</v>
      </c>
      <c r="T1189" s="3368">
        <f t="shared" si="1685"/>
        <v>0</v>
      </c>
      <c r="U1189" s="3368">
        <f t="shared" si="1685"/>
        <v>0</v>
      </c>
      <c r="V1189" s="3368">
        <f t="shared" si="1685"/>
        <v>0</v>
      </c>
      <c r="W1189" s="3368">
        <f t="shared" si="1685"/>
        <v>0</v>
      </c>
      <c r="X1189" s="3368">
        <f t="shared" si="1685"/>
        <v>0</v>
      </c>
      <c r="Y1189" s="3368">
        <f t="shared" si="1685"/>
        <v>0</v>
      </c>
      <c r="Z1189" s="3368">
        <f t="shared" si="1685"/>
        <v>0</v>
      </c>
      <c r="AA1189" s="3368">
        <f t="shared" si="1685"/>
        <v>0</v>
      </c>
      <c r="AB1189" s="3368">
        <f t="shared" si="1685"/>
        <v>0</v>
      </c>
      <c r="AC1189" s="3369">
        <f t="shared" si="1685"/>
        <v>0</v>
      </c>
    </row>
    <row r="1190" spans="1:36" s="524" customFormat="1" ht="14.25" hidden="1" customHeight="1" outlineLevel="1">
      <c r="A1190" s="616">
        <v>1</v>
      </c>
      <c r="B1190" s="616">
        <v>1</v>
      </c>
      <c r="C1190" s="616" t="s">
        <v>1540</v>
      </c>
      <c r="D1190" s="709" t="s">
        <v>1308</v>
      </c>
      <c r="E1190" s="2568" t="s">
        <v>1370</v>
      </c>
      <c r="F1190" s="2635"/>
      <c r="I1190" s="2357" t="s">
        <v>1575</v>
      </c>
      <c r="J1190" s="2358"/>
      <c r="K1190" s="2358"/>
      <c r="L1190" s="2358"/>
      <c r="M1190" s="2358"/>
      <c r="N1190" s="2358"/>
      <c r="O1190" s="2358"/>
      <c r="P1190" s="2358"/>
      <c r="Q1190" s="1777" t="str">
        <f>CHOOSE(2, "6722000004108", "OUT check by BU Total")</f>
        <v>OUT check by BU Total</v>
      </c>
      <c r="R1190" s="3370">
        <f t="shared" ref="R1190" si="1686">SUM(R1185:R1189)</f>
        <v>1328386.5332450876</v>
      </c>
      <c r="S1190" s="3371">
        <f t="shared" ref="S1190:AC1190" si="1687">SUM(S1185:S1189)</f>
        <v>1571277.3485828773</v>
      </c>
      <c r="T1190" s="3371">
        <f t="shared" si="1687"/>
        <v>1578065.9412248856</v>
      </c>
      <c r="U1190" s="3371">
        <f t="shared" si="1687"/>
        <v>1847516.8063623058</v>
      </c>
      <c r="V1190" s="3371">
        <f t="shared" si="1687"/>
        <v>1822035.3405819924</v>
      </c>
      <c r="W1190" s="3371">
        <f t="shared" si="1687"/>
        <v>1958635.0037127247</v>
      </c>
      <c r="X1190" s="3371">
        <f t="shared" si="1687"/>
        <v>1931778.4204481193</v>
      </c>
      <c r="Y1190" s="3371">
        <f t="shared" si="1687"/>
        <v>2170878.0401070574</v>
      </c>
      <c r="Z1190" s="3371">
        <f t="shared" si="1687"/>
        <v>2155535.8084689858</v>
      </c>
      <c r="AA1190" s="3371">
        <f t="shared" si="1687"/>
        <v>2138340.5570449871</v>
      </c>
      <c r="AB1190" s="3371">
        <f t="shared" si="1687"/>
        <v>2474443.2777715293</v>
      </c>
      <c r="AC1190" s="3372">
        <f t="shared" si="1687"/>
        <v>2533434.8905772278</v>
      </c>
    </row>
    <row r="1191" spans="1:36" s="519" customFormat="1" ht="14.5" hidden="1" outlineLevel="1">
      <c r="A1191" s="616">
        <v>1</v>
      </c>
      <c r="B1191" s="616">
        <v>1</v>
      </c>
      <c r="C1191" s="616" t="s">
        <v>1540</v>
      </c>
      <c r="D1191" s="709" t="s">
        <v>1308</v>
      </c>
      <c r="E1191" s="2568" t="s">
        <v>1370</v>
      </c>
      <c r="F1191" s="2569"/>
      <c r="I1191" s="518"/>
      <c r="J1191" s="518"/>
      <c r="K1191" s="518" t="s">
        <v>1589</v>
      </c>
      <c r="L1191" s="518"/>
      <c r="M1191" s="518"/>
      <c r="N1191" s="518"/>
      <c r="O1191" s="518"/>
      <c r="P1191" s="518"/>
      <c r="Q1191" s="1777" t="str">
        <f>CHOOSE(2, "6722000004109", "▷ Blank 43")</f>
        <v>▷ Blank 43</v>
      </c>
      <c r="R1191" s="3373">
        <f t="shared" ref="R1191:AC1191" si="1688">R1190-R1161</f>
        <v>0</v>
      </c>
      <c r="S1191" s="3374">
        <f t="shared" si="1688"/>
        <v>0</v>
      </c>
      <c r="T1191" s="3374">
        <f t="shared" si="1688"/>
        <v>0</v>
      </c>
      <c r="U1191" s="3374">
        <f t="shared" si="1688"/>
        <v>0</v>
      </c>
      <c r="V1191" s="3374">
        <f t="shared" si="1688"/>
        <v>0</v>
      </c>
      <c r="W1191" s="3374">
        <f t="shared" si="1688"/>
        <v>0</v>
      </c>
      <c r="X1191" s="3374">
        <f t="shared" si="1688"/>
        <v>0</v>
      </c>
      <c r="Y1191" s="3374">
        <f t="shared" si="1688"/>
        <v>0</v>
      </c>
      <c r="Z1191" s="3374">
        <f t="shared" si="1688"/>
        <v>0</v>
      </c>
      <c r="AA1191" s="3374">
        <f t="shared" si="1688"/>
        <v>0</v>
      </c>
      <c r="AB1191" s="3374">
        <f t="shared" si="1688"/>
        <v>0</v>
      </c>
      <c r="AC1191" s="3374">
        <f t="shared" si="1688"/>
        <v>0</v>
      </c>
    </row>
    <row r="1192" spans="1:36" s="517" customFormat="1" ht="14.25" customHeight="1" collapsed="1">
      <c r="A1192" s="616">
        <v>1</v>
      </c>
      <c r="B1192" s="616">
        <v>1</v>
      </c>
      <c r="C1192" s="616" t="s">
        <v>1540</v>
      </c>
      <c r="D1192" s="709" t="s">
        <v>1308</v>
      </c>
      <c r="E1192" s="2568" t="s">
        <v>1370</v>
      </c>
      <c r="F1192" s="2569"/>
      <c r="G1192" s="242"/>
      <c r="H1192" s="22"/>
      <c r="I1192" s="9"/>
      <c r="J1192" s="516"/>
      <c r="K1192" s="516"/>
      <c r="L1192" s="516"/>
      <c r="M1192" s="516"/>
      <c r="N1192" s="516"/>
      <c r="O1192" s="516"/>
      <c r="P1192" s="516"/>
      <c r="Q1192" s="1837" t="str">
        <f>CHOOSE(2, "6722000004110", "▷ Blank 44")</f>
        <v>▷ Blank 44</v>
      </c>
      <c r="R1192" s="2636"/>
      <c r="S1192" s="516"/>
      <c r="T1192" s="516"/>
      <c r="U1192" s="516"/>
      <c r="V1192" s="516"/>
      <c r="W1192" s="516"/>
      <c r="X1192" s="516"/>
      <c r="Y1192" s="516"/>
      <c r="Z1192" s="516"/>
    </row>
    <row r="1193" spans="1:36" s="517" customFormat="1" ht="14.25" customHeight="1">
      <c r="A1193" s="616">
        <v>1</v>
      </c>
      <c r="B1193" s="616">
        <v>1</v>
      </c>
      <c r="C1193" s="616" t="s">
        <v>1540</v>
      </c>
      <c r="D1193" s="1069"/>
      <c r="E1193" s="2568" t="s">
        <v>1370</v>
      </c>
      <c r="F1193" s="242" t="s">
        <v>1590</v>
      </c>
      <c r="G1193" s="242"/>
      <c r="H1193" s="22"/>
      <c r="I1193" s="9"/>
      <c r="J1193" s="516"/>
      <c r="K1193" s="516"/>
      <c r="L1193" s="516"/>
      <c r="M1193" s="516"/>
      <c r="N1193" s="516"/>
      <c r="O1193" s="516"/>
      <c r="P1193" s="516"/>
      <c r="Q1193" s="1837" t="str">
        <f>CHOOSE(2, "6722000004111", "7. CX2")</f>
        <v>7. CX2</v>
      </c>
      <c r="R1193" s="2636"/>
      <c r="S1193" s="516"/>
      <c r="T1193" s="516"/>
      <c r="U1193" s="516"/>
      <c r="V1193" s="516"/>
      <c r="W1193" s="516"/>
      <c r="X1193" s="516"/>
      <c r="Y1193" s="516"/>
      <c r="Z1193" s="516"/>
    </row>
    <row r="1194" spans="1:36" s="517" customFormat="1" ht="14.25" customHeight="1">
      <c r="A1194" s="616">
        <v>1</v>
      </c>
      <c r="B1194" s="616">
        <v>1</v>
      </c>
      <c r="C1194" s="616" t="s">
        <v>1540</v>
      </c>
      <c r="D1194" s="1069"/>
      <c r="E1194" s="2568" t="s">
        <v>1370</v>
      </c>
      <c r="F1194" s="2569"/>
      <c r="G1194" s="22"/>
      <c r="H1194" s="22"/>
      <c r="I1194" s="831" t="s">
        <v>1591</v>
      </c>
      <c r="J1194" s="181"/>
      <c r="K1194" s="180"/>
      <c r="L1194" s="180"/>
      <c r="M1194" s="180"/>
      <c r="N1194" s="179"/>
      <c r="O1194" s="179"/>
      <c r="P1194" s="179"/>
      <c r="Q1194" s="1837" t="str">
        <f>CHOOSE(2, "6722000004112", "BUS ONLY")</f>
        <v>BUS ONLY</v>
      </c>
      <c r="R1194" s="2636"/>
      <c r="S1194" s="516"/>
      <c r="T1194" s="516"/>
      <c r="U1194" s="516"/>
      <c r="V1194" s="516"/>
      <c r="W1194" s="516"/>
      <c r="X1194" s="516"/>
      <c r="Y1194" s="516"/>
      <c r="Z1194" s="516"/>
      <c r="AC1194" s="834"/>
      <c r="AD1194" s="834"/>
    </row>
    <row r="1195" spans="1:36" s="517" customFormat="1" ht="14.25" customHeight="1">
      <c r="A1195" s="616">
        <v>1</v>
      </c>
      <c r="B1195" s="616">
        <v>1</v>
      </c>
      <c r="C1195" s="616" t="s">
        <v>1540</v>
      </c>
      <c r="D1195" s="1069"/>
      <c r="E1195" s="2568" t="s">
        <v>1370</v>
      </c>
      <c r="F1195" s="2569"/>
      <c r="I1195" s="2366"/>
      <c r="J1195" s="2367"/>
      <c r="K1195" s="2367"/>
      <c r="L1195" s="2367"/>
      <c r="M1195" s="2367"/>
      <c r="N1195" s="2368"/>
      <c r="O1195" s="2368"/>
      <c r="P1195" s="2368"/>
      <c r="Q1195" s="1838" t="str">
        <f>CHOOSE(2, "6722000004113", "▷ Blank 45")</f>
        <v>▷ Blank 45</v>
      </c>
      <c r="R1195" s="1182">
        <f>R13</f>
        <v>44652</v>
      </c>
      <c r="S1195" s="2369">
        <f t="shared" ref="S1195:AC1195" si="1689">S13</f>
        <v>44682</v>
      </c>
      <c r="T1195" s="2369">
        <f t="shared" si="1689"/>
        <v>44713</v>
      </c>
      <c r="U1195" s="2369">
        <f t="shared" si="1689"/>
        <v>44743</v>
      </c>
      <c r="V1195" s="2369">
        <f t="shared" si="1689"/>
        <v>44774</v>
      </c>
      <c r="W1195" s="2369">
        <f t="shared" si="1689"/>
        <v>44805</v>
      </c>
      <c r="X1195" s="2369">
        <f t="shared" si="1689"/>
        <v>44835</v>
      </c>
      <c r="Y1195" s="2369">
        <f t="shared" si="1689"/>
        <v>44866</v>
      </c>
      <c r="Z1195" s="2369">
        <f t="shared" si="1689"/>
        <v>44896</v>
      </c>
      <c r="AA1195" s="2369">
        <f t="shared" si="1689"/>
        <v>44927</v>
      </c>
      <c r="AB1195" s="2369">
        <f t="shared" si="1689"/>
        <v>44958</v>
      </c>
      <c r="AC1195" s="2369">
        <f t="shared" si="1689"/>
        <v>44986</v>
      </c>
      <c r="AD1195" s="2637" t="s">
        <v>951</v>
      </c>
      <c r="AE1195" s="2638" t="s">
        <v>1592</v>
      </c>
      <c r="AF1195" s="2638" t="s">
        <v>1593</v>
      </c>
      <c r="AG1195" s="2638" t="s">
        <v>1594</v>
      </c>
      <c r="AH1195" s="2638" t="s">
        <v>33</v>
      </c>
      <c r="AI1195" s="2638" t="s">
        <v>32</v>
      </c>
      <c r="AJ1195" s="2638" t="s">
        <v>1595</v>
      </c>
    </row>
    <row r="1196" spans="1:36" s="517" customFormat="1" ht="14.25" customHeight="1">
      <c r="A1196" s="616">
        <v>1</v>
      </c>
      <c r="B1196" s="616">
        <v>1</v>
      </c>
      <c r="C1196" s="616" t="s">
        <v>1540</v>
      </c>
      <c r="D1196" s="1069"/>
      <c r="E1196" s="2568" t="s">
        <v>1370</v>
      </c>
      <c r="F1196" s="2569"/>
      <c r="I1196" s="3375" t="s">
        <v>1596</v>
      </c>
      <c r="J1196" s="833"/>
      <c r="K1196" s="833"/>
      <c r="L1196" s="833"/>
      <c r="M1196" s="833"/>
      <c r="N1196" s="2372" t="s">
        <v>1597</v>
      </c>
      <c r="O1196" s="2373"/>
      <c r="P1196" s="2373"/>
      <c r="Q1196" s="1781" t="str">
        <f>CHOOSE(2, "6722000004114", "New Customer * Number of Purchase Account")</f>
        <v>New Customer * Number of Purchase Account</v>
      </c>
      <c r="R1196" s="1207">
        <v>0</v>
      </c>
      <c r="S1196" s="3376">
        <v>0</v>
      </c>
      <c r="T1196" s="3376">
        <v>0</v>
      </c>
      <c r="U1196" s="3377">
        <v>0</v>
      </c>
      <c r="V1196" s="3377">
        <v>0</v>
      </c>
      <c r="W1196" s="3377">
        <v>0</v>
      </c>
      <c r="X1196" s="3377">
        <v>0</v>
      </c>
      <c r="Y1196" s="3377">
        <v>0</v>
      </c>
      <c r="Z1196" s="3377">
        <v>0</v>
      </c>
      <c r="AA1196" s="3377">
        <v>0</v>
      </c>
      <c r="AB1196" s="3377">
        <v>0</v>
      </c>
      <c r="AC1196" s="3377">
        <v>0</v>
      </c>
      <c r="AD1196" s="3378">
        <f t="shared" ref="AD1196:AD1232" si="1690">SUM($R1196:$T1196)</f>
        <v>0</v>
      </c>
      <c r="AE1196" s="3379">
        <f>SUM($U1196:$W1196)</f>
        <v>0</v>
      </c>
      <c r="AF1196" s="3379">
        <f>SUM($X1196:$Z1196)</f>
        <v>0</v>
      </c>
      <c r="AG1196" s="3379">
        <f>SUM($AA1196:$AC1196)</f>
        <v>0</v>
      </c>
      <c r="AH1196" s="3379">
        <f>SUM($AD1196:$AE1196)</f>
        <v>0</v>
      </c>
      <c r="AI1196" s="3379">
        <f>SUM($AF1196:$AG1196)</f>
        <v>0</v>
      </c>
      <c r="AJ1196" s="3380">
        <f>SUM($AH1196:$AI1196)</f>
        <v>0</v>
      </c>
    </row>
    <row r="1197" spans="1:36" s="517" customFormat="1" ht="14.25" customHeight="1">
      <c r="A1197" s="616">
        <v>1</v>
      </c>
      <c r="B1197" s="616">
        <v>1</v>
      </c>
      <c r="C1197" s="616" t="s">
        <v>1540</v>
      </c>
      <c r="D1197" s="1069"/>
      <c r="E1197" s="2568" t="s">
        <v>1370</v>
      </c>
      <c r="F1197" s="2569"/>
      <c r="I1197" s="840"/>
      <c r="N1197" s="3375" t="s">
        <v>1598</v>
      </c>
      <c r="O1197" s="841" t="s">
        <v>1599</v>
      </c>
      <c r="P1197" s="841" t="s">
        <v>1600</v>
      </c>
      <c r="Q1197" s="1781" t="str">
        <f>CHOOSE(2, "6722000004115", "New Customer * Sales Office HW")</f>
        <v>New Customer * Sales Office HW</v>
      </c>
      <c r="R1197" s="3381">
        <v>0</v>
      </c>
      <c r="S1197" s="3382">
        <v>0</v>
      </c>
      <c r="T1197" s="3382">
        <v>0</v>
      </c>
      <c r="U1197" s="3382">
        <v>0</v>
      </c>
      <c r="V1197" s="3382">
        <v>0</v>
      </c>
      <c r="W1197" s="3382">
        <v>0</v>
      </c>
      <c r="X1197" s="3382">
        <v>0</v>
      </c>
      <c r="Y1197" s="3382">
        <v>0</v>
      </c>
      <c r="Z1197" s="3382">
        <v>0</v>
      </c>
      <c r="AA1197" s="3382">
        <v>0</v>
      </c>
      <c r="AB1197" s="3382">
        <v>0</v>
      </c>
      <c r="AC1197" s="3382">
        <v>0</v>
      </c>
      <c r="AD1197" s="858">
        <f t="shared" si="1690"/>
        <v>0</v>
      </c>
      <c r="AE1197" s="796">
        <f t="shared" ref="AE1197:AE1202" si="1691">SUM($U1197:$W1197)</f>
        <v>0</v>
      </c>
      <c r="AF1197" s="796">
        <f t="shared" ref="AF1197:AF1202" si="1692">SUM($X1197:$Z1197)</f>
        <v>0</v>
      </c>
      <c r="AG1197" s="796">
        <f t="shared" ref="AG1197:AG1202" si="1693">SUM($AA1197:$AC1197)</f>
        <v>0</v>
      </c>
      <c r="AH1197" s="796">
        <f t="shared" ref="AH1197:AH1202" si="1694">SUM($AD1197:$AE1197)</f>
        <v>0</v>
      </c>
      <c r="AI1197" s="796">
        <f t="shared" ref="AI1197:AI1202" si="1695">SUM($AF1197:$AG1197)</f>
        <v>0</v>
      </c>
      <c r="AJ1197" s="800">
        <f t="shared" ref="AJ1197:AJ1202" si="1696">SUM($AH1197:$AI1197)</f>
        <v>0</v>
      </c>
    </row>
    <row r="1198" spans="1:36" s="517" customFormat="1" ht="14.25" customHeight="1">
      <c r="A1198" s="616">
        <v>1</v>
      </c>
      <c r="B1198" s="616">
        <v>1</v>
      </c>
      <c r="C1198" s="616" t="s">
        <v>1540</v>
      </c>
      <c r="D1198" s="1069"/>
      <c r="E1198" s="2568" t="s">
        <v>1370</v>
      </c>
      <c r="F1198" s="2569"/>
      <c r="I1198" s="936" t="s">
        <v>1601</v>
      </c>
      <c r="N1198" s="840"/>
      <c r="O1198" s="842"/>
      <c r="P1198" s="842" t="s">
        <v>1602</v>
      </c>
      <c r="Q1198" s="1781" t="str">
        <f>CHOOSE(2, "6722000004116", "New Customer * Sales Office NH")</f>
        <v>New Customer * Sales Office NH</v>
      </c>
      <c r="R1198" s="3381">
        <v>0</v>
      </c>
      <c r="S1198" s="3382">
        <v>0</v>
      </c>
      <c r="T1198" s="3382">
        <v>0</v>
      </c>
      <c r="U1198" s="3382">
        <v>0</v>
      </c>
      <c r="V1198" s="3382">
        <v>0</v>
      </c>
      <c r="W1198" s="3382">
        <v>0</v>
      </c>
      <c r="X1198" s="3382">
        <v>0</v>
      </c>
      <c r="Y1198" s="3382">
        <v>0</v>
      </c>
      <c r="Z1198" s="3382">
        <v>0</v>
      </c>
      <c r="AA1198" s="3382">
        <v>0</v>
      </c>
      <c r="AB1198" s="3382">
        <v>0</v>
      </c>
      <c r="AC1198" s="3382">
        <v>0</v>
      </c>
      <c r="AD1198" s="858">
        <f t="shared" si="1690"/>
        <v>0</v>
      </c>
      <c r="AE1198" s="796">
        <f>SUM($U1198:$W1198)</f>
        <v>0</v>
      </c>
      <c r="AF1198" s="796">
        <f>SUM($X1198:$Z1198)</f>
        <v>0</v>
      </c>
      <c r="AG1198" s="796">
        <f>SUM($AA1198:$AC1198)</f>
        <v>0</v>
      </c>
      <c r="AH1198" s="796">
        <f>SUM($AD1198:$AE1198)</f>
        <v>0</v>
      </c>
      <c r="AI1198" s="796">
        <f>SUM($AF1198:$AG1198)</f>
        <v>0</v>
      </c>
      <c r="AJ1198" s="800">
        <f>SUM($AH1198:$AI1198)</f>
        <v>0</v>
      </c>
    </row>
    <row r="1199" spans="1:36" s="517" customFormat="1" ht="14.25" customHeight="1">
      <c r="A1199" s="616">
        <v>1</v>
      </c>
      <c r="B1199" s="616">
        <v>1</v>
      </c>
      <c r="C1199" s="616" t="s">
        <v>1540</v>
      </c>
      <c r="D1199" s="1069"/>
      <c r="E1199" s="2639" t="s">
        <v>1369</v>
      </c>
      <c r="F1199" s="2640"/>
      <c r="I1199" s="936" t="s">
        <v>1603</v>
      </c>
      <c r="N1199" s="840"/>
      <c r="O1199" s="843"/>
      <c r="P1199" s="843" t="s">
        <v>1604</v>
      </c>
      <c r="Q1199" s="1781" t="str">
        <f>CHOOSE(2, "6722000004117", "New Customer * Sales Office Office Solution")</f>
        <v>New Customer * Sales Office Office Solution</v>
      </c>
      <c r="R1199" s="3383">
        <v>0</v>
      </c>
      <c r="S1199" s="3384">
        <v>0</v>
      </c>
      <c r="T1199" s="3384">
        <v>0</v>
      </c>
      <c r="U1199" s="3384">
        <v>0</v>
      </c>
      <c r="V1199" s="3384">
        <v>0</v>
      </c>
      <c r="W1199" s="3384">
        <v>0</v>
      </c>
      <c r="X1199" s="3384">
        <v>0</v>
      </c>
      <c r="Y1199" s="3384">
        <v>0</v>
      </c>
      <c r="Z1199" s="3384">
        <v>0</v>
      </c>
      <c r="AA1199" s="3384">
        <v>0</v>
      </c>
      <c r="AB1199" s="3384">
        <v>0</v>
      </c>
      <c r="AC1199" s="3384">
        <v>0</v>
      </c>
      <c r="AD1199" s="859">
        <f t="shared" si="1690"/>
        <v>0</v>
      </c>
      <c r="AE1199" s="797">
        <f t="shared" ref="AE1199:AE1201" si="1697">SUM($U1199:$W1199)</f>
        <v>0</v>
      </c>
      <c r="AF1199" s="797">
        <f t="shared" ref="AF1199:AF1201" si="1698">SUM($X1199:$Z1199)</f>
        <v>0</v>
      </c>
      <c r="AG1199" s="797">
        <f t="shared" ref="AG1199:AG1201" si="1699">SUM($AA1199:$AC1199)</f>
        <v>0</v>
      </c>
      <c r="AH1199" s="797">
        <f t="shared" ref="AH1199:AH1201" si="1700">SUM($AD1199:$AE1199)</f>
        <v>0</v>
      </c>
      <c r="AI1199" s="797">
        <f t="shared" ref="AI1199:AI1201" si="1701">SUM($AF1199:$AG1199)</f>
        <v>0</v>
      </c>
      <c r="AJ1199" s="801">
        <f t="shared" ref="AJ1199:AJ1201" si="1702">SUM($AH1199:$AI1199)</f>
        <v>0</v>
      </c>
    </row>
    <row r="1200" spans="1:36" s="517" customFormat="1" ht="14.25" customHeight="1">
      <c r="A1200" s="616">
        <v>1</v>
      </c>
      <c r="B1200" s="616">
        <v>1</v>
      </c>
      <c r="C1200" s="616" t="s">
        <v>1540</v>
      </c>
      <c r="D1200" s="1069"/>
      <c r="E1200" s="2568" t="s">
        <v>1370</v>
      </c>
      <c r="F1200" s="2569"/>
      <c r="I1200" s="936" t="s">
        <v>1605</v>
      </c>
      <c r="N1200" s="840"/>
      <c r="O1200" s="843" t="s">
        <v>1606</v>
      </c>
      <c r="P1200" s="843"/>
      <c r="Q1200" s="1781" t="str">
        <f>CHOOSE(2, "6722000004118", "New Customer * Sales DW-DX")</f>
        <v>New Customer * Sales DW-DX</v>
      </c>
      <c r="R1200" s="3383">
        <v>0</v>
      </c>
      <c r="S1200" s="3384">
        <v>0</v>
      </c>
      <c r="T1200" s="3384">
        <v>0</v>
      </c>
      <c r="U1200" s="3384">
        <v>0</v>
      </c>
      <c r="V1200" s="3384">
        <v>0</v>
      </c>
      <c r="W1200" s="3384">
        <v>0</v>
      </c>
      <c r="X1200" s="3384">
        <v>0</v>
      </c>
      <c r="Y1200" s="3384">
        <v>0</v>
      </c>
      <c r="Z1200" s="3384">
        <v>0</v>
      </c>
      <c r="AA1200" s="3384">
        <v>0</v>
      </c>
      <c r="AB1200" s="3384">
        <v>0</v>
      </c>
      <c r="AC1200" s="3384">
        <v>0</v>
      </c>
      <c r="AD1200" s="859">
        <f t="shared" si="1690"/>
        <v>0</v>
      </c>
      <c r="AE1200" s="797">
        <f t="shared" si="1697"/>
        <v>0</v>
      </c>
      <c r="AF1200" s="797">
        <f t="shared" si="1698"/>
        <v>0</v>
      </c>
      <c r="AG1200" s="797">
        <f t="shared" si="1699"/>
        <v>0</v>
      </c>
      <c r="AH1200" s="797">
        <f t="shared" si="1700"/>
        <v>0</v>
      </c>
      <c r="AI1200" s="797">
        <f t="shared" si="1701"/>
        <v>0</v>
      </c>
      <c r="AJ1200" s="801">
        <f t="shared" si="1702"/>
        <v>0</v>
      </c>
    </row>
    <row r="1201" spans="1:36" s="517" customFormat="1" ht="14.25" customHeight="1">
      <c r="A1201" s="616">
        <v>1</v>
      </c>
      <c r="B1201" s="616">
        <v>1</v>
      </c>
      <c r="C1201" s="616" t="s">
        <v>1540</v>
      </c>
      <c r="D1201" s="1069"/>
      <c r="E1201" s="2568" t="s">
        <v>1370</v>
      </c>
      <c r="F1201" s="2569"/>
      <c r="I1201" s="936"/>
      <c r="N1201" s="844"/>
      <c r="O1201" s="845" t="s">
        <v>1607</v>
      </c>
      <c r="P1201" s="845"/>
      <c r="Q1201" s="1823" t="str">
        <f>CHOOSE(2, "6722000004119", "New Customer * Sales Total")</f>
        <v>New Customer * Sales Total</v>
      </c>
      <c r="R1201" s="1172">
        <f>SUM(R1197:R1200)</f>
        <v>0</v>
      </c>
      <c r="S1201" s="798">
        <f t="shared" ref="S1201:AC1201" si="1703">SUM(S1197:S1200)</f>
        <v>0</v>
      </c>
      <c r="T1201" s="798">
        <f t="shared" si="1703"/>
        <v>0</v>
      </c>
      <c r="U1201" s="798">
        <f t="shared" si="1703"/>
        <v>0</v>
      </c>
      <c r="V1201" s="798">
        <f t="shared" si="1703"/>
        <v>0</v>
      </c>
      <c r="W1201" s="798">
        <f t="shared" si="1703"/>
        <v>0</v>
      </c>
      <c r="X1201" s="798">
        <f t="shared" si="1703"/>
        <v>0</v>
      </c>
      <c r="Y1201" s="798">
        <f t="shared" si="1703"/>
        <v>0</v>
      </c>
      <c r="Z1201" s="798">
        <f t="shared" si="1703"/>
        <v>0</v>
      </c>
      <c r="AA1201" s="798">
        <f t="shared" si="1703"/>
        <v>0</v>
      </c>
      <c r="AB1201" s="798">
        <f t="shared" si="1703"/>
        <v>0</v>
      </c>
      <c r="AC1201" s="798">
        <f t="shared" si="1703"/>
        <v>0</v>
      </c>
      <c r="AD1201" s="860">
        <f t="shared" si="1690"/>
        <v>0</v>
      </c>
      <c r="AE1201" s="799">
        <f t="shared" si="1697"/>
        <v>0</v>
      </c>
      <c r="AF1201" s="799">
        <f t="shared" si="1698"/>
        <v>0</v>
      </c>
      <c r="AG1201" s="799">
        <f t="shared" si="1699"/>
        <v>0</v>
      </c>
      <c r="AH1201" s="799">
        <f t="shared" si="1700"/>
        <v>0</v>
      </c>
      <c r="AI1201" s="799">
        <f t="shared" si="1701"/>
        <v>0</v>
      </c>
      <c r="AJ1201" s="798">
        <f t="shared" si="1702"/>
        <v>0</v>
      </c>
    </row>
    <row r="1202" spans="1:36" s="517" customFormat="1" ht="14.25" customHeight="1">
      <c r="A1202" s="616">
        <v>1</v>
      </c>
      <c r="B1202" s="616">
        <v>1</v>
      </c>
      <c r="C1202" s="616" t="s">
        <v>1540</v>
      </c>
      <c r="D1202" s="1069"/>
      <c r="E1202" s="2568" t="s">
        <v>1370</v>
      </c>
      <c r="F1202" s="2569"/>
      <c r="I1202" s="840"/>
      <c r="N1202" s="840" t="s">
        <v>1608</v>
      </c>
      <c r="O1202" s="842" t="s">
        <v>1599</v>
      </c>
      <c r="P1202" s="842" t="s">
        <v>1600</v>
      </c>
      <c r="Q1202" s="1781" t="str">
        <f>CHOOSE(2, "6722000004120", "New Customer * GP Office HW")</f>
        <v>New Customer * GP Office HW</v>
      </c>
      <c r="R1202" s="3381">
        <v>0</v>
      </c>
      <c r="S1202" s="3382">
        <v>0</v>
      </c>
      <c r="T1202" s="3382">
        <v>0</v>
      </c>
      <c r="U1202" s="3382">
        <v>0</v>
      </c>
      <c r="V1202" s="3382">
        <v>0</v>
      </c>
      <c r="W1202" s="3382">
        <v>0</v>
      </c>
      <c r="X1202" s="3382">
        <v>0</v>
      </c>
      <c r="Y1202" s="3382">
        <v>0</v>
      </c>
      <c r="Z1202" s="3382">
        <v>0</v>
      </c>
      <c r="AA1202" s="3382">
        <v>0</v>
      </c>
      <c r="AB1202" s="3382">
        <v>0</v>
      </c>
      <c r="AC1202" s="3382">
        <v>0</v>
      </c>
      <c r="AD1202" s="858">
        <f t="shared" si="1690"/>
        <v>0</v>
      </c>
      <c r="AE1202" s="796">
        <f t="shared" si="1691"/>
        <v>0</v>
      </c>
      <c r="AF1202" s="796">
        <f t="shared" si="1692"/>
        <v>0</v>
      </c>
      <c r="AG1202" s="796">
        <f t="shared" si="1693"/>
        <v>0</v>
      </c>
      <c r="AH1202" s="796">
        <f t="shared" si="1694"/>
        <v>0</v>
      </c>
      <c r="AI1202" s="796">
        <f t="shared" si="1695"/>
        <v>0</v>
      </c>
      <c r="AJ1202" s="800">
        <f t="shared" si="1696"/>
        <v>0</v>
      </c>
    </row>
    <row r="1203" spans="1:36" s="517" customFormat="1" ht="14.25" customHeight="1">
      <c r="A1203" s="616">
        <v>1</v>
      </c>
      <c r="B1203" s="616">
        <v>1</v>
      </c>
      <c r="C1203" s="616" t="s">
        <v>1540</v>
      </c>
      <c r="D1203" s="1069"/>
      <c r="E1203" s="2568" t="s">
        <v>1370</v>
      </c>
      <c r="F1203" s="2569"/>
      <c r="I1203" s="840"/>
      <c r="N1203" s="840"/>
      <c r="O1203" s="842"/>
      <c r="P1203" s="842" t="s">
        <v>1602</v>
      </c>
      <c r="Q1203" s="1781" t="str">
        <f>CHOOSE(2, "6722000004121", "New Customer * GP Office NH")</f>
        <v>New Customer * GP Office NH</v>
      </c>
      <c r="R1203" s="3381">
        <v>0</v>
      </c>
      <c r="S1203" s="3382">
        <v>0</v>
      </c>
      <c r="T1203" s="3382">
        <v>0</v>
      </c>
      <c r="U1203" s="3382">
        <v>0</v>
      </c>
      <c r="V1203" s="3382">
        <v>0</v>
      </c>
      <c r="W1203" s="3382">
        <v>0</v>
      </c>
      <c r="X1203" s="3382">
        <v>0</v>
      </c>
      <c r="Y1203" s="3382">
        <v>0</v>
      </c>
      <c r="Z1203" s="3382">
        <v>0</v>
      </c>
      <c r="AA1203" s="3382">
        <v>0</v>
      </c>
      <c r="AB1203" s="3382">
        <v>0</v>
      </c>
      <c r="AC1203" s="3382">
        <v>0</v>
      </c>
      <c r="AD1203" s="858">
        <f t="shared" si="1690"/>
        <v>0</v>
      </c>
      <c r="AE1203" s="796">
        <f>SUM($U1203:$W1203)</f>
        <v>0</v>
      </c>
      <c r="AF1203" s="796">
        <f>SUM($X1203:$Z1203)</f>
        <v>0</v>
      </c>
      <c r="AG1203" s="796">
        <f>SUM($AA1203:$AC1203)</f>
        <v>0</v>
      </c>
      <c r="AH1203" s="796">
        <f>SUM($AD1203:$AE1203)</f>
        <v>0</v>
      </c>
      <c r="AI1203" s="796">
        <f>SUM($AF1203:$AG1203)</f>
        <v>0</v>
      </c>
      <c r="AJ1203" s="800">
        <f>SUM($AH1203:$AI1203)</f>
        <v>0</v>
      </c>
    </row>
    <row r="1204" spans="1:36" s="517" customFormat="1" ht="14.25" customHeight="1">
      <c r="A1204" s="616">
        <v>1</v>
      </c>
      <c r="B1204" s="616">
        <v>1</v>
      </c>
      <c r="C1204" s="616" t="s">
        <v>1540</v>
      </c>
      <c r="D1204" s="1069"/>
      <c r="E1204" s="2639" t="s">
        <v>1369</v>
      </c>
      <c r="F1204" s="2640"/>
      <c r="I1204" s="936"/>
      <c r="N1204" s="840"/>
      <c r="O1204" s="843"/>
      <c r="P1204" s="843" t="s">
        <v>1604</v>
      </c>
      <c r="Q1204" s="1781" t="str">
        <f>CHOOSE(2, "6722000004122", "New Customer * GP Office Office Solution")</f>
        <v>New Customer * GP Office Office Solution</v>
      </c>
      <c r="R1204" s="3383">
        <v>0</v>
      </c>
      <c r="S1204" s="3384">
        <v>0</v>
      </c>
      <c r="T1204" s="3384">
        <v>0</v>
      </c>
      <c r="U1204" s="3384">
        <v>0</v>
      </c>
      <c r="V1204" s="3384">
        <v>0</v>
      </c>
      <c r="W1204" s="3384">
        <v>0</v>
      </c>
      <c r="X1204" s="3384">
        <v>0</v>
      </c>
      <c r="Y1204" s="3384">
        <v>0</v>
      </c>
      <c r="Z1204" s="3384">
        <v>0</v>
      </c>
      <c r="AA1204" s="3384">
        <v>0</v>
      </c>
      <c r="AB1204" s="3384">
        <v>0</v>
      </c>
      <c r="AC1204" s="3384">
        <v>0</v>
      </c>
      <c r="AD1204" s="859">
        <f t="shared" si="1690"/>
        <v>0</v>
      </c>
      <c r="AE1204" s="797">
        <f t="shared" ref="AE1204:AE1206" si="1704">SUM($U1204:$W1204)</f>
        <v>0</v>
      </c>
      <c r="AF1204" s="797">
        <f t="shared" ref="AF1204:AF1206" si="1705">SUM($X1204:$Z1204)</f>
        <v>0</v>
      </c>
      <c r="AG1204" s="797">
        <f t="shared" ref="AG1204:AG1206" si="1706">SUM($AA1204:$AC1204)</f>
        <v>0</v>
      </c>
      <c r="AH1204" s="797">
        <f t="shared" ref="AH1204:AH1206" si="1707">SUM($AD1204:$AE1204)</f>
        <v>0</v>
      </c>
      <c r="AI1204" s="797">
        <f t="shared" ref="AI1204:AI1206" si="1708">SUM($AF1204:$AG1204)</f>
        <v>0</v>
      </c>
      <c r="AJ1204" s="801">
        <f t="shared" ref="AJ1204:AJ1206" si="1709">SUM($AH1204:$AI1204)</f>
        <v>0</v>
      </c>
    </row>
    <row r="1205" spans="1:36" s="517" customFormat="1" ht="14.25" customHeight="1">
      <c r="A1205" s="616">
        <v>1</v>
      </c>
      <c r="B1205" s="616">
        <v>1</v>
      </c>
      <c r="C1205" s="616" t="s">
        <v>1540</v>
      </c>
      <c r="D1205" s="1069"/>
      <c r="E1205" s="2568" t="s">
        <v>1370</v>
      </c>
      <c r="F1205" s="2569"/>
      <c r="I1205" s="840"/>
      <c r="N1205" s="840"/>
      <c r="O1205" s="843" t="s">
        <v>563</v>
      </c>
      <c r="P1205" s="843"/>
      <c r="Q1205" s="1781" t="str">
        <f>CHOOSE(2, "6722000004123", "New Customer * GP DW-DX")</f>
        <v>New Customer * GP DW-DX</v>
      </c>
      <c r="R1205" s="3383">
        <v>0</v>
      </c>
      <c r="S1205" s="3384">
        <v>0</v>
      </c>
      <c r="T1205" s="3384">
        <v>0</v>
      </c>
      <c r="U1205" s="3384">
        <v>0</v>
      </c>
      <c r="V1205" s="3384">
        <v>0</v>
      </c>
      <c r="W1205" s="3384">
        <v>0</v>
      </c>
      <c r="X1205" s="3384">
        <v>0</v>
      </c>
      <c r="Y1205" s="3384">
        <v>0</v>
      </c>
      <c r="Z1205" s="3384">
        <v>0</v>
      </c>
      <c r="AA1205" s="3384">
        <v>0</v>
      </c>
      <c r="AB1205" s="3384">
        <v>0</v>
      </c>
      <c r="AC1205" s="3384">
        <v>0</v>
      </c>
      <c r="AD1205" s="859">
        <f t="shared" si="1690"/>
        <v>0</v>
      </c>
      <c r="AE1205" s="797">
        <f t="shared" si="1704"/>
        <v>0</v>
      </c>
      <c r="AF1205" s="797">
        <f t="shared" si="1705"/>
        <v>0</v>
      </c>
      <c r="AG1205" s="797">
        <f t="shared" si="1706"/>
        <v>0</v>
      </c>
      <c r="AH1205" s="797">
        <f t="shared" si="1707"/>
        <v>0</v>
      </c>
      <c r="AI1205" s="797">
        <f t="shared" si="1708"/>
        <v>0</v>
      </c>
      <c r="AJ1205" s="801">
        <f t="shared" si="1709"/>
        <v>0</v>
      </c>
    </row>
    <row r="1206" spans="1:36" s="517" customFormat="1" ht="14.25" customHeight="1">
      <c r="A1206" s="616">
        <v>1</v>
      </c>
      <c r="B1206" s="616">
        <v>1</v>
      </c>
      <c r="C1206" s="616" t="s">
        <v>1540</v>
      </c>
      <c r="D1206" s="1069"/>
      <c r="E1206" s="2568" t="s">
        <v>1370</v>
      </c>
      <c r="F1206" s="2569"/>
      <c r="I1206" s="844"/>
      <c r="J1206" s="834"/>
      <c r="K1206" s="834"/>
      <c r="L1206" s="834"/>
      <c r="M1206" s="834"/>
      <c r="N1206" s="844"/>
      <c r="O1206" s="845" t="s">
        <v>1607</v>
      </c>
      <c r="P1206" s="845"/>
      <c r="Q1206" s="1823" t="str">
        <f>CHOOSE(2, "6722000004124", "New Customer * GP Total")</f>
        <v>New Customer * GP Total</v>
      </c>
      <c r="R1206" s="1172">
        <f t="shared" ref="R1206:AC1206" si="1710">SUM(R1202:R1205)</f>
        <v>0</v>
      </c>
      <c r="S1206" s="798">
        <f t="shared" si="1710"/>
        <v>0</v>
      </c>
      <c r="T1206" s="798">
        <f t="shared" si="1710"/>
        <v>0</v>
      </c>
      <c r="U1206" s="798">
        <f t="shared" si="1710"/>
        <v>0</v>
      </c>
      <c r="V1206" s="798">
        <f t="shared" si="1710"/>
        <v>0</v>
      </c>
      <c r="W1206" s="798">
        <f t="shared" si="1710"/>
        <v>0</v>
      </c>
      <c r="X1206" s="798">
        <f t="shared" si="1710"/>
        <v>0</v>
      </c>
      <c r="Y1206" s="798">
        <f t="shared" si="1710"/>
        <v>0</v>
      </c>
      <c r="Z1206" s="798">
        <f t="shared" si="1710"/>
        <v>0</v>
      </c>
      <c r="AA1206" s="798">
        <f t="shared" si="1710"/>
        <v>0</v>
      </c>
      <c r="AB1206" s="798">
        <f t="shared" si="1710"/>
        <v>0</v>
      </c>
      <c r="AC1206" s="798">
        <f t="shared" si="1710"/>
        <v>0</v>
      </c>
      <c r="AD1206" s="860">
        <f t="shared" si="1690"/>
        <v>0</v>
      </c>
      <c r="AE1206" s="799">
        <f t="shared" si="1704"/>
        <v>0</v>
      </c>
      <c r="AF1206" s="799">
        <f t="shared" si="1705"/>
        <v>0</v>
      </c>
      <c r="AG1206" s="799">
        <f t="shared" si="1706"/>
        <v>0</v>
      </c>
      <c r="AH1206" s="799">
        <f t="shared" si="1707"/>
        <v>0</v>
      </c>
      <c r="AI1206" s="799">
        <f t="shared" si="1708"/>
        <v>0</v>
      </c>
      <c r="AJ1206" s="798">
        <f t="shared" si="1709"/>
        <v>0</v>
      </c>
    </row>
    <row r="1207" spans="1:36" s="517" customFormat="1" ht="14.25" customHeight="1">
      <c r="A1207" s="616">
        <v>1</v>
      </c>
      <c r="B1207" s="616">
        <v>1</v>
      </c>
      <c r="C1207" s="616" t="s">
        <v>1540</v>
      </c>
      <c r="D1207" s="1069"/>
      <c r="E1207" s="2568" t="s">
        <v>1370</v>
      </c>
      <c r="F1207" s="2569"/>
      <c r="I1207" s="3375" t="s">
        <v>1609</v>
      </c>
      <c r="J1207" s="833"/>
      <c r="K1207" s="833"/>
      <c r="L1207" s="833"/>
      <c r="M1207" s="833"/>
      <c r="N1207" s="2372" t="s">
        <v>1597</v>
      </c>
      <c r="O1207" s="2373"/>
      <c r="P1207" s="2373"/>
      <c r="Q1207" s="1781" t="str">
        <f>CHOOSE(2, "6722000004125", "Existing Customer ** Number of Purchase Account")</f>
        <v>Existing Customer ** Number of Purchase Account</v>
      </c>
      <c r="R1207" s="1207">
        <v>0</v>
      </c>
      <c r="S1207" s="3376">
        <v>0</v>
      </c>
      <c r="T1207" s="3376">
        <v>0</v>
      </c>
      <c r="U1207" s="3377">
        <v>0</v>
      </c>
      <c r="V1207" s="3377">
        <v>0</v>
      </c>
      <c r="W1207" s="3377">
        <v>0</v>
      </c>
      <c r="X1207" s="3377">
        <v>0</v>
      </c>
      <c r="Y1207" s="3377">
        <v>0</v>
      </c>
      <c r="Z1207" s="3377">
        <v>0</v>
      </c>
      <c r="AA1207" s="3377">
        <v>0</v>
      </c>
      <c r="AB1207" s="3377">
        <v>0</v>
      </c>
      <c r="AC1207" s="3377">
        <v>0</v>
      </c>
      <c r="AD1207" s="3378">
        <f t="shared" si="1690"/>
        <v>0</v>
      </c>
      <c r="AE1207" s="3379">
        <f>SUM($U1207:$W1207)</f>
        <v>0</v>
      </c>
      <c r="AF1207" s="3379">
        <f>SUM($X1207:$Z1207)</f>
        <v>0</v>
      </c>
      <c r="AG1207" s="3379">
        <f>SUM($AA1207:$AC1207)</f>
        <v>0</v>
      </c>
      <c r="AH1207" s="3379">
        <f>SUM($AD1207:$AE1207)</f>
        <v>0</v>
      </c>
      <c r="AI1207" s="3379">
        <f>SUM($AF1207:$AG1207)</f>
        <v>0</v>
      </c>
      <c r="AJ1207" s="3380">
        <f>SUM($AH1207:$AI1207)</f>
        <v>0</v>
      </c>
    </row>
    <row r="1208" spans="1:36" s="517" customFormat="1" ht="14.25" customHeight="1">
      <c r="A1208" s="616">
        <v>1</v>
      </c>
      <c r="B1208" s="616">
        <v>1</v>
      </c>
      <c r="C1208" s="616" t="s">
        <v>1540</v>
      </c>
      <c r="D1208" s="1069"/>
      <c r="E1208" s="2568" t="s">
        <v>1370</v>
      </c>
      <c r="F1208" s="2569"/>
      <c r="I1208" s="840"/>
      <c r="N1208" s="3375" t="s">
        <v>1598</v>
      </c>
      <c r="O1208" s="841" t="s">
        <v>1599</v>
      </c>
      <c r="P1208" s="841" t="s">
        <v>1600</v>
      </c>
      <c r="Q1208" s="1781" t="str">
        <f>CHOOSE(2, "6722000004126", "Existing Customer ** Sales Office HW")</f>
        <v>Existing Customer ** Sales Office HW</v>
      </c>
      <c r="R1208" s="3381">
        <v>0</v>
      </c>
      <c r="S1208" s="3382">
        <v>0</v>
      </c>
      <c r="T1208" s="3382">
        <v>0</v>
      </c>
      <c r="U1208" s="3382">
        <v>0</v>
      </c>
      <c r="V1208" s="3382">
        <v>0</v>
      </c>
      <c r="W1208" s="3382">
        <v>0</v>
      </c>
      <c r="X1208" s="3382">
        <v>0</v>
      </c>
      <c r="Y1208" s="3382">
        <v>0</v>
      </c>
      <c r="Z1208" s="3382">
        <v>0</v>
      </c>
      <c r="AA1208" s="3382">
        <v>0</v>
      </c>
      <c r="AB1208" s="3382">
        <v>0</v>
      </c>
      <c r="AC1208" s="3382">
        <v>0</v>
      </c>
      <c r="AD1208" s="858">
        <f t="shared" si="1690"/>
        <v>0</v>
      </c>
      <c r="AE1208" s="796">
        <f t="shared" ref="AE1208" si="1711">SUM($U1208:$W1208)</f>
        <v>0</v>
      </c>
      <c r="AF1208" s="796">
        <f t="shared" ref="AF1208" si="1712">SUM($X1208:$Z1208)</f>
        <v>0</v>
      </c>
      <c r="AG1208" s="796">
        <f t="shared" ref="AG1208" si="1713">SUM($AA1208:$AC1208)</f>
        <v>0</v>
      </c>
      <c r="AH1208" s="796">
        <f t="shared" ref="AH1208" si="1714">SUM($AD1208:$AE1208)</f>
        <v>0</v>
      </c>
      <c r="AI1208" s="796">
        <f t="shared" ref="AI1208" si="1715">SUM($AF1208:$AG1208)</f>
        <v>0</v>
      </c>
      <c r="AJ1208" s="800">
        <f t="shared" ref="AJ1208" si="1716">SUM($AH1208:$AI1208)</f>
        <v>0</v>
      </c>
    </row>
    <row r="1209" spans="1:36" s="517" customFormat="1" ht="14.25" customHeight="1">
      <c r="A1209" s="616">
        <v>1</v>
      </c>
      <c r="B1209" s="616">
        <v>1</v>
      </c>
      <c r="C1209" s="616" t="s">
        <v>1540</v>
      </c>
      <c r="D1209" s="1069"/>
      <c r="E1209" s="2568" t="s">
        <v>1370</v>
      </c>
      <c r="F1209" s="2569"/>
      <c r="I1209" s="936" t="s">
        <v>682</v>
      </c>
      <c r="N1209" s="840"/>
      <c r="O1209" s="842"/>
      <c r="P1209" s="842" t="s">
        <v>1602</v>
      </c>
      <c r="Q1209" s="1781" t="str">
        <f>CHOOSE(2, "6722000004127", "Existing Customer ** Sales Office NH")</f>
        <v>Existing Customer ** Sales Office NH</v>
      </c>
      <c r="R1209" s="3381">
        <v>0</v>
      </c>
      <c r="S1209" s="3382">
        <v>0</v>
      </c>
      <c r="T1209" s="3382">
        <v>0</v>
      </c>
      <c r="U1209" s="3382">
        <v>0</v>
      </c>
      <c r="V1209" s="3382">
        <v>0</v>
      </c>
      <c r="W1209" s="3382">
        <v>0</v>
      </c>
      <c r="X1209" s="3382">
        <v>0</v>
      </c>
      <c r="Y1209" s="3382">
        <v>0</v>
      </c>
      <c r="Z1209" s="3382">
        <v>0</v>
      </c>
      <c r="AA1209" s="3382">
        <v>0</v>
      </c>
      <c r="AB1209" s="3382">
        <v>0</v>
      </c>
      <c r="AC1209" s="3382">
        <v>0</v>
      </c>
      <c r="AD1209" s="858">
        <f t="shared" si="1690"/>
        <v>0</v>
      </c>
      <c r="AE1209" s="796">
        <f>SUM($U1209:$W1209)</f>
        <v>0</v>
      </c>
      <c r="AF1209" s="796">
        <f>SUM($X1209:$Z1209)</f>
        <v>0</v>
      </c>
      <c r="AG1209" s="796">
        <f>SUM($AA1209:$AC1209)</f>
        <v>0</v>
      </c>
      <c r="AH1209" s="796">
        <f>SUM($AD1209:$AE1209)</f>
        <v>0</v>
      </c>
      <c r="AI1209" s="796">
        <f>SUM($AF1209:$AG1209)</f>
        <v>0</v>
      </c>
      <c r="AJ1209" s="800">
        <f>SUM($AH1209:$AI1209)</f>
        <v>0</v>
      </c>
    </row>
    <row r="1210" spans="1:36" s="517" customFormat="1" ht="14.25" customHeight="1">
      <c r="A1210" s="616">
        <v>1</v>
      </c>
      <c r="B1210" s="616">
        <v>1</v>
      </c>
      <c r="C1210" s="616" t="s">
        <v>1540</v>
      </c>
      <c r="D1210" s="1069"/>
      <c r="E1210" s="2639" t="s">
        <v>1369</v>
      </c>
      <c r="F1210" s="2640"/>
      <c r="I1210" s="936" t="s">
        <v>1610</v>
      </c>
      <c r="N1210" s="840"/>
      <c r="O1210" s="843"/>
      <c r="P1210" s="843" t="s">
        <v>1604</v>
      </c>
      <c r="Q1210" s="1781" t="str">
        <f>CHOOSE(2, "6722000004128", "Existing Customer ** Sales Office Office Solution")</f>
        <v>Existing Customer ** Sales Office Office Solution</v>
      </c>
      <c r="R1210" s="3383">
        <v>0</v>
      </c>
      <c r="S1210" s="3384">
        <v>0</v>
      </c>
      <c r="T1210" s="3384">
        <v>0</v>
      </c>
      <c r="U1210" s="3384">
        <v>0</v>
      </c>
      <c r="V1210" s="3384">
        <v>0</v>
      </c>
      <c r="W1210" s="3384">
        <v>0</v>
      </c>
      <c r="X1210" s="3384">
        <v>0</v>
      </c>
      <c r="Y1210" s="3384">
        <v>0</v>
      </c>
      <c r="Z1210" s="3384">
        <v>0</v>
      </c>
      <c r="AA1210" s="3384">
        <v>0</v>
      </c>
      <c r="AB1210" s="3384">
        <v>0</v>
      </c>
      <c r="AC1210" s="3384">
        <v>0</v>
      </c>
      <c r="AD1210" s="859">
        <f t="shared" si="1690"/>
        <v>0</v>
      </c>
      <c r="AE1210" s="797">
        <f t="shared" ref="AE1210:AE1213" si="1717">SUM($U1210:$W1210)</f>
        <v>0</v>
      </c>
      <c r="AF1210" s="797">
        <f t="shared" ref="AF1210:AF1213" si="1718">SUM($X1210:$Z1210)</f>
        <v>0</v>
      </c>
      <c r="AG1210" s="797">
        <f t="shared" ref="AG1210:AG1213" si="1719">SUM($AA1210:$AC1210)</f>
        <v>0</v>
      </c>
      <c r="AH1210" s="797">
        <f t="shared" ref="AH1210:AH1213" si="1720">SUM($AD1210:$AE1210)</f>
        <v>0</v>
      </c>
      <c r="AI1210" s="797">
        <f t="shared" ref="AI1210:AI1213" si="1721">SUM($AF1210:$AG1210)</f>
        <v>0</v>
      </c>
      <c r="AJ1210" s="801">
        <f t="shared" ref="AJ1210:AJ1213" si="1722">SUM($AH1210:$AI1210)</f>
        <v>0</v>
      </c>
    </row>
    <row r="1211" spans="1:36" s="517" customFormat="1" ht="14.25" customHeight="1">
      <c r="A1211" s="616">
        <v>1</v>
      </c>
      <c r="B1211" s="616">
        <v>1</v>
      </c>
      <c r="C1211" s="616" t="s">
        <v>1540</v>
      </c>
      <c r="D1211" s="1069"/>
      <c r="E1211" s="2568" t="s">
        <v>1370</v>
      </c>
      <c r="F1211" s="2569"/>
      <c r="I1211" s="936" t="s">
        <v>1611</v>
      </c>
      <c r="N1211" s="840"/>
      <c r="O1211" s="843" t="s">
        <v>1606</v>
      </c>
      <c r="P1211" s="843"/>
      <c r="Q1211" s="1781" t="str">
        <f>CHOOSE(2, "6722000004129", "Existing Customer ** Sales DW-DX")</f>
        <v>Existing Customer ** Sales DW-DX</v>
      </c>
      <c r="R1211" s="3383">
        <v>0</v>
      </c>
      <c r="S1211" s="3384">
        <v>0</v>
      </c>
      <c r="T1211" s="3384">
        <v>0</v>
      </c>
      <c r="U1211" s="3384">
        <v>0</v>
      </c>
      <c r="V1211" s="3384">
        <v>0</v>
      </c>
      <c r="W1211" s="3384">
        <v>0</v>
      </c>
      <c r="X1211" s="3384">
        <v>0</v>
      </c>
      <c r="Y1211" s="3384">
        <v>0</v>
      </c>
      <c r="Z1211" s="3384">
        <v>0</v>
      </c>
      <c r="AA1211" s="3384">
        <v>0</v>
      </c>
      <c r="AB1211" s="3384">
        <v>0</v>
      </c>
      <c r="AC1211" s="3384">
        <v>0</v>
      </c>
      <c r="AD1211" s="859">
        <f t="shared" si="1690"/>
        <v>0</v>
      </c>
      <c r="AE1211" s="797">
        <f t="shared" si="1717"/>
        <v>0</v>
      </c>
      <c r="AF1211" s="797">
        <f t="shared" si="1718"/>
        <v>0</v>
      </c>
      <c r="AG1211" s="797">
        <f t="shared" si="1719"/>
        <v>0</v>
      </c>
      <c r="AH1211" s="797">
        <f t="shared" si="1720"/>
        <v>0</v>
      </c>
      <c r="AI1211" s="797">
        <f t="shared" si="1721"/>
        <v>0</v>
      </c>
      <c r="AJ1211" s="801">
        <f t="shared" si="1722"/>
        <v>0</v>
      </c>
    </row>
    <row r="1212" spans="1:36" s="517" customFormat="1" ht="14.25" customHeight="1">
      <c r="A1212" s="616">
        <v>1</v>
      </c>
      <c r="B1212" s="616">
        <v>1</v>
      </c>
      <c r="C1212" s="616" t="s">
        <v>1540</v>
      </c>
      <c r="D1212" s="1069"/>
      <c r="E1212" s="2568" t="s">
        <v>1370</v>
      </c>
      <c r="F1212" s="2569"/>
      <c r="I1212" s="936" t="s">
        <v>1612</v>
      </c>
      <c r="N1212" s="844"/>
      <c r="O1212" s="845" t="s">
        <v>1607</v>
      </c>
      <c r="P1212" s="845"/>
      <c r="Q1212" s="1823" t="str">
        <f>CHOOSE(2, "6722000004130", "Existing Customer ** Sales Total")</f>
        <v>Existing Customer ** Sales Total</v>
      </c>
      <c r="R1212" s="1172">
        <f>SUM(R1208:R1211)</f>
        <v>0</v>
      </c>
      <c r="S1212" s="798">
        <f t="shared" ref="S1212:AC1212" si="1723">SUM(S1208:S1211)</f>
        <v>0</v>
      </c>
      <c r="T1212" s="798">
        <f t="shared" si="1723"/>
        <v>0</v>
      </c>
      <c r="U1212" s="798">
        <f t="shared" si="1723"/>
        <v>0</v>
      </c>
      <c r="V1212" s="798">
        <f t="shared" si="1723"/>
        <v>0</v>
      </c>
      <c r="W1212" s="798">
        <f t="shared" si="1723"/>
        <v>0</v>
      </c>
      <c r="X1212" s="798">
        <f t="shared" si="1723"/>
        <v>0</v>
      </c>
      <c r="Y1212" s="798">
        <f t="shared" si="1723"/>
        <v>0</v>
      </c>
      <c r="Z1212" s="798">
        <f t="shared" si="1723"/>
        <v>0</v>
      </c>
      <c r="AA1212" s="798">
        <f t="shared" si="1723"/>
        <v>0</v>
      </c>
      <c r="AB1212" s="798">
        <f t="shared" si="1723"/>
        <v>0</v>
      </c>
      <c r="AC1212" s="798">
        <f t="shared" si="1723"/>
        <v>0</v>
      </c>
      <c r="AD1212" s="860">
        <f t="shared" si="1690"/>
        <v>0</v>
      </c>
      <c r="AE1212" s="799">
        <f t="shared" si="1717"/>
        <v>0</v>
      </c>
      <c r="AF1212" s="799">
        <f t="shared" si="1718"/>
        <v>0</v>
      </c>
      <c r="AG1212" s="799">
        <f t="shared" si="1719"/>
        <v>0</v>
      </c>
      <c r="AH1212" s="799">
        <f t="shared" si="1720"/>
        <v>0</v>
      </c>
      <c r="AI1212" s="799">
        <f t="shared" si="1721"/>
        <v>0</v>
      </c>
      <c r="AJ1212" s="798">
        <f t="shared" si="1722"/>
        <v>0</v>
      </c>
    </row>
    <row r="1213" spans="1:36" s="517" customFormat="1" ht="14.25" customHeight="1">
      <c r="A1213" s="616">
        <v>1</v>
      </c>
      <c r="B1213" s="616">
        <v>1</v>
      </c>
      <c r="C1213" s="616" t="s">
        <v>1540</v>
      </c>
      <c r="D1213" s="1069"/>
      <c r="E1213" s="2568" t="s">
        <v>1370</v>
      </c>
      <c r="F1213" s="2569"/>
      <c r="I1213" s="840"/>
      <c r="N1213" s="840" t="s">
        <v>1608</v>
      </c>
      <c r="O1213" s="842" t="s">
        <v>1599</v>
      </c>
      <c r="P1213" s="842" t="s">
        <v>1600</v>
      </c>
      <c r="Q1213" s="1781" t="str">
        <f>CHOOSE(2, "6722000004131", "Existing Customer ** GP Office HW")</f>
        <v>Existing Customer ** GP Office HW</v>
      </c>
      <c r="R1213" s="3381">
        <v>0</v>
      </c>
      <c r="S1213" s="3382">
        <v>0</v>
      </c>
      <c r="T1213" s="3382">
        <v>0</v>
      </c>
      <c r="U1213" s="3382">
        <v>0</v>
      </c>
      <c r="V1213" s="3382">
        <v>0</v>
      </c>
      <c r="W1213" s="3382">
        <v>0</v>
      </c>
      <c r="X1213" s="3382">
        <v>0</v>
      </c>
      <c r="Y1213" s="3382">
        <v>0</v>
      </c>
      <c r="Z1213" s="3382">
        <v>0</v>
      </c>
      <c r="AA1213" s="3382">
        <v>0</v>
      </c>
      <c r="AB1213" s="3382">
        <v>0</v>
      </c>
      <c r="AC1213" s="3382">
        <v>0</v>
      </c>
      <c r="AD1213" s="858">
        <f t="shared" si="1690"/>
        <v>0</v>
      </c>
      <c r="AE1213" s="796">
        <f t="shared" si="1717"/>
        <v>0</v>
      </c>
      <c r="AF1213" s="796">
        <f t="shared" si="1718"/>
        <v>0</v>
      </c>
      <c r="AG1213" s="796">
        <f t="shared" si="1719"/>
        <v>0</v>
      </c>
      <c r="AH1213" s="796">
        <f t="shared" si="1720"/>
        <v>0</v>
      </c>
      <c r="AI1213" s="796">
        <f t="shared" si="1721"/>
        <v>0</v>
      </c>
      <c r="AJ1213" s="800">
        <f t="shared" si="1722"/>
        <v>0</v>
      </c>
    </row>
    <row r="1214" spans="1:36" s="517" customFormat="1" ht="14.25" customHeight="1">
      <c r="A1214" s="616">
        <v>1</v>
      </c>
      <c r="B1214" s="616">
        <v>1</v>
      </c>
      <c r="C1214" s="616" t="s">
        <v>1540</v>
      </c>
      <c r="D1214" s="1069"/>
      <c r="E1214" s="2568" t="s">
        <v>1370</v>
      </c>
      <c r="F1214" s="2569"/>
      <c r="I1214" s="840"/>
      <c r="N1214" s="840"/>
      <c r="O1214" s="842"/>
      <c r="P1214" s="842" t="s">
        <v>1602</v>
      </c>
      <c r="Q1214" s="1781" t="str">
        <f>CHOOSE(2, "6722000004132", "Existing Customer ** GP Office NH")</f>
        <v>Existing Customer ** GP Office NH</v>
      </c>
      <c r="R1214" s="3381">
        <v>0</v>
      </c>
      <c r="S1214" s="3382">
        <v>0</v>
      </c>
      <c r="T1214" s="3382">
        <v>0</v>
      </c>
      <c r="U1214" s="3382">
        <v>0</v>
      </c>
      <c r="V1214" s="3382">
        <v>0</v>
      </c>
      <c r="W1214" s="3382">
        <v>0</v>
      </c>
      <c r="X1214" s="3382">
        <v>0</v>
      </c>
      <c r="Y1214" s="3382">
        <v>0</v>
      </c>
      <c r="Z1214" s="3382">
        <v>0</v>
      </c>
      <c r="AA1214" s="3382">
        <v>0</v>
      </c>
      <c r="AB1214" s="3382">
        <v>0</v>
      </c>
      <c r="AC1214" s="3382">
        <v>0</v>
      </c>
      <c r="AD1214" s="858">
        <f t="shared" si="1690"/>
        <v>0</v>
      </c>
      <c r="AE1214" s="796">
        <f>SUM($U1214:$W1214)</f>
        <v>0</v>
      </c>
      <c r="AF1214" s="796">
        <f>SUM($X1214:$Z1214)</f>
        <v>0</v>
      </c>
      <c r="AG1214" s="796">
        <f>SUM($AA1214:$AC1214)</f>
        <v>0</v>
      </c>
      <c r="AH1214" s="796">
        <f>SUM($AD1214:$AE1214)</f>
        <v>0</v>
      </c>
      <c r="AI1214" s="796">
        <f>SUM($AF1214:$AG1214)</f>
        <v>0</v>
      </c>
      <c r="AJ1214" s="800">
        <f>SUM($AH1214:$AI1214)</f>
        <v>0</v>
      </c>
    </row>
    <row r="1215" spans="1:36" s="517" customFormat="1" ht="14.25" customHeight="1">
      <c r="A1215" s="616">
        <v>1</v>
      </c>
      <c r="B1215" s="616">
        <v>1</v>
      </c>
      <c r="C1215" s="616" t="s">
        <v>1540</v>
      </c>
      <c r="D1215" s="1069"/>
      <c r="E1215" s="2639" t="s">
        <v>1369</v>
      </c>
      <c r="F1215" s="2640"/>
      <c r="I1215" s="936"/>
      <c r="N1215" s="840"/>
      <c r="O1215" s="843"/>
      <c r="P1215" s="843" t="s">
        <v>1604</v>
      </c>
      <c r="Q1215" s="1781" t="str">
        <f>CHOOSE(2, "6722000004133", "Existing Customer ** GP Office Office Solution")</f>
        <v>Existing Customer ** GP Office Office Solution</v>
      </c>
      <c r="R1215" s="3383">
        <v>0</v>
      </c>
      <c r="S1215" s="3384">
        <v>0</v>
      </c>
      <c r="T1215" s="3384">
        <v>0</v>
      </c>
      <c r="U1215" s="3384">
        <v>0</v>
      </c>
      <c r="V1215" s="3384">
        <v>0</v>
      </c>
      <c r="W1215" s="3384">
        <v>0</v>
      </c>
      <c r="X1215" s="3384">
        <v>0</v>
      </c>
      <c r="Y1215" s="3384">
        <v>0</v>
      </c>
      <c r="Z1215" s="3384">
        <v>0</v>
      </c>
      <c r="AA1215" s="3384">
        <v>0</v>
      </c>
      <c r="AB1215" s="3384">
        <v>0</v>
      </c>
      <c r="AC1215" s="3384">
        <v>0</v>
      </c>
      <c r="AD1215" s="859">
        <f t="shared" si="1690"/>
        <v>0</v>
      </c>
      <c r="AE1215" s="797">
        <f t="shared" ref="AE1215:AE1217" si="1724">SUM($U1215:$W1215)</f>
        <v>0</v>
      </c>
      <c r="AF1215" s="797">
        <f t="shared" ref="AF1215:AF1217" si="1725">SUM($X1215:$Z1215)</f>
        <v>0</v>
      </c>
      <c r="AG1215" s="797">
        <f t="shared" ref="AG1215:AG1217" si="1726">SUM($AA1215:$AC1215)</f>
        <v>0</v>
      </c>
      <c r="AH1215" s="797">
        <f t="shared" ref="AH1215:AH1217" si="1727">SUM($AD1215:$AE1215)</f>
        <v>0</v>
      </c>
      <c r="AI1215" s="797">
        <f t="shared" ref="AI1215:AI1217" si="1728">SUM($AF1215:$AG1215)</f>
        <v>0</v>
      </c>
      <c r="AJ1215" s="801">
        <f t="shared" ref="AJ1215:AJ1217" si="1729">SUM($AH1215:$AI1215)</f>
        <v>0</v>
      </c>
    </row>
    <row r="1216" spans="1:36" s="517" customFormat="1" ht="14.25" customHeight="1">
      <c r="A1216" s="616">
        <v>1</v>
      </c>
      <c r="B1216" s="616">
        <v>1</v>
      </c>
      <c r="C1216" s="616" t="s">
        <v>1540</v>
      </c>
      <c r="D1216" s="1069"/>
      <c r="E1216" s="2568" t="s">
        <v>1370</v>
      </c>
      <c r="F1216" s="2569"/>
      <c r="I1216" s="840"/>
      <c r="N1216" s="840"/>
      <c r="O1216" s="843" t="s">
        <v>563</v>
      </c>
      <c r="P1216" s="843"/>
      <c r="Q1216" s="1781" t="str">
        <f>CHOOSE(2, "6722000004134", "Existing Customer ** GP DW-DX")</f>
        <v>Existing Customer ** GP DW-DX</v>
      </c>
      <c r="R1216" s="3383">
        <v>0</v>
      </c>
      <c r="S1216" s="3384">
        <v>0</v>
      </c>
      <c r="T1216" s="3384">
        <v>0</v>
      </c>
      <c r="U1216" s="3384">
        <v>0</v>
      </c>
      <c r="V1216" s="3384">
        <v>0</v>
      </c>
      <c r="W1216" s="3384">
        <v>0</v>
      </c>
      <c r="X1216" s="3384">
        <v>0</v>
      </c>
      <c r="Y1216" s="3384">
        <v>0</v>
      </c>
      <c r="Z1216" s="3384">
        <v>0</v>
      </c>
      <c r="AA1216" s="3384">
        <v>0</v>
      </c>
      <c r="AB1216" s="3384">
        <v>0</v>
      </c>
      <c r="AC1216" s="3384">
        <v>0</v>
      </c>
      <c r="AD1216" s="859">
        <f t="shared" si="1690"/>
        <v>0</v>
      </c>
      <c r="AE1216" s="797">
        <f t="shared" si="1724"/>
        <v>0</v>
      </c>
      <c r="AF1216" s="797">
        <f t="shared" si="1725"/>
        <v>0</v>
      </c>
      <c r="AG1216" s="797">
        <f t="shared" si="1726"/>
        <v>0</v>
      </c>
      <c r="AH1216" s="797">
        <f t="shared" si="1727"/>
        <v>0</v>
      </c>
      <c r="AI1216" s="797">
        <f t="shared" si="1728"/>
        <v>0</v>
      </c>
      <c r="AJ1216" s="801">
        <f t="shared" si="1729"/>
        <v>0</v>
      </c>
    </row>
    <row r="1217" spans="1:36" s="517" customFormat="1" ht="14.25" customHeight="1">
      <c r="A1217" s="616">
        <v>1</v>
      </c>
      <c r="B1217" s="616">
        <v>1</v>
      </c>
      <c r="C1217" s="616" t="s">
        <v>1540</v>
      </c>
      <c r="D1217" s="1069"/>
      <c r="E1217" s="2568" t="s">
        <v>1370</v>
      </c>
      <c r="F1217" s="2569"/>
      <c r="I1217" s="844"/>
      <c r="J1217" s="834"/>
      <c r="K1217" s="834"/>
      <c r="L1217" s="834"/>
      <c r="M1217" s="834"/>
      <c r="N1217" s="844"/>
      <c r="O1217" s="845" t="s">
        <v>1607</v>
      </c>
      <c r="P1217" s="845"/>
      <c r="Q1217" s="1823" t="str">
        <f>CHOOSE(2, "6722000004135", "Existing Customer ** GP Total")</f>
        <v>Existing Customer ** GP Total</v>
      </c>
      <c r="R1217" s="1173">
        <f t="shared" ref="R1217:AC1217" si="1730">SUM(R1213:R1216)</f>
        <v>0</v>
      </c>
      <c r="S1217" s="800">
        <f t="shared" si="1730"/>
        <v>0</v>
      </c>
      <c r="T1217" s="800">
        <f t="shared" si="1730"/>
        <v>0</v>
      </c>
      <c r="U1217" s="800">
        <f t="shared" si="1730"/>
        <v>0</v>
      </c>
      <c r="V1217" s="800">
        <f t="shared" si="1730"/>
        <v>0</v>
      </c>
      <c r="W1217" s="800">
        <f t="shared" si="1730"/>
        <v>0</v>
      </c>
      <c r="X1217" s="800">
        <f t="shared" si="1730"/>
        <v>0</v>
      </c>
      <c r="Y1217" s="800">
        <f t="shared" si="1730"/>
        <v>0</v>
      </c>
      <c r="Z1217" s="800">
        <f t="shared" si="1730"/>
        <v>0</v>
      </c>
      <c r="AA1217" s="800">
        <f t="shared" si="1730"/>
        <v>0</v>
      </c>
      <c r="AB1217" s="800">
        <f t="shared" si="1730"/>
        <v>0</v>
      </c>
      <c r="AC1217" s="800">
        <f t="shared" si="1730"/>
        <v>0</v>
      </c>
      <c r="AD1217" s="860">
        <f t="shared" si="1690"/>
        <v>0</v>
      </c>
      <c r="AE1217" s="799">
        <f t="shared" si="1724"/>
        <v>0</v>
      </c>
      <c r="AF1217" s="799">
        <f t="shared" si="1725"/>
        <v>0</v>
      </c>
      <c r="AG1217" s="799">
        <f t="shared" si="1726"/>
        <v>0</v>
      </c>
      <c r="AH1217" s="799">
        <f t="shared" si="1727"/>
        <v>0</v>
      </c>
      <c r="AI1217" s="799">
        <f t="shared" si="1728"/>
        <v>0</v>
      </c>
      <c r="AJ1217" s="798">
        <f t="shared" si="1729"/>
        <v>0</v>
      </c>
    </row>
    <row r="1218" spans="1:36" s="517" customFormat="1" ht="14.25" customHeight="1">
      <c r="A1218" s="616">
        <v>1</v>
      </c>
      <c r="B1218" s="616">
        <v>1</v>
      </c>
      <c r="C1218" s="616" t="s">
        <v>1540</v>
      </c>
      <c r="D1218" s="1069"/>
      <c r="E1218" s="2568" t="s">
        <v>1370</v>
      </c>
      <c r="F1218" s="2569"/>
      <c r="I1218" s="3375" t="s">
        <v>1607</v>
      </c>
      <c r="J1218" s="833"/>
      <c r="K1218" s="833"/>
      <c r="L1218" s="833"/>
      <c r="M1218" s="833"/>
      <c r="N1218" s="2372" t="s">
        <v>1597</v>
      </c>
      <c r="O1218" s="2373"/>
      <c r="P1218" s="2373"/>
      <c r="Q1218" s="1823" t="str">
        <f>CHOOSE(2, "6722000004136", "Total Number of Purchase Account")</f>
        <v>Total Number of Purchase Account</v>
      </c>
      <c r="R1218" s="1205">
        <f>R1196+R1207</f>
        <v>0</v>
      </c>
      <c r="S1218" s="3380">
        <f t="shared" ref="S1218:AC1222" si="1731">S1196+S1207</f>
        <v>0</v>
      </c>
      <c r="T1218" s="3380">
        <f t="shared" si="1731"/>
        <v>0</v>
      </c>
      <c r="U1218" s="3380">
        <f t="shared" si="1731"/>
        <v>0</v>
      </c>
      <c r="V1218" s="3380">
        <f t="shared" si="1731"/>
        <v>0</v>
      </c>
      <c r="W1218" s="3380">
        <f t="shared" si="1731"/>
        <v>0</v>
      </c>
      <c r="X1218" s="3380">
        <f t="shared" si="1731"/>
        <v>0</v>
      </c>
      <c r="Y1218" s="3380">
        <f t="shared" si="1731"/>
        <v>0</v>
      </c>
      <c r="Z1218" s="3380">
        <f t="shared" si="1731"/>
        <v>0</v>
      </c>
      <c r="AA1218" s="3380">
        <f t="shared" si="1731"/>
        <v>0</v>
      </c>
      <c r="AB1218" s="3380">
        <f t="shared" si="1731"/>
        <v>0</v>
      </c>
      <c r="AC1218" s="3380">
        <f t="shared" si="1731"/>
        <v>0</v>
      </c>
      <c r="AD1218" s="3378">
        <f t="shared" si="1690"/>
        <v>0</v>
      </c>
      <c r="AE1218" s="3379">
        <f>SUM($U1218:$W1218)</f>
        <v>0</v>
      </c>
      <c r="AF1218" s="3379">
        <f>SUM($X1218:$Z1218)</f>
        <v>0</v>
      </c>
      <c r="AG1218" s="3385">
        <f>SUM($AA1218:$AC1218)</f>
        <v>0</v>
      </c>
      <c r="AH1218" s="3385">
        <f>SUM($AD1218:$AE1218)</f>
        <v>0</v>
      </c>
      <c r="AI1218" s="3379">
        <f>SUM($AF1218:$AG1218)</f>
        <v>0</v>
      </c>
      <c r="AJ1218" s="3386">
        <f>SUM($AH1218:$AI1218)</f>
        <v>0</v>
      </c>
    </row>
    <row r="1219" spans="1:36" s="517" customFormat="1" ht="14.25" customHeight="1">
      <c r="A1219" s="616">
        <v>1</v>
      </c>
      <c r="B1219" s="616">
        <v>1</v>
      </c>
      <c r="C1219" s="616" t="s">
        <v>1540</v>
      </c>
      <c r="D1219" s="1069"/>
      <c r="E1219" s="2568" t="s">
        <v>1370</v>
      </c>
      <c r="F1219" s="2569"/>
      <c r="I1219" s="840"/>
      <c r="N1219" s="3375" t="s">
        <v>1598</v>
      </c>
      <c r="O1219" s="841" t="s">
        <v>1599</v>
      </c>
      <c r="P1219" s="841" t="s">
        <v>1600</v>
      </c>
      <c r="Q1219" s="1823" t="str">
        <f>CHOOSE(2, "6722000004137", "Total Sales Office HW")</f>
        <v>Total Sales Office HW</v>
      </c>
      <c r="R1219" s="1173">
        <f>R1197+R1208</f>
        <v>0</v>
      </c>
      <c r="S1219" s="800">
        <f t="shared" si="1731"/>
        <v>0</v>
      </c>
      <c r="T1219" s="800">
        <f t="shared" si="1731"/>
        <v>0</v>
      </c>
      <c r="U1219" s="800">
        <f t="shared" si="1731"/>
        <v>0</v>
      </c>
      <c r="V1219" s="800">
        <f t="shared" si="1731"/>
        <v>0</v>
      </c>
      <c r="W1219" s="800">
        <f t="shared" si="1731"/>
        <v>0</v>
      </c>
      <c r="X1219" s="800">
        <f t="shared" si="1731"/>
        <v>0</v>
      </c>
      <c r="Y1219" s="800">
        <f t="shared" si="1731"/>
        <v>0</v>
      </c>
      <c r="Z1219" s="800">
        <f t="shared" si="1731"/>
        <v>0</v>
      </c>
      <c r="AA1219" s="800">
        <f t="shared" si="1731"/>
        <v>0</v>
      </c>
      <c r="AB1219" s="800">
        <f t="shared" si="1731"/>
        <v>0</v>
      </c>
      <c r="AC1219" s="800">
        <f t="shared" si="1731"/>
        <v>0</v>
      </c>
      <c r="AD1219" s="858">
        <f t="shared" si="1690"/>
        <v>0</v>
      </c>
      <c r="AE1219" s="796">
        <f t="shared" ref="AE1219" si="1732">SUM($U1219:$W1219)</f>
        <v>0</v>
      </c>
      <c r="AF1219" s="796">
        <f t="shared" ref="AF1219" si="1733">SUM($X1219:$Z1219)</f>
        <v>0</v>
      </c>
      <c r="AG1219" s="852">
        <f t="shared" ref="AG1219" si="1734">SUM($AA1219:$AC1219)</f>
        <v>0</v>
      </c>
      <c r="AH1219" s="852">
        <f t="shared" ref="AH1219" si="1735">SUM($AD1219:$AE1219)</f>
        <v>0</v>
      </c>
      <c r="AI1219" s="796">
        <f t="shared" ref="AI1219" si="1736">SUM($AF1219:$AG1219)</f>
        <v>0</v>
      </c>
      <c r="AJ1219" s="848">
        <f t="shared" ref="AJ1219" si="1737">SUM($AH1219:$AI1219)</f>
        <v>0</v>
      </c>
    </row>
    <row r="1220" spans="1:36" s="517" customFormat="1" ht="14.25" customHeight="1">
      <c r="A1220" s="616">
        <v>1</v>
      </c>
      <c r="B1220" s="616">
        <v>1</v>
      </c>
      <c r="C1220" s="616" t="s">
        <v>1540</v>
      </c>
      <c r="D1220" s="1069"/>
      <c r="E1220" s="2568" t="s">
        <v>1370</v>
      </c>
      <c r="F1220" s="2569"/>
      <c r="I1220" s="840"/>
      <c r="N1220" s="840"/>
      <c r="O1220" s="842"/>
      <c r="P1220" s="842" t="s">
        <v>1602</v>
      </c>
      <c r="Q1220" s="1823" t="str">
        <f>CHOOSE(2, "6722000004138", "Total Sales Office NH")</f>
        <v>Total Sales Office NH</v>
      </c>
      <c r="R1220" s="1173">
        <f>R1198+R1209</f>
        <v>0</v>
      </c>
      <c r="S1220" s="800">
        <f t="shared" si="1731"/>
        <v>0</v>
      </c>
      <c r="T1220" s="800">
        <f t="shared" si="1731"/>
        <v>0</v>
      </c>
      <c r="U1220" s="800">
        <f t="shared" si="1731"/>
        <v>0</v>
      </c>
      <c r="V1220" s="800">
        <f t="shared" si="1731"/>
        <v>0</v>
      </c>
      <c r="W1220" s="800">
        <f t="shared" si="1731"/>
        <v>0</v>
      </c>
      <c r="X1220" s="800">
        <f t="shared" si="1731"/>
        <v>0</v>
      </c>
      <c r="Y1220" s="800">
        <f t="shared" si="1731"/>
        <v>0</v>
      </c>
      <c r="Z1220" s="800">
        <f t="shared" si="1731"/>
        <v>0</v>
      </c>
      <c r="AA1220" s="800">
        <f t="shared" si="1731"/>
        <v>0</v>
      </c>
      <c r="AB1220" s="800">
        <f t="shared" si="1731"/>
        <v>0</v>
      </c>
      <c r="AC1220" s="800">
        <f t="shared" si="1731"/>
        <v>0</v>
      </c>
      <c r="AD1220" s="858">
        <f t="shared" si="1690"/>
        <v>0</v>
      </c>
      <c r="AE1220" s="796">
        <f>SUM($U1220:$W1220)</f>
        <v>0</v>
      </c>
      <c r="AF1220" s="796">
        <f>SUM($X1220:$Z1220)</f>
        <v>0</v>
      </c>
      <c r="AG1220" s="852">
        <f>SUM($AA1220:$AC1220)</f>
        <v>0</v>
      </c>
      <c r="AH1220" s="852">
        <f>SUM($AD1220:$AE1220)</f>
        <v>0</v>
      </c>
      <c r="AI1220" s="796">
        <f>SUM($AF1220:$AG1220)</f>
        <v>0</v>
      </c>
      <c r="AJ1220" s="848">
        <f>SUM($AH1220:$AI1220)</f>
        <v>0</v>
      </c>
    </row>
    <row r="1221" spans="1:36" s="517" customFormat="1" ht="14.25" customHeight="1">
      <c r="A1221" s="616">
        <v>1</v>
      </c>
      <c r="B1221" s="616">
        <v>1</v>
      </c>
      <c r="C1221" s="616" t="s">
        <v>1540</v>
      </c>
      <c r="D1221" s="1069"/>
      <c r="E1221" s="2639" t="s">
        <v>1369</v>
      </c>
      <c r="F1221" s="2640"/>
      <c r="I1221" s="840"/>
      <c r="N1221" s="840"/>
      <c r="O1221" s="843"/>
      <c r="P1221" s="843" t="s">
        <v>1604</v>
      </c>
      <c r="Q1221" s="1823" t="str">
        <f>CHOOSE(2, "6722000004139", "Total Sales Office Office Solution")</f>
        <v>Total Sales Office Office Solution</v>
      </c>
      <c r="R1221" s="1174">
        <f>R1199+R1210</f>
        <v>0</v>
      </c>
      <c r="S1221" s="801">
        <f t="shared" si="1731"/>
        <v>0</v>
      </c>
      <c r="T1221" s="801">
        <f t="shared" si="1731"/>
        <v>0</v>
      </c>
      <c r="U1221" s="801">
        <f t="shared" si="1731"/>
        <v>0</v>
      </c>
      <c r="V1221" s="801">
        <f t="shared" si="1731"/>
        <v>0</v>
      </c>
      <c r="W1221" s="801">
        <f t="shared" si="1731"/>
        <v>0</v>
      </c>
      <c r="X1221" s="801">
        <f t="shared" si="1731"/>
        <v>0</v>
      </c>
      <c r="Y1221" s="801">
        <f t="shared" si="1731"/>
        <v>0</v>
      </c>
      <c r="Z1221" s="801">
        <f t="shared" si="1731"/>
        <v>0</v>
      </c>
      <c r="AA1221" s="801">
        <f t="shared" si="1731"/>
        <v>0</v>
      </c>
      <c r="AB1221" s="801">
        <f t="shared" si="1731"/>
        <v>0</v>
      </c>
      <c r="AC1221" s="801">
        <f t="shared" si="1731"/>
        <v>0</v>
      </c>
      <c r="AD1221" s="859">
        <f t="shared" si="1690"/>
        <v>0</v>
      </c>
      <c r="AE1221" s="797">
        <f t="shared" ref="AE1221:AE1224" si="1738">SUM($U1221:$W1221)</f>
        <v>0</v>
      </c>
      <c r="AF1221" s="797">
        <f t="shared" ref="AF1221:AF1224" si="1739">SUM($X1221:$Z1221)</f>
        <v>0</v>
      </c>
      <c r="AG1221" s="853">
        <f t="shared" ref="AG1221:AG1224" si="1740">SUM($AA1221:$AC1221)</f>
        <v>0</v>
      </c>
      <c r="AH1221" s="853">
        <f t="shared" ref="AH1221:AH1224" si="1741">SUM($AD1221:$AE1221)</f>
        <v>0</v>
      </c>
      <c r="AI1221" s="797">
        <f t="shared" ref="AI1221:AI1224" si="1742">SUM($AF1221:$AG1221)</f>
        <v>0</v>
      </c>
      <c r="AJ1221" s="849">
        <f t="shared" ref="AJ1221:AJ1224" si="1743">SUM($AH1221:$AI1221)</f>
        <v>0</v>
      </c>
    </row>
    <row r="1222" spans="1:36" s="517" customFormat="1" ht="14.25" customHeight="1">
      <c r="A1222" s="616">
        <v>1</v>
      </c>
      <c r="B1222" s="616">
        <v>1</v>
      </c>
      <c r="C1222" s="616" t="s">
        <v>1540</v>
      </c>
      <c r="D1222" s="1069"/>
      <c r="E1222" s="2568" t="s">
        <v>1370</v>
      </c>
      <c r="F1222" s="2569"/>
      <c r="I1222" s="840"/>
      <c r="N1222" s="840"/>
      <c r="O1222" s="843" t="s">
        <v>1606</v>
      </c>
      <c r="P1222" s="843"/>
      <c r="Q1222" s="1823" t="str">
        <f>CHOOSE(2, "6722000004140", "Total Sales DW-DX")</f>
        <v>Total Sales DW-DX</v>
      </c>
      <c r="R1222" s="1174">
        <f>R1200+R1211</f>
        <v>0</v>
      </c>
      <c r="S1222" s="801">
        <f t="shared" si="1731"/>
        <v>0</v>
      </c>
      <c r="T1222" s="801">
        <f t="shared" si="1731"/>
        <v>0</v>
      </c>
      <c r="U1222" s="801">
        <f t="shared" si="1731"/>
        <v>0</v>
      </c>
      <c r="V1222" s="801">
        <f t="shared" si="1731"/>
        <v>0</v>
      </c>
      <c r="W1222" s="801">
        <f t="shared" si="1731"/>
        <v>0</v>
      </c>
      <c r="X1222" s="801">
        <f t="shared" si="1731"/>
        <v>0</v>
      </c>
      <c r="Y1222" s="801">
        <f t="shared" si="1731"/>
        <v>0</v>
      </c>
      <c r="Z1222" s="801">
        <f t="shared" si="1731"/>
        <v>0</v>
      </c>
      <c r="AA1222" s="801">
        <f t="shared" si="1731"/>
        <v>0</v>
      </c>
      <c r="AB1222" s="801">
        <f t="shared" si="1731"/>
        <v>0</v>
      </c>
      <c r="AC1222" s="801">
        <f t="shared" si="1731"/>
        <v>0</v>
      </c>
      <c r="AD1222" s="859">
        <f t="shared" si="1690"/>
        <v>0</v>
      </c>
      <c r="AE1222" s="797">
        <f t="shared" si="1738"/>
        <v>0</v>
      </c>
      <c r="AF1222" s="797">
        <f t="shared" si="1739"/>
        <v>0</v>
      </c>
      <c r="AG1222" s="853">
        <f t="shared" si="1740"/>
        <v>0</v>
      </c>
      <c r="AH1222" s="853">
        <f t="shared" si="1741"/>
        <v>0</v>
      </c>
      <c r="AI1222" s="797">
        <f t="shared" si="1742"/>
        <v>0</v>
      </c>
      <c r="AJ1222" s="849">
        <f t="shared" si="1743"/>
        <v>0</v>
      </c>
    </row>
    <row r="1223" spans="1:36" s="517" customFormat="1" ht="14.25" customHeight="1">
      <c r="A1223" s="616">
        <v>1</v>
      </c>
      <c r="B1223" s="616">
        <v>1</v>
      </c>
      <c r="C1223" s="616" t="s">
        <v>1540</v>
      </c>
      <c r="D1223" s="1069"/>
      <c r="E1223" s="2568" t="s">
        <v>1370</v>
      </c>
      <c r="F1223" s="2569"/>
      <c r="I1223" s="840"/>
      <c r="N1223" s="844"/>
      <c r="O1223" s="845" t="s">
        <v>1607</v>
      </c>
      <c r="P1223" s="845"/>
      <c r="Q1223" s="1823" t="str">
        <f>CHOOSE(2, "6722000004141", "Total Sales Total")</f>
        <v>Total Sales Total</v>
      </c>
      <c r="R1223" s="1175">
        <f>SUM(R1219:R1222)</f>
        <v>0</v>
      </c>
      <c r="S1223" s="1176">
        <f t="shared" ref="S1223:AC1223" si="1744">SUM(S1219:S1222)</f>
        <v>0</v>
      </c>
      <c r="T1223" s="1176">
        <f t="shared" si="1744"/>
        <v>0</v>
      </c>
      <c r="U1223" s="1176">
        <f t="shared" si="1744"/>
        <v>0</v>
      </c>
      <c r="V1223" s="1176">
        <f t="shared" si="1744"/>
        <v>0</v>
      </c>
      <c r="W1223" s="1176">
        <f t="shared" si="1744"/>
        <v>0</v>
      </c>
      <c r="X1223" s="1176">
        <f t="shared" si="1744"/>
        <v>0</v>
      </c>
      <c r="Y1223" s="1176">
        <f t="shared" si="1744"/>
        <v>0</v>
      </c>
      <c r="Z1223" s="1176">
        <f t="shared" si="1744"/>
        <v>0</v>
      </c>
      <c r="AA1223" s="1176">
        <f t="shared" si="1744"/>
        <v>0</v>
      </c>
      <c r="AB1223" s="1176">
        <f t="shared" si="1744"/>
        <v>0</v>
      </c>
      <c r="AC1223" s="1176">
        <f t="shared" si="1744"/>
        <v>0</v>
      </c>
      <c r="AD1223" s="860">
        <f t="shared" si="1690"/>
        <v>0</v>
      </c>
      <c r="AE1223" s="799">
        <f t="shared" si="1738"/>
        <v>0</v>
      </c>
      <c r="AF1223" s="799">
        <f t="shared" si="1739"/>
        <v>0</v>
      </c>
      <c r="AG1223" s="799">
        <f t="shared" si="1740"/>
        <v>0</v>
      </c>
      <c r="AH1223" s="799">
        <f t="shared" si="1741"/>
        <v>0</v>
      </c>
      <c r="AI1223" s="799">
        <f t="shared" si="1742"/>
        <v>0</v>
      </c>
      <c r="AJ1223" s="798">
        <f t="shared" si="1743"/>
        <v>0</v>
      </c>
    </row>
    <row r="1224" spans="1:36" s="517" customFormat="1" ht="14.25" customHeight="1">
      <c r="A1224" s="616">
        <v>1</v>
      </c>
      <c r="B1224" s="616">
        <v>1</v>
      </c>
      <c r="C1224" s="616" t="s">
        <v>1540</v>
      </c>
      <c r="D1224" s="1069"/>
      <c r="E1224" s="2568" t="s">
        <v>1370</v>
      </c>
      <c r="F1224" s="2569"/>
      <c r="I1224" s="840"/>
      <c r="N1224" s="840" t="s">
        <v>1608</v>
      </c>
      <c r="O1224" s="842" t="s">
        <v>1599</v>
      </c>
      <c r="P1224" s="842" t="s">
        <v>1600</v>
      </c>
      <c r="Q1224" s="1823" t="str">
        <f>CHOOSE(2, "6722000004142", "Total GP Office HW")</f>
        <v>Total GP Office HW</v>
      </c>
      <c r="R1224" s="1173">
        <f t="shared" ref="R1224:AC1227" si="1745">R1202+R1213</f>
        <v>0</v>
      </c>
      <c r="S1224" s="800">
        <f t="shared" si="1745"/>
        <v>0</v>
      </c>
      <c r="T1224" s="800">
        <f t="shared" si="1745"/>
        <v>0</v>
      </c>
      <c r="U1224" s="800">
        <f t="shared" si="1745"/>
        <v>0</v>
      </c>
      <c r="V1224" s="800">
        <f t="shared" si="1745"/>
        <v>0</v>
      </c>
      <c r="W1224" s="800">
        <f t="shared" si="1745"/>
        <v>0</v>
      </c>
      <c r="X1224" s="800">
        <f t="shared" si="1745"/>
        <v>0</v>
      </c>
      <c r="Y1224" s="800">
        <f t="shared" si="1745"/>
        <v>0</v>
      </c>
      <c r="Z1224" s="800">
        <f t="shared" si="1745"/>
        <v>0</v>
      </c>
      <c r="AA1224" s="800">
        <f t="shared" si="1745"/>
        <v>0</v>
      </c>
      <c r="AB1224" s="800">
        <f t="shared" si="1745"/>
        <v>0</v>
      </c>
      <c r="AC1224" s="800">
        <f t="shared" si="1745"/>
        <v>0</v>
      </c>
      <c r="AD1224" s="858">
        <f t="shared" si="1690"/>
        <v>0</v>
      </c>
      <c r="AE1224" s="796">
        <f t="shared" si="1738"/>
        <v>0</v>
      </c>
      <c r="AF1224" s="796">
        <f t="shared" si="1739"/>
        <v>0</v>
      </c>
      <c r="AG1224" s="852">
        <f t="shared" si="1740"/>
        <v>0</v>
      </c>
      <c r="AH1224" s="852">
        <f t="shared" si="1741"/>
        <v>0</v>
      </c>
      <c r="AI1224" s="796">
        <f t="shared" si="1742"/>
        <v>0</v>
      </c>
      <c r="AJ1224" s="848">
        <f t="shared" si="1743"/>
        <v>0</v>
      </c>
    </row>
    <row r="1225" spans="1:36" s="517" customFormat="1" ht="14.25" customHeight="1">
      <c r="A1225" s="616">
        <v>1</v>
      </c>
      <c r="B1225" s="616">
        <v>1</v>
      </c>
      <c r="C1225" s="616" t="s">
        <v>1540</v>
      </c>
      <c r="D1225" s="1069"/>
      <c r="E1225" s="2568" t="s">
        <v>1370</v>
      </c>
      <c r="F1225" s="2569"/>
      <c r="I1225" s="840"/>
      <c r="N1225" s="840"/>
      <c r="O1225" s="842"/>
      <c r="P1225" s="842" t="s">
        <v>1602</v>
      </c>
      <c r="Q1225" s="1823" t="str">
        <f>CHOOSE(2, "6722000004143", "Total GP Office NH")</f>
        <v>Total GP Office NH</v>
      </c>
      <c r="R1225" s="1173">
        <f t="shared" si="1745"/>
        <v>0</v>
      </c>
      <c r="S1225" s="800">
        <f t="shared" si="1745"/>
        <v>0</v>
      </c>
      <c r="T1225" s="800">
        <f t="shared" si="1745"/>
        <v>0</v>
      </c>
      <c r="U1225" s="800">
        <f t="shared" si="1745"/>
        <v>0</v>
      </c>
      <c r="V1225" s="800">
        <f t="shared" si="1745"/>
        <v>0</v>
      </c>
      <c r="W1225" s="800">
        <f t="shared" si="1745"/>
        <v>0</v>
      </c>
      <c r="X1225" s="800">
        <f t="shared" si="1745"/>
        <v>0</v>
      </c>
      <c r="Y1225" s="800">
        <f t="shared" si="1745"/>
        <v>0</v>
      </c>
      <c r="Z1225" s="800">
        <f t="shared" si="1745"/>
        <v>0</v>
      </c>
      <c r="AA1225" s="800">
        <f t="shared" si="1745"/>
        <v>0</v>
      </c>
      <c r="AB1225" s="800">
        <f t="shared" si="1745"/>
        <v>0</v>
      </c>
      <c r="AC1225" s="800">
        <f t="shared" si="1745"/>
        <v>0</v>
      </c>
      <c r="AD1225" s="858">
        <f t="shared" si="1690"/>
        <v>0</v>
      </c>
      <c r="AE1225" s="796">
        <f>SUM($U1225:$W1225)</f>
        <v>0</v>
      </c>
      <c r="AF1225" s="796">
        <f>SUM($X1225:$Z1225)</f>
        <v>0</v>
      </c>
      <c r="AG1225" s="852">
        <f>SUM($AA1225:$AC1225)</f>
        <v>0</v>
      </c>
      <c r="AH1225" s="852">
        <f>SUM($AD1225:$AE1225)</f>
        <v>0</v>
      </c>
      <c r="AI1225" s="796">
        <f>SUM($AF1225:$AG1225)</f>
        <v>0</v>
      </c>
      <c r="AJ1225" s="848">
        <f>SUM($AH1225:$AI1225)</f>
        <v>0</v>
      </c>
    </row>
    <row r="1226" spans="1:36" s="517" customFormat="1" ht="14.25" customHeight="1">
      <c r="A1226" s="616">
        <v>1</v>
      </c>
      <c r="B1226" s="616">
        <v>1</v>
      </c>
      <c r="C1226" s="616" t="s">
        <v>1540</v>
      </c>
      <c r="D1226" s="1069"/>
      <c r="E1226" s="2639" t="s">
        <v>1369</v>
      </c>
      <c r="F1226" s="2640"/>
      <c r="I1226" s="840"/>
      <c r="N1226" s="840"/>
      <c r="O1226" s="843"/>
      <c r="P1226" s="843" t="s">
        <v>1604</v>
      </c>
      <c r="Q1226" s="1823" t="str">
        <f>CHOOSE(2, "6722000004144", "Total GP Office Office Solution")</f>
        <v>Total GP Office Office Solution</v>
      </c>
      <c r="R1226" s="1174">
        <f>R1204+R1215</f>
        <v>0</v>
      </c>
      <c r="S1226" s="801">
        <f t="shared" si="1745"/>
        <v>0</v>
      </c>
      <c r="T1226" s="801">
        <f t="shared" si="1745"/>
        <v>0</v>
      </c>
      <c r="U1226" s="801">
        <f t="shared" si="1745"/>
        <v>0</v>
      </c>
      <c r="V1226" s="801">
        <f t="shared" si="1745"/>
        <v>0</v>
      </c>
      <c r="W1226" s="801">
        <f t="shared" si="1745"/>
        <v>0</v>
      </c>
      <c r="X1226" s="801">
        <f t="shared" si="1745"/>
        <v>0</v>
      </c>
      <c r="Y1226" s="801">
        <f t="shared" si="1745"/>
        <v>0</v>
      </c>
      <c r="Z1226" s="801">
        <f t="shared" si="1745"/>
        <v>0</v>
      </c>
      <c r="AA1226" s="801">
        <f t="shared" si="1745"/>
        <v>0</v>
      </c>
      <c r="AB1226" s="801">
        <f t="shared" si="1745"/>
        <v>0</v>
      </c>
      <c r="AC1226" s="801">
        <f t="shared" si="1745"/>
        <v>0</v>
      </c>
      <c r="AD1226" s="859">
        <f t="shared" si="1690"/>
        <v>0</v>
      </c>
      <c r="AE1226" s="797">
        <f t="shared" ref="AE1226:AE1229" si="1746">SUM($U1226:$W1226)</f>
        <v>0</v>
      </c>
      <c r="AF1226" s="797">
        <f t="shared" ref="AF1226:AF1229" si="1747">SUM($X1226:$Z1226)</f>
        <v>0</v>
      </c>
      <c r="AG1226" s="853">
        <f t="shared" ref="AG1226:AG1229" si="1748">SUM($AA1226:$AC1226)</f>
        <v>0</v>
      </c>
      <c r="AH1226" s="853">
        <f t="shared" ref="AH1226:AH1229" si="1749">SUM($AD1226:$AE1226)</f>
        <v>0</v>
      </c>
      <c r="AI1226" s="797">
        <f t="shared" ref="AI1226:AI1229" si="1750">SUM($AF1226:$AG1226)</f>
        <v>0</v>
      </c>
      <c r="AJ1226" s="849">
        <f t="shared" ref="AJ1226:AJ1229" si="1751">SUM($AH1226:$AI1226)</f>
        <v>0</v>
      </c>
    </row>
    <row r="1227" spans="1:36" s="517" customFormat="1" ht="14.25" customHeight="1">
      <c r="A1227" s="616">
        <v>1</v>
      </c>
      <c r="B1227" s="616">
        <v>1</v>
      </c>
      <c r="C1227" s="616" t="s">
        <v>1540</v>
      </c>
      <c r="D1227" s="1069"/>
      <c r="E1227" s="2568" t="s">
        <v>1370</v>
      </c>
      <c r="F1227" s="2569"/>
      <c r="I1227" s="840"/>
      <c r="N1227" s="840"/>
      <c r="O1227" s="843" t="s">
        <v>563</v>
      </c>
      <c r="P1227" s="843"/>
      <c r="Q1227" s="1823" t="str">
        <f>CHOOSE(2, "6722000004145", "Total GP DW-DX")</f>
        <v>Total GP DW-DX</v>
      </c>
      <c r="R1227" s="1174">
        <f>R1205+R1216</f>
        <v>0</v>
      </c>
      <c r="S1227" s="801">
        <f t="shared" si="1745"/>
        <v>0</v>
      </c>
      <c r="T1227" s="801">
        <f t="shared" si="1745"/>
        <v>0</v>
      </c>
      <c r="U1227" s="801">
        <f t="shared" si="1745"/>
        <v>0</v>
      </c>
      <c r="V1227" s="801">
        <f t="shared" si="1745"/>
        <v>0</v>
      </c>
      <c r="W1227" s="801">
        <f t="shared" si="1745"/>
        <v>0</v>
      </c>
      <c r="X1227" s="801">
        <f t="shared" si="1745"/>
        <v>0</v>
      </c>
      <c r="Y1227" s="801">
        <f t="shared" si="1745"/>
        <v>0</v>
      </c>
      <c r="Z1227" s="801">
        <f t="shared" si="1745"/>
        <v>0</v>
      </c>
      <c r="AA1227" s="801">
        <f t="shared" si="1745"/>
        <v>0</v>
      </c>
      <c r="AB1227" s="801">
        <f t="shared" si="1745"/>
        <v>0</v>
      </c>
      <c r="AC1227" s="801">
        <f t="shared" si="1745"/>
        <v>0</v>
      </c>
      <c r="AD1227" s="859">
        <f t="shared" si="1690"/>
        <v>0</v>
      </c>
      <c r="AE1227" s="797">
        <f t="shared" si="1746"/>
        <v>0</v>
      </c>
      <c r="AF1227" s="797">
        <f t="shared" si="1747"/>
        <v>0</v>
      </c>
      <c r="AG1227" s="853">
        <f t="shared" si="1748"/>
        <v>0</v>
      </c>
      <c r="AH1227" s="853">
        <f t="shared" si="1749"/>
        <v>0</v>
      </c>
      <c r="AI1227" s="797">
        <f t="shared" si="1750"/>
        <v>0</v>
      </c>
      <c r="AJ1227" s="849">
        <f t="shared" si="1751"/>
        <v>0</v>
      </c>
    </row>
    <row r="1228" spans="1:36" s="517" customFormat="1" ht="14.25" customHeight="1">
      <c r="A1228" s="616">
        <v>1</v>
      </c>
      <c r="B1228" s="616">
        <v>1</v>
      </c>
      <c r="C1228" s="616" t="s">
        <v>1540</v>
      </c>
      <c r="D1228" s="1069"/>
      <c r="E1228" s="2568" t="s">
        <v>1370</v>
      </c>
      <c r="F1228" s="2569"/>
      <c r="I1228" s="844"/>
      <c r="J1228" s="834"/>
      <c r="K1228" s="834"/>
      <c r="L1228" s="834"/>
      <c r="M1228" s="834"/>
      <c r="N1228" s="844"/>
      <c r="O1228" s="845" t="s">
        <v>1607</v>
      </c>
      <c r="P1228" s="845"/>
      <c r="Q1228" s="1823" t="str">
        <f>CHOOSE(2, "6722000004146", "Total GP Total")</f>
        <v>Total GP Total</v>
      </c>
      <c r="R1228" s="1172">
        <f>SUM(R1224:R1227)</f>
        <v>0</v>
      </c>
      <c r="S1228" s="798">
        <f t="shared" ref="S1228:AC1228" si="1752">SUM(S1224:S1227)</f>
        <v>0</v>
      </c>
      <c r="T1228" s="798">
        <f t="shared" si="1752"/>
        <v>0</v>
      </c>
      <c r="U1228" s="798">
        <f t="shared" si="1752"/>
        <v>0</v>
      </c>
      <c r="V1228" s="798">
        <f t="shared" si="1752"/>
        <v>0</v>
      </c>
      <c r="W1228" s="798">
        <f t="shared" si="1752"/>
        <v>0</v>
      </c>
      <c r="X1228" s="798">
        <f t="shared" si="1752"/>
        <v>0</v>
      </c>
      <c r="Y1228" s="798">
        <f t="shared" si="1752"/>
        <v>0</v>
      </c>
      <c r="Z1228" s="798">
        <f t="shared" si="1752"/>
        <v>0</v>
      </c>
      <c r="AA1228" s="798">
        <f t="shared" si="1752"/>
        <v>0</v>
      </c>
      <c r="AB1228" s="798">
        <f t="shared" si="1752"/>
        <v>0</v>
      </c>
      <c r="AC1228" s="798">
        <f t="shared" si="1752"/>
        <v>0</v>
      </c>
      <c r="AD1228" s="860">
        <f t="shared" si="1690"/>
        <v>0</v>
      </c>
      <c r="AE1228" s="799">
        <f t="shared" si="1746"/>
        <v>0</v>
      </c>
      <c r="AF1228" s="799">
        <f t="shared" si="1747"/>
        <v>0</v>
      </c>
      <c r="AG1228" s="799">
        <f t="shared" si="1748"/>
        <v>0</v>
      </c>
      <c r="AH1228" s="799">
        <f t="shared" si="1749"/>
        <v>0</v>
      </c>
      <c r="AI1228" s="799">
        <f t="shared" si="1750"/>
        <v>0</v>
      </c>
      <c r="AJ1228" s="798">
        <f t="shared" si="1751"/>
        <v>0</v>
      </c>
    </row>
    <row r="1229" spans="1:36" s="517" customFormat="1" ht="14.25" customHeight="1">
      <c r="A1229" s="616">
        <v>1</v>
      </c>
      <c r="B1229" s="616">
        <v>1</v>
      </c>
      <c r="C1229" s="616" t="s">
        <v>1540</v>
      </c>
      <c r="D1229" s="1069"/>
      <c r="E1229" s="2568" t="s">
        <v>1370</v>
      </c>
      <c r="F1229" s="2569"/>
      <c r="I1229" s="3375" t="s">
        <v>668</v>
      </c>
      <c r="J1229" s="833"/>
      <c r="K1229" s="833"/>
      <c r="L1229" s="833"/>
      <c r="M1229" s="833"/>
      <c r="N1229" s="841"/>
      <c r="O1229" s="841" t="s">
        <v>28</v>
      </c>
      <c r="P1229" s="841"/>
      <c r="Q1229" s="1781" t="str">
        <f>CHOOSE(2, "6722000004147", "S.G.&amp;A. Expenses GP Wages &amp; Salaries")</f>
        <v>S.G.&amp;A. Expenses GP Wages &amp; Salaries</v>
      </c>
      <c r="R1229" s="3381">
        <v>0</v>
      </c>
      <c r="S1229" s="3382">
        <v>0</v>
      </c>
      <c r="T1229" s="3382">
        <v>0</v>
      </c>
      <c r="U1229" s="3382">
        <v>0</v>
      </c>
      <c r="V1229" s="3382">
        <v>0</v>
      </c>
      <c r="W1229" s="3382">
        <v>0</v>
      </c>
      <c r="X1229" s="3382">
        <v>0</v>
      </c>
      <c r="Y1229" s="3382">
        <v>0</v>
      </c>
      <c r="Z1229" s="3382">
        <v>0</v>
      </c>
      <c r="AA1229" s="3382">
        <v>0</v>
      </c>
      <c r="AB1229" s="3382">
        <v>0</v>
      </c>
      <c r="AC1229" s="3382">
        <v>0</v>
      </c>
      <c r="AD1229" s="3387">
        <f t="shared" si="1690"/>
        <v>0</v>
      </c>
      <c r="AE1229" s="3388">
        <f t="shared" si="1746"/>
        <v>0</v>
      </c>
      <c r="AF1229" s="3388">
        <f t="shared" si="1747"/>
        <v>0</v>
      </c>
      <c r="AG1229" s="3389">
        <f t="shared" si="1748"/>
        <v>0</v>
      </c>
      <c r="AH1229" s="3389">
        <f t="shared" si="1749"/>
        <v>0</v>
      </c>
      <c r="AI1229" s="3388">
        <f t="shared" si="1750"/>
        <v>0</v>
      </c>
      <c r="AJ1229" s="3387">
        <f t="shared" si="1751"/>
        <v>0</v>
      </c>
    </row>
    <row r="1230" spans="1:36" s="517" customFormat="1" ht="14.25" customHeight="1">
      <c r="A1230" s="616">
        <v>1</v>
      </c>
      <c r="B1230" s="616">
        <v>1</v>
      </c>
      <c r="C1230" s="616" t="s">
        <v>1540</v>
      </c>
      <c r="D1230" s="1069"/>
      <c r="E1230" s="2568" t="s">
        <v>1370</v>
      </c>
      <c r="F1230" s="2569"/>
      <c r="I1230" s="840"/>
      <c r="N1230" s="842"/>
      <c r="O1230" s="842" t="s">
        <v>63</v>
      </c>
      <c r="P1230" s="842"/>
      <c r="Q1230" s="1781" t="str">
        <f>CHOOSE(2, "6722000004148", "S.G.&amp;A. Expenses GP Variable Expenses")</f>
        <v>S.G.&amp;A. Expenses GP Variable Expenses</v>
      </c>
      <c r="R1230" s="3381">
        <v>0</v>
      </c>
      <c r="S1230" s="3382">
        <v>0</v>
      </c>
      <c r="T1230" s="3382">
        <v>0</v>
      </c>
      <c r="U1230" s="3382">
        <v>0</v>
      </c>
      <c r="V1230" s="3382">
        <v>0</v>
      </c>
      <c r="W1230" s="3382">
        <v>0</v>
      </c>
      <c r="X1230" s="3382">
        <v>0</v>
      </c>
      <c r="Y1230" s="3382">
        <v>0</v>
      </c>
      <c r="Z1230" s="3382">
        <v>0</v>
      </c>
      <c r="AA1230" s="3382">
        <v>0</v>
      </c>
      <c r="AB1230" s="3382">
        <v>0</v>
      </c>
      <c r="AC1230" s="3382">
        <v>0</v>
      </c>
      <c r="AD1230" s="858">
        <f t="shared" si="1690"/>
        <v>0</v>
      </c>
      <c r="AE1230" s="796">
        <f>SUM($U1230:$W1230)</f>
        <v>0</v>
      </c>
      <c r="AF1230" s="796">
        <f>SUM($X1230:$Z1230)</f>
        <v>0</v>
      </c>
      <c r="AG1230" s="852">
        <f>SUM($AA1230:$AC1230)</f>
        <v>0</v>
      </c>
      <c r="AH1230" s="852">
        <f>SUM($AD1230:$AE1230)</f>
        <v>0</v>
      </c>
      <c r="AI1230" s="796">
        <f>SUM($AF1230:$AG1230)</f>
        <v>0</v>
      </c>
      <c r="AJ1230" s="858">
        <f>SUM($AH1230:$AI1230)</f>
        <v>0</v>
      </c>
    </row>
    <row r="1231" spans="1:36" s="517" customFormat="1" ht="14.25" customHeight="1">
      <c r="A1231" s="616">
        <v>1</v>
      </c>
      <c r="B1231" s="616">
        <v>1</v>
      </c>
      <c r="C1231" s="616" t="s">
        <v>1540</v>
      </c>
      <c r="D1231" s="1069"/>
      <c r="E1231" s="2568" t="s">
        <v>1370</v>
      </c>
      <c r="F1231" s="2569"/>
      <c r="I1231" s="840"/>
      <c r="N1231" s="842"/>
      <c r="O1231" s="843" t="s">
        <v>62</v>
      </c>
      <c r="P1231" s="843"/>
      <c r="Q1231" s="1781" t="str">
        <f>CHOOSE(2, "6722000004149", "S.G.&amp;A. Expenses GP Fixed Expenses")</f>
        <v>S.G.&amp;A. Expenses GP Fixed Expenses</v>
      </c>
      <c r="R1231" s="3383">
        <v>0</v>
      </c>
      <c r="S1231" s="3384">
        <v>0</v>
      </c>
      <c r="T1231" s="3384">
        <v>0</v>
      </c>
      <c r="U1231" s="3384">
        <v>0</v>
      </c>
      <c r="V1231" s="3384">
        <v>0</v>
      </c>
      <c r="W1231" s="3384">
        <v>0</v>
      </c>
      <c r="X1231" s="3384">
        <v>0</v>
      </c>
      <c r="Y1231" s="3384">
        <v>0</v>
      </c>
      <c r="Z1231" s="3384">
        <v>0</v>
      </c>
      <c r="AA1231" s="3384">
        <v>0</v>
      </c>
      <c r="AB1231" s="3384">
        <v>0</v>
      </c>
      <c r="AC1231" s="3384">
        <v>0</v>
      </c>
      <c r="AD1231" s="859">
        <f t="shared" si="1690"/>
        <v>0</v>
      </c>
      <c r="AE1231" s="797">
        <f t="shared" ref="AE1231:AE1232" si="1753">SUM($U1231:$W1231)</f>
        <v>0</v>
      </c>
      <c r="AF1231" s="797">
        <f t="shared" ref="AF1231:AF1232" si="1754">SUM($X1231:$Z1231)</f>
        <v>0</v>
      </c>
      <c r="AG1231" s="853">
        <f t="shared" ref="AG1231:AG1232" si="1755">SUM($AA1231:$AC1231)</f>
        <v>0</v>
      </c>
      <c r="AH1231" s="853">
        <f t="shared" ref="AH1231:AH1232" si="1756">SUM($AD1231:$AE1231)</f>
        <v>0</v>
      </c>
      <c r="AI1231" s="797">
        <f t="shared" ref="AI1231:AI1232" si="1757">SUM($AF1231:$AG1231)</f>
        <v>0</v>
      </c>
      <c r="AJ1231" s="859">
        <f t="shared" ref="AJ1231:AJ1232" si="1758">SUM($AH1231:$AI1231)</f>
        <v>0</v>
      </c>
    </row>
    <row r="1232" spans="1:36" s="517" customFormat="1" ht="14.25" customHeight="1">
      <c r="A1232" s="616">
        <v>1</v>
      </c>
      <c r="B1232" s="616">
        <v>1</v>
      </c>
      <c r="C1232" s="616" t="s">
        <v>1540</v>
      </c>
      <c r="D1232" s="1069"/>
      <c r="E1232" s="2568" t="s">
        <v>1370</v>
      </c>
      <c r="F1232" s="2569"/>
      <c r="I1232" s="844"/>
      <c r="J1232" s="834"/>
      <c r="K1232" s="834"/>
      <c r="L1232" s="834"/>
      <c r="M1232" s="834"/>
      <c r="N1232" s="845"/>
      <c r="O1232" s="845" t="s">
        <v>601</v>
      </c>
      <c r="P1232" s="845"/>
      <c r="Q1232" s="1782" t="str">
        <f>CHOOSE(2, "6722000004150", "S.G.&amp;A. Expenses GP Total")</f>
        <v>S.G.&amp;A. Expenses GP Total</v>
      </c>
      <c r="R1232" s="854">
        <f>SUM(R1229:R1231)</f>
        <v>0</v>
      </c>
      <c r="S1232" s="799">
        <f t="shared" ref="S1232:AC1232" si="1759">SUM(S1229:S1231)</f>
        <v>0</v>
      </c>
      <c r="T1232" s="799">
        <f t="shared" si="1759"/>
        <v>0</v>
      </c>
      <c r="U1232" s="799">
        <f t="shared" si="1759"/>
        <v>0</v>
      </c>
      <c r="V1232" s="799">
        <f t="shared" si="1759"/>
        <v>0</v>
      </c>
      <c r="W1232" s="799">
        <f t="shared" si="1759"/>
        <v>0</v>
      </c>
      <c r="X1232" s="799">
        <f t="shared" si="1759"/>
        <v>0</v>
      </c>
      <c r="Y1232" s="799">
        <f t="shared" si="1759"/>
        <v>0</v>
      </c>
      <c r="Z1232" s="799">
        <f t="shared" si="1759"/>
        <v>0</v>
      </c>
      <c r="AA1232" s="799">
        <f t="shared" si="1759"/>
        <v>0</v>
      </c>
      <c r="AB1232" s="799">
        <f t="shared" si="1759"/>
        <v>0</v>
      </c>
      <c r="AC1232" s="799">
        <f t="shared" si="1759"/>
        <v>0</v>
      </c>
      <c r="AD1232" s="860">
        <f t="shared" si="1690"/>
        <v>0</v>
      </c>
      <c r="AE1232" s="799">
        <f t="shared" si="1753"/>
        <v>0</v>
      </c>
      <c r="AF1232" s="799">
        <f t="shared" si="1754"/>
        <v>0</v>
      </c>
      <c r="AG1232" s="854">
        <f t="shared" si="1755"/>
        <v>0</v>
      </c>
      <c r="AH1232" s="854">
        <f t="shared" si="1756"/>
        <v>0</v>
      </c>
      <c r="AI1232" s="799">
        <f t="shared" si="1757"/>
        <v>0</v>
      </c>
      <c r="AJ1232" s="860">
        <f t="shared" si="1758"/>
        <v>0</v>
      </c>
    </row>
    <row r="1233" spans="1:36" s="517" customFormat="1" ht="14.25" customHeight="1">
      <c r="A1233" s="616">
        <v>1</v>
      </c>
      <c r="B1233" s="616">
        <v>1</v>
      </c>
      <c r="C1233" s="616" t="s">
        <v>1540</v>
      </c>
      <c r="D1233" s="1069"/>
      <c r="E1233" s="2568" t="s">
        <v>1370</v>
      </c>
      <c r="F1233" s="2569"/>
      <c r="I1233" s="516"/>
      <c r="J1233" s="516"/>
      <c r="K1233" s="516"/>
      <c r="L1233" s="516"/>
      <c r="M1233" s="516"/>
      <c r="N1233" s="516"/>
      <c r="O1233" s="516"/>
      <c r="P1233" s="516"/>
      <c r="Q1233" s="1837" t="str">
        <f>CHOOSE(2, "6722000004151", "▷ Blank 46")</f>
        <v>▷ Blank 46</v>
      </c>
      <c r="R1233" s="516"/>
      <c r="S1233" s="516"/>
      <c r="T1233" s="516"/>
      <c r="U1233" s="516"/>
      <c r="V1233" s="516"/>
      <c r="W1233" s="516"/>
      <c r="X1233" s="516"/>
      <c r="Y1233" s="516"/>
      <c r="Z1233" s="516"/>
    </row>
    <row r="1234" spans="1:36" s="621" customFormat="1" ht="18" hidden="1" outlineLevel="1">
      <c r="A1234" s="616">
        <f>A1104+1</f>
        <v>1018</v>
      </c>
      <c r="B1234" s="653"/>
      <c r="C1234" s="653" t="s">
        <v>1540</v>
      </c>
      <c r="D1234" s="709" t="s">
        <v>1308</v>
      </c>
      <c r="E1234" s="2547">
        <v>1</v>
      </c>
      <c r="F1234" s="654" t="s">
        <v>1613</v>
      </c>
      <c r="G1234" s="654"/>
      <c r="H1234" s="623"/>
      <c r="I1234" s="622"/>
      <c r="K1234" s="622"/>
      <c r="L1234" s="622"/>
      <c r="Q1234" s="1772" t="str">
        <f>CHOOSE(2, "6722000004152", "8. Rolling forecast only")</f>
        <v>8. Rolling forecast only</v>
      </c>
      <c r="R1234" s="2641"/>
      <c r="S1234" s="2641"/>
      <c r="T1234" s="2641"/>
      <c r="U1234" s="2641"/>
      <c r="V1234" s="2641"/>
      <c r="W1234" s="2641"/>
      <c r="X1234" s="2641"/>
      <c r="Y1234" s="2641"/>
      <c r="Z1234" s="2641"/>
      <c r="AA1234" s="2641"/>
    </row>
    <row r="1235" spans="1:36" s="621" customFormat="1" ht="14.5" hidden="1" outlineLevel="1">
      <c r="A1235" s="616">
        <f t="shared" ref="A1235:A1274" si="1760">A1234+1</f>
        <v>1019</v>
      </c>
      <c r="B1235" s="653"/>
      <c r="C1235" s="653" t="s">
        <v>1540</v>
      </c>
      <c r="D1235" s="709" t="s">
        <v>1308</v>
      </c>
      <c r="E1235" s="2547">
        <v>1</v>
      </c>
      <c r="F1235" s="622"/>
      <c r="G1235" s="623" t="s">
        <v>1614</v>
      </c>
      <c r="H1235" s="622"/>
      <c r="I1235" s="622"/>
      <c r="K1235" s="622"/>
      <c r="L1235" s="622"/>
      <c r="P1235" s="622"/>
      <c r="Q1235" s="1772" t="str">
        <f>CHOOSE(2, "6722000004153", "8-1. Depreciation &amp; Amortization")</f>
        <v>8-1. Depreciation &amp; Amortization</v>
      </c>
      <c r="R1235" s="2641"/>
      <c r="S1235" s="2641"/>
      <c r="T1235" s="2641"/>
      <c r="U1235" s="2641"/>
      <c r="V1235" s="2641"/>
      <c r="W1235" s="2641"/>
      <c r="X1235" s="2641"/>
      <c r="Y1235" s="2641"/>
      <c r="Z1235" s="2641"/>
      <c r="AA1235" s="2641"/>
    </row>
    <row r="1236" spans="1:36" s="621" customFormat="1" ht="14.5" hidden="1" outlineLevel="1">
      <c r="A1236" s="616">
        <f t="shared" si="1760"/>
        <v>1020</v>
      </c>
      <c r="B1236" s="653"/>
      <c r="C1236" s="653" t="s">
        <v>1540</v>
      </c>
      <c r="D1236" s="709" t="s">
        <v>1308</v>
      </c>
      <c r="E1236" s="2547">
        <v>1</v>
      </c>
      <c r="F1236" s="622"/>
      <c r="G1236" s="623"/>
      <c r="H1236" s="622"/>
      <c r="I1236" s="3390" t="s">
        <v>1615</v>
      </c>
      <c r="J1236" s="656"/>
      <c r="K1236" s="657"/>
      <c r="L1236" s="657"/>
      <c r="M1236" s="656"/>
      <c r="N1236" s="656"/>
      <c r="O1236" s="656"/>
      <c r="P1236" s="3391"/>
      <c r="Q1236" s="1839" t="str">
        <f>CHOOSE(2, "6722000004154", "D&amp;A Total")</f>
        <v>D&amp;A Total</v>
      </c>
      <c r="R1236" s="3392">
        <v>0</v>
      </c>
      <c r="S1236" s="3392">
        <v>0</v>
      </c>
      <c r="T1236" s="3392">
        <v>0</v>
      </c>
      <c r="U1236" s="3392">
        <v>0</v>
      </c>
      <c r="V1236" s="3392">
        <v>0</v>
      </c>
      <c r="W1236" s="3392">
        <v>0</v>
      </c>
      <c r="X1236" s="3392">
        <v>0</v>
      </c>
      <c r="Y1236" s="3392">
        <v>0</v>
      </c>
      <c r="Z1236" s="3392">
        <v>0</v>
      </c>
      <c r="AA1236" s="3392">
        <v>0</v>
      </c>
      <c r="AB1236" s="3392">
        <v>0</v>
      </c>
      <c r="AC1236" s="3392">
        <v>0</v>
      </c>
      <c r="AD1236" s="3393">
        <f>SUM(R1236:T1236)</f>
        <v>0</v>
      </c>
      <c r="AE1236" s="3393">
        <f>SUM(U1236:W1236)</f>
        <v>0</v>
      </c>
      <c r="AF1236" s="3393">
        <f>SUM(X1236:Z1236)</f>
        <v>0</v>
      </c>
      <c r="AG1236" s="3393">
        <f>SUM(AA1236:AC1236)</f>
        <v>0</v>
      </c>
      <c r="AH1236" s="3393">
        <f>AD1236+AE1236</f>
        <v>0</v>
      </c>
      <c r="AI1236" s="3393">
        <f>AG1236+AF1236</f>
        <v>0</v>
      </c>
      <c r="AJ1236" s="3393">
        <f>AH1236+AI1236</f>
        <v>0</v>
      </c>
    </row>
    <row r="1237" spans="1:36" s="621" customFormat="1" ht="14.5" hidden="1" outlineLevel="1">
      <c r="A1237" s="616">
        <f t="shared" si="1760"/>
        <v>1021</v>
      </c>
      <c r="B1237" s="653"/>
      <c r="C1237" s="653" t="s">
        <v>1540</v>
      </c>
      <c r="D1237" s="709" t="s">
        <v>1308</v>
      </c>
      <c r="E1237" s="2547">
        <v>1</v>
      </c>
      <c r="F1237" s="622"/>
      <c r="G1237" s="623"/>
      <c r="H1237" s="622"/>
      <c r="I1237" s="660"/>
      <c r="J1237" s="3394" t="s">
        <v>1616</v>
      </c>
      <c r="K1237" s="662"/>
      <c r="L1237" s="662"/>
      <c r="M1237" s="663"/>
      <c r="N1237" s="663"/>
      <c r="O1237" s="663"/>
      <c r="P1237" s="3395"/>
      <c r="Q1237" s="1784" t="str">
        <f>CHOOSE(2, "6722000004155", "D&amp;A Total Depreciation &amp; Amortization  included in COCS")</f>
        <v>D&amp;A Total Depreciation &amp; Amortization  included in COCS</v>
      </c>
      <c r="R1237" s="1337">
        <f t="shared" ref="R1237:AC1237" si="1761">R838</f>
        <v>0</v>
      </c>
      <c r="S1237" s="1337">
        <f t="shared" si="1761"/>
        <v>0</v>
      </c>
      <c r="T1237" s="1337">
        <f t="shared" si="1761"/>
        <v>0</v>
      </c>
      <c r="U1237" s="1337">
        <f t="shared" si="1761"/>
        <v>0</v>
      </c>
      <c r="V1237" s="1337">
        <f t="shared" si="1761"/>
        <v>0</v>
      </c>
      <c r="W1237" s="1337">
        <f t="shared" si="1761"/>
        <v>0</v>
      </c>
      <c r="X1237" s="1337">
        <f t="shared" si="1761"/>
        <v>0</v>
      </c>
      <c r="Y1237" s="1337">
        <f t="shared" si="1761"/>
        <v>0</v>
      </c>
      <c r="Z1237" s="1337">
        <f t="shared" si="1761"/>
        <v>0</v>
      </c>
      <c r="AA1237" s="1337">
        <f t="shared" si="1761"/>
        <v>0</v>
      </c>
      <c r="AB1237" s="1337">
        <f t="shared" si="1761"/>
        <v>0</v>
      </c>
      <c r="AC1237" s="1337">
        <f t="shared" si="1761"/>
        <v>0</v>
      </c>
      <c r="AD1237" s="665">
        <f>SUM(R1237:T1237)</f>
        <v>0</v>
      </c>
      <c r="AE1237" s="665">
        <f>SUM(U1237:W1237)</f>
        <v>0</v>
      </c>
      <c r="AF1237" s="665">
        <f>SUM(X1237:Z1237)</f>
        <v>0</v>
      </c>
      <c r="AG1237" s="665">
        <f>SUM(AA1237:AC1237)</f>
        <v>0</v>
      </c>
      <c r="AH1237" s="665">
        <f>AD1237+AE1237</f>
        <v>0</v>
      </c>
      <c r="AI1237" s="665">
        <f>AG1237+AF1237</f>
        <v>0</v>
      </c>
      <c r="AJ1237" s="665">
        <f>AH1237+AI1237</f>
        <v>0</v>
      </c>
    </row>
    <row r="1238" spans="1:36" s="621" customFormat="1" ht="14.5" hidden="1" outlineLevel="1">
      <c r="A1238" s="616">
        <f t="shared" si="1760"/>
        <v>1022</v>
      </c>
      <c r="B1238" s="653"/>
      <c r="C1238" s="653" t="s">
        <v>1540</v>
      </c>
      <c r="D1238" s="709" t="s">
        <v>1308</v>
      </c>
      <c r="E1238" s="2547">
        <v>1</v>
      </c>
      <c r="F1238" s="622"/>
      <c r="G1238" s="623"/>
      <c r="H1238" s="623"/>
      <c r="I1238" s="666"/>
      <c r="J1238" s="667" t="s">
        <v>1617</v>
      </c>
      <c r="K1238" s="668"/>
      <c r="L1238" s="668"/>
      <c r="M1238" s="669"/>
      <c r="N1238" s="669"/>
      <c r="O1238" s="669"/>
      <c r="P1238" s="670"/>
      <c r="Q1238" s="1784" t="str">
        <f>CHOOSE(2, "6722000004156", "D&amp;A Total Depreciation &amp; Amortization  included in SGA")</f>
        <v>D&amp;A Total Depreciation &amp; Amortization  included in SGA</v>
      </c>
      <c r="R1238" s="1338">
        <f>R1236-R1237</f>
        <v>0</v>
      </c>
      <c r="S1238" s="1338">
        <f t="shared" ref="S1238:AC1238" si="1762">S1236-S1237</f>
        <v>0</v>
      </c>
      <c r="T1238" s="1338">
        <f t="shared" si="1762"/>
        <v>0</v>
      </c>
      <c r="U1238" s="1338">
        <f t="shared" si="1762"/>
        <v>0</v>
      </c>
      <c r="V1238" s="1338">
        <f t="shared" si="1762"/>
        <v>0</v>
      </c>
      <c r="W1238" s="1338">
        <f t="shared" si="1762"/>
        <v>0</v>
      </c>
      <c r="X1238" s="1338">
        <f t="shared" si="1762"/>
        <v>0</v>
      </c>
      <c r="Y1238" s="1338">
        <f t="shared" si="1762"/>
        <v>0</v>
      </c>
      <c r="Z1238" s="1338">
        <f t="shared" si="1762"/>
        <v>0</v>
      </c>
      <c r="AA1238" s="1338">
        <f t="shared" si="1762"/>
        <v>0</v>
      </c>
      <c r="AB1238" s="1338">
        <f t="shared" si="1762"/>
        <v>0</v>
      </c>
      <c r="AC1238" s="1338">
        <f t="shared" si="1762"/>
        <v>0</v>
      </c>
      <c r="AD1238" s="671">
        <f>SUM(R1238:T1238)</f>
        <v>0</v>
      </c>
      <c r="AE1238" s="671">
        <f>SUM(U1238:W1238)</f>
        <v>0</v>
      </c>
      <c r="AF1238" s="671">
        <f>SUM(X1238:Z1238)</f>
        <v>0</v>
      </c>
      <c r="AG1238" s="671">
        <f>SUM(AA1238:AC1238)</f>
        <v>0</v>
      </c>
      <c r="AH1238" s="671">
        <f>AD1238+AE1238</f>
        <v>0</v>
      </c>
      <c r="AI1238" s="671">
        <f>AG1238+AF1238</f>
        <v>0</v>
      </c>
      <c r="AJ1238" s="671">
        <f>AH1238+AI1238</f>
        <v>0</v>
      </c>
    </row>
    <row r="1239" spans="1:36" s="621" customFormat="1" ht="14.5" hidden="1" outlineLevel="1">
      <c r="A1239" s="616">
        <f t="shared" si="1760"/>
        <v>1023</v>
      </c>
      <c r="B1239" s="653"/>
      <c r="C1239" s="653" t="s">
        <v>1540</v>
      </c>
      <c r="D1239" s="709" t="s">
        <v>1308</v>
      </c>
      <c r="E1239" s="2547">
        <v>1</v>
      </c>
      <c r="F1239" s="622"/>
      <c r="G1239" s="622"/>
      <c r="H1239" s="623"/>
      <c r="I1239" s="622"/>
      <c r="K1239" s="622"/>
      <c r="L1239" s="622"/>
      <c r="Q1239" s="1772" t="str">
        <f>CHOOSE(2, "6722000004157", "▷ Blank 47")</f>
        <v>▷ Blank 47</v>
      </c>
      <c r="R1239" s="2641"/>
      <c r="S1239" s="2641"/>
      <c r="T1239" s="2641"/>
      <c r="U1239" s="2641"/>
      <c r="V1239" s="2641"/>
      <c r="W1239" s="2641"/>
      <c r="X1239" s="2641"/>
      <c r="Y1239" s="2641"/>
      <c r="Z1239" s="2641"/>
      <c r="AA1239" s="2641"/>
    </row>
    <row r="1240" spans="1:36" s="621" customFormat="1" ht="15.5" hidden="1" outlineLevel="1">
      <c r="A1240" s="616">
        <f t="shared" si="1760"/>
        <v>1024</v>
      </c>
      <c r="B1240" s="653"/>
      <c r="C1240" s="653" t="s">
        <v>1540</v>
      </c>
      <c r="D1240" s="709" t="s">
        <v>1308</v>
      </c>
      <c r="E1240" s="2547">
        <v>1</v>
      </c>
      <c r="F1240" s="622"/>
      <c r="G1240" s="672" t="s">
        <v>1618</v>
      </c>
      <c r="H1240" s="623"/>
      <c r="I1240" s="622"/>
      <c r="J1240" s="673"/>
      <c r="K1240" s="674"/>
      <c r="L1240" s="673"/>
      <c r="M1240" s="673"/>
      <c r="N1240" s="674"/>
      <c r="O1240" s="674"/>
      <c r="P1240" s="674"/>
      <c r="Q1240" s="1773" t="str">
        <f>CHOOSE(2, "6722000004158", "8-2. Notes and Accounts Receivable-Trade")</f>
        <v>8-2. Notes and Accounts Receivable-Trade</v>
      </c>
      <c r="R1240" s="2642"/>
      <c r="S1240" s="2642"/>
      <c r="T1240" s="2642"/>
      <c r="U1240" s="2642"/>
      <c r="V1240" s="2642"/>
      <c r="W1240" s="2642"/>
      <c r="X1240" s="2643"/>
      <c r="Y1240" s="2643"/>
      <c r="Z1240" s="2643"/>
      <c r="AA1240" s="2643"/>
      <c r="AB1240" s="2643"/>
      <c r="AC1240" s="2643"/>
      <c r="AD1240" s="2643"/>
      <c r="AE1240" s="2643"/>
      <c r="AF1240" s="2643"/>
      <c r="AG1240" s="2643"/>
      <c r="AH1240" s="2643"/>
      <c r="AI1240" s="2643"/>
      <c r="AJ1240" s="2643"/>
    </row>
    <row r="1241" spans="1:36" s="621" customFormat="1" ht="14.5" hidden="1" outlineLevel="1">
      <c r="A1241" s="616">
        <f t="shared" si="1760"/>
        <v>1025</v>
      </c>
      <c r="B1241" s="653"/>
      <c r="C1241" s="653" t="s">
        <v>1540</v>
      </c>
      <c r="D1241" s="709" t="s">
        <v>1308</v>
      </c>
      <c r="E1241" s="2547">
        <v>1</v>
      </c>
      <c r="F1241" s="622"/>
      <c r="G1241" s="623"/>
      <c r="H1241" s="623"/>
      <c r="I1241" s="2416" t="s">
        <v>1615</v>
      </c>
      <c r="J1241" s="2417"/>
      <c r="K1241" s="2418"/>
      <c r="L1241" s="2419"/>
      <c r="M1241" s="2419"/>
      <c r="N1241" s="2418"/>
      <c r="O1241" s="2418"/>
      <c r="P1241" s="2418"/>
      <c r="Q1241" s="1786" t="str">
        <f>CHOOSE(2, "6722000004159", "Notes and Accounts Receivable-Trade Total")</f>
        <v>Notes and Accounts Receivable-Trade Total</v>
      </c>
      <c r="R1241" s="3396">
        <f>SUM(R1242:R1243)</f>
        <v>0</v>
      </c>
      <c r="S1241" s="3396">
        <f t="shared" ref="S1241:AC1241" si="1763">SUM(S1242:S1243)</f>
        <v>0</v>
      </c>
      <c r="T1241" s="3396">
        <f t="shared" si="1763"/>
        <v>0</v>
      </c>
      <c r="U1241" s="3396">
        <f t="shared" si="1763"/>
        <v>0</v>
      </c>
      <c r="V1241" s="3396">
        <f t="shared" si="1763"/>
        <v>0</v>
      </c>
      <c r="W1241" s="3396">
        <f t="shared" si="1763"/>
        <v>0</v>
      </c>
      <c r="X1241" s="3396">
        <f t="shared" si="1763"/>
        <v>0</v>
      </c>
      <c r="Y1241" s="3396">
        <f t="shared" si="1763"/>
        <v>0</v>
      </c>
      <c r="Z1241" s="3396">
        <f t="shared" si="1763"/>
        <v>0</v>
      </c>
      <c r="AA1241" s="3396">
        <f t="shared" si="1763"/>
        <v>0</v>
      </c>
      <c r="AB1241" s="3396">
        <f t="shared" si="1763"/>
        <v>0</v>
      </c>
      <c r="AC1241" s="3396">
        <f t="shared" si="1763"/>
        <v>0</v>
      </c>
      <c r="AD1241" s="3396">
        <f>T1241</f>
        <v>0</v>
      </c>
      <c r="AE1241" s="3396">
        <f>W1241</f>
        <v>0</v>
      </c>
      <c r="AF1241" s="3396">
        <f>Z1241</f>
        <v>0</v>
      </c>
      <c r="AG1241" s="3396">
        <f>AC1241</f>
        <v>0</v>
      </c>
      <c r="AH1241" s="3396">
        <f>AE1241</f>
        <v>0</v>
      </c>
      <c r="AI1241" s="3396">
        <f>AG1241</f>
        <v>0</v>
      </c>
      <c r="AJ1241" s="3396">
        <f>AI1241</f>
        <v>0</v>
      </c>
    </row>
    <row r="1242" spans="1:36" s="621" customFormat="1" ht="14.5" hidden="1" outlineLevel="1">
      <c r="A1242" s="616">
        <f t="shared" si="1760"/>
        <v>1026</v>
      </c>
      <c r="B1242" s="653"/>
      <c r="C1242" s="653" t="s">
        <v>1540</v>
      </c>
      <c r="D1242" s="709" t="s">
        <v>1308</v>
      </c>
      <c r="E1242" s="2547">
        <v>1</v>
      </c>
      <c r="F1242" s="622"/>
      <c r="G1242" s="623"/>
      <c r="H1242" s="623"/>
      <c r="I1242" s="679"/>
      <c r="J1242" s="679"/>
      <c r="K1242" s="674"/>
      <c r="L1242" s="673"/>
      <c r="M1242" s="674" t="s">
        <v>1619</v>
      </c>
      <c r="N1242" s="674"/>
      <c r="O1242" s="674"/>
      <c r="P1242" s="674"/>
      <c r="Q1242" s="1839" t="str">
        <f>CHOOSE(2, "6722000004160", "Notes and Accounts Receivable-Trade Total SS")</f>
        <v>Notes and Accounts Receivable-Trade Total SS</v>
      </c>
      <c r="R1242" s="1339">
        <v>0</v>
      </c>
      <c r="S1242" s="1339">
        <v>0</v>
      </c>
      <c r="T1242" s="1339">
        <v>0</v>
      </c>
      <c r="U1242" s="1339">
        <v>0</v>
      </c>
      <c r="V1242" s="1339">
        <v>0</v>
      </c>
      <c r="W1242" s="1339">
        <v>0</v>
      </c>
      <c r="X1242" s="1339">
        <v>0</v>
      </c>
      <c r="Y1242" s="1339">
        <v>0</v>
      </c>
      <c r="Z1242" s="1339">
        <v>0</v>
      </c>
      <c r="AA1242" s="1339">
        <v>0</v>
      </c>
      <c r="AB1242" s="1340">
        <v>0</v>
      </c>
      <c r="AC1242" s="1340">
        <v>0</v>
      </c>
      <c r="AD1242" s="680">
        <f>T1242</f>
        <v>0</v>
      </c>
      <c r="AE1242" s="680">
        <f>W1242</f>
        <v>0</v>
      </c>
      <c r="AF1242" s="680">
        <f>Z1242</f>
        <v>0</v>
      </c>
      <c r="AG1242" s="680">
        <f>AC1242</f>
        <v>0</v>
      </c>
      <c r="AH1242" s="680">
        <f>AE1242</f>
        <v>0</v>
      </c>
      <c r="AI1242" s="680">
        <f>AG1242</f>
        <v>0</v>
      </c>
      <c r="AJ1242" s="680">
        <f>AI1242</f>
        <v>0</v>
      </c>
    </row>
    <row r="1243" spans="1:36" s="621" customFormat="1" ht="14.5" hidden="1" outlineLevel="1">
      <c r="A1243" s="616">
        <f t="shared" si="1760"/>
        <v>1027</v>
      </c>
      <c r="B1243" s="653"/>
      <c r="C1243" s="653" t="s">
        <v>1540</v>
      </c>
      <c r="D1243" s="709" t="s">
        <v>1308</v>
      </c>
      <c r="E1243" s="2547">
        <v>1</v>
      </c>
      <c r="F1243" s="622"/>
      <c r="G1243" s="623"/>
      <c r="H1243" s="623"/>
      <c r="I1243" s="681"/>
      <c r="J1243" s="682"/>
      <c r="K1243" s="683"/>
      <c r="L1243" s="684"/>
      <c r="M1243" s="683" t="s">
        <v>1620</v>
      </c>
      <c r="N1243" s="683"/>
      <c r="O1243" s="683"/>
      <c r="P1243" s="683"/>
      <c r="Q1243" s="1839" t="str">
        <f>CHOOSE(2, "6722000004161", "Notes and Accounts Receivable-Trade Total I&amp;O")</f>
        <v>Notes and Accounts Receivable-Trade Total I&amp;O</v>
      </c>
      <c r="R1243" s="1341">
        <v>0</v>
      </c>
      <c r="S1243" s="1341">
        <v>0</v>
      </c>
      <c r="T1243" s="1341">
        <v>0</v>
      </c>
      <c r="U1243" s="1341">
        <v>0</v>
      </c>
      <c r="V1243" s="1341">
        <v>0</v>
      </c>
      <c r="W1243" s="1341">
        <v>0</v>
      </c>
      <c r="X1243" s="1341">
        <v>0</v>
      </c>
      <c r="Y1243" s="1341">
        <v>0</v>
      </c>
      <c r="Z1243" s="1341">
        <v>0</v>
      </c>
      <c r="AA1243" s="1341">
        <v>0</v>
      </c>
      <c r="AB1243" s="1341">
        <v>0</v>
      </c>
      <c r="AC1243" s="1341">
        <v>0</v>
      </c>
      <c r="AD1243" s="685">
        <f>T1243</f>
        <v>0</v>
      </c>
      <c r="AE1243" s="685">
        <f>W1243</f>
        <v>0</v>
      </c>
      <c r="AF1243" s="685">
        <f>Z1243</f>
        <v>0</v>
      </c>
      <c r="AG1243" s="685">
        <f>AC1243</f>
        <v>0</v>
      </c>
      <c r="AH1243" s="685">
        <f>AE1243</f>
        <v>0</v>
      </c>
      <c r="AI1243" s="685">
        <f>AG1243</f>
        <v>0</v>
      </c>
      <c r="AJ1243" s="685">
        <f>AI1243</f>
        <v>0</v>
      </c>
    </row>
    <row r="1244" spans="1:36" s="621" customFormat="1" ht="14.5" hidden="1" outlineLevel="1">
      <c r="A1244" s="616">
        <f t="shared" si="1760"/>
        <v>1028</v>
      </c>
      <c r="B1244" s="653"/>
      <c r="C1244" s="653" t="s">
        <v>1540</v>
      </c>
      <c r="D1244" s="709" t="s">
        <v>1308</v>
      </c>
      <c r="E1244" s="2547">
        <v>1</v>
      </c>
      <c r="F1244" s="622"/>
      <c r="G1244" s="623"/>
      <c r="H1244" s="623"/>
      <c r="I1244" s="673"/>
      <c r="J1244" s="673"/>
      <c r="K1244" s="674"/>
      <c r="L1244" s="673"/>
      <c r="M1244" s="674"/>
      <c r="N1244" s="674"/>
      <c r="O1244" s="674"/>
      <c r="P1244" s="674"/>
      <c r="Q1244" s="1786" t="str">
        <f>CHOOSE(2, "6722000004162", "▷ Blank 48")</f>
        <v>▷ Blank 48</v>
      </c>
      <c r="R1244" s="3397"/>
      <c r="S1244" s="3397"/>
      <c r="T1244" s="3397"/>
      <c r="U1244" s="3397"/>
      <c r="V1244" s="3397"/>
      <c r="W1244" s="3397"/>
      <c r="X1244" s="3398"/>
      <c r="Y1244" s="3398"/>
      <c r="Z1244" s="3398"/>
      <c r="AA1244" s="3398"/>
      <c r="AB1244" s="3398"/>
      <c r="AC1244" s="3398"/>
      <c r="AD1244" s="3398"/>
      <c r="AE1244" s="3398"/>
      <c r="AF1244" s="3398"/>
      <c r="AG1244" s="3398"/>
      <c r="AH1244" s="3398"/>
      <c r="AI1244" s="3398"/>
      <c r="AJ1244" s="3398"/>
    </row>
    <row r="1245" spans="1:36" s="621" customFormat="1" ht="15.5" hidden="1" outlineLevel="1">
      <c r="A1245" s="616">
        <f t="shared" si="1760"/>
        <v>1029</v>
      </c>
      <c r="B1245" s="653"/>
      <c r="C1245" s="653" t="s">
        <v>1540</v>
      </c>
      <c r="D1245" s="709" t="s">
        <v>1308</v>
      </c>
      <c r="E1245" s="2547">
        <v>1</v>
      </c>
      <c r="F1245" s="622"/>
      <c r="G1245" s="672" t="s">
        <v>1621</v>
      </c>
      <c r="H1245" s="624"/>
      <c r="I1245" s="622"/>
      <c r="J1245" s="673"/>
      <c r="K1245" s="674"/>
      <c r="L1245" s="673"/>
      <c r="M1245" s="674"/>
      <c r="N1245" s="674"/>
      <c r="O1245" s="674"/>
      <c r="P1245" s="674"/>
      <c r="Q1245" s="1786" t="str">
        <f>CHOOSE(2, "6722000004163", "8-3. Notes and Accounts Payable-Trade")</f>
        <v>8-3. Notes and Accounts Payable-Trade</v>
      </c>
      <c r="R1245" s="3397"/>
      <c r="S1245" s="3397"/>
      <c r="T1245" s="3397"/>
      <c r="U1245" s="3397"/>
      <c r="V1245" s="3397"/>
      <c r="W1245" s="3397"/>
      <c r="X1245" s="3398"/>
      <c r="Y1245" s="3398"/>
      <c r="Z1245" s="3398"/>
      <c r="AA1245" s="3398"/>
      <c r="AB1245" s="3398"/>
      <c r="AC1245" s="3398"/>
      <c r="AD1245" s="3398"/>
      <c r="AE1245" s="3398"/>
      <c r="AF1245" s="3398"/>
      <c r="AG1245" s="3398"/>
      <c r="AH1245" s="3398"/>
      <c r="AI1245" s="3398"/>
      <c r="AJ1245" s="3398"/>
    </row>
    <row r="1246" spans="1:36" s="621" customFormat="1" ht="14.5" hidden="1" outlineLevel="1">
      <c r="A1246" s="616">
        <f t="shared" si="1760"/>
        <v>1030</v>
      </c>
      <c r="B1246" s="653"/>
      <c r="C1246" s="653" t="s">
        <v>1540</v>
      </c>
      <c r="D1246" s="709" t="s">
        <v>1308</v>
      </c>
      <c r="E1246" s="2547">
        <v>1</v>
      </c>
      <c r="F1246" s="622"/>
      <c r="G1246" s="623"/>
      <c r="H1246" s="623"/>
      <c r="I1246" s="2416" t="s">
        <v>1615</v>
      </c>
      <c r="J1246" s="2417"/>
      <c r="K1246" s="2418"/>
      <c r="L1246" s="2419"/>
      <c r="M1246" s="2419"/>
      <c r="N1246" s="2418"/>
      <c r="O1246" s="2418"/>
      <c r="P1246" s="2418"/>
      <c r="Q1246" s="1786" t="str">
        <f>CHOOSE(2, "6722000004164", "Notes and Accounts Payable-Trade Total")</f>
        <v>Notes and Accounts Payable-Trade Total</v>
      </c>
      <c r="R1246" s="3396">
        <f t="shared" ref="R1246:AC1246" si="1764">SUM(R1247:R1248)</f>
        <v>0</v>
      </c>
      <c r="S1246" s="3396">
        <f t="shared" si="1764"/>
        <v>0</v>
      </c>
      <c r="T1246" s="3396">
        <f t="shared" si="1764"/>
        <v>0</v>
      </c>
      <c r="U1246" s="3396">
        <f t="shared" si="1764"/>
        <v>0</v>
      </c>
      <c r="V1246" s="3396">
        <f t="shared" si="1764"/>
        <v>0</v>
      </c>
      <c r="W1246" s="3396">
        <f t="shared" si="1764"/>
        <v>0</v>
      </c>
      <c r="X1246" s="3396">
        <f t="shared" si="1764"/>
        <v>0</v>
      </c>
      <c r="Y1246" s="3396">
        <f t="shared" si="1764"/>
        <v>0</v>
      </c>
      <c r="Z1246" s="3396">
        <f t="shared" si="1764"/>
        <v>0</v>
      </c>
      <c r="AA1246" s="3396">
        <f t="shared" si="1764"/>
        <v>0</v>
      </c>
      <c r="AB1246" s="3396">
        <f t="shared" si="1764"/>
        <v>0</v>
      </c>
      <c r="AC1246" s="3396">
        <f t="shared" si="1764"/>
        <v>0</v>
      </c>
      <c r="AD1246" s="3396">
        <f>T1246</f>
        <v>0</v>
      </c>
      <c r="AE1246" s="3396">
        <f>W1246</f>
        <v>0</v>
      </c>
      <c r="AF1246" s="3396">
        <f>Z1246</f>
        <v>0</v>
      </c>
      <c r="AG1246" s="3396">
        <f>AC1246</f>
        <v>0</v>
      </c>
      <c r="AH1246" s="3396">
        <f>AE1246</f>
        <v>0</v>
      </c>
      <c r="AI1246" s="3396">
        <f>AG1246</f>
        <v>0</v>
      </c>
      <c r="AJ1246" s="3396">
        <f>AI1246</f>
        <v>0</v>
      </c>
    </row>
    <row r="1247" spans="1:36" s="621" customFormat="1" ht="14.5" hidden="1" outlineLevel="1">
      <c r="A1247" s="616">
        <f t="shared" si="1760"/>
        <v>1031</v>
      </c>
      <c r="B1247" s="653"/>
      <c r="C1247" s="653" t="s">
        <v>1540</v>
      </c>
      <c r="D1247" s="709" t="s">
        <v>1308</v>
      </c>
      <c r="E1247" s="2547">
        <v>1</v>
      </c>
      <c r="F1247" s="622"/>
      <c r="G1247" s="623"/>
      <c r="H1247" s="623"/>
      <c r="I1247" s="679"/>
      <c r="J1247" s="679"/>
      <c r="K1247" s="674"/>
      <c r="L1247" s="673"/>
      <c r="M1247" s="674" t="s">
        <v>1619</v>
      </c>
      <c r="N1247" s="674"/>
      <c r="O1247" s="674"/>
      <c r="P1247" s="674"/>
      <c r="Q1247" s="1839" t="str">
        <f>CHOOSE(2, "6722000004165", "Notes and Accounts Payable-Trade Total SS")</f>
        <v>Notes and Accounts Payable-Trade Total SS</v>
      </c>
      <c r="R1247" s="1339">
        <v>0</v>
      </c>
      <c r="S1247" s="1339">
        <v>0</v>
      </c>
      <c r="T1247" s="1339">
        <v>0</v>
      </c>
      <c r="U1247" s="1339">
        <v>0</v>
      </c>
      <c r="V1247" s="1339">
        <v>0</v>
      </c>
      <c r="W1247" s="1339">
        <v>0</v>
      </c>
      <c r="X1247" s="1339">
        <v>0</v>
      </c>
      <c r="Y1247" s="1339">
        <v>0</v>
      </c>
      <c r="Z1247" s="1339">
        <v>0</v>
      </c>
      <c r="AA1247" s="1339">
        <v>0</v>
      </c>
      <c r="AB1247" s="1342">
        <v>0</v>
      </c>
      <c r="AC1247" s="1342">
        <v>0</v>
      </c>
      <c r="AD1247" s="3399">
        <f>T1247</f>
        <v>0</v>
      </c>
      <c r="AE1247" s="3399">
        <f>W1247</f>
        <v>0</v>
      </c>
      <c r="AF1247" s="3399">
        <f>Z1247</f>
        <v>0</v>
      </c>
      <c r="AG1247" s="3399">
        <f>AC1247</f>
        <v>0</v>
      </c>
      <c r="AH1247" s="3399">
        <f>AE1247</f>
        <v>0</v>
      </c>
      <c r="AI1247" s="3399">
        <f>AG1247</f>
        <v>0</v>
      </c>
      <c r="AJ1247" s="3399">
        <f>AI1247</f>
        <v>0</v>
      </c>
    </row>
    <row r="1248" spans="1:36" s="621" customFormat="1" ht="14.5" hidden="1" outlineLevel="1">
      <c r="A1248" s="616">
        <f t="shared" si="1760"/>
        <v>1032</v>
      </c>
      <c r="B1248" s="653"/>
      <c r="C1248" s="653" t="s">
        <v>1540</v>
      </c>
      <c r="D1248" s="709" t="s">
        <v>1308</v>
      </c>
      <c r="E1248" s="2547">
        <v>1</v>
      </c>
      <c r="F1248" s="622"/>
      <c r="G1248" s="623"/>
      <c r="H1248" s="623"/>
      <c r="I1248" s="681"/>
      <c r="J1248" s="682"/>
      <c r="K1248" s="683"/>
      <c r="L1248" s="684"/>
      <c r="M1248" s="683" t="s">
        <v>1620</v>
      </c>
      <c r="N1248" s="683"/>
      <c r="O1248" s="683"/>
      <c r="P1248" s="683"/>
      <c r="Q1248" s="1839" t="str">
        <f>CHOOSE(2, "6722000004166", "Notes and Accounts Payable-Trade Total I&amp;O")</f>
        <v>Notes and Accounts Payable-Trade Total I&amp;O</v>
      </c>
      <c r="R1248" s="1341">
        <v>0</v>
      </c>
      <c r="S1248" s="1341">
        <v>0</v>
      </c>
      <c r="T1248" s="1341">
        <v>0</v>
      </c>
      <c r="U1248" s="1341">
        <v>0</v>
      </c>
      <c r="V1248" s="1341">
        <v>0</v>
      </c>
      <c r="W1248" s="1341">
        <v>0</v>
      </c>
      <c r="X1248" s="1341">
        <v>0</v>
      </c>
      <c r="Y1248" s="1341">
        <v>0</v>
      </c>
      <c r="Z1248" s="1341">
        <v>0</v>
      </c>
      <c r="AA1248" s="1341">
        <v>0</v>
      </c>
      <c r="AB1248" s="1343">
        <v>0</v>
      </c>
      <c r="AC1248" s="1343">
        <v>0</v>
      </c>
      <c r="AD1248" s="685">
        <f>T1248</f>
        <v>0</v>
      </c>
      <c r="AE1248" s="685">
        <f>W1248</f>
        <v>0</v>
      </c>
      <c r="AF1248" s="685">
        <f>Z1248</f>
        <v>0</v>
      </c>
      <c r="AG1248" s="685">
        <f>AC1248</f>
        <v>0</v>
      </c>
      <c r="AH1248" s="685">
        <f>AE1248</f>
        <v>0</v>
      </c>
      <c r="AI1248" s="685">
        <f>AG1248</f>
        <v>0</v>
      </c>
      <c r="AJ1248" s="685">
        <f>AI1248</f>
        <v>0</v>
      </c>
    </row>
    <row r="1249" spans="1:36" s="621" customFormat="1" ht="14.5" hidden="1" outlineLevel="1">
      <c r="A1249" s="616">
        <f t="shared" si="1760"/>
        <v>1033</v>
      </c>
      <c r="B1249" s="653"/>
      <c r="C1249" s="653" t="s">
        <v>1540</v>
      </c>
      <c r="D1249" s="709" t="s">
        <v>1308</v>
      </c>
      <c r="E1249" s="2547">
        <v>1</v>
      </c>
      <c r="F1249" s="622"/>
      <c r="G1249" s="623"/>
      <c r="H1249" s="623"/>
      <c r="I1249" s="622"/>
      <c r="K1249" s="622"/>
      <c r="L1249" s="622"/>
      <c r="Q1249" s="1772" t="str">
        <f>CHOOSE(2, "6722000004167", "▷ Blank 49")</f>
        <v>▷ Blank 49</v>
      </c>
      <c r="R1249" s="2641"/>
      <c r="S1249" s="2641"/>
      <c r="T1249" s="2641"/>
      <c r="U1249" s="2641"/>
      <c r="V1249" s="2641"/>
      <c r="W1249" s="2641"/>
      <c r="X1249" s="2641"/>
      <c r="Y1249" s="2641"/>
      <c r="Z1249" s="2641"/>
      <c r="AA1249" s="2641"/>
    </row>
    <row r="1250" spans="1:36" s="621" customFormat="1" ht="15.5" hidden="1" outlineLevel="1">
      <c r="A1250" s="616">
        <f t="shared" si="1760"/>
        <v>1034</v>
      </c>
      <c r="B1250" s="653"/>
      <c r="C1250" s="653" t="s">
        <v>1540</v>
      </c>
      <c r="D1250" s="709" t="s">
        <v>1308</v>
      </c>
      <c r="E1250" s="2547">
        <v>1</v>
      </c>
      <c r="F1250" s="622"/>
      <c r="G1250" s="672" t="s">
        <v>1622</v>
      </c>
      <c r="H1250" s="623"/>
      <c r="I1250" s="622"/>
      <c r="K1250" s="622"/>
      <c r="L1250" s="622"/>
      <c r="M1250" s="622"/>
      <c r="Q1250" s="1772" t="str">
        <f>CHOOSE(2, "6722000004168", "8-4. IP Unit")</f>
        <v>8-4. IP Unit</v>
      </c>
      <c r="R1250" s="2641"/>
      <c r="S1250" s="2641"/>
      <c r="T1250" s="2641"/>
      <c r="U1250" s="2641"/>
      <c r="V1250" s="2641"/>
      <c r="W1250" s="2641"/>
      <c r="X1250" s="2641"/>
      <c r="Y1250" s="2641"/>
      <c r="Z1250" s="2641"/>
      <c r="AA1250" s="1661"/>
      <c r="AB1250" s="624"/>
      <c r="AC1250" s="624"/>
    </row>
    <row r="1251" spans="1:36" s="621" customFormat="1" ht="14.5" hidden="1" outlineLevel="1">
      <c r="A1251" s="616">
        <f t="shared" si="1760"/>
        <v>1035</v>
      </c>
      <c r="B1251" s="653"/>
      <c r="C1251" s="653" t="s">
        <v>1540</v>
      </c>
      <c r="D1251" s="709" t="s">
        <v>1308</v>
      </c>
      <c r="E1251" s="2547">
        <v>1</v>
      </c>
      <c r="F1251" s="622"/>
      <c r="G1251" s="623"/>
      <c r="H1251" s="623"/>
      <c r="I1251" s="3400" t="s">
        <v>1623</v>
      </c>
      <c r="J1251" s="2431"/>
      <c r="K1251" s="2431"/>
      <c r="L1251" s="2431"/>
      <c r="M1251" s="2432" t="s">
        <v>449</v>
      </c>
      <c r="N1251" s="2433"/>
      <c r="O1251" s="2433"/>
      <c r="P1251" s="2432" t="s">
        <v>450</v>
      </c>
      <c r="Q1251" s="1840" t="str">
        <f>CHOOSE(2, "6722000004169", "IP Product Name Codename")</f>
        <v>IP Product Name Codename</v>
      </c>
      <c r="R1251" s="2434">
        <f>R13</f>
        <v>44652</v>
      </c>
      <c r="S1251" s="2434">
        <f t="shared" ref="S1251:AC1251" si="1765">S13</f>
        <v>44682</v>
      </c>
      <c r="T1251" s="2434">
        <f t="shared" si="1765"/>
        <v>44713</v>
      </c>
      <c r="U1251" s="2434">
        <f t="shared" si="1765"/>
        <v>44743</v>
      </c>
      <c r="V1251" s="2434">
        <f t="shared" si="1765"/>
        <v>44774</v>
      </c>
      <c r="W1251" s="2434">
        <f t="shared" si="1765"/>
        <v>44805</v>
      </c>
      <c r="X1251" s="2434">
        <f t="shared" si="1765"/>
        <v>44835</v>
      </c>
      <c r="Y1251" s="2434">
        <f t="shared" si="1765"/>
        <v>44866</v>
      </c>
      <c r="Z1251" s="2434">
        <f t="shared" si="1765"/>
        <v>44896</v>
      </c>
      <c r="AA1251" s="2434">
        <f t="shared" si="1765"/>
        <v>44927</v>
      </c>
      <c r="AB1251" s="2434">
        <f t="shared" si="1765"/>
        <v>44958</v>
      </c>
      <c r="AC1251" s="2434">
        <f t="shared" si="1765"/>
        <v>44986</v>
      </c>
      <c r="AD1251" s="2434" t="str">
        <f t="shared" ref="AD1251:AJ1251" si="1766">AD$13</f>
        <v>Q1</v>
      </c>
      <c r="AE1251" s="2434" t="str">
        <f t="shared" si="1766"/>
        <v>Q2</v>
      </c>
      <c r="AF1251" s="2434" t="str">
        <f t="shared" si="1766"/>
        <v>Q3</v>
      </c>
      <c r="AG1251" s="2434" t="str">
        <f t="shared" si="1766"/>
        <v>Q4</v>
      </c>
      <c r="AH1251" s="2434" t="str">
        <f t="shared" si="1766"/>
        <v>1st H</v>
      </c>
      <c r="AI1251" s="2434" t="str">
        <f t="shared" si="1766"/>
        <v>2nd H</v>
      </c>
      <c r="AJ1251" s="2434" t="str">
        <f t="shared" si="1766"/>
        <v>Yr.</v>
      </c>
    </row>
    <row r="1252" spans="1:36" s="621" customFormat="1" ht="14.5" hidden="1" outlineLevel="1">
      <c r="A1252" s="616">
        <f t="shared" si="1760"/>
        <v>1036</v>
      </c>
      <c r="B1252" s="653"/>
      <c r="C1252" s="653" t="s">
        <v>1540</v>
      </c>
      <c r="D1252" s="709" t="s">
        <v>1308</v>
      </c>
      <c r="E1252" s="2547">
        <v>1</v>
      </c>
      <c r="F1252" s="622"/>
      <c r="G1252" s="623"/>
      <c r="H1252" s="623"/>
      <c r="I1252" s="690"/>
      <c r="J1252" s="662" t="s">
        <v>587</v>
      </c>
      <c r="K1252" s="663"/>
      <c r="L1252" s="663"/>
      <c r="M1252" s="663" t="s">
        <v>451</v>
      </c>
      <c r="N1252" s="663"/>
      <c r="O1252" s="663"/>
      <c r="P1252" s="663" t="s">
        <v>10</v>
      </c>
      <c r="Q1252" s="1841" t="str">
        <f>CHOOSE(2, "6722000004170", "IP KM-1/KM-1e Ac Jet KM-1 KM-1")</f>
        <v>IP KM-1/KM-1e Ac Jet KM-1 KM-1</v>
      </c>
      <c r="R1252" s="1344">
        <v>0</v>
      </c>
      <c r="S1252" s="1344">
        <v>0</v>
      </c>
      <c r="T1252" s="1344">
        <v>0</v>
      </c>
      <c r="U1252" s="1344">
        <v>0</v>
      </c>
      <c r="V1252" s="1344">
        <v>0</v>
      </c>
      <c r="W1252" s="1344">
        <v>0</v>
      </c>
      <c r="X1252" s="1344">
        <v>0</v>
      </c>
      <c r="Y1252" s="1344">
        <v>0</v>
      </c>
      <c r="Z1252" s="1344">
        <v>0</v>
      </c>
      <c r="AA1252" s="1344">
        <v>0</v>
      </c>
      <c r="AB1252" s="1344">
        <v>0</v>
      </c>
      <c r="AC1252" s="1344">
        <v>0</v>
      </c>
      <c r="AD1252" s="3401">
        <f t="shared" ref="AD1252:AD1273" si="1767">SUM(R1252:T1252)</f>
        <v>0</v>
      </c>
      <c r="AE1252" s="3401">
        <f t="shared" ref="AE1252:AE1273" si="1768">SUM(U1252:W1252)</f>
        <v>0</v>
      </c>
      <c r="AF1252" s="3401">
        <f t="shared" ref="AF1252:AF1273" si="1769">SUM(X1252:Z1252)</f>
        <v>0</v>
      </c>
      <c r="AG1252" s="3401">
        <f t="shared" ref="AG1252:AG1273" si="1770">SUM(AA1252:AC1252)</f>
        <v>0</v>
      </c>
      <c r="AH1252" s="3401">
        <f t="shared" ref="AH1252:AH1272" si="1771">AD1252+AE1252</f>
        <v>0</v>
      </c>
      <c r="AI1252" s="3401">
        <f t="shared" ref="AI1252:AI1272" si="1772">AG1252+AF1252</f>
        <v>0</v>
      </c>
      <c r="AJ1252" s="3401">
        <f t="shared" ref="AJ1252:AJ1273" si="1773">AH1252+AI1252</f>
        <v>0</v>
      </c>
    </row>
    <row r="1253" spans="1:36" s="621" customFormat="1" ht="14.5" hidden="1" outlineLevel="1">
      <c r="A1253" s="616">
        <f t="shared" si="1760"/>
        <v>1037</v>
      </c>
      <c r="B1253" s="653"/>
      <c r="C1253" s="653" t="s">
        <v>1540</v>
      </c>
      <c r="D1253" s="709" t="s">
        <v>1308</v>
      </c>
      <c r="E1253" s="2547">
        <v>1</v>
      </c>
      <c r="F1253" s="622"/>
      <c r="G1253" s="623"/>
      <c r="H1253" s="622"/>
      <c r="I1253" s="692"/>
      <c r="J1253" s="693"/>
      <c r="K1253" s="693"/>
      <c r="L1253" s="693"/>
      <c r="M1253" s="693" t="s">
        <v>452</v>
      </c>
      <c r="N1253" s="693"/>
      <c r="O1253" s="693"/>
      <c r="P1253" s="694" t="s">
        <v>453</v>
      </c>
      <c r="Q1253" s="1841" t="str">
        <f>CHOOSE(2, "6722000004171", "IP KM-1/KM-1e Ac Jet KM-1e KM-2")</f>
        <v>IP KM-1/KM-1e Ac Jet KM-1e KM-2</v>
      </c>
      <c r="R1253" s="1345">
        <v>0</v>
      </c>
      <c r="S1253" s="1345">
        <v>0</v>
      </c>
      <c r="T1253" s="1345">
        <v>0</v>
      </c>
      <c r="U1253" s="1345">
        <v>0</v>
      </c>
      <c r="V1253" s="1345">
        <v>0</v>
      </c>
      <c r="W1253" s="1345">
        <v>0</v>
      </c>
      <c r="X1253" s="1345">
        <v>0</v>
      </c>
      <c r="Y1253" s="1345">
        <v>0</v>
      </c>
      <c r="Z1253" s="1345">
        <v>0</v>
      </c>
      <c r="AA1253" s="1345">
        <v>0</v>
      </c>
      <c r="AB1253" s="1345">
        <v>0</v>
      </c>
      <c r="AC1253" s="1345">
        <v>0</v>
      </c>
      <c r="AD1253" s="695">
        <f t="shared" si="1767"/>
        <v>0</v>
      </c>
      <c r="AE1253" s="695">
        <f t="shared" si="1768"/>
        <v>0</v>
      </c>
      <c r="AF1253" s="695">
        <f t="shared" si="1769"/>
        <v>0</v>
      </c>
      <c r="AG1253" s="695">
        <f t="shared" si="1770"/>
        <v>0</v>
      </c>
      <c r="AH1253" s="695">
        <f t="shared" si="1771"/>
        <v>0</v>
      </c>
      <c r="AI1253" s="695">
        <f t="shared" si="1772"/>
        <v>0</v>
      </c>
      <c r="AJ1253" s="695">
        <f t="shared" si="1773"/>
        <v>0</v>
      </c>
    </row>
    <row r="1254" spans="1:36" s="621" customFormat="1" ht="14.5" hidden="1" outlineLevel="1">
      <c r="A1254" s="616">
        <f t="shared" si="1760"/>
        <v>1038</v>
      </c>
      <c r="B1254" s="653"/>
      <c r="C1254" s="653" t="s">
        <v>1540</v>
      </c>
      <c r="D1254" s="709" t="s">
        <v>1308</v>
      </c>
      <c r="E1254" s="2547">
        <v>1</v>
      </c>
      <c r="F1254" s="622"/>
      <c r="G1254" s="623"/>
      <c r="H1254" s="622"/>
      <c r="I1254" s="690"/>
      <c r="J1254" s="696" t="s">
        <v>1401</v>
      </c>
      <c r="K1254" s="697"/>
      <c r="L1254" s="697"/>
      <c r="M1254" s="698" t="s">
        <v>1624</v>
      </c>
      <c r="N1254" s="697"/>
      <c r="O1254" s="697"/>
      <c r="P1254" s="697" t="s">
        <v>455</v>
      </c>
      <c r="Q1254" s="1841" t="str">
        <f>CHOOSE(2, "6722000004172", "IP Label Printer bh PRESS C71cf/AccurioLabel 190 Degas R2R")</f>
        <v>IP Label Printer bh PRESS C71cf/AccurioLabel 190 Degas R2R</v>
      </c>
      <c r="R1254" s="1346">
        <v>0</v>
      </c>
      <c r="S1254" s="1346">
        <v>0</v>
      </c>
      <c r="T1254" s="1346">
        <v>0</v>
      </c>
      <c r="U1254" s="1346">
        <v>0</v>
      </c>
      <c r="V1254" s="1346">
        <v>0</v>
      </c>
      <c r="W1254" s="1346">
        <v>0</v>
      </c>
      <c r="X1254" s="1346">
        <v>0</v>
      </c>
      <c r="Y1254" s="1346">
        <v>0</v>
      </c>
      <c r="Z1254" s="1346">
        <v>0</v>
      </c>
      <c r="AA1254" s="1346">
        <v>0</v>
      </c>
      <c r="AB1254" s="1346">
        <v>0</v>
      </c>
      <c r="AC1254" s="1346">
        <v>0</v>
      </c>
      <c r="AD1254" s="699">
        <f t="shared" si="1767"/>
        <v>0</v>
      </c>
      <c r="AE1254" s="699">
        <f t="shared" si="1768"/>
        <v>0</v>
      </c>
      <c r="AF1254" s="699">
        <f t="shared" si="1769"/>
        <v>0</v>
      </c>
      <c r="AG1254" s="699">
        <f t="shared" si="1770"/>
        <v>0</v>
      </c>
      <c r="AH1254" s="699">
        <f t="shared" si="1771"/>
        <v>0</v>
      </c>
      <c r="AI1254" s="699">
        <f t="shared" si="1772"/>
        <v>0</v>
      </c>
      <c r="AJ1254" s="699">
        <f t="shared" si="1773"/>
        <v>0</v>
      </c>
    </row>
    <row r="1255" spans="1:36" s="621" customFormat="1" ht="14.5" hidden="1" outlineLevel="1">
      <c r="A1255" s="616">
        <f t="shared" si="1760"/>
        <v>1039</v>
      </c>
      <c r="B1255" s="653"/>
      <c r="C1255" s="653" t="s">
        <v>1540</v>
      </c>
      <c r="D1255" s="709" t="s">
        <v>1308</v>
      </c>
      <c r="E1255" s="2547">
        <v>1</v>
      </c>
      <c r="F1255" s="622"/>
      <c r="G1255" s="623"/>
      <c r="H1255" s="622"/>
      <c r="I1255" s="692"/>
      <c r="J1255" s="693"/>
      <c r="K1255" s="693"/>
      <c r="L1255" s="693"/>
      <c r="M1255" s="693" t="s">
        <v>456</v>
      </c>
      <c r="N1255" s="693"/>
      <c r="O1255" s="693"/>
      <c r="P1255" s="693" t="s">
        <v>457</v>
      </c>
      <c r="Q1255" s="1841" t="str">
        <f>CHOOSE(2, "6722000004173", "IP Label Printer Accurio Label 230 Degas-e MLK R2R")</f>
        <v>IP Label Printer Accurio Label 230 Degas-e MLK R2R</v>
      </c>
      <c r="R1255" s="1345">
        <v>0</v>
      </c>
      <c r="S1255" s="1345">
        <v>0</v>
      </c>
      <c r="T1255" s="1345">
        <v>0</v>
      </c>
      <c r="U1255" s="1345">
        <v>0</v>
      </c>
      <c r="V1255" s="1347">
        <v>0</v>
      </c>
      <c r="W1255" s="1345">
        <v>0</v>
      </c>
      <c r="X1255" s="1345">
        <v>0</v>
      </c>
      <c r="Y1255" s="1345">
        <v>0</v>
      </c>
      <c r="Z1255" s="1345">
        <v>0</v>
      </c>
      <c r="AA1255" s="1345">
        <v>0</v>
      </c>
      <c r="AB1255" s="1345">
        <v>0</v>
      </c>
      <c r="AC1255" s="1345">
        <v>0</v>
      </c>
      <c r="AD1255" s="695">
        <f t="shared" si="1767"/>
        <v>0</v>
      </c>
      <c r="AE1255" s="695">
        <f t="shared" si="1768"/>
        <v>0</v>
      </c>
      <c r="AF1255" s="695">
        <f t="shared" si="1769"/>
        <v>0</v>
      </c>
      <c r="AG1255" s="695">
        <f t="shared" si="1770"/>
        <v>0</v>
      </c>
      <c r="AH1255" s="695">
        <f t="shared" si="1771"/>
        <v>0</v>
      </c>
      <c r="AI1255" s="695">
        <f t="shared" si="1772"/>
        <v>0</v>
      </c>
      <c r="AJ1255" s="695">
        <f t="shared" si="1773"/>
        <v>0</v>
      </c>
    </row>
    <row r="1256" spans="1:36" s="621" customFormat="1" ht="14.5" hidden="1" outlineLevel="1">
      <c r="A1256" s="616">
        <f t="shared" si="1760"/>
        <v>1040</v>
      </c>
      <c r="B1256" s="653"/>
      <c r="C1256" s="653" t="s">
        <v>1540</v>
      </c>
      <c r="D1256" s="709" t="s">
        <v>1308</v>
      </c>
      <c r="E1256" s="2547">
        <v>1</v>
      </c>
      <c r="F1256" s="622"/>
      <c r="G1256" s="623"/>
      <c r="H1256" s="622"/>
      <c r="I1256" s="690"/>
      <c r="J1256" s="696" t="s">
        <v>1402</v>
      </c>
      <c r="K1256" s="697"/>
      <c r="L1256" s="697"/>
      <c r="M1256" s="697" t="s">
        <v>458</v>
      </c>
      <c r="N1256" s="697"/>
      <c r="O1256" s="697"/>
      <c r="P1256" s="700" t="s">
        <v>459</v>
      </c>
      <c r="Q1256" s="1841" t="str">
        <f>CHOOSE(2, "6722000004174", "IP MGI Meteor Unlimited Color MUC")</f>
        <v>IP MGI Meteor Unlimited Color MUC</v>
      </c>
      <c r="R1256" s="1346">
        <v>0</v>
      </c>
      <c r="S1256" s="1346">
        <v>0</v>
      </c>
      <c r="T1256" s="1346">
        <v>0</v>
      </c>
      <c r="U1256" s="1346">
        <v>0</v>
      </c>
      <c r="V1256" s="1346">
        <v>0</v>
      </c>
      <c r="W1256" s="1346">
        <v>0</v>
      </c>
      <c r="X1256" s="1346">
        <v>0</v>
      </c>
      <c r="Y1256" s="1346">
        <v>0</v>
      </c>
      <c r="Z1256" s="1346">
        <v>0</v>
      </c>
      <c r="AA1256" s="1346">
        <v>0</v>
      </c>
      <c r="AB1256" s="1346">
        <v>0</v>
      </c>
      <c r="AC1256" s="1346">
        <v>0</v>
      </c>
      <c r="AD1256" s="699">
        <f t="shared" si="1767"/>
        <v>0</v>
      </c>
      <c r="AE1256" s="699">
        <f t="shared" si="1768"/>
        <v>0</v>
      </c>
      <c r="AF1256" s="699">
        <f t="shared" si="1769"/>
        <v>0</v>
      </c>
      <c r="AG1256" s="699">
        <f t="shared" si="1770"/>
        <v>0</v>
      </c>
      <c r="AH1256" s="699">
        <f t="shared" si="1771"/>
        <v>0</v>
      </c>
      <c r="AI1256" s="699">
        <f t="shared" si="1772"/>
        <v>0</v>
      </c>
      <c r="AJ1256" s="699">
        <f t="shared" si="1773"/>
        <v>0</v>
      </c>
    </row>
    <row r="1257" spans="1:36" s="621" customFormat="1" ht="14.5" hidden="1" outlineLevel="1">
      <c r="A1257" s="616">
        <f t="shared" si="1760"/>
        <v>1041</v>
      </c>
      <c r="B1257" s="653"/>
      <c r="C1257" s="653" t="s">
        <v>1540</v>
      </c>
      <c r="D1257" s="709" t="s">
        <v>1308</v>
      </c>
      <c r="E1257" s="2547">
        <v>1</v>
      </c>
      <c r="F1257" s="622"/>
      <c r="G1257" s="623"/>
      <c r="H1257" s="622"/>
      <c r="I1257" s="690"/>
      <c r="M1257" s="621" t="s">
        <v>460</v>
      </c>
      <c r="P1257" s="701" t="s">
        <v>461</v>
      </c>
      <c r="Q1257" s="1841" t="str">
        <f>CHOOSE(2, "6722000004175", "IP MGI JETvarnish 3DS JV3DS")</f>
        <v>IP MGI JETvarnish 3DS JV3DS</v>
      </c>
      <c r="R1257" s="1348">
        <v>0</v>
      </c>
      <c r="S1257" s="1348">
        <v>0</v>
      </c>
      <c r="T1257" s="1348">
        <v>0</v>
      </c>
      <c r="U1257" s="1348">
        <v>0</v>
      </c>
      <c r="V1257" s="1348">
        <v>0</v>
      </c>
      <c r="W1257" s="1348">
        <v>0</v>
      </c>
      <c r="X1257" s="1348">
        <v>0</v>
      </c>
      <c r="Y1257" s="1348">
        <v>0</v>
      </c>
      <c r="Z1257" s="1348">
        <v>0</v>
      </c>
      <c r="AA1257" s="1348">
        <v>0</v>
      </c>
      <c r="AB1257" s="1348">
        <v>0</v>
      </c>
      <c r="AC1257" s="1348">
        <v>0</v>
      </c>
      <c r="AD1257" s="636">
        <f t="shared" si="1767"/>
        <v>0</v>
      </c>
      <c r="AE1257" s="636">
        <f t="shared" si="1768"/>
        <v>0</v>
      </c>
      <c r="AF1257" s="636">
        <f t="shared" si="1769"/>
        <v>0</v>
      </c>
      <c r="AG1257" s="636">
        <f t="shared" si="1770"/>
        <v>0</v>
      </c>
      <c r="AH1257" s="636">
        <f t="shared" si="1771"/>
        <v>0</v>
      </c>
      <c r="AI1257" s="636">
        <f t="shared" si="1772"/>
        <v>0</v>
      </c>
      <c r="AJ1257" s="636">
        <f t="shared" si="1773"/>
        <v>0</v>
      </c>
    </row>
    <row r="1258" spans="1:36" s="621" customFormat="1" ht="14.5" hidden="1" outlineLevel="1">
      <c r="A1258" s="616">
        <f t="shared" si="1760"/>
        <v>1042</v>
      </c>
      <c r="B1258" s="653"/>
      <c r="C1258" s="653" t="s">
        <v>1540</v>
      </c>
      <c r="D1258" s="709" t="s">
        <v>1308</v>
      </c>
      <c r="E1258" s="2547">
        <v>1</v>
      </c>
      <c r="F1258" s="622"/>
      <c r="G1258" s="623"/>
      <c r="H1258" s="622"/>
      <c r="I1258" s="692"/>
      <c r="M1258" s="621" t="s">
        <v>462</v>
      </c>
      <c r="P1258" s="701" t="s">
        <v>463</v>
      </c>
      <c r="Q1258" s="1841" t="str">
        <f>CHOOSE(2, "6722000004176", "IP MGI JETvarnish 3D Evolution52 JV3D Evo52")</f>
        <v>IP MGI JETvarnish 3D Evolution52 JV3D Evo52</v>
      </c>
      <c r="R1258" s="1348">
        <v>0</v>
      </c>
      <c r="S1258" s="1348">
        <v>0</v>
      </c>
      <c r="T1258" s="1348">
        <v>0</v>
      </c>
      <c r="U1258" s="1348">
        <v>0</v>
      </c>
      <c r="V1258" s="1348">
        <v>0</v>
      </c>
      <c r="W1258" s="1348">
        <v>0</v>
      </c>
      <c r="X1258" s="1348">
        <v>0</v>
      </c>
      <c r="Y1258" s="1348">
        <v>0</v>
      </c>
      <c r="Z1258" s="1348">
        <v>0</v>
      </c>
      <c r="AA1258" s="1348">
        <v>0</v>
      </c>
      <c r="AB1258" s="1348">
        <v>0</v>
      </c>
      <c r="AC1258" s="1348">
        <v>0</v>
      </c>
      <c r="AD1258" s="636">
        <f t="shared" si="1767"/>
        <v>0</v>
      </c>
      <c r="AE1258" s="636">
        <f t="shared" si="1768"/>
        <v>0</v>
      </c>
      <c r="AF1258" s="636">
        <f t="shared" si="1769"/>
        <v>0</v>
      </c>
      <c r="AG1258" s="636">
        <f t="shared" si="1770"/>
        <v>0</v>
      </c>
      <c r="AH1258" s="636">
        <f t="shared" si="1771"/>
        <v>0</v>
      </c>
      <c r="AI1258" s="636">
        <f t="shared" si="1772"/>
        <v>0</v>
      </c>
      <c r="AJ1258" s="636">
        <f t="shared" si="1773"/>
        <v>0</v>
      </c>
    </row>
    <row r="1259" spans="1:36" s="621" customFormat="1" ht="14.5" hidden="1" outlineLevel="1">
      <c r="A1259" s="616">
        <f t="shared" si="1760"/>
        <v>1043</v>
      </c>
      <c r="B1259" s="653"/>
      <c r="C1259" s="653" t="s">
        <v>1540</v>
      </c>
      <c r="D1259" s="709" t="s">
        <v>1308</v>
      </c>
      <c r="E1259" s="2547">
        <v>1</v>
      </c>
      <c r="F1259" s="622"/>
      <c r="G1259" s="623"/>
      <c r="H1259" s="622"/>
      <c r="I1259" s="692"/>
      <c r="M1259" s="621" t="s">
        <v>464</v>
      </c>
      <c r="P1259" s="701" t="s">
        <v>465</v>
      </c>
      <c r="Q1259" s="1841" t="str">
        <f>CHOOSE(2, "6722000004177", "IP MGI JETvarnish 3D Evolution64 JV3D Evo64")</f>
        <v>IP MGI JETvarnish 3D Evolution64 JV3D Evo64</v>
      </c>
      <c r="R1259" s="1348">
        <v>0</v>
      </c>
      <c r="S1259" s="1348">
        <v>0</v>
      </c>
      <c r="T1259" s="1348">
        <v>0</v>
      </c>
      <c r="U1259" s="1348">
        <v>0</v>
      </c>
      <c r="V1259" s="1348">
        <v>0</v>
      </c>
      <c r="W1259" s="1348">
        <v>0</v>
      </c>
      <c r="X1259" s="1348">
        <v>0</v>
      </c>
      <c r="Y1259" s="1348">
        <v>0</v>
      </c>
      <c r="Z1259" s="1348">
        <v>0</v>
      </c>
      <c r="AA1259" s="1348">
        <v>0</v>
      </c>
      <c r="AB1259" s="1348">
        <v>0</v>
      </c>
      <c r="AC1259" s="1348">
        <v>0</v>
      </c>
      <c r="AD1259" s="636">
        <f t="shared" si="1767"/>
        <v>0</v>
      </c>
      <c r="AE1259" s="636">
        <f t="shared" si="1768"/>
        <v>0</v>
      </c>
      <c r="AF1259" s="636">
        <f t="shared" si="1769"/>
        <v>0</v>
      </c>
      <c r="AG1259" s="636">
        <f t="shared" si="1770"/>
        <v>0</v>
      </c>
      <c r="AH1259" s="636">
        <f t="shared" si="1771"/>
        <v>0</v>
      </c>
      <c r="AI1259" s="636">
        <f t="shared" si="1772"/>
        <v>0</v>
      </c>
      <c r="AJ1259" s="636">
        <f t="shared" si="1773"/>
        <v>0</v>
      </c>
    </row>
    <row r="1260" spans="1:36" s="621" customFormat="1" ht="14.5" hidden="1" outlineLevel="1">
      <c r="A1260" s="616">
        <f t="shared" si="1760"/>
        <v>1044</v>
      </c>
      <c r="B1260" s="653"/>
      <c r="C1260" s="653" t="s">
        <v>1540</v>
      </c>
      <c r="D1260" s="709" t="s">
        <v>1308</v>
      </c>
      <c r="E1260" s="2547">
        <v>1</v>
      </c>
      <c r="F1260" s="622"/>
      <c r="G1260" s="623"/>
      <c r="H1260" s="622"/>
      <c r="I1260" s="692"/>
      <c r="M1260" s="621" t="s">
        <v>466</v>
      </c>
      <c r="P1260" s="701" t="s">
        <v>467</v>
      </c>
      <c r="Q1260" s="1841" t="str">
        <f>CHOOSE(2, "6722000004178", "IP MGI JETvarnish 3D Evolution75 JV3D Evo75")</f>
        <v>IP MGI JETvarnish 3D Evolution75 JV3D Evo75</v>
      </c>
      <c r="R1260" s="1348">
        <v>0</v>
      </c>
      <c r="S1260" s="1348">
        <v>0</v>
      </c>
      <c r="T1260" s="1348">
        <v>0</v>
      </c>
      <c r="U1260" s="1348">
        <v>0</v>
      </c>
      <c r="V1260" s="1348">
        <v>0</v>
      </c>
      <c r="W1260" s="1348">
        <v>0</v>
      </c>
      <c r="X1260" s="1348">
        <v>0</v>
      </c>
      <c r="Y1260" s="1348">
        <v>0</v>
      </c>
      <c r="Z1260" s="1348">
        <v>0</v>
      </c>
      <c r="AA1260" s="1348">
        <v>0</v>
      </c>
      <c r="AB1260" s="1348">
        <v>0</v>
      </c>
      <c r="AC1260" s="1348">
        <v>0</v>
      </c>
      <c r="AD1260" s="636">
        <f t="shared" si="1767"/>
        <v>0</v>
      </c>
      <c r="AE1260" s="636">
        <f t="shared" si="1768"/>
        <v>0</v>
      </c>
      <c r="AF1260" s="636">
        <f t="shared" si="1769"/>
        <v>0</v>
      </c>
      <c r="AG1260" s="636">
        <f t="shared" si="1770"/>
        <v>0</v>
      </c>
      <c r="AH1260" s="636">
        <f t="shared" si="1771"/>
        <v>0</v>
      </c>
      <c r="AI1260" s="636">
        <f t="shared" si="1772"/>
        <v>0</v>
      </c>
      <c r="AJ1260" s="636">
        <f t="shared" si="1773"/>
        <v>0</v>
      </c>
    </row>
    <row r="1261" spans="1:36" s="621" customFormat="1" ht="14.5" hidden="1" outlineLevel="1">
      <c r="A1261" s="616">
        <f t="shared" si="1760"/>
        <v>1045</v>
      </c>
      <c r="B1261" s="653"/>
      <c r="C1261" s="653" t="s">
        <v>1540</v>
      </c>
      <c r="D1261" s="709" t="s">
        <v>1308</v>
      </c>
      <c r="E1261" s="2547">
        <v>1</v>
      </c>
      <c r="F1261" s="622"/>
      <c r="G1261" s="623"/>
      <c r="H1261" s="622"/>
      <c r="I1261" s="692"/>
      <c r="M1261" s="621" t="s">
        <v>468</v>
      </c>
      <c r="P1261" s="701" t="s">
        <v>469</v>
      </c>
      <c r="Q1261" s="1841" t="str">
        <f>CHOOSE(2, "6722000004179", "IP MGI JETvarnish 3DW JV3DW")</f>
        <v>IP MGI JETvarnish 3DW JV3DW</v>
      </c>
      <c r="R1261" s="1348">
        <v>0</v>
      </c>
      <c r="S1261" s="1348">
        <v>0</v>
      </c>
      <c r="T1261" s="1348">
        <v>0</v>
      </c>
      <c r="U1261" s="1348">
        <v>0</v>
      </c>
      <c r="V1261" s="1348">
        <v>0</v>
      </c>
      <c r="W1261" s="1348">
        <v>0</v>
      </c>
      <c r="X1261" s="1348">
        <v>0</v>
      </c>
      <c r="Y1261" s="1348">
        <v>0</v>
      </c>
      <c r="Z1261" s="1348">
        <v>0</v>
      </c>
      <c r="AA1261" s="1348">
        <v>0</v>
      </c>
      <c r="AB1261" s="1348">
        <v>0</v>
      </c>
      <c r="AC1261" s="1348">
        <v>0</v>
      </c>
      <c r="AD1261" s="636">
        <f t="shared" si="1767"/>
        <v>0</v>
      </c>
      <c r="AE1261" s="636">
        <f t="shared" si="1768"/>
        <v>0</v>
      </c>
      <c r="AF1261" s="636">
        <f t="shared" si="1769"/>
        <v>0</v>
      </c>
      <c r="AG1261" s="636">
        <f t="shared" si="1770"/>
        <v>0</v>
      </c>
      <c r="AH1261" s="636">
        <f t="shared" si="1771"/>
        <v>0</v>
      </c>
      <c r="AI1261" s="636">
        <f t="shared" si="1772"/>
        <v>0</v>
      </c>
      <c r="AJ1261" s="636">
        <f t="shared" si="1773"/>
        <v>0</v>
      </c>
    </row>
    <row r="1262" spans="1:36" s="621" customFormat="1" ht="14.5" hidden="1" outlineLevel="1">
      <c r="A1262" s="616">
        <f t="shared" si="1760"/>
        <v>1046</v>
      </c>
      <c r="B1262" s="653"/>
      <c r="C1262" s="653" t="s">
        <v>1540</v>
      </c>
      <c r="D1262" s="709" t="s">
        <v>1308</v>
      </c>
      <c r="E1262" s="2547">
        <v>1</v>
      </c>
      <c r="F1262" s="622"/>
      <c r="G1262" s="623"/>
      <c r="H1262" s="622"/>
      <c r="I1262" s="690"/>
      <c r="M1262" s="621" t="s">
        <v>470</v>
      </c>
      <c r="P1262" s="701" t="s">
        <v>471</v>
      </c>
      <c r="Q1262" s="1841" t="str">
        <f>CHOOSE(2, "6722000004180", "IP MGI JETvarnish 3D JV3D")</f>
        <v>IP MGI JETvarnish 3D JV3D</v>
      </c>
      <c r="R1262" s="1348">
        <v>0</v>
      </c>
      <c r="S1262" s="1348">
        <v>0</v>
      </c>
      <c r="T1262" s="1348">
        <v>0</v>
      </c>
      <c r="U1262" s="1348">
        <v>0</v>
      </c>
      <c r="V1262" s="1348">
        <v>0</v>
      </c>
      <c r="W1262" s="1348">
        <v>0</v>
      </c>
      <c r="X1262" s="1348">
        <v>0</v>
      </c>
      <c r="Y1262" s="1348">
        <v>0</v>
      </c>
      <c r="Z1262" s="1348">
        <v>0</v>
      </c>
      <c r="AA1262" s="1348">
        <v>0</v>
      </c>
      <c r="AB1262" s="1348">
        <v>0</v>
      </c>
      <c r="AC1262" s="1348">
        <v>0</v>
      </c>
      <c r="AD1262" s="636">
        <f t="shared" si="1767"/>
        <v>0</v>
      </c>
      <c r="AE1262" s="636">
        <f t="shared" si="1768"/>
        <v>0</v>
      </c>
      <c r="AF1262" s="636">
        <f t="shared" si="1769"/>
        <v>0</v>
      </c>
      <c r="AG1262" s="636">
        <f t="shared" si="1770"/>
        <v>0</v>
      </c>
      <c r="AH1262" s="636">
        <f t="shared" si="1771"/>
        <v>0</v>
      </c>
      <c r="AI1262" s="636">
        <f t="shared" si="1772"/>
        <v>0</v>
      </c>
      <c r="AJ1262" s="636">
        <f t="shared" si="1773"/>
        <v>0</v>
      </c>
    </row>
    <row r="1263" spans="1:36" s="621" customFormat="1" ht="14.5" hidden="1" outlineLevel="1">
      <c r="A1263" s="616">
        <f t="shared" si="1760"/>
        <v>1047</v>
      </c>
      <c r="B1263" s="653"/>
      <c r="C1263" s="653" t="s">
        <v>1540</v>
      </c>
      <c r="D1263" s="709" t="s">
        <v>1308</v>
      </c>
      <c r="E1263" s="2547">
        <v>1</v>
      </c>
      <c r="F1263" s="622"/>
      <c r="G1263" s="623"/>
      <c r="H1263" s="622"/>
      <c r="I1263" s="690"/>
      <c r="M1263" s="621" t="s">
        <v>472</v>
      </c>
      <c r="P1263" s="701" t="s">
        <v>473</v>
      </c>
      <c r="Q1263" s="1841" t="str">
        <f>CHOOSE(2, "6722000004181", "IP MGI JETvarnish 3DL JV3DL")</f>
        <v>IP MGI JETvarnish 3DL JV3DL</v>
      </c>
      <c r="R1263" s="1348">
        <v>0</v>
      </c>
      <c r="S1263" s="1348">
        <v>0</v>
      </c>
      <c r="T1263" s="1348">
        <v>0</v>
      </c>
      <c r="U1263" s="1348">
        <v>0</v>
      </c>
      <c r="V1263" s="1348">
        <v>0</v>
      </c>
      <c r="W1263" s="1348">
        <v>0</v>
      </c>
      <c r="X1263" s="1348">
        <v>0</v>
      </c>
      <c r="Y1263" s="1348">
        <v>0</v>
      </c>
      <c r="Z1263" s="1348">
        <v>0</v>
      </c>
      <c r="AA1263" s="1348">
        <v>0</v>
      </c>
      <c r="AB1263" s="1348">
        <v>0</v>
      </c>
      <c r="AC1263" s="1348">
        <v>0</v>
      </c>
      <c r="AD1263" s="636">
        <f t="shared" si="1767"/>
        <v>0</v>
      </c>
      <c r="AE1263" s="636">
        <f t="shared" si="1768"/>
        <v>0</v>
      </c>
      <c r="AF1263" s="636">
        <f t="shared" si="1769"/>
        <v>0</v>
      </c>
      <c r="AG1263" s="636">
        <f t="shared" si="1770"/>
        <v>0</v>
      </c>
      <c r="AH1263" s="636">
        <f t="shared" si="1771"/>
        <v>0</v>
      </c>
      <c r="AI1263" s="636">
        <f t="shared" si="1772"/>
        <v>0</v>
      </c>
      <c r="AJ1263" s="636">
        <f t="shared" si="1773"/>
        <v>0</v>
      </c>
    </row>
    <row r="1264" spans="1:36" s="621" customFormat="1" ht="14.5" hidden="1" outlineLevel="1">
      <c r="A1264" s="616">
        <f t="shared" si="1760"/>
        <v>1048</v>
      </c>
      <c r="B1264" s="653"/>
      <c r="C1264" s="653" t="s">
        <v>1540</v>
      </c>
      <c r="D1264" s="709" t="s">
        <v>1308</v>
      </c>
      <c r="E1264" s="2547">
        <v>1</v>
      </c>
      <c r="F1264" s="622"/>
      <c r="G1264" s="623"/>
      <c r="H1264" s="622"/>
      <c r="I1264" s="690"/>
      <c r="J1264" s="696" t="s">
        <v>1403</v>
      </c>
      <c r="K1264" s="697"/>
      <c r="L1264" s="697"/>
      <c r="M1264" s="697" t="s">
        <v>474</v>
      </c>
      <c r="N1264" s="697"/>
      <c r="O1264" s="697"/>
      <c r="P1264" s="697" t="s">
        <v>474</v>
      </c>
      <c r="Q1264" s="1841" t="str">
        <f>CHOOSE(2, "6722000004182", "IP EFI/LF H1625LED H1625LED")</f>
        <v>IP EFI/LF H1625LED H1625LED</v>
      </c>
      <c r="R1264" s="1346">
        <v>0</v>
      </c>
      <c r="S1264" s="1346">
        <v>0</v>
      </c>
      <c r="T1264" s="1346">
        <v>0</v>
      </c>
      <c r="U1264" s="1346">
        <v>0</v>
      </c>
      <c r="V1264" s="1346">
        <v>0</v>
      </c>
      <c r="W1264" s="1346">
        <v>0</v>
      </c>
      <c r="X1264" s="1346">
        <v>0</v>
      </c>
      <c r="Y1264" s="1346">
        <v>0</v>
      </c>
      <c r="Z1264" s="1346">
        <v>0</v>
      </c>
      <c r="AA1264" s="1346">
        <v>0</v>
      </c>
      <c r="AB1264" s="1346">
        <v>0</v>
      </c>
      <c r="AC1264" s="1346">
        <v>0</v>
      </c>
      <c r="AD1264" s="699">
        <f t="shared" si="1767"/>
        <v>0</v>
      </c>
      <c r="AE1264" s="699">
        <f t="shared" si="1768"/>
        <v>0</v>
      </c>
      <c r="AF1264" s="699">
        <f t="shared" si="1769"/>
        <v>0</v>
      </c>
      <c r="AG1264" s="699">
        <f t="shared" si="1770"/>
        <v>0</v>
      </c>
      <c r="AH1264" s="699">
        <f t="shared" si="1771"/>
        <v>0</v>
      </c>
      <c r="AI1264" s="699">
        <f t="shared" si="1772"/>
        <v>0</v>
      </c>
      <c r="AJ1264" s="699">
        <f t="shared" si="1773"/>
        <v>0</v>
      </c>
    </row>
    <row r="1265" spans="1:36" s="621" customFormat="1" ht="14.5" hidden="1" outlineLevel="1">
      <c r="A1265" s="616">
        <f t="shared" si="1760"/>
        <v>1049</v>
      </c>
      <c r="B1265" s="653"/>
      <c r="C1265" s="653" t="s">
        <v>1540</v>
      </c>
      <c r="D1265" s="709" t="s">
        <v>1308</v>
      </c>
      <c r="E1265" s="2547">
        <v>1</v>
      </c>
      <c r="F1265" s="622"/>
      <c r="G1265" s="623"/>
      <c r="H1265" s="622"/>
      <c r="I1265" s="692"/>
      <c r="M1265" s="621" t="s">
        <v>475</v>
      </c>
      <c r="P1265" s="701" t="s">
        <v>476</v>
      </c>
      <c r="Q1265" s="1841" t="str">
        <f>CHOOSE(2, "6722000004183", "IP EFI/LF AccurioWide 200 Agfa WF200(BUS)")</f>
        <v>IP EFI/LF AccurioWide 200 Agfa WF200(BUS)</v>
      </c>
      <c r="R1265" s="1348">
        <v>0</v>
      </c>
      <c r="S1265" s="1348">
        <v>0</v>
      </c>
      <c r="T1265" s="1348">
        <v>0</v>
      </c>
      <c r="U1265" s="1348">
        <v>0</v>
      </c>
      <c r="V1265" s="1348">
        <v>0</v>
      </c>
      <c r="W1265" s="1348">
        <v>0</v>
      </c>
      <c r="X1265" s="1348">
        <v>0</v>
      </c>
      <c r="Y1265" s="1348">
        <v>0</v>
      </c>
      <c r="Z1265" s="1348">
        <v>0</v>
      </c>
      <c r="AA1265" s="1348">
        <v>0</v>
      </c>
      <c r="AB1265" s="1348">
        <v>0</v>
      </c>
      <c r="AC1265" s="1348">
        <v>0</v>
      </c>
      <c r="AD1265" s="636">
        <f t="shared" si="1767"/>
        <v>0</v>
      </c>
      <c r="AE1265" s="636">
        <f t="shared" si="1768"/>
        <v>0</v>
      </c>
      <c r="AF1265" s="636">
        <f t="shared" si="1769"/>
        <v>0</v>
      </c>
      <c r="AG1265" s="636">
        <f t="shared" si="1770"/>
        <v>0</v>
      </c>
      <c r="AH1265" s="636">
        <f t="shared" si="1771"/>
        <v>0</v>
      </c>
      <c r="AI1265" s="636">
        <f t="shared" si="1772"/>
        <v>0</v>
      </c>
      <c r="AJ1265" s="636">
        <f t="shared" si="1773"/>
        <v>0</v>
      </c>
    </row>
    <row r="1266" spans="1:36" s="621" customFormat="1" ht="14.5" hidden="1" outlineLevel="1">
      <c r="A1266" s="616">
        <f t="shared" si="1760"/>
        <v>1050</v>
      </c>
      <c r="B1266" s="653"/>
      <c r="C1266" s="653" t="s">
        <v>1540</v>
      </c>
      <c r="D1266" s="709" t="s">
        <v>1308</v>
      </c>
      <c r="E1266" s="2547">
        <v>1</v>
      </c>
      <c r="F1266" s="622"/>
      <c r="G1266" s="623"/>
      <c r="H1266" s="622"/>
      <c r="I1266" s="692"/>
      <c r="J1266" s="693"/>
      <c r="K1266" s="693"/>
      <c r="L1266" s="693"/>
      <c r="M1266" s="693" t="s">
        <v>477</v>
      </c>
      <c r="N1266" s="693"/>
      <c r="O1266" s="693"/>
      <c r="P1266" s="694" t="s">
        <v>478</v>
      </c>
      <c r="Q1266" s="1841" t="str">
        <f>CHOOSE(2, "6722000004184", "IP EFI/LF AccurioWide 160 Agfa WF160(BUS)")</f>
        <v>IP EFI/LF AccurioWide 160 Agfa WF160(BUS)</v>
      </c>
      <c r="R1266" s="1345">
        <v>0</v>
      </c>
      <c r="S1266" s="1345">
        <v>0</v>
      </c>
      <c r="T1266" s="1345">
        <v>0</v>
      </c>
      <c r="U1266" s="1345">
        <v>0</v>
      </c>
      <c r="V1266" s="1345">
        <v>0</v>
      </c>
      <c r="W1266" s="1345">
        <v>0</v>
      </c>
      <c r="X1266" s="1345">
        <v>0</v>
      </c>
      <c r="Y1266" s="1345">
        <v>0</v>
      </c>
      <c r="Z1266" s="1345">
        <v>0</v>
      </c>
      <c r="AA1266" s="1345">
        <v>0</v>
      </c>
      <c r="AB1266" s="1345">
        <v>0</v>
      </c>
      <c r="AC1266" s="1345">
        <v>0</v>
      </c>
      <c r="AD1266" s="695">
        <f t="shared" si="1767"/>
        <v>0</v>
      </c>
      <c r="AE1266" s="695">
        <f t="shared" si="1768"/>
        <v>0</v>
      </c>
      <c r="AF1266" s="695">
        <f t="shared" si="1769"/>
        <v>0</v>
      </c>
      <c r="AG1266" s="695">
        <f t="shared" si="1770"/>
        <v>0</v>
      </c>
      <c r="AH1266" s="695">
        <f t="shared" si="1771"/>
        <v>0</v>
      </c>
      <c r="AI1266" s="695">
        <f t="shared" si="1772"/>
        <v>0</v>
      </c>
      <c r="AJ1266" s="695">
        <f t="shared" si="1773"/>
        <v>0</v>
      </c>
    </row>
    <row r="1267" spans="1:36" s="621" customFormat="1" ht="14.5" hidden="1" outlineLevel="1">
      <c r="A1267" s="616">
        <f t="shared" si="1760"/>
        <v>1051</v>
      </c>
      <c r="B1267" s="653"/>
      <c r="C1267" s="653" t="s">
        <v>1540</v>
      </c>
      <c r="D1267" s="709" t="s">
        <v>1308</v>
      </c>
      <c r="E1267" s="2547">
        <v>1</v>
      </c>
      <c r="F1267" s="622"/>
      <c r="G1267" s="623"/>
      <c r="H1267" s="622"/>
      <c r="I1267" s="690"/>
      <c r="J1267" s="622" t="s">
        <v>479</v>
      </c>
      <c r="M1267" s="701" t="s">
        <v>480</v>
      </c>
      <c r="P1267" s="701" t="s">
        <v>481</v>
      </c>
      <c r="Q1267" s="1841" t="str">
        <f>CHOOSE(2, "6722000004185", "IP Textile Printer Nassenger PRO 120  LIBRA2")</f>
        <v>IP Textile Printer Nassenger PRO 120  LIBRA2</v>
      </c>
      <c r="R1267" s="1348">
        <v>0</v>
      </c>
      <c r="S1267" s="1348">
        <v>0</v>
      </c>
      <c r="T1267" s="1348">
        <v>0</v>
      </c>
      <c r="U1267" s="1348">
        <v>0</v>
      </c>
      <c r="V1267" s="1348">
        <v>0</v>
      </c>
      <c r="W1267" s="1348">
        <v>0</v>
      </c>
      <c r="X1267" s="1348">
        <v>0</v>
      </c>
      <c r="Y1267" s="1348">
        <v>0</v>
      </c>
      <c r="Z1267" s="1348">
        <v>0</v>
      </c>
      <c r="AA1267" s="1348">
        <v>0</v>
      </c>
      <c r="AB1267" s="1348">
        <v>0</v>
      </c>
      <c r="AC1267" s="1348">
        <v>0</v>
      </c>
      <c r="AD1267" s="636">
        <f t="shared" si="1767"/>
        <v>0</v>
      </c>
      <c r="AE1267" s="636">
        <f t="shared" si="1768"/>
        <v>0</v>
      </c>
      <c r="AF1267" s="636">
        <f t="shared" si="1769"/>
        <v>0</v>
      </c>
      <c r="AG1267" s="636">
        <f t="shared" si="1770"/>
        <v>0</v>
      </c>
      <c r="AH1267" s="636">
        <f t="shared" si="1771"/>
        <v>0</v>
      </c>
      <c r="AI1267" s="636">
        <f t="shared" si="1772"/>
        <v>0</v>
      </c>
      <c r="AJ1267" s="636">
        <f t="shared" si="1773"/>
        <v>0</v>
      </c>
    </row>
    <row r="1268" spans="1:36" s="621" customFormat="1" ht="14.5" hidden="1" outlineLevel="1">
      <c r="A1268" s="616">
        <f t="shared" si="1760"/>
        <v>1052</v>
      </c>
      <c r="B1268" s="653"/>
      <c r="C1268" s="653" t="s">
        <v>1540</v>
      </c>
      <c r="D1268" s="709" t="s">
        <v>1308</v>
      </c>
      <c r="E1268" s="2547">
        <v>1</v>
      </c>
      <c r="F1268" s="622"/>
      <c r="G1268" s="623"/>
      <c r="H1268" s="622"/>
      <c r="I1268" s="690"/>
      <c r="M1268" s="701" t="s">
        <v>482</v>
      </c>
      <c r="P1268" s="701" t="s">
        <v>483</v>
      </c>
      <c r="Q1268" s="1841" t="str">
        <f>CHOOSE(2, "6722000004186", "IP Textile Printer Nassenger PRO 1000 TP-9")</f>
        <v>IP Textile Printer Nassenger PRO 1000 TP-9</v>
      </c>
      <c r="R1268" s="1348">
        <v>0</v>
      </c>
      <c r="S1268" s="1348">
        <v>0</v>
      </c>
      <c r="T1268" s="1348">
        <v>0</v>
      </c>
      <c r="U1268" s="1348">
        <v>0</v>
      </c>
      <c r="V1268" s="1348">
        <v>0</v>
      </c>
      <c r="W1268" s="1348">
        <v>0</v>
      </c>
      <c r="X1268" s="1348">
        <v>0</v>
      </c>
      <c r="Y1268" s="1348">
        <v>0</v>
      </c>
      <c r="Z1268" s="1348">
        <v>0</v>
      </c>
      <c r="AA1268" s="1348">
        <v>0</v>
      </c>
      <c r="AB1268" s="1348">
        <v>0</v>
      </c>
      <c r="AC1268" s="1348">
        <v>0</v>
      </c>
      <c r="AD1268" s="636">
        <f t="shared" si="1767"/>
        <v>0</v>
      </c>
      <c r="AE1268" s="636">
        <f t="shared" si="1768"/>
        <v>0</v>
      </c>
      <c r="AF1268" s="636">
        <f t="shared" si="1769"/>
        <v>0</v>
      </c>
      <c r="AG1268" s="636">
        <f t="shared" si="1770"/>
        <v>0</v>
      </c>
      <c r="AH1268" s="636">
        <f t="shared" si="1771"/>
        <v>0</v>
      </c>
      <c r="AI1268" s="636">
        <f t="shared" si="1772"/>
        <v>0</v>
      </c>
      <c r="AJ1268" s="636">
        <f t="shared" si="1773"/>
        <v>0</v>
      </c>
    </row>
    <row r="1269" spans="1:36" s="621" customFormat="1" ht="14.5" hidden="1" outlineLevel="1">
      <c r="A1269" s="616">
        <f t="shared" si="1760"/>
        <v>1053</v>
      </c>
      <c r="B1269" s="653"/>
      <c r="C1269" s="653" t="s">
        <v>1540</v>
      </c>
      <c r="D1269" s="709" t="s">
        <v>1308</v>
      </c>
      <c r="E1269" s="2547">
        <v>1</v>
      </c>
      <c r="F1269" s="622"/>
      <c r="G1269" s="623"/>
      <c r="H1269" s="622"/>
      <c r="I1269" s="690"/>
      <c r="M1269" s="701" t="s">
        <v>484</v>
      </c>
      <c r="P1269" s="701" t="s">
        <v>485</v>
      </c>
      <c r="Q1269" s="1841" t="str">
        <f>CHOOSE(2, "6722000004187", "IP Textile Printer Nassenger 10 TP-10")</f>
        <v>IP Textile Printer Nassenger 10 TP-10</v>
      </c>
      <c r="R1269" s="1348">
        <v>0</v>
      </c>
      <c r="S1269" s="1348">
        <v>0</v>
      </c>
      <c r="T1269" s="1348">
        <v>0</v>
      </c>
      <c r="U1269" s="1348">
        <v>0</v>
      </c>
      <c r="V1269" s="1348">
        <v>0</v>
      </c>
      <c r="W1269" s="1348">
        <v>0</v>
      </c>
      <c r="X1269" s="1348">
        <v>0</v>
      </c>
      <c r="Y1269" s="1348">
        <v>0</v>
      </c>
      <c r="Z1269" s="1348">
        <v>0</v>
      </c>
      <c r="AA1269" s="1348">
        <v>0</v>
      </c>
      <c r="AB1269" s="1348">
        <v>0</v>
      </c>
      <c r="AC1269" s="1348">
        <v>0</v>
      </c>
      <c r="AD1269" s="636">
        <f t="shared" si="1767"/>
        <v>0</v>
      </c>
      <c r="AE1269" s="636">
        <f t="shared" si="1768"/>
        <v>0</v>
      </c>
      <c r="AF1269" s="636">
        <f t="shared" si="1769"/>
        <v>0</v>
      </c>
      <c r="AG1269" s="636">
        <f t="shared" si="1770"/>
        <v>0</v>
      </c>
      <c r="AH1269" s="636">
        <f t="shared" si="1771"/>
        <v>0</v>
      </c>
      <c r="AI1269" s="636">
        <f t="shared" si="1772"/>
        <v>0</v>
      </c>
      <c r="AJ1269" s="636">
        <f t="shared" si="1773"/>
        <v>0</v>
      </c>
    </row>
    <row r="1270" spans="1:36" s="621" customFormat="1" ht="14.5" hidden="1" outlineLevel="1">
      <c r="A1270" s="616">
        <f t="shared" si="1760"/>
        <v>1054</v>
      </c>
      <c r="B1270" s="653"/>
      <c r="C1270" s="653" t="s">
        <v>1540</v>
      </c>
      <c r="D1270" s="709" t="s">
        <v>1308</v>
      </c>
      <c r="E1270" s="2547">
        <v>1</v>
      </c>
      <c r="F1270" s="622"/>
      <c r="G1270" s="623"/>
      <c r="H1270" s="622"/>
      <c r="I1270" s="690"/>
      <c r="M1270" s="701" t="s">
        <v>486</v>
      </c>
      <c r="P1270" s="701" t="s">
        <v>487</v>
      </c>
      <c r="Q1270" s="1841" t="str">
        <f>CHOOSE(2, "6722000004188", "IP Textile Printer Nassenger 8")</f>
        <v>IP Textile Printer Nassenger 8</v>
      </c>
      <c r="R1270" s="1348">
        <v>0</v>
      </c>
      <c r="S1270" s="1348">
        <v>0</v>
      </c>
      <c r="T1270" s="1348">
        <v>0</v>
      </c>
      <c r="U1270" s="1348">
        <v>0</v>
      </c>
      <c r="V1270" s="1348">
        <v>0</v>
      </c>
      <c r="W1270" s="1348">
        <v>0</v>
      </c>
      <c r="X1270" s="1348">
        <v>0</v>
      </c>
      <c r="Y1270" s="1348">
        <v>0</v>
      </c>
      <c r="Z1270" s="1348">
        <v>0</v>
      </c>
      <c r="AA1270" s="1348">
        <v>0</v>
      </c>
      <c r="AB1270" s="1348">
        <v>0</v>
      </c>
      <c r="AC1270" s="1348">
        <v>0</v>
      </c>
      <c r="AD1270" s="636">
        <f t="shared" si="1767"/>
        <v>0</v>
      </c>
      <c r="AE1270" s="636">
        <f t="shared" si="1768"/>
        <v>0</v>
      </c>
      <c r="AF1270" s="636">
        <f t="shared" si="1769"/>
        <v>0</v>
      </c>
      <c r="AG1270" s="636">
        <f t="shared" si="1770"/>
        <v>0</v>
      </c>
      <c r="AH1270" s="636">
        <f t="shared" si="1771"/>
        <v>0</v>
      </c>
      <c r="AI1270" s="636">
        <f t="shared" si="1772"/>
        <v>0</v>
      </c>
      <c r="AJ1270" s="636">
        <f t="shared" si="1773"/>
        <v>0</v>
      </c>
    </row>
    <row r="1271" spans="1:36" s="621" customFormat="1" ht="14.5" hidden="1" outlineLevel="1">
      <c r="A1271" s="616">
        <f t="shared" si="1760"/>
        <v>1055</v>
      </c>
      <c r="B1271" s="653"/>
      <c r="C1271" s="653" t="s">
        <v>1540</v>
      </c>
      <c r="D1271" s="709" t="s">
        <v>1308</v>
      </c>
      <c r="E1271" s="2547">
        <v>1</v>
      </c>
      <c r="F1271" s="622"/>
      <c r="G1271" s="623"/>
      <c r="H1271" s="622"/>
      <c r="I1271" s="690"/>
      <c r="M1271" s="701" t="s">
        <v>488</v>
      </c>
      <c r="P1271" s="701" t="s">
        <v>489</v>
      </c>
      <c r="Q1271" s="1841" t="str">
        <f>CHOOSE(2, "6722000004189", "IP Textile Printer Nassenger SP-1")</f>
        <v>IP Textile Printer Nassenger SP-1</v>
      </c>
      <c r="R1271" s="1348">
        <v>0</v>
      </c>
      <c r="S1271" s="1348">
        <v>0</v>
      </c>
      <c r="T1271" s="1348">
        <v>0</v>
      </c>
      <c r="U1271" s="1348">
        <v>0</v>
      </c>
      <c r="V1271" s="1348">
        <v>0</v>
      </c>
      <c r="W1271" s="1348">
        <v>0</v>
      </c>
      <c r="X1271" s="1348">
        <v>0</v>
      </c>
      <c r="Y1271" s="1348">
        <v>0</v>
      </c>
      <c r="Z1271" s="1348">
        <v>0</v>
      </c>
      <c r="AA1271" s="1348">
        <v>0</v>
      </c>
      <c r="AB1271" s="1348">
        <v>0</v>
      </c>
      <c r="AC1271" s="1348">
        <v>0</v>
      </c>
      <c r="AD1271" s="636">
        <f t="shared" si="1767"/>
        <v>0</v>
      </c>
      <c r="AE1271" s="636">
        <f t="shared" si="1768"/>
        <v>0</v>
      </c>
      <c r="AF1271" s="636">
        <f t="shared" si="1769"/>
        <v>0</v>
      </c>
      <c r="AG1271" s="636">
        <f t="shared" si="1770"/>
        <v>0</v>
      </c>
      <c r="AH1271" s="636">
        <f t="shared" si="1771"/>
        <v>0</v>
      </c>
      <c r="AI1271" s="636">
        <f t="shared" si="1772"/>
        <v>0</v>
      </c>
      <c r="AJ1271" s="636">
        <f t="shared" si="1773"/>
        <v>0</v>
      </c>
    </row>
    <row r="1272" spans="1:36" s="621" customFormat="1" ht="14.5" hidden="1" outlineLevel="1">
      <c r="A1272" s="616">
        <f t="shared" si="1760"/>
        <v>1056</v>
      </c>
      <c r="B1272" s="653"/>
      <c r="C1272" s="653" t="s">
        <v>1540</v>
      </c>
      <c r="D1272" s="709" t="s">
        <v>1308</v>
      </c>
      <c r="E1272" s="2547">
        <v>1</v>
      </c>
      <c r="F1272" s="622"/>
      <c r="G1272" s="623"/>
      <c r="H1272" s="622"/>
      <c r="I1272" s="690"/>
      <c r="J1272" s="693"/>
      <c r="K1272" s="693"/>
      <c r="L1272" s="693"/>
      <c r="M1272" s="693" t="s">
        <v>2</v>
      </c>
      <c r="N1272" s="693"/>
      <c r="O1272" s="693"/>
      <c r="P1272" s="694"/>
      <c r="Q1272" s="1841" t="str">
        <f>CHOOSE(2, "6722000004190", "IP Textile Printer Others")</f>
        <v>IP Textile Printer Others</v>
      </c>
      <c r="R1272" s="1345">
        <v>0</v>
      </c>
      <c r="S1272" s="1345">
        <v>0</v>
      </c>
      <c r="T1272" s="1345">
        <v>0</v>
      </c>
      <c r="U1272" s="1345">
        <v>0</v>
      </c>
      <c r="V1272" s="1345">
        <v>0</v>
      </c>
      <c r="W1272" s="1345">
        <v>0</v>
      </c>
      <c r="X1272" s="1345">
        <v>0</v>
      </c>
      <c r="Y1272" s="1345">
        <v>0</v>
      </c>
      <c r="Z1272" s="1345">
        <v>0</v>
      </c>
      <c r="AA1272" s="1345">
        <v>0</v>
      </c>
      <c r="AB1272" s="1345">
        <v>0</v>
      </c>
      <c r="AC1272" s="1345">
        <v>0</v>
      </c>
      <c r="AD1272" s="695">
        <f t="shared" si="1767"/>
        <v>0</v>
      </c>
      <c r="AE1272" s="695">
        <f t="shared" si="1768"/>
        <v>0</v>
      </c>
      <c r="AF1272" s="695">
        <f t="shared" si="1769"/>
        <v>0</v>
      </c>
      <c r="AG1272" s="695">
        <f t="shared" si="1770"/>
        <v>0</v>
      </c>
      <c r="AH1272" s="695">
        <f t="shared" si="1771"/>
        <v>0</v>
      </c>
      <c r="AI1272" s="695">
        <f t="shared" si="1772"/>
        <v>0</v>
      </c>
      <c r="AJ1272" s="695">
        <f>AH1272+AI1272</f>
        <v>0</v>
      </c>
    </row>
    <row r="1273" spans="1:36" s="621" customFormat="1" ht="14.5" hidden="1" outlineLevel="1">
      <c r="A1273" s="616">
        <f t="shared" si="1760"/>
        <v>1057</v>
      </c>
      <c r="B1273" s="653"/>
      <c r="C1273" s="653" t="s">
        <v>1540</v>
      </c>
      <c r="D1273" s="709" t="s">
        <v>1308</v>
      </c>
      <c r="E1273" s="2547">
        <v>1</v>
      </c>
      <c r="F1273" s="622"/>
      <c r="G1273" s="623"/>
      <c r="H1273" s="622"/>
      <c r="I1273" s="702"/>
      <c r="J1273" s="703" t="s">
        <v>1386</v>
      </c>
      <c r="K1273" s="703"/>
      <c r="L1273" s="703"/>
      <c r="M1273" s="703"/>
      <c r="N1273" s="703"/>
      <c r="O1273" s="703"/>
      <c r="P1273" s="704"/>
      <c r="Q1273" s="1841" t="str">
        <f>CHOOSE(2, "6722000004191", "IP Others")</f>
        <v>IP Others</v>
      </c>
      <c r="R1273" s="1349">
        <v>1</v>
      </c>
      <c r="S1273" s="1349">
        <v>0</v>
      </c>
      <c r="T1273" s="1349">
        <v>0</v>
      </c>
      <c r="U1273" s="1349">
        <v>0</v>
      </c>
      <c r="V1273" s="1349">
        <v>0</v>
      </c>
      <c r="W1273" s="1349">
        <v>0</v>
      </c>
      <c r="X1273" s="1349">
        <v>0</v>
      </c>
      <c r="Y1273" s="1349">
        <v>0</v>
      </c>
      <c r="Z1273" s="1349">
        <v>0</v>
      </c>
      <c r="AA1273" s="1349">
        <v>0</v>
      </c>
      <c r="AB1273" s="1349">
        <v>0</v>
      </c>
      <c r="AC1273" s="1349">
        <v>0</v>
      </c>
      <c r="AD1273" s="705">
        <f t="shared" si="1767"/>
        <v>1</v>
      </c>
      <c r="AE1273" s="705">
        <f t="shared" si="1768"/>
        <v>0</v>
      </c>
      <c r="AF1273" s="705">
        <f t="shared" si="1769"/>
        <v>0</v>
      </c>
      <c r="AG1273" s="705">
        <f t="shared" si="1770"/>
        <v>0</v>
      </c>
      <c r="AH1273" s="705">
        <f>AD1273+AE1273</f>
        <v>1</v>
      </c>
      <c r="AI1273" s="705">
        <f>AG1273+AF1273</f>
        <v>0</v>
      </c>
      <c r="AJ1273" s="705">
        <f t="shared" si="1773"/>
        <v>1</v>
      </c>
    </row>
    <row r="1274" spans="1:36" ht="14.5" hidden="1" outlineLevel="1">
      <c r="A1274" s="616">
        <f t="shared" si="1760"/>
        <v>1058</v>
      </c>
      <c r="C1274" s="616" t="s">
        <v>1540</v>
      </c>
      <c r="D1274" s="709" t="s">
        <v>1308</v>
      </c>
      <c r="E1274" s="2547">
        <v>1</v>
      </c>
      <c r="Q1274" s="1772" t="str">
        <f>CHOOSE(2, "6722000004192", "▷ Blank 50")</f>
        <v>▷ Blank 50</v>
      </c>
    </row>
    <row r="1275" spans="1:36" ht="15.5" hidden="1" outlineLevel="1">
      <c r="A1275" s="616">
        <v>1</v>
      </c>
      <c r="B1275" s="616">
        <v>1</v>
      </c>
      <c r="C1275" s="616" t="s">
        <v>1540</v>
      </c>
      <c r="D1275" s="709" t="s">
        <v>1308</v>
      </c>
      <c r="E1275" s="2568" t="s">
        <v>1370</v>
      </c>
      <c r="F1275" s="2569"/>
      <c r="G1275" s="672" t="s">
        <v>1625</v>
      </c>
      <c r="I1275" s="937"/>
      <c r="J1275" s="937"/>
      <c r="K1275" s="937"/>
      <c r="P1275" s="947" t="s">
        <v>1626</v>
      </c>
      <c r="Q1275" s="1772" t="str">
        <f>CHOOSE(2, "6722000004193", "8-5. Open Orders amount of sales orders")</f>
        <v>8-5. Open Orders amount of sales orders</v>
      </c>
    </row>
    <row r="1276" spans="1:36" ht="14.5" hidden="1" outlineLevel="1">
      <c r="A1276" s="616">
        <v>1</v>
      </c>
      <c r="B1276" s="616">
        <v>1</v>
      </c>
      <c r="C1276" s="616" t="s">
        <v>1540</v>
      </c>
      <c r="D1276" s="709" t="s">
        <v>1308</v>
      </c>
      <c r="E1276" s="2568" t="s">
        <v>1370</v>
      </c>
      <c r="F1276" s="2569"/>
      <c r="I1276" s="2448"/>
      <c r="J1276" s="2449"/>
      <c r="K1276" s="2449"/>
      <c r="L1276" s="2449"/>
      <c r="M1276" s="2449"/>
      <c r="N1276" s="2449"/>
      <c r="O1276" s="2449"/>
      <c r="P1276" s="2449"/>
      <c r="Q1276" s="1838" t="str">
        <f>CHOOSE(2, "6722000004194", "▷ Blank 51")</f>
        <v>▷ Blank 51</v>
      </c>
      <c r="R1276" s="2450" t="str">
        <f>IF($P$4="BBR","Jan/E","Apr/E")</f>
        <v>Apr/E</v>
      </c>
      <c r="S1276" s="2450" t="str">
        <f>IF($P$4="BBR","Feb/E","May/E")</f>
        <v>May/E</v>
      </c>
      <c r="T1276" s="2450" t="str">
        <f>IF($P$4="BBR","Mar/E","Jun/E")</f>
        <v>Jun/E</v>
      </c>
      <c r="U1276" s="2450" t="str">
        <f>IF($P$4="BBR","Apr/E","Jul/E")</f>
        <v>Jul/E</v>
      </c>
      <c r="V1276" s="2450" t="str">
        <f>IF($P$4="BBR","May/E","Aug/E")</f>
        <v>Aug/E</v>
      </c>
      <c r="W1276" s="2451" t="str">
        <f>IF($P$4="BBR","Jun/E","Sep/E")</f>
        <v>Sep/E</v>
      </c>
      <c r="X1276" s="2450" t="str">
        <f>IF($P$4="BBR","Jul/E","Oct/E")</f>
        <v>Oct/E</v>
      </c>
      <c r="Y1276" s="2450" t="str">
        <f>IF($P$4="BBR","Aug/E","Nov/E")</f>
        <v>Nov/E</v>
      </c>
      <c r="Z1276" s="2450" t="str">
        <f>IF($P$4="BBR","Sep/E","Dec/E")</f>
        <v>Dec/E</v>
      </c>
      <c r="AA1276" s="2450" t="str">
        <f>IF($P$4="BBR","Oct/E","Jan/E")</f>
        <v>Jan/E</v>
      </c>
      <c r="AB1276" s="2450" t="str">
        <f>IF($P$4="BBR","Nov/E","Feb/E")</f>
        <v>Feb/E</v>
      </c>
      <c r="AC1276" s="2450" t="str">
        <f>IF($P$4="BBR","Dec/E","Mar/E")</f>
        <v>Mar/E</v>
      </c>
    </row>
    <row r="1277" spans="1:36" ht="14.5" hidden="1" outlineLevel="1">
      <c r="A1277" s="616">
        <v>1</v>
      </c>
      <c r="B1277" s="616">
        <v>1</v>
      </c>
      <c r="C1277" s="616" t="s">
        <v>1540</v>
      </c>
      <c r="D1277" s="709" t="s">
        <v>1308</v>
      </c>
      <c r="E1277" s="2568" t="s">
        <v>1370</v>
      </c>
      <c r="F1277" s="2569"/>
      <c r="I1277" s="940" t="s">
        <v>1627</v>
      </c>
      <c r="J1277" s="946"/>
      <c r="K1277" s="946"/>
      <c r="L1277" s="946"/>
      <c r="M1277" s="941" t="s">
        <v>1628</v>
      </c>
      <c r="N1277" s="941"/>
      <c r="O1277" s="941"/>
      <c r="P1277" s="941"/>
      <c r="Q1277" s="2452" t="str">
        <f>CHOOSE(2, "6722000004195", "TTL Total")</f>
        <v>TTL Total</v>
      </c>
      <c r="R1277" s="2453">
        <f t="shared" ref="R1277:AC1277" si="1774">SUM(R1278,R1279,R1280)</f>
        <v>0</v>
      </c>
      <c r="S1277" s="2453">
        <f t="shared" si="1774"/>
        <v>0</v>
      </c>
      <c r="T1277" s="2453">
        <f t="shared" si="1774"/>
        <v>0</v>
      </c>
      <c r="U1277" s="2453">
        <f t="shared" si="1774"/>
        <v>0</v>
      </c>
      <c r="V1277" s="2453">
        <f t="shared" si="1774"/>
        <v>0</v>
      </c>
      <c r="W1277" s="2453">
        <f t="shared" si="1774"/>
        <v>0</v>
      </c>
      <c r="X1277" s="2453">
        <f t="shared" si="1774"/>
        <v>0</v>
      </c>
      <c r="Y1277" s="2453">
        <f t="shared" si="1774"/>
        <v>0</v>
      </c>
      <c r="Z1277" s="2453">
        <f t="shared" si="1774"/>
        <v>0</v>
      </c>
      <c r="AA1277" s="2453">
        <f t="shared" si="1774"/>
        <v>0</v>
      </c>
      <c r="AB1277" s="2453">
        <f t="shared" si="1774"/>
        <v>0</v>
      </c>
      <c r="AC1277" s="2453">
        <f t="shared" si="1774"/>
        <v>0</v>
      </c>
    </row>
    <row r="1278" spans="1:36" ht="14.5" hidden="1" outlineLevel="1">
      <c r="A1278" s="616">
        <v>1</v>
      </c>
      <c r="B1278" s="616">
        <v>1</v>
      </c>
      <c r="C1278" s="616" t="s">
        <v>1540</v>
      </c>
      <c r="D1278" s="709" t="s">
        <v>1308</v>
      </c>
      <c r="E1278" s="2568" t="s">
        <v>1370</v>
      </c>
      <c r="F1278" s="2569"/>
      <c r="I1278" s="940"/>
      <c r="J1278" s="942"/>
      <c r="K1278" s="942"/>
      <c r="L1278" s="942"/>
      <c r="M1278" s="942" t="s">
        <v>57</v>
      </c>
      <c r="N1278" s="942"/>
      <c r="O1278" s="942"/>
      <c r="P1278" s="942"/>
      <c r="Q1278" s="1794" t="str">
        <f>CHOOSE(2, "6722000004196", "TTL HW")</f>
        <v>TTL HW</v>
      </c>
      <c r="R1278" s="1399">
        <f t="shared" ref="R1278:AC1279" si="1775">SUM(R1282,R1286)</f>
        <v>0</v>
      </c>
      <c r="S1278" s="1396">
        <f t="shared" si="1775"/>
        <v>0</v>
      </c>
      <c r="T1278" s="1396">
        <f t="shared" si="1775"/>
        <v>0</v>
      </c>
      <c r="U1278" s="1396">
        <f t="shared" si="1775"/>
        <v>0</v>
      </c>
      <c r="V1278" s="1396">
        <f t="shared" si="1775"/>
        <v>0</v>
      </c>
      <c r="W1278" s="1396">
        <f t="shared" si="1775"/>
        <v>0</v>
      </c>
      <c r="X1278" s="1396">
        <f t="shared" si="1775"/>
        <v>0</v>
      </c>
      <c r="Y1278" s="1396">
        <f t="shared" si="1775"/>
        <v>0</v>
      </c>
      <c r="Z1278" s="1396">
        <f t="shared" si="1775"/>
        <v>0</v>
      </c>
      <c r="AA1278" s="1396">
        <f t="shared" si="1775"/>
        <v>0</v>
      </c>
      <c r="AB1278" s="1396">
        <f t="shared" si="1775"/>
        <v>0</v>
      </c>
      <c r="AC1278" s="1396">
        <f t="shared" si="1775"/>
        <v>0</v>
      </c>
    </row>
    <row r="1279" spans="1:36" ht="14.5" hidden="1" outlineLevel="1">
      <c r="A1279" s="616">
        <v>1</v>
      </c>
      <c r="B1279" s="616">
        <v>1</v>
      </c>
      <c r="C1279" s="616" t="s">
        <v>1540</v>
      </c>
      <c r="D1279" s="709" t="s">
        <v>1308</v>
      </c>
      <c r="E1279" s="2568" t="s">
        <v>1370</v>
      </c>
      <c r="F1279" s="2569"/>
      <c r="I1279" s="940"/>
      <c r="J1279" s="942"/>
      <c r="K1279" s="942"/>
      <c r="L1279" s="942"/>
      <c r="M1279" s="942" t="s">
        <v>27</v>
      </c>
      <c r="N1279" s="942"/>
      <c r="O1279" s="942"/>
      <c r="P1279" s="942"/>
      <c r="Q1279" s="1794" t="str">
        <f>CHOOSE(2, "6722000004197", "TTL NH")</f>
        <v>TTL NH</v>
      </c>
      <c r="R1279" s="1399">
        <f>SUM(R1283,R1287)</f>
        <v>0</v>
      </c>
      <c r="S1279" s="1396">
        <f t="shared" si="1775"/>
        <v>0</v>
      </c>
      <c r="T1279" s="1396">
        <f t="shared" si="1775"/>
        <v>0</v>
      </c>
      <c r="U1279" s="1396">
        <f t="shared" si="1775"/>
        <v>0</v>
      </c>
      <c r="V1279" s="1396">
        <f t="shared" si="1775"/>
        <v>0</v>
      </c>
      <c r="W1279" s="1396">
        <f t="shared" si="1775"/>
        <v>0</v>
      </c>
      <c r="X1279" s="1396">
        <f t="shared" si="1775"/>
        <v>0</v>
      </c>
      <c r="Y1279" s="1396">
        <f t="shared" si="1775"/>
        <v>0</v>
      </c>
      <c r="Z1279" s="1396">
        <f t="shared" si="1775"/>
        <v>0</v>
      </c>
      <c r="AA1279" s="1396">
        <f t="shared" si="1775"/>
        <v>0</v>
      </c>
      <c r="AB1279" s="1396">
        <f t="shared" si="1775"/>
        <v>0</v>
      </c>
      <c r="AC1279" s="1396">
        <f t="shared" si="1775"/>
        <v>0</v>
      </c>
    </row>
    <row r="1280" spans="1:36" ht="14.5" hidden="1" outlineLevel="1">
      <c r="A1280" s="616">
        <v>1</v>
      </c>
      <c r="B1280" s="616">
        <v>1</v>
      </c>
      <c r="C1280" s="616" t="s">
        <v>1540</v>
      </c>
      <c r="D1280" s="709" t="s">
        <v>1308</v>
      </c>
      <c r="E1280" s="2568" t="s">
        <v>1370</v>
      </c>
      <c r="F1280" s="2569"/>
      <c r="I1280" s="943"/>
      <c r="J1280" s="944"/>
      <c r="K1280" s="944"/>
      <c r="L1280" s="944"/>
      <c r="M1280" s="944" t="s">
        <v>1530</v>
      </c>
      <c r="N1280" s="942"/>
      <c r="O1280" s="942"/>
      <c r="P1280" s="942"/>
      <c r="Q1280" s="1794" t="str">
        <f>CHOOSE(2, "6722000004198", "TTL Others")</f>
        <v>TTL Others</v>
      </c>
      <c r="R1280" s="1399">
        <f>SUM(R1284,R1288,R1289,R1290)</f>
        <v>0</v>
      </c>
      <c r="S1280" s="1396">
        <f t="shared" ref="S1280:AC1280" si="1776">SUM(S1284,S1288,S1289,S1290)</f>
        <v>0</v>
      </c>
      <c r="T1280" s="1396">
        <f t="shared" si="1776"/>
        <v>0</v>
      </c>
      <c r="U1280" s="1396">
        <f t="shared" si="1776"/>
        <v>0</v>
      </c>
      <c r="V1280" s="1396">
        <f t="shared" si="1776"/>
        <v>0</v>
      </c>
      <c r="W1280" s="1396">
        <f t="shared" si="1776"/>
        <v>0</v>
      </c>
      <c r="X1280" s="1396">
        <f t="shared" si="1776"/>
        <v>0</v>
      </c>
      <c r="Y1280" s="1396">
        <f t="shared" si="1776"/>
        <v>0</v>
      </c>
      <c r="Z1280" s="1396">
        <f t="shared" si="1776"/>
        <v>0</v>
      </c>
      <c r="AA1280" s="1396">
        <f t="shared" si="1776"/>
        <v>0</v>
      </c>
      <c r="AB1280" s="1396">
        <f t="shared" si="1776"/>
        <v>0</v>
      </c>
      <c r="AC1280" s="1396">
        <f t="shared" si="1776"/>
        <v>0</v>
      </c>
    </row>
    <row r="1281" spans="1:36" ht="14.5" hidden="1" outlineLevel="1">
      <c r="A1281" s="616">
        <v>1</v>
      </c>
      <c r="B1281" s="616">
        <v>1</v>
      </c>
      <c r="C1281" s="616" t="s">
        <v>1540</v>
      </c>
      <c r="D1281" s="709" t="s">
        <v>1308</v>
      </c>
      <c r="E1281" s="2568" t="s">
        <v>1370</v>
      </c>
      <c r="F1281" s="2569"/>
      <c r="I1281" s="940" t="s">
        <v>1629</v>
      </c>
      <c r="J1281" s="946"/>
      <c r="K1281" s="946"/>
      <c r="L1281" s="946"/>
      <c r="M1281" s="941" t="s">
        <v>1628</v>
      </c>
      <c r="N1281" s="941"/>
      <c r="O1281" s="941"/>
      <c r="P1281" s="941"/>
      <c r="Q1281" s="2454" t="str">
        <f>CHOOSE(2, "6722000004199", "Office Total")</f>
        <v>Office Total</v>
      </c>
      <c r="R1281" s="2455">
        <f t="shared" ref="R1281:AC1281" si="1777">SUM(R1282,R1283,R1284)</f>
        <v>0</v>
      </c>
      <c r="S1281" s="2455">
        <f t="shared" si="1777"/>
        <v>0</v>
      </c>
      <c r="T1281" s="2455">
        <f t="shared" si="1777"/>
        <v>0</v>
      </c>
      <c r="U1281" s="2455">
        <f t="shared" si="1777"/>
        <v>0</v>
      </c>
      <c r="V1281" s="2455">
        <f t="shared" si="1777"/>
        <v>0</v>
      </c>
      <c r="W1281" s="2455">
        <f t="shared" si="1777"/>
        <v>0</v>
      </c>
      <c r="X1281" s="2455">
        <f t="shared" si="1777"/>
        <v>0</v>
      </c>
      <c r="Y1281" s="2455">
        <f t="shared" si="1777"/>
        <v>0</v>
      </c>
      <c r="Z1281" s="2455">
        <f t="shared" si="1777"/>
        <v>0</v>
      </c>
      <c r="AA1281" s="2455">
        <f t="shared" si="1777"/>
        <v>0</v>
      </c>
      <c r="AB1281" s="2455">
        <f t="shared" si="1777"/>
        <v>0</v>
      </c>
      <c r="AC1281" s="2455">
        <f t="shared" si="1777"/>
        <v>0</v>
      </c>
    </row>
    <row r="1282" spans="1:36" ht="14.5" hidden="1" outlineLevel="1">
      <c r="A1282" s="616">
        <v>1</v>
      </c>
      <c r="B1282" s="616">
        <v>1</v>
      </c>
      <c r="C1282" s="616" t="s">
        <v>1540</v>
      </c>
      <c r="D1282" s="709" t="s">
        <v>1308</v>
      </c>
      <c r="E1282" s="2568" t="s">
        <v>1370</v>
      </c>
      <c r="F1282" s="2569"/>
      <c r="I1282" s="940"/>
      <c r="J1282" s="942"/>
      <c r="K1282" s="942"/>
      <c r="L1282" s="942"/>
      <c r="M1282" s="942" t="s">
        <v>57</v>
      </c>
      <c r="N1282" s="942"/>
      <c r="O1282" s="942"/>
      <c r="P1282" s="942"/>
      <c r="Q1282" s="2456" t="str">
        <f>CHOOSE(2, "6722000004200", "Office HW")</f>
        <v>Office HW</v>
      </c>
      <c r="R1282" s="3402">
        <v>0</v>
      </c>
      <c r="S1282" s="3403">
        <v>0</v>
      </c>
      <c r="T1282" s="3403">
        <v>0</v>
      </c>
      <c r="U1282" s="3403">
        <v>0</v>
      </c>
      <c r="V1282" s="3403">
        <v>0</v>
      </c>
      <c r="W1282" s="3403">
        <v>0</v>
      </c>
      <c r="X1282" s="3403">
        <v>0</v>
      </c>
      <c r="Y1282" s="3403">
        <v>0</v>
      </c>
      <c r="Z1282" s="3403">
        <v>0</v>
      </c>
      <c r="AA1282" s="3403">
        <v>0</v>
      </c>
      <c r="AB1282" s="3403">
        <v>0</v>
      </c>
      <c r="AC1282" s="3403">
        <v>0</v>
      </c>
    </row>
    <row r="1283" spans="1:36" ht="14.5" hidden="1" outlineLevel="1">
      <c r="A1283" s="616">
        <v>1</v>
      </c>
      <c r="B1283" s="616">
        <v>1</v>
      </c>
      <c r="C1283" s="616" t="s">
        <v>1540</v>
      </c>
      <c r="D1283" s="709" t="s">
        <v>1308</v>
      </c>
      <c r="E1283" s="2568" t="s">
        <v>1370</v>
      </c>
      <c r="F1283" s="2569"/>
      <c r="I1283" s="940"/>
      <c r="J1283" s="942"/>
      <c r="K1283" s="942"/>
      <c r="L1283" s="942"/>
      <c r="M1283" s="942" t="s">
        <v>27</v>
      </c>
      <c r="N1283" s="942"/>
      <c r="O1283" s="942"/>
      <c r="P1283" s="942"/>
      <c r="Q1283" s="2456" t="str">
        <f>CHOOSE(2, "6722000004201", "Office NH")</f>
        <v>Office NH</v>
      </c>
      <c r="R1283" s="3402">
        <v>0</v>
      </c>
      <c r="S1283" s="3403">
        <v>0</v>
      </c>
      <c r="T1283" s="3403">
        <v>0</v>
      </c>
      <c r="U1283" s="3403">
        <v>0</v>
      </c>
      <c r="V1283" s="3403">
        <v>0</v>
      </c>
      <c r="W1283" s="3403">
        <v>0</v>
      </c>
      <c r="X1283" s="3403">
        <v>0</v>
      </c>
      <c r="Y1283" s="3403">
        <v>0</v>
      </c>
      <c r="Z1283" s="3403">
        <v>0</v>
      </c>
      <c r="AA1283" s="3403">
        <v>0</v>
      </c>
      <c r="AB1283" s="3403">
        <v>0</v>
      </c>
      <c r="AC1283" s="3403">
        <v>0</v>
      </c>
    </row>
    <row r="1284" spans="1:36" ht="14.5" hidden="1" outlineLevel="1">
      <c r="A1284" s="616">
        <v>1</v>
      </c>
      <c r="B1284" s="616">
        <v>1</v>
      </c>
      <c r="C1284" s="616" t="s">
        <v>1540</v>
      </c>
      <c r="D1284" s="709" t="s">
        <v>1308</v>
      </c>
      <c r="E1284" s="2568" t="s">
        <v>1370</v>
      </c>
      <c r="F1284" s="2569"/>
      <c r="I1284" s="943"/>
      <c r="J1284" s="944"/>
      <c r="K1284" s="944"/>
      <c r="L1284" s="944"/>
      <c r="M1284" s="944" t="s">
        <v>1530</v>
      </c>
      <c r="N1284" s="942"/>
      <c r="O1284" s="942"/>
      <c r="P1284" s="942"/>
      <c r="Q1284" s="2456" t="str">
        <f>CHOOSE(2, "6722000004202", "Office Others")</f>
        <v>Office Others</v>
      </c>
      <c r="R1284" s="3402">
        <v>0</v>
      </c>
      <c r="S1284" s="3403">
        <v>0</v>
      </c>
      <c r="T1284" s="3403">
        <v>0</v>
      </c>
      <c r="U1284" s="3403">
        <v>0</v>
      </c>
      <c r="V1284" s="3403">
        <v>0</v>
      </c>
      <c r="W1284" s="3403">
        <v>0</v>
      </c>
      <c r="X1284" s="3403">
        <v>0</v>
      </c>
      <c r="Y1284" s="3403">
        <v>0</v>
      </c>
      <c r="Z1284" s="3403">
        <v>0</v>
      </c>
      <c r="AA1284" s="3403">
        <v>0</v>
      </c>
      <c r="AB1284" s="3403">
        <v>0</v>
      </c>
      <c r="AC1284" s="3403">
        <v>0</v>
      </c>
    </row>
    <row r="1285" spans="1:36" ht="14.5" hidden="1" outlineLevel="1">
      <c r="A1285" s="616">
        <v>1</v>
      </c>
      <c r="B1285" s="616">
        <v>1</v>
      </c>
      <c r="C1285" s="616" t="s">
        <v>1540</v>
      </c>
      <c r="D1285" s="709" t="s">
        <v>1308</v>
      </c>
      <c r="E1285" s="2568" t="s">
        <v>1370</v>
      </c>
      <c r="F1285" s="2569"/>
      <c r="I1285" s="940" t="s">
        <v>1630</v>
      </c>
      <c r="J1285" s="946"/>
      <c r="K1285" s="946"/>
      <c r="L1285" s="946"/>
      <c r="M1285" s="941" t="s">
        <v>1628</v>
      </c>
      <c r="N1285" s="941"/>
      <c r="O1285" s="941"/>
      <c r="P1285" s="941"/>
      <c r="Q1285" s="2454" t="str">
        <f>CHOOSE(2, "6722000004203", "PP Total")</f>
        <v>PP Total</v>
      </c>
      <c r="R1285" s="2455">
        <f t="shared" ref="R1285:AC1285" si="1778">SUM(R1286,R1287,R1288)</f>
        <v>0</v>
      </c>
      <c r="S1285" s="2455">
        <f t="shared" si="1778"/>
        <v>0</v>
      </c>
      <c r="T1285" s="2455">
        <f t="shared" si="1778"/>
        <v>0</v>
      </c>
      <c r="U1285" s="2455">
        <f t="shared" si="1778"/>
        <v>0</v>
      </c>
      <c r="V1285" s="2455">
        <f t="shared" si="1778"/>
        <v>0</v>
      </c>
      <c r="W1285" s="2455">
        <f t="shared" si="1778"/>
        <v>0</v>
      </c>
      <c r="X1285" s="2455">
        <f t="shared" si="1778"/>
        <v>0</v>
      </c>
      <c r="Y1285" s="2455">
        <f t="shared" si="1778"/>
        <v>0</v>
      </c>
      <c r="Z1285" s="2455">
        <f t="shared" si="1778"/>
        <v>0</v>
      </c>
      <c r="AA1285" s="2455">
        <f t="shared" si="1778"/>
        <v>0</v>
      </c>
      <c r="AB1285" s="2455">
        <f t="shared" si="1778"/>
        <v>0</v>
      </c>
      <c r="AC1285" s="2455">
        <f t="shared" si="1778"/>
        <v>0</v>
      </c>
    </row>
    <row r="1286" spans="1:36" ht="14.5" hidden="1" outlineLevel="1">
      <c r="A1286" s="616">
        <v>1</v>
      </c>
      <c r="B1286" s="616">
        <v>1</v>
      </c>
      <c r="C1286" s="616" t="s">
        <v>1540</v>
      </c>
      <c r="D1286" s="709" t="s">
        <v>1308</v>
      </c>
      <c r="E1286" s="2568" t="s">
        <v>1370</v>
      </c>
      <c r="F1286" s="2569"/>
      <c r="I1286" s="940"/>
      <c r="J1286" s="942"/>
      <c r="K1286" s="942"/>
      <c r="L1286" s="942"/>
      <c r="M1286" s="942" t="s">
        <v>57</v>
      </c>
      <c r="N1286" s="942"/>
      <c r="O1286" s="942"/>
      <c r="P1286" s="942"/>
      <c r="Q1286" s="2456" t="str">
        <f>CHOOSE(2, "6722000004204", "PP HW")</f>
        <v>PP HW</v>
      </c>
      <c r="R1286" s="3402">
        <v>0</v>
      </c>
      <c r="S1286" s="3403">
        <v>0</v>
      </c>
      <c r="T1286" s="3403">
        <v>0</v>
      </c>
      <c r="U1286" s="3403">
        <v>0</v>
      </c>
      <c r="V1286" s="3403">
        <v>0</v>
      </c>
      <c r="W1286" s="3403">
        <v>0</v>
      </c>
      <c r="X1286" s="3403">
        <v>0</v>
      </c>
      <c r="Y1286" s="3403">
        <v>0</v>
      </c>
      <c r="Z1286" s="3403">
        <v>0</v>
      </c>
      <c r="AA1286" s="3403">
        <v>0</v>
      </c>
      <c r="AB1286" s="3403">
        <v>0</v>
      </c>
      <c r="AC1286" s="3403">
        <v>0</v>
      </c>
    </row>
    <row r="1287" spans="1:36" ht="14.5" hidden="1" outlineLevel="1">
      <c r="A1287" s="616">
        <v>1</v>
      </c>
      <c r="B1287" s="616">
        <v>1</v>
      </c>
      <c r="C1287" s="616" t="s">
        <v>1540</v>
      </c>
      <c r="D1287" s="709" t="s">
        <v>1308</v>
      </c>
      <c r="E1287" s="2568" t="s">
        <v>1370</v>
      </c>
      <c r="F1287" s="2569"/>
      <c r="I1287" s="940"/>
      <c r="J1287" s="942"/>
      <c r="K1287" s="942"/>
      <c r="L1287" s="942"/>
      <c r="M1287" s="942" t="s">
        <v>27</v>
      </c>
      <c r="N1287" s="942"/>
      <c r="O1287" s="942"/>
      <c r="P1287" s="942"/>
      <c r="Q1287" s="2456" t="str">
        <f>CHOOSE(2, "6722000004205", "PP NH")</f>
        <v>PP NH</v>
      </c>
      <c r="R1287" s="3402">
        <v>0</v>
      </c>
      <c r="S1287" s="3403">
        <v>0</v>
      </c>
      <c r="T1287" s="3403">
        <v>0</v>
      </c>
      <c r="U1287" s="3403">
        <v>0</v>
      </c>
      <c r="V1287" s="3403">
        <v>0</v>
      </c>
      <c r="W1287" s="3403">
        <v>0</v>
      </c>
      <c r="X1287" s="3403">
        <v>0</v>
      </c>
      <c r="Y1287" s="3403">
        <v>0</v>
      </c>
      <c r="Z1287" s="3403">
        <v>0</v>
      </c>
      <c r="AA1287" s="3403">
        <v>0</v>
      </c>
      <c r="AB1287" s="3403">
        <v>0</v>
      </c>
      <c r="AC1287" s="3403">
        <v>0</v>
      </c>
    </row>
    <row r="1288" spans="1:36" ht="14.5" hidden="1" outlineLevel="1">
      <c r="A1288" s="616">
        <v>1</v>
      </c>
      <c r="B1288" s="616">
        <v>1</v>
      </c>
      <c r="C1288" s="616" t="s">
        <v>1540</v>
      </c>
      <c r="D1288" s="709" t="s">
        <v>1308</v>
      </c>
      <c r="E1288" s="2568" t="s">
        <v>1370</v>
      </c>
      <c r="F1288" s="2569"/>
      <c r="I1288" s="943"/>
      <c r="J1288" s="944"/>
      <c r="K1288" s="944"/>
      <c r="L1288" s="944"/>
      <c r="M1288" s="944" t="s">
        <v>1530</v>
      </c>
      <c r="N1288" s="944"/>
      <c r="O1288" s="944"/>
      <c r="P1288" s="944"/>
      <c r="Q1288" s="2456" t="str">
        <f>CHOOSE(2, "6722000004206", "PP Others")</f>
        <v>PP Others</v>
      </c>
      <c r="R1288" s="3402">
        <v>0</v>
      </c>
      <c r="S1288" s="3403">
        <v>0</v>
      </c>
      <c r="T1288" s="3403">
        <v>0</v>
      </c>
      <c r="U1288" s="3403">
        <v>0</v>
      </c>
      <c r="V1288" s="3403">
        <v>0</v>
      </c>
      <c r="W1288" s="3403">
        <v>0</v>
      </c>
      <c r="X1288" s="3403">
        <v>0</v>
      </c>
      <c r="Y1288" s="3403">
        <v>0</v>
      </c>
      <c r="Z1288" s="3403">
        <v>0</v>
      </c>
      <c r="AA1288" s="3403">
        <v>0</v>
      </c>
      <c r="AB1288" s="3403">
        <v>0</v>
      </c>
      <c r="AC1288" s="3403">
        <v>0</v>
      </c>
    </row>
    <row r="1289" spans="1:36" ht="14.5" hidden="1" outlineLevel="1">
      <c r="A1289" s="616">
        <v>1</v>
      </c>
      <c r="B1289" s="616">
        <v>1</v>
      </c>
      <c r="C1289" s="616" t="s">
        <v>1540</v>
      </c>
      <c r="D1289" s="709" t="s">
        <v>1308</v>
      </c>
      <c r="E1289" s="2568" t="s">
        <v>1370</v>
      </c>
      <c r="F1289" s="2569"/>
      <c r="I1289" s="943" t="s">
        <v>1631</v>
      </c>
      <c r="J1289" s="945"/>
      <c r="K1289" s="945"/>
      <c r="L1289" s="945"/>
      <c r="M1289" s="945" t="s">
        <v>1628</v>
      </c>
      <c r="N1289" s="945"/>
      <c r="O1289" s="945"/>
      <c r="P1289" s="945"/>
      <c r="Q1289" s="2456" t="str">
        <f>CHOOSE(2, "6722000004207", "DW-DX Total")</f>
        <v>DW-DX Total</v>
      </c>
      <c r="R1289" s="3404">
        <v>0</v>
      </c>
      <c r="S1289" s="3405">
        <v>0</v>
      </c>
      <c r="T1289" s="3405">
        <v>0</v>
      </c>
      <c r="U1289" s="3405">
        <v>0</v>
      </c>
      <c r="V1289" s="3405">
        <v>0</v>
      </c>
      <c r="W1289" s="3405">
        <v>0</v>
      </c>
      <c r="X1289" s="3405">
        <v>0</v>
      </c>
      <c r="Y1289" s="3405">
        <v>0</v>
      </c>
      <c r="Z1289" s="3405">
        <v>0</v>
      </c>
      <c r="AA1289" s="3405">
        <v>0</v>
      </c>
      <c r="AB1289" s="3405">
        <v>0</v>
      </c>
      <c r="AC1289" s="3405">
        <v>0</v>
      </c>
    </row>
    <row r="1290" spans="1:36" ht="14.5" hidden="1" outlineLevel="1">
      <c r="A1290" s="616">
        <v>1</v>
      </c>
      <c r="B1290" s="616">
        <v>1</v>
      </c>
      <c r="C1290" s="616" t="s">
        <v>1540</v>
      </c>
      <c r="D1290" s="709" t="s">
        <v>1308</v>
      </c>
      <c r="E1290" s="2568" t="s">
        <v>1370</v>
      </c>
      <c r="F1290" s="2569"/>
      <c r="I1290" s="943" t="s">
        <v>1632</v>
      </c>
      <c r="J1290" s="945"/>
      <c r="K1290" s="945"/>
      <c r="L1290" s="945"/>
      <c r="M1290" s="945" t="s">
        <v>1628</v>
      </c>
      <c r="N1290" s="945"/>
      <c r="O1290" s="945"/>
      <c r="P1290" s="945"/>
      <c r="Q1290" s="2456" t="str">
        <f>CHOOSE(2, "6722000004208", "IP Total")</f>
        <v>IP Total</v>
      </c>
      <c r="R1290" s="3406">
        <v>0</v>
      </c>
      <c r="S1290" s="3407">
        <v>0</v>
      </c>
      <c r="T1290" s="3407">
        <v>0</v>
      </c>
      <c r="U1290" s="3407">
        <v>0</v>
      </c>
      <c r="V1290" s="3407">
        <v>0</v>
      </c>
      <c r="W1290" s="3407">
        <v>0</v>
      </c>
      <c r="X1290" s="3407">
        <v>0</v>
      </c>
      <c r="Y1290" s="3407">
        <v>0</v>
      </c>
      <c r="Z1290" s="3407">
        <v>0</v>
      </c>
      <c r="AA1290" s="3407">
        <v>0</v>
      </c>
      <c r="AB1290" s="3407">
        <v>0</v>
      </c>
      <c r="AC1290" s="3407">
        <v>0</v>
      </c>
    </row>
    <row r="1291" spans="1:36" ht="14.5" collapsed="1">
      <c r="A1291" s="616">
        <v>1</v>
      </c>
      <c r="B1291" s="616">
        <v>1</v>
      </c>
      <c r="C1291" s="616" t="s">
        <v>1540</v>
      </c>
      <c r="D1291" s="709" t="s">
        <v>1308</v>
      </c>
      <c r="E1291" s="2547">
        <v>1</v>
      </c>
      <c r="Q1291" s="1772" t="str">
        <f>CHOOSE(2, "6722000004209", "▷ Blank 52")</f>
        <v>▷ Blank 52</v>
      </c>
      <c r="AB1291" s="2564">
        <f>AB1294-AB1295</f>
        <v>0</v>
      </c>
    </row>
    <row r="1292" spans="1:36" ht="25">
      <c r="A1292" s="616">
        <v>1</v>
      </c>
      <c r="B1292" s="616">
        <v>1</v>
      </c>
      <c r="C1292" s="616" t="s">
        <v>1540</v>
      </c>
      <c r="D1292" s="709" t="s">
        <v>1308</v>
      </c>
      <c r="E1292" s="2547">
        <v>1</v>
      </c>
      <c r="F1292" s="55" t="s">
        <v>1633</v>
      </c>
      <c r="G1292" s="55"/>
      <c r="H1292" s="54"/>
      <c r="I1292" s="4"/>
      <c r="J1292" s="3"/>
      <c r="K1292" s="35"/>
      <c r="L1292" s="35"/>
      <c r="M1292" s="36"/>
      <c r="N1292" s="36"/>
      <c r="O1292" s="36"/>
      <c r="P1292" s="36"/>
      <c r="Q1292" s="2464" t="str">
        <f>CHOOSE(2, "6722000004210", "9. Other segments: BIC, IIS(Mobotix and DM)")</f>
        <v>9. Other segments: BIC, IIS(Mobotix and DM)</v>
      </c>
      <c r="R1292" s="3408"/>
      <c r="AD1292" s="164"/>
    </row>
    <row r="1293" spans="1:36" ht="14.5">
      <c r="A1293" s="616">
        <v>1</v>
      </c>
      <c r="B1293" s="616">
        <v>1</v>
      </c>
      <c r="C1293" s="616" t="s">
        <v>1540</v>
      </c>
      <c r="D1293" s="709" t="s">
        <v>1308</v>
      </c>
      <c r="E1293" s="2568" t="s">
        <v>1370</v>
      </c>
      <c r="F1293" s="2569"/>
      <c r="G1293" s="81" t="s">
        <v>1634</v>
      </c>
      <c r="H1293" s="81"/>
      <c r="I1293" s="35"/>
      <c r="J1293" s="36"/>
      <c r="K1293" s="35"/>
      <c r="L1293" s="35"/>
      <c r="M1293" s="36"/>
      <c r="N1293" s="36"/>
      <c r="O1293" s="36"/>
      <c r="P1293" s="36"/>
      <c r="Q1293" s="1773" t="str">
        <f>CHOOSE(2, "6722000004211", "9-1. P/L: BT + BIC +IIS")</f>
        <v>9-1. P/L: BT + BIC +IIS</v>
      </c>
      <c r="R1293" s="1878">
        <f t="shared" ref="R1293:AJ1293" si="1779">R13</f>
        <v>44652</v>
      </c>
      <c r="S1293" s="1878">
        <f t="shared" si="1779"/>
        <v>44682</v>
      </c>
      <c r="T1293" s="1878">
        <f t="shared" si="1779"/>
        <v>44713</v>
      </c>
      <c r="U1293" s="1878">
        <f t="shared" si="1779"/>
        <v>44743</v>
      </c>
      <c r="V1293" s="1878">
        <f t="shared" si="1779"/>
        <v>44774</v>
      </c>
      <c r="W1293" s="1878">
        <f t="shared" si="1779"/>
        <v>44805</v>
      </c>
      <c r="X1293" s="1878">
        <f t="shared" si="1779"/>
        <v>44835</v>
      </c>
      <c r="Y1293" s="1878">
        <f t="shared" si="1779"/>
        <v>44866</v>
      </c>
      <c r="Z1293" s="1878">
        <f t="shared" si="1779"/>
        <v>44896</v>
      </c>
      <c r="AA1293" s="1878">
        <f t="shared" si="1779"/>
        <v>44927</v>
      </c>
      <c r="AB1293" s="1878">
        <f t="shared" si="1779"/>
        <v>44958</v>
      </c>
      <c r="AC1293" s="1878">
        <f t="shared" si="1779"/>
        <v>44986</v>
      </c>
      <c r="AD1293" s="2546" t="str">
        <f t="shared" si="1779"/>
        <v>Q1</v>
      </c>
      <c r="AE1293" s="2546" t="str">
        <f t="shared" si="1779"/>
        <v>Q2</v>
      </c>
      <c r="AF1293" s="2546" t="str">
        <f t="shared" si="1779"/>
        <v>Q3</v>
      </c>
      <c r="AG1293" s="2546" t="str">
        <f t="shared" si="1779"/>
        <v>Q4</v>
      </c>
      <c r="AH1293" s="2546" t="str">
        <f t="shared" si="1779"/>
        <v>1st H</v>
      </c>
      <c r="AI1293" s="2546" t="str">
        <f t="shared" si="1779"/>
        <v>2nd H</v>
      </c>
      <c r="AJ1293" s="2546" t="str">
        <f t="shared" si="1779"/>
        <v>Yr.</v>
      </c>
    </row>
    <row r="1294" spans="1:36" ht="14.5">
      <c r="A1294" s="616">
        <v>1</v>
      </c>
      <c r="B1294" s="616">
        <v>1</v>
      </c>
      <c r="C1294" s="616" t="s">
        <v>1540</v>
      </c>
      <c r="D1294" s="709" t="s">
        <v>1308</v>
      </c>
      <c r="E1294" s="2568" t="s">
        <v>1370</v>
      </c>
      <c r="F1294" s="2569"/>
      <c r="G1294" s="197" t="s">
        <v>26</v>
      </c>
      <c r="H1294" s="197" t="s">
        <v>31</v>
      </c>
      <c r="I1294" s="3042" t="s">
        <v>0</v>
      </c>
      <c r="J1294" s="3043"/>
      <c r="K1294" s="3043"/>
      <c r="L1294" s="3043"/>
      <c r="M1294" s="3043"/>
      <c r="N1294" s="3043"/>
      <c r="O1294" s="3043"/>
      <c r="P1294" s="1293"/>
      <c r="Q1294" s="1774" t="str">
        <f>CHOOSE(2, "6722000004212", "Other Seg PL Net Sales")</f>
        <v>Other Seg PL Net Sales</v>
      </c>
      <c r="R1294" s="3044">
        <f t="shared" ref="R1294:AC1294" si="1780">R14+R1320+R1336</f>
        <v>649488</v>
      </c>
      <c r="S1294" s="3044">
        <f t="shared" si="1780"/>
        <v>658045</v>
      </c>
      <c r="T1294" s="3044">
        <f t="shared" si="1780"/>
        <v>693011</v>
      </c>
      <c r="U1294" s="3044">
        <f t="shared" si="1780"/>
        <v>710259</v>
      </c>
      <c r="V1294" s="3044">
        <f t="shared" si="1780"/>
        <v>828434.83701000002</v>
      </c>
      <c r="W1294" s="3044">
        <f t="shared" si="1780"/>
        <v>712918</v>
      </c>
      <c r="X1294" s="3044">
        <f t="shared" si="1780"/>
        <v>873355</v>
      </c>
      <c r="Y1294" s="3044">
        <f t="shared" si="1780"/>
        <v>798443</v>
      </c>
      <c r="Z1294" s="3044">
        <f t="shared" si="1780"/>
        <v>855775</v>
      </c>
      <c r="AA1294" s="3044">
        <f t="shared" si="1780"/>
        <v>836292</v>
      </c>
      <c r="AB1294" s="3044">
        <f t="shared" si="1780"/>
        <v>872391.62631000008</v>
      </c>
      <c r="AC1294" s="3044">
        <f t="shared" si="1780"/>
        <v>767045</v>
      </c>
      <c r="AD1294" s="3044">
        <f>SUM(R1294,S1294,T1294)</f>
        <v>2000544</v>
      </c>
      <c r="AE1294" s="3044">
        <f>SUM(U1294,V1294,W1294)</f>
        <v>2251611.8370099999</v>
      </c>
      <c r="AF1294" s="3044">
        <f>SUM(X1294,Y1294,Z1294)</f>
        <v>2527573</v>
      </c>
      <c r="AG1294" s="3044">
        <f>SUM(AA1294,AB1294,AC1294)</f>
        <v>2475728.6263100002</v>
      </c>
      <c r="AH1294" s="3044">
        <f>AD1294+AE1294</f>
        <v>4252155.8370099999</v>
      </c>
      <c r="AI1294" s="3044">
        <f>AG1294+AF1294</f>
        <v>5003301.6263100002</v>
      </c>
      <c r="AJ1294" s="3044">
        <f>AH1294+AI1294</f>
        <v>9255457.4633200001</v>
      </c>
    </row>
    <row r="1295" spans="1:36" ht="14.5">
      <c r="A1295" s="616">
        <v>1</v>
      </c>
      <c r="B1295" s="616">
        <v>1</v>
      </c>
      <c r="C1295" s="616" t="s">
        <v>1540</v>
      </c>
      <c r="D1295" s="709" t="s">
        <v>1308</v>
      </c>
      <c r="E1295" s="2568" t="s">
        <v>1370</v>
      </c>
      <c r="F1295" s="2569"/>
      <c r="G1295" s="197" t="s">
        <v>26</v>
      </c>
      <c r="H1295" s="197" t="s">
        <v>31</v>
      </c>
      <c r="I1295" s="3042" t="s">
        <v>371</v>
      </c>
      <c r="J1295" s="3043"/>
      <c r="K1295" s="3043"/>
      <c r="L1295" s="3043"/>
      <c r="M1295" s="3409" t="s">
        <v>370</v>
      </c>
      <c r="N1295" s="3043"/>
      <c r="O1295" s="3043"/>
      <c r="P1295" s="1293"/>
      <c r="Q1295" s="1774" t="str">
        <f>CHOOSE(2, "6722000004213", "Other Seg PL Consolidated Sales")</f>
        <v>Other Seg PL Consolidated Sales</v>
      </c>
      <c r="R1295" s="3044">
        <f t="shared" ref="R1295:AC1295" si="1781">R15+R1321+R1351</f>
        <v>648306</v>
      </c>
      <c r="S1295" s="3044">
        <f t="shared" si="1781"/>
        <v>658045</v>
      </c>
      <c r="T1295" s="3044">
        <f t="shared" si="1781"/>
        <v>693011</v>
      </c>
      <c r="U1295" s="3044">
        <f t="shared" si="1781"/>
        <v>707090</v>
      </c>
      <c r="V1295" s="3044">
        <f t="shared" si="1781"/>
        <v>828434.59600999998</v>
      </c>
      <c r="W1295" s="3044">
        <f t="shared" si="1781"/>
        <v>712918</v>
      </c>
      <c r="X1295" s="3044">
        <f t="shared" si="1781"/>
        <v>873355</v>
      </c>
      <c r="Y1295" s="3044">
        <f t="shared" si="1781"/>
        <v>798443</v>
      </c>
      <c r="Z1295" s="3044">
        <f t="shared" si="1781"/>
        <v>855775</v>
      </c>
      <c r="AA1295" s="3044">
        <f t="shared" si="1781"/>
        <v>836292</v>
      </c>
      <c r="AB1295" s="3044">
        <f t="shared" si="1781"/>
        <v>872391.62631000008</v>
      </c>
      <c r="AC1295" s="3044">
        <f t="shared" si="1781"/>
        <v>767045</v>
      </c>
      <c r="AD1295" s="3044">
        <f>SUM(R1295,S1295,T1295)</f>
        <v>1999362</v>
      </c>
      <c r="AE1295" s="3044">
        <f>SUM(U1295,V1295,W1295)</f>
        <v>2248442.59601</v>
      </c>
      <c r="AF1295" s="3044">
        <f>SUM(X1295,Y1295,Z1295)</f>
        <v>2527573</v>
      </c>
      <c r="AG1295" s="3044">
        <f>SUM(AA1295,AB1295,AC1295)</f>
        <v>2475728.6263100002</v>
      </c>
      <c r="AH1295" s="3044">
        <f>AD1295+AE1295</f>
        <v>4247804.5960099995</v>
      </c>
      <c r="AI1295" s="3044">
        <f>AG1295+AF1295</f>
        <v>5003301.6263100002</v>
      </c>
      <c r="AJ1295" s="3044">
        <f>AH1295+AI1295</f>
        <v>9251106.2223199997</v>
      </c>
    </row>
    <row r="1296" spans="1:36" ht="14.5">
      <c r="A1296" s="616">
        <v>1</v>
      </c>
      <c r="B1296" s="616">
        <v>1</v>
      </c>
      <c r="C1296" s="616" t="s">
        <v>1540</v>
      </c>
      <c r="D1296" s="709" t="s">
        <v>1308</v>
      </c>
      <c r="E1296" s="2568" t="s">
        <v>1370</v>
      </c>
      <c r="F1296" s="2569"/>
      <c r="G1296" s="197" t="s">
        <v>26</v>
      </c>
      <c r="H1296" s="197" t="s">
        <v>31</v>
      </c>
      <c r="I1296" s="3041" t="s">
        <v>37</v>
      </c>
      <c r="J1296" s="447"/>
      <c r="K1296" s="514"/>
      <c r="L1296" s="514"/>
      <c r="M1296" s="447"/>
      <c r="N1296" s="447"/>
      <c r="O1296" s="447"/>
      <c r="P1296" s="3410"/>
      <c r="Q1296" s="1786" t="str">
        <f>CHOOSE(2, "6722000004214", "Other Seg PL Cost of Sales")</f>
        <v>Other Seg PL Cost of Sales</v>
      </c>
      <c r="R1296" s="3112">
        <f t="shared" ref="R1296:AC1296" si="1782">R1294-R1297</f>
        <v>442575</v>
      </c>
      <c r="S1296" s="3112">
        <f t="shared" si="1782"/>
        <v>466102</v>
      </c>
      <c r="T1296" s="3112">
        <f t="shared" si="1782"/>
        <v>469859</v>
      </c>
      <c r="U1296" s="3112">
        <f t="shared" si="1782"/>
        <v>474440</v>
      </c>
      <c r="V1296" s="3112">
        <f t="shared" si="1782"/>
        <v>550127.10236775922</v>
      </c>
      <c r="W1296" s="3112">
        <f t="shared" si="1782"/>
        <v>521893.35098852334</v>
      </c>
      <c r="X1296" s="3112">
        <f t="shared" si="1782"/>
        <v>562621.74800000002</v>
      </c>
      <c r="Y1296" s="3112">
        <f t="shared" si="1782"/>
        <v>540902</v>
      </c>
      <c r="Z1296" s="3112">
        <f t="shared" si="1782"/>
        <v>599277</v>
      </c>
      <c r="AA1296" s="3112">
        <f t="shared" si="1782"/>
        <v>542884</v>
      </c>
      <c r="AB1296" s="3112">
        <f t="shared" si="1782"/>
        <v>613193.7667304168</v>
      </c>
      <c r="AC1296" s="3112">
        <f t="shared" si="1782"/>
        <v>594151</v>
      </c>
      <c r="AD1296" s="3112">
        <f>SUM(R1296,S1296,T1296)</f>
        <v>1378536</v>
      </c>
      <c r="AE1296" s="3112">
        <f>SUM(U1296,V1296,W1296)</f>
        <v>1546460.4533562826</v>
      </c>
      <c r="AF1296" s="3112">
        <f>SUM(X1296,Y1296,Z1296)</f>
        <v>1702800.7480000001</v>
      </c>
      <c r="AG1296" s="3112">
        <f>SUM(AA1296,AB1296,AC1296)</f>
        <v>1750228.7667304168</v>
      </c>
      <c r="AH1296" s="3112">
        <f>AD1296+AE1296</f>
        <v>2924996.4533562828</v>
      </c>
      <c r="AI1296" s="3112">
        <f>AG1296+AF1296</f>
        <v>3453029.5147304172</v>
      </c>
      <c r="AJ1296" s="3112">
        <f>AH1296+AI1296</f>
        <v>6378025.9680867</v>
      </c>
    </row>
    <row r="1297" spans="1:36" ht="14.5">
      <c r="A1297" s="616">
        <v>1</v>
      </c>
      <c r="B1297" s="616">
        <v>1</v>
      </c>
      <c r="C1297" s="616" t="s">
        <v>1540</v>
      </c>
      <c r="D1297" s="709" t="s">
        <v>1308</v>
      </c>
      <c r="E1297" s="2568" t="s">
        <v>1370</v>
      </c>
      <c r="F1297" s="2569"/>
      <c r="G1297" s="197" t="s">
        <v>26</v>
      </c>
      <c r="H1297" s="197" t="s">
        <v>31</v>
      </c>
      <c r="I1297" s="3052" t="s">
        <v>54</v>
      </c>
      <c r="J1297" s="861"/>
      <c r="K1297" s="861"/>
      <c r="L1297" s="861"/>
      <c r="M1297" s="861"/>
      <c r="N1297" s="861"/>
      <c r="O1297" s="861"/>
      <c r="P1297" s="3053"/>
      <c r="Q1297" s="1774" t="str">
        <f>CHOOSE(2, "6722000004215", "Other Seg PL Gross Profit")</f>
        <v>Other Seg PL Gross Profit</v>
      </c>
      <c r="R1297" s="1302">
        <f t="shared" ref="R1297:AC1297" si="1783">R17+R1322+R1366</f>
        <v>206913</v>
      </c>
      <c r="S1297" s="1302">
        <f t="shared" si="1783"/>
        <v>191943</v>
      </c>
      <c r="T1297" s="1302">
        <f t="shared" si="1783"/>
        <v>223152</v>
      </c>
      <c r="U1297" s="1302">
        <f t="shared" si="1783"/>
        <v>235819</v>
      </c>
      <c r="V1297" s="1302">
        <f t="shared" si="1783"/>
        <v>278307.73464224086</v>
      </c>
      <c r="W1297" s="1302">
        <f t="shared" si="1783"/>
        <v>191024.64901147669</v>
      </c>
      <c r="X1297" s="1302">
        <f t="shared" si="1783"/>
        <v>310733.25199999998</v>
      </c>
      <c r="Y1297" s="1302">
        <f t="shared" si="1783"/>
        <v>257541</v>
      </c>
      <c r="Z1297" s="1302">
        <f t="shared" si="1783"/>
        <v>256498</v>
      </c>
      <c r="AA1297" s="1302">
        <f t="shared" si="1783"/>
        <v>293408</v>
      </c>
      <c r="AB1297" s="1302">
        <f t="shared" si="1783"/>
        <v>259197.85957958334</v>
      </c>
      <c r="AC1297" s="1302">
        <f t="shared" si="1783"/>
        <v>172894</v>
      </c>
      <c r="AD1297" s="1302">
        <f>SUM(R1297,S1297,T1297)</f>
        <v>622008</v>
      </c>
      <c r="AE1297" s="1302">
        <f>SUM(U1297,V1297,W1297)</f>
        <v>705151.38365371758</v>
      </c>
      <c r="AF1297" s="1302">
        <f>SUM(X1297,Y1297,Z1297)</f>
        <v>824772.25199999998</v>
      </c>
      <c r="AG1297" s="1302">
        <f>SUM(AA1297,AB1297,AC1297)</f>
        <v>725499.8595795834</v>
      </c>
      <c r="AH1297" s="1302">
        <f>AD1297+AE1297</f>
        <v>1327159.3836537176</v>
      </c>
      <c r="AI1297" s="1302">
        <f>AG1297+AF1297</f>
        <v>1550272.1115795835</v>
      </c>
      <c r="AJ1297" s="1302">
        <f>AH1297+AI1297</f>
        <v>2877431.4952333011</v>
      </c>
    </row>
    <row r="1298" spans="1:36" ht="14.5">
      <c r="A1298" s="616">
        <v>1</v>
      </c>
      <c r="B1298" s="616">
        <v>1</v>
      </c>
      <c r="C1298" s="616" t="s">
        <v>1540</v>
      </c>
      <c r="D1298" s="709" t="s">
        <v>1308</v>
      </c>
      <c r="E1298" s="2568" t="s">
        <v>1370</v>
      </c>
      <c r="F1298" s="2569"/>
      <c r="G1298" s="197" t="s">
        <v>26</v>
      </c>
      <c r="H1298" s="197" t="s">
        <v>31</v>
      </c>
      <c r="I1298" s="200" t="s">
        <v>54</v>
      </c>
      <c r="J1298" s="104"/>
      <c r="K1298" s="105"/>
      <c r="L1298" s="105"/>
      <c r="M1298" s="104"/>
      <c r="N1298" s="104"/>
      <c r="O1298" s="104"/>
      <c r="P1298" s="149" t="s">
        <v>55</v>
      </c>
      <c r="Q1298" s="1776" t="str">
        <f>CHOOSE(2, "6722000004216", "Other Seg PL Gross Profit (%)")</f>
        <v>Other Seg PL Gross Profit (%)</v>
      </c>
      <c r="R1298" s="2644">
        <f t="shared" ref="R1298:AJ1298" si="1784">IFERROR(R1297/R1294,0)</f>
        <v>0.318578634247284</v>
      </c>
      <c r="S1298" s="2644">
        <f t="shared" si="1784"/>
        <v>0.29168673874886974</v>
      </c>
      <c r="T1298" s="2644">
        <f t="shared" si="1784"/>
        <v>0.32200354684124782</v>
      </c>
      <c r="U1298" s="2644">
        <f t="shared" si="1784"/>
        <v>0.33201832007760551</v>
      </c>
      <c r="V1298" s="2644">
        <f t="shared" si="1784"/>
        <v>0.33594402626368719</v>
      </c>
      <c r="W1298" s="2644">
        <f t="shared" si="1784"/>
        <v>0.26794757463197266</v>
      </c>
      <c r="X1298" s="2644">
        <f t="shared" si="1784"/>
        <v>0.35579260667197188</v>
      </c>
      <c r="Y1298" s="2644">
        <f t="shared" si="1784"/>
        <v>0.32255402076290979</v>
      </c>
      <c r="Z1298" s="2644">
        <f t="shared" si="1784"/>
        <v>0.29972597937541995</v>
      </c>
      <c r="AA1298" s="2644">
        <f t="shared" si="1784"/>
        <v>0.35084396359166414</v>
      </c>
      <c r="AB1298" s="2644">
        <f t="shared" si="1784"/>
        <v>0.29711181510983309</v>
      </c>
      <c r="AC1298" s="2644">
        <f t="shared" si="1784"/>
        <v>0.22540268172010769</v>
      </c>
      <c r="AD1298" s="2644">
        <f t="shared" si="1784"/>
        <v>0.31091942991506311</v>
      </c>
      <c r="AE1298" s="2644">
        <f t="shared" si="1784"/>
        <v>0.31317626424904332</v>
      </c>
      <c r="AF1298" s="2644">
        <f t="shared" si="1784"/>
        <v>0.32630996295655951</v>
      </c>
      <c r="AG1298" s="2644">
        <f t="shared" si="1784"/>
        <v>0.29304498557296216</v>
      </c>
      <c r="AH1298" s="2644">
        <f t="shared" si="1784"/>
        <v>0.31211447428675143</v>
      </c>
      <c r="AI1298" s="2644">
        <f t="shared" si="1784"/>
        <v>0.30984982065191408</v>
      </c>
      <c r="AJ1298" s="2644">
        <f t="shared" si="1784"/>
        <v>0.3108902511449872</v>
      </c>
    </row>
    <row r="1299" spans="1:36" ht="14.5">
      <c r="A1299" s="616">
        <v>1</v>
      </c>
      <c r="B1299" s="616">
        <v>1</v>
      </c>
      <c r="C1299" s="616" t="s">
        <v>1540</v>
      </c>
      <c r="D1299" s="709" t="s">
        <v>1308</v>
      </c>
      <c r="E1299" s="2568" t="s">
        <v>1370</v>
      </c>
      <c r="F1299" s="2569"/>
      <c r="G1299" s="197" t="s">
        <v>26</v>
      </c>
      <c r="H1299" s="197" t="s">
        <v>31</v>
      </c>
      <c r="I1299" s="3052" t="s">
        <v>29</v>
      </c>
      <c r="J1299" s="861"/>
      <c r="K1299" s="861"/>
      <c r="L1299" s="861"/>
      <c r="M1299" s="861"/>
      <c r="N1299" s="861"/>
      <c r="O1299" s="861"/>
      <c r="P1299" s="3053"/>
      <c r="Q1299" s="1774" t="str">
        <f>CHOOSE(2, "6722000004217", "Other Seg PL SGA Expenses")</f>
        <v>Other Seg PL SGA Expenses</v>
      </c>
      <c r="R1299" s="1302">
        <f t="shared" ref="R1299:AC1299" si="1785">R1301+R1302+R1303</f>
        <v>163214</v>
      </c>
      <c r="S1299" s="1302">
        <f t="shared" si="1785"/>
        <v>153213.97056585748</v>
      </c>
      <c r="T1299" s="1302">
        <f t="shared" si="1785"/>
        <v>168784.21469932646</v>
      </c>
      <c r="U1299" s="1302">
        <f t="shared" si="1785"/>
        <v>169772.32413098158</v>
      </c>
      <c r="V1299" s="1302">
        <f t="shared" si="1785"/>
        <v>192956.18806931618</v>
      </c>
      <c r="W1299" s="1302">
        <f t="shared" si="1785"/>
        <v>130473.62551087383</v>
      </c>
      <c r="X1299" s="1302">
        <f t="shared" si="1785"/>
        <v>217081.08948609082</v>
      </c>
      <c r="Y1299" s="1302">
        <f t="shared" si="1785"/>
        <v>175254.70442100381</v>
      </c>
      <c r="Z1299" s="1302">
        <f t="shared" si="1785"/>
        <v>189501.45456450927</v>
      </c>
      <c r="AA1299" s="1302">
        <f t="shared" si="1785"/>
        <v>222260.66366268782</v>
      </c>
      <c r="AB1299" s="1302">
        <f t="shared" si="1785"/>
        <v>172643.75033016727</v>
      </c>
      <c r="AC1299" s="1302">
        <f t="shared" si="1785"/>
        <v>122367.6922744987</v>
      </c>
      <c r="AD1299" s="1302">
        <f>SUM(R1299,S1299,T1299)</f>
        <v>485212.18526518391</v>
      </c>
      <c r="AE1299" s="1302">
        <f>SUM(U1299,V1299,W1299)</f>
        <v>493202.13771117164</v>
      </c>
      <c r="AF1299" s="1302">
        <f>SUM(X1299,Y1299,Z1299)</f>
        <v>581837.24847160396</v>
      </c>
      <c r="AG1299" s="1302">
        <f>SUM(AA1299,AB1299,AC1299)</f>
        <v>517272.10626735381</v>
      </c>
      <c r="AH1299" s="1302">
        <f>AD1299+AE1299</f>
        <v>978414.32297635556</v>
      </c>
      <c r="AI1299" s="1302">
        <f>AG1299+AF1299</f>
        <v>1099109.3547389577</v>
      </c>
      <c r="AJ1299" s="1302">
        <f>AH1299+AI1299</f>
        <v>2077523.6777153132</v>
      </c>
    </row>
    <row r="1300" spans="1:36" ht="14.5">
      <c r="A1300" s="616">
        <v>1</v>
      </c>
      <c r="B1300" s="616">
        <v>1</v>
      </c>
      <c r="C1300" s="616" t="s">
        <v>1540</v>
      </c>
      <c r="D1300" s="709" t="s">
        <v>1308</v>
      </c>
      <c r="E1300" s="2568" t="s">
        <v>1370</v>
      </c>
      <c r="F1300" s="2569"/>
      <c r="G1300" s="197" t="s">
        <v>26</v>
      </c>
      <c r="H1300" s="197" t="s">
        <v>31</v>
      </c>
      <c r="I1300" s="201" t="s">
        <v>29</v>
      </c>
      <c r="J1300" s="36"/>
      <c r="K1300" s="35"/>
      <c r="L1300" s="35"/>
      <c r="M1300" s="36"/>
      <c r="N1300" s="36"/>
      <c r="O1300" s="36"/>
      <c r="P1300" s="157" t="s">
        <v>1328</v>
      </c>
      <c r="Q1300" s="1776" t="str">
        <f>CHOOSE(2, "6722000004218", "Other Seg PL SGA Expenses (%)")</f>
        <v>Other Seg PL SGA Expenses (%)</v>
      </c>
      <c r="R1300" s="2645">
        <f t="shared" ref="R1300:AJ1300" si="1786">IFERROR(R1299/R1294,0)</f>
        <v>0.2512964057842485</v>
      </c>
      <c r="S1300" s="2645">
        <f t="shared" si="1786"/>
        <v>0.23283205641841739</v>
      </c>
      <c r="T1300" s="2645">
        <f t="shared" si="1786"/>
        <v>0.24355199946224007</v>
      </c>
      <c r="U1300" s="2645">
        <f t="shared" si="1786"/>
        <v>0.23902875448390176</v>
      </c>
      <c r="V1300" s="2645">
        <f t="shared" si="1786"/>
        <v>0.23291655474766931</v>
      </c>
      <c r="W1300" s="2645">
        <f t="shared" si="1786"/>
        <v>0.18301350998414098</v>
      </c>
      <c r="X1300" s="2645">
        <f t="shared" si="1786"/>
        <v>0.24855996643528785</v>
      </c>
      <c r="Y1300" s="2645">
        <f t="shared" si="1786"/>
        <v>0.2194955737867372</v>
      </c>
      <c r="Z1300" s="2645">
        <f t="shared" si="1786"/>
        <v>0.22143840911981452</v>
      </c>
      <c r="AA1300" s="2645">
        <f t="shared" si="1786"/>
        <v>0.26576920939419224</v>
      </c>
      <c r="AB1300" s="2645">
        <f t="shared" si="1786"/>
        <v>0.19789707411613688</v>
      </c>
      <c r="AC1300" s="2645">
        <f t="shared" si="1786"/>
        <v>0.15953130816901054</v>
      </c>
      <c r="AD1300" s="2645">
        <f t="shared" si="1786"/>
        <v>0.24254012171948425</v>
      </c>
      <c r="AE1300" s="2645">
        <f t="shared" si="1786"/>
        <v>0.21904403308081438</v>
      </c>
      <c r="AF1300" s="2645">
        <f t="shared" si="1786"/>
        <v>0.23019602142909582</v>
      </c>
      <c r="AG1300" s="2645">
        <f t="shared" si="1786"/>
        <v>0.20893732082353972</v>
      </c>
      <c r="AH1300" s="2645">
        <f t="shared" si="1786"/>
        <v>0.23009841606942372</v>
      </c>
      <c r="AI1300" s="2645">
        <f t="shared" si="1786"/>
        <v>0.21967681279882484</v>
      </c>
      <c r="AJ1300" s="2645">
        <f t="shared" si="1786"/>
        <v>0.22446472105227419</v>
      </c>
    </row>
    <row r="1301" spans="1:36" ht="14.5">
      <c r="A1301" s="616">
        <v>1</v>
      </c>
      <c r="B1301" s="616">
        <v>1</v>
      </c>
      <c r="C1301" s="616" t="s">
        <v>1540</v>
      </c>
      <c r="D1301" s="709" t="s">
        <v>1308</v>
      </c>
      <c r="E1301" s="2568" t="s">
        <v>1370</v>
      </c>
      <c r="F1301" s="2569"/>
      <c r="G1301" s="197" t="s">
        <v>26</v>
      </c>
      <c r="H1301" s="197" t="s">
        <v>31</v>
      </c>
      <c r="I1301" s="201" t="s">
        <v>29</v>
      </c>
      <c r="J1301" s="108" t="s">
        <v>1329</v>
      </c>
      <c r="K1301" s="108"/>
      <c r="L1301" s="156"/>
      <c r="M1301" s="108"/>
      <c r="N1301" s="108"/>
      <c r="O1301" s="108"/>
      <c r="P1301" s="162"/>
      <c r="Q1301" s="1786" t="str">
        <f>CHOOSE(2, "6722000004219", "Other Seg PL SGA Expenses Variable Expenses")</f>
        <v>Other Seg PL SGA Expenses Variable Expenses</v>
      </c>
      <c r="R1301" s="37">
        <f t="shared" ref="R1301:AC1303" si="1787">R21+R1325+R1383</f>
        <v>61663.000000000007</v>
      </c>
      <c r="S1301" s="37">
        <f t="shared" si="1787"/>
        <v>49532.815859999893</v>
      </c>
      <c r="T1301" s="37">
        <f t="shared" si="1787"/>
        <v>47765.198640896393</v>
      </c>
      <c r="U1301" s="37">
        <f t="shared" si="1787"/>
        <v>67757.614665796646</v>
      </c>
      <c r="V1301" s="37">
        <f t="shared" si="1787"/>
        <v>73732.577379999973</v>
      </c>
      <c r="W1301" s="37">
        <f t="shared" si="1787"/>
        <v>50380.992796090977</v>
      </c>
      <c r="X1301" s="37">
        <f t="shared" si="1787"/>
        <v>42778.732098342494</v>
      </c>
      <c r="Y1301" s="37">
        <f t="shared" si="1787"/>
        <v>54978.632440000001</v>
      </c>
      <c r="Z1301" s="37">
        <f t="shared" si="1787"/>
        <v>73294.402940000014</v>
      </c>
      <c r="AA1301" s="37">
        <f t="shared" si="1787"/>
        <v>85193.170739999943</v>
      </c>
      <c r="AB1301" s="37">
        <f t="shared" si="1787"/>
        <v>80848.997169999988</v>
      </c>
      <c r="AC1301" s="37">
        <f t="shared" si="1787"/>
        <v>-4031.786570000033</v>
      </c>
      <c r="AD1301" s="202">
        <f>SUM(R1301,S1301,T1301)</f>
        <v>158961.0145008963</v>
      </c>
      <c r="AE1301" s="202">
        <f>SUM(U1301,V1301,W1301)</f>
        <v>191871.18484188759</v>
      </c>
      <c r="AF1301" s="202">
        <f>SUM(X1301,Y1301,Z1301)</f>
        <v>171051.76747834252</v>
      </c>
      <c r="AG1301" s="202">
        <f>SUM(AA1301,AB1301,AC1301)</f>
        <v>162010.38133999991</v>
      </c>
      <c r="AH1301" s="202">
        <f>AD1301+AE1301</f>
        <v>350832.19934278389</v>
      </c>
      <c r="AI1301" s="202">
        <f>AG1301+AF1301</f>
        <v>333062.14881834242</v>
      </c>
      <c r="AJ1301" s="202">
        <f>AH1301+AI1301</f>
        <v>683894.34816112625</v>
      </c>
    </row>
    <row r="1302" spans="1:36" ht="14.5">
      <c r="A1302" s="616">
        <v>1</v>
      </c>
      <c r="B1302" s="616">
        <v>1</v>
      </c>
      <c r="C1302" s="616" t="s">
        <v>1540</v>
      </c>
      <c r="D1302" s="709" t="s">
        <v>1308</v>
      </c>
      <c r="E1302" s="2568" t="s">
        <v>1370</v>
      </c>
      <c r="F1302" s="2569"/>
      <c r="G1302" s="197" t="s">
        <v>26</v>
      </c>
      <c r="H1302" s="197" t="s">
        <v>31</v>
      </c>
      <c r="I1302" s="201" t="s">
        <v>29</v>
      </c>
      <c r="J1302" s="36" t="s">
        <v>1330</v>
      </c>
      <c r="K1302" s="36"/>
      <c r="L1302" s="35"/>
      <c r="M1302" s="36"/>
      <c r="N1302" s="36"/>
      <c r="O1302" s="36"/>
      <c r="P1302" s="157"/>
      <c r="Q1302" s="1786" t="str">
        <f>CHOOSE(2, "6722000004220", "Other Seg PL SGA Expenses Wages &amp; Salaries")</f>
        <v>Other Seg PL SGA Expenses Wages &amp; Salaries</v>
      </c>
      <c r="R1302" s="37">
        <f t="shared" si="1787"/>
        <v>57774</v>
      </c>
      <c r="S1302" s="37">
        <f t="shared" si="1787"/>
        <v>56593.376708586613</v>
      </c>
      <c r="T1302" s="37">
        <f t="shared" si="1787"/>
        <v>57778.829556033968</v>
      </c>
      <c r="U1302" s="37">
        <f t="shared" si="1787"/>
        <v>54814.864514596768</v>
      </c>
      <c r="V1302" s="37">
        <f t="shared" si="1787"/>
        <v>57126.321322798387</v>
      </c>
      <c r="W1302" s="37">
        <f t="shared" si="1787"/>
        <v>61330.257943944365</v>
      </c>
      <c r="X1302" s="37">
        <f t="shared" si="1787"/>
        <v>88176.16495156211</v>
      </c>
      <c r="Y1302" s="37">
        <f t="shared" si="1787"/>
        <v>66065.360351003808</v>
      </c>
      <c r="Z1302" s="37">
        <f t="shared" si="1787"/>
        <v>68141.183444509254</v>
      </c>
      <c r="AA1302" s="37">
        <f t="shared" si="1787"/>
        <v>65667.929642687886</v>
      </c>
      <c r="AB1302" s="37">
        <f t="shared" si="1787"/>
        <v>63322.806170167292</v>
      </c>
      <c r="AC1302" s="37">
        <f t="shared" si="1787"/>
        <v>55750.188815961214</v>
      </c>
      <c r="AD1302" s="37">
        <f>SUM(R1302,S1302,T1302)</f>
        <v>172146.20626462059</v>
      </c>
      <c r="AE1302" s="37">
        <f>SUM(U1302,V1302,W1302)</f>
        <v>173271.44378133951</v>
      </c>
      <c r="AF1302" s="37">
        <f>SUM(X1302,Y1302,Z1302)</f>
        <v>222382.70874707517</v>
      </c>
      <c r="AG1302" s="37">
        <f>SUM(AA1302,AB1302,AC1302)</f>
        <v>184740.9246288164</v>
      </c>
      <c r="AH1302" s="37">
        <f>AD1302+AE1302</f>
        <v>345417.65004596009</v>
      </c>
      <c r="AI1302" s="37">
        <f>AG1302+AF1302</f>
        <v>407123.6333758916</v>
      </c>
      <c r="AJ1302" s="37">
        <f>AH1302+AI1302</f>
        <v>752541.28342185169</v>
      </c>
    </row>
    <row r="1303" spans="1:36" ht="14.5">
      <c r="A1303" s="616">
        <v>1</v>
      </c>
      <c r="B1303" s="616">
        <v>1</v>
      </c>
      <c r="C1303" s="616" t="s">
        <v>1540</v>
      </c>
      <c r="D1303" s="709" t="s">
        <v>1308</v>
      </c>
      <c r="E1303" s="2568" t="s">
        <v>1370</v>
      </c>
      <c r="F1303" s="2569"/>
      <c r="G1303" s="197" t="s">
        <v>26</v>
      </c>
      <c r="H1303" s="197" t="s">
        <v>31</v>
      </c>
      <c r="I1303" s="201" t="s">
        <v>29</v>
      </c>
      <c r="J1303" s="36" t="s">
        <v>1331</v>
      </c>
      <c r="K1303" s="36"/>
      <c r="L1303" s="35"/>
      <c r="M1303" s="36"/>
      <c r="N1303" s="36"/>
      <c r="O1303" s="36"/>
      <c r="P1303" s="157"/>
      <c r="Q1303" s="1786" t="str">
        <f>CHOOSE(2, "6722000004221", "Other Seg PL SGA Expenses Fixed Expenses")</f>
        <v>Other Seg PL SGA Expenses Fixed Expenses</v>
      </c>
      <c r="R1303" s="37">
        <f t="shared" si="1787"/>
        <v>43777.000000000007</v>
      </c>
      <c r="S1303" s="37">
        <f t="shared" si="1787"/>
        <v>47087.777997270983</v>
      </c>
      <c r="T1303" s="37">
        <f t="shared" si="1787"/>
        <v>63240.1865023961</v>
      </c>
      <c r="U1303" s="37">
        <f t="shared" si="1787"/>
        <v>47199.844950588151</v>
      </c>
      <c r="V1303" s="37">
        <f t="shared" si="1787"/>
        <v>62097.289366517834</v>
      </c>
      <c r="W1303" s="37">
        <f t="shared" si="1787"/>
        <v>18762.37477083848</v>
      </c>
      <c r="X1303" s="37">
        <f t="shared" si="1787"/>
        <v>86126.192436186233</v>
      </c>
      <c r="Y1303" s="37">
        <f t="shared" si="1787"/>
        <v>54210.711629999998</v>
      </c>
      <c r="Z1303" s="37">
        <f t="shared" si="1787"/>
        <v>48065.868180000005</v>
      </c>
      <c r="AA1303" s="37">
        <f t="shared" si="1787"/>
        <v>71399.563280000017</v>
      </c>
      <c r="AB1303" s="37">
        <f t="shared" si="1787"/>
        <v>28471.946989999986</v>
      </c>
      <c r="AC1303" s="37">
        <f t="shared" si="1787"/>
        <v>70649.290028537522</v>
      </c>
      <c r="AD1303" s="37">
        <f>SUM(R1303,S1303,T1303)</f>
        <v>154104.96449966708</v>
      </c>
      <c r="AE1303" s="37">
        <f>SUM(U1303,V1303,W1303)</f>
        <v>128059.50908794446</v>
      </c>
      <c r="AF1303" s="37">
        <f>SUM(X1303,Y1303,Z1303)</f>
        <v>188402.77224618621</v>
      </c>
      <c r="AG1303" s="37">
        <f>SUM(AA1303,AB1303,AC1303)</f>
        <v>170520.80029853754</v>
      </c>
      <c r="AH1303" s="37">
        <f>AD1303+AE1303</f>
        <v>282164.47358761157</v>
      </c>
      <c r="AI1303" s="37">
        <f>AG1303+AF1303</f>
        <v>358923.57254472375</v>
      </c>
      <c r="AJ1303" s="37">
        <f>AH1303+AI1303</f>
        <v>641088.04613233532</v>
      </c>
    </row>
    <row r="1304" spans="1:36" ht="14.5">
      <c r="A1304" s="616">
        <v>1</v>
      </c>
      <c r="B1304" s="616">
        <v>1</v>
      </c>
      <c r="C1304" s="616" t="s">
        <v>1540</v>
      </c>
      <c r="D1304" s="709" t="s">
        <v>1308</v>
      </c>
      <c r="E1304" s="2568" t="s">
        <v>1370</v>
      </c>
      <c r="F1304" s="2569"/>
      <c r="G1304" s="197" t="s">
        <v>26</v>
      </c>
      <c r="H1304" s="197" t="s">
        <v>31</v>
      </c>
      <c r="I1304" s="3052" t="s">
        <v>1332</v>
      </c>
      <c r="J1304" s="861"/>
      <c r="K1304" s="861"/>
      <c r="L1304" s="861"/>
      <c r="M1304" s="861"/>
      <c r="N1304" s="861"/>
      <c r="O1304" s="861"/>
      <c r="P1304" s="3053"/>
      <c r="Q1304" s="1774" t="str">
        <f>CHOOSE(2, "6722000004222", "Other Seg PL Business Contribution Profit")</f>
        <v>Other Seg PL Business Contribution Profit</v>
      </c>
      <c r="R1304" s="1302">
        <f t="shared" ref="R1304:AC1304" si="1788">R1297-R1299</f>
        <v>43699</v>
      </c>
      <c r="S1304" s="1302">
        <f t="shared" si="1788"/>
        <v>38729.029434142518</v>
      </c>
      <c r="T1304" s="1302">
        <f t="shared" si="1788"/>
        <v>54367.785300673539</v>
      </c>
      <c r="U1304" s="1302">
        <f t="shared" si="1788"/>
        <v>66046.675869018422</v>
      </c>
      <c r="V1304" s="1302">
        <f t="shared" si="1788"/>
        <v>85351.546572924679</v>
      </c>
      <c r="W1304" s="1302">
        <f t="shared" si="1788"/>
        <v>60551.023500602867</v>
      </c>
      <c r="X1304" s="1302">
        <f t="shared" si="1788"/>
        <v>93652.162513909163</v>
      </c>
      <c r="Y1304" s="1302">
        <f t="shared" si="1788"/>
        <v>82286.295578996185</v>
      </c>
      <c r="Z1304" s="1302">
        <f t="shared" si="1788"/>
        <v>66996.545435490727</v>
      </c>
      <c r="AA1304" s="1302">
        <f t="shared" si="1788"/>
        <v>71147.336337312183</v>
      </c>
      <c r="AB1304" s="1302">
        <f t="shared" si="1788"/>
        <v>86554.109249416069</v>
      </c>
      <c r="AC1304" s="1302">
        <f t="shared" si="1788"/>
        <v>50526.307725501305</v>
      </c>
      <c r="AD1304" s="1302">
        <f>SUM(R1304,S1304,T1304)</f>
        <v>136795.81473481606</v>
      </c>
      <c r="AE1304" s="1302">
        <f>SUM(U1304,V1304,W1304)</f>
        <v>211949.24594254597</v>
      </c>
      <c r="AF1304" s="1302">
        <f>SUM(X1304,Y1304,Z1304)</f>
        <v>242935.00352839608</v>
      </c>
      <c r="AG1304" s="1302">
        <f>SUM(AA1304,AB1304,AC1304)</f>
        <v>208227.75331222956</v>
      </c>
      <c r="AH1304" s="1302">
        <f>AD1304+AE1304</f>
        <v>348745.06067736202</v>
      </c>
      <c r="AI1304" s="1302">
        <f>AG1304+AF1304</f>
        <v>451162.75684062566</v>
      </c>
      <c r="AJ1304" s="1302">
        <f>AH1304+AI1304</f>
        <v>799907.81751798769</v>
      </c>
    </row>
    <row r="1305" spans="1:36" ht="14.5">
      <c r="A1305" s="616">
        <v>1</v>
      </c>
      <c r="B1305" s="616">
        <v>1</v>
      </c>
      <c r="C1305" s="616" t="s">
        <v>1540</v>
      </c>
      <c r="D1305" s="709" t="s">
        <v>1308</v>
      </c>
      <c r="E1305" s="2568" t="s">
        <v>1370</v>
      </c>
      <c r="F1305" s="2569"/>
      <c r="G1305" s="197" t="s">
        <v>26</v>
      </c>
      <c r="H1305" s="197" t="s">
        <v>31</v>
      </c>
      <c r="I1305" s="201" t="s">
        <v>56</v>
      </c>
      <c r="J1305" s="36"/>
      <c r="K1305" s="35"/>
      <c r="L1305" s="35"/>
      <c r="M1305" s="36"/>
      <c r="N1305" s="36"/>
      <c r="O1305" s="36"/>
      <c r="P1305" s="157" t="s">
        <v>55</v>
      </c>
      <c r="Q1305" s="1776" t="str">
        <f>CHOOSE(2, "6722000004223", "Other Seg PL Business Contribution Profit (%)")</f>
        <v>Other Seg PL Business Contribution Profit (%)</v>
      </c>
      <c r="R1305" s="2646">
        <f t="shared" ref="R1305:AJ1305" si="1789">IFERROR(R1304/R1294,0)</f>
        <v>6.7282228463035498E-2</v>
      </c>
      <c r="S1305" s="2646">
        <f t="shared" si="1789"/>
        <v>5.8854682330452351E-2</v>
      </c>
      <c r="T1305" s="2646">
        <f t="shared" si="1789"/>
        <v>7.8451547379007752E-2</v>
      </c>
      <c r="U1305" s="2646">
        <f t="shared" si="1789"/>
        <v>9.2989565593703735E-2</v>
      </c>
      <c r="V1305" s="2646">
        <f t="shared" si="1789"/>
        <v>0.10302747151601786</v>
      </c>
      <c r="W1305" s="2646">
        <f t="shared" si="1789"/>
        <v>8.4934064647831681E-2</v>
      </c>
      <c r="X1305" s="2646">
        <f t="shared" si="1789"/>
        <v>0.10723264023668401</v>
      </c>
      <c r="Y1305" s="2646">
        <f t="shared" si="1789"/>
        <v>0.10305844697617261</v>
      </c>
      <c r="Z1305" s="2646">
        <f t="shared" si="1789"/>
        <v>7.8287570255605413E-2</v>
      </c>
      <c r="AA1305" s="2646">
        <f t="shared" si="1789"/>
        <v>8.5074754197471916E-2</v>
      </c>
      <c r="AB1305" s="2646">
        <f t="shared" si="1789"/>
        <v>9.9214740993696204E-2</v>
      </c>
      <c r="AC1305" s="2646">
        <f t="shared" si="1789"/>
        <v>6.5871373551097137E-2</v>
      </c>
      <c r="AD1305" s="2646">
        <f t="shared" si="1789"/>
        <v>6.8379308195578831E-2</v>
      </c>
      <c r="AE1305" s="2646">
        <f t="shared" si="1789"/>
        <v>9.4132231168228955E-2</v>
      </c>
      <c r="AF1305" s="2646">
        <f t="shared" si="1789"/>
        <v>9.6113941527463734E-2</v>
      </c>
      <c r="AG1305" s="2646">
        <f t="shared" si="1789"/>
        <v>8.4107664749422412E-2</v>
      </c>
      <c r="AH1305" s="2646">
        <f t="shared" si="1789"/>
        <v>8.2016058217327714E-2</v>
      </c>
      <c r="AI1305" s="2646">
        <f t="shared" si="1789"/>
        <v>9.017300785308921E-2</v>
      </c>
      <c r="AJ1305" s="2646">
        <f t="shared" si="1789"/>
        <v>8.642553009271299E-2</v>
      </c>
    </row>
    <row r="1306" spans="1:36" ht="14.5">
      <c r="A1306" s="616">
        <v>1</v>
      </c>
      <c r="B1306" s="616">
        <v>1</v>
      </c>
      <c r="C1306" s="616" t="s">
        <v>1540</v>
      </c>
      <c r="D1306" s="709" t="s">
        <v>1308</v>
      </c>
      <c r="E1306" s="2568" t="s">
        <v>1370</v>
      </c>
      <c r="F1306" s="2569"/>
      <c r="G1306" s="203" t="s">
        <v>26</v>
      </c>
      <c r="H1306" s="203" t="s">
        <v>31</v>
      </c>
      <c r="I1306" s="153" t="s">
        <v>1333</v>
      </c>
      <c r="J1306" s="36"/>
      <c r="K1306" s="35"/>
      <c r="L1306" s="35"/>
      <c r="M1306" s="36"/>
      <c r="N1306" s="36"/>
      <c r="O1306" s="36"/>
      <c r="P1306" s="152"/>
      <c r="Q1306" s="1786" t="str">
        <f>CHOOSE(2, "6722000004224", "Other Seg PL Other Income")</f>
        <v>Other Seg PL Other Income</v>
      </c>
      <c r="R1306" s="37">
        <f t="shared" ref="R1306:AC1307" si="1790">R26+R1330+R1388</f>
        <v>9951</v>
      </c>
      <c r="S1306" s="37">
        <f t="shared" si="1790"/>
        <v>376</v>
      </c>
      <c r="T1306" s="37">
        <f t="shared" si="1790"/>
        <v>21.466273979496748</v>
      </c>
      <c r="U1306" s="37">
        <f t="shared" si="1790"/>
        <v>236</v>
      </c>
      <c r="V1306" s="37">
        <f t="shared" si="1790"/>
        <v>440.28</v>
      </c>
      <c r="W1306" s="37">
        <f t="shared" si="1790"/>
        <v>20</v>
      </c>
      <c r="X1306" s="37">
        <f t="shared" si="1790"/>
        <v>0</v>
      </c>
      <c r="Y1306" s="37">
        <f t="shared" si="1790"/>
        <v>277</v>
      </c>
      <c r="Z1306" s="37">
        <f t="shared" si="1790"/>
        <v>90965.32</v>
      </c>
      <c r="AA1306" s="37">
        <f t="shared" si="1790"/>
        <v>5293</v>
      </c>
      <c r="AB1306" s="37">
        <f t="shared" si="1790"/>
        <v>1273.2400000000002</v>
      </c>
      <c r="AC1306" s="37">
        <f t="shared" si="1790"/>
        <v>34895.301446465513</v>
      </c>
      <c r="AD1306" s="37">
        <f>SUM(R1306,S1306,T1306)</f>
        <v>10348.466273979497</v>
      </c>
      <c r="AE1306" s="37">
        <f>SUM(U1306,V1306,W1306)</f>
        <v>696.28</v>
      </c>
      <c r="AF1306" s="37">
        <f>SUM(X1306,Y1306,Z1306)</f>
        <v>91242.32</v>
      </c>
      <c r="AG1306" s="37">
        <f>SUM(AA1306,AB1306,AC1306)</f>
        <v>41461.541446465511</v>
      </c>
      <c r="AH1306" s="37">
        <f>AD1306+AE1306</f>
        <v>11044.746273979497</v>
      </c>
      <c r="AI1306" s="37">
        <f>AG1306+AF1306</f>
        <v>132703.86144646551</v>
      </c>
      <c r="AJ1306" s="37">
        <f>AH1306+AI1306</f>
        <v>143748.607720445</v>
      </c>
    </row>
    <row r="1307" spans="1:36" ht="14.5">
      <c r="A1307" s="616">
        <v>1</v>
      </c>
      <c r="B1307" s="616">
        <v>1</v>
      </c>
      <c r="C1307" s="616" t="s">
        <v>1540</v>
      </c>
      <c r="D1307" s="709" t="s">
        <v>1308</v>
      </c>
      <c r="E1307" s="2568" t="s">
        <v>1370</v>
      </c>
      <c r="F1307" s="2569"/>
      <c r="G1307" s="203" t="s">
        <v>26</v>
      </c>
      <c r="H1307" s="203" t="s">
        <v>31</v>
      </c>
      <c r="I1307" s="106" t="s">
        <v>1334</v>
      </c>
      <c r="J1307" s="104"/>
      <c r="K1307" s="105"/>
      <c r="L1307" s="105"/>
      <c r="M1307" s="104"/>
      <c r="N1307" s="104"/>
      <c r="O1307" s="104"/>
      <c r="P1307" s="103"/>
      <c r="Q1307" s="1786" t="str">
        <f>CHOOSE(2, "6722000004225", "Other Seg PL Other Expenses")</f>
        <v>Other Seg PL Other Expenses</v>
      </c>
      <c r="R1307" s="60">
        <f t="shared" si="1790"/>
        <v>0</v>
      </c>
      <c r="S1307" s="60">
        <f t="shared" si="1790"/>
        <v>0</v>
      </c>
      <c r="T1307" s="60">
        <f t="shared" si="1790"/>
        <v>0</v>
      </c>
      <c r="U1307" s="60">
        <f t="shared" si="1790"/>
        <v>0</v>
      </c>
      <c r="V1307" s="60">
        <f t="shared" si="1790"/>
        <v>0</v>
      </c>
      <c r="W1307" s="60">
        <f t="shared" si="1790"/>
        <v>0</v>
      </c>
      <c r="X1307" s="60">
        <f t="shared" si="1790"/>
        <v>0</v>
      </c>
      <c r="Y1307" s="60">
        <f t="shared" si="1790"/>
        <v>0</v>
      </c>
      <c r="Z1307" s="60">
        <f t="shared" si="1790"/>
        <v>0</v>
      </c>
      <c r="AA1307" s="60">
        <f t="shared" si="1790"/>
        <v>0</v>
      </c>
      <c r="AB1307" s="60">
        <f t="shared" si="1790"/>
        <v>0</v>
      </c>
      <c r="AC1307" s="60">
        <f t="shared" si="1790"/>
        <v>0</v>
      </c>
      <c r="AD1307" s="60">
        <f>SUM(R1307,S1307,T1307)</f>
        <v>0</v>
      </c>
      <c r="AE1307" s="60">
        <f>SUM(U1307,V1307,W1307)</f>
        <v>0</v>
      </c>
      <c r="AF1307" s="60">
        <f>SUM(X1307,Y1307,Z1307)</f>
        <v>0</v>
      </c>
      <c r="AG1307" s="60">
        <f>SUM(AA1307,AB1307,AC1307)</f>
        <v>0</v>
      </c>
      <c r="AH1307" s="60">
        <f>AD1307+AE1307</f>
        <v>0</v>
      </c>
      <c r="AI1307" s="60">
        <f>AG1307+AF1307</f>
        <v>0</v>
      </c>
      <c r="AJ1307" s="60">
        <f>AH1307+AI1307</f>
        <v>0</v>
      </c>
    </row>
    <row r="1308" spans="1:36" ht="14.5">
      <c r="A1308" s="616">
        <v>1</v>
      </c>
      <c r="B1308" s="616">
        <v>1</v>
      </c>
      <c r="C1308" s="616" t="s">
        <v>1540</v>
      </c>
      <c r="D1308" s="709" t="s">
        <v>1308</v>
      </c>
      <c r="E1308" s="2568" t="s">
        <v>1370</v>
      </c>
      <c r="F1308" s="2569"/>
      <c r="G1308" s="203" t="s">
        <v>26</v>
      </c>
      <c r="H1308" s="203" t="s">
        <v>31</v>
      </c>
      <c r="I1308" s="3052" t="s">
        <v>1335</v>
      </c>
      <c r="J1308" s="861"/>
      <c r="K1308" s="861"/>
      <c r="L1308" s="861"/>
      <c r="M1308" s="861"/>
      <c r="N1308" s="861"/>
      <c r="O1308" s="861"/>
      <c r="P1308" s="3053"/>
      <c r="Q1308" s="1774" t="str">
        <f>CHOOSE(2, "6722000004226", "Other Seg PL Operating Profit")</f>
        <v>Other Seg PL Operating Profit</v>
      </c>
      <c r="R1308" s="1302">
        <f t="shared" ref="R1308:AC1308" si="1791">R1304+R1306-R1307</f>
        <v>53650</v>
      </c>
      <c r="S1308" s="1302">
        <f t="shared" si="1791"/>
        <v>39105.029434142518</v>
      </c>
      <c r="T1308" s="1302">
        <f t="shared" si="1791"/>
        <v>54389.251574653033</v>
      </c>
      <c r="U1308" s="1302">
        <f t="shared" si="1791"/>
        <v>66282.675869018422</v>
      </c>
      <c r="V1308" s="1302">
        <f t="shared" si="1791"/>
        <v>85791.826572924678</v>
      </c>
      <c r="W1308" s="1302">
        <f t="shared" si="1791"/>
        <v>60571.023500602867</v>
      </c>
      <c r="X1308" s="1302">
        <f t="shared" si="1791"/>
        <v>93652.162513909163</v>
      </c>
      <c r="Y1308" s="1302">
        <f t="shared" si="1791"/>
        <v>82563.295578996185</v>
      </c>
      <c r="Z1308" s="1302">
        <f t="shared" si="1791"/>
        <v>157961.86543549073</v>
      </c>
      <c r="AA1308" s="1302">
        <f t="shared" si="1791"/>
        <v>76440.336337312183</v>
      </c>
      <c r="AB1308" s="1302">
        <f t="shared" si="1791"/>
        <v>87827.349249416075</v>
      </c>
      <c r="AC1308" s="1302">
        <f t="shared" si="1791"/>
        <v>85421.609171966818</v>
      </c>
      <c r="AD1308" s="1302">
        <f>SUM(R1308,S1308,T1308)</f>
        <v>147144.28100879554</v>
      </c>
      <c r="AE1308" s="1302">
        <f>SUM(U1308,V1308,W1308)</f>
        <v>212645.52594254597</v>
      </c>
      <c r="AF1308" s="1302">
        <f>SUM(X1308,Y1308,Z1308)</f>
        <v>334177.32352839608</v>
      </c>
      <c r="AG1308" s="1302">
        <f>SUM(AA1308,AB1308,AC1308)</f>
        <v>249689.29475869509</v>
      </c>
      <c r="AH1308" s="1302">
        <f>AD1308+AE1308</f>
        <v>359789.80695134151</v>
      </c>
      <c r="AI1308" s="1302">
        <f>AG1308+AF1308</f>
        <v>583866.61828709114</v>
      </c>
      <c r="AJ1308" s="1302">
        <f>AH1308+AI1308</f>
        <v>943656.4252384326</v>
      </c>
    </row>
    <row r="1309" spans="1:36" ht="14.5">
      <c r="A1309" s="616">
        <v>1</v>
      </c>
      <c r="B1309" s="616">
        <v>1</v>
      </c>
      <c r="C1309" s="616" t="s">
        <v>1540</v>
      </c>
      <c r="D1309" s="709" t="s">
        <v>1308</v>
      </c>
      <c r="E1309" s="2568" t="s">
        <v>1370</v>
      </c>
      <c r="F1309" s="2569"/>
      <c r="G1309" s="203" t="s">
        <v>26</v>
      </c>
      <c r="H1309" s="203" t="s">
        <v>31</v>
      </c>
      <c r="I1309" s="200" t="s">
        <v>1</v>
      </c>
      <c r="J1309" s="104"/>
      <c r="K1309" s="105"/>
      <c r="L1309" s="105"/>
      <c r="M1309" s="104"/>
      <c r="N1309" s="104"/>
      <c r="O1309" s="104"/>
      <c r="P1309" s="149" t="s">
        <v>55</v>
      </c>
      <c r="Q1309" s="1776" t="str">
        <f>CHOOSE(2, "6722000004227", "Other Seg PL Operating Profit (%)")</f>
        <v>Other Seg PL Operating Profit (%)</v>
      </c>
      <c r="R1309" s="2644">
        <f t="shared" ref="R1309:AJ1309" si="1792">IFERROR(R1308/R1294,0)</f>
        <v>8.2603527701820514E-2</v>
      </c>
      <c r="S1309" s="2644">
        <f t="shared" si="1792"/>
        <v>5.9426071825091777E-2</v>
      </c>
      <c r="T1309" s="2644">
        <f t="shared" si="1792"/>
        <v>7.8482522751663439E-2</v>
      </c>
      <c r="U1309" s="2644">
        <f t="shared" si="1792"/>
        <v>9.3321838750397276E-2</v>
      </c>
      <c r="V1309" s="2644">
        <f t="shared" si="1792"/>
        <v>0.10355893154199777</v>
      </c>
      <c r="W1309" s="2644">
        <f t="shared" si="1792"/>
        <v>8.496211836508949E-2</v>
      </c>
      <c r="X1309" s="2644">
        <f t="shared" si="1792"/>
        <v>0.10723264023668401</v>
      </c>
      <c r="Y1309" s="2644">
        <f t="shared" si="1792"/>
        <v>0.10340537217934929</v>
      </c>
      <c r="Z1309" s="2644">
        <f t="shared" si="1792"/>
        <v>0.18458340736232157</v>
      </c>
      <c r="AA1309" s="2644">
        <f t="shared" si="1792"/>
        <v>9.1403883257656637E-2</v>
      </c>
      <c r="AB1309" s="2644">
        <f t="shared" si="1792"/>
        <v>0.10067422313634984</v>
      </c>
      <c r="AC1309" s="2644">
        <f t="shared" si="1792"/>
        <v>0.11136453424762148</v>
      </c>
      <c r="AD1309" s="2644">
        <f t="shared" si="1792"/>
        <v>7.3552134323861679E-2</v>
      </c>
      <c r="AE1309" s="2644">
        <f t="shared" si="1792"/>
        <v>9.444146741781477E-2</v>
      </c>
      <c r="AF1309" s="2644">
        <f t="shared" si="1792"/>
        <v>0.13221272878306425</v>
      </c>
      <c r="AG1309" s="2644">
        <f t="shared" si="1792"/>
        <v>0.10085487242228545</v>
      </c>
      <c r="AH1309" s="2644">
        <f t="shared" si="1792"/>
        <v>8.4613504476904564E-2</v>
      </c>
      <c r="AI1309" s="2644">
        <f t="shared" si="1792"/>
        <v>0.11669626616488847</v>
      </c>
      <c r="AJ1309" s="2644">
        <f t="shared" si="1792"/>
        <v>0.10195675675440208</v>
      </c>
    </row>
    <row r="1310" spans="1:36" ht="14.5">
      <c r="A1310" s="616">
        <v>1</v>
      </c>
      <c r="B1310" s="616">
        <v>1</v>
      </c>
      <c r="C1310" s="616" t="s">
        <v>1540</v>
      </c>
      <c r="D1310" s="709" t="s">
        <v>1308</v>
      </c>
      <c r="E1310" s="2568" t="s">
        <v>1370</v>
      </c>
      <c r="F1310" s="2569"/>
      <c r="G1310" s="203" t="s">
        <v>26</v>
      </c>
      <c r="H1310" s="203" t="s">
        <v>31</v>
      </c>
      <c r="I1310" s="153" t="s">
        <v>1336</v>
      </c>
      <c r="J1310" s="36"/>
      <c r="K1310" s="35"/>
      <c r="L1310" s="35"/>
      <c r="M1310" s="36"/>
      <c r="N1310" s="36"/>
      <c r="O1310" s="36"/>
      <c r="P1310" s="157"/>
      <c r="Q1310" s="1786" t="str">
        <f>CHOOSE(2, "6722000004228", "Other Seg PL Financial Income (Expenses), net")</f>
        <v>Other Seg PL Financial Income (Expenses), net</v>
      </c>
      <c r="R1310" s="37">
        <f t="shared" ref="R1310:AC1310" si="1793">R1311-R1312</f>
        <v>13664</v>
      </c>
      <c r="S1310" s="37">
        <f t="shared" si="1793"/>
        <v>9779</v>
      </c>
      <c r="T1310" s="37">
        <f t="shared" si="1793"/>
        <v>6584</v>
      </c>
      <c r="U1310" s="37">
        <f t="shared" si="1793"/>
        <v>9159</v>
      </c>
      <c r="V1310" s="37">
        <f t="shared" si="1793"/>
        <v>11283</v>
      </c>
      <c r="W1310" s="37">
        <f t="shared" si="1793"/>
        <v>7253</v>
      </c>
      <c r="X1310" s="37">
        <f t="shared" si="1793"/>
        <v>99064</v>
      </c>
      <c r="Y1310" s="37">
        <f t="shared" si="1793"/>
        <v>10743</v>
      </c>
      <c r="Z1310" s="37">
        <f t="shared" si="1793"/>
        <v>-78979</v>
      </c>
      <c r="AA1310" s="37">
        <f t="shared" si="1793"/>
        <v>12314</v>
      </c>
      <c r="AB1310" s="37">
        <f t="shared" si="1793"/>
        <v>12686</v>
      </c>
      <c r="AC1310" s="37">
        <f t="shared" si="1793"/>
        <v>4853</v>
      </c>
      <c r="AD1310" s="37">
        <f t="shared" ref="AD1310:AD1315" si="1794">SUM(R1310,S1310,T1310)</f>
        <v>30027</v>
      </c>
      <c r="AE1310" s="37">
        <f t="shared" ref="AE1310:AE1315" si="1795">SUM(U1310,V1310,W1310)</f>
        <v>27695</v>
      </c>
      <c r="AF1310" s="37">
        <f t="shared" ref="AF1310:AF1315" si="1796">SUM(X1310,Y1310,Z1310)</f>
        <v>30828</v>
      </c>
      <c r="AG1310" s="37">
        <f t="shared" ref="AG1310:AG1315" si="1797">SUM(AA1310,AB1310,AC1310)</f>
        <v>29853</v>
      </c>
      <c r="AH1310" s="37">
        <f t="shared" ref="AH1310:AH1315" si="1798">AD1310+AE1310</f>
        <v>57722</v>
      </c>
      <c r="AI1310" s="37">
        <f t="shared" ref="AI1310:AI1315" si="1799">AG1310+AF1310</f>
        <v>60681</v>
      </c>
      <c r="AJ1310" s="37">
        <f t="shared" ref="AJ1310:AJ1315" si="1800">AH1310+AI1310</f>
        <v>118403</v>
      </c>
    </row>
    <row r="1311" spans="1:36" ht="14.5">
      <c r="A1311" s="616">
        <v>1</v>
      </c>
      <c r="B1311" s="616">
        <v>1</v>
      </c>
      <c r="C1311" s="616" t="s">
        <v>1540</v>
      </c>
      <c r="D1311" s="709" t="s">
        <v>1308</v>
      </c>
      <c r="E1311" s="2568" t="s">
        <v>1370</v>
      </c>
      <c r="F1311" s="2569"/>
      <c r="G1311" s="197" t="s">
        <v>26</v>
      </c>
      <c r="H1311" s="197" t="s">
        <v>31</v>
      </c>
      <c r="I1311" s="204" t="s">
        <v>177</v>
      </c>
      <c r="J1311" s="108" t="s">
        <v>1337</v>
      </c>
      <c r="K1311" s="108"/>
      <c r="L1311" s="156"/>
      <c r="M1311" s="108"/>
      <c r="N1311" s="108"/>
      <c r="O1311" s="108"/>
      <c r="P1311" s="155"/>
      <c r="Q1311" s="1821" t="str">
        <f>CHOOSE(2, "6722000004229", "Other Seg PL Financial Income Financial Income")</f>
        <v>Other Seg PL Financial Income Financial Income</v>
      </c>
      <c r="R1311" s="1291">
        <f t="shared" ref="R1311:AC1312" si="1801">R31</f>
        <v>13664</v>
      </c>
      <c r="S1311" s="1291">
        <f t="shared" si="1801"/>
        <v>10055</v>
      </c>
      <c r="T1311" s="1291">
        <f t="shared" si="1801"/>
        <v>11309</v>
      </c>
      <c r="U1311" s="1291">
        <f t="shared" si="1801"/>
        <v>10773</v>
      </c>
      <c r="V1311" s="1291">
        <f t="shared" si="1801"/>
        <v>11283</v>
      </c>
      <c r="W1311" s="1291">
        <f t="shared" si="1801"/>
        <v>11160</v>
      </c>
      <c r="X1311" s="1291">
        <f t="shared" si="1801"/>
        <v>100099</v>
      </c>
      <c r="Y1311" s="1291">
        <f t="shared" si="1801"/>
        <v>11100</v>
      </c>
      <c r="Z1311" s="1291">
        <f t="shared" si="1801"/>
        <v>-76347</v>
      </c>
      <c r="AA1311" s="1291">
        <f t="shared" si="1801"/>
        <v>12512</v>
      </c>
      <c r="AB1311" s="1291">
        <f t="shared" si="1801"/>
        <v>12769</v>
      </c>
      <c r="AC1311" s="1291">
        <f t="shared" si="1801"/>
        <v>7492</v>
      </c>
      <c r="AD1311" s="202">
        <f t="shared" si="1794"/>
        <v>35028</v>
      </c>
      <c r="AE1311" s="202">
        <f t="shared" si="1795"/>
        <v>33216</v>
      </c>
      <c r="AF1311" s="202">
        <f t="shared" si="1796"/>
        <v>34852</v>
      </c>
      <c r="AG1311" s="202">
        <f t="shared" si="1797"/>
        <v>32773</v>
      </c>
      <c r="AH1311" s="202">
        <f t="shared" si="1798"/>
        <v>68244</v>
      </c>
      <c r="AI1311" s="202">
        <f t="shared" si="1799"/>
        <v>67625</v>
      </c>
      <c r="AJ1311" s="202">
        <f t="shared" si="1800"/>
        <v>135869</v>
      </c>
    </row>
    <row r="1312" spans="1:36" ht="14.5">
      <c r="A1312" s="616">
        <v>1</v>
      </c>
      <c r="B1312" s="616">
        <v>1</v>
      </c>
      <c r="C1312" s="616" t="s">
        <v>1540</v>
      </c>
      <c r="D1312" s="709" t="s">
        <v>1308</v>
      </c>
      <c r="E1312" s="2568" t="s">
        <v>1370</v>
      </c>
      <c r="F1312" s="2569"/>
      <c r="G1312" s="197" t="s">
        <v>26</v>
      </c>
      <c r="H1312" s="197" t="s">
        <v>31</v>
      </c>
      <c r="I1312" s="204" t="s">
        <v>178</v>
      </c>
      <c r="J1312" s="36" t="s">
        <v>1338</v>
      </c>
      <c r="K1312" s="36"/>
      <c r="L1312" s="35"/>
      <c r="M1312" s="36"/>
      <c r="N1312" s="36"/>
      <c r="O1312" s="36"/>
      <c r="P1312" s="152"/>
      <c r="Q1312" s="1821" t="str">
        <f>CHOOSE(2, "6722000004230", "Other Seg PL Financial Expenses Financial Expenses")</f>
        <v>Other Seg PL Financial Expenses Financial Expenses</v>
      </c>
      <c r="R1312" s="1236">
        <f t="shared" si="1801"/>
        <v>0</v>
      </c>
      <c r="S1312" s="1236">
        <f t="shared" si="1801"/>
        <v>276</v>
      </c>
      <c r="T1312" s="1236">
        <f t="shared" si="1801"/>
        <v>4725</v>
      </c>
      <c r="U1312" s="1236">
        <f t="shared" si="1801"/>
        <v>1614</v>
      </c>
      <c r="V1312" s="1236">
        <f t="shared" si="1801"/>
        <v>0</v>
      </c>
      <c r="W1312" s="1236">
        <f t="shared" si="1801"/>
        <v>3907</v>
      </c>
      <c r="X1312" s="1236">
        <f t="shared" si="1801"/>
        <v>1035</v>
      </c>
      <c r="Y1312" s="1236">
        <f t="shared" si="1801"/>
        <v>357</v>
      </c>
      <c r="Z1312" s="1236">
        <f t="shared" si="1801"/>
        <v>2632</v>
      </c>
      <c r="AA1312" s="1236">
        <f t="shared" si="1801"/>
        <v>198</v>
      </c>
      <c r="AB1312" s="1236">
        <f t="shared" si="1801"/>
        <v>83</v>
      </c>
      <c r="AC1312" s="1236">
        <f t="shared" si="1801"/>
        <v>2639</v>
      </c>
      <c r="AD1312" s="37">
        <f t="shared" si="1794"/>
        <v>5001</v>
      </c>
      <c r="AE1312" s="37">
        <f t="shared" si="1795"/>
        <v>5521</v>
      </c>
      <c r="AF1312" s="37">
        <f t="shared" si="1796"/>
        <v>4024</v>
      </c>
      <c r="AG1312" s="37">
        <f t="shared" si="1797"/>
        <v>2920</v>
      </c>
      <c r="AH1312" s="37">
        <f t="shared" si="1798"/>
        <v>10522</v>
      </c>
      <c r="AI1312" s="37">
        <f t="shared" si="1799"/>
        <v>6944</v>
      </c>
      <c r="AJ1312" s="37">
        <f t="shared" si="1800"/>
        <v>17466</v>
      </c>
    </row>
    <row r="1313" spans="1:36" ht="14.5">
      <c r="A1313" s="616">
        <v>1</v>
      </c>
      <c r="B1313" s="616">
        <v>1</v>
      </c>
      <c r="C1313" s="616" t="s">
        <v>1540</v>
      </c>
      <c r="D1313" s="709" t="s">
        <v>1308</v>
      </c>
      <c r="E1313" s="2568" t="s">
        <v>1370</v>
      </c>
      <c r="F1313" s="2569"/>
      <c r="G1313" s="203" t="s">
        <v>26</v>
      </c>
      <c r="H1313" s="203" t="s">
        <v>31</v>
      </c>
      <c r="I1313" s="3042" t="s">
        <v>64</v>
      </c>
      <c r="J1313" s="3043"/>
      <c r="K1313" s="3043"/>
      <c r="L1313" s="3043"/>
      <c r="M1313" s="3043"/>
      <c r="N1313" s="3043"/>
      <c r="O1313" s="3043"/>
      <c r="P1313" s="1293"/>
      <c r="Q1313" s="1774" t="str">
        <f>CHOOSE(2, "6722000004231", "Other Seg PL Profit before Taxes")</f>
        <v>Other Seg PL Profit before Taxes</v>
      </c>
      <c r="R1313" s="3044">
        <f t="shared" ref="R1313:AC1313" si="1802">R1308+R1310</f>
        <v>67314</v>
      </c>
      <c r="S1313" s="3044">
        <f t="shared" si="1802"/>
        <v>48884.029434142518</v>
      </c>
      <c r="T1313" s="3044">
        <f t="shared" si="1802"/>
        <v>60973.251574653033</v>
      </c>
      <c r="U1313" s="3044">
        <f t="shared" si="1802"/>
        <v>75441.675869018422</v>
      </c>
      <c r="V1313" s="3044">
        <f t="shared" si="1802"/>
        <v>97074.826572924678</v>
      </c>
      <c r="W1313" s="3044">
        <f t="shared" si="1802"/>
        <v>67824.023500602867</v>
      </c>
      <c r="X1313" s="3044">
        <f t="shared" si="1802"/>
        <v>192716.16251390916</v>
      </c>
      <c r="Y1313" s="3044">
        <f t="shared" si="1802"/>
        <v>93306.295578996185</v>
      </c>
      <c r="Z1313" s="3044">
        <f t="shared" si="1802"/>
        <v>78982.865435490734</v>
      </c>
      <c r="AA1313" s="3044">
        <f t="shared" si="1802"/>
        <v>88754.336337312183</v>
      </c>
      <c r="AB1313" s="3044">
        <f t="shared" si="1802"/>
        <v>100513.34924941607</v>
      </c>
      <c r="AC1313" s="3044">
        <f t="shared" si="1802"/>
        <v>90274.609171966818</v>
      </c>
      <c r="AD1313" s="3044">
        <f t="shared" si="1794"/>
        <v>177171.28100879554</v>
      </c>
      <c r="AE1313" s="3044">
        <f t="shared" si="1795"/>
        <v>240340.52594254597</v>
      </c>
      <c r="AF1313" s="3044">
        <f t="shared" si="1796"/>
        <v>365005.32352839608</v>
      </c>
      <c r="AG1313" s="3044">
        <f t="shared" si="1797"/>
        <v>279542.29475869506</v>
      </c>
      <c r="AH1313" s="3044">
        <f t="shared" si="1798"/>
        <v>417511.80695134151</v>
      </c>
      <c r="AI1313" s="3044">
        <f t="shared" si="1799"/>
        <v>644547.61828709114</v>
      </c>
      <c r="AJ1313" s="3044">
        <f t="shared" si="1800"/>
        <v>1062059.4252384326</v>
      </c>
    </row>
    <row r="1314" spans="1:36" ht="14.5">
      <c r="A1314" s="616">
        <v>1</v>
      </c>
      <c r="B1314" s="616">
        <v>1</v>
      </c>
      <c r="C1314" s="616" t="s">
        <v>1540</v>
      </c>
      <c r="D1314" s="709" t="s">
        <v>1308</v>
      </c>
      <c r="E1314" s="2568" t="s">
        <v>1370</v>
      </c>
      <c r="F1314" s="2569"/>
      <c r="G1314" s="203" t="s">
        <v>26</v>
      </c>
      <c r="H1314" s="203" t="s">
        <v>31</v>
      </c>
      <c r="I1314" s="3041" t="s">
        <v>1339</v>
      </c>
      <c r="J1314" s="447"/>
      <c r="K1314" s="514"/>
      <c r="L1314" s="514"/>
      <c r="M1314" s="447"/>
      <c r="N1314" s="447"/>
      <c r="O1314" s="447"/>
      <c r="P1314" s="3410"/>
      <c r="Q1314" s="1821" t="str">
        <f>CHOOSE(2, "6722000004232", "Other Seg PL Tax Expenses &amp; Others")</f>
        <v>Other Seg PL Tax Expenses &amp; Others</v>
      </c>
      <c r="R1314" s="1198">
        <f t="shared" ref="R1314:AC1314" si="1803">R34</f>
        <v>16943.200433360998</v>
      </c>
      <c r="S1314" s="1198">
        <f t="shared" si="1803"/>
        <v>12303.851100000002</v>
      </c>
      <c r="T1314" s="1198">
        <f t="shared" si="1803"/>
        <v>15347</v>
      </c>
      <c r="U1314" s="1198">
        <f t="shared" si="1803"/>
        <v>18988</v>
      </c>
      <c r="V1314" s="1198">
        <f t="shared" si="1803"/>
        <v>24434</v>
      </c>
      <c r="W1314" s="1198">
        <f t="shared" si="1803"/>
        <v>17073</v>
      </c>
      <c r="X1314" s="1198">
        <f t="shared" si="1803"/>
        <v>48507</v>
      </c>
      <c r="Y1314" s="1198">
        <f t="shared" si="1803"/>
        <v>23485</v>
      </c>
      <c r="Z1314" s="1198">
        <f t="shared" si="1803"/>
        <v>19880</v>
      </c>
      <c r="AA1314" s="1198">
        <f t="shared" si="1803"/>
        <v>22340</v>
      </c>
      <c r="AB1314" s="1198">
        <f t="shared" si="1803"/>
        <v>25299</v>
      </c>
      <c r="AC1314" s="1198">
        <f t="shared" si="1803"/>
        <v>22722</v>
      </c>
      <c r="AD1314" s="3112">
        <f t="shared" si="1794"/>
        <v>44594.051533361002</v>
      </c>
      <c r="AE1314" s="3112">
        <f t="shared" si="1795"/>
        <v>60495</v>
      </c>
      <c r="AF1314" s="3112">
        <f t="shared" si="1796"/>
        <v>91872</v>
      </c>
      <c r="AG1314" s="3112">
        <f t="shared" si="1797"/>
        <v>70361</v>
      </c>
      <c r="AH1314" s="3112">
        <f t="shared" si="1798"/>
        <v>105089.05153336099</v>
      </c>
      <c r="AI1314" s="3112">
        <f t="shared" si="1799"/>
        <v>162233</v>
      </c>
      <c r="AJ1314" s="3112">
        <f t="shared" si="1800"/>
        <v>267322.05153336097</v>
      </c>
    </row>
    <row r="1315" spans="1:36" ht="14.5">
      <c r="A1315" s="616">
        <v>1</v>
      </c>
      <c r="B1315" s="616">
        <v>1</v>
      </c>
      <c r="C1315" s="616" t="s">
        <v>1540</v>
      </c>
      <c r="D1315" s="709" t="s">
        <v>1308</v>
      </c>
      <c r="E1315" s="2568" t="s">
        <v>1370</v>
      </c>
      <c r="F1315" s="2569"/>
      <c r="G1315" s="203" t="s">
        <v>26</v>
      </c>
      <c r="H1315" s="203" t="s">
        <v>31</v>
      </c>
      <c r="I1315" s="3042" t="s">
        <v>1340</v>
      </c>
      <c r="J1315" s="3043"/>
      <c r="K1315" s="3043"/>
      <c r="L1315" s="3043"/>
      <c r="M1315" s="3043"/>
      <c r="N1315" s="3043"/>
      <c r="O1315" s="3043"/>
      <c r="P1315" s="1293"/>
      <c r="Q1315" s="1774" t="str">
        <f>CHOOSE(2, "6722000004233", "Other Seg PL Net Profit")</f>
        <v>Other Seg PL Net Profit</v>
      </c>
      <c r="R1315" s="3044">
        <f t="shared" ref="R1315:AC1315" si="1804">R1313-R1314</f>
        <v>50370.799566639005</v>
      </c>
      <c r="S1315" s="3044">
        <f t="shared" si="1804"/>
        <v>36580.178334142518</v>
      </c>
      <c r="T1315" s="3044">
        <f t="shared" si="1804"/>
        <v>45626.251574653033</v>
      </c>
      <c r="U1315" s="3044">
        <f t="shared" si="1804"/>
        <v>56453.675869018422</v>
      </c>
      <c r="V1315" s="3044">
        <f t="shared" si="1804"/>
        <v>72640.826572924678</v>
      </c>
      <c r="W1315" s="3044">
        <f t="shared" si="1804"/>
        <v>50751.023500602867</v>
      </c>
      <c r="X1315" s="3044">
        <f t="shared" si="1804"/>
        <v>144209.16251390916</v>
      </c>
      <c r="Y1315" s="3044">
        <f t="shared" si="1804"/>
        <v>69821.295578996185</v>
      </c>
      <c r="Z1315" s="3044">
        <f t="shared" si="1804"/>
        <v>59102.865435490734</v>
      </c>
      <c r="AA1315" s="3044">
        <f t="shared" si="1804"/>
        <v>66414.336337312183</v>
      </c>
      <c r="AB1315" s="3044">
        <f t="shared" si="1804"/>
        <v>75214.349249416075</v>
      </c>
      <c r="AC1315" s="3044">
        <f t="shared" si="1804"/>
        <v>67552.609171966818</v>
      </c>
      <c r="AD1315" s="3044">
        <f t="shared" si="1794"/>
        <v>132577.22947543455</v>
      </c>
      <c r="AE1315" s="3044">
        <f t="shared" si="1795"/>
        <v>179845.52594254597</v>
      </c>
      <c r="AF1315" s="3044">
        <f t="shared" si="1796"/>
        <v>273133.32352839608</v>
      </c>
      <c r="AG1315" s="3044">
        <f t="shared" si="1797"/>
        <v>209181.29475869509</v>
      </c>
      <c r="AH1315" s="3044">
        <f t="shared" si="1798"/>
        <v>312422.75541798049</v>
      </c>
      <c r="AI1315" s="3044">
        <f t="shared" si="1799"/>
        <v>482314.61828709114</v>
      </c>
      <c r="AJ1315" s="3044">
        <f t="shared" si="1800"/>
        <v>794737.37370507163</v>
      </c>
    </row>
    <row r="1316" spans="1:36" ht="14.5">
      <c r="A1316" s="616">
        <v>1</v>
      </c>
      <c r="B1316" s="616">
        <v>1</v>
      </c>
      <c r="C1316" s="616" t="s">
        <v>1540</v>
      </c>
      <c r="D1316" s="709" t="s">
        <v>1308</v>
      </c>
      <c r="E1316" s="2568" t="s">
        <v>1370</v>
      </c>
      <c r="F1316" s="2569"/>
      <c r="G1316" s="203" t="s">
        <v>26</v>
      </c>
      <c r="H1316" s="203" t="s">
        <v>31</v>
      </c>
      <c r="I1316" s="200" t="s">
        <v>179</v>
      </c>
      <c r="J1316" s="104"/>
      <c r="K1316" s="105"/>
      <c r="L1316" s="105"/>
      <c r="M1316" s="104"/>
      <c r="N1316" s="104"/>
      <c r="O1316" s="104"/>
      <c r="P1316" s="149" t="s">
        <v>55</v>
      </c>
      <c r="Q1316" s="1776" t="str">
        <f>CHOOSE(2, "6722000004234", "Other Seg PL Net Profit (%)")</f>
        <v>Other Seg PL Net Profit (%)</v>
      </c>
      <c r="R1316" s="2644">
        <f t="shared" ref="R1316:AJ1316" si="1805">IFERROR(R1315/R1294,0)</f>
        <v>7.75546269779257E-2</v>
      </c>
      <c r="S1316" s="2644">
        <f t="shared" si="1805"/>
        <v>5.5589174500440729E-2</v>
      </c>
      <c r="T1316" s="2644">
        <f t="shared" si="1805"/>
        <v>6.5837701818085181E-2</v>
      </c>
      <c r="U1316" s="2644">
        <f t="shared" si="1805"/>
        <v>7.9483224948953018E-2</v>
      </c>
      <c r="V1316" s="2644">
        <f t="shared" si="1805"/>
        <v>8.768441804680871E-2</v>
      </c>
      <c r="W1316" s="2644">
        <f t="shared" si="1805"/>
        <v>7.1187743191507113E-2</v>
      </c>
      <c r="X1316" s="2644">
        <f t="shared" si="1805"/>
        <v>0.1651208987340877</v>
      </c>
      <c r="Y1316" s="2644">
        <f t="shared" si="1805"/>
        <v>8.7446812833221893E-2</v>
      </c>
      <c r="Z1316" s="2644">
        <f t="shared" si="1805"/>
        <v>6.9063556934346917E-2</v>
      </c>
      <c r="AA1316" s="2644">
        <f t="shared" si="1805"/>
        <v>7.9415247709307496E-2</v>
      </c>
      <c r="AB1316" s="2644">
        <f t="shared" si="1805"/>
        <v>8.6216266847441089E-2</v>
      </c>
      <c r="AC1316" s="2644">
        <f t="shared" si="1805"/>
        <v>8.8068638961165013E-2</v>
      </c>
      <c r="AD1316" s="2647">
        <f t="shared" si="1805"/>
        <v>6.6270589137471886E-2</v>
      </c>
      <c r="AE1316" s="2647">
        <f t="shared" si="1805"/>
        <v>7.9874125276126459E-2</v>
      </c>
      <c r="AF1316" s="2647">
        <f t="shared" si="1805"/>
        <v>0.10806149754266092</v>
      </c>
      <c r="AG1316" s="2647">
        <f t="shared" si="1805"/>
        <v>8.4492820632959917E-2</v>
      </c>
      <c r="AH1316" s="2647">
        <f t="shared" si="1805"/>
        <v>7.3473966475713096E-2</v>
      </c>
      <c r="AI1316" s="2647">
        <f t="shared" si="1805"/>
        <v>9.6399268785001158E-2</v>
      </c>
      <c r="AJ1316" s="2647">
        <f t="shared" si="1805"/>
        <v>8.5866892787814023E-2</v>
      </c>
    </row>
    <row r="1317" spans="1:36" ht="14.5">
      <c r="A1317" s="616">
        <v>1</v>
      </c>
      <c r="B1317" s="616">
        <v>1</v>
      </c>
      <c r="C1317" s="616" t="s">
        <v>1540</v>
      </c>
      <c r="D1317" s="709" t="s">
        <v>1308</v>
      </c>
      <c r="E1317" s="2568" t="s">
        <v>1370</v>
      </c>
      <c r="F1317" s="2569"/>
      <c r="G1317" s="205" t="s">
        <v>26</v>
      </c>
      <c r="H1317" s="205" t="s">
        <v>31</v>
      </c>
      <c r="Q1317" s="1786" t="str">
        <f>CHOOSE(2, "6722000004235", "▷ Blank 53")</f>
        <v>▷ Blank 53</v>
      </c>
      <c r="R1317" s="3411"/>
      <c r="S1317" s="3411"/>
      <c r="T1317" s="3411"/>
      <c r="U1317" s="3411"/>
      <c r="V1317" s="3411"/>
      <c r="W1317" s="3411"/>
      <c r="X1317" s="3411"/>
      <c r="Y1317" s="3411"/>
      <c r="Z1317" s="3411"/>
      <c r="AA1317" s="3412"/>
      <c r="AB1317" s="3412"/>
      <c r="AC1317" s="3412"/>
      <c r="AD1317" s="3412"/>
      <c r="AE1317" s="3412"/>
      <c r="AF1317" s="3412"/>
      <c r="AG1317" s="3412"/>
      <c r="AH1317" s="3412"/>
      <c r="AI1317" s="3412"/>
      <c r="AJ1317" s="3412"/>
    </row>
    <row r="1318" spans="1:36" ht="14.5">
      <c r="A1318" s="616">
        <v>1</v>
      </c>
      <c r="B1318" s="616">
        <v>1</v>
      </c>
      <c r="C1318" s="616" t="s">
        <v>1540</v>
      </c>
      <c r="D1318" s="709" t="s">
        <v>1308</v>
      </c>
      <c r="E1318" s="2568" t="s">
        <v>1370</v>
      </c>
      <c r="F1318" s="2569"/>
      <c r="G1318" s="81" t="s">
        <v>1635</v>
      </c>
      <c r="H1318"/>
      <c r="I1318"/>
      <c r="J1318"/>
      <c r="K1318"/>
      <c r="L1318"/>
      <c r="M1318"/>
      <c r="N1318"/>
      <c r="O1318"/>
      <c r="P1318"/>
      <c r="Q1318" s="1845" t="str">
        <f>CHOOSE(2, "6722000004236", "9-2. P/L Statement by BU")</f>
        <v>9-2. P/L Statement by BU</v>
      </c>
      <c r="R1318"/>
      <c r="S1318"/>
      <c r="T1318" s="3413"/>
      <c r="U1318"/>
      <c r="V1318"/>
      <c r="W1318"/>
      <c r="X1318"/>
      <c r="Y1318"/>
      <c r="Z1318"/>
      <c r="AA1318"/>
      <c r="AB1318"/>
      <c r="AC1318"/>
      <c r="AD1318" s="3413"/>
      <c r="AE1318"/>
      <c r="AF1318"/>
      <c r="AG1318"/>
      <c r="AH1318"/>
      <c r="AI1318"/>
      <c r="AJ1318"/>
    </row>
    <row r="1319" spans="1:36" ht="14.5">
      <c r="A1319" s="616">
        <v>1</v>
      </c>
      <c r="B1319" s="616">
        <v>1</v>
      </c>
      <c r="C1319" s="616" t="s">
        <v>1540</v>
      </c>
      <c r="D1319" s="709" t="s">
        <v>1308</v>
      </c>
      <c r="E1319" s="2568" t="s">
        <v>1370</v>
      </c>
      <c r="F1319" s="2569"/>
      <c r="G1319"/>
      <c r="H1319" s="4" t="s">
        <v>1636</v>
      </c>
      <c r="I1319" s="4"/>
      <c r="J1319" s="3"/>
      <c r="K1319" s="4"/>
      <c r="L1319" s="4"/>
      <c r="M1319" s="3"/>
      <c r="N1319" s="3"/>
      <c r="O1319" s="3"/>
      <c r="P1319" s="3"/>
      <c r="Q1319" s="1773" t="str">
        <f>CHOOSE(2, "6722000004237", "PL (1) BIC")</f>
        <v>PL (1) BIC</v>
      </c>
      <c r="R1319" s="2563"/>
      <c r="S1319" s="2563"/>
      <c r="T1319" s="2563"/>
      <c r="U1319" s="2563"/>
      <c r="V1319" s="2563"/>
      <c r="W1319" s="2563"/>
    </row>
    <row r="1320" spans="1:36" ht="14.5">
      <c r="A1320" s="616">
        <v>1</v>
      </c>
      <c r="B1320" s="616">
        <v>1</v>
      </c>
      <c r="C1320" s="616" t="s">
        <v>1540</v>
      </c>
      <c r="D1320" s="709" t="s">
        <v>1308</v>
      </c>
      <c r="E1320" s="2568" t="s">
        <v>1370</v>
      </c>
      <c r="F1320" s="2569"/>
      <c r="G1320"/>
      <c r="H1320" s="4"/>
      <c r="I1320" s="3414" t="s">
        <v>0</v>
      </c>
      <c r="J1320" s="1091"/>
      <c r="K1320" s="1092"/>
      <c r="L1320" s="1092"/>
      <c r="M1320" s="1092"/>
      <c r="N1320" s="1092"/>
      <c r="O1320" s="1092"/>
      <c r="P1320" s="3415"/>
      <c r="Q1320" s="1846" t="str">
        <f>CHOOSE(2, "6722000004238", "BIC Net Sales")</f>
        <v>BIC Net Sales</v>
      </c>
      <c r="R1320" s="3416">
        <v>0</v>
      </c>
      <c r="S1320" s="3416">
        <v>0</v>
      </c>
      <c r="T1320" s="3416">
        <v>0</v>
      </c>
      <c r="U1320" s="3416">
        <v>0</v>
      </c>
      <c r="V1320" s="3416">
        <v>0</v>
      </c>
      <c r="W1320" s="3416">
        <v>0</v>
      </c>
      <c r="X1320" s="3416">
        <v>0</v>
      </c>
      <c r="Y1320" s="3416">
        <v>0</v>
      </c>
      <c r="Z1320" s="3416">
        <v>0</v>
      </c>
      <c r="AA1320" s="3416">
        <v>0</v>
      </c>
      <c r="AB1320" s="3416">
        <v>0</v>
      </c>
      <c r="AC1320" s="3416">
        <v>0</v>
      </c>
      <c r="AD1320" s="3416">
        <f>SUM(R1320,S1320,T1320)</f>
        <v>0</v>
      </c>
      <c r="AE1320" s="3416">
        <f>SUM(U1320,V1320,W1320)</f>
        <v>0</v>
      </c>
      <c r="AF1320" s="3416">
        <f>SUM(X1320,Y1320,Z1320)</f>
        <v>0</v>
      </c>
      <c r="AG1320" s="3416">
        <f>SUM(AA1320,AB1320,AC1320)</f>
        <v>0</v>
      </c>
      <c r="AH1320" s="3416">
        <f>AD1320+AE1320</f>
        <v>0</v>
      </c>
      <c r="AI1320" s="3416">
        <f>AG1320+AF1320</f>
        <v>0</v>
      </c>
      <c r="AJ1320" s="3416">
        <f>AH1320+AI1320</f>
        <v>0</v>
      </c>
    </row>
    <row r="1321" spans="1:36" ht="14.5">
      <c r="A1321" s="616">
        <v>1</v>
      </c>
      <c r="B1321" s="616">
        <v>1</v>
      </c>
      <c r="C1321" s="616" t="s">
        <v>1540</v>
      </c>
      <c r="D1321" s="709" t="s">
        <v>1308</v>
      </c>
      <c r="E1321" s="2568" t="s">
        <v>1370</v>
      </c>
      <c r="F1321" s="2569"/>
      <c r="G1321"/>
      <c r="H1321" s="4"/>
      <c r="I1321" s="3414" t="s">
        <v>1637</v>
      </c>
      <c r="J1321" s="1091"/>
      <c r="K1321" s="1092"/>
      <c r="L1321" s="1092"/>
      <c r="M1321" s="1097" t="s">
        <v>370</v>
      </c>
      <c r="N1321" s="1092"/>
      <c r="O1321" s="1092"/>
      <c r="P1321" s="3415"/>
      <c r="Q1321" s="1846" t="str">
        <f>CHOOSE(2, "6722000004239", "BIC Consolidated Sales (Excludes Sales to KM-Gr. Companies)")</f>
        <v>BIC Consolidated Sales (Excludes Sales to KM-Gr. Companies)</v>
      </c>
      <c r="R1321" s="3416">
        <v>0</v>
      </c>
      <c r="S1321" s="3416">
        <v>0</v>
      </c>
      <c r="T1321" s="3416">
        <v>0</v>
      </c>
      <c r="U1321" s="3416">
        <v>0</v>
      </c>
      <c r="V1321" s="3416">
        <v>0</v>
      </c>
      <c r="W1321" s="3416">
        <v>0</v>
      </c>
      <c r="X1321" s="3416">
        <v>0</v>
      </c>
      <c r="Y1321" s="3416">
        <v>0</v>
      </c>
      <c r="Z1321" s="3416">
        <v>0</v>
      </c>
      <c r="AA1321" s="3416">
        <v>0</v>
      </c>
      <c r="AB1321" s="3416">
        <v>0</v>
      </c>
      <c r="AC1321" s="3416">
        <v>0</v>
      </c>
      <c r="AD1321" s="3416">
        <f>SUM(R1321,S1321,T1321)</f>
        <v>0</v>
      </c>
      <c r="AE1321" s="3416">
        <f>SUM(U1321,V1321,W1321)</f>
        <v>0</v>
      </c>
      <c r="AF1321" s="3416">
        <f>SUM(X1321,Y1321,Z1321)</f>
        <v>0</v>
      </c>
      <c r="AG1321" s="3416">
        <f>SUM(AA1321,AB1321,AC1321)</f>
        <v>0</v>
      </c>
      <c r="AH1321" s="3416">
        <f>AD1321+AE1321</f>
        <v>0</v>
      </c>
      <c r="AI1321" s="3416">
        <f>AG1321+AF1321</f>
        <v>0</v>
      </c>
      <c r="AJ1321" s="3416">
        <f>AH1321+AI1321</f>
        <v>0</v>
      </c>
    </row>
    <row r="1322" spans="1:36" ht="14.5">
      <c r="A1322" s="616">
        <v>1</v>
      </c>
      <c r="B1322" s="616">
        <v>1</v>
      </c>
      <c r="C1322" s="616" t="s">
        <v>1540</v>
      </c>
      <c r="D1322" s="709" t="s">
        <v>1308</v>
      </c>
      <c r="E1322" s="2568" t="s">
        <v>1370</v>
      </c>
      <c r="F1322" s="2569"/>
      <c r="G1322"/>
      <c r="H1322" s="4"/>
      <c r="I1322" s="3414" t="s">
        <v>54</v>
      </c>
      <c r="J1322" s="1091"/>
      <c r="K1322" s="1092"/>
      <c r="L1322" s="1092"/>
      <c r="M1322" s="1092"/>
      <c r="N1322" s="1092"/>
      <c r="O1322" s="1092"/>
      <c r="P1322" s="3415"/>
      <c r="Q1322" s="1846" t="str">
        <f>CHOOSE(2, "6722000004240", "BIC Gross Profit")</f>
        <v>BIC Gross Profit</v>
      </c>
      <c r="R1322" s="3416">
        <v>0</v>
      </c>
      <c r="S1322" s="3416">
        <v>0</v>
      </c>
      <c r="T1322" s="3416">
        <v>0</v>
      </c>
      <c r="U1322" s="3416">
        <v>0</v>
      </c>
      <c r="V1322" s="3416">
        <v>0</v>
      </c>
      <c r="W1322" s="3416">
        <v>0</v>
      </c>
      <c r="X1322" s="3416">
        <v>0</v>
      </c>
      <c r="Y1322" s="3416">
        <v>0</v>
      </c>
      <c r="Z1322" s="3416">
        <v>0</v>
      </c>
      <c r="AA1322" s="3416">
        <v>0</v>
      </c>
      <c r="AB1322" s="3416">
        <v>0</v>
      </c>
      <c r="AC1322" s="3416">
        <v>0</v>
      </c>
      <c r="AD1322" s="3416">
        <f>SUM(R1322,S1322,T1322)</f>
        <v>0</v>
      </c>
      <c r="AE1322" s="3416">
        <f>SUM(U1322,V1322,W1322)</f>
        <v>0</v>
      </c>
      <c r="AF1322" s="3416">
        <f>SUM(X1322,Y1322,Z1322)</f>
        <v>0</v>
      </c>
      <c r="AG1322" s="3416">
        <f>SUM(AA1322,AB1322,AC1322)</f>
        <v>0</v>
      </c>
      <c r="AH1322" s="3416">
        <f>AD1322+AE1322</f>
        <v>0</v>
      </c>
      <c r="AI1322" s="3416">
        <f>AG1322+AF1322</f>
        <v>0</v>
      </c>
      <c r="AJ1322" s="3416">
        <f>AH1322+AI1322</f>
        <v>0</v>
      </c>
    </row>
    <row r="1323" spans="1:36" ht="14.5">
      <c r="A1323" s="616">
        <v>1</v>
      </c>
      <c r="B1323" s="616">
        <v>1</v>
      </c>
      <c r="C1323" s="616" t="s">
        <v>1540</v>
      </c>
      <c r="D1323" s="709" t="s">
        <v>1308</v>
      </c>
      <c r="E1323" s="2568" t="s">
        <v>1370</v>
      </c>
      <c r="F1323" s="2569"/>
      <c r="G1323"/>
      <c r="H1323" s="4"/>
      <c r="I1323" s="27"/>
      <c r="J1323" s="3" t="s">
        <v>1328</v>
      </c>
      <c r="K1323" s="4"/>
      <c r="L1323" s="4"/>
      <c r="M1323" s="4"/>
      <c r="N1323" s="4"/>
      <c r="O1323" s="4"/>
      <c r="P1323" s="79"/>
      <c r="Q1323" s="1785" t="str">
        <f>CHOOSE(2, "6722000004241", "BIC Gross Profit (%)")</f>
        <v>BIC Gross Profit (%)</v>
      </c>
      <c r="R1323" s="1223">
        <f t="shared" ref="R1323:AJ1323" si="1806">IFERROR(R1322/R1320,0)</f>
        <v>0</v>
      </c>
      <c r="S1323" s="1223">
        <f t="shared" si="1806"/>
        <v>0</v>
      </c>
      <c r="T1323" s="1223">
        <f t="shared" si="1806"/>
        <v>0</v>
      </c>
      <c r="U1323" s="1223">
        <f t="shared" si="1806"/>
        <v>0</v>
      </c>
      <c r="V1323" s="1223">
        <f t="shared" si="1806"/>
        <v>0</v>
      </c>
      <c r="W1323" s="1223">
        <f t="shared" si="1806"/>
        <v>0</v>
      </c>
      <c r="X1323" s="1223">
        <f t="shared" si="1806"/>
        <v>0</v>
      </c>
      <c r="Y1323" s="1223">
        <f t="shared" si="1806"/>
        <v>0</v>
      </c>
      <c r="Z1323" s="1223">
        <f t="shared" si="1806"/>
        <v>0</v>
      </c>
      <c r="AA1323" s="1223">
        <f t="shared" si="1806"/>
        <v>0</v>
      </c>
      <c r="AB1323" s="1223">
        <f t="shared" si="1806"/>
        <v>0</v>
      </c>
      <c r="AC1323" s="1223">
        <f t="shared" si="1806"/>
        <v>0</v>
      </c>
      <c r="AD1323" s="1223">
        <f t="shared" si="1806"/>
        <v>0</v>
      </c>
      <c r="AE1323" s="1223">
        <f t="shared" si="1806"/>
        <v>0</v>
      </c>
      <c r="AF1323" s="1223">
        <f t="shared" si="1806"/>
        <v>0</v>
      </c>
      <c r="AG1323" s="1223">
        <f t="shared" si="1806"/>
        <v>0</v>
      </c>
      <c r="AH1323" s="1223">
        <f t="shared" si="1806"/>
        <v>0</v>
      </c>
      <c r="AI1323" s="1223">
        <f t="shared" si="1806"/>
        <v>0</v>
      </c>
      <c r="AJ1323" s="1223">
        <f t="shared" si="1806"/>
        <v>0</v>
      </c>
    </row>
    <row r="1324" spans="1:36" ht="14.5">
      <c r="A1324" s="616">
        <v>1</v>
      </c>
      <c r="B1324" s="616">
        <v>1</v>
      </c>
      <c r="C1324" s="616" t="s">
        <v>1540</v>
      </c>
      <c r="D1324" s="709" t="s">
        <v>1308</v>
      </c>
      <c r="E1324" s="2568" t="s">
        <v>1370</v>
      </c>
      <c r="F1324" s="2569"/>
      <c r="G1324"/>
      <c r="H1324" s="4"/>
      <c r="I1324" s="1098" t="s">
        <v>29</v>
      </c>
      <c r="J1324" s="1099"/>
      <c r="K1324" s="1100"/>
      <c r="L1324" s="1100"/>
      <c r="M1324" s="1100"/>
      <c r="N1324" s="1100"/>
      <c r="O1324" s="1100"/>
      <c r="P1324" s="1101"/>
      <c r="Q1324" s="1846" t="str">
        <f>CHOOSE(2, "6722000004242", "BIC SGA Expenses")</f>
        <v>BIC SGA Expenses</v>
      </c>
      <c r="R1324" s="1461">
        <f t="shared" ref="R1324" si="1807">SUM(R1325:R1327)</f>
        <v>0</v>
      </c>
      <c r="S1324" s="1461">
        <f t="shared" ref="S1324:AC1324" si="1808">SUM(S1325:S1327)</f>
        <v>0</v>
      </c>
      <c r="T1324" s="1461">
        <f t="shared" si="1808"/>
        <v>0</v>
      </c>
      <c r="U1324" s="1461">
        <f t="shared" si="1808"/>
        <v>0</v>
      </c>
      <c r="V1324" s="1461">
        <f t="shared" si="1808"/>
        <v>0</v>
      </c>
      <c r="W1324" s="1461">
        <f t="shared" si="1808"/>
        <v>0</v>
      </c>
      <c r="X1324" s="1461">
        <f t="shared" si="1808"/>
        <v>0</v>
      </c>
      <c r="Y1324" s="1461">
        <f t="shared" si="1808"/>
        <v>0</v>
      </c>
      <c r="Z1324" s="1461">
        <f t="shared" si="1808"/>
        <v>0</v>
      </c>
      <c r="AA1324" s="1461">
        <f t="shared" si="1808"/>
        <v>0</v>
      </c>
      <c r="AB1324" s="1461">
        <f t="shared" si="1808"/>
        <v>0</v>
      </c>
      <c r="AC1324" s="1461">
        <f t="shared" si="1808"/>
        <v>0</v>
      </c>
      <c r="AD1324" s="1461">
        <f>SUM(R1324,S1324,T1324)</f>
        <v>0</v>
      </c>
      <c r="AE1324" s="1461">
        <f>SUM(U1324,V1324,W1324)</f>
        <v>0</v>
      </c>
      <c r="AF1324" s="1461">
        <f>SUM(X1324,Y1324,Z1324)</f>
        <v>0</v>
      </c>
      <c r="AG1324" s="1461">
        <f>SUM(AA1324,AB1324,AC1324)</f>
        <v>0</v>
      </c>
      <c r="AH1324" s="1461">
        <f>AD1324+AE1324</f>
        <v>0</v>
      </c>
      <c r="AI1324" s="1461">
        <f>AG1324+AF1324</f>
        <v>0</v>
      </c>
      <c r="AJ1324" s="1461">
        <f>AH1324+AI1324</f>
        <v>0</v>
      </c>
    </row>
    <row r="1325" spans="1:36" ht="14.5">
      <c r="A1325" s="616">
        <v>1</v>
      </c>
      <c r="B1325" s="616">
        <v>1</v>
      </c>
      <c r="C1325" s="616" t="s">
        <v>1540</v>
      </c>
      <c r="D1325" s="709" t="s">
        <v>1308</v>
      </c>
      <c r="E1325" s="2568" t="s">
        <v>1370</v>
      </c>
      <c r="F1325" s="2569"/>
      <c r="G1325"/>
      <c r="H1325" s="4"/>
      <c r="I1325" s="27"/>
      <c r="J1325" s="36" t="s">
        <v>1329</v>
      </c>
      <c r="K1325" s="4"/>
      <c r="L1325" s="4"/>
      <c r="M1325" s="3"/>
      <c r="N1325" s="3"/>
      <c r="O1325" s="3"/>
      <c r="P1325" s="26"/>
      <c r="Q1325" s="1790" t="str">
        <f>CHOOSE(2, "6722000004243", "BIC SGA Expenses Variable Expenses")</f>
        <v>BIC SGA Expenses Variable Expenses</v>
      </c>
      <c r="R1325" s="1222">
        <v>0</v>
      </c>
      <c r="S1325" s="1222">
        <v>0</v>
      </c>
      <c r="T1325" s="1222">
        <v>0</v>
      </c>
      <c r="U1325" s="1222">
        <v>0</v>
      </c>
      <c r="V1325" s="1222">
        <v>0</v>
      </c>
      <c r="W1325" s="1222">
        <v>0</v>
      </c>
      <c r="X1325" s="1222">
        <v>0</v>
      </c>
      <c r="Y1325" s="1222">
        <v>0</v>
      </c>
      <c r="Z1325" s="1222">
        <v>0</v>
      </c>
      <c r="AA1325" s="1222">
        <v>0</v>
      </c>
      <c r="AB1325" s="1222">
        <v>0</v>
      </c>
      <c r="AC1325" s="1222">
        <v>0</v>
      </c>
      <c r="AD1325" s="1221">
        <f>SUM(R1325:T1325)</f>
        <v>0</v>
      </c>
      <c r="AE1325" s="1221">
        <f>SUM(U1325:W1325)</f>
        <v>0</v>
      </c>
      <c r="AF1325" s="1221">
        <f>SUM(X1325:Z1325)</f>
        <v>0</v>
      </c>
      <c r="AG1325" s="1221">
        <f>SUM(AA1325:AC1325)</f>
        <v>0</v>
      </c>
      <c r="AH1325" s="1221">
        <f>AD1325+AE1325</f>
        <v>0</v>
      </c>
      <c r="AI1325" s="1221">
        <f>AG1325+AF1325</f>
        <v>0</v>
      </c>
      <c r="AJ1325" s="1221">
        <f>AH1325+AI1325</f>
        <v>0</v>
      </c>
    </row>
    <row r="1326" spans="1:36" ht="14.5">
      <c r="A1326" s="616">
        <v>1</v>
      </c>
      <c r="B1326" s="616">
        <v>1</v>
      </c>
      <c r="C1326" s="616" t="s">
        <v>1540</v>
      </c>
      <c r="D1326" s="709" t="s">
        <v>1308</v>
      </c>
      <c r="E1326" s="2568" t="s">
        <v>1370</v>
      </c>
      <c r="F1326" s="2569"/>
      <c r="G1326"/>
      <c r="H1326" s="4"/>
      <c r="I1326" s="27"/>
      <c r="J1326" s="36" t="s">
        <v>1330</v>
      </c>
      <c r="K1326" s="4"/>
      <c r="L1326" s="4"/>
      <c r="M1326" s="3"/>
      <c r="N1326" s="3"/>
      <c r="O1326" s="3"/>
      <c r="P1326" s="26"/>
      <c r="Q1326" s="1790" t="str">
        <f>CHOOSE(2, "6722000004244", "BIC SGA Expenses Wages &amp; Salaries")</f>
        <v>BIC SGA Expenses Wages &amp; Salaries</v>
      </c>
      <c r="R1326" s="1222">
        <v>0</v>
      </c>
      <c r="S1326" s="1222">
        <v>0</v>
      </c>
      <c r="T1326" s="1222">
        <v>0</v>
      </c>
      <c r="U1326" s="1222">
        <v>0</v>
      </c>
      <c r="V1326" s="1222">
        <v>0</v>
      </c>
      <c r="W1326" s="1222">
        <v>0</v>
      </c>
      <c r="X1326" s="1222">
        <v>0</v>
      </c>
      <c r="Y1326" s="1222">
        <v>0</v>
      </c>
      <c r="Z1326" s="1222">
        <v>0</v>
      </c>
      <c r="AA1326" s="1222">
        <v>0</v>
      </c>
      <c r="AB1326" s="1222">
        <v>0</v>
      </c>
      <c r="AC1326" s="1222">
        <v>0</v>
      </c>
      <c r="AD1326" s="1221">
        <f>SUM(R1326:T1326)</f>
        <v>0</v>
      </c>
      <c r="AE1326" s="1221">
        <f>SUM(U1326:W1326)</f>
        <v>0</v>
      </c>
      <c r="AF1326" s="1221">
        <f>SUM(X1326:Z1326)</f>
        <v>0</v>
      </c>
      <c r="AG1326" s="1221">
        <f>SUM(AA1326:AC1326)</f>
        <v>0</v>
      </c>
      <c r="AH1326" s="1221">
        <f>AD1326+AE1326</f>
        <v>0</v>
      </c>
      <c r="AI1326" s="1221">
        <f>AG1326+AF1326</f>
        <v>0</v>
      </c>
      <c r="AJ1326" s="1221">
        <f>AH1326+AI1326</f>
        <v>0</v>
      </c>
    </row>
    <row r="1327" spans="1:36" ht="14.5">
      <c r="A1327" s="616">
        <v>1</v>
      </c>
      <c r="B1327" s="616">
        <v>1</v>
      </c>
      <c r="C1327" s="616" t="s">
        <v>1540</v>
      </c>
      <c r="D1327" s="709" t="s">
        <v>1308</v>
      </c>
      <c r="E1327" s="2568" t="s">
        <v>1370</v>
      </c>
      <c r="F1327" s="2569"/>
      <c r="G1327"/>
      <c r="H1327" s="4"/>
      <c r="I1327" s="27"/>
      <c r="J1327" s="36" t="s">
        <v>1331</v>
      </c>
      <c r="K1327" s="48"/>
      <c r="L1327" s="48"/>
      <c r="M1327" s="47"/>
      <c r="N1327" s="47"/>
      <c r="O1327" s="47"/>
      <c r="P1327" s="46"/>
      <c r="Q1327" s="1790" t="str">
        <f>CHOOSE(2, "6722000004245", "BIC SGA Expenses Fixed Expenses")</f>
        <v>BIC SGA Expenses Fixed Expenses</v>
      </c>
      <c r="R1327" s="1231">
        <v>0</v>
      </c>
      <c r="S1327" s="1231">
        <v>0</v>
      </c>
      <c r="T1327" s="1231">
        <v>0</v>
      </c>
      <c r="U1327" s="1231">
        <v>0</v>
      </c>
      <c r="V1327" s="1231">
        <v>0</v>
      </c>
      <c r="W1327" s="1231">
        <v>0</v>
      </c>
      <c r="X1327" s="1231">
        <v>0</v>
      </c>
      <c r="Y1327" s="1231">
        <v>0</v>
      </c>
      <c r="Z1327" s="1231">
        <v>0</v>
      </c>
      <c r="AA1327" s="1231">
        <v>0</v>
      </c>
      <c r="AB1327" s="1231">
        <v>0</v>
      </c>
      <c r="AC1327" s="1231">
        <v>0</v>
      </c>
      <c r="AD1327" s="1230">
        <f>SUM(R1327:T1327)</f>
        <v>0</v>
      </c>
      <c r="AE1327" s="1230">
        <f>SUM(U1327:W1327)</f>
        <v>0</v>
      </c>
      <c r="AF1327" s="1230">
        <f>SUM(X1327:Z1327)</f>
        <v>0</v>
      </c>
      <c r="AG1327" s="1230">
        <f>SUM(AA1327:AC1327)</f>
        <v>0</v>
      </c>
      <c r="AH1327" s="1230">
        <f>AD1327+AE1327</f>
        <v>0</v>
      </c>
      <c r="AI1327" s="1230">
        <f>AG1327+AF1327</f>
        <v>0</v>
      </c>
      <c r="AJ1327" s="1230">
        <f>AH1327+AI1327</f>
        <v>0</v>
      </c>
    </row>
    <row r="1328" spans="1:36" ht="14.5">
      <c r="A1328" s="616">
        <v>1</v>
      </c>
      <c r="B1328" s="616">
        <v>1</v>
      </c>
      <c r="C1328" s="616" t="s">
        <v>1540</v>
      </c>
      <c r="D1328" s="709" t="s">
        <v>1308</v>
      </c>
      <c r="E1328" s="2568" t="s">
        <v>1370</v>
      </c>
      <c r="F1328" s="2569"/>
      <c r="G1328"/>
      <c r="H1328" s="4"/>
      <c r="I1328" s="3417" t="s">
        <v>56</v>
      </c>
      <c r="J1328" s="1103"/>
      <c r="K1328" s="1104"/>
      <c r="L1328" s="1104"/>
      <c r="M1328" s="1104"/>
      <c r="N1328" s="1104"/>
      <c r="O1328" s="1104"/>
      <c r="P1328" s="3418"/>
      <c r="Q1328" s="1774" t="str">
        <f>CHOOSE(2, "6722000004246", "BIC Business Contribution Profit")</f>
        <v>BIC Business Contribution Profit</v>
      </c>
      <c r="R1328" s="3053">
        <f t="shared" ref="R1328:AJ1328" si="1809">R1322-R1324</f>
        <v>0</v>
      </c>
      <c r="S1328" s="3053">
        <f t="shared" si="1809"/>
        <v>0</v>
      </c>
      <c r="T1328" s="3053">
        <f t="shared" si="1809"/>
        <v>0</v>
      </c>
      <c r="U1328" s="3053">
        <f t="shared" si="1809"/>
        <v>0</v>
      </c>
      <c r="V1328" s="3053">
        <f t="shared" si="1809"/>
        <v>0</v>
      </c>
      <c r="W1328" s="3053">
        <f t="shared" si="1809"/>
        <v>0</v>
      </c>
      <c r="X1328" s="3053">
        <f t="shared" si="1809"/>
        <v>0</v>
      </c>
      <c r="Y1328" s="3053">
        <f t="shared" si="1809"/>
        <v>0</v>
      </c>
      <c r="Z1328" s="3053">
        <f t="shared" si="1809"/>
        <v>0</v>
      </c>
      <c r="AA1328" s="3053">
        <f t="shared" si="1809"/>
        <v>0</v>
      </c>
      <c r="AB1328" s="3053">
        <f t="shared" si="1809"/>
        <v>0</v>
      </c>
      <c r="AC1328" s="3053">
        <f t="shared" si="1809"/>
        <v>0</v>
      </c>
      <c r="AD1328" s="3053">
        <f t="shared" si="1809"/>
        <v>0</v>
      </c>
      <c r="AE1328" s="3053">
        <f t="shared" si="1809"/>
        <v>0</v>
      </c>
      <c r="AF1328" s="3053">
        <f t="shared" si="1809"/>
        <v>0</v>
      </c>
      <c r="AG1328" s="3053">
        <f t="shared" si="1809"/>
        <v>0</v>
      </c>
      <c r="AH1328" s="3053">
        <f t="shared" si="1809"/>
        <v>0</v>
      </c>
      <c r="AI1328" s="3053">
        <f t="shared" si="1809"/>
        <v>0</v>
      </c>
      <c r="AJ1328" s="3053">
        <f t="shared" si="1809"/>
        <v>0</v>
      </c>
    </row>
    <row r="1329" spans="1:36" ht="14.5">
      <c r="A1329" s="616">
        <v>1</v>
      </c>
      <c r="B1329" s="616">
        <v>1</v>
      </c>
      <c r="C1329" s="616" t="s">
        <v>1540</v>
      </c>
      <c r="D1329" s="709" t="s">
        <v>1308</v>
      </c>
      <c r="E1329" s="2568" t="s">
        <v>1370</v>
      </c>
      <c r="F1329" s="2569"/>
      <c r="G1329"/>
      <c r="H1329" s="4"/>
      <c r="I1329" s="25"/>
      <c r="J1329" s="1" t="s">
        <v>55</v>
      </c>
      <c r="K1329" s="2"/>
      <c r="L1329" s="2"/>
      <c r="M1329" s="1"/>
      <c r="N1329" s="1"/>
      <c r="O1329" s="1"/>
      <c r="P1329" s="24"/>
      <c r="Q1329" s="1792" t="str">
        <f>CHOOSE(2, "6722000004247", "BIC Business Contribution Profit (%)")</f>
        <v>BIC Business Contribution Profit (%)</v>
      </c>
      <c r="R1329" s="1229">
        <f t="shared" ref="R1329:AJ1329" si="1810">IFERROR(R1328/R1320,0)</f>
        <v>0</v>
      </c>
      <c r="S1329" s="1229">
        <f t="shared" si="1810"/>
        <v>0</v>
      </c>
      <c r="T1329" s="1229">
        <f t="shared" si="1810"/>
        <v>0</v>
      </c>
      <c r="U1329" s="1229">
        <f t="shared" si="1810"/>
        <v>0</v>
      </c>
      <c r="V1329" s="1229">
        <f t="shared" si="1810"/>
        <v>0</v>
      </c>
      <c r="W1329" s="1229">
        <f t="shared" si="1810"/>
        <v>0</v>
      </c>
      <c r="X1329" s="1229">
        <f t="shared" si="1810"/>
        <v>0</v>
      </c>
      <c r="Y1329" s="1229">
        <f t="shared" si="1810"/>
        <v>0</v>
      </c>
      <c r="Z1329" s="1229">
        <f t="shared" si="1810"/>
        <v>0</v>
      </c>
      <c r="AA1329" s="1229">
        <f t="shared" si="1810"/>
        <v>0</v>
      </c>
      <c r="AB1329" s="1229">
        <f t="shared" si="1810"/>
        <v>0</v>
      </c>
      <c r="AC1329" s="1229">
        <f t="shared" si="1810"/>
        <v>0</v>
      </c>
      <c r="AD1329" s="1229">
        <f t="shared" si="1810"/>
        <v>0</v>
      </c>
      <c r="AE1329" s="1229">
        <f t="shared" si="1810"/>
        <v>0</v>
      </c>
      <c r="AF1329" s="1229">
        <f t="shared" si="1810"/>
        <v>0</v>
      </c>
      <c r="AG1329" s="1229">
        <f t="shared" si="1810"/>
        <v>0</v>
      </c>
      <c r="AH1329" s="1229">
        <f t="shared" si="1810"/>
        <v>0</v>
      </c>
      <c r="AI1329" s="1229">
        <f t="shared" si="1810"/>
        <v>0</v>
      </c>
      <c r="AJ1329" s="1229">
        <f t="shared" si="1810"/>
        <v>0</v>
      </c>
    </row>
    <row r="1330" spans="1:36" ht="14.5">
      <c r="A1330" s="616">
        <v>1</v>
      </c>
      <c r="B1330" s="616">
        <v>1</v>
      </c>
      <c r="C1330" s="616" t="s">
        <v>1540</v>
      </c>
      <c r="D1330" s="709" t="s">
        <v>1308</v>
      </c>
      <c r="E1330" s="2568" t="s">
        <v>1370</v>
      </c>
      <c r="F1330" s="2569"/>
      <c r="G1330"/>
      <c r="H1330" s="4"/>
      <c r="I1330" s="3041" t="s">
        <v>1333</v>
      </c>
      <c r="J1330" s="447"/>
      <c r="K1330" s="514"/>
      <c r="L1330" s="514"/>
      <c r="M1330" s="447"/>
      <c r="N1330" s="447"/>
      <c r="O1330" s="447"/>
      <c r="P1330" s="3410"/>
      <c r="Q1330" s="1790" t="str">
        <f>CHOOSE(2, "6722000004248", "BIC Other Income")</f>
        <v>BIC Other Income</v>
      </c>
      <c r="R1330" s="3039">
        <v>0</v>
      </c>
      <c r="S1330" s="3419">
        <v>0</v>
      </c>
      <c r="T1330" s="3419">
        <v>0</v>
      </c>
      <c r="U1330" s="3419">
        <v>0</v>
      </c>
      <c r="V1330" s="3419">
        <v>0</v>
      </c>
      <c r="W1330" s="3419">
        <v>0</v>
      </c>
      <c r="X1330" s="3419">
        <v>0</v>
      </c>
      <c r="Y1330" s="3419">
        <v>0</v>
      </c>
      <c r="Z1330" s="3419">
        <v>0</v>
      </c>
      <c r="AA1330" s="3419">
        <v>0</v>
      </c>
      <c r="AB1330" s="3419">
        <v>0</v>
      </c>
      <c r="AC1330" s="3419">
        <v>0</v>
      </c>
      <c r="AD1330" s="3410">
        <f>SUM(R1330,S1330,T1330)</f>
        <v>0</v>
      </c>
      <c r="AE1330" s="3410">
        <f>SUM(U1330,V1330,W1330)</f>
        <v>0</v>
      </c>
      <c r="AF1330" s="3410">
        <f>SUM(X1330,Y1330,Z1330)</f>
        <v>0</v>
      </c>
      <c r="AG1330" s="3410">
        <f>SUM(AA1330,AB1330,AC1330)</f>
        <v>0</v>
      </c>
      <c r="AH1330" s="3410">
        <f>AD1330+AE1330</f>
        <v>0</v>
      </c>
      <c r="AI1330" s="3410">
        <f>AG1330+AF1330</f>
        <v>0</v>
      </c>
      <c r="AJ1330" s="3410">
        <f>AH1330+AI1330</f>
        <v>0</v>
      </c>
    </row>
    <row r="1331" spans="1:36" ht="14.5">
      <c r="A1331" s="616">
        <v>1</v>
      </c>
      <c r="B1331" s="616">
        <v>1</v>
      </c>
      <c r="C1331" s="616" t="s">
        <v>1540</v>
      </c>
      <c r="D1331" s="709" t="s">
        <v>1308</v>
      </c>
      <c r="E1331" s="2568" t="s">
        <v>1370</v>
      </c>
      <c r="F1331" s="2569"/>
      <c r="G1331"/>
      <c r="H1331" s="4"/>
      <c r="I1331" s="106" t="s">
        <v>1334</v>
      </c>
      <c r="J1331" s="104"/>
      <c r="K1331" s="105"/>
      <c r="L1331" s="105"/>
      <c r="M1331" s="104"/>
      <c r="N1331" s="104"/>
      <c r="O1331" s="104"/>
      <c r="P1331" s="103"/>
      <c r="Q1331" s="1790" t="str">
        <f>CHOOSE(2, "6722000004249", "BIC Other Expenses")</f>
        <v>BIC Other Expenses</v>
      </c>
      <c r="R1331" s="1216">
        <v>0</v>
      </c>
      <c r="S1331" s="1557">
        <v>0</v>
      </c>
      <c r="T1331" s="1557">
        <v>0</v>
      </c>
      <c r="U1331" s="1557">
        <v>0</v>
      </c>
      <c r="V1331" s="1557">
        <v>0</v>
      </c>
      <c r="W1331" s="1557">
        <v>0</v>
      </c>
      <c r="X1331" s="1557">
        <v>0</v>
      </c>
      <c r="Y1331" s="1557">
        <v>0</v>
      </c>
      <c r="Z1331" s="1557">
        <v>0</v>
      </c>
      <c r="AA1331" s="1557">
        <v>0</v>
      </c>
      <c r="AB1331" s="1557">
        <v>0</v>
      </c>
      <c r="AC1331" s="1557">
        <v>0</v>
      </c>
      <c r="AD1331" s="103">
        <f>SUM(R1331,S1331,T1331)</f>
        <v>0</v>
      </c>
      <c r="AE1331" s="103">
        <f>SUM(U1331,V1331,W1331)</f>
        <v>0</v>
      </c>
      <c r="AF1331" s="103">
        <f>SUM(X1331,Y1331,Z1331)</f>
        <v>0</v>
      </c>
      <c r="AG1331" s="103">
        <f>SUM(AA1331,AB1331,AC1331)</f>
        <v>0</v>
      </c>
      <c r="AH1331" s="103">
        <f>AD1331+AE1331</f>
        <v>0</v>
      </c>
      <c r="AI1331" s="103">
        <f>AG1331+AF1331</f>
        <v>0</v>
      </c>
      <c r="AJ1331" s="103">
        <f>AH1331+AI1331</f>
        <v>0</v>
      </c>
    </row>
    <row r="1332" spans="1:36" ht="14.5">
      <c r="A1332" s="616">
        <v>1</v>
      </c>
      <c r="B1332" s="616">
        <v>1</v>
      </c>
      <c r="C1332" s="616" t="s">
        <v>1540</v>
      </c>
      <c r="D1332" s="709" t="s">
        <v>1308</v>
      </c>
      <c r="E1332" s="2568" t="s">
        <v>1370</v>
      </c>
      <c r="F1332" s="2569"/>
      <c r="G1332"/>
      <c r="H1332" s="4"/>
      <c r="I1332" s="3417" t="s">
        <v>1335</v>
      </c>
      <c r="J1332" s="1103"/>
      <c r="K1332" s="1104"/>
      <c r="L1332" s="1104"/>
      <c r="M1332" s="1104"/>
      <c r="N1332" s="1104"/>
      <c r="O1332" s="1104"/>
      <c r="P1332" s="3418"/>
      <c r="Q1332" s="1774" t="str">
        <f>CHOOSE(2, "6722000004250", "BIC Operating Profit")</f>
        <v>BIC Operating Profit</v>
      </c>
      <c r="R1332" s="3053">
        <f t="shared" ref="R1332:AJ1332" si="1811">R1328+R1330-R1331</f>
        <v>0</v>
      </c>
      <c r="S1332" s="3418">
        <f t="shared" si="1811"/>
        <v>0</v>
      </c>
      <c r="T1332" s="3418">
        <f t="shared" si="1811"/>
        <v>0</v>
      </c>
      <c r="U1332" s="3418">
        <f t="shared" si="1811"/>
        <v>0</v>
      </c>
      <c r="V1332" s="3418">
        <f t="shared" si="1811"/>
        <v>0</v>
      </c>
      <c r="W1332" s="3418">
        <f t="shared" si="1811"/>
        <v>0</v>
      </c>
      <c r="X1332" s="3418">
        <f t="shared" si="1811"/>
        <v>0</v>
      </c>
      <c r="Y1332" s="3418">
        <f t="shared" si="1811"/>
        <v>0</v>
      </c>
      <c r="Z1332" s="3418">
        <f t="shared" si="1811"/>
        <v>0</v>
      </c>
      <c r="AA1332" s="3418">
        <f t="shared" si="1811"/>
        <v>0</v>
      </c>
      <c r="AB1332" s="3418">
        <f t="shared" si="1811"/>
        <v>0</v>
      </c>
      <c r="AC1332" s="3418">
        <f t="shared" si="1811"/>
        <v>0</v>
      </c>
      <c r="AD1332" s="3418">
        <f t="shared" si="1811"/>
        <v>0</v>
      </c>
      <c r="AE1332" s="3418">
        <f t="shared" si="1811"/>
        <v>0</v>
      </c>
      <c r="AF1332" s="3418">
        <f t="shared" si="1811"/>
        <v>0</v>
      </c>
      <c r="AG1332" s="3418">
        <f t="shared" si="1811"/>
        <v>0</v>
      </c>
      <c r="AH1332" s="3418">
        <f t="shared" si="1811"/>
        <v>0</v>
      </c>
      <c r="AI1332" s="3418">
        <f t="shared" si="1811"/>
        <v>0</v>
      </c>
      <c r="AJ1332" s="3418">
        <f t="shared" si="1811"/>
        <v>0</v>
      </c>
    </row>
    <row r="1333" spans="1:36" ht="14.5">
      <c r="A1333" s="616">
        <v>1</v>
      </c>
      <c r="B1333" s="616">
        <v>1</v>
      </c>
      <c r="C1333" s="616" t="s">
        <v>1540</v>
      </c>
      <c r="D1333" s="709" t="s">
        <v>1308</v>
      </c>
      <c r="E1333" s="2568" t="s">
        <v>1370</v>
      </c>
      <c r="F1333" s="2569"/>
      <c r="G1333"/>
      <c r="H1333" s="4"/>
      <c r="I1333" s="25"/>
      <c r="J1333" s="1" t="s">
        <v>55</v>
      </c>
      <c r="K1333" s="2"/>
      <c r="L1333" s="2"/>
      <c r="M1333" s="1"/>
      <c r="N1333" s="1"/>
      <c r="O1333" s="1"/>
      <c r="P1333" s="24"/>
      <c r="Q1333" s="1792" t="str">
        <f>CHOOSE(2, "6722000004251", "BIC Operating Profit (%)")</f>
        <v>BIC Operating Profit (%)</v>
      </c>
      <c r="R1333" s="1229">
        <f t="shared" ref="R1333:AJ1333" si="1812">IFERROR(R1332/R1320,0)</f>
        <v>0</v>
      </c>
      <c r="S1333" s="1229">
        <f t="shared" si="1812"/>
        <v>0</v>
      </c>
      <c r="T1333" s="1229">
        <f t="shared" si="1812"/>
        <v>0</v>
      </c>
      <c r="U1333" s="1229">
        <f t="shared" si="1812"/>
        <v>0</v>
      </c>
      <c r="V1333" s="1229">
        <f t="shared" si="1812"/>
        <v>0</v>
      </c>
      <c r="W1333" s="1229">
        <f t="shared" si="1812"/>
        <v>0</v>
      </c>
      <c r="X1333" s="1229">
        <f t="shared" si="1812"/>
        <v>0</v>
      </c>
      <c r="Y1333" s="1229">
        <f t="shared" si="1812"/>
        <v>0</v>
      </c>
      <c r="Z1333" s="1229">
        <f t="shared" si="1812"/>
        <v>0</v>
      </c>
      <c r="AA1333" s="1229">
        <f t="shared" si="1812"/>
        <v>0</v>
      </c>
      <c r="AB1333" s="1229">
        <f t="shared" si="1812"/>
        <v>0</v>
      </c>
      <c r="AC1333" s="1229">
        <f t="shared" si="1812"/>
        <v>0</v>
      </c>
      <c r="AD1333" s="1229">
        <f t="shared" si="1812"/>
        <v>0</v>
      </c>
      <c r="AE1333" s="1229">
        <f t="shared" si="1812"/>
        <v>0</v>
      </c>
      <c r="AF1333" s="1229">
        <f t="shared" si="1812"/>
        <v>0</v>
      </c>
      <c r="AG1333" s="1229">
        <f t="shared" si="1812"/>
        <v>0</v>
      </c>
      <c r="AH1333" s="1229">
        <f t="shared" si="1812"/>
        <v>0</v>
      </c>
      <c r="AI1333" s="1229">
        <f t="shared" si="1812"/>
        <v>0</v>
      </c>
      <c r="AJ1333" s="1229">
        <f t="shared" si="1812"/>
        <v>0</v>
      </c>
    </row>
    <row r="1334" spans="1:36" ht="14.5">
      <c r="A1334" s="616">
        <v>1</v>
      </c>
      <c r="B1334" s="616">
        <v>1</v>
      </c>
      <c r="C1334" s="616" t="s">
        <v>1540</v>
      </c>
      <c r="D1334" s="709" t="s">
        <v>1308</v>
      </c>
      <c r="E1334" s="2568" t="s">
        <v>1370</v>
      </c>
      <c r="F1334" s="2569"/>
      <c r="G1334"/>
      <c r="H1334" s="4"/>
      <c r="I1334" s="4"/>
      <c r="J1334" s="3"/>
      <c r="K1334" s="4"/>
      <c r="L1334" s="4"/>
      <c r="M1334" s="3"/>
      <c r="N1334" s="3"/>
      <c r="O1334" s="3"/>
      <c r="P1334" s="3"/>
      <c r="Q1334" s="1847" t="str">
        <f>CHOOSE(2, "6722000004252", "▷ Blank 54")</f>
        <v>▷ Blank 54</v>
      </c>
      <c r="R1334" s="2648"/>
      <c r="S1334" s="2648"/>
      <c r="T1334" s="2648"/>
      <c r="U1334" s="2648"/>
      <c r="V1334" s="2648"/>
      <c r="W1334" s="2648"/>
      <c r="X1334" s="2648"/>
      <c r="Y1334" s="2648"/>
      <c r="Z1334" s="2648"/>
      <c r="AA1334" s="2648"/>
      <c r="AB1334" s="2648"/>
      <c r="AC1334" s="2648"/>
      <c r="AD1334" s="2648"/>
      <c r="AE1334" s="2648"/>
      <c r="AF1334" s="2648"/>
      <c r="AG1334" s="2648"/>
      <c r="AH1334" s="2648"/>
      <c r="AI1334" s="2648"/>
      <c r="AJ1334" s="2648"/>
    </row>
    <row r="1335" spans="1:36" ht="14.5">
      <c r="A1335" s="616">
        <v>1</v>
      </c>
      <c r="B1335" s="616">
        <v>1</v>
      </c>
      <c r="C1335" s="616" t="s">
        <v>1540</v>
      </c>
      <c r="D1335" s="709" t="s">
        <v>1308</v>
      </c>
      <c r="E1335" s="2568" t="s">
        <v>1370</v>
      </c>
      <c r="F1335" s="2569"/>
      <c r="G1335"/>
      <c r="H1335" s="4" t="s">
        <v>1638</v>
      </c>
      <c r="I1335" s="746"/>
      <c r="J1335" s="3"/>
      <c r="K1335" s="4"/>
      <c r="L1335" s="4"/>
      <c r="M1335" s="3"/>
      <c r="N1335" s="3" t="s">
        <v>1639</v>
      </c>
      <c r="O1335" s="3"/>
      <c r="P1335" s="3"/>
      <c r="Q1335" s="1773" t="str">
        <f>CHOOSE(2, "6722000004253", "PL (2) IIS (Imaging-IoT Solution)")</f>
        <v>PL (2) IIS (Imaging-IoT Solution)</v>
      </c>
      <c r="R1335" s="2649"/>
      <c r="S1335" s="2649"/>
      <c r="T1335" s="2649"/>
      <c r="U1335" s="2649"/>
      <c r="V1335" s="2649"/>
      <c r="W1335" s="2649"/>
    </row>
    <row r="1336" spans="1:36" ht="14.5">
      <c r="A1336" s="616">
        <v>1</v>
      </c>
      <c r="B1336" s="616">
        <v>1</v>
      </c>
      <c r="C1336" s="616" t="s">
        <v>1540</v>
      </c>
      <c r="D1336" s="709" t="s">
        <v>1308</v>
      </c>
      <c r="E1336" s="2568" t="s">
        <v>1370</v>
      </c>
      <c r="F1336" s="2569"/>
      <c r="G1336"/>
      <c r="H1336" s="4"/>
      <c r="I1336" s="3414" t="s">
        <v>0</v>
      </c>
      <c r="J1336" s="1091"/>
      <c r="K1336" s="1092"/>
      <c r="L1336" s="1092"/>
      <c r="M1336" s="1092"/>
      <c r="N1336" s="1092"/>
      <c r="O1336" s="1092"/>
      <c r="P1336" s="3415"/>
      <c r="Q1336" s="1846" t="str">
        <f>CHOOSE(2, "6722000004254", "IIS Net Sales")</f>
        <v>IIS Net Sales</v>
      </c>
      <c r="R1336" s="3416">
        <f t="shared" ref="R1336:AJ1336" si="1813">R1337+R1349+R1350</f>
        <v>233</v>
      </c>
      <c r="S1336" s="3416">
        <f t="shared" si="1813"/>
        <v>1224</v>
      </c>
      <c r="T1336" s="3416">
        <f t="shared" si="1813"/>
        <v>0</v>
      </c>
      <c r="U1336" s="3416">
        <f t="shared" si="1813"/>
        <v>917</v>
      </c>
      <c r="V1336" s="3416">
        <f t="shared" si="1813"/>
        <v>782.24099999999999</v>
      </c>
      <c r="W1336" s="3416">
        <f t="shared" si="1813"/>
        <v>1831</v>
      </c>
      <c r="X1336" s="3416">
        <f t="shared" si="1813"/>
        <v>0</v>
      </c>
      <c r="Y1336" s="3416">
        <f t="shared" si="1813"/>
        <v>779</v>
      </c>
      <c r="Z1336" s="3416">
        <f t="shared" si="1813"/>
        <v>2998</v>
      </c>
      <c r="AA1336" s="3416">
        <f t="shared" si="1813"/>
        <v>1695</v>
      </c>
      <c r="AB1336" s="3416">
        <f t="shared" si="1813"/>
        <v>1298</v>
      </c>
      <c r="AC1336" s="3416">
        <f t="shared" si="1813"/>
        <v>2928</v>
      </c>
      <c r="AD1336" s="3416">
        <f t="shared" si="1813"/>
        <v>1457</v>
      </c>
      <c r="AE1336" s="3416">
        <f t="shared" si="1813"/>
        <v>3530.241</v>
      </c>
      <c r="AF1336" s="3416">
        <f t="shared" si="1813"/>
        <v>3777</v>
      </c>
      <c r="AG1336" s="3416">
        <f t="shared" si="1813"/>
        <v>5921</v>
      </c>
      <c r="AH1336" s="3416">
        <f t="shared" si="1813"/>
        <v>4987.241</v>
      </c>
      <c r="AI1336" s="3416">
        <f t="shared" si="1813"/>
        <v>9698</v>
      </c>
      <c r="AJ1336" s="3416">
        <f t="shared" si="1813"/>
        <v>14685.241</v>
      </c>
    </row>
    <row r="1337" spans="1:36" ht="14.5">
      <c r="A1337" s="616">
        <v>1</v>
      </c>
      <c r="B1337" s="616">
        <v>1</v>
      </c>
      <c r="C1337" s="616" t="s">
        <v>1540</v>
      </c>
      <c r="D1337" s="709" t="s">
        <v>1308</v>
      </c>
      <c r="E1337" s="2568" t="s">
        <v>1370</v>
      </c>
      <c r="F1337" s="2569"/>
      <c r="G1337"/>
      <c r="H1337" s="4"/>
      <c r="I1337" s="1098"/>
      <c r="J1337" s="1116" t="s">
        <v>1640</v>
      </c>
      <c r="K1337" s="1117"/>
      <c r="L1337" s="1117"/>
      <c r="M1337" s="1117"/>
      <c r="N1337" s="1117"/>
      <c r="O1337" s="1117"/>
      <c r="P1337" s="1118"/>
      <c r="Q1337" s="1848" t="str">
        <f>CHOOSE(2, "6722000004255", "IIS Net Sales MX")</f>
        <v>IIS Net Sales MX</v>
      </c>
      <c r="R1337" s="1463">
        <f t="shared" ref="R1337:AJ1337" si="1814">R1338+R1348</f>
        <v>233</v>
      </c>
      <c r="S1337" s="1463">
        <f t="shared" si="1814"/>
        <v>1224</v>
      </c>
      <c r="T1337" s="1463">
        <f t="shared" si="1814"/>
        <v>0</v>
      </c>
      <c r="U1337" s="1463">
        <f t="shared" si="1814"/>
        <v>917</v>
      </c>
      <c r="V1337" s="1463">
        <f t="shared" si="1814"/>
        <v>782.24099999999999</v>
      </c>
      <c r="W1337" s="1463">
        <f t="shared" si="1814"/>
        <v>1831</v>
      </c>
      <c r="X1337" s="1463">
        <f t="shared" si="1814"/>
        <v>0</v>
      </c>
      <c r="Y1337" s="1463">
        <f t="shared" si="1814"/>
        <v>779</v>
      </c>
      <c r="Z1337" s="1463">
        <f t="shared" si="1814"/>
        <v>2998</v>
      </c>
      <c r="AA1337" s="1463">
        <f t="shared" si="1814"/>
        <v>1695</v>
      </c>
      <c r="AB1337" s="1463">
        <f t="shared" si="1814"/>
        <v>1298</v>
      </c>
      <c r="AC1337" s="1463">
        <f t="shared" si="1814"/>
        <v>2928</v>
      </c>
      <c r="AD1337" s="1463">
        <f t="shared" si="1814"/>
        <v>1457</v>
      </c>
      <c r="AE1337" s="1463">
        <f t="shared" si="1814"/>
        <v>3530.241</v>
      </c>
      <c r="AF1337" s="1463">
        <f t="shared" si="1814"/>
        <v>3777</v>
      </c>
      <c r="AG1337" s="1463">
        <f t="shared" si="1814"/>
        <v>5921</v>
      </c>
      <c r="AH1337" s="1463">
        <f t="shared" si="1814"/>
        <v>4987.241</v>
      </c>
      <c r="AI1337" s="1463">
        <f t="shared" si="1814"/>
        <v>9698</v>
      </c>
      <c r="AJ1337" s="1463">
        <f t="shared" si="1814"/>
        <v>14685.241</v>
      </c>
    </row>
    <row r="1338" spans="1:36" ht="14.5">
      <c r="A1338" s="616">
        <v>1</v>
      </c>
      <c r="B1338" s="616">
        <v>1</v>
      </c>
      <c r="C1338" s="616" t="s">
        <v>1540</v>
      </c>
      <c r="D1338" s="709" t="s">
        <v>1308</v>
      </c>
      <c r="E1338" s="2568" t="s">
        <v>1370</v>
      </c>
      <c r="F1338" s="2569"/>
      <c r="G1338"/>
      <c r="H1338" s="4"/>
      <c r="I1338" s="1098"/>
      <c r="J1338" s="1119"/>
      <c r="K1338" s="3420" t="s">
        <v>1641</v>
      </c>
      <c r="L1338" s="758"/>
      <c r="M1338" s="759"/>
      <c r="N1338" s="758"/>
      <c r="O1338" s="758"/>
      <c r="P1338" s="760"/>
      <c r="Q1338" s="1782" t="str">
        <f>CHOOSE(2, "6722000004256", "IIS Net Sales MX Direct")</f>
        <v>IIS Net Sales MX Direct</v>
      </c>
      <c r="R1338" s="1370">
        <f t="shared" ref="R1338:AJ1338" si="1815">R1339+R1345</f>
        <v>0</v>
      </c>
      <c r="S1338" s="1370">
        <f t="shared" si="1815"/>
        <v>0</v>
      </c>
      <c r="T1338" s="1370">
        <f t="shared" si="1815"/>
        <v>0</v>
      </c>
      <c r="U1338" s="1370">
        <f t="shared" si="1815"/>
        <v>0</v>
      </c>
      <c r="V1338" s="1370">
        <f t="shared" si="1815"/>
        <v>0</v>
      </c>
      <c r="W1338" s="1370">
        <f t="shared" si="1815"/>
        <v>0</v>
      </c>
      <c r="X1338" s="1370">
        <f t="shared" si="1815"/>
        <v>0</v>
      </c>
      <c r="Y1338" s="1370">
        <f t="shared" si="1815"/>
        <v>0</v>
      </c>
      <c r="Z1338" s="1370">
        <f t="shared" si="1815"/>
        <v>0</v>
      </c>
      <c r="AA1338" s="1370">
        <f t="shared" si="1815"/>
        <v>0</v>
      </c>
      <c r="AB1338" s="1370">
        <f t="shared" si="1815"/>
        <v>0</v>
      </c>
      <c r="AC1338" s="1370">
        <f t="shared" si="1815"/>
        <v>0</v>
      </c>
      <c r="AD1338" s="1370">
        <f t="shared" si="1815"/>
        <v>0</v>
      </c>
      <c r="AE1338" s="1370">
        <f t="shared" si="1815"/>
        <v>0</v>
      </c>
      <c r="AF1338" s="1370">
        <f t="shared" si="1815"/>
        <v>0</v>
      </c>
      <c r="AG1338" s="1370">
        <f t="shared" si="1815"/>
        <v>0</v>
      </c>
      <c r="AH1338" s="1370">
        <f t="shared" si="1815"/>
        <v>0</v>
      </c>
      <c r="AI1338" s="1370">
        <f t="shared" si="1815"/>
        <v>0</v>
      </c>
      <c r="AJ1338" s="1370">
        <f t="shared" si="1815"/>
        <v>0</v>
      </c>
    </row>
    <row r="1339" spans="1:36" ht="14.5">
      <c r="A1339" s="616">
        <v>1</v>
      </c>
      <c r="B1339" s="616">
        <v>1</v>
      </c>
      <c r="C1339" s="616" t="s">
        <v>1540</v>
      </c>
      <c r="D1339" s="709" t="s">
        <v>1308</v>
      </c>
      <c r="E1339" s="2568" t="s">
        <v>1370</v>
      </c>
      <c r="F1339" s="2569"/>
      <c r="G1339"/>
      <c r="H1339" s="4"/>
      <c r="I1339" s="1098"/>
      <c r="J1339" s="1119"/>
      <c r="K1339" s="29"/>
      <c r="L1339" s="12" t="s">
        <v>1642</v>
      </c>
      <c r="M1339" s="768"/>
      <c r="N1339" s="769"/>
      <c r="O1339" s="769"/>
      <c r="P1339" s="770"/>
      <c r="Q1339" s="1782" t="str">
        <f>CHOOSE(2, "6722000004257", "IIS Net Sales MX Direct Product")</f>
        <v>IIS Net Sales MX Direct Product</v>
      </c>
      <c r="R1339" s="1371">
        <f t="shared" ref="R1339:AJ1339" si="1816">R1340+R1343</f>
        <v>0</v>
      </c>
      <c r="S1339" s="1371">
        <f t="shared" si="1816"/>
        <v>0</v>
      </c>
      <c r="T1339" s="1371">
        <f t="shared" si="1816"/>
        <v>0</v>
      </c>
      <c r="U1339" s="1371">
        <f t="shared" si="1816"/>
        <v>0</v>
      </c>
      <c r="V1339" s="1371">
        <f t="shared" si="1816"/>
        <v>0</v>
      </c>
      <c r="W1339" s="1371">
        <f t="shared" si="1816"/>
        <v>0</v>
      </c>
      <c r="X1339" s="1371">
        <f t="shared" si="1816"/>
        <v>0</v>
      </c>
      <c r="Y1339" s="1371">
        <f t="shared" si="1816"/>
        <v>0</v>
      </c>
      <c r="Z1339" s="1371">
        <f t="shared" si="1816"/>
        <v>0</v>
      </c>
      <c r="AA1339" s="1371">
        <f t="shared" si="1816"/>
        <v>0</v>
      </c>
      <c r="AB1339" s="1371">
        <f t="shared" si="1816"/>
        <v>0</v>
      </c>
      <c r="AC1339" s="1371">
        <f t="shared" si="1816"/>
        <v>0</v>
      </c>
      <c r="AD1339" s="1371">
        <f t="shared" si="1816"/>
        <v>0</v>
      </c>
      <c r="AE1339" s="1371">
        <f t="shared" si="1816"/>
        <v>0</v>
      </c>
      <c r="AF1339" s="1371">
        <f t="shared" si="1816"/>
        <v>0</v>
      </c>
      <c r="AG1339" s="1371">
        <f t="shared" si="1816"/>
        <v>0</v>
      </c>
      <c r="AH1339" s="1371">
        <f t="shared" si="1816"/>
        <v>0</v>
      </c>
      <c r="AI1339" s="1371">
        <f t="shared" si="1816"/>
        <v>0</v>
      </c>
      <c r="AJ1339" s="1371">
        <f t="shared" si="1816"/>
        <v>0</v>
      </c>
    </row>
    <row r="1340" spans="1:36" ht="14.5">
      <c r="A1340" s="616">
        <v>1</v>
      </c>
      <c r="B1340" s="616">
        <v>1</v>
      </c>
      <c r="C1340" s="616" t="s">
        <v>1540</v>
      </c>
      <c r="D1340" s="709" t="s">
        <v>1308</v>
      </c>
      <c r="E1340" s="2568" t="s">
        <v>1370</v>
      </c>
      <c r="F1340" s="2569"/>
      <c r="G1340"/>
      <c r="H1340" s="4"/>
      <c r="I1340" s="1098"/>
      <c r="J1340" s="1119"/>
      <c r="K1340" s="762"/>
      <c r="L1340" s="28"/>
      <c r="M1340" s="12" t="s">
        <v>1643</v>
      </c>
      <c r="N1340" s="12"/>
      <c r="O1340" s="12"/>
      <c r="P1340" s="754"/>
      <c r="Q1340" s="1782" t="str">
        <f>CHOOSE(2, "6722000004258", "IIS Net Sales MX Direct Product HW")</f>
        <v>IIS Net Sales MX Direct Product HW</v>
      </c>
      <c r="R1340" s="1372">
        <f t="shared" ref="R1340" si="1817">SUM(R1341:R1342)</f>
        <v>0</v>
      </c>
      <c r="S1340" s="1372">
        <f t="shared" ref="S1340:AJ1340" si="1818">SUM(S1341:S1342)</f>
        <v>0</v>
      </c>
      <c r="T1340" s="1372">
        <f t="shared" si="1818"/>
        <v>0</v>
      </c>
      <c r="U1340" s="1372">
        <f t="shared" si="1818"/>
        <v>0</v>
      </c>
      <c r="V1340" s="1372">
        <f t="shared" si="1818"/>
        <v>0</v>
      </c>
      <c r="W1340" s="1372">
        <f t="shared" si="1818"/>
        <v>0</v>
      </c>
      <c r="X1340" s="1372">
        <f t="shared" si="1818"/>
        <v>0</v>
      </c>
      <c r="Y1340" s="1372">
        <f t="shared" si="1818"/>
        <v>0</v>
      </c>
      <c r="Z1340" s="1372">
        <f t="shared" si="1818"/>
        <v>0</v>
      </c>
      <c r="AA1340" s="1372">
        <f t="shared" si="1818"/>
        <v>0</v>
      </c>
      <c r="AB1340" s="1372">
        <f t="shared" si="1818"/>
        <v>0</v>
      </c>
      <c r="AC1340" s="1372">
        <f t="shared" si="1818"/>
        <v>0</v>
      </c>
      <c r="AD1340" s="1372">
        <f t="shared" si="1818"/>
        <v>0</v>
      </c>
      <c r="AE1340" s="1372">
        <f t="shared" si="1818"/>
        <v>0</v>
      </c>
      <c r="AF1340" s="1372">
        <f t="shared" si="1818"/>
        <v>0</v>
      </c>
      <c r="AG1340" s="1372">
        <f t="shared" si="1818"/>
        <v>0</v>
      </c>
      <c r="AH1340" s="1372">
        <f t="shared" si="1818"/>
        <v>0</v>
      </c>
      <c r="AI1340" s="1372">
        <f t="shared" si="1818"/>
        <v>0</v>
      </c>
      <c r="AJ1340" s="1372">
        <f t="shared" si="1818"/>
        <v>0</v>
      </c>
    </row>
    <row r="1341" spans="1:36" ht="14.5">
      <c r="A1341" s="616">
        <v>1</v>
      </c>
      <c r="B1341" s="616">
        <v>1</v>
      </c>
      <c r="C1341" s="616" t="s">
        <v>1540</v>
      </c>
      <c r="D1341" s="709" t="s">
        <v>1308</v>
      </c>
      <c r="E1341" s="2568" t="s">
        <v>1370</v>
      </c>
      <c r="F1341" s="2569"/>
      <c r="G1341"/>
      <c r="H1341" s="4"/>
      <c r="I1341" s="1098"/>
      <c r="J1341" s="1119"/>
      <c r="K1341" s="762"/>
      <c r="L1341" s="28"/>
      <c r="M1341" s="28"/>
      <c r="N1341" s="28" t="s">
        <v>1644</v>
      </c>
      <c r="O1341" s="12"/>
      <c r="P1341" s="754"/>
      <c r="Q1341" s="1779" t="str">
        <f>CHOOSE(2, "6722000004259", "IIS Net Sales MX Direct Product HW Camera Device")</f>
        <v>IIS Net Sales MX Direct Product HW Camera Device</v>
      </c>
      <c r="R1341" s="1373">
        <v>0</v>
      </c>
      <c r="S1341" s="1373">
        <v>0</v>
      </c>
      <c r="T1341" s="1373">
        <v>0</v>
      </c>
      <c r="U1341" s="1373">
        <v>0</v>
      </c>
      <c r="V1341" s="1373">
        <v>0</v>
      </c>
      <c r="W1341" s="1373">
        <v>0</v>
      </c>
      <c r="X1341" s="1373">
        <v>0</v>
      </c>
      <c r="Y1341" s="1373">
        <v>0</v>
      </c>
      <c r="Z1341" s="1373">
        <v>0</v>
      </c>
      <c r="AA1341" s="1373">
        <v>0</v>
      </c>
      <c r="AB1341" s="1373">
        <v>0</v>
      </c>
      <c r="AC1341" s="1373">
        <v>0</v>
      </c>
      <c r="AD1341" s="1372">
        <f>SUM(R1341,S1341,T1341)</f>
        <v>0</v>
      </c>
      <c r="AE1341" s="1372">
        <f>SUM(U1341,V1341,W1341)</f>
        <v>0</v>
      </c>
      <c r="AF1341" s="1372">
        <f>SUM(X1341,Y1341,Z1341)</f>
        <v>0</v>
      </c>
      <c r="AG1341" s="1372">
        <f>SUM(AA1341,AB1341,AC1341)</f>
        <v>0</v>
      </c>
      <c r="AH1341" s="1372">
        <f>AD1341+AE1341</f>
        <v>0</v>
      </c>
      <c r="AI1341" s="1372">
        <f>AG1341+AF1341</f>
        <v>0</v>
      </c>
      <c r="AJ1341" s="1372">
        <f>AH1341+AI1341</f>
        <v>0</v>
      </c>
    </row>
    <row r="1342" spans="1:36" ht="14.5">
      <c r="A1342" s="616">
        <v>1</v>
      </c>
      <c r="B1342" s="616">
        <v>1</v>
      </c>
      <c r="C1342" s="616" t="s">
        <v>1540</v>
      </c>
      <c r="D1342" s="709" t="s">
        <v>1308</v>
      </c>
      <c r="E1342" s="2568" t="s">
        <v>1370</v>
      </c>
      <c r="F1342" s="2569"/>
      <c r="G1342"/>
      <c r="H1342" s="4"/>
      <c r="I1342" s="1098"/>
      <c r="J1342" s="1119"/>
      <c r="K1342" s="762"/>
      <c r="L1342" s="28"/>
      <c r="M1342" s="765"/>
      <c r="N1342" s="765" t="s">
        <v>1550</v>
      </c>
      <c r="O1342" s="766"/>
      <c r="P1342" s="767"/>
      <c r="Q1342" s="1779" t="str">
        <f>CHOOSE(2, "6722000004260", "IIS Net Sales MX Direct Product HW Others")</f>
        <v>IIS Net Sales MX Direct Product HW Others</v>
      </c>
      <c r="R1342" s="1374">
        <v>0</v>
      </c>
      <c r="S1342" s="1374">
        <v>0</v>
      </c>
      <c r="T1342" s="1374">
        <v>0</v>
      </c>
      <c r="U1342" s="1374">
        <v>0</v>
      </c>
      <c r="V1342" s="1374">
        <v>0</v>
      </c>
      <c r="W1342" s="1374">
        <v>0</v>
      </c>
      <c r="X1342" s="1374">
        <v>0</v>
      </c>
      <c r="Y1342" s="1374">
        <v>0</v>
      </c>
      <c r="Z1342" s="1374">
        <v>0</v>
      </c>
      <c r="AA1342" s="1374">
        <v>0</v>
      </c>
      <c r="AB1342" s="1374">
        <v>0</v>
      </c>
      <c r="AC1342" s="1374">
        <v>0</v>
      </c>
      <c r="AD1342" s="771">
        <f>SUM(R1342,S1342,T1342)</f>
        <v>0</v>
      </c>
      <c r="AE1342" s="771">
        <f>SUM(U1342,V1342,W1342)</f>
        <v>0</v>
      </c>
      <c r="AF1342" s="771">
        <f>SUM(X1342,Y1342,Z1342)</f>
        <v>0</v>
      </c>
      <c r="AG1342" s="771">
        <f>SUM(AA1342,AB1342,AC1342)</f>
        <v>0</v>
      </c>
      <c r="AH1342" s="771">
        <f>AD1342+AE1342</f>
        <v>0</v>
      </c>
      <c r="AI1342" s="771">
        <f>AG1342+AF1342</f>
        <v>0</v>
      </c>
      <c r="AJ1342" s="771">
        <f>AH1342+AI1342</f>
        <v>0</v>
      </c>
    </row>
    <row r="1343" spans="1:36" ht="14.5">
      <c r="A1343" s="616">
        <v>1</v>
      </c>
      <c r="B1343" s="616">
        <v>1</v>
      </c>
      <c r="C1343" s="616" t="s">
        <v>1540</v>
      </c>
      <c r="D1343" s="709" t="s">
        <v>1308</v>
      </c>
      <c r="E1343" s="2568" t="s">
        <v>1370</v>
      </c>
      <c r="F1343" s="2569"/>
      <c r="G1343"/>
      <c r="H1343" s="4"/>
      <c r="I1343" s="1098"/>
      <c r="J1343" s="1119"/>
      <c r="K1343" s="762"/>
      <c r="L1343" s="28"/>
      <c r="M1343" s="12" t="s">
        <v>1490</v>
      </c>
      <c r="N1343" s="12"/>
      <c r="O1343" s="12"/>
      <c r="P1343" s="754"/>
      <c r="Q1343" s="1782" t="str">
        <f>CHOOSE(2, "6722000004261", "IIS Net Sales MX Direct Product NH")</f>
        <v>IIS Net Sales MX Direct Product NH</v>
      </c>
      <c r="R1343" s="1372">
        <f t="shared" ref="R1343:AJ1343" si="1819">R1344</f>
        <v>0</v>
      </c>
      <c r="S1343" s="1372">
        <f t="shared" si="1819"/>
        <v>0</v>
      </c>
      <c r="T1343" s="1372">
        <f t="shared" si="1819"/>
        <v>0</v>
      </c>
      <c r="U1343" s="1372">
        <f t="shared" si="1819"/>
        <v>0</v>
      </c>
      <c r="V1343" s="1372">
        <f t="shared" si="1819"/>
        <v>0</v>
      </c>
      <c r="W1343" s="1372">
        <f t="shared" si="1819"/>
        <v>0</v>
      </c>
      <c r="X1343" s="1372">
        <f t="shared" si="1819"/>
        <v>0</v>
      </c>
      <c r="Y1343" s="1372">
        <f t="shared" si="1819"/>
        <v>0</v>
      </c>
      <c r="Z1343" s="1372">
        <f t="shared" si="1819"/>
        <v>0</v>
      </c>
      <c r="AA1343" s="1372">
        <f t="shared" si="1819"/>
        <v>0</v>
      </c>
      <c r="AB1343" s="1372">
        <f t="shared" si="1819"/>
        <v>0</v>
      </c>
      <c r="AC1343" s="1372">
        <f t="shared" si="1819"/>
        <v>0</v>
      </c>
      <c r="AD1343" s="1372">
        <f t="shared" si="1819"/>
        <v>0</v>
      </c>
      <c r="AE1343" s="1372">
        <f t="shared" si="1819"/>
        <v>0</v>
      </c>
      <c r="AF1343" s="1372">
        <f t="shared" si="1819"/>
        <v>0</v>
      </c>
      <c r="AG1343" s="1372">
        <f t="shared" si="1819"/>
        <v>0</v>
      </c>
      <c r="AH1343" s="1372">
        <f t="shared" si="1819"/>
        <v>0</v>
      </c>
      <c r="AI1343" s="1372">
        <f t="shared" si="1819"/>
        <v>0</v>
      </c>
      <c r="AJ1343" s="1372">
        <f t="shared" si="1819"/>
        <v>0</v>
      </c>
    </row>
    <row r="1344" spans="1:36" ht="14.5">
      <c r="A1344" s="616">
        <v>1</v>
      </c>
      <c r="B1344" s="616">
        <v>1</v>
      </c>
      <c r="C1344" s="616" t="s">
        <v>1540</v>
      </c>
      <c r="D1344" s="709" t="s">
        <v>1308</v>
      </c>
      <c r="E1344" s="2568" t="s">
        <v>1370</v>
      </c>
      <c r="F1344" s="2569"/>
      <c r="G1344"/>
      <c r="H1344" s="4"/>
      <c r="I1344" s="1098"/>
      <c r="J1344" s="1119"/>
      <c r="K1344" s="762"/>
      <c r="L1344" s="765"/>
      <c r="M1344" s="765"/>
      <c r="N1344" s="765" t="s">
        <v>1645</v>
      </c>
      <c r="O1344" s="766"/>
      <c r="P1344" s="767"/>
      <c r="Q1344" s="1779" t="str">
        <f>CHOOSE(2, "6722000004262", "IIS Net Sales MX Direct Product NH SW/Apps")</f>
        <v>IIS Net Sales MX Direct Product NH SW/Apps</v>
      </c>
      <c r="R1344" s="1374">
        <v>0</v>
      </c>
      <c r="S1344" s="1374">
        <v>0</v>
      </c>
      <c r="T1344" s="1374">
        <v>0</v>
      </c>
      <c r="U1344" s="1374">
        <v>0</v>
      </c>
      <c r="V1344" s="1374">
        <v>0</v>
      </c>
      <c r="W1344" s="1374">
        <v>0</v>
      </c>
      <c r="X1344" s="1374">
        <v>0</v>
      </c>
      <c r="Y1344" s="1374">
        <v>0</v>
      </c>
      <c r="Z1344" s="1374">
        <v>0</v>
      </c>
      <c r="AA1344" s="1374">
        <v>0</v>
      </c>
      <c r="AB1344" s="1374">
        <v>0</v>
      </c>
      <c r="AC1344" s="1374">
        <v>0</v>
      </c>
      <c r="AD1344" s="771">
        <f>SUM(R1344,S1344,T1344)</f>
        <v>0</v>
      </c>
      <c r="AE1344" s="771">
        <f>SUM(U1344,V1344,W1344)</f>
        <v>0</v>
      </c>
      <c r="AF1344" s="771">
        <f>SUM(X1344,Y1344,Z1344)</f>
        <v>0</v>
      </c>
      <c r="AG1344" s="771">
        <f>SUM(AA1344,AB1344,AC1344)</f>
        <v>0</v>
      </c>
      <c r="AH1344" s="771">
        <f>AD1344+AE1344</f>
        <v>0</v>
      </c>
      <c r="AI1344" s="771">
        <f>AG1344+AF1344</f>
        <v>0</v>
      </c>
      <c r="AJ1344" s="771">
        <f>AH1344+AI1344</f>
        <v>0</v>
      </c>
    </row>
    <row r="1345" spans="1:36" ht="14.5">
      <c r="A1345" s="616">
        <v>1</v>
      </c>
      <c r="B1345" s="616">
        <v>1</v>
      </c>
      <c r="C1345" s="616" t="s">
        <v>1540</v>
      </c>
      <c r="D1345" s="709" t="s">
        <v>1308</v>
      </c>
      <c r="E1345" s="2568" t="s">
        <v>1370</v>
      </c>
      <c r="F1345" s="2569"/>
      <c r="G1345"/>
      <c r="H1345" s="4"/>
      <c r="I1345" s="1098"/>
      <c r="J1345" s="1119"/>
      <c r="K1345" s="762"/>
      <c r="L1345" s="12" t="s">
        <v>1646</v>
      </c>
      <c r="M1345" s="28"/>
      <c r="N1345" s="12"/>
      <c r="O1345" s="12"/>
      <c r="P1345" s="754"/>
      <c r="Q1345" s="1782" t="str">
        <f>CHOOSE(2, "6722000004263", "IIS Net Sales MX Direct Service")</f>
        <v>IIS Net Sales MX Direct Service</v>
      </c>
      <c r="R1345" s="1372">
        <f t="shared" ref="R1345" si="1820">SUM(R1346:R1347)</f>
        <v>0</v>
      </c>
      <c r="S1345" s="1372">
        <f t="shared" ref="S1345:AJ1345" si="1821">SUM(S1346:S1347)</f>
        <v>0</v>
      </c>
      <c r="T1345" s="1372">
        <f t="shared" si="1821"/>
        <v>0</v>
      </c>
      <c r="U1345" s="1372">
        <f t="shared" si="1821"/>
        <v>0</v>
      </c>
      <c r="V1345" s="1372">
        <f t="shared" si="1821"/>
        <v>0</v>
      </c>
      <c r="W1345" s="1372">
        <f t="shared" si="1821"/>
        <v>0</v>
      </c>
      <c r="X1345" s="1372">
        <f t="shared" si="1821"/>
        <v>0</v>
      </c>
      <c r="Y1345" s="1372">
        <f t="shared" si="1821"/>
        <v>0</v>
      </c>
      <c r="Z1345" s="1372">
        <f t="shared" si="1821"/>
        <v>0</v>
      </c>
      <c r="AA1345" s="1372">
        <f t="shared" si="1821"/>
        <v>0</v>
      </c>
      <c r="AB1345" s="1372">
        <f t="shared" si="1821"/>
        <v>0</v>
      </c>
      <c r="AC1345" s="1372">
        <f t="shared" si="1821"/>
        <v>0</v>
      </c>
      <c r="AD1345" s="1372">
        <f t="shared" si="1821"/>
        <v>0</v>
      </c>
      <c r="AE1345" s="1372">
        <f t="shared" si="1821"/>
        <v>0</v>
      </c>
      <c r="AF1345" s="1372">
        <f t="shared" si="1821"/>
        <v>0</v>
      </c>
      <c r="AG1345" s="1372">
        <f t="shared" si="1821"/>
        <v>0</v>
      </c>
      <c r="AH1345" s="1372">
        <f t="shared" si="1821"/>
        <v>0</v>
      </c>
      <c r="AI1345" s="1372">
        <f t="shared" si="1821"/>
        <v>0</v>
      </c>
      <c r="AJ1345" s="1372">
        <f t="shared" si="1821"/>
        <v>0</v>
      </c>
    </row>
    <row r="1346" spans="1:36" ht="14.5">
      <c r="A1346" s="616">
        <v>1</v>
      </c>
      <c r="B1346" s="616">
        <v>1</v>
      </c>
      <c r="C1346" s="616" t="s">
        <v>1540</v>
      </c>
      <c r="D1346" s="709" t="s">
        <v>1308</v>
      </c>
      <c r="E1346" s="2568" t="s">
        <v>1370</v>
      </c>
      <c r="F1346" s="2569"/>
      <c r="G1346"/>
      <c r="H1346" s="4"/>
      <c r="I1346" s="1098"/>
      <c r="J1346" s="1119"/>
      <c r="K1346" s="762"/>
      <c r="L1346" s="28"/>
      <c r="M1346" s="28" t="s">
        <v>1647</v>
      </c>
      <c r="N1346" s="12"/>
      <c r="O1346" s="12"/>
      <c r="P1346" s="754"/>
      <c r="Q1346" s="1779" t="str">
        <f>CHOOSE(2, "6722000004264", "IIS Net Sales MX Direct Service Onetime")</f>
        <v>IIS Net Sales MX Direct Service Onetime</v>
      </c>
      <c r="R1346" s="1373">
        <v>0</v>
      </c>
      <c r="S1346" s="1373">
        <v>0</v>
      </c>
      <c r="T1346" s="1373">
        <v>0</v>
      </c>
      <c r="U1346" s="1373">
        <v>0</v>
      </c>
      <c r="V1346" s="1373">
        <v>0</v>
      </c>
      <c r="W1346" s="1373">
        <v>0</v>
      </c>
      <c r="X1346" s="1373">
        <v>0</v>
      </c>
      <c r="Y1346" s="1373">
        <v>0</v>
      </c>
      <c r="Z1346" s="1373">
        <v>0</v>
      </c>
      <c r="AA1346" s="1373">
        <v>0</v>
      </c>
      <c r="AB1346" s="1373">
        <v>0</v>
      </c>
      <c r="AC1346" s="1373">
        <v>0</v>
      </c>
      <c r="AD1346" s="1372">
        <f>SUM(R1346,S1346,T1346)</f>
        <v>0</v>
      </c>
      <c r="AE1346" s="1372">
        <f>SUM(U1346,V1346,W1346)</f>
        <v>0</v>
      </c>
      <c r="AF1346" s="1372">
        <f>SUM(X1346,Y1346,Z1346)</f>
        <v>0</v>
      </c>
      <c r="AG1346" s="1372">
        <f>SUM(AA1346,AB1346,AC1346)</f>
        <v>0</v>
      </c>
      <c r="AH1346" s="1372">
        <f>AD1346+AE1346</f>
        <v>0</v>
      </c>
      <c r="AI1346" s="1372">
        <f>AG1346+AF1346</f>
        <v>0</v>
      </c>
      <c r="AJ1346" s="1372">
        <f>AH1346+AI1346</f>
        <v>0</v>
      </c>
    </row>
    <row r="1347" spans="1:36" ht="14.5">
      <c r="A1347" s="616">
        <v>1</v>
      </c>
      <c r="B1347" s="616">
        <v>1</v>
      </c>
      <c r="C1347" s="616" t="s">
        <v>1540</v>
      </c>
      <c r="D1347" s="709" t="s">
        <v>1308</v>
      </c>
      <c r="E1347" s="2568" t="s">
        <v>1370</v>
      </c>
      <c r="F1347" s="2569"/>
      <c r="G1347"/>
      <c r="H1347" s="4"/>
      <c r="I1347" s="1098"/>
      <c r="J1347" s="1119"/>
      <c r="K1347" s="763"/>
      <c r="L1347" s="757"/>
      <c r="M1347" s="757" t="s">
        <v>1648</v>
      </c>
      <c r="N1347" s="755"/>
      <c r="O1347" s="755"/>
      <c r="P1347" s="756"/>
      <c r="Q1347" s="1779" t="str">
        <f>CHOOSE(2, "6722000004265", "IIS Net Sales MX Direct Service Recurring")</f>
        <v>IIS Net Sales MX Direct Service Recurring</v>
      </c>
      <c r="R1347" s="1375">
        <v>0</v>
      </c>
      <c r="S1347" s="1375">
        <v>0</v>
      </c>
      <c r="T1347" s="1375">
        <v>0</v>
      </c>
      <c r="U1347" s="1375">
        <v>0</v>
      </c>
      <c r="V1347" s="1375">
        <v>0</v>
      </c>
      <c r="W1347" s="1375">
        <v>0</v>
      </c>
      <c r="X1347" s="1375">
        <v>0</v>
      </c>
      <c r="Y1347" s="1375">
        <v>0</v>
      </c>
      <c r="Z1347" s="1375">
        <v>0</v>
      </c>
      <c r="AA1347" s="1375">
        <v>0</v>
      </c>
      <c r="AB1347" s="1375">
        <v>0</v>
      </c>
      <c r="AC1347" s="1375">
        <v>0</v>
      </c>
      <c r="AD1347" s="772">
        <f>SUM(R1347,S1347,T1347)</f>
        <v>0</v>
      </c>
      <c r="AE1347" s="772">
        <f>SUM(U1347,V1347,W1347)</f>
        <v>0</v>
      </c>
      <c r="AF1347" s="772">
        <f>SUM(X1347,Y1347,Z1347)</f>
        <v>0</v>
      </c>
      <c r="AG1347" s="772">
        <f>SUM(AA1347,AB1347,AC1347)</f>
        <v>0</v>
      </c>
      <c r="AH1347" s="772">
        <f>AD1347+AE1347</f>
        <v>0</v>
      </c>
      <c r="AI1347" s="772">
        <f>AG1347+AF1347</f>
        <v>0</v>
      </c>
      <c r="AJ1347" s="772">
        <f>AH1347+AI1347</f>
        <v>0</v>
      </c>
    </row>
    <row r="1348" spans="1:36" ht="14.5">
      <c r="A1348" s="616">
        <v>1</v>
      </c>
      <c r="B1348" s="616">
        <v>1</v>
      </c>
      <c r="C1348" s="616" t="s">
        <v>1540</v>
      </c>
      <c r="D1348" s="709" t="s">
        <v>1308</v>
      </c>
      <c r="E1348" s="2568" t="s">
        <v>1370</v>
      </c>
      <c r="F1348" s="2569"/>
      <c r="G1348"/>
      <c r="H1348" s="4"/>
      <c r="I1348" s="1098"/>
      <c r="J1348" s="1120"/>
      <c r="K1348" s="2206" t="s">
        <v>1649</v>
      </c>
      <c r="L1348" s="2207"/>
      <c r="M1348" s="2207"/>
      <c r="N1348" s="2208"/>
      <c r="O1348" s="2208"/>
      <c r="P1348" s="2488"/>
      <c r="Q1348" s="1779" t="str">
        <f>CHOOSE(2, "6722000004266", "IIS Net Sales MX Indirect")</f>
        <v>IIS Net Sales MX Indirect</v>
      </c>
      <c r="R1348" s="1376">
        <v>233</v>
      </c>
      <c r="S1348" s="1376">
        <v>1224</v>
      </c>
      <c r="T1348" s="1376">
        <v>0</v>
      </c>
      <c r="U1348" s="1376">
        <v>917</v>
      </c>
      <c r="V1348" s="1376">
        <v>782.24099999999999</v>
      </c>
      <c r="W1348" s="1376">
        <v>1831</v>
      </c>
      <c r="X1348" s="1376">
        <v>0</v>
      </c>
      <c r="Y1348" s="1376">
        <v>779</v>
      </c>
      <c r="Z1348" s="1376">
        <v>2998</v>
      </c>
      <c r="AA1348" s="1376">
        <v>1695</v>
      </c>
      <c r="AB1348" s="1376">
        <v>1298</v>
      </c>
      <c r="AC1348" s="1376">
        <v>2928</v>
      </c>
      <c r="AD1348" s="3421">
        <f>SUM(R1348,S1348,T1348)</f>
        <v>1457</v>
      </c>
      <c r="AE1348" s="3421">
        <f>SUM(U1348,V1348,W1348)</f>
        <v>3530.241</v>
      </c>
      <c r="AF1348" s="3421">
        <f>SUM(X1348,Y1348,Z1348)</f>
        <v>3777</v>
      </c>
      <c r="AG1348" s="3421">
        <f>SUM(AA1348,AB1348,AC1348)</f>
        <v>5921</v>
      </c>
      <c r="AH1348" s="3421">
        <f>AD1348+AE1348</f>
        <v>4987.241</v>
      </c>
      <c r="AI1348" s="3421">
        <f>AG1348+AF1348</f>
        <v>9698</v>
      </c>
      <c r="AJ1348" s="3421">
        <f>AH1348+AI1348</f>
        <v>14685.241</v>
      </c>
    </row>
    <row r="1349" spans="1:36" ht="14.5">
      <c r="A1349" s="616">
        <v>1</v>
      </c>
      <c r="B1349" s="616">
        <v>1</v>
      </c>
      <c r="C1349" s="616" t="s">
        <v>1540</v>
      </c>
      <c r="D1349" s="709" t="s">
        <v>1308</v>
      </c>
      <c r="E1349" s="2568" t="s">
        <v>1370</v>
      </c>
      <c r="F1349" s="2569"/>
      <c r="G1349"/>
      <c r="H1349" s="4"/>
      <c r="I1349" s="1098"/>
      <c r="J1349" s="2491" t="s">
        <v>1650</v>
      </c>
      <c r="K1349" s="1120"/>
      <c r="L1349" s="1120"/>
      <c r="M1349" s="1120"/>
      <c r="N1349" s="1117"/>
      <c r="O1349" s="1117"/>
      <c r="P1349" s="1118"/>
      <c r="Q1349" s="1848" t="str">
        <f>CHOOSE(2, "6722000004267", "IIS Net Sales DM")</f>
        <v>IIS Net Sales DM</v>
      </c>
      <c r="R1349" s="1463">
        <v>0</v>
      </c>
      <c r="S1349" s="1463">
        <v>0</v>
      </c>
      <c r="T1349" s="1463">
        <v>0</v>
      </c>
      <c r="U1349" s="1463">
        <v>0</v>
      </c>
      <c r="V1349" s="1463">
        <v>0</v>
      </c>
      <c r="W1349" s="1463">
        <v>0</v>
      </c>
      <c r="X1349" s="1463">
        <v>0</v>
      </c>
      <c r="Y1349" s="1463">
        <v>0</v>
      </c>
      <c r="Z1349" s="1463">
        <v>0</v>
      </c>
      <c r="AA1349" s="1463">
        <v>0</v>
      </c>
      <c r="AB1349" s="1463">
        <v>0</v>
      </c>
      <c r="AC1349" s="1463">
        <v>0</v>
      </c>
      <c r="AD1349" s="1463">
        <f>SUM(R1349,S1349,T1349)</f>
        <v>0</v>
      </c>
      <c r="AE1349" s="1463">
        <f>SUM(U1349,V1349,W1349)</f>
        <v>0</v>
      </c>
      <c r="AF1349" s="1463">
        <f>SUM(X1349,Y1349,Z1349)</f>
        <v>0</v>
      </c>
      <c r="AG1349" s="1463">
        <f>SUM(AA1349,AB1349,AC1349)</f>
        <v>0</v>
      </c>
      <c r="AH1349" s="1463">
        <f>AD1349+AE1349</f>
        <v>0</v>
      </c>
      <c r="AI1349" s="1463">
        <f>AG1349+AF1349</f>
        <v>0</v>
      </c>
      <c r="AJ1349" s="1463">
        <f>AH1349+AI1349</f>
        <v>0</v>
      </c>
    </row>
    <row r="1350" spans="1:36" ht="14.5">
      <c r="A1350" s="616">
        <v>1</v>
      </c>
      <c r="B1350" s="616">
        <v>1</v>
      </c>
      <c r="C1350" s="616" t="s">
        <v>1540</v>
      </c>
      <c r="D1350" s="709" t="s">
        <v>1308</v>
      </c>
      <c r="E1350" s="2568" t="s">
        <v>1370</v>
      </c>
      <c r="F1350" s="2569"/>
      <c r="G1350"/>
      <c r="H1350" s="4"/>
      <c r="I1350" s="1098"/>
      <c r="J1350" s="1116" t="s">
        <v>1651</v>
      </c>
      <c r="K1350" s="1119"/>
      <c r="L1350" s="1119"/>
      <c r="M1350" s="1119"/>
      <c r="N1350" s="1116"/>
      <c r="O1350" s="1116"/>
      <c r="P1350" s="1122"/>
      <c r="Q1350" s="1848" t="str">
        <f>CHOOSE(2, "6722000004268", "IIS Net Sales Gas")</f>
        <v>IIS Net Sales Gas</v>
      </c>
      <c r="R1350" s="1464">
        <v>0</v>
      </c>
      <c r="S1350" s="1464">
        <v>0</v>
      </c>
      <c r="T1350" s="1464">
        <v>0</v>
      </c>
      <c r="U1350" s="1464">
        <v>0</v>
      </c>
      <c r="V1350" s="1464">
        <v>0</v>
      </c>
      <c r="W1350" s="1464">
        <v>0</v>
      </c>
      <c r="X1350" s="1464">
        <v>0</v>
      </c>
      <c r="Y1350" s="1464">
        <v>0</v>
      </c>
      <c r="Z1350" s="1464">
        <v>0</v>
      </c>
      <c r="AA1350" s="1464">
        <v>0</v>
      </c>
      <c r="AB1350" s="1464">
        <v>0</v>
      </c>
      <c r="AC1350" s="1464">
        <v>0</v>
      </c>
      <c r="AD1350" s="1464">
        <f>SUM(R1350,S1350,T1350)</f>
        <v>0</v>
      </c>
      <c r="AE1350" s="1464">
        <f>SUM(U1350,V1350,W1350)</f>
        <v>0</v>
      </c>
      <c r="AF1350" s="1464">
        <f>SUM(X1350,Y1350,Z1350)</f>
        <v>0</v>
      </c>
      <c r="AG1350" s="1464">
        <f>SUM(AA1350,AB1350,AC1350)</f>
        <v>0</v>
      </c>
      <c r="AH1350" s="1464">
        <f>AD1350+AE1350</f>
        <v>0</v>
      </c>
      <c r="AI1350" s="1464">
        <f>AG1350+AF1350</f>
        <v>0</v>
      </c>
      <c r="AJ1350" s="1464">
        <f>AH1350+AI1350</f>
        <v>0</v>
      </c>
    </row>
    <row r="1351" spans="1:36" ht="14.5">
      <c r="A1351" s="616">
        <v>1</v>
      </c>
      <c r="B1351" s="616">
        <v>1</v>
      </c>
      <c r="C1351" s="616" t="s">
        <v>1540</v>
      </c>
      <c r="D1351" s="709" t="s">
        <v>1308</v>
      </c>
      <c r="E1351" s="2568" t="s">
        <v>1370</v>
      </c>
      <c r="F1351" s="2569"/>
      <c r="G1351"/>
      <c r="H1351" s="4"/>
      <c r="I1351" s="3414" t="s">
        <v>1637</v>
      </c>
      <c r="J1351" s="1091"/>
      <c r="K1351" s="1092"/>
      <c r="L1351" s="1092"/>
      <c r="M1351" s="1097"/>
      <c r="N1351" s="1097" t="s">
        <v>1652</v>
      </c>
      <c r="O1351" s="1092"/>
      <c r="P1351" s="3415"/>
      <c r="Q1351" s="1846" t="str">
        <f>CHOOSE(2, "6722000004269", "IIS Consolidated Sales")</f>
        <v>IIS Consolidated Sales</v>
      </c>
      <c r="R1351" s="3416">
        <f t="shared" ref="R1351:AJ1351" si="1822">R1352+R1364+R1365</f>
        <v>233</v>
      </c>
      <c r="S1351" s="3416">
        <f t="shared" si="1822"/>
        <v>1224</v>
      </c>
      <c r="T1351" s="3416">
        <f t="shared" si="1822"/>
        <v>0</v>
      </c>
      <c r="U1351" s="3416">
        <f t="shared" si="1822"/>
        <v>917</v>
      </c>
      <c r="V1351" s="3416">
        <f t="shared" si="1822"/>
        <v>782</v>
      </c>
      <c r="W1351" s="3416">
        <f t="shared" si="1822"/>
        <v>1831</v>
      </c>
      <c r="X1351" s="3416">
        <f t="shared" si="1822"/>
        <v>0</v>
      </c>
      <c r="Y1351" s="3416">
        <f t="shared" si="1822"/>
        <v>779</v>
      </c>
      <c r="Z1351" s="3416">
        <f t="shared" si="1822"/>
        <v>2998</v>
      </c>
      <c r="AA1351" s="3416">
        <f t="shared" si="1822"/>
        <v>1695</v>
      </c>
      <c r="AB1351" s="3416">
        <f t="shared" si="1822"/>
        <v>1298</v>
      </c>
      <c r="AC1351" s="3416">
        <f t="shared" si="1822"/>
        <v>2928</v>
      </c>
      <c r="AD1351" s="3416">
        <f t="shared" si="1822"/>
        <v>1457</v>
      </c>
      <c r="AE1351" s="3416">
        <f t="shared" si="1822"/>
        <v>3530</v>
      </c>
      <c r="AF1351" s="3416">
        <f t="shared" si="1822"/>
        <v>3777</v>
      </c>
      <c r="AG1351" s="3416">
        <f t="shared" si="1822"/>
        <v>5921</v>
      </c>
      <c r="AH1351" s="3416">
        <f t="shared" si="1822"/>
        <v>4987</v>
      </c>
      <c r="AI1351" s="3416">
        <f t="shared" si="1822"/>
        <v>9698</v>
      </c>
      <c r="AJ1351" s="3416">
        <f t="shared" si="1822"/>
        <v>14685</v>
      </c>
    </row>
    <row r="1352" spans="1:36" ht="14.5">
      <c r="A1352" s="616">
        <v>1</v>
      </c>
      <c r="B1352" s="616">
        <v>1</v>
      </c>
      <c r="C1352" s="616" t="s">
        <v>1540</v>
      </c>
      <c r="D1352" s="709" t="s">
        <v>1308</v>
      </c>
      <c r="E1352" s="2568" t="s">
        <v>1370</v>
      </c>
      <c r="F1352" s="2569"/>
      <c r="G1352"/>
      <c r="H1352" s="4"/>
      <c r="I1352" s="1098"/>
      <c r="J1352" s="1116" t="s">
        <v>1640</v>
      </c>
      <c r="K1352" s="1117"/>
      <c r="L1352" s="1117"/>
      <c r="M1352" s="1117"/>
      <c r="N1352" s="1117"/>
      <c r="O1352" s="1117"/>
      <c r="P1352" s="1118"/>
      <c r="Q1352" s="1848" t="str">
        <f>CHOOSE(2, "6722000004270", "IIS Consolidated Sales MX")</f>
        <v>IIS Consolidated Sales MX</v>
      </c>
      <c r="R1352" s="1463">
        <f t="shared" ref="R1352:AJ1352" si="1823">R1353+R1363</f>
        <v>233</v>
      </c>
      <c r="S1352" s="1463">
        <f t="shared" si="1823"/>
        <v>1224</v>
      </c>
      <c r="T1352" s="1463">
        <f t="shared" si="1823"/>
        <v>0</v>
      </c>
      <c r="U1352" s="1463">
        <f t="shared" si="1823"/>
        <v>917</v>
      </c>
      <c r="V1352" s="1463">
        <f t="shared" si="1823"/>
        <v>782</v>
      </c>
      <c r="W1352" s="1463">
        <f t="shared" si="1823"/>
        <v>1831</v>
      </c>
      <c r="X1352" s="1463">
        <f t="shared" si="1823"/>
        <v>0</v>
      </c>
      <c r="Y1352" s="1463">
        <f t="shared" si="1823"/>
        <v>779</v>
      </c>
      <c r="Z1352" s="1463">
        <f t="shared" si="1823"/>
        <v>2998</v>
      </c>
      <c r="AA1352" s="1463">
        <f t="shared" si="1823"/>
        <v>1695</v>
      </c>
      <c r="AB1352" s="1463">
        <f t="shared" si="1823"/>
        <v>1298</v>
      </c>
      <c r="AC1352" s="1463">
        <f t="shared" si="1823"/>
        <v>2928</v>
      </c>
      <c r="AD1352" s="1463">
        <f t="shared" si="1823"/>
        <v>1457</v>
      </c>
      <c r="AE1352" s="1463">
        <f t="shared" si="1823"/>
        <v>3530</v>
      </c>
      <c r="AF1352" s="1463">
        <f t="shared" si="1823"/>
        <v>3777</v>
      </c>
      <c r="AG1352" s="1463">
        <f t="shared" si="1823"/>
        <v>5921</v>
      </c>
      <c r="AH1352" s="1463">
        <f t="shared" si="1823"/>
        <v>4987</v>
      </c>
      <c r="AI1352" s="1463">
        <f t="shared" si="1823"/>
        <v>9698</v>
      </c>
      <c r="AJ1352" s="1463">
        <f t="shared" si="1823"/>
        <v>14685</v>
      </c>
    </row>
    <row r="1353" spans="1:36" ht="14.5">
      <c r="A1353" s="616">
        <v>1</v>
      </c>
      <c r="B1353" s="616">
        <v>1</v>
      </c>
      <c r="C1353" s="616" t="s">
        <v>1540</v>
      </c>
      <c r="D1353" s="709" t="s">
        <v>1308</v>
      </c>
      <c r="E1353" s="2568" t="s">
        <v>1370</v>
      </c>
      <c r="F1353" s="2569"/>
      <c r="G1353"/>
      <c r="H1353" s="4"/>
      <c r="I1353" s="1098"/>
      <c r="J1353" s="1119"/>
      <c r="K1353" s="3420" t="s">
        <v>1641</v>
      </c>
      <c r="L1353" s="758"/>
      <c r="M1353" s="759"/>
      <c r="N1353" s="758"/>
      <c r="O1353" s="758"/>
      <c r="P1353" s="760"/>
      <c r="Q1353" s="1782" t="str">
        <f>CHOOSE(2, "6722000004271", "IIS Consolidated Sales MX Direct")</f>
        <v>IIS Consolidated Sales MX Direct</v>
      </c>
      <c r="R1353" s="1370">
        <f t="shared" ref="R1353:AJ1353" si="1824">R1354+R1360</f>
        <v>0</v>
      </c>
      <c r="S1353" s="1370">
        <f t="shared" si="1824"/>
        <v>0</v>
      </c>
      <c r="T1353" s="1370">
        <f t="shared" si="1824"/>
        <v>0</v>
      </c>
      <c r="U1353" s="1370">
        <f t="shared" si="1824"/>
        <v>0</v>
      </c>
      <c r="V1353" s="1370">
        <f t="shared" si="1824"/>
        <v>0</v>
      </c>
      <c r="W1353" s="1370">
        <f t="shared" si="1824"/>
        <v>0</v>
      </c>
      <c r="X1353" s="1370">
        <f t="shared" si="1824"/>
        <v>0</v>
      </c>
      <c r="Y1353" s="1370">
        <f t="shared" si="1824"/>
        <v>0</v>
      </c>
      <c r="Z1353" s="1370">
        <f t="shared" si="1824"/>
        <v>0</v>
      </c>
      <c r="AA1353" s="1370">
        <f t="shared" si="1824"/>
        <v>0</v>
      </c>
      <c r="AB1353" s="1370">
        <f t="shared" si="1824"/>
        <v>0</v>
      </c>
      <c r="AC1353" s="1370">
        <f t="shared" si="1824"/>
        <v>0</v>
      </c>
      <c r="AD1353" s="1370">
        <f t="shared" si="1824"/>
        <v>0</v>
      </c>
      <c r="AE1353" s="1370">
        <f t="shared" si="1824"/>
        <v>0</v>
      </c>
      <c r="AF1353" s="1370">
        <f t="shared" si="1824"/>
        <v>0</v>
      </c>
      <c r="AG1353" s="1370">
        <f t="shared" si="1824"/>
        <v>0</v>
      </c>
      <c r="AH1353" s="1370">
        <f t="shared" si="1824"/>
        <v>0</v>
      </c>
      <c r="AI1353" s="1370">
        <f t="shared" si="1824"/>
        <v>0</v>
      </c>
      <c r="AJ1353" s="1370">
        <f t="shared" si="1824"/>
        <v>0</v>
      </c>
    </row>
    <row r="1354" spans="1:36" ht="14.5">
      <c r="A1354" s="616">
        <v>1</v>
      </c>
      <c r="B1354" s="616">
        <v>1</v>
      </c>
      <c r="C1354" s="616" t="s">
        <v>1540</v>
      </c>
      <c r="D1354" s="709" t="s">
        <v>1308</v>
      </c>
      <c r="E1354" s="2568" t="s">
        <v>1370</v>
      </c>
      <c r="F1354" s="2569"/>
      <c r="G1354"/>
      <c r="H1354" s="4"/>
      <c r="I1354" s="1098"/>
      <c r="J1354" s="1119"/>
      <c r="K1354" s="29"/>
      <c r="L1354" s="12" t="s">
        <v>1642</v>
      </c>
      <c r="M1354" s="768"/>
      <c r="N1354" s="769"/>
      <c r="O1354" s="769"/>
      <c r="P1354" s="770"/>
      <c r="Q1354" s="1782" t="str">
        <f>CHOOSE(2, "6722000004272", "IIS Consolidated Sales MX Direct Product")</f>
        <v>IIS Consolidated Sales MX Direct Product</v>
      </c>
      <c r="R1354" s="1371">
        <f t="shared" ref="R1354:AJ1354" si="1825">R1355+R1358</f>
        <v>0</v>
      </c>
      <c r="S1354" s="1371">
        <f t="shared" si="1825"/>
        <v>0</v>
      </c>
      <c r="T1354" s="1371">
        <f t="shared" si="1825"/>
        <v>0</v>
      </c>
      <c r="U1354" s="1371">
        <f t="shared" si="1825"/>
        <v>0</v>
      </c>
      <c r="V1354" s="1371">
        <f t="shared" si="1825"/>
        <v>0</v>
      </c>
      <c r="W1354" s="1371">
        <f t="shared" si="1825"/>
        <v>0</v>
      </c>
      <c r="X1354" s="1371">
        <f t="shared" si="1825"/>
        <v>0</v>
      </c>
      <c r="Y1354" s="1371">
        <f t="shared" si="1825"/>
        <v>0</v>
      </c>
      <c r="Z1354" s="1371">
        <f t="shared" si="1825"/>
        <v>0</v>
      </c>
      <c r="AA1354" s="1371">
        <f t="shared" si="1825"/>
        <v>0</v>
      </c>
      <c r="AB1354" s="1371">
        <f t="shared" si="1825"/>
        <v>0</v>
      </c>
      <c r="AC1354" s="1371">
        <f t="shared" si="1825"/>
        <v>0</v>
      </c>
      <c r="AD1354" s="1371">
        <f t="shared" si="1825"/>
        <v>0</v>
      </c>
      <c r="AE1354" s="1371">
        <f t="shared" si="1825"/>
        <v>0</v>
      </c>
      <c r="AF1354" s="1371">
        <f t="shared" si="1825"/>
        <v>0</v>
      </c>
      <c r="AG1354" s="1371">
        <f t="shared" si="1825"/>
        <v>0</v>
      </c>
      <c r="AH1354" s="1371">
        <f t="shared" si="1825"/>
        <v>0</v>
      </c>
      <c r="AI1354" s="1371">
        <f t="shared" si="1825"/>
        <v>0</v>
      </c>
      <c r="AJ1354" s="1371">
        <f t="shared" si="1825"/>
        <v>0</v>
      </c>
    </row>
    <row r="1355" spans="1:36" ht="14.5">
      <c r="A1355" s="616">
        <v>1</v>
      </c>
      <c r="B1355" s="616">
        <v>1</v>
      </c>
      <c r="C1355" s="616" t="s">
        <v>1540</v>
      </c>
      <c r="D1355" s="709" t="s">
        <v>1308</v>
      </c>
      <c r="E1355" s="2568" t="s">
        <v>1370</v>
      </c>
      <c r="F1355" s="2569"/>
      <c r="G1355"/>
      <c r="H1355" s="4"/>
      <c r="I1355" s="1098"/>
      <c r="J1355" s="1119"/>
      <c r="K1355" s="762"/>
      <c r="L1355" s="28"/>
      <c r="M1355" s="12" t="s">
        <v>1643</v>
      </c>
      <c r="N1355" s="12"/>
      <c r="O1355" s="12"/>
      <c r="P1355" s="754"/>
      <c r="Q1355" s="1782" t="str">
        <f>CHOOSE(2, "6722000004273", "IIS Consolidated Sales MX Direct Product HW")</f>
        <v>IIS Consolidated Sales MX Direct Product HW</v>
      </c>
      <c r="R1355" s="1372">
        <f t="shared" ref="R1355" si="1826">SUM(R1356:R1357)</f>
        <v>0</v>
      </c>
      <c r="S1355" s="1372">
        <f t="shared" ref="S1355:AJ1355" si="1827">SUM(S1356:S1357)</f>
        <v>0</v>
      </c>
      <c r="T1355" s="1372">
        <f t="shared" si="1827"/>
        <v>0</v>
      </c>
      <c r="U1355" s="1372">
        <f t="shared" si="1827"/>
        <v>0</v>
      </c>
      <c r="V1355" s="1372">
        <f t="shared" si="1827"/>
        <v>0</v>
      </c>
      <c r="W1355" s="1372">
        <f t="shared" si="1827"/>
        <v>0</v>
      </c>
      <c r="X1355" s="1372">
        <f t="shared" si="1827"/>
        <v>0</v>
      </c>
      <c r="Y1355" s="1372">
        <f t="shared" si="1827"/>
        <v>0</v>
      </c>
      <c r="Z1355" s="1372">
        <f t="shared" si="1827"/>
        <v>0</v>
      </c>
      <c r="AA1355" s="1372">
        <f t="shared" si="1827"/>
        <v>0</v>
      </c>
      <c r="AB1355" s="1372">
        <f t="shared" si="1827"/>
        <v>0</v>
      </c>
      <c r="AC1355" s="1372">
        <f t="shared" si="1827"/>
        <v>0</v>
      </c>
      <c r="AD1355" s="1372">
        <f t="shared" si="1827"/>
        <v>0</v>
      </c>
      <c r="AE1355" s="1372">
        <f t="shared" si="1827"/>
        <v>0</v>
      </c>
      <c r="AF1355" s="1372">
        <f t="shared" si="1827"/>
        <v>0</v>
      </c>
      <c r="AG1355" s="1372">
        <f t="shared" si="1827"/>
        <v>0</v>
      </c>
      <c r="AH1355" s="1372">
        <f t="shared" si="1827"/>
        <v>0</v>
      </c>
      <c r="AI1355" s="1372">
        <f t="shared" si="1827"/>
        <v>0</v>
      </c>
      <c r="AJ1355" s="1372">
        <f t="shared" si="1827"/>
        <v>0</v>
      </c>
    </row>
    <row r="1356" spans="1:36" ht="14.5">
      <c r="A1356" s="616">
        <v>1</v>
      </c>
      <c r="B1356" s="616">
        <v>1</v>
      </c>
      <c r="C1356" s="616" t="s">
        <v>1540</v>
      </c>
      <c r="D1356" s="709" t="s">
        <v>1308</v>
      </c>
      <c r="E1356" s="2568" t="s">
        <v>1370</v>
      </c>
      <c r="F1356" s="2569"/>
      <c r="G1356"/>
      <c r="H1356" s="4"/>
      <c r="I1356" s="1098"/>
      <c r="J1356" s="1119"/>
      <c r="K1356" s="762"/>
      <c r="L1356" s="28"/>
      <c r="M1356" s="28"/>
      <c r="N1356" s="28" t="s">
        <v>1644</v>
      </c>
      <c r="O1356" s="12"/>
      <c r="P1356" s="754"/>
      <c r="Q1356" s="1779" t="str">
        <f>CHOOSE(2, "6722000004274", "IIS Consolidated Sales MX Direct Product HW Camera Device")</f>
        <v>IIS Consolidated Sales MX Direct Product HW Camera Device</v>
      </c>
      <c r="R1356" s="1373">
        <v>0</v>
      </c>
      <c r="S1356" s="1373">
        <v>0</v>
      </c>
      <c r="T1356" s="1373">
        <v>0</v>
      </c>
      <c r="U1356" s="1373">
        <v>0</v>
      </c>
      <c r="V1356" s="1373">
        <v>0</v>
      </c>
      <c r="W1356" s="1373">
        <v>0</v>
      </c>
      <c r="X1356" s="1373">
        <v>0</v>
      </c>
      <c r="Y1356" s="1373">
        <v>0</v>
      </c>
      <c r="Z1356" s="1373">
        <v>0</v>
      </c>
      <c r="AA1356" s="1373">
        <v>0</v>
      </c>
      <c r="AB1356" s="1373">
        <v>0</v>
      </c>
      <c r="AC1356" s="1373">
        <v>0</v>
      </c>
      <c r="AD1356" s="1372">
        <f>SUM(R1356,S1356,T1356)</f>
        <v>0</v>
      </c>
      <c r="AE1356" s="1372">
        <f>SUM(U1356,V1356,W1356)</f>
        <v>0</v>
      </c>
      <c r="AF1356" s="1372">
        <f>SUM(X1356,Y1356,Z1356)</f>
        <v>0</v>
      </c>
      <c r="AG1356" s="1372">
        <f>SUM(AA1356,AB1356,AC1356)</f>
        <v>0</v>
      </c>
      <c r="AH1356" s="1372">
        <f>AD1356+AE1356</f>
        <v>0</v>
      </c>
      <c r="AI1356" s="1372">
        <f>AG1356+AF1356</f>
        <v>0</v>
      </c>
      <c r="AJ1356" s="1372">
        <f>AH1356+AI1356</f>
        <v>0</v>
      </c>
    </row>
    <row r="1357" spans="1:36" ht="14.5">
      <c r="A1357" s="616">
        <v>1</v>
      </c>
      <c r="B1357" s="616">
        <v>1</v>
      </c>
      <c r="C1357" s="616" t="s">
        <v>1540</v>
      </c>
      <c r="D1357" s="709" t="s">
        <v>1308</v>
      </c>
      <c r="E1357" s="2568" t="s">
        <v>1370</v>
      </c>
      <c r="F1357" s="2569"/>
      <c r="G1357"/>
      <c r="H1357" s="4"/>
      <c r="I1357" s="1098"/>
      <c r="J1357" s="1119"/>
      <c r="K1357" s="762"/>
      <c r="L1357" s="28"/>
      <c r="M1357" s="765"/>
      <c r="N1357" s="765" t="s">
        <v>1550</v>
      </c>
      <c r="O1357" s="766"/>
      <c r="P1357" s="767"/>
      <c r="Q1357" s="1779" t="str">
        <f>CHOOSE(2, "6722000004275", "IIS Consolidated Sales MX Direct Product HW Others")</f>
        <v>IIS Consolidated Sales MX Direct Product HW Others</v>
      </c>
      <c r="R1357" s="1374">
        <v>0</v>
      </c>
      <c r="S1357" s="1374">
        <v>0</v>
      </c>
      <c r="T1357" s="1374">
        <v>0</v>
      </c>
      <c r="U1357" s="1374">
        <v>0</v>
      </c>
      <c r="V1357" s="1374">
        <v>0</v>
      </c>
      <c r="W1357" s="1374">
        <v>0</v>
      </c>
      <c r="X1357" s="1374">
        <v>0</v>
      </c>
      <c r="Y1357" s="1374">
        <v>0</v>
      </c>
      <c r="Z1357" s="1374">
        <v>0</v>
      </c>
      <c r="AA1357" s="1374">
        <v>0</v>
      </c>
      <c r="AB1357" s="1374">
        <v>0</v>
      </c>
      <c r="AC1357" s="1374">
        <v>0</v>
      </c>
      <c r="AD1357" s="771">
        <f>SUM(R1357,S1357,T1357)</f>
        <v>0</v>
      </c>
      <c r="AE1357" s="771">
        <f>SUM(U1357,V1357,W1357)</f>
        <v>0</v>
      </c>
      <c r="AF1357" s="771">
        <f>SUM(X1357,Y1357,Z1357)</f>
        <v>0</v>
      </c>
      <c r="AG1357" s="771">
        <f>SUM(AA1357,AB1357,AC1357)</f>
        <v>0</v>
      </c>
      <c r="AH1357" s="771">
        <f>AD1357+AE1357</f>
        <v>0</v>
      </c>
      <c r="AI1357" s="771">
        <f>AG1357+AF1357</f>
        <v>0</v>
      </c>
      <c r="AJ1357" s="771">
        <f>AH1357+AI1357</f>
        <v>0</v>
      </c>
    </row>
    <row r="1358" spans="1:36" ht="14.5">
      <c r="A1358" s="616">
        <v>1</v>
      </c>
      <c r="B1358" s="616">
        <v>1</v>
      </c>
      <c r="C1358" s="616" t="s">
        <v>1540</v>
      </c>
      <c r="D1358" s="709" t="s">
        <v>1308</v>
      </c>
      <c r="E1358" s="2568" t="s">
        <v>1370</v>
      </c>
      <c r="F1358" s="2569"/>
      <c r="G1358"/>
      <c r="H1358" s="4"/>
      <c r="I1358" s="1098"/>
      <c r="J1358" s="1119"/>
      <c r="K1358" s="762"/>
      <c r="L1358" s="28"/>
      <c r="M1358" s="12" t="s">
        <v>1490</v>
      </c>
      <c r="N1358" s="12"/>
      <c r="O1358" s="12"/>
      <c r="P1358" s="754"/>
      <c r="Q1358" s="1782" t="str">
        <f>CHOOSE(2, "6722000004276", "IIS Consolidated Sales MX Direct Product NH")</f>
        <v>IIS Consolidated Sales MX Direct Product NH</v>
      </c>
      <c r="R1358" s="1372">
        <f t="shared" ref="R1358:AJ1358" si="1828">R1359</f>
        <v>0</v>
      </c>
      <c r="S1358" s="1372">
        <f t="shared" si="1828"/>
        <v>0</v>
      </c>
      <c r="T1358" s="1372">
        <f t="shared" si="1828"/>
        <v>0</v>
      </c>
      <c r="U1358" s="1372">
        <f t="shared" si="1828"/>
        <v>0</v>
      </c>
      <c r="V1358" s="1372">
        <f t="shared" si="1828"/>
        <v>0</v>
      </c>
      <c r="W1358" s="1372">
        <f t="shared" si="1828"/>
        <v>0</v>
      </c>
      <c r="X1358" s="1372">
        <f t="shared" si="1828"/>
        <v>0</v>
      </c>
      <c r="Y1358" s="1372">
        <f t="shared" si="1828"/>
        <v>0</v>
      </c>
      <c r="Z1358" s="1372">
        <f t="shared" si="1828"/>
        <v>0</v>
      </c>
      <c r="AA1358" s="1372">
        <f t="shared" si="1828"/>
        <v>0</v>
      </c>
      <c r="AB1358" s="1372">
        <f t="shared" si="1828"/>
        <v>0</v>
      </c>
      <c r="AC1358" s="1372">
        <f t="shared" si="1828"/>
        <v>0</v>
      </c>
      <c r="AD1358" s="1372">
        <f t="shared" si="1828"/>
        <v>0</v>
      </c>
      <c r="AE1358" s="1372">
        <f t="shared" si="1828"/>
        <v>0</v>
      </c>
      <c r="AF1358" s="1372">
        <f t="shared" si="1828"/>
        <v>0</v>
      </c>
      <c r="AG1358" s="1372">
        <f t="shared" si="1828"/>
        <v>0</v>
      </c>
      <c r="AH1358" s="1372">
        <f t="shared" si="1828"/>
        <v>0</v>
      </c>
      <c r="AI1358" s="1372">
        <f t="shared" si="1828"/>
        <v>0</v>
      </c>
      <c r="AJ1358" s="1372">
        <f t="shared" si="1828"/>
        <v>0</v>
      </c>
    </row>
    <row r="1359" spans="1:36" ht="14.5">
      <c r="A1359" s="616">
        <v>1</v>
      </c>
      <c r="B1359" s="616">
        <v>1</v>
      </c>
      <c r="C1359" s="616" t="s">
        <v>1540</v>
      </c>
      <c r="D1359" s="709" t="s">
        <v>1308</v>
      </c>
      <c r="E1359" s="2568" t="s">
        <v>1370</v>
      </c>
      <c r="F1359" s="2569"/>
      <c r="G1359"/>
      <c r="H1359" s="4"/>
      <c r="I1359" s="1098"/>
      <c r="J1359" s="1119"/>
      <c r="K1359" s="762"/>
      <c r="L1359" s="765"/>
      <c r="M1359" s="765"/>
      <c r="N1359" s="765" t="s">
        <v>1645</v>
      </c>
      <c r="O1359" s="766"/>
      <c r="P1359" s="767"/>
      <c r="Q1359" s="1779" t="str">
        <f>CHOOSE(2, "6722000004277", "IIS Consolidated Sales MX Direct Product NH SW/Apps")</f>
        <v>IIS Consolidated Sales MX Direct Product NH SW/Apps</v>
      </c>
      <c r="R1359" s="1374">
        <v>0</v>
      </c>
      <c r="S1359" s="1374">
        <v>0</v>
      </c>
      <c r="T1359" s="1374">
        <v>0</v>
      </c>
      <c r="U1359" s="1374">
        <v>0</v>
      </c>
      <c r="V1359" s="1374">
        <v>0</v>
      </c>
      <c r="W1359" s="1374">
        <v>0</v>
      </c>
      <c r="X1359" s="1374">
        <v>0</v>
      </c>
      <c r="Y1359" s="1374">
        <v>0</v>
      </c>
      <c r="Z1359" s="1374">
        <v>0</v>
      </c>
      <c r="AA1359" s="1374">
        <v>0</v>
      </c>
      <c r="AB1359" s="1374">
        <v>0</v>
      </c>
      <c r="AC1359" s="1374">
        <v>0</v>
      </c>
      <c r="AD1359" s="771">
        <f>SUM(R1359,S1359,T1359)</f>
        <v>0</v>
      </c>
      <c r="AE1359" s="771">
        <f>SUM(U1359,V1359,W1359)</f>
        <v>0</v>
      </c>
      <c r="AF1359" s="771">
        <f>SUM(X1359,Y1359,Z1359)</f>
        <v>0</v>
      </c>
      <c r="AG1359" s="771">
        <f>SUM(AA1359,AB1359,AC1359)</f>
        <v>0</v>
      </c>
      <c r="AH1359" s="771">
        <f>AD1359+AE1359</f>
        <v>0</v>
      </c>
      <c r="AI1359" s="771">
        <f>AG1359+AF1359</f>
        <v>0</v>
      </c>
      <c r="AJ1359" s="771">
        <f>AH1359+AI1359</f>
        <v>0</v>
      </c>
    </row>
    <row r="1360" spans="1:36" ht="14.5">
      <c r="A1360" s="616">
        <v>1</v>
      </c>
      <c r="B1360" s="616">
        <v>1</v>
      </c>
      <c r="C1360" s="616" t="s">
        <v>1540</v>
      </c>
      <c r="D1360" s="709" t="s">
        <v>1308</v>
      </c>
      <c r="E1360" s="2568" t="s">
        <v>1370</v>
      </c>
      <c r="F1360" s="2569"/>
      <c r="G1360"/>
      <c r="H1360" s="4"/>
      <c r="I1360" s="1098"/>
      <c r="J1360" s="1119"/>
      <c r="K1360" s="762"/>
      <c r="L1360" s="12" t="s">
        <v>1646</v>
      </c>
      <c r="M1360" s="28"/>
      <c r="N1360" s="12"/>
      <c r="O1360" s="12"/>
      <c r="P1360" s="754"/>
      <c r="Q1360" s="1782" t="str">
        <f>CHOOSE(2, "6722000004278", "IIS Consolidated Sales MX Direct Service")</f>
        <v>IIS Consolidated Sales MX Direct Service</v>
      </c>
      <c r="R1360" s="1372">
        <f t="shared" ref="R1360" si="1829">SUM(R1361:R1362)</f>
        <v>0</v>
      </c>
      <c r="S1360" s="1372">
        <f t="shared" ref="S1360:AJ1360" si="1830">SUM(S1361:S1362)</f>
        <v>0</v>
      </c>
      <c r="T1360" s="1372">
        <f t="shared" si="1830"/>
        <v>0</v>
      </c>
      <c r="U1360" s="1372">
        <f t="shared" si="1830"/>
        <v>0</v>
      </c>
      <c r="V1360" s="1372">
        <f t="shared" si="1830"/>
        <v>0</v>
      </c>
      <c r="W1360" s="1372">
        <f t="shared" si="1830"/>
        <v>0</v>
      </c>
      <c r="X1360" s="1372">
        <f t="shared" si="1830"/>
        <v>0</v>
      </c>
      <c r="Y1360" s="1372">
        <f t="shared" si="1830"/>
        <v>0</v>
      </c>
      <c r="Z1360" s="1372">
        <f t="shared" si="1830"/>
        <v>0</v>
      </c>
      <c r="AA1360" s="1372">
        <f t="shared" si="1830"/>
        <v>0</v>
      </c>
      <c r="AB1360" s="1372">
        <f t="shared" si="1830"/>
        <v>0</v>
      </c>
      <c r="AC1360" s="1372">
        <f t="shared" si="1830"/>
        <v>0</v>
      </c>
      <c r="AD1360" s="1372">
        <f t="shared" si="1830"/>
        <v>0</v>
      </c>
      <c r="AE1360" s="1372">
        <f t="shared" si="1830"/>
        <v>0</v>
      </c>
      <c r="AF1360" s="1372">
        <f t="shared" si="1830"/>
        <v>0</v>
      </c>
      <c r="AG1360" s="1372">
        <f t="shared" si="1830"/>
        <v>0</v>
      </c>
      <c r="AH1360" s="1372">
        <f t="shared" si="1830"/>
        <v>0</v>
      </c>
      <c r="AI1360" s="1372">
        <f t="shared" si="1830"/>
        <v>0</v>
      </c>
      <c r="AJ1360" s="1372">
        <f t="shared" si="1830"/>
        <v>0</v>
      </c>
    </row>
    <row r="1361" spans="1:36" ht="14.5">
      <c r="A1361" s="616">
        <v>1</v>
      </c>
      <c r="B1361" s="616">
        <v>1</v>
      </c>
      <c r="C1361" s="616" t="s">
        <v>1540</v>
      </c>
      <c r="D1361" s="709" t="s">
        <v>1308</v>
      </c>
      <c r="E1361" s="2568" t="s">
        <v>1370</v>
      </c>
      <c r="F1361" s="2569"/>
      <c r="G1361"/>
      <c r="H1361" s="4"/>
      <c r="I1361" s="1098"/>
      <c r="J1361" s="1119"/>
      <c r="K1361" s="762"/>
      <c r="L1361" s="28"/>
      <c r="M1361" s="28" t="s">
        <v>1647</v>
      </c>
      <c r="N1361" s="12"/>
      <c r="O1361" s="12"/>
      <c r="P1361" s="754"/>
      <c r="Q1361" s="1779" t="str">
        <f>CHOOSE(2, "6722000004279", "IIS Consolidated Sales MX Direct Service Onetime")</f>
        <v>IIS Consolidated Sales MX Direct Service Onetime</v>
      </c>
      <c r="R1361" s="1373">
        <v>0</v>
      </c>
      <c r="S1361" s="1373">
        <v>0</v>
      </c>
      <c r="T1361" s="1373">
        <v>0</v>
      </c>
      <c r="U1361" s="1373">
        <v>0</v>
      </c>
      <c r="V1361" s="1373">
        <v>0</v>
      </c>
      <c r="W1361" s="1373">
        <v>0</v>
      </c>
      <c r="X1361" s="1373">
        <v>0</v>
      </c>
      <c r="Y1361" s="1373">
        <v>0</v>
      </c>
      <c r="Z1361" s="1373">
        <v>0</v>
      </c>
      <c r="AA1361" s="1373">
        <v>0</v>
      </c>
      <c r="AB1361" s="1373">
        <v>0</v>
      </c>
      <c r="AC1361" s="1373">
        <v>0</v>
      </c>
      <c r="AD1361" s="1372">
        <f>SUM(R1361,S1361,T1361)</f>
        <v>0</v>
      </c>
      <c r="AE1361" s="1372">
        <f>SUM(U1361,V1361,W1361)</f>
        <v>0</v>
      </c>
      <c r="AF1361" s="1372">
        <f>SUM(X1361,Y1361,Z1361)</f>
        <v>0</v>
      </c>
      <c r="AG1361" s="1372">
        <f>SUM(AA1361,AB1361,AC1361)</f>
        <v>0</v>
      </c>
      <c r="AH1361" s="1372">
        <f>AD1361+AE1361</f>
        <v>0</v>
      </c>
      <c r="AI1361" s="1372">
        <f>AG1361+AF1361</f>
        <v>0</v>
      </c>
      <c r="AJ1361" s="1372">
        <f>AH1361+AI1361</f>
        <v>0</v>
      </c>
    </row>
    <row r="1362" spans="1:36" ht="14.5">
      <c r="A1362" s="616">
        <v>1</v>
      </c>
      <c r="B1362" s="616">
        <v>1</v>
      </c>
      <c r="C1362" s="616" t="s">
        <v>1540</v>
      </c>
      <c r="D1362" s="709" t="s">
        <v>1308</v>
      </c>
      <c r="E1362" s="2568" t="s">
        <v>1370</v>
      </c>
      <c r="F1362" s="2569"/>
      <c r="G1362"/>
      <c r="H1362" s="4"/>
      <c r="I1362" s="1098"/>
      <c r="J1362" s="1119"/>
      <c r="K1362" s="763"/>
      <c r="L1362" s="757"/>
      <c r="M1362" s="757" t="s">
        <v>1648</v>
      </c>
      <c r="N1362" s="755"/>
      <c r="O1362" s="755"/>
      <c r="P1362" s="756"/>
      <c r="Q1362" s="1779" t="str">
        <f>CHOOSE(2, "6722000004280", "IIS Consolidated Sales MX Direct Service Recurring")</f>
        <v>IIS Consolidated Sales MX Direct Service Recurring</v>
      </c>
      <c r="R1362" s="1375">
        <v>0</v>
      </c>
      <c r="S1362" s="1375">
        <v>0</v>
      </c>
      <c r="T1362" s="1375">
        <v>0</v>
      </c>
      <c r="U1362" s="1375">
        <v>0</v>
      </c>
      <c r="V1362" s="1375">
        <v>0</v>
      </c>
      <c r="W1362" s="1375">
        <v>0</v>
      </c>
      <c r="X1362" s="1375">
        <v>0</v>
      </c>
      <c r="Y1362" s="1375">
        <v>0</v>
      </c>
      <c r="Z1362" s="1375">
        <v>0</v>
      </c>
      <c r="AA1362" s="1375">
        <v>0</v>
      </c>
      <c r="AB1362" s="1375">
        <v>0</v>
      </c>
      <c r="AC1362" s="1375">
        <v>0</v>
      </c>
      <c r="AD1362" s="772">
        <f>SUM(R1362,S1362,T1362)</f>
        <v>0</v>
      </c>
      <c r="AE1362" s="772">
        <f>SUM(U1362,V1362,W1362)</f>
        <v>0</v>
      </c>
      <c r="AF1362" s="772">
        <f>SUM(X1362,Y1362,Z1362)</f>
        <v>0</v>
      </c>
      <c r="AG1362" s="772">
        <f>SUM(AA1362,AB1362,AC1362)</f>
        <v>0</v>
      </c>
      <c r="AH1362" s="772">
        <f>AD1362+AE1362</f>
        <v>0</v>
      </c>
      <c r="AI1362" s="772">
        <f>AG1362+AF1362</f>
        <v>0</v>
      </c>
      <c r="AJ1362" s="772">
        <f>AH1362+AI1362</f>
        <v>0</v>
      </c>
    </row>
    <row r="1363" spans="1:36" ht="14.5">
      <c r="A1363" s="616">
        <v>1</v>
      </c>
      <c r="B1363" s="616">
        <v>1</v>
      </c>
      <c r="C1363" s="616" t="s">
        <v>1540</v>
      </c>
      <c r="D1363" s="709" t="s">
        <v>1308</v>
      </c>
      <c r="E1363" s="2568" t="s">
        <v>1370</v>
      </c>
      <c r="F1363" s="2569"/>
      <c r="G1363"/>
      <c r="H1363" s="4"/>
      <c r="I1363" s="1098"/>
      <c r="J1363" s="1120"/>
      <c r="K1363" s="2206" t="s">
        <v>1649</v>
      </c>
      <c r="L1363" s="2207"/>
      <c r="M1363" s="2207"/>
      <c r="N1363" s="2208"/>
      <c r="O1363" s="2208"/>
      <c r="P1363" s="2488"/>
      <c r="Q1363" s="1779" t="str">
        <f>CHOOSE(2, "6722000004281", "IIS Consolidated Sales MX Indirect")</f>
        <v>IIS Consolidated Sales MX Indirect</v>
      </c>
      <c r="R1363" s="1376">
        <v>233</v>
      </c>
      <c r="S1363" s="1376">
        <v>1224</v>
      </c>
      <c r="T1363" s="1376">
        <v>0</v>
      </c>
      <c r="U1363" s="1376">
        <v>917</v>
      </c>
      <c r="V1363" s="1376">
        <v>782</v>
      </c>
      <c r="W1363" s="1376">
        <v>1831</v>
      </c>
      <c r="X1363" s="1376">
        <v>0</v>
      </c>
      <c r="Y1363" s="1376">
        <v>779</v>
      </c>
      <c r="Z1363" s="1376">
        <v>2998</v>
      </c>
      <c r="AA1363" s="1376">
        <v>1695</v>
      </c>
      <c r="AB1363" s="1376">
        <v>1298</v>
      </c>
      <c r="AC1363" s="1376">
        <v>2928</v>
      </c>
      <c r="AD1363" s="3421">
        <f>SUM(R1363,S1363,T1363)</f>
        <v>1457</v>
      </c>
      <c r="AE1363" s="3421">
        <f>SUM(U1363,V1363,W1363)</f>
        <v>3530</v>
      </c>
      <c r="AF1363" s="3421">
        <f>SUM(X1363,Y1363,Z1363)</f>
        <v>3777</v>
      </c>
      <c r="AG1363" s="3421">
        <f>SUM(AA1363,AB1363,AC1363)</f>
        <v>5921</v>
      </c>
      <c r="AH1363" s="3421">
        <f>AD1363+AE1363</f>
        <v>4987</v>
      </c>
      <c r="AI1363" s="3421">
        <f>AG1363+AF1363</f>
        <v>9698</v>
      </c>
      <c r="AJ1363" s="3421">
        <f>AH1363+AI1363</f>
        <v>14685</v>
      </c>
    </row>
    <row r="1364" spans="1:36" ht="14.5">
      <c r="A1364" s="616">
        <v>1</v>
      </c>
      <c r="B1364" s="616">
        <v>1</v>
      </c>
      <c r="C1364" s="616" t="s">
        <v>1540</v>
      </c>
      <c r="D1364" s="709" t="s">
        <v>1308</v>
      </c>
      <c r="E1364" s="2568" t="s">
        <v>1370</v>
      </c>
      <c r="F1364" s="2569"/>
      <c r="G1364"/>
      <c r="H1364" s="4"/>
      <c r="I1364" s="1098"/>
      <c r="J1364" s="2491" t="s">
        <v>1650</v>
      </c>
      <c r="K1364" s="1120"/>
      <c r="L1364" s="1120"/>
      <c r="M1364" s="1120"/>
      <c r="N1364" s="1117"/>
      <c r="O1364" s="1117"/>
      <c r="P1364" s="1118"/>
      <c r="Q1364" s="1848" t="str">
        <f>CHOOSE(2, "6722000004282", "IIS Consolidated Sales DM")</f>
        <v>IIS Consolidated Sales DM</v>
      </c>
      <c r="R1364" s="1463">
        <v>0</v>
      </c>
      <c r="S1364" s="1463">
        <v>0</v>
      </c>
      <c r="T1364" s="1463">
        <v>0</v>
      </c>
      <c r="U1364" s="1463">
        <v>0</v>
      </c>
      <c r="V1364" s="1463">
        <v>0</v>
      </c>
      <c r="W1364" s="1463">
        <v>0</v>
      </c>
      <c r="X1364" s="1463">
        <v>0</v>
      </c>
      <c r="Y1364" s="1463">
        <v>0</v>
      </c>
      <c r="Z1364" s="1463">
        <v>0</v>
      </c>
      <c r="AA1364" s="1463">
        <v>0</v>
      </c>
      <c r="AB1364" s="1463">
        <v>0</v>
      </c>
      <c r="AC1364" s="1463">
        <v>0</v>
      </c>
      <c r="AD1364" s="1463">
        <f>SUM(R1364,S1364,T1364)</f>
        <v>0</v>
      </c>
      <c r="AE1364" s="1463">
        <f>SUM(U1364,V1364,W1364)</f>
        <v>0</v>
      </c>
      <c r="AF1364" s="1463">
        <f>SUM(X1364,Y1364,Z1364)</f>
        <v>0</v>
      </c>
      <c r="AG1364" s="1463">
        <f>SUM(AA1364,AB1364,AC1364)</f>
        <v>0</v>
      </c>
      <c r="AH1364" s="1463">
        <f>AD1364+AE1364</f>
        <v>0</v>
      </c>
      <c r="AI1364" s="1463">
        <f>AG1364+AF1364</f>
        <v>0</v>
      </c>
      <c r="AJ1364" s="1463">
        <f>AH1364+AI1364</f>
        <v>0</v>
      </c>
    </row>
    <row r="1365" spans="1:36" ht="14.5">
      <c r="A1365" s="616">
        <v>1</v>
      </c>
      <c r="B1365" s="616">
        <v>1</v>
      </c>
      <c r="C1365" s="616" t="s">
        <v>1540</v>
      </c>
      <c r="D1365" s="709" t="s">
        <v>1308</v>
      </c>
      <c r="E1365" s="2568" t="s">
        <v>1370</v>
      </c>
      <c r="F1365" s="2569"/>
      <c r="G1365"/>
      <c r="H1365" s="4"/>
      <c r="I1365" s="1098"/>
      <c r="J1365" s="1116" t="s">
        <v>1651</v>
      </c>
      <c r="K1365" s="1119"/>
      <c r="L1365" s="1119"/>
      <c r="M1365" s="1119"/>
      <c r="N1365" s="1116"/>
      <c r="O1365" s="1116"/>
      <c r="P1365" s="1122"/>
      <c r="Q1365" s="1848" t="str">
        <f>CHOOSE(2, "6722000004283", "IIS Consolidated Sales Gas")</f>
        <v>IIS Consolidated Sales Gas</v>
      </c>
      <c r="R1365" s="1464">
        <v>0</v>
      </c>
      <c r="S1365" s="1464">
        <v>0</v>
      </c>
      <c r="T1365" s="1464">
        <v>0</v>
      </c>
      <c r="U1365" s="1464">
        <v>0</v>
      </c>
      <c r="V1365" s="1464">
        <v>0</v>
      </c>
      <c r="W1365" s="1464">
        <v>0</v>
      </c>
      <c r="X1365" s="1464">
        <v>0</v>
      </c>
      <c r="Y1365" s="1464">
        <v>0</v>
      </c>
      <c r="Z1365" s="1464">
        <v>0</v>
      </c>
      <c r="AA1365" s="1464">
        <v>0</v>
      </c>
      <c r="AB1365" s="1464">
        <v>0</v>
      </c>
      <c r="AC1365" s="1464">
        <v>0</v>
      </c>
      <c r="AD1365" s="1464">
        <f>SUM(R1365,S1365,T1365)</f>
        <v>0</v>
      </c>
      <c r="AE1365" s="1464">
        <f>SUM(U1365,V1365,W1365)</f>
        <v>0</v>
      </c>
      <c r="AF1365" s="1464">
        <f>SUM(X1365,Y1365,Z1365)</f>
        <v>0</v>
      </c>
      <c r="AG1365" s="1464">
        <f>SUM(AA1365,AB1365,AC1365)</f>
        <v>0</v>
      </c>
      <c r="AH1365" s="1464">
        <f>AD1365+AE1365</f>
        <v>0</v>
      </c>
      <c r="AI1365" s="1464">
        <f>AG1365+AF1365</f>
        <v>0</v>
      </c>
      <c r="AJ1365" s="1464">
        <f>AH1365+AI1365</f>
        <v>0</v>
      </c>
    </row>
    <row r="1366" spans="1:36" ht="14.5">
      <c r="A1366" s="616">
        <v>1</v>
      </c>
      <c r="B1366" s="616">
        <v>1</v>
      </c>
      <c r="C1366" s="616" t="s">
        <v>1540</v>
      </c>
      <c r="D1366" s="709" t="s">
        <v>1308</v>
      </c>
      <c r="E1366" s="2568" t="s">
        <v>1370</v>
      </c>
      <c r="F1366" s="2569"/>
      <c r="G1366"/>
      <c r="H1366" s="4"/>
      <c r="I1366" s="3414" t="s">
        <v>54</v>
      </c>
      <c r="J1366" s="1091"/>
      <c r="K1366" s="1092"/>
      <c r="L1366" s="1092"/>
      <c r="M1366" s="1092"/>
      <c r="N1366" s="1092"/>
      <c r="O1366" s="1092"/>
      <c r="P1366" s="3415"/>
      <c r="Q1366" s="1846" t="str">
        <f>CHOOSE(2, "6722000004284", "IIS Gross Profit")</f>
        <v>IIS Gross Profit</v>
      </c>
      <c r="R1366" s="3416">
        <f t="shared" ref="R1366:AJ1366" si="1831">R1367+R1379+R1380</f>
        <v>39</v>
      </c>
      <c r="S1366" s="3416">
        <f t="shared" si="1831"/>
        <v>275</v>
      </c>
      <c r="T1366" s="3416">
        <f t="shared" si="1831"/>
        <v>-17</v>
      </c>
      <c r="U1366" s="3416">
        <f t="shared" si="1831"/>
        <v>178</v>
      </c>
      <c r="V1366" s="3416">
        <f t="shared" si="1831"/>
        <v>242</v>
      </c>
      <c r="W1366" s="3416">
        <f t="shared" si="1831"/>
        <v>576</v>
      </c>
      <c r="X1366" s="3416">
        <f t="shared" si="1831"/>
        <v>-10</v>
      </c>
      <c r="Y1366" s="3416">
        <f t="shared" si="1831"/>
        <v>207</v>
      </c>
      <c r="Z1366" s="3416">
        <f t="shared" si="1831"/>
        <v>358</v>
      </c>
      <c r="AA1366" s="3416">
        <f t="shared" si="1831"/>
        <v>-1392</v>
      </c>
      <c r="AB1366" s="3416">
        <f t="shared" si="1831"/>
        <v>77</v>
      </c>
      <c r="AC1366" s="3416">
        <f t="shared" si="1831"/>
        <v>-839</v>
      </c>
      <c r="AD1366" s="3416">
        <f t="shared" si="1831"/>
        <v>297</v>
      </c>
      <c r="AE1366" s="3416">
        <f t="shared" si="1831"/>
        <v>996</v>
      </c>
      <c r="AF1366" s="3416">
        <f t="shared" si="1831"/>
        <v>555</v>
      </c>
      <c r="AG1366" s="3416">
        <f t="shared" si="1831"/>
        <v>-2154</v>
      </c>
      <c r="AH1366" s="3416">
        <f t="shared" si="1831"/>
        <v>1293</v>
      </c>
      <c r="AI1366" s="3416">
        <f t="shared" si="1831"/>
        <v>-1599</v>
      </c>
      <c r="AJ1366" s="3416">
        <f t="shared" si="1831"/>
        <v>-306</v>
      </c>
    </row>
    <row r="1367" spans="1:36" ht="14.5">
      <c r="A1367" s="616">
        <v>1</v>
      </c>
      <c r="B1367" s="616">
        <v>1</v>
      </c>
      <c r="C1367" s="616" t="s">
        <v>1540</v>
      </c>
      <c r="D1367" s="709" t="s">
        <v>1308</v>
      </c>
      <c r="E1367" s="2568" t="s">
        <v>1370</v>
      </c>
      <c r="F1367" s="2569"/>
      <c r="G1367"/>
      <c r="H1367" s="4"/>
      <c r="I1367" s="1098"/>
      <c r="J1367" s="1116" t="s">
        <v>1640</v>
      </c>
      <c r="K1367" s="1117"/>
      <c r="L1367" s="1117"/>
      <c r="M1367" s="1117"/>
      <c r="N1367" s="1117"/>
      <c r="O1367" s="1117"/>
      <c r="P1367" s="1118"/>
      <c r="Q1367" s="1848" t="str">
        <f>CHOOSE(2, "6722000004285", "IIS Gross Profit MX")</f>
        <v>IIS Gross Profit MX</v>
      </c>
      <c r="R1367" s="1463">
        <f t="shared" ref="R1367:AJ1367" si="1832">R1368+R1378</f>
        <v>39</v>
      </c>
      <c r="S1367" s="1463">
        <f t="shared" si="1832"/>
        <v>275</v>
      </c>
      <c r="T1367" s="1463">
        <f t="shared" si="1832"/>
        <v>-17</v>
      </c>
      <c r="U1367" s="1463">
        <f t="shared" si="1832"/>
        <v>178</v>
      </c>
      <c r="V1367" s="1463">
        <f t="shared" si="1832"/>
        <v>242</v>
      </c>
      <c r="W1367" s="1463">
        <f t="shared" si="1832"/>
        <v>576</v>
      </c>
      <c r="X1367" s="1463">
        <f t="shared" si="1832"/>
        <v>-10</v>
      </c>
      <c r="Y1367" s="1463">
        <f t="shared" si="1832"/>
        <v>207</v>
      </c>
      <c r="Z1367" s="1463">
        <f t="shared" si="1832"/>
        <v>358</v>
      </c>
      <c r="AA1367" s="1463">
        <f t="shared" si="1832"/>
        <v>-1392</v>
      </c>
      <c r="AB1367" s="1463">
        <f t="shared" si="1832"/>
        <v>77</v>
      </c>
      <c r="AC1367" s="1463">
        <f t="shared" si="1832"/>
        <v>-839</v>
      </c>
      <c r="AD1367" s="1463">
        <f t="shared" si="1832"/>
        <v>297</v>
      </c>
      <c r="AE1367" s="1463">
        <f t="shared" si="1832"/>
        <v>996</v>
      </c>
      <c r="AF1367" s="1463">
        <f t="shared" si="1832"/>
        <v>555</v>
      </c>
      <c r="AG1367" s="1463">
        <f t="shared" si="1832"/>
        <v>-2154</v>
      </c>
      <c r="AH1367" s="1463">
        <f t="shared" si="1832"/>
        <v>1293</v>
      </c>
      <c r="AI1367" s="1463">
        <f t="shared" si="1832"/>
        <v>-1599</v>
      </c>
      <c r="AJ1367" s="1463">
        <f t="shared" si="1832"/>
        <v>-306</v>
      </c>
    </row>
    <row r="1368" spans="1:36" ht="14.5">
      <c r="A1368" s="616">
        <v>1</v>
      </c>
      <c r="B1368" s="616">
        <v>1</v>
      </c>
      <c r="C1368" s="616" t="s">
        <v>1540</v>
      </c>
      <c r="D1368" s="709" t="s">
        <v>1308</v>
      </c>
      <c r="E1368" s="2568" t="s">
        <v>1370</v>
      </c>
      <c r="F1368" s="2569"/>
      <c r="G1368"/>
      <c r="H1368" s="4"/>
      <c r="I1368" s="1098"/>
      <c r="J1368" s="1119"/>
      <c r="K1368" s="3420" t="s">
        <v>1641</v>
      </c>
      <c r="L1368" s="758"/>
      <c r="M1368" s="759"/>
      <c r="N1368" s="758"/>
      <c r="O1368" s="758"/>
      <c r="P1368" s="760"/>
      <c r="Q1368" s="1782" t="str">
        <f>CHOOSE(2, "6722000004286", "IIS Gross Profit MX Direct")</f>
        <v>IIS Gross Profit MX Direct</v>
      </c>
      <c r="R1368" s="1370">
        <f t="shared" ref="R1368:AJ1368" si="1833">R1369+R1375</f>
        <v>0</v>
      </c>
      <c r="S1368" s="1370">
        <f t="shared" si="1833"/>
        <v>0</v>
      </c>
      <c r="T1368" s="1370">
        <f t="shared" si="1833"/>
        <v>0</v>
      </c>
      <c r="U1368" s="1370">
        <f t="shared" si="1833"/>
        <v>0</v>
      </c>
      <c r="V1368" s="1370">
        <f t="shared" si="1833"/>
        <v>0</v>
      </c>
      <c r="W1368" s="1370">
        <f t="shared" si="1833"/>
        <v>0</v>
      </c>
      <c r="X1368" s="1370">
        <f t="shared" si="1833"/>
        <v>0</v>
      </c>
      <c r="Y1368" s="1370">
        <f t="shared" si="1833"/>
        <v>0</v>
      </c>
      <c r="Z1368" s="1370">
        <f t="shared" si="1833"/>
        <v>0</v>
      </c>
      <c r="AA1368" s="1370">
        <f t="shared" si="1833"/>
        <v>0</v>
      </c>
      <c r="AB1368" s="1370">
        <f t="shared" si="1833"/>
        <v>0</v>
      </c>
      <c r="AC1368" s="1370">
        <f t="shared" si="1833"/>
        <v>0</v>
      </c>
      <c r="AD1368" s="1370">
        <f t="shared" si="1833"/>
        <v>0</v>
      </c>
      <c r="AE1368" s="1370">
        <f t="shared" si="1833"/>
        <v>0</v>
      </c>
      <c r="AF1368" s="1370">
        <f t="shared" si="1833"/>
        <v>0</v>
      </c>
      <c r="AG1368" s="1370">
        <f t="shared" si="1833"/>
        <v>0</v>
      </c>
      <c r="AH1368" s="1370">
        <f t="shared" si="1833"/>
        <v>0</v>
      </c>
      <c r="AI1368" s="1370">
        <f t="shared" si="1833"/>
        <v>0</v>
      </c>
      <c r="AJ1368" s="1370">
        <f t="shared" si="1833"/>
        <v>0</v>
      </c>
    </row>
    <row r="1369" spans="1:36" ht="14.5">
      <c r="A1369" s="616">
        <v>1</v>
      </c>
      <c r="B1369" s="616">
        <v>1</v>
      </c>
      <c r="C1369" s="616" t="s">
        <v>1540</v>
      </c>
      <c r="D1369" s="709" t="s">
        <v>1308</v>
      </c>
      <c r="E1369" s="2568" t="s">
        <v>1370</v>
      </c>
      <c r="F1369" s="2569"/>
      <c r="G1369"/>
      <c r="H1369" s="4"/>
      <c r="I1369" s="1098"/>
      <c r="J1369" s="1119"/>
      <c r="K1369" s="29"/>
      <c r="L1369" s="12" t="s">
        <v>1642</v>
      </c>
      <c r="M1369" s="768"/>
      <c r="N1369" s="769"/>
      <c r="O1369" s="769"/>
      <c r="P1369" s="770"/>
      <c r="Q1369" s="1782" t="str">
        <f>CHOOSE(2, "6722000004287", "IIS Gross Profit MX Direct Product")</f>
        <v>IIS Gross Profit MX Direct Product</v>
      </c>
      <c r="R1369" s="1371">
        <f t="shared" ref="R1369:AJ1369" si="1834">R1370+R1373</f>
        <v>0</v>
      </c>
      <c r="S1369" s="1371">
        <f t="shared" si="1834"/>
        <v>0</v>
      </c>
      <c r="T1369" s="1371">
        <f t="shared" si="1834"/>
        <v>0</v>
      </c>
      <c r="U1369" s="1371">
        <f t="shared" si="1834"/>
        <v>0</v>
      </c>
      <c r="V1369" s="1371">
        <f t="shared" si="1834"/>
        <v>0</v>
      </c>
      <c r="W1369" s="1371">
        <f t="shared" si="1834"/>
        <v>0</v>
      </c>
      <c r="X1369" s="1371">
        <f t="shared" si="1834"/>
        <v>0</v>
      </c>
      <c r="Y1369" s="1371">
        <f t="shared" si="1834"/>
        <v>0</v>
      </c>
      <c r="Z1369" s="1371">
        <f t="shared" si="1834"/>
        <v>0</v>
      </c>
      <c r="AA1369" s="1371">
        <f t="shared" si="1834"/>
        <v>0</v>
      </c>
      <c r="AB1369" s="1371">
        <f t="shared" si="1834"/>
        <v>0</v>
      </c>
      <c r="AC1369" s="1371">
        <f t="shared" si="1834"/>
        <v>0</v>
      </c>
      <c r="AD1369" s="1371">
        <f t="shared" si="1834"/>
        <v>0</v>
      </c>
      <c r="AE1369" s="1371">
        <f t="shared" si="1834"/>
        <v>0</v>
      </c>
      <c r="AF1369" s="1371">
        <f t="shared" si="1834"/>
        <v>0</v>
      </c>
      <c r="AG1369" s="1371">
        <f t="shared" si="1834"/>
        <v>0</v>
      </c>
      <c r="AH1369" s="1371">
        <f t="shared" si="1834"/>
        <v>0</v>
      </c>
      <c r="AI1369" s="1371">
        <f t="shared" si="1834"/>
        <v>0</v>
      </c>
      <c r="AJ1369" s="1371">
        <f t="shared" si="1834"/>
        <v>0</v>
      </c>
    </row>
    <row r="1370" spans="1:36" ht="14.5">
      <c r="A1370" s="616">
        <v>1</v>
      </c>
      <c r="B1370" s="616">
        <v>1</v>
      </c>
      <c r="C1370" s="616" t="s">
        <v>1540</v>
      </c>
      <c r="D1370" s="709" t="s">
        <v>1308</v>
      </c>
      <c r="E1370" s="2568" t="s">
        <v>1370</v>
      </c>
      <c r="F1370" s="2569"/>
      <c r="G1370"/>
      <c r="H1370" s="4"/>
      <c r="I1370" s="1098"/>
      <c r="J1370" s="1119"/>
      <c r="K1370" s="762"/>
      <c r="L1370" s="28"/>
      <c r="M1370" s="12" t="s">
        <v>1643</v>
      </c>
      <c r="N1370" s="12"/>
      <c r="O1370" s="12"/>
      <c r="P1370" s="754"/>
      <c r="Q1370" s="1782" t="str">
        <f>CHOOSE(2, "6722000004288", "IIS Gross Profit MX Direct Product HW")</f>
        <v>IIS Gross Profit MX Direct Product HW</v>
      </c>
      <c r="R1370" s="1372">
        <f t="shared" ref="R1370" si="1835">SUM(R1371:R1372)</f>
        <v>0</v>
      </c>
      <c r="S1370" s="1372">
        <f t="shared" ref="S1370:AJ1370" si="1836">SUM(S1371:S1372)</f>
        <v>0</v>
      </c>
      <c r="T1370" s="1372">
        <f t="shared" si="1836"/>
        <v>0</v>
      </c>
      <c r="U1370" s="1372">
        <f t="shared" si="1836"/>
        <v>0</v>
      </c>
      <c r="V1370" s="1372">
        <f t="shared" si="1836"/>
        <v>0</v>
      </c>
      <c r="W1370" s="1372">
        <f t="shared" si="1836"/>
        <v>0</v>
      </c>
      <c r="X1370" s="1372">
        <f t="shared" si="1836"/>
        <v>0</v>
      </c>
      <c r="Y1370" s="1372">
        <f t="shared" si="1836"/>
        <v>0</v>
      </c>
      <c r="Z1370" s="1372">
        <f t="shared" si="1836"/>
        <v>0</v>
      </c>
      <c r="AA1370" s="1372">
        <f t="shared" si="1836"/>
        <v>0</v>
      </c>
      <c r="AB1370" s="1372">
        <f t="shared" si="1836"/>
        <v>0</v>
      </c>
      <c r="AC1370" s="1372">
        <f t="shared" si="1836"/>
        <v>0</v>
      </c>
      <c r="AD1370" s="1372">
        <f t="shared" si="1836"/>
        <v>0</v>
      </c>
      <c r="AE1370" s="1372">
        <f t="shared" si="1836"/>
        <v>0</v>
      </c>
      <c r="AF1370" s="1372">
        <f t="shared" si="1836"/>
        <v>0</v>
      </c>
      <c r="AG1370" s="1372">
        <f t="shared" si="1836"/>
        <v>0</v>
      </c>
      <c r="AH1370" s="1372">
        <f t="shared" si="1836"/>
        <v>0</v>
      </c>
      <c r="AI1370" s="1372">
        <f t="shared" si="1836"/>
        <v>0</v>
      </c>
      <c r="AJ1370" s="1372">
        <f t="shared" si="1836"/>
        <v>0</v>
      </c>
    </row>
    <row r="1371" spans="1:36" ht="14.5">
      <c r="A1371" s="616">
        <v>1</v>
      </c>
      <c r="B1371" s="616">
        <v>1</v>
      </c>
      <c r="C1371" s="616" t="s">
        <v>1540</v>
      </c>
      <c r="D1371" s="709" t="s">
        <v>1308</v>
      </c>
      <c r="E1371" s="2568" t="s">
        <v>1370</v>
      </c>
      <c r="F1371" s="2569"/>
      <c r="G1371"/>
      <c r="H1371" s="4"/>
      <c r="I1371" s="1098"/>
      <c r="J1371" s="1119"/>
      <c r="K1371" s="762"/>
      <c r="L1371" s="28"/>
      <c r="M1371" s="28"/>
      <c r="N1371" s="28" t="s">
        <v>1644</v>
      </c>
      <c r="O1371" s="12"/>
      <c r="P1371" s="754"/>
      <c r="Q1371" s="1779" t="str">
        <f>CHOOSE(2, "6722000004289", "IIS Gross Profit MX Direct Product HW Camera Device")</f>
        <v>IIS Gross Profit MX Direct Product HW Camera Device</v>
      </c>
      <c r="R1371" s="1373">
        <v>0</v>
      </c>
      <c r="S1371" s="1373">
        <v>0</v>
      </c>
      <c r="T1371" s="1373">
        <v>0</v>
      </c>
      <c r="U1371" s="1373">
        <v>0</v>
      </c>
      <c r="V1371" s="1373">
        <v>0</v>
      </c>
      <c r="W1371" s="1373">
        <v>0</v>
      </c>
      <c r="X1371" s="1373">
        <v>0</v>
      </c>
      <c r="Y1371" s="1373">
        <v>0</v>
      </c>
      <c r="Z1371" s="1373">
        <v>0</v>
      </c>
      <c r="AA1371" s="1373">
        <v>0</v>
      </c>
      <c r="AB1371" s="1373">
        <v>0</v>
      </c>
      <c r="AC1371" s="1373">
        <v>0</v>
      </c>
      <c r="AD1371" s="1372">
        <f>SUM(R1371,S1371,T1371)</f>
        <v>0</v>
      </c>
      <c r="AE1371" s="1372">
        <f>SUM(U1371,V1371,W1371)</f>
        <v>0</v>
      </c>
      <c r="AF1371" s="1372">
        <f>SUM(X1371,Y1371,Z1371)</f>
        <v>0</v>
      </c>
      <c r="AG1371" s="1372">
        <f>SUM(AA1371,AB1371,AC1371)</f>
        <v>0</v>
      </c>
      <c r="AH1371" s="1372">
        <f>AD1371+AE1371</f>
        <v>0</v>
      </c>
      <c r="AI1371" s="1372">
        <f>AG1371+AF1371</f>
        <v>0</v>
      </c>
      <c r="AJ1371" s="1372">
        <f>AH1371+AI1371</f>
        <v>0</v>
      </c>
    </row>
    <row r="1372" spans="1:36" ht="14.5">
      <c r="A1372" s="616">
        <v>1</v>
      </c>
      <c r="B1372" s="616">
        <v>1</v>
      </c>
      <c r="C1372" s="616" t="s">
        <v>1540</v>
      </c>
      <c r="D1372" s="709" t="s">
        <v>1308</v>
      </c>
      <c r="E1372" s="2568" t="s">
        <v>1370</v>
      </c>
      <c r="F1372" s="2569"/>
      <c r="G1372"/>
      <c r="H1372" s="4"/>
      <c r="I1372" s="1098"/>
      <c r="J1372" s="1119"/>
      <c r="K1372" s="762"/>
      <c r="L1372" s="28"/>
      <c r="M1372" s="765"/>
      <c r="N1372" s="765" t="s">
        <v>1550</v>
      </c>
      <c r="O1372" s="766"/>
      <c r="P1372" s="767"/>
      <c r="Q1372" s="1779" t="str">
        <f>CHOOSE(2, "6722000004290", "IIS Gross Profit MX Direct Product HW Others")</f>
        <v>IIS Gross Profit MX Direct Product HW Others</v>
      </c>
      <c r="R1372" s="1374">
        <v>0</v>
      </c>
      <c r="S1372" s="1374">
        <v>0</v>
      </c>
      <c r="T1372" s="1374">
        <v>0</v>
      </c>
      <c r="U1372" s="1374">
        <v>0</v>
      </c>
      <c r="V1372" s="1374">
        <v>0</v>
      </c>
      <c r="W1372" s="1374">
        <v>0</v>
      </c>
      <c r="X1372" s="1374">
        <v>0</v>
      </c>
      <c r="Y1372" s="1374">
        <v>0</v>
      </c>
      <c r="Z1372" s="1374">
        <v>0</v>
      </c>
      <c r="AA1372" s="1374">
        <v>0</v>
      </c>
      <c r="AB1372" s="1374">
        <v>0</v>
      </c>
      <c r="AC1372" s="1374">
        <v>0</v>
      </c>
      <c r="AD1372" s="771">
        <f>SUM(R1372,S1372,T1372)</f>
        <v>0</v>
      </c>
      <c r="AE1372" s="771">
        <f>SUM(U1372,V1372,W1372)</f>
        <v>0</v>
      </c>
      <c r="AF1372" s="771">
        <f>SUM(X1372,Y1372,Z1372)</f>
        <v>0</v>
      </c>
      <c r="AG1372" s="771">
        <f>SUM(AA1372,AB1372,AC1372)</f>
        <v>0</v>
      </c>
      <c r="AH1372" s="771">
        <f>AD1372+AE1372</f>
        <v>0</v>
      </c>
      <c r="AI1372" s="771">
        <f>AG1372+AF1372</f>
        <v>0</v>
      </c>
      <c r="AJ1372" s="771">
        <f>AH1372+AI1372</f>
        <v>0</v>
      </c>
    </row>
    <row r="1373" spans="1:36" ht="14.5">
      <c r="A1373" s="616">
        <v>1</v>
      </c>
      <c r="B1373" s="616">
        <v>1</v>
      </c>
      <c r="C1373" s="616" t="s">
        <v>1540</v>
      </c>
      <c r="D1373" s="709" t="s">
        <v>1308</v>
      </c>
      <c r="E1373" s="2568" t="s">
        <v>1370</v>
      </c>
      <c r="F1373" s="2569"/>
      <c r="G1373"/>
      <c r="H1373" s="4"/>
      <c r="I1373" s="1098"/>
      <c r="J1373" s="1119"/>
      <c r="K1373" s="762"/>
      <c r="L1373" s="28"/>
      <c r="M1373" s="12" t="s">
        <v>1490</v>
      </c>
      <c r="N1373" s="12"/>
      <c r="O1373" s="12"/>
      <c r="P1373" s="754"/>
      <c r="Q1373" s="1782" t="str">
        <f>CHOOSE(2, "6722000004291", "IIS Gross Profit MX Direct Product NH")</f>
        <v>IIS Gross Profit MX Direct Product NH</v>
      </c>
      <c r="R1373" s="1372">
        <f t="shared" ref="R1373:AJ1373" si="1837">R1374</f>
        <v>0</v>
      </c>
      <c r="S1373" s="1372">
        <f t="shared" si="1837"/>
        <v>0</v>
      </c>
      <c r="T1373" s="1372">
        <f t="shared" si="1837"/>
        <v>0</v>
      </c>
      <c r="U1373" s="1372">
        <f t="shared" si="1837"/>
        <v>0</v>
      </c>
      <c r="V1373" s="1372">
        <f t="shared" si="1837"/>
        <v>0</v>
      </c>
      <c r="W1373" s="1372">
        <f t="shared" si="1837"/>
        <v>0</v>
      </c>
      <c r="X1373" s="1372">
        <f t="shared" si="1837"/>
        <v>0</v>
      </c>
      <c r="Y1373" s="1372">
        <f t="shared" si="1837"/>
        <v>0</v>
      </c>
      <c r="Z1373" s="1372">
        <f t="shared" si="1837"/>
        <v>0</v>
      </c>
      <c r="AA1373" s="1372">
        <f t="shared" si="1837"/>
        <v>0</v>
      </c>
      <c r="AB1373" s="1372">
        <f t="shared" si="1837"/>
        <v>0</v>
      </c>
      <c r="AC1373" s="1372">
        <f t="shared" si="1837"/>
        <v>0</v>
      </c>
      <c r="AD1373" s="1372">
        <f t="shared" si="1837"/>
        <v>0</v>
      </c>
      <c r="AE1373" s="1372">
        <f t="shared" si="1837"/>
        <v>0</v>
      </c>
      <c r="AF1373" s="1372">
        <f t="shared" si="1837"/>
        <v>0</v>
      </c>
      <c r="AG1373" s="1372">
        <f t="shared" si="1837"/>
        <v>0</v>
      </c>
      <c r="AH1373" s="1372">
        <f t="shared" si="1837"/>
        <v>0</v>
      </c>
      <c r="AI1373" s="1372">
        <f t="shared" si="1837"/>
        <v>0</v>
      </c>
      <c r="AJ1373" s="1372">
        <f t="shared" si="1837"/>
        <v>0</v>
      </c>
    </row>
    <row r="1374" spans="1:36" ht="14.5">
      <c r="A1374" s="616">
        <v>1</v>
      </c>
      <c r="B1374" s="616">
        <v>1</v>
      </c>
      <c r="C1374" s="616" t="s">
        <v>1540</v>
      </c>
      <c r="D1374" s="709" t="s">
        <v>1308</v>
      </c>
      <c r="E1374" s="2568" t="s">
        <v>1370</v>
      </c>
      <c r="F1374" s="2569"/>
      <c r="G1374"/>
      <c r="H1374" s="4"/>
      <c r="I1374" s="1098"/>
      <c r="J1374" s="1119"/>
      <c r="K1374" s="762"/>
      <c r="L1374" s="765"/>
      <c r="M1374" s="765"/>
      <c r="N1374" s="765" t="s">
        <v>1645</v>
      </c>
      <c r="O1374" s="766"/>
      <c r="P1374" s="767"/>
      <c r="Q1374" s="1779" t="str">
        <f>CHOOSE(2, "6722000004292", "IIS Gross Profit MX Direct Product NH SW/Apps")</f>
        <v>IIS Gross Profit MX Direct Product NH SW/Apps</v>
      </c>
      <c r="R1374" s="1374">
        <v>0</v>
      </c>
      <c r="S1374" s="1374">
        <v>0</v>
      </c>
      <c r="T1374" s="1374">
        <v>0</v>
      </c>
      <c r="U1374" s="1374">
        <v>0</v>
      </c>
      <c r="V1374" s="1374">
        <v>0</v>
      </c>
      <c r="W1374" s="1374">
        <v>0</v>
      </c>
      <c r="X1374" s="1374">
        <v>0</v>
      </c>
      <c r="Y1374" s="1374">
        <v>0</v>
      </c>
      <c r="Z1374" s="1374">
        <v>0</v>
      </c>
      <c r="AA1374" s="1374">
        <v>0</v>
      </c>
      <c r="AB1374" s="1374">
        <v>0</v>
      </c>
      <c r="AC1374" s="1374">
        <v>0</v>
      </c>
      <c r="AD1374" s="771">
        <f>SUM(R1374,S1374,T1374)</f>
        <v>0</v>
      </c>
      <c r="AE1374" s="771">
        <f>SUM(U1374,V1374,W1374)</f>
        <v>0</v>
      </c>
      <c r="AF1374" s="771">
        <f>SUM(X1374,Y1374,Z1374)</f>
        <v>0</v>
      </c>
      <c r="AG1374" s="771">
        <f>SUM(AA1374,AB1374,AC1374)</f>
        <v>0</v>
      </c>
      <c r="AH1374" s="771">
        <f>AD1374+AE1374</f>
        <v>0</v>
      </c>
      <c r="AI1374" s="771">
        <f>AG1374+AF1374</f>
        <v>0</v>
      </c>
      <c r="AJ1374" s="771">
        <f>AH1374+AI1374</f>
        <v>0</v>
      </c>
    </row>
    <row r="1375" spans="1:36" ht="14.5">
      <c r="A1375" s="616">
        <v>1</v>
      </c>
      <c r="B1375" s="616">
        <v>1</v>
      </c>
      <c r="C1375" s="616" t="s">
        <v>1540</v>
      </c>
      <c r="D1375" s="709" t="s">
        <v>1308</v>
      </c>
      <c r="E1375" s="2568" t="s">
        <v>1370</v>
      </c>
      <c r="F1375" s="2569"/>
      <c r="G1375"/>
      <c r="H1375" s="4"/>
      <c r="I1375" s="1098"/>
      <c r="J1375" s="1119"/>
      <c r="K1375" s="762"/>
      <c r="L1375" s="12" t="s">
        <v>1646</v>
      </c>
      <c r="M1375" s="28"/>
      <c r="N1375" s="12"/>
      <c r="O1375" s="12"/>
      <c r="P1375" s="754"/>
      <c r="Q1375" s="1782" t="str">
        <f>CHOOSE(2, "6722000004293", "IIS Gross Profit MX Direct Service")</f>
        <v>IIS Gross Profit MX Direct Service</v>
      </c>
      <c r="R1375" s="1372">
        <f t="shared" ref="R1375" si="1838">SUM(R1376:R1377)</f>
        <v>0</v>
      </c>
      <c r="S1375" s="1372">
        <f t="shared" ref="S1375:AJ1375" si="1839">SUM(S1376:S1377)</f>
        <v>0</v>
      </c>
      <c r="T1375" s="1372">
        <f t="shared" si="1839"/>
        <v>0</v>
      </c>
      <c r="U1375" s="1372">
        <f t="shared" si="1839"/>
        <v>0</v>
      </c>
      <c r="V1375" s="1372">
        <f t="shared" si="1839"/>
        <v>0</v>
      </c>
      <c r="W1375" s="1372">
        <f t="shared" si="1839"/>
        <v>0</v>
      </c>
      <c r="X1375" s="1372">
        <f t="shared" si="1839"/>
        <v>0</v>
      </c>
      <c r="Y1375" s="1372">
        <f t="shared" si="1839"/>
        <v>0</v>
      </c>
      <c r="Z1375" s="1372">
        <f t="shared" si="1839"/>
        <v>0</v>
      </c>
      <c r="AA1375" s="1372">
        <f t="shared" si="1839"/>
        <v>0</v>
      </c>
      <c r="AB1375" s="1372">
        <f t="shared" si="1839"/>
        <v>0</v>
      </c>
      <c r="AC1375" s="1372">
        <f t="shared" si="1839"/>
        <v>0</v>
      </c>
      <c r="AD1375" s="1372">
        <f t="shared" si="1839"/>
        <v>0</v>
      </c>
      <c r="AE1375" s="1372">
        <f t="shared" si="1839"/>
        <v>0</v>
      </c>
      <c r="AF1375" s="1372">
        <f t="shared" si="1839"/>
        <v>0</v>
      </c>
      <c r="AG1375" s="1372">
        <f t="shared" si="1839"/>
        <v>0</v>
      </c>
      <c r="AH1375" s="1372">
        <f t="shared" si="1839"/>
        <v>0</v>
      </c>
      <c r="AI1375" s="1372">
        <f t="shared" si="1839"/>
        <v>0</v>
      </c>
      <c r="AJ1375" s="1372">
        <f t="shared" si="1839"/>
        <v>0</v>
      </c>
    </row>
    <row r="1376" spans="1:36" ht="14.5">
      <c r="A1376" s="616">
        <v>1</v>
      </c>
      <c r="B1376" s="616">
        <v>1</v>
      </c>
      <c r="C1376" s="616" t="s">
        <v>1540</v>
      </c>
      <c r="D1376" s="709" t="s">
        <v>1308</v>
      </c>
      <c r="E1376" s="2568" t="s">
        <v>1370</v>
      </c>
      <c r="F1376" s="2569"/>
      <c r="G1376"/>
      <c r="H1376" s="4"/>
      <c r="I1376" s="1098"/>
      <c r="J1376" s="1119"/>
      <c r="K1376" s="762"/>
      <c r="L1376" s="28"/>
      <c r="M1376" s="28" t="s">
        <v>1647</v>
      </c>
      <c r="N1376" s="12"/>
      <c r="O1376" s="12"/>
      <c r="P1376" s="754"/>
      <c r="Q1376" s="1779" t="str">
        <f>CHOOSE(2, "6722000004294", "IIS Gross Profit MX Direct Service Onetime")</f>
        <v>IIS Gross Profit MX Direct Service Onetime</v>
      </c>
      <c r="R1376" s="1373">
        <v>0</v>
      </c>
      <c r="S1376" s="1373">
        <v>0</v>
      </c>
      <c r="T1376" s="1373">
        <v>0</v>
      </c>
      <c r="U1376" s="1373">
        <v>0</v>
      </c>
      <c r="V1376" s="1373">
        <v>0</v>
      </c>
      <c r="W1376" s="1373">
        <v>0</v>
      </c>
      <c r="X1376" s="1373">
        <v>0</v>
      </c>
      <c r="Y1376" s="1373">
        <v>0</v>
      </c>
      <c r="Z1376" s="1373">
        <v>0</v>
      </c>
      <c r="AA1376" s="1373">
        <v>0</v>
      </c>
      <c r="AB1376" s="1373">
        <v>0</v>
      </c>
      <c r="AC1376" s="1373">
        <v>0</v>
      </c>
      <c r="AD1376" s="1372">
        <f>SUM(R1376,S1376,T1376)</f>
        <v>0</v>
      </c>
      <c r="AE1376" s="1372">
        <f>SUM(U1376,V1376,W1376)</f>
        <v>0</v>
      </c>
      <c r="AF1376" s="1372">
        <f>SUM(X1376,Y1376,Z1376)</f>
        <v>0</v>
      </c>
      <c r="AG1376" s="1372">
        <f>SUM(AA1376,AB1376,AC1376)</f>
        <v>0</v>
      </c>
      <c r="AH1376" s="1372">
        <f>AD1376+AE1376</f>
        <v>0</v>
      </c>
      <c r="AI1376" s="1372">
        <f>AG1376+AF1376</f>
        <v>0</v>
      </c>
      <c r="AJ1376" s="1372">
        <f>AH1376+AI1376</f>
        <v>0</v>
      </c>
    </row>
    <row r="1377" spans="1:36" ht="14.5">
      <c r="A1377" s="616">
        <v>1</v>
      </c>
      <c r="B1377" s="616">
        <v>1</v>
      </c>
      <c r="C1377" s="616" t="s">
        <v>1540</v>
      </c>
      <c r="D1377" s="709" t="s">
        <v>1308</v>
      </c>
      <c r="E1377" s="2568" t="s">
        <v>1370</v>
      </c>
      <c r="F1377" s="2569"/>
      <c r="G1377"/>
      <c r="H1377" s="4"/>
      <c r="I1377" s="1098"/>
      <c r="J1377" s="1119"/>
      <c r="K1377" s="763"/>
      <c r="L1377" s="757"/>
      <c r="M1377" s="757" t="s">
        <v>1648</v>
      </c>
      <c r="N1377" s="755"/>
      <c r="O1377" s="755"/>
      <c r="P1377" s="756"/>
      <c r="Q1377" s="1779" t="str">
        <f>CHOOSE(2, "6722000004295", "IIS Gross Profit MX Direct Service Recurring")</f>
        <v>IIS Gross Profit MX Direct Service Recurring</v>
      </c>
      <c r="R1377" s="1375">
        <v>0</v>
      </c>
      <c r="S1377" s="1375">
        <v>0</v>
      </c>
      <c r="T1377" s="1375">
        <v>0</v>
      </c>
      <c r="U1377" s="1375">
        <v>0</v>
      </c>
      <c r="V1377" s="1375">
        <v>0</v>
      </c>
      <c r="W1377" s="1375">
        <v>0</v>
      </c>
      <c r="X1377" s="1375">
        <v>0</v>
      </c>
      <c r="Y1377" s="1375">
        <v>0</v>
      </c>
      <c r="Z1377" s="1375">
        <v>0</v>
      </c>
      <c r="AA1377" s="1375">
        <v>0</v>
      </c>
      <c r="AB1377" s="1375">
        <v>0</v>
      </c>
      <c r="AC1377" s="1375">
        <v>0</v>
      </c>
      <c r="AD1377" s="772">
        <f>SUM(R1377,S1377,T1377)</f>
        <v>0</v>
      </c>
      <c r="AE1377" s="772">
        <f>SUM(U1377,V1377,W1377)</f>
        <v>0</v>
      </c>
      <c r="AF1377" s="772">
        <f>SUM(X1377,Y1377,Z1377)</f>
        <v>0</v>
      </c>
      <c r="AG1377" s="772">
        <f>SUM(AA1377,AB1377,AC1377)</f>
        <v>0</v>
      </c>
      <c r="AH1377" s="772">
        <f>AD1377+AE1377</f>
        <v>0</v>
      </c>
      <c r="AI1377" s="772">
        <f>AG1377+AF1377</f>
        <v>0</v>
      </c>
      <c r="AJ1377" s="772">
        <f>AH1377+AI1377</f>
        <v>0</v>
      </c>
    </row>
    <row r="1378" spans="1:36" ht="14.5">
      <c r="A1378" s="616">
        <v>1</v>
      </c>
      <c r="B1378" s="616">
        <v>1</v>
      </c>
      <c r="C1378" s="616" t="s">
        <v>1540</v>
      </c>
      <c r="D1378" s="709" t="s">
        <v>1308</v>
      </c>
      <c r="E1378" s="2568" t="s">
        <v>1370</v>
      </c>
      <c r="F1378" s="2569"/>
      <c r="G1378"/>
      <c r="H1378" s="4"/>
      <c r="I1378" s="1098"/>
      <c r="J1378" s="1120"/>
      <c r="K1378" s="2206" t="s">
        <v>1649</v>
      </c>
      <c r="L1378" s="2207"/>
      <c r="M1378" s="2207"/>
      <c r="N1378" s="2208"/>
      <c r="O1378" s="2208"/>
      <c r="P1378" s="2488"/>
      <c r="Q1378" s="1779" t="str">
        <f>CHOOSE(2, "6722000004296", "IIS Gross Profit MX Indirect")</f>
        <v>IIS Gross Profit MX Indirect</v>
      </c>
      <c r="R1378" s="1376">
        <v>39</v>
      </c>
      <c r="S1378" s="1376">
        <v>275</v>
      </c>
      <c r="T1378" s="1376">
        <v>-17</v>
      </c>
      <c r="U1378" s="1376">
        <v>178</v>
      </c>
      <c r="V1378" s="1376">
        <v>242</v>
      </c>
      <c r="W1378" s="1376">
        <v>576</v>
      </c>
      <c r="X1378" s="1376">
        <v>-10</v>
      </c>
      <c r="Y1378" s="1376">
        <v>207</v>
      </c>
      <c r="Z1378" s="1376">
        <v>358</v>
      </c>
      <c r="AA1378" s="1376">
        <v>-1392</v>
      </c>
      <c r="AB1378" s="1376">
        <v>77</v>
      </c>
      <c r="AC1378" s="1376">
        <v>-839</v>
      </c>
      <c r="AD1378" s="3421">
        <f>SUM(R1378,S1378,T1378)</f>
        <v>297</v>
      </c>
      <c r="AE1378" s="3421">
        <f>SUM(U1378,V1378,W1378)</f>
        <v>996</v>
      </c>
      <c r="AF1378" s="3421">
        <f>SUM(X1378,Y1378,Z1378)</f>
        <v>555</v>
      </c>
      <c r="AG1378" s="3421">
        <f>SUM(AA1378,AB1378,AC1378)</f>
        <v>-2154</v>
      </c>
      <c r="AH1378" s="3421">
        <f>AD1378+AE1378</f>
        <v>1293</v>
      </c>
      <c r="AI1378" s="3421">
        <f>AG1378+AF1378</f>
        <v>-1599</v>
      </c>
      <c r="AJ1378" s="3421">
        <f>AH1378+AI1378</f>
        <v>-306</v>
      </c>
    </row>
    <row r="1379" spans="1:36" ht="14.5">
      <c r="A1379" s="616">
        <v>1</v>
      </c>
      <c r="B1379" s="616">
        <v>1</v>
      </c>
      <c r="C1379" s="616" t="s">
        <v>1540</v>
      </c>
      <c r="D1379" s="709" t="s">
        <v>1308</v>
      </c>
      <c r="E1379" s="2568" t="s">
        <v>1370</v>
      </c>
      <c r="F1379" s="2569"/>
      <c r="G1379"/>
      <c r="H1379" s="4"/>
      <c r="I1379" s="1098"/>
      <c r="J1379" s="2491" t="s">
        <v>1650</v>
      </c>
      <c r="K1379" s="1120"/>
      <c r="L1379" s="1120"/>
      <c r="M1379" s="1120"/>
      <c r="N1379" s="1117"/>
      <c r="O1379" s="1117"/>
      <c r="P1379" s="1118"/>
      <c r="Q1379" s="1848" t="str">
        <f>CHOOSE(2, "6722000004297", "IIS Gross Profit DM")</f>
        <v>IIS Gross Profit DM</v>
      </c>
      <c r="R1379" s="1463">
        <v>0</v>
      </c>
      <c r="S1379" s="1463">
        <v>0</v>
      </c>
      <c r="T1379" s="1463">
        <v>0</v>
      </c>
      <c r="U1379" s="1463">
        <v>0</v>
      </c>
      <c r="V1379" s="1463">
        <v>0</v>
      </c>
      <c r="W1379" s="1463">
        <v>0</v>
      </c>
      <c r="X1379" s="1463">
        <v>0</v>
      </c>
      <c r="Y1379" s="1463">
        <v>0</v>
      </c>
      <c r="Z1379" s="1463">
        <v>0</v>
      </c>
      <c r="AA1379" s="1463">
        <v>0</v>
      </c>
      <c r="AB1379" s="1463">
        <v>0</v>
      </c>
      <c r="AC1379" s="1463">
        <v>0</v>
      </c>
      <c r="AD1379" s="1463">
        <f>SUM(R1379,S1379,T1379)</f>
        <v>0</v>
      </c>
      <c r="AE1379" s="1463">
        <f>SUM(U1379,V1379,W1379)</f>
        <v>0</v>
      </c>
      <c r="AF1379" s="1463">
        <f>SUM(X1379,Y1379,Z1379)</f>
        <v>0</v>
      </c>
      <c r="AG1379" s="1463">
        <f>SUM(AA1379,AB1379,AC1379)</f>
        <v>0</v>
      </c>
      <c r="AH1379" s="1463">
        <f>AD1379+AE1379</f>
        <v>0</v>
      </c>
      <c r="AI1379" s="1463">
        <f>AG1379+AF1379</f>
        <v>0</v>
      </c>
      <c r="AJ1379" s="1463">
        <f>AH1379+AI1379</f>
        <v>0</v>
      </c>
    </row>
    <row r="1380" spans="1:36" ht="14.5">
      <c r="A1380" s="616">
        <v>1</v>
      </c>
      <c r="B1380" s="616">
        <v>1</v>
      </c>
      <c r="C1380" s="616" t="s">
        <v>1540</v>
      </c>
      <c r="D1380" s="709" t="s">
        <v>1308</v>
      </c>
      <c r="E1380" s="2568" t="s">
        <v>1370</v>
      </c>
      <c r="F1380" s="2569"/>
      <c r="G1380"/>
      <c r="H1380" s="4"/>
      <c r="I1380" s="1098"/>
      <c r="J1380" s="1116" t="s">
        <v>1651</v>
      </c>
      <c r="K1380" s="1119"/>
      <c r="L1380" s="1119"/>
      <c r="M1380" s="1119"/>
      <c r="N1380" s="1116"/>
      <c r="O1380" s="1116"/>
      <c r="P1380" s="1122"/>
      <c r="Q1380" s="1848" t="str">
        <f>CHOOSE(2, "6722000004298", "IIS Gross Profit Gas")</f>
        <v>IIS Gross Profit Gas</v>
      </c>
      <c r="R1380" s="1464">
        <v>0</v>
      </c>
      <c r="S1380" s="1464">
        <v>0</v>
      </c>
      <c r="T1380" s="1464">
        <v>0</v>
      </c>
      <c r="U1380" s="1464">
        <v>0</v>
      </c>
      <c r="V1380" s="1464">
        <v>0</v>
      </c>
      <c r="W1380" s="1464">
        <v>0</v>
      </c>
      <c r="X1380" s="1464">
        <v>0</v>
      </c>
      <c r="Y1380" s="1464">
        <v>0</v>
      </c>
      <c r="Z1380" s="1464">
        <v>0</v>
      </c>
      <c r="AA1380" s="1464">
        <v>0</v>
      </c>
      <c r="AB1380" s="1464">
        <v>0</v>
      </c>
      <c r="AC1380" s="1464">
        <v>0</v>
      </c>
      <c r="AD1380" s="1464">
        <f>SUM(R1380,S1380,T1380)</f>
        <v>0</v>
      </c>
      <c r="AE1380" s="1464">
        <f>SUM(U1380,V1380,W1380)</f>
        <v>0</v>
      </c>
      <c r="AF1380" s="1464">
        <f>SUM(X1380,Y1380,Z1380)</f>
        <v>0</v>
      </c>
      <c r="AG1380" s="1464">
        <f>SUM(AA1380,AB1380,AC1380)</f>
        <v>0</v>
      </c>
      <c r="AH1380" s="1464">
        <f>AD1380+AE1380</f>
        <v>0</v>
      </c>
      <c r="AI1380" s="1464">
        <f>AG1380+AF1380</f>
        <v>0</v>
      </c>
      <c r="AJ1380" s="1464">
        <f>AH1380+AI1380</f>
        <v>0</v>
      </c>
    </row>
    <row r="1381" spans="1:36" ht="14.5">
      <c r="A1381" s="616">
        <v>1</v>
      </c>
      <c r="B1381" s="616">
        <v>1</v>
      </c>
      <c r="C1381" s="616" t="s">
        <v>1540</v>
      </c>
      <c r="D1381" s="709" t="s">
        <v>1308</v>
      </c>
      <c r="E1381" s="2568" t="s">
        <v>1370</v>
      </c>
      <c r="F1381" s="2569"/>
      <c r="G1381"/>
      <c r="H1381" s="4"/>
      <c r="I1381" s="1109"/>
      <c r="J1381" s="3" t="s">
        <v>1328</v>
      </c>
      <c r="K1381" s="4"/>
      <c r="L1381" s="4"/>
      <c r="M1381" s="4"/>
      <c r="N1381" s="4"/>
      <c r="O1381" s="4"/>
      <c r="P1381" s="79"/>
      <c r="Q1381" s="1785" t="str">
        <f>CHOOSE(2, "6722000004299", "IIS Gross Profit (%)")</f>
        <v>IIS Gross Profit (%)</v>
      </c>
      <c r="R1381" s="1223">
        <f t="shared" ref="R1381:AJ1381" si="1840">IFERROR(R1366/R1336,0)</f>
        <v>0.16738197424892703</v>
      </c>
      <c r="S1381" s="1223">
        <f t="shared" si="1840"/>
        <v>0.22467320261437909</v>
      </c>
      <c r="T1381" s="1223">
        <f t="shared" si="1840"/>
        <v>0</v>
      </c>
      <c r="U1381" s="1223">
        <f t="shared" si="1840"/>
        <v>0.19411123227917121</v>
      </c>
      <c r="V1381" s="1223">
        <f t="shared" si="1840"/>
        <v>0.30936757342046761</v>
      </c>
      <c r="W1381" s="1223">
        <f t="shared" si="1840"/>
        <v>0.3145821955215729</v>
      </c>
      <c r="X1381" s="1223">
        <f t="shared" si="1840"/>
        <v>0</v>
      </c>
      <c r="Y1381" s="1223">
        <f t="shared" si="1840"/>
        <v>0.26572528883183566</v>
      </c>
      <c r="Z1381" s="1223">
        <f t="shared" si="1840"/>
        <v>0.11941294196130754</v>
      </c>
      <c r="AA1381" s="1223">
        <f t="shared" si="1840"/>
        <v>-0.82123893805309733</v>
      </c>
      <c r="AB1381" s="1223">
        <f t="shared" si="1840"/>
        <v>5.9322033898305086E-2</v>
      </c>
      <c r="AC1381" s="1223">
        <f t="shared" si="1840"/>
        <v>-0.28654371584699456</v>
      </c>
      <c r="AD1381" s="1223">
        <f t="shared" si="1840"/>
        <v>0.20384351407000686</v>
      </c>
      <c r="AE1381" s="1223">
        <f t="shared" si="1840"/>
        <v>0.28213371268420484</v>
      </c>
      <c r="AF1381" s="1223">
        <f t="shared" si="1840"/>
        <v>0.14694201747418587</v>
      </c>
      <c r="AG1381" s="1223">
        <f t="shared" si="1840"/>
        <v>-0.36378990035466979</v>
      </c>
      <c r="AH1381" s="1223">
        <f t="shared" si="1840"/>
        <v>0.25926158370930941</v>
      </c>
      <c r="AI1381" s="1223">
        <f t="shared" si="1840"/>
        <v>-0.16487935656836461</v>
      </c>
      <c r="AJ1381" s="1223">
        <f t="shared" si="1840"/>
        <v>-2.0837247410512363E-2</v>
      </c>
    </row>
    <row r="1382" spans="1:36" ht="14.5">
      <c r="A1382" s="616">
        <v>1</v>
      </c>
      <c r="B1382" s="616">
        <v>1</v>
      </c>
      <c r="C1382" s="616" t="s">
        <v>1540</v>
      </c>
      <c r="D1382" s="709" t="s">
        <v>1308</v>
      </c>
      <c r="E1382" s="2568" t="s">
        <v>1370</v>
      </c>
      <c r="F1382" s="2569"/>
      <c r="G1382"/>
      <c r="H1382" s="4"/>
      <c r="I1382" s="1098" t="s">
        <v>29</v>
      </c>
      <c r="J1382" s="1099"/>
      <c r="K1382" s="1100"/>
      <c r="L1382" s="1100"/>
      <c r="M1382" s="1100"/>
      <c r="N1382" s="1100"/>
      <c r="O1382" s="1100"/>
      <c r="P1382" s="1101"/>
      <c r="Q1382" s="1846" t="str">
        <f>CHOOSE(2, "6722000004300", "IIS SGA Expenses")</f>
        <v>IIS SGA Expenses</v>
      </c>
      <c r="R1382" s="1461">
        <f t="shared" ref="R1382" si="1841">SUM(R1383:R1385)</f>
        <v>717</v>
      </c>
      <c r="S1382" s="1461">
        <f t="shared" ref="S1382:AJ1382" si="1842">SUM(S1383:S1385)</f>
        <v>613.00447890376654</v>
      </c>
      <c r="T1382" s="1461">
        <f t="shared" si="1842"/>
        <v>640.1846188167226</v>
      </c>
      <c r="U1382" s="1461">
        <f t="shared" si="1842"/>
        <v>546.32802966535849</v>
      </c>
      <c r="V1382" s="1461">
        <f t="shared" si="1842"/>
        <v>616.97069671144641</v>
      </c>
      <c r="W1382" s="1461">
        <f t="shared" si="1842"/>
        <v>756.41316703478356</v>
      </c>
      <c r="X1382" s="1461">
        <f t="shared" si="1842"/>
        <v>622.3089774279531</v>
      </c>
      <c r="Y1382" s="1461">
        <f t="shared" si="1842"/>
        <v>767.17063816221389</v>
      </c>
      <c r="Z1382" s="1461">
        <f t="shared" si="1842"/>
        <v>809.77798160526891</v>
      </c>
      <c r="AA1382" s="1461">
        <f t="shared" si="1842"/>
        <v>568.90979000000004</v>
      </c>
      <c r="AB1382" s="1461">
        <f t="shared" si="1842"/>
        <v>498.80925999999999</v>
      </c>
      <c r="AC1382" s="1461">
        <f t="shared" si="1842"/>
        <v>513.80925999999999</v>
      </c>
      <c r="AD1382" s="1461">
        <f t="shared" si="1842"/>
        <v>1970.1890977204889</v>
      </c>
      <c r="AE1382" s="1461">
        <f t="shared" si="1842"/>
        <v>1919.7118934115883</v>
      </c>
      <c r="AF1382" s="1461">
        <f t="shared" si="1842"/>
        <v>2199.2575971954357</v>
      </c>
      <c r="AG1382" s="1461">
        <f t="shared" si="1842"/>
        <v>1581.5283100000001</v>
      </c>
      <c r="AH1382" s="1461">
        <f t="shared" si="1842"/>
        <v>3889.9009911320773</v>
      </c>
      <c r="AI1382" s="1461">
        <f t="shared" si="1842"/>
        <v>3780.7859071954358</v>
      </c>
      <c r="AJ1382" s="1461">
        <f t="shared" si="1842"/>
        <v>7670.6868983275135</v>
      </c>
    </row>
    <row r="1383" spans="1:36" ht="14.5">
      <c r="A1383" s="616">
        <v>1</v>
      </c>
      <c r="B1383" s="616">
        <v>1</v>
      </c>
      <c r="C1383" s="616" t="s">
        <v>1540</v>
      </c>
      <c r="D1383" s="709" t="s">
        <v>1308</v>
      </c>
      <c r="E1383" s="2568" t="s">
        <v>1370</v>
      </c>
      <c r="F1383" s="2569"/>
      <c r="G1383"/>
      <c r="H1383" s="4"/>
      <c r="I1383" s="27"/>
      <c r="J1383" s="36" t="s">
        <v>1329</v>
      </c>
      <c r="K1383" s="4"/>
      <c r="L1383" s="4"/>
      <c r="M1383" s="3"/>
      <c r="N1383" s="3"/>
      <c r="O1383" s="3"/>
      <c r="P1383" s="26"/>
      <c r="Q1383" s="1790" t="str">
        <f>CHOOSE(2, "6722000004301", "IIS SGA Expenses Variable Expenses")</f>
        <v>IIS SGA Expenses Variable Expenses</v>
      </c>
      <c r="R1383" s="1222">
        <v>0</v>
      </c>
      <c r="S1383" s="1222">
        <v>0</v>
      </c>
      <c r="T1383" s="1222">
        <v>0</v>
      </c>
      <c r="U1383" s="1222">
        <v>0</v>
      </c>
      <c r="V1383" s="1222">
        <v>0</v>
      </c>
      <c r="W1383" s="1222">
        <v>0</v>
      </c>
      <c r="X1383" s="1222">
        <v>0</v>
      </c>
      <c r="Y1383" s="1222">
        <v>0</v>
      </c>
      <c r="Z1383" s="1222">
        <v>0</v>
      </c>
      <c r="AA1383" s="1222">
        <v>0</v>
      </c>
      <c r="AB1383" s="1222">
        <v>0</v>
      </c>
      <c r="AC1383" s="1222">
        <v>0</v>
      </c>
      <c r="AD1383" s="1221">
        <f>SUM(R1383:T1383)</f>
        <v>0</v>
      </c>
      <c r="AE1383" s="1221">
        <f>SUM(U1383:W1383)</f>
        <v>0</v>
      </c>
      <c r="AF1383" s="1221">
        <f>SUM(X1383:Z1383)</f>
        <v>0</v>
      </c>
      <c r="AG1383" s="1221">
        <f>SUM(AA1383:AC1383)</f>
        <v>0</v>
      </c>
      <c r="AH1383" s="1221">
        <f>AD1383+AE1383</f>
        <v>0</v>
      </c>
      <c r="AI1383" s="1221">
        <f>AG1383+AF1383</f>
        <v>0</v>
      </c>
      <c r="AJ1383" s="1221">
        <f>AH1383+AI1383</f>
        <v>0</v>
      </c>
    </row>
    <row r="1384" spans="1:36" ht="14.5">
      <c r="A1384" s="616">
        <v>1</v>
      </c>
      <c r="B1384" s="616">
        <v>1</v>
      </c>
      <c r="C1384" s="616" t="s">
        <v>1540</v>
      </c>
      <c r="D1384" s="709" t="s">
        <v>1308</v>
      </c>
      <c r="E1384" s="2568" t="s">
        <v>1370</v>
      </c>
      <c r="F1384" s="2569"/>
      <c r="G1384"/>
      <c r="H1384" s="4"/>
      <c r="I1384" s="27"/>
      <c r="J1384" s="36" t="s">
        <v>1330</v>
      </c>
      <c r="K1384" s="4"/>
      <c r="L1384" s="4"/>
      <c r="M1384" s="3"/>
      <c r="N1384" s="3"/>
      <c r="O1384" s="3"/>
      <c r="P1384" s="26"/>
      <c r="Q1384" s="1790" t="str">
        <f>CHOOSE(2, "6722000004302", "IIS SGA Expenses Wages &amp; Salaries")</f>
        <v>IIS SGA Expenses Wages &amp; Salaries</v>
      </c>
      <c r="R1384" s="1222">
        <v>692</v>
      </c>
      <c r="S1384" s="1222">
        <v>587</v>
      </c>
      <c r="T1384" s="1222">
        <v>567.34832884789296</v>
      </c>
      <c r="U1384" s="1222">
        <v>502.73892454735773</v>
      </c>
      <c r="V1384" s="1222">
        <v>542.99</v>
      </c>
      <c r="W1384" s="1222">
        <v>715.43376092914002</v>
      </c>
      <c r="X1384" s="1222">
        <v>673.61881119999998</v>
      </c>
      <c r="Y1384" s="1222">
        <v>744.59921270766847</v>
      </c>
      <c r="Z1384" s="1222">
        <v>786.77798160526891</v>
      </c>
      <c r="AA1384" s="1222">
        <v>545.90979000000004</v>
      </c>
      <c r="AB1384" s="1222">
        <v>474.80925999999999</v>
      </c>
      <c r="AC1384" s="1222">
        <v>474.80925999999999</v>
      </c>
      <c r="AD1384" s="1221">
        <f>SUM(R1384:T1384)</f>
        <v>1846.3483288478928</v>
      </c>
      <c r="AE1384" s="1221">
        <f>SUM(U1384:W1384)</f>
        <v>1761.1626854764977</v>
      </c>
      <c r="AF1384" s="1221">
        <f>SUM(X1384:Z1384)</f>
        <v>2204.9960055129372</v>
      </c>
      <c r="AG1384" s="1221">
        <f>SUM(AA1384:AC1384)</f>
        <v>1495.5283100000001</v>
      </c>
      <c r="AH1384" s="1221">
        <f>AD1384+AE1384</f>
        <v>3607.5110143243905</v>
      </c>
      <c r="AI1384" s="1221">
        <f>AG1384+AF1384</f>
        <v>3700.5243155129374</v>
      </c>
      <c r="AJ1384" s="1221">
        <f>AH1384+AI1384</f>
        <v>7308.0353298373284</v>
      </c>
    </row>
    <row r="1385" spans="1:36" ht="14.5">
      <c r="A1385" s="616">
        <v>1</v>
      </c>
      <c r="B1385" s="616">
        <v>1</v>
      </c>
      <c r="C1385" s="616" t="s">
        <v>1540</v>
      </c>
      <c r="D1385" s="709" t="s">
        <v>1308</v>
      </c>
      <c r="E1385" s="2568" t="s">
        <v>1370</v>
      </c>
      <c r="F1385" s="2569"/>
      <c r="G1385"/>
      <c r="H1385" s="4"/>
      <c r="I1385" s="27"/>
      <c r="J1385" s="36" t="s">
        <v>1331</v>
      </c>
      <c r="K1385" s="48"/>
      <c r="L1385" s="48"/>
      <c r="M1385" s="47"/>
      <c r="N1385" s="47"/>
      <c r="O1385" s="47"/>
      <c r="P1385" s="46"/>
      <c r="Q1385" s="1790" t="str">
        <f>CHOOSE(2, "6722000004303", "IIS SGA Expenses Fixed Expenses")</f>
        <v>IIS SGA Expenses Fixed Expenses</v>
      </c>
      <c r="R1385" s="1231">
        <v>25</v>
      </c>
      <c r="S1385" s="1231">
        <v>26.00447890376654</v>
      </c>
      <c r="T1385" s="1231">
        <v>72.836289968829632</v>
      </c>
      <c r="U1385" s="1231">
        <v>43.589105118000731</v>
      </c>
      <c r="V1385" s="1231">
        <v>73.980696711446456</v>
      </c>
      <c r="W1385" s="1231">
        <v>40.979406105643534</v>
      </c>
      <c r="X1385" s="1231">
        <v>-51.309833772046943</v>
      </c>
      <c r="Y1385" s="1231">
        <v>22.571425454545452</v>
      </c>
      <c r="Z1385" s="1231">
        <v>23</v>
      </c>
      <c r="AA1385" s="1231">
        <v>23</v>
      </c>
      <c r="AB1385" s="1231">
        <v>24</v>
      </c>
      <c r="AC1385" s="1231">
        <v>39</v>
      </c>
      <c r="AD1385" s="1230">
        <f>SUM(R1385:T1385)</f>
        <v>123.84076887259617</v>
      </c>
      <c r="AE1385" s="1230">
        <f>SUM(U1385:W1385)</f>
        <v>158.54920793509072</v>
      </c>
      <c r="AF1385" s="1230">
        <f>SUM(X1385:Z1385)</f>
        <v>-5.7384083175014915</v>
      </c>
      <c r="AG1385" s="1230">
        <f>SUM(AA1385:AC1385)</f>
        <v>86</v>
      </c>
      <c r="AH1385" s="1230">
        <f>AD1385+AE1385</f>
        <v>282.38997680768688</v>
      </c>
      <c r="AI1385" s="1230">
        <f>AG1385+AF1385</f>
        <v>80.261591682498505</v>
      </c>
      <c r="AJ1385" s="1230">
        <f>AH1385+AI1385</f>
        <v>362.65156849018535</v>
      </c>
    </row>
    <row r="1386" spans="1:36" ht="14.5">
      <c r="A1386" s="616">
        <v>1</v>
      </c>
      <c r="B1386" s="616">
        <v>1</v>
      </c>
      <c r="C1386" s="616" t="s">
        <v>1540</v>
      </c>
      <c r="D1386" s="709" t="s">
        <v>1308</v>
      </c>
      <c r="E1386" s="2568" t="s">
        <v>1370</v>
      </c>
      <c r="F1386" s="2569"/>
      <c r="G1386"/>
      <c r="H1386" s="4"/>
      <c r="I1386" s="3417" t="s">
        <v>56</v>
      </c>
      <c r="J1386" s="1103"/>
      <c r="K1386" s="1104"/>
      <c r="L1386" s="1104"/>
      <c r="M1386" s="1104"/>
      <c r="N1386" s="1104"/>
      <c r="O1386" s="1104"/>
      <c r="P1386" s="3418"/>
      <c r="Q1386" s="1774" t="str">
        <f>CHOOSE(2, "6722000004304", "IIS Business Contribution Profit")</f>
        <v>IIS Business Contribution Profit</v>
      </c>
      <c r="R1386" s="3053">
        <f t="shared" ref="R1386:AJ1386" si="1843">R1366-R1382</f>
        <v>-678</v>
      </c>
      <c r="S1386" s="3053">
        <f t="shared" si="1843"/>
        <v>-338.00447890376654</v>
      </c>
      <c r="T1386" s="3053">
        <f t="shared" si="1843"/>
        <v>-657.1846188167226</v>
      </c>
      <c r="U1386" s="3053">
        <f t="shared" si="1843"/>
        <v>-368.32802966535849</v>
      </c>
      <c r="V1386" s="3053">
        <f t="shared" si="1843"/>
        <v>-374.97069671144641</v>
      </c>
      <c r="W1386" s="3053">
        <f t="shared" si="1843"/>
        <v>-180.41316703478356</v>
      </c>
      <c r="X1386" s="3053">
        <f t="shared" si="1843"/>
        <v>-632.3089774279531</v>
      </c>
      <c r="Y1386" s="3053">
        <f t="shared" si="1843"/>
        <v>-560.17063816221389</v>
      </c>
      <c r="Z1386" s="3053">
        <f t="shared" si="1843"/>
        <v>-451.77798160526891</v>
      </c>
      <c r="AA1386" s="3053">
        <f t="shared" si="1843"/>
        <v>-1960.9097900000002</v>
      </c>
      <c r="AB1386" s="3053">
        <f t="shared" si="1843"/>
        <v>-421.80925999999999</v>
      </c>
      <c r="AC1386" s="3053">
        <f t="shared" si="1843"/>
        <v>-1352.80926</v>
      </c>
      <c r="AD1386" s="3053">
        <f t="shared" si="1843"/>
        <v>-1673.1890977204889</v>
      </c>
      <c r="AE1386" s="3053">
        <f t="shared" si="1843"/>
        <v>-923.71189341158833</v>
      </c>
      <c r="AF1386" s="3053">
        <f t="shared" si="1843"/>
        <v>-1644.2575971954357</v>
      </c>
      <c r="AG1386" s="3053">
        <f t="shared" si="1843"/>
        <v>-3735.5283100000001</v>
      </c>
      <c r="AH1386" s="3053">
        <f t="shared" si="1843"/>
        <v>-2596.9009911320773</v>
      </c>
      <c r="AI1386" s="3053">
        <f t="shared" si="1843"/>
        <v>-5379.7859071954354</v>
      </c>
      <c r="AJ1386" s="3053">
        <f t="shared" si="1843"/>
        <v>-7976.6868983275135</v>
      </c>
    </row>
    <row r="1387" spans="1:36" ht="14.5">
      <c r="A1387" s="616">
        <v>1</v>
      </c>
      <c r="B1387" s="616">
        <v>1</v>
      </c>
      <c r="C1387" s="616" t="s">
        <v>1540</v>
      </c>
      <c r="D1387" s="709" t="s">
        <v>1308</v>
      </c>
      <c r="E1387" s="2568" t="s">
        <v>1370</v>
      </c>
      <c r="F1387" s="2569"/>
      <c r="G1387"/>
      <c r="H1387" s="4"/>
      <c r="I1387" s="25"/>
      <c r="J1387" s="1" t="s">
        <v>55</v>
      </c>
      <c r="K1387" s="2"/>
      <c r="L1387" s="2"/>
      <c r="M1387" s="1"/>
      <c r="N1387" s="1"/>
      <c r="O1387" s="1"/>
      <c r="P1387" s="24"/>
      <c r="Q1387" s="1792" t="str">
        <f>CHOOSE(2, "6722000004305", "IIS Business Contribution Profit (%)")</f>
        <v>IIS Business Contribution Profit (%)</v>
      </c>
      <c r="R1387" s="1229">
        <f t="shared" ref="R1387:AJ1387" si="1844">IFERROR(R1386/R1336,0)</f>
        <v>-2.9098712446351933</v>
      </c>
      <c r="S1387" s="1229">
        <f t="shared" si="1844"/>
        <v>-0.27614745008477659</v>
      </c>
      <c r="T1387" s="1229">
        <f t="shared" si="1844"/>
        <v>0</v>
      </c>
      <c r="U1387" s="1229">
        <f t="shared" si="1844"/>
        <v>-0.40166633551293185</v>
      </c>
      <c r="V1387" s="1229">
        <f t="shared" si="1844"/>
        <v>-0.47935444027025742</v>
      </c>
      <c r="W1387" s="1229">
        <f t="shared" si="1844"/>
        <v>-9.8532587129865401E-2</v>
      </c>
      <c r="X1387" s="1229">
        <f t="shared" si="1844"/>
        <v>0</v>
      </c>
      <c r="Y1387" s="1229">
        <f t="shared" si="1844"/>
        <v>-0.71908939430322705</v>
      </c>
      <c r="Z1387" s="1229">
        <f t="shared" si="1844"/>
        <v>-0.15069312261683418</v>
      </c>
      <c r="AA1387" s="1229">
        <f t="shared" si="1844"/>
        <v>-1.1568789321533923</v>
      </c>
      <c r="AB1387" s="1229">
        <f t="shared" si="1844"/>
        <v>-0.32496861325115561</v>
      </c>
      <c r="AC1387" s="1229">
        <f t="shared" si="1844"/>
        <v>-0.46202502049180327</v>
      </c>
      <c r="AD1387" s="1229">
        <f t="shared" si="1844"/>
        <v>-1.1483796140840692</v>
      </c>
      <c r="AE1387" s="1229">
        <f t="shared" si="1844"/>
        <v>-0.26165689351281918</v>
      </c>
      <c r="AF1387" s="1229">
        <f t="shared" si="1844"/>
        <v>-0.43533428572820643</v>
      </c>
      <c r="AG1387" s="1229">
        <f t="shared" si="1844"/>
        <v>-0.63089483364296572</v>
      </c>
      <c r="AH1387" s="1229">
        <f t="shared" si="1844"/>
        <v>-0.5207089433079487</v>
      </c>
      <c r="AI1387" s="1229">
        <f t="shared" si="1844"/>
        <v>-0.55473148145962414</v>
      </c>
      <c r="AJ1387" s="1229">
        <f t="shared" si="1844"/>
        <v>-0.54317711900863686</v>
      </c>
    </row>
    <row r="1388" spans="1:36" ht="14.5">
      <c r="A1388" s="616">
        <v>1</v>
      </c>
      <c r="B1388" s="616">
        <v>1</v>
      </c>
      <c r="C1388" s="616" t="s">
        <v>1540</v>
      </c>
      <c r="D1388" s="709" t="s">
        <v>1308</v>
      </c>
      <c r="E1388" s="2568" t="s">
        <v>1370</v>
      </c>
      <c r="F1388" s="2569"/>
      <c r="G1388"/>
      <c r="H1388" s="4"/>
      <c r="I1388" s="3041" t="s">
        <v>1333</v>
      </c>
      <c r="J1388" s="447"/>
      <c r="K1388" s="514"/>
      <c r="L1388" s="514"/>
      <c r="M1388" s="447"/>
      <c r="N1388" s="447"/>
      <c r="O1388" s="447"/>
      <c r="P1388" s="3410"/>
      <c r="Q1388" s="1790" t="str">
        <f>CHOOSE(2, "6722000004306", "IIS Other Income")</f>
        <v>IIS Other Income</v>
      </c>
      <c r="R1388" s="3039">
        <v>0</v>
      </c>
      <c r="S1388" s="3419">
        <v>0</v>
      </c>
      <c r="T1388" s="3419">
        <v>0</v>
      </c>
      <c r="U1388" s="3419">
        <v>0</v>
      </c>
      <c r="V1388" s="3419">
        <v>0</v>
      </c>
      <c r="W1388" s="3419">
        <v>0</v>
      </c>
      <c r="X1388" s="3419">
        <v>0</v>
      </c>
      <c r="Y1388" s="3419">
        <v>0</v>
      </c>
      <c r="Z1388" s="3419">
        <v>0</v>
      </c>
      <c r="AA1388" s="3419">
        <v>0</v>
      </c>
      <c r="AB1388" s="3419">
        <v>0</v>
      </c>
      <c r="AC1388" s="3419">
        <v>0</v>
      </c>
      <c r="AD1388" s="3410">
        <f>SUM(R1388:T1388)</f>
        <v>0</v>
      </c>
      <c r="AE1388" s="3410">
        <f>SUM(U1388:W1388)</f>
        <v>0</v>
      </c>
      <c r="AF1388" s="3410">
        <f>SUM(X1388:Z1388)</f>
        <v>0</v>
      </c>
      <c r="AG1388" s="3410">
        <f>SUM(AA1388:AC1388)</f>
        <v>0</v>
      </c>
      <c r="AH1388" s="3410">
        <f>AD1388+AE1388</f>
        <v>0</v>
      </c>
      <c r="AI1388" s="3410">
        <f>AG1388+AF1388</f>
        <v>0</v>
      </c>
      <c r="AJ1388" s="3410">
        <f>AH1388+AI1388</f>
        <v>0</v>
      </c>
    </row>
    <row r="1389" spans="1:36" ht="14.5">
      <c r="A1389" s="616">
        <v>1</v>
      </c>
      <c r="B1389" s="616">
        <v>1</v>
      </c>
      <c r="C1389" s="616" t="s">
        <v>1540</v>
      </c>
      <c r="D1389" s="709" t="s">
        <v>1308</v>
      </c>
      <c r="E1389" s="2568" t="s">
        <v>1370</v>
      </c>
      <c r="F1389" s="2569"/>
      <c r="G1389"/>
      <c r="H1389" s="4"/>
      <c r="I1389" s="106" t="s">
        <v>1334</v>
      </c>
      <c r="J1389" s="104"/>
      <c r="K1389" s="105"/>
      <c r="L1389" s="105"/>
      <c r="M1389" s="104"/>
      <c r="N1389" s="104"/>
      <c r="O1389" s="104"/>
      <c r="P1389" s="103"/>
      <c r="Q1389" s="1790" t="str">
        <f>CHOOSE(2, "6722000004307", "IIS Other Expenses")</f>
        <v>IIS Other Expenses</v>
      </c>
      <c r="R1389" s="1216">
        <v>0</v>
      </c>
      <c r="S1389" s="1557">
        <v>0</v>
      </c>
      <c r="T1389" s="1557">
        <v>0</v>
      </c>
      <c r="U1389" s="1557">
        <v>0</v>
      </c>
      <c r="V1389" s="1557">
        <v>0</v>
      </c>
      <c r="W1389" s="1557">
        <v>0</v>
      </c>
      <c r="X1389" s="1557">
        <v>0</v>
      </c>
      <c r="Y1389" s="1557">
        <v>0</v>
      </c>
      <c r="Z1389" s="1557">
        <v>0</v>
      </c>
      <c r="AA1389" s="1557">
        <v>0</v>
      </c>
      <c r="AB1389" s="1557">
        <v>0</v>
      </c>
      <c r="AC1389" s="1557">
        <v>0</v>
      </c>
      <c r="AD1389" s="103">
        <f>SUM(R1389:T1389)</f>
        <v>0</v>
      </c>
      <c r="AE1389" s="103">
        <f>SUM(U1389:W1389)</f>
        <v>0</v>
      </c>
      <c r="AF1389" s="103">
        <f>SUM(X1389:Z1389)</f>
        <v>0</v>
      </c>
      <c r="AG1389" s="103">
        <f>SUM(AA1389:AC1389)</f>
        <v>0</v>
      </c>
      <c r="AH1389" s="103">
        <f>AD1389+AE1389</f>
        <v>0</v>
      </c>
      <c r="AI1389" s="103">
        <f>AG1389+AF1389</f>
        <v>0</v>
      </c>
      <c r="AJ1389" s="103">
        <f>AH1389+AI1389</f>
        <v>0</v>
      </c>
    </row>
    <row r="1390" spans="1:36" ht="14.5">
      <c r="A1390" s="616">
        <v>1</v>
      </c>
      <c r="B1390" s="616">
        <v>1</v>
      </c>
      <c r="C1390" s="616" t="s">
        <v>1540</v>
      </c>
      <c r="D1390" s="709" t="s">
        <v>1308</v>
      </c>
      <c r="E1390" s="2568" t="s">
        <v>1370</v>
      </c>
      <c r="F1390" s="2569"/>
      <c r="G1390"/>
      <c r="H1390" s="4"/>
      <c r="I1390" s="3417" t="s">
        <v>1335</v>
      </c>
      <c r="J1390" s="1103"/>
      <c r="K1390" s="1104"/>
      <c r="L1390" s="1104"/>
      <c r="M1390" s="1104"/>
      <c r="N1390" s="1104"/>
      <c r="O1390" s="1104"/>
      <c r="P1390" s="3418"/>
      <c r="Q1390" s="1774" t="str">
        <f>CHOOSE(2, "6722000004308", "IIS Operating Profit")</f>
        <v>IIS Operating Profit</v>
      </c>
      <c r="R1390" s="3053">
        <f t="shared" ref="R1390:AJ1390" si="1845">R1386+R1388-R1389</f>
        <v>-678</v>
      </c>
      <c r="S1390" s="3418">
        <f t="shared" si="1845"/>
        <v>-338.00447890376654</v>
      </c>
      <c r="T1390" s="3418">
        <f t="shared" si="1845"/>
        <v>-657.1846188167226</v>
      </c>
      <c r="U1390" s="3418">
        <f t="shared" si="1845"/>
        <v>-368.32802966535849</v>
      </c>
      <c r="V1390" s="3418">
        <f t="shared" si="1845"/>
        <v>-374.97069671144641</v>
      </c>
      <c r="W1390" s="3418">
        <f t="shared" si="1845"/>
        <v>-180.41316703478356</v>
      </c>
      <c r="X1390" s="3418">
        <f t="shared" si="1845"/>
        <v>-632.3089774279531</v>
      </c>
      <c r="Y1390" s="3418">
        <f t="shared" si="1845"/>
        <v>-560.17063816221389</v>
      </c>
      <c r="Z1390" s="3418">
        <f t="shared" si="1845"/>
        <v>-451.77798160526891</v>
      </c>
      <c r="AA1390" s="3418">
        <f t="shared" si="1845"/>
        <v>-1960.9097900000002</v>
      </c>
      <c r="AB1390" s="3418">
        <f t="shared" si="1845"/>
        <v>-421.80925999999999</v>
      </c>
      <c r="AC1390" s="3418">
        <f t="shared" si="1845"/>
        <v>-1352.80926</v>
      </c>
      <c r="AD1390" s="3418">
        <f t="shared" si="1845"/>
        <v>-1673.1890977204889</v>
      </c>
      <c r="AE1390" s="3418">
        <f t="shared" si="1845"/>
        <v>-923.71189341158833</v>
      </c>
      <c r="AF1390" s="3418">
        <f t="shared" si="1845"/>
        <v>-1644.2575971954357</v>
      </c>
      <c r="AG1390" s="3418">
        <f t="shared" si="1845"/>
        <v>-3735.5283100000001</v>
      </c>
      <c r="AH1390" s="3418">
        <f t="shared" si="1845"/>
        <v>-2596.9009911320773</v>
      </c>
      <c r="AI1390" s="3418">
        <f t="shared" si="1845"/>
        <v>-5379.7859071954354</v>
      </c>
      <c r="AJ1390" s="3418">
        <f t="shared" si="1845"/>
        <v>-7976.6868983275135</v>
      </c>
    </row>
    <row r="1391" spans="1:36" ht="14.5">
      <c r="A1391" s="616">
        <v>1</v>
      </c>
      <c r="B1391" s="616">
        <v>1</v>
      </c>
      <c r="C1391" s="616" t="s">
        <v>1540</v>
      </c>
      <c r="D1391" s="709" t="s">
        <v>1308</v>
      </c>
      <c r="E1391" s="2568" t="s">
        <v>1370</v>
      </c>
      <c r="F1391" s="2569"/>
      <c r="G1391"/>
      <c r="H1391" s="4"/>
      <c r="I1391" s="25"/>
      <c r="J1391" s="1" t="s">
        <v>55</v>
      </c>
      <c r="K1391" s="2"/>
      <c r="L1391" s="2"/>
      <c r="M1391" s="1"/>
      <c r="N1391" s="1"/>
      <c r="O1391" s="1"/>
      <c r="P1391" s="24"/>
      <c r="Q1391" s="1792" t="str">
        <f>CHOOSE(2, "6722000004309", "IIS Operating Profit (%)")</f>
        <v>IIS Operating Profit (%)</v>
      </c>
      <c r="R1391" s="1229">
        <f t="shared" ref="R1391:AJ1391" si="1846">IFERROR(R1390/R1336,0)</f>
        <v>-2.9098712446351933</v>
      </c>
      <c r="S1391" s="1229">
        <f t="shared" si="1846"/>
        <v>-0.27614745008477659</v>
      </c>
      <c r="T1391" s="1229">
        <f t="shared" si="1846"/>
        <v>0</v>
      </c>
      <c r="U1391" s="1229">
        <f t="shared" si="1846"/>
        <v>-0.40166633551293185</v>
      </c>
      <c r="V1391" s="1229">
        <f t="shared" si="1846"/>
        <v>-0.47935444027025742</v>
      </c>
      <c r="W1391" s="1229">
        <f t="shared" si="1846"/>
        <v>-9.8532587129865401E-2</v>
      </c>
      <c r="X1391" s="1229">
        <f t="shared" si="1846"/>
        <v>0</v>
      </c>
      <c r="Y1391" s="1229">
        <f t="shared" si="1846"/>
        <v>-0.71908939430322705</v>
      </c>
      <c r="Z1391" s="1229">
        <f t="shared" si="1846"/>
        <v>-0.15069312261683418</v>
      </c>
      <c r="AA1391" s="1229">
        <f t="shared" si="1846"/>
        <v>-1.1568789321533923</v>
      </c>
      <c r="AB1391" s="1229">
        <f t="shared" si="1846"/>
        <v>-0.32496861325115561</v>
      </c>
      <c r="AC1391" s="1229">
        <f t="shared" si="1846"/>
        <v>-0.46202502049180327</v>
      </c>
      <c r="AD1391" s="1229">
        <f t="shared" si="1846"/>
        <v>-1.1483796140840692</v>
      </c>
      <c r="AE1391" s="1229">
        <f t="shared" si="1846"/>
        <v>-0.26165689351281918</v>
      </c>
      <c r="AF1391" s="1229">
        <f t="shared" si="1846"/>
        <v>-0.43533428572820643</v>
      </c>
      <c r="AG1391" s="1229">
        <f t="shared" si="1846"/>
        <v>-0.63089483364296572</v>
      </c>
      <c r="AH1391" s="1229">
        <f t="shared" si="1846"/>
        <v>-0.5207089433079487</v>
      </c>
      <c r="AI1391" s="1229">
        <f t="shared" si="1846"/>
        <v>-0.55473148145962414</v>
      </c>
      <c r="AJ1391" s="1229">
        <f t="shared" si="1846"/>
        <v>-0.54317711900863686</v>
      </c>
    </row>
    <row r="1392" spans="1:36" ht="14.5">
      <c r="A1392" s="616">
        <v>1</v>
      </c>
      <c r="B1392" s="616">
        <v>1</v>
      </c>
      <c r="C1392" s="616" t="s">
        <v>1540</v>
      </c>
      <c r="D1392" s="709" t="s">
        <v>1308</v>
      </c>
      <c r="E1392" s="2568" t="s">
        <v>1370</v>
      </c>
      <c r="F1392" s="2569"/>
      <c r="G1392"/>
      <c r="H1392" s="4"/>
      <c r="I1392" s="4"/>
      <c r="J1392" s="3"/>
      <c r="K1392" s="4"/>
      <c r="L1392" s="4"/>
      <c r="M1392" s="3"/>
      <c r="N1392" s="3"/>
      <c r="O1392" s="3"/>
      <c r="P1392" s="3"/>
      <c r="Q1392" s="1847" t="str">
        <f>CHOOSE(2, "6722000004310", "▷ Blank 55")</f>
        <v>▷ Blank 55</v>
      </c>
      <c r="R1392" s="2648"/>
      <c r="S1392" s="2648"/>
      <c r="T1392" s="2648"/>
      <c r="U1392" s="2648"/>
      <c r="V1392" s="2648"/>
      <c r="W1392" s="2648"/>
      <c r="X1392" s="2648"/>
      <c r="Y1392" s="2648"/>
      <c r="Z1392" s="2648"/>
      <c r="AA1392" s="2648"/>
      <c r="AB1392" s="2648"/>
      <c r="AC1392" s="2648"/>
      <c r="AD1392" s="2648"/>
      <c r="AE1392" s="2648"/>
      <c r="AF1392" s="2648"/>
      <c r="AG1392" s="2648"/>
      <c r="AH1392" s="2648"/>
      <c r="AI1392" s="2648"/>
      <c r="AJ1392" s="2648"/>
    </row>
    <row r="1393" spans="1:36" ht="14.5">
      <c r="A1393" s="616">
        <v>1</v>
      </c>
      <c r="B1393" s="616">
        <v>1</v>
      </c>
      <c r="C1393" s="616" t="s">
        <v>1540</v>
      </c>
      <c r="D1393" s="709" t="s">
        <v>1308</v>
      </c>
      <c r="E1393" s="2568" t="s">
        <v>1370</v>
      </c>
      <c r="F1393" s="2569"/>
      <c r="G1393" s="35" t="s">
        <v>1653</v>
      </c>
      <c r="H1393" s="9"/>
      <c r="J1393"/>
      <c r="K1393"/>
      <c r="L1393"/>
      <c r="M1393"/>
      <c r="N1393"/>
      <c r="O1393"/>
      <c r="P1393"/>
      <c r="Q1393" s="1845" t="str">
        <f>CHOOSE(2, "6722000004311", "9-3. Headcount : includes BIC, IIS(Mobotix and DM)")</f>
        <v>9-3. Headcount : includes BIC, IIS(Mobotix and DM)</v>
      </c>
      <c r="R1393"/>
      <c r="S1393"/>
      <c r="T1393"/>
      <c r="U1393"/>
      <c r="V1393"/>
      <c r="W1393"/>
      <c r="X1393"/>
      <c r="Y1393"/>
      <c r="Z1393"/>
      <c r="AA1393"/>
      <c r="AB1393"/>
      <c r="AC1393"/>
      <c r="AD1393"/>
      <c r="AE1393"/>
      <c r="AF1393"/>
      <c r="AG1393"/>
      <c r="AH1393"/>
      <c r="AI1393"/>
      <c r="AJ1393"/>
    </row>
    <row r="1394" spans="1:36" ht="14.5">
      <c r="A1394" s="616">
        <v>1</v>
      </c>
      <c r="B1394" s="616">
        <v>1</v>
      </c>
      <c r="C1394" s="616" t="s">
        <v>1540</v>
      </c>
      <c r="D1394" s="709" t="s">
        <v>1308</v>
      </c>
      <c r="E1394" s="2568" t="s">
        <v>1370</v>
      </c>
      <c r="F1394" s="2569"/>
      <c r="G1394" s="206"/>
      <c r="H1394" s="4" t="s">
        <v>1654</v>
      </c>
      <c r="I1394" s="4"/>
      <c r="J1394" s="3"/>
      <c r="K1394" s="4"/>
      <c r="L1394" s="4"/>
      <c r="M1394" s="3"/>
      <c r="N1394" s="3"/>
      <c r="O1394" s="3"/>
      <c r="P1394" s="3"/>
      <c r="Q1394" s="1773" t="str">
        <f>CHOOSE(2, "6722000004312", "(0) Total : BT + BIC +IIS")</f>
        <v>(0) Total : BT + BIC +IIS</v>
      </c>
      <c r="R1394" s="2563"/>
      <c r="S1394" s="2563"/>
      <c r="T1394" s="2563"/>
      <c r="U1394" s="2563"/>
      <c r="V1394" s="2563"/>
      <c r="W1394" s="2563"/>
      <c r="X1394" s="2595"/>
      <c r="Y1394" s="2595"/>
      <c r="Z1394" s="2595"/>
      <c r="AA1394" s="2595"/>
      <c r="AB1394" s="34"/>
      <c r="AC1394" s="34"/>
      <c r="AD1394" s="34"/>
      <c r="AE1394" s="34"/>
      <c r="AF1394" s="34"/>
      <c r="AG1394" s="34"/>
      <c r="AH1394" s="34"/>
      <c r="AI1394" s="34"/>
      <c r="AJ1394" s="34"/>
    </row>
    <row r="1395" spans="1:36" ht="14.5">
      <c r="A1395" s="616">
        <v>1</v>
      </c>
      <c r="B1395" s="616">
        <v>1</v>
      </c>
      <c r="C1395" s="616" t="s">
        <v>1540</v>
      </c>
      <c r="D1395" s="709" t="s">
        <v>1308</v>
      </c>
      <c r="E1395" s="2568" t="s">
        <v>1370</v>
      </c>
      <c r="F1395" s="2569"/>
      <c r="G1395" s="206"/>
      <c r="H1395" s="206" t="s">
        <v>1450</v>
      </c>
      <c r="I1395" s="3041"/>
      <c r="J1395" s="447"/>
      <c r="K1395" s="514"/>
      <c r="L1395" s="514"/>
      <c r="M1395" s="447"/>
      <c r="N1395" s="447"/>
      <c r="O1395" s="447"/>
      <c r="P1395" s="447"/>
      <c r="Q1395" s="1773" t="str">
        <f>CHOOSE(2, "6722000004313", "▷ Blank 56")</f>
        <v>▷ Blank 56</v>
      </c>
      <c r="R1395" s="1878">
        <f>R1293</f>
        <v>44652</v>
      </c>
      <c r="S1395" s="1878">
        <f t="shared" ref="S1395:AC1395" si="1847">DATE(YEAR(R1395),MONTH(R1395)+1,DAY(R1395))</f>
        <v>44682</v>
      </c>
      <c r="T1395" s="1878">
        <f t="shared" si="1847"/>
        <v>44713</v>
      </c>
      <c r="U1395" s="1878">
        <f t="shared" si="1847"/>
        <v>44743</v>
      </c>
      <c r="V1395" s="1878">
        <f t="shared" si="1847"/>
        <v>44774</v>
      </c>
      <c r="W1395" s="1878">
        <f t="shared" si="1847"/>
        <v>44805</v>
      </c>
      <c r="X1395" s="1878">
        <f t="shared" si="1847"/>
        <v>44835</v>
      </c>
      <c r="Y1395" s="1878">
        <f t="shared" si="1847"/>
        <v>44866</v>
      </c>
      <c r="Z1395" s="1878">
        <f t="shared" si="1847"/>
        <v>44896</v>
      </c>
      <c r="AA1395" s="1878">
        <f t="shared" si="1847"/>
        <v>44927</v>
      </c>
      <c r="AB1395" s="1878">
        <f t="shared" si="1847"/>
        <v>44958</v>
      </c>
      <c r="AC1395" s="1878">
        <f t="shared" si="1847"/>
        <v>44986</v>
      </c>
      <c r="AD1395" s="2546" t="s">
        <v>951</v>
      </c>
      <c r="AE1395" s="2546" t="s">
        <v>36</v>
      </c>
      <c r="AF1395" s="2546" t="s">
        <v>35</v>
      </c>
      <c r="AG1395" s="2546" t="s">
        <v>34</v>
      </c>
      <c r="AH1395" s="2546" t="s">
        <v>33</v>
      </c>
      <c r="AI1395" s="2546" t="s">
        <v>32</v>
      </c>
      <c r="AJ1395" s="2546" t="s">
        <v>921</v>
      </c>
    </row>
    <row r="1396" spans="1:36" ht="14.5">
      <c r="A1396" s="616">
        <v>1</v>
      </c>
      <c r="B1396" s="616">
        <v>1</v>
      </c>
      <c r="C1396" s="616" t="s">
        <v>1540</v>
      </c>
      <c r="D1396" s="709" t="s">
        <v>1308</v>
      </c>
      <c r="E1396" s="2568" t="s">
        <v>1370</v>
      </c>
      <c r="F1396" s="2569"/>
      <c r="G1396" s="206"/>
      <c r="H1396" s="206" t="s">
        <v>1450</v>
      </c>
      <c r="I1396" s="3052" t="s">
        <v>202</v>
      </c>
      <c r="J1396" s="1115"/>
      <c r="K1396" s="861"/>
      <c r="L1396" s="861"/>
      <c r="M1396" s="861"/>
      <c r="N1396" s="861"/>
      <c r="O1396" s="861"/>
      <c r="P1396" s="861"/>
      <c r="Q1396" s="1774" t="str">
        <f>CHOOSE(2, "6722000004314", "Total FE/TTOC")</f>
        <v>Total FE/TTOC</v>
      </c>
      <c r="R1396" s="3053">
        <f t="shared" ref="R1396:AJ1396" si="1848">R1397+R1398+R1399+R1400+R1401</f>
        <v>714</v>
      </c>
      <c r="S1396" s="3053">
        <f t="shared" si="1848"/>
        <v>714</v>
      </c>
      <c r="T1396" s="3053">
        <f t="shared" si="1848"/>
        <v>709</v>
      </c>
      <c r="U1396" s="3053">
        <f t="shared" si="1848"/>
        <v>718</v>
      </c>
      <c r="V1396" s="3053">
        <f t="shared" si="1848"/>
        <v>719</v>
      </c>
      <c r="W1396" s="3053">
        <f t="shared" si="1848"/>
        <v>721</v>
      </c>
      <c r="X1396" s="3053">
        <f t="shared" si="1848"/>
        <v>727</v>
      </c>
      <c r="Y1396" s="3053">
        <f t="shared" si="1848"/>
        <v>730</v>
      </c>
      <c r="Z1396" s="3053">
        <f t="shared" si="1848"/>
        <v>732</v>
      </c>
      <c r="AA1396" s="3053">
        <f t="shared" si="1848"/>
        <v>736</v>
      </c>
      <c r="AB1396" s="3053">
        <f t="shared" si="1848"/>
        <v>739</v>
      </c>
      <c r="AC1396" s="3053">
        <f t="shared" si="1848"/>
        <v>736</v>
      </c>
      <c r="AD1396" s="3053">
        <f t="shared" si="1848"/>
        <v>709</v>
      </c>
      <c r="AE1396" s="3053">
        <f t="shared" si="1848"/>
        <v>721</v>
      </c>
      <c r="AF1396" s="3053">
        <f t="shared" si="1848"/>
        <v>732</v>
      </c>
      <c r="AG1396" s="3053">
        <f t="shared" si="1848"/>
        <v>736</v>
      </c>
      <c r="AH1396" s="3053">
        <f t="shared" si="1848"/>
        <v>721</v>
      </c>
      <c r="AI1396" s="3053">
        <f t="shared" si="1848"/>
        <v>736</v>
      </c>
      <c r="AJ1396" s="3053">
        <f t="shared" si="1848"/>
        <v>736</v>
      </c>
    </row>
    <row r="1397" spans="1:36" ht="14.5">
      <c r="A1397" s="616">
        <v>1</v>
      </c>
      <c r="B1397" s="616">
        <v>1</v>
      </c>
      <c r="C1397" s="616" t="s">
        <v>1540</v>
      </c>
      <c r="D1397" s="709" t="s">
        <v>1308</v>
      </c>
      <c r="E1397" s="2568" t="s">
        <v>1370</v>
      </c>
      <c r="F1397" s="2569"/>
      <c r="G1397" s="206"/>
      <c r="H1397" s="206" t="s">
        <v>1450</v>
      </c>
      <c r="I1397" s="1112"/>
      <c r="J1397" s="4" t="s">
        <v>1514</v>
      </c>
      <c r="K1397" s="4"/>
      <c r="L1397" s="4"/>
      <c r="M1397" s="3"/>
      <c r="N1397" s="3"/>
      <c r="O1397" s="3"/>
      <c r="P1397" s="26"/>
      <c r="Q1397" s="1786" t="str">
        <f>CHOOSE(2, "6722000004315", "Total FE/TTOC Sales Total")</f>
        <v>Total FE/TTOC Sales Total</v>
      </c>
      <c r="R1397" s="37">
        <f t="shared" ref="R1397:AJ1397" si="1849">R880+R1406+R1415</f>
        <v>176</v>
      </c>
      <c r="S1397" s="37">
        <f t="shared" si="1849"/>
        <v>175</v>
      </c>
      <c r="T1397" s="37">
        <f t="shared" si="1849"/>
        <v>172</v>
      </c>
      <c r="U1397" s="37">
        <f t="shared" si="1849"/>
        <v>174</v>
      </c>
      <c r="V1397" s="37">
        <f t="shared" si="1849"/>
        <v>175</v>
      </c>
      <c r="W1397" s="37">
        <f t="shared" si="1849"/>
        <v>178</v>
      </c>
      <c r="X1397" s="37">
        <f t="shared" si="1849"/>
        <v>181</v>
      </c>
      <c r="Y1397" s="37">
        <f t="shared" si="1849"/>
        <v>180</v>
      </c>
      <c r="Z1397" s="37">
        <f t="shared" si="1849"/>
        <v>182</v>
      </c>
      <c r="AA1397" s="37">
        <f t="shared" si="1849"/>
        <v>183</v>
      </c>
      <c r="AB1397" s="37">
        <f t="shared" si="1849"/>
        <v>185</v>
      </c>
      <c r="AC1397" s="37">
        <f t="shared" si="1849"/>
        <v>180</v>
      </c>
      <c r="AD1397" s="37">
        <f t="shared" si="1849"/>
        <v>172</v>
      </c>
      <c r="AE1397" s="37">
        <f t="shared" si="1849"/>
        <v>178</v>
      </c>
      <c r="AF1397" s="37">
        <f t="shared" si="1849"/>
        <v>182</v>
      </c>
      <c r="AG1397" s="37">
        <f t="shared" si="1849"/>
        <v>180</v>
      </c>
      <c r="AH1397" s="37">
        <f t="shared" si="1849"/>
        <v>178</v>
      </c>
      <c r="AI1397" s="37">
        <f t="shared" si="1849"/>
        <v>180</v>
      </c>
      <c r="AJ1397" s="37">
        <f t="shared" si="1849"/>
        <v>180</v>
      </c>
    </row>
    <row r="1398" spans="1:36" ht="14.5">
      <c r="A1398" s="616">
        <v>1</v>
      </c>
      <c r="B1398" s="616">
        <v>1</v>
      </c>
      <c r="C1398" s="616" t="s">
        <v>1540</v>
      </c>
      <c r="D1398" s="709" t="s">
        <v>1308</v>
      </c>
      <c r="E1398" s="2568" t="s">
        <v>1370</v>
      </c>
      <c r="F1398" s="2569"/>
      <c r="G1398" s="206"/>
      <c r="H1398" s="206" t="s">
        <v>1450</v>
      </c>
      <c r="I1398" s="1112"/>
      <c r="J1398" s="4" t="s">
        <v>1515</v>
      </c>
      <c r="K1398" s="4"/>
      <c r="L1398" s="4"/>
      <c r="M1398" s="3"/>
      <c r="N1398" s="3"/>
      <c r="O1398" s="3"/>
      <c r="P1398" s="26"/>
      <c r="Q1398" s="1784" t="str">
        <f>CHOOSE(2, "6722000004316", "Total FE/TTOC Service Total")</f>
        <v>Total FE/TTOC Service Total</v>
      </c>
      <c r="R1398" s="1289">
        <f t="shared" ref="R1398:AJ1398" si="1850">R885+R1407+R1416</f>
        <v>414</v>
      </c>
      <c r="S1398" s="1289">
        <f t="shared" si="1850"/>
        <v>415</v>
      </c>
      <c r="T1398" s="1289">
        <f t="shared" si="1850"/>
        <v>410</v>
      </c>
      <c r="U1398" s="1289">
        <f t="shared" si="1850"/>
        <v>416</v>
      </c>
      <c r="V1398" s="1289">
        <f t="shared" si="1850"/>
        <v>417</v>
      </c>
      <c r="W1398" s="1289">
        <f t="shared" si="1850"/>
        <v>416</v>
      </c>
      <c r="X1398" s="1289">
        <f t="shared" si="1850"/>
        <v>419</v>
      </c>
      <c r="Y1398" s="1289">
        <f t="shared" si="1850"/>
        <v>422</v>
      </c>
      <c r="Z1398" s="1289">
        <f t="shared" si="1850"/>
        <v>421</v>
      </c>
      <c r="AA1398" s="1289">
        <f t="shared" si="1850"/>
        <v>421</v>
      </c>
      <c r="AB1398" s="1289">
        <f t="shared" si="1850"/>
        <v>420</v>
      </c>
      <c r="AC1398" s="1289">
        <f t="shared" si="1850"/>
        <v>423</v>
      </c>
      <c r="AD1398" s="37">
        <f t="shared" si="1850"/>
        <v>410</v>
      </c>
      <c r="AE1398" s="37">
        <f t="shared" si="1850"/>
        <v>416</v>
      </c>
      <c r="AF1398" s="37">
        <f t="shared" si="1850"/>
        <v>421</v>
      </c>
      <c r="AG1398" s="37">
        <f t="shared" si="1850"/>
        <v>423</v>
      </c>
      <c r="AH1398" s="37">
        <f t="shared" si="1850"/>
        <v>416</v>
      </c>
      <c r="AI1398" s="37">
        <f t="shared" si="1850"/>
        <v>423</v>
      </c>
      <c r="AJ1398" s="37">
        <f t="shared" si="1850"/>
        <v>423</v>
      </c>
    </row>
    <row r="1399" spans="1:36" ht="14.5">
      <c r="A1399" s="616">
        <v>1</v>
      </c>
      <c r="B1399" s="616">
        <v>1</v>
      </c>
      <c r="C1399" s="616" t="s">
        <v>1540</v>
      </c>
      <c r="D1399" s="709" t="s">
        <v>1308</v>
      </c>
      <c r="E1399" s="2568" t="s">
        <v>1370</v>
      </c>
      <c r="F1399" s="2569"/>
      <c r="G1399" s="206"/>
      <c r="H1399" s="206" t="s">
        <v>1450</v>
      </c>
      <c r="I1399" s="1112"/>
      <c r="J1399" s="4" t="s">
        <v>1516</v>
      </c>
      <c r="K1399" s="4"/>
      <c r="L1399" s="4"/>
      <c r="M1399" s="3"/>
      <c r="N1399" s="3"/>
      <c r="O1399" s="3"/>
      <c r="P1399" s="26"/>
      <c r="Q1399" s="1784" t="str">
        <f>CHOOSE(2, "6722000004317", "Total FE/TTOC Marketing Total")</f>
        <v>Total FE/TTOC Marketing Total</v>
      </c>
      <c r="R1399" s="1289">
        <f t="shared" ref="R1399:AJ1399" si="1851">R891+R1408+R1417</f>
        <v>18</v>
      </c>
      <c r="S1399" s="1289">
        <f t="shared" si="1851"/>
        <v>18</v>
      </c>
      <c r="T1399" s="1289">
        <f t="shared" si="1851"/>
        <v>18</v>
      </c>
      <c r="U1399" s="1289">
        <f t="shared" si="1851"/>
        <v>18</v>
      </c>
      <c r="V1399" s="1289">
        <f t="shared" si="1851"/>
        <v>18</v>
      </c>
      <c r="W1399" s="1289">
        <f t="shared" si="1851"/>
        <v>17</v>
      </c>
      <c r="X1399" s="1289">
        <f t="shared" si="1851"/>
        <v>17</v>
      </c>
      <c r="Y1399" s="1289">
        <f t="shared" si="1851"/>
        <v>16</v>
      </c>
      <c r="Z1399" s="1289">
        <f t="shared" si="1851"/>
        <v>16</v>
      </c>
      <c r="AA1399" s="1289">
        <f t="shared" si="1851"/>
        <v>16</v>
      </c>
      <c r="AB1399" s="1289">
        <f t="shared" si="1851"/>
        <v>16</v>
      </c>
      <c r="AC1399" s="1289">
        <f t="shared" si="1851"/>
        <v>16</v>
      </c>
      <c r="AD1399" s="37">
        <f t="shared" si="1851"/>
        <v>18</v>
      </c>
      <c r="AE1399" s="37">
        <f t="shared" si="1851"/>
        <v>17</v>
      </c>
      <c r="AF1399" s="37">
        <f t="shared" si="1851"/>
        <v>16</v>
      </c>
      <c r="AG1399" s="37">
        <f t="shared" si="1851"/>
        <v>16</v>
      </c>
      <c r="AH1399" s="37">
        <f t="shared" si="1851"/>
        <v>17</v>
      </c>
      <c r="AI1399" s="37">
        <f t="shared" si="1851"/>
        <v>16</v>
      </c>
      <c r="AJ1399" s="37">
        <f t="shared" si="1851"/>
        <v>16</v>
      </c>
    </row>
    <row r="1400" spans="1:36" ht="14.5">
      <c r="A1400" s="616">
        <v>1</v>
      </c>
      <c r="B1400" s="616">
        <v>1</v>
      </c>
      <c r="C1400" s="616" t="s">
        <v>1540</v>
      </c>
      <c r="D1400" s="709" t="s">
        <v>1308</v>
      </c>
      <c r="E1400" s="2568" t="s">
        <v>1370</v>
      </c>
      <c r="F1400" s="2569"/>
      <c r="G1400" s="206"/>
      <c r="H1400" s="206" t="s">
        <v>1450</v>
      </c>
      <c r="I1400" s="1112"/>
      <c r="J1400" s="4" t="s">
        <v>1517</v>
      </c>
      <c r="K1400" s="4"/>
      <c r="L1400" s="4"/>
      <c r="M1400" s="3"/>
      <c r="N1400" s="3"/>
      <c r="O1400" s="3"/>
      <c r="P1400" s="26"/>
      <c r="Q1400" s="1784" t="str">
        <f>CHOOSE(2, "6722000004318", "Total FE/TTOC Administration Total")</f>
        <v>Total FE/TTOC Administration Total</v>
      </c>
      <c r="R1400" s="1289">
        <f t="shared" ref="R1400:AJ1400" si="1852">R896+R1409+R1418</f>
        <v>71</v>
      </c>
      <c r="S1400" s="1289">
        <f t="shared" si="1852"/>
        <v>73</v>
      </c>
      <c r="T1400" s="1289">
        <f t="shared" si="1852"/>
        <v>73</v>
      </c>
      <c r="U1400" s="1289">
        <f t="shared" si="1852"/>
        <v>73</v>
      </c>
      <c r="V1400" s="1289">
        <f t="shared" si="1852"/>
        <v>72</v>
      </c>
      <c r="W1400" s="1289">
        <f t="shared" si="1852"/>
        <v>73</v>
      </c>
      <c r="X1400" s="1289">
        <f t="shared" si="1852"/>
        <v>73</v>
      </c>
      <c r="Y1400" s="1289">
        <f t="shared" si="1852"/>
        <v>74</v>
      </c>
      <c r="Z1400" s="1289">
        <f t="shared" si="1852"/>
        <v>74</v>
      </c>
      <c r="AA1400" s="1289">
        <f t="shared" si="1852"/>
        <v>77</v>
      </c>
      <c r="AB1400" s="1289">
        <f t="shared" si="1852"/>
        <v>79</v>
      </c>
      <c r="AC1400" s="1289">
        <f t="shared" si="1852"/>
        <v>78</v>
      </c>
      <c r="AD1400" s="37">
        <f t="shared" si="1852"/>
        <v>73</v>
      </c>
      <c r="AE1400" s="37">
        <f t="shared" si="1852"/>
        <v>73</v>
      </c>
      <c r="AF1400" s="37">
        <f t="shared" si="1852"/>
        <v>74</v>
      </c>
      <c r="AG1400" s="37">
        <f t="shared" si="1852"/>
        <v>78</v>
      </c>
      <c r="AH1400" s="37">
        <f t="shared" si="1852"/>
        <v>73</v>
      </c>
      <c r="AI1400" s="37">
        <f t="shared" si="1852"/>
        <v>78</v>
      </c>
      <c r="AJ1400" s="37">
        <f t="shared" si="1852"/>
        <v>78</v>
      </c>
    </row>
    <row r="1401" spans="1:36" ht="14.5">
      <c r="A1401" s="616">
        <v>1</v>
      </c>
      <c r="B1401" s="616">
        <v>1</v>
      </c>
      <c r="C1401" s="616" t="s">
        <v>1540</v>
      </c>
      <c r="D1401" s="709" t="s">
        <v>1308</v>
      </c>
      <c r="E1401" s="2568" t="s">
        <v>1370</v>
      </c>
      <c r="F1401" s="2569"/>
      <c r="G1401" s="206"/>
      <c r="H1401" s="206" t="s">
        <v>1450</v>
      </c>
      <c r="I1401" s="1112"/>
      <c r="J1401" s="2" t="s">
        <v>1518</v>
      </c>
      <c r="K1401" s="2"/>
      <c r="L1401" s="2"/>
      <c r="M1401" s="1"/>
      <c r="N1401" s="1"/>
      <c r="O1401" s="1"/>
      <c r="P1401" s="24"/>
      <c r="Q1401" s="1784" t="str">
        <f>CHOOSE(2, "6722000004319", "Total FE/TTOC Logistics Total")</f>
        <v>Total FE/TTOC Logistics Total</v>
      </c>
      <c r="R1401" s="1290">
        <f t="shared" ref="R1401:AJ1401" si="1853">R902+R1410+R1419</f>
        <v>35</v>
      </c>
      <c r="S1401" s="1290">
        <f t="shared" si="1853"/>
        <v>33</v>
      </c>
      <c r="T1401" s="1290">
        <f t="shared" si="1853"/>
        <v>36</v>
      </c>
      <c r="U1401" s="1290">
        <f t="shared" si="1853"/>
        <v>37</v>
      </c>
      <c r="V1401" s="1290">
        <f t="shared" si="1853"/>
        <v>37</v>
      </c>
      <c r="W1401" s="1290">
        <f t="shared" si="1853"/>
        <v>37</v>
      </c>
      <c r="X1401" s="1290">
        <f t="shared" si="1853"/>
        <v>37</v>
      </c>
      <c r="Y1401" s="1290">
        <f t="shared" si="1853"/>
        <v>38</v>
      </c>
      <c r="Z1401" s="1290">
        <f t="shared" si="1853"/>
        <v>39</v>
      </c>
      <c r="AA1401" s="1290">
        <f t="shared" si="1853"/>
        <v>39</v>
      </c>
      <c r="AB1401" s="1290">
        <f t="shared" si="1853"/>
        <v>39</v>
      </c>
      <c r="AC1401" s="1290">
        <f t="shared" si="1853"/>
        <v>39</v>
      </c>
      <c r="AD1401" s="60">
        <f t="shared" si="1853"/>
        <v>36</v>
      </c>
      <c r="AE1401" s="60">
        <f t="shared" si="1853"/>
        <v>37</v>
      </c>
      <c r="AF1401" s="60">
        <f t="shared" si="1853"/>
        <v>39</v>
      </c>
      <c r="AG1401" s="60">
        <f t="shared" si="1853"/>
        <v>39</v>
      </c>
      <c r="AH1401" s="60">
        <f t="shared" si="1853"/>
        <v>37</v>
      </c>
      <c r="AI1401" s="60">
        <f t="shared" si="1853"/>
        <v>39</v>
      </c>
      <c r="AJ1401" s="60">
        <f t="shared" si="1853"/>
        <v>39</v>
      </c>
    </row>
    <row r="1402" spans="1:36" ht="14.5">
      <c r="A1402" s="616">
        <v>1</v>
      </c>
      <c r="B1402" s="616">
        <v>1</v>
      </c>
      <c r="C1402" s="616" t="s">
        <v>1540</v>
      </c>
      <c r="D1402" s="709" t="s">
        <v>1308</v>
      </c>
      <c r="E1402" s="2568" t="s">
        <v>1370</v>
      </c>
      <c r="F1402" s="2569"/>
      <c r="G1402" s="206"/>
      <c r="H1402" s="206" t="s">
        <v>1450</v>
      </c>
      <c r="I1402" s="2253" t="s">
        <v>1511</v>
      </c>
      <c r="J1402" s="1523"/>
      <c r="K1402" s="1509"/>
      <c r="L1402" s="1509"/>
      <c r="M1402" s="1523"/>
      <c r="N1402" s="1523"/>
      <c r="O1402" s="1523"/>
      <c r="P1402" s="2495"/>
      <c r="Q1402" s="1784" t="str">
        <f>CHOOSE(2, "6722000004320", "Total Semi-Full-Time/Part-Time Employees /Contractors")</f>
        <v>Total Semi-Full-Time/Part-Time Employees /Contractors</v>
      </c>
      <c r="R1402" s="3305">
        <f t="shared" ref="R1402:AJ1402" si="1854">R906+R1411+R1420</f>
        <v>19</v>
      </c>
      <c r="S1402" s="3305">
        <f t="shared" si="1854"/>
        <v>19</v>
      </c>
      <c r="T1402" s="3305">
        <f t="shared" si="1854"/>
        <v>18</v>
      </c>
      <c r="U1402" s="3305">
        <f t="shared" si="1854"/>
        <v>17</v>
      </c>
      <c r="V1402" s="3305">
        <f t="shared" si="1854"/>
        <v>17</v>
      </c>
      <c r="W1402" s="3305">
        <f t="shared" si="1854"/>
        <v>22</v>
      </c>
      <c r="X1402" s="3305">
        <f t="shared" si="1854"/>
        <v>25</v>
      </c>
      <c r="Y1402" s="3305">
        <f t="shared" si="1854"/>
        <v>25</v>
      </c>
      <c r="Z1402" s="3305">
        <f t="shared" si="1854"/>
        <v>27</v>
      </c>
      <c r="AA1402" s="3305">
        <f t="shared" si="1854"/>
        <v>28</v>
      </c>
      <c r="AB1402" s="3305">
        <f t="shared" si="1854"/>
        <v>28</v>
      </c>
      <c r="AC1402" s="3305">
        <f t="shared" si="1854"/>
        <v>28</v>
      </c>
      <c r="AD1402" s="3198">
        <f t="shared" si="1854"/>
        <v>18</v>
      </c>
      <c r="AE1402" s="3198">
        <f t="shared" si="1854"/>
        <v>22</v>
      </c>
      <c r="AF1402" s="3198">
        <f t="shared" si="1854"/>
        <v>27</v>
      </c>
      <c r="AG1402" s="3198">
        <f t="shared" si="1854"/>
        <v>28</v>
      </c>
      <c r="AH1402" s="3198">
        <f t="shared" si="1854"/>
        <v>22</v>
      </c>
      <c r="AI1402" s="3198">
        <f t="shared" si="1854"/>
        <v>28</v>
      </c>
      <c r="AJ1402" s="3198">
        <f t="shared" si="1854"/>
        <v>28</v>
      </c>
    </row>
    <row r="1403" spans="1:36" ht="14.5">
      <c r="A1403" s="616">
        <v>1</v>
      </c>
      <c r="B1403" s="616">
        <v>1</v>
      </c>
      <c r="C1403" s="616" t="s">
        <v>1540</v>
      </c>
      <c r="D1403" s="709" t="s">
        <v>1308</v>
      </c>
      <c r="E1403" s="2568" t="s">
        <v>1370</v>
      </c>
      <c r="F1403" s="2569"/>
      <c r="G1403" s="206"/>
      <c r="H1403" s="4"/>
      <c r="I1403" s="4"/>
      <c r="J1403" s="3"/>
      <c r="K1403" s="4"/>
      <c r="L1403" s="4"/>
      <c r="M1403" s="3"/>
      <c r="N1403" s="3"/>
      <c r="O1403" s="3"/>
      <c r="P1403" s="3"/>
      <c r="Q1403" s="1773" t="str">
        <f>CHOOSE(2, "6722000004321", "▷ Blank 57")</f>
        <v>▷ Blank 57</v>
      </c>
      <c r="R1403" s="2596"/>
      <c r="S1403" s="2596"/>
      <c r="T1403" s="2596"/>
      <c r="U1403" s="2596"/>
      <c r="V1403" s="2596"/>
      <c r="W1403" s="2596"/>
      <c r="X1403" s="2596"/>
      <c r="Y1403" s="2596"/>
      <c r="Z1403" s="2596"/>
      <c r="AA1403" s="2596"/>
      <c r="AB1403" s="34"/>
      <c r="AC1403" s="34"/>
      <c r="AD1403" s="34"/>
      <c r="AE1403" s="34"/>
      <c r="AF1403" s="34"/>
      <c r="AG1403" s="34"/>
      <c r="AH1403" s="34"/>
      <c r="AI1403" s="34"/>
      <c r="AJ1403" s="34"/>
    </row>
    <row r="1404" spans="1:36" ht="14.5">
      <c r="A1404" s="616">
        <v>1</v>
      </c>
      <c r="B1404" s="616">
        <v>1</v>
      </c>
      <c r="C1404" s="616" t="s">
        <v>1540</v>
      </c>
      <c r="D1404" s="709" t="s">
        <v>1308</v>
      </c>
      <c r="E1404" s="2568" t="s">
        <v>1370</v>
      </c>
      <c r="F1404" s="2569"/>
      <c r="G1404" s="4"/>
      <c r="H1404" s="4" t="s">
        <v>1636</v>
      </c>
      <c r="I1404" s="4"/>
      <c r="J1404" s="3"/>
      <c r="K1404" s="4"/>
      <c r="L1404" s="4"/>
      <c r="M1404" s="34"/>
      <c r="N1404" s="3"/>
      <c r="O1404" s="3"/>
      <c r="P1404" s="3"/>
      <c r="Q1404" s="1773" t="str">
        <f>CHOOSE(2, "6722000004322", "(1) BIC")</f>
        <v>(1) BIC</v>
      </c>
      <c r="R1404" s="2563"/>
      <c r="S1404" s="2563"/>
      <c r="T1404" s="2563"/>
      <c r="U1404" s="2563"/>
      <c r="V1404" s="2563"/>
      <c r="W1404" s="2563"/>
      <c r="X1404" s="2563"/>
      <c r="Y1404" s="2563"/>
      <c r="Z1404" s="2563"/>
      <c r="AA1404" s="2563"/>
      <c r="AB1404" s="34"/>
      <c r="AC1404" s="34"/>
      <c r="AD1404" s="34"/>
      <c r="AE1404" s="34"/>
      <c r="AF1404" s="34"/>
      <c r="AG1404" s="34"/>
      <c r="AH1404" s="34"/>
      <c r="AI1404" s="34"/>
      <c r="AJ1404" s="34"/>
    </row>
    <row r="1405" spans="1:36" ht="14.5">
      <c r="A1405" s="616">
        <v>1</v>
      </c>
      <c r="B1405" s="616">
        <v>1</v>
      </c>
      <c r="C1405" s="616" t="s">
        <v>1540</v>
      </c>
      <c r="D1405" s="709" t="s">
        <v>1308</v>
      </c>
      <c r="E1405" s="2568" t="s">
        <v>1370</v>
      </c>
      <c r="F1405" s="2569"/>
      <c r="G1405" s="206"/>
      <c r="H1405" s="206" t="s">
        <v>1450</v>
      </c>
      <c r="I1405" s="3052" t="s">
        <v>202</v>
      </c>
      <c r="J1405" s="1115"/>
      <c r="K1405" s="861"/>
      <c r="L1405" s="861"/>
      <c r="M1405" s="861"/>
      <c r="N1405" s="861"/>
      <c r="O1405" s="861"/>
      <c r="P1405" s="861"/>
      <c r="Q1405" s="1774" t="str">
        <f>CHOOSE(2, "6722000004323", "BIC FE/TTOC")</f>
        <v>BIC FE/TTOC</v>
      </c>
      <c r="R1405" s="3053">
        <f t="shared" ref="R1405" si="1855">SUM(R1406:R1410)</f>
        <v>0</v>
      </c>
      <c r="S1405" s="3053">
        <f t="shared" ref="S1405:AJ1405" si="1856">SUM(S1406:S1410)</f>
        <v>0</v>
      </c>
      <c r="T1405" s="3053">
        <f t="shared" si="1856"/>
        <v>0</v>
      </c>
      <c r="U1405" s="3053">
        <f t="shared" si="1856"/>
        <v>0</v>
      </c>
      <c r="V1405" s="3053">
        <f t="shared" si="1856"/>
        <v>0</v>
      </c>
      <c r="W1405" s="3053">
        <f t="shared" si="1856"/>
        <v>0</v>
      </c>
      <c r="X1405" s="3053">
        <f t="shared" si="1856"/>
        <v>0</v>
      </c>
      <c r="Y1405" s="3053">
        <f t="shared" si="1856"/>
        <v>0</v>
      </c>
      <c r="Z1405" s="3053">
        <f t="shared" si="1856"/>
        <v>0</v>
      </c>
      <c r="AA1405" s="3053">
        <f t="shared" si="1856"/>
        <v>0</v>
      </c>
      <c r="AB1405" s="3053">
        <f t="shared" si="1856"/>
        <v>0</v>
      </c>
      <c r="AC1405" s="3053">
        <f t="shared" si="1856"/>
        <v>0</v>
      </c>
      <c r="AD1405" s="3053">
        <f t="shared" si="1856"/>
        <v>0</v>
      </c>
      <c r="AE1405" s="3053">
        <f t="shared" si="1856"/>
        <v>0</v>
      </c>
      <c r="AF1405" s="3053">
        <f t="shared" si="1856"/>
        <v>0</v>
      </c>
      <c r="AG1405" s="3053">
        <f t="shared" si="1856"/>
        <v>0</v>
      </c>
      <c r="AH1405" s="3053">
        <f t="shared" si="1856"/>
        <v>0</v>
      </c>
      <c r="AI1405" s="3053">
        <f t="shared" si="1856"/>
        <v>0</v>
      </c>
      <c r="AJ1405" s="3053">
        <f t="shared" si="1856"/>
        <v>0</v>
      </c>
    </row>
    <row r="1406" spans="1:36" ht="14.5">
      <c r="A1406" s="616">
        <v>1</v>
      </c>
      <c r="B1406" s="616">
        <v>1</v>
      </c>
      <c r="C1406" s="616" t="s">
        <v>1540</v>
      </c>
      <c r="D1406" s="709" t="s">
        <v>1308</v>
      </c>
      <c r="E1406" s="2568" t="s">
        <v>1370</v>
      </c>
      <c r="F1406" s="2569"/>
      <c r="G1406" s="4"/>
      <c r="H1406" s="4"/>
      <c r="I1406" s="1112"/>
      <c r="J1406" s="3422" t="s">
        <v>1514</v>
      </c>
      <c r="K1406" s="707"/>
      <c r="L1406" s="707"/>
      <c r="M1406" s="586"/>
      <c r="N1406" s="586"/>
      <c r="O1406" s="586"/>
      <c r="P1406" s="3423"/>
      <c r="Q1406" s="1800" t="str">
        <f>CHOOSE(2, "6722000004324", "BIC FE/TTOC Sales Total")</f>
        <v>BIC FE/TTOC Sales Total</v>
      </c>
      <c r="R1406" s="3419">
        <v>0</v>
      </c>
      <c r="S1406" s="3419">
        <v>0</v>
      </c>
      <c r="T1406" s="3419">
        <v>0</v>
      </c>
      <c r="U1406" s="3419">
        <v>0</v>
      </c>
      <c r="V1406" s="3419">
        <v>0</v>
      </c>
      <c r="W1406" s="3419">
        <v>0</v>
      </c>
      <c r="X1406" s="3419">
        <v>0</v>
      </c>
      <c r="Y1406" s="3419">
        <v>0</v>
      </c>
      <c r="Z1406" s="3419">
        <v>0</v>
      </c>
      <c r="AA1406" s="3419">
        <v>0</v>
      </c>
      <c r="AB1406" s="3419">
        <v>0</v>
      </c>
      <c r="AC1406" s="3419">
        <v>0</v>
      </c>
      <c r="AD1406" s="3424">
        <f t="shared" ref="AD1406:AD1411" si="1857">T1406</f>
        <v>0</v>
      </c>
      <c r="AE1406" s="3424">
        <f t="shared" ref="AE1406:AE1411" si="1858">W1406</f>
        <v>0</v>
      </c>
      <c r="AF1406" s="3424">
        <f t="shared" ref="AF1406:AF1411" si="1859">Z1406</f>
        <v>0</v>
      </c>
      <c r="AG1406" s="3424">
        <f t="shared" ref="AG1406:AG1411" si="1860">AC1406</f>
        <v>0</v>
      </c>
      <c r="AH1406" s="3424">
        <f t="shared" ref="AH1406:AH1411" si="1861">AE1406</f>
        <v>0</v>
      </c>
      <c r="AI1406" s="3424">
        <f t="shared" ref="AI1406:AI1411" si="1862">AG1406</f>
        <v>0</v>
      </c>
      <c r="AJ1406" s="3424">
        <f t="shared" ref="AJ1406:AJ1411" si="1863">AI1406</f>
        <v>0</v>
      </c>
    </row>
    <row r="1407" spans="1:36" ht="14.5">
      <c r="A1407" s="616">
        <v>1</v>
      </c>
      <c r="B1407" s="616">
        <v>1</v>
      </c>
      <c r="C1407" s="616" t="s">
        <v>1540</v>
      </c>
      <c r="D1407" s="709" t="s">
        <v>1308</v>
      </c>
      <c r="E1407" s="2568" t="s">
        <v>1370</v>
      </c>
      <c r="F1407" s="2569"/>
      <c r="G1407" s="4"/>
      <c r="H1407" s="4"/>
      <c r="I1407" s="1112"/>
      <c r="J1407" s="27" t="s">
        <v>1515</v>
      </c>
      <c r="K1407" s="4"/>
      <c r="L1407" s="4"/>
      <c r="M1407" s="3"/>
      <c r="N1407" s="3"/>
      <c r="O1407" s="3"/>
      <c r="P1407" s="26"/>
      <c r="Q1407" s="1800" t="str">
        <f>CHOOSE(2, "6722000004325", "BIC FE/TTOC Service Total")</f>
        <v>BIC FE/TTOC Service Total</v>
      </c>
      <c r="R1407" s="1558">
        <v>0</v>
      </c>
      <c r="S1407" s="1558">
        <v>0</v>
      </c>
      <c r="T1407" s="1558">
        <v>0</v>
      </c>
      <c r="U1407" s="1558">
        <v>0</v>
      </c>
      <c r="V1407" s="1558">
        <v>0</v>
      </c>
      <c r="W1407" s="1558">
        <v>0</v>
      </c>
      <c r="X1407" s="1558">
        <v>0</v>
      </c>
      <c r="Y1407" s="1558">
        <v>0</v>
      </c>
      <c r="Z1407" s="1558">
        <v>0</v>
      </c>
      <c r="AA1407" s="1558">
        <v>0</v>
      </c>
      <c r="AB1407" s="1558">
        <v>0</v>
      </c>
      <c r="AC1407" s="1558">
        <v>0</v>
      </c>
      <c r="AD1407" s="437">
        <f t="shared" si="1857"/>
        <v>0</v>
      </c>
      <c r="AE1407" s="437">
        <f t="shared" si="1858"/>
        <v>0</v>
      </c>
      <c r="AF1407" s="437">
        <f t="shared" si="1859"/>
        <v>0</v>
      </c>
      <c r="AG1407" s="437">
        <f t="shared" si="1860"/>
        <v>0</v>
      </c>
      <c r="AH1407" s="437">
        <f t="shared" si="1861"/>
        <v>0</v>
      </c>
      <c r="AI1407" s="437">
        <f t="shared" si="1862"/>
        <v>0</v>
      </c>
      <c r="AJ1407" s="437">
        <f t="shared" si="1863"/>
        <v>0</v>
      </c>
    </row>
    <row r="1408" spans="1:36" ht="14.5">
      <c r="A1408" s="616">
        <v>1</v>
      </c>
      <c r="B1408" s="616">
        <v>1</v>
      </c>
      <c r="C1408" s="616" t="s">
        <v>1540</v>
      </c>
      <c r="D1408" s="709" t="s">
        <v>1308</v>
      </c>
      <c r="E1408" s="2568" t="s">
        <v>1370</v>
      </c>
      <c r="F1408" s="2569"/>
      <c r="G1408" s="4"/>
      <c r="H1408" s="4"/>
      <c r="I1408" s="1112"/>
      <c r="J1408" s="27" t="s">
        <v>1655</v>
      </c>
      <c r="K1408" s="4"/>
      <c r="L1408" s="4"/>
      <c r="M1408" s="3"/>
      <c r="N1408" s="3"/>
      <c r="O1408" s="3"/>
      <c r="P1408" s="26"/>
      <c r="Q1408" s="1800" t="str">
        <f>CHOOSE(2, "6722000004326", "BIC FE/TTOC MarketingTotal")</f>
        <v>BIC FE/TTOC MarketingTotal</v>
      </c>
      <c r="R1408" s="1558">
        <v>0</v>
      </c>
      <c r="S1408" s="1558">
        <v>0</v>
      </c>
      <c r="T1408" s="1558">
        <v>0</v>
      </c>
      <c r="U1408" s="1558">
        <v>0</v>
      </c>
      <c r="V1408" s="1558">
        <v>0</v>
      </c>
      <c r="W1408" s="1558">
        <v>0</v>
      </c>
      <c r="X1408" s="1558">
        <v>0</v>
      </c>
      <c r="Y1408" s="1558">
        <v>0</v>
      </c>
      <c r="Z1408" s="1558">
        <v>0</v>
      </c>
      <c r="AA1408" s="1558">
        <v>0</v>
      </c>
      <c r="AB1408" s="1558">
        <v>0</v>
      </c>
      <c r="AC1408" s="1558">
        <v>0</v>
      </c>
      <c r="AD1408" s="437">
        <f t="shared" si="1857"/>
        <v>0</v>
      </c>
      <c r="AE1408" s="437">
        <f t="shared" si="1858"/>
        <v>0</v>
      </c>
      <c r="AF1408" s="437">
        <f t="shared" si="1859"/>
        <v>0</v>
      </c>
      <c r="AG1408" s="437">
        <f t="shared" si="1860"/>
        <v>0</v>
      </c>
      <c r="AH1408" s="437">
        <f t="shared" si="1861"/>
        <v>0</v>
      </c>
      <c r="AI1408" s="437">
        <f t="shared" si="1862"/>
        <v>0</v>
      </c>
      <c r="AJ1408" s="437">
        <f t="shared" si="1863"/>
        <v>0</v>
      </c>
    </row>
    <row r="1409" spans="1:36" ht="14.5">
      <c r="A1409" s="616">
        <v>1</v>
      </c>
      <c r="B1409" s="616">
        <v>1</v>
      </c>
      <c r="C1409" s="616" t="s">
        <v>1540</v>
      </c>
      <c r="D1409" s="709" t="s">
        <v>1308</v>
      </c>
      <c r="E1409" s="2568" t="s">
        <v>1370</v>
      </c>
      <c r="F1409" s="2569"/>
      <c r="G1409" s="4"/>
      <c r="H1409" s="4"/>
      <c r="I1409" s="1112"/>
      <c r="J1409" s="27" t="s">
        <v>17</v>
      </c>
      <c r="K1409" s="4"/>
      <c r="L1409" s="4"/>
      <c r="M1409" s="3"/>
      <c r="N1409" s="3"/>
      <c r="O1409" s="3"/>
      <c r="P1409" s="26"/>
      <c r="Q1409" s="1800" t="str">
        <f>CHOOSE(2, "6722000004327", "BIC FE/TTOC Administration Total")</f>
        <v>BIC FE/TTOC Administration Total</v>
      </c>
      <c r="R1409" s="1558">
        <v>0</v>
      </c>
      <c r="S1409" s="1558">
        <v>0</v>
      </c>
      <c r="T1409" s="1558">
        <v>0</v>
      </c>
      <c r="U1409" s="1558">
        <v>0</v>
      </c>
      <c r="V1409" s="1558">
        <v>0</v>
      </c>
      <c r="W1409" s="1558">
        <v>0</v>
      </c>
      <c r="X1409" s="1558">
        <v>0</v>
      </c>
      <c r="Y1409" s="1558">
        <v>0</v>
      </c>
      <c r="Z1409" s="1558">
        <v>0</v>
      </c>
      <c r="AA1409" s="1558">
        <v>0</v>
      </c>
      <c r="AB1409" s="1558">
        <v>0</v>
      </c>
      <c r="AC1409" s="1558">
        <v>0</v>
      </c>
      <c r="AD1409" s="437">
        <f t="shared" si="1857"/>
        <v>0</v>
      </c>
      <c r="AE1409" s="437">
        <f t="shared" si="1858"/>
        <v>0</v>
      </c>
      <c r="AF1409" s="437">
        <f t="shared" si="1859"/>
        <v>0</v>
      </c>
      <c r="AG1409" s="437">
        <f t="shared" si="1860"/>
        <v>0</v>
      </c>
      <c r="AH1409" s="437">
        <f t="shared" si="1861"/>
        <v>0</v>
      </c>
      <c r="AI1409" s="437">
        <f t="shared" si="1862"/>
        <v>0</v>
      </c>
      <c r="AJ1409" s="437">
        <f t="shared" si="1863"/>
        <v>0</v>
      </c>
    </row>
    <row r="1410" spans="1:36" ht="14.5">
      <c r="A1410" s="616">
        <v>1</v>
      </c>
      <c r="B1410" s="616">
        <v>1</v>
      </c>
      <c r="C1410" s="616" t="s">
        <v>1540</v>
      </c>
      <c r="D1410" s="709" t="s">
        <v>1308</v>
      </c>
      <c r="E1410" s="2568" t="s">
        <v>1370</v>
      </c>
      <c r="F1410" s="2569"/>
      <c r="G1410" s="4"/>
      <c r="H1410" s="4"/>
      <c r="I1410" s="1113"/>
      <c r="J1410" s="49" t="s">
        <v>1518</v>
      </c>
      <c r="K1410" s="48"/>
      <c r="L1410" s="48"/>
      <c r="M1410" s="47"/>
      <c r="N1410" s="47"/>
      <c r="O1410" s="47"/>
      <c r="P1410" s="46"/>
      <c r="Q1410" s="1800" t="str">
        <f>CHOOSE(2, "6722000004328", "BIC FE/TTOC Logistics Total")</f>
        <v>BIC FE/TTOC Logistics Total</v>
      </c>
      <c r="R1410" s="1559">
        <v>0</v>
      </c>
      <c r="S1410" s="1559">
        <v>0</v>
      </c>
      <c r="T1410" s="1559">
        <v>0</v>
      </c>
      <c r="U1410" s="1559">
        <v>0</v>
      </c>
      <c r="V1410" s="1559">
        <v>0</v>
      </c>
      <c r="W1410" s="1559">
        <v>0</v>
      </c>
      <c r="X1410" s="1559">
        <v>0</v>
      </c>
      <c r="Y1410" s="1559">
        <v>0</v>
      </c>
      <c r="Z1410" s="1559">
        <v>0</v>
      </c>
      <c r="AA1410" s="1559">
        <v>0</v>
      </c>
      <c r="AB1410" s="1559">
        <v>0</v>
      </c>
      <c r="AC1410" s="1559">
        <v>0</v>
      </c>
      <c r="AD1410" s="438">
        <f t="shared" si="1857"/>
        <v>0</v>
      </c>
      <c r="AE1410" s="438">
        <f t="shared" si="1858"/>
        <v>0</v>
      </c>
      <c r="AF1410" s="438">
        <f t="shared" si="1859"/>
        <v>0</v>
      </c>
      <c r="AG1410" s="438">
        <f t="shared" si="1860"/>
        <v>0</v>
      </c>
      <c r="AH1410" s="438">
        <f t="shared" si="1861"/>
        <v>0</v>
      </c>
      <c r="AI1410" s="438">
        <f t="shared" si="1862"/>
        <v>0</v>
      </c>
      <c r="AJ1410" s="438">
        <f t="shared" si="1863"/>
        <v>0</v>
      </c>
    </row>
    <row r="1411" spans="1:36" ht="14.5">
      <c r="A1411" s="616">
        <v>1</v>
      </c>
      <c r="B1411" s="616">
        <v>1</v>
      </c>
      <c r="C1411" s="616" t="s">
        <v>1540</v>
      </c>
      <c r="D1411" s="709" t="s">
        <v>1308</v>
      </c>
      <c r="E1411" s="2568" t="s">
        <v>1370</v>
      </c>
      <c r="F1411" s="2569"/>
      <c r="G1411" s="206" t="s">
        <v>1656</v>
      </c>
      <c r="H1411" s="206" t="s">
        <v>1450</v>
      </c>
      <c r="I1411" s="2253" t="s">
        <v>1511</v>
      </c>
      <c r="J1411" s="1523"/>
      <c r="K1411" s="1509"/>
      <c r="L1411" s="1509"/>
      <c r="M1411" s="1523"/>
      <c r="N1411" s="1523"/>
      <c r="O1411" s="1523"/>
      <c r="P1411" s="2495"/>
      <c r="Q1411" s="1790" t="str">
        <f>CHOOSE(2, "6722000004329", "BIC Semi-Full-Time/Part-Time Employees /Contractors")</f>
        <v>BIC Semi-Full-Time/Part-Time Employees /Contractors</v>
      </c>
      <c r="R1411" s="3312">
        <v>0</v>
      </c>
      <c r="S1411" s="3312">
        <v>0</v>
      </c>
      <c r="T1411" s="3312">
        <v>0</v>
      </c>
      <c r="U1411" s="3312">
        <v>0</v>
      </c>
      <c r="V1411" s="3312">
        <v>0</v>
      </c>
      <c r="W1411" s="3312">
        <v>0</v>
      </c>
      <c r="X1411" s="3312">
        <v>0</v>
      </c>
      <c r="Y1411" s="3312">
        <v>0</v>
      </c>
      <c r="Z1411" s="3312">
        <v>0</v>
      </c>
      <c r="AA1411" s="3312">
        <v>0</v>
      </c>
      <c r="AB1411" s="3312">
        <v>0</v>
      </c>
      <c r="AC1411" s="3312">
        <v>0</v>
      </c>
      <c r="AD1411" s="3198">
        <f t="shared" si="1857"/>
        <v>0</v>
      </c>
      <c r="AE1411" s="3198">
        <f t="shared" si="1858"/>
        <v>0</v>
      </c>
      <c r="AF1411" s="3198">
        <f t="shared" si="1859"/>
        <v>0</v>
      </c>
      <c r="AG1411" s="3198">
        <f t="shared" si="1860"/>
        <v>0</v>
      </c>
      <c r="AH1411" s="3198">
        <f t="shared" si="1861"/>
        <v>0</v>
      </c>
      <c r="AI1411" s="3198">
        <f t="shared" si="1862"/>
        <v>0</v>
      </c>
      <c r="AJ1411" s="3198">
        <f t="shared" si="1863"/>
        <v>0</v>
      </c>
    </row>
    <row r="1412" spans="1:36" ht="14.5">
      <c r="A1412" s="616">
        <v>1</v>
      </c>
      <c r="B1412" s="616">
        <v>1</v>
      </c>
      <c r="C1412" s="616" t="s">
        <v>1540</v>
      </c>
      <c r="D1412" s="709" t="s">
        <v>1308</v>
      </c>
      <c r="E1412" s="2568" t="s">
        <v>1370</v>
      </c>
      <c r="F1412" s="2569"/>
      <c r="G1412" s="4"/>
      <c r="H1412" s="4"/>
      <c r="I1412" s="4"/>
      <c r="J1412" s="3"/>
      <c r="K1412" s="4"/>
      <c r="L1412" s="4"/>
      <c r="M1412" s="3"/>
      <c r="N1412" s="3"/>
      <c r="O1412" s="3"/>
      <c r="P1412" s="3"/>
      <c r="Q1412" s="1773" t="str">
        <f>CHOOSE(2, "6722000004330", "▷ Blank 58")</f>
        <v>▷ Blank 58</v>
      </c>
      <c r="R1412" s="2563"/>
      <c r="S1412" s="2563"/>
      <c r="T1412" s="2563"/>
      <c r="U1412" s="2563"/>
      <c r="V1412" s="2563"/>
      <c r="W1412" s="2563"/>
      <c r="X1412" s="2563"/>
      <c r="Y1412" s="2563"/>
      <c r="Z1412" s="2563"/>
      <c r="AA1412" s="2563"/>
      <c r="AB1412" s="34"/>
      <c r="AC1412" s="34"/>
      <c r="AD1412" s="34"/>
      <c r="AE1412" s="34"/>
      <c r="AF1412" s="34"/>
      <c r="AG1412" s="34"/>
      <c r="AH1412" s="34"/>
      <c r="AI1412" s="34"/>
      <c r="AJ1412" s="34"/>
    </row>
    <row r="1413" spans="1:36" ht="14.5">
      <c r="A1413" s="616">
        <v>1</v>
      </c>
      <c r="B1413" s="616">
        <v>1</v>
      </c>
      <c r="C1413" s="616" t="s">
        <v>1540</v>
      </c>
      <c r="D1413" s="709" t="s">
        <v>1308</v>
      </c>
      <c r="E1413" s="2568" t="s">
        <v>1370</v>
      </c>
      <c r="F1413" s="2569"/>
      <c r="G1413" s="4"/>
      <c r="H1413" s="4" t="s">
        <v>1638</v>
      </c>
      <c r="I1413" s="746"/>
      <c r="J1413" s="3"/>
      <c r="K1413" s="4"/>
      <c r="L1413" s="4"/>
      <c r="M1413" s="3"/>
      <c r="N1413" s="3" t="s">
        <v>1639</v>
      </c>
      <c r="O1413" s="3"/>
      <c r="P1413" s="3"/>
      <c r="Q1413" s="1773" t="str">
        <f>CHOOSE(2, "6722000004331", "(2) IIS (Imaging-IoT Solution)")</f>
        <v>(2) IIS (Imaging-IoT Solution)</v>
      </c>
      <c r="R1413" s="2563"/>
      <c r="S1413" s="2563"/>
      <c r="T1413" s="2563"/>
      <c r="U1413" s="2563"/>
      <c r="V1413" s="2563"/>
      <c r="W1413" s="2563"/>
      <c r="X1413" s="2563"/>
      <c r="Y1413" s="2563"/>
      <c r="Z1413" s="2563"/>
      <c r="AA1413" s="2563"/>
      <c r="AB1413" s="34"/>
      <c r="AC1413" s="34"/>
      <c r="AD1413" s="34"/>
      <c r="AE1413" s="34"/>
      <c r="AF1413" s="34"/>
      <c r="AG1413" s="34"/>
      <c r="AH1413" s="34"/>
      <c r="AI1413" s="34"/>
      <c r="AJ1413" s="34"/>
    </row>
    <row r="1414" spans="1:36" ht="14.5">
      <c r="A1414" s="616">
        <v>1</v>
      </c>
      <c r="B1414" s="616">
        <v>1</v>
      </c>
      <c r="C1414" s="616" t="s">
        <v>1540</v>
      </c>
      <c r="D1414" s="709" t="s">
        <v>1308</v>
      </c>
      <c r="E1414" s="2568" t="s">
        <v>1370</v>
      </c>
      <c r="F1414" s="2569"/>
      <c r="G1414" s="206"/>
      <c r="H1414" s="206" t="s">
        <v>1450</v>
      </c>
      <c r="I1414" s="3052" t="s">
        <v>202</v>
      </c>
      <c r="J1414" s="1115"/>
      <c r="K1414" s="861"/>
      <c r="L1414" s="861"/>
      <c r="M1414" s="861"/>
      <c r="N1414" s="861"/>
      <c r="O1414" s="861"/>
      <c r="P1414" s="861"/>
      <c r="Q1414" s="1774" t="str">
        <f>CHOOSE(2, "6722000004332", "(0) Total FE/TTOC")</f>
        <v>(0) Total FE/TTOC</v>
      </c>
      <c r="R1414" s="3053">
        <f t="shared" ref="R1414:AC1414" si="1864">SUM(R1415:R1419)</f>
        <v>3</v>
      </c>
      <c r="S1414" s="3053">
        <f t="shared" si="1864"/>
        <v>3</v>
      </c>
      <c r="T1414" s="3053">
        <f t="shared" si="1864"/>
        <v>3</v>
      </c>
      <c r="U1414" s="3053">
        <f t="shared" si="1864"/>
        <v>3</v>
      </c>
      <c r="V1414" s="3053">
        <f t="shared" si="1864"/>
        <v>4</v>
      </c>
      <c r="W1414" s="3053">
        <f t="shared" si="1864"/>
        <v>5</v>
      </c>
      <c r="X1414" s="3053">
        <f t="shared" si="1864"/>
        <v>5</v>
      </c>
      <c r="Y1414" s="3053">
        <f t="shared" si="1864"/>
        <v>5</v>
      </c>
      <c r="Z1414" s="3053">
        <f t="shared" si="1864"/>
        <v>5</v>
      </c>
      <c r="AA1414" s="3053">
        <f t="shared" si="1864"/>
        <v>4</v>
      </c>
      <c r="AB1414" s="3053">
        <f t="shared" si="1864"/>
        <v>4</v>
      </c>
      <c r="AC1414" s="3053">
        <f t="shared" si="1864"/>
        <v>4</v>
      </c>
      <c r="AD1414" s="3053">
        <f t="shared" ref="AD1414:AJ1414" si="1865">SUM(AD1415:AD1419)</f>
        <v>3</v>
      </c>
      <c r="AE1414" s="3053">
        <f t="shared" si="1865"/>
        <v>5</v>
      </c>
      <c r="AF1414" s="3053">
        <f t="shared" si="1865"/>
        <v>5</v>
      </c>
      <c r="AG1414" s="3053">
        <f t="shared" si="1865"/>
        <v>4</v>
      </c>
      <c r="AH1414" s="3053">
        <f t="shared" si="1865"/>
        <v>5</v>
      </c>
      <c r="AI1414" s="3053">
        <f t="shared" si="1865"/>
        <v>4</v>
      </c>
      <c r="AJ1414" s="3053">
        <f t="shared" si="1865"/>
        <v>4</v>
      </c>
    </row>
    <row r="1415" spans="1:36" ht="14.5">
      <c r="A1415" s="616">
        <v>1</v>
      </c>
      <c r="B1415" s="616">
        <v>1</v>
      </c>
      <c r="C1415" s="616" t="s">
        <v>1540</v>
      </c>
      <c r="D1415" s="709" t="s">
        <v>1308</v>
      </c>
      <c r="E1415" s="2568" t="s">
        <v>1370</v>
      </c>
      <c r="F1415" s="2569"/>
      <c r="G1415" s="439"/>
      <c r="H1415" s="439"/>
      <c r="I1415" s="1112"/>
      <c r="J1415" s="3422" t="s">
        <v>1514</v>
      </c>
      <c r="K1415" s="707"/>
      <c r="L1415" s="2500"/>
      <c r="M1415" s="2501"/>
      <c r="N1415" s="2501"/>
      <c r="O1415" s="2501"/>
      <c r="P1415" s="3424"/>
      <c r="Q1415" s="1800" t="str">
        <f>CHOOSE(2, "6722000004333", "FE/TTOC Sales Total")</f>
        <v>FE/TTOC Sales Total</v>
      </c>
      <c r="R1415" s="3419">
        <v>3</v>
      </c>
      <c r="S1415" s="3419">
        <v>3</v>
      </c>
      <c r="T1415" s="3419">
        <v>3</v>
      </c>
      <c r="U1415" s="3419">
        <v>3</v>
      </c>
      <c r="V1415" s="3419">
        <v>4</v>
      </c>
      <c r="W1415" s="3419">
        <v>5</v>
      </c>
      <c r="X1415" s="3419">
        <v>5</v>
      </c>
      <c r="Y1415" s="3419">
        <v>5</v>
      </c>
      <c r="Z1415" s="3419">
        <v>5</v>
      </c>
      <c r="AA1415" s="3419">
        <v>4</v>
      </c>
      <c r="AB1415" s="3419">
        <v>4</v>
      </c>
      <c r="AC1415" s="3419">
        <v>4</v>
      </c>
      <c r="AD1415" s="3424">
        <f t="shared" ref="AD1415:AD1420" si="1866">T1415</f>
        <v>3</v>
      </c>
      <c r="AE1415" s="3424">
        <f t="shared" ref="AE1415:AE1420" si="1867">W1415</f>
        <v>5</v>
      </c>
      <c r="AF1415" s="3424">
        <f t="shared" ref="AF1415:AF1420" si="1868">Z1415</f>
        <v>5</v>
      </c>
      <c r="AG1415" s="3424">
        <f t="shared" ref="AG1415:AG1420" si="1869">AC1415</f>
        <v>4</v>
      </c>
      <c r="AH1415" s="3424">
        <f t="shared" ref="AH1415:AH1420" si="1870">AE1415</f>
        <v>5</v>
      </c>
      <c r="AI1415" s="3424">
        <f t="shared" ref="AI1415:AI1420" si="1871">AG1415</f>
        <v>4</v>
      </c>
      <c r="AJ1415" s="3424">
        <f t="shared" ref="AJ1415:AJ1420" si="1872">AI1415</f>
        <v>4</v>
      </c>
    </row>
    <row r="1416" spans="1:36" ht="14.5">
      <c r="A1416" s="616">
        <v>1</v>
      </c>
      <c r="B1416" s="616">
        <v>1</v>
      </c>
      <c r="C1416" s="616" t="s">
        <v>1540</v>
      </c>
      <c r="D1416" s="709" t="s">
        <v>1308</v>
      </c>
      <c r="E1416" s="2568" t="s">
        <v>1370</v>
      </c>
      <c r="F1416" s="2569"/>
      <c r="G1416" s="439"/>
      <c r="H1416" s="439"/>
      <c r="I1416" s="1112"/>
      <c r="J1416" s="27" t="s">
        <v>1515</v>
      </c>
      <c r="K1416" s="4"/>
      <c r="L1416" s="439"/>
      <c r="M1416" s="442"/>
      <c r="N1416" s="442"/>
      <c r="O1416" s="442"/>
      <c r="P1416" s="437"/>
      <c r="Q1416" s="1800" t="str">
        <f>CHOOSE(2, "6722000004334", "FE/TTOC Service Total")</f>
        <v>FE/TTOC Service Total</v>
      </c>
      <c r="R1416" s="1558">
        <v>0</v>
      </c>
      <c r="S1416" s="1558">
        <v>0</v>
      </c>
      <c r="T1416" s="1558">
        <v>0</v>
      </c>
      <c r="U1416" s="1558">
        <v>0</v>
      </c>
      <c r="V1416" s="1558">
        <v>0</v>
      </c>
      <c r="W1416" s="1558">
        <v>0</v>
      </c>
      <c r="X1416" s="1558">
        <v>0</v>
      </c>
      <c r="Y1416" s="1558">
        <v>0</v>
      </c>
      <c r="Z1416" s="1558">
        <v>0</v>
      </c>
      <c r="AA1416" s="1558">
        <v>0</v>
      </c>
      <c r="AB1416" s="1558">
        <v>0</v>
      </c>
      <c r="AC1416" s="1558">
        <v>0</v>
      </c>
      <c r="AD1416" s="437">
        <f t="shared" si="1866"/>
        <v>0</v>
      </c>
      <c r="AE1416" s="437">
        <f t="shared" si="1867"/>
        <v>0</v>
      </c>
      <c r="AF1416" s="437">
        <f t="shared" si="1868"/>
        <v>0</v>
      </c>
      <c r="AG1416" s="437">
        <f t="shared" si="1869"/>
        <v>0</v>
      </c>
      <c r="AH1416" s="437">
        <f t="shared" si="1870"/>
        <v>0</v>
      </c>
      <c r="AI1416" s="437">
        <f t="shared" si="1871"/>
        <v>0</v>
      </c>
      <c r="AJ1416" s="437">
        <f t="shared" si="1872"/>
        <v>0</v>
      </c>
    </row>
    <row r="1417" spans="1:36" ht="14.5">
      <c r="A1417" s="616">
        <v>1</v>
      </c>
      <c r="B1417" s="616">
        <v>1</v>
      </c>
      <c r="C1417" s="616" t="s">
        <v>1540</v>
      </c>
      <c r="D1417" s="709" t="s">
        <v>1308</v>
      </c>
      <c r="E1417" s="2568" t="s">
        <v>1370</v>
      </c>
      <c r="F1417" s="2569"/>
      <c r="G1417" s="439"/>
      <c r="H1417" s="439"/>
      <c r="I1417" s="1112"/>
      <c r="J1417" s="27" t="s">
        <v>1655</v>
      </c>
      <c r="K1417" s="4"/>
      <c r="L1417" s="439"/>
      <c r="M1417" s="442"/>
      <c r="N1417" s="442"/>
      <c r="O1417" s="442"/>
      <c r="P1417" s="437"/>
      <c r="Q1417" s="1800" t="str">
        <f>CHOOSE(2, "6722000004335", "FE/TTOC MarketingTotal")</f>
        <v>FE/TTOC MarketingTotal</v>
      </c>
      <c r="R1417" s="1558">
        <v>0</v>
      </c>
      <c r="S1417" s="1558">
        <v>0</v>
      </c>
      <c r="T1417" s="1558">
        <v>0</v>
      </c>
      <c r="U1417" s="1558">
        <v>0</v>
      </c>
      <c r="V1417" s="1558">
        <v>0</v>
      </c>
      <c r="W1417" s="1558">
        <v>0</v>
      </c>
      <c r="X1417" s="1558">
        <v>0</v>
      </c>
      <c r="Y1417" s="1558">
        <v>0</v>
      </c>
      <c r="Z1417" s="1558">
        <v>0</v>
      </c>
      <c r="AA1417" s="1558">
        <v>0</v>
      </c>
      <c r="AB1417" s="1558">
        <v>0</v>
      </c>
      <c r="AC1417" s="1558">
        <v>0</v>
      </c>
      <c r="AD1417" s="437">
        <f t="shared" si="1866"/>
        <v>0</v>
      </c>
      <c r="AE1417" s="437">
        <f t="shared" si="1867"/>
        <v>0</v>
      </c>
      <c r="AF1417" s="437">
        <f t="shared" si="1868"/>
        <v>0</v>
      </c>
      <c r="AG1417" s="437">
        <f t="shared" si="1869"/>
        <v>0</v>
      </c>
      <c r="AH1417" s="437">
        <f t="shared" si="1870"/>
        <v>0</v>
      </c>
      <c r="AI1417" s="437">
        <f t="shared" si="1871"/>
        <v>0</v>
      </c>
      <c r="AJ1417" s="437">
        <f t="shared" si="1872"/>
        <v>0</v>
      </c>
    </row>
    <row r="1418" spans="1:36" ht="14.5">
      <c r="A1418" s="616">
        <v>1</v>
      </c>
      <c r="B1418" s="616">
        <v>1</v>
      </c>
      <c r="C1418" s="616" t="s">
        <v>1540</v>
      </c>
      <c r="D1418" s="709" t="s">
        <v>1308</v>
      </c>
      <c r="E1418" s="2568" t="s">
        <v>1370</v>
      </c>
      <c r="F1418" s="2569"/>
      <c r="G1418" s="4"/>
      <c r="H1418" s="4"/>
      <c r="I1418" s="1112"/>
      <c r="J1418" s="27" t="s">
        <v>17</v>
      </c>
      <c r="K1418" s="4"/>
      <c r="L1418" s="4"/>
      <c r="M1418" s="3"/>
      <c r="N1418" s="3"/>
      <c r="O1418" s="3"/>
      <c r="P1418" s="26"/>
      <c r="Q1418" s="1800" t="str">
        <f>CHOOSE(2, "6722000004336", "FE/TTOC Administration Total")</f>
        <v>FE/TTOC Administration Total</v>
      </c>
      <c r="R1418" s="1558">
        <v>0</v>
      </c>
      <c r="S1418" s="1558">
        <v>0</v>
      </c>
      <c r="T1418" s="1558">
        <v>0</v>
      </c>
      <c r="U1418" s="1558">
        <v>0</v>
      </c>
      <c r="V1418" s="1558">
        <v>0</v>
      </c>
      <c r="W1418" s="1558">
        <v>0</v>
      </c>
      <c r="X1418" s="1558">
        <v>0</v>
      </c>
      <c r="Y1418" s="1558">
        <v>0</v>
      </c>
      <c r="Z1418" s="1558">
        <v>0</v>
      </c>
      <c r="AA1418" s="1558">
        <v>0</v>
      </c>
      <c r="AB1418" s="1558">
        <v>0</v>
      </c>
      <c r="AC1418" s="1558">
        <v>0</v>
      </c>
      <c r="AD1418" s="437">
        <f t="shared" si="1866"/>
        <v>0</v>
      </c>
      <c r="AE1418" s="437">
        <f t="shared" si="1867"/>
        <v>0</v>
      </c>
      <c r="AF1418" s="437">
        <f t="shared" si="1868"/>
        <v>0</v>
      </c>
      <c r="AG1418" s="437">
        <f t="shared" si="1869"/>
        <v>0</v>
      </c>
      <c r="AH1418" s="437">
        <f t="shared" si="1870"/>
        <v>0</v>
      </c>
      <c r="AI1418" s="437">
        <f t="shared" si="1871"/>
        <v>0</v>
      </c>
      <c r="AJ1418" s="437">
        <f t="shared" si="1872"/>
        <v>0</v>
      </c>
    </row>
    <row r="1419" spans="1:36" ht="14.5">
      <c r="A1419" s="616">
        <v>1</v>
      </c>
      <c r="B1419" s="616">
        <v>1</v>
      </c>
      <c r="C1419" s="616" t="s">
        <v>1540</v>
      </c>
      <c r="D1419" s="709" t="s">
        <v>1308</v>
      </c>
      <c r="E1419" s="2568" t="s">
        <v>1370</v>
      </c>
      <c r="F1419" s="2569"/>
      <c r="G1419" s="439"/>
      <c r="H1419" s="439"/>
      <c r="I1419" s="1113"/>
      <c r="J1419" s="49" t="s">
        <v>1518</v>
      </c>
      <c r="K1419" s="48"/>
      <c r="L1419" s="444"/>
      <c r="M1419" s="443"/>
      <c r="N1419" s="443"/>
      <c r="O1419" s="443"/>
      <c r="P1419" s="438"/>
      <c r="Q1419" s="1800" t="str">
        <f>CHOOSE(2, "6722000004337", "FE/TTOC Logistics Total")</f>
        <v>FE/TTOC Logistics Total</v>
      </c>
      <c r="R1419" s="1559">
        <v>0</v>
      </c>
      <c r="S1419" s="1559">
        <v>0</v>
      </c>
      <c r="T1419" s="1559">
        <v>0</v>
      </c>
      <c r="U1419" s="1559">
        <v>0</v>
      </c>
      <c r="V1419" s="1559">
        <v>0</v>
      </c>
      <c r="W1419" s="1559">
        <v>0</v>
      </c>
      <c r="X1419" s="1559">
        <v>0</v>
      </c>
      <c r="Y1419" s="1559">
        <v>0</v>
      </c>
      <c r="Z1419" s="1559">
        <v>0</v>
      </c>
      <c r="AA1419" s="1559">
        <v>0</v>
      </c>
      <c r="AB1419" s="1559">
        <v>0</v>
      </c>
      <c r="AC1419" s="1559">
        <v>0</v>
      </c>
      <c r="AD1419" s="438">
        <f t="shared" si="1866"/>
        <v>0</v>
      </c>
      <c r="AE1419" s="438">
        <f t="shared" si="1867"/>
        <v>0</v>
      </c>
      <c r="AF1419" s="438">
        <f t="shared" si="1868"/>
        <v>0</v>
      </c>
      <c r="AG1419" s="438">
        <f t="shared" si="1869"/>
        <v>0</v>
      </c>
      <c r="AH1419" s="438">
        <f t="shared" si="1870"/>
        <v>0</v>
      </c>
      <c r="AI1419" s="438">
        <f t="shared" si="1871"/>
        <v>0</v>
      </c>
      <c r="AJ1419" s="438">
        <f t="shared" si="1872"/>
        <v>0</v>
      </c>
    </row>
    <row r="1420" spans="1:36" ht="14.5">
      <c r="A1420" s="616">
        <v>1</v>
      </c>
      <c r="B1420" s="616">
        <v>1</v>
      </c>
      <c r="C1420" s="616" t="s">
        <v>1540</v>
      </c>
      <c r="D1420" s="709" t="s">
        <v>1308</v>
      </c>
      <c r="E1420" s="2568" t="s">
        <v>1370</v>
      </c>
      <c r="F1420" s="2569"/>
      <c r="G1420" s="439"/>
      <c r="H1420" s="206" t="s">
        <v>1450</v>
      </c>
      <c r="I1420" s="2253" t="s">
        <v>1511</v>
      </c>
      <c r="J1420" s="1523"/>
      <c r="K1420" s="1509"/>
      <c r="L1420" s="1509"/>
      <c r="M1420" s="1523"/>
      <c r="N1420" s="1523"/>
      <c r="O1420" s="1523"/>
      <c r="P1420" s="2495"/>
      <c r="Q1420" s="1790" t="str">
        <f>CHOOSE(2, "6722000004338", "IIS Semi-Full-Time/Part-Time Employees /Contractors")</f>
        <v>IIS Semi-Full-Time/Part-Time Employees /Contractors</v>
      </c>
      <c r="R1420" s="3312">
        <v>0</v>
      </c>
      <c r="S1420" s="3312">
        <v>0</v>
      </c>
      <c r="T1420" s="3312">
        <v>0</v>
      </c>
      <c r="U1420" s="3312">
        <v>0</v>
      </c>
      <c r="V1420" s="3312">
        <v>0</v>
      </c>
      <c r="W1420" s="3312">
        <v>0</v>
      </c>
      <c r="X1420" s="3312">
        <v>0</v>
      </c>
      <c r="Y1420" s="3312">
        <v>0</v>
      </c>
      <c r="Z1420" s="3312">
        <v>0</v>
      </c>
      <c r="AA1420" s="3312">
        <v>0</v>
      </c>
      <c r="AB1420" s="3312">
        <v>0</v>
      </c>
      <c r="AC1420" s="3312">
        <v>0</v>
      </c>
      <c r="AD1420" s="3198">
        <f t="shared" si="1866"/>
        <v>0</v>
      </c>
      <c r="AE1420" s="3198">
        <f t="shared" si="1867"/>
        <v>0</v>
      </c>
      <c r="AF1420" s="3198">
        <f t="shared" si="1868"/>
        <v>0</v>
      </c>
      <c r="AG1420" s="3198">
        <f t="shared" si="1869"/>
        <v>0</v>
      </c>
      <c r="AH1420" s="3198">
        <f t="shared" si="1870"/>
        <v>0</v>
      </c>
      <c r="AI1420" s="3198">
        <f t="shared" si="1871"/>
        <v>0</v>
      </c>
      <c r="AJ1420" s="3198">
        <f t="shared" si="1872"/>
        <v>0</v>
      </c>
    </row>
    <row r="1421" spans="1:36" ht="14.5">
      <c r="A1421" s="616">
        <v>1</v>
      </c>
      <c r="B1421" s="616">
        <v>1</v>
      </c>
      <c r="C1421" s="616" t="s">
        <v>1540</v>
      </c>
      <c r="D1421" s="709" t="s">
        <v>1308</v>
      </c>
      <c r="E1421" s="2568" t="s">
        <v>1370</v>
      </c>
      <c r="F1421" s="2569"/>
      <c r="G1421" s="439"/>
      <c r="H1421"/>
      <c r="I1421"/>
      <c r="J1421"/>
      <c r="K1421"/>
      <c r="L1421"/>
      <c r="M1421"/>
      <c r="N1421"/>
      <c r="O1421"/>
      <c r="P1421"/>
      <c r="Q1421" s="1845" t="str">
        <f>CHOOSE(2, "6722000004339", "▷ Blank 59")</f>
        <v>▷ Blank 59</v>
      </c>
      <c r="R1421"/>
      <c r="S1421"/>
      <c r="T1421"/>
      <c r="U1421"/>
      <c r="V1421"/>
      <c r="W1421"/>
      <c r="X1421"/>
      <c r="Y1421"/>
      <c r="Z1421"/>
      <c r="AA1421"/>
      <c r="AB1421"/>
      <c r="AC1421"/>
      <c r="AD1421"/>
      <c r="AE1421"/>
      <c r="AF1421"/>
      <c r="AG1421"/>
      <c r="AH1421"/>
      <c r="AI1421"/>
      <c r="AJ1421"/>
    </row>
    <row r="1422" spans="1:36" ht="14.5">
      <c r="A1422" s="616">
        <v>1</v>
      </c>
      <c r="B1422" s="616">
        <v>1</v>
      </c>
      <c r="C1422" s="616" t="s">
        <v>1540</v>
      </c>
      <c r="D1422" s="709" t="s">
        <v>1308</v>
      </c>
      <c r="E1422" s="2650" t="s">
        <v>1369</v>
      </c>
      <c r="F1422" s="2651"/>
      <c r="G1422" s="4" t="s">
        <v>1657</v>
      </c>
      <c r="I1422" s="22"/>
      <c r="J1422" s="22"/>
      <c r="K1422" s="4"/>
      <c r="L1422" s="3"/>
      <c r="M1422" s="4"/>
      <c r="N1422" s="4"/>
      <c r="O1422" s="3"/>
      <c r="P1422" s="3"/>
      <c r="Q1422" s="1845" t="str">
        <f>CHOOSE(2, "6722000004340", "9-4. Inventories: BT + BIC +IIS")</f>
        <v>9-4. Inventories: BT + BIC +IIS</v>
      </c>
      <c r="R1422"/>
      <c r="S1422"/>
      <c r="T1422"/>
      <c r="U1422"/>
      <c r="V1422"/>
      <c r="W1422"/>
      <c r="X1422"/>
      <c r="Y1422"/>
      <c r="Z1422"/>
      <c r="AA1422"/>
      <c r="AB1422"/>
      <c r="AC1422"/>
      <c r="AD1422"/>
      <c r="AE1422"/>
      <c r="AF1422"/>
      <c r="AG1422"/>
      <c r="AH1422"/>
      <c r="AI1422"/>
      <c r="AJ1422"/>
    </row>
    <row r="1423" spans="1:36" ht="14.5">
      <c r="A1423" s="616">
        <v>1</v>
      </c>
      <c r="B1423" s="616">
        <v>1</v>
      </c>
      <c r="C1423" s="616" t="s">
        <v>1540</v>
      </c>
      <c r="D1423" s="709" t="s">
        <v>1308</v>
      </c>
      <c r="E1423" s="2650" t="s">
        <v>1369</v>
      </c>
      <c r="F1423" s="2651"/>
      <c r="G1423" s="8"/>
      <c r="H1423" s="4"/>
      <c r="I1423" s="3041"/>
      <c r="J1423" s="447"/>
      <c r="K1423" s="514"/>
      <c r="L1423" s="514"/>
      <c r="M1423" s="447"/>
      <c r="N1423" s="447"/>
      <c r="O1423" s="447"/>
      <c r="P1423" s="447"/>
      <c r="Q1423" s="1773" t="str">
        <f>CHOOSE(2, "6722000004341", "▷ Blank 60")</f>
        <v>▷ Blank 60</v>
      </c>
      <c r="R1423" s="1878">
        <f>R13</f>
        <v>44652</v>
      </c>
      <c r="S1423" s="1878">
        <f t="shared" ref="S1423:AC1423" si="1873">S13</f>
        <v>44682</v>
      </c>
      <c r="T1423" s="1878">
        <f t="shared" si="1873"/>
        <v>44713</v>
      </c>
      <c r="U1423" s="1878">
        <f t="shared" si="1873"/>
        <v>44743</v>
      </c>
      <c r="V1423" s="1878">
        <f t="shared" si="1873"/>
        <v>44774</v>
      </c>
      <c r="W1423" s="1878">
        <f t="shared" si="1873"/>
        <v>44805</v>
      </c>
      <c r="X1423" s="1878">
        <f t="shared" si="1873"/>
        <v>44835</v>
      </c>
      <c r="Y1423" s="1878">
        <f t="shared" si="1873"/>
        <v>44866</v>
      </c>
      <c r="Z1423" s="1878">
        <f t="shared" si="1873"/>
        <v>44896</v>
      </c>
      <c r="AA1423" s="1878">
        <f t="shared" si="1873"/>
        <v>44927</v>
      </c>
      <c r="AB1423" s="1878">
        <f t="shared" si="1873"/>
        <v>44958</v>
      </c>
      <c r="AC1423" s="1878">
        <f t="shared" si="1873"/>
        <v>44986</v>
      </c>
      <c r="AD1423" s="2546" t="s">
        <v>951</v>
      </c>
      <c r="AE1423" s="2546" t="s">
        <v>36</v>
      </c>
      <c r="AF1423" s="2546" t="s">
        <v>35</v>
      </c>
      <c r="AG1423" s="2546" t="s">
        <v>34</v>
      </c>
      <c r="AH1423" s="2546" t="s">
        <v>33</v>
      </c>
      <c r="AI1423" s="2546" t="s">
        <v>32</v>
      </c>
      <c r="AJ1423" s="2546" t="s">
        <v>921</v>
      </c>
    </row>
    <row r="1424" spans="1:36" ht="14.5">
      <c r="A1424" s="616">
        <v>1</v>
      </c>
      <c r="B1424" s="616">
        <v>1</v>
      </c>
      <c r="C1424" s="616" t="s">
        <v>1540</v>
      </c>
      <c r="D1424" s="709" t="s">
        <v>1308</v>
      </c>
      <c r="E1424" s="2650" t="s">
        <v>1369</v>
      </c>
      <c r="F1424" s="2651"/>
      <c r="G1424" s="8"/>
      <c r="H1424" s="4"/>
      <c r="I1424" s="2253" t="s">
        <v>1658</v>
      </c>
      <c r="J1424" s="1509"/>
      <c r="K1424" s="1509"/>
      <c r="L1424" s="1509"/>
      <c r="M1424" s="1523"/>
      <c r="N1424" s="1523"/>
      <c r="O1424" s="1523"/>
      <c r="P1424" s="1523"/>
      <c r="Q1424" s="1849" t="str">
        <f>CHOOSE(2, "6722000004342", "Inventories (0) TIS")</f>
        <v>Inventories (0) TIS</v>
      </c>
      <c r="R1424" s="2601">
        <f t="shared" ref="R1424:AJ1424" si="1874">R1425+R1426+R1427</f>
        <v>977521.44212309434</v>
      </c>
      <c r="S1424" s="2601">
        <f t="shared" si="1874"/>
        <v>1157746.4073328776</v>
      </c>
      <c r="T1424" s="2601">
        <f t="shared" si="1874"/>
        <v>1166119.1469635426</v>
      </c>
      <c r="U1424" s="2601">
        <f t="shared" si="1874"/>
        <v>1423792.9568983035</v>
      </c>
      <c r="V1424" s="2601">
        <f t="shared" si="1874"/>
        <v>1326364</v>
      </c>
      <c r="W1424" s="2601">
        <f t="shared" si="1874"/>
        <v>1459701.9303787234</v>
      </c>
      <c r="X1424" s="2601">
        <f t="shared" si="1874"/>
        <v>1469834.3832580918</v>
      </c>
      <c r="Y1424" s="2601">
        <f t="shared" si="1874"/>
        <v>1626519.3673690674</v>
      </c>
      <c r="Z1424" s="2601">
        <f t="shared" si="1874"/>
        <v>1594020.3093000001</v>
      </c>
      <c r="AA1424" s="2601">
        <f t="shared" si="1874"/>
        <v>1653495.060136005</v>
      </c>
      <c r="AB1424" s="2601">
        <f t="shared" si="1874"/>
        <v>1900406</v>
      </c>
      <c r="AC1424" s="2601">
        <f t="shared" si="1874"/>
        <v>1807537.7760207402</v>
      </c>
      <c r="AD1424" s="2601">
        <f t="shared" si="1874"/>
        <v>1166119.1469635426</v>
      </c>
      <c r="AE1424" s="2601">
        <f t="shared" si="1874"/>
        <v>1459701.9303787234</v>
      </c>
      <c r="AF1424" s="2601">
        <f t="shared" si="1874"/>
        <v>1594020.3093000001</v>
      </c>
      <c r="AG1424" s="2601">
        <f t="shared" si="1874"/>
        <v>1807537.7760207402</v>
      </c>
      <c r="AH1424" s="2601">
        <f t="shared" si="1874"/>
        <v>1459701.9303787234</v>
      </c>
      <c r="AI1424" s="2601">
        <f t="shared" si="1874"/>
        <v>1807537.7760207402</v>
      </c>
      <c r="AJ1424" s="2601">
        <f t="shared" si="1874"/>
        <v>1807537.7760207402</v>
      </c>
    </row>
    <row r="1425" spans="1:36" ht="14.5">
      <c r="A1425" s="616">
        <v>1</v>
      </c>
      <c r="B1425" s="616">
        <v>1</v>
      </c>
      <c r="C1425" s="616" t="s">
        <v>1540</v>
      </c>
      <c r="D1425" s="709" t="s">
        <v>1308</v>
      </c>
      <c r="E1425" s="2650" t="s">
        <v>1369</v>
      </c>
      <c r="F1425" s="2651"/>
      <c r="G1425" s="8"/>
      <c r="H1425" s="4"/>
      <c r="I1425" s="27"/>
      <c r="J1425" s="3" t="s">
        <v>718</v>
      </c>
      <c r="K1425" s="3"/>
      <c r="L1425" s="3"/>
      <c r="M1425" s="4"/>
      <c r="N1425" s="3"/>
      <c r="O1425" s="3"/>
      <c r="P1425" s="3"/>
      <c r="Q1425" s="1849" t="str">
        <f>CHOOSE(2, "6722000004343", "Inventories (0) TIS Purchased from KM group")</f>
        <v>Inventories (0) TIS Purchased from KM group</v>
      </c>
      <c r="R1425" s="2602">
        <f t="shared" ref="R1425:AJ1425" si="1875">R1429+R1442+R1432+R1435+R1439+R1445+R1448+R1449</f>
        <v>922410.0072930943</v>
      </c>
      <c r="S1425" s="2602">
        <f t="shared" si="1875"/>
        <v>1066791.1900828776</v>
      </c>
      <c r="T1425" s="2602">
        <f t="shared" si="1875"/>
        <v>1073658.5355435426</v>
      </c>
      <c r="U1425" s="2602">
        <f t="shared" si="1875"/>
        <v>1319598.5068683035</v>
      </c>
      <c r="V1425" s="2602">
        <f t="shared" si="1875"/>
        <v>1229766</v>
      </c>
      <c r="W1425" s="2602">
        <f t="shared" si="1875"/>
        <v>1382701.3772287234</v>
      </c>
      <c r="X1425" s="2602">
        <f t="shared" si="1875"/>
        <v>1390649.6760780916</v>
      </c>
      <c r="Y1425" s="2602">
        <f t="shared" si="1875"/>
        <v>1580210.2130390673</v>
      </c>
      <c r="Z1425" s="2602">
        <f t="shared" si="1875"/>
        <v>1548001</v>
      </c>
      <c r="AA1425" s="2602">
        <f t="shared" si="1875"/>
        <v>1611601.8306660051</v>
      </c>
      <c r="AB1425" s="1924">
        <f t="shared" si="1875"/>
        <v>1859090.3840899998</v>
      </c>
      <c r="AC1425" s="1924">
        <f t="shared" si="1875"/>
        <v>1752599.4376707401</v>
      </c>
      <c r="AD1425" s="1926">
        <f t="shared" si="1875"/>
        <v>1073658.5355435426</v>
      </c>
      <c r="AE1425" s="1926">
        <f t="shared" si="1875"/>
        <v>1382701.3772287234</v>
      </c>
      <c r="AF1425" s="1926">
        <f t="shared" si="1875"/>
        <v>1548001</v>
      </c>
      <c r="AG1425" s="1926">
        <f t="shared" si="1875"/>
        <v>1752599.4376707401</v>
      </c>
      <c r="AH1425" s="1926">
        <f t="shared" si="1875"/>
        <v>1382701.3772287234</v>
      </c>
      <c r="AI1425" s="1926">
        <f t="shared" si="1875"/>
        <v>1752599.4376707401</v>
      </c>
      <c r="AJ1425" s="1926">
        <f t="shared" si="1875"/>
        <v>1752599.4376707401</v>
      </c>
    </row>
    <row r="1426" spans="1:36" ht="14.5">
      <c r="A1426" s="616">
        <v>1</v>
      </c>
      <c r="B1426" s="616">
        <v>1</v>
      </c>
      <c r="C1426" s="616" t="s">
        <v>1540</v>
      </c>
      <c r="D1426" s="709" t="s">
        <v>1308</v>
      </c>
      <c r="E1426" s="2650" t="s">
        <v>1369</v>
      </c>
      <c r="F1426" s="2651"/>
      <c r="G1426" s="8"/>
      <c r="H1426" s="8"/>
      <c r="I1426" s="27"/>
      <c r="J1426" s="3" t="s">
        <v>600</v>
      </c>
      <c r="K1426" s="3"/>
      <c r="L1426" s="3"/>
      <c r="M1426" s="4"/>
      <c r="N1426" s="3"/>
      <c r="O1426" s="3"/>
      <c r="P1426" s="3"/>
      <c r="Q1426" s="1849" t="str">
        <f>CHOOSE(2, "6722000004344", "Inventories (0) TIS Purchased from MGI (BT-Gr)")</f>
        <v>Inventories (0) TIS Purchased from MGI (BT-Gr)</v>
      </c>
      <c r="R1426" s="2603">
        <f t="shared" ref="R1426:AJ1426" si="1876">R1436</f>
        <v>14131</v>
      </c>
      <c r="S1426" s="2603">
        <f t="shared" si="1876"/>
        <v>18188</v>
      </c>
      <c r="T1426" s="2603">
        <f t="shared" si="1876"/>
        <v>15879</v>
      </c>
      <c r="U1426" s="2603">
        <f t="shared" si="1876"/>
        <v>20626</v>
      </c>
      <c r="V1426" s="2603">
        <f t="shared" si="1876"/>
        <v>22247</v>
      </c>
      <c r="W1426" s="2603">
        <f t="shared" si="1876"/>
        <v>22395</v>
      </c>
      <c r="X1426" s="2603">
        <f t="shared" si="1876"/>
        <v>21938.57761</v>
      </c>
      <c r="Y1426" s="2603">
        <f t="shared" si="1876"/>
        <v>18211</v>
      </c>
      <c r="Z1426" s="2603">
        <f t="shared" si="1876"/>
        <v>20238.521679999998</v>
      </c>
      <c r="AA1426" s="2603">
        <f t="shared" si="1876"/>
        <v>18741.294670000003</v>
      </c>
      <c r="AB1426" s="1926">
        <f t="shared" si="1876"/>
        <v>17607.8033</v>
      </c>
      <c r="AC1426" s="1926">
        <f t="shared" si="1876"/>
        <v>21659.121199999998</v>
      </c>
      <c r="AD1426" s="1926">
        <f t="shared" si="1876"/>
        <v>15879</v>
      </c>
      <c r="AE1426" s="1926">
        <f t="shared" si="1876"/>
        <v>22395</v>
      </c>
      <c r="AF1426" s="1926">
        <f t="shared" si="1876"/>
        <v>20238.521679999998</v>
      </c>
      <c r="AG1426" s="1926">
        <f t="shared" si="1876"/>
        <v>21659.121199999998</v>
      </c>
      <c r="AH1426" s="1926">
        <f t="shared" si="1876"/>
        <v>22395</v>
      </c>
      <c r="AI1426" s="1926">
        <f t="shared" si="1876"/>
        <v>21659.121199999998</v>
      </c>
      <c r="AJ1426" s="1926">
        <f t="shared" si="1876"/>
        <v>21659.121199999998</v>
      </c>
    </row>
    <row r="1427" spans="1:36" ht="14.5">
      <c r="A1427" s="616">
        <v>1</v>
      </c>
      <c r="B1427" s="616">
        <v>1</v>
      </c>
      <c r="C1427" s="616" t="s">
        <v>1540</v>
      </c>
      <c r="D1427" s="709" t="s">
        <v>1308</v>
      </c>
      <c r="E1427" s="2650" t="s">
        <v>1369</v>
      </c>
      <c r="F1427" s="2651"/>
      <c r="G1427" s="8"/>
      <c r="H1427" s="4"/>
      <c r="I1427" s="25"/>
      <c r="J1427" s="3" t="s">
        <v>66</v>
      </c>
      <c r="K1427" s="3"/>
      <c r="L1427" s="3"/>
      <c r="M1427" s="4"/>
      <c r="N1427" s="3"/>
      <c r="O1427" s="3"/>
      <c r="P1427" s="3"/>
      <c r="Q1427" s="1849" t="str">
        <f>CHOOSE(2, "6722000004345", "Inventories (0) TIS 3rd Party")</f>
        <v>Inventories (0) TIS 3rd Party</v>
      </c>
      <c r="R1427" s="2604">
        <f t="shared" ref="R1427:AC1427" si="1877">R1430+R1443+R1433+R1437+R1440+R1446+R1450</f>
        <v>40980.434829999998</v>
      </c>
      <c r="S1427" s="2604">
        <f t="shared" si="1877"/>
        <v>72767.217250000045</v>
      </c>
      <c r="T1427" s="2604">
        <f t="shared" si="1877"/>
        <v>76581.611420000074</v>
      </c>
      <c r="U1427" s="2604">
        <f t="shared" si="1877"/>
        <v>83568.450030000051</v>
      </c>
      <c r="V1427" s="2604">
        <f t="shared" si="1877"/>
        <v>74351</v>
      </c>
      <c r="W1427" s="2604">
        <f t="shared" si="1877"/>
        <v>54605.553150000051</v>
      </c>
      <c r="X1427" s="2604">
        <f t="shared" si="1877"/>
        <v>57246.129570000048</v>
      </c>
      <c r="Y1427" s="2604">
        <f t="shared" si="1877"/>
        <v>28098.154330000027</v>
      </c>
      <c r="Z1427" s="2604">
        <f t="shared" si="1877"/>
        <v>25780.787620000025</v>
      </c>
      <c r="AA1427" s="2604">
        <f t="shared" si="1877"/>
        <v>23151.934800000035</v>
      </c>
      <c r="AB1427" s="1928">
        <f t="shared" si="1877"/>
        <v>23707.812610000037</v>
      </c>
      <c r="AC1427" s="1928">
        <f t="shared" si="1877"/>
        <v>33279.21715000004</v>
      </c>
      <c r="AD1427" s="1926">
        <f t="shared" ref="AD1427:AJ1427" si="1878">AD1430+AD1443+AD1433+AD1437+AD1440</f>
        <v>76581.611420000074</v>
      </c>
      <c r="AE1427" s="1926">
        <f t="shared" si="1878"/>
        <v>54605.553150000051</v>
      </c>
      <c r="AF1427" s="1926">
        <f t="shared" si="1878"/>
        <v>25780.787620000025</v>
      </c>
      <c r="AG1427" s="1926">
        <f t="shared" si="1878"/>
        <v>33279.21715000004</v>
      </c>
      <c r="AH1427" s="1926">
        <f t="shared" si="1878"/>
        <v>54605.553150000051</v>
      </c>
      <c r="AI1427" s="1926">
        <f t="shared" si="1878"/>
        <v>33279.21715000004</v>
      </c>
      <c r="AJ1427" s="1926">
        <f t="shared" si="1878"/>
        <v>33279.21715000004</v>
      </c>
    </row>
    <row r="1428" spans="1:36" ht="14.5">
      <c r="A1428" s="616">
        <v>1</v>
      </c>
      <c r="B1428" s="616">
        <v>1</v>
      </c>
      <c r="C1428" s="616" t="s">
        <v>1540</v>
      </c>
      <c r="D1428" s="709" t="s">
        <v>1308</v>
      </c>
      <c r="E1428" s="2650" t="s">
        <v>1369</v>
      </c>
      <c r="F1428" s="2651"/>
      <c r="G1428" s="8"/>
      <c r="H1428" s="4"/>
      <c r="I1428" s="498" t="s">
        <v>30</v>
      </c>
      <c r="J1428" s="586"/>
      <c r="K1428" s="586"/>
      <c r="L1428" s="586"/>
      <c r="M1428" s="707"/>
      <c r="N1428" s="586"/>
      <c r="O1428" s="586"/>
      <c r="P1428" s="586"/>
      <c r="Q1428" s="1850" t="str">
        <f>CHOOSE(2, "6722000004346", "Inventories (1) Office")</f>
        <v>Inventories (1) Office</v>
      </c>
      <c r="R1428" s="1400">
        <f t="shared" ref="R1428:AC1428" si="1879">SUM(R1429:R1430)</f>
        <v>216570</v>
      </c>
      <c r="S1428" s="1400">
        <f t="shared" si="1879"/>
        <v>246006</v>
      </c>
      <c r="T1428" s="1400">
        <f t="shared" si="1879"/>
        <v>253403</v>
      </c>
      <c r="U1428" s="1400">
        <f t="shared" si="1879"/>
        <v>355360</v>
      </c>
      <c r="V1428" s="1400">
        <f t="shared" si="1879"/>
        <v>337162</v>
      </c>
      <c r="W1428" s="1400">
        <f t="shared" si="1879"/>
        <v>384687</v>
      </c>
      <c r="X1428" s="1400">
        <f t="shared" si="1879"/>
        <v>358623.00989188929</v>
      </c>
      <c r="Y1428" s="1400">
        <f t="shared" si="1879"/>
        <v>431745</v>
      </c>
      <c r="Z1428" s="1400">
        <f t="shared" si="1879"/>
        <v>409311</v>
      </c>
      <c r="AA1428" s="1400">
        <f t="shared" si="1879"/>
        <v>479339</v>
      </c>
      <c r="AB1428" s="1400">
        <f t="shared" si="1879"/>
        <v>587597.64107224962</v>
      </c>
      <c r="AC1428" s="1400">
        <f t="shared" si="1879"/>
        <v>586352.85967000003</v>
      </c>
      <c r="AD1428" s="1400">
        <f t="shared" ref="AD1428:AJ1428" si="1880">SUM(AD1429:AD1430)</f>
        <v>253403</v>
      </c>
      <c r="AE1428" s="1400">
        <f t="shared" si="1880"/>
        <v>384687</v>
      </c>
      <c r="AF1428" s="1400">
        <f t="shared" si="1880"/>
        <v>409311</v>
      </c>
      <c r="AG1428" s="1400">
        <f t="shared" si="1880"/>
        <v>586352.85967000003</v>
      </c>
      <c r="AH1428" s="1400">
        <f t="shared" si="1880"/>
        <v>384687</v>
      </c>
      <c r="AI1428" s="1400">
        <f t="shared" si="1880"/>
        <v>586352.85967000003</v>
      </c>
      <c r="AJ1428" s="1400">
        <f t="shared" si="1880"/>
        <v>586352.85967000003</v>
      </c>
    </row>
    <row r="1429" spans="1:36" ht="14.5">
      <c r="A1429" s="616">
        <v>1</v>
      </c>
      <c r="B1429" s="616">
        <v>1</v>
      </c>
      <c r="C1429" s="616" t="s">
        <v>1540</v>
      </c>
      <c r="D1429" s="709" t="s">
        <v>1308</v>
      </c>
      <c r="E1429" s="2650" t="s">
        <v>1369</v>
      </c>
      <c r="F1429" s="2651"/>
      <c r="G1429" s="8"/>
      <c r="H1429" s="4"/>
      <c r="I1429" s="498"/>
      <c r="J1429" s="3" t="s">
        <v>586</v>
      </c>
      <c r="K1429" s="3"/>
      <c r="L1429" s="3"/>
      <c r="M1429" s="4"/>
      <c r="N1429" s="3"/>
      <c r="O1429" s="3"/>
      <c r="P1429" s="3"/>
      <c r="Q1429" s="1850" t="str">
        <f>CHOOSE(2, "6722000004347", "Inventories (1) Office Purchased from BT cons. companies")</f>
        <v>Inventories (1) Office Purchased from BT cons. companies</v>
      </c>
      <c r="R1429" s="1378">
        <f t="shared" ref="R1429:AC1430" si="1881">R1067</f>
        <v>214437</v>
      </c>
      <c r="S1429" s="1378">
        <f t="shared" si="1881"/>
        <v>243760</v>
      </c>
      <c r="T1429" s="1378">
        <f t="shared" si="1881"/>
        <v>251175</v>
      </c>
      <c r="U1429" s="1378">
        <f t="shared" si="1881"/>
        <v>350102</v>
      </c>
      <c r="V1429" s="1378">
        <f t="shared" si="1881"/>
        <v>332502</v>
      </c>
      <c r="W1429" s="1378">
        <f t="shared" si="1881"/>
        <v>380405</v>
      </c>
      <c r="X1429" s="1378">
        <f t="shared" si="1881"/>
        <v>353496.00989188929</v>
      </c>
      <c r="Y1429" s="1378">
        <f t="shared" si="1881"/>
        <v>427338</v>
      </c>
      <c r="Z1429" s="1378">
        <f t="shared" si="1881"/>
        <v>405737</v>
      </c>
      <c r="AA1429" s="1378">
        <f t="shared" si="1881"/>
        <v>475891</v>
      </c>
      <c r="AB1429" s="1378">
        <f t="shared" si="1881"/>
        <v>582284.04480224964</v>
      </c>
      <c r="AC1429" s="1378">
        <f t="shared" si="1881"/>
        <v>575224</v>
      </c>
      <c r="AD1429" s="1378">
        <f>T1429</f>
        <v>251175</v>
      </c>
      <c r="AE1429" s="1378">
        <f>W1429</f>
        <v>380405</v>
      </c>
      <c r="AF1429" s="1378">
        <f>Z1429</f>
        <v>405737</v>
      </c>
      <c r="AG1429" s="1378">
        <f>AC1429</f>
        <v>575224</v>
      </c>
      <c r="AH1429" s="1378">
        <f>AE1429</f>
        <v>380405</v>
      </c>
      <c r="AI1429" s="1378">
        <f>AG1429</f>
        <v>575224</v>
      </c>
      <c r="AJ1429" s="1378">
        <f>AI1429</f>
        <v>575224</v>
      </c>
    </row>
    <row r="1430" spans="1:36" ht="14.5">
      <c r="A1430" s="616">
        <v>1</v>
      </c>
      <c r="B1430" s="616">
        <v>1</v>
      </c>
      <c r="C1430" s="616" t="s">
        <v>1540</v>
      </c>
      <c r="D1430" s="709" t="s">
        <v>1308</v>
      </c>
      <c r="E1430" s="2650" t="s">
        <v>1369</v>
      </c>
      <c r="F1430" s="2651"/>
      <c r="G1430" s="8"/>
      <c r="H1430" s="4"/>
      <c r="I1430" s="788"/>
      <c r="J1430" s="3" t="s">
        <v>66</v>
      </c>
      <c r="K1430" s="3"/>
      <c r="L1430" s="3"/>
      <c r="M1430" s="4"/>
      <c r="N1430" s="3"/>
      <c r="O1430" s="3"/>
      <c r="P1430" s="3"/>
      <c r="Q1430" s="1850" t="str">
        <f>CHOOSE(2, "6722000004348", "Inventories (1) Office 3rd Party")</f>
        <v>Inventories (1) Office 3rd Party</v>
      </c>
      <c r="R1430" s="1378">
        <f t="shared" si="1881"/>
        <v>2133</v>
      </c>
      <c r="S1430" s="1378">
        <f t="shared" si="1881"/>
        <v>2246</v>
      </c>
      <c r="T1430" s="1378">
        <f t="shared" si="1881"/>
        <v>2228</v>
      </c>
      <c r="U1430" s="1378">
        <f t="shared" si="1881"/>
        <v>5258</v>
      </c>
      <c r="V1430" s="1378">
        <f t="shared" si="1881"/>
        <v>4660</v>
      </c>
      <c r="W1430" s="1378">
        <f t="shared" si="1881"/>
        <v>4282</v>
      </c>
      <c r="X1430" s="1378">
        <f t="shared" si="1881"/>
        <v>5127</v>
      </c>
      <c r="Y1430" s="1378">
        <f t="shared" si="1881"/>
        <v>4407</v>
      </c>
      <c r="Z1430" s="1378">
        <f t="shared" si="1881"/>
        <v>3574</v>
      </c>
      <c r="AA1430" s="1378">
        <f t="shared" si="1881"/>
        <v>3448</v>
      </c>
      <c r="AB1430" s="1378">
        <f t="shared" si="1881"/>
        <v>5313.5962700000055</v>
      </c>
      <c r="AC1430" s="1378">
        <f t="shared" si="1881"/>
        <v>11128.859670000002</v>
      </c>
      <c r="AD1430" s="1378">
        <f>T1430</f>
        <v>2228</v>
      </c>
      <c r="AE1430" s="1378">
        <f>W1430</f>
        <v>4282</v>
      </c>
      <c r="AF1430" s="1378">
        <f>Z1430</f>
        <v>3574</v>
      </c>
      <c r="AG1430" s="1378">
        <f>AC1430</f>
        <v>11128.859670000002</v>
      </c>
      <c r="AH1430" s="1378">
        <f>AE1430</f>
        <v>4282</v>
      </c>
      <c r="AI1430" s="1378">
        <f>AG1430</f>
        <v>11128.859670000002</v>
      </c>
      <c r="AJ1430" s="1378">
        <f>AI1430</f>
        <v>11128.859670000002</v>
      </c>
    </row>
    <row r="1431" spans="1:36" ht="14.5">
      <c r="A1431" s="616">
        <v>1</v>
      </c>
      <c r="B1431" s="616">
        <v>1</v>
      </c>
      <c r="C1431" s="616" t="s">
        <v>1540</v>
      </c>
      <c r="D1431" s="709" t="s">
        <v>1308</v>
      </c>
      <c r="E1431" s="2650" t="s">
        <v>1369</v>
      </c>
      <c r="F1431" s="2651"/>
      <c r="G1431" s="8"/>
      <c r="H1431" s="4"/>
      <c r="I1431" s="498" t="s">
        <v>1395</v>
      </c>
      <c r="J1431" s="586"/>
      <c r="K1431" s="586"/>
      <c r="L1431" s="586"/>
      <c r="M1431" s="707"/>
      <c r="N1431" s="586"/>
      <c r="O1431" s="586"/>
      <c r="P1431" s="586"/>
      <c r="Q1431" s="1850" t="str">
        <f>CHOOSE(2, "6722000004349", "Inventories (2) PP")</f>
        <v>Inventories (2) PP</v>
      </c>
      <c r="R1431" s="1400">
        <f t="shared" ref="R1431:AC1431" si="1882">SUM(R1432:R1433)</f>
        <v>711417.44212309434</v>
      </c>
      <c r="S1431" s="1400">
        <f t="shared" si="1882"/>
        <v>843713.61815188744</v>
      </c>
      <c r="T1431" s="1400">
        <f t="shared" si="1882"/>
        <v>840783.29475354264</v>
      </c>
      <c r="U1431" s="1400">
        <f t="shared" si="1882"/>
        <v>986395.95689830359</v>
      </c>
      <c r="V1431" s="1400">
        <f t="shared" si="1882"/>
        <v>915550</v>
      </c>
      <c r="W1431" s="1400">
        <f t="shared" si="1882"/>
        <v>998566.93037872354</v>
      </c>
      <c r="X1431" s="1400">
        <f t="shared" si="1882"/>
        <v>1025900.7996262023</v>
      </c>
      <c r="Y1431" s="1400">
        <f t="shared" si="1882"/>
        <v>1117019.3673690674</v>
      </c>
      <c r="Z1431" s="1400">
        <f t="shared" si="1882"/>
        <v>1104374.1585200001</v>
      </c>
      <c r="AA1431" s="1400">
        <f t="shared" si="1882"/>
        <v>1088677.3579382203</v>
      </c>
      <c r="AB1431" s="1400">
        <f t="shared" si="1882"/>
        <v>1160828.024790497</v>
      </c>
      <c r="AC1431" s="1400">
        <f t="shared" si="1882"/>
        <v>1100482.1667938512</v>
      </c>
      <c r="AD1431" s="1400">
        <f t="shared" ref="AD1431:AJ1431" si="1883">SUM(AD1432:AD1433)</f>
        <v>840783.29475354264</v>
      </c>
      <c r="AE1431" s="1400">
        <f t="shared" si="1883"/>
        <v>998566.93037872354</v>
      </c>
      <c r="AF1431" s="1400">
        <f t="shared" si="1883"/>
        <v>1104374.1585200001</v>
      </c>
      <c r="AG1431" s="1400">
        <f t="shared" si="1883"/>
        <v>1100482.1667938512</v>
      </c>
      <c r="AH1431" s="1400">
        <f t="shared" si="1883"/>
        <v>998566.93037872354</v>
      </c>
      <c r="AI1431" s="1400">
        <f t="shared" si="1883"/>
        <v>1100482.1667938512</v>
      </c>
      <c r="AJ1431" s="1400">
        <f t="shared" si="1883"/>
        <v>1100482.1667938512</v>
      </c>
    </row>
    <row r="1432" spans="1:36" ht="14.5">
      <c r="A1432" s="616">
        <v>1</v>
      </c>
      <c r="B1432" s="616">
        <v>1</v>
      </c>
      <c r="C1432" s="616" t="s">
        <v>1540</v>
      </c>
      <c r="D1432" s="709" t="s">
        <v>1308</v>
      </c>
      <c r="E1432" s="2650" t="s">
        <v>1369</v>
      </c>
      <c r="F1432" s="2651"/>
      <c r="G1432" s="8"/>
      <c r="H1432" s="4"/>
      <c r="I1432" s="498"/>
      <c r="J1432" s="3" t="s">
        <v>586</v>
      </c>
      <c r="K1432" s="3"/>
      <c r="L1432" s="3"/>
      <c r="M1432" s="4"/>
      <c r="N1432" s="3"/>
      <c r="O1432" s="3"/>
      <c r="P1432" s="3"/>
      <c r="Q1432" s="1850" t="str">
        <f>CHOOSE(2, "6722000004350", "Inventories (2) PP Purchased from BT cons. companies")</f>
        <v>Inventories (2) PP Purchased from BT cons. companies</v>
      </c>
      <c r="R1432" s="1378">
        <f t="shared" ref="R1432:AC1433" si="1884">R1070</f>
        <v>680613.0072930943</v>
      </c>
      <c r="S1432" s="1378">
        <f t="shared" si="1884"/>
        <v>783863.16616188735</v>
      </c>
      <c r="T1432" s="1378">
        <f t="shared" si="1884"/>
        <v>774370.53554354259</v>
      </c>
      <c r="U1432" s="1378">
        <f t="shared" si="1884"/>
        <v>917600.50686830352</v>
      </c>
      <c r="V1432" s="1378">
        <f t="shared" si="1884"/>
        <v>855220</v>
      </c>
      <c r="W1432" s="1378">
        <f t="shared" si="1884"/>
        <v>952471.37722872349</v>
      </c>
      <c r="X1432" s="1378">
        <f t="shared" si="1884"/>
        <v>983683.66618620232</v>
      </c>
      <c r="Y1432" s="1378">
        <f t="shared" si="1884"/>
        <v>1102388.2130390673</v>
      </c>
      <c r="Z1432" s="1378">
        <f t="shared" si="1884"/>
        <v>1090795</v>
      </c>
      <c r="AA1432" s="1378">
        <f t="shared" si="1884"/>
        <v>1076297.3190482203</v>
      </c>
      <c r="AB1432" s="1378">
        <f t="shared" si="1884"/>
        <v>1150361.513350497</v>
      </c>
      <c r="AC1432" s="1378">
        <f t="shared" si="1884"/>
        <v>1090209.2609738512</v>
      </c>
      <c r="AD1432" s="1378">
        <f>T1432</f>
        <v>774370.53554354259</v>
      </c>
      <c r="AE1432" s="1378">
        <f>W1432</f>
        <v>952471.37722872349</v>
      </c>
      <c r="AF1432" s="1378">
        <f>Z1432</f>
        <v>1090795</v>
      </c>
      <c r="AG1432" s="1378">
        <f>AC1432</f>
        <v>1090209.2609738512</v>
      </c>
      <c r="AH1432" s="1378">
        <f>AE1432</f>
        <v>952471.37722872349</v>
      </c>
      <c r="AI1432" s="1378">
        <f>AG1432</f>
        <v>1090209.2609738512</v>
      </c>
      <c r="AJ1432" s="1378">
        <f>AI1432</f>
        <v>1090209.2609738512</v>
      </c>
    </row>
    <row r="1433" spans="1:36" ht="14.5">
      <c r="A1433" s="616">
        <v>1</v>
      </c>
      <c r="B1433" s="616">
        <v>1</v>
      </c>
      <c r="C1433" s="616" t="s">
        <v>1540</v>
      </c>
      <c r="D1433" s="709" t="s">
        <v>1308</v>
      </c>
      <c r="E1433" s="2650" t="s">
        <v>1369</v>
      </c>
      <c r="F1433" s="2651"/>
      <c r="G1433" s="8"/>
      <c r="H1433" s="4"/>
      <c r="I1433" s="788"/>
      <c r="J1433" s="3" t="s">
        <v>66</v>
      </c>
      <c r="K1433" s="3"/>
      <c r="L1433" s="3"/>
      <c r="M1433" s="4"/>
      <c r="N1433" s="3"/>
      <c r="O1433" s="3"/>
      <c r="P1433" s="3"/>
      <c r="Q1433" s="1850" t="str">
        <f>CHOOSE(2, "6722000004351", "Inventories (2) PP 3rd Party")</f>
        <v>Inventories (2) PP 3rd Party</v>
      </c>
      <c r="R1433" s="1378">
        <f t="shared" si="1884"/>
        <v>30804.434830000002</v>
      </c>
      <c r="S1433" s="1378">
        <f t="shared" si="1884"/>
        <v>59850.451990000038</v>
      </c>
      <c r="T1433" s="1378">
        <f t="shared" si="1884"/>
        <v>66412.759210000047</v>
      </c>
      <c r="U1433" s="1378">
        <f t="shared" si="1884"/>
        <v>68795.450030000051</v>
      </c>
      <c r="V1433" s="1378">
        <f t="shared" si="1884"/>
        <v>60330</v>
      </c>
      <c r="W1433" s="1378">
        <f t="shared" si="1884"/>
        <v>46095.553150000051</v>
      </c>
      <c r="X1433" s="1378">
        <f t="shared" si="1884"/>
        <v>42217.133440000063</v>
      </c>
      <c r="Y1433" s="1378">
        <f t="shared" si="1884"/>
        <v>14631.154330000025</v>
      </c>
      <c r="Z1433" s="1378">
        <f t="shared" si="1884"/>
        <v>13579.158520000008</v>
      </c>
      <c r="AA1433" s="1378">
        <f t="shared" si="1884"/>
        <v>12380.038890000023</v>
      </c>
      <c r="AB1433" s="1378">
        <f t="shared" si="1884"/>
        <v>10466.511440000017</v>
      </c>
      <c r="AC1433" s="1378">
        <f t="shared" si="1884"/>
        <v>10272.905820000015</v>
      </c>
      <c r="AD1433" s="1378">
        <f>T1433</f>
        <v>66412.759210000047</v>
      </c>
      <c r="AE1433" s="1378">
        <f>W1433</f>
        <v>46095.553150000051</v>
      </c>
      <c r="AF1433" s="1378">
        <f>Z1433</f>
        <v>13579.158520000008</v>
      </c>
      <c r="AG1433" s="1378">
        <f>AC1433</f>
        <v>10272.905820000015</v>
      </c>
      <c r="AH1433" s="1378">
        <f>AE1433</f>
        <v>46095.553150000051</v>
      </c>
      <c r="AI1433" s="1378">
        <f>AG1433</f>
        <v>10272.905820000015</v>
      </c>
      <c r="AJ1433" s="1378">
        <f>AI1433</f>
        <v>10272.905820000015</v>
      </c>
    </row>
    <row r="1434" spans="1:36" ht="14.5">
      <c r="A1434" s="616">
        <v>1</v>
      </c>
      <c r="B1434" s="616">
        <v>1</v>
      </c>
      <c r="C1434" s="616" t="s">
        <v>1540</v>
      </c>
      <c r="D1434" s="709" t="s">
        <v>1308</v>
      </c>
      <c r="E1434" s="2650" t="s">
        <v>1369</v>
      </c>
      <c r="F1434" s="2651"/>
      <c r="G1434" s="8"/>
      <c r="H1434" s="4"/>
      <c r="I1434" s="3101" t="s">
        <v>1399</v>
      </c>
      <c r="J1434" s="586"/>
      <c r="K1434" s="586"/>
      <c r="L1434" s="586"/>
      <c r="M1434" s="707"/>
      <c r="N1434" s="586"/>
      <c r="O1434" s="586"/>
      <c r="P1434" s="586"/>
      <c r="Q1434" s="1850" t="str">
        <f>CHOOSE(2, "6722000004352", "Inventories (3) IP")</f>
        <v>Inventories (3) IP</v>
      </c>
      <c r="R1434" s="1400">
        <f t="shared" ref="R1434:AC1434" si="1885">SUM(R1435:R1437)</f>
        <v>38764</v>
      </c>
      <c r="S1434" s="1400">
        <f t="shared" si="1885"/>
        <v>58038</v>
      </c>
      <c r="T1434" s="1400">
        <f t="shared" si="1885"/>
        <v>62141.852210000026</v>
      </c>
      <c r="U1434" s="1400">
        <f t="shared" si="1885"/>
        <v>70620</v>
      </c>
      <c r="V1434" s="1400">
        <f t="shared" si="1885"/>
        <v>62910</v>
      </c>
      <c r="W1434" s="1400">
        <f t="shared" si="1885"/>
        <v>64868</v>
      </c>
      <c r="X1434" s="1400">
        <f t="shared" si="1885"/>
        <v>73506.573739999993</v>
      </c>
      <c r="Y1434" s="1400">
        <f t="shared" si="1885"/>
        <v>67043</v>
      </c>
      <c r="Z1434" s="1400">
        <f t="shared" si="1885"/>
        <v>70024.150780000011</v>
      </c>
      <c r="AA1434" s="1400">
        <f t="shared" si="1885"/>
        <v>73665.861800000013</v>
      </c>
      <c r="AB1434" s="1400">
        <f t="shared" si="1885"/>
        <v>139148.15546332579</v>
      </c>
      <c r="AC1434" s="1400">
        <f t="shared" si="1885"/>
        <v>105994.45755000002</v>
      </c>
      <c r="AD1434" s="1400">
        <f t="shared" ref="AD1434:AJ1434" si="1886">SUM(AD1435:AD1437)</f>
        <v>62141.852210000026</v>
      </c>
      <c r="AE1434" s="1400">
        <f t="shared" si="1886"/>
        <v>64868</v>
      </c>
      <c r="AF1434" s="1400">
        <f t="shared" si="1886"/>
        <v>70024.150780000011</v>
      </c>
      <c r="AG1434" s="1400">
        <f t="shared" si="1886"/>
        <v>105994.45755000002</v>
      </c>
      <c r="AH1434" s="1400">
        <f t="shared" si="1886"/>
        <v>64868</v>
      </c>
      <c r="AI1434" s="1400">
        <f t="shared" si="1886"/>
        <v>105994.45755000002</v>
      </c>
      <c r="AJ1434" s="1400">
        <f t="shared" si="1886"/>
        <v>105994.45755000002</v>
      </c>
    </row>
    <row r="1435" spans="1:36" ht="14.5">
      <c r="A1435" s="616">
        <v>1</v>
      </c>
      <c r="B1435" s="616">
        <v>1</v>
      </c>
      <c r="C1435" s="616" t="s">
        <v>1540</v>
      </c>
      <c r="D1435" s="709" t="s">
        <v>1308</v>
      </c>
      <c r="E1435" s="2650" t="s">
        <v>1369</v>
      </c>
      <c r="F1435" s="2651"/>
      <c r="G1435" s="8"/>
      <c r="H1435" s="4"/>
      <c r="I1435" s="498"/>
      <c r="J1435" s="3" t="s">
        <v>599</v>
      </c>
      <c r="K1435" s="3"/>
      <c r="L1435" s="3"/>
      <c r="M1435" s="4"/>
      <c r="N1435" s="3"/>
      <c r="O1435" s="3"/>
      <c r="P1435" s="3"/>
      <c r="Q1435" s="1850" t="str">
        <f>CHOOSE(2, "6722000004353", "Inventories (3) IP Purchased from BT cons. Companies")</f>
        <v>Inventories (3) IP Purchased from BT cons. Companies</v>
      </c>
      <c r="R1435" s="1378">
        <f t="shared" ref="R1435:AC1437" si="1887">R1073</f>
        <v>17212</v>
      </c>
      <c r="S1435" s="1378">
        <f t="shared" si="1887"/>
        <v>29855</v>
      </c>
      <c r="T1435" s="1378">
        <f t="shared" si="1887"/>
        <v>38885</v>
      </c>
      <c r="U1435" s="1378">
        <f t="shared" si="1887"/>
        <v>42651</v>
      </c>
      <c r="V1435" s="1378">
        <f t="shared" si="1887"/>
        <v>33358</v>
      </c>
      <c r="W1435" s="1378">
        <f t="shared" si="1887"/>
        <v>40406</v>
      </c>
      <c r="X1435" s="1378">
        <f t="shared" si="1887"/>
        <v>44062</v>
      </c>
      <c r="Y1435" s="1378">
        <f t="shared" si="1887"/>
        <v>41013</v>
      </c>
      <c r="Z1435" s="1378">
        <f t="shared" si="1887"/>
        <v>41728</v>
      </c>
      <c r="AA1435" s="1378">
        <f t="shared" si="1887"/>
        <v>48930</v>
      </c>
      <c r="AB1435" s="1378">
        <f t="shared" si="1887"/>
        <v>115180.70584332576</v>
      </c>
      <c r="AC1435" s="1378">
        <f t="shared" si="1887"/>
        <v>73505</v>
      </c>
      <c r="AD1435" s="1378">
        <f>T1435</f>
        <v>38885</v>
      </c>
      <c r="AE1435" s="1378">
        <f>W1435</f>
        <v>40406</v>
      </c>
      <c r="AF1435" s="1378">
        <f>Z1435</f>
        <v>41728</v>
      </c>
      <c r="AG1435" s="1378">
        <f>AC1435</f>
        <v>73505</v>
      </c>
      <c r="AH1435" s="1378">
        <f>AE1435</f>
        <v>40406</v>
      </c>
      <c r="AI1435" s="1378">
        <f>AG1435</f>
        <v>73505</v>
      </c>
      <c r="AJ1435" s="1378">
        <f>AI1435</f>
        <v>73505</v>
      </c>
    </row>
    <row r="1436" spans="1:36" ht="14.5">
      <c r="A1436" s="616">
        <v>1</v>
      </c>
      <c r="B1436" s="616">
        <v>1</v>
      </c>
      <c r="C1436" s="616" t="s">
        <v>1540</v>
      </c>
      <c r="D1436" s="709" t="s">
        <v>1308</v>
      </c>
      <c r="E1436" s="2650" t="s">
        <v>1369</v>
      </c>
      <c r="F1436" s="2651"/>
      <c r="G1436" s="8"/>
      <c r="H1436" s="8"/>
      <c r="I1436" s="498"/>
      <c r="J1436" s="3" t="s">
        <v>600</v>
      </c>
      <c r="K1436" s="3"/>
      <c r="L1436" s="3"/>
      <c r="M1436" s="4"/>
      <c r="N1436" s="3"/>
      <c r="O1436" s="3"/>
      <c r="P1436" s="3"/>
      <c r="Q1436" s="1850" t="str">
        <f>CHOOSE(2, "6722000004354", "Inventories (3) IP Purchased from MGI (BT-Gr)")</f>
        <v>Inventories (3) IP Purchased from MGI (BT-Gr)</v>
      </c>
      <c r="R1436" s="1378">
        <f t="shared" si="1887"/>
        <v>14131</v>
      </c>
      <c r="S1436" s="1378">
        <f t="shared" si="1887"/>
        <v>18188</v>
      </c>
      <c r="T1436" s="1378">
        <f t="shared" si="1887"/>
        <v>15879</v>
      </c>
      <c r="U1436" s="1378">
        <f t="shared" si="1887"/>
        <v>20626</v>
      </c>
      <c r="V1436" s="1378">
        <f t="shared" si="1887"/>
        <v>22247</v>
      </c>
      <c r="W1436" s="1378">
        <f t="shared" si="1887"/>
        <v>22395</v>
      </c>
      <c r="X1436" s="1378">
        <f t="shared" si="1887"/>
        <v>21938.57761</v>
      </c>
      <c r="Y1436" s="1378">
        <f t="shared" si="1887"/>
        <v>18211</v>
      </c>
      <c r="Z1436" s="1378">
        <f t="shared" si="1887"/>
        <v>20238.521679999998</v>
      </c>
      <c r="AA1436" s="1378">
        <f t="shared" si="1887"/>
        <v>18741.294670000003</v>
      </c>
      <c r="AB1436" s="1378">
        <f t="shared" si="1887"/>
        <v>17607.8033</v>
      </c>
      <c r="AC1436" s="1378">
        <f t="shared" si="1887"/>
        <v>21659.121199999998</v>
      </c>
      <c r="AD1436" s="1378">
        <f>T1436</f>
        <v>15879</v>
      </c>
      <c r="AE1436" s="1378">
        <f>W1436</f>
        <v>22395</v>
      </c>
      <c r="AF1436" s="1378">
        <f>Z1436</f>
        <v>20238.521679999998</v>
      </c>
      <c r="AG1436" s="1378">
        <f>AC1436</f>
        <v>21659.121199999998</v>
      </c>
      <c r="AH1436" s="1378">
        <f>AE1436</f>
        <v>22395</v>
      </c>
      <c r="AI1436" s="1378">
        <f>AG1436</f>
        <v>21659.121199999998</v>
      </c>
      <c r="AJ1436" s="1378">
        <f>AI1436</f>
        <v>21659.121199999998</v>
      </c>
    </row>
    <row r="1437" spans="1:36" ht="14.5">
      <c r="A1437" s="616">
        <v>1</v>
      </c>
      <c r="B1437" s="616">
        <v>1</v>
      </c>
      <c r="C1437" s="616" t="s">
        <v>1540</v>
      </c>
      <c r="D1437" s="709" t="s">
        <v>1308</v>
      </c>
      <c r="E1437" s="2650" t="s">
        <v>1369</v>
      </c>
      <c r="F1437" s="2651"/>
      <c r="G1437" s="8"/>
      <c r="H1437" s="4"/>
      <c r="I1437" s="788"/>
      <c r="J1437" s="1" t="s">
        <v>66</v>
      </c>
      <c r="K1437" s="1"/>
      <c r="L1437" s="1"/>
      <c r="M1437" s="2"/>
      <c r="N1437" s="1"/>
      <c r="O1437" s="1"/>
      <c r="P1437" s="1"/>
      <c r="Q1437" s="1850" t="str">
        <f>CHOOSE(2, "6722000004355", "Inventories (3) IP 3rd Party")</f>
        <v>Inventories (3) IP 3rd Party</v>
      </c>
      <c r="R1437" s="1378">
        <f t="shared" si="1887"/>
        <v>7421</v>
      </c>
      <c r="S1437" s="1378">
        <f t="shared" si="1887"/>
        <v>9995</v>
      </c>
      <c r="T1437" s="1378">
        <f t="shared" si="1887"/>
        <v>7377.8522100000228</v>
      </c>
      <c r="U1437" s="1378">
        <f t="shared" si="1887"/>
        <v>7343</v>
      </c>
      <c r="V1437" s="1378">
        <f t="shared" si="1887"/>
        <v>7305</v>
      </c>
      <c r="W1437" s="1378">
        <f t="shared" si="1887"/>
        <v>2067</v>
      </c>
      <c r="X1437" s="1378">
        <f t="shared" si="1887"/>
        <v>7505.9961299999886</v>
      </c>
      <c r="Y1437" s="1378">
        <f t="shared" si="1887"/>
        <v>7819</v>
      </c>
      <c r="Z1437" s="1378">
        <f t="shared" si="1887"/>
        <v>8057.6291000000165</v>
      </c>
      <c r="AA1437" s="1378">
        <f t="shared" si="1887"/>
        <v>5994.5671300000104</v>
      </c>
      <c r="AB1437" s="1378">
        <f t="shared" si="1887"/>
        <v>6359.6463200000144</v>
      </c>
      <c r="AC1437" s="1378">
        <f t="shared" si="1887"/>
        <v>10830.336350000023</v>
      </c>
      <c r="AD1437" s="1378">
        <f>T1437</f>
        <v>7377.8522100000228</v>
      </c>
      <c r="AE1437" s="1378">
        <f>W1437</f>
        <v>2067</v>
      </c>
      <c r="AF1437" s="1378">
        <f>Z1437</f>
        <v>8057.6291000000165</v>
      </c>
      <c r="AG1437" s="1378">
        <f>AC1437</f>
        <v>10830.336350000023</v>
      </c>
      <c r="AH1437" s="1378">
        <f>AE1437</f>
        <v>2067</v>
      </c>
      <c r="AI1437" s="1378">
        <f>AG1437</f>
        <v>10830.336350000023</v>
      </c>
      <c r="AJ1437" s="1378">
        <f>AI1437</f>
        <v>10830.336350000023</v>
      </c>
    </row>
    <row r="1438" spans="1:36" ht="14.5">
      <c r="A1438" s="616">
        <v>1</v>
      </c>
      <c r="B1438" s="616">
        <v>1</v>
      </c>
      <c r="C1438" s="616" t="s">
        <v>1540</v>
      </c>
      <c r="D1438" s="709" t="s">
        <v>1308</v>
      </c>
      <c r="E1438" s="2650" t="s">
        <v>1369</v>
      </c>
      <c r="F1438" s="2651"/>
      <c r="G1438" s="8"/>
      <c r="H1438" s="4"/>
      <c r="I1438" s="498" t="s">
        <v>1456</v>
      </c>
      <c r="J1438" s="586"/>
      <c r="K1438" s="586"/>
      <c r="L1438" s="586"/>
      <c r="M1438" s="707"/>
      <c r="N1438" s="586"/>
      <c r="O1438" s="586"/>
      <c r="P1438" s="586"/>
      <c r="Q1438" s="1850" t="str">
        <f>CHOOSE(2, "6722000004356", "Inventories (4) MS")</f>
        <v>Inventories (4) MS</v>
      </c>
      <c r="R1438" s="1400">
        <f t="shared" ref="R1438:AC1438" si="1888">SUM(R1439:R1440)</f>
        <v>0</v>
      </c>
      <c r="S1438" s="1400">
        <f t="shared" si="1888"/>
        <v>0</v>
      </c>
      <c r="T1438" s="1400">
        <f t="shared" si="1888"/>
        <v>0</v>
      </c>
      <c r="U1438" s="1400">
        <f t="shared" si="1888"/>
        <v>0</v>
      </c>
      <c r="V1438" s="1400">
        <f t="shared" si="1888"/>
        <v>0</v>
      </c>
      <c r="W1438" s="1400">
        <f t="shared" si="1888"/>
        <v>0</v>
      </c>
      <c r="X1438" s="1400">
        <f t="shared" si="1888"/>
        <v>0</v>
      </c>
      <c r="Y1438" s="1400">
        <f t="shared" si="1888"/>
        <v>0</v>
      </c>
      <c r="Z1438" s="1400">
        <f t="shared" si="1888"/>
        <v>0</v>
      </c>
      <c r="AA1438" s="1400">
        <f t="shared" si="1888"/>
        <v>0</v>
      </c>
      <c r="AB1438" s="1400">
        <f t="shared" si="1888"/>
        <v>0</v>
      </c>
      <c r="AC1438" s="1400">
        <f t="shared" si="1888"/>
        <v>0</v>
      </c>
      <c r="AD1438" s="1400">
        <f t="shared" ref="AD1438:AJ1438" si="1889">SUM(AD1439:AD1440)</f>
        <v>0</v>
      </c>
      <c r="AE1438" s="1400">
        <f t="shared" si="1889"/>
        <v>0</v>
      </c>
      <c r="AF1438" s="1400">
        <f t="shared" si="1889"/>
        <v>0</v>
      </c>
      <c r="AG1438" s="1400">
        <f t="shared" si="1889"/>
        <v>0</v>
      </c>
      <c r="AH1438" s="1400">
        <f t="shared" si="1889"/>
        <v>0</v>
      </c>
      <c r="AI1438" s="1400">
        <f t="shared" si="1889"/>
        <v>0</v>
      </c>
      <c r="AJ1438" s="1400">
        <f t="shared" si="1889"/>
        <v>0</v>
      </c>
    </row>
    <row r="1439" spans="1:36" ht="14.5">
      <c r="A1439" s="616">
        <v>1</v>
      </c>
      <c r="B1439" s="616">
        <v>1</v>
      </c>
      <c r="C1439" s="616" t="s">
        <v>1540</v>
      </c>
      <c r="D1439" s="709" t="s">
        <v>1308</v>
      </c>
      <c r="E1439" s="2650" t="s">
        <v>1369</v>
      </c>
      <c r="F1439" s="2651"/>
      <c r="G1439" s="8"/>
      <c r="H1439" s="4"/>
      <c r="I1439" s="498"/>
      <c r="J1439" s="3" t="s">
        <v>586</v>
      </c>
      <c r="K1439" s="3"/>
      <c r="L1439" s="3"/>
      <c r="M1439" s="4"/>
      <c r="N1439" s="3"/>
      <c r="O1439" s="3"/>
      <c r="P1439" s="3"/>
      <c r="Q1439" s="1850" t="str">
        <f>CHOOSE(2, "6722000004357", "Inventories (4) MS Purchased from BT cons. companies")</f>
        <v>Inventories (4) MS Purchased from BT cons. companies</v>
      </c>
      <c r="R1439" s="1378">
        <f t="shared" ref="R1439:AC1440" si="1890">R1077</f>
        <v>0</v>
      </c>
      <c r="S1439" s="1378">
        <f t="shared" si="1890"/>
        <v>0</v>
      </c>
      <c r="T1439" s="1378">
        <f t="shared" si="1890"/>
        <v>0</v>
      </c>
      <c r="U1439" s="1378">
        <f t="shared" si="1890"/>
        <v>0</v>
      </c>
      <c r="V1439" s="1378">
        <f t="shared" si="1890"/>
        <v>0</v>
      </c>
      <c r="W1439" s="1378">
        <f t="shared" si="1890"/>
        <v>0</v>
      </c>
      <c r="X1439" s="1378">
        <f t="shared" si="1890"/>
        <v>0</v>
      </c>
      <c r="Y1439" s="1378">
        <f t="shared" si="1890"/>
        <v>0</v>
      </c>
      <c r="Z1439" s="1378">
        <f t="shared" si="1890"/>
        <v>0</v>
      </c>
      <c r="AA1439" s="1378">
        <f t="shared" si="1890"/>
        <v>0</v>
      </c>
      <c r="AB1439" s="1378">
        <f t="shared" si="1890"/>
        <v>0</v>
      </c>
      <c r="AC1439" s="1378">
        <f t="shared" si="1890"/>
        <v>0</v>
      </c>
      <c r="AD1439" s="1378">
        <f>T1439</f>
        <v>0</v>
      </c>
      <c r="AE1439" s="1378">
        <f>W1439</f>
        <v>0</v>
      </c>
      <c r="AF1439" s="1378">
        <f>Z1439</f>
        <v>0</v>
      </c>
      <c r="AG1439" s="1378">
        <f>AC1439</f>
        <v>0</v>
      </c>
      <c r="AH1439" s="1378">
        <f>AE1439</f>
        <v>0</v>
      </c>
      <c r="AI1439" s="1378">
        <f>AG1439</f>
        <v>0</v>
      </c>
      <c r="AJ1439" s="1378">
        <f>AI1439</f>
        <v>0</v>
      </c>
    </row>
    <row r="1440" spans="1:36" ht="14.5">
      <c r="A1440" s="616">
        <v>1</v>
      </c>
      <c r="B1440" s="616">
        <v>1</v>
      </c>
      <c r="C1440" s="616" t="s">
        <v>1540</v>
      </c>
      <c r="D1440" s="709" t="s">
        <v>1308</v>
      </c>
      <c r="E1440" s="2650" t="s">
        <v>1369</v>
      </c>
      <c r="F1440" s="2651"/>
      <c r="G1440" s="8"/>
      <c r="H1440" s="4"/>
      <c r="I1440" s="788"/>
      <c r="J1440" s="1" t="s">
        <v>66</v>
      </c>
      <c r="K1440" s="1"/>
      <c r="L1440" s="1"/>
      <c r="M1440" s="2"/>
      <c r="N1440" s="1"/>
      <c r="O1440" s="1"/>
      <c r="P1440" s="1"/>
      <c r="Q1440" s="1850" t="str">
        <f>CHOOSE(2, "6722000004358", "Inventories (4) MS 3rd Party")</f>
        <v>Inventories (4) MS 3rd Party</v>
      </c>
      <c r="R1440" s="1379">
        <f t="shared" si="1890"/>
        <v>0</v>
      </c>
      <c r="S1440" s="1379">
        <f t="shared" si="1890"/>
        <v>0</v>
      </c>
      <c r="T1440" s="1379">
        <f t="shared" si="1890"/>
        <v>0</v>
      </c>
      <c r="U1440" s="1379">
        <f t="shared" si="1890"/>
        <v>0</v>
      </c>
      <c r="V1440" s="1379">
        <f t="shared" si="1890"/>
        <v>0</v>
      </c>
      <c r="W1440" s="1379">
        <f t="shared" si="1890"/>
        <v>0</v>
      </c>
      <c r="X1440" s="1379">
        <f t="shared" si="1890"/>
        <v>0</v>
      </c>
      <c r="Y1440" s="1379">
        <f t="shared" si="1890"/>
        <v>0</v>
      </c>
      <c r="Z1440" s="1379">
        <f t="shared" si="1890"/>
        <v>0</v>
      </c>
      <c r="AA1440" s="1379">
        <f t="shared" si="1890"/>
        <v>0</v>
      </c>
      <c r="AB1440" s="1379">
        <f t="shared" si="1890"/>
        <v>0</v>
      </c>
      <c r="AC1440" s="1379">
        <f t="shared" si="1890"/>
        <v>0</v>
      </c>
      <c r="AD1440" s="1379">
        <f>T1440</f>
        <v>0</v>
      </c>
      <c r="AE1440" s="1379">
        <f>W1440</f>
        <v>0</v>
      </c>
      <c r="AF1440" s="1379">
        <f>Z1440</f>
        <v>0</v>
      </c>
      <c r="AG1440" s="1379">
        <f>AC1440</f>
        <v>0</v>
      </c>
      <c r="AH1440" s="1379">
        <f>AE1440</f>
        <v>0</v>
      </c>
      <c r="AI1440" s="1379">
        <f>AG1440</f>
        <v>0</v>
      </c>
      <c r="AJ1440" s="1379">
        <f>AI1440</f>
        <v>0</v>
      </c>
    </row>
    <row r="1441" spans="1:60" ht="14.5">
      <c r="A1441" s="616">
        <v>1</v>
      </c>
      <c r="B1441" s="616">
        <v>1</v>
      </c>
      <c r="C1441" s="616" t="s">
        <v>1540</v>
      </c>
      <c r="D1441" s="709" t="s">
        <v>1308</v>
      </c>
      <c r="E1441" s="2650" t="s">
        <v>1369</v>
      </c>
      <c r="F1441" s="2651"/>
      <c r="G1441" s="8"/>
      <c r="H1441" s="4"/>
      <c r="I1441" s="3425" t="s">
        <v>1427</v>
      </c>
      <c r="J1441" s="964"/>
      <c r="K1441" s="964"/>
      <c r="L1441" s="964"/>
      <c r="M1441" s="965"/>
      <c r="N1441" s="965"/>
      <c r="O1441" s="965"/>
      <c r="P1441" s="965"/>
      <c r="Q1441" s="1851" t="str">
        <f>CHOOSE(2, "6722000004359", "Inventories (5) DW-DX")</f>
        <v>Inventories (5) DW-DX</v>
      </c>
      <c r="R1441" s="1401">
        <f t="shared" ref="R1441:AC1441" si="1891">SUM(R1442:R1443)</f>
        <v>860</v>
      </c>
      <c r="S1441" s="1401">
        <f t="shared" si="1891"/>
        <v>925.78918099027669</v>
      </c>
      <c r="T1441" s="1401">
        <f t="shared" si="1891"/>
        <v>784</v>
      </c>
      <c r="U1441" s="1401">
        <f t="shared" si="1891"/>
        <v>2441</v>
      </c>
      <c r="V1441" s="1401">
        <f t="shared" si="1891"/>
        <v>2286</v>
      </c>
      <c r="W1441" s="1401">
        <f t="shared" si="1891"/>
        <v>2400</v>
      </c>
      <c r="X1441" s="1401">
        <f t="shared" si="1891"/>
        <v>2615</v>
      </c>
      <c r="Y1441" s="1401">
        <f t="shared" si="1891"/>
        <v>1500</v>
      </c>
      <c r="Z1441" s="1401">
        <f t="shared" si="1891"/>
        <v>831</v>
      </c>
      <c r="AA1441" s="1401">
        <f t="shared" si="1891"/>
        <v>1585.5015877848073</v>
      </c>
      <c r="AB1441" s="1401">
        <f t="shared" si="1891"/>
        <v>1832.9475039275867</v>
      </c>
      <c r="AC1441" s="1401">
        <f t="shared" si="1891"/>
        <v>1405.1897568888669</v>
      </c>
      <c r="AD1441" s="1401">
        <f t="shared" ref="AD1441:AJ1441" si="1892">SUM(AD1442:AD1443)</f>
        <v>784</v>
      </c>
      <c r="AE1441" s="1401">
        <f t="shared" si="1892"/>
        <v>2400</v>
      </c>
      <c r="AF1441" s="1401">
        <f t="shared" si="1892"/>
        <v>831</v>
      </c>
      <c r="AG1441" s="1401">
        <f t="shared" si="1892"/>
        <v>1405.1897568888669</v>
      </c>
      <c r="AH1441" s="1401">
        <f t="shared" si="1892"/>
        <v>2400</v>
      </c>
      <c r="AI1441" s="1401">
        <f t="shared" si="1892"/>
        <v>1405.1897568888669</v>
      </c>
      <c r="AJ1441" s="1401">
        <f t="shared" si="1892"/>
        <v>1405.1897568888669</v>
      </c>
    </row>
    <row r="1442" spans="1:60" ht="14.5">
      <c r="A1442" s="616">
        <v>1</v>
      </c>
      <c r="B1442" s="616">
        <v>1</v>
      </c>
      <c r="C1442" s="616" t="s">
        <v>1540</v>
      </c>
      <c r="D1442" s="709" t="s">
        <v>1308</v>
      </c>
      <c r="E1442" s="2650" t="s">
        <v>1369</v>
      </c>
      <c r="F1442" s="2651"/>
      <c r="G1442" s="8"/>
      <c r="H1442" s="4"/>
      <c r="I1442" s="29"/>
      <c r="J1442" s="3" t="s">
        <v>586</v>
      </c>
      <c r="K1442" s="3"/>
      <c r="L1442" s="3"/>
      <c r="M1442" s="4"/>
      <c r="N1442" s="3"/>
      <c r="O1442" s="3"/>
      <c r="P1442" s="3"/>
      <c r="Q1442" s="1850" t="str">
        <f>CHOOSE(2, "6722000004360", "Inventories (5) DW-DX Purchased from BT cons. companies")</f>
        <v>Inventories (5) DW-DX Purchased from BT cons. companies</v>
      </c>
      <c r="R1442" s="1378">
        <f t="shared" ref="R1442:AC1443" si="1893">R1080</f>
        <v>238</v>
      </c>
      <c r="S1442" s="1378">
        <f t="shared" si="1893"/>
        <v>250.02392099027634</v>
      </c>
      <c r="T1442" s="1378">
        <f t="shared" si="1893"/>
        <v>221</v>
      </c>
      <c r="U1442" s="1378">
        <f t="shared" si="1893"/>
        <v>269</v>
      </c>
      <c r="V1442" s="1378">
        <f t="shared" si="1893"/>
        <v>230</v>
      </c>
      <c r="W1442" s="1378">
        <f t="shared" si="1893"/>
        <v>239</v>
      </c>
      <c r="X1442" s="1378">
        <f t="shared" si="1893"/>
        <v>219</v>
      </c>
      <c r="Y1442" s="1378">
        <f t="shared" si="1893"/>
        <v>259</v>
      </c>
      <c r="Z1442" s="1378">
        <f t="shared" si="1893"/>
        <v>261</v>
      </c>
      <c r="AA1442" s="1378">
        <f t="shared" si="1893"/>
        <v>256.1728077848062</v>
      </c>
      <c r="AB1442" s="1378">
        <f t="shared" si="1893"/>
        <v>264.88892392758595</v>
      </c>
      <c r="AC1442" s="1378">
        <f t="shared" si="1893"/>
        <v>358.07444688886579</v>
      </c>
      <c r="AD1442" s="596">
        <f>T1442</f>
        <v>221</v>
      </c>
      <c r="AE1442" s="596">
        <f>W1442</f>
        <v>239</v>
      </c>
      <c r="AF1442" s="596">
        <f>Z1442</f>
        <v>261</v>
      </c>
      <c r="AG1442" s="596">
        <f>AC1442</f>
        <v>358.07444688886579</v>
      </c>
      <c r="AH1442" s="596">
        <f>AE1442</f>
        <v>239</v>
      </c>
      <c r="AI1442" s="596">
        <f>AG1442</f>
        <v>358.07444688886579</v>
      </c>
      <c r="AJ1442" s="596">
        <f>AI1442</f>
        <v>358.07444688886579</v>
      </c>
    </row>
    <row r="1443" spans="1:60" ht="14.5">
      <c r="A1443" s="616">
        <v>1</v>
      </c>
      <c r="B1443" s="616">
        <v>1</v>
      </c>
      <c r="C1443" s="616" t="s">
        <v>1540</v>
      </c>
      <c r="D1443" s="709" t="s">
        <v>1308</v>
      </c>
      <c r="E1443" s="2650" t="s">
        <v>1369</v>
      </c>
      <c r="F1443" s="2651"/>
      <c r="G1443" s="8"/>
      <c r="H1443" s="4"/>
      <c r="I1443" s="366"/>
      <c r="J1443" s="1" t="s">
        <v>66</v>
      </c>
      <c r="K1443" s="1"/>
      <c r="L1443" s="1"/>
      <c r="M1443" s="2"/>
      <c r="N1443" s="1"/>
      <c r="O1443" s="1"/>
      <c r="P1443" s="1"/>
      <c r="Q1443" s="1850" t="str">
        <f>CHOOSE(2, "6722000004361", "Inventories (5) DW-DX 3rd Party")</f>
        <v>Inventories (5) DW-DX 3rd Party</v>
      </c>
      <c r="R1443" s="1379">
        <f t="shared" si="1893"/>
        <v>622</v>
      </c>
      <c r="S1443" s="1379">
        <f t="shared" si="1893"/>
        <v>675.76526000000035</v>
      </c>
      <c r="T1443" s="1379">
        <f t="shared" si="1893"/>
        <v>563</v>
      </c>
      <c r="U1443" s="1379">
        <f t="shared" si="1893"/>
        <v>2172</v>
      </c>
      <c r="V1443" s="1379">
        <f t="shared" si="1893"/>
        <v>2056</v>
      </c>
      <c r="W1443" s="1379">
        <f t="shared" si="1893"/>
        <v>2161</v>
      </c>
      <c r="X1443" s="1379">
        <f t="shared" si="1893"/>
        <v>2396</v>
      </c>
      <c r="Y1443" s="1379">
        <f t="shared" si="1893"/>
        <v>1241</v>
      </c>
      <c r="Z1443" s="1379">
        <f t="shared" si="1893"/>
        <v>570</v>
      </c>
      <c r="AA1443" s="1379">
        <f t="shared" si="1893"/>
        <v>1329.328780000001</v>
      </c>
      <c r="AB1443" s="1379">
        <f t="shared" si="1893"/>
        <v>1568.0585800000008</v>
      </c>
      <c r="AC1443" s="1379">
        <f t="shared" si="1893"/>
        <v>1047.115310000001</v>
      </c>
      <c r="AD1443" s="585">
        <f>T1443</f>
        <v>563</v>
      </c>
      <c r="AE1443" s="585">
        <f>W1443</f>
        <v>2161</v>
      </c>
      <c r="AF1443" s="585">
        <f>Z1443</f>
        <v>570</v>
      </c>
      <c r="AG1443" s="585">
        <f>AC1443</f>
        <v>1047.115310000001</v>
      </c>
      <c r="AH1443" s="585">
        <f>AE1443</f>
        <v>2161</v>
      </c>
      <c r="AI1443" s="585">
        <f>AG1443</f>
        <v>1047.115310000001</v>
      </c>
      <c r="AJ1443" s="585">
        <f>AI1443</f>
        <v>1047.115310000001</v>
      </c>
    </row>
    <row r="1444" spans="1:60" ht="14.5">
      <c r="A1444" s="616">
        <v>1</v>
      </c>
      <c r="B1444" s="616">
        <v>1</v>
      </c>
      <c r="C1444" s="616" t="s">
        <v>1540</v>
      </c>
      <c r="D1444" s="709" t="s">
        <v>1308</v>
      </c>
      <c r="E1444" s="2650" t="s">
        <v>1369</v>
      </c>
      <c r="F1444" s="2651"/>
      <c r="G1444" s="8"/>
      <c r="H1444"/>
      <c r="I1444" s="3414" t="s">
        <v>1659</v>
      </c>
      <c r="J1444" s="1091"/>
      <c r="K1444" s="1091"/>
      <c r="L1444" s="1091"/>
      <c r="M1444" s="1092"/>
      <c r="N1444" s="1092"/>
      <c r="O1444" s="1092"/>
      <c r="P1444" s="1092"/>
      <c r="Q1444" s="1852" t="str">
        <f>CHOOSE(2, "6722000004362", "Inventories (6) BIC")</f>
        <v>Inventories (6) BIC</v>
      </c>
      <c r="R1444" s="1462">
        <f t="shared" ref="R1444:AC1444" si="1894">SUM(R1445:R1446)</f>
        <v>0</v>
      </c>
      <c r="S1444" s="1462">
        <f t="shared" si="1894"/>
        <v>0</v>
      </c>
      <c r="T1444" s="1462">
        <f t="shared" si="1894"/>
        <v>0</v>
      </c>
      <c r="U1444" s="1462">
        <f t="shared" si="1894"/>
        <v>0</v>
      </c>
      <c r="V1444" s="1462">
        <f t="shared" si="1894"/>
        <v>0</v>
      </c>
      <c r="W1444" s="1462">
        <f t="shared" si="1894"/>
        <v>0</v>
      </c>
      <c r="X1444" s="1462">
        <f t="shared" si="1894"/>
        <v>0</v>
      </c>
      <c r="Y1444" s="1462">
        <f t="shared" si="1894"/>
        <v>0</v>
      </c>
      <c r="Z1444" s="1462">
        <f t="shared" si="1894"/>
        <v>0</v>
      </c>
      <c r="AA1444" s="1462">
        <f t="shared" si="1894"/>
        <v>0</v>
      </c>
      <c r="AB1444" s="1462">
        <f t="shared" si="1894"/>
        <v>0</v>
      </c>
      <c r="AC1444" s="1462">
        <f t="shared" si="1894"/>
        <v>0</v>
      </c>
      <c r="AD1444" s="1462">
        <f t="shared" ref="AD1444:AJ1444" si="1895">SUM(AD1445:AD1446)</f>
        <v>0</v>
      </c>
      <c r="AE1444" s="1462">
        <f t="shared" si="1895"/>
        <v>0</v>
      </c>
      <c r="AF1444" s="1462">
        <f t="shared" si="1895"/>
        <v>0</v>
      </c>
      <c r="AG1444" s="1462">
        <f t="shared" si="1895"/>
        <v>0</v>
      </c>
      <c r="AH1444" s="1462">
        <f t="shared" si="1895"/>
        <v>0</v>
      </c>
      <c r="AI1444" s="1462">
        <f t="shared" si="1895"/>
        <v>0</v>
      </c>
      <c r="AJ1444" s="1462">
        <f t="shared" si="1895"/>
        <v>0</v>
      </c>
    </row>
    <row r="1445" spans="1:60" ht="14.5">
      <c r="A1445" s="616">
        <v>1</v>
      </c>
      <c r="B1445" s="616">
        <v>1</v>
      </c>
      <c r="C1445" s="616" t="s">
        <v>1540</v>
      </c>
      <c r="D1445" s="709" t="s">
        <v>1308</v>
      </c>
      <c r="E1445" s="2650" t="s">
        <v>1369</v>
      </c>
      <c r="F1445" s="2651"/>
      <c r="G1445" s="8"/>
      <c r="H1445"/>
      <c r="I1445" s="29"/>
      <c r="J1445" s="3" t="s">
        <v>718</v>
      </c>
      <c r="K1445" s="3"/>
      <c r="L1445" s="3"/>
      <c r="M1445" s="4"/>
      <c r="N1445" s="3"/>
      <c r="O1445" s="3"/>
      <c r="P1445" s="3"/>
      <c r="Q1445" s="1853" t="str">
        <f>CHOOSE(2, "6722000004363", "Inventories (6) BIC Purchased from KM group")</f>
        <v>Inventories (6) BIC Purchased from KM group</v>
      </c>
      <c r="R1445" s="1215">
        <v>0</v>
      </c>
      <c r="S1445" s="1215">
        <v>0</v>
      </c>
      <c r="T1445" s="1215">
        <v>0</v>
      </c>
      <c r="U1445" s="1215">
        <v>0</v>
      </c>
      <c r="V1445" s="1215">
        <v>0</v>
      </c>
      <c r="W1445" s="1215">
        <v>0</v>
      </c>
      <c r="X1445" s="1215">
        <v>0</v>
      </c>
      <c r="Y1445" s="1215">
        <v>0</v>
      </c>
      <c r="Z1445" s="1215">
        <v>0</v>
      </c>
      <c r="AA1445" s="1215">
        <v>0</v>
      </c>
      <c r="AB1445" s="1215">
        <v>0</v>
      </c>
      <c r="AC1445" s="1215">
        <v>0</v>
      </c>
      <c r="AD1445" s="596">
        <f>T1445</f>
        <v>0</v>
      </c>
      <c r="AE1445" s="596">
        <f>W1445</f>
        <v>0</v>
      </c>
      <c r="AF1445" s="596">
        <f>Z1445</f>
        <v>0</v>
      </c>
      <c r="AG1445" s="596">
        <f>AC1445</f>
        <v>0</v>
      </c>
      <c r="AH1445" s="596">
        <f>AE1445</f>
        <v>0</v>
      </c>
      <c r="AI1445" s="596">
        <f>AG1445</f>
        <v>0</v>
      </c>
      <c r="AJ1445" s="596">
        <f>AI1445</f>
        <v>0</v>
      </c>
    </row>
    <row r="1446" spans="1:60" ht="14.5">
      <c r="A1446" s="616">
        <v>1</v>
      </c>
      <c r="B1446" s="616">
        <v>1</v>
      </c>
      <c r="C1446" s="616" t="s">
        <v>1540</v>
      </c>
      <c r="D1446" s="709" t="s">
        <v>1308</v>
      </c>
      <c r="E1446" s="2650" t="s">
        <v>1369</v>
      </c>
      <c r="F1446" s="2651"/>
      <c r="G1446" s="8"/>
      <c r="H1446"/>
      <c r="I1446" s="366"/>
      <c r="J1446" s="1" t="s">
        <v>66</v>
      </c>
      <c r="K1446" s="1"/>
      <c r="L1446" s="1"/>
      <c r="M1446" s="2"/>
      <c r="N1446" s="1"/>
      <c r="O1446" s="1"/>
      <c r="P1446" s="1"/>
      <c r="Q1446" s="1853" t="str">
        <f>CHOOSE(2, "6722000004364", "Inventories (6) BIC 3rd Party")</f>
        <v>Inventories (6) BIC 3rd Party</v>
      </c>
      <c r="R1446" s="1213">
        <v>0</v>
      </c>
      <c r="S1446" s="1213">
        <v>0</v>
      </c>
      <c r="T1446" s="1213">
        <v>0</v>
      </c>
      <c r="U1446" s="1213">
        <v>0</v>
      </c>
      <c r="V1446" s="1213">
        <v>0</v>
      </c>
      <c r="W1446" s="1213">
        <v>0</v>
      </c>
      <c r="X1446" s="1213">
        <v>0</v>
      </c>
      <c r="Y1446" s="1213">
        <v>0</v>
      </c>
      <c r="Z1446" s="1213">
        <v>0</v>
      </c>
      <c r="AA1446" s="1213">
        <v>0</v>
      </c>
      <c r="AB1446" s="1213">
        <v>0</v>
      </c>
      <c r="AC1446" s="1213">
        <v>0</v>
      </c>
      <c r="AD1446" s="585">
        <f>T1446</f>
        <v>0</v>
      </c>
      <c r="AE1446" s="585">
        <f>W1446</f>
        <v>0</v>
      </c>
      <c r="AF1446" s="585">
        <f>Z1446</f>
        <v>0</v>
      </c>
      <c r="AG1446" s="585">
        <f>AC1446</f>
        <v>0</v>
      </c>
      <c r="AH1446" s="585">
        <f>AE1446</f>
        <v>0</v>
      </c>
      <c r="AI1446" s="585">
        <f>AG1446</f>
        <v>0</v>
      </c>
      <c r="AJ1446" s="585">
        <f>AI1446</f>
        <v>0</v>
      </c>
    </row>
    <row r="1447" spans="1:60" ht="14.5">
      <c r="A1447" s="616">
        <v>1</v>
      </c>
      <c r="B1447" s="616">
        <v>1</v>
      </c>
      <c r="C1447" s="616" t="s">
        <v>1540</v>
      </c>
      <c r="D1447" s="709" t="s">
        <v>1308</v>
      </c>
      <c r="E1447" s="2650" t="s">
        <v>1369</v>
      </c>
      <c r="F1447" s="2651"/>
      <c r="G1447" s="8"/>
      <c r="H1447"/>
      <c r="I1447" s="3414" t="s">
        <v>1660</v>
      </c>
      <c r="J1447" s="1091"/>
      <c r="K1447" s="1091"/>
      <c r="L1447" s="1091"/>
      <c r="M1447" s="1092"/>
      <c r="N1447" s="1092"/>
      <c r="O1447" s="1092"/>
      <c r="P1447" s="1092"/>
      <c r="Q1447" s="1852" t="str">
        <f>CHOOSE(2, "6722000004365", "Inventories (7) IIS (Imaging-IoT Solution)")</f>
        <v>Inventories (7) IIS (Imaging-IoT Solution)</v>
      </c>
      <c r="R1447" s="1462">
        <f t="shared" ref="R1447:AC1447" si="1896">SUM(R1448:R1450)</f>
        <v>9910</v>
      </c>
      <c r="S1447" s="1462">
        <f t="shared" si="1896"/>
        <v>9063</v>
      </c>
      <c r="T1447" s="1462">
        <f t="shared" si="1896"/>
        <v>9007</v>
      </c>
      <c r="U1447" s="1462">
        <f t="shared" si="1896"/>
        <v>8976</v>
      </c>
      <c r="V1447" s="1462">
        <f t="shared" si="1896"/>
        <v>8456</v>
      </c>
      <c r="W1447" s="1462">
        <f t="shared" si="1896"/>
        <v>9180</v>
      </c>
      <c r="X1447" s="1462">
        <f t="shared" si="1896"/>
        <v>9189</v>
      </c>
      <c r="Y1447" s="1462">
        <f t="shared" si="1896"/>
        <v>9212</v>
      </c>
      <c r="Z1447" s="1462">
        <f t="shared" si="1896"/>
        <v>9480</v>
      </c>
      <c r="AA1447" s="1462">
        <f t="shared" si="1896"/>
        <v>10227.338809999999</v>
      </c>
      <c r="AB1447" s="1462">
        <f t="shared" si="1896"/>
        <v>10999.231169999999</v>
      </c>
      <c r="AC1447" s="1462">
        <f t="shared" si="1896"/>
        <v>13303.10225</v>
      </c>
      <c r="AD1447" s="1462">
        <f t="shared" ref="AD1447:AJ1447" si="1897">SUM(AD1448:AD1450)</f>
        <v>9007</v>
      </c>
      <c r="AE1447" s="1462">
        <f t="shared" si="1897"/>
        <v>9180</v>
      </c>
      <c r="AF1447" s="1462">
        <f t="shared" si="1897"/>
        <v>9480</v>
      </c>
      <c r="AG1447" s="1462">
        <f t="shared" si="1897"/>
        <v>13303.10225</v>
      </c>
      <c r="AH1447" s="1462">
        <f t="shared" si="1897"/>
        <v>9180</v>
      </c>
      <c r="AI1447" s="1462">
        <f t="shared" si="1897"/>
        <v>13303.10225</v>
      </c>
      <c r="AJ1447" s="1462">
        <f t="shared" si="1897"/>
        <v>13303.10225</v>
      </c>
    </row>
    <row r="1448" spans="1:60" ht="14.5">
      <c r="A1448" s="616">
        <v>1</v>
      </c>
      <c r="B1448" s="616">
        <v>1</v>
      </c>
      <c r="C1448" s="616" t="s">
        <v>1540</v>
      </c>
      <c r="D1448" s="709" t="s">
        <v>1308</v>
      </c>
      <c r="E1448" s="2650" t="s">
        <v>1369</v>
      </c>
      <c r="F1448" s="2651"/>
      <c r="G1448" s="8"/>
      <c r="H1448"/>
      <c r="I1448" s="29"/>
      <c r="J1448" s="3" t="s">
        <v>721</v>
      </c>
      <c r="K1448" s="3"/>
      <c r="L1448" s="3"/>
      <c r="M1448" s="4"/>
      <c r="N1448" s="3"/>
      <c r="O1448" s="3"/>
      <c r="P1448" s="3"/>
      <c r="Q1448" s="1853" t="str">
        <f>CHOOSE(2, "6722000004366", "Inventories (7) IIS (Imaging-IoT Solution) PKM")</f>
        <v>Inventories (7) IIS (Imaging-IoT Solution) PKM</v>
      </c>
      <c r="R1448" s="1215">
        <v>0</v>
      </c>
      <c r="S1448" s="1215">
        <v>0</v>
      </c>
      <c r="T1448" s="1215">
        <v>0</v>
      </c>
      <c r="U1448" s="1215">
        <v>0</v>
      </c>
      <c r="V1448" s="1215">
        <v>0</v>
      </c>
      <c r="W1448" s="1215">
        <v>0</v>
      </c>
      <c r="X1448" s="1215">
        <v>0</v>
      </c>
      <c r="Y1448" s="1215">
        <v>0</v>
      </c>
      <c r="Z1448" s="1215">
        <v>0</v>
      </c>
      <c r="AA1448" s="1215">
        <v>0</v>
      </c>
      <c r="AB1448" s="1215">
        <v>0</v>
      </c>
      <c r="AC1448" s="1215">
        <v>0</v>
      </c>
      <c r="AD1448" s="596">
        <f>T1448</f>
        <v>0</v>
      </c>
      <c r="AE1448" s="596">
        <f>W1448</f>
        <v>0</v>
      </c>
      <c r="AF1448" s="596">
        <f>Z1448</f>
        <v>0</v>
      </c>
      <c r="AG1448" s="596">
        <f>AC1448</f>
        <v>0</v>
      </c>
      <c r="AH1448" s="596">
        <f>AE1448</f>
        <v>0</v>
      </c>
      <c r="AI1448" s="596">
        <f>AG1448</f>
        <v>0</v>
      </c>
      <c r="AJ1448" s="596">
        <f>AI1448</f>
        <v>0</v>
      </c>
    </row>
    <row r="1449" spans="1:60" ht="14.5">
      <c r="A1449" s="616">
        <v>1</v>
      </c>
      <c r="B1449" s="616">
        <v>1</v>
      </c>
      <c r="C1449" s="616" t="s">
        <v>1540</v>
      </c>
      <c r="D1449" s="709" t="s">
        <v>1308</v>
      </c>
      <c r="E1449" s="2650" t="s">
        <v>1369</v>
      </c>
      <c r="F1449" s="2651"/>
      <c r="G1449" s="8"/>
      <c r="H1449"/>
      <c r="I1449" s="29"/>
      <c r="J1449" s="3" t="s">
        <v>1661</v>
      </c>
      <c r="K1449" s="3"/>
      <c r="L1449" s="3"/>
      <c r="M1449" s="4"/>
      <c r="N1449" s="3"/>
      <c r="O1449" s="3"/>
      <c r="P1449" s="3"/>
      <c r="Q1449" s="1853" t="str">
        <f>CHOOSE(2, "6722000004367", "(7) IIS (Imaging-IoT Solution) PurchasedfromHMX")</f>
        <v>(7) IIS (Imaging-IoT Solution) PurchasedfromHMX</v>
      </c>
      <c r="R1449" s="1215">
        <v>9910</v>
      </c>
      <c r="S1449" s="1215">
        <v>9063</v>
      </c>
      <c r="T1449" s="1215">
        <v>9007</v>
      </c>
      <c r="U1449" s="1215">
        <v>8976</v>
      </c>
      <c r="V1449" s="1215">
        <v>8456</v>
      </c>
      <c r="W1449" s="1215">
        <v>9180</v>
      </c>
      <c r="X1449" s="1215">
        <v>9189</v>
      </c>
      <c r="Y1449" s="1215">
        <v>9212</v>
      </c>
      <c r="Z1449" s="1215">
        <v>9480</v>
      </c>
      <c r="AA1449" s="1215">
        <v>10227.338809999999</v>
      </c>
      <c r="AB1449" s="1215">
        <v>10999.231169999999</v>
      </c>
      <c r="AC1449" s="1215">
        <v>13303.10225</v>
      </c>
      <c r="AD1449" s="596">
        <f>T1449</f>
        <v>9007</v>
      </c>
      <c r="AE1449" s="596">
        <f>W1449</f>
        <v>9180</v>
      </c>
      <c r="AF1449" s="596">
        <f>Z1449</f>
        <v>9480</v>
      </c>
      <c r="AG1449" s="596">
        <f>AC1449</f>
        <v>13303.10225</v>
      </c>
      <c r="AH1449" s="596">
        <f>AE1449</f>
        <v>9180</v>
      </c>
      <c r="AI1449" s="596">
        <f>AG1449</f>
        <v>13303.10225</v>
      </c>
      <c r="AJ1449" s="596">
        <f>AI1449</f>
        <v>13303.10225</v>
      </c>
    </row>
    <row r="1450" spans="1:60" ht="14.5">
      <c r="A1450" s="616">
        <v>1</v>
      </c>
      <c r="B1450" s="616">
        <v>1</v>
      </c>
      <c r="C1450" s="616" t="s">
        <v>1540</v>
      </c>
      <c r="D1450" s="709" t="s">
        <v>1308</v>
      </c>
      <c r="E1450" s="2650" t="s">
        <v>1369</v>
      </c>
      <c r="F1450" s="2651"/>
      <c r="G1450" s="8"/>
      <c r="H1450"/>
      <c r="I1450" s="366"/>
      <c r="J1450" s="1" t="s">
        <v>66</v>
      </c>
      <c r="K1450" s="1"/>
      <c r="L1450" s="1"/>
      <c r="M1450" s="2"/>
      <c r="N1450" s="1"/>
      <c r="O1450" s="1"/>
      <c r="P1450" s="1"/>
      <c r="Q1450" s="1853" t="str">
        <f>CHOOSE(2, "6722000004368", "(7) IIS (Imaging-IoT Solution) 3rd Party")</f>
        <v>(7) IIS (Imaging-IoT Solution) 3rd Party</v>
      </c>
      <c r="R1450" s="1213">
        <v>0</v>
      </c>
      <c r="S1450" s="1213">
        <v>0</v>
      </c>
      <c r="T1450" s="1213">
        <v>0</v>
      </c>
      <c r="U1450" s="1213">
        <v>0</v>
      </c>
      <c r="V1450" s="1213">
        <v>0</v>
      </c>
      <c r="W1450" s="1213">
        <v>0</v>
      </c>
      <c r="X1450" s="1213">
        <v>0</v>
      </c>
      <c r="Y1450" s="1213">
        <v>0</v>
      </c>
      <c r="Z1450" s="1213">
        <v>0</v>
      </c>
      <c r="AA1450" s="1213">
        <v>0</v>
      </c>
      <c r="AB1450" s="1213">
        <v>0</v>
      </c>
      <c r="AC1450" s="1213">
        <v>0</v>
      </c>
      <c r="AD1450" s="585">
        <f>T1450</f>
        <v>0</v>
      </c>
      <c r="AE1450" s="585">
        <f>W1450</f>
        <v>0</v>
      </c>
      <c r="AF1450" s="585">
        <f>Z1450</f>
        <v>0</v>
      </c>
      <c r="AG1450" s="585">
        <f>AC1450</f>
        <v>0</v>
      </c>
      <c r="AH1450" s="585">
        <f>AE1450</f>
        <v>0</v>
      </c>
      <c r="AI1450" s="585">
        <f>AG1450</f>
        <v>0</v>
      </c>
      <c r="AJ1450" s="585">
        <f>AI1450</f>
        <v>0</v>
      </c>
    </row>
    <row r="1451" spans="1:60" ht="14.5">
      <c r="A1451" s="616">
        <v>1</v>
      </c>
      <c r="B1451" s="616">
        <v>1</v>
      </c>
      <c r="C1451" s="616" t="s">
        <v>1540</v>
      </c>
      <c r="D1451" s="709" t="s">
        <v>1308</v>
      </c>
      <c r="E1451" s="2547">
        <v>1</v>
      </c>
      <c r="G1451" s="22"/>
      <c r="H1451" s="9"/>
      <c r="I1451" s="8"/>
      <c r="J1451" s="9"/>
      <c r="L1451" s="8"/>
      <c r="P1451" s="1210"/>
      <c r="Q1451" s="1772" t="str">
        <f>CHOOSE(2, "6722000004369", "▷ Blank 61")</f>
        <v>▷ Blank 61</v>
      </c>
      <c r="AA1451" s="8"/>
    </row>
    <row r="1452" spans="1:60" ht="18">
      <c r="A1452" s="616">
        <v>1</v>
      </c>
      <c r="B1452" s="616">
        <v>1</v>
      </c>
      <c r="C1452" s="616" t="s">
        <v>1540</v>
      </c>
      <c r="D1452" s="709" t="s">
        <v>1308</v>
      </c>
      <c r="E1452" s="2547">
        <v>1</v>
      </c>
      <c r="F1452" s="242" t="s">
        <v>1662</v>
      </c>
      <c r="G1452" s="242"/>
      <c r="Q1452" s="1772" t="str">
        <f>CHOOSE(2, "6722000004370", "10. Reference")</f>
        <v>10. Reference</v>
      </c>
    </row>
    <row r="1453" spans="1:60" ht="14.5">
      <c r="A1453" s="616">
        <v>1</v>
      </c>
      <c r="B1453" s="616">
        <v>1</v>
      </c>
      <c r="C1453" s="616" t="s">
        <v>1540</v>
      </c>
      <c r="D1453" s="709" t="s">
        <v>1308</v>
      </c>
      <c r="E1453" s="2547">
        <v>1</v>
      </c>
      <c r="G1453" s="4" t="s">
        <v>1663</v>
      </c>
      <c r="Q1453" s="1772" t="str">
        <f>CHOOSE(2, "6722000004371", "10-1. Variable Costing Income Statement")</f>
        <v>10-1. Variable Costing Income Statement</v>
      </c>
    </row>
    <row r="1454" spans="1:60" ht="14.5">
      <c r="A1454" s="616">
        <v>1</v>
      </c>
      <c r="B1454" s="616">
        <v>1</v>
      </c>
      <c r="C1454" s="616" t="s">
        <v>1540</v>
      </c>
      <c r="D1454" s="709" t="s">
        <v>1308</v>
      </c>
      <c r="E1454" s="2547">
        <v>1</v>
      </c>
      <c r="I1454" s="3426"/>
      <c r="J1454" s="613"/>
      <c r="K1454" s="614"/>
      <c r="L1454" s="614"/>
      <c r="M1454" s="613"/>
      <c r="N1454" s="613"/>
      <c r="O1454" s="613"/>
      <c r="P1454" s="3427"/>
      <c r="Q1454" s="1773" t="str">
        <f>CHOOSE(2, "6722000004372", "▷ Blank 62")</f>
        <v>▷ Blank 62</v>
      </c>
      <c r="R1454" s="2652">
        <f>R13</f>
        <v>44652</v>
      </c>
      <c r="S1454" s="2652">
        <f t="shared" ref="S1454:AC1454" si="1898">S13</f>
        <v>44682</v>
      </c>
      <c r="T1454" s="2652">
        <f t="shared" si="1898"/>
        <v>44713</v>
      </c>
      <c r="U1454" s="2652">
        <f t="shared" si="1898"/>
        <v>44743</v>
      </c>
      <c r="V1454" s="2652">
        <f t="shared" si="1898"/>
        <v>44774</v>
      </c>
      <c r="W1454" s="2652">
        <f t="shared" si="1898"/>
        <v>44805</v>
      </c>
      <c r="X1454" s="2652">
        <f t="shared" si="1898"/>
        <v>44835</v>
      </c>
      <c r="Y1454" s="2652">
        <f t="shared" si="1898"/>
        <v>44866</v>
      </c>
      <c r="Z1454" s="2652">
        <f t="shared" si="1898"/>
        <v>44896</v>
      </c>
      <c r="AA1454" s="2652">
        <f t="shared" si="1898"/>
        <v>44927</v>
      </c>
      <c r="AB1454" s="2652">
        <f t="shared" si="1898"/>
        <v>44958</v>
      </c>
      <c r="AC1454" s="2652">
        <f t="shared" si="1898"/>
        <v>44986</v>
      </c>
      <c r="AD1454" s="2653" t="str">
        <f t="shared" ref="AD1454:AJ1454" si="1899">AD$13</f>
        <v>Q1</v>
      </c>
      <c r="AE1454" s="2653" t="str">
        <f t="shared" si="1899"/>
        <v>Q2</v>
      </c>
      <c r="AF1454" s="2653" t="str">
        <f t="shared" si="1899"/>
        <v>Q3</v>
      </c>
      <c r="AG1454" s="2653" t="str">
        <f t="shared" si="1899"/>
        <v>Q4</v>
      </c>
      <c r="AH1454" s="2653" t="str">
        <f t="shared" si="1899"/>
        <v>1st H</v>
      </c>
      <c r="AI1454" s="2653" t="str">
        <f t="shared" si="1899"/>
        <v>2nd H</v>
      </c>
      <c r="AJ1454" s="2653" t="str">
        <f t="shared" si="1899"/>
        <v>Yr.</v>
      </c>
      <c r="AL1454" s="2723">
        <f>AL$10</f>
        <v>0</v>
      </c>
      <c r="AM1454" s="2724">
        <f t="shared" ref="AM1454:AR1454" si="1900">AM$10</f>
        <v>0</v>
      </c>
      <c r="AN1454" s="2725">
        <f t="shared" si="1900"/>
        <v>0</v>
      </c>
      <c r="AO1454" s="2726">
        <f t="shared" si="1900"/>
        <v>0</v>
      </c>
      <c r="AP1454" s="2724">
        <f t="shared" si="1900"/>
        <v>0</v>
      </c>
      <c r="AQ1454" s="2725">
        <f t="shared" si="1900"/>
        <v>0</v>
      </c>
      <c r="AR1454" s="2727">
        <f t="shared" si="1900"/>
        <v>0</v>
      </c>
      <c r="AT1454" s="2723">
        <f>AT$10</f>
        <v>0</v>
      </c>
      <c r="AU1454" s="2724">
        <f t="shared" ref="AU1454:AZ1454" si="1901">AU$10</f>
        <v>0</v>
      </c>
      <c r="AV1454" s="2725">
        <f t="shared" si="1901"/>
        <v>0</v>
      </c>
      <c r="AW1454" s="2726">
        <f t="shared" si="1901"/>
        <v>0</v>
      </c>
      <c r="AX1454" s="2724">
        <f t="shared" si="1901"/>
        <v>0</v>
      </c>
      <c r="AY1454" s="2725">
        <f t="shared" si="1901"/>
        <v>0</v>
      </c>
      <c r="AZ1454" s="2727">
        <f t="shared" si="1901"/>
        <v>0</v>
      </c>
      <c r="BB1454" s="2723">
        <f>BB$10</f>
        <v>0</v>
      </c>
      <c r="BC1454" s="2724">
        <f t="shared" ref="BC1454:BH1454" si="1902">BC$10</f>
        <v>0</v>
      </c>
      <c r="BD1454" s="2725">
        <f t="shared" si="1902"/>
        <v>0</v>
      </c>
      <c r="BE1454" s="2726">
        <f t="shared" si="1902"/>
        <v>0</v>
      </c>
      <c r="BF1454" s="2724">
        <f t="shared" si="1902"/>
        <v>0</v>
      </c>
      <c r="BG1454" s="2725">
        <f t="shared" si="1902"/>
        <v>0</v>
      </c>
      <c r="BH1454" s="2727">
        <f t="shared" si="1902"/>
        <v>0</v>
      </c>
    </row>
    <row r="1455" spans="1:60" s="621" customFormat="1" ht="14.5">
      <c r="A1455" s="616">
        <v>1</v>
      </c>
      <c r="B1455" s="616">
        <v>1</v>
      </c>
      <c r="C1455" s="616" t="s">
        <v>1540</v>
      </c>
      <c r="D1455" s="709" t="s">
        <v>1308</v>
      </c>
      <c r="E1455" s="2547">
        <v>1</v>
      </c>
      <c r="F1455" s="622"/>
      <c r="G1455" s="622"/>
      <c r="H1455" s="623"/>
      <c r="I1455" s="3428" t="s">
        <v>0</v>
      </c>
      <c r="J1455" s="632"/>
      <c r="K1455" s="632"/>
      <c r="L1455" s="632"/>
      <c r="M1455" s="632"/>
      <c r="N1455" s="632"/>
      <c r="O1455" s="632"/>
      <c r="P1455" s="3429" t="s">
        <v>1664</v>
      </c>
      <c r="Q1455" s="1784" t="str">
        <f>CHOOSE(2, "6722000004373", "Net Sales A")</f>
        <v>Net Sales A</v>
      </c>
      <c r="R1455" s="1331">
        <f t="shared" ref="R1455:AJ1455" si="1903">R14</f>
        <v>649255</v>
      </c>
      <c r="S1455" s="1331">
        <f t="shared" si="1903"/>
        <v>656821</v>
      </c>
      <c r="T1455" s="1331">
        <f t="shared" si="1903"/>
        <v>693011</v>
      </c>
      <c r="U1455" s="1331">
        <f t="shared" si="1903"/>
        <v>709342</v>
      </c>
      <c r="V1455" s="1331">
        <f t="shared" si="1903"/>
        <v>827652.59600999998</v>
      </c>
      <c r="W1455" s="1331">
        <f t="shared" si="1903"/>
        <v>711087</v>
      </c>
      <c r="X1455" s="1331">
        <f t="shared" si="1903"/>
        <v>873355</v>
      </c>
      <c r="Y1455" s="1331">
        <f t="shared" si="1903"/>
        <v>797664</v>
      </c>
      <c r="Z1455" s="1331">
        <f t="shared" si="1903"/>
        <v>852777</v>
      </c>
      <c r="AA1455" s="1331">
        <f t="shared" si="1903"/>
        <v>834597</v>
      </c>
      <c r="AB1455" s="1331">
        <f t="shared" si="1903"/>
        <v>871093.62631000008</v>
      </c>
      <c r="AC1455" s="1331">
        <f t="shared" si="1903"/>
        <v>764117</v>
      </c>
      <c r="AD1455" s="1331">
        <f t="shared" si="1903"/>
        <v>1999087</v>
      </c>
      <c r="AE1455" s="1331">
        <f t="shared" si="1903"/>
        <v>2248081.59601</v>
      </c>
      <c r="AF1455" s="1331">
        <f t="shared" si="1903"/>
        <v>2523796</v>
      </c>
      <c r="AG1455" s="1331">
        <f t="shared" si="1903"/>
        <v>2469807.6263100002</v>
      </c>
      <c r="AH1455" s="1331">
        <f t="shared" si="1903"/>
        <v>4247168.5960099995</v>
      </c>
      <c r="AI1455" s="1331">
        <f t="shared" si="1903"/>
        <v>4993603.6263100002</v>
      </c>
      <c r="AJ1455" s="1331">
        <f t="shared" si="1903"/>
        <v>9240772.2223199997</v>
      </c>
      <c r="AL1455" s="1331">
        <f ca="1">AL14</f>
        <v>764117</v>
      </c>
      <c r="AM1455" s="1331">
        <f ca="1">AM14</f>
        <v>0</v>
      </c>
      <c r="AN1455" s="3430">
        <f t="shared" ref="AN1455:AN1471" ca="1" si="1904">AL1455-AM1455</f>
        <v>764117</v>
      </c>
      <c r="AO1455" s="2982">
        <f ca="1">IFERROR(AL1455/AM1455,0)</f>
        <v>0</v>
      </c>
      <c r="AP1455" s="1331">
        <f ca="1">AP14</f>
        <v>0</v>
      </c>
      <c r="AQ1455" s="3430">
        <f t="shared" ref="AQ1455:AQ1471" ca="1" si="1905">AL1455-AP1455</f>
        <v>764117</v>
      </c>
      <c r="AR1455" s="2982">
        <f ca="1">IFERROR(AL1455/AP1455,0)</f>
        <v>0</v>
      </c>
      <c r="AT1455" s="1331">
        <f ca="1">AT14</f>
        <v>2469807.6263100002</v>
      </c>
      <c r="AU1455" s="1331">
        <f ca="1">AU14</f>
        <v>0</v>
      </c>
      <c r="AV1455" s="3430">
        <f t="shared" ref="AV1455:AV1471" ca="1" si="1906">AT1455-AU1455</f>
        <v>2469807.6263100002</v>
      </c>
      <c r="AW1455" s="2982">
        <f ca="1">IFERROR(AT1455/AU1455,0)</f>
        <v>0</v>
      </c>
      <c r="AX1455" s="1331">
        <f ca="1">AX14</f>
        <v>0</v>
      </c>
      <c r="AY1455" s="3430">
        <f t="shared" ref="AY1455:AY1471" ca="1" si="1907">AT1455-AX1455</f>
        <v>2469807.6263100002</v>
      </c>
      <c r="AZ1455" s="2982">
        <f ca="1">IFERROR(AT1455/AX1455,0)</f>
        <v>0</v>
      </c>
      <c r="BB1455" s="1331">
        <f ca="1">BB14</f>
        <v>9240772.2223199997</v>
      </c>
      <c r="BC1455" s="1331">
        <f ca="1">BC14</f>
        <v>45077.785299537034</v>
      </c>
      <c r="BD1455" s="3430">
        <f t="shared" ref="BD1455:BD1471" ca="1" si="1908">BB1455-BC1455</f>
        <v>9195694.437020462</v>
      </c>
      <c r="BE1455" s="2982">
        <f ca="1">IFERROR(BB1455/BC1455,0)</f>
        <v>204.9961452390809</v>
      </c>
      <c r="BF1455" s="1331">
        <f ca="1">BF14</f>
        <v>45391.854638657409</v>
      </c>
      <c r="BG1455" s="3430">
        <f t="shared" ref="BG1455:BG1471" ca="1" si="1909">BB1455-BF1455</f>
        <v>9195380.3676813431</v>
      </c>
      <c r="BH1455" s="2982">
        <f ca="1">IFERROR(BB1455/BF1455,0)</f>
        <v>203.57776292423642</v>
      </c>
    </row>
    <row r="1456" spans="1:60" s="621" customFormat="1" ht="14.5">
      <c r="A1456" s="616">
        <v>1</v>
      </c>
      <c r="B1456" s="616">
        <v>1</v>
      </c>
      <c r="C1456" s="616" t="s">
        <v>1540</v>
      </c>
      <c r="D1456" s="709" t="s">
        <v>1308</v>
      </c>
      <c r="E1456" s="2547">
        <v>1</v>
      </c>
      <c r="F1456" s="622"/>
      <c r="G1456" s="622"/>
      <c r="H1456" s="623"/>
      <c r="I1456" s="1328" t="s">
        <v>1665</v>
      </c>
      <c r="J1456" s="1327"/>
      <c r="K1456" s="1327"/>
      <c r="L1456" s="634"/>
      <c r="M1456" s="626"/>
      <c r="N1456" s="626"/>
      <c r="O1456" s="626"/>
      <c r="P1456" s="648" t="s">
        <v>1666</v>
      </c>
      <c r="Q1456" s="1784" t="str">
        <f>CHOOSE(2, "6722000004374", "Variable Cost B")</f>
        <v>Variable Cost B</v>
      </c>
      <c r="R1456" s="1326">
        <f>SUM(R1458:R1460)</f>
        <v>490037</v>
      </c>
      <c r="S1456" s="1326">
        <f t="shared" ref="S1456:AJ1456" si="1910">SUM(S1458:S1460)</f>
        <v>496942.37670858658</v>
      </c>
      <c r="T1456" s="1326">
        <f t="shared" si="1910"/>
        <v>498562.04822718608</v>
      </c>
      <c r="U1456" s="1326">
        <f t="shared" si="1910"/>
        <v>520411.01785004942</v>
      </c>
      <c r="V1456" s="1326">
        <f t="shared" si="1910"/>
        <v>603884.34793055744</v>
      </c>
      <c r="W1456" s="1326">
        <f t="shared" si="1910"/>
        <v>551291.7025530152</v>
      </c>
      <c r="X1456" s="1326">
        <f t="shared" si="1910"/>
        <v>598322.59219036205</v>
      </c>
      <c r="Y1456" s="1326">
        <f t="shared" si="1910"/>
        <v>585212.27957829612</v>
      </c>
      <c r="Z1456" s="1326">
        <f t="shared" si="1910"/>
        <v>656011.17906290398</v>
      </c>
      <c r="AA1456" s="1326">
        <f t="shared" si="1910"/>
        <v>612855.8227926878</v>
      </c>
      <c r="AB1456" s="1326">
        <f t="shared" si="1910"/>
        <v>667029.02953058411</v>
      </c>
      <c r="AC1456" s="1326">
        <f t="shared" si="1910"/>
        <v>553543.66414033354</v>
      </c>
      <c r="AD1456" s="1326">
        <f t="shared" si="1910"/>
        <v>1485542.439436669</v>
      </c>
      <c r="AE1456" s="1326">
        <f t="shared" si="1910"/>
        <v>1675585.5556655095</v>
      </c>
      <c r="AF1456" s="1326">
        <f t="shared" si="1910"/>
        <v>1839546.2861199048</v>
      </c>
      <c r="AG1456" s="1326">
        <f t="shared" si="1910"/>
        <v>1833428.5185436055</v>
      </c>
      <c r="AH1456" s="1326">
        <f t="shared" si="1910"/>
        <v>3161127.9951021788</v>
      </c>
      <c r="AI1456" s="1326">
        <f t="shared" si="1910"/>
        <v>3672974.8046635105</v>
      </c>
      <c r="AJ1456" s="1326">
        <f t="shared" si="1910"/>
        <v>6834102.7997656893</v>
      </c>
      <c r="AL1456" s="1328">
        <f ca="1">SUM(AL1458:AL1460)</f>
        <v>553543.66414033354</v>
      </c>
      <c r="AM1456" s="1326">
        <f ca="1">SUM(AM1458:AM1460)</f>
        <v>114986.83342617188</v>
      </c>
      <c r="AN1456" s="3431">
        <f t="shared" ca="1" si="1904"/>
        <v>438556.83071416162</v>
      </c>
      <c r="AO1456" s="2984">
        <f ca="1">IFERROR(AL1456/AM1456,0)</f>
        <v>4.8139743277280544</v>
      </c>
      <c r="AP1456" s="1328">
        <f ca="1">SUM(AP1458:AP1460)</f>
        <v>118044.26253630839</v>
      </c>
      <c r="AQ1456" s="3431">
        <f t="shared" ca="1" si="1905"/>
        <v>435499.40160402516</v>
      </c>
      <c r="AR1456" s="2984">
        <f ca="1">IFERROR(AL1456/AP1456,0)</f>
        <v>4.6892890196173065</v>
      </c>
      <c r="AT1456" s="1328">
        <f ca="1">SUM(AT1458:AT1460)</f>
        <v>1833428.5185436055</v>
      </c>
      <c r="AU1456" s="1326">
        <f ca="1">SUM(AU1458:AU1460)</f>
        <v>341007.54976216413</v>
      </c>
      <c r="AV1456" s="3431">
        <f t="shared" ca="1" si="1906"/>
        <v>1492420.9687814415</v>
      </c>
      <c r="AW1456" s="2984">
        <f ca="1">IFERROR(AT1456/AU1456,0)</f>
        <v>5.3765041853833768</v>
      </c>
      <c r="AX1456" s="1328">
        <f ca="1">SUM(AX1458:AX1460)</f>
        <v>414430.18347615382</v>
      </c>
      <c r="AY1456" s="3431">
        <f t="shared" ca="1" si="1907"/>
        <v>1418998.3350674517</v>
      </c>
      <c r="AZ1456" s="2984">
        <f ca="1">IFERROR(AT1456/AX1456,0)</f>
        <v>4.4239743909702476</v>
      </c>
      <c r="BB1456" s="1328">
        <f ca="1">SUM(BB1458:BB1460)</f>
        <v>6834102.7997656884</v>
      </c>
      <c r="BC1456" s="1326">
        <f ca="1">SUM(BC1458:BC1460)</f>
        <v>584250.8299893731</v>
      </c>
      <c r="BD1456" s="3431">
        <f t="shared" ca="1" si="1908"/>
        <v>6249851.9697763156</v>
      </c>
      <c r="BE1456" s="2984">
        <f ca="1">IFERROR(BB1456/BC1456,0)</f>
        <v>11.697206831336453</v>
      </c>
      <c r="BF1456" s="1328">
        <f ca="1">SUM(BF1458:BF1460)</f>
        <v>1377771.0567422879</v>
      </c>
      <c r="BG1456" s="3431">
        <f t="shared" ca="1" si="1909"/>
        <v>5456331.7430234002</v>
      </c>
      <c r="BH1456" s="2984">
        <f ca="1">IFERROR(BB1456/BF1456,0)</f>
        <v>4.9602601000523174</v>
      </c>
    </row>
    <row r="1457" spans="1:60" s="641" customFormat="1" ht="14.5">
      <c r="A1457" s="616">
        <v>1</v>
      </c>
      <c r="B1457" s="616">
        <v>1</v>
      </c>
      <c r="C1457" s="616" t="s">
        <v>1540</v>
      </c>
      <c r="D1457" s="709" t="s">
        <v>1308</v>
      </c>
      <c r="E1457" s="2547">
        <v>1</v>
      </c>
      <c r="F1457" s="637"/>
      <c r="G1457" s="637"/>
      <c r="H1457" s="637"/>
      <c r="I1457" s="638"/>
      <c r="J1457" s="639" t="s">
        <v>55</v>
      </c>
      <c r="K1457" s="639"/>
      <c r="L1457" s="639"/>
      <c r="M1457" s="640"/>
      <c r="N1457" s="640"/>
      <c r="O1457" s="640"/>
      <c r="P1457" s="649"/>
      <c r="Q1457" s="1785" t="str">
        <f>CHOOSE(2, "6722000004375", "Variable Cost (%)")</f>
        <v>Variable Cost (%)</v>
      </c>
      <c r="R1457" s="1332">
        <f>IFERROR(R1456/R1455,0)</f>
        <v>0.75476815734957758</v>
      </c>
      <c r="S1457" s="1332">
        <f t="shared" ref="S1457:AJ1457" si="1911">IFERROR(S1456/S1455,0)</f>
        <v>0.75658722347273699</v>
      </c>
      <c r="T1457" s="1332">
        <f t="shared" si="1911"/>
        <v>0.71941433574241398</v>
      </c>
      <c r="U1457" s="1332">
        <f t="shared" si="1911"/>
        <v>0.73365318541697722</v>
      </c>
      <c r="V1457" s="1332">
        <f t="shared" si="1911"/>
        <v>0.72963505562817221</v>
      </c>
      <c r="W1457" s="1332">
        <f t="shared" si="1911"/>
        <v>0.77528024356093583</v>
      </c>
      <c r="X1457" s="1332">
        <f t="shared" si="1911"/>
        <v>0.68508520840936626</v>
      </c>
      <c r="Y1457" s="1332">
        <f t="shared" si="1911"/>
        <v>0.7336576297517452</v>
      </c>
      <c r="Z1457" s="1332">
        <f t="shared" si="1911"/>
        <v>0.7692646249405225</v>
      </c>
      <c r="AA1457" s="1332">
        <f t="shared" si="1911"/>
        <v>0.73431347439864725</v>
      </c>
      <c r="AB1457" s="1332">
        <f t="shared" si="1911"/>
        <v>0.76573746998489167</v>
      </c>
      <c r="AC1457" s="1332">
        <f t="shared" si="1911"/>
        <v>0.72442265273555428</v>
      </c>
      <c r="AD1457" s="1332">
        <f t="shared" si="1911"/>
        <v>0.74311044963859452</v>
      </c>
      <c r="AE1457" s="1332">
        <f t="shared" si="1911"/>
        <v>0.74534018633461385</v>
      </c>
      <c r="AF1457" s="1332">
        <f t="shared" si="1911"/>
        <v>0.72888073604994419</v>
      </c>
      <c r="AG1457" s="1332">
        <f t="shared" si="1911"/>
        <v>0.74233656865123021</v>
      </c>
      <c r="AH1457" s="1332">
        <f t="shared" si="1911"/>
        <v>0.74429067828197326</v>
      </c>
      <c r="AI1457" s="1332">
        <f t="shared" si="1911"/>
        <v>0.73553591344566482</v>
      </c>
      <c r="AJ1457" s="1332">
        <f t="shared" si="1911"/>
        <v>0.7395597072784369</v>
      </c>
      <c r="AL1457" s="1334">
        <f ca="1">IFERROR(AL1456/AL1455,0)</f>
        <v>0.72442265273555428</v>
      </c>
      <c r="AM1457" s="1332">
        <f ca="1">IFERROR(AM1456/AM1455,0)</f>
        <v>0</v>
      </c>
      <c r="AN1457" s="1334">
        <f t="shared" ca="1" si="1904"/>
        <v>0.72442265273555428</v>
      </c>
      <c r="AO1457" s="1334"/>
      <c r="AP1457" s="1334">
        <f ca="1">IFERROR(AP1456/AP1455,0)</f>
        <v>0</v>
      </c>
      <c r="AQ1457" s="1334">
        <f t="shared" ca="1" si="1905"/>
        <v>0.72442265273555428</v>
      </c>
      <c r="AR1457" s="1334"/>
      <c r="AT1457" s="1334">
        <f ca="1">IFERROR(AT1456/AT1455,0)</f>
        <v>0.74233656865123021</v>
      </c>
      <c r="AU1457" s="1332">
        <f ca="1">IFERROR(AU1456/AU1455,0)</f>
        <v>0</v>
      </c>
      <c r="AV1457" s="1334">
        <f t="shared" ca="1" si="1906"/>
        <v>0.74233656865123021</v>
      </c>
      <c r="AW1457" s="1334"/>
      <c r="AX1457" s="1334">
        <f ca="1">IFERROR(AX1456/AX1455,0)</f>
        <v>0</v>
      </c>
      <c r="AY1457" s="1334">
        <f t="shared" ca="1" si="1907"/>
        <v>0.74233656865123021</v>
      </c>
      <c r="AZ1457" s="1334"/>
      <c r="BB1457" s="1334">
        <f ca="1">IFERROR(BB1456/BB1455,0)</f>
        <v>0.73955970727843678</v>
      </c>
      <c r="BC1457" s="1332">
        <f ca="1">IFERROR(BC1456/BC1455,0)</f>
        <v>12.960947972645267</v>
      </c>
      <c r="BD1457" s="1334">
        <f t="shared" ca="1" si="1908"/>
        <v>-12.22138826536683</v>
      </c>
      <c r="BE1457" s="1334"/>
      <c r="BF1457" s="1334">
        <f ca="1">IFERROR(BF1456/BF1455,0)</f>
        <v>30.352825803441096</v>
      </c>
      <c r="BG1457" s="1334">
        <f t="shared" ca="1" si="1909"/>
        <v>-29.613266096162658</v>
      </c>
      <c r="BH1457" s="1334"/>
    </row>
    <row r="1458" spans="1:60" s="624" customFormat="1" ht="14.5">
      <c r="A1458" s="616">
        <v>1</v>
      </c>
      <c r="B1458" s="616">
        <v>1</v>
      </c>
      <c r="C1458" s="616" t="s">
        <v>1540</v>
      </c>
      <c r="D1458" s="709" t="s">
        <v>1308</v>
      </c>
      <c r="E1458" s="2547">
        <v>1</v>
      </c>
      <c r="F1458" s="623"/>
      <c r="G1458" s="623"/>
      <c r="H1458" s="623"/>
      <c r="I1458" s="625"/>
      <c r="J1458" s="626" t="s">
        <v>1667</v>
      </c>
      <c r="K1458" s="626"/>
      <c r="L1458" s="626"/>
      <c r="M1458" s="626"/>
      <c r="N1458" s="626"/>
      <c r="O1458" s="626"/>
      <c r="P1458" s="648"/>
      <c r="Q1458" s="1784" t="str">
        <f>CHOOSE(2, "6722000004376", "Variable Cost COGS (material cost)")</f>
        <v>Variable Cost COGS (material cost)</v>
      </c>
      <c r="R1458" s="1327">
        <f t="shared" ref="R1458:AJ1458" si="1912">R16-R1465</f>
        <v>420274</v>
      </c>
      <c r="S1458" s="1327">
        <f t="shared" si="1912"/>
        <v>441629</v>
      </c>
      <c r="T1458" s="1327">
        <f t="shared" si="1912"/>
        <v>444719</v>
      </c>
      <c r="U1458" s="1327">
        <f t="shared" si="1912"/>
        <v>447212</v>
      </c>
      <c r="V1458" s="1327">
        <f t="shared" si="1912"/>
        <v>524214.18046775908</v>
      </c>
      <c r="W1458" s="1327">
        <f t="shared" si="1912"/>
        <v>495055</v>
      </c>
      <c r="X1458" s="1327">
        <f t="shared" si="1912"/>
        <v>522776</v>
      </c>
      <c r="Y1458" s="1327">
        <f t="shared" si="1912"/>
        <v>516342</v>
      </c>
      <c r="Z1458" s="1327">
        <f t="shared" si="1912"/>
        <v>571433</v>
      </c>
      <c r="AA1458" s="1327">
        <f t="shared" si="1912"/>
        <v>515323</v>
      </c>
      <c r="AB1458" s="1327">
        <f t="shared" si="1912"/>
        <v>576577.67473041685</v>
      </c>
      <c r="AC1458" s="1327">
        <f t="shared" si="1912"/>
        <v>559479</v>
      </c>
      <c r="AD1458" s="1327">
        <f t="shared" si="1912"/>
        <v>1306622</v>
      </c>
      <c r="AE1458" s="1327">
        <f t="shared" si="1912"/>
        <v>1466481.180467759</v>
      </c>
      <c r="AF1458" s="1327">
        <f t="shared" si="1912"/>
        <v>1610551.0000000002</v>
      </c>
      <c r="AG1458" s="1327">
        <f t="shared" si="1912"/>
        <v>1651379.6747304169</v>
      </c>
      <c r="AH1458" s="1327">
        <f t="shared" si="1912"/>
        <v>2773103.1804677593</v>
      </c>
      <c r="AI1458" s="1327">
        <f t="shared" si="1912"/>
        <v>3261930.6747304173</v>
      </c>
      <c r="AJ1458" s="1327">
        <f t="shared" si="1912"/>
        <v>6035033.8551981766</v>
      </c>
      <c r="AL1458" s="1327">
        <f ca="1">AL16-AL1465</f>
        <v>559479</v>
      </c>
      <c r="AM1458" s="1327">
        <f ca="1">AM16-AM1465</f>
        <v>45139</v>
      </c>
      <c r="AN1458" s="3432">
        <f t="shared" ca="1" si="1904"/>
        <v>514340</v>
      </c>
      <c r="AO1458" s="2986">
        <f ca="1">IFERROR(AL1458/AM1458,0)</f>
        <v>12.394581182569397</v>
      </c>
      <c r="AP1458" s="1327">
        <f ca="1">AP16-AP1465</f>
        <v>44958</v>
      </c>
      <c r="AQ1458" s="3432">
        <f t="shared" ca="1" si="1905"/>
        <v>514521</v>
      </c>
      <c r="AR1458" s="2986">
        <f ca="1">IFERROR(AL1458/AP1458,0)</f>
        <v>12.444481516081677</v>
      </c>
      <c r="AT1458" s="1327">
        <f ca="1">AT16-AT1465</f>
        <v>1651379.6747304169</v>
      </c>
      <c r="AU1458" s="1327">
        <f ca="1">AU16-AU1465</f>
        <v>135325</v>
      </c>
      <c r="AV1458" s="3432">
        <f t="shared" ca="1" si="1906"/>
        <v>1516054.6747304169</v>
      </c>
      <c r="AW1458" s="2986">
        <f ca="1">IFERROR(AT1458/AU1458,0)</f>
        <v>12.203064287680894</v>
      </c>
      <c r="AX1458" s="1327">
        <f ca="1">AX16-AX1465</f>
        <v>134781</v>
      </c>
      <c r="AY1458" s="3432">
        <f t="shared" ca="1" si="1907"/>
        <v>1516598.6747304169</v>
      </c>
      <c r="AZ1458" s="2986">
        <f ca="1">IFERROR(AT1458/AX1458,0)</f>
        <v>12.252318017602013</v>
      </c>
      <c r="BB1458" s="1327">
        <f ca="1">BB16-BB1465</f>
        <v>6035033.8551981756</v>
      </c>
      <c r="BC1458" s="1327">
        <f ca="1">BC16-BC1465</f>
        <v>225389</v>
      </c>
      <c r="BD1458" s="3432">
        <f t="shared" ca="1" si="1908"/>
        <v>5809644.8551981756</v>
      </c>
      <c r="BE1458" s="2986">
        <f ca="1">IFERROR(BB1458/BC1458,0)</f>
        <v>26.776079822875896</v>
      </c>
      <c r="BF1458" s="1327">
        <f ca="1">BF16-BF1465</f>
        <v>492851</v>
      </c>
      <c r="BG1458" s="3432">
        <f t="shared" ca="1" si="1909"/>
        <v>5542182.8551981756</v>
      </c>
      <c r="BH1458" s="2986">
        <f ca="1">IFERROR(BB1458/BF1458,0)</f>
        <v>12.245148848634122</v>
      </c>
    </row>
    <row r="1459" spans="1:60" s="624" customFormat="1" ht="14.5">
      <c r="A1459" s="616">
        <v>1</v>
      </c>
      <c r="B1459" s="616">
        <v>1</v>
      </c>
      <c r="C1459" s="616" t="s">
        <v>1540</v>
      </c>
      <c r="D1459" s="709" t="s">
        <v>1308</v>
      </c>
      <c r="E1459" s="2547">
        <v>1</v>
      </c>
      <c r="F1459" s="623"/>
      <c r="G1459" s="623"/>
      <c r="H1459" s="623"/>
      <c r="I1459" s="625"/>
      <c r="J1459" s="626" t="s">
        <v>1668</v>
      </c>
      <c r="K1459" s="626"/>
      <c r="L1459" s="626"/>
      <c r="M1459" s="626"/>
      <c r="N1459" s="626"/>
      <c r="O1459" s="626"/>
      <c r="P1459" s="648"/>
      <c r="Q1459" s="1784" t="str">
        <f>CHOOSE(2, "6722000004377", "Variable Cost Wages &amp; Salaries (SG&amp;A - variable)")</f>
        <v>Variable Cost Wages &amp; Salaries (SG&amp;A - variable)</v>
      </c>
      <c r="R1459" s="1327">
        <f t="shared" ref="R1459:AC1459" si="1913">R22-SUM(R46:R47)</f>
        <v>8101</v>
      </c>
      <c r="S1459" s="1327">
        <f t="shared" si="1913"/>
        <v>5780.3767085866129</v>
      </c>
      <c r="T1459" s="1327">
        <f t="shared" si="1913"/>
        <v>6078.0482271860747</v>
      </c>
      <c r="U1459" s="1327">
        <f t="shared" si="1913"/>
        <v>5440.0178500494076</v>
      </c>
      <c r="V1459" s="1327">
        <f t="shared" si="1913"/>
        <v>5937.5893227983906</v>
      </c>
      <c r="W1459" s="1327">
        <f t="shared" si="1913"/>
        <v>5855.5831830152238</v>
      </c>
      <c r="X1459" s="1327">
        <f t="shared" si="1913"/>
        <v>32768.096140362119</v>
      </c>
      <c r="Y1459" s="1327">
        <f t="shared" si="1913"/>
        <v>13891.647138296139</v>
      </c>
      <c r="Z1459" s="1327">
        <f t="shared" si="1913"/>
        <v>11283.775362903994</v>
      </c>
      <c r="AA1459" s="1327">
        <f t="shared" si="1913"/>
        <v>12339.649852687886</v>
      </c>
      <c r="AB1459" s="1327">
        <f t="shared" si="1913"/>
        <v>9602.3619101672957</v>
      </c>
      <c r="AC1459" s="1327">
        <f t="shared" si="1913"/>
        <v>-1903.5492896664873</v>
      </c>
      <c r="AD1459" s="1327">
        <f t="shared" ref="AD1459:AJ1459" si="1914">AD22-SUM(AD46:AD47)</f>
        <v>19959.424935772695</v>
      </c>
      <c r="AE1459" s="1327">
        <f t="shared" si="1914"/>
        <v>17233.190355863044</v>
      </c>
      <c r="AF1459" s="1327">
        <f t="shared" si="1914"/>
        <v>57943.518641562259</v>
      </c>
      <c r="AG1459" s="1327">
        <f t="shared" si="1914"/>
        <v>20038.462473188672</v>
      </c>
      <c r="AH1459" s="1327">
        <f t="shared" si="1914"/>
        <v>37192.615291635739</v>
      </c>
      <c r="AI1459" s="1327">
        <f t="shared" si="1914"/>
        <v>77981.981114750903</v>
      </c>
      <c r="AJ1459" s="1327">
        <f t="shared" si="1914"/>
        <v>115174.59640638658</v>
      </c>
      <c r="AL1459" s="1327">
        <f ca="1">AL22-SUM(AL46:AL47)</f>
        <v>-1903.5492896664873</v>
      </c>
      <c r="AM1459" s="1327">
        <f ca="1">AM22-SUM(AM46:AM47)</f>
        <v>69847.541857728531</v>
      </c>
      <c r="AN1459" s="3432">
        <f t="shared" ca="1" si="1904"/>
        <v>-71751.091147395025</v>
      </c>
      <c r="AO1459" s="2986">
        <f ca="1">IFERROR(AL1459/AM1459,0)</f>
        <v>-2.7252917411808134E-2</v>
      </c>
      <c r="AP1459" s="1327">
        <f ca="1">AP22-SUM(AP46:AP47)</f>
        <v>73085.965070167265</v>
      </c>
      <c r="AQ1459" s="3432">
        <f t="shared" ca="1" si="1905"/>
        <v>-74989.51435983376</v>
      </c>
      <c r="AR1459" s="2986">
        <f ca="1">IFERROR(AL1459/AP1459,0)</f>
        <v>-2.6045346570151416E-2</v>
      </c>
      <c r="AT1459" s="1327">
        <f ca="1">AT22-SUM(AT46:AT47)</f>
        <v>20038.462473188672</v>
      </c>
      <c r="AU1459" s="1327">
        <f ca="1">AU22-SUM(AU46:AU47)</f>
        <v>205681.6602590399</v>
      </c>
      <c r="AV1459" s="3432">
        <f t="shared" ca="1" si="1906"/>
        <v>-185643.19778585123</v>
      </c>
      <c r="AW1459" s="2986">
        <f ca="1">IFERROR(AT1459/AU1459,0)</f>
        <v>9.7424643733193331E-2</v>
      </c>
      <c r="AX1459" s="1327">
        <f ca="1">AX22-SUM(AX46:AX47)</f>
        <v>279648.23242575908</v>
      </c>
      <c r="AY1459" s="3432">
        <f t="shared" ca="1" si="1907"/>
        <v>-259609.76995257041</v>
      </c>
      <c r="AZ1459" s="2986">
        <f ca="1">IFERROR(AT1459/AX1459,0)</f>
        <v>7.1655959701116573E-2</v>
      </c>
      <c r="BB1459" s="1327">
        <f ca="1">BB22-SUM(BB46:BB47)</f>
        <v>115174.59640638658</v>
      </c>
      <c r="BC1459" s="1327">
        <f ca="1">BC22-SUM(BC46:BC47)</f>
        <v>358860.27852894482</v>
      </c>
      <c r="BD1459" s="3432">
        <f t="shared" ca="1" si="1908"/>
        <v>-243685.68212255824</v>
      </c>
      <c r="BE1459" s="2986">
        <f ca="1">IFERROR(BB1459/BC1459,0)</f>
        <v>0.32094551360912704</v>
      </c>
      <c r="BF1459" s="1327">
        <f ca="1">BF22-SUM(BF46:BF47)</f>
        <v>884916.55881248717</v>
      </c>
      <c r="BG1459" s="3432">
        <f t="shared" ca="1" si="1909"/>
        <v>-769741.96240610059</v>
      </c>
      <c r="BH1459" s="2986">
        <f ca="1">IFERROR(BB1459/BF1459,0)</f>
        <v>0.13015305822838824</v>
      </c>
    </row>
    <row r="1460" spans="1:60" s="624" customFormat="1" ht="14.5">
      <c r="A1460" s="616">
        <v>1</v>
      </c>
      <c r="B1460" s="616">
        <v>1</v>
      </c>
      <c r="C1460" s="616" t="s">
        <v>1540</v>
      </c>
      <c r="D1460" s="709" t="s">
        <v>1308</v>
      </c>
      <c r="E1460" s="2547">
        <v>1</v>
      </c>
      <c r="F1460" s="623"/>
      <c r="G1460" s="623"/>
      <c r="H1460" s="623"/>
      <c r="I1460" s="627"/>
      <c r="J1460" s="628" t="s">
        <v>1669</v>
      </c>
      <c r="K1460" s="628"/>
      <c r="L1460" s="628"/>
      <c r="M1460" s="628"/>
      <c r="N1460" s="628"/>
      <c r="O1460" s="628"/>
      <c r="P1460" s="650"/>
      <c r="Q1460" s="1784" t="str">
        <f>CHOOSE(2, "6722000004378", "Variable Cost SG&amp;A variable")</f>
        <v>Variable Cost SG&amp;A variable</v>
      </c>
      <c r="R1460" s="1329">
        <f t="shared" ref="R1460:AC1460" si="1915">R40</f>
        <v>61662</v>
      </c>
      <c r="S1460" s="1329">
        <f t="shared" si="1915"/>
        <v>49533</v>
      </c>
      <c r="T1460" s="1329">
        <f t="shared" si="1915"/>
        <v>47765</v>
      </c>
      <c r="U1460" s="1329">
        <f t="shared" si="1915"/>
        <v>67759</v>
      </c>
      <c r="V1460" s="1329">
        <f t="shared" si="1915"/>
        <v>73732.578139999998</v>
      </c>
      <c r="W1460" s="1329">
        <f t="shared" si="1915"/>
        <v>50381.11937</v>
      </c>
      <c r="X1460" s="1329">
        <f t="shared" si="1915"/>
        <v>42778.496050000002</v>
      </c>
      <c r="Y1460" s="1329">
        <f t="shared" si="1915"/>
        <v>54978.632440000001</v>
      </c>
      <c r="Z1460" s="1329">
        <f t="shared" si="1915"/>
        <v>73294.403699999995</v>
      </c>
      <c r="AA1460" s="1329">
        <f t="shared" si="1915"/>
        <v>85193.172939999989</v>
      </c>
      <c r="AB1460" s="1329">
        <f t="shared" si="1915"/>
        <v>80848.992889999994</v>
      </c>
      <c r="AC1460" s="1329">
        <f t="shared" si="1915"/>
        <v>-4031.786569999982</v>
      </c>
      <c r="AD1460" s="1329">
        <f t="shared" ref="AD1460:AJ1460" si="1916">AD21</f>
        <v>158961.0145008963</v>
      </c>
      <c r="AE1460" s="1329">
        <f t="shared" si="1916"/>
        <v>191871.18484188759</v>
      </c>
      <c r="AF1460" s="1329">
        <f t="shared" si="1916"/>
        <v>171051.76747834252</v>
      </c>
      <c r="AG1460" s="1329">
        <f t="shared" si="1916"/>
        <v>162010.38133999991</v>
      </c>
      <c r="AH1460" s="1329">
        <f t="shared" si="1916"/>
        <v>350832.19934278389</v>
      </c>
      <c r="AI1460" s="1329">
        <f t="shared" si="1916"/>
        <v>333062.14881834242</v>
      </c>
      <c r="AJ1460" s="1329">
        <f t="shared" si="1916"/>
        <v>683894.34816112625</v>
      </c>
      <c r="AL1460" s="1329">
        <f ca="1">AL21</f>
        <v>-4031.786570000033</v>
      </c>
      <c r="AM1460" s="1329">
        <f ca="1">AM21</f>
        <v>0.29156844335636528</v>
      </c>
      <c r="AN1460" s="3433">
        <f t="shared" ca="1" si="1904"/>
        <v>-4032.0781384433894</v>
      </c>
      <c r="AO1460" s="2988">
        <f ca="1">IFERROR(AL1460/AM1460,0)</f>
        <v>-13827.925009951234</v>
      </c>
      <c r="AP1460" s="1329">
        <f ca="1">AP21</f>
        <v>0.29746614112794439</v>
      </c>
      <c r="AQ1460" s="3433">
        <f t="shared" ca="1" si="1905"/>
        <v>-4032.0840361411611</v>
      </c>
      <c r="AR1460" s="2988">
        <f ca="1">IFERROR(AL1460/AP1460,0)</f>
        <v>-13553.766336942208</v>
      </c>
      <c r="AT1460" s="1329">
        <f ca="1">AT21</f>
        <v>162010.38133999991</v>
      </c>
      <c r="AU1460" s="1329">
        <f ca="1">AU21</f>
        <v>0.88950312420154787</v>
      </c>
      <c r="AV1460" s="3433">
        <f t="shared" ca="1" si="1906"/>
        <v>162009.49183687571</v>
      </c>
      <c r="AW1460" s="2988">
        <f ca="1">IFERROR(AT1460/AU1460,0)</f>
        <v>182135.82047328574</v>
      </c>
      <c r="AX1460" s="1329">
        <f ca="1">AX21</f>
        <v>0.95105039475680897</v>
      </c>
      <c r="AY1460" s="3433">
        <f t="shared" ca="1" si="1907"/>
        <v>162009.43028960514</v>
      </c>
      <c r="AZ1460" s="2988">
        <f ca="1">IFERROR(AT1460/AX1460,0)</f>
        <v>170348.89237539007</v>
      </c>
      <c r="BB1460" s="1329">
        <f ca="1">BB21</f>
        <v>683894.34816112637</v>
      </c>
      <c r="BC1460" s="1329">
        <f ca="1">BC21</f>
        <v>1.5514604283168685</v>
      </c>
      <c r="BD1460" s="3433">
        <f t="shared" ca="1" si="1908"/>
        <v>683892.79670069809</v>
      </c>
      <c r="BE1460" s="2988">
        <f ca="1">IFERROR(BB1460/BC1460,0)</f>
        <v>440806.82670267153</v>
      </c>
      <c r="BF1460" s="1329">
        <f ca="1">BF21</f>
        <v>3.4979298006558679</v>
      </c>
      <c r="BG1460" s="3433">
        <f t="shared" ca="1" si="1909"/>
        <v>683890.85023132572</v>
      </c>
      <c r="BH1460" s="2988">
        <f ca="1">IFERROR(BB1460/BF1460,0)</f>
        <v>195514.02890729683</v>
      </c>
    </row>
    <row r="1461" spans="1:60" s="621" customFormat="1" ht="14.5">
      <c r="A1461" s="616">
        <v>1</v>
      </c>
      <c r="B1461" s="616">
        <v>1</v>
      </c>
      <c r="C1461" s="616" t="s">
        <v>1540</v>
      </c>
      <c r="D1461" s="709" t="s">
        <v>1308</v>
      </c>
      <c r="E1461" s="2547">
        <v>1</v>
      </c>
      <c r="F1461" s="622"/>
      <c r="G1461" s="622"/>
      <c r="H1461" s="623"/>
      <c r="I1461" s="629" t="s">
        <v>1670</v>
      </c>
      <c r="J1461" s="630"/>
      <c r="K1461" s="630"/>
      <c r="L1461" s="630"/>
      <c r="M1461" s="630"/>
      <c r="N1461" s="630"/>
      <c r="O1461" s="630"/>
      <c r="P1461" s="651" t="s">
        <v>1671</v>
      </c>
      <c r="Q1461" s="1774" t="str">
        <f>CHOOSE(2, "6722000004379", "Marginal Profit C = A - B")</f>
        <v>Marginal Profit C = A - B</v>
      </c>
      <c r="R1461" s="1330">
        <f>R1455-R1456</f>
        <v>159218</v>
      </c>
      <c r="S1461" s="1330">
        <f t="shared" ref="S1461:AJ1461" si="1917">S1455-S1456</f>
        <v>159878.62329141342</v>
      </c>
      <c r="T1461" s="1330">
        <f t="shared" si="1917"/>
        <v>194448.95177281392</v>
      </c>
      <c r="U1461" s="1330">
        <f t="shared" si="1917"/>
        <v>188930.98214995058</v>
      </c>
      <c r="V1461" s="1330">
        <f t="shared" si="1917"/>
        <v>223768.24807944254</v>
      </c>
      <c r="W1461" s="1330">
        <f t="shared" si="1917"/>
        <v>159795.2974469848</v>
      </c>
      <c r="X1461" s="1330">
        <f t="shared" si="1917"/>
        <v>275032.40780963795</v>
      </c>
      <c r="Y1461" s="1330">
        <f t="shared" si="1917"/>
        <v>212451.72042170388</v>
      </c>
      <c r="Z1461" s="1330">
        <f t="shared" si="1917"/>
        <v>196765.82093709602</v>
      </c>
      <c r="AA1461" s="1330">
        <f t="shared" si="1917"/>
        <v>221741.1772073122</v>
      </c>
      <c r="AB1461" s="1330">
        <f t="shared" si="1917"/>
        <v>204064.59677941597</v>
      </c>
      <c r="AC1461" s="1330">
        <f t="shared" si="1917"/>
        <v>210573.33585966646</v>
      </c>
      <c r="AD1461" s="1330">
        <f t="shared" si="1917"/>
        <v>513544.560563331</v>
      </c>
      <c r="AE1461" s="1330">
        <f t="shared" si="1917"/>
        <v>572496.04034449044</v>
      </c>
      <c r="AF1461" s="1330">
        <f t="shared" si="1917"/>
        <v>684249.71388009517</v>
      </c>
      <c r="AG1461" s="1330">
        <f t="shared" si="1917"/>
        <v>636379.10776639474</v>
      </c>
      <c r="AH1461" s="1330">
        <f t="shared" si="1917"/>
        <v>1086040.6009078207</v>
      </c>
      <c r="AI1461" s="1330">
        <f t="shared" si="1917"/>
        <v>1320628.8216464897</v>
      </c>
      <c r="AJ1461" s="1330">
        <f t="shared" si="1917"/>
        <v>2406669.4225543104</v>
      </c>
      <c r="AL1461" s="1330">
        <f ca="1">AL1455-AL1456</f>
        <v>210573.33585966646</v>
      </c>
      <c r="AM1461" s="1330">
        <f ca="1">AM1455-AM1456</f>
        <v>-114986.83342617188</v>
      </c>
      <c r="AN1461" s="3434">
        <f t="shared" ca="1" si="1904"/>
        <v>325560.16928583838</v>
      </c>
      <c r="AO1461" s="2990">
        <f ca="1">IFERROR(AL1461/AM1461,0)</f>
        <v>-1.8312821527941856</v>
      </c>
      <c r="AP1461" s="1330">
        <f ca="1">AP1455-AP1456</f>
        <v>-118044.26253630839</v>
      </c>
      <c r="AQ1461" s="3434">
        <f t="shared" ca="1" si="1905"/>
        <v>328617.59839597484</v>
      </c>
      <c r="AR1461" s="2990">
        <f ca="1">IFERROR(AL1461/AP1461,0)</f>
        <v>-1.7838506619065684</v>
      </c>
      <c r="AT1461" s="1330">
        <f ca="1">AT1455-AT1456</f>
        <v>636379.10776639474</v>
      </c>
      <c r="AU1461" s="1330">
        <f ca="1">AU1455-AU1456</f>
        <v>-341007.54976216413</v>
      </c>
      <c r="AV1461" s="3434">
        <f t="shared" ca="1" si="1906"/>
        <v>977386.65752855886</v>
      </c>
      <c r="AW1461" s="2990">
        <f ca="1">IFERROR(AT1461/AU1461,0)</f>
        <v>-1.8661730750836385</v>
      </c>
      <c r="AX1461" s="1330">
        <f ca="1">AX1455-AX1456</f>
        <v>-414430.18347615382</v>
      </c>
      <c r="AY1461" s="3434">
        <f t="shared" ca="1" si="1907"/>
        <v>1050809.2912425485</v>
      </c>
      <c r="AZ1461" s="2990">
        <f ca="1">IFERROR(AT1461/AX1461,0)</f>
        <v>-1.5355520257443116</v>
      </c>
      <c r="BB1461" s="1330">
        <f ca="1">BB1455-BB1456</f>
        <v>2406669.4225543113</v>
      </c>
      <c r="BC1461" s="1330">
        <f ca="1">BC1455-BC1456</f>
        <v>-539173.0446898361</v>
      </c>
      <c r="BD1461" s="3434">
        <f t="shared" ca="1" si="1908"/>
        <v>2945842.4672441473</v>
      </c>
      <c r="BE1461" s="2990">
        <f ca="1">IFERROR(BB1461/BC1461,0)</f>
        <v>-4.4636308254964199</v>
      </c>
      <c r="BF1461" s="1330">
        <f ca="1">BF1455-BF1456</f>
        <v>-1332379.2021036306</v>
      </c>
      <c r="BG1461" s="3434">
        <f t="shared" ca="1" si="1909"/>
        <v>3739048.624657942</v>
      </c>
      <c r="BH1461" s="2990">
        <f ca="1">IFERROR(BB1461/BF1461,0)</f>
        <v>-1.8062946485163793</v>
      </c>
    </row>
    <row r="1462" spans="1:60" s="641" customFormat="1" ht="14.5">
      <c r="A1462" s="616">
        <v>1</v>
      </c>
      <c r="B1462" s="616">
        <v>1</v>
      </c>
      <c r="C1462" s="616" t="s">
        <v>1540</v>
      </c>
      <c r="D1462" s="709" t="s">
        <v>1308</v>
      </c>
      <c r="E1462" s="2547">
        <v>1</v>
      </c>
      <c r="F1462" s="637"/>
      <c r="G1462" s="637"/>
      <c r="H1462" s="637"/>
      <c r="I1462" s="638"/>
      <c r="J1462" s="642" t="s">
        <v>55</v>
      </c>
      <c r="K1462" s="643"/>
      <c r="L1462" s="643"/>
      <c r="M1462" s="643"/>
      <c r="N1462" s="643"/>
      <c r="O1462" s="643"/>
      <c r="P1462" s="648" t="s">
        <v>1672</v>
      </c>
      <c r="Q1462" s="1785" t="str">
        <f>CHOOSE(2, "6722000004380", "Marginal Profit (%) D = C / A")</f>
        <v>Marginal Profit (%) D = C / A</v>
      </c>
      <c r="R1462" s="1333">
        <f>IFERROR(R1461/R1455,0)</f>
        <v>0.24523184265042242</v>
      </c>
      <c r="S1462" s="1333">
        <f t="shared" ref="S1462:AJ1462" si="1918">IFERROR(S1461/S1455,0)</f>
        <v>0.24341277652726301</v>
      </c>
      <c r="T1462" s="1333">
        <f t="shared" si="1918"/>
        <v>0.28058566425758596</v>
      </c>
      <c r="U1462" s="1333">
        <f t="shared" si="1918"/>
        <v>0.26634681458302284</v>
      </c>
      <c r="V1462" s="1333">
        <f t="shared" si="1918"/>
        <v>0.27036494437182784</v>
      </c>
      <c r="W1462" s="1333">
        <f t="shared" si="1918"/>
        <v>0.22471975643906414</v>
      </c>
      <c r="X1462" s="1333">
        <f t="shared" si="1918"/>
        <v>0.31491479159063379</v>
      </c>
      <c r="Y1462" s="1333">
        <f t="shared" si="1918"/>
        <v>0.26634237024825475</v>
      </c>
      <c r="Z1462" s="1333">
        <f t="shared" si="1918"/>
        <v>0.23073537505947747</v>
      </c>
      <c r="AA1462" s="1333">
        <f t="shared" si="1918"/>
        <v>0.26568652560135275</v>
      </c>
      <c r="AB1462" s="1333">
        <f t="shared" si="1918"/>
        <v>0.23426253001510836</v>
      </c>
      <c r="AC1462" s="1333">
        <f t="shared" si="1918"/>
        <v>0.27557734726444572</v>
      </c>
      <c r="AD1462" s="1333">
        <f t="shared" si="1918"/>
        <v>0.25688955036140548</v>
      </c>
      <c r="AE1462" s="1333">
        <f t="shared" si="1918"/>
        <v>0.25465981366538615</v>
      </c>
      <c r="AF1462" s="1333">
        <f t="shared" si="1918"/>
        <v>0.27111926395005587</v>
      </c>
      <c r="AG1462" s="1333">
        <f t="shared" si="1918"/>
        <v>0.25766343134876973</v>
      </c>
      <c r="AH1462" s="1333">
        <f t="shared" si="1918"/>
        <v>0.25570932171802668</v>
      </c>
      <c r="AI1462" s="1333">
        <f t="shared" si="1918"/>
        <v>0.26446408655433512</v>
      </c>
      <c r="AJ1462" s="1333">
        <f t="shared" si="1918"/>
        <v>0.26044029272156316</v>
      </c>
      <c r="AL1462" s="1333">
        <f ca="1">IFERROR(AL1461/AL1455,0)</f>
        <v>0.27557734726444572</v>
      </c>
      <c r="AM1462" s="1333">
        <f ca="1">IFERROR(AM1461/AM1455,0)</f>
        <v>0</v>
      </c>
      <c r="AN1462" s="1333">
        <f t="shared" ca="1" si="1904"/>
        <v>0.27557734726444572</v>
      </c>
      <c r="AO1462" s="1333"/>
      <c r="AP1462" s="1333">
        <f ca="1">IFERROR(AP1461/AP1455,0)</f>
        <v>0</v>
      </c>
      <c r="AQ1462" s="1333">
        <f t="shared" ca="1" si="1905"/>
        <v>0.27557734726444572</v>
      </c>
      <c r="AR1462" s="1333"/>
      <c r="AT1462" s="1333">
        <f ca="1">IFERROR(AT1461/AT1455,0)</f>
        <v>0.25766343134876973</v>
      </c>
      <c r="AU1462" s="1333">
        <f ca="1">IFERROR(AU1461/AU1455,0)</f>
        <v>0</v>
      </c>
      <c r="AV1462" s="1333">
        <f t="shared" ca="1" si="1906"/>
        <v>0.25766343134876973</v>
      </c>
      <c r="AW1462" s="1333"/>
      <c r="AX1462" s="1333">
        <f ca="1">IFERROR(AX1461/AX1455,0)</f>
        <v>0</v>
      </c>
      <c r="AY1462" s="1333">
        <f t="shared" ca="1" si="1907"/>
        <v>0.25766343134876973</v>
      </c>
      <c r="AZ1462" s="1333"/>
      <c r="BB1462" s="1333">
        <f ca="1">IFERROR(BB1461/BB1455,0)</f>
        <v>0.26044029272156327</v>
      </c>
      <c r="BC1462" s="1333">
        <f ca="1">IFERROR(BC1461/BC1455,0)</f>
        <v>-11.960947972645267</v>
      </c>
      <c r="BD1462" s="1333">
        <f t="shared" ca="1" si="1908"/>
        <v>12.22138826536683</v>
      </c>
      <c r="BE1462" s="1333"/>
      <c r="BF1462" s="1333">
        <f ca="1">IFERROR(BF1461/BF1455,0)</f>
        <v>-29.352825803441096</v>
      </c>
      <c r="BG1462" s="1333">
        <f t="shared" ca="1" si="1909"/>
        <v>29.613266096162658</v>
      </c>
      <c r="BH1462" s="1333"/>
    </row>
    <row r="1463" spans="1:60" s="621" customFormat="1" ht="14.5">
      <c r="A1463" s="616">
        <v>1</v>
      </c>
      <c r="B1463" s="616">
        <v>1</v>
      </c>
      <c r="C1463" s="616" t="s">
        <v>1540</v>
      </c>
      <c r="D1463" s="709" t="s">
        <v>1308</v>
      </c>
      <c r="E1463" s="2547">
        <v>1</v>
      </c>
      <c r="F1463" s="622"/>
      <c r="G1463" s="622"/>
      <c r="H1463" s="623"/>
      <c r="I1463" s="625" t="s">
        <v>1673</v>
      </c>
      <c r="J1463" s="626"/>
      <c r="K1463" s="626"/>
      <c r="L1463" s="626"/>
      <c r="M1463" s="626"/>
      <c r="N1463" s="626"/>
      <c r="O1463" s="626"/>
      <c r="P1463" s="648" t="s">
        <v>1674</v>
      </c>
      <c r="Q1463" s="1784" t="str">
        <f>CHOOSE(2, "6722000004381", "Fixed Cost E")</f>
        <v>Fixed Cost E</v>
      </c>
      <c r="R1463" s="1328">
        <f>SUM(R1465:R1467)</f>
        <v>114840</v>
      </c>
      <c r="S1463" s="1328">
        <f t="shared" ref="S1463:AJ1463" si="1919">SUM(S1465:S1467)</f>
        <v>120811.77351836722</v>
      </c>
      <c r="T1463" s="1328">
        <f t="shared" si="1919"/>
        <v>139423.78321242725</v>
      </c>
      <c r="U1463" s="1328">
        <f t="shared" si="1919"/>
        <v>122517.36358547016</v>
      </c>
      <c r="V1463" s="1328">
        <f t="shared" si="1919"/>
        <v>138041.73156980638</v>
      </c>
      <c r="W1463" s="1328">
        <f t="shared" si="1919"/>
        <v>99063.987353256147</v>
      </c>
      <c r="X1463" s="1328">
        <f t="shared" si="1919"/>
        <v>180747.7002699583</v>
      </c>
      <c r="Y1463" s="1328">
        <f t="shared" si="1919"/>
        <v>129605.25420454546</v>
      </c>
      <c r="Z1463" s="1328">
        <f t="shared" si="1919"/>
        <v>129317.49828</v>
      </c>
      <c r="AA1463" s="1328">
        <f t="shared" si="1919"/>
        <v>148632.93328</v>
      </c>
      <c r="AB1463" s="1328">
        <f t="shared" si="1919"/>
        <v>117088.67398999998</v>
      </c>
      <c r="AC1463" s="1328">
        <f t="shared" si="1919"/>
        <v>158694.21887416521</v>
      </c>
      <c r="AD1463" s="1328">
        <f t="shared" si="1919"/>
        <v>375075.55673079449</v>
      </c>
      <c r="AE1463" s="1328">
        <f t="shared" si="1919"/>
        <v>359623.08250853268</v>
      </c>
      <c r="AF1463" s="1328">
        <f t="shared" si="1919"/>
        <v>439670.4527545037</v>
      </c>
      <c r="AG1463" s="1328">
        <f t="shared" si="1919"/>
        <v>424415.82614416524</v>
      </c>
      <c r="AH1463" s="1328">
        <f t="shared" si="1919"/>
        <v>734698.63923932717</v>
      </c>
      <c r="AI1463" s="1328">
        <f t="shared" si="1919"/>
        <v>864086.27889866894</v>
      </c>
      <c r="AJ1463" s="1328">
        <f t="shared" si="1919"/>
        <v>1598784.9181379962</v>
      </c>
      <c r="AK1463" s="624"/>
      <c r="AL1463" s="1328">
        <f ca="1">SUM(AL1465:AL1467)</f>
        <v>158694.21887416521</v>
      </c>
      <c r="AM1463" s="1328">
        <f ca="1">SUM(AM1465:AM1467)</f>
        <v>100779.35422708177</v>
      </c>
      <c r="AN1463" s="3431">
        <f t="shared" ca="1" si="1904"/>
        <v>57914.864647083436</v>
      </c>
      <c r="AO1463" s="2984">
        <f ca="1">IFERROR(AL1463/AM1463,0)</f>
        <v>1.5746699320635293</v>
      </c>
      <c r="AP1463" s="1328">
        <f ca="1">SUM(AP1465:AP1467)</f>
        <v>99059.173619332607</v>
      </c>
      <c r="AQ1463" s="3431">
        <f t="shared" ca="1" si="1905"/>
        <v>59635.045254832599</v>
      </c>
      <c r="AR1463" s="2984">
        <f ca="1">IFERROR(AL1463/AP1463,0)</f>
        <v>1.6020143624860008</v>
      </c>
      <c r="AS1463" s="624"/>
      <c r="AT1463" s="1328">
        <f ca="1">SUM(AT1465:AT1467)</f>
        <v>424415.82614416524</v>
      </c>
      <c r="AU1463" s="1328">
        <f ca="1">SUM(AU1465:AU1467)</f>
        <v>298323.81564689666</v>
      </c>
      <c r="AV1463" s="3431">
        <f t="shared" ca="1" si="1906"/>
        <v>126092.01049726858</v>
      </c>
      <c r="AW1463" s="2984">
        <f ca="1">IFERROR(AT1463/AU1463,0)</f>
        <v>1.4226682681161271</v>
      </c>
      <c r="AX1463" s="1328">
        <f ca="1">SUM(AX1465:AX1467)</f>
        <v>302880.82361395448</v>
      </c>
      <c r="AY1463" s="3431">
        <f t="shared" ca="1" si="1907"/>
        <v>121535.00253021077</v>
      </c>
      <c r="AZ1463" s="2984">
        <f ca="1">IFERROR(AT1463/AX1463,0)</f>
        <v>1.4012634444137564</v>
      </c>
      <c r="BA1463" s="624"/>
      <c r="BB1463" s="1328">
        <f ca="1">SUM(BB1465:BB1467)</f>
        <v>1598784.918137996</v>
      </c>
      <c r="BC1463" s="1328">
        <f ca="1">SUM(BC1465:BC1467)</f>
        <v>504541.86033754703</v>
      </c>
      <c r="BD1463" s="3431">
        <f t="shared" ca="1" si="1908"/>
        <v>1094243.057800449</v>
      </c>
      <c r="BE1463" s="2984">
        <f ca="1">IFERROR(BB1463/BC1463,0)</f>
        <v>3.1687854741495221</v>
      </c>
      <c r="BF1463" s="1328">
        <f ca="1">SUM(BF1465:BF1467)</f>
        <v>1063085.0787224888</v>
      </c>
      <c r="BG1463" s="3431">
        <f t="shared" ca="1" si="1909"/>
        <v>535699.83941550716</v>
      </c>
      <c r="BH1463" s="2984">
        <f ca="1">IFERROR(BB1463/BF1463,0)</f>
        <v>1.5039105995723867</v>
      </c>
    </row>
    <row r="1464" spans="1:60" s="641" customFormat="1" ht="14.5">
      <c r="A1464" s="616">
        <v>1</v>
      </c>
      <c r="B1464" s="616">
        <v>1</v>
      </c>
      <c r="C1464" s="616" t="s">
        <v>1540</v>
      </c>
      <c r="D1464" s="709" t="s">
        <v>1308</v>
      </c>
      <c r="E1464" s="2547">
        <v>1</v>
      </c>
      <c r="F1464" s="637"/>
      <c r="G1464" s="637"/>
      <c r="H1464" s="637"/>
      <c r="I1464" s="638"/>
      <c r="J1464" s="639" t="s">
        <v>55</v>
      </c>
      <c r="K1464" s="640"/>
      <c r="L1464" s="640"/>
      <c r="M1464" s="640"/>
      <c r="N1464" s="640"/>
      <c r="O1464" s="640"/>
      <c r="P1464" s="649"/>
      <c r="Q1464" s="1785" t="str">
        <f>CHOOSE(2, "6722000004382", "Fixed Cost (%)")</f>
        <v>Fixed Cost (%)</v>
      </c>
      <c r="R1464" s="1334">
        <f>IFERROR(R1463/R1455,0)</f>
        <v>0.17687965437308917</v>
      </c>
      <c r="S1464" s="1334">
        <f t="shared" ref="S1464:AJ1464" si="1920">IFERROR(S1463/S1455,0)</f>
        <v>0.1839340908989926</v>
      </c>
      <c r="T1464" s="1334">
        <f t="shared" si="1920"/>
        <v>0.20118552694319031</v>
      </c>
      <c r="U1464" s="1334">
        <f t="shared" si="1920"/>
        <v>0.17271973686243047</v>
      </c>
      <c r="V1464" s="1334">
        <f t="shared" si="1920"/>
        <v>0.16678704596020927</v>
      </c>
      <c r="W1464" s="1334">
        <f t="shared" si="1920"/>
        <v>0.13931345581237758</v>
      </c>
      <c r="X1464" s="1334">
        <f t="shared" si="1920"/>
        <v>0.20695788112503885</v>
      </c>
      <c r="Y1464" s="1334">
        <f t="shared" si="1920"/>
        <v>0.16248101231163178</v>
      </c>
      <c r="Z1464" s="1334">
        <f t="shared" si="1920"/>
        <v>0.15164280729897733</v>
      </c>
      <c r="AA1464" s="1334">
        <f t="shared" si="1920"/>
        <v>0.17808946507116608</v>
      </c>
      <c r="AB1464" s="1334">
        <f t="shared" si="1920"/>
        <v>0.13441571658145859</v>
      </c>
      <c r="AC1464" s="1334">
        <f t="shared" si="1920"/>
        <v>0.20768314129140591</v>
      </c>
      <c r="AD1464" s="1334">
        <f t="shared" si="1920"/>
        <v>0.18762342846048946</v>
      </c>
      <c r="AE1464" s="1334">
        <f t="shared" si="1920"/>
        <v>0.15996887441577232</v>
      </c>
      <c r="AF1464" s="1334">
        <f t="shared" si="1920"/>
        <v>0.17420998082036096</v>
      </c>
      <c r="AG1464" s="1334">
        <f t="shared" si="1920"/>
        <v>0.17184165342393931</v>
      </c>
      <c r="AH1464" s="1334">
        <f t="shared" si="1920"/>
        <v>0.1729855132027345</v>
      </c>
      <c r="AI1464" s="1334">
        <f t="shared" si="1920"/>
        <v>0.17303861971463311</v>
      </c>
      <c r="AJ1464" s="1334">
        <f t="shared" si="1920"/>
        <v>0.17301421133142089</v>
      </c>
      <c r="AL1464" s="1334">
        <f ca="1">IFERROR(AL1463/AL1455,0)</f>
        <v>0.20768314129140591</v>
      </c>
      <c r="AM1464" s="1334">
        <f ca="1">IFERROR(AM1463/AM1455,0)</f>
        <v>0</v>
      </c>
      <c r="AN1464" s="1334">
        <f t="shared" ca="1" si="1904"/>
        <v>0.20768314129140591</v>
      </c>
      <c r="AO1464" s="1334"/>
      <c r="AP1464" s="1334">
        <f ca="1">IFERROR(AP1463/AP1455,0)</f>
        <v>0</v>
      </c>
      <c r="AQ1464" s="1334">
        <f t="shared" ca="1" si="1905"/>
        <v>0.20768314129140591</v>
      </c>
      <c r="AR1464" s="1334"/>
      <c r="AT1464" s="1334">
        <f ca="1">IFERROR(AT1463/AT1455,0)</f>
        <v>0.17184165342393931</v>
      </c>
      <c r="AU1464" s="1334">
        <f ca="1">IFERROR(AU1463/AU1455,0)</f>
        <v>0</v>
      </c>
      <c r="AV1464" s="1334">
        <f t="shared" ca="1" si="1906"/>
        <v>0.17184165342393931</v>
      </c>
      <c r="AW1464" s="1334"/>
      <c r="AX1464" s="1334">
        <f ca="1">IFERROR(AX1463/AX1455,0)</f>
        <v>0</v>
      </c>
      <c r="AY1464" s="1334">
        <f t="shared" ca="1" si="1907"/>
        <v>0.17184165342393931</v>
      </c>
      <c r="AZ1464" s="1334"/>
      <c r="BB1464" s="1334">
        <f ca="1">IFERROR(BB1463/BB1455,0)</f>
        <v>0.17301421133142086</v>
      </c>
      <c r="BC1464" s="1334">
        <f ca="1">IFERROR(BC1463/BC1455,0)</f>
        <v>11.192694072810379</v>
      </c>
      <c r="BD1464" s="1334">
        <f t="shared" ca="1" si="1908"/>
        <v>-11.019679861478959</v>
      </c>
      <c r="BE1464" s="1334"/>
      <c r="BF1464" s="1334">
        <f ca="1">IFERROR(BF1463/BF1455,0)</f>
        <v>23.420172786179254</v>
      </c>
      <c r="BG1464" s="1334">
        <f t="shared" ca="1" si="1909"/>
        <v>-23.247158574847834</v>
      </c>
      <c r="BH1464" s="1334"/>
    </row>
    <row r="1465" spans="1:60" s="624" customFormat="1" ht="14.5">
      <c r="A1465" s="616">
        <v>1</v>
      </c>
      <c r="B1465" s="616">
        <v>1</v>
      </c>
      <c r="C1465" s="616" t="s">
        <v>1540</v>
      </c>
      <c r="D1465" s="709" t="s">
        <v>1308</v>
      </c>
      <c r="E1465" s="2547">
        <v>1</v>
      </c>
      <c r="F1465" s="623"/>
      <c r="G1465" s="623"/>
      <c r="H1465" s="623"/>
      <c r="I1465" s="625"/>
      <c r="J1465" s="626" t="s">
        <v>1675</v>
      </c>
      <c r="K1465" s="626"/>
      <c r="L1465" s="626"/>
      <c r="M1465" s="626"/>
      <c r="N1465" s="626"/>
      <c r="O1465" s="626"/>
      <c r="P1465" s="648"/>
      <c r="Q1465" s="1784" t="str">
        <f>CHOOSE(2, "6722000004383", "Fixed Cost COGS (ex. field service cost/ Service desk cost)")</f>
        <v>Fixed Cost COGS (ex. field service cost/ Service desk cost)</v>
      </c>
      <c r="R1465" s="1327">
        <f t="shared" ref="R1465:AJ1465" si="1921">R834</f>
        <v>22107</v>
      </c>
      <c r="S1465" s="1327">
        <f t="shared" si="1921"/>
        <v>23524</v>
      </c>
      <c r="T1465" s="1327">
        <f t="shared" si="1921"/>
        <v>25123</v>
      </c>
      <c r="U1465" s="1327">
        <f t="shared" si="1921"/>
        <v>26489</v>
      </c>
      <c r="V1465" s="1327">
        <f t="shared" si="1921"/>
        <v>25372.680899999992</v>
      </c>
      <c r="W1465" s="1327">
        <f t="shared" si="1921"/>
        <v>25583.350988523314</v>
      </c>
      <c r="X1465" s="1327">
        <f t="shared" si="1921"/>
        <v>39835.748</v>
      </c>
      <c r="Y1465" s="1327">
        <f t="shared" si="1921"/>
        <v>23988</v>
      </c>
      <c r="Z1465" s="1327">
        <f t="shared" si="1921"/>
        <v>25204</v>
      </c>
      <c r="AA1465" s="1327">
        <f t="shared" si="1921"/>
        <v>24474</v>
      </c>
      <c r="AB1465" s="1327">
        <f t="shared" si="1921"/>
        <v>35395.092000000004</v>
      </c>
      <c r="AC1465" s="1327">
        <f t="shared" si="1921"/>
        <v>30905</v>
      </c>
      <c r="AD1465" s="1327">
        <f t="shared" si="1921"/>
        <v>70754</v>
      </c>
      <c r="AE1465" s="1327">
        <f t="shared" si="1921"/>
        <v>77445.031888523299</v>
      </c>
      <c r="AF1465" s="1327">
        <f t="shared" si="1921"/>
        <v>89027.747999999992</v>
      </c>
      <c r="AG1465" s="1327">
        <f t="shared" si="1921"/>
        <v>90774.092000000004</v>
      </c>
      <c r="AH1465" s="1327">
        <f t="shared" si="1921"/>
        <v>148199.03188852331</v>
      </c>
      <c r="AI1465" s="1327">
        <f t="shared" si="1921"/>
        <v>179801.84000000003</v>
      </c>
      <c r="AJ1465" s="1327">
        <f t="shared" si="1921"/>
        <v>328000.87188852328</v>
      </c>
      <c r="AL1465" s="1327">
        <f ca="1">AL834</f>
        <v>30905</v>
      </c>
      <c r="AM1465" s="1327">
        <f ca="1">AM834</f>
        <v>0</v>
      </c>
      <c r="AN1465" s="3432">
        <f t="shared" ca="1" si="1904"/>
        <v>30905</v>
      </c>
      <c r="AO1465" s="2986">
        <f ca="1">IFERROR(AL1465/AM1465,0)</f>
        <v>0</v>
      </c>
      <c r="AP1465" s="1327">
        <f ca="1">AP834</f>
        <v>0</v>
      </c>
      <c r="AQ1465" s="3432">
        <f t="shared" ca="1" si="1905"/>
        <v>30905</v>
      </c>
      <c r="AR1465" s="2986">
        <f ca="1">IFERROR(AL1465/AP1465,0)</f>
        <v>0</v>
      </c>
      <c r="AT1465" s="1327">
        <f ca="1">AT834</f>
        <v>90774.092000000004</v>
      </c>
      <c r="AU1465" s="1327">
        <f ca="1">AU834</f>
        <v>0</v>
      </c>
      <c r="AV1465" s="3432">
        <f t="shared" ca="1" si="1906"/>
        <v>90774.092000000004</v>
      </c>
      <c r="AW1465" s="2986">
        <f ca="1">IFERROR(AT1465/AU1465,0)</f>
        <v>0</v>
      </c>
      <c r="AX1465" s="1327">
        <f ca="1">AX834</f>
        <v>0</v>
      </c>
      <c r="AY1465" s="3432">
        <f t="shared" ca="1" si="1907"/>
        <v>90774.092000000004</v>
      </c>
      <c r="AZ1465" s="2986">
        <f ca="1">IFERROR(AT1465/AX1465,0)</f>
        <v>0</v>
      </c>
      <c r="BB1465" s="1327">
        <f ca="1">BB834</f>
        <v>328000.87188852334</v>
      </c>
      <c r="BC1465" s="1327">
        <f ca="1">BC834</f>
        <v>0</v>
      </c>
      <c r="BD1465" s="3432">
        <f t="shared" ca="1" si="1908"/>
        <v>328000.87188852334</v>
      </c>
      <c r="BE1465" s="2986">
        <f ca="1">IFERROR(BB1465/BC1465,0)</f>
        <v>0</v>
      </c>
      <c r="BF1465" s="1327">
        <f ca="1">BF834</f>
        <v>0</v>
      </c>
      <c r="BG1465" s="3432">
        <f t="shared" ca="1" si="1909"/>
        <v>328000.87188852334</v>
      </c>
      <c r="BH1465" s="2986">
        <f ca="1">IFERROR(BB1465/BF1465,0)</f>
        <v>0</v>
      </c>
    </row>
    <row r="1466" spans="1:60" s="624" customFormat="1" ht="14.5">
      <c r="A1466" s="616">
        <v>1</v>
      </c>
      <c r="B1466" s="616">
        <v>1</v>
      </c>
      <c r="C1466" s="616" t="s">
        <v>1540</v>
      </c>
      <c r="D1466" s="709" t="s">
        <v>1308</v>
      </c>
      <c r="E1466" s="2547">
        <v>1</v>
      </c>
      <c r="F1466" s="623"/>
      <c r="G1466" s="623"/>
      <c r="H1466" s="623"/>
      <c r="I1466" s="625"/>
      <c r="J1466" s="626" t="s">
        <v>1676</v>
      </c>
      <c r="K1466" s="626"/>
      <c r="L1466" s="626"/>
      <c r="M1466" s="626"/>
      <c r="N1466" s="626"/>
      <c r="O1466" s="626"/>
      <c r="P1466" s="648"/>
      <c r="Q1466" s="1784" t="str">
        <f>CHOOSE(2, "6722000004384", "Fixed Cost Wages &amp; Salaries (SG&amp;A - fixed)")</f>
        <v>Fixed Cost Wages &amp; Salaries (SG&amp;A - fixed)</v>
      </c>
      <c r="R1466" s="1327">
        <f t="shared" ref="R1466:AC1466" si="1922">SUM(R46:R47)</f>
        <v>48981</v>
      </c>
      <c r="S1466" s="1327">
        <f t="shared" si="1922"/>
        <v>50226</v>
      </c>
      <c r="T1466" s="1327">
        <f t="shared" si="1922"/>
        <v>51133.432999999997</v>
      </c>
      <c r="U1466" s="1327">
        <f t="shared" si="1922"/>
        <v>48872.107739999999</v>
      </c>
      <c r="V1466" s="1327">
        <f t="shared" si="1922"/>
        <v>50645.741999999998</v>
      </c>
      <c r="W1466" s="1327">
        <f t="shared" si="1922"/>
        <v>54759.241000000002</v>
      </c>
      <c r="X1466" s="1327">
        <f t="shared" si="1922"/>
        <v>54734.45</v>
      </c>
      <c r="Y1466" s="1327">
        <f t="shared" si="1922"/>
        <v>51429.114000000001</v>
      </c>
      <c r="Z1466" s="1327">
        <f t="shared" si="1922"/>
        <v>56070.630099999995</v>
      </c>
      <c r="AA1466" s="1327">
        <f t="shared" si="1922"/>
        <v>52782.37</v>
      </c>
      <c r="AB1466" s="1327">
        <f t="shared" si="1922"/>
        <v>53245.634999999995</v>
      </c>
      <c r="AC1466" s="1327">
        <f t="shared" si="1922"/>
        <v>57178.928845627699</v>
      </c>
      <c r="AD1466" s="1327">
        <f t="shared" ref="AD1466:AJ1466" si="1923">SUM(AD46:AD47)</f>
        <v>150340.43299999999</v>
      </c>
      <c r="AE1466" s="1327">
        <f t="shared" si="1923"/>
        <v>154277.09073999999</v>
      </c>
      <c r="AF1466" s="1327">
        <f t="shared" si="1923"/>
        <v>162234.19409999999</v>
      </c>
      <c r="AG1466" s="1327">
        <f t="shared" si="1923"/>
        <v>163206.9338456277</v>
      </c>
      <c r="AH1466" s="1327">
        <f t="shared" si="1923"/>
        <v>304617.52373999998</v>
      </c>
      <c r="AI1466" s="1327">
        <f t="shared" si="1923"/>
        <v>325441.12794562773</v>
      </c>
      <c r="AJ1466" s="1327">
        <f t="shared" si="1923"/>
        <v>630058.65168562776</v>
      </c>
      <c r="AL1466" s="1327">
        <f ca="1">SUM(AL46:AL47)</f>
        <v>57178.928845627699</v>
      </c>
      <c r="AM1466" s="1327">
        <f ca="1">SUM(AM46:AM47)</f>
        <v>100779.12831106849</v>
      </c>
      <c r="AN1466" s="3432">
        <f t="shared" ca="1" si="1904"/>
        <v>-43600.19946544079</v>
      </c>
      <c r="AO1466" s="2986">
        <f ca="1">IFERROR(AL1466/AM1466,0)</f>
        <v>0.56736875783582053</v>
      </c>
      <c r="AP1466" s="1327">
        <f ca="1">SUM(AP46:AP47)</f>
        <v>99058.975999999995</v>
      </c>
      <c r="AQ1466" s="3432">
        <f t="shared" ca="1" si="1905"/>
        <v>-41880.047154372296</v>
      </c>
      <c r="AR1466" s="2986">
        <f ca="1">IFERROR(AL1466/AP1466,0)</f>
        <v>0.57722107732698247</v>
      </c>
      <c r="AT1466" s="1327">
        <f ca="1">SUM(AT46:AT47)</f>
        <v>163206.9338456277</v>
      </c>
      <c r="AU1466" s="1327">
        <f ca="1">SUM(AU46:AU47)</f>
        <v>298323.11955862568</v>
      </c>
      <c r="AV1466" s="3432">
        <f t="shared" ca="1" si="1906"/>
        <v>-135116.18571299798</v>
      </c>
      <c r="AW1466" s="2986">
        <f ca="1">IFERROR(AT1466/AU1466,0)</f>
        <v>0.54708107801733652</v>
      </c>
      <c r="AX1466" s="1327">
        <f ca="1">SUM(AX46:AX47)</f>
        <v>302880.13910000003</v>
      </c>
      <c r="AY1466" s="3432">
        <f t="shared" ca="1" si="1907"/>
        <v>-139673.20525437233</v>
      </c>
      <c r="AZ1466" s="2986">
        <f ca="1">IFERROR(AT1466/AX1466,0)</f>
        <v>0.53884990389463172</v>
      </c>
      <c r="BB1466" s="1327">
        <f ca="1">SUM(BB46:BB47)</f>
        <v>630058.65168562764</v>
      </c>
      <c r="BC1466" s="1327">
        <f ca="1">SUM(BC46:BC47)</f>
        <v>504540.71409149154</v>
      </c>
      <c r="BD1466" s="3432">
        <f t="shared" ca="1" si="1908"/>
        <v>125517.93759413611</v>
      </c>
      <c r="BE1466" s="2986">
        <f ca="1">IFERROR(BB1466/BC1466,0)</f>
        <v>1.2487766281065182</v>
      </c>
      <c r="BF1466" s="1327">
        <f ca="1">SUM(BF46:BF47)</f>
        <v>1063082.54899</v>
      </c>
      <c r="BG1466" s="3432">
        <f t="shared" ca="1" si="1909"/>
        <v>-433023.8973043724</v>
      </c>
      <c r="BH1466" s="2986">
        <f ca="1">IFERROR(BB1466/BF1466,0)</f>
        <v>0.59267142733574718</v>
      </c>
    </row>
    <row r="1467" spans="1:60" s="624" customFormat="1" ht="14.5">
      <c r="A1467" s="616">
        <v>1</v>
      </c>
      <c r="B1467" s="616">
        <v>1</v>
      </c>
      <c r="C1467" s="616" t="s">
        <v>1540</v>
      </c>
      <c r="D1467" s="709" t="s">
        <v>1308</v>
      </c>
      <c r="E1467" s="2547">
        <v>1</v>
      </c>
      <c r="F1467" s="623"/>
      <c r="G1467" s="623"/>
      <c r="H1467" s="623"/>
      <c r="I1467" s="627"/>
      <c r="J1467" s="628" t="s">
        <v>1677</v>
      </c>
      <c r="K1467" s="628"/>
      <c r="L1467" s="628"/>
      <c r="M1467" s="628"/>
      <c r="N1467" s="628"/>
      <c r="O1467" s="628"/>
      <c r="P1467" s="650"/>
      <c r="Q1467" s="1784" t="str">
        <f>CHOOSE(2, "6722000004385", "Fixed Cost SG&amp;A fixed (ex.SG&amp;A Fixed expenses)")</f>
        <v>Fixed Cost SG&amp;A fixed (ex.SG&amp;A Fixed expenses)</v>
      </c>
      <c r="R1467" s="1329">
        <f t="shared" ref="R1467:AJ1467" si="1924">R23</f>
        <v>43752.000000000007</v>
      </c>
      <c r="S1467" s="1329">
        <f t="shared" si="1924"/>
        <v>47061.773518367219</v>
      </c>
      <c r="T1467" s="1329">
        <f t="shared" si="1924"/>
        <v>63167.350212427271</v>
      </c>
      <c r="U1467" s="1329">
        <f t="shared" si="1924"/>
        <v>47156.25584547015</v>
      </c>
      <c r="V1467" s="1329">
        <f t="shared" si="1924"/>
        <v>62023.308669806385</v>
      </c>
      <c r="W1467" s="1329">
        <f t="shared" si="1924"/>
        <v>18721.395364732838</v>
      </c>
      <c r="X1467" s="1329">
        <f t="shared" si="1924"/>
        <v>86177.502269958277</v>
      </c>
      <c r="Y1467" s="1329">
        <f t="shared" si="1924"/>
        <v>54188.140204545452</v>
      </c>
      <c r="Z1467" s="1329">
        <f t="shared" si="1924"/>
        <v>48042.868180000005</v>
      </c>
      <c r="AA1467" s="1329">
        <f t="shared" si="1924"/>
        <v>71376.563280000017</v>
      </c>
      <c r="AB1467" s="1329">
        <f t="shared" si="1924"/>
        <v>28447.946989999986</v>
      </c>
      <c r="AC1467" s="1329">
        <f t="shared" si="1924"/>
        <v>70610.290028537522</v>
      </c>
      <c r="AD1467" s="1329">
        <f t="shared" si="1924"/>
        <v>153981.1237307945</v>
      </c>
      <c r="AE1467" s="1329">
        <f t="shared" si="1924"/>
        <v>127900.95988000938</v>
      </c>
      <c r="AF1467" s="1329">
        <f t="shared" si="1924"/>
        <v>188408.51065450371</v>
      </c>
      <c r="AG1467" s="1329">
        <f t="shared" si="1924"/>
        <v>170434.80029853754</v>
      </c>
      <c r="AH1467" s="1329">
        <f t="shared" si="1924"/>
        <v>281882.08361080388</v>
      </c>
      <c r="AI1467" s="1329">
        <f t="shared" si="1924"/>
        <v>358843.31095304125</v>
      </c>
      <c r="AJ1467" s="1329">
        <f t="shared" si="1924"/>
        <v>640725.39456384513</v>
      </c>
      <c r="AL1467" s="1329">
        <f ca="1">AL23</f>
        <v>70610.290028537522</v>
      </c>
      <c r="AM1467" s="1329">
        <f ca="1">AM23</f>
        <v>0.22591601328809685</v>
      </c>
      <c r="AN1467" s="3433">
        <f t="shared" ca="1" si="1904"/>
        <v>70610.06411252424</v>
      </c>
      <c r="AO1467" s="2988">
        <f ca="1">IFERROR(AL1467/AM1467,0)</f>
        <v>312551.06267519225</v>
      </c>
      <c r="AP1467" s="1329">
        <f ca="1">AP23</f>
        <v>0.19761933260765846</v>
      </c>
      <c r="AQ1467" s="3433">
        <f t="shared" ca="1" si="1905"/>
        <v>70610.09240920491</v>
      </c>
      <c r="AR1467" s="2988">
        <f ca="1">IFERROR(AL1467/AP1467,0)</f>
        <v>357304.56679925614</v>
      </c>
      <c r="AT1467" s="1329">
        <f ca="1">AT23</f>
        <v>170434.80029853754</v>
      </c>
      <c r="AU1467" s="1329">
        <f ca="1">AU23</f>
        <v>0.69608827096299974</v>
      </c>
      <c r="AV1467" s="3433">
        <f t="shared" ca="1" si="1906"/>
        <v>170434.10421026658</v>
      </c>
      <c r="AW1467" s="2988">
        <f ca="1">IFERROR(AT1467/AU1467,0)</f>
        <v>244846.53370577612</v>
      </c>
      <c r="AX1467" s="1329">
        <f ca="1">AX23</f>
        <v>0.68451395441862739</v>
      </c>
      <c r="AY1467" s="3433">
        <f t="shared" ca="1" si="1907"/>
        <v>170434.11578458312</v>
      </c>
      <c r="AZ1467" s="2988">
        <f ca="1">IFERROR(AT1467/AX1467,0)</f>
        <v>248986.59727586055</v>
      </c>
      <c r="BB1467" s="1329">
        <f ca="1">BB23</f>
        <v>640725.39456384513</v>
      </c>
      <c r="BC1467" s="1329">
        <f ca="1">BC23</f>
        <v>1.1462460555012455</v>
      </c>
      <c r="BD1467" s="3433">
        <f t="shared" ca="1" si="1908"/>
        <v>640724.24831778964</v>
      </c>
      <c r="BE1467" s="2988">
        <f ca="1">IFERROR(BB1467/BC1467,0)</f>
        <v>558977.1859966492</v>
      </c>
      <c r="BF1467" s="1329">
        <f ca="1">BF23</f>
        <v>2.5297324888215615</v>
      </c>
      <c r="BG1467" s="3433">
        <f t="shared" ca="1" si="1909"/>
        <v>640722.86483135633</v>
      </c>
      <c r="BH1467" s="2988">
        <f ca="1">IFERROR(BB1467/BF1467,0)</f>
        <v>253277.92460076188</v>
      </c>
    </row>
    <row r="1468" spans="1:60" s="621" customFormat="1" ht="14.5">
      <c r="A1468" s="616">
        <v>1</v>
      </c>
      <c r="B1468" s="616">
        <v>1</v>
      </c>
      <c r="C1468" s="616" t="s">
        <v>1540</v>
      </c>
      <c r="D1468" s="709" t="s">
        <v>1308</v>
      </c>
      <c r="E1468" s="2547">
        <v>1</v>
      </c>
      <c r="F1468" s="622"/>
      <c r="G1468" s="622"/>
      <c r="H1468" s="623"/>
      <c r="I1468" s="629" t="s">
        <v>1678</v>
      </c>
      <c r="J1468" s="630"/>
      <c r="K1468" s="630"/>
      <c r="L1468" s="630"/>
      <c r="M1468" s="630"/>
      <c r="N1468" s="630"/>
      <c r="O1468" s="630"/>
      <c r="P1468" s="651" t="s">
        <v>1679</v>
      </c>
      <c r="Q1468" s="1774" t="str">
        <f>CHOOSE(2, "6722000004386", "Break-even Point Net Sales F = E / D")</f>
        <v>Break-even Point Net Sales F = E / D</v>
      </c>
      <c r="R1468" s="1330">
        <f>IFERROR(R1463/R1462,0)</f>
        <v>468291.55120652186</v>
      </c>
      <c r="S1468" s="1330">
        <f t="shared" ref="S1468:AJ1468" si="1925">IFERROR(S1463/S1462,0)</f>
        <v>496324.70095437212</v>
      </c>
      <c r="T1468" s="1330">
        <f t="shared" si="1925"/>
        <v>496902.73229509004</v>
      </c>
      <c r="U1468" s="1330">
        <f t="shared" si="1925"/>
        <v>459991.84851253527</v>
      </c>
      <c r="V1468" s="1330">
        <f t="shared" si="1925"/>
        <v>510575.55516502232</v>
      </c>
      <c r="W1468" s="1330">
        <f t="shared" si="1925"/>
        <v>440833.45818381</v>
      </c>
      <c r="X1468" s="1330">
        <f t="shared" si="1925"/>
        <v>573957.4802345807</v>
      </c>
      <c r="Y1468" s="1330">
        <f t="shared" si="1925"/>
        <v>486611.47711399372</v>
      </c>
      <c r="Z1468" s="1330">
        <f t="shared" si="1925"/>
        <v>560458.04960191029</v>
      </c>
      <c r="AA1468" s="1330">
        <f t="shared" si="1925"/>
        <v>559429.69988254167</v>
      </c>
      <c r="AB1468" s="1330">
        <f t="shared" si="1925"/>
        <v>499818.1910801038</v>
      </c>
      <c r="AC1468" s="1330">
        <f t="shared" si="1925"/>
        <v>575860.89876204974</v>
      </c>
      <c r="AD1468" s="1330">
        <f t="shared" si="1925"/>
        <v>1460065.449151664</v>
      </c>
      <c r="AE1468" s="1330">
        <f t="shared" si="1925"/>
        <v>1412170.5240115526</v>
      </c>
      <c r="AF1468" s="1330">
        <f t="shared" si="1925"/>
        <v>1621686.5092828572</v>
      </c>
      <c r="AG1468" s="1330">
        <f t="shared" si="1925"/>
        <v>1647171.36584928</v>
      </c>
      <c r="AH1468" s="1330">
        <f t="shared" si="1925"/>
        <v>2873178.9451519758</v>
      </c>
      <c r="AI1468" s="1330">
        <f t="shared" si="1925"/>
        <v>3267310.4698514109</v>
      </c>
      <c r="AJ1468" s="1330">
        <f t="shared" si="1925"/>
        <v>6138777.1509197997</v>
      </c>
      <c r="AL1468" s="1330">
        <f ca="1">IFERROR(AL1463/AL1462,0)</f>
        <v>575860.89876204974</v>
      </c>
      <c r="AM1468" s="1330">
        <f ca="1">IFERROR(AM1463/AM1462,0)</f>
        <v>0</v>
      </c>
      <c r="AN1468" s="3434">
        <f t="shared" ca="1" si="1904"/>
        <v>575860.89876204974</v>
      </c>
      <c r="AO1468" s="2990">
        <f ca="1">IFERROR(AL1468/AM1468,0)</f>
        <v>0</v>
      </c>
      <c r="AP1468" s="1330">
        <f ca="1">IFERROR(AP1463/AP1462,0)</f>
        <v>0</v>
      </c>
      <c r="AQ1468" s="3434">
        <f t="shared" ca="1" si="1905"/>
        <v>575860.89876204974</v>
      </c>
      <c r="AR1468" s="2990">
        <f ca="1">IFERROR(AL1468/AP1468,0)</f>
        <v>0</v>
      </c>
      <c r="AT1468" s="1330">
        <f ca="1">IFERROR(AT1463/AT1462,0)</f>
        <v>1647171.36584928</v>
      </c>
      <c r="AU1468" s="1330">
        <f ca="1">IFERROR(AU1463/AU1462,0)</f>
        <v>0</v>
      </c>
      <c r="AV1468" s="3434">
        <f t="shared" ca="1" si="1906"/>
        <v>1647171.36584928</v>
      </c>
      <c r="AW1468" s="2990">
        <f ca="1">IFERROR(AT1468/AU1468,0)</f>
        <v>0</v>
      </c>
      <c r="AX1468" s="1330">
        <f ca="1">IFERROR(AX1463/AX1462,0)</f>
        <v>0</v>
      </c>
      <c r="AY1468" s="3434">
        <f t="shared" ca="1" si="1907"/>
        <v>1647171.36584928</v>
      </c>
      <c r="AZ1468" s="2990">
        <f ca="1">IFERROR(AT1468/AX1468,0)</f>
        <v>0</v>
      </c>
      <c r="BB1468" s="1330">
        <f ca="1">IFERROR(BB1463/BB1462,0)</f>
        <v>6138777.1509197969</v>
      </c>
      <c r="BC1468" s="1330">
        <f ca="1">IFERROR(BC1463/BC1462,0)</f>
        <v>-42182.430814968524</v>
      </c>
      <c r="BD1468" s="3434">
        <f t="shared" ca="1" si="1908"/>
        <v>6180959.5817347653</v>
      </c>
      <c r="BE1468" s="2990">
        <f ca="1">IFERROR(BB1468/BC1468,0)</f>
        <v>-145.52924125798458</v>
      </c>
      <c r="BF1468" s="1330">
        <f ca="1">IFERROR(BF1463/BF1462,0)</f>
        <v>-36217.469685588534</v>
      </c>
      <c r="BG1468" s="3434">
        <f t="shared" ca="1" si="1909"/>
        <v>6174994.6206053859</v>
      </c>
      <c r="BH1468" s="2990">
        <f ca="1">IFERROR(BB1468/BF1468,0)</f>
        <v>-169.4976817599852</v>
      </c>
    </row>
    <row r="1469" spans="1:60" s="641" customFormat="1" ht="14.5">
      <c r="A1469" s="616">
        <v>1</v>
      </c>
      <c r="B1469" s="616">
        <v>1</v>
      </c>
      <c r="C1469" s="616" t="s">
        <v>1540</v>
      </c>
      <c r="D1469" s="709" t="s">
        <v>1308</v>
      </c>
      <c r="E1469" s="2547">
        <v>1</v>
      </c>
      <c r="F1469" s="637"/>
      <c r="G1469" s="637"/>
      <c r="H1469" s="637"/>
      <c r="I1469" s="644"/>
      <c r="J1469" s="645" t="s">
        <v>55</v>
      </c>
      <c r="K1469" s="646"/>
      <c r="L1469" s="646"/>
      <c r="M1469" s="646"/>
      <c r="N1469" s="646"/>
      <c r="O1469" s="646"/>
      <c r="P1469" s="650" t="s">
        <v>1680</v>
      </c>
      <c r="Q1469" s="1785" t="str">
        <f>CHOOSE(2, "6722000004387", "Break-even Point Net Sales (%) G = F / A")</f>
        <v>Break-even Point Net Sales (%) G = F / A</v>
      </c>
      <c r="R1469" s="1335">
        <f>IFERROR(R1468/R1455,0)</f>
        <v>0.7212752326998203</v>
      </c>
      <c r="S1469" s="1335">
        <f t="shared" ref="S1469:AJ1469" si="1926">IFERROR(S1468/S1455,0)</f>
        <v>0.75564682151510398</v>
      </c>
      <c r="T1469" s="1335">
        <f t="shared" si="1926"/>
        <v>0.71701997846367527</v>
      </c>
      <c r="U1469" s="1335">
        <f t="shared" si="1926"/>
        <v>0.64847682572374854</v>
      </c>
      <c r="V1469" s="1335">
        <f t="shared" si="1926"/>
        <v>0.61689597498568516</v>
      </c>
      <c r="W1469" s="1335">
        <f t="shared" si="1926"/>
        <v>0.61994307051571751</v>
      </c>
      <c r="X1469" s="1335">
        <f t="shared" si="1926"/>
        <v>0.65718691738706558</v>
      </c>
      <c r="Y1469" s="1335">
        <f t="shared" si="1926"/>
        <v>0.61004567977744228</v>
      </c>
      <c r="Z1469" s="1335">
        <f t="shared" si="1926"/>
        <v>0.65721525041354334</v>
      </c>
      <c r="AA1469" s="1335">
        <f t="shared" si="1926"/>
        <v>0.67029919815496786</v>
      </c>
      <c r="AB1469" s="1335">
        <f t="shared" si="1926"/>
        <v>0.57378239948484167</v>
      </c>
      <c r="AC1469" s="1335">
        <f t="shared" si="1926"/>
        <v>0.75362922008285349</v>
      </c>
      <c r="AD1469" s="1335">
        <f t="shared" si="1926"/>
        <v>0.73036613671724349</v>
      </c>
      <c r="AE1469" s="1335">
        <f t="shared" si="1926"/>
        <v>0.62816693420645342</v>
      </c>
      <c r="AF1469" s="1335">
        <f t="shared" si="1926"/>
        <v>0.64255847512352704</v>
      </c>
      <c r="AG1469" s="1335">
        <f t="shared" si="1926"/>
        <v>0.66692294100258553</v>
      </c>
      <c r="AH1469" s="1335">
        <f t="shared" si="1926"/>
        <v>0.6764927928340736</v>
      </c>
      <c r="AI1469" s="1335">
        <f t="shared" si="1926"/>
        <v>0.65429912230854703</v>
      </c>
      <c r="AJ1469" s="1335">
        <f t="shared" si="1926"/>
        <v>0.66431430222815191</v>
      </c>
      <c r="AL1469" s="1335">
        <f ca="1">IFERROR(AL1468/AL1455,0)</f>
        <v>0.75362922008285349</v>
      </c>
      <c r="AM1469" s="1335">
        <f ca="1">IFERROR(AM1468/AM1455,0)</f>
        <v>0</v>
      </c>
      <c r="AN1469" s="1335">
        <f t="shared" ca="1" si="1904"/>
        <v>0.75362922008285349</v>
      </c>
      <c r="AO1469" s="1335"/>
      <c r="AP1469" s="1335">
        <f ca="1">IFERROR(AP1468/AP1455,0)</f>
        <v>0</v>
      </c>
      <c r="AQ1469" s="1335">
        <f t="shared" ca="1" si="1905"/>
        <v>0.75362922008285349</v>
      </c>
      <c r="AR1469" s="1335"/>
      <c r="AT1469" s="1335">
        <f ca="1">IFERROR(AT1468/AT1455,0)</f>
        <v>0.66692294100258553</v>
      </c>
      <c r="AU1469" s="1335">
        <f ca="1">IFERROR(AU1468/AU1455,0)</f>
        <v>0</v>
      </c>
      <c r="AV1469" s="1335">
        <f t="shared" ca="1" si="1906"/>
        <v>0.66692294100258553</v>
      </c>
      <c r="AW1469" s="1335"/>
      <c r="AX1469" s="1335">
        <f ca="1">IFERROR(AX1468/AX1455,0)</f>
        <v>0</v>
      </c>
      <c r="AY1469" s="1335">
        <f t="shared" ca="1" si="1907"/>
        <v>0.66692294100258553</v>
      </c>
      <c r="AZ1469" s="1335"/>
      <c r="BB1469" s="1335">
        <f ca="1">IFERROR(BB1468/BB1455,0)</f>
        <v>0.66431430222815169</v>
      </c>
      <c r="BC1469" s="1335">
        <f ca="1">IFERROR(BC1468/BC1455,0)</f>
        <v>-0.93576981510229063</v>
      </c>
      <c r="BD1469" s="1335">
        <f t="shared" ca="1" si="1908"/>
        <v>1.6000841173304423</v>
      </c>
      <c r="BE1469" s="1335"/>
      <c r="BF1469" s="1335">
        <f ca="1">IFERROR(BF1468/BF1455,0)</f>
        <v>-0.79788477412739101</v>
      </c>
      <c r="BG1469" s="1335">
        <f t="shared" ca="1" si="1909"/>
        <v>1.4621990763555428</v>
      </c>
      <c r="BH1469" s="1335"/>
    </row>
    <row r="1470" spans="1:60" s="621" customFormat="1" ht="14.5">
      <c r="A1470" s="616">
        <v>1</v>
      </c>
      <c r="B1470" s="616">
        <v>1</v>
      </c>
      <c r="C1470" s="616" t="s">
        <v>1540</v>
      </c>
      <c r="D1470" s="709" t="s">
        <v>1308</v>
      </c>
      <c r="E1470" s="2547">
        <v>1</v>
      </c>
      <c r="F1470" s="622"/>
      <c r="G1470" s="622"/>
      <c r="H1470" s="623"/>
      <c r="I1470" s="625" t="s">
        <v>1681</v>
      </c>
      <c r="J1470" s="626"/>
      <c r="K1470" s="626"/>
      <c r="L1470" s="626"/>
      <c r="M1470" s="626"/>
      <c r="N1470" s="626"/>
      <c r="O1470" s="626"/>
      <c r="P1470" s="648" t="s">
        <v>1682</v>
      </c>
      <c r="Q1470" s="1784" t="str">
        <f>CHOOSE(2, "6722000004388", "BCP H = C - D")</f>
        <v>BCP H = C - D</v>
      </c>
      <c r="R1470" s="1328">
        <f t="shared" ref="R1470:AJ1470" si="1927">R1461-R1463</f>
        <v>44378</v>
      </c>
      <c r="S1470" s="1328">
        <f t="shared" si="1927"/>
        <v>39066.849773046197</v>
      </c>
      <c r="T1470" s="1328">
        <f t="shared" si="1927"/>
        <v>55025.168560386664</v>
      </c>
      <c r="U1470" s="1328">
        <f t="shared" si="1927"/>
        <v>66413.618564480421</v>
      </c>
      <c r="V1470" s="1328">
        <f t="shared" si="1927"/>
        <v>85726.51650963616</v>
      </c>
      <c r="W1470" s="1328">
        <f t="shared" si="1927"/>
        <v>60731.310093728651</v>
      </c>
      <c r="X1470" s="1328">
        <f t="shared" si="1927"/>
        <v>94284.707539679657</v>
      </c>
      <c r="Y1470" s="1328">
        <f t="shared" si="1927"/>
        <v>82846.46621715842</v>
      </c>
      <c r="Z1470" s="1328">
        <f t="shared" si="1927"/>
        <v>67448.322657096025</v>
      </c>
      <c r="AA1470" s="1328">
        <f t="shared" si="1927"/>
        <v>73108.2439273122</v>
      </c>
      <c r="AB1470" s="1328">
        <f t="shared" si="1927"/>
        <v>86975.922789415985</v>
      </c>
      <c r="AC1470" s="1328">
        <f t="shared" si="1927"/>
        <v>51879.116985501256</v>
      </c>
      <c r="AD1470" s="1328">
        <f t="shared" si="1927"/>
        <v>138469.00383253652</v>
      </c>
      <c r="AE1470" s="1328">
        <f t="shared" si="1927"/>
        <v>212872.95783595776</v>
      </c>
      <c r="AF1470" s="1328">
        <f t="shared" si="1927"/>
        <v>244579.26112559147</v>
      </c>
      <c r="AG1470" s="1328">
        <f t="shared" si="1927"/>
        <v>211963.28162222949</v>
      </c>
      <c r="AH1470" s="1328">
        <f t="shared" si="1927"/>
        <v>351341.96166849358</v>
      </c>
      <c r="AI1470" s="1328">
        <f t="shared" si="1927"/>
        <v>456542.54274782073</v>
      </c>
      <c r="AJ1470" s="1328">
        <f t="shared" si="1927"/>
        <v>807884.50441631419</v>
      </c>
      <c r="AL1470" s="1328">
        <f ca="1">AL1461-AL1463</f>
        <v>51879.116985501256</v>
      </c>
      <c r="AM1470" s="1328">
        <f ca="1">AM1461-AM1463</f>
        <v>-215766.18765325367</v>
      </c>
      <c r="AN1470" s="3431">
        <f t="shared" ca="1" si="1904"/>
        <v>267645.30463875493</v>
      </c>
      <c r="AO1470" s="2984">
        <f ca="1">IFERROR(AL1470/AM1470,0)</f>
        <v>-0.24044136641498906</v>
      </c>
      <c r="AP1470" s="1328">
        <f ca="1">AP1461-AP1463</f>
        <v>-217103.43615564099</v>
      </c>
      <c r="AQ1470" s="3431">
        <f t="shared" ca="1" si="1905"/>
        <v>268982.55314114224</v>
      </c>
      <c r="AR1470" s="2984">
        <f ca="1">IFERROR(AL1470/AP1470,0)</f>
        <v>-0.23896036794327488</v>
      </c>
      <c r="AT1470" s="1328">
        <f ca="1">AT1461-AT1463</f>
        <v>211963.28162222949</v>
      </c>
      <c r="AU1470" s="1328">
        <f ca="1">AU1461-AU1463</f>
        <v>-639331.36540906085</v>
      </c>
      <c r="AV1470" s="3431">
        <f t="shared" ca="1" si="1906"/>
        <v>851294.64703129034</v>
      </c>
      <c r="AW1470" s="2984">
        <f ca="1">IFERROR(AT1470/AU1470,0)</f>
        <v>-0.33153900010303711</v>
      </c>
      <c r="AX1470" s="1328">
        <f ca="1">AX1461-AX1463</f>
        <v>-717311.00709010824</v>
      </c>
      <c r="AY1470" s="3431">
        <f t="shared" ca="1" si="1907"/>
        <v>929274.28871233773</v>
      </c>
      <c r="AZ1470" s="2984">
        <f ca="1">IFERROR(AT1470/AX1470,0)</f>
        <v>-0.29549704316136721</v>
      </c>
      <c r="BB1470" s="1328">
        <f ca="1">BB1461-BB1463</f>
        <v>807884.50441631535</v>
      </c>
      <c r="BC1470" s="1328">
        <f ca="1">BC1461-BC1463</f>
        <v>-1043714.9050273831</v>
      </c>
      <c r="BD1470" s="3431">
        <f t="shared" ca="1" si="1908"/>
        <v>1851599.4094436984</v>
      </c>
      <c r="BE1470" s="2984">
        <f ca="1">IFERROR(BB1470/BC1470,0)</f>
        <v>-0.7740471085781031</v>
      </c>
      <c r="BF1470" s="1328">
        <f ca="1">BF1461-BF1463</f>
        <v>-2395464.2808261197</v>
      </c>
      <c r="BG1470" s="3431">
        <f t="shared" ca="1" si="1909"/>
        <v>3203348.7852424351</v>
      </c>
      <c r="BH1470" s="2984">
        <f ca="1">IFERROR(BB1470/BF1470,0)</f>
        <v>-0.33725591772869251</v>
      </c>
    </row>
    <row r="1471" spans="1:60" s="641" customFormat="1" ht="14.5">
      <c r="A1471" s="616">
        <v>1</v>
      </c>
      <c r="B1471" s="616">
        <v>1</v>
      </c>
      <c r="C1471" s="616" t="s">
        <v>1540</v>
      </c>
      <c r="D1471" s="709" t="s">
        <v>1308</v>
      </c>
      <c r="E1471" s="2547">
        <v>1</v>
      </c>
      <c r="F1471" s="637"/>
      <c r="G1471" s="637"/>
      <c r="H1471" s="637"/>
      <c r="I1471" s="644"/>
      <c r="J1471" s="645" t="s">
        <v>55</v>
      </c>
      <c r="K1471" s="646"/>
      <c r="L1471" s="646"/>
      <c r="M1471" s="646"/>
      <c r="N1471" s="646"/>
      <c r="O1471" s="646"/>
      <c r="P1471" s="652"/>
      <c r="Q1471" s="1785" t="str">
        <f>CHOOSE(2, "6722000004389", "BCP (%)")</f>
        <v>BCP (%)</v>
      </c>
      <c r="R1471" s="1335">
        <f>IFERROR(R1470/R1455,0)</f>
        <v>6.8352188277333248E-2</v>
      </c>
      <c r="S1471" s="1335">
        <f t="shared" ref="S1471:AJ1471" si="1928">IFERROR(S1470/S1455,0)</f>
        <v>5.9478685628270404E-2</v>
      </c>
      <c r="T1471" s="1335">
        <f t="shared" si="1928"/>
        <v>7.9400137314395686E-2</v>
      </c>
      <c r="U1471" s="1335">
        <f t="shared" si="1928"/>
        <v>9.3627077720592353E-2</v>
      </c>
      <c r="V1471" s="1335">
        <f t="shared" si="1928"/>
        <v>0.10357789841161856</v>
      </c>
      <c r="W1471" s="1335">
        <f t="shared" si="1928"/>
        <v>8.540630062668654E-2</v>
      </c>
      <c r="X1471" s="1335">
        <f t="shared" si="1928"/>
        <v>0.10795691046559493</v>
      </c>
      <c r="Y1471" s="1335">
        <f t="shared" si="1928"/>
        <v>0.10386135793662296</v>
      </c>
      <c r="Z1471" s="1335">
        <f t="shared" si="1928"/>
        <v>7.9092567760500138E-2</v>
      </c>
      <c r="AA1471" s="1335">
        <f t="shared" si="1928"/>
        <v>8.7597060530186663E-2</v>
      </c>
      <c r="AB1471" s="1335">
        <f t="shared" si="1928"/>
        <v>9.9846813433649748E-2</v>
      </c>
      <c r="AC1471" s="1335">
        <f t="shared" si="1928"/>
        <v>6.7894205973039801E-2</v>
      </c>
      <c r="AD1471" s="1335">
        <f t="shared" si="1928"/>
        <v>6.9266121900916022E-2</v>
      </c>
      <c r="AE1471" s="1335">
        <f t="shared" si="1928"/>
        <v>9.4690939249613804E-2</v>
      </c>
      <c r="AF1471" s="1335">
        <f t="shared" si="1928"/>
        <v>9.6909283129694893E-2</v>
      </c>
      <c r="AG1471" s="1335">
        <f t="shared" si="1928"/>
        <v>8.5821777924830464E-2</v>
      </c>
      <c r="AH1471" s="1335">
        <f t="shared" si="1928"/>
        <v>8.2723808515292194E-2</v>
      </c>
      <c r="AI1471" s="1335">
        <f t="shared" si="1928"/>
        <v>9.1425466839702027E-2</v>
      </c>
      <c r="AJ1471" s="1335">
        <f t="shared" si="1928"/>
        <v>8.7426081390142268E-2</v>
      </c>
      <c r="AL1471" s="1335">
        <f ca="1">IFERROR(AL1470/AL1455,0)</f>
        <v>6.7894205973039801E-2</v>
      </c>
      <c r="AM1471" s="1335">
        <f ca="1">IFERROR(AM1470/AM1455,0)</f>
        <v>0</v>
      </c>
      <c r="AN1471" s="1335">
        <f t="shared" ca="1" si="1904"/>
        <v>6.7894205973039801E-2</v>
      </c>
      <c r="AO1471" s="1335"/>
      <c r="AP1471" s="1335">
        <f ca="1">IFERROR(AP1470/AP1455,0)</f>
        <v>0</v>
      </c>
      <c r="AQ1471" s="1335">
        <f t="shared" ca="1" si="1905"/>
        <v>6.7894205973039801E-2</v>
      </c>
      <c r="AR1471" s="1335"/>
      <c r="AT1471" s="1335">
        <f ca="1">IFERROR(AT1470/AT1455,0)</f>
        <v>8.5821777924830464E-2</v>
      </c>
      <c r="AU1471" s="1335">
        <f ca="1">IFERROR(AU1470/AU1455,0)</f>
        <v>0</v>
      </c>
      <c r="AV1471" s="1335">
        <f t="shared" ca="1" si="1906"/>
        <v>8.5821777924830464E-2</v>
      </c>
      <c r="AW1471" s="1335"/>
      <c r="AX1471" s="1335">
        <f ca="1">IFERROR(AX1470/AX1455,0)</f>
        <v>0</v>
      </c>
      <c r="AY1471" s="1335">
        <f t="shared" ca="1" si="1907"/>
        <v>8.5821777924830464E-2</v>
      </c>
      <c r="AZ1471" s="1335"/>
      <c r="BB1471" s="1335">
        <f ca="1">IFERROR(BB1470/BB1455,0)</f>
        <v>8.7426081390142393E-2</v>
      </c>
      <c r="BC1471" s="1335">
        <f ca="1">IFERROR(BC1470/BC1455,0)</f>
        <v>-23.153642045455648</v>
      </c>
      <c r="BD1471" s="1335">
        <f t="shared" ca="1" si="1908"/>
        <v>23.241068126845789</v>
      </c>
      <c r="BE1471" s="1335"/>
      <c r="BF1471" s="1335">
        <f ca="1">IFERROR(BF1470/BF1455,0)</f>
        <v>-52.772998589620357</v>
      </c>
      <c r="BG1471" s="1335">
        <f t="shared" ca="1" si="1909"/>
        <v>52.860424671010499</v>
      </c>
      <c r="BH1471" s="1335"/>
    </row>
    <row r="1472" spans="1:60" ht="14.5">
      <c r="A1472" s="616">
        <v>1</v>
      </c>
      <c r="B1472" s="616">
        <v>1</v>
      </c>
      <c r="C1472" s="616" t="s">
        <v>1540</v>
      </c>
      <c r="E1472" s="2650" t="s">
        <v>1369</v>
      </c>
      <c r="F1472" s="2651"/>
      <c r="Q1472" s="1772" t="str">
        <f>CHOOSE(2, "6722000004390", "▷ Blank 63")</f>
        <v>▷ Blank 63</v>
      </c>
    </row>
    <row r="1473" spans="1:36" ht="14.5">
      <c r="A1473" s="616">
        <v>1</v>
      </c>
      <c r="B1473" s="616">
        <v>1</v>
      </c>
      <c r="C1473" s="616" t="s">
        <v>1540</v>
      </c>
      <c r="E1473" s="2650" t="s">
        <v>1369</v>
      </c>
      <c r="F1473" s="2651"/>
      <c r="H1473" s="4" t="s">
        <v>30</v>
      </c>
      <c r="Q1473" s="1772" t="str">
        <f>CHOOSE(2, "6722000004391", "RF (1) Office")</f>
        <v>RF (1) Office</v>
      </c>
    </row>
    <row r="1474" spans="1:36" ht="14.5">
      <c r="A1474" s="616">
        <v>1</v>
      </c>
      <c r="B1474" s="616">
        <v>1</v>
      </c>
      <c r="C1474" s="616" t="s">
        <v>1540</v>
      </c>
      <c r="E1474" s="2650" t="s">
        <v>1369</v>
      </c>
      <c r="F1474" s="2651"/>
      <c r="G1474" s="1050"/>
      <c r="H1474" s="1051"/>
      <c r="I1474" s="3435" t="s">
        <v>0</v>
      </c>
      <c r="J1474" s="748"/>
      <c r="K1474" s="748"/>
      <c r="L1474" s="1052"/>
      <c r="M1474" s="1053"/>
      <c r="N1474" s="1053"/>
      <c r="O1474" s="1053"/>
      <c r="P1474" s="1053"/>
      <c r="Q1474" s="1846" t="str">
        <f>CHOOSE(2, "6722000004392", "RF (1) Office Net Sales")</f>
        <v>RF (1) Office Net Sales</v>
      </c>
      <c r="R1474" s="1446">
        <f>SUM(R1475,R1478,R1481,R1482)</f>
        <v>164198</v>
      </c>
      <c r="S1474" s="1446">
        <f t="shared" ref="S1474:AC1474" si="1929">SUM(S1475,S1478,S1481,S1482)</f>
        <v>184650</v>
      </c>
      <c r="T1474" s="1446">
        <f t="shared" si="1929"/>
        <v>198667</v>
      </c>
      <c r="U1474" s="1446">
        <f t="shared" si="1929"/>
        <v>210290</v>
      </c>
      <c r="V1474" s="1446">
        <f t="shared" si="1929"/>
        <v>262526.24494</v>
      </c>
      <c r="W1474" s="1446">
        <f t="shared" si="1929"/>
        <v>271607</v>
      </c>
      <c r="X1474" s="1446">
        <f t="shared" si="1929"/>
        <v>234197</v>
      </c>
      <c r="Y1474" s="1446">
        <f t="shared" si="1929"/>
        <v>255561</v>
      </c>
      <c r="Z1474" s="1446">
        <f t="shared" si="1929"/>
        <v>330439</v>
      </c>
      <c r="AA1474" s="1446">
        <f t="shared" si="1929"/>
        <v>242787</v>
      </c>
      <c r="AB1474" s="1446">
        <f t="shared" si="1929"/>
        <v>263940.37031000003</v>
      </c>
      <c r="AC1474" s="1446">
        <f t="shared" si="1929"/>
        <v>282292</v>
      </c>
      <c r="AD1474" s="1446">
        <f t="shared" ref="AD1474:AD1500" si="1930">SUM(R1474:T1474)</f>
        <v>547515</v>
      </c>
      <c r="AE1474" s="1446">
        <f t="shared" ref="AE1474:AE1514" si="1931">SUM(U1474:W1474)</f>
        <v>744423.24494</v>
      </c>
      <c r="AF1474" s="1446">
        <f t="shared" ref="AF1474:AF1514" si="1932">SUM(X1474:Z1474)</f>
        <v>820197</v>
      </c>
      <c r="AG1474" s="1446">
        <f t="shared" ref="AG1474:AG1514" si="1933">SUM(AA1474:AC1474)</f>
        <v>789019.37031000003</v>
      </c>
      <c r="AH1474" s="1446">
        <f t="shared" ref="AH1474:AH1514" si="1934">AD1474+AE1474</f>
        <v>1291938.2449400001</v>
      </c>
      <c r="AI1474" s="1446">
        <f t="shared" ref="AI1474:AI1514" si="1935">AG1474+AF1474</f>
        <v>1609216.3703100001</v>
      </c>
      <c r="AJ1474" s="1446">
        <f t="shared" ref="AJ1474:AJ1514" si="1936">AH1474+AI1474</f>
        <v>2901154.6152500003</v>
      </c>
    </row>
    <row r="1475" spans="1:36" ht="14.5">
      <c r="A1475" s="616">
        <v>1</v>
      </c>
      <c r="B1475" s="616">
        <v>1</v>
      </c>
      <c r="C1475" s="616" t="s">
        <v>1540</v>
      </c>
      <c r="E1475" s="2650" t="s">
        <v>1369</v>
      </c>
      <c r="F1475" s="2651"/>
      <c r="G1475" s="1050"/>
      <c r="H1475" s="1051"/>
      <c r="I1475" s="750"/>
      <c r="J1475" s="1055" t="s">
        <v>1683</v>
      </c>
      <c r="K1475" s="1055"/>
      <c r="L1475" s="1056"/>
      <c r="M1475" s="213"/>
      <c r="N1475" s="213"/>
      <c r="O1475" s="213"/>
      <c r="P1475" s="213"/>
      <c r="Q1475" s="1848" t="str">
        <f>CHOOSE(2, "6722000004393", "RF (1) Office Net Sales HW")</f>
        <v>RF (1) Office Net Sales HW</v>
      </c>
      <c r="R1475" s="1447">
        <f>SUM(R1476:R1477)</f>
        <v>74186</v>
      </c>
      <c r="S1475" s="1447">
        <f t="shared" ref="S1475:AC1475" si="1937">SUM(S1476:S1477)</f>
        <v>121660</v>
      </c>
      <c r="T1475" s="1447">
        <f t="shared" si="1937"/>
        <v>104326</v>
      </c>
      <c r="U1475" s="1447">
        <f t="shared" si="1937"/>
        <v>128638</v>
      </c>
      <c r="V1475" s="1447">
        <f t="shared" si="1937"/>
        <v>166445.136</v>
      </c>
      <c r="W1475" s="1447">
        <f t="shared" si="1937"/>
        <v>191924</v>
      </c>
      <c r="X1475" s="1447">
        <f t="shared" si="1937"/>
        <v>147071</v>
      </c>
      <c r="Y1475" s="1447">
        <f t="shared" si="1937"/>
        <v>149635</v>
      </c>
      <c r="Z1475" s="1447">
        <f t="shared" si="1937"/>
        <v>242547</v>
      </c>
      <c r="AA1475" s="1447">
        <f t="shared" si="1937"/>
        <v>156409</v>
      </c>
      <c r="AB1475" s="1447">
        <f t="shared" si="1937"/>
        <v>179970.37031000003</v>
      </c>
      <c r="AC1475" s="1447">
        <f t="shared" si="1937"/>
        <v>199726</v>
      </c>
      <c r="AD1475" s="1447">
        <f t="shared" si="1930"/>
        <v>300172</v>
      </c>
      <c r="AE1475" s="1447">
        <f t="shared" si="1931"/>
        <v>487007.136</v>
      </c>
      <c r="AF1475" s="1447">
        <f t="shared" si="1932"/>
        <v>539253</v>
      </c>
      <c r="AG1475" s="1447">
        <f t="shared" si="1933"/>
        <v>536105.37031000003</v>
      </c>
      <c r="AH1475" s="1447">
        <f t="shared" si="1934"/>
        <v>787179.13599999994</v>
      </c>
      <c r="AI1475" s="1447">
        <f t="shared" si="1935"/>
        <v>1075358.3703100001</v>
      </c>
      <c r="AJ1475" s="1447">
        <f t="shared" si="1936"/>
        <v>1862537.5063100001</v>
      </c>
    </row>
    <row r="1476" spans="1:36" ht="14.5">
      <c r="A1476" s="616">
        <v>1</v>
      </c>
      <c r="B1476" s="616">
        <v>1</v>
      </c>
      <c r="C1476" s="616" t="s">
        <v>1540</v>
      </c>
      <c r="E1476" s="2650" t="s">
        <v>1369</v>
      </c>
      <c r="F1476" s="2651"/>
      <c r="G1476" s="1050"/>
      <c r="H1476" s="1051"/>
      <c r="I1476" s="750"/>
      <c r="J1476" s="749"/>
      <c r="K1476" s="749" t="s">
        <v>1381</v>
      </c>
      <c r="Q1476" s="1777" t="str">
        <f>CHOOSE(2, "6722000004394", "RF (1) Office Net Sales HW Direct")</f>
        <v>RF (1) Office Net Sales HW Direct</v>
      </c>
      <c r="R1476" s="17">
        <f t="shared" ref="R1476:AC1476" si="1938">R454</f>
        <v>22518</v>
      </c>
      <c r="S1476" s="17">
        <f t="shared" si="1938"/>
        <v>23635</v>
      </c>
      <c r="T1476" s="17">
        <f t="shared" si="1938"/>
        <v>29493</v>
      </c>
      <c r="U1476" s="17">
        <f t="shared" si="1938"/>
        <v>31693</v>
      </c>
      <c r="V1476" s="17">
        <f t="shared" si="1938"/>
        <v>27377.857</v>
      </c>
      <c r="W1476" s="17">
        <f t="shared" si="1938"/>
        <v>31593</v>
      </c>
      <c r="X1476" s="17">
        <f t="shared" si="1938"/>
        <v>30066</v>
      </c>
      <c r="Y1476" s="17">
        <f t="shared" si="1938"/>
        <v>30010</v>
      </c>
      <c r="Z1476" s="17">
        <f t="shared" si="1938"/>
        <v>38145</v>
      </c>
      <c r="AA1476" s="17">
        <f t="shared" si="1938"/>
        <v>33315</v>
      </c>
      <c r="AB1476" s="17">
        <f t="shared" si="1938"/>
        <v>35922.224000000002</v>
      </c>
      <c r="AC1476" s="17">
        <f t="shared" si="1938"/>
        <v>23681</v>
      </c>
      <c r="AD1476" s="17">
        <f t="shared" si="1930"/>
        <v>75646</v>
      </c>
      <c r="AE1476" s="17">
        <f t="shared" si="1931"/>
        <v>90663.857000000004</v>
      </c>
      <c r="AF1476" s="17">
        <f t="shared" si="1932"/>
        <v>98221</v>
      </c>
      <c r="AG1476" s="17">
        <f t="shared" si="1933"/>
        <v>92918.224000000002</v>
      </c>
      <c r="AH1476" s="17">
        <f t="shared" si="1934"/>
        <v>166309.85700000002</v>
      </c>
      <c r="AI1476" s="17">
        <f t="shared" si="1935"/>
        <v>191139.22399999999</v>
      </c>
      <c r="AJ1476" s="17">
        <f t="shared" si="1936"/>
        <v>357449.08100000001</v>
      </c>
    </row>
    <row r="1477" spans="1:36" ht="14.5">
      <c r="A1477" s="616">
        <v>1</v>
      </c>
      <c r="B1477" s="616">
        <v>1</v>
      </c>
      <c r="C1477" s="616" t="s">
        <v>1540</v>
      </c>
      <c r="E1477" s="2650" t="s">
        <v>1369</v>
      </c>
      <c r="F1477" s="2651"/>
      <c r="G1477" s="1050"/>
      <c r="H1477" s="1051"/>
      <c r="I1477" s="750"/>
      <c r="J1477" s="749"/>
      <c r="K1477" s="749" t="s">
        <v>1382</v>
      </c>
      <c r="Q1477" s="1777" t="str">
        <f>CHOOSE(2, "6722000004395", "RF (1) Office Net Sales HW Indirect")</f>
        <v>RF (1) Office Net Sales HW Indirect</v>
      </c>
      <c r="R1477" s="17">
        <f t="shared" ref="R1477:AC1477" si="1939">R470</f>
        <v>51668</v>
      </c>
      <c r="S1477" s="17">
        <f t="shared" si="1939"/>
        <v>98025</v>
      </c>
      <c r="T1477" s="17">
        <f t="shared" si="1939"/>
        <v>74833</v>
      </c>
      <c r="U1477" s="17">
        <f t="shared" si="1939"/>
        <v>96945</v>
      </c>
      <c r="V1477" s="17">
        <f t="shared" si="1939"/>
        <v>139067.27900000001</v>
      </c>
      <c r="W1477" s="17">
        <f t="shared" si="1939"/>
        <v>160331</v>
      </c>
      <c r="X1477" s="17">
        <f t="shared" si="1939"/>
        <v>117005</v>
      </c>
      <c r="Y1477" s="17">
        <f t="shared" si="1939"/>
        <v>119625</v>
      </c>
      <c r="Z1477" s="17">
        <f t="shared" si="1939"/>
        <v>204402</v>
      </c>
      <c r="AA1477" s="17">
        <f t="shared" si="1939"/>
        <v>123094</v>
      </c>
      <c r="AB1477" s="17">
        <f t="shared" si="1939"/>
        <v>144048.14631000001</v>
      </c>
      <c r="AC1477" s="17">
        <f t="shared" si="1939"/>
        <v>176045</v>
      </c>
      <c r="AD1477" s="17">
        <f t="shared" si="1930"/>
        <v>224526</v>
      </c>
      <c r="AE1477" s="17">
        <f t="shared" si="1931"/>
        <v>396343.27899999998</v>
      </c>
      <c r="AF1477" s="17">
        <f t="shared" si="1932"/>
        <v>441032</v>
      </c>
      <c r="AG1477" s="17">
        <f t="shared" si="1933"/>
        <v>443187.14630999998</v>
      </c>
      <c r="AH1477" s="17">
        <f t="shared" si="1934"/>
        <v>620869.27899999998</v>
      </c>
      <c r="AI1477" s="17">
        <f t="shared" si="1935"/>
        <v>884219.14630999998</v>
      </c>
      <c r="AJ1477" s="17">
        <f t="shared" si="1936"/>
        <v>1505088.4253099998</v>
      </c>
    </row>
    <row r="1478" spans="1:36" ht="14.5">
      <c r="A1478" s="616">
        <v>1</v>
      </c>
      <c r="B1478" s="616">
        <v>1</v>
      </c>
      <c r="C1478" s="616" t="s">
        <v>1540</v>
      </c>
      <c r="E1478" s="2650" t="s">
        <v>1369</v>
      </c>
      <c r="F1478" s="2651"/>
      <c r="G1478" s="1050"/>
      <c r="H1478" s="1051"/>
      <c r="I1478" s="750"/>
      <c r="J1478" s="1055" t="s">
        <v>1684</v>
      </c>
      <c r="K1478" s="1055"/>
      <c r="L1478" s="1056"/>
      <c r="M1478" s="213"/>
      <c r="N1478" s="213"/>
      <c r="O1478" s="213"/>
      <c r="P1478" s="213"/>
      <c r="Q1478" s="1848" t="str">
        <f>CHOOSE(2, "6722000004396", "RF (1) Office Net Sales NH")</f>
        <v>RF (1) Office Net Sales NH</v>
      </c>
      <c r="R1478" s="1447">
        <f>SUM(R1479:R1480)</f>
        <v>88727</v>
      </c>
      <c r="S1478" s="1447">
        <f t="shared" ref="S1478:AC1478" si="1940">SUM(S1479:S1480)</f>
        <v>61213</v>
      </c>
      <c r="T1478" s="1447">
        <f t="shared" si="1940"/>
        <v>92849</v>
      </c>
      <c r="U1478" s="1447">
        <f t="shared" si="1940"/>
        <v>80385</v>
      </c>
      <c r="V1478" s="1447">
        <f t="shared" si="1940"/>
        <v>94526.223939999996</v>
      </c>
      <c r="W1478" s="1447">
        <f t="shared" si="1940"/>
        <v>77309</v>
      </c>
      <c r="X1478" s="1447">
        <f t="shared" si="1940"/>
        <v>85806</v>
      </c>
      <c r="Y1478" s="1447">
        <f t="shared" si="1940"/>
        <v>102055</v>
      </c>
      <c r="Z1478" s="1447">
        <f t="shared" si="1940"/>
        <v>84643</v>
      </c>
      <c r="AA1478" s="1447">
        <f t="shared" si="1940"/>
        <v>84570</v>
      </c>
      <c r="AB1478" s="1447">
        <f t="shared" si="1940"/>
        <v>81100</v>
      </c>
      <c r="AC1478" s="1447">
        <f t="shared" si="1940"/>
        <v>79337</v>
      </c>
      <c r="AD1478" s="1447">
        <f t="shared" si="1930"/>
        <v>242789</v>
      </c>
      <c r="AE1478" s="1447">
        <f t="shared" si="1931"/>
        <v>252220.22394</v>
      </c>
      <c r="AF1478" s="1447">
        <f t="shared" si="1932"/>
        <v>272504</v>
      </c>
      <c r="AG1478" s="1447">
        <f t="shared" si="1933"/>
        <v>245007</v>
      </c>
      <c r="AH1478" s="1447">
        <f t="shared" si="1934"/>
        <v>495009.22394</v>
      </c>
      <c r="AI1478" s="1447">
        <f t="shared" si="1935"/>
        <v>517511</v>
      </c>
      <c r="AJ1478" s="1447">
        <f t="shared" si="1936"/>
        <v>1012520.2239399999</v>
      </c>
    </row>
    <row r="1479" spans="1:36" ht="14.5">
      <c r="A1479" s="616">
        <v>1</v>
      </c>
      <c r="B1479" s="616">
        <v>1</v>
      </c>
      <c r="C1479" s="616" t="s">
        <v>1540</v>
      </c>
      <c r="E1479" s="2650" t="s">
        <v>1369</v>
      </c>
      <c r="F1479" s="2651"/>
      <c r="G1479" s="1050"/>
      <c r="H1479" s="1051"/>
      <c r="I1479" s="750"/>
      <c r="J1479" s="749"/>
      <c r="K1479" s="749" t="s">
        <v>1381</v>
      </c>
      <c r="Q1479" s="1777" t="str">
        <f>CHOOSE(2, "6722000004397", "RF (1) Office Net Sales NH Direct")</f>
        <v>RF (1) Office Net Sales NH Direct</v>
      </c>
      <c r="R1479" s="17">
        <f t="shared" ref="R1479:AC1479" si="1941">R459</f>
        <v>22497</v>
      </c>
      <c r="S1479" s="17">
        <f t="shared" si="1941"/>
        <v>25282</v>
      </c>
      <c r="T1479" s="17">
        <f t="shared" si="1941"/>
        <v>24598</v>
      </c>
      <c r="U1479" s="17">
        <f t="shared" si="1941"/>
        <v>22693</v>
      </c>
      <c r="V1479" s="17">
        <f t="shared" si="1941"/>
        <v>28309.485109999998</v>
      </c>
      <c r="W1479" s="17">
        <f t="shared" si="1941"/>
        <v>23155</v>
      </c>
      <c r="X1479" s="17">
        <f t="shared" si="1941"/>
        <v>24660</v>
      </c>
      <c r="Y1479" s="17">
        <f t="shared" si="1941"/>
        <v>29225</v>
      </c>
      <c r="Z1479" s="17">
        <f t="shared" si="1941"/>
        <v>26225</v>
      </c>
      <c r="AA1479" s="17">
        <f t="shared" si="1941"/>
        <v>26035</v>
      </c>
      <c r="AB1479" s="17">
        <f t="shared" si="1941"/>
        <v>27264</v>
      </c>
      <c r="AC1479" s="17">
        <f t="shared" si="1941"/>
        <v>21283</v>
      </c>
      <c r="AD1479" s="17">
        <f t="shared" si="1930"/>
        <v>72377</v>
      </c>
      <c r="AE1479" s="17">
        <f t="shared" si="1931"/>
        <v>74157.485109999994</v>
      </c>
      <c r="AF1479" s="17">
        <f t="shared" si="1932"/>
        <v>80110</v>
      </c>
      <c r="AG1479" s="17">
        <f t="shared" si="1933"/>
        <v>74582</v>
      </c>
      <c r="AH1479" s="17">
        <f t="shared" si="1934"/>
        <v>146534.48511000001</v>
      </c>
      <c r="AI1479" s="17">
        <f t="shared" si="1935"/>
        <v>154692</v>
      </c>
      <c r="AJ1479" s="17">
        <f t="shared" si="1936"/>
        <v>301226.48511000001</v>
      </c>
    </row>
    <row r="1480" spans="1:36" ht="14.5">
      <c r="A1480" s="616">
        <v>1</v>
      </c>
      <c r="B1480" s="616">
        <v>1</v>
      </c>
      <c r="C1480" s="616" t="s">
        <v>1540</v>
      </c>
      <c r="E1480" s="2650" t="s">
        <v>1369</v>
      </c>
      <c r="F1480" s="2651"/>
      <c r="G1480" s="1050"/>
      <c r="H1480" s="1051"/>
      <c r="I1480" s="750"/>
      <c r="J1480" s="749"/>
      <c r="K1480" s="749" t="s">
        <v>1382</v>
      </c>
      <c r="Q1480" s="1777" t="str">
        <f>CHOOSE(2, "6722000004398", "RF (1) Office Net Sales NH Indirect")</f>
        <v>RF (1) Office Net Sales NH Indirect</v>
      </c>
      <c r="R1480" s="17">
        <f t="shared" ref="R1480:AC1480" si="1942">R475</f>
        <v>66230</v>
      </c>
      <c r="S1480" s="17">
        <f t="shared" si="1942"/>
        <v>35931</v>
      </c>
      <c r="T1480" s="17">
        <f t="shared" si="1942"/>
        <v>68251</v>
      </c>
      <c r="U1480" s="17">
        <f t="shared" si="1942"/>
        <v>57692</v>
      </c>
      <c r="V1480" s="17">
        <f t="shared" si="1942"/>
        <v>66216.738830000002</v>
      </c>
      <c r="W1480" s="17">
        <f t="shared" si="1942"/>
        <v>54154</v>
      </c>
      <c r="X1480" s="17">
        <f t="shared" si="1942"/>
        <v>61146</v>
      </c>
      <c r="Y1480" s="17">
        <f t="shared" si="1942"/>
        <v>72830</v>
      </c>
      <c r="Z1480" s="17">
        <f t="shared" si="1942"/>
        <v>58418</v>
      </c>
      <c r="AA1480" s="17">
        <f t="shared" si="1942"/>
        <v>58535</v>
      </c>
      <c r="AB1480" s="17">
        <f t="shared" si="1942"/>
        <v>53836</v>
      </c>
      <c r="AC1480" s="17">
        <f t="shared" si="1942"/>
        <v>58054</v>
      </c>
      <c r="AD1480" s="17">
        <f t="shared" si="1930"/>
        <v>170412</v>
      </c>
      <c r="AE1480" s="17">
        <f t="shared" si="1931"/>
        <v>178062.73882999999</v>
      </c>
      <c r="AF1480" s="17">
        <f t="shared" si="1932"/>
        <v>192394</v>
      </c>
      <c r="AG1480" s="17">
        <f t="shared" si="1933"/>
        <v>170425</v>
      </c>
      <c r="AH1480" s="17">
        <f t="shared" si="1934"/>
        <v>348474.73882999999</v>
      </c>
      <c r="AI1480" s="17">
        <f t="shared" si="1935"/>
        <v>362819</v>
      </c>
      <c r="AJ1480" s="17">
        <f t="shared" si="1936"/>
        <v>711293.73882999993</v>
      </c>
    </row>
    <row r="1481" spans="1:36" ht="14.5">
      <c r="A1481" s="616">
        <v>1</v>
      </c>
      <c r="B1481" s="616">
        <v>1</v>
      </c>
      <c r="C1481" s="616" t="s">
        <v>1540</v>
      </c>
      <c r="E1481" s="2650" t="s">
        <v>1369</v>
      </c>
      <c r="F1481" s="2651"/>
      <c r="G1481" s="1050"/>
      <c r="H1481" s="1051"/>
      <c r="I1481" s="750"/>
      <c r="J1481" s="1055" t="s">
        <v>1604</v>
      </c>
      <c r="K1481" s="1055"/>
      <c r="L1481" s="1056"/>
      <c r="M1481" s="213"/>
      <c r="N1481" s="213"/>
      <c r="O1481" s="213"/>
      <c r="P1481" s="213"/>
      <c r="Q1481" s="1848" t="str">
        <f>CHOOSE(2, "6722000004399", "RF (1) Office Net Sales Office Solution")</f>
        <v>RF (1) Office Net Sales Office Solution</v>
      </c>
      <c r="R1481" s="1447">
        <f t="shared" ref="R1481:AC1481" si="1943">R143</f>
        <v>1285</v>
      </c>
      <c r="S1481" s="1447">
        <f t="shared" si="1943"/>
        <v>1777</v>
      </c>
      <c r="T1481" s="1447">
        <f t="shared" si="1943"/>
        <v>1492</v>
      </c>
      <c r="U1481" s="1447">
        <f t="shared" si="1943"/>
        <v>1267</v>
      </c>
      <c r="V1481" s="1447">
        <f t="shared" si="1943"/>
        <v>1554.885</v>
      </c>
      <c r="W1481" s="1447">
        <f t="shared" si="1943"/>
        <v>2374</v>
      </c>
      <c r="X1481" s="1447">
        <f t="shared" si="1943"/>
        <v>1320</v>
      </c>
      <c r="Y1481" s="1447">
        <f t="shared" si="1943"/>
        <v>3871</v>
      </c>
      <c r="Z1481" s="1447">
        <f t="shared" si="1943"/>
        <v>3249</v>
      </c>
      <c r="AA1481" s="1447">
        <f t="shared" si="1943"/>
        <v>1808</v>
      </c>
      <c r="AB1481" s="1447">
        <f t="shared" si="1943"/>
        <v>2870</v>
      </c>
      <c r="AC1481" s="1447">
        <f t="shared" si="1943"/>
        <v>3229</v>
      </c>
      <c r="AD1481" s="1447">
        <f t="shared" si="1930"/>
        <v>4554</v>
      </c>
      <c r="AE1481" s="1447">
        <f t="shared" si="1931"/>
        <v>5195.8850000000002</v>
      </c>
      <c r="AF1481" s="1447">
        <f t="shared" si="1932"/>
        <v>8440</v>
      </c>
      <c r="AG1481" s="1447">
        <f t="shared" si="1933"/>
        <v>7907</v>
      </c>
      <c r="AH1481" s="1447">
        <f t="shared" si="1934"/>
        <v>9749.8850000000002</v>
      </c>
      <c r="AI1481" s="1447">
        <f t="shared" si="1935"/>
        <v>16347</v>
      </c>
      <c r="AJ1481" s="1447">
        <f t="shared" si="1936"/>
        <v>26096.885000000002</v>
      </c>
    </row>
    <row r="1482" spans="1:36" ht="14.5">
      <c r="A1482" s="616">
        <v>1</v>
      </c>
      <c r="B1482" s="616">
        <v>1</v>
      </c>
      <c r="C1482" s="616" t="s">
        <v>1540</v>
      </c>
      <c r="E1482" s="2650" t="s">
        <v>1369</v>
      </c>
      <c r="F1482" s="2651"/>
      <c r="G1482" s="1050"/>
      <c r="H1482" s="1051"/>
      <c r="I1482" s="750"/>
      <c r="J1482" s="1055" t="s">
        <v>1386</v>
      </c>
      <c r="K1482" s="1055"/>
      <c r="L1482" s="1056"/>
      <c r="M1482" s="213"/>
      <c r="N1482" s="213"/>
      <c r="O1482" s="213"/>
      <c r="P1482" s="213"/>
      <c r="Q1482" s="1848" t="str">
        <f>CHOOSE(2, "6722000004400", "RF (1) Office Net Sales Others")</f>
        <v>RF (1) Office Net Sales Others</v>
      </c>
      <c r="R1482" s="1447">
        <f t="shared" ref="R1482:AC1482" si="1944">SUM(R468,R484)</f>
        <v>0</v>
      </c>
      <c r="S1482" s="1447">
        <f t="shared" si="1944"/>
        <v>0</v>
      </c>
      <c r="T1482" s="1447">
        <f t="shared" si="1944"/>
        <v>0</v>
      </c>
      <c r="U1482" s="1447">
        <f t="shared" si="1944"/>
        <v>0</v>
      </c>
      <c r="V1482" s="1447">
        <f t="shared" si="1944"/>
        <v>0</v>
      </c>
      <c r="W1482" s="1447">
        <f t="shared" si="1944"/>
        <v>0</v>
      </c>
      <c r="X1482" s="1447">
        <f t="shared" si="1944"/>
        <v>0</v>
      </c>
      <c r="Y1482" s="1447">
        <f t="shared" si="1944"/>
        <v>0</v>
      </c>
      <c r="Z1482" s="1447">
        <f t="shared" si="1944"/>
        <v>0</v>
      </c>
      <c r="AA1482" s="1447">
        <f t="shared" si="1944"/>
        <v>0</v>
      </c>
      <c r="AB1482" s="1447">
        <f t="shared" si="1944"/>
        <v>0</v>
      </c>
      <c r="AC1482" s="1447">
        <f t="shared" si="1944"/>
        <v>0</v>
      </c>
      <c r="AD1482" s="1447">
        <f t="shared" si="1930"/>
        <v>0</v>
      </c>
      <c r="AE1482" s="1447">
        <f t="shared" si="1931"/>
        <v>0</v>
      </c>
      <c r="AF1482" s="1447">
        <f t="shared" si="1932"/>
        <v>0</v>
      </c>
      <c r="AG1482" s="1447">
        <f t="shared" si="1933"/>
        <v>0</v>
      </c>
      <c r="AH1482" s="1447">
        <f t="shared" si="1934"/>
        <v>0</v>
      </c>
      <c r="AI1482" s="1447">
        <f t="shared" si="1935"/>
        <v>0</v>
      </c>
      <c r="AJ1482" s="1447">
        <f t="shared" si="1936"/>
        <v>0</v>
      </c>
    </row>
    <row r="1483" spans="1:36" ht="14.5">
      <c r="A1483" s="616">
        <v>1</v>
      </c>
      <c r="B1483" s="616">
        <v>1</v>
      </c>
      <c r="C1483" s="616" t="s">
        <v>1540</v>
      </c>
      <c r="E1483" s="2650" t="s">
        <v>1369</v>
      </c>
      <c r="F1483" s="2651"/>
      <c r="G1483" s="1050"/>
      <c r="H1483" s="1051"/>
      <c r="I1483" s="3435" t="s">
        <v>1685</v>
      </c>
      <c r="J1483" s="748"/>
      <c r="K1483" s="748"/>
      <c r="L1483" s="1052"/>
      <c r="M1483" s="1053"/>
      <c r="N1483" s="1053"/>
      <c r="O1483" s="1053"/>
      <c r="P1483" s="1053"/>
      <c r="Q1483" s="1846" t="str">
        <f>CHOOSE(2, "6722000004401", "RF (1) Office Variable cost")</f>
        <v>RF (1) Office Variable cost</v>
      </c>
      <c r="R1483" s="1446">
        <f>SUM(R1484,R1487,R1490,R1491)</f>
        <v>112244.97849282602</v>
      </c>
      <c r="S1483" s="1446">
        <f t="shared" ref="S1483:AC1483" si="1945">SUM(S1484,S1487,S1490,S1491)</f>
        <v>138027.4312858317</v>
      </c>
      <c r="T1483" s="1446">
        <f t="shared" si="1945"/>
        <v>137076.27279742443</v>
      </c>
      <c r="U1483" s="1446">
        <f t="shared" si="1945"/>
        <v>153206.01442732447</v>
      </c>
      <c r="V1483" s="1446">
        <f t="shared" si="1945"/>
        <v>192993.55058606277</v>
      </c>
      <c r="W1483" s="1446">
        <f t="shared" si="1945"/>
        <v>201937.46621075235</v>
      </c>
      <c r="X1483" s="1446">
        <f t="shared" si="1945"/>
        <v>147931.06276354101</v>
      </c>
      <c r="Y1483" s="1446">
        <f t="shared" si="1945"/>
        <v>175361.81039525435</v>
      </c>
      <c r="Z1483" s="1446">
        <f t="shared" si="1945"/>
        <v>262567.05704835651</v>
      </c>
      <c r="AA1483" s="1446">
        <f t="shared" si="1945"/>
        <v>177672.7152387893</v>
      </c>
      <c r="AB1483" s="1446">
        <f t="shared" si="1945"/>
        <v>215411.09850388311</v>
      </c>
      <c r="AC1483" s="1446">
        <f t="shared" si="1945"/>
        <v>214778.73228769144</v>
      </c>
      <c r="AD1483" s="1446">
        <f t="shared" si="1930"/>
        <v>387348.68257608218</v>
      </c>
      <c r="AE1483" s="1446">
        <f t="shared" si="1931"/>
        <v>548137.03122413962</v>
      </c>
      <c r="AF1483" s="1446">
        <f t="shared" si="1932"/>
        <v>585859.93020715192</v>
      </c>
      <c r="AG1483" s="1446">
        <f t="shared" si="1933"/>
        <v>607862.54603036388</v>
      </c>
      <c r="AH1483" s="1446">
        <f t="shared" si="1934"/>
        <v>935485.7138002218</v>
      </c>
      <c r="AI1483" s="1446">
        <f t="shared" si="1935"/>
        <v>1193722.4762375159</v>
      </c>
      <c r="AJ1483" s="1446">
        <f t="shared" si="1936"/>
        <v>2129208.1900377376</v>
      </c>
    </row>
    <row r="1484" spans="1:36" ht="14.5">
      <c r="A1484" s="616">
        <v>1</v>
      </c>
      <c r="B1484" s="616">
        <v>1</v>
      </c>
      <c r="C1484" s="616" t="s">
        <v>1540</v>
      </c>
      <c r="E1484" s="2650" t="s">
        <v>1369</v>
      </c>
      <c r="F1484" s="2651"/>
      <c r="G1484" s="1050"/>
      <c r="H1484" s="1051"/>
      <c r="I1484" s="750"/>
      <c r="J1484" s="1055" t="s">
        <v>1683</v>
      </c>
      <c r="K1484" s="1055"/>
      <c r="L1484" s="1056"/>
      <c r="M1484" s="213"/>
      <c r="N1484" s="213"/>
      <c r="O1484" s="213"/>
      <c r="P1484" s="213"/>
      <c r="Q1484" s="1848" t="str">
        <f>CHOOSE(2, "6722000004402", "RF (1) Office Variable cost HW")</f>
        <v>RF (1) Office Variable cost HW</v>
      </c>
      <c r="R1484" s="1447">
        <f>SUM(R1485:R1486)</f>
        <v>48660</v>
      </c>
      <c r="S1484" s="1447">
        <f t="shared" ref="S1484:AC1484" si="1946">SUM(S1485:S1486)</f>
        <v>89316</v>
      </c>
      <c r="T1484" s="1447">
        <f t="shared" si="1946"/>
        <v>76223</v>
      </c>
      <c r="U1484" s="1447">
        <f t="shared" si="1946"/>
        <v>94449</v>
      </c>
      <c r="V1484" s="1447">
        <f t="shared" si="1946"/>
        <v>124743.89874018426</v>
      </c>
      <c r="W1484" s="1447">
        <f t="shared" si="1946"/>
        <v>137455</v>
      </c>
      <c r="X1484" s="1447">
        <f t="shared" si="1946"/>
        <v>93261</v>
      </c>
      <c r="Y1484" s="1447">
        <f t="shared" si="1946"/>
        <v>110667</v>
      </c>
      <c r="Z1484" s="1447">
        <f t="shared" si="1946"/>
        <v>179395</v>
      </c>
      <c r="AA1484" s="1447">
        <f t="shared" si="1946"/>
        <v>108170</v>
      </c>
      <c r="AB1484" s="1447">
        <f t="shared" si="1946"/>
        <v>143595.37031000003</v>
      </c>
      <c r="AC1484" s="1447">
        <f t="shared" si="1946"/>
        <v>158586</v>
      </c>
      <c r="AD1484" s="1447">
        <f t="shared" si="1930"/>
        <v>214199</v>
      </c>
      <c r="AE1484" s="1447">
        <f t="shared" si="1931"/>
        <v>356647.89874018426</v>
      </c>
      <c r="AF1484" s="1447">
        <f t="shared" si="1932"/>
        <v>383323</v>
      </c>
      <c r="AG1484" s="1447">
        <f t="shared" si="1933"/>
        <v>410351.37031000003</v>
      </c>
      <c r="AH1484" s="1447">
        <f t="shared" si="1934"/>
        <v>570846.89874018426</v>
      </c>
      <c r="AI1484" s="1447">
        <f t="shared" si="1935"/>
        <v>793674.37031000003</v>
      </c>
      <c r="AJ1484" s="1447">
        <f t="shared" si="1936"/>
        <v>1364521.2690501842</v>
      </c>
    </row>
    <row r="1485" spans="1:36" ht="14.5">
      <c r="A1485" s="616">
        <v>1</v>
      </c>
      <c r="B1485" s="616">
        <v>1</v>
      </c>
      <c r="C1485" s="616" t="s">
        <v>1540</v>
      </c>
      <c r="E1485" s="2650" t="s">
        <v>1369</v>
      </c>
      <c r="F1485" s="2651"/>
      <c r="G1485" s="1050"/>
      <c r="H1485" s="1051"/>
      <c r="I1485" s="750"/>
      <c r="J1485" s="749"/>
      <c r="K1485" s="749" t="s">
        <v>1381</v>
      </c>
      <c r="Q1485" s="1777" t="str">
        <f>CHOOSE(2, "6722000004403", "RF (1) Office Variable cost HW Direct")</f>
        <v>RF (1) Office Variable cost HW Direct</v>
      </c>
      <c r="R1485" s="17">
        <f t="shared" ref="R1485:AC1485" si="1947">R454-R487</f>
        <v>11314</v>
      </c>
      <c r="S1485" s="17">
        <f t="shared" si="1947"/>
        <v>12009</v>
      </c>
      <c r="T1485" s="17">
        <f t="shared" si="1947"/>
        <v>14214</v>
      </c>
      <c r="U1485" s="17">
        <f t="shared" si="1947"/>
        <v>16785</v>
      </c>
      <c r="V1485" s="17">
        <f t="shared" si="1947"/>
        <v>13834.00245</v>
      </c>
      <c r="W1485" s="17">
        <f t="shared" si="1947"/>
        <v>15714</v>
      </c>
      <c r="X1485" s="17">
        <f t="shared" si="1947"/>
        <v>13494</v>
      </c>
      <c r="Y1485" s="17">
        <f t="shared" si="1947"/>
        <v>14926</v>
      </c>
      <c r="Z1485" s="17">
        <f t="shared" si="1947"/>
        <v>20821</v>
      </c>
      <c r="AA1485" s="17">
        <f t="shared" si="1947"/>
        <v>17121</v>
      </c>
      <c r="AB1485" s="17">
        <f t="shared" si="1947"/>
        <v>18252.224000000002</v>
      </c>
      <c r="AC1485" s="17">
        <f t="shared" si="1947"/>
        <v>14515</v>
      </c>
      <c r="AD1485" s="17">
        <f t="shared" si="1930"/>
        <v>37537</v>
      </c>
      <c r="AE1485" s="17">
        <f t="shared" si="1931"/>
        <v>46333.00245</v>
      </c>
      <c r="AF1485" s="17">
        <f t="shared" si="1932"/>
        <v>49241</v>
      </c>
      <c r="AG1485" s="17">
        <f t="shared" si="1933"/>
        <v>49888.224000000002</v>
      </c>
      <c r="AH1485" s="17">
        <f t="shared" si="1934"/>
        <v>83870.00245</v>
      </c>
      <c r="AI1485" s="17">
        <f t="shared" si="1935"/>
        <v>99129.224000000002</v>
      </c>
      <c r="AJ1485" s="17">
        <f t="shared" si="1936"/>
        <v>182999.22645000002</v>
      </c>
    </row>
    <row r="1486" spans="1:36" ht="14.5">
      <c r="A1486" s="616">
        <v>1</v>
      </c>
      <c r="B1486" s="616">
        <v>1</v>
      </c>
      <c r="C1486" s="616" t="s">
        <v>1540</v>
      </c>
      <c r="E1486" s="2650" t="s">
        <v>1369</v>
      </c>
      <c r="F1486" s="2651"/>
      <c r="G1486" s="1050"/>
      <c r="H1486" s="1051"/>
      <c r="I1486" s="750"/>
      <c r="J1486" s="749"/>
      <c r="K1486" s="749" t="s">
        <v>1382</v>
      </c>
      <c r="Q1486" s="1777" t="str">
        <f>CHOOSE(2, "6722000004404", "RF (1) Office Variable cost HW Indirect")</f>
        <v>RF (1) Office Variable cost HW Indirect</v>
      </c>
      <c r="R1486" s="17">
        <f t="shared" ref="R1486:AC1486" si="1948">R470-R511</f>
        <v>37346</v>
      </c>
      <c r="S1486" s="17">
        <f t="shared" si="1948"/>
        <v>77307</v>
      </c>
      <c r="T1486" s="17">
        <f t="shared" si="1948"/>
        <v>62009</v>
      </c>
      <c r="U1486" s="17">
        <f t="shared" si="1948"/>
        <v>77664</v>
      </c>
      <c r="V1486" s="17">
        <f t="shared" si="1948"/>
        <v>110909.89629018426</v>
      </c>
      <c r="W1486" s="17">
        <f t="shared" si="1948"/>
        <v>121741</v>
      </c>
      <c r="X1486" s="17">
        <f t="shared" si="1948"/>
        <v>79767</v>
      </c>
      <c r="Y1486" s="17">
        <f t="shared" si="1948"/>
        <v>95741</v>
      </c>
      <c r="Z1486" s="17">
        <f t="shared" si="1948"/>
        <v>158574</v>
      </c>
      <c r="AA1486" s="17">
        <f t="shared" si="1948"/>
        <v>91049</v>
      </c>
      <c r="AB1486" s="17">
        <f t="shared" si="1948"/>
        <v>125343.14631000001</v>
      </c>
      <c r="AC1486" s="17">
        <f t="shared" si="1948"/>
        <v>144071</v>
      </c>
      <c r="AD1486" s="17">
        <f t="shared" si="1930"/>
        <v>176662</v>
      </c>
      <c r="AE1486" s="17">
        <f t="shared" si="1931"/>
        <v>310314.89629018423</v>
      </c>
      <c r="AF1486" s="17">
        <f t="shared" si="1932"/>
        <v>334082</v>
      </c>
      <c r="AG1486" s="17">
        <f t="shared" si="1933"/>
        <v>360463.14630999998</v>
      </c>
      <c r="AH1486" s="17">
        <f t="shared" si="1934"/>
        <v>486976.89629018423</v>
      </c>
      <c r="AI1486" s="17">
        <f t="shared" si="1935"/>
        <v>694545.14630999998</v>
      </c>
      <c r="AJ1486" s="17">
        <f t="shared" si="1936"/>
        <v>1181522.0426001842</v>
      </c>
    </row>
    <row r="1487" spans="1:36" ht="14.5">
      <c r="A1487" s="616">
        <v>1</v>
      </c>
      <c r="B1487" s="616">
        <v>1</v>
      </c>
      <c r="C1487" s="616" t="s">
        <v>1540</v>
      </c>
      <c r="E1487" s="2650" t="s">
        <v>1369</v>
      </c>
      <c r="F1487" s="2651"/>
      <c r="G1487" s="1050"/>
      <c r="H1487" s="1051"/>
      <c r="I1487" s="750"/>
      <c r="J1487" s="1055" t="s">
        <v>1684</v>
      </c>
      <c r="K1487" s="1055"/>
      <c r="L1487" s="1056"/>
      <c r="M1487" s="213"/>
      <c r="N1487" s="213"/>
      <c r="O1487" s="213"/>
      <c r="P1487" s="213"/>
      <c r="Q1487" s="1848" t="str">
        <f>CHOOSE(2, "6722000004405", "RF (1) Office Variable cost NH")</f>
        <v>RF (1) Office Variable cost NH</v>
      </c>
      <c r="R1487" s="1447">
        <f>SUM(R1488:R1489)</f>
        <v>44542</v>
      </c>
      <c r="S1487" s="1447">
        <f t="shared" ref="S1487:AC1487" si="1949">SUM(S1488:S1489)</f>
        <v>34017</v>
      </c>
      <c r="T1487" s="1447">
        <f t="shared" si="1949"/>
        <v>44829</v>
      </c>
      <c r="U1487" s="1447">
        <f t="shared" si="1949"/>
        <v>40052</v>
      </c>
      <c r="V1487" s="1447">
        <f t="shared" si="1949"/>
        <v>47838.249475932142</v>
      </c>
      <c r="W1487" s="1447">
        <f t="shared" si="1949"/>
        <v>38405</v>
      </c>
      <c r="X1487" s="1447">
        <f t="shared" si="1949"/>
        <v>41562</v>
      </c>
      <c r="Y1487" s="1447">
        <f t="shared" si="1949"/>
        <v>50033</v>
      </c>
      <c r="Z1487" s="1447">
        <f t="shared" si="1949"/>
        <v>43851</v>
      </c>
      <c r="AA1487" s="1447">
        <f t="shared" si="1949"/>
        <v>43080</v>
      </c>
      <c r="AB1487" s="1447">
        <f t="shared" si="1949"/>
        <v>43502</v>
      </c>
      <c r="AC1487" s="1447">
        <f t="shared" si="1949"/>
        <v>37513</v>
      </c>
      <c r="AD1487" s="1447">
        <f t="shared" si="1930"/>
        <v>123388</v>
      </c>
      <c r="AE1487" s="1447">
        <f t="shared" si="1931"/>
        <v>126295.24947593214</v>
      </c>
      <c r="AF1487" s="1447">
        <f t="shared" si="1932"/>
        <v>135446</v>
      </c>
      <c r="AG1487" s="1447">
        <f t="shared" si="1933"/>
        <v>124095</v>
      </c>
      <c r="AH1487" s="1447">
        <f t="shared" si="1934"/>
        <v>249683.24947593216</v>
      </c>
      <c r="AI1487" s="1447">
        <f t="shared" si="1935"/>
        <v>259541</v>
      </c>
      <c r="AJ1487" s="1447">
        <f t="shared" si="1936"/>
        <v>509224.24947593216</v>
      </c>
    </row>
    <row r="1488" spans="1:36" ht="14.5">
      <c r="A1488" s="616">
        <v>1</v>
      </c>
      <c r="B1488" s="616">
        <v>1</v>
      </c>
      <c r="C1488" s="616" t="s">
        <v>1540</v>
      </c>
      <c r="E1488" s="2650" t="s">
        <v>1369</v>
      </c>
      <c r="F1488" s="2651"/>
      <c r="G1488" s="1050"/>
      <c r="H1488" s="1051"/>
      <c r="I1488" s="750"/>
      <c r="J1488" s="749"/>
      <c r="K1488" s="749" t="s">
        <v>1381</v>
      </c>
      <c r="Q1488" s="1777" t="str">
        <f>CHOOSE(2, "6722000004406", "RF (1) Office Variable cost NH Direct")</f>
        <v>RF (1) Office Variable cost NH Direct</v>
      </c>
      <c r="R1488" s="17">
        <f t="shared" ref="R1488:AC1488" si="1950">R1479-R492+(R501+R505+R508)</f>
        <v>4149</v>
      </c>
      <c r="S1488" s="17">
        <f t="shared" si="1950"/>
        <v>6864</v>
      </c>
      <c r="T1488" s="17">
        <f t="shared" si="1950"/>
        <v>6277</v>
      </c>
      <c r="U1488" s="17">
        <f t="shared" si="1950"/>
        <v>6199</v>
      </c>
      <c r="V1488" s="17">
        <f t="shared" si="1950"/>
        <v>8517.6836085885989</v>
      </c>
      <c r="W1488" s="17">
        <f t="shared" si="1950"/>
        <v>6554</v>
      </c>
      <c r="X1488" s="17">
        <f t="shared" si="1950"/>
        <v>6012</v>
      </c>
      <c r="Y1488" s="17">
        <f t="shared" si="1950"/>
        <v>6929</v>
      </c>
      <c r="Z1488" s="17">
        <f t="shared" si="1950"/>
        <v>7261</v>
      </c>
      <c r="AA1488" s="17">
        <f t="shared" si="1950"/>
        <v>6611</v>
      </c>
      <c r="AB1488" s="17">
        <f t="shared" si="1950"/>
        <v>8203</v>
      </c>
      <c r="AC1488" s="17">
        <f t="shared" si="1950"/>
        <v>2679</v>
      </c>
      <c r="AD1488" s="17">
        <f t="shared" si="1930"/>
        <v>17290</v>
      </c>
      <c r="AE1488" s="17">
        <f t="shared" si="1931"/>
        <v>21270.683608588599</v>
      </c>
      <c r="AF1488" s="17">
        <f t="shared" si="1932"/>
        <v>20202</v>
      </c>
      <c r="AG1488" s="17">
        <f t="shared" si="1933"/>
        <v>17493</v>
      </c>
      <c r="AH1488" s="17">
        <f t="shared" si="1934"/>
        <v>38560.683608588603</v>
      </c>
      <c r="AI1488" s="17">
        <f t="shared" si="1935"/>
        <v>37695</v>
      </c>
      <c r="AJ1488" s="17">
        <f t="shared" si="1936"/>
        <v>76255.683608588603</v>
      </c>
    </row>
    <row r="1489" spans="1:36" ht="14.5">
      <c r="A1489" s="616">
        <v>1</v>
      </c>
      <c r="B1489" s="616">
        <v>1</v>
      </c>
      <c r="C1489" s="616" t="s">
        <v>1540</v>
      </c>
      <c r="E1489" s="2650" t="s">
        <v>1369</v>
      </c>
      <c r="F1489" s="2651"/>
      <c r="G1489" s="1050"/>
      <c r="H1489" s="1051"/>
      <c r="I1489" s="750"/>
      <c r="J1489" s="749"/>
      <c r="K1489" s="749" t="s">
        <v>1382</v>
      </c>
      <c r="Q1489" s="1777" t="str">
        <f>CHOOSE(2, "6722000004407", "RF (1) Office Variable cost NH Indirect")</f>
        <v>RF (1) Office Variable cost NH Indirect</v>
      </c>
      <c r="R1489" s="17">
        <f t="shared" ref="R1489:AC1489" si="1951">R1480-R516+(R525+R529+R532)</f>
        <v>40393</v>
      </c>
      <c r="S1489" s="17">
        <f t="shared" si="1951"/>
        <v>27153</v>
      </c>
      <c r="T1489" s="17">
        <f t="shared" si="1951"/>
        <v>38552</v>
      </c>
      <c r="U1489" s="17">
        <f t="shared" si="1951"/>
        <v>33853</v>
      </c>
      <c r="V1489" s="17">
        <f t="shared" si="1951"/>
        <v>39320.565867343539</v>
      </c>
      <c r="W1489" s="17">
        <f t="shared" si="1951"/>
        <v>31851</v>
      </c>
      <c r="X1489" s="17">
        <f t="shared" si="1951"/>
        <v>35550</v>
      </c>
      <c r="Y1489" s="17">
        <f t="shared" si="1951"/>
        <v>43104</v>
      </c>
      <c r="Z1489" s="17">
        <f t="shared" si="1951"/>
        <v>36590</v>
      </c>
      <c r="AA1489" s="17">
        <f t="shared" si="1951"/>
        <v>36469</v>
      </c>
      <c r="AB1489" s="17">
        <f t="shared" si="1951"/>
        <v>35299</v>
      </c>
      <c r="AC1489" s="17">
        <f t="shared" si="1951"/>
        <v>34834</v>
      </c>
      <c r="AD1489" s="17">
        <f t="shared" si="1930"/>
        <v>106098</v>
      </c>
      <c r="AE1489" s="17">
        <f t="shared" si="1931"/>
        <v>105024.56586734354</v>
      </c>
      <c r="AF1489" s="17">
        <f t="shared" si="1932"/>
        <v>115244</v>
      </c>
      <c r="AG1489" s="17">
        <f t="shared" si="1933"/>
        <v>106602</v>
      </c>
      <c r="AH1489" s="17">
        <f t="shared" si="1934"/>
        <v>211122.56586734354</v>
      </c>
      <c r="AI1489" s="17">
        <f t="shared" si="1935"/>
        <v>221846</v>
      </c>
      <c r="AJ1489" s="17">
        <f t="shared" si="1936"/>
        <v>432968.56586734357</v>
      </c>
    </row>
    <row r="1490" spans="1:36" ht="14.5">
      <c r="A1490" s="616">
        <v>1</v>
      </c>
      <c r="B1490" s="616">
        <v>1</v>
      </c>
      <c r="C1490" s="616" t="s">
        <v>1540</v>
      </c>
      <c r="E1490" s="2650" t="s">
        <v>1369</v>
      </c>
      <c r="F1490" s="2651"/>
      <c r="G1490" s="1050"/>
      <c r="H1490" s="1051"/>
      <c r="I1490" s="750"/>
      <c r="J1490" s="1055" t="s">
        <v>1604</v>
      </c>
      <c r="K1490" s="1055"/>
      <c r="L1490" s="1056"/>
      <c r="M1490" s="213"/>
      <c r="N1490" s="213"/>
      <c r="O1490" s="213"/>
      <c r="P1490" s="213"/>
      <c r="Q1490" s="1848" t="str">
        <f>CHOOSE(2, "6722000004408", "RF (1) Office Variable cost Office Solution")</f>
        <v>RF (1) Office Variable cost Office Solution</v>
      </c>
      <c r="R1490" s="1447">
        <f t="shared" ref="R1490:AC1490" si="1952">R143-R145-(R849)</f>
        <v>450</v>
      </c>
      <c r="S1490" s="1447">
        <f t="shared" si="1952"/>
        <v>636</v>
      </c>
      <c r="T1490" s="1447">
        <f t="shared" si="1952"/>
        <v>477</v>
      </c>
      <c r="U1490" s="1447">
        <f t="shared" si="1952"/>
        <v>222</v>
      </c>
      <c r="V1490" s="1447">
        <f t="shared" si="1952"/>
        <v>439.88499999999999</v>
      </c>
      <c r="W1490" s="1447">
        <f t="shared" si="1952"/>
        <v>821</v>
      </c>
      <c r="X1490" s="1447">
        <f t="shared" si="1952"/>
        <v>344</v>
      </c>
      <c r="Y1490" s="1447">
        <f t="shared" si="1952"/>
        <v>1513</v>
      </c>
      <c r="Z1490" s="1447">
        <f t="shared" si="1952"/>
        <v>1633</v>
      </c>
      <c r="AA1490" s="1447">
        <f t="shared" si="1952"/>
        <v>381</v>
      </c>
      <c r="AB1490" s="1447">
        <f t="shared" si="1952"/>
        <v>881.14341000000013</v>
      </c>
      <c r="AC1490" s="1447">
        <f t="shared" si="1952"/>
        <v>1326</v>
      </c>
      <c r="AD1490" s="1447">
        <f t="shared" si="1930"/>
        <v>1563</v>
      </c>
      <c r="AE1490" s="1447">
        <f t="shared" si="1931"/>
        <v>1482.885</v>
      </c>
      <c r="AF1490" s="1447">
        <f t="shared" si="1932"/>
        <v>3490</v>
      </c>
      <c r="AG1490" s="1447">
        <f t="shared" si="1933"/>
        <v>2588.1434100000001</v>
      </c>
      <c r="AH1490" s="1447">
        <f t="shared" si="1934"/>
        <v>3045.8850000000002</v>
      </c>
      <c r="AI1490" s="1447">
        <f t="shared" si="1935"/>
        <v>6078.1434100000006</v>
      </c>
      <c r="AJ1490" s="1447">
        <f t="shared" si="1936"/>
        <v>9124.0284100000008</v>
      </c>
    </row>
    <row r="1491" spans="1:36" ht="14.5">
      <c r="A1491" s="616">
        <v>1</v>
      </c>
      <c r="B1491" s="616">
        <v>1</v>
      </c>
      <c r="C1491" s="616" t="s">
        <v>1540</v>
      </c>
      <c r="E1491" s="2650" t="s">
        <v>1369</v>
      </c>
      <c r="F1491" s="2651"/>
      <c r="G1491" s="1050"/>
      <c r="H1491" s="1051"/>
      <c r="I1491" s="750"/>
      <c r="J1491" s="1055" t="s">
        <v>1686</v>
      </c>
      <c r="K1491" s="1055"/>
      <c r="L1491" s="1056"/>
      <c r="M1491" s="213"/>
      <c r="N1491" s="213"/>
      <c r="O1491" s="213"/>
      <c r="P1491" s="213"/>
      <c r="Q1491" s="1848" t="str">
        <f>CHOOSE(2, "6722000004409", "RF (1) Office Variable cost Others (inc. SG&amp;A variable)")</f>
        <v>RF (1) Office Variable cost Others (inc. SG&amp;A variable)</v>
      </c>
      <c r="R1491" s="1447">
        <f t="shared" ref="R1491:AC1491" si="1953">R122+R83</f>
        <v>18592.978492826012</v>
      </c>
      <c r="S1491" s="1447">
        <f t="shared" si="1953"/>
        <v>14058.431285831692</v>
      </c>
      <c r="T1491" s="1447">
        <f t="shared" si="1953"/>
        <v>15547.272797424426</v>
      </c>
      <c r="U1491" s="1447">
        <f t="shared" si="1953"/>
        <v>18483.014427324466</v>
      </c>
      <c r="V1491" s="1447">
        <f t="shared" si="1953"/>
        <v>19971.517369946348</v>
      </c>
      <c r="W1491" s="1447">
        <f t="shared" si="1953"/>
        <v>25256.466210752336</v>
      </c>
      <c r="X1491" s="1447">
        <f t="shared" si="1953"/>
        <v>12764.062763541016</v>
      </c>
      <c r="Y1491" s="1447">
        <f t="shared" si="1953"/>
        <v>13148.810395254335</v>
      </c>
      <c r="Z1491" s="1447">
        <f t="shared" si="1953"/>
        <v>37688.057048356502</v>
      </c>
      <c r="AA1491" s="1447">
        <f t="shared" si="1953"/>
        <v>26041.715238789289</v>
      </c>
      <c r="AB1491" s="1447">
        <f t="shared" si="1953"/>
        <v>27432.584783883085</v>
      </c>
      <c r="AC1491" s="1447">
        <f t="shared" si="1953"/>
        <v>17353.73228769144</v>
      </c>
      <c r="AD1491" s="1447">
        <f t="shared" si="1930"/>
        <v>48198.68257608213</v>
      </c>
      <c r="AE1491" s="1447">
        <f t="shared" si="1931"/>
        <v>63710.998008023147</v>
      </c>
      <c r="AF1491" s="1447">
        <f t="shared" si="1932"/>
        <v>63600.930207151854</v>
      </c>
      <c r="AG1491" s="1447">
        <f t="shared" si="1933"/>
        <v>70828.032310363807</v>
      </c>
      <c r="AH1491" s="1447">
        <f t="shared" si="1934"/>
        <v>111909.68058410528</v>
      </c>
      <c r="AI1491" s="1447">
        <f t="shared" si="1935"/>
        <v>134428.96251751567</v>
      </c>
      <c r="AJ1491" s="1447">
        <f t="shared" si="1936"/>
        <v>246338.64310162095</v>
      </c>
    </row>
    <row r="1492" spans="1:36" ht="14.5">
      <c r="A1492" s="616">
        <v>1</v>
      </c>
      <c r="B1492" s="616">
        <v>1</v>
      </c>
      <c r="C1492" s="616" t="s">
        <v>1540</v>
      </c>
      <c r="E1492" s="2650" t="s">
        <v>1369</v>
      </c>
      <c r="F1492" s="2651"/>
      <c r="G1492" s="1050"/>
      <c r="H1492" s="1051"/>
      <c r="I1492" s="3435" t="s">
        <v>1670</v>
      </c>
      <c r="J1492" s="748"/>
      <c r="K1492" s="748"/>
      <c r="L1492" s="1052"/>
      <c r="M1492" s="1053"/>
      <c r="N1492" s="1053"/>
      <c r="O1492" s="1053"/>
      <c r="P1492" s="1053"/>
      <c r="Q1492" s="1846" t="str">
        <f>CHOOSE(2, "6722000004410", "RF (1) Office Marginal Profit")</f>
        <v>RF (1) Office Marginal Profit</v>
      </c>
      <c r="R1492" s="1446">
        <f t="shared" ref="R1492:AC1500" si="1954">R1474-R1483</f>
        <v>51953.02150717398</v>
      </c>
      <c r="S1492" s="1446">
        <f t="shared" si="1954"/>
        <v>46622.568714168301</v>
      </c>
      <c r="T1492" s="1446">
        <f t="shared" si="1954"/>
        <v>61590.727202575566</v>
      </c>
      <c r="U1492" s="1446">
        <f t="shared" si="1954"/>
        <v>57083.985572675534</v>
      </c>
      <c r="V1492" s="1446">
        <f t="shared" si="1954"/>
        <v>69532.69435393723</v>
      </c>
      <c r="W1492" s="1446">
        <f t="shared" si="1954"/>
        <v>69669.533789247653</v>
      </c>
      <c r="X1492" s="1446">
        <f t="shared" si="1954"/>
        <v>86265.937236458994</v>
      </c>
      <c r="Y1492" s="1446">
        <f t="shared" si="1954"/>
        <v>80199.189604745654</v>
      </c>
      <c r="Z1492" s="1446">
        <f t="shared" si="1954"/>
        <v>67871.94295164349</v>
      </c>
      <c r="AA1492" s="1446">
        <f t="shared" si="1954"/>
        <v>65114.2847612107</v>
      </c>
      <c r="AB1492" s="1446">
        <f t="shared" si="1954"/>
        <v>48529.271806116914</v>
      </c>
      <c r="AC1492" s="1446">
        <f t="shared" si="1954"/>
        <v>67513.26771230856</v>
      </c>
      <c r="AD1492" s="1446">
        <f t="shared" si="1930"/>
        <v>160166.31742391785</v>
      </c>
      <c r="AE1492" s="1446">
        <f t="shared" si="1931"/>
        <v>196286.21371586042</v>
      </c>
      <c r="AF1492" s="1446">
        <f t="shared" si="1932"/>
        <v>234337.06979284814</v>
      </c>
      <c r="AG1492" s="1446">
        <f t="shared" si="1933"/>
        <v>181156.82427963617</v>
      </c>
      <c r="AH1492" s="1446">
        <f t="shared" si="1934"/>
        <v>356452.53113977826</v>
      </c>
      <c r="AI1492" s="1446">
        <f t="shared" si="1935"/>
        <v>415493.89407248434</v>
      </c>
      <c r="AJ1492" s="1446">
        <f t="shared" si="1936"/>
        <v>771946.42521226266</v>
      </c>
    </row>
    <row r="1493" spans="1:36" ht="14.5">
      <c r="A1493" s="616">
        <v>1</v>
      </c>
      <c r="B1493" s="616">
        <v>1</v>
      </c>
      <c r="C1493" s="616" t="s">
        <v>1540</v>
      </c>
      <c r="E1493" s="2650" t="s">
        <v>1369</v>
      </c>
      <c r="F1493" s="2651"/>
      <c r="G1493" s="1050"/>
      <c r="H1493" s="1051"/>
      <c r="I1493" s="750"/>
      <c r="J1493" s="1055" t="s">
        <v>1683</v>
      </c>
      <c r="K1493" s="1055"/>
      <c r="L1493" s="1056"/>
      <c r="M1493" s="213"/>
      <c r="N1493" s="213"/>
      <c r="O1493" s="213"/>
      <c r="P1493" s="213"/>
      <c r="Q1493" s="1848" t="str">
        <f>CHOOSE(2, "6722000004411", "RF (1) Office Marginal Profit HW")</f>
        <v>RF (1) Office Marginal Profit HW</v>
      </c>
      <c r="R1493" s="1447">
        <f t="shared" si="1954"/>
        <v>25526</v>
      </c>
      <c r="S1493" s="1447">
        <f t="shared" si="1954"/>
        <v>32344</v>
      </c>
      <c r="T1493" s="1447">
        <f t="shared" si="1954"/>
        <v>28103</v>
      </c>
      <c r="U1493" s="1447">
        <f t="shared" si="1954"/>
        <v>34189</v>
      </c>
      <c r="V1493" s="1447">
        <f t="shared" si="1954"/>
        <v>41701.237259815738</v>
      </c>
      <c r="W1493" s="1447">
        <f t="shared" si="1954"/>
        <v>54469</v>
      </c>
      <c r="X1493" s="1447">
        <f t="shared" si="1954"/>
        <v>53810</v>
      </c>
      <c r="Y1493" s="1447">
        <f t="shared" si="1954"/>
        <v>38968</v>
      </c>
      <c r="Z1493" s="1447">
        <f t="shared" si="1954"/>
        <v>63152</v>
      </c>
      <c r="AA1493" s="1447">
        <f t="shared" si="1954"/>
        <v>48239</v>
      </c>
      <c r="AB1493" s="1447">
        <f t="shared" si="1954"/>
        <v>36375</v>
      </c>
      <c r="AC1493" s="1447">
        <f t="shared" si="1954"/>
        <v>41140</v>
      </c>
      <c r="AD1493" s="1447">
        <f t="shared" si="1930"/>
        <v>85973</v>
      </c>
      <c r="AE1493" s="1447">
        <f t="shared" si="1931"/>
        <v>130359.23725981574</v>
      </c>
      <c r="AF1493" s="1447">
        <f t="shared" si="1932"/>
        <v>155930</v>
      </c>
      <c r="AG1493" s="1447">
        <f t="shared" si="1933"/>
        <v>125754</v>
      </c>
      <c r="AH1493" s="1447">
        <f t="shared" si="1934"/>
        <v>216332.23725981574</v>
      </c>
      <c r="AI1493" s="1447">
        <f t="shared" si="1935"/>
        <v>281684</v>
      </c>
      <c r="AJ1493" s="1447">
        <f t="shared" si="1936"/>
        <v>498016.23725981574</v>
      </c>
    </row>
    <row r="1494" spans="1:36" ht="14.5">
      <c r="A1494" s="616">
        <v>1</v>
      </c>
      <c r="B1494" s="616">
        <v>1</v>
      </c>
      <c r="C1494" s="616" t="s">
        <v>1540</v>
      </c>
      <c r="E1494" s="2650" t="s">
        <v>1369</v>
      </c>
      <c r="F1494" s="2651"/>
      <c r="G1494" s="1050"/>
      <c r="H1494" s="1051"/>
      <c r="I1494" s="750"/>
      <c r="J1494" s="749"/>
      <c r="K1494" s="749" t="s">
        <v>1381</v>
      </c>
      <c r="Q1494" s="1777" t="str">
        <f>CHOOSE(2, "6722000004412", "RF (1) Office Marginal Profit HW Direct")</f>
        <v>RF (1) Office Marginal Profit HW Direct</v>
      </c>
      <c r="R1494" s="17">
        <f t="shared" si="1954"/>
        <v>11204</v>
      </c>
      <c r="S1494" s="17">
        <f t="shared" si="1954"/>
        <v>11626</v>
      </c>
      <c r="T1494" s="17">
        <f t="shared" si="1954"/>
        <v>15279</v>
      </c>
      <c r="U1494" s="17">
        <f t="shared" si="1954"/>
        <v>14908</v>
      </c>
      <c r="V1494" s="17">
        <f t="shared" si="1954"/>
        <v>13543.85455</v>
      </c>
      <c r="W1494" s="17">
        <f t="shared" si="1954"/>
        <v>15879</v>
      </c>
      <c r="X1494" s="17">
        <f t="shared" si="1954"/>
        <v>16572</v>
      </c>
      <c r="Y1494" s="17">
        <f t="shared" si="1954"/>
        <v>15084</v>
      </c>
      <c r="Z1494" s="17">
        <f t="shared" si="1954"/>
        <v>17324</v>
      </c>
      <c r="AA1494" s="17">
        <f t="shared" si="1954"/>
        <v>16194</v>
      </c>
      <c r="AB1494" s="17">
        <f t="shared" si="1954"/>
        <v>17670</v>
      </c>
      <c r="AC1494" s="17">
        <f t="shared" si="1954"/>
        <v>9166</v>
      </c>
      <c r="AD1494" s="17">
        <f t="shared" si="1930"/>
        <v>38109</v>
      </c>
      <c r="AE1494" s="17">
        <f t="shared" si="1931"/>
        <v>44330.854550000004</v>
      </c>
      <c r="AF1494" s="17">
        <f t="shared" si="1932"/>
        <v>48980</v>
      </c>
      <c r="AG1494" s="17">
        <f t="shared" si="1933"/>
        <v>43030</v>
      </c>
      <c r="AH1494" s="17">
        <f t="shared" si="1934"/>
        <v>82439.854550000004</v>
      </c>
      <c r="AI1494" s="17">
        <f t="shared" si="1935"/>
        <v>92010</v>
      </c>
      <c r="AJ1494" s="17">
        <f t="shared" si="1936"/>
        <v>174449.85454999999</v>
      </c>
    </row>
    <row r="1495" spans="1:36" ht="14.5">
      <c r="A1495" s="616">
        <v>1</v>
      </c>
      <c r="B1495" s="616">
        <v>1</v>
      </c>
      <c r="C1495" s="616" t="s">
        <v>1540</v>
      </c>
      <c r="E1495" s="2650" t="s">
        <v>1369</v>
      </c>
      <c r="F1495" s="2651"/>
      <c r="G1495" s="1050"/>
      <c r="H1495" s="1051"/>
      <c r="I1495" s="750"/>
      <c r="J1495" s="749"/>
      <c r="K1495" s="749" t="s">
        <v>1382</v>
      </c>
      <c r="Q1495" s="1777" t="str">
        <f>CHOOSE(2, "6722000004413", "RF (1) Office Marginal Profit HW Indirect")</f>
        <v>RF (1) Office Marginal Profit HW Indirect</v>
      </c>
      <c r="R1495" s="17">
        <f t="shared" si="1954"/>
        <v>14322</v>
      </c>
      <c r="S1495" s="17">
        <f t="shared" si="1954"/>
        <v>20718</v>
      </c>
      <c r="T1495" s="17">
        <f t="shared" si="1954"/>
        <v>12824</v>
      </c>
      <c r="U1495" s="17">
        <f t="shared" si="1954"/>
        <v>19281</v>
      </c>
      <c r="V1495" s="17">
        <f t="shared" si="1954"/>
        <v>28157.382709815749</v>
      </c>
      <c r="W1495" s="17">
        <f t="shared" si="1954"/>
        <v>38590</v>
      </c>
      <c r="X1495" s="17">
        <f t="shared" si="1954"/>
        <v>37238</v>
      </c>
      <c r="Y1495" s="17">
        <f t="shared" si="1954"/>
        <v>23884</v>
      </c>
      <c r="Z1495" s="17">
        <f t="shared" si="1954"/>
        <v>45828</v>
      </c>
      <c r="AA1495" s="17">
        <f t="shared" si="1954"/>
        <v>32045</v>
      </c>
      <c r="AB1495" s="17">
        <f t="shared" si="1954"/>
        <v>18705</v>
      </c>
      <c r="AC1495" s="17">
        <f t="shared" si="1954"/>
        <v>31974</v>
      </c>
      <c r="AD1495" s="17">
        <f t="shared" si="1930"/>
        <v>47864</v>
      </c>
      <c r="AE1495" s="17">
        <f t="shared" si="1931"/>
        <v>86028.382709815749</v>
      </c>
      <c r="AF1495" s="17">
        <f t="shared" si="1932"/>
        <v>106950</v>
      </c>
      <c r="AG1495" s="17">
        <f t="shared" si="1933"/>
        <v>82724</v>
      </c>
      <c r="AH1495" s="17">
        <f t="shared" si="1934"/>
        <v>133892.38270981575</v>
      </c>
      <c r="AI1495" s="17">
        <f t="shared" si="1935"/>
        <v>189674</v>
      </c>
      <c r="AJ1495" s="17">
        <f t="shared" si="1936"/>
        <v>323566.38270981575</v>
      </c>
    </row>
    <row r="1496" spans="1:36" ht="14.5">
      <c r="A1496" s="616">
        <v>1</v>
      </c>
      <c r="B1496" s="616">
        <v>1</v>
      </c>
      <c r="C1496" s="616" t="s">
        <v>1540</v>
      </c>
      <c r="E1496" s="2650" t="s">
        <v>1369</v>
      </c>
      <c r="F1496" s="2651"/>
      <c r="G1496" s="1050"/>
      <c r="H1496" s="1051"/>
      <c r="I1496" s="750"/>
      <c r="J1496" s="1055" t="s">
        <v>1684</v>
      </c>
      <c r="K1496" s="1055"/>
      <c r="L1496" s="1056"/>
      <c r="M1496" s="213"/>
      <c r="N1496" s="213"/>
      <c r="O1496" s="213"/>
      <c r="P1496" s="213"/>
      <c r="Q1496" s="1848" t="str">
        <f>CHOOSE(2, "6722000004414", "RF (1) Office Marginal Profit NH")</f>
        <v>RF (1) Office Marginal Profit NH</v>
      </c>
      <c r="R1496" s="1447">
        <f t="shared" si="1954"/>
        <v>44185</v>
      </c>
      <c r="S1496" s="1447">
        <f t="shared" si="1954"/>
        <v>27196</v>
      </c>
      <c r="T1496" s="1447">
        <f t="shared" si="1954"/>
        <v>48020</v>
      </c>
      <c r="U1496" s="1447">
        <f t="shared" si="1954"/>
        <v>40333</v>
      </c>
      <c r="V1496" s="1447">
        <f t="shared" si="1954"/>
        <v>46687.974464067855</v>
      </c>
      <c r="W1496" s="1447">
        <f t="shared" si="1954"/>
        <v>38904</v>
      </c>
      <c r="X1496" s="1447">
        <f t="shared" si="1954"/>
        <v>44244</v>
      </c>
      <c r="Y1496" s="1447">
        <f t="shared" si="1954"/>
        <v>52022</v>
      </c>
      <c r="Z1496" s="1447">
        <f t="shared" si="1954"/>
        <v>40792</v>
      </c>
      <c r="AA1496" s="1447">
        <f t="shared" si="1954"/>
        <v>41490</v>
      </c>
      <c r="AB1496" s="1447">
        <f t="shared" si="1954"/>
        <v>37598</v>
      </c>
      <c r="AC1496" s="1447">
        <f t="shared" si="1954"/>
        <v>41824</v>
      </c>
      <c r="AD1496" s="1447">
        <f t="shared" si="1930"/>
        <v>119401</v>
      </c>
      <c r="AE1496" s="1447">
        <f t="shared" si="1931"/>
        <v>125924.97446406785</v>
      </c>
      <c r="AF1496" s="1447">
        <f t="shared" si="1932"/>
        <v>137058</v>
      </c>
      <c r="AG1496" s="1447">
        <f t="shared" si="1933"/>
        <v>120912</v>
      </c>
      <c r="AH1496" s="1447">
        <f t="shared" si="1934"/>
        <v>245325.97446406784</v>
      </c>
      <c r="AI1496" s="1447">
        <f t="shared" si="1935"/>
        <v>257970</v>
      </c>
      <c r="AJ1496" s="1447">
        <f t="shared" si="1936"/>
        <v>503295.97446406784</v>
      </c>
    </row>
    <row r="1497" spans="1:36" ht="14.5">
      <c r="A1497" s="616">
        <v>1</v>
      </c>
      <c r="B1497" s="616">
        <v>1</v>
      </c>
      <c r="C1497" s="616" t="s">
        <v>1540</v>
      </c>
      <c r="E1497" s="2650" t="s">
        <v>1369</v>
      </c>
      <c r="F1497" s="2651"/>
      <c r="G1497" s="1050"/>
      <c r="H1497" s="1051"/>
      <c r="I1497" s="750"/>
      <c r="J1497" s="749"/>
      <c r="K1497" s="749" t="s">
        <v>1381</v>
      </c>
      <c r="Q1497" s="1777" t="str">
        <f>CHOOSE(2, "6722000004415", "RF (1) Office Marginal Profit NH Direct")</f>
        <v>RF (1) Office Marginal Profit NH Direct</v>
      </c>
      <c r="R1497" s="17">
        <f t="shared" si="1954"/>
        <v>18348</v>
      </c>
      <c r="S1497" s="17">
        <f t="shared" si="1954"/>
        <v>18418</v>
      </c>
      <c r="T1497" s="17">
        <f t="shared" si="1954"/>
        <v>18321</v>
      </c>
      <c r="U1497" s="17">
        <f t="shared" si="1954"/>
        <v>16494</v>
      </c>
      <c r="V1497" s="17">
        <f t="shared" si="1954"/>
        <v>19791.801501411399</v>
      </c>
      <c r="W1497" s="17">
        <f t="shared" si="1954"/>
        <v>16601</v>
      </c>
      <c r="X1497" s="17">
        <f t="shared" si="1954"/>
        <v>18648</v>
      </c>
      <c r="Y1497" s="17">
        <f t="shared" si="1954"/>
        <v>22296</v>
      </c>
      <c r="Z1497" s="17">
        <f t="shared" si="1954"/>
        <v>18964</v>
      </c>
      <c r="AA1497" s="17">
        <f t="shared" si="1954"/>
        <v>19424</v>
      </c>
      <c r="AB1497" s="17">
        <f t="shared" si="1954"/>
        <v>19061</v>
      </c>
      <c r="AC1497" s="17">
        <f t="shared" si="1954"/>
        <v>18604</v>
      </c>
      <c r="AD1497" s="17">
        <f t="shared" si="1930"/>
        <v>55087</v>
      </c>
      <c r="AE1497" s="17">
        <f t="shared" si="1931"/>
        <v>52886.801501411399</v>
      </c>
      <c r="AF1497" s="17">
        <f t="shared" si="1932"/>
        <v>59908</v>
      </c>
      <c r="AG1497" s="17">
        <f t="shared" si="1933"/>
        <v>57089</v>
      </c>
      <c r="AH1497" s="17">
        <f t="shared" si="1934"/>
        <v>107973.80150141139</v>
      </c>
      <c r="AI1497" s="17">
        <f t="shared" si="1935"/>
        <v>116997</v>
      </c>
      <c r="AJ1497" s="17">
        <f t="shared" si="1936"/>
        <v>224970.80150141139</v>
      </c>
    </row>
    <row r="1498" spans="1:36" ht="14.5">
      <c r="A1498" s="616">
        <v>1</v>
      </c>
      <c r="B1498" s="616">
        <v>1</v>
      </c>
      <c r="C1498" s="616" t="s">
        <v>1540</v>
      </c>
      <c r="E1498" s="2650" t="s">
        <v>1369</v>
      </c>
      <c r="F1498" s="2651"/>
      <c r="G1498" s="1050"/>
      <c r="H1498" s="1051"/>
      <c r="I1498" s="750"/>
      <c r="J1498" s="749"/>
      <c r="K1498" s="749" t="s">
        <v>1382</v>
      </c>
      <c r="Q1498" s="1777" t="str">
        <f>CHOOSE(2, "6722000004416", "RF (1) Office Marginal Profit NH Indirect")</f>
        <v>RF (1) Office Marginal Profit NH Indirect</v>
      </c>
      <c r="R1498" s="17">
        <f t="shared" si="1954"/>
        <v>25837</v>
      </c>
      <c r="S1498" s="17">
        <f t="shared" si="1954"/>
        <v>8778</v>
      </c>
      <c r="T1498" s="17">
        <f t="shared" si="1954"/>
        <v>29699</v>
      </c>
      <c r="U1498" s="17">
        <f t="shared" si="1954"/>
        <v>23839</v>
      </c>
      <c r="V1498" s="17">
        <f t="shared" si="1954"/>
        <v>26896.172962656463</v>
      </c>
      <c r="W1498" s="17">
        <f t="shared" si="1954"/>
        <v>22303</v>
      </c>
      <c r="X1498" s="17">
        <f t="shared" si="1954"/>
        <v>25596</v>
      </c>
      <c r="Y1498" s="17">
        <f t="shared" si="1954"/>
        <v>29726</v>
      </c>
      <c r="Z1498" s="17">
        <f t="shared" si="1954"/>
        <v>21828</v>
      </c>
      <c r="AA1498" s="17">
        <f t="shared" si="1954"/>
        <v>22066</v>
      </c>
      <c r="AB1498" s="17">
        <f t="shared" si="1954"/>
        <v>18537</v>
      </c>
      <c r="AC1498" s="17">
        <f t="shared" si="1954"/>
        <v>23220</v>
      </c>
      <c r="AD1498" s="17">
        <f t="shared" si="1930"/>
        <v>64314</v>
      </c>
      <c r="AE1498" s="17">
        <f t="shared" si="1931"/>
        <v>73038.172962656463</v>
      </c>
      <c r="AF1498" s="17">
        <f t="shared" si="1932"/>
        <v>77150</v>
      </c>
      <c r="AG1498" s="17">
        <f t="shared" si="1933"/>
        <v>63823</v>
      </c>
      <c r="AH1498" s="17">
        <f t="shared" si="1934"/>
        <v>137352.17296265648</v>
      </c>
      <c r="AI1498" s="17">
        <f t="shared" si="1935"/>
        <v>140973</v>
      </c>
      <c r="AJ1498" s="17">
        <f t="shared" si="1936"/>
        <v>278325.17296265648</v>
      </c>
    </row>
    <row r="1499" spans="1:36" ht="14.5">
      <c r="A1499" s="616">
        <v>1</v>
      </c>
      <c r="B1499" s="616">
        <v>1</v>
      </c>
      <c r="C1499" s="616" t="s">
        <v>1540</v>
      </c>
      <c r="E1499" s="2650" t="s">
        <v>1369</v>
      </c>
      <c r="F1499" s="2651"/>
      <c r="G1499" s="1050"/>
      <c r="H1499" s="1051"/>
      <c r="I1499" s="750"/>
      <c r="J1499" s="1055" t="s">
        <v>1604</v>
      </c>
      <c r="K1499" s="1055"/>
      <c r="L1499" s="1056"/>
      <c r="M1499" s="213"/>
      <c r="N1499" s="213"/>
      <c r="O1499" s="213"/>
      <c r="P1499" s="213"/>
      <c r="Q1499" s="1848" t="str">
        <f>CHOOSE(2, "6722000004417", "RF (1) Office Marginal Profit Office Solution")</f>
        <v>RF (1) Office Marginal Profit Office Solution</v>
      </c>
      <c r="R1499" s="1447">
        <f t="shared" si="1954"/>
        <v>835</v>
      </c>
      <c r="S1499" s="1447">
        <f t="shared" si="1954"/>
        <v>1141</v>
      </c>
      <c r="T1499" s="1447">
        <f t="shared" si="1954"/>
        <v>1015</v>
      </c>
      <c r="U1499" s="1447">
        <f t="shared" si="1954"/>
        <v>1045</v>
      </c>
      <c r="V1499" s="1447">
        <f t="shared" si="1954"/>
        <v>1115</v>
      </c>
      <c r="W1499" s="1447">
        <f t="shared" si="1954"/>
        <v>1553</v>
      </c>
      <c r="X1499" s="1447">
        <f t="shared" si="1954"/>
        <v>976</v>
      </c>
      <c r="Y1499" s="1447">
        <f t="shared" si="1954"/>
        <v>2358</v>
      </c>
      <c r="Z1499" s="1447">
        <f t="shared" si="1954"/>
        <v>1616</v>
      </c>
      <c r="AA1499" s="1447">
        <f t="shared" si="1954"/>
        <v>1427</v>
      </c>
      <c r="AB1499" s="1447">
        <f t="shared" si="1954"/>
        <v>1988.8565899999999</v>
      </c>
      <c r="AC1499" s="1447">
        <f t="shared" si="1954"/>
        <v>1903</v>
      </c>
      <c r="AD1499" s="1447">
        <f t="shared" si="1930"/>
        <v>2991</v>
      </c>
      <c r="AE1499" s="1447">
        <f t="shared" si="1931"/>
        <v>3713</v>
      </c>
      <c r="AF1499" s="1447">
        <f t="shared" si="1932"/>
        <v>4950</v>
      </c>
      <c r="AG1499" s="1447">
        <f t="shared" si="1933"/>
        <v>5318.8565899999994</v>
      </c>
      <c r="AH1499" s="1447">
        <f t="shared" si="1934"/>
        <v>6704</v>
      </c>
      <c r="AI1499" s="1447">
        <f t="shared" si="1935"/>
        <v>10268.856589999999</v>
      </c>
      <c r="AJ1499" s="1447">
        <f t="shared" si="1936"/>
        <v>16972.856589999999</v>
      </c>
    </row>
    <row r="1500" spans="1:36" ht="14.5">
      <c r="A1500" s="616">
        <v>1</v>
      </c>
      <c r="B1500" s="616">
        <v>1</v>
      </c>
      <c r="C1500" s="616" t="s">
        <v>1540</v>
      </c>
      <c r="E1500" s="2650" t="s">
        <v>1369</v>
      </c>
      <c r="F1500" s="2651"/>
      <c r="G1500" s="1050"/>
      <c r="H1500" s="1051"/>
      <c r="I1500" s="750"/>
      <c r="J1500" s="1055" t="s">
        <v>1386</v>
      </c>
      <c r="K1500" s="1055"/>
      <c r="L1500" s="1056"/>
      <c r="M1500" s="213"/>
      <c r="N1500" s="213"/>
      <c r="O1500" s="213"/>
      <c r="P1500" s="213"/>
      <c r="Q1500" s="1848" t="str">
        <f>CHOOSE(2, "6722000004418", "RF (1) Office Marginal Profit Others")</f>
        <v>RF (1) Office Marginal Profit Others</v>
      </c>
      <c r="R1500" s="1447">
        <f t="shared" si="1954"/>
        <v>-18592.978492826012</v>
      </c>
      <c r="S1500" s="1447">
        <f t="shared" si="1954"/>
        <v>-14058.431285831692</v>
      </c>
      <c r="T1500" s="1447">
        <f t="shared" si="1954"/>
        <v>-15547.272797424426</v>
      </c>
      <c r="U1500" s="1447">
        <f t="shared" si="1954"/>
        <v>-18483.014427324466</v>
      </c>
      <c r="V1500" s="1447">
        <f t="shared" si="1954"/>
        <v>-19971.517369946348</v>
      </c>
      <c r="W1500" s="1447">
        <f t="shared" si="1954"/>
        <v>-25256.466210752336</v>
      </c>
      <c r="X1500" s="1447">
        <f t="shared" si="1954"/>
        <v>-12764.062763541016</v>
      </c>
      <c r="Y1500" s="1447">
        <f t="shared" si="1954"/>
        <v>-13148.810395254335</v>
      </c>
      <c r="Z1500" s="1447">
        <f t="shared" si="1954"/>
        <v>-37688.057048356502</v>
      </c>
      <c r="AA1500" s="1447">
        <f t="shared" si="1954"/>
        <v>-26041.715238789289</v>
      </c>
      <c r="AB1500" s="1447">
        <f t="shared" si="1954"/>
        <v>-27432.584783883085</v>
      </c>
      <c r="AC1500" s="1447">
        <f t="shared" si="1954"/>
        <v>-17353.73228769144</v>
      </c>
      <c r="AD1500" s="1447">
        <f t="shared" si="1930"/>
        <v>-48198.68257608213</v>
      </c>
      <c r="AE1500" s="1447">
        <f t="shared" si="1931"/>
        <v>-63710.998008023147</v>
      </c>
      <c r="AF1500" s="1447">
        <f t="shared" si="1932"/>
        <v>-63600.930207151854</v>
      </c>
      <c r="AG1500" s="1447">
        <f t="shared" si="1933"/>
        <v>-70828.032310363807</v>
      </c>
      <c r="AH1500" s="1447">
        <f t="shared" si="1934"/>
        <v>-111909.68058410528</v>
      </c>
      <c r="AI1500" s="1447">
        <f t="shared" si="1935"/>
        <v>-134428.96251751567</v>
      </c>
      <c r="AJ1500" s="1447">
        <f t="shared" si="1936"/>
        <v>-246338.64310162095</v>
      </c>
    </row>
    <row r="1501" spans="1:36" ht="14.5">
      <c r="A1501" s="616">
        <v>1</v>
      </c>
      <c r="B1501" s="616">
        <v>1</v>
      </c>
      <c r="C1501" s="616" t="s">
        <v>1540</v>
      </c>
      <c r="E1501" s="2650" t="s">
        <v>1369</v>
      </c>
      <c r="F1501" s="2651"/>
      <c r="G1501" s="1050"/>
      <c r="H1501" s="1051"/>
      <c r="I1501" s="3435" t="s">
        <v>1687</v>
      </c>
      <c r="J1501" s="748"/>
      <c r="K1501" s="748"/>
      <c r="L1501" s="1052"/>
      <c r="M1501" s="1053"/>
      <c r="N1501" s="1053"/>
      <c r="O1501" s="1053"/>
      <c r="P1501" s="1053"/>
      <c r="Q1501" s="1846" t="str">
        <f>CHOOSE(2, "6722000004419", "RF (1) Office Marginal Profit %")</f>
        <v>RF (1) Office Marginal Profit %</v>
      </c>
      <c r="R1501" s="1448">
        <f t="shared" ref="R1501:AJ1509" si="1955">IFERROR(R1492/R1474,"")</f>
        <v>0.3164047156918719</v>
      </c>
      <c r="S1501" s="1448">
        <f t="shared" si="1955"/>
        <v>0.25249157169871811</v>
      </c>
      <c r="T1501" s="1448">
        <f t="shared" si="1955"/>
        <v>0.31001991877148982</v>
      </c>
      <c r="U1501" s="1448">
        <f t="shared" si="1955"/>
        <v>0.27145363817906476</v>
      </c>
      <c r="V1501" s="1448">
        <f t="shared" si="1955"/>
        <v>0.26485997378977794</v>
      </c>
      <c r="W1501" s="1448">
        <f t="shared" si="1955"/>
        <v>0.25650860909051554</v>
      </c>
      <c r="X1501" s="1448">
        <f t="shared" si="1955"/>
        <v>0.36834774671092713</v>
      </c>
      <c r="Y1501" s="1448">
        <f t="shared" si="1955"/>
        <v>0.31381623019453536</v>
      </c>
      <c r="Z1501" s="1448">
        <f t="shared" si="1955"/>
        <v>0.20539931107297713</v>
      </c>
      <c r="AA1501" s="1448">
        <f t="shared" si="1955"/>
        <v>0.26819510419096038</v>
      </c>
      <c r="AB1501" s="1448">
        <f t="shared" si="1955"/>
        <v>0.18386452875366852</v>
      </c>
      <c r="AC1501" s="1448">
        <f t="shared" si="1955"/>
        <v>0.23916110875373217</v>
      </c>
      <c r="AD1501" s="1448">
        <f t="shared" si="1955"/>
        <v>0.29253320443077879</v>
      </c>
      <c r="AE1501" s="1448">
        <f t="shared" si="1955"/>
        <v>0.26367555694970402</v>
      </c>
      <c r="AF1501" s="1448">
        <f t="shared" si="1955"/>
        <v>0.28570827471064653</v>
      </c>
      <c r="AG1501" s="1448">
        <f t="shared" si="1955"/>
        <v>0.22959743587595444</v>
      </c>
      <c r="AH1501" s="1448">
        <f t="shared" si="1955"/>
        <v>0.27590523969381564</v>
      </c>
      <c r="AI1501" s="1448">
        <f t="shared" si="1955"/>
        <v>0.25819641270020355</v>
      </c>
      <c r="AJ1501" s="1448">
        <f t="shared" si="1955"/>
        <v>0.26608248355827185</v>
      </c>
    </row>
    <row r="1502" spans="1:36" ht="14.5">
      <c r="A1502" s="616">
        <v>1</v>
      </c>
      <c r="B1502" s="616">
        <v>1</v>
      </c>
      <c r="C1502" s="616" t="s">
        <v>1540</v>
      </c>
      <c r="E1502" s="2650" t="s">
        <v>1369</v>
      </c>
      <c r="F1502" s="2651"/>
      <c r="G1502" s="1050"/>
      <c r="H1502" s="1051"/>
      <c r="I1502" s="750"/>
      <c r="J1502" s="1055" t="s">
        <v>1683</v>
      </c>
      <c r="K1502" s="1055"/>
      <c r="L1502" s="1056"/>
      <c r="M1502" s="213"/>
      <c r="N1502" s="213"/>
      <c r="O1502" s="213"/>
      <c r="P1502" s="213"/>
      <c r="Q1502" s="1848" t="str">
        <f>CHOOSE(2, "6722000004420", "RF (1) Office Marginal Profit % HW")</f>
        <v>RF (1) Office Marginal Profit % HW</v>
      </c>
      <c r="R1502" s="1449">
        <f t="shared" si="1955"/>
        <v>0.34408109346777022</v>
      </c>
      <c r="S1502" s="1449">
        <f t="shared" si="1955"/>
        <v>0.26585566332401778</v>
      </c>
      <c r="T1502" s="1449">
        <f t="shared" si="1955"/>
        <v>0.26937676130590649</v>
      </c>
      <c r="U1502" s="1449">
        <f t="shared" si="1955"/>
        <v>0.26577683110744882</v>
      </c>
      <c r="V1502" s="1449">
        <f t="shared" si="1955"/>
        <v>0.2505404379003045</v>
      </c>
      <c r="W1502" s="1449">
        <f t="shared" si="1955"/>
        <v>0.28380504783143329</v>
      </c>
      <c r="X1502" s="1449">
        <f t="shared" si="1955"/>
        <v>0.365877705325999</v>
      </c>
      <c r="Y1502" s="1449">
        <f t="shared" si="1955"/>
        <v>0.26042035620008686</v>
      </c>
      <c r="Z1502" s="1449">
        <f t="shared" si="1955"/>
        <v>0.26037015506273009</v>
      </c>
      <c r="AA1502" s="1449">
        <f t="shared" si="1955"/>
        <v>0.30841575612656563</v>
      </c>
      <c r="AB1502" s="1449">
        <f t="shared" si="1955"/>
        <v>0.20211660362394013</v>
      </c>
      <c r="AC1502" s="1449">
        <f t="shared" si="1955"/>
        <v>0.20598219560798295</v>
      </c>
      <c r="AD1502" s="1449">
        <f t="shared" si="1955"/>
        <v>0.28641245685806804</v>
      </c>
      <c r="AE1502" s="1449">
        <f t="shared" si="1955"/>
        <v>0.26767418303253721</v>
      </c>
      <c r="AF1502" s="1449">
        <f t="shared" si="1955"/>
        <v>0.28915926290627963</v>
      </c>
      <c r="AG1502" s="1449">
        <f t="shared" si="1955"/>
        <v>0.23456955845691946</v>
      </c>
      <c r="AH1502" s="1449">
        <f t="shared" si="1955"/>
        <v>0.27481957710298838</v>
      </c>
      <c r="AI1502" s="1449">
        <f t="shared" si="1955"/>
        <v>0.26194430412886194</v>
      </c>
      <c r="AJ1502" s="1449">
        <f t="shared" si="1955"/>
        <v>0.26738588381313705</v>
      </c>
    </row>
    <row r="1503" spans="1:36" ht="14.5">
      <c r="A1503" s="616">
        <v>1</v>
      </c>
      <c r="B1503" s="616">
        <v>1</v>
      </c>
      <c r="C1503" s="616" t="s">
        <v>1540</v>
      </c>
      <c r="E1503" s="2650" t="s">
        <v>1369</v>
      </c>
      <c r="F1503" s="2651"/>
      <c r="G1503" s="1050"/>
      <c r="H1503" s="1051"/>
      <c r="I1503" s="750"/>
      <c r="J1503" s="749"/>
      <c r="K1503" s="749" t="s">
        <v>1381</v>
      </c>
      <c r="Q1503" s="1777" t="str">
        <f>CHOOSE(2, "6722000004421", "RF (1) Office Marginal Profit % HW Direct")</f>
        <v>RF (1) Office Marginal Profit % HW Direct</v>
      </c>
      <c r="R1503" s="3436">
        <f t="shared" si="1955"/>
        <v>0.49755750954791722</v>
      </c>
      <c r="S1503" s="3436">
        <f t="shared" si="1955"/>
        <v>0.49189760947746985</v>
      </c>
      <c r="T1503" s="3436">
        <f t="shared" si="1955"/>
        <v>0.51805513172617235</v>
      </c>
      <c r="U1503" s="3436">
        <f t="shared" si="1955"/>
        <v>0.47038778279115262</v>
      </c>
      <c r="V1503" s="3436">
        <f t="shared" si="1955"/>
        <v>0.49470104800386677</v>
      </c>
      <c r="W1503" s="3436">
        <f t="shared" si="1955"/>
        <v>0.50261133795461022</v>
      </c>
      <c r="X1503" s="3436">
        <f t="shared" si="1955"/>
        <v>0.55118738774695675</v>
      </c>
      <c r="Y1503" s="3436">
        <f t="shared" si="1955"/>
        <v>0.50263245584805061</v>
      </c>
      <c r="Z1503" s="3436">
        <f t="shared" si="1955"/>
        <v>0.4541617512124787</v>
      </c>
      <c r="AA1503" s="3436">
        <f t="shared" si="1955"/>
        <v>0.48608734804142278</v>
      </c>
      <c r="AB1503" s="3436">
        <f t="shared" si="1955"/>
        <v>0.49189604741621784</v>
      </c>
      <c r="AC1503" s="3436">
        <f t="shared" si="1955"/>
        <v>0.38706135720619905</v>
      </c>
      <c r="AD1503" s="3436">
        <f t="shared" si="1955"/>
        <v>0.50378076831557517</v>
      </c>
      <c r="AE1503" s="3436">
        <f t="shared" si="1955"/>
        <v>0.48895840103074373</v>
      </c>
      <c r="AF1503" s="3436">
        <f t="shared" si="1955"/>
        <v>0.49867136355769132</v>
      </c>
      <c r="AG1503" s="3436">
        <f t="shared" si="1955"/>
        <v>0.4630953772857303</v>
      </c>
      <c r="AH1503" s="3436">
        <f t="shared" si="1955"/>
        <v>0.49570035136281787</v>
      </c>
      <c r="AI1503" s="3436">
        <f t="shared" si="1955"/>
        <v>0.48137686276261121</v>
      </c>
      <c r="AJ1503" s="3436">
        <f t="shared" si="1955"/>
        <v>0.48804113319289799</v>
      </c>
    </row>
    <row r="1504" spans="1:36" ht="14.5">
      <c r="A1504" s="616">
        <v>1</v>
      </c>
      <c r="B1504" s="616">
        <v>1</v>
      </c>
      <c r="C1504" s="616" t="s">
        <v>1540</v>
      </c>
      <c r="E1504" s="2650" t="s">
        <v>1369</v>
      </c>
      <c r="F1504" s="2651"/>
      <c r="G1504" s="1050"/>
      <c r="H1504" s="1051"/>
      <c r="I1504" s="750"/>
      <c r="J1504" s="749"/>
      <c r="K1504" s="749" t="s">
        <v>1382</v>
      </c>
      <c r="Q1504" s="1777" t="str">
        <f>CHOOSE(2, "6722000004422", "RF (1) Office Marginal Profit % HW Indirect")</f>
        <v>RF (1) Office Marginal Profit % HW Indirect</v>
      </c>
      <c r="R1504" s="3436">
        <f t="shared" si="1955"/>
        <v>0.27719284663621585</v>
      </c>
      <c r="S1504" s="3436">
        <f t="shared" si="1955"/>
        <v>0.21135424636572303</v>
      </c>
      <c r="T1504" s="3436">
        <f t="shared" si="1955"/>
        <v>0.17136824662916092</v>
      </c>
      <c r="U1504" s="3436">
        <f t="shared" si="1955"/>
        <v>0.19888596626953428</v>
      </c>
      <c r="V1504" s="3436">
        <f t="shared" si="1955"/>
        <v>0.20247309728276014</v>
      </c>
      <c r="W1504" s="3436">
        <f t="shared" si="1955"/>
        <v>0.2406895734449358</v>
      </c>
      <c r="X1504" s="3436">
        <f t="shared" si="1955"/>
        <v>0.31825990342293065</v>
      </c>
      <c r="Y1504" s="3436">
        <f t="shared" si="1955"/>
        <v>0.19965726227795194</v>
      </c>
      <c r="Z1504" s="3436">
        <f t="shared" si="1955"/>
        <v>0.2242052426101506</v>
      </c>
      <c r="AA1504" s="3436">
        <f t="shared" si="1955"/>
        <v>0.26032950428128099</v>
      </c>
      <c r="AB1504" s="3436">
        <f t="shared" si="1955"/>
        <v>0.12985241725878061</v>
      </c>
      <c r="AC1504" s="3436">
        <f t="shared" si="1955"/>
        <v>0.18162401658666819</v>
      </c>
      <c r="AD1504" s="3436">
        <f t="shared" si="1955"/>
        <v>0.21317798384151501</v>
      </c>
      <c r="AE1504" s="3436">
        <f t="shared" si="1955"/>
        <v>0.21705523284479805</v>
      </c>
      <c r="AF1504" s="3436">
        <f t="shared" si="1955"/>
        <v>0.24249941047361642</v>
      </c>
      <c r="AG1504" s="3436">
        <f t="shared" si="1955"/>
        <v>0.18665703797766806</v>
      </c>
      <c r="AH1504" s="3436">
        <f t="shared" si="1955"/>
        <v>0.21565309677661754</v>
      </c>
      <c r="AI1504" s="3436">
        <f t="shared" si="1955"/>
        <v>0.21451017068737149</v>
      </c>
      <c r="AJ1504" s="3436">
        <f t="shared" si="1955"/>
        <v>0.21498164311719523</v>
      </c>
    </row>
    <row r="1505" spans="1:36" ht="14.5">
      <c r="A1505" s="616">
        <v>1</v>
      </c>
      <c r="B1505" s="616">
        <v>1</v>
      </c>
      <c r="C1505" s="616" t="s">
        <v>1540</v>
      </c>
      <c r="E1505" s="2650" t="s">
        <v>1369</v>
      </c>
      <c r="F1505" s="2651"/>
      <c r="G1505" s="1050"/>
      <c r="H1505" s="1051"/>
      <c r="I1505" s="750"/>
      <c r="J1505" s="1055" t="s">
        <v>1684</v>
      </c>
      <c r="K1505" s="1055"/>
      <c r="L1505" s="1056"/>
      <c r="M1505" s="213"/>
      <c r="N1505" s="213"/>
      <c r="O1505" s="213"/>
      <c r="P1505" s="213"/>
      <c r="Q1505" s="1848" t="str">
        <f>CHOOSE(2, "6722000004423", "RF (1) Office Marginal Profit % NH")</f>
        <v>RF (1) Office Marginal Profit % NH</v>
      </c>
      <c r="R1505" s="1449">
        <f t="shared" si="1955"/>
        <v>0.49798821102933716</v>
      </c>
      <c r="S1505" s="1449">
        <f t="shared" si="1955"/>
        <v>0.4442847107640534</v>
      </c>
      <c r="T1505" s="1449">
        <f t="shared" si="1955"/>
        <v>0.5171838145806632</v>
      </c>
      <c r="U1505" s="1449">
        <f t="shared" si="1955"/>
        <v>0.50174783852708837</v>
      </c>
      <c r="V1505" s="1449">
        <f t="shared" si="1955"/>
        <v>0.49391557726565688</v>
      </c>
      <c r="W1505" s="1449">
        <f t="shared" si="1955"/>
        <v>0.50322730859278997</v>
      </c>
      <c r="X1505" s="1449">
        <f t="shared" si="1955"/>
        <v>0.51562827774281517</v>
      </c>
      <c r="Y1505" s="1449">
        <f t="shared" si="1955"/>
        <v>0.50974474548037818</v>
      </c>
      <c r="Z1505" s="1449">
        <f t="shared" si="1955"/>
        <v>0.48192998830381722</v>
      </c>
      <c r="AA1505" s="1449">
        <f t="shared" si="1955"/>
        <v>0.49059950336998936</v>
      </c>
      <c r="AB1505" s="1449">
        <f t="shared" si="1955"/>
        <v>0.46360049321824909</v>
      </c>
      <c r="AC1505" s="1449">
        <f t="shared" si="1955"/>
        <v>0.52716891236119334</v>
      </c>
      <c r="AD1505" s="1449">
        <f t="shared" si="1955"/>
        <v>0.49178916672501638</v>
      </c>
      <c r="AE1505" s="1449">
        <f t="shared" si="1955"/>
        <v>0.49926596883057173</v>
      </c>
      <c r="AF1505" s="1449">
        <f t="shared" si="1955"/>
        <v>0.5029577547485542</v>
      </c>
      <c r="AG1505" s="1449">
        <f t="shared" si="1955"/>
        <v>0.49350426722501806</v>
      </c>
      <c r="AH1505" s="1449">
        <f t="shared" si="1955"/>
        <v>0.49559879412227631</v>
      </c>
      <c r="AI1505" s="1449">
        <f t="shared" si="1955"/>
        <v>0.49848215786717576</v>
      </c>
      <c r="AJ1505" s="1449">
        <f t="shared" si="1955"/>
        <v>0.49707251525861101</v>
      </c>
    </row>
    <row r="1506" spans="1:36" ht="14.5">
      <c r="A1506" s="616">
        <v>1</v>
      </c>
      <c r="B1506" s="616">
        <v>1</v>
      </c>
      <c r="C1506" s="616" t="s">
        <v>1540</v>
      </c>
      <c r="E1506" s="2650" t="s">
        <v>1369</v>
      </c>
      <c r="F1506" s="2651"/>
      <c r="G1506" s="1050"/>
      <c r="H1506" s="1051"/>
      <c r="I1506" s="750"/>
      <c r="J1506" s="749"/>
      <c r="K1506" s="749" t="s">
        <v>1381</v>
      </c>
      <c r="Q1506" s="1777" t="str">
        <f>CHOOSE(2, "6722000004424", "RF (1) Office Marginal Profit % NH Direct")</f>
        <v>RF (1) Office Marginal Profit % NH Direct</v>
      </c>
      <c r="R1506" s="3436">
        <f t="shared" si="1955"/>
        <v>0.81557541005467393</v>
      </c>
      <c r="S1506" s="3436">
        <f t="shared" si="1955"/>
        <v>0.72850249189146432</v>
      </c>
      <c r="T1506" s="3436">
        <f t="shared" si="1955"/>
        <v>0.74481665176030576</v>
      </c>
      <c r="U1506" s="3436">
        <f t="shared" si="1955"/>
        <v>0.72683206275062795</v>
      </c>
      <c r="V1506" s="3436">
        <f t="shared" si="1955"/>
        <v>0.69912262354853549</v>
      </c>
      <c r="W1506" s="3436">
        <f t="shared" si="1955"/>
        <v>0.71695098250917733</v>
      </c>
      <c r="X1506" s="3436">
        <f t="shared" si="1955"/>
        <v>0.75620437956204378</v>
      </c>
      <c r="Y1506" s="3436">
        <f t="shared" si="1955"/>
        <v>0.76290846877673224</v>
      </c>
      <c r="Z1506" s="3436">
        <f t="shared" si="1955"/>
        <v>0.7231267874165872</v>
      </c>
      <c r="AA1506" s="3436">
        <f t="shared" si="1955"/>
        <v>0.7460725945842136</v>
      </c>
      <c r="AB1506" s="3436">
        <f t="shared" si="1955"/>
        <v>0.69912705399061037</v>
      </c>
      <c r="AC1506" s="3436">
        <f t="shared" si="1955"/>
        <v>0.87412488840858904</v>
      </c>
      <c r="AD1506" s="3436">
        <f t="shared" si="1955"/>
        <v>0.7611119554554624</v>
      </c>
      <c r="AE1506" s="3436">
        <f t="shared" si="1955"/>
        <v>0.71316875731374707</v>
      </c>
      <c r="AF1506" s="3436">
        <f t="shared" si="1955"/>
        <v>0.74782174510048682</v>
      </c>
      <c r="AG1506" s="3436">
        <f t="shared" si="1955"/>
        <v>0.7654527902174787</v>
      </c>
      <c r="AH1506" s="3436">
        <f t="shared" si="1955"/>
        <v>0.73684908655022729</v>
      </c>
      <c r="AI1506" s="3436">
        <f t="shared" si="1955"/>
        <v>0.75632224032270579</v>
      </c>
      <c r="AJ1506" s="3436">
        <f t="shared" si="1955"/>
        <v>0.74684933968956269</v>
      </c>
    </row>
    <row r="1507" spans="1:36" ht="14.5">
      <c r="A1507" s="616">
        <v>1</v>
      </c>
      <c r="B1507" s="616">
        <v>1</v>
      </c>
      <c r="C1507" s="616" t="s">
        <v>1540</v>
      </c>
      <c r="E1507" s="2650" t="s">
        <v>1369</v>
      </c>
      <c r="F1507" s="2651"/>
      <c r="G1507" s="1050"/>
      <c r="H1507" s="1051"/>
      <c r="I1507" s="750"/>
      <c r="J1507" s="749"/>
      <c r="K1507" s="749" t="s">
        <v>1382</v>
      </c>
      <c r="Q1507" s="1777" t="str">
        <f>CHOOSE(2, "6722000004425", "RF (1) Office Marginal Profit % NH Indirect")</f>
        <v>RF (1) Office Marginal Profit % NH Indirect</v>
      </c>
      <c r="R1507" s="3436">
        <f t="shared" si="1955"/>
        <v>0.39011022195379735</v>
      </c>
      <c r="S1507" s="3436">
        <f t="shared" si="1955"/>
        <v>0.24430157802454705</v>
      </c>
      <c r="T1507" s="3436">
        <f t="shared" si="1955"/>
        <v>0.43514380741674114</v>
      </c>
      <c r="U1507" s="3436">
        <f t="shared" si="1955"/>
        <v>0.41321153712819803</v>
      </c>
      <c r="V1507" s="3436">
        <f t="shared" si="1955"/>
        <v>0.40618389606452415</v>
      </c>
      <c r="W1507" s="3436">
        <f t="shared" si="1955"/>
        <v>0.41184400044318054</v>
      </c>
      <c r="X1507" s="3436">
        <f t="shared" si="1955"/>
        <v>0.41860465116279072</v>
      </c>
      <c r="Y1507" s="3436">
        <f t="shared" si="1955"/>
        <v>0.40815597967870382</v>
      </c>
      <c r="Z1507" s="3436">
        <f t="shared" si="1955"/>
        <v>0.37365195658872263</v>
      </c>
      <c r="AA1507" s="3436">
        <f t="shared" si="1955"/>
        <v>0.37697104296574702</v>
      </c>
      <c r="AB1507" s="3436">
        <f t="shared" si="1955"/>
        <v>0.34432350100304626</v>
      </c>
      <c r="AC1507" s="3436">
        <f t="shared" si="1955"/>
        <v>0.39997243945292316</v>
      </c>
      <c r="AD1507" s="3436">
        <f t="shared" si="1955"/>
        <v>0.37740299978874725</v>
      </c>
      <c r="AE1507" s="3436">
        <f t="shared" si="1955"/>
        <v>0.41018223937568121</v>
      </c>
      <c r="AF1507" s="3436">
        <f t="shared" si="1955"/>
        <v>0.40100003118600375</v>
      </c>
      <c r="AG1507" s="3436">
        <f t="shared" si="1955"/>
        <v>0.37449317881766175</v>
      </c>
      <c r="AH1507" s="3436">
        <f t="shared" si="1955"/>
        <v>0.39415245255313153</v>
      </c>
      <c r="AI1507" s="3436">
        <f t="shared" si="1955"/>
        <v>0.38854911126484554</v>
      </c>
      <c r="AJ1507" s="3436">
        <f t="shared" si="1955"/>
        <v>0.39129428219130791</v>
      </c>
    </row>
    <row r="1508" spans="1:36" ht="14.5">
      <c r="A1508" s="616">
        <v>1</v>
      </c>
      <c r="B1508" s="616">
        <v>1</v>
      </c>
      <c r="C1508" s="616" t="s">
        <v>1540</v>
      </c>
      <c r="E1508" s="2650" t="s">
        <v>1369</v>
      </c>
      <c r="F1508" s="2651"/>
      <c r="G1508" s="1050"/>
      <c r="H1508" s="1051"/>
      <c r="I1508" s="750"/>
      <c r="J1508" s="1055" t="s">
        <v>1604</v>
      </c>
      <c r="K1508" s="1055"/>
      <c r="L1508" s="1056"/>
      <c r="M1508" s="213"/>
      <c r="N1508" s="213"/>
      <c r="O1508" s="213"/>
      <c r="P1508" s="213"/>
      <c r="Q1508" s="1848" t="str">
        <f>CHOOSE(2, "6722000004426", "RF (1) Office Marginal Profit % Office Solution")</f>
        <v>RF (1) Office Marginal Profit % Office Solution</v>
      </c>
      <c r="R1508" s="1450">
        <f t="shared" si="1955"/>
        <v>0.64980544747081714</v>
      </c>
      <c r="S1508" s="1450">
        <f t="shared" si="1955"/>
        <v>0.64209341586944291</v>
      </c>
      <c r="T1508" s="1450">
        <f t="shared" si="1955"/>
        <v>0.68029490616621979</v>
      </c>
      <c r="U1508" s="1450">
        <f t="shared" si="1955"/>
        <v>0.82478295185477501</v>
      </c>
      <c r="V1508" s="1450">
        <f t="shared" si="1955"/>
        <v>0.71709483337996061</v>
      </c>
      <c r="W1508" s="1450">
        <f t="shared" si="1955"/>
        <v>0.65417017691659651</v>
      </c>
      <c r="X1508" s="1450">
        <f t="shared" si="1955"/>
        <v>0.73939393939393938</v>
      </c>
      <c r="Y1508" s="1450">
        <f t="shared" si="1955"/>
        <v>0.60914492379230178</v>
      </c>
      <c r="Z1508" s="1450">
        <f t="shared" si="1955"/>
        <v>0.49738381040320101</v>
      </c>
      <c r="AA1508" s="1450">
        <f t="shared" si="1955"/>
        <v>0.78926991150442483</v>
      </c>
      <c r="AB1508" s="1450">
        <f t="shared" si="1955"/>
        <v>0.69298139024390237</v>
      </c>
      <c r="AC1508" s="1450">
        <f t="shared" si="1955"/>
        <v>0.5893465469185506</v>
      </c>
      <c r="AD1508" s="1450">
        <f t="shared" si="1955"/>
        <v>0.6567852437417655</v>
      </c>
      <c r="AE1508" s="1450">
        <f t="shared" si="1955"/>
        <v>0.71460396063423259</v>
      </c>
      <c r="AF1508" s="1450">
        <f t="shared" si="1955"/>
        <v>0.5864928909952607</v>
      </c>
      <c r="AG1508" s="1450">
        <f t="shared" si="1955"/>
        <v>0.67267694321487281</v>
      </c>
      <c r="AH1508" s="1450">
        <f t="shared" si="1955"/>
        <v>0.68759785371827464</v>
      </c>
      <c r="AI1508" s="1450">
        <f t="shared" si="1955"/>
        <v>0.62817988560592153</v>
      </c>
      <c r="AJ1508" s="1450">
        <f t="shared" si="1955"/>
        <v>0.65037864059254569</v>
      </c>
    </row>
    <row r="1509" spans="1:36" ht="14.5">
      <c r="A1509" s="616">
        <v>1</v>
      </c>
      <c r="B1509" s="616">
        <v>1</v>
      </c>
      <c r="C1509" s="616" t="s">
        <v>1540</v>
      </c>
      <c r="E1509" s="2650" t="s">
        <v>1369</v>
      </c>
      <c r="F1509" s="2651"/>
      <c r="G1509" s="1050"/>
      <c r="H1509" s="1051"/>
      <c r="I1509" s="750"/>
      <c r="J1509" s="1055" t="s">
        <v>1386</v>
      </c>
      <c r="K1509" s="1055"/>
      <c r="L1509" s="1056"/>
      <c r="M1509" s="213"/>
      <c r="N1509" s="213"/>
      <c r="O1509" s="213"/>
      <c r="P1509" s="213"/>
      <c r="Q1509" s="1848" t="str">
        <f>CHOOSE(2, "6722000004427", "RF (1) Office Marginal Profit % Others")</f>
        <v>RF (1) Office Marginal Profit % Others</v>
      </c>
      <c r="R1509" s="1450" t="str">
        <f t="shared" si="1955"/>
        <v/>
      </c>
      <c r="S1509" s="1450" t="str">
        <f t="shared" si="1955"/>
        <v/>
      </c>
      <c r="T1509" s="1450" t="str">
        <f t="shared" si="1955"/>
        <v/>
      </c>
      <c r="U1509" s="1450" t="str">
        <f t="shared" si="1955"/>
        <v/>
      </c>
      <c r="V1509" s="1450" t="str">
        <f t="shared" si="1955"/>
        <v/>
      </c>
      <c r="W1509" s="1450" t="str">
        <f t="shared" si="1955"/>
        <v/>
      </c>
      <c r="X1509" s="1450" t="str">
        <f t="shared" si="1955"/>
        <v/>
      </c>
      <c r="Y1509" s="1450" t="str">
        <f t="shared" si="1955"/>
        <v/>
      </c>
      <c r="Z1509" s="1450" t="str">
        <f t="shared" si="1955"/>
        <v/>
      </c>
      <c r="AA1509" s="1450" t="str">
        <f t="shared" si="1955"/>
        <v/>
      </c>
      <c r="AB1509" s="1450" t="str">
        <f t="shared" si="1955"/>
        <v/>
      </c>
      <c r="AC1509" s="1450" t="str">
        <f t="shared" si="1955"/>
        <v/>
      </c>
      <c r="AD1509" s="1450" t="str">
        <f t="shared" si="1955"/>
        <v/>
      </c>
      <c r="AE1509" s="1450" t="str">
        <f t="shared" si="1955"/>
        <v/>
      </c>
      <c r="AF1509" s="1450" t="str">
        <f t="shared" si="1955"/>
        <v/>
      </c>
      <c r="AG1509" s="1450" t="str">
        <f t="shared" si="1955"/>
        <v/>
      </c>
      <c r="AH1509" s="1450" t="str">
        <f t="shared" si="1955"/>
        <v/>
      </c>
      <c r="AI1509" s="1450" t="str">
        <f t="shared" si="1955"/>
        <v/>
      </c>
      <c r="AJ1509" s="1450" t="str">
        <f t="shared" si="1955"/>
        <v/>
      </c>
    </row>
    <row r="1510" spans="1:36" ht="14.5">
      <c r="A1510" s="616">
        <v>1</v>
      </c>
      <c r="B1510" s="616">
        <v>1</v>
      </c>
      <c r="C1510" s="616" t="s">
        <v>1540</v>
      </c>
      <c r="E1510" s="2650" t="s">
        <v>1369</v>
      </c>
      <c r="F1510" s="2651"/>
      <c r="G1510" s="1050"/>
      <c r="H1510" s="1051"/>
      <c r="I1510" s="3435" t="s">
        <v>1673</v>
      </c>
      <c r="J1510" s="748"/>
      <c r="K1510" s="748"/>
      <c r="L1510" s="1052"/>
      <c r="M1510" s="1053"/>
      <c r="N1510" s="1053"/>
      <c r="O1510" s="1053"/>
      <c r="P1510" s="1053"/>
      <c r="Q1510" s="1846" t="str">
        <f>CHOOSE(2, "6722000004428", "RF (1) Office Fixed Cost")</f>
        <v>RF (1) Office Fixed Cost</v>
      </c>
      <c r="R1510" s="1446">
        <f>SUM(R1511:R1512)</f>
        <v>44325.676383935715</v>
      </c>
      <c r="S1510" s="1446">
        <f t="shared" ref="S1510:AC1510" si="1956">SUM(S1511:S1512)</f>
        <v>45920.362510727355</v>
      </c>
      <c r="T1510" s="1446">
        <f t="shared" si="1956"/>
        <v>50977.305033771481</v>
      </c>
      <c r="U1510" s="1446">
        <f t="shared" si="1956"/>
        <v>44717.888159762733</v>
      </c>
      <c r="V1510" s="1446">
        <f t="shared" si="1956"/>
        <v>50013.409692365683</v>
      </c>
      <c r="W1510" s="1446">
        <f t="shared" si="1956"/>
        <v>37156.269709650602</v>
      </c>
      <c r="X1510" s="1446">
        <f t="shared" si="1956"/>
        <v>70482.568838647829</v>
      </c>
      <c r="Y1510" s="1446">
        <f t="shared" si="1956"/>
        <v>49999.601457800432</v>
      </c>
      <c r="Z1510" s="1446">
        <f t="shared" si="1956"/>
        <v>49108.53344419878</v>
      </c>
      <c r="AA1510" s="1446">
        <f t="shared" si="1956"/>
        <v>55176.899095687106</v>
      </c>
      <c r="AB1510" s="1446">
        <f t="shared" si="1956"/>
        <v>44899.74518133096</v>
      </c>
      <c r="AC1510" s="1446">
        <f t="shared" si="1956"/>
        <v>67679.782250398042</v>
      </c>
      <c r="AD1510" s="1446">
        <f>SUM(R1510:T1510)</f>
        <v>141223.34392843454</v>
      </c>
      <c r="AE1510" s="1446">
        <f t="shared" si="1931"/>
        <v>131887.56756177903</v>
      </c>
      <c r="AF1510" s="1446">
        <f t="shared" si="1932"/>
        <v>169590.70374064703</v>
      </c>
      <c r="AG1510" s="1446">
        <f t="shared" si="1933"/>
        <v>167756.4265274161</v>
      </c>
      <c r="AH1510" s="1446">
        <f t="shared" si="1934"/>
        <v>273110.91149021359</v>
      </c>
      <c r="AI1510" s="1446">
        <f t="shared" si="1935"/>
        <v>337347.13026806316</v>
      </c>
      <c r="AJ1510" s="1446">
        <f t="shared" si="1936"/>
        <v>610458.04175827675</v>
      </c>
    </row>
    <row r="1511" spans="1:36" ht="14.5">
      <c r="A1511" s="616">
        <v>1</v>
      </c>
      <c r="B1511" s="616">
        <v>1</v>
      </c>
      <c r="C1511" s="616" t="s">
        <v>1540</v>
      </c>
      <c r="E1511" s="2650" t="s">
        <v>1369</v>
      </c>
      <c r="F1511" s="2651"/>
      <c r="G1511" s="1050"/>
      <c r="H1511" s="1051"/>
      <c r="I1511" s="750"/>
      <c r="J1511" s="749" t="s">
        <v>1688</v>
      </c>
      <c r="K1511" s="749"/>
      <c r="Q1511" s="1777" t="str">
        <f>CHOOSE(2, "6722000004429", "RF (1) Office Fixed Cost COGs")</f>
        <v>RF (1) Office Fixed Cost COGs</v>
      </c>
      <c r="R1511" s="17">
        <f t="shared" ref="R1511:AC1511" si="1957">R839</f>
        <v>7547</v>
      </c>
      <c r="S1511" s="17">
        <f t="shared" si="1957"/>
        <v>7821</v>
      </c>
      <c r="T1511" s="17">
        <f t="shared" si="1957"/>
        <v>7933</v>
      </c>
      <c r="U1511" s="17">
        <f t="shared" si="1957"/>
        <v>7742</v>
      </c>
      <c r="V1511" s="17">
        <f t="shared" si="1957"/>
        <v>7506.5874735241305</v>
      </c>
      <c r="W1511" s="17">
        <f t="shared" si="1957"/>
        <v>7541</v>
      </c>
      <c r="X1511" s="17">
        <f t="shared" si="1957"/>
        <v>11688</v>
      </c>
      <c r="Y1511" s="17">
        <f t="shared" si="1957"/>
        <v>7345</v>
      </c>
      <c r="Z1511" s="17">
        <f t="shared" si="1957"/>
        <v>7725</v>
      </c>
      <c r="AA1511" s="17">
        <f t="shared" si="1957"/>
        <v>7908</v>
      </c>
      <c r="AB1511" s="17">
        <f t="shared" si="1957"/>
        <v>8142</v>
      </c>
      <c r="AC1511" s="17">
        <f t="shared" si="1957"/>
        <v>8840</v>
      </c>
      <c r="AD1511" s="17">
        <f>SUM(R1511:T1511)</f>
        <v>23301</v>
      </c>
      <c r="AE1511" s="17">
        <f t="shared" si="1931"/>
        <v>22789.58747352413</v>
      </c>
      <c r="AF1511" s="17">
        <f t="shared" si="1932"/>
        <v>26758</v>
      </c>
      <c r="AG1511" s="17">
        <f t="shared" si="1933"/>
        <v>24890</v>
      </c>
      <c r="AH1511" s="17">
        <f t="shared" si="1934"/>
        <v>46090.58747352413</v>
      </c>
      <c r="AI1511" s="17">
        <f t="shared" si="1935"/>
        <v>51648</v>
      </c>
      <c r="AJ1511" s="17">
        <f t="shared" si="1936"/>
        <v>97738.587473524123</v>
      </c>
    </row>
    <row r="1512" spans="1:36" ht="14.5">
      <c r="A1512" s="616">
        <v>1</v>
      </c>
      <c r="B1512" s="616">
        <v>1</v>
      </c>
      <c r="C1512" s="616" t="s">
        <v>1540</v>
      </c>
      <c r="E1512" s="2650" t="s">
        <v>1369</v>
      </c>
      <c r="F1512" s="2651"/>
      <c r="G1512" s="1050"/>
      <c r="H1512" s="1051"/>
      <c r="I1512" s="750"/>
      <c r="J1512" s="749" t="s">
        <v>1689</v>
      </c>
      <c r="K1512" s="749"/>
      <c r="Q1512" s="1777" t="str">
        <f>CHOOSE(2, "6722000004430", "RF (1) Office Fixed Cost SG&amp;A")</f>
        <v>RF (1) Office Fixed Cost SG&amp;A</v>
      </c>
      <c r="R1512" s="17">
        <f t="shared" ref="R1512:AC1512" si="1958">R84+R85</f>
        <v>36778.676383935715</v>
      </c>
      <c r="S1512" s="17">
        <f t="shared" si="1958"/>
        <v>38099.362510727355</v>
      </c>
      <c r="T1512" s="17">
        <f t="shared" si="1958"/>
        <v>43044.305033771481</v>
      </c>
      <c r="U1512" s="17">
        <f t="shared" si="1958"/>
        <v>36975.888159762733</v>
      </c>
      <c r="V1512" s="17">
        <f t="shared" si="1958"/>
        <v>42506.822218841553</v>
      </c>
      <c r="W1512" s="17">
        <f t="shared" si="1958"/>
        <v>29615.269709650598</v>
      </c>
      <c r="X1512" s="17">
        <f t="shared" si="1958"/>
        <v>58794.568838647829</v>
      </c>
      <c r="Y1512" s="17">
        <f t="shared" si="1958"/>
        <v>42654.601457800432</v>
      </c>
      <c r="Z1512" s="17">
        <f t="shared" si="1958"/>
        <v>41383.53344419878</v>
      </c>
      <c r="AA1512" s="17">
        <f t="shared" si="1958"/>
        <v>47268.899095687106</v>
      </c>
      <c r="AB1512" s="17">
        <f t="shared" si="1958"/>
        <v>36757.74518133096</v>
      </c>
      <c r="AC1512" s="17">
        <f t="shared" si="1958"/>
        <v>58839.78225039805</v>
      </c>
      <c r="AD1512" s="17">
        <f>SUM(R1512:T1512)</f>
        <v>117922.34392843455</v>
      </c>
      <c r="AE1512" s="17">
        <f t="shared" si="1931"/>
        <v>109097.98008825489</v>
      </c>
      <c r="AF1512" s="17">
        <f t="shared" si="1932"/>
        <v>142832.70374064703</v>
      </c>
      <c r="AG1512" s="17">
        <f t="shared" si="1933"/>
        <v>142866.4265274161</v>
      </c>
      <c r="AH1512" s="17">
        <f t="shared" si="1934"/>
        <v>227020.32401668944</v>
      </c>
      <c r="AI1512" s="17">
        <f t="shared" si="1935"/>
        <v>285699.13026806316</v>
      </c>
      <c r="AJ1512" s="17">
        <f t="shared" si="1936"/>
        <v>512719.4542847526</v>
      </c>
    </row>
    <row r="1513" spans="1:36" ht="14.5">
      <c r="A1513" s="616">
        <v>1</v>
      </c>
      <c r="B1513" s="616">
        <v>1</v>
      </c>
      <c r="C1513" s="616" t="s">
        <v>1540</v>
      </c>
      <c r="E1513" s="2650" t="s">
        <v>1369</v>
      </c>
      <c r="F1513" s="2651"/>
      <c r="G1513" s="1050"/>
      <c r="H1513" s="1051"/>
      <c r="I1513" s="3435" t="s">
        <v>1681</v>
      </c>
      <c r="J1513" s="748"/>
      <c r="K1513" s="748"/>
      <c r="L1513" s="1052"/>
      <c r="M1513" s="1053"/>
      <c r="N1513" s="1053"/>
      <c r="O1513" s="1053"/>
      <c r="P1513" s="1053"/>
      <c r="Q1513" s="1846" t="str">
        <f>CHOOSE(2, "6722000004431", "RF (1) Office BCP")</f>
        <v>RF (1) Office BCP</v>
      </c>
      <c r="R1513" s="1446">
        <f>R1492-R1510</f>
        <v>7627.3451232382649</v>
      </c>
      <c r="S1513" s="1446">
        <f t="shared" ref="S1513:AC1513" si="1959">S1492-S1510</f>
        <v>702.20620344094641</v>
      </c>
      <c r="T1513" s="1446">
        <f t="shared" si="1959"/>
        <v>10613.422168804085</v>
      </c>
      <c r="U1513" s="1446">
        <f t="shared" si="1959"/>
        <v>12366.097412912801</v>
      </c>
      <c r="V1513" s="1446">
        <f t="shared" si="1959"/>
        <v>19519.284661571546</v>
      </c>
      <c r="W1513" s="1446">
        <f t="shared" si="1959"/>
        <v>32513.264079597051</v>
      </c>
      <c r="X1513" s="1446">
        <f t="shared" si="1959"/>
        <v>15783.368397811166</v>
      </c>
      <c r="Y1513" s="1446">
        <f t="shared" si="1959"/>
        <v>30199.588146945222</v>
      </c>
      <c r="Z1513" s="1446">
        <f t="shared" si="1959"/>
        <v>18763.40950744471</v>
      </c>
      <c r="AA1513" s="1446">
        <f t="shared" si="1959"/>
        <v>9937.3856655235941</v>
      </c>
      <c r="AB1513" s="1446">
        <f t="shared" si="1959"/>
        <v>3629.5266247859545</v>
      </c>
      <c r="AC1513" s="1446">
        <f t="shared" si="1959"/>
        <v>-166.51453808948281</v>
      </c>
      <c r="AD1513" s="1446">
        <f>SUM(R1513:T1513)</f>
        <v>18942.973495483297</v>
      </c>
      <c r="AE1513" s="1446">
        <f t="shared" ref="AE1513" si="1960">SUM(U1513:W1513)</f>
        <v>64398.646154081398</v>
      </c>
      <c r="AF1513" s="1446">
        <f t="shared" ref="AF1513" si="1961">SUM(X1513:Z1513)</f>
        <v>64746.366052201098</v>
      </c>
      <c r="AG1513" s="1446">
        <f t="shared" ref="AG1513" si="1962">SUM(AA1513:AC1513)</f>
        <v>13400.397752220066</v>
      </c>
      <c r="AH1513" s="1446">
        <f t="shared" si="1934"/>
        <v>83341.619649564702</v>
      </c>
      <c r="AI1513" s="1446">
        <f t="shared" si="1935"/>
        <v>78146.763804421164</v>
      </c>
      <c r="AJ1513" s="1446">
        <f t="shared" si="1936"/>
        <v>161488.38345398585</v>
      </c>
    </row>
    <row r="1514" spans="1:36" ht="14.5">
      <c r="A1514" s="616">
        <v>1</v>
      </c>
      <c r="B1514" s="616">
        <v>1</v>
      </c>
      <c r="C1514" s="616" t="s">
        <v>1540</v>
      </c>
      <c r="E1514" s="2650" t="s">
        <v>1369</v>
      </c>
      <c r="F1514" s="2651"/>
      <c r="G1514" s="1050"/>
      <c r="H1514" s="1051"/>
      <c r="I1514" s="3435" t="s">
        <v>1678</v>
      </c>
      <c r="J1514" s="748"/>
      <c r="K1514" s="748"/>
      <c r="L1514" s="1052"/>
      <c r="M1514" s="1053"/>
      <c r="N1514" s="1053"/>
      <c r="O1514" s="1053"/>
      <c r="P1514" s="1053"/>
      <c r="Q1514" s="1846" t="str">
        <f>CHOOSE(2, "6722000004432", "RF (1) Office Break-even Point Net Sales")</f>
        <v>RF (1) Office Break-even Point Net Sales</v>
      </c>
      <c r="R1514" s="1446">
        <f>R1510/R1501</f>
        <v>140091.70592483174</v>
      </c>
      <c r="S1514" s="1446">
        <f t="shared" ref="S1514:AC1514" si="1963">S1510/S1501</f>
        <v>181868.89250117686</v>
      </c>
      <c r="T1514" s="1446">
        <f t="shared" si="1963"/>
        <v>164432.35401060132</v>
      </c>
      <c r="U1514" s="1446">
        <f t="shared" si="1963"/>
        <v>164734.90080934012</v>
      </c>
      <c r="V1514" s="1446">
        <f t="shared" si="1963"/>
        <v>188829.6256196938</v>
      </c>
      <c r="W1514" s="1446">
        <f t="shared" si="1963"/>
        <v>144853.88947136301</v>
      </c>
      <c r="X1514" s="1446">
        <f t="shared" si="1963"/>
        <v>191347.90281196241</v>
      </c>
      <c r="Y1514" s="1446">
        <f t="shared" si="1963"/>
        <v>159327.64671478455</v>
      </c>
      <c r="Z1514" s="1446">
        <f t="shared" si="1963"/>
        <v>239088.11177439059</v>
      </c>
      <c r="AA1514" s="1446">
        <f t="shared" si="1963"/>
        <v>205734.17722196761</v>
      </c>
      <c r="AB1514" s="1446">
        <f t="shared" si="1963"/>
        <v>244200.14825961969</v>
      </c>
      <c r="AC1514" s="1446">
        <f t="shared" si="1963"/>
        <v>282988.24421360641</v>
      </c>
      <c r="AD1514" s="1446">
        <f>SUM(R1514:T1514)</f>
        <v>486392.95243660989</v>
      </c>
      <c r="AE1514" s="1446">
        <f t="shared" si="1931"/>
        <v>498418.415900397</v>
      </c>
      <c r="AF1514" s="1446">
        <f t="shared" si="1932"/>
        <v>589763.66130113753</v>
      </c>
      <c r="AG1514" s="1446">
        <f t="shared" si="1933"/>
        <v>732922.56969519379</v>
      </c>
      <c r="AH1514" s="1446">
        <f t="shared" si="1934"/>
        <v>984811.36833700689</v>
      </c>
      <c r="AI1514" s="1446">
        <f t="shared" si="1935"/>
        <v>1322686.2309963312</v>
      </c>
      <c r="AJ1514" s="1446">
        <f t="shared" si="1936"/>
        <v>2307497.599333338</v>
      </c>
    </row>
    <row r="1515" spans="1:36" ht="14.5">
      <c r="A1515" s="616">
        <v>1</v>
      </c>
      <c r="B1515" s="616">
        <v>1</v>
      </c>
      <c r="C1515" s="616" t="s">
        <v>1540</v>
      </c>
      <c r="E1515" s="2650" t="s">
        <v>1369</v>
      </c>
      <c r="F1515" s="2651"/>
      <c r="G1515" s="1050"/>
      <c r="H1515" s="1051"/>
      <c r="I1515" s="751"/>
      <c r="J1515" s="752" t="s">
        <v>55</v>
      </c>
      <c r="K1515" s="753"/>
      <c r="L1515" s="16"/>
      <c r="M1515" s="11"/>
      <c r="N1515" s="11"/>
      <c r="O1515" s="11"/>
      <c r="P1515" s="11"/>
      <c r="Q1515" s="1772" t="str">
        <f>CHOOSE(2, "6722000004433", "RF (1) Office Break-even Point Net Sales (%)")</f>
        <v>RF (1) Office Break-even Point Net Sales (%)</v>
      </c>
      <c r="R1515" s="2654">
        <f>R1514/R1474</f>
        <v>0.8531876510361377</v>
      </c>
      <c r="S1515" s="2654">
        <f t="shared" ref="S1515:AJ1515" si="1964">S1514/S1474</f>
        <v>0.98493849174750536</v>
      </c>
      <c r="T1515" s="2654">
        <f t="shared" si="1964"/>
        <v>0.82767824555966174</v>
      </c>
      <c r="U1515" s="2654">
        <f t="shared" si="1964"/>
        <v>0.78337011179485527</v>
      </c>
      <c r="V1515" s="2654">
        <f t="shared" si="1964"/>
        <v>0.7192790407025802</v>
      </c>
      <c r="W1515" s="2654">
        <f t="shared" si="1964"/>
        <v>0.53332163556669387</v>
      </c>
      <c r="X1515" s="2654">
        <f t="shared" si="1964"/>
        <v>0.81703823196694414</v>
      </c>
      <c r="Y1515" s="2654">
        <f t="shared" si="1964"/>
        <v>0.6234427268432372</v>
      </c>
      <c r="Z1515" s="2654">
        <f t="shared" si="1964"/>
        <v>0.72354689299504782</v>
      </c>
      <c r="AA1515" s="2654">
        <f t="shared" si="1964"/>
        <v>0.84738547460106017</v>
      </c>
      <c r="AB1515" s="2654">
        <f t="shared" si="1964"/>
        <v>0.92520953870302114</v>
      </c>
      <c r="AC1515" s="2654">
        <f t="shared" si="1964"/>
        <v>1.0024663972539301</v>
      </c>
      <c r="AD1515" s="2654">
        <f t="shared" si="1964"/>
        <v>0.88836461546553047</v>
      </c>
      <c r="AE1515" s="2654">
        <f t="shared" si="1964"/>
        <v>0.66953634144050567</v>
      </c>
      <c r="AF1515" s="2654">
        <f t="shared" si="1964"/>
        <v>0.71905122952307499</v>
      </c>
      <c r="AG1515" s="2654">
        <f t="shared" si="1964"/>
        <v>0.92890313885099396</v>
      </c>
      <c r="AH1515" s="2654">
        <f t="shared" si="1964"/>
        <v>0.76227433640432496</v>
      </c>
      <c r="AI1515" s="2654">
        <f t="shared" si="1964"/>
        <v>0.8219443049423667</v>
      </c>
      <c r="AJ1515" s="2654">
        <f t="shared" si="1964"/>
        <v>0.79537215534942962</v>
      </c>
    </row>
    <row r="1516" spans="1:36" ht="14.5">
      <c r="A1516" s="616">
        <v>1</v>
      </c>
      <c r="B1516" s="616">
        <v>1</v>
      </c>
      <c r="C1516" s="616" t="s">
        <v>1540</v>
      </c>
      <c r="E1516" s="2650" t="s">
        <v>1369</v>
      </c>
      <c r="F1516" s="2651"/>
      <c r="Q1516" s="1772" t="str">
        <f>CHOOSE(2, "6722000004434", "▷ Blank 64")</f>
        <v>▷ Blank 64</v>
      </c>
    </row>
    <row r="1517" spans="1:36" ht="14.5">
      <c r="A1517" s="616">
        <v>1</v>
      </c>
      <c r="B1517" s="616">
        <v>1</v>
      </c>
      <c r="C1517" s="616" t="s">
        <v>1540</v>
      </c>
      <c r="E1517" s="2650" t="s">
        <v>1369</v>
      </c>
      <c r="F1517" s="2651"/>
      <c r="H1517" s="4" t="s">
        <v>1395</v>
      </c>
      <c r="Q1517" s="1772" t="str">
        <f>CHOOSE(2, "6722000004435", "RF (2) PP")</f>
        <v>RF (2) PP</v>
      </c>
    </row>
    <row r="1518" spans="1:36" ht="14.5">
      <c r="A1518" s="616">
        <v>1</v>
      </c>
      <c r="B1518" s="616">
        <v>1</v>
      </c>
      <c r="C1518" s="616" t="s">
        <v>1540</v>
      </c>
      <c r="E1518" s="2650" t="s">
        <v>1369</v>
      </c>
      <c r="F1518" s="2651"/>
      <c r="G1518" s="1050"/>
      <c r="H1518" s="1051"/>
      <c r="I1518" s="3437" t="s">
        <v>0</v>
      </c>
      <c r="J1518" s="1059"/>
      <c r="K1518" s="1059"/>
      <c r="L1518" s="1060"/>
      <c r="M1518" s="1061"/>
      <c r="N1518" s="1061"/>
      <c r="O1518" s="1061"/>
      <c r="P1518" s="1061"/>
      <c r="Q1518" s="1854" t="str">
        <f>CHOOSE(2, "6722000004436", "RF (2) PP Net Sales")</f>
        <v>RF (2) PP Net Sales</v>
      </c>
      <c r="R1518" s="1451">
        <f>SUM(R1519,R1522,R1525,R1526)</f>
        <v>469389</v>
      </c>
      <c r="S1518" s="1451">
        <f t="shared" ref="S1518:AC1518" si="1965">SUM(S1519,S1522,S1525,S1526)</f>
        <v>465913</v>
      </c>
      <c r="T1518" s="1451">
        <f t="shared" si="1965"/>
        <v>468237</v>
      </c>
      <c r="U1518" s="1451">
        <f t="shared" si="1965"/>
        <v>490672</v>
      </c>
      <c r="V1518" s="1451">
        <f t="shared" si="1965"/>
        <v>544123.20207</v>
      </c>
      <c r="W1518" s="1451">
        <f t="shared" si="1965"/>
        <v>420374</v>
      </c>
      <c r="X1518" s="1451">
        <f t="shared" si="1965"/>
        <v>631088</v>
      </c>
      <c r="Y1518" s="1451">
        <f t="shared" si="1965"/>
        <v>524580</v>
      </c>
      <c r="Z1518" s="1451">
        <f t="shared" si="1965"/>
        <v>514753</v>
      </c>
      <c r="AA1518" s="1451">
        <f t="shared" si="1965"/>
        <v>565106</v>
      </c>
      <c r="AB1518" s="1451">
        <f t="shared" si="1965"/>
        <v>597727</v>
      </c>
      <c r="AC1518" s="1451">
        <f t="shared" si="1965"/>
        <v>455797</v>
      </c>
      <c r="AD1518" s="1451">
        <f t="shared" ref="AD1518:AD1544" si="1966">SUM(R1518:T1518)</f>
        <v>1403539</v>
      </c>
      <c r="AE1518" s="1451">
        <f t="shared" ref="AE1518:AE1544" si="1967">SUM(U1518:W1518)</f>
        <v>1455169.2020700001</v>
      </c>
      <c r="AF1518" s="1451">
        <f t="shared" ref="AF1518:AF1544" si="1968">SUM(X1518:Z1518)</f>
        <v>1670421</v>
      </c>
      <c r="AG1518" s="1451">
        <f t="shared" ref="AG1518:AG1544" si="1969">SUM(AA1518:AC1518)</f>
        <v>1618630</v>
      </c>
      <c r="AH1518" s="1451">
        <f t="shared" ref="AH1518:AH1544" si="1970">AD1518+AE1518</f>
        <v>2858708.2020700001</v>
      </c>
      <c r="AI1518" s="1451">
        <f t="shared" ref="AI1518:AI1544" si="1971">AG1518+AF1518</f>
        <v>3289051</v>
      </c>
      <c r="AJ1518" s="1451">
        <f t="shared" ref="AJ1518:AJ1544" si="1972">AH1518+AI1518</f>
        <v>6147759.2020699997</v>
      </c>
    </row>
    <row r="1519" spans="1:36" ht="14.5">
      <c r="A1519" s="616">
        <v>1</v>
      </c>
      <c r="B1519" s="616">
        <v>1</v>
      </c>
      <c r="C1519" s="616" t="s">
        <v>1540</v>
      </c>
      <c r="E1519" s="2650" t="s">
        <v>1369</v>
      </c>
      <c r="F1519" s="2651"/>
      <c r="G1519" s="1050"/>
      <c r="H1519" s="1051"/>
      <c r="I1519" s="750"/>
      <c r="J1519" s="1055" t="s">
        <v>1683</v>
      </c>
      <c r="K1519" s="1055"/>
      <c r="L1519" s="1056"/>
      <c r="M1519" s="213"/>
      <c r="N1519" s="213"/>
      <c r="O1519" s="213"/>
      <c r="P1519" s="213"/>
      <c r="Q1519" s="1848" t="str">
        <f>CHOOSE(2, "6722000004437", "RF (2) PP Net Sales HW")</f>
        <v>RF (2) PP Net Sales HW</v>
      </c>
      <c r="R1519" s="1447">
        <f>SUM(R1520:R1521)</f>
        <v>124454</v>
      </c>
      <c r="S1519" s="1447">
        <f t="shared" ref="S1519:AC1519" si="1973">SUM(S1520:S1521)</f>
        <v>116887</v>
      </c>
      <c r="T1519" s="1447">
        <f t="shared" si="1973"/>
        <v>107627</v>
      </c>
      <c r="U1519" s="1447">
        <f t="shared" si="1973"/>
        <v>146609</v>
      </c>
      <c r="V1519" s="1447">
        <f t="shared" si="1973"/>
        <v>168081.10800000001</v>
      </c>
      <c r="W1519" s="1447">
        <f t="shared" si="1973"/>
        <v>125768</v>
      </c>
      <c r="X1519" s="1447">
        <f t="shared" si="1973"/>
        <v>185035</v>
      </c>
      <c r="Y1519" s="1447">
        <f t="shared" si="1973"/>
        <v>150968</v>
      </c>
      <c r="Z1519" s="1447">
        <f t="shared" si="1973"/>
        <v>126989</v>
      </c>
      <c r="AA1519" s="1447">
        <f t="shared" si="1973"/>
        <v>166014</v>
      </c>
      <c r="AB1519" s="1447">
        <f t="shared" si="1973"/>
        <v>165952</v>
      </c>
      <c r="AC1519" s="1447">
        <f t="shared" si="1973"/>
        <v>111879</v>
      </c>
      <c r="AD1519" s="1447">
        <f t="shared" si="1966"/>
        <v>348968</v>
      </c>
      <c r="AE1519" s="1447">
        <f t="shared" si="1967"/>
        <v>440458.10800000001</v>
      </c>
      <c r="AF1519" s="1447">
        <f t="shared" si="1968"/>
        <v>462992</v>
      </c>
      <c r="AG1519" s="1447">
        <f t="shared" si="1969"/>
        <v>443845</v>
      </c>
      <c r="AH1519" s="1447">
        <f t="shared" si="1970"/>
        <v>789426.10800000001</v>
      </c>
      <c r="AI1519" s="1447">
        <f t="shared" si="1971"/>
        <v>906837</v>
      </c>
      <c r="AJ1519" s="1447">
        <f t="shared" si="1972"/>
        <v>1696263.108</v>
      </c>
    </row>
    <row r="1520" spans="1:36" ht="14.5">
      <c r="A1520" s="616">
        <v>1</v>
      </c>
      <c r="B1520" s="616">
        <v>1</v>
      </c>
      <c r="C1520" s="616" t="s">
        <v>1540</v>
      </c>
      <c r="E1520" s="2650" t="s">
        <v>1369</v>
      </c>
      <c r="F1520" s="2651"/>
      <c r="G1520" s="1050"/>
      <c r="H1520" s="1051"/>
      <c r="I1520" s="750"/>
      <c r="J1520" s="749"/>
      <c r="K1520" s="749" t="s">
        <v>1381</v>
      </c>
      <c r="Q1520" s="1777" t="str">
        <f>CHOOSE(2, "6722000004438", "RF (2) PP Net Sales HW Direct")</f>
        <v>RF (2) PP Net Sales HW Direct</v>
      </c>
      <c r="R1520" s="17">
        <f t="shared" ref="R1520:AC1520" si="1974">R554</f>
        <v>109550</v>
      </c>
      <c r="S1520" s="17">
        <f t="shared" si="1974"/>
        <v>104685</v>
      </c>
      <c r="T1520" s="17">
        <f t="shared" si="1974"/>
        <v>95888</v>
      </c>
      <c r="U1520" s="17">
        <f t="shared" si="1974"/>
        <v>122248</v>
      </c>
      <c r="V1520" s="17">
        <f t="shared" si="1974"/>
        <v>146168.747</v>
      </c>
      <c r="W1520" s="17">
        <f t="shared" si="1974"/>
        <v>114818</v>
      </c>
      <c r="X1520" s="17">
        <f t="shared" si="1974"/>
        <v>171297</v>
      </c>
      <c r="Y1520" s="17">
        <f t="shared" si="1974"/>
        <v>132244</v>
      </c>
      <c r="Z1520" s="17">
        <f t="shared" si="1974"/>
        <v>117597</v>
      </c>
      <c r="AA1520" s="17">
        <f t="shared" si="1974"/>
        <v>150636</v>
      </c>
      <c r="AB1520" s="17">
        <f t="shared" si="1974"/>
        <v>151240</v>
      </c>
      <c r="AC1520" s="17">
        <f t="shared" si="1974"/>
        <v>97886</v>
      </c>
      <c r="AD1520" s="17">
        <f t="shared" si="1966"/>
        <v>310123</v>
      </c>
      <c r="AE1520" s="17">
        <f t="shared" si="1967"/>
        <v>383234.74699999997</v>
      </c>
      <c r="AF1520" s="17">
        <f t="shared" si="1968"/>
        <v>421138</v>
      </c>
      <c r="AG1520" s="17">
        <f t="shared" si="1969"/>
        <v>399762</v>
      </c>
      <c r="AH1520" s="17">
        <f t="shared" si="1970"/>
        <v>693357.74699999997</v>
      </c>
      <c r="AI1520" s="17">
        <f t="shared" si="1971"/>
        <v>820900</v>
      </c>
      <c r="AJ1520" s="17">
        <f t="shared" si="1972"/>
        <v>1514257.747</v>
      </c>
    </row>
    <row r="1521" spans="1:36" ht="14.5">
      <c r="A1521" s="616">
        <v>1</v>
      </c>
      <c r="B1521" s="616">
        <v>1</v>
      </c>
      <c r="C1521" s="616" t="s">
        <v>1540</v>
      </c>
      <c r="E1521" s="2650" t="s">
        <v>1369</v>
      </c>
      <c r="F1521" s="2651"/>
      <c r="G1521" s="1050"/>
      <c r="H1521" s="1051"/>
      <c r="I1521" s="750"/>
      <c r="J1521" s="749"/>
      <c r="K1521" s="749" t="s">
        <v>1382</v>
      </c>
      <c r="Q1521" s="1777" t="str">
        <f>CHOOSE(2, "6722000004439", "RF (2) PP Net Sales HW Indirect")</f>
        <v>RF (2) PP Net Sales HW Indirect</v>
      </c>
      <c r="R1521" s="17">
        <f t="shared" ref="R1521:AC1521" si="1975">R569</f>
        <v>14904</v>
      </c>
      <c r="S1521" s="17">
        <f t="shared" si="1975"/>
        <v>12202</v>
      </c>
      <c r="T1521" s="17">
        <f t="shared" si="1975"/>
        <v>11739</v>
      </c>
      <c r="U1521" s="17">
        <f t="shared" si="1975"/>
        <v>24361</v>
      </c>
      <c r="V1521" s="17">
        <f t="shared" si="1975"/>
        <v>21912.361000000001</v>
      </c>
      <c r="W1521" s="17">
        <f t="shared" si="1975"/>
        <v>10950</v>
      </c>
      <c r="X1521" s="17">
        <f t="shared" si="1975"/>
        <v>13738</v>
      </c>
      <c r="Y1521" s="17">
        <f t="shared" si="1975"/>
        <v>18724</v>
      </c>
      <c r="Z1521" s="17">
        <f t="shared" si="1975"/>
        <v>9392</v>
      </c>
      <c r="AA1521" s="17">
        <f t="shared" si="1975"/>
        <v>15378</v>
      </c>
      <c r="AB1521" s="17">
        <f t="shared" si="1975"/>
        <v>14712</v>
      </c>
      <c r="AC1521" s="17">
        <f t="shared" si="1975"/>
        <v>13993</v>
      </c>
      <c r="AD1521" s="17">
        <f t="shared" si="1966"/>
        <v>38845</v>
      </c>
      <c r="AE1521" s="17">
        <f t="shared" si="1967"/>
        <v>57223.361000000004</v>
      </c>
      <c r="AF1521" s="17">
        <f t="shared" si="1968"/>
        <v>41854</v>
      </c>
      <c r="AG1521" s="17">
        <f t="shared" si="1969"/>
        <v>44083</v>
      </c>
      <c r="AH1521" s="17">
        <f t="shared" si="1970"/>
        <v>96068.361000000004</v>
      </c>
      <c r="AI1521" s="17">
        <f t="shared" si="1971"/>
        <v>85937</v>
      </c>
      <c r="AJ1521" s="17">
        <f t="shared" si="1972"/>
        <v>182005.361</v>
      </c>
    </row>
    <row r="1522" spans="1:36" ht="14.5">
      <c r="A1522" s="616">
        <v>1</v>
      </c>
      <c r="B1522" s="616">
        <v>1</v>
      </c>
      <c r="C1522" s="616" t="s">
        <v>1540</v>
      </c>
      <c r="E1522" s="2650" t="s">
        <v>1369</v>
      </c>
      <c r="F1522" s="2651"/>
      <c r="G1522" s="1050"/>
      <c r="H1522" s="1051"/>
      <c r="I1522" s="750"/>
      <c r="J1522" s="1055" t="s">
        <v>1684</v>
      </c>
      <c r="K1522" s="1055"/>
      <c r="L1522" s="1056"/>
      <c r="M1522" s="213"/>
      <c r="N1522" s="213"/>
      <c r="O1522" s="213"/>
      <c r="P1522" s="213"/>
      <c r="Q1522" s="1848" t="str">
        <f>CHOOSE(2, "6722000004440", "RF (2) PP Net Sales NH")</f>
        <v>RF (2) PP Net Sales NH</v>
      </c>
      <c r="R1522" s="1447">
        <f>SUM(R1523:R1524)</f>
        <v>344935</v>
      </c>
      <c r="S1522" s="1447">
        <f t="shared" ref="S1522:AC1522" si="1976">SUM(S1523:S1524)</f>
        <v>349026</v>
      </c>
      <c r="T1522" s="1447">
        <f t="shared" si="1976"/>
        <v>360610</v>
      </c>
      <c r="U1522" s="1447">
        <f t="shared" si="1976"/>
        <v>344063</v>
      </c>
      <c r="V1522" s="1447">
        <f t="shared" si="1976"/>
        <v>376042.09406999999</v>
      </c>
      <c r="W1522" s="1447">
        <f t="shared" si="1976"/>
        <v>294606</v>
      </c>
      <c r="X1522" s="1447">
        <f t="shared" si="1976"/>
        <v>446053</v>
      </c>
      <c r="Y1522" s="1447">
        <f t="shared" si="1976"/>
        <v>373612</v>
      </c>
      <c r="Z1522" s="1447">
        <f t="shared" si="1976"/>
        <v>387764</v>
      </c>
      <c r="AA1522" s="1447">
        <f t="shared" si="1976"/>
        <v>399092</v>
      </c>
      <c r="AB1522" s="1447">
        <f t="shared" si="1976"/>
        <v>431775</v>
      </c>
      <c r="AC1522" s="1447">
        <f t="shared" si="1976"/>
        <v>343918</v>
      </c>
      <c r="AD1522" s="1447">
        <f t="shared" si="1966"/>
        <v>1054571</v>
      </c>
      <c r="AE1522" s="1447">
        <f t="shared" si="1967"/>
        <v>1014711.09407</v>
      </c>
      <c r="AF1522" s="1447">
        <f t="shared" si="1968"/>
        <v>1207429</v>
      </c>
      <c r="AG1522" s="1447">
        <f t="shared" si="1969"/>
        <v>1174785</v>
      </c>
      <c r="AH1522" s="1447">
        <f t="shared" si="1970"/>
        <v>2069282.0940700001</v>
      </c>
      <c r="AI1522" s="1447">
        <f t="shared" si="1971"/>
        <v>2382214</v>
      </c>
      <c r="AJ1522" s="1447">
        <f t="shared" si="1972"/>
        <v>4451496.0940700006</v>
      </c>
    </row>
    <row r="1523" spans="1:36" ht="14.5">
      <c r="A1523" s="616">
        <v>1</v>
      </c>
      <c r="B1523" s="616">
        <v>1</v>
      </c>
      <c r="C1523" s="616" t="s">
        <v>1540</v>
      </c>
      <c r="E1523" s="2650" t="s">
        <v>1369</v>
      </c>
      <c r="F1523" s="2651"/>
      <c r="G1523" s="1050"/>
      <c r="H1523" s="1051"/>
      <c r="I1523" s="750"/>
      <c r="J1523" s="749"/>
      <c r="K1523" s="749" t="s">
        <v>1381</v>
      </c>
      <c r="Q1523" s="1777" t="str">
        <f>CHOOSE(2, "6722000004441", "RF (2) PP Net Sales NH Direct")</f>
        <v>RF (2) PP Net Sales NH Direct</v>
      </c>
      <c r="R1523" s="17">
        <f t="shared" ref="R1523:AC1523" si="1977">R557</f>
        <v>293849</v>
      </c>
      <c r="S1523" s="17">
        <f t="shared" si="1977"/>
        <v>306386</v>
      </c>
      <c r="T1523" s="17">
        <f t="shared" si="1977"/>
        <v>310533</v>
      </c>
      <c r="U1523" s="17">
        <f t="shared" si="1977"/>
        <v>296245</v>
      </c>
      <c r="V1523" s="17">
        <f t="shared" si="1977"/>
        <v>339586.24706999998</v>
      </c>
      <c r="W1523" s="17">
        <f t="shared" si="1977"/>
        <v>265277</v>
      </c>
      <c r="X1523" s="17">
        <f t="shared" si="1977"/>
        <v>401800</v>
      </c>
      <c r="Y1523" s="17">
        <f t="shared" si="1977"/>
        <v>332958</v>
      </c>
      <c r="Z1523" s="17">
        <f t="shared" si="1977"/>
        <v>341264</v>
      </c>
      <c r="AA1523" s="17">
        <f t="shared" si="1977"/>
        <v>351073</v>
      </c>
      <c r="AB1523" s="17">
        <f t="shared" si="1977"/>
        <v>358074</v>
      </c>
      <c r="AC1523" s="17">
        <f t="shared" si="1977"/>
        <v>296718</v>
      </c>
      <c r="AD1523" s="17">
        <f t="shared" si="1966"/>
        <v>910768</v>
      </c>
      <c r="AE1523" s="17">
        <f t="shared" si="1967"/>
        <v>901108.24707000004</v>
      </c>
      <c r="AF1523" s="17">
        <f t="shared" si="1968"/>
        <v>1076022</v>
      </c>
      <c r="AG1523" s="17">
        <f t="shared" si="1969"/>
        <v>1005865</v>
      </c>
      <c r="AH1523" s="17">
        <f t="shared" si="1970"/>
        <v>1811876.24707</v>
      </c>
      <c r="AI1523" s="17">
        <f t="shared" si="1971"/>
        <v>2081887</v>
      </c>
      <c r="AJ1523" s="17">
        <f t="shared" si="1972"/>
        <v>3893763.24707</v>
      </c>
    </row>
    <row r="1524" spans="1:36" ht="14.5">
      <c r="A1524" s="616">
        <v>1</v>
      </c>
      <c r="B1524" s="616">
        <v>1</v>
      </c>
      <c r="C1524" s="616" t="s">
        <v>1540</v>
      </c>
      <c r="E1524" s="2650" t="s">
        <v>1369</v>
      </c>
      <c r="F1524" s="2651"/>
      <c r="G1524" s="1050"/>
      <c r="H1524" s="1051"/>
      <c r="I1524" s="750"/>
      <c r="J1524" s="749"/>
      <c r="K1524" s="749" t="s">
        <v>1382</v>
      </c>
      <c r="Q1524" s="1777" t="str">
        <f>CHOOSE(2, "6722000004442", "RF (2) PP Net Sales NH Indirect")</f>
        <v>RF (2) PP Net Sales NH Indirect</v>
      </c>
      <c r="R1524" s="17">
        <f t="shared" ref="R1524:AC1524" si="1978">R572</f>
        <v>51086</v>
      </c>
      <c r="S1524" s="17">
        <f t="shared" si="1978"/>
        <v>42640</v>
      </c>
      <c r="T1524" s="17">
        <f t="shared" si="1978"/>
        <v>50077</v>
      </c>
      <c r="U1524" s="17">
        <f t="shared" si="1978"/>
        <v>47818</v>
      </c>
      <c r="V1524" s="17">
        <f t="shared" si="1978"/>
        <v>36455.847000000002</v>
      </c>
      <c r="W1524" s="17">
        <f t="shared" si="1978"/>
        <v>29329</v>
      </c>
      <c r="X1524" s="17">
        <f t="shared" si="1978"/>
        <v>44253</v>
      </c>
      <c r="Y1524" s="17">
        <f t="shared" si="1978"/>
        <v>40654</v>
      </c>
      <c r="Z1524" s="17">
        <f t="shared" si="1978"/>
        <v>46500</v>
      </c>
      <c r="AA1524" s="17">
        <f t="shared" si="1978"/>
        <v>48019</v>
      </c>
      <c r="AB1524" s="17">
        <f t="shared" si="1978"/>
        <v>73701</v>
      </c>
      <c r="AC1524" s="17">
        <f t="shared" si="1978"/>
        <v>47200</v>
      </c>
      <c r="AD1524" s="17">
        <f t="shared" si="1966"/>
        <v>143803</v>
      </c>
      <c r="AE1524" s="17">
        <f t="shared" si="1967"/>
        <v>113602.84700000001</v>
      </c>
      <c r="AF1524" s="17">
        <f t="shared" si="1968"/>
        <v>131407</v>
      </c>
      <c r="AG1524" s="17">
        <f t="shared" si="1969"/>
        <v>168920</v>
      </c>
      <c r="AH1524" s="17">
        <f t="shared" si="1970"/>
        <v>257405.84700000001</v>
      </c>
      <c r="AI1524" s="17">
        <f t="shared" si="1971"/>
        <v>300327</v>
      </c>
      <c r="AJ1524" s="17">
        <f t="shared" si="1972"/>
        <v>557732.84700000007</v>
      </c>
    </row>
    <row r="1525" spans="1:36" ht="14.5">
      <c r="A1525" s="616">
        <v>1</v>
      </c>
      <c r="B1525" s="616">
        <v>1</v>
      </c>
      <c r="C1525" s="616" t="s">
        <v>1540</v>
      </c>
      <c r="E1525" s="2650" t="s">
        <v>1369</v>
      </c>
      <c r="F1525" s="2651"/>
      <c r="G1525" s="1050"/>
      <c r="H1525" s="1051"/>
      <c r="I1525" s="750"/>
      <c r="J1525" s="1055" t="s">
        <v>1397</v>
      </c>
      <c r="K1525" s="1055"/>
      <c r="L1525" s="1056"/>
      <c r="M1525" s="213"/>
      <c r="N1525" s="213"/>
      <c r="O1525" s="213"/>
      <c r="P1525" s="213"/>
      <c r="Q1525" s="1848" t="str">
        <f>CHOOSE(2, "6722000004443", "RF (2) PP Net Sales Solution")</f>
        <v>RF (2) PP Net Sales Solution</v>
      </c>
      <c r="R1525" s="1447">
        <f t="shared" ref="R1525:AC1526" si="1979">R157</f>
        <v>0</v>
      </c>
      <c r="S1525" s="1447">
        <f t="shared" si="1979"/>
        <v>0</v>
      </c>
      <c r="T1525" s="1447">
        <f t="shared" si="1979"/>
        <v>0</v>
      </c>
      <c r="U1525" s="1447">
        <f t="shared" si="1979"/>
        <v>0</v>
      </c>
      <c r="V1525" s="1447">
        <f t="shared" si="1979"/>
        <v>0</v>
      </c>
      <c r="W1525" s="1447">
        <f t="shared" si="1979"/>
        <v>0</v>
      </c>
      <c r="X1525" s="1447">
        <f t="shared" si="1979"/>
        <v>0</v>
      </c>
      <c r="Y1525" s="1447">
        <f t="shared" si="1979"/>
        <v>0</v>
      </c>
      <c r="Z1525" s="1447">
        <f t="shared" si="1979"/>
        <v>0</v>
      </c>
      <c r="AA1525" s="1447">
        <f t="shared" si="1979"/>
        <v>0</v>
      </c>
      <c r="AB1525" s="1447">
        <f t="shared" si="1979"/>
        <v>0</v>
      </c>
      <c r="AC1525" s="1447">
        <f t="shared" si="1979"/>
        <v>0</v>
      </c>
      <c r="AD1525" s="1447">
        <f t="shared" si="1966"/>
        <v>0</v>
      </c>
      <c r="AE1525" s="1447">
        <f t="shared" si="1967"/>
        <v>0</v>
      </c>
      <c r="AF1525" s="1447">
        <f t="shared" si="1968"/>
        <v>0</v>
      </c>
      <c r="AG1525" s="1447">
        <f t="shared" si="1969"/>
        <v>0</v>
      </c>
      <c r="AH1525" s="1447">
        <f t="shared" si="1970"/>
        <v>0</v>
      </c>
      <c r="AI1525" s="1447">
        <f t="shared" si="1971"/>
        <v>0</v>
      </c>
      <c r="AJ1525" s="1447">
        <f t="shared" si="1972"/>
        <v>0</v>
      </c>
    </row>
    <row r="1526" spans="1:36" ht="14.5">
      <c r="A1526" s="616">
        <v>1</v>
      </c>
      <c r="B1526" s="616">
        <v>1</v>
      </c>
      <c r="C1526" s="616" t="s">
        <v>1540</v>
      </c>
      <c r="E1526" s="2650" t="s">
        <v>1369</v>
      </c>
      <c r="F1526" s="2651"/>
      <c r="G1526" s="1050"/>
      <c r="H1526" s="1051"/>
      <c r="I1526" s="750"/>
      <c r="J1526" s="1055" t="s">
        <v>1386</v>
      </c>
      <c r="K1526" s="1055"/>
      <c r="L1526" s="1056"/>
      <c r="M1526" s="213"/>
      <c r="N1526" s="213"/>
      <c r="O1526" s="213"/>
      <c r="P1526" s="213"/>
      <c r="Q1526" s="1848" t="str">
        <f>CHOOSE(2, "6722000004444", "RF (2) PP Net Sales Others")</f>
        <v>RF (2) PP Net Sales Others</v>
      </c>
      <c r="R1526" s="1447">
        <f t="shared" si="1979"/>
        <v>0</v>
      </c>
      <c r="S1526" s="1447">
        <f t="shared" si="1979"/>
        <v>0</v>
      </c>
      <c r="T1526" s="1447">
        <f t="shared" si="1979"/>
        <v>0</v>
      </c>
      <c r="U1526" s="1447">
        <f t="shared" si="1979"/>
        <v>0</v>
      </c>
      <c r="V1526" s="1447">
        <f t="shared" si="1979"/>
        <v>0</v>
      </c>
      <c r="W1526" s="1447">
        <f t="shared" si="1979"/>
        <v>0</v>
      </c>
      <c r="X1526" s="1447">
        <f t="shared" si="1979"/>
        <v>0</v>
      </c>
      <c r="Y1526" s="1447">
        <f t="shared" si="1979"/>
        <v>0</v>
      </c>
      <c r="Z1526" s="1447">
        <f t="shared" si="1979"/>
        <v>0</v>
      </c>
      <c r="AA1526" s="1447">
        <f t="shared" si="1979"/>
        <v>0</v>
      </c>
      <c r="AB1526" s="1447">
        <f t="shared" si="1979"/>
        <v>0</v>
      </c>
      <c r="AC1526" s="1447">
        <f t="shared" si="1979"/>
        <v>0</v>
      </c>
      <c r="AD1526" s="1447">
        <f t="shared" si="1966"/>
        <v>0</v>
      </c>
      <c r="AE1526" s="1447">
        <f t="shared" si="1967"/>
        <v>0</v>
      </c>
      <c r="AF1526" s="1447">
        <f t="shared" si="1968"/>
        <v>0</v>
      </c>
      <c r="AG1526" s="1447">
        <f t="shared" si="1969"/>
        <v>0</v>
      </c>
      <c r="AH1526" s="1447">
        <f t="shared" si="1970"/>
        <v>0</v>
      </c>
      <c r="AI1526" s="1447">
        <f t="shared" si="1971"/>
        <v>0</v>
      </c>
      <c r="AJ1526" s="1447">
        <f t="shared" si="1972"/>
        <v>0</v>
      </c>
    </row>
    <row r="1527" spans="1:36" ht="14.5">
      <c r="A1527" s="616">
        <v>1</v>
      </c>
      <c r="B1527" s="616">
        <v>1</v>
      </c>
      <c r="C1527" s="616" t="s">
        <v>1540</v>
      </c>
      <c r="E1527" s="2650" t="s">
        <v>1369</v>
      </c>
      <c r="F1527" s="2651"/>
      <c r="G1527" s="1050"/>
      <c r="H1527" s="1051"/>
      <c r="I1527" s="3437" t="s">
        <v>1685</v>
      </c>
      <c r="J1527" s="1059"/>
      <c r="K1527" s="1059"/>
      <c r="L1527" s="1060"/>
      <c r="M1527" s="1061"/>
      <c r="N1527" s="1061"/>
      <c r="O1527" s="1061"/>
      <c r="P1527" s="1061"/>
      <c r="Q1527" s="1854" t="str">
        <f>CHOOSE(2, "6722000004445", "RF (2) PP Variable cost")</f>
        <v>RF (2) PP Variable cost</v>
      </c>
      <c r="R1527" s="1451">
        <f>SUM(R1528,R1531,R1534,R1535)</f>
        <v>355907.09743661212</v>
      </c>
      <c r="S1527" s="1451">
        <f t="shared" ref="S1527:AC1527" si="1980">SUM(S1528,S1531,S1534,S1535)</f>
        <v>345034.83368284482</v>
      </c>
      <c r="T1527" s="1451">
        <f t="shared" si="1980"/>
        <v>339117.93868480064</v>
      </c>
      <c r="U1527" s="1451">
        <f t="shared" si="1980"/>
        <v>356508.62291882501</v>
      </c>
      <c r="V1527" s="1451">
        <f t="shared" si="1980"/>
        <v>388703.95876933518</v>
      </c>
      <c r="W1527" s="1451">
        <f t="shared" si="1980"/>
        <v>327192.54868493759</v>
      </c>
      <c r="X1527" s="1451">
        <f t="shared" si="1980"/>
        <v>413511.33360762266</v>
      </c>
      <c r="Y1527" s="1451">
        <f t="shared" si="1980"/>
        <v>381739.32306405378</v>
      </c>
      <c r="Z1527" s="1451">
        <f t="shared" si="1980"/>
        <v>366593.16769496939</v>
      </c>
      <c r="AA1527" s="1451">
        <f t="shared" si="1980"/>
        <v>402408.58417372627</v>
      </c>
      <c r="AB1527" s="1451">
        <f t="shared" si="1980"/>
        <v>432501.52763699251</v>
      </c>
      <c r="AC1527" s="1451">
        <f t="shared" si="1980"/>
        <v>324177.06762207008</v>
      </c>
      <c r="AD1527" s="1451">
        <f t="shared" si="1966"/>
        <v>1040059.8698042575</v>
      </c>
      <c r="AE1527" s="1451">
        <f t="shared" si="1967"/>
        <v>1072405.1303730977</v>
      </c>
      <c r="AF1527" s="1451">
        <f t="shared" si="1968"/>
        <v>1161843.8243666459</v>
      </c>
      <c r="AG1527" s="1451">
        <f t="shared" si="1969"/>
        <v>1159087.1794327889</v>
      </c>
      <c r="AH1527" s="1451">
        <f t="shared" si="1970"/>
        <v>2112465.0001773555</v>
      </c>
      <c r="AI1527" s="1451">
        <f t="shared" si="1971"/>
        <v>2320931.0037994348</v>
      </c>
      <c r="AJ1527" s="1451">
        <f t="shared" si="1972"/>
        <v>4433396.0039767902</v>
      </c>
    </row>
    <row r="1528" spans="1:36" ht="14.5">
      <c r="A1528" s="616">
        <v>1</v>
      </c>
      <c r="B1528" s="616">
        <v>1</v>
      </c>
      <c r="C1528" s="616" t="s">
        <v>1540</v>
      </c>
      <c r="E1528" s="2650" t="s">
        <v>1369</v>
      </c>
      <c r="F1528" s="2651"/>
      <c r="G1528" s="1050"/>
      <c r="H1528" s="1051"/>
      <c r="I1528" s="750"/>
      <c r="J1528" s="1055" t="s">
        <v>1683</v>
      </c>
      <c r="K1528" s="1055"/>
      <c r="L1528" s="1056"/>
      <c r="M1528" s="213"/>
      <c r="N1528" s="213"/>
      <c r="O1528" s="213"/>
      <c r="P1528" s="213"/>
      <c r="Q1528" s="1848" t="str">
        <f>CHOOSE(2, "6722000004446", "RF (2) PP Variable cost HW")</f>
        <v>RF (2) PP Variable cost HW</v>
      </c>
      <c r="R1528" s="1447">
        <f>SUM(R1529:R1530)</f>
        <v>83490</v>
      </c>
      <c r="S1528" s="1447">
        <f t="shared" ref="S1528:AC1528" si="1981">SUM(S1529:S1530)</f>
        <v>79987</v>
      </c>
      <c r="T1528" s="1447">
        <f t="shared" si="1981"/>
        <v>71944</v>
      </c>
      <c r="U1528" s="1447">
        <f t="shared" si="1981"/>
        <v>94933</v>
      </c>
      <c r="V1528" s="1447">
        <f t="shared" si="1981"/>
        <v>111158.2736905932</v>
      </c>
      <c r="W1528" s="1447">
        <f t="shared" si="1981"/>
        <v>80569</v>
      </c>
      <c r="X1528" s="1447">
        <f t="shared" si="1981"/>
        <v>115901</v>
      </c>
      <c r="Y1528" s="1447">
        <f t="shared" si="1981"/>
        <v>99511</v>
      </c>
      <c r="Z1528" s="1447">
        <f t="shared" si="1981"/>
        <v>85072</v>
      </c>
      <c r="AA1528" s="1447">
        <f t="shared" si="1981"/>
        <v>105929</v>
      </c>
      <c r="AB1528" s="1447">
        <f t="shared" si="1981"/>
        <v>107281.05097041666</v>
      </c>
      <c r="AC1528" s="1447">
        <f t="shared" si="1981"/>
        <v>78325</v>
      </c>
      <c r="AD1528" s="1447">
        <f t="shared" si="1966"/>
        <v>235421</v>
      </c>
      <c r="AE1528" s="1447">
        <f t="shared" si="1967"/>
        <v>286660.2736905932</v>
      </c>
      <c r="AF1528" s="1447">
        <f t="shared" si="1968"/>
        <v>300484</v>
      </c>
      <c r="AG1528" s="1447">
        <f t="shared" si="1969"/>
        <v>291535.05097041663</v>
      </c>
      <c r="AH1528" s="1447">
        <f t="shared" si="1970"/>
        <v>522081.2736905932</v>
      </c>
      <c r="AI1528" s="1447">
        <f t="shared" si="1971"/>
        <v>592019.05097041663</v>
      </c>
      <c r="AJ1528" s="1447">
        <f t="shared" si="1972"/>
        <v>1114100.3246610099</v>
      </c>
    </row>
    <row r="1529" spans="1:36" ht="14.5">
      <c r="A1529" s="616">
        <v>1</v>
      </c>
      <c r="B1529" s="616">
        <v>1</v>
      </c>
      <c r="C1529" s="616" t="s">
        <v>1540</v>
      </c>
      <c r="E1529" s="2650" t="s">
        <v>1369</v>
      </c>
      <c r="F1529" s="2651"/>
      <c r="G1529" s="1050"/>
      <c r="H1529" s="1051"/>
      <c r="I1529" s="750"/>
      <c r="J1529" s="749"/>
      <c r="K1529" s="749" t="s">
        <v>1381</v>
      </c>
      <c r="Q1529" s="1777" t="str">
        <f>CHOOSE(2, "6722000004447", "RF (2) PP Variable cost HW Direct")</f>
        <v>RF (2) PP Variable cost HW Direct</v>
      </c>
      <c r="R1529" s="17">
        <f t="shared" ref="R1529:AC1529" si="1982">R554-R585</f>
        <v>72674</v>
      </c>
      <c r="S1529" s="17">
        <f t="shared" si="1982"/>
        <v>71557</v>
      </c>
      <c r="T1529" s="17">
        <f t="shared" si="1982"/>
        <v>61895</v>
      </c>
      <c r="U1529" s="17">
        <f t="shared" si="1982"/>
        <v>76662</v>
      </c>
      <c r="V1529" s="17">
        <f t="shared" si="1982"/>
        <v>96396.614426995933</v>
      </c>
      <c r="W1529" s="17">
        <f t="shared" si="1982"/>
        <v>71370</v>
      </c>
      <c r="X1529" s="17">
        <f t="shared" si="1982"/>
        <v>106490</v>
      </c>
      <c r="Y1529" s="17">
        <f t="shared" si="1982"/>
        <v>85953</v>
      </c>
      <c r="Z1529" s="17">
        <f t="shared" si="1982"/>
        <v>74192</v>
      </c>
      <c r="AA1529" s="17">
        <f t="shared" si="1982"/>
        <v>95084</v>
      </c>
      <c r="AB1529" s="17">
        <f t="shared" si="1982"/>
        <v>97283.050970416662</v>
      </c>
      <c r="AC1529" s="17">
        <f t="shared" si="1982"/>
        <v>66426</v>
      </c>
      <c r="AD1529" s="17">
        <f t="shared" si="1966"/>
        <v>206126</v>
      </c>
      <c r="AE1529" s="17">
        <f t="shared" si="1967"/>
        <v>244428.61442699592</v>
      </c>
      <c r="AF1529" s="17">
        <f t="shared" si="1968"/>
        <v>266635</v>
      </c>
      <c r="AG1529" s="17">
        <f t="shared" si="1969"/>
        <v>258793.05097041666</v>
      </c>
      <c r="AH1529" s="17">
        <f t="shared" si="1970"/>
        <v>450554.61442699592</v>
      </c>
      <c r="AI1529" s="17">
        <f t="shared" si="1971"/>
        <v>525428.05097041663</v>
      </c>
      <c r="AJ1529" s="17">
        <f t="shared" si="1972"/>
        <v>975982.66539741261</v>
      </c>
    </row>
    <row r="1530" spans="1:36" ht="14.5">
      <c r="A1530" s="616">
        <v>1</v>
      </c>
      <c r="B1530" s="616">
        <v>1</v>
      </c>
      <c r="C1530" s="616" t="s">
        <v>1540</v>
      </c>
      <c r="E1530" s="2650" t="s">
        <v>1369</v>
      </c>
      <c r="F1530" s="2651"/>
      <c r="G1530" s="1050"/>
      <c r="H1530" s="1051"/>
      <c r="I1530" s="750"/>
      <c r="J1530" s="749"/>
      <c r="K1530" s="749" t="s">
        <v>1382</v>
      </c>
      <c r="Q1530" s="1777" t="str">
        <f>CHOOSE(2, "6722000004448", "RF (2) PP Variable cost HW Indirect")</f>
        <v>RF (2) PP Variable cost HW Indirect</v>
      </c>
      <c r="R1530" s="17">
        <f t="shared" ref="R1530:AC1530" si="1983">R569-R608</f>
        <v>10816</v>
      </c>
      <c r="S1530" s="17">
        <f t="shared" si="1983"/>
        <v>8430</v>
      </c>
      <c r="T1530" s="17">
        <f t="shared" si="1983"/>
        <v>10049</v>
      </c>
      <c r="U1530" s="17">
        <f t="shared" si="1983"/>
        <v>18271</v>
      </c>
      <c r="V1530" s="17">
        <f t="shared" si="1983"/>
        <v>14761.65926359727</v>
      </c>
      <c r="W1530" s="17">
        <f t="shared" si="1983"/>
        <v>9199</v>
      </c>
      <c r="X1530" s="17">
        <f t="shared" si="1983"/>
        <v>9411</v>
      </c>
      <c r="Y1530" s="17">
        <f t="shared" si="1983"/>
        <v>13558</v>
      </c>
      <c r="Z1530" s="17">
        <f t="shared" si="1983"/>
        <v>10880</v>
      </c>
      <c r="AA1530" s="17">
        <f t="shared" si="1983"/>
        <v>10845</v>
      </c>
      <c r="AB1530" s="17">
        <f t="shared" si="1983"/>
        <v>9998</v>
      </c>
      <c r="AC1530" s="17">
        <f t="shared" si="1983"/>
        <v>11899</v>
      </c>
      <c r="AD1530" s="17">
        <f t="shared" si="1966"/>
        <v>29295</v>
      </c>
      <c r="AE1530" s="17">
        <f t="shared" si="1967"/>
        <v>42231.65926359727</v>
      </c>
      <c r="AF1530" s="17">
        <f t="shared" si="1968"/>
        <v>33849</v>
      </c>
      <c r="AG1530" s="17">
        <f t="shared" si="1969"/>
        <v>32742</v>
      </c>
      <c r="AH1530" s="17">
        <f t="shared" si="1970"/>
        <v>71526.659263597277</v>
      </c>
      <c r="AI1530" s="17">
        <f t="shared" si="1971"/>
        <v>66591</v>
      </c>
      <c r="AJ1530" s="17">
        <f t="shared" si="1972"/>
        <v>138117.65926359728</v>
      </c>
    </row>
    <row r="1531" spans="1:36" ht="14.5">
      <c r="A1531" s="616">
        <v>1</v>
      </c>
      <c r="B1531" s="616">
        <v>1</v>
      </c>
      <c r="C1531" s="616" t="s">
        <v>1540</v>
      </c>
      <c r="E1531" s="2650" t="s">
        <v>1369</v>
      </c>
      <c r="F1531" s="2651"/>
      <c r="G1531" s="1050"/>
      <c r="H1531" s="1051"/>
      <c r="I1531" s="750"/>
      <c r="J1531" s="1055" t="s">
        <v>1684</v>
      </c>
      <c r="K1531" s="1055"/>
      <c r="L1531" s="1056"/>
      <c r="M1531" s="213"/>
      <c r="N1531" s="213"/>
      <c r="O1531" s="213"/>
      <c r="P1531" s="213"/>
      <c r="Q1531" s="1848" t="str">
        <f>CHOOSE(2, "6722000004449", "RF (2) PP Variable cost NH")</f>
        <v>RF (2) PP Variable cost NH</v>
      </c>
      <c r="R1531" s="1447">
        <f>SUM(R1532:R1533)</f>
        <v>229547</v>
      </c>
      <c r="S1531" s="1447">
        <f t="shared" ref="S1531:AC1531" si="1984">SUM(S1532:S1533)</f>
        <v>229834</v>
      </c>
      <c r="T1531" s="1447">
        <f t="shared" si="1984"/>
        <v>235186</v>
      </c>
      <c r="U1531" s="1447">
        <f t="shared" si="1984"/>
        <v>212683</v>
      </c>
      <c r="V1531" s="1447">
        <f t="shared" si="1984"/>
        <v>224059.1219882021</v>
      </c>
      <c r="W1531" s="1447">
        <f t="shared" si="1984"/>
        <v>222006</v>
      </c>
      <c r="X1531" s="1447">
        <f t="shared" si="1984"/>
        <v>267939</v>
      </c>
      <c r="Y1531" s="1447">
        <f t="shared" si="1984"/>
        <v>240934</v>
      </c>
      <c r="Z1531" s="1447">
        <f t="shared" si="1984"/>
        <v>246174</v>
      </c>
      <c r="AA1531" s="1447">
        <f t="shared" si="1984"/>
        <v>238755</v>
      </c>
      <c r="AB1531" s="1447">
        <f t="shared" si="1984"/>
        <v>273844.8933</v>
      </c>
      <c r="AC1531" s="1447">
        <f t="shared" si="1984"/>
        <v>266582</v>
      </c>
      <c r="AD1531" s="1447">
        <f t="shared" si="1966"/>
        <v>694567</v>
      </c>
      <c r="AE1531" s="1447">
        <f t="shared" si="1967"/>
        <v>658748.1219882021</v>
      </c>
      <c r="AF1531" s="1447">
        <f t="shared" si="1968"/>
        <v>755047</v>
      </c>
      <c r="AG1531" s="1447">
        <f t="shared" si="1969"/>
        <v>779181.8933</v>
      </c>
      <c r="AH1531" s="1447">
        <f t="shared" si="1970"/>
        <v>1353315.121988202</v>
      </c>
      <c r="AI1531" s="1447">
        <f t="shared" si="1971"/>
        <v>1534228.8933000001</v>
      </c>
      <c r="AJ1531" s="1447">
        <f t="shared" si="1972"/>
        <v>2887544.0152882021</v>
      </c>
    </row>
    <row r="1532" spans="1:36" ht="14.5">
      <c r="A1532" s="616">
        <v>1</v>
      </c>
      <c r="B1532" s="616">
        <v>1</v>
      </c>
      <c r="C1532" s="616" t="s">
        <v>1540</v>
      </c>
      <c r="E1532" s="2650" t="s">
        <v>1369</v>
      </c>
      <c r="F1532" s="2651"/>
      <c r="G1532" s="1050"/>
      <c r="H1532" s="1051"/>
      <c r="I1532" s="750"/>
      <c r="J1532" s="749"/>
      <c r="K1532" s="749" t="s">
        <v>1381</v>
      </c>
      <c r="Q1532" s="1777" t="str">
        <f>CHOOSE(2, "6722000004450", "RF (2) PP Variable cost NH Direct")</f>
        <v>RF (2) PP Variable cost NH Direct</v>
      </c>
      <c r="R1532" s="17">
        <f t="shared" ref="R1532:AC1532" si="1985">R557-R588+(R593+R597+R600)</f>
        <v>193807</v>
      </c>
      <c r="S1532" s="17">
        <f t="shared" si="1985"/>
        <v>198425</v>
      </c>
      <c r="T1532" s="17">
        <f t="shared" si="1985"/>
        <v>198570</v>
      </c>
      <c r="U1532" s="17">
        <f t="shared" si="1985"/>
        <v>179929</v>
      </c>
      <c r="V1532" s="17">
        <f t="shared" si="1985"/>
        <v>198440.13835446001</v>
      </c>
      <c r="W1532" s="17">
        <f t="shared" si="1985"/>
        <v>198045</v>
      </c>
      <c r="X1532" s="17">
        <f t="shared" si="1985"/>
        <v>239825.00000000003</v>
      </c>
      <c r="Y1532" s="17">
        <f t="shared" si="1985"/>
        <v>212956</v>
      </c>
      <c r="Z1532" s="17">
        <f t="shared" si="1985"/>
        <v>212916</v>
      </c>
      <c r="AA1532" s="17">
        <f t="shared" si="1985"/>
        <v>204873</v>
      </c>
      <c r="AB1532" s="17">
        <f t="shared" si="1985"/>
        <v>219633</v>
      </c>
      <c r="AC1532" s="17">
        <f t="shared" si="1985"/>
        <v>233469</v>
      </c>
      <c r="AD1532" s="17">
        <f t="shared" si="1966"/>
        <v>590802</v>
      </c>
      <c r="AE1532" s="17">
        <f t="shared" si="1967"/>
        <v>576414.13835446001</v>
      </c>
      <c r="AF1532" s="17">
        <f t="shared" si="1968"/>
        <v>665697</v>
      </c>
      <c r="AG1532" s="17">
        <f t="shared" si="1969"/>
        <v>657975</v>
      </c>
      <c r="AH1532" s="17">
        <f t="shared" si="1970"/>
        <v>1167216.13835446</v>
      </c>
      <c r="AI1532" s="17">
        <f t="shared" si="1971"/>
        <v>1323672</v>
      </c>
      <c r="AJ1532" s="17">
        <f t="shared" si="1972"/>
        <v>2490888.1383544598</v>
      </c>
    </row>
    <row r="1533" spans="1:36" ht="14.5">
      <c r="A1533" s="616">
        <v>1</v>
      </c>
      <c r="B1533" s="616">
        <v>1</v>
      </c>
      <c r="C1533" s="616" t="s">
        <v>1540</v>
      </c>
      <c r="E1533" s="2650" t="s">
        <v>1369</v>
      </c>
      <c r="F1533" s="2651"/>
      <c r="G1533" s="1050"/>
      <c r="H1533" s="1051"/>
      <c r="I1533" s="750"/>
      <c r="J1533" s="749"/>
      <c r="K1533" s="749" t="s">
        <v>1382</v>
      </c>
      <c r="Q1533" s="1777" t="str">
        <f>CHOOSE(2, "6722000004451", "RF (2) PP Variable cost NH Indirect")</f>
        <v>RF (2) PP Variable cost NH Indirect</v>
      </c>
      <c r="R1533" s="17">
        <f t="shared" ref="R1533:AC1533" si="1986">R572-R611+(R616+R620+R623)</f>
        <v>35740</v>
      </c>
      <c r="S1533" s="17">
        <f t="shared" si="1986"/>
        <v>31409</v>
      </c>
      <c r="T1533" s="17">
        <f t="shared" si="1986"/>
        <v>36616</v>
      </c>
      <c r="U1533" s="17">
        <f t="shared" si="1986"/>
        <v>32754</v>
      </c>
      <c r="V1533" s="17">
        <f t="shared" si="1986"/>
        <v>25618.983633742086</v>
      </c>
      <c r="W1533" s="17">
        <f t="shared" si="1986"/>
        <v>23961</v>
      </c>
      <c r="X1533" s="17">
        <f t="shared" si="1986"/>
        <v>28114</v>
      </c>
      <c r="Y1533" s="17">
        <f t="shared" si="1986"/>
        <v>27978</v>
      </c>
      <c r="Z1533" s="17">
        <f t="shared" si="1986"/>
        <v>33258</v>
      </c>
      <c r="AA1533" s="17">
        <f t="shared" si="1986"/>
        <v>33882</v>
      </c>
      <c r="AB1533" s="17">
        <f t="shared" si="1986"/>
        <v>54211.893299999996</v>
      </c>
      <c r="AC1533" s="17">
        <f t="shared" si="1986"/>
        <v>33113</v>
      </c>
      <c r="AD1533" s="17">
        <f t="shared" si="1966"/>
        <v>103765</v>
      </c>
      <c r="AE1533" s="17">
        <f t="shared" si="1967"/>
        <v>82333.983633742086</v>
      </c>
      <c r="AF1533" s="17">
        <f t="shared" si="1968"/>
        <v>89350</v>
      </c>
      <c r="AG1533" s="17">
        <f t="shared" si="1969"/>
        <v>121206.8933</v>
      </c>
      <c r="AH1533" s="17">
        <f t="shared" si="1970"/>
        <v>186098.98363374209</v>
      </c>
      <c r="AI1533" s="17">
        <f t="shared" si="1971"/>
        <v>210556.8933</v>
      </c>
      <c r="AJ1533" s="17">
        <f t="shared" si="1972"/>
        <v>396655.87693374208</v>
      </c>
    </row>
    <row r="1534" spans="1:36" ht="14.5">
      <c r="A1534" s="616">
        <v>1</v>
      </c>
      <c r="B1534" s="616">
        <v>1</v>
      </c>
      <c r="C1534" s="616" t="s">
        <v>1540</v>
      </c>
      <c r="E1534" s="2650" t="s">
        <v>1369</v>
      </c>
      <c r="F1534" s="2651"/>
      <c r="G1534" s="1050"/>
      <c r="H1534" s="1051"/>
      <c r="I1534" s="750"/>
      <c r="J1534" s="1055" t="s">
        <v>1604</v>
      </c>
      <c r="K1534" s="1055"/>
      <c r="L1534" s="1056"/>
      <c r="M1534" s="213"/>
      <c r="N1534" s="213"/>
      <c r="O1534" s="213"/>
      <c r="P1534" s="213"/>
      <c r="Q1534" s="1848" t="str">
        <f>CHOOSE(2, "6722000004452", "RF (2) PP Variable cost Office Solution")</f>
        <v>RF (2) PP Variable cost Office Solution</v>
      </c>
      <c r="R1534" s="1447">
        <f t="shared" ref="R1534:AC1534" si="1987">R174</f>
        <v>0</v>
      </c>
      <c r="S1534" s="1447">
        <f t="shared" si="1987"/>
        <v>0</v>
      </c>
      <c r="T1534" s="1447">
        <f t="shared" si="1987"/>
        <v>0</v>
      </c>
      <c r="U1534" s="1447">
        <f t="shared" si="1987"/>
        <v>0</v>
      </c>
      <c r="V1534" s="1447">
        <f t="shared" si="1987"/>
        <v>0</v>
      </c>
      <c r="W1534" s="1447">
        <f t="shared" si="1987"/>
        <v>0</v>
      </c>
      <c r="X1534" s="1447">
        <f t="shared" si="1987"/>
        <v>0</v>
      </c>
      <c r="Y1534" s="1447">
        <f t="shared" si="1987"/>
        <v>0</v>
      </c>
      <c r="Z1534" s="1447">
        <f t="shared" si="1987"/>
        <v>0</v>
      </c>
      <c r="AA1534" s="1447">
        <f t="shared" si="1987"/>
        <v>0</v>
      </c>
      <c r="AB1534" s="1447">
        <f t="shared" si="1987"/>
        <v>0</v>
      </c>
      <c r="AC1534" s="1447">
        <f t="shared" si="1987"/>
        <v>0</v>
      </c>
      <c r="AD1534" s="1447">
        <f t="shared" si="1966"/>
        <v>0</v>
      </c>
      <c r="AE1534" s="1447">
        <f t="shared" si="1967"/>
        <v>0</v>
      </c>
      <c r="AF1534" s="1447">
        <f t="shared" si="1968"/>
        <v>0</v>
      </c>
      <c r="AG1534" s="1447">
        <f t="shared" si="1969"/>
        <v>0</v>
      </c>
      <c r="AH1534" s="1447">
        <f t="shared" si="1970"/>
        <v>0</v>
      </c>
      <c r="AI1534" s="1447">
        <f t="shared" si="1971"/>
        <v>0</v>
      </c>
      <c r="AJ1534" s="1447">
        <f t="shared" si="1972"/>
        <v>0</v>
      </c>
    </row>
    <row r="1535" spans="1:36" ht="14.5">
      <c r="A1535" s="616">
        <v>1</v>
      </c>
      <c r="B1535" s="616">
        <v>1</v>
      </c>
      <c r="C1535" s="616" t="s">
        <v>1540</v>
      </c>
      <c r="E1535" s="2650" t="s">
        <v>1369</v>
      </c>
      <c r="F1535" s="2651"/>
      <c r="G1535" s="1050"/>
      <c r="H1535" s="1051"/>
      <c r="I1535" s="750"/>
      <c r="J1535" s="1055" t="s">
        <v>1686</v>
      </c>
      <c r="K1535" s="1055"/>
      <c r="L1535" s="1056"/>
      <c r="M1535" s="213"/>
      <c r="N1535" s="213"/>
      <c r="O1535" s="213"/>
      <c r="P1535" s="213"/>
      <c r="Q1535" s="1848" t="str">
        <f>CHOOSE(2, "6722000004453", "RF (2) PP Variable cost Others (inc. SG&amp;A variable)")</f>
        <v>RF (2) PP Variable cost Others (inc. SG&amp;A variable)</v>
      </c>
      <c r="R1535" s="1447">
        <f t="shared" ref="R1535:AC1535" si="1988">R175+R187</f>
        <v>42870.097436612115</v>
      </c>
      <c r="S1535" s="1447">
        <f t="shared" si="1988"/>
        <v>35213.833682844801</v>
      </c>
      <c r="T1535" s="1447">
        <f t="shared" si="1988"/>
        <v>31987.938684800614</v>
      </c>
      <c r="U1535" s="1447">
        <f t="shared" si="1988"/>
        <v>48892.622918824985</v>
      </c>
      <c r="V1535" s="1447">
        <f t="shared" si="1988"/>
        <v>53486.563090539872</v>
      </c>
      <c r="W1535" s="1447">
        <f t="shared" si="1988"/>
        <v>24617.548684937588</v>
      </c>
      <c r="X1535" s="1447">
        <f t="shared" si="1988"/>
        <v>29671.333607622662</v>
      </c>
      <c r="Y1535" s="1447">
        <f t="shared" si="1988"/>
        <v>41294.323064053802</v>
      </c>
      <c r="Z1535" s="1447">
        <f t="shared" si="1988"/>
        <v>35347.167694969408</v>
      </c>
      <c r="AA1535" s="1447">
        <f t="shared" si="1988"/>
        <v>57724.584173726296</v>
      </c>
      <c r="AB1535" s="1447">
        <f t="shared" si="1988"/>
        <v>51375.583366575869</v>
      </c>
      <c r="AC1535" s="1447">
        <f t="shared" si="1988"/>
        <v>-20729.93237792993</v>
      </c>
      <c r="AD1535" s="1447">
        <f t="shared" si="1966"/>
        <v>110071.86980425753</v>
      </c>
      <c r="AE1535" s="1447">
        <f t="shared" si="1967"/>
        <v>126996.73469430245</v>
      </c>
      <c r="AF1535" s="1447">
        <f t="shared" si="1968"/>
        <v>106312.82436664587</v>
      </c>
      <c r="AG1535" s="1447">
        <f t="shared" si="1969"/>
        <v>88370.235162372235</v>
      </c>
      <c r="AH1535" s="1447">
        <f t="shared" si="1970"/>
        <v>237068.60449855996</v>
      </c>
      <c r="AI1535" s="1447">
        <f t="shared" si="1971"/>
        <v>194683.05952901812</v>
      </c>
      <c r="AJ1535" s="1447">
        <f t="shared" si="1972"/>
        <v>431751.66402757808</v>
      </c>
    </row>
    <row r="1536" spans="1:36" ht="14.5">
      <c r="A1536" s="616">
        <v>1</v>
      </c>
      <c r="B1536" s="616">
        <v>1</v>
      </c>
      <c r="C1536" s="616" t="s">
        <v>1540</v>
      </c>
      <c r="E1536" s="2650" t="s">
        <v>1369</v>
      </c>
      <c r="F1536" s="2651"/>
      <c r="G1536" s="1050"/>
      <c r="H1536" s="1051"/>
      <c r="I1536" s="3437" t="s">
        <v>1670</v>
      </c>
      <c r="J1536" s="1059"/>
      <c r="K1536" s="1059"/>
      <c r="L1536" s="1060"/>
      <c r="M1536" s="1061"/>
      <c r="N1536" s="1061"/>
      <c r="O1536" s="1061"/>
      <c r="P1536" s="1061"/>
      <c r="Q1536" s="1854" t="str">
        <f>CHOOSE(2, "6722000004454", "RF (2) PP Marginal Profit")</f>
        <v>RF (2) PP Marginal Profit</v>
      </c>
      <c r="R1536" s="1451">
        <f t="shared" ref="R1536:AC1544" si="1989">R1518-R1527</f>
        <v>113481.90256338788</v>
      </c>
      <c r="S1536" s="1451">
        <f t="shared" si="1989"/>
        <v>120878.16631715518</v>
      </c>
      <c r="T1536" s="1451">
        <f t="shared" si="1989"/>
        <v>129119.06131519936</v>
      </c>
      <c r="U1536" s="1451">
        <f t="shared" si="1989"/>
        <v>134163.37708117499</v>
      </c>
      <c r="V1536" s="1451">
        <f t="shared" si="1989"/>
        <v>155419.24330066482</v>
      </c>
      <c r="W1536" s="1451">
        <f t="shared" si="1989"/>
        <v>93181.451315062412</v>
      </c>
      <c r="X1536" s="1451">
        <f t="shared" si="1989"/>
        <v>217576.66639237734</v>
      </c>
      <c r="Y1536" s="1451">
        <f t="shared" si="1989"/>
        <v>142840.67693594622</v>
      </c>
      <c r="Z1536" s="1451">
        <f t="shared" si="1989"/>
        <v>148159.83230503061</v>
      </c>
      <c r="AA1536" s="1451">
        <f t="shared" si="1989"/>
        <v>162697.41582627373</v>
      </c>
      <c r="AB1536" s="1451">
        <f t="shared" si="1989"/>
        <v>165225.47236300749</v>
      </c>
      <c r="AC1536" s="1451">
        <f t="shared" si="1989"/>
        <v>131619.93237792992</v>
      </c>
      <c r="AD1536" s="1451">
        <f t="shared" si="1966"/>
        <v>363479.13019574241</v>
      </c>
      <c r="AE1536" s="1451">
        <f t="shared" si="1967"/>
        <v>382764.07169690222</v>
      </c>
      <c r="AF1536" s="1451">
        <f t="shared" si="1968"/>
        <v>508577.17563335417</v>
      </c>
      <c r="AG1536" s="1451">
        <f t="shared" si="1969"/>
        <v>459542.82056721114</v>
      </c>
      <c r="AH1536" s="1451">
        <f t="shared" si="1970"/>
        <v>746243.20189264463</v>
      </c>
      <c r="AI1536" s="1451">
        <f t="shared" si="1971"/>
        <v>968119.99620056525</v>
      </c>
      <c r="AJ1536" s="1451">
        <f t="shared" si="1972"/>
        <v>1714363.1980932099</v>
      </c>
    </row>
    <row r="1537" spans="1:36" ht="14.5">
      <c r="A1537" s="616">
        <v>1</v>
      </c>
      <c r="B1537" s="616">
        <v>1</v>
      </c>
      <c r="C1537" s="616" t="s">
        <v>1540</v>
      </c>
      <c r="E1537" s="2650" t="s">
        <v>1369</v>
      </c>
      <c r="F1537" s="2651"/>
      <c r="G1537" s="1050"/>
      <c r="H1537" s="1051"/>
      <c r="I1537" s="750"/>
      <c r="J1537" s="1055" t="s">
        <v>1683</v>
      </c>
      <c r="K1537" s="1055"/>
      <c r="L1537" s="1056"/>
      <c r="M1537" s="213"/>
      <c r="N1537" s="213"/>
      <c r="O1537" s="213"/>
      <c r="P1537" s="213"/>
      <c r="Q1537" s="1848" t="str">
        <f>CHOOSE(2, "6722000004455", "RF (2) PP Marginal Profit HW")</f>
        <v>RF (2) PP Marginal Profit HW</v>
      </c>
      <c r="R1537" s="1447">
        <f t="shared" si="1989"/>
        <v>40964</v>
      </c>
      <c r="S1537" s="1447">
        <f t="shared" si="1989"/>
        <v>36900</v>
      </c>
      <c r="T1537" s="1447">
        <f t="shared" si="1989"/>
        <v>35683</v>
      </c>
      <c r="U1537" s="1447">
        <f t="shared" si="1989"/>
        <v>51676</v>
      </c>
      <c r="V1537" s="1447">
        <f t="shared" si="1989"/>
        <v>56922.834309406811</v>
      </c>
      <c r="W1537" s="1447">
        <f t="shared" si="1989"/>
        <v>45199</v>
      </c>
      <c r="X1537" s="1447">
        <f t="shared" si="1989"/>
        <v>69134</v>
      </c>
      <c r="Y1537" s="1447">
        <f t="shared" si="1989"/>
        <v>51457</v>
      </c>
      <c r="Z1537" s="1447">
        <f t="shared" si="1989"/>
        <v>41917</v>
      </c>
      <c r="AA1537" s="1447">
        <f t="shared" si="1989"/>
        <v>60085</v>
      </c>
      <c r="AB1537" s="1447">
        <f t="shared" si="1989"/>
        <v>58670.949029583338</v>
      </c>
      <c r="AC1537" s="1447">
        <f t="shared" si="1989"/>
        <v>33554</v>
      </c>
      <c r="AD1537" s="1447">
        <f t="shared" si="1966"/>
        <v>113547</v>
      </c>
      <c r="AE1537" s="1447">
        <f t="shared" si="1967"/>
        <v>153797.83430940681</v>
      </c>
      <c r="AF1537" s="1447">
        <f t="shared" si="1968"/>
        <v>162508</v>
      </c>
      <c r="AG1537" s="1447">
        <f t="shared" si="1969"/>
        <v>152309.94902958334</v>
      </c>
      <c r="AH1537" s="1447">
        <f t="shared" si="1970"/>
        <v>267344.83430940681</v>
      </c>
      <c r="AI1537" s="1447">
        <f t="shared" si="1971"/>
        <v>314817.94902958337</v>
      </c>
      <c r="AJ1537" s="1447">
        <f t="shared" si="1972"/>
        <v>582162.78333899018</v>
      </c>
    </row>
    <row r="1538" spans="1:36" ht="14.5">
      <c r="A1538" s="616">
        <v>1</v>
      </c>
      <c r="B1538" s="616">
        <v>1</v>
      </c>
      <c r="C1538" s="616" t="s">
        <v>1540</v>
      </c>
      <c r="E1538" s="2650" t="s">
        <v>1369</v>
      </c>
      <c r="F1538" s="2651"/>
      <c r="G1538" s="1050"/>
      <c r="H1538" s="1051"/>
      <c r="I1538" s="750"/>
      <c r="J1538" s="749"/>
      <c r="K1538" s="749" t="s">
        <v>1381</v>
      </c>
      <c r="Q1538" s="1777" t="str">
        <f>CHOOSE(2, "6722000004456", "RF (2) PP Marginal Profit HW Direct")</f>
        <v>RF (2) PP Marginal Profit HW Direct</v>
      </c>
      <c r="R1538" s="17">
        <f t="shared" si="1989"/>
        <v>36876</v>
      </c>
      <c r="S1538" s="17">
        <f t="shared" si="1989"/>
        <v>33128</v>
      </c>
      <c r="T1538" s="17">
        <f t="shared" si="1989"/>
        <v>33993</v>
      </c>
      <c r="U1538" s="17">
        <f t="shared" si="1989"/>
        <v>45586</v>
      </c>
      <c r="V1538" s="17">
        <f t="shared" si="1989"/>
        <v>49772.13257300407</v>
      </c>
      <c r="W1538" s="17">
        <f t="shared" si="1989"/>
        <v>43448</v>
      </c>
      <c r="X1538" s="17">
        <f t="shared" si="1989"/>
        <v>64807</v>
      </c>
      <c r="Y1538" s="17">
        <f t="shared" si="1989"/>
        <v>46291</v>
      </c>
      <c r="Z1538" s="17">
        <f t="shared" si="1989"/>
        <v>43405</v>
      </c>
      <c r="AA1538" s="17">
        <f t="shared" si="1989"/>
        <v>55552</v>
      </c>
      <c r="AB1538" s="17">
        <f t="shared" si="1989"/>
        <v>53956.949029583338</v>
      </c>
      <c r="AC1538" s="17">
        <f t="shared" si="1989"/>
        <v>31460</v>
      </c>
      <c r="AD1538" s="17">
        <f t="shared" si="1966"/>
        <v>103997</v>
      </c>
      <c r="AE1538" s="17">
        <f t="shared" si="1967"/>
        <v>138806.13257300406</v>
      </c>
      <c r="AF1538" s="17">
        <f t="shared" si="1968"/>
        <v>154503</v>
      </c>
      <c r="AG1538" s="17">
        <f t="shared" si="1969"/>
        <v>140968.94902958334</v>
      </c>
      <c r="AH1538" s="17">
        <f t="shared" si="1970"/>
        <v>242803.13257300406</v>
      </c>
      <c r="AI1538" s="17">
        <f t="shared" si="1971"/>
        <v>295471.94902958337</v>
      </c>
      <c r="AJ1538" s="17">
        <f t="shared" si="1972"/>
        <v>538275.08160258736</v>
      </c>
    </row>
    <row r="1539" spans="1:36" ht="14.5">
      <c r="A1539" s="616">
        <v>1</v>
      </c>
      <c r="B1539" s="616">
        <v>1</v>
      </c>
      <c r="C1539" s="616" t="s">
        <v>1540</v>
      </c>
      <c r="E1539" s="2650" t="s">
        <v>1369</v>
      </c>
      <c r="F1539" s="2651"/>
      <c r="G1539" s="1050"/>
      <c r="H1539" s="1051"/>
      <c r="I1539" s="750"/>
      <c r="J1539" s="749"/>
      <c r="K1539" s="749" t="s">
        <v>1382</v>
      </c>
      <c r="Q1539" s="1777" t="str">
        <f>CHOOSE(2, "6722000004457", "RF (2) PP Marginal Profit HW Indirect")</f>
        <v>RF (2) PP Marginal Profit HW Indirect</v>
      </c>
      <c r="R1539" s="17">
        <f t="shared" si="1989"/>
        <v>4088</v>
      </c>
      <c r="S1539" s="17">
        <f t="shared" si="1989"/>
        <v>3772</v>
      </c>
      <c r="T1539" s="17">
        <f t="shared" si="1989"/>
        <v>1690</v>
      </c>
      <c r="U1539" s="17">
        <f t="shared" si="1989"/>
        <v>6090</v>
      </c>
      <c r="V1539" s="17">
        <f t="shared" si="1989"/>
        <v>7150.7017364027306</v>
      </c>
      <c r="W1539" s="17">
        <f t="shared" si="1989"/>
        <v>1751</v>
      </c>
      <c r="X1539" s="17">
        <f t="shared" si="1989"/>
        <v>4327</v>
      </c>
      <c r="Y1539" s="17">
        <f t="shared" si="1989"/>
        <v>5166</v>
      </c>
      <c r="Z1539" s="17">
        <f t="shared" si="1989"/>
        <v>-1488</v>
      </c>
      <c r="AA1539" s="17">
        <f t="shared" si="1989"/>
        <v>4533</v>
      </c>
      <c r="AB1539" s="17">
        <f t="shared" si="1989"/>
        <v>4714</v>
      </c>
      <c r="AC1539" s="17">
        <f t="shared" si="1989"/>
        <v>2094</v>
      </c>
      <c r="AD1539" s="17">
        <f t="shared" si="1966"/>
        <v>9550</v>
      </c>
      <c r="AE1539" s="17">
        <f t="shared" si="1967"/>
        <v>14991.701736402731</v>
      </c>
      <c r="AF1539" s="17">
        <f t="shared" si="1968"/>
        <v>8005</v>
      </c>
      <c r="AG1539" s="17">
        <f t="shared" si="1969"/>
        <v>11341</v>
      </c>
      <c r="AH1539" s="17">
        <f t="shared" si="1970"/>
        <v>24541.701736402731</v>
      </c>
      <c r="AI1539" s="17">
        <f t="shared" si="1971"/>
        <v>19346</v>
      </c>
      <c r="AJ1539" s="17">
        <f t="shared" si="1972"/>
        <v>43887.701736402727</v>
      </c>
    </row>
    <row r="1540" spans="1:36" ht="14.5">
      <c r="A1540" s="616">
        <v>1</v>
      </c>
      <c r="B1540" s="616">
        <v>1</v>
      </c>
      <c r="C1540" s="616" t="s">
        <v>1540</v>
      </c>
      <c r="E1540" s="2650" t="s">
        <v>1369</v>
      </c>
      <c r="F1540" s="2651"/>
      <c r="G1540" s="1050"/>
      <c r="H1540" s="1051"/>
      <c r="I1540" s="750"/>
      <c r="J1540" s="1055" t="s">
        <v>1684</v>
      </c>
      <c r="K1540" s="1055"/>
      <c r="L1540" s="1056"/>
      <c r="M1540" s="213"/>
      <c r="N1540" s="213"/>
      <c r="O1540" s="213"/>
      <c r="P1540" s="213"/>
      <c r="Q1540" s="1848" t="str">
        <f>CHOOSE(2, "6722000004458", "RF (2) PP Marginal Profit NH")</f>
        <v>RF (2) PP Marginal Profit NH</v>
      </c>
      <c r="R1540" s="1447">
        <f t="shared" si="1989"/>
        <v>115388</v>
      </c>
      <c r="S1540" s="1447">
        <f t="shared" si="1989"/>
        <v>119192</v>
      </c>
      <c r="T1540" s="1447">
        <f t="shared" si="1989"/>
        <v>125424</v>
      </c>
      <c r="U1540" s="1447">
        <f t="shared" si="1989"/>
        <v>131380</v>
      </c>
      <c r="V1540" s="1447">
        <f t="shared" si="1989"/>
        <v>151982.9720817979</v>
      </c>
      <c r="W1540" s="1447">
        <f t="shared" si="1989"/>
        <v>72600</v>
      </c>
      <c r="X1540" s="1447">
        <f t="shared" si="1989"/>
        <v>178114</v>
      </c>
      <c r="Y1540" s="1447">
        <f t="shared" si="1989"/>
        <v>132678</v>
      </c>
      <c r="Z1540" s="1447">
        <f t="shared" si="1989"/>
        <v>141590</v>
      </c>
      <c r="AA1540" s="1447">
        <f t="shared" si="1989"/>
        <v>160337</v>
      </c>
      <c r="AB1540" s="1447">
        <f t="shared" si="1989"/>
        <v>157930.1067</v>
      </c>
      <c r="AC1540" s="1447">
        <f t="shared" si="1989"/>
        <v>77336</v>
      </c>
      <c r="AD1540" s="1447">
        <f t="shared" si="1966"/>
        <v>360004</v>
      </c>
      <c r="AE1540" s="1447">
        <f t="shared" si="1967"/>
        <v>355962.9720817979</v>
      </c>
      <c r="AF1540" s="1447">
        <f t="shared" si="1968"/>
        <v>452382</v>
      </c>
      <c r="AG1540" s="1447">
        <f t="shared" si="1969"/>
        <v>395603.1067</v>
      </c>
      <c r="AH1540" s="1447">
        <f t="shared" si="1970"/>
        <v>715966.9720817979</v>
      </c>
      <c r="AI1540" s="1447">
        <f t="shared" si="1971"/>
        <v>847985.1067</v>
      </c>
      <c r="AJ1540" s="1447">
        <f t="shared" si="1972"/>
        <v>1563952.078781798</v>
      </c>
    </row>
    <row r="1541" spans="1:36" ht="14.5">
      <c r="A1541" s="616">
        <v>1</v>
      </c>
      <c r="B1541" s="616">
        <v>1</v>
      </c>
      <c r="C1541" s="616" t="s">
        <v>1540</v>
      </c>
      <c r="E1541" s="2650" t="s">
        <v>1369</v>
      </c>
      <c r="F1541" s="2651"/>
      <c r="G1541" s="1050"/>
      <c r="H1541" s="1051"/>
      <c r="I1541" s="750"/>
      <c r="J1541" s="749"/>
      <c r="K1541" s="749" t="s">
        <v>1381</v>
      </c>
      <c r="Q1541" s="1777" t="str">
        <f>CHOOSE(2, "6722000004459", "RF (2) PP Marginal Profit NH Direct")</f>
        <v>RF (2) PP Marginal Profit NH Direct</v>
      </c>
      <c r="R1541" s="17">
        <f t="shared" si="1989"/>
        <v>100042</v>
      </c>
      <c r="S1541" s="17">
        <f t="shared" si="1989"/>
        <v>107961</v>
      </c>
      <c r="T1541" s="17">
        <f t="shared" si="1989"/>
        <v>111963</v>
      </c>
      <c r="U1541" s="17">
        <f t="shared" si="1989"/>
        <v>116316</v>
      </c>
      <c r="V1541" s="17">
        <f t="shared" si="1989"/>
        <v>141146.10871553997</v>
      </c>
      <c r="W1541" s="17">
        <f t="shared" si="1989"/>
        <v>67232</v>
      </c>
      <c r="X1541" s="17">
        <f t="shared" si="1989"/>
        <v>161974.99999999997</v>
      </c>
      <c r="Y1541" s="17">
        <f t="shared" si="1989"/>
        <v>120002</v>
      </c>
      <c r="Z1541" s="17">
        <f t="shared" si="1989"/>
        <v>128348</v>
      </c>
      <c r="AA1541" s="17">
        <f t="shared" si="1989"/>
        <v>146200</v>
      </c>
      <c r="AB1541" s="17">
        <f t="shared" si="1989"/>
        <v>138441</v>
      </c>
      <c r="AC1541" s="17">
        <f t="shared" si="1989"/>
        <v>63249</v>
      </c>
      <c r="AD1541" s="17">
        <f t="shared" si="1966"/>
        <v>319966</v>
      </c>
      <c r="AE1541" s="17">
        <f t="shared" si="1967"/>
        <v>324694.10871553997</v>
      </c>
      <c r="AF1541" s="17">
        <f t="shared" si="1968"/>
        <v>410325</v>
      </c>
      <c r="AG1541" s="17">
        <f t="shared" si="1969"/>
        <v>347890</v>
      </c>
      <c r="AH1541" s="17">
        <f t="shared" si="1970"/>
        <v>644660.10871554003</v>
      </c>
      <c r="AI1541" s="17">
        <f t="shared" si="1971"/>
        <v>758215</v>
      </c>
      <c r="AJ1541" s="17">
        <f t="shared" si="1972"/>
        <v>1402875.10871554</v>
      </c>
    </row>
    <row r="1542" spans="1:36" ht="14.5">
      <c r="A1542" s="616">
        <v>1</v>
      </c>
      <c r="B1542" s="616">
        <v>1</v>
      </c>
      <c r="C1542" s="616" t="s">
        <v>1540</v>
      </c>
      <c r="E1542" s="2650" t="s">
        <v>1369</v>
      </c>
      <c r="F1542" s="2651"/>
      <c r="G1542" s="1050"/>
      <c r="H1542" s="1051"/>
      <c r="I1542" s="750"/>
      <c r="J1542" s="749"/>
      <c r="K1542" s="749" t="s">
        <v>1382</v>
      </c>
      <c r="Q1542" s="1777" t="str">
        <f>CHOOSE(2, "6722000004460", "RF (2) PP Marginal Profit NH Indirect")</f>
        <v>RF (2) PP Marginal Profit NH Indirect</v>
      </c>
      <c r="R1542" s="17">
        <f t="shared" si="1989"/>
        <v>15346</v>
      </c>
      <c r="S1542" s="17">
        <f t="shared" si="1989"/>
        <v>11231</v>
      </c>
      <c r="T1542" s="17">
        <f t="shared" si="1989"/>
        <v>13461</v>
      </c>
      <c r="U1542" s="17">
        <f t="shared" si="1989"/>
        <v>15064</v>
      </c>
      <c r="V1542" s="17">
        <f t="shared" si="1989"/>
        <v>10836.863366257916</v>
      </c>
      <c r="W1542" s="17">
        <f t="shared" si="1989"/>
        <v>5368</v>
      </c>
      <c r="X1542" s="17">
        <f t="shared" si="1989"/>
        <v>16139</v>
      </c>
      <c r="Y1542" s="17">
        <f t="shared" si="1989"/>
        <v>12676</v>
      </c>
      <c r="Z1542" s="17">
        <f t="shared" si="1989"/>
        <v>13242</v>
      </c>
      <c r="AA1542" s="17">
        <f t="shared" si="1989"/>
        <v>14137</v>
      </c>
      <c r="AB1542" s="17">
        <f t="shared" si="1989"/>
        <v>19489.106700000004</v>
      </c>
      <c r="AC1542" s="17">
        <f t="shared" si="1989"/>
        <v>14087</v>
      </c>
      <c r="AD1542" s="17">
        <f t="shared" si="1966"/>
        <v>40038</v>
      </c>
      <c r="AE1542" s="17">
        <f t="shared" si="1967"/>
        <v>31268.863366257916</v>
      </c>
      <c r="AF1542" s="17">
        <f t="shared" si="1968"/>
        <v>42057</v>
      </c>
      <c r="AG1542" s="17">
        <f t="shared" si="1969"/>
        <v>47713.106700000004</v>
      </c>
      <c r="AH1542" s="17">
        <f t="shared" si="1970"/>
        <v>71306.863366257923</v>
      </c>
      <c r="AI1542" s="17">
        <f t="shared" si="1971"/>
        <v>89770.106700000004</v>
      </c>
      <c r="AJ1542" s="17">
        <f t="shared" si="1972"/>
        <v>161076.97006625793</v>
      </c>
    </row>
    <row r="1543" spans="1:36" ht="14.5">
      <c r="A1543" s="616">
        <v>1</v>
      </c>
      <c r="B1543" s="616">
        <v>1</v>
      </c>
      <c r="C1543" s="616" t="s">
        <v>1540</v>
      </c>
      <c r="E1543" s="2650" t="s">
        <v>1369</v>
      </c>
      <c r="F1543" s="2651"/>
      <c r="G1543" s="1050"/>
      <c r="H1543" s="1051"/>
      <c r="I1543" s="750"/>
      <c r="J1543" s="1055" t="s">
        <v>1604</v>
      </c>
      <c r="K1543" s="1055"/>
      <c r="L1543" s="1056"/>
      <c r="M1543" s="213"/>
      <c r="N1543" s="213"/>
      <c r="O1543" s="213"/>
      <c r="P1543" s="213"/>
      <c r="Q1543" s="1848" t="str">
        <f>CHOOSE(2, "6722000004461", "RF (2) PP Marginal Profit Office Solution")</f>
        <v>RF (2) PP Marginal Profit Office Solution</v>
      </c>
      <c r="R1543" s="1447">
        <f t="shared" si="1989"/>
        <v>0</v>
      </c>
      <c r="S1543" s="1447">
        <f t="shared" si="1989"/>
        <v>0</v>
      </c>
      <c r="T1543" s="1447">
        <f t="shared" si="1989"/>
        <v>0</v>
      </c>
      <c r="U1543" s="1447">
        <f t="shared" si="1989"/>
        <v>0</v>
      </c>
      <c r="V1543" s="1447">
        <f t="shared" si="1989"/>
        <v>0</v>
      </c>
      <c r="W1543" s="1447">
        <f t="shared" si="1989"/>
        <v>0</v>
      </c>
      <c r="X1543" s="1447">
        <f t="shared" si="1989"/>
        <v>0</v>
      </c>
      <c r="Y1543" s="1447">
        <f t="shared" si="1989"/>
        <v>0</v>
      </c>
      <c r="Z1543" s="1447">
        <f t="shared" si="1989"/>
        <v>0</v>
      </c>
      <c r="AA1543" s="1447">
        <f t="shared" si="1989"/>
        <v>0</v>
      </c>
      <c r="AB1543" s="1447">
        <f t="shared" si="1989"/>
        <v>0</v>
      </c>
      <c r="AC1543" s="1447">
        <f t="shared" si="1989"/>
        <v>0</v>
      </c>
      <c r="AD1543" s="1447">
        <f t="shared" si="1966"/>
        <v>0</v>
      </c>
      <c r="AE1543" s="1447">
        <f t="shared" si="1967"/>
        <v>0</v>
      </c>
      <c r="AF1543" s="1447">
        <f t="shared" si="1968"/>
        <v>0</v>
      </c>
      <c r="AG1543" s="1447">
        <f t="shared" si="1969"/>
        <v>0</v>
      </c>
      <c r="AH1543" s="1447">
        <f t="shared" si="1970"/>
        <v>0</v>
      </c>
      <c r="AI1543" s="1447">
        <f t="shared" si="1971"/>
        <v>0</v>
      </c>
      <c r="AJ1543" s="1447">
        <f t="shared" si="1972"/>
        <v>0</v>
      </c>
    </row>
    <row r="1544" spans="1:36" ht="14.5">
      <c r="A1544" s="616">
        <v>1</v>
      </c>
      <c r="B1544" s="616">
        <v>1</v>
      </c>
      <c r="C1544" s="616" t="s">
        <v>1540</v>
      </c>
      <c r="E1544" s="2650" t="s">
        <v>1369</v>
      </c>
      <c r="F1544" s="2651"/>
      <c r="G1544" s="1050"/>
      <c r="H1544" s="1051"/>
      <c r="I1544" s="750"/>
      <c r="J1544" s="1055" t="s">
        <v>1386</v>
      </c>
      <c r="K1544" s="1055"/>
      <c r="L1544" s="1056"/>
      <c r="M1544" s="213"/>
      <c r="N1544" s="213"/>
      <c r="O1544" s="213"/>
      <c r="P1544" s="213"/>
      <c r="Q1544" s="1848" t="str">
        <f>CHOOSE(2, "6722000004462", "RF (2) PP Marginal Profit Others")</f>
        <v>RF (2) PP Marginal Profit Others</v>
      </c>
      <c r="R1544" s="1447">
        <f t="shared" si="1989"/>
        <v>-42870.097436612115</v>
      </c>
      <c r="S1544" s="1447">
        <f t="shared" si="1989"/>
        <v>-35213.833682844801</v>
      </c>
      <c r="T1544" s="1447">
        <f t="shared" si="1989"/>
        <v>-31987.938684800614</v>
      </c>
      <c r="U1544" s="1447">
        <f t="shared" si="1989"/>
        <v>-48892.622918824985</v>
      </c>
      <c r="V1544" s="1447">
        <f t="shared" si="1989"/>
        <v>-53486.563090539872</v>
      </c>
      <c r="W1544" s="1447">
        <f t="shared" si="1989"/>
        <v>-24617.548684937588</v>
      </c>
      <c r="X1544" s="1447">
        <f t="shared" si="1989"/>
        <v>-29671.333607622662</v>
      </c>
      <c r="Y1544" s="1447">
        <f t="shared" si="1989"/>
        <v>-41294.323064053802</v>
      </c>
      <c r="Z1544" s="1447">
        <f t="shared" si="1989"/>
        <v>-35347.167694969408</v>
      </c>
      <c r="AA1544" s="1447">
        <f t="shared" si="1989"/>
        <v>-57724.584173726296</v>
      </c>
      <c r="AB1544" s="1447">
        <f t="shared" si="1989"/>
        <v>-51375.583366575869</v>
      </c>
      <c r="AC1544" s="1447">
        <f t="shared" si="1989"/>
        <v>20729.93237792993</v>
      </c>
      <c r="AD1544" s="1447">
        <f t="shared" si="1966"/>
        <v>-110071.86980425753</v>
      </c>
      <c r="AE1544" s="1447">
        <f t="shared" si="1967"/>
        <v>-126996.73469430245</v>
      </c>
      <c r="AF1544" s="1447">
        <f t="shared" si="1968"/>
        <v>-106312.82436664587</v>
      </c>
      <c r="AG1544" s="1447">
        <f t="shared" si="1969"/>
        <v>-88370.235162372235</v>
      </c>
      <c r="AH1544" s="1447">
        <f t="shared" si="1970"/>
        <v>-237068.60449855996</v>
      </c>
      <c r="AI1544" s="1447">
        <f t="shared" si="1971"/>
        <v>-194683.05952901812</v>
      </c>
      <c r="AJ1544" s="1447">
        <f t="shared" si="1972"/>
        <v>-431751.66402757808</v>
      </c>
    </row>
    <row r="1545" spans="1:36" ht="14.5">
      <c r="A1545" s="616">
        <v>1</v>
      </c>
      <c r="B1545" s="616">
        <v>1</v>
      </c>
      <c r="C1545" s="616" t="s">
        <v>1540</v>
      </c>
      <c r="E1545" s="2650" t="s">
        <v>1369</v>
      </c>
      <c r="F1545" s="2651"/>
      <c r="G1545" s="1050"/>
      <c r="H1545" s="1051"/>
      <c r="I1545" s="3437" t="s">
        <v>1687</v>
      </c>
      <c r="J1545" s="1059"/>
      <c r="K1545" s="1059"/>
      <c r="L1545" s="1060"/>
      <c r="M1545" s="1061"/>
      <c r="N1545" s="1061"/>
      <c r="O1545" s="1061"/>
      <c r="P1545" s="1061"/>
      <c r="Q1545" s="1854" t="str">
        <f>CHOOSE(2, "6722000004463", "RF (2) PP Marginal Profit %")</f>
        <v>RF (2) PP Marginal Profit %</v>
      </c>
      <c r="R1545" s="1452">
        <f t="shared" ref="R1545:AJ1553" si="1990">IFERROR(R1536/R1518,"")</f>
        <v>0.24176515121442529</v>
      </c>
      <c r="S1545" s="1452">
        <f t="shared" si="1990"/>
        <v>0.2594436435925917</v>
      </c>
      <c r="T1545" s="1452">
        <f t="shared" si="1990"/>
        <v>0.27575578460309491</v>
      </c>
      <c r="U1545" s="1452">
        <f t="shared" si="1990"/>
        <v>0.2734278236401812</v>
      </c>
      <c r="V1545" s="1452">
        <f t="shared" si="1990"/>
        <v>0.28563244998449921</v>
      </c>
      <c r="W1545" s="1452">
        <f t="shared" si="1990"/>
        <v>0.22166321255611054</v>
      </c>
      <c r="X1545" s="1452">
        <f t="shared" si="1990"/>
        <v>0.34476438530344</v>
      </c>
      <c r="Y1545" s="1452">
        <f t="shared" si="1990"/>
        <v>0.27229531613089752</v>
      </c>
      <c r="Z1545" s="1452">
        <f t="shared" si="1990"/>
        <v>0.28782703996874348</v>
      </c>
      <c r="AA1545" s="1452">
        <f t="shared" si="1990"/>
        <v>0.28790601378550879</v>
      </c>
      <c r="AB1545" s="1452">
        <f t="shared" si="1990"/>
        <v>0.27642296962159563</v>
      </c>
      <c r="AC1545" s="1452">
        <f t="shared" si="1990"/>
        <v>0.28876875534049129</v>
      </c>
      <c r="AD1545" s="1452">
        <f t="shared" si="1990"/>
        <v>0.25897330262696117</v>
      </c>
      <c r="AE1545" s="1452">
        <f t="shared" si="1990"/>
        <v>0.26303750186054964</v>
      </c>
      <c r="AF1545" s="1452">
        <f t="shared" si="1990"/>
        <v>0.30446047770792761</v>
      </c>
      <c r="AG1545" s="1452">
        <f t="shared" si="1990"/>
        <v>0.2839085032201375</v>
      </c>
      <c r="AH1545" s="1452">
        <f t="shared" si="1990"/>
        <v>0.26104210333614586</v>
      </c>
      <c r="AI1545" s="1452">
        <f t="shared" si="1990"/>
        <v>0.29434630116728661</v>
      </c>
      <c r="AJ1545" s="1452">
        <f t="shared" si="1990"/>
        <v>0.27885984823803284</v>
      </c>
    </row>
    <row r="1546" spans="1:36" ht="14.5">
      <c r="A1546" s="616">
        <v>1</v>
      </c>
      <c r="B1546" s="616">
        <v>1</v>
      </c>
      <c r="C1546" s="616" t="s">
        <v>1540</v>
      </c>
      <c r="E1546" s="2650" t="s">
        <v>1369</v>
      </c>
      <c r="F1546" s="2651"/>
      <c r="G1546" s="1050"/>
      <c r="H1546" s="1051"/>
      <c r="I1546" s="750"/>
      <c r="J1546" s="1055" t="s">
        <v>1683</v>
      </c>
      <c r="K1546" s="1055"/>
      <c r="L1546" s="1056"/>
      <c r="M1546" s="213"/>
      <c r="N1546" s="213"/>
      <c r="O1546" s="213"/>
      <c r="P1546" s="213"/>
      <c r="Q1546" s="1848" t="str">
        <f>CHOOSE(2, "6722000004464", "RF (2) PP Marginal Profit % HW")</f>
        <v>RF (2) PP Marginal Profit % HW</v>
      </c>
      <c r="R1546" s="1449">
        <f t="shared" si="1990"/>
        <v>0.32914972600318188</v>
      </c>
      <c r="S1546" s="1449">
        <f t="shared" si="1990"/>
        <v>0.31568951209287605</v>
      </c>
      <c r="T1546" s="1449">
        <f t="shared" si="1990"/>
        <v>0.33154320012636235</v>
      </c>
      <c r="U1546" s="1449">
        <f t="shared" si="1990"/>
        <v>0.35247495037821691</v>
      </c>
      <c r="V1546" s="1449">
        <f t="shared" si="1990"/>
        <v>0.33866289309210651</v>
      </c>
      <c r="W1546" s="1449">
        <f t="shared" si="1990"/>
        <v>0.35938394504166404</v>
      </c>
      <c r="X1546" s="1449">
        <f t="shared" si="1990"/>
        <v>0.37362661118166834</v>
      </c>
      <c r="Y1546" s="1449">
        <f t="shared" si="1990"/>
        <v>0.34084706692809075</v>
      </c>
      <c r="Z1546" s="1449">
        <f t="shared" si="1990"/>
        <v>0.33008370803770404</v>
      </c>
      <c r="AA1546" s="1449">
        <f t="shared" si="1990"/>
        <v>0.36192730733552592</v>
      </c>
      <c r="AB1546" s="1449">
        <f t="shared" si="1990"/>
        <v>0.35354168090522164</v>
      </c>
      <c r="AC1546" s="1449">
        <f t="shared" si="1990"/>
        <v>0.29991329918930271</v>
      </c>
      <c r="AD1546" s="1449">
        <f t="shared" si="1990"/>
        <v>0.32537940441530455</v>
      </c>
      <c r="AE1546" s="1449">
        <f t="shared" si="1990"/>
        <v>0.34917698531594932</v>
      </c>
      <c r="AF1546" s="1449">
        <f t="shared" si="1990"/>
        <v>0.35099526557694299</v>
      </c>
      <c r="AG1546" s="1449">
        <f t="shared" si="1990"/>
        <v>0.34316022266688445</v>
      </c>
      <c r="AH1546" s="1449">
        <f t="shared" si="1990"/>
        <v>0.33865719869174482</v>
      </c>
      <c r="AI1546" s="1449">
        <f t="shared" si="1990"/>
        <v>0.3471604588581888</v>
      </c>
      <c r="AJ1546" s="1449">
        <f t="shared" si="1990"/>
        <v>0.34320311547976562</v>
      </c>
    </row>
    <row r="1547" spans="1:36" ht="14.5">
      <c r="A1547" s="616">
        <v>1</v>
      </c>
      <c r="B1547" s="616">
        <v>1</v>
      </c>
      <c r="C1547" s="616" t="s">
        <v>1540</v>
      </c>
      <c r="E1547" s="2650" t="s">
        <v>1369</v>
      </c>
      <c r="F1547" s="2651"/>
      <c r="G1547" s="1050"/>
      <c r="H1547" s="1051"/>
      <c r="I1547" s="750"/>
      <c r="J1547" s="749"/>
      <c r="K1547" s="749" t="s">
        <v>1381</v>
      </c>
      <c r="Q1547" s="1777" t="str">
        <f>CHOOSE(2, "6722000004465", "RF (2) PP Marginal Profit % HW Direct")</f>
        <v>RF (2) PP Marginal Profit % HW Direct</v>
      </c>
      <c r="R1547" s="3436">
        <f t="shared" si="1990"/>
        <v>0.33661341853035143</v>
      </c>
      <c r="S1547" s="3436">
        <f t="shared" si="1990"/>
        <v>0.31645412427759467</v>
      </c>
      <c r="T1547" s="3436">
        <f t="shared" si="1990"/>
        <v>0.35450734189888206</v>
      </c>
      <c r="U1547" s="3436">
        <f t="shared" si="1990"/>
        <v>0.37289771611805511</v>
      </c>
      <c r="V1547" s="3436">
        <f t="shared" si="1990"/>
        <v>0.34051145401830712</v>
      </c>
      <c r="W1547" s="3436">
        <f t="shared" si="1990"/>
        <v>0.37840756675782544</v>
      </c>
      <c r="X1547" s="3436">
        <f t="shared" si="1990"/>
        <v>0.37833120253127611</v>
      </c>
      <c r="Y1547" s="3436">
        <f t="shared" si="1990"/>
        <v>0.35004234596654671</v>
      </c>
      <c r="Z1547" s="3436">
        <f t="shared" si="1990"/>
        <v>0.36909955185931614</v>
      </c>
      <c r="AA1547" s="3436">
        <f t="shared" si="1990"/>
        <v>0.36878302663373963</v>
      </c>
      <c r="AB1547" s="3436">
        <f t="shared" si="1990"/>
        <v>0.35676374655900117</v>
      </c>
      <c r="AC1547" s="3436">
        <f t="shared" si="1990"/>
        <v>0.32139427497292772</v>
      </c>
      <c r="AD1547" s="3436">
        <f t="shared" si="1990"/>
        <v>0.33534113883846089</v>
      </c>
      <c r="AE1547" s="3436">
        <f t="shared" si="1990"/>
        <v>0.36219610476240055</v>
      </c>
      <c r="AF1547" s="3436">
        <f t="shared" si="1990"/>
        <v>0.36687024205842267</v>
      </c>
      <c r="AG1547" s="3436">
        <f t="shared" si="1990"/>
        <v>0.35263218872625046</v>
      </c>
      <c r="AH1547" s="3436">
        <f t="shared" si="1990"/>
        <v>0.3501844951232716</v>
      </c>
      <c r="AI1547" s="3436">
        <f t="shared" si="1990"/>
        <v>0.35993659280007717</v>
      </c>
      <c r="AJ1547" s="3436">
        <f t="shared" si="1990"/>
        <v>0.35547124171495975</v>
      </c>
    </row>
    <row r="1548" spans="1:36" ht="14.5">
      <c r="A1548" s="616">
        <v>1</v>
      </c>
      <c r="B1548" s="616">
        <v>1</v>
      </c>
      <c r="C1548" s="616" t="s">
        <v>1540</v>
      </c>
      <c r="E1548" s="2650" t="s">
        <v>1369</v>
      </c>
      <c r="F1548" s="2651"/>
      <c r="G1548" s="1050"/>
      <c r="H1548" s="1051"/>
      <c r="I1548" s="750"/>
      <c r="J1548" s="749"/>
      <c r="K1548" s="749" t="s">
        <v>1382</v>
      </c>
      <c r="Q1548" s="1777" t="str">
        <f>CHOOSE(2, "6722000004466", "RF (2) PP Marginal Profit % HW Indirect")</f>
        <v>RF (2) PP Marginal Profit % HW Indirect</v>
      </c>
      <c r="R1548" s="3436">
        <f t="shared" si="1990"/>
        <v>0.27428878153515834</v>
      </c>
      <c r="S1548" s="3436">
        <f t="shared" si="1990"/>
        <v>0.30912965087690542</v>
      </c>
      <c r="T1548" s="3436">
        <f t="shared" si="1990"/>
        <v>0.14396456256921372</v>
      </c>
      <c r="U1548" s="3436">
        <f t="shared" si="1990"/>
        <v>0.2499897376954969</v>
      </c>
      <c r="V1548" s="3436">
        <f t="shared" si="1990"/>
        <v>0.32633186977901335</v>
      </c>
      <c r="W1548" s="3436">
        <f t="shared" si="1990"/>
        <v>0.15990867579908677</v>
      </c>
      <c r="X1548" s="3436">
        <f t="shared" si="1990"/>
        <v>0.31496578832435579</v>
      </c>
      <c r="Y1548" s="3436">
        <f t="shared" si="1990"/>
        <v>0.2759025849177526</v>
      </c>
      <c r="Z1548" s="3436">
        <f t="shared" si="1990"/>
        <v>-0.15843270868824533</v>
      </c>
      <c r="AA1548" s="3436">
        <f t="shared" si="1990"/>
        <v>0.2947717518532969</v>
      </c>
      <c r="AB1548" s="3436">
        <f t="shared" si="1990"/>
        <v>0.32041870581837956</v>
      </c>
      <c r="AC1548" s="3436">
        <f t="shared" si="1990"/>
        <v>0.14964625169727722</v>
      </c>
      <c r="AD1548" s="3436">
        <f t="shared" si="1990"/>
        <v>0.24584888660059209</v>
      </c>
      <c r="AE1548" s="3436">
        <f t="shared" si="1990"/>
        <v>0.26198569036171659</v>
      </c>
      <c r="AF1548" s="3436">
        <f t="shared" si="1990"/>
        <v>0.19126009461461271</v>
      </c>
      <c r="AG1548" s="3436">
        <f t="shared" si="1990"/>
        <v>0.25726470521516231</v>
      </c>
      <c r="AH1548" s="3436">
        <f t="shared" si="1990"/>
        <v>0.25546081437157786</v>
      </c>
      <c r="AI1548" s="3436">
        <f t="shared" si="1990"/>
        <v>0.22511840068887673</v>
      </c>
      <c r="AJ1548" s="3436">
        <f t="shared" si="1990"/>
        <v>0.24113411547477839</v>
      </c>
    </row>
    <row r="1549" spans="1:36" ht="14.5">
      <c r="A1549" s="616">
        <v>1</v>
      </c>
      <c r="B1549" s="616">
        <v>1</v>
      </c>
      <c r="C1549" s="616" t="s">
        <v>1540</v>
      </c>
      <c r="E1549" s="2650" t="s">
        <v>1369</v>
      </c>
      <c r="F1549" s="2651"/>
      <c r="G1549" s="1050"/>
      <c r="H1549" s="1051"/>
      <c r="I1549" s="750"/>
      <c r="J1549" s="1055" t="s">
        <v>1684</v>
      </c>
      <c r="K1549" s="1055"/>
      <c r="L1549" s="1056"/>
      <c r="M1549" s="213"/>
      <c r="N1549" s="213"/>
      <c r="O1549" s="213"/>
      <c r="P1549" s="213"/>
      <c r="Q1549" s="1848" t="str">
        <f>CHOOSE(2, "6722000004467", "RF (2) PP Marginal Profit % NH")</f>
        <v>RF (2) PP Marginal Profit % NH</v>
      </c>
      <c r="R1549" s="1449">
        <f t="shared" si="1990"/>
        <v>0.33452099670952501</v>
      </c>
      <c r="S1549" s="1449">
        <f t="shared" si="1990"/>
        <v>0.34149891412101102</v>
      </c>
      <c r="T1549" s="1449">
        <f t="shared" si="1990"/>
        <v>0.34781065416932422</v>
      </c>
      <c r="U1549" s="1449">
        <f t="shared" si="1990"/>
        <v>0.38184867306278208</v>
      </c>
      <c r="V1549" s="1449">
        <f t="shared" si="1990"/>
        <v>0.40416478494959762</v>
      </c>
      <c r="W1549" s="1449">
        <f t="shared" si="1990"/>
        <v>0.2464308262560844</v>
      </c>
      <c r="X1549" s="1449">
        <f t="shared" si="1990"/>
        <v>0.39931129260424209</v>
      </c>
      <c r="Y1549" s="1449">
        <f t="shared" si="1990"/>
        <v>0.35512242647452436</v>
      </c>
      <c r="Z1549" s="1449">
        <f t="shared" si="1990"/>
        <v>0.36514477878297108</v>
      </c>
      <c r="AA1549" s="1449">
        <f t="shared" si="1990"/>
        <v>0.40175448267567376</v>
      </c>
      <c r="AB1549" s="1449">
        <f t="shared" si="1990"/>
        <v>0.36576945561924612</v>
      </c>
      <c r="AC1549" s="1449">
        <f t="shared" si="1990"/>
        <v>0.22486755563826261</v>
      </c>
      <c r="AD1549" s="1449">
        <f t="shared" si="1990"/>
        <v>0.34137483393721241</v>
      </c>
      <c r="AE1549" s="1449">
        <f t="shared" si="1990"/>
        <v>0.35080228664302132</v>
      </c>
      <c r="AF1549" s="1449">
        <f t="shared" si="1990"/>
        <v>0.37466550828247458</v>
      </c>
      <c r="AG1549" s="1449">
        <f t="shared" si="1990"/>
        <v>0.33674511225458276</v>
      </c>
      <c r="AH1549" s="1449">
        <f t="shared" si="1990"/>
        <v>0.3459977613171083</v>
      </c>
      <c r="AI1549" s="1449">
        <f t="shared" si="1990"/>
        <v>0.35596512601302821</v>
      </c>
      <c r="AJ1549" s="1449">
        <f t="shared" si="1990"/>
        <v>0.35133178727601161</v>
      </c>
    </row>
    <row r="1550" spans="1:36" ht="14.5">
      <c r="A1550" s="616">
        <v>1</v>
      </c>
      <c r="B1550" s="616">
        <v>1</v>
      </c>
      <c r="C1550" s="616" t="s">
        <v>1540</v>
      </c>
      <c r="E1550" s="2650" t="s">
        <v>1369</v>
      </c>
      <c r="F1550" s="2651"/>
      <c r="G1550" s="1050"/>
      <c r="H1550" s="1051"/>
      <c r="I1550" s="750"/>
      <c r="J1550" s="749"/>
      <c r="K1550" s="749" t="s">
        <v>1381</v>
      </c>
      <c r="Q1550" s="1777" t="str">
        <f>CHOOSE(2, "6722000004468", "RF (2) PP Marginal Profit % NH Direct")</f>
        <v>RF (2) PP Marginal Profit % NH Direct</v>
      </c>
      <c r="R1550" s="3436">
        <f t="shared" si="1990"/>
        <v>0.34045377047395092</v>
      </c>
      <c r="S1550" s="3436">
        <f t="shared" si="1990"/>
        <v>0.35236923358116884</v>
      </c>
      <c r="T1550" s="3436">
        <f t="shared" si="1990"/>
        <v>0.36055105254514014</v>
      </c>
      <c r="U1550" s="3436">
        <f t="shared" si="1990"/>
        <v>0.39263447484345726</v>
      </c>
      <c r="V1550" s="3436">
        <f t="shared" si="1990"/>
        <v>0.41564141638057883</v>
      </c>
      <c r="W1550" s="3436">
        <f t="shared" si="1990"/>
        <v>0.25344074307233572</v>
      </c>
      <c r="X1550" s="3436">
        <f t="shared" si="1990"/>
        <v>0.40312344449975107</v>
      </c>
      <c r="Y1550" s="3436">
        <f t="shared" si="1990"/>
        <v>0.36041182371350139</v>
      </c>
      <c r="Z1550" s="3436">
        <f t="shared" si="1990"/>
        <v>0.3760959257349149</v>
      </c>
      <c r="AA1550" s="3436">
        <f t="shared" si="1990"/>
        <v>0.41643760699341731</v>
      </c>
      <c r="AB1550" s="3436">
        <f t="shared" si="1990"/>
        <v>0.38662678664186734</v>
      </c>
      <c r="AC1550" s="3436">
        <f t="shared" si="1990"/>
        <v>0.21316199219460902</v>
      </c>
      <c r="AD1550" s="3436">
        <f t="shared" si="1990"/>
        <v>0.35131449501958789</v>
      </c>
      <c r="AE1550" s="3436">
        <f t="shared" si="1990"/>
        <v>0.36032752976271121</v>
      </c>
      <c r="AF1550" s="3436">
        <f t="shared" si="1990"/>
        <v>0.38133513998784413</v>
      </c>
      <c r="AG1550" s="3436">
        <f t="shared" si="1990"/>
        <v>0.34586152217245852</v>
      </c>
      <c r="AH1550" s="3436">
        <f t="shared" si="1990"/>
        <v>0.35579698655359338</v>
      </c>
      <c r="AI1550" s="3436">
        <f t="shared" si="1990"/>
        <v>0.3641960394584336</v>
      </c>
      <c r="AJ1550" s="3436">
        <f t="shared" si="1990"/>
        <v>0.36028772673099296</v>
      </c>
    </row>
    <row r="1551" spans="1:36" ht="14.5">
      <c r="A1551" s="616">
        <v>1</v>
      </c>
      <c r="B1551" s="616">
        <v>1</v>
      </c>
      <c r="C1551" s="616" t="s">
        <v>1540</v>
      </c>
      <c r="E1551" s="2650" t="s">
        <v>1369</v>
      </c>
      <c r="F1551" s="2651"/>
      <c r="G1551" s="1050"/>
      <c r="H1551" s="1051"/>
      <c r="I1551" s="750"/>
      <c r="J1551" s="749"/>
      <c r="K1551" s="749" t="s">
        <v>1382</v>
      </c>
      <c r="Q1551" s="1777" t="str">
        <f>CHOOSE(2, "6722000004469", "RF (2) PP Marginal Profit % NH Indirect")</f>
        <v>RF (2) PP Marginal Profit % NH Indirect</v>
      </c>
      <c r="R1551" s="3436">
        <f t="shared" si="1990"/>
        <v>0.30039541165877148</v>
      </c>
      <c r="S1551" s="3436">
        <f t="shared" si="1990"/>
        <v>0.26339118198874295</v>
      </c>
      <c r="T1551" s="3436">
        <f t="shared" si="1990"/>
        <v>0.26880603870040137</v>
      </c>
      <c r="U1551" s="3436">
        <f t="shared" si="1990"/>
        <v>0.31502781379396882</v>
      </c>
      <c r="V1551" s="3436">
        <f t="shared" si="1990"/>
        <v>0.29725995301269276</v>
      </c>
      <c r="W1551" s="3436">
        <f t="shared" si="1990"/>
        <v>0.18302703808517168</v>
      </c>
      <c r="X1551" s="3436">
        <f t="shared" si="1990"/>
        <v>0.3646984385239419</v>
      </c>
      <c r="Y1551" s="3436">
        <f t="shared" si="1990"/>
        <v>0.31180203669995571</v>
      </c>
      <c r="Z1551" s="3436">
        <f t="shared" si="1990"/>
        <v>0.28477419354838712</v>
      </c>
      <c r="AA1551" s="3436">
        <f t="shared" si="1990"/>
        <v>0.29440429829859016</v>
      </c>
      <c r="AB1551" s="3436">
        <f t="shared" si="1990"/>
        <v>0.26443476614971306</v>
      </c>
      <c r="AC1551" s="3436">
        <f t="shared" si="1990"/>
        <v>0.29845338983050845</v>
      </c>
      <c r="AD1551" s="3436">
        <f t="shared" si="1990"/>
        <v>0.27842256420241579</v>
      </c>
      <c r="AE1551" s="3436">
        <f t="shared" si="1990"/>
        <v>0.27524718078815325</v>
      </c>
      <c r="AF1551" s="3436">
        <f t="shared" si="1990"/>
        <v>0.32005144322600776</v>
      </c>
      <c r="AG1551" s="3436">
        <f t="shared" si="1990"/>
        <v>0.28245978392138293</v>
      </c>
      <c r="AH1551" s="3436">
        <f t="shared" si="1990"/>
        <v>0.27702114849884479</v>
      </c>
      <c r="AI1551" s="3436">
        <f t="shared" si="1990"/>
        <v>0.29890787941144153</v>
      </c>
      <c r="AJ1551" s="3436">
        <f t="shared" si="1990"/>
        <v>0.28880667676769967</v>
      </c>
    </row>
    <row r="1552" spans="1:36" ht="14.5">
      <c r="A1552" s="616">
        <v>1</v>
      </c>
      <c r="B1552" s="616">
        <v>1</v>
      </c>
      <c r="C1552" s="616" t="s">
        <v>1540</v>
      </c>
      <c r="E1552" s="2650" t="s">
        <v>1369</v>
      </c>
      <c r="F1552" s="2651"/>
      <c r="G1552" s="1050"/>
      <c r="H1552" s="1051"/>
      <c r="I1552" s="750"/>
      <c r="J1552" s="1055" t="s">
        <v>1604</v>
      </c>
      <c r="K1552" s="1055"/>
      <c r="L1552" s="1056"/>
      <c r="M1552" s="213"/>
      <c r="N1552" s="213"/>
      <c r="O1552" s="213"/>
      <c r="P1552" s="213"/>
      <c r="Q1552" s="1848" t="str">
        <f>CHOOSE(2, "6722000004470", "RF (2) PP Marginal Profit % Office Solution")</f>
        <v>RF (2) PP Marginal Profit % Office Solution</v>
      </c>
      <c r="R1552" s="1450" t="str">
        <f t="shared" si="1990"/>
        <v/>
      </c>
      <c r="S1552" s="1450" t="str">
        <f t="shared" si="1990"/>
        <v/>
      </c>
      <c r="T1552" s="1450" t="str">
        <f t="shared" si="1990"/>
        <v/>
      </c>
      <c r="U1552" s="1450" t="str">
        <f t="shared" si="1990"/>
        <v/>
      </c>
      <c r="V1552" s="1450" t="str">
        <f t="shared" si="1990"/>
        <v/>
      </c>
      <c r="W1552" s="1450" t="str">
        <f t="shared" si="1990"/>
        <v/>
      </c>
      <c r="X1552" s="1450" t="str">
        <f t="shared" si="1990"/>
        <v/>
      </c>
      <c r="Y1552" s="1450" t="str">
        <f t="shared" si="1990"/>
        <v/>
      </c>
      <c r="Z1552" s="1450" t="str">
        <f t="shared" si="1990"/>
        <v/>
      </c>
      <c r="AA1552" s="1450" t="str">
        <f t="shared" si="1990"/>
        <v/>
      </c>
      <c r="AB1552" s="1450" t="str">
        <f t="shared" si="1990"/>
        <v/>
      </c>
      <c r="AC1552" s="1450" t="str">
        <f t="shared" si="1990"/>
        <v/>
      </c>
      <c r="AD1552" s="1450" t="str">
        <f t="shared" si="1990"/>
        <v/>
      </c>
      <c r="AE1552" s="1450" t="str">
        <f t="shared" si="1990"/>
        <v/>
      </c>
      <c r="AF1552" s="1450" t="str">
        <f t="shared" si="1990"/>
        <v/>
      </c>
      <c r="AG1552" s="1450" t="str">
        <f t="shared" si="1990"/>
        <v/>
      </c>
      <c r="AH1552" s="1450" t="str">
        <f t="shared" si="1990"/>
        <v/>
      </c>
      <c r="AI1552" s="1450" t="str">
        <f t="shared" si="1990"/>
        <v/>
      </c>
      <c r="AJ1552" s="1450" t="str">
        <f t="shared" si="1990"/>
        <v/>
      </c>
    </row>
    <row r="1553" spans="1:36" ht="14.5">
      <c r="A1553" s="616">
        <v>1</v>
      </c>
      <c r="B1553" s="616">
        <v>1</v>
      </c>
      <c r="C1553" s="616" t="s">
        <v>1540</v>
      </c>
      <c r="E1553" s="2650" t="s">
        <v>1369</v>
      </c>
      <c r="F1553" s="2651"/>
      <c r="G1553" s="1050"/>
      <c r="H1553" s="1051"/>
      <c r="I1553" s="750"/>
      <c r="J1553" s="1055" t="s">
        <v>1386</v>
      </c>
      <c r="K1553" s="1055"/>
      <c r="L1553" s="1056"/>
      <c r="M1553" s="213"/>
      <c r="N1553" s="213"/>
      <c r="O1553" s="213"/>
      <c r="P1553" s="213"/>
      <c r="Q1553" s="1848" t="str">
        <f>CHOOSE(2, "6722000004471", "RF (2) PP Marginal Profit % Others")</f>
        <v>RF (2) PP Marginal Profit % Others</v>
      </c>
      <c r="R1553" s="1450" t="str">
        <f t="shared" si="1990"/>
        <v/>
      </c>
      <c r="S1553" s="1450" t="str">
        <f t="shared" si="1990"/>
        <v/>
      </c>
      <c r="T1553" s="1450" t="str">
        <f t="shared" si="1990"/>
        <v/>
      </c>
      <c r="U1553" s="1450" t="str">
        <f t="shared" si="1990"/>
        <v/>
      </c>
      <c r="V1553" s="1450" t="str">
        <f t="shared" si="1990"/>
        <v/>
      </c>
      <c r="W1553" s="1450" t="str">
        <f t="shared" si="1990"/>
        <v/>
      </c>
      <c r="X1553" s="1450" t="str">
        <f t="shared" si="1990"/>
        <v/>
      </c>
      <c r="Y1553" s="1450" t="str">
        <f t="shared" si="1990"/>
        <v/>
      </c>
      <c r="Z1553" s="1450" t="str">
        <f t="shared" si="1990"/>
        <v/>
      </c>
      <c r="AA1553" s="1450" t="str">
        <f t="shared" si="1990"/>
        <v/>
      </c>
      <c r="AB1553" s="1450" t="str">
        <f t="shared" si="1990"/>
        <v/>
      </c>
      <c r="AC1553" s="1450" t="str">
        <f t="shared" si="1990"/>
        <v/>
      </c>
      <c r="AD1553" s="1450" t="str">
        <f t="shared" si="1990"/>
        <v/>
      </c>
      <c r="AE1553" s="1450" t="str">
        <f t="shared" si="1990"/>
        <v/>
      </c>
      <c r="AF1553" s="1450" t="str">
        <f t="shared" si="1990"/>
        <v/>
      </c>
      <c r="AG1553" s="1450" t="str">
        <f t="shared" si="1990"/>
        <v/>
      </c>
      <c r="AH1553" s="1450" t="str">
        <f t="shared" si="1990"/>
        <v/>
      </c>
      <c r="AI1553" s="1450" t="str">
        <f t="shared" si="1990"/>
        <v/>
      </c>
      <c r="AJ1553" s="1450" t="str">
        <f t="shared" si="1990"/>
        <v/>
      </c>
    </row>
    <row r="1554" spans="1:36" ht="14.5">
      <c r="A1554" s="616">
        <v>1</v>
      </c>
      <c r="B1554" s="616">
        <v>1</v>
      </c>
      <c r="C1554" s="616" t="s">
        <v>1540</v>
      </c>
      <c r="E1554" s="2650" t="s">
        <v>1369</v>
      </c>
      <c r="F1554" s="2651"/>
      <c r="G1554" s="1050"/>
      <c r="H1554" s="1051"/>
      <c r="I1554" s="3437" t="s">
        <v>1673</v>
      </c>
      <c r="J1554" s="1059"/>
      <c r="K1554" s="1059"/>
      <c r="L1554" s="1060"/>
      <c r="M1554" s="1061"/>
      <c r="N1554" s="1061"/>
      <c r="O1554" s="1061"/>
      <c r="P1554" s="1061"/>
      <c r="Q1554" s="1854" t="str">
        <f>CHOOSE(2, "6722000004472", "RF (2) PP Fixed Cost")</f>
        <v>RF (2) PP Fixed Cost</v>
      </c>
      <c r="R1554" s="1451">
        <f>SUM(R1555:R1556)</f>
        <v>73649.336850566353</v>
      </c>
      <c r="S1554" s="1451">
        <f t="shared" ref="S1554:AC1554" si="1991">SUM(S1555:S1556)</f>
        <v>75802.753584534366</v>
      </c>
      <c r="T1554" s="1451">
        <f t="shared" si="1991"/>
        <v>89434.626579584277</v>
      </c>
      <c r="U1554" s="1451">
        <f t="shared" si="1991"/>
        <v>78308.979195929816</v>
      </c>
      <c r="V1554" s="1451">
        <f t="shared" si="1991"/>
        <v>89344.348736243774</v>
      </c>
      <c r="W1554" s="1451">
        <f t="shared" si="1991"/>
        <v>63455.848230398035</v>
      </c>
      <c r="X1554" s="1451">
        <f t="shared" si="1991"/>
        <v>138419.68853489333</v>
      </c>
      <c r="Y1554" s="1451">
        <f t="shared" si="1991"/>
        <v>89282.181376223918</v>
      </c>
      <c r="Z1554" s="1451">
        <f t="shared" si="1991"/>
        <v>86357.677234036513</v>
      </c>
      <c r="AA1554" s="1451">
        <f t="shared" si="1991"/>
        <v>101131.76501102457</v>
      </c>
      <c r="AB1554" s="1451">
        <f t="shared" si="1991"/>
        <v>77167.745974989244</v>
      </c>
      <c r="AC1554" s="1451">
        <f t="shared" si="1991"/>
        <v>84487.118051281563</v>
      </c>
      <c r="AD1554" s="1451">
        <f>SUM(R1554:T1554)</f>
        <v>238886.71701468498</v>
      </c>
      <c r="AE1554" s="1451">
        <f t="shared" ref="AE1554:AE1558" si="1992">SUM(U1554:W1554)</f>
        <v>231109.17616257162</v>
      </c>
      <c r="AF1554" s="1451">
        <f t="shared" ref="AF1554:AF1558" si="1993">SUM(X1554:Z1554)</f>
        <v>314059.54714515375</v>
      </c>
      <c r="AG1554" s="1451">
        <f t="shared" ref="AG1554:AG1558" si="1994">SUM(AA1554:AC1554)</f>
        <v>262786.62903729535</v>
      </c>
      <c r="AH1554" s="1451">
        <f t="shared" ref="AH1554:AH1558" si="1995">AD1554+AE1554</f>
        <v>469995.89317725657</v>
      </c>
      <c r="AI1554" s="1451">
        <f t="shared" ref="AI1554:AI1558" si="1996">AG1554+AF1554</f>
        <v>576846.1761824491</v>
      </c>
      <c r="AJ1554" s="1451">
        <f t="shared" ref="AJ1554:AJ1558" si="1997">AH1554+AI1554</f>
        <v>1046842.0693597057</v>
      </c>
    </row>
    <row r="1555" spans="1:36" ht="14.5">
      <c r="A1555" s="616">
        <v>1</v>
      </c>
      <c r="B1555" s="616">
        <v>1</v>
      </c>
      <c r="C1555" s="616" t="s">
        <v>1540</v>
      </c>
      <c r="E1555" s="2650" t="s">
        <v>1369</v>
      </c>
      <c r="F1555" s="2651"/>
      <c r="G1555" s="1050"/>
      <c r="H1555" s="1051"/>
      <c r="I1555" s="750"/>
      <c r="J1555" s="749" t="s">
        <v>1688</v>
      </c>
      <c r="K1555" s="749"/>
      <c r="Q1555" s="1777" t="str">
        <f>CHOOSE(2, "6722000004473", "RF (2) PP Fixed Cost COGs")</f>
        <v>RF (2) PP Fixed Cost COGs</v>
      </c>
      <c r="R1555" s="17">
        <f t="shared" ref="R1555:AC1555" si="1998">R854</f>
        <v>13687</v>
      </c>
      <c r="S1555" s="17">
        <f t="shared" si="1998"/>
        <v>14642</v>
      </c>
      <c r="T1555" s="17">
        <f t="shared" si="1998"/>
        <v>16081</v>
      </c>
      <c r="U1555" s="17">
        <f t="shared" si="1998"/>
        <v>17620</v>
      </c>
      <c r="V1555" s="17">
        <f t="shared" si="1998"/>
        <v>16858.855701118951</v>
      </c>
      <c r="W1555" s="17">
        <f t="shared" si="1998"/>
        <v>17021.748</v>
      </c>
      <c r="X1555" s="17">
        <f t="shared" si="1998"/>
        <v>27094.748</v>
      </c>
      <c r="Y1555" s="17">
        <f t="shared" si="1998"/>
        <v>15703</v>
      </c>
      <c r="Z1555" s="17">
        <f t="shared" si="1998"/>
        <v>16374</v>
      </c>
      <c r="AA1555" s="17">
        <f t="shared" si="1998"/>
        <v>15577</v>
      </c>
      <c r="AB1555" s="17">
        <f t="shared" si="1998"/>
        <v>26298.092000000001</v>
      </c>
      <c r="AC1555" s="17">
        <f t="shared" si="1998"/>
        <v>21071</v>
      </c>
      <c r="AD1555" s="17">
        <f>SUM(R1555:T1555)</f>
        <v>44410</v>
      </c>
      <c r="AE1555" s="17">
        <f t="shared" si="1992"/>
        <v>51500.603701118955</v>
      </c>
      <c r="AF1555" s="17">
        <f t="shared" si="1993"/>
        <v>59171.748</v>
      </c>
      <c r="AG1555" s="17">
        <f t="shared" si="1994"/>
        <v>62946.092000000004</v>
      </c>
      <c r="AH1555" s="17">
        <f t="shared" si="1995"/>
        <v>95910.603701118962</v>
      </c>
      <c r="AI1555" s="17">
        <f t="shared" si="1996"/>
        <v>122117.84</v>
      </c>
      <c r="AJ1555" s="17">
        <f t="shared" si="1997"/>
        <v>218028.44370111896</v>
      </c>
    </row>
    <row r="1556" spans="1:36" ht="14.5">
      <c r="A1556" s="616">
        <v>1</v>
      </c>
      <c r="B1556" s="616">
        <v>1</v>
      </c>
      <c r="C1556" s="616" t="s">
        <v>1540</v>
      </c>
      <c r="E1556" s="2650" t="s">
        <v>1369</v>
      </c>
      <c r="F1556" s="2651"/>
      <c r="G1556" s="1050"/>
      <c r="H1556" s="1051"/>
      <c r="I1556" s="750"/>
      <c r="J1556" s="749" t="s">
        <v>1689</v>
      </c>
      <c r="K1556" s="749"/>
      <c r="Q1556" s="1777" t="str">
        <f>CHOOSE(2, "6722000004474", "RF (2) PP Fixed Cost SG&amp;A")</f>
        <v>RF (2) PP Fixed Cost SG&amp;A</v>
      </c>
      <c r="R1556" s="17">
        <f t="shared" ref="R1556:AC1556" si="1999">R188+R189</f>
        <v>59962.336850566353</v>
      </c>
      <c r="S1556" s="17">
        <f t="shared" si="1999"/>
        <v>61160.753584534366</v>
      </c>
      <c r="T1556" s="17">
        <f t="shared" si="1999"/>
        <v>73353.626579584277</v>
      </c>
      <c r="U1556" s="17">
        <f t="shared" si="1999"/>
        <v>60688.979195929816</v>
      </c>
      <c r="V1556" s="17">
        <f t="shared" si="1999"/>
        <v>72485.493035124819</v>
      </c>
      <c r="W1556" s="17">
        <f t="shared" si="1999"/>
        <v>46434.100230398035</v>
      </c>
      <c r="X1556" s="17">
        <f t="shared" si="1999"/>
        <v>111324.94053489332</v>
      </c>
      <c r="Y1556" s="17">
        <f t="shared" si="1999"/>
        <v>73579.181376223918</v>
      </c>
      <c r="Z1556" s="17">
        <f t="shared" si="1999"/>
        <v>69983.677234036513</v>
      </c>
      <c r="AA1556" s="17">
        <f t="shared" si="1999"/>
        <v>85554.765011024574</v>
      </c>
      <c r="AB1556" s="17">
        <f t="shared" si="1999"/>
        <v>50869.653974989247</v>
      </c>
      <c r="AC1556" s="17">
        <f t="shared" si="1999"/>
        <v>63416.118051281563</v>
      </c>
      <c r="AD1556" s="17">
        <f>SUM(R1556:T1556)</f>
        <v>194476.71701468498</v>
      </c>
      <c r="AE1556" s="17">
        <f t="shared" si="1992"/>
        <v>179608.57246145266</v>
      </c>
      <c r="AF1556" s="17">
        <f t="shared" si="1993"/>
        <v>254887.79914515372</v>
      </c>
      <c r="AG1556" s="17">
        <f t="shared" si="1994"/>
        <v>199840.53703729541</v>
      </c>
      <c r="AH1556" s="17">
        <f t="shared" si="1995"/>
        <v>374085.28947613761</v>
      </c>
      <c r="AI1556" s="17">
        <f t="shared" si="1996"/>
        <v>454728.33618244913</v>
      </c>
      <c r="AJ1556" s="17">
        <f t="shared" si="1997"/>
        <v>828813.62565858674</v>
      </c>
    </row>
    <row r="1557" spans="1:36" ht="14.5">
      <c r="A1557" s="616">
        <v>1</v>
      </c>
      <c r="B1557" s="616">
        <v>1</v>
      </c>
      <c r="C1557" s="616" t="s">
        <v>1540</v>
      </c>
      <c r="E1557" s="2650" t="s">
        <v>1369</v>
      </c>
      <c r="F1557" s="2651"/>
      <c r="G1557" s="1050"/>
      <c r="H1557" s="1051"/>
      <c r="I1557" s="3437" t="s">
        <v>1681</v>
      </c>
      <c r="J1557" s="1059"/>
      <c r="K1557" s="1059"/>
      <c r="L1557" s="1060"/>
      <c r="M1557" s="1061"/>
      <c r="N1557" s="1061"/>
      <c r="O1557" s="1061"/>
      <c r="P1557" s="1061"/>
      <c r="Q1557" s="1854" t="str">
        <f>CHOOSE(2, "6722000004475", "RF (2) PP BCP")</f>
        <v>RF (2) PP BCP</v>
      </c>
      <c r="R1557" s="1451">
        <f>R1536-R1554</f>
        <v>39832.565712821524</v>
      </c>
      <c r="S1557" s="1451">
        <f t="shared" ref="S1557:AC1557" si="2000">S1536-S1554</f>
        <v>45075.412732620811</v>
      </c>
      <c r="T1557" s="1451">
        <f t="shared" si="2000"/>
        <v>39684.434735615083</v>
      </c>
      <c r="U1557" s="1451">
        <f t="shared" si="2000"/>
        <v>55854.397885245169</v>
      </c>
      <c r="V1557" s="1451">
        <f t="shared" si="2000"/>
        <v>66074.894564421047</v>
      </c>
      <c r="W1557" s="1451">
        <f t="shared" si="2000"/>
        <v>29725.603084664377</v>
      </c>
      <c r="X1557" s="1451">
        <f t="shared" si="2000"/>
        <v>79156.977857484017</v>
      </c>
      <c r="Y1557" s="1451">
        <f t="shared" si="2000"/>
        <v>53558.495559722302</v>
      </c>
      <c r="Z1557" s="1451">
        <f t="shared" si="2000"/>
        <v>61802.155070994093</v>
      </c>
      <c r="AA1557" s="1451">
        <f t="shared" si="2000"/>
        <v>61565.650815249159</v>
      </c>
      <c r="AB1557" s="1451">
        <f t="shared" si="2000"/>
        <v>88057.726388018244</v>
      </c>
      <c r="AC1557" s="1451">
        <f t="shared" si="2000"/>
        <v>47132.814326648353</v>
      </c>
      <c r="AD1557" s="1451">
        <f>SUM(R1557:T1557)</f>
        <v>124592.41318105742</v>
      </c>
      <c r="AE1557" s="1451">
        <f t="shared" si="1992"/>
        <v>151654.8955343306</v>
      </c>
      <c r="AF1557" s="1451">
        <f t="shared" si="1993"/>
        <v>194517.62848820043</v>
      </c>
      <c r="AG1557" s="1451">
        <f t="shared" si="1994"/>
        <v>196756.19152991578</v>
      </c>
      <c r="AH1557" s="1451">
        <f t="shared" si="1995"/>
        <v>276247.308715388</v>
      </c>
      <c r="AI1557" s="1451">
        <f t="shared" si="1996"/>
        <v>391273.82001811621</v>
      </c>
      <c r="AJ1557" s="1451">
        <f t="shared" si="1997"/>
        <v>667521.12873350421</v>
      </c>
    </row>
    <row r="1558" spans="1:36" ht="14.5">
      <c r="A1558" s="616">
        <v>1</v>
      </c>
      <c r="B1558" s="616">
        <v>1</v>
      </c>
      <c r="C1558" s="616" t="s">
        <v>1540</v>
      </c>
      <c r="E1558" s="2650" t="s">
        <v>1369</v>
      </c>
      <c r="F1558" s="2651"/>
      <c r="G1558" s="1050"/>
      <c r="H1558" s="1051"/>
      <c r="I1558" s="3437" t="s">
        <v>1678</v>
      </c>
      <c r="J1558" s="1059"/>
      <c r="K1558" s="1059"/>
      <c r="L1558" s="1060"/>
      <c r="M1558" s="1061"/>
      <c r="N1558" s="1061"/>
      <c r="O1558" s="1061"/>
      <c r="P1558" s="1061"/>
      <c r="Q1558" s="1854" t="str">
        <f>CHOOSE(2, "6722000004476", "RF (2) PP Break-even Point Net Sales")</f>
        <v>RF (2) PP Break-even Point Net Sales</v>
      </c>
      <c r="R1558" s="1451">
        <f>R1554/R1545</f>
        <v>304631.73240896745</v>
      </c>
      <c r="S1558" s="1451">
        <f t="shared" ref="S1558:AC1558" si="2001">S1554/S1545</f>
        <v>292174.25616936135</v>
      </c>
      <c r="T1558" s="1451">
        <f t="shared" si="2001"/>
        <v>324325.47773498466</v>
      </c>
      <c r="U1558" s="1451">
        <f t="shared" si="2001"/>
        <v>286397.25889410923</v>
      </c>
      <c r="V1558" s="1451">
        <f t="shared" si="2001"/>
        <v>312794.81284809322</v>
      </c>
      <c r="W1558" s="1451">
        <f t="shared" si="2001"/>
        <v>286271.44530956028</v>
      </c>
      <c r="X1558" s="1451">
        <f t="shared" si="2001"/>
        <v>401490.68301548896</v>
      </c>
      <c r="Y1558" s="1451">
        <f t="shared" si="2001"/>
        <v>327887.31971175107</v>
      </c>
      <c r="Z1558" s="1451">
        <f t="shared" si="2001"/>
        <v>300033.23260877264</v>
      </c>
      <c r="AA1558" s="1451">
        <f t="shared" si="2001"/>
        <v>351266.59454348241</v>
      </c>
      <c r="AB1558" s="1451">
        <f t="shared" si="2001"/>
        <v>279165.46183056594</v>
      </c>
      <c r="AC1558" s="1451">
        <f t="shared" si="2001"/>
        <v>292577.07590858167</v>
      </c>
      <c r="AD1558" s="1451">
        <f>SUM(R1558:T1558)</f>
        <v>921131.46631331346</v>
      </c>
      <c r="AE1558" s="1451">
        <f t="shared" si="1992"/>
        <v>885463.51705176267</v>
      </c>
      <c r="AF1558" s="1451">
        <f t="shared" si="1993"/>
        <v>1029411.2353360127</v>
      </c>
      <c r="AG1558" s="1451">
        <f t="shared" si="1994"/>
        <v>923009.13228263007</v>
      </c>
      <c r="AH1558" s="1451">
        <f t="shared" si="1995"/>
        <v>1806594.9833650761</v>
      </c>
      <c r="AI1558" s="1451">
        <f t="shared" si="1996"/>
        <v>1952420.3676186427</v>
      </c>
      <c r="AJ1558" s="1451">
        <f t="shared" si="1997"/>
        <v>3759015.3509837189</v>
      </c>
    </row>
    <row r="1559" spans="1:36" ht="14.5">
      <c r="A1559" s="616">
        <v>1</v>
      </c>
      <c r="B1559" s="616">
        <v>1</v>
      </c>
      <c r="C1559" s="616" t="s">
        <v>1540</v>
      </c>
      <c r="E1559" s="2650" t="s">
        <v>1369</v>
      </c>
      <c r="F1559" s="2651"/>
      <c r="G1559" s="1050"/>
      <c r="H1559" s="1051"/>
      <c r="I1559" s="751"/>
      <c r="J1559" s="752" t="s">
        <v>55</v>
      </c>
      <c r="K1559" s="753"/>
      <c r="L1559" s="16"/>
      <c r="M1559" s="11"/>
      <c r="N1559" s="11"/>
      <c r="O1559" s="11"/>
      <c r="P1559" s="11"/>
      <c r="Q1559" s="1772" t="str">
        <f>CHOOSE(2, "6722000004477", "RF (2) PP Break-even Point Net Sales (%)")</f>
        <v>RF (2) PP Break-even Point Net Sales (%)</v>
      </c>
      <c r="R1559" s="2654">
        <f>R1558/R1518</f>
        <v>0.64899631735930641</v>
      </c>
      <c r="S1559" s="2654">
        <f t="shared" ref="S1559:AJ1559" si="2002">S1558/S1518</f>
        <v>0.62710045903282663</v>
      </c>
      <c r="T1559" s="2654">
        <f t="shared" si="2002"/>
        <v>0.69265239127831557</v>
      </c>
      <c r="U1559" s="2654">
        <f t="shared" si="2002"/>
        <v>0.58368372129265422</v>
      </c>
      <c r="V1559" s="2654">
        <f t="shared" si="2002"/>
        <v>0.57486027366253167</v>
      </c>
      <c r="W1559" s="2654">
        <f t="shared" si="2002"/>
        <v>0.68099227190444767</v>
      </c>
      <c r="X1559" s="2654">
        <f t="shared" si="2002"/>
        <v>0.63618811166665978</v>
      </c>
      <c r="Y1559" s="2654">
        <f t="shared" si="2002"/>
        <v>0.62504731349222442</v>
      </c>
      <c r="Z1559" s="2654">
        <f t="shared" si="2002"/>
        <v>0.58286835163422579</v>
      </c>
      <c r="AA1559" s="2654">
        <f t="shared" si="2002"/>
        <v>0.62159416913549392</v>
      </c>
      <c r="AB1559" s="2654">
        <f t="shared" si="2002"/>
        <v>0.46704509220859347</v>
      </c>
      <c r="AC1559" s="2654">
        <f t="shared" si="2002"/>
        <v>0.64190215360913228</v>
      </c>
      <c r="AD1559" s="2654">
        <f t="shared" si="2002"/>
        <v>0.65629203485853504</v>
      </c>
      <c r="AE1559" s="2654">
        <f t="shared" si="2002"/>
        <v>0.60849522914048582</v>
      </c>
      <c r="AF1559" s="2654">
        <f t="shared" si="2002"/>
        <v>0.61625855717571354</v>
      </c>
      <c r="AG1559" s="2654">
        <f t="shared" si="2002"/>
        <v>0.57024096444686556</v>
      </c>
      <c r="AH1559" s="2654">
        <f t="shared" si="2002"/>
        <v>0.63196201069312175</v>
      </c>
      <c r="AI1559" s="2654">
        <f t="shared" si="2002"/>
        <v>0.59361206853242554</v>
      </c>
      <c r="AJ1559" s="2654">
        <f t="shared" si="2002"/>
        <v>0.61144479271699981</v>
      </c>
    </row>
    <row r="1560" spans="1:36" ht="14.5">
      <c r="A1560" s="616">
        <v>1</v>
      </c>
      <c r="B1560" s="616">
        <v>1</v>
      </c>
      <c r="C1560" s="616" t="s">
        <v>1540</v>
      </c>
      <c r="E1560" s="2650" t="s">
        <v>1369</v>
      </c>
      <c r="F1560" s="2651"/>
      <c r="Q1560" s="1772" t="str">
        <f>CHOOSE(2, "6722000004478", "▷ Blank 65")</f>
        <v>▷ Blank 65</v>
      </c>
    </row>
    <row r="1561" spans="1:36" ht="14.5">
      <c r="A1561" s="616">
        <v>1</v>
      </c>
      <c r="B1561" s="616">
        <v>1</v>
      </c>
      <c r="C1561" s="616" t="s">
        <v>1540</v>
      </c>
      <c r="E1561" s="2650" t="s">
        <v>1369</v>
      </c>
      <c r="F1561" s="2651"/>
      <c r="H1561" s="4" t="s">
        <v>1399</v>
      </c>
      <c r="Q1561" s="1772" t="str">
        <f>CHOOSE(2, "6722000004479", "RF (3) IP")</f>
        <v>RF (3) IP</v>
      </c>
    </row>
    <row r="1562" spans="1:36" ht="14.5">
      <c r="A1562" s="616">
        <v>1</v>
      </c>
      <c r="B1562" s="616">
        <v>1</v>
      </c>
      <c r="C1562" s="616" t="s">
        <v>1540</v>
      </c>
      <c r="E1562" s="2650" t="s">
        <v>1369</v>
      </c>
      <c r="F1562" s="2651"/>
      <c r="G1562" s="1050"/>
      <c r="H1562" s="1051"/>
      <c r="I1562" s="3438" t="s">
        <v>0</v>
      </c>
      <c r="J1562" s="1065"/>
      <c r="K1562" s="1065"/>
      <c r="L1562" s="1066"/>
      <c r="M1562" s="1067"/>
      <c r="N1562" s="1067"/>
      <c r="O1562" s="1067"/>
      <c r="P1562" s="1067"/>
      <c r="Q1562" s="1817" t="str">
        <f>CHOOSE(2, "6722000004480", "RF (3) PP Net Sales")</f>
        <v>RF (3) PP Net Sales</v>
      </c>
      <c r="R1562" s="1377">
        <f>SUM(R1563,R1566)</f>
        <v>15308</v>
      </c>
      <c r="S1562" s="1377">
        <f t="shared" ref="S1562:AC1562" si="2003">SUM(S1563,S1566)</f>
        <v>5995</v>
      </c>
      <c r="T1562" s="1377">
        <f t="shared" si="2003"/>
        <v>25668</v>
      </c>
      <c r="U1562" s="1377">
        <f t="shared" si="2003"/>
        <v>7458</v>
      </c>
      <c r="V1562" s="1377">
        <f t="shared" si="2003"/>
        <v>17448.148999999998</v>
      </c>
      <c r="W1562" s="1377">
        <f t="shared" si="2003"/>
        <v>19062</v>
      </c>
      <c r="X1562" s="1377">
        <f t="shared" si="2003"/>
        <v>7362</v>
      </c>
      <c r="Y1562" s="1377">
        <f t="shared" si="2003"/>
        <v>17023</v>
      </c>
      <c r="Z1562" s="1377">
        <f t="shared" si="2003"/>
        <v>7585</v>
      </c>
      <c r="AA1562" s="1377">
        <f t="shared" si="2003"/>
        <v>26150</v>
      </c>
      <c r="AB1562" s="1377">
        <f t="shared" si="2003"/>
        <v>8583.2560000000012</v>
      </c>
      <c r="AC1562" s="1377">
        <f t="shared" si="2003"/>
        <v>25747</v>
      </c>
      <c r="AD1562" s="1377">
        <f t="shared" ref="AD1562:AD1583" si="2004">SUM(R1562:T1562)</f>
        <v>46971</v>
      </c>
      <c r="AE1562" s="1377">
        <f t="shared" ref="AE1562:AE1583" si="2005">SUM(U1562:W1562)</f>
        <v>43968.148999999998</v>
      </c>
      <c r="AF1562" s="1377">
        <f t="shared" ref="AF1562:AF1583" si="2006">SUM(X1562:Z1562)</f>
        <v>31970</v>
      </c>
      <c r="AG1562" s="1377">
        <f t="shared" ref="AG1562:AG1583" si="2007">SUM(AA1562:AC1562)</f>
        <v>60480.256000000001</v>
      </c>
      <c r="AH1562" s="1377">
        <f t="shared" ref="AH1562:AH1583" si="2008">AD1562+AE1562</f>
        <v>90939.149000000005</v>
      </c>
      <c r="AI1562" s="1377">
        <f t="shared" ref="AI1562:AI1583" si="2009">AG1562+AF1562</f>
        <v>92450.255999999994</v>
      </c>
      <c r="AJ1562" s="1377">
        <f t="shared" ref="AJ1562:AJ1583" si="2010">AH1562+AI1562</f>
        <v>183389.405</v>
      </c>
    </row>
    <row r="1563" spans="1:36" ht="14.5">
      <c r="A1563" s="616">
        <v>1</v>
      </c>
      <c r="B1563" s="616">
        <v>1</v>
      </c>
      <c r="C1563" s="616" t="s">
        <v>1540</v>
      </c>
      <c r="E1563" s="2650" t="s">
        <v>1369</v>
      </c>
      <c r="F1563" s="2651"/>
      <c r="G1563" s="1050"/>
      <c r="H1563" s="1051"/>
      <c r="I1563" s="750"/>
      <c r="J1563" s="1055" t="s">
        <v>1683</v>
      </c>
      <c r="K1563" s="1055"/>
      <c r="L1563" s="1056"/>
      <c r="M1563" s="213"/>
      <c r="N1563" s="213"/>
      <c r="O1563" s="213"/>
      <c r="P1563" s="213"/>
      <c r="Q1563" s="1848" t="str">
        <f>CHOOSE(2, "6722000004481", "RF (3) PP Net Sales HW")</f>
        <v>RF (3) PP Net Sales HW</v>
      </c>
      <c r="R1563" s="1447">
        <f>SUM(R1564:R1565)</f>
        <v>9502</v>
      </c>
      <c r="S1563" s="1447">
        <f t="shared" ref="S1563:AC1563" si="2011">SUM(S1564:S1565)</f>
        <v>252</v>
      </c>
      <c r="T1563" s="1447">
        <f t="shared" si="2011"/>
        <v>19252</v>
      </c>
      <c r="U1563" s="1447">
        <f t="shared" si="2011"/>
        <v>252</v>
      </c>
      <c r="V1563" s="1447">
        <f t="shared" si="2011"/>
        <v>9600</v>
      </c>
      <c r="W1563" s="1447">
        <f t="shared" si="2011"/>
        <v>10756</v>
      </c>
      <c r="X1563" s="1447">
        <f t="shared" si="2011"/>
        <v>378</v>
      </c>
      <c r="Y1563" s="1447">
        <f t="shared" si="2011"/>
        <v>9900</v>
      </c>
      <c r="Z1563" s="1447">
        <f t="shared" si="2011"/>
        <v>0</v>
      </c>
      <c r="AA1563" s="1447">
        <f t="shared" si="2011"/>
        <v>18852</v>
      </c>
      <c r="AB1563" s="1447">
        <f t="shared" si="2011"/>
        <v>0</v>
      </c>
      <c r="AC1563" s="1447">
        <f t="shared" si="2011"/>
        <v>17085</v>
      </c>
      <c r="AD1563" s="1447">
        <f t="shared" si="2004"/>
        <v>29006</v>
      </c>
      <c r="AE1563" s="1447">
        <f t="shared" si="2005"/>
        <v>20608</v>
      </c>
      <c r="AF1563" s="1447">
        <f t="shared" si="2006"/>
        <v>10278</v>
      </c>
      <c r="AG1563" s="1447">
        <f t="shared" si="2007"/>
        <v>35937</v>
      </c>
      <c r="AH1563" s="1447">
        <f t="shared" si="2008"/>
        <v>49614</v>
      </c>
      <c r="AI1563" s="1447">
        <f t="shared" si="2009"/>
        <v>46215</v>
      </c>
      <c r="AJ1563" s="1447">
        <f t="shared" si="2010"/>
        <v>95829</v>
      </c>
    </row>
    <row r="1564" spans="1:36" ht="14.5">
      <c r="A1564" s="616">
        <v>1</v>
      </c>
      <c r="B1564" s="616">
        <v>1</v>
      </c>
      <c r="C1564" s="616" t="s">
        <v>1540</v>
      </c>
      <c r="E1564" s="2650" t="s">
        <v>1369</v>
      </c>
      <c r="F1564" s="2651"/>
      <c r="G1564" s="1050"/>
      <c r="H1564" s="1051"/>
      <c r="I1564" s="750"/>
      <c r="J1564" s="749"/>
      <c r="K1564" s="749" t="s">
        <v>1381</v>
      </c>
      <c r="Q1564" s="1777" t="str">
        <f>CHOOSE(2, "6722000004482", "RF (3) PP Net Sales HW Direct")</f>
        <v>RF (3) PP Net Sales HW Direct</v>
      </c>
      <c r="R1564" s="17">
        <f t="shared" ref="R1564:AC1564" si="2012">R634</f>
        <v>9502</v>
      </c>
      <c r="S1564" s="17">
        <f t="shared" si="2012"/>
        <v>252</v>
      </c>
      <c r="T1564" s="17">
        <f t="shared" si="2012"/>
        <v>19252</v>
      </c>
      <c r="U1564" s="17">
        <f t="shared" si="2012"/>
        <v>252</v>
      </c>
      <c r="V1564" s="17">
        <f t="shared" si="2012"/>
        <v>9600</v>
      </c>
      <c r="W1564" s="17">
        <f t="shared" si="2012"/>
        <v>10756</v>
      </c>
      <c r="X1564" s="17">
        <f t="shared" si="2012"/>
        <v>378</v>
      </c>
      <c r="Y1564" s="17">
        <f t="shared" si="2012"/>
        <v>9900</v>
      </c>
      <c r="Z1564" s="17">
        <f t="shared" si="2012"/>
        <v>0</v>
      </c>
      <c r="AA1564" s="17">
        <f t="shared" si="2012"/>
        <v>18852</v>
      </c>
      <c r="AB1564" s="17">
        <f t="shared" si="2012"/>
        <v>0</v>
      </c>
      <c r="AC1564" s="17">
        <f t="shared" si="2012"/>
        <v>17085</v>
      </c>
      <c r="AD1564" s="17">
        <f t="shared" si="2004"/>
        <v>29006</v>
      </c>
      <c r="AE1564" s="17">
        <f t="shared" si="2005"/>
        <v>20608</v>
      </c>
      <c r="AF1564" s="17">
        <f t="shared" si="2006"/>
        <v>10278</v>
      </c>
      <c r="AG1564" s="17">
        <f t="shared" si="2007"/>
        <v>35937</v>
      </c>
      <c r="AH1564" s="17">
        <f t="shared" si="2008"/>
        <v>49614</v>
      </c>
      <c r="AI1564" s="17">
        <f t="shared" si="2009"/>
        <v>46215</v>
      </c>
      <c r="AJ1564" s="17">
        <f t="shared" si="2010"/>
        <v>95829</v>
      </c>
    </row>
    <row r="1565" spans="1:36" ht="14.5">
      <c r="A1565" s="616">
        <v>1</v>
      </c>
      <c r="B1565" s="616">
        <v>1</v>
      </c>
      <c r="C1565" s="616" t="s">
        <v>1540</v>
      </c>
      <c r="E1565" s="2650" t="s">
        <v>1369</v>
      </c>
      <c r="F1565" s="2651"/>
      <c r="G1565" s="1050"/>
      <c r="H1565" s="1051"/>
      <c r="I1565" s="750"/>
      <c r="J1565" s="749"/>
      <c r="K1565" s="749" t="s">
        <v>1382</v>
      </c>
      <c r="Q1565" s="1777" t="str">
        <f>CHOOSE(2, "6722000004483", "RF (3) PP Net Sales HW Indirect")</f>
        <v>RF (3) PP Net Sales HW Indirect</v>
      </c>
      <c r="R1565" s="17">
        <f t="shared" ref="R1565:AC1565" si="2013">R649</f>
        <v>0</v>
      </c>
      <c r="S1565" s="17">
        <f t="shared" si="2013"/>
        <v>0</v>
      </c>
      <c r="T1565" s="17">
        <f t="shared" si="2013"/>
        <v>0</v>
      </c>
      <c r="U1565" s="17">
        <f t="shared" si="2013"/>
        <v>0</v>
      </c>
      <c r="V1565" s="17">
        <f t="shared" si="2013"/>
        <v>0</v>
      </c>
      <c r="W1565" s="17">
        <f t="shared" si="2013"/>
        <v>0</v>
      </c>
      <c r="X1565" s="17">
        <f t="shared" si="2013"/>
        <v>0</v>
      </c>
      <c r="Y1565" s="17">
        <f t="shared" si="2013"/>
        <v>0</v>
      </c>
      <c r="Z1565" s="17">
        <f t="shared" si="2013"/>
        <v>0</v>
      </c>
      <c r="AA1565" s="17">
        <f t="shared" si="2013"/>
        <v>0</v>
      </c>
      <c r="AB1565" s="17">
        <f t="shared" si="2013"/>
        <v>0</v>
      </c>
      <c r="AC1565" s="17">
        <f t="shared" si="2013"/>
        <v>0</v>
      </c>
      <c r="AD1565" s="17">
        <f t="shared" si="2004"/>
        <v>0</v>
      </c>
      <c r="AE1565" s="17">
        <f t="shared" si="2005"/>
        <v>0</v>
      </c>
      <c r="AF1565" s="17">
        <f t="shared" si="2006"/>
        <v>0</v>
      </c>
      <c r="AG1565" s="17">
        <f t="shared" si="2007"/>
        <v>0</v>
      </c>
      <c r="AH1565" s="17">
        <f t="shared" si="2008"/>
        <v>0</v>
      </c>
      <c r="AI1565" s="17">
        <f t="shared" si="2009"/>
        <v>0</v>
      </c>
      <c r="AJ1565" s="17">
        <f t="shared" si="2010"/>
        <v>0</v>
      </c>
    </row>
    <row r="1566" spans="1:36" ht="14.5">
      <c r="A1566" s="616">
        <v>1</v>
      </c>
      <c r="B1566" s="616">
        <v>1</v>
      </c>
      <c r="C1566" s="616" t="s">
        <v>1540</v>
      </c>
      <c r="E1566" s="2650" t="s">
        <v>1369</v>
      </c>
      <c r="F1566" s="2651"/>
      <c r="G1566" s="1050"/>
      <c r="H1566" s="1051"/>
      <c r="I1566" s="750"/>
      <c r="J1566" s="1055" t="s">
        <v>1684</v>
      </c>
      <c r="K1566" s="1055"/>
      <c r="L1566" s="1056"/>
      <c r="M1566" s="213"/>
      <c r="N1566" s="213"/>
      <c r="O1566" s="213"/>
      <c r="P1566" s="213"/>
      <c r="Q1566" s="1848" t="str">
        <f>CHOOSE(2, "6722000004484", "RF (3) PP Net Sales NH")</f>
        <v>RF (3) PP Net Sales NH</v>
      </c>
      <c r="R1566" s="1447">
        <f>SUM(R1567:R1568)</f>
        <v>5806</v>
      </c>
      <c r="S1566" s="1447">
        <f t="shared" ref="S1566:AC1566" si="2014">SUM(S1567:S1568)</f>
        <v>5743</v>
      </c>
      <c r="T1566" s="1447">
        <f t="shared" si="2014"/>
        <v>6416</v>
      </c>
      <c r="U1566" s="1447">
        <f t="shared" si="2014"/>
        <v>7206</v>
      </c>
      <c r="V1566" s="1447">
        <f t="shared" si="2014"/>
        <v>7848.1489999999994</v>
      </c>
      <c r="W1566" s="1447">
        <f t="shared" si="2014"/>
        <v>8306</v>
      </c>
      <c r="X1566" s="1447">
        <f t="shared" si="2014"/>
        <v>6984</v>
      </c>
      <c r="Y1566" s="1447">
        <f t="shared" si="2014"/>
        <v>7123</v>
      </c>
      <c r="Z1566" s="1447">
        <f t="shared" si="2014"/>
        <v>7585</v>
      </c>
      <c r="AA1566" s="1447">
        <f t="shared" si="2014"/>
        <v>7298</v>
      </c>
      <c r="AB1566" s="1447">
        <f t="shared" si="2014"/>
        <v>8583.2560000000012</v>
      </c>
      <c r="AC1566" s="1447">
        <f t="shared" si="2014"/>
        <v>8662</v>
      </c>
      <c r="AD1566" s="1447">
        <f t="shared" si="2004"/>
        <v>17965</v>
      </c>
      <c r="AE1566" s="1447">
        <f t="shared" si="2005"/>
        <v>23360.148999999998</v>
      </c>
      <c r="AF1566" s="1447">
        <f t="shared" si="2006"/>
        <v>21692</v>
      </c>
      <c r="AG1566" s="1447">
        <f t="shared" si="2007"/>
        <v>24543.256000000001</v>
      </c>
      <c r="AH1566" s="1447">
        <f t="shared" si="2008"/>
        <v>41325.148999999998</v>
      </c>
      <c r="AI1566" s="1447">
        <f t="shared" si="2009"/>
        <v>46235.256000000001</v>
      </c>
      <c r="AJ1566" s="1447">
        <f t="shared" si="2010"/>
        <v>87560.404999999999</v>
      </c>
    </row>
    <row r="1567" spans="1:36" ht="14.5">
      <c r="A1567" s="616">
        <v>1</v>
      </c>
      <c r="B1567" s="616">
        <v>1</v>
      </c>
      <c r="C1567" s="616" t="s">
        <v>1540</v>
      </c>
      <c r="E1567" s="2650" t="s">
        <v>1369</v>
      </c>
      <c r="F1567" s="2651"/>
      <c r="G1567" s="1050"/>
      <c r="H1567" s="1051"/>
      <c r="I1567" s="750"/>
      <c r="J1567" s="749"/>
      <c r="K1567" s="749" t="s">
        <v>1381</v>
      </c>
      <c r="Q1567" s="1777" t="str">
        <f>CHOOSE(2, "6722000004485", "RF (3) PP Net Sales NH Direct")</f>
        <v>RF (3) PP Net Sales NH Direct</v>
      </c>
      <c r="R1567" s="17">
        <f t="shared" ref="R1567:AC1567" si="2015">R641</f>
        <v>5806</v>
      </c>
      <c r="S1567" s="17">
        <f t="shared" si="2015"/>
        <v>5743</v>
      </c>
      <c r="T1567" s="17">
        <f t="shared" si="2015"/>
        <v>6416</v>
      </c>
      <c r="U1567" s="17">
        <f t="shared" si="2015"/>
        <v>7206</v>
      </c>
      <c r="V1567" s="17">
        <f t="shared" si="2015"/>
        <v>7848.1489999999994</v>
      </c>
      <c r="W1567" s="17">
        <f t="shared" si="2015"/>
        <v>8306</v>
      </c>
      <c r="X1567" s="17">
        <f t="shared" si="2015"/>
        <v>6984</v>
      </c>
      <c r="Y1567" s="17">
        <f t="shared" si="2015"/>
        <v>7123</v>
      </c>
      <c r="Z1567" s="17">
        <f t="shared" si="2015"/>
        <v>7585</v>
      </c>
      <c r="AA1567" s="17">
        <f t="shared" si="2015"/>
        <v>7298</v>
      </c>
      <c r="AB1567" s="17">
        <f t="shared" si="2015"/>
        <v>8583.2560000000012</v>
      </c>
      <c r="AC1567" s="17">
        <f t="shared" si="2015"/>
        <v>8662</v>
      </c>
      <c r="AD1567" s="17">
        <f t="shared" si="2004"/>
        <v>17965</v>
      </c>
      <c r="AE1567" s="17">
        <f t="shared" si="2005"/>
        <v>23360.148999999998</v>
      </c>
      <c r="AF1567" s="17">
        <f t="shared" si="2006"/>
        <v>21692</v>
      </c>
      <c r="AG1567" s="17">
        <f t="shared" si="2007"/>
        <v>24543.256000000001</v>
      </c>
      <c r="AH1567" s="17">
        <f t="shared" si="2008"/>
        <v>41325.148999999998</v>
      </c>
      <c r="AI1567" s="17">
        <f t="shared" si="2009"/>
        <v>46235.256000000001</v>
      </c>
      <c r="AJ1567" s="17">
        <f t="shared" si="2010"/>
        <v>87560.404999999999</v>
      </c>
    </row>
    <row r="1568" spans="1:36" ht="14.5">
      <c r="A1568" s="616">
        <v>1</v>
      </c>
      <c r="B1568" s="616">
        <v>1</v>
      </c>
      <c r="C1568" s="616" t="s">
        <v>1540</v>
      </c>
      <c r="E1568" s="2650" t="s">
        <v>1369</v>
      </c>
      <c r="F1568" s="2651"/>
      <c r="G1568" s="1050"/>
      <c r="H1568" s="1051"/>
      <c r="I1568" s="750"/>
      <c r="J1568" s="749"/>
      <c r="K1568" s="749" t="s">
        <v>1382</v>
      </c>
      <c r="Q1568" s="1777" t="str">
        <f>CHOOSE(2, "6722000004486", "RF (3) PP Net Sales NH Indirect")</f>
        <v>RF (3) PP Net Sales NH Indirect</v>
      </c>
      <c r="R1568" s="17">
        <f t="shared" ref="R1568:AC1568" si="2016">R656</f>
        <v>0</v>
      </c>
      <c r="S1568" s="17">
        <f t="shared" si="2016"/>
        <v>0</v>
      </c>
      <c r="T1568" s="17">
        <f t="shared" si="2016"/>
        <v>0</v>
      </c>
      <c r="U1568" s="17">
        <f t="shared" si="2016"/>
        <v>0</v>
      </c>
      <c r="V1568" s="17">
        <f t="shared" si="2016"/>
        <v>0</v>
      </c>
      <c r="W1568" s="17">
        <f t="shared" si="2016"/>
        <v>0</v>
      </c>
      <c r="X1568" s="17">
        <f t="shared" si="2016"/>
        <v>0</v>
      </c>
      <c r="Y1568" s="17">
        <f t="shared" si="2016"/>
        <v>0</v>
      </c>
      <c r="Z1568" s="17">
        <f t="shared" si="2016"/>
        <v>0</v>
      </c>
      <c r="AA1568" s="17">
        <f t="shared" si="2016"/>
        <v>0</v>
      </c>
      <c r="AB1568" s="17">
        <f t="shared" si="2016"/>
        <v>0</v>
      </c>
      <c r="AC1568" s="17">
        <f t="shared" si="2016"/>
        <v>0</v>
      </c>
      <c r="AD1568" s="17">
        <f t="shared" si="2004"/>
        <v>0</v>
      </c>
      <c r="AE1568" s="17">
        <f t="shared" si="2005"/>
        <v>0</v>
      </c>
      <c r="AF1568" s="17">
        <f t="shared" si="2006"/>
        <v>0</v>
      </c>
      <c r="AG1568" s="17">
        <f t="shared" si="2007"/>
        <v>0</v>
      </c>
      <c r="AH1568" s="17">
        <f t="shared" si="2008"/>
        <v>0</v>
      </c>
      <c r="AI1568" s="17">
        <f t="shared" si="2009"/>
        <v>0</v>
      </c>
      <c r="AJ1568" s="17">
        <f t="shared" si="2010"/>
        <v>0</v>
      </c>
    </row>
    <row r="1569" spans="1:36" ht="14.5">
      <c r="A1569" s="616">
        <v>1</v>
      </c>
      <c r="B1569" s="616">
        <v>1</v>
      </c>
      <c r="C1569" s="616" t="s">
        <v>1540</v>
      </c>
      <c r="E1569" s="2650" t="s">
        <v>1369</v>
      </c>
      <c r="F1569" s="2651"/>
      <c r="G1569" s="1050"/>
      <c r="H1569" s="1051"/>
      <c r="I1569" s="3438" t="s">
        <v>1685</v>
      </c>
      <c r="J1569" s="1065"/>
      <c r="K1569" s="1065"/>
      <c r="L1569" s="1066"/>
      <c r="M1569" s="1067"/>
      <c r="N1569" s="1067"/>
      <c r="O1569" s="1067"/>
      <c r="P1569" s="1067"/>
      <c r="Q1569" s="1817" t="str">
        <f>CHOOSE(2, "6722000004487", "RF (3) PP Variable cost")</f>
        <v>RF (3) PP Variable cost</v>
      </c>
      <c r="R1569" s="1377">
        <f>SUM(R1570,R1573,R1576)</f>
        <v>13549.924070561878</v>
      </c>
      <c r="S1569" s="1377">
        <f t="shared" ref="S1569:AC1569" si="2017">SUM(S1570,S1573,S1576)</f>
        <v>7945.5508913234044</v>
      </c>
      <c r="T1569" s="1377">
        <f t="shared" si="2017"/>
        <v>15990.987158671345</v>
      </c>
      <c r="U1569" s="1377">
        <f t="shared" si="2017"/>
        <v>4985.9773196471951</v>
      </c>
      <c r="V1569" s="1377">
        <f t="shared" si="2017"/>
        <v>13014.672329624706</v>
      </c>
      <c r="W1569" s="1377">
        <f t="shared" si="2017"/>
        <v>16247.977900401056</v>
      </c>
      <c r="X1569" s="1377">
        <f t="shared" si="2017"/>
        <v>3628.3357271788186</v>
      </c>
      <c r="Y1569" s="1377">
        <f t="shared" si="2017"/>
        <v>14080.001763055034</v>
      </c>
      <c r="Z1569" s="1377">
        <f t="shared" si="2017"/>
        <v>15471.423449629592</v>
      </c>
      <c r="AA1569" s="1377">
        <f t="shared" si="2017"/>
        <v>20016.405857266658</v>
      </c>
      <c r="AB1569" s="1377">
        <f t="shared" si="2017"/>
        <v>8640.4424886921006</v>
      </c>
      <c r="AC1569" s="1377">
        <f t="shared" si="2017"/>
        <v>16565.133448479759</v>
      </c>
      <c r="AD1569" s="1377">
        <f t="shared" si="2004"/>
        <v>37486.462120556622</v>
      </c>
      <c r="AE1569" s="1377">
        <f t="shared" si="2005"/>
        <v>34248.627549672958</v>
      </c>
      <c r="AF1569" s="1377">
        <f t="shared" si="2006"/>
        <v>33179.760939863445</v>
      </c>
      <c r="AG1569" s="1377">
        <f t="shared" si="2007"/>
        <v>45221.981794438514</v>
      </c>
      <c r="AH1569" s="1377">
        <f t="shared" si="2008"/>
        <v>71735.089670229587</v>
      </c>
      <c r="AI1569" s="1377">
        <f t="shared" si="2009"/>
        <v>78401.742734301952</v>
      </c>
      <c r="AJ1569" s="1377">
        <f t="shared" si="2010"/>
        <v>150136.83240453154</v>
      </c>
    </row>
    <row r="1570" spans="1:36" ht="14.5">
      <c r="A1570" s="616">
        <v>1</v>
      </c>
      <c r="B1570" s="616">
        <v>1</v>
      </c>
      <c r="C1570" s="616" t="s">
        <v>1540</v>
      </c>
      <c r="E1570" s="2650" t="s">
        <v>1369</v>
      </c>
      <c r="F1570" s="2651"/>
      <c r="G1570" s="1050"/>
      <c r="H1570" s="1051"/>
      <c r="I1570" s="750"/>
      <c r="J1570" s="1055" t="s">
        <v>1683</v>
      </c>
      <c r="K1570" s="1055"/>
      <c r="L1570" s="1056"/>
      <c r="M1570" s="213"/>
      <c r="N1570" s="213"/>
      <c r="O1570" s="213"/>
      <c r="P1570" s="213"/>
      <c r="Q1570" s="1848" t="str">
        <f>CHOOSE(2, "6722000004488", "RF (3) PP Variable cost HW")</f>
        <v>RF (3) PP Variable cost HW</v>
      </c>
      <c r="R1570" s="1447">
        <f>SUM(R1571:R1572)</f>
        <v>9036</v>
      </c>
      <c r="S1570" s="1447">
        <f t="shared" ref="S1570:AC1570" si="2018">SUM(S1571:S1572)</f>
        <v>5415</v>
      </c>
      <c r="T1570" s="1447">
        <f t="shared" si="2018"/>
        <v>11441</v>
      </c>
      <c r="U1570" s="1447">
        <f t="shared" si="2018"/>
        <v>44</v>
      </c>
      <c r="V1570" s="1447">
        <f t="shared" si="2018"/>
        <v>8080.6698978733584</v>
      </c>
      <c r="W1570" s="1447">
        <f t="shared" si="2018"/>
        <v>9119</v>
      </c>
      <c r="X1570" s="1447">
        <f t="shared" si="2018"/>
        <v>226</v>
      </c>
      <c r="Y1570" s="1447">
        <f t="shared" si="2018"/>
        <v>8810</v>
      </c>
      <c r="Z1570" s="1447">
        <f t="shared" si="2018"/>
        <v>10398</v>
      </c>
      <c r="AA1570" s="1447">
        <f t="shared" si="2018"/>
        <v>13016</v>
      </c>
      <c r="AB1570" s="1447">
        <f t="shared" si="2018"/>
        <v>208</v>
      </c>
      <c r="AC1570" s="1447">
        <f t="shared" si="2018"/>
        <v>701</v>
      </c>
      <c r="AD1570" s="1447">
        <f t="shared" si="2004"/>
        <v>25892</v>
      </c>
      <c r="AE1570" s="1447">
        <f t="shared" si="2005"/>
        <v>17243.669897873358</v>
      </c>
      <c r="AF1570" s="1447">
        <f t="shared" si="2006"/>
        <v>19434</v>
      </c>
      <c r="AG1570" s="1447">
        <f t="shared" si="2007"/>
        <v>13925</v>
      </c>
      <c r="AH1570" s="1447">
        <f t="shared" si="2008"/>
        <v>43135.669897873362</v>
      </c>
      <c r="AI1570" s="1447">
        <f t="shared" si="2009"/>
        <v>33359</v>
      </c>
      <c r="AJ1570" s="1447">
        <f t="shared" si="2010"/>
        <v>76494.669897873362</v>
      </c>
    </row>
    <row r="1571" spans="1:36" ht="14.5">
      <c r="A1571" s="616">
        <v>1</v>
      </c>
      <c r="B1571" s="616">
        <v>1</v>
      </c>
      <c r="C1571" s="616" t="s">
        <v>1540</v>
      </c>
      <c r="E1571" s="2650" t="s">
        <v>1369</v>
      </c>
      <c r="F1571" s="2651"/>
      <c r="G1571" s="1050"/>
      <c r="H1571" s="1051"/>
      <c r="I1571" s="750"/>
      <c r="J1571" s="749"/>
      <c r="K1571" s="749" t="s">
        <v>1381</v>
      </c>
      <c r="Q1571" s="1777" t="str">
        <f>CHOOSE(2, "6722000004489", "RF (3) PP Variable cost HW Direct")</f>
        <v>RF (3) PP Variable cost HW Direct</v>
      </c>
      <c r="R1571" s="17">
        <f t="shared" ref="R1571:AC1571" si="2019">R634-R665</f>
        <v>9036</v>
      </c>
      <c r="S1571" s="17">
        <f t="shared" si="2019"/>
        <v>5415</v>
      </c>
      <c r="T1571" s="17">
        <f t="shared" si="2019"/>
        <v>11441</v>
      </c>
      <c r="U1571" s="17">
        <f t="shared" si="2019"/>
        <v>44</v>
      </c>
      <c r="V1571" s="17">
        <f t="shared" si="2019"/>
        <v>8080.6698978733584</v>
      </c>
      <c r="W1571" s="17">
        <f t="shared" si="2019"/>
        <v>9119</v>
      </c>
      <c r="X1571" s="17">
        <f t="shared" si="2019"/>
        <v>226</v>
      </c>
      <c r="Y1571" s="17">
        <f t="shared" si="2019"/>
        <v>8810</v>
      </c>
      <c r="Z1571" s="17">
        <f t="shared" si="2019"/>
        <v>10398</v>
      </c>
      <c r="AA1571" s="17">
        <f t="shared" si="2019"/>
        <v>13016</v>
      </c>
      <c r="AB1571" s="17">
        <f t="shared" si="2019"/>
        <v>208</v>
      </c>
      <c r="AC1571" s="17">
        <f t="shared" si="2019"/>
        <v>701</v>
      </c>
      <c r="AD1571" s="17">
        <f t="shared" si="2004"/>
        <v>25892</v>
      </c>
      <c r="AE1571" s="17">
        <f t="shared" si="2005"/>
        <v>17243.669897873358</v>
      </c>
      <c r="AF1571" s="17">
        <f t="shared" si="2006"/>
        <v>19434</v>
      </c>
      <c r="AG1571" s="17">
        <f t="shared" si="2007"/>
        <v>13925</v>
      </c>
      <c r="AH1571" s="17">
        <f t="shared" si="2008"/>
        <v>43135.669897873362</v>
      </c>
      <c r="AI1571" s="17">
        <f t="shared" si="2009"/>
        <v>33359</v>
      </c>
      <c r="AJ1571" s="17">
        <f t="shared" si="2010"/>
        <v>76494.669897873362</v>
      </c>
    </row>
    <row r="1572" spans="1:36" ht="14.5">
      <c r="A1572" s="616">
        <v>1</v>
      </c>
      <c r="B1572" s="616">
        <v>1</v>
      </c>
      <c r="C1572" s="616" t="s">
        <v>1540</v>
      </c>
      <c r="E1572" s="2650" t="s">
        <v>1369</v>
      </c>
      <c r="F1572" s="2651"/>
      <c r="G1572" s="1050"/>
      <c r="H1572" s="1051"/>
      <c r="I1572" s="750"/>
      <c r="J1572" s="749"/>
      <c r="K1572" s="749" t="s">
        <v>1382</v>
      </c>
      <c r="Q1572" s="1777" t="str">
        <f>CHOOSE(2, "6722000004490", "RF (3) PP Variable cost HW Indirect")</f>
        <v>RF (3) PP Variable cost HW Indirect</v>
      </c>
      <c r="R1572" s="17">
        <f t="shared" ref="R1572:AC1572" si="2020">R649-R709</f>
        <v>0</v>
      </c>
      <c r="S1572" s="17">
        <f t="shared" si="2020"/>
        <v>0</v>
      </c>
      <c r="T1572" s="17">
        <f t="shared" si="2020"/>
        <v>0</v>
      </c>
      <c r="U1572" s="17">
        <f t="shared" si="2020"/>
        <v>0</v>
      </c>
      <c r="V1572" s="17">
        <f t="shared" si="2020"/>
        <v>0</v>
      </c>
      <c r="W1572" s="17">
        <f t="shared" si="2020"/>
        <v>0</v>
      </c>
      <c r="X1572" s="17">
        <f t="shared" si="2020"/>
        <v>0</v>
      </c>
      <c r="Y1572" s="17">
        <f t="shared" si="2020"/>
        <v>0</v>
      </c>
      <c r="Z1572" s="17">
        <f t="shared" si="2020"/>
        <v>0</v>
      </c>
      <c r="AA1572" s="17">
        <f t="shared" si="2020"/>
        <v>0</v>
      </c>
      <c r="AB1572" s="17">
        <f t="shared" si="2020"/>
        <v>0</v>
      </c>
      <c r="AC1572" s="17">
        <f t="shared" si="2020"/>
        <v>0</v>
      </c>
      <c r="AD1572" s="17">
        <f t="shared" si="2004"/>
        <v>0</v>
      </c>
      <c r="AE1572" s="17">
        <f t="shared" si="2005"/>
        <v>0</v>
      </c>
      <c r="AF1572" s="17">
        <f t="shared" si="2006"/>
        <v>0</v>
      </c>
      <c r="AG1572" s="17">
        <f t="shared" si="2007"/>
        <v>0</v>
      </c>
      <c r="AH1572" s="17">
        <f t="shared" si="2008"/>
        <v>0</v>
      </c>
      <c r="AI1572" s="17">
        <f t="shared" si="2009"/>
        <v>0</v>
      </c>
      <c r="AJ1572" s="17">
        <f t="shared" si="2010"/>
        <v>0</v>
      </c>
    </row>
    <row r="1573" spans="1:36" ht="14.5">
      <c r="A1573" s="616">
        <v>1</v>
      </c>
      <c r="B1573" s="616">
        <v>1</v>
      </c>
      <c r="C1573" s="616" t="s">
        <v>1540</v>
      </c>
      <c r="E1573" s="2650" t="s">
        <v>1369</v>
      </c>
      <c r="F1573" s="2651"/>
      <c r="G1573" s="1050"/>
      <c r="H1573" s="1051"/>
      <c r="I1573" s="750"/>
      <c r="J1573" s="1055" t="s">
        <v>1684</v>
      </c>
      <c r="K1573" s="1055"/>
      <c r="L1573" s="1056"/>
      <c r="M1573" s="213"/>
      <c r="N1573" s="213"/>
      <c r="O1573" s="213"/>
      <c r="P1573" s="213"/>
      <c r="Q1573" s="1848" t="str">
        <f>CHOOSE(2, "6722000004491", "RF (3) PP Variable cost NH")</f>
        <v>RF (3) PP Variable cost NH</v>
      </c>
      <c r="R1573" s="1447">
        <f>SUM(R1574:R1575)</f>
        <v>4344</v>
      </c>
      <c r="S1573" s="1447">
        <f t="shared" ref="S1573:AC1573" si="2021">SUM(S1574:S1575)</f>
        <v>2291</v>
      </c>
      <c r="T1573" s="1447">
        <f t="shared" si="2021"/>
        <v>4364</v>
      </c>
      <c r="U1573" s="1447">
        <f t="shared" si="2021"/>
        <v>4593</v>
      </c>
      <c r="V1573" s="1447">
        <f t="shared" si="2021"/>
        <v>4800.0816749741471</v>
      </c>
      <c r="W1573" s="1447">
        <f t="shared" si="2021"/>
        <v>6658</v>
      </c>
      <c r="X1573" s="1447">
        <f t="shared" si="2021"/>
        <v>3198</v>
      </c>
      <c r="Y1573" s="1447">
        <f t="shared" si="2021"/>
        <v>4781</v>
      </c>
      <c r="Z1573" s="1447">
        <f t="shared" si="2021"/>
        <v>4910</v>
      </c>
      <c r="AA1573" s="1447">
        <f t="shared" si="2021"/>
        <v>5625</v>
      </c>
      <c r="AB1573" s="1447">
        <f t="shared" si="2021"/>
        <v>6784.2167400000017</v>
      </c>
      <c r="AC1573" s="1447">
        <f t="shared" si="2021"/>
        <v>16566</v>
      </c>
      <c r="AD1573" s="1447">
        <f t="shared" si="2004"/>
        <v>10999</v>
      </c>
      <c r="AE1573" s="1447">
        <f t="shared" si="2005"/>
        <v>16051.081674974146</v>
      </c>
      <c r="AF1573" s="1447">
        <f t="shared" si="2006"/>
        <v>12889</v>
      </c>
      <c r="AG1573" s="1447">
        <f t="shared" si="2007"/>
        <v>28975.216740000003</v>
      </c>
      <c r="AH1573" s="1447">
        <f t="shared" si="2008"/>
        <v>27050.081674974146</v>
      </c>
      <c r="AI1573" s="1447">
        <f t="shared" si="2009"/>
        <v>41864.216740000003</v>
      </c>
      <c r="AJ1573" s="1447">
        <f t="shared" si="2010"/>
        <v>68914.298414974153</v>
      </c>
    </row>
    <row r="1574" spans="1:36" ht="14.5">
      <c r="A1574" s="616">
        <v>1</v>
      </c>
      <c r="B1574" s="616">
        <v>1</v>
      </c>
      <c r="C1574" s="616" t="s">
        <v>1540</v>
      </c>
      <c r="E1574" s="2650" t="s">
        <v>1369</v>
      </c>
      <c r="F1574" s="2651"/>
      <c r="G1574" s="1050"/>
      <c r="H1574" s="1051"/>
      <c r="I1574" s="750"/>
      <c r="J1574" s="749"/>
      <c r="K1574" s="749" t="s">
        <v>1381</v>
      </c>
      <c r="Q1574" s="1777" t="str">
        <f>CHOOSE(2, "6722000004492", "RF (3) PP Variable cost NH Direct")</f>
        <v>RF (3) PP Variable cost NH Direct</v>
      </c>
      <c r="R1574" s="17">
        <f t="shared" ref="R1574:AC1574" si="2022">R641-R672+(R675+R681+R687+R693+R699+R703+R706)</f>
        <v>4344</v>
      </c>
      <c r="S1574" s="17">
        <f t="shared" si="2022"/>
        <v>2291</v>
      </c>
      <c r="T1574" s="17">
        <f t="shared" si="2022"/>
        <v>4364</v>
      </c>
      <c r="U1574" s="17">
        <f t="shared" si="2022"/>
        <v>4593</v>
      </c>
      <c r="V1574" s="17">
        <f t="shared" si="2022"/>
        <v>4800.0816749741471</v>
      </c>
      <c r="W1574" s="17">
        <f t="shared" si="2022"/>
        <v>6658</v>
      </c>
      <c r="X1574" s="17">
        <f t="shared" si="2022"/>
        <v>3198</v>
      </c>
      <c r="Y1574" s="17">
        <f t="shared" si="2022"/>
        <v>4781</v>
      </c>
      <c r="Z1574" s="17">
        <f t="shared" si="2022"/>
        <v>4910</v>
      </c>
      <c r="AA1574" s="17">
        <f t="shared" si="2022"/>
        <v>5625</v>
      </c>
      <c r="AB1574" s="17">
        <f t="shared" si="2022"/>
        <v>6784.2167400000017</v>
      </c>
      <c r="AC1574" s="17">
        <f t="shared" si="2022"/>
        <v>16566</v>
      </c>
      <c r="AD1574" s="17">
        <f t="shared" si="2004"/>
        <v>10999</v>
      </c>
      <c r="AE1574" s="17">
        <f t="shared" si="2005"/>
        <v>16051.081674974146</v>
      </c>
      <c r="AF1574" s="17">
        <f t="shared" si="2006"/>
        <v>12889</v>
      </c>
      <c r="AG1574" s="17">
        <f t="shared" si="2007"/>
        <v>28975.216740000003</v>
      </c>
      <c r="AH1574" s="17">
        <f t="shared" si="2008"/>
        <v>27050.081674974146</v>
      </c>
      <c r="AI1574" s="17">
        <f t="shared" si="2009"/>
        <v>41864.216740000003</v>
      </c>
      <c r="AJ1574" s="17">
        <f t="shared" si="2010"/>
        <v>68914.298414974153</v>
      </c>
    </row>
    <row r="1575" spans="1:36" ht="14.5">
      <c r="A1575" s="616">
        <v>1</v>
      </c>
      <c r="B1575" s="616">
        <v>1</v>
      </c>
      <c r="C1575" s="616" t="s">
        <v>1540</v>
      </c>
      <c r="E1575" s="2650" t="s">
        <v>1369</v>
      </c>
      <c r="F1575" s="2651"/>
      <c r="G1575" s="1050"/>
      <c r="H1575" s="1051"/>
      <c r="I1575" s="750"/>
      <c r="J1575" s="749"/>
      <c r="K1575" s="749" t="s">
        <v>1382</v>
      </c>
      <c r="Q1575" s="1777" t="str">
        <f>CHOOSE(2, "6722000004493", "RF (3) PP Variable cost NH Indirect")</f>
        <v>RF (3) PP Variable cost NH Indirect</v>
      </c>
      <c r="R1575" s="17">
        <f t="shared" ref="R1575:AC1575" si="2023">R656-R716+(R719+R725+R731+R737+R743+R747+R750)</f>
        <v>0</v>
      </c>
      <c r="S1575" s="17">
        <f t="shared" si="2023"/>
        <v>0</v>
      </c>
      <c r="T1575" s="17">
        <f t="shared" si="2023"/>
        <v>0</v>
      </c>
      <c r="U1575" s="17">
        <f t="shared" si="2023"/>
        <v>0</v>
      </c>
      <c r="V1575" s="17">
        <f t="shared" si="2023"/>
        <v>0</v>
      </c>
      <c r="W1575" s="17">
        <f t="shared" si="2023"/>
        <v>0</v>
      </c>
      <c r="X1575" s="17">
        <f t="shared" si="2023"/>
        <v>0</v>
      </c>
      <c r="Y1575" s="17">
        <f t="shared" si="2023"/>
        <v>0</v>
      </c>
      <c r="Z1575" s="17">
        <f t="shared" si="2023"/>
        <v>0</v>
      </c>
      <c r="AA1575" s="17">
        <f t="shared" si="2023"/>
        <v>0</v>
      </c>
      <c r="AB1575" s="17">
        <f t="shared" si="2023"/>
        <v>0</v>
      </c>
      <c r="AC1575" s="17">
        <f t="shared" si="2023"/>
        <v>0</v>
      </c>
      <c r="AD1575" s="17">
        <f t="shared" si="2004"/>
        <v>0</v>
      </c>
      <c r="AE1575" s="17">
        <f t="shared" si="2005"/>
        <v>0</v>
      </c>
      <c r="AF1575" s="17">
        <f t="shared" si="2006"/>
        <v>0</v>
      </c>
      <c r="AG1575" s="17">
        <f t="shared" si="2007"/>
        <v>0</v>
      </c>
      <c r="AH1575" s="17">
        <f t="shared" si="2008"/>
        <v>0</v>
      </c>
      <c r="AI1575" s="17">
        <f t="shared" si="2009"/>
        <v>0</v>
      </c>
      <c r="AJ1575" s="17">
        <f t="shared" si="2010"/>
        <v>0</v>
      </c>
    </row>
    <row r="1576" spans="1:36" ht="14.5">
      <c r="A1576" s="616">
        <v>1</v>
      </c>
      <c r="B1576" s="616">
        <v>1</v>
      </c>
      <c r="C1576" s="616" t="s">
        <v>1540</v>
      </c>
      <c r="E1576" s="2650" t="s">
        <v>1369</v>
      </c>
      <c r="F1576" s="2651"/>
      <c r="G1576" s="1050"/>
      <c r="H1576" s="1051"/>
      <c r="I1576" s="750"/>
      <c r="J1576" s="1055" t="s">
        <v>1690</v>
      </c>
      <c r="K1576" s="1055"/>
      <c r="L1576" s="1056"/>
      <c r="M1576" s="213"/>
      <c r="N1576" s="213"/>
      <c r="O1576" s="213"/>
      <c r="P1576" s="213"/>
      <c r="Q1576" s="1848" t="str">
        <f>CHOOSE(2, "6722000004494", "RF (3) PP Variable cost SG&amp;A variable")</f>
        <v>RF (3) PP Variable cost SG&amp;A variable</v>
      </c>
      <c r="R1576" s="1447">
        <f t="shared" ref="R1576:AC1576" si="2024">R269</f>
        <v>169.92407056187767</v>
      </c>
      <c r="S1576" s="1447">
        <f t="shared" si="2024"/>
        <v>239.55089132340413</v>
      </c>
      <c r="T1576" s="1447">
        <f t="shared" si="2024"/>
        <v>185.98715867134592</v>
      </c>
      <c r="U1576" s="1447">
        <f t="shared" si="2024"/>
        <v>348.9773196471948</v>
      </c>
      <c r="V1576" s="1447">
        <f t="shared" si="2024"/>
        <v>133.9207567772001</v>
      </c>
      <c r="W1576" s="1447">
        <f t="shared" si="2024"/>
        <v>470.97790040105588</v>
      </c>
      <c r="X1576" s="1447">
        <f t="shared" si="2024"/>
        <v>204.33572717881862</v>
      </c>
      <c r="Y1576" s="1447">
        <f t="shared" si="2024"/>
        <v>489.00176305503419</v>
      </c>
      <c r="Z1576" s="1447">
        <f t="shared" si="2024"/>
        <v>163.4234496295926</v>
      </c>
      <c r="AA1576" s="1447">
        <f t="shared" si="2024"/>
        <v>1375.4058572666568</v>
      </c>
      <c r="AB1576" s="1447">
        <f t="shared" si="2024"/>
        <v>1648.2257486920998</v>
      </c>
      <c r="AC1576" s="1447">
        <f t="shared" si="2024"/>
        <v>-701.86655152023945</v>
      </c>
      <c r="AD1576" s="1447">
        <f t="shared" si="2004"/>
        <v>595.46212055662772</v>
      </c>
      <c r="AE1576" s="1447">
        <f t="shared" ref="AE1576" si="2025">SUM(U1576:W1576)</f>
        <v>953.87597682545083</v>
      </c>
      <c r="AF1576" s="1447">
        <f t="shared" ref="AF1576" si="2026">SUM(X1576:Z1576)</f>
        <v>856.7609398634454</v>
      </c>
      <c r="AG1576" s="1447">
        <f t="shared" ref="AG1576" si="2027">SUM(AA1576:AC1576)</f>
        <v>2321.7650544385169</v>
      </c>
      <c r="AH1576" s="1447">
        <f t="shared" si="2008"/>
        <v>1549.3380973820786</v>
      </c>
      <c r="AI1576" s="1447">
        <f t="shared" si="2009"/>
        <v>3178.5259943019623</v>
      </c>
      <c r="AJ1576" s="1447">
        <f t="shared" si="2010"/>
        <v>4727.8640916840413</v>
      </c>
    </row>
    <row r="1577" spans="1:36" ht="14.5">
      <c r="A1577" s="616">
        <v>1</v>
      </c>
      <c r="B1577" s="616">
        <v>1</v>
      </c>
      <c r="C1577" s="616" t="s">
        <v>1540</v>
      </c>
      <c r="E1577" s="2650" t="s">
        <v>1369</v>
      </c>
      <c r="F1577" s="2651"/>
      <c r="G1577" s="1050"/>
      <c r="H1577" s="1051"/>
      <c r="I1577" s="3438" t="s">
        <v>1670</v>
      </c>
      <c r="J1577" s="1065"/>
      <c r="K1577" s="1065"/>
      <c r="L1577" s="1066"/>
      <c r="M1577" s="1067"/>
      <c r="N1577" s="1067"/>
      <c r="O1577" s="1067"/>
      <c r="P1577" s="1067"/>
      <c r="Q1577" s="1817" t="str">
        <f>CHOOSE(2, "6722000004495", "RF (3) PP Marginal Profit")</f>
        <v>RF (3) PP Marginal Profit</v>
      </c>
      <c r="R1577" s="1377">
        <f t="shared" ref="R1577:AC1583" si="2028">R1562-R1569</f>
        <v>1758.0759294381223</v>
      </c>
      <c r="S1577" s="1377">
        <f t="shared" si="2028"/>
        <v>-1950.5508913234044</v>
      </c>
      <c r="T1577" s="1377">
        <f t="shared" si="2028"/>
        <v>9677.0128413286548</v>
      </c>
      <c r="U1577" s="1377">
        <f t="shared" si="2028"/>
        <v>2472.0226803528049</v>
      </c>
      <c r="V1577" s="1377">
        <f t="shared" si="2028"/>
        <v>4433.4766703752921</v>
      </c>
      <c r="W1577" s="1377">
        <f t="shared" si="2028"/>
        <v>2814.0220995989439</v>
      </c>
      <c r="X1577" s="1377">
        <f t="shared" si="2028"/>
        <v>3733.6642728211814</v>
      </c>
      <c r="Y1577" s="1377">
        <f t="shared" si="2028"/>
        <v>2942.9982369449663</v>
      </c>
      <c r="Z1577" s="1377">
        <f t="shared" si="2028"/>
        <v>-7886.4234496295921</v>
      </c>
      <c r="AA1577" s="1377">
        <f t="shared" si="2028"/>
        <v>6133.5941427333419</v>
      </c>
      <c r="AB1577" s="1377">
        <f t="shared" si="2028"/>
        <v>-57.186488692099374</v>
      </c>
      <c r="AC1577" s="1377">
        <f t="shared" si="2028"/>
        <v>9181.866551520241</v>
      </c>
      <c r="AD1577" s="1377">
        <f t="shared" si="2004"/>
        <v>9484.5378794433727</v>
      </c>
      <c r="AE1577" s="1377">
        <f t="shared" si="2005"/>
        <v>9719.5214503270399</v>
      </c>
      <c r="AF1577" s="1377">
        <f t="shared" si="2006"/>
        <v>-1209.7609398634449</v>
      </c>
      <c r="AG1577" s="1377">
        <f t="shared" si="2007"/>
        <v>15258.274205561484</v>
      </c>
      <c r="AH1577" s="1377">
        <f t="shared" si="2008"/>
        <v>19204.059329770411</v>
      </c>
      <c r="AI1577" s="1377">
        <f t="shared" si="2009"/>
        <v>14048.513265698039</v>
      </c>
      <c r="AJ1577" s="1377">
        <f t="shared" si="2010"/>
        <v>33252.572595468446</v>
      </c>
    </row>
    <row r="1578" spans="1:36" ht="14.5">
      <c r="A1578" s="616">
        <v>1</v>
      </c>
      <c r="B1578" s="616">
        <v>1</v>
      </c>
      <c r="C1578" s="616" t="s">
        <v>1540</v>
      </c>
      <c r="E1578" s="2650" t="s">
        <v>1369</v>
      </c>
      <c r="F1578" s="2651"/>
      <c r="G1578" s="1050"/>
      <c r="H1578" s="1051"/>
      <c r="I1578" s="750"/>
      <c r="J1578" s="1055" t="s">
        <v>1683</v>
      </c>
      <c r="K1578" s="1055"/>
      <c r="L1578" s="1056"/>
      <c r="M1578" s="213"/>
      <c r="N1578" s="213"/>
      <c r="O1578" s="213"/>
      <c r="P1578" s="213"/>
      <c r="Q1578" s="1848" t="str">
        <f>CHOOSE(2, "6722000004496", "RF (3) PP Marginal Profit HW")</f>
        <v>RF (3) PP Marginal Profit HW</v>
      </c>
      <c r="R1578" s="1447">
        <f t="shared" si="2028"/>
        <v>466</v>
      </c>
      <c r="S1578" s="1447">
        <f t="shared" si="2028"/>
        <v>-5163</v>
      </c>
      <c r="T1578" s="1447">
        <f t="shared" si="2028"/>
        <v>7811</v>
      </c>
      <c r="U1578" s="1447">
        <f t="shared" si="2028"/>
        <v>208</v>
      </c>
      <c r="V1578" s="1447">
        <f t="shared" si="2028"/>
        <v>1519.3301021266416</v>
      </c>
      <c r="W1578" s="1447">
        <f t="shared" si="2028"/>
        <v>1637</v>
      </c>
      <c r="X1578" s="1447">
        <f t="shared" si="2028"/>
        <v>152</v>
      </c>
      <c r="Y1578" s="1447">
        <f t="shared" si="2028"/>
        <v>1090</v>
      </c>
      <c r="Z1578" s="1447">
        <f t="shared" si="2028"/>
        <v>-10398</v>
      </c>
      <c r="AA1578" s="1447">
        <f t="shared" si="2028"/>
        <v>5836</v>
      </c>
      <c r="AB1578" s="1447">
        <f t="shared" si="2028"/>
        <v>-208</v>
      </c>
      <c r="AC1578" s="1447">
        <f t="shared" si="2028"/>
        <v>16384</v>
      </c>
      <c r="AD1578" s="1447">
        <f t="shared" si="2004"/>
        <v>3114</v>
      </c>
      <c r="AE1578" s="1447">
        <f t="shared" si="2005"/>
        <v>3364.3301021266416</v>
      </c>
      <c r="AF1578" s="1447">
        <f t="shared" si="2006"/>
        <v>-9156</v>
      </c>
      <c r="AG1578" s="1447">
        <f t="shared" si="2007"/>
        <v>22012</v>
      </c>
      <c r="AH1578" s="1447">
        <f t="shared" si="2008"/>
        <v>6478.3301021266416</v>
      </c>
      <c r="AI1578" s="1447">
        <f t="shared" si="2009"/>
        <v>12856</v>
      </c>
      <c r="AJ1578" s="1447">
        <f t="shared" si="2010"/>
        <v>19334.330102126642</v>
      </c>
    </row>
    <row r="1579" spans="1:36" ht="14.5">
      <c r="A1579" s="616">
        <v>1</v>
      </c>
      <c r="B1579" s="616">
        <v>1</v>
      </c>
      <c r="C1579" s="616" t="s">
        <v>1540</v>
      </c>
      <c r="E1579" s="2650" t="s">
        <v>1369</v>
      </c>
      <c r="F1579" s="2651"/>
      <c r="G1579" s="1050"/>
      <c r="H1579" s="1051"/>
      <c r="I1579" s="750"/>
      <c r="J1579" s="749"/>
      <c r="K1579" s="749" t="s">
        <v>1381</v>
      </c>
      <c r="Q1579" s="1777" t="str">
        <f>CHOOSE(2, "6722000004497", "RF (3) PP Marginal Profit HW Direct")</f>
        <v>RF (3) PP Marginal Profit HW Direct</v>
      </c>
      <c r="R1579" s="17">
        <f t="shared" si="2028"/>
        <v>466</v>
      </c>
      <c r="S1579" s="17">
        <f t="shared" si="2028"/>
        <v>-5163</v>
      </c>
      <c r="T1579" s="17">
        <f t="shared" si="2028"/>
        <v>7811</v>
      </c>
      <c r="U1579" s="17">
        <f t="shared" si="2028"/>
        <v>208</v>
      </c>
      <c r="V1579" s="17">
        <f t="shared" si="2028"/>
        <v>1519.3301021266416</v>
      </c>
      <c r="W1579" s="17">
        <f t="shared" si="2028"/>
        <v>1637</v>
      </c>
      <c r="X1579" s="17">
        <f t="shared" si="2028"/>
        <v>152</v>
      </c>
      <c r="Y1579" s="17">
        <f t="shared" si="2028"/>
        <v>1090</v>
      </c>
      <c r="Z1579" s="17">
        <f t="shared" si="2028"/>
        <v>-10398</v>
      </c>
      <c r="AA1579" s="17">
        <f t="shared" si="2028"/>
        <v>5836</v>
      </c>
      <c r="AB1579" s="17">
        <f t="shared" si="2028"/>
        <v>-208</v>
      </c>
      <c r="AC1579" s="17">
        <f t="shared" si="2028"/>
        <v>16384</v>
      </c>
      <c r="AD1579" s="17">
        <f t="shared" si="2004"/>
        <v>3114</v>
      </c>
      <c r="AE1579" s="17">
        <f t="shared" si="2005"/>
        <v>3364.3301021266416</v>
      </c>
      <c r="AF1579" s="17">
        <f t="shared" si="2006"/>
        <v>-9156</v>
      </c>
      <c r="AG1579" s="17">
        <f t="shared" si="2007"/>
        <v>22012</v>
      </c>
      <c r="AH1579" s="17">
        <f t="shared" si="2008"/>
        <v>6478.3301021266416</v>
      </c>
      <c r="AI1579" s="17">
        <f t="shared" si="2009"/>
        <v>12856</v>
      </c>
      <c r="AJ1579" s="17">
        <f t="shared" si="2010"/>
        <v>19334.330102126642</v>
      </c>
    </row>
    <row r="1580" spans="1:36" ht="14.5">
      <c r="A1580" s="616">
        <v>1</v>
      </c>
      <c r="B1580" s="616">
        <v>1</v>
      </c>
      <c r="C1580" s="616" t="s">
        <v>1540</v>
      </c>
      <c r="E1580" s="2650" t="s">
        <v>1369</v>
      </c>
      <c r="F1580" s="2651"/>
      <c r="G1580" s="1050"/>
      <c r="H1580" s="1051"/>
      <c r="I1580" s="750"/>
      <c r="J1580" s="749"/>
      <c r="K1580" s="749" t="s">
        <v>1382</v>
      </c>
      <c r="Q1580" s="1777" t="str">
        <f>CHOOSE(2, "6722000004498", "RF (3) PP Marginal Profit HW Indirect")</f>
        <v>RF (3) PP Marginal Profit HW Indirect</v>
      </c>
      <c r="R1580" s="17">
        <f t="shared" si="2028"/>
        <v>0</v>
      </c>
      <c r="S1580" s="17">
        <f t="shared" si="2028"/>
        <v>0</v>
      </c>
      <c r="T1580" s="17">
        <f t="shared" si="2028"/>
        <v>0</v>
      </c>
      <c r="U1580" s="17">
        <f t="shared" si="2028"/>
        <v>0</v>
      </c>
      <c r="V1580" s="17">
        <f t="shared" si="2028"/>
        <v>0</v>
      </c>
      <c r="W1580" s="17">
        <f t="shared" si="2028"/>
        <v>0</v>
      </c>
      <c r="X1580" s="17">
        <f t="shared" si="2028"/>
        <v>0</v>
      </c>
      <c r="Y1580" s="17">
        <f t="shared" si="2028"/>
        <v>0</v>
      </c>
      <c r="Z1580" s="17">
        <f t="shared" si="2028"/>
        <v>0</v>
      </c>
      <c r="AA1580" s="17">
        <f t="shared" si="2028"/>
        <v>0</v>
      </c>
      <c r="AB1580" s="17">
        <f t="shared" si="2028"/>
        <v>0</v>
      </c>
      <c r="AC1580" s="17">
        <f t="shared" si="2028"/>
        <v>0</v>
      </c>
      <c r="AD1580" s="17">
        <f t="shared" si="2004"/>
        <v>0</v>
      </c>
      <c r="AE1580" s="17">
        <f t="shared" si="2005"/>
        <v>0</v>
      </c>
      <c r="AF1580" s="17">
        <f t="shared" si="2006"/>
        <v>0</v>
      </c>
      <c r="AG1580" s="17">
        <f t="shared" si="2007"/>
        <v>0</v>
      </c>
      <c r="AH1580" s="17">
        <f t="shared" si="2008"/>
        <v>0</v>
      </c>
      <c r="AI1580" s="17">
        <f t="shared" si="2009"/>
        <v>0</v>
      </c>
      <c r="AJ1580" s="17">
        <f t="shared" si="2010"/>
        <v>0</v>
      </c>
    </row>
    <row r="1581" spans="1:36" ht="14.5">
      <c r="A1581" s="616">
        <v>1</v>
      </c>
      <c r="B1581" s="616">
        <v>1</v>
      </c>
      <c r="C1581" s="616" t="s">
        <v>1540</v>
      </c>
      <c r="E1581" s="2650" t="s">
        <v>1369</v>
      </c>
      <c r="F1581" s="2651"/>
      <c r="G1581" s="1050"/>
      <c r="H1581" s="1051"/>
      <c r="I1581" s="750"/>
      <c r="J1581" s="1055" t="s">
        <v>1684</v>
      </c>
      <c r="K1581" s="1055"/>
      <c r="L1581" s="1056"/>
      <c r="M1581" s="213"/>
      <c r="N1581" s="213"/>
      <c r="O1581" s="213"/>
      <c r="P1581" s="213"/>
      <c r="Q1581" s="1848" t="str">
        <f>CHOOSE(2, "6722000004499", "RF (3) PP Marginal Profit NH")</f>
        <v>RF (3) PP Marginal Profit NH</v>
      </c>
      <c r="R1581" s="1447">
        <f t="shared" si="2028"/>
        <v>1462</v>
      </c>
      <c r="S1581" s="1447">
        <f t="shared" si="2028"/>
        <v>3452</v>
      </c>
      <c r="T1581" s="1447">
        <f t="shared" si="2028"/>
        <v>2052</v>
      </c>
      <c r="U1581" s="1447">
        <f t="shared" si="2028"/>
        <v>2613</v>
      </c>
      <c r="V1581" s="1447">
        <f t="shared" si="2028"/>
        <v>3048.0673250258524</v>
      </c>
      <c r="W1581" s="1447">
        <f t="shared" si="2028"/>
        <v>1648</v>
      </c>
      <c r="X1581" s="1447">
        <f t="shared" si="2028"/>
        <v>3786</v>
      </c>
      <c r="Y1581" s="1447">
        <f t="shared" si="2028"/>
        <v>2342</v>
      </c>
      <c r="Z1581" s="1447">
        <f t="shared" si="2028"/>
        <v>2675</v>
      </c>
      <c r="AA1581" s="1447">
        <f t="shared" si="2028"/>
        <v>1673</v>
      </c>
      <c r="AB1581" s="1447">
        <f t="shared" si="2028"/>
        <v>1799.0392599999996</v>
      </c>
      <c r="AC1581" s="1447">
        <f t="shared" si="2028"/>
        <v>-7904</v>
      </c>
      <c r="AD1581" s="1447">
        <f t="shared" si="2004"/>
        <v>6966</v>
      </c>
      <c r="AE1581" s="1447">
        <f t="shared" si="2005"/>
        <v>7309.0673250258524</v>
      </c>
      <c r="AF1581" s="1447">
        <f t="shared" si="2006"/>
        <v>8803</v>
      </c>
      <c r="AG1581" s="1447">
        <f t="shared" si="2007"/>
        <v>-4431.9607400000004</v>
      </c>
      <c r="AH1581" s="1447">
        <f t="shared" si="2008"/>
        <v>14275.067325025851</v>
      </c>
      <c r="AI1581" s="1447">
        <f t="shared" si="2009"/>
        <v>4371.0392599999996</v>
      </c>
      <c r="AJ1581" s="1447">
        <f t="shared" si="2010"/>
        <v>18646.106585025853</v>
      </c>
    </row>
    <row r="1582" spans="1:36" ht="14.5">
      <c r="A1582" s="616">
        <v>1</v>
      </c>
      <c r="B1582" s="616">
        <v>1</v>
      </c>
      <c r="C1582" s="616" t="s">
        <v>1540</v>
      </c>
      <c r="E1582" s="2650" t="s">
        <v>1369</v>
      </c>
      <c r="F1582" s="2651"/>
      <c r="G1582" s="1050"/>
      <c r="H1582" s="1051"/>
      <c r="I1582" s="750"/>
      <c r="J1582" s="749"/>
      <c r="K1582" s="749" t="s">
        <v>1381</v>
      </c>
      <c r="Q1582" s="1777" t="str">
        <f>CHOOSE(2, "6722000004500", "RF (3) PP Marginal Profit NH Direct")</f>
        <v>RF (3) PP Marginal Profit NH Direct</v>
      </c>
      <c r="R1582" s="17">
        <f t="shared" si="2028"/>
        <v>1462</v>
      </c>
      <c r="S1582" s="17">
        <f t="shared" si="2028"/>
        <v>3452</v>
      </c>
      <c r="T1582" s="17">
        <f t="shared" si="2028"/>
        <v>2052</v>
      </c>
      <c r="U1582" s="17">
        <f t="shared" si="2028"/>
        <v>2613</v>
      </c>
      <c r="V1582" s="17">
        <f t="shared" si="2028"/>
        <v>3048.0673250258524</v>
      </c>
      <c r="W1582" s="17">
        <f t="shared" si="2028"/>
        <v>1648</v>
      </c>
      <c r="X1582" s="17">
        <f t="shared" si="2028"/>
        <v>3786</v>
      </c>
      <c r="Y1582" s="17">
        <f t="shared" si="2028"/>
        <v>2342</v>
      </c>
      <c r="Z1582" s="17">
        <f t="shared" si="2028"/>
        <v>2675</v>
      </c>
      <c r="AA1582" s="17">
        <f t="shared" si="2028"/>
        <v>1673</v>
      </c>
      <c r="AB1582" s="17">
        <f t="shared" si="2028"/>
        <v>1799.0392599999996</v>
      </c>
      <c r="AC1582" s="17">
        <f t="shared" si="2028"/>
        <v>-7904</v>
      </c>
      <c r="AD1582" s="17">
        <f t="shared" si="2004"/>
        <v>6966</v>
      </c>
      <c r="AE1582" s="17">
        <f t="shared" si="2005"/>
        <v>7309.0673250258524</v>
      </c>
      <c r="AF1582" s="17">
        <f t="shared" si="2006"/>
        <v>8803</v>
      </c>
      <c r="AG1582" s="17">
        <f t="shared" si="2007"/>
        <v>-4431.9607400000004</v>
      </c>
      <c r="AH1582" s="17">
        <f t="shared" si="2008"/>
        <v>14275.067325025851</v>
      </c>
      <c r="AI1582" s="17">
        <f t="shared" si="2009"/>
        <v>4371.0392599999996</v>
      </c>
      <c r="AJ1582" s="17">
        <f t="shared" si="2010"/>
        <v>18646.106585025853</v>
      </c>
    </row>
    <row r="1583" spans="1:36" ht="14.5">
      <c r="A1583" s="616">
        <v>1</v>
      </c>
      <c r="B1583" s="616">
        <v>1</v>
      </c>
      <c r="C1583" s="616" t="s">
        <v>1540</v>
      </c>
      <c r="E1583" s="2650" t="s">
        <v>1369</v>
      </c>
      <c r="F1583" s="2651"/>
      <c r="G1583" s="1050"/>
      <c r="H1583" s="1051"/>
      <c r="I1583" s="750"/>
      <c r="J1583" s="749"/>
      <c r="K1583" s="749" t="s">
        <v>1382</v>
      </c>
      <c r="Q1583" s="1777" t="str">
        <f>CHOOSE(2, "6722000004501", "RF (3) PP Marginal Profit NH Indirect")</f>
        <v>RF (3) PP Marginal Profit NH Indirect</v>
      </c>
      <c r="R1583" s="17">
        <f t="shared" si="2028"/>
        <v>0</v>
      </c>
      <c r="S1583" s="17">
        <f t="shared" si="2028"/>
        <v>0</v>
      </c>
      <c r="T1583" s="17">
        <f t="shared" si="2028"/>
        <v>0</v>
      </c>
      <c r="U1583" s="17">
        <f t="shared" si="2028"/>
        <v>0</v>
      </c>
      <c r="V1583" s="17">
        <f t="shared" si="2028"/>
        <v>0</v>
      </c>
      <c r="W1583" s="17">
        <f t="shared" si="2028"/>
        <v>0</v>
      </c>
      <c r="X1583" s="17">
        <f t="shared" si="2028"/>
        <v>0</v>
      </c>
      <c r="Y1583" s="17">
        <f t="shared" si="2028"/>
        <v>0</v>
      </c>
      <c r="Z1583" s="17">
        <f t="shared" si="2028"/>
        <v>0</v>
      </c>
      <c r="AA1583" s="17">
        <f t="shared" si="2028"/>
        <v>0</v>
      </c>
      <c r="AB1583" s="17">
        <f t="shared" si="2028"/>
        <v>0</v>
      </c>
      <c r="AC1583" s="17">
        <f t="shared" si="2028"/>
        <v>0</v>
      </c>
      <c r="AD1583" s="17">
        <f t="shared" si="2004"/>
        <v>0</v>
      </c>
      <c r="AE1583" s="17">
        <f t="shared" si="2005"/>
        <v>0</v>
      </c>
      <c r="AF1583" s="17">
        <f t="shared" si="2006"/>
        <v>0</v>
      </c>
      <c r="AG1583" s="17">
        <f t="shared" si="2007"/>
        <v>0</v>
      </c>
      <c r="AH1583" s="17">
        <f t="shared" si="2008"/>
        <v>0</v>
      </c>
      <c r="AI1583" s="17">
        <f t="shared" si="2009"/>
        <v>0</v>
      </c>
      <c r="AJ1583" s="17">
        <f t="shared" si="2010"/>
        <v>0</v>
      </c>
    </row>
    <row r="1584" spans="1:36" ht="14.5">
      <c r="A1584" s="616">
        <v>1</v>
      </c>
      <c r="B1584" s="616">
        <v>1</v>
      </c>
      <c r="C1584" s="616" t="s">
        <v>1540</v>
      </c>
      <c r="E1584" s="2650" t="s">
        <v>1369</v>
      </c>
      <c r="F1584" s="2651"/>
      <c r="G1584" s="1050"/>
      <c r="H1584" s="1051"/>
      <c r="I1584" s="3438" t="s">
        <v>1687</v>
      </c>
      <c r="J1584" s="1065"/>
      <c r="K1584" s="1065"/>
      <c r="L1584" s="1066"/>
      <c r="M1584" s="1067"/>
      <c r="N1584" s="1067"/>
      <c r="O1584" s="1067"/>
      <c r="P1584" s="1067"/>
      <c r="Q1584" s="1817" t="str">
        <f>CHOOSE(2, "6722000004502", "RF (3) PP Marginal Profit %")</f>
        <v>RF (3) PP Marginal Profit %</v>
      </c>
      <c r="R1584" s="1453">
        <f t="shared" ref="R1584:AJ1590" si="2029">IFERROR(R1577/R1562,"")</f>
        <v>0.11484687284022226</v>
      </c>
      <c r="S1584" s="1453">
        <f t="shared" si="2029"/>
        <v>-0.32536295101307827</v>
      </c>
      <c r="T1584" s="1453">
        <f t="shared" si="2029"/>
        <v>0.37700688956399619</v>
      </c>
      <c r="U1584" s="1453">
        <f t="shared" si="2029"/>
        <v>0.33145919554207626</v>
      </c>
      <c r="V1584" s="1453">
        <f t="shared" si="2029"/>
        <v>0.25409438390142658</v>
      </c>
      <c r="W1584" s="1453">
        <f t="shared" si="2029"/>
        <v>0.14762470357774335</v>
      </c>
      <c r="X1584" s="1453">
        <f t="shared" si="2029"/>
        <v>0.50715352795723734</v>
      </c>
      <c r="Y1584" s="1453">
        <f t="shared" si="2029"/>
        <v>0.17288364195176914</v>
      </c>
      <c r="Z1584" s="1453">
        <f t="shared" si="2029"/>
        <v>-1.0397394132669204</v>
      </c>
      <c r="AA1584" s="1453">
        <f t="shared" si="2029"/>
        <v>0.23455426932058668</v>
      </c>
      <c r="AB1584" s="1453">
        <f t="shared" si="2029"/>
        <v>-6.6625635647007807E-3</v>
      </c>
      <c r="AC1584" s="1453">
        <f t="shared" si="2029"/>
        <v>0.35661888963841382</v>
      </c>
      <c r="AD1584" s="1453">
        <f t="shared" si="2029"/>
        <v>0.20192326923938969</v>
      </c>
      <c r="AE1584" s="1453">
        <f t="shared" si="2029"/>
        <v>0.22105823582264153</v>
      </c>
      <c r="AF1584" s="1453">
        <f t="shared" si="2029"/>
        <v>-3.7840504844023924E-2</v>
      </c>
      <c r="AG1584" s="1453">
        <f t="shared" si="2029"/>
        <v>0.25228521197994735</v>
      </c>
      <c r="AH1584" s="1453">
        <f t="shared" si="2029"/>
        <v>0.2111748299928605</v>
      </c>
      <c r="AI1584" s="1453">
        <f t="shared" si="2029"/>
        <v>0.1519575377454665</v>
      </c>
      <c r="AJ1584" s="1453">
        <f t="shared" si="2029"/>
        <v>0.18132221212816763</v>
      </c>
    </row>
    <row r="1585" spans="1:36" ht="14.5">
      <c r="A1585" s="616">
        <v>1</v>
      </c>
      <c r="B1585" s="616">
        <v>1</v>
      </c>
      <c r="C1585" s="616" t="s">
        <v>1540</v>
      </c>
      <c r="E1585" s="2650" t="s">
        <v>1369</v>
      </c>
      <c r="F1585" s="2651"/>
      <c r="G1585" s="1050"/>
      <c r="H1585" s="1051"/>
      <c r="I1585" s="750"/>
      <c r="J1585" s="1055" t="s">
        <v>1683</v>
      </c>
      <c r="K1585" s="1055"/>
      <c r="L1585" s="1056"/>
      <c r="M1585" s="213"/>
      <c r="N1585" s="213"/>
      <c r="O1585" s="213"/>
      <c r="P1585" s="213"/>
      <c r="Q1585" s="1848" t="str">
        <f>CHOOSE(2, "6722000004503", "RF (3) PP Marginal Profit % HW")</f>
        <v>RF (3) PP Marginal Profit % HW</v>
      </c>
      <c r="R1585" s="1449">
        <f t="shared" si="2029"/>
        <v>4.9042306882761524E-2</v>
      </c>
      <c r="S1585" s="1449">
        <f t="shared" si="2029"/>
        <v>-20.488095238095237</v>
      </c>
      <c r="T1585" s="1449">
        <f t="shared" si="2029"/>
        <v>0.40572408061500104</v>
      </c>
      <c r="U1585" s="1449">
        <f t="shared" si="2029"/>
        <v>0.82539682539682535</v>
      </c>
      <c r="V1585" s="1449">
        <f t="shared" si="2029"/>
        <v>0.1582635523048585</v>
      </c>
      <c r="W1585" s="1449">
        <f t="shared" si="2029"/>
        <v>0.1521941242097434</v>
      </c>
      <c r="X1585" s="1449">
        <f t="shared" si="2029"/>
        <v>0.40211640211640209</v>
      </c>
      <c r="Y1585" s="1449">
        <f t="shared" si="2029"/>
        <v>0.1101010101010101</v>
      </c>
      <c r="Z1585" s="1449" t="str">
        <f t="shared" si="2029"/>
        <v/>
      </c>
      <c r="AA1585" s="1449">
        <f t="shared" si="2029"/>
        <v>0.30956927646934013</v>
      </c>
      <c r="AB1585" s="1449" t="str">
        <f t="shared" si="2029"/>
        <v/>
      </c>
      <c r="AC1585" s="1449">
        <f t="shared" si="2029"/>
        <v>0.95896985659935619</v>
      </c>
      <c r="AD1585" s="1449">
        <f t="shared" si="2029"/>
        <v>0.10735709853133835</v>
      </c>
      <c r="AE1585" s="1449">
        <f t="shared" si="2029"/>
        <v>0.16325359579418874</v>
      </c>
      <c r="AF1585" s="1449">
        <f t="shared" si="2029"/>
        <v>-0.89083479276123756</v>
      </c>
      <c r="AG1585" s="1449">
        <f t="shared" si="2029"/>
        <v>0.61251634805353816</v>
      </c>
      <c r="AH1585" s="1449">
        <f t="shared" si="2029"/>
        <v>0.13057463824982146</v>
      </c>
      <c r="AI1585" s="1449">
        <f t="shared" si="2029"/>
        <v>0.27817808070972627</v>
      </c>
      <c r="AJ1585" s="1449">
        <f t="shared" si="2029"/>
        <v>0.2017586545004815</v>
      </c>
    </row>
    <row r="1586" spans="1:36" ht="14.5">
      <c r="A1586" s="616">
        <v>1</v>
      </c>
      <c r="B1586" s="616">
        <v>1</v>
      </c>
      <c r="C1586" s="616" t="s">
        <v>1540</v>
      </c>
      <c r="E1586" s="2650" t="s">
        <v>1369</v>
      </c>
      <c r="F1586" s="2651"/>
      <c r="G1586" s="1050"/>
      <c r="H1586" s="1051"/>
      <c r="I1586" s="750"/>
      <c r="J1586" s="749"/>
      <c r="K1586" s="749" t="s">
        <v>1381</v>
      </c>
      <c r="Q1586" s="1777" t="str">
        <f>CHOOSE(2, "6722000004504", "RF (3) PP Marginal Profit % HW Direct")</f>
        <v>RF (3) PP Marginal Profit % HW Direct</v>
      </c>
      <c r="R1586" s="3436">
        <f t="shared" si="2029"/>
        <v>4.9042306882761524E-2</v>
      </c>
      <c r="S1586" s="3436">
        <f t="shared" si="2029"/>
        <v>-20.488095238095237</v>
      </c>
      <c r="T1586" s="3436">
        <f t="shared" si="2029"/>
        <v>0.40572408061500104</v>
      </c>
      <c r="U1586" s="3436">
        <f t="shared" si="2029"/>
        <v>0.82539682539682535</v>
      </c>
      <c r="V1586" s="3436">
        <f t="shared" si="2029"/>
        <v>0.1582635523048585</v>
      </c>
      <c r="W1586" s="3436">
        <f t="shared" si="2029"/>
        <v>0.1521941242097434</v>
      </c>
      <c r="X1586" s="3436">
        <f t="shared" si="2029"/>
        <v>0.40211640211640209</v>
      </c>
      <c r="Y1586" s="3436">
        <f t="shared" si="2029"/>
        <v>0.1101010101010101</v>
      </c>
      <c r="Z1586" s="3436" t="str">
        <f t="shared" si="2029"/>
        <v/>
      </c>
      <c r="AA1586" s="3436">
        <f t="shared" si="2029"/>
        <v>0.30956927646934013</v>
      </c>
      <c r="AB1586" s="3436" t="str">
        <f t="shared" si="2029"/>
        <v/>
      </c>
      <c r="AC1586" s="3436">
        <f t="shared" si="2029"/>
        <v>0.95896985659935619</v>
      </c>
      <c r="AD1586" s="3436">
        <f t="shared" si="2029"/>
        <v>0.10735709853133835</v>
      </c>
      <c r="AE1586" s="3436">
        <f t="shared" si="2029"/>
        <v>0.16325359579418874</v>
      </c>
      <c r="AF1586" s="3436">
        <f t="shared" si="2029"/>
        <v>-0.89083479276123756</v>
      </c>
      <c r="AG1586" s="3436">
        <f t="shared" si="2029"/>
        <v>0.61251634805353816</v>
      </c>
      <c r="AH1586" s="3436">
        <f t="shared" si="2029"/>
        <v>0.13057463824982146</v>
      </c>
      <c r="AI1586" s="3436">
        <f t="shared" si="2029"/>
        <v>0.27817808070972627</v>
      </c>
      <c r="AJ1586" s="3436">
        <f t="shared" si="2029"/>
        <v>0.2017586545004815</v>
      </c>
    </row>
    <row r="1587" spans="1:36" ht="14.5">
      <c r="A1587" s="616">
        <v>1</v>
      </c>
      <c r="B1587" s="616">
        <v>1</v>
      </c>
      <c r="C1587" s="616" t="s">
        <v>1540</v>
      </c>
      <c r="E1587" s="2650" t="s">
        <v>1369</v>
      </c>
      <c r="F1587" s="2651"/>
      <c r="G1587" s="1050"/>
      <c r="H1587" s="1051"/>
      <c r="I1587" s="750"/>
      <c r="J1587" s="749"/>
      <c r="K1587" s="749" t="s">
        <v>1382</v>
      </c>
      <c r="Q1587" s="1777" t="str">
        <f>CHOOSE(2, "6722000004505", "RF (3) PP Marginal Profit % HW Indirect")</f>
        <v>RF (3) PP Marginal Profit % HW Indirect</v>
      </c>
      <c r="R1587" s="3436" t="str">
        <f t="shared" si="2029"/>
        <v/>
      </c>
      <c r="S1587" s="3436" t="str">
        <f t="shared" si="2029"/>
        <v/>
      </c>
      <c r="T1587" s="3436" t="str">
        <f t="shared" si="2029"/>
        <v/>
      </c>
      <c r="U1587" s="3436" t="str">
        <f t="shared" si="2029"/>
        <v/>
      </c>
      <c r="V1587" s="3436" t="str">
        <f t="shared" si="2029"/>
        <v/>
      </c>
      <c r="W1587" s="3436" t="str">
        <f t="shared" si="2029"/>
        <v/>
      </c>
      <c r="X1587" s="3436" t="str">
        <f t="shared" si="2029"/>
        <v/>
      </c>
      <c r="Y1587" s="3436" t="str">
        <f t="shared" si="2029"/>
        <v/>
      </c>
      <c r="Z1587" s="3436" t="str">
        <f t="shared" si="2029"/>
        <v/>
      </c>
      <c r="AA1587" s="3436" t="str">
        <f t="shared" si="2029"/>
        <v/>
      </c>
      <c r="AB1587" s="3436" t="str">
        <f t="shared" si="2029"/>
        <v/>
      </c>
      <c r="AC1587" s="3436" t="str">
        <f t="shared" si="2029"/>
        <v/>
      </c>
      <c r="AD1587" s="3436" t="str">
        <f t="shared" si="2029"/>
        <v/>
      </c>
      <c r="AE1587" s="3436" t="str">
        <f t="shared" si="2029"/>
        <v/>
      </c>
      <c r="AF1587" s="3436" t="str">
        <f t="shared" si="2029"/>
        <v/>
      </c>
      <c r="AG1587" s="3436" t="str">
        <f t="shared" si="2029"/>
        <v/>
      </c>
      <c r="AH1587" s="3436" t="str">
        <f t="shared" si="2029"/>
        <v/>
      </c>
      <c r="AI1587" s="3436" t="str">
        <f t="shared" si="2029"/>
        <v/>
      </c>
      <c r="AJ1587" s="3436" t="str">
        <f t="shared" si="2029"/>
        <v/>
      </c>
    </row>
    <row r="1588" spans="1:36" ht="14.5">
      <c r="A1588" s="616">
        <v>1</v>
      </c>
      <c r="B1588" s="616">
        <v>1</v>
      </c>
      <c r="C1588" s="616" t="s">
        <v>1540</v>
      </c>
      <c r="E1588" s="2650" t="s">
        <v>1369</v>
      </c>
      <c r="F1588" s="2651"/>
      <c r="G1588" s="1050"/>
      <c r="H1588" s="1051"/>
      <c r="I1588" s="750"/>
      <c r="J1588" s="1055" t="s">
        <v>1684</v>
      </c>
      <c r="K1588" s="1055"/>
      <c r="L1588" s="1056"/>
      <c r="M1588" s="213"/>
      <c r="N1588" s="213"/>
      <c r="O1588" s="213"/>
      <c r="P1588" s="213"/>
      <c r="Q1588" s="1848" t="str">
        <f>CHOOSE(2, "6722000004506", "RF (3) PP Marginal Profit % NH")</f>
        <v>RF (3) PP Marginal Profit % NH</v>
      </c>
      <c r="R1588" s="1449">
        <f t="shared" si="2029"/>
        <v>0.25180847399242162</v>
      </c>
      <c r="S1588" s="1449">
        <f t="shared" si="2029"/>
        <v>0.60107957513494692</v>
      </c>
      <c r="T1588" s="1449">
        <f t="shared" si="2029"/>
        <v>0.31982543640897754</v>
      </c>
      <c r="U1588" s="1449">
        <f t="shared" si="2029"/>
        <v>0.36261448792672774</v>
      </c>
      <c r="V1588" s="1449">
        <f t="shared" si="2029"/>
        <v>0.38838040982986594</v>
      </c>
      <c r="W1588" s="1449">
        <f t="shared" si="2029"/>
        <v>0.19841078738261497</v>
      </c>
      <c r="X1588" s="1449">
        <f t="shared" si="2029"/>
        <v>0.54209621993127144</v>
      </c>
      <c r="Y1588" s="1449">
        <f t="shared" si="2029"/>
        <v>0.32879404745191632</v>
      </c>
      <c r="Z1588" s="1449">
        <f t="shared" si="2029"/>
        <v>0.35266974291364533</v>
      </c>
      <c r="AA1588" s="1449">
        <f t="shared" si="2029"/>
        <v>0.22924088791449712</v>
      </c>
      <c r="AB1588" s="1449">
        <f t="shared" si="2029"/>
        <v>0.20959869541348869</v>
      </c>
      <c r="AC1588" s="1449">
        <f t="shared" si="2029"/>
        <v>-0.91249134149157241</v>
      </c>
      <c r="AD1588" s="1449">
        <f t="shared" si="2029"/>
        <v>0.38775396604508766</v>
      </c>
      <c r="AE1588" s="1449">
        <f t="shared" si="2029"/>
        <v>0.31288616031626565</v>
      </c>
      <c r="AF1588" s="1449">
        <f t="shared" si="2029"/>
        <v>0.40581781301862435</v>
      </c>
      <c r="AG1588" s="1449">
        <f t="shared" si="2029"/>
        <v>-0.18057753787842984</v>
      </c>
      <c r="AH1588" s="1449">
        <f t="shared" si="2029"/>
        <v>0.345432930563078</v>
      </c>
      <c r="AI1588" s="1449">
        <f t="shared" si="2029"/>
        <v>9.4539095014419289E-2</v>
      </c>
      <c r="AJ1588" s="1449">
        <f t="shared" si="2029"/>
        <v>0.21295135152727826</v>
      </c>
    </row>
    <row r="1589" spans="1:36" ht="14.5">
      <c r="A1589" s="616">
        <v>1</v>
      </c>
      <c r="B1589" s="616">
        <v>1</v>
      </c>
      <c r="C1589" s="616" t="s">
        <v>1540</v>
      </c>
      <c r="E1589" s="2650" t="s">
        <v>1369</v>
      </c>
      <c r="F1589" s="2651"/>
      <c r="G1589" s="1050"/>
      <c r="H1589" s="1051"/>
      <c r="I1589" s="750"/>
      <c r="J1589" s="749"/>
      <c r="K1589" s="749" t="s">
        <v>1381</v>
      </c>
      <c r="Q1589" s="1777" t="str">
        <f>CHOOSE(2, "6722000004507", "RF (3) PP Marginal Profit % NH Direct")</f>
        <v>RF (3) PP Marginal Profit % NH Direct</v>
      </c>
      <c r="R1589" s="3436">
        <f t="shared" si="2029"/>
        <v>0.25180847399242162</v>
      </c>
      <c r="S1589" s="3436">
        <f t="shared" si="2029"/>
        <v>0.60107957513494692</v>
      </c>
      <c r="T1589" s="3436">
        <f t="shared" si="2029"/>
        <v>0.31982543640897754</v>
      </c>
      <c r="U1589" s="3436">
        <f t="shared" si="2029"/>
        <v>0.36261448792672774</v>
      </c>
      <c r="V1589" s="3436">
        <f t="shared" si="2029"/>
        <v>0.38838040982986594</v>
      </c>
      <c r="W1589" s="3436">
        <f t="shared" si="2029"/>
        <v>0.19841078738261497</v>
      </c>
      <c r="X1589" s="3436">
        <f t="shared" si="2029"/>
        <v>0.54209621993127144</v>
      </c>
      <c r="Y1589" s="3436">
        <f t="shared" si="2029"/>
        <v>0.32879404745191632</v>
      </c>
      <c r="Z1589" s="3436">
        <f t="shared" si="2029"/>
        <v>0.35266974291364533</v>
      </c>
      <c r="AA1589" s="3436">
        <f t="shared" si="2029"/>
        <v>0.22924088791449712</v>
      </c>
      <c r="AB1589" s="3436">
        <f t="shared" si="2029"/>
        <v>0.20959869541348869</v>
      </c>
      <c r="AC1589" s="3436">
        <f t="shared" si="2029"/>
        <v>-0.91249134149157241</v>
      </c>
      <c r="AD1589" s="3436">
        <f t="shared" si="2029"/>
        <v>0.38775396604508766</v>
      </c>
      <c r="AE1589" s="3436">
        <f t="shared" si="2029"/>
        <v>0.31288616031626565</v>
      </c>
      <c r="AF1589" s="3436">
        <f t="shared" si="2029"/>
        <v>0.40581781301862435</v>
      </c>
      <c r="AG1589" s="3436">
        <f t="shared" si="2029"/>
        <v>-0.18057753787842984</v>
      </c>
      <c r="AH1589" s="3436">
        <f t="shared" si="2029"/>
        <v>0.345432930563078</v>
      </c>
      <c r="AI1589" s="3436">
        <f t="shared" si="2029"/>
        <v>9.4539095014419289E-2</v>
      </c>
      <c r="AJ1589" s="3436">
        <f t="shared" si="2029"/>
        <v>0.21295135152727826</v>
      </c>
    </row>
    <row r="1590" spans="1:36" ht="14.5">
      <c r="A1590" s="616">
        <v>1</v>
      </c>
      <c r="B1590" s="616">
        <v>1</v>
      </c>
      <c r="C1590" s="616" t="s">
        <v>1540</v>
      </c>
      <c r="E1590" s="2650" t="s">
        <v>1369</v>
      </c>
      <c r="F1590" s="2651"/>
      <c r="G1590" s="1050"/>
      <c r="H1590" s="1051"/>
      <c r="I1590" s="750"/>
      <c r="J1590" s="749"/>
      <c r="K1590" s="749" t="s">
        <v>1382</v>
      </c>
      <c r="Q1590" s="1777" t="str">
        <f>CHOOSE(2, "6722000004508", "RF (3) PP Marginal Profit % NH Indirect")</f>
        <v>RF (3) PP Marginal Profit % NH Indirect</v>
      </c>
      <c r="R1590" s="3436" t="str">
        <f t="shared" si="2029"/>
        <v/>
      </c>
      <c r="S1590" s="3436" t="str">
        <f t="shared" si="2029"/>
        <v/>
      </c>
      <c r="T1590" s="3436" t="str">
        <f t="shared" si="2029"/>
        <v/>
      </c>
      <c r="U1590" s="3436" t="str">
        <f t="shared" si="2029"/>
        <v/>
      </c>
      <c r="V1590" s="3436" t="str">
        <f t="shared" si="2029"/>
        <v/>
      </c>
      <c r="W1590" s="3436" t="str">
        <f t="shared" si="2029"/>
        <v/>
      </c>
      <c r="X1590" s="3436" t="str">
        <f t="shared" si="2029"/>
        <v/>
      </c>
      <c r="Y1590" s="3436" t="str">
        <f t="shared" si="2029"/>
        <v/>
      </c>
      <c r="Z1590" s="3436" t="str">
        <f t="shared" si="2029"/>
        <v/>
      </c>
      <c r="AA1590" s="3436" t="str">
        <f t="shared" si="2029"/>
        <v/>
      </c>
      <c r="AB1590" s="3436" t="str">
        <f t="shared" si="2029"/>
        <v/>
      </c>
      <c r="AC1590" s="3436" t="str">
        <f t="shared" si="2029"/>
        <v/>
      </c>
      <c r="AD1590" s="3436" t="str">
        <f t="shared" si="2029"/>
        <v/>
      </c>
      <c r="AE1590" s="3436" t="str">
        <f t="shared" si="2029"/>
        <v/>
      </c>
      <c r="AF1590" s="3436" t="str">
        <f t="shared" si="2029"/>
        <v/>
      </c>
      <c r="AG1590" s="3436" t="str">
        <f t="shared" si="2029"/>
        <v/>
      </c>
      <c r="AH1590" s="3436" t="str">
        <f t="shared" si="2029"/>
        <v/>
      </c>
      <c r="AI1590" s="3436" t="str">
        <f t="shared" si="2029"/>
        <v/>
      </c>
      <c r="AJ1590" s="3436" t="str">
        <f t="shared" si="2029"/>
        <v/>
      </c>
    </row>
    <row r="1591" spans="1:36" ht="14.5">
      <c r="A1591" s="616">
        <v>1</v>
      </c>
      <c r="B1591" s="616">
        <v>1</v>
      </c>
      <c r="C1591" s="616" t="s">
        <v>1540</v>
      </c>
      <c r="E1591" s="2650" t="s">
        <v>1369</v>
      </c>
      <c r="F1591" s="2651"/>
      <c r="G1591" s="1050"/>
      <c r="H1591" s="1051"/>
      <c r="I1591" s="3438" t="s">
        <v>1673</v>
      </c>
      <c r="J1591" s="1065"/>
      <c r="K1591" s="1065"/>
      <c r="L1591" s="1066"/>
      <c r="M1591" s="1067"/>
      <c r="N1591" s="1067"/>
      <c r="O1591" s="1067"/>
      <c r="P1591" s="1067"/>
      <c r="Q1591" s="1817" t="str">
        <f>CHOOSE(2, "6722000004509", "RF (3) PP Fixed Cost")</f>
        <v>RF (3) PP Fixed Cost</v>
      </c>
      <c r="R1591" s="1377">
        <f>SUM(R1592:R1593)</f>
        <v>3301.9867654979353</v>
      </c>
      <c r="S1591" s="1377">
        <f t="shared" ref="S1591:AC1591" si="2030">SUM(S1592:S1593)</f>
        <v>3099.0341316921304</v>
      </c>
      <c r="T1591" s="1377">
        <f t="shared" si="2030"/>
        <v>3576.899826257586</v>
      </c>
      <c r="U1591" s="1377">
        <f t="shared" si="2030"/>
        <v>3420.5140798269972</v>
      </c>
      <c r="V1591" s="1377">
        <f t="shared" si="2030"/>
        <v>3527.9517699574417</v>
      </c>
      <c r="W1591" s="1377">
        <f t="shared" si="2030"/>
        <v>3311.4525962227408</v>
      </c>
      <c r="X1591" s="1377">
        <f t="shared" si="2030"/>
        <v>3536.5390367792465</v>
      </c>
      <c r="Y1591" s="1377">
        <f t="shared" si="2030"/>
        <v>3215.0215423079344</v>
      </c>
      <c r="Z1591" s="1377">
        <f t="shared" si="2030"/>
        <v>3739.9179646686976</v>
      </c>
      <c r="AA1591" s="1377">
        <f t="shared" si="2030"/>
        <v>3088.7740259762113</v>
      </c>
      <c r="AB1591" s="1377">
        <f t="shared" si="2030"/>
        <v>3011.3997438470678</v>
      </c>
      <c r="AC1591" s="1377">
        <f t="shared" si="2030"/>
        <v>2917.6284758568163</v>
      </c>
      <c r="AD1591" s="1377">
        <f>SUM(R1591:T1591)</f>
        <v>9977.9207234476526</v>
      </c>
      <c r="AE1591" s="1377">
        <f t="shared" ref="AE1591:AE1595" si="2031">SUM(U1591:W1591)</f>
        <v>10259.918446007181</v>
      </c>
      <c r="AF1591" s="1377">
        <f t="shared" ref="AF1591:AF1595" si="2032">SUM(X1591:Z1591)</f>
        <v>10491.478543755878</v>
      </c>
      <c r="AG1591" s="1377">
        <f t="shared" ref="AG1591:AG1595" si="2033">SUM(AA1591:AC1591)</f>
        <v>9017.8022456800954</v>
      </c>
      <c r="AH1591" s="1377">
        <f t="shared" ref="AH1591:AH1595" si="2034">AD1591+AE1591</f>
        <v>20237.839169454834</v>
      </c>
      <c r="AI1591" s="1377">
        <f t="shared" ref="AI1591:AI1595" si="2035">AG1591+AF1591</f>
        <v>19509.280789435972</v>
      </c>
      <c r="AJ1591" s="1377">
        <f t="shared" ref="AJ1591:AJ1595" si="2036">AH1591+AI1591</f>
        <v>39747.119958890806</v>
      </c>
    </row>
    <row r="1592" spans="1:36" ht="14.5">
      <c r="A1592" s="616">
        <v>1</v>
      </c>
      <c r="B1592" s="616">
        <v>1</v>
      </c>
      <c r="C1592" s="616" t="s">
        <v>1540</v>
      </c>
      <c r="E1592" s="2650" t="s">
        <v>1369</v>
      </c>
      <c r="F1592" s="2651"/>
      <c r="G1592" s="1050"/>
      <c r="H1592" s="1051"/>
      <c r="I1592" s="750"/>
      <c r="J1592" s="749" t="s">
        <v>1688</v>
      </c>
      <c r="K1592" s="749"/>
      <c r="Q1592" s="1777" t="str">
        <f>CHOOSE(2, "6722000004510", "RF (3) PP Fixed Cost COGs")</f>
        <v>RF (3) PP Fixed Cost COGs</v>
      </c>
      <c r="R1592" s="17">
        <f t="shared" ref="R1592:AC1592" si="2037">R859</f>
        <v>873</v>
      </c>
      <c r="S1592" s="17">
        <f t="shared" si="2037"/>
        <v>1061</v>
      </c>
      <c r="T1592" s="17">
        <f t="shared" si="2037"/>
        <v>1109</v>
      </c>
      <c r="U1592" s="17">
        <f t="shared" si="2037"/>
        <v>1127</v>
      </c>
      <c r="V1592" s="17">
        <f t="shared" si="2037"/>
        <v>1007.2377253569111</v>
      </c>
      <c r="W1592" s="17">
        <f t="shared" si="2037"/>
        <v>1020.6029885233163</v>
      </c>
      <c r="X1592" s="17">
        <f t="shared" si="2037"/>
        <v>1053</v>
      </c>
      <c r="Y1592" s="17">
        <f t="shared" si="2037"/>
        <v>940</v>
      </c>
      <c r="Z1592" s="17">
        <f t="shared" si="2037"/>
        <v>1105</v>
      </c>
      <c r="AA1592" s="17">
        <f t="shared" si="2037"/>
        <v>989</v>
      </c>
      <c r="AB1592" s="17">
        <f t="shared" si="2037"/>
        <v>955</v>
      </c>
      <c r="AC1592" s="17">
        <f t="shared" si="2037"/>
        <v>994</v>
      </c>
      <c r="AD1592" s="17">
        <f>SUM(R1592:T1592)</f>
        <v>3043</v>
      </c>
      <c r="AE1592" s="17">
        <f t="shared" si="2031"/>
        <v>3154.8407138802277</v>
      </c>
      <c r="AF1592" s="17">
        <f t="shared" si="2032"/>
        <v>3098</v>
      </c>
      <c r="AG1592" s="17">
        <f t="shared" si="2033"/>
        <v>2938</v>
      </c>
      <c r="AH1592" s="17">
        <f t="shared" si="2034"/>
        <v>6197.8407138802277</v>
      </c>
      <c r="AI1592" s="17">
        <f t="shared" si="2035"/>
        <v>6036</v>
      </c>
      <c r="AJ1592" s="17">
        <f t="shared" si="2036"/>
        <v>12233.840713880229</v>
      </c>
    </row>
    <row r="1593" spans="1:36" ht="14.5">
      <c r="A1593" s="616">
        <v>1</v>
      </c>
      <c r="B1593" s="616">
        <v>1</v>
      </c>
      <c r="C1593" s="616" t="s">
        <v>1540</v>
      </c>
      <c r="E1593" s="2650" t="s">
        <v>1369</v>
      </c>
      <c r="F1593" s="2651"/>
      <c r="G1593" s="1050"/>
      <c r="H1593" s="1051"/>
      <c r="I1593" s="750"/>
      <c r="J1593" s="749" t="s">
        <v>1689</v>
      </c>
      <c r="K1593" s="749"/>
      <c r="Q1593" s="1777" t="str">
        <f>CHOOSE(2, "6722000004511", "RF (3) PP Fixed Cost SG&amp;A")</f>
        <v>RF (3) PP Fixed Cost SG&amp;A</v>
      </c>
      <c r="R1593" s="17">
        <f t="shared" ref="R1593:AC1593" si="2038">R270+R271</f>
        <v>2428.9867654979353</v>
      </c>
      <c r="S1593" s="17">
        <f t="shared" si="2038"/>
        <v>2038.0341316921306</v>
      </c>
      <c r="T1593" s="17">
        <f t="shared" si="2038"/>
        <v>2467.899826257586</v>
      </c>
      <c r="U1593" s="17">
        <f t="shared" si="2038"/>
        <v>2293.5140798269972</v>
      </c>
      <c r="V1593" s="17">
        <f t="shared" si="2038"/>
        <v>2520.7140446005305</v>
      </c>
      <c r="W1593" s="17">
        <f t="shared" si="2038"/>
        <v>2290.8496076994247</v>
      </c>
      <c r="X1593" s="17">
        <f t="shared" si="2038"/>
        <v>2483.5390367792465</v>
      </c>
      <c r="Y1593" s="17">
        <f t="shared" si="2038"/>
        <v>2275.0215423079344</v>
      </c>
      <c r="Z1593" s="17">
        <f t="shared" si="2038"/>
        <v>2634.9179646686976</v>
      </c>
      <c r="AA1593" s="17">
        <f t="shared" si="2038"/>
        <v>2099.7740259762113</v>
      </c>
      <c r="AB1593" s="17">
        <f t="shared" si="2038"/>
        <v>2056.3997438470678</v>
      </c>
      <c r="AC1593" s="17">
        <f t="shared" si="2038"/>
        <v>1923.6284758568163</v>
      </c>
      <c r="AD1593" s="17">
        <f>SUM(R1593:T1593)</f>
        <v>6934.9207234476517</v>
      </c>
      <c r="AE1593" s="17">
        <f t="shared" si="2031"/>
        <v>7105.0777321269525</v>
      </c>
      <c r="AF1593" s="17">
        <f t="shared" si="2032"/>
        <v>7393.4785437558785</v>
      </c>
      <c r="AG1593" s="17">
        <f t="shared" si="2033"/>
        <v>6079.8022456800954</v>
      </c>
      <c r="AH1593" s="17">
        <f t="shared" si="2034"/>
        <v>14039.998455574605</v>
      </c>
      <c r="AI1593" s="17">
        <f t="shared" si="2035"/>
        <v>13473.280789435974</v>
      </c>
      <c r="AJ1593" s="17">
        <f t="shared" si="2036"/>
        <v>27513.279245010577</v>
      </c>
    </row>
    <row r="1594" spans="1:36" ht="14.5">
      <c r="A1594" s="616">
        <v>1</v>
      </c>
      <c r="B1594" s="616">
        <v>1</v>
      </c>
      <c r="C1594" s="616" t="s">
        <v>1540</v>
      </c>
      <c r="E1594" s="2650" t="s">
        <v>1369</v>
      </c>
      <c r="F1594" s="2651"/>
      <c r="G1594" s="1050"/>
      <c r="H1594" s="1051"/>
      <c r="I1594" s="3438" t="s">
        <v>1681</v>
      </c>
      <c r="J1594" s="1065"/>
      <c r="K1594" s="1065"/>
      <c r="L1594" s="1066"/>
      <c r="M1594" s="1067"/>
      <c r="N1594" s="1067"/>
      <c r="O1594" s="1067"/>
      <c r="P1594" s="1067"/>
      <c r="Q1594" s="1817" t="str">
        <f>CHOOSE(2, "6722000004512", "RF (3) PP BCP")</f>
        <v>RF (3) PP BCP</v>
      </c>
      <c r="R1594" s="1377">
        <f>R1577-R1591</f>
        <v>-1543.9108360598129</v>
      </c>
      <c r="S1594" s="1377">
        <f t="shared" ref="S1594:AC1594" si="2039">S1577-S1591</f>
        <v>-5049.5850230155347</v>
      </c>
      <c r="T1594" s="1377">
        <f t="shared" si="2039"/>
        <v>6100.1130150710687</v>
      </c>
      <c r="U1594" s="1377">
        <f t="shared" si="2039"/>
        <v>-948.49139947419235</v>
      </c>
      <c r="V1594" s="1377">
        <f t="shared" si="2039"/>
        <v>905.5249004178504</v>
      </c>
      <c r="W1594" s="1377">
        <f t="shared" si="2039"/>
        <v>-497.4304966237969</v>
      </c>
      <c r="X1594" s="1377">
        <f t="shared" si="2039"/>
        <v>197.12523604193484</v>
      </c>
      <c r="Y1594" s="1377">
        <f t="shared" si="2039"/>
        <v>-272.02330536296813</v>
      </c>
      <c r="Z1594" s="1377">
        <f t="shared" si="2039"/>
        <v>-11626.341414298289</v>
      </c>
      <c r="AA1594" s="1377">
        <f t="shared" si="2039"/>
        <v>3044.8201167571306</v>
      </c>
      <c r="AB1594" s="1377">
        <f t="shared" si="2039"/>
        <v>-3068.5862325391672</v>
      </c>
      <c r="AC1594" s="1377">
        <f t="shared" si="2039"/>
        <v>6264.2380756634248</v>
      </c>
      <c r="AD1594" s="1377">
        <f>SUM(R1594:T1594)</f>
        <v>-493.38284400427892</v>
      </c>
      <c r="AE1594" s="1377">
        <f t="shared" si="2031"/>
        <v>-540.39699568013884</v>
      </c>
      <c r="AF1594" s="1377">
        <f t="shared" si="2032"/>
        <v>-11701.239483619323</v>
      </c>
      <c r="AG1594" s="1377">
        <f t="shared" si="2033"/>
        <v>6240.4719598813881</v>
      </c>
      <c r="AH1594" s="1377">
        <f t="shared" si="2034"/>
        <v>-1033.7798396844178</v>
      </c>
      <c r="AI1594" s="1377">
        <f t="shared" si="2035"/>
        <v>-5460.7675237379353</v>
      </c>
      <c r="AJ1594" s="1377">
        <f t="shared" si="2036"/>
        <v>-6494.5473634223526</v>
      </c>
    </row>
    <row r="1595" spans="1:36" ht="14.5">
      <c r="A1595" s="616">
        <v>1</v>
      </c>
      <c r="B1595" s="616">
        <v>1</v>
      </c>
      <c r="C1595" s="616" t="s">
        <v>1540</v>
      </c>
      <c r="E1595" s="2650" t="s">
        <v>1369</v>
      </c>
      <c r="F1595" s="2651"/>
      <c r="G1595" s="1050"/>
      <c r="H1595" s="1051"/>
      <c r="I1595" s="3438" t="s">
        <v>1678</v>
      </c>
      <c r="J1595" s="1065"/>
      <c r="K1595" s="1065"/>
      <c r="L1595" s="1066"/>
      <c r="M1595" s="1067"/>
      <c r="N1595" s="1067"/>
      <c r="O1595" s="1067"/>
      <c r="P1595" s="1067"/>
      <c r="Q1595" s="1817" t="str">
        <f>CHOOSE(2, "6722000004513", "RF (3) PP Break-even Point Net Sales")</f>
        <v>RF (3) PP Break-even Point Net Sales</v>
      </c>
      <c r="R1595" s="1377">
        <f>R1591/R1584</f>
        <v>28751.211799138309</v>
      </c>
      <c r="S1595" s="1377">
        <f t="shared" ref="S1595:AC1595" si="2040">S1591/S1584</f>
        <v>-9524.8525440364647</v>
      </c>
      <c r="T1595" s="1377">
        <f t="shared" si="2040"/>
        <v>9487.6245640874804</v>
      </c>
      <c r="U1595" s="1377">
        <f t="shared" si="2040"/>
        <v>10319.563089004085</v>
      </c>
      <c r="V1595" s="1377">
        <f t="shared" si="2040"/>
        <v>13884.414585589881</v>
      </c>
      <c r="W1595" s="1377">
        <f t="shared" si="2040"/>
        <v>22431.561357742787</v>
      </c>
      <c r="X1595" s="1377">
        <f t="shared" si="2040"/>
        <v>6973.3105298982437</v>
      </c>
      <c r="Y1595" s="1377">
        <f t="shared" si="2040"/>
        <v>18596.447333084623</v>
      </c>
      <c r="Z1595" s="1377">
        <f t="shared" si="2040"/>
        <v>-3596.9762393806564</v>
      </c>
      <c r="AA1595" s="1377">
        <f t="shared" si="2040"/>
        <v>13168.696672728232</v>
      </c>
      <c r="AB1595" s="1377">
        <f t="shared" si="2040"/>
        <v>-451988.14459375612</v>
      </c>
      <c r="AC1595" s="1377">
        <f t="shared" si="2040"/>
        <v>8181.362683325844</v>
      </c>
      <c r="AD1595" s="1377">
        <f>SUM(R1595:T1595)</f>
        <v>28713.983819189325</v>
      </c>
      <c r="AE1595" s="1377">
        <f t="shared" si="2031"/>
        <v>46635.539032336754</v>
      </c>
      <c r="AF1595" s="1377">
        <f t="shared" si="2032"/>
        <v>21972.781623602212</v>
      </c>
      <c r="AG1595" s="1377">
        <f t="shared" si="2033"/>
        <v>-430638.08523770206</v>
      </c>
      <c r="AH1595" s="1377">
        <f t="shared" si="2034"/>
        <v>75349.522851526082</v>
      </c>
      <c r="AI1595" s="1377">
        <f t="shared" si="2035"/>
        <v>-408665.30361409986</v>
      </c>
      <c r="AJ1595" s="1377">
        <f t="shared" si="2036"/>
        <v>-333315.78076257376</v>
      </c>
    </row>
    <row r="1596" spans="1:36" ht="14.5">
      <c r="A1596" s="616">
        <v>1</v>
      </c>
      <c r="B1596" s="616">
        <v>1</v>
      </c>
      <c r="C1596" s="616" t="s">
        <v>1540</v>
      </c>
      <c r="E1596" s="2650" t="s">
        <v>1369</v>
      </c>
      <c r="F1596" s="2651"/>
      <c r="G1596" s="1050"/>
      <c r="H1596" s="1051"/>
      <c r="I1596" s="751"/>
      <c r="J1596" s="752" t="s">
        <v>55</v>
      </c>
      <c r="K1596" s="753"/>
      <c r="L1596" s="16"/>
      <c r="M1596" s="11"/>
      <c r="N1596" s="11"/>
      <c r="O1596" s="11"/>
      <c r="P1596" s="11"/>
      <c r="Q1596" s="1772" t="str">
        <f>CHOOSE(2, "6722000004514", "RF (3) PP Break-even Point Net Sales (%)")</f>
        <v>RF (3) PP Break-even Point Net Sales (%)</v>
      </c>
      <c r="R1596" s="2654">
        <f t="shared" ref="R1596:AC1596" si="2041">R1562/R1595</f>
        <v>0.5324297322472783</v>
      </c>
      <c r="S1596" s="2654">
        <f t="shared" si="2041"/>
        <v>-0.62940606925757447</v>
      </c>
      <c r="T1596" s="2654">
        <f t="shared" si="2041"/>
        <v>2.7054190252382471</v>
      </c>
      <c r="U1596" s="2654">
        <f t="shared" si="2041"/>
        <v>0.72270501528759523</v>
      </c>
      <c r="V1596" s="2654">
        <f t="shared" si="2041"/>
        <v>1.2566715645403432</v>
      </c>
      <c r="W1596" s="2654">
        <f t="shared" si="2041"/>
        <v>0.84978480525700439</v>
      </c>
      <c r="X1596" s="2654">
        <f t="shared" si="2041"/>
        <v>1.055739590031914</v>
      </c>
      <c r="Y1596" s="2654">
        <f t="shared" si="2041"/>
        <v>0.91538989652688507</v>
      </c>
      <c r="Z1596" s="2654">
        <f t="shared" si="2041"/>
        <v>-2.1087156253514814</v>
      </c>
      <c r="AA1596" s="2654">
        <f t="shared" si="2041"/>
        <v>1.985769787996974</v>
      </c>
      <c r="AB1596" s="2654">
        <f t="shared" si="2041"/>
        <v>-1.8990002509279472E-2</v>
      </c>
      <c r="AC1596" s="2654">
        <f t="shared" si="2041"/>
        <v>3.1470307571713061</v>
      </c>
      <c r="AD1596" s="2654">
        <f t="shared" ref="AD1596:AJ1596" si="2042">AD1595/AD1562</f>
        <v>0.61131301907963054</v>
      </c>
      <c r="AE1596" s="2654">
        <f t="shared" si="2042"/>
        <v>1.0606664163264357</v>
      </c>
      <c r="AF1596" s="2654">
        <f t="shared" si="2042"/>
        <v>0.68729376364098249</v>
      </c>
      <c r="AG1596" s="2654">
        <f t="shared" si="2042"/>
        <v>-7.1203085720685779</v>
      </c>
      <c r="AH1596" s="2654">
        <f t="shared" si="2042"/>
        <v>0.82857079354817886</v>
      </c>
      <c r="AI1596" s="2654">
        <f t="shared" si="2042"/>
        <v>-4.4203804434473373</v>
      </c>
      <c r="AJ1596" s="2654">
        <f t="shared" si="2042"/>
        <v>-1.817530193538573</v>
      </c>
    </row>
  </sheetData>
  <autoFilter ref="A13:AJ1596" xr:uid="{00000000-0009-0000-0000-000001000000}"/>
  <phoneticPr fontId="7"/>
  <pageMargins left="0.35433070866141736" right="0.35433070866141736" top="0.74803149606299213" bottom="0.74803149606299213" header="0.31496062992125984" footer="0.31496062992125984"/>
  <pageSetup paperSize="8" scale="53" fitToHeight="0" orientation="portrait" r:id="rId1"/>
  <rowBreaks count="6" manualBreakCount="6">
    <brk id="448" min="4" max="25" man="1"/>
    <brk id="831" min="4" max="25" man="1"/>
    <brk id="629" max="16383" man="1"/>
    <brk id="751" min="4" max="25" man="1"/>
    <brk id="907" min="4" max="25" man="1"/>
    <brk id="998" min="4" max="2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B1:T34"/>
  <sheetViews>
    <sheetView zoomScale="90" zoomScaleNormal="90" workbookViewId="0">
      <selection sqref="A1:XFD1048576"/>
    </sheetView>
  </sheetViews>
  <sheetFormatPr defaultColWidth="9" defaultRowHeight="12.5"/>
  <cols>
    <col min="1" max="1" width="1.36328125" style="191" customWidth="1"/>
    <col min="2" max="2" width="9" style="191"/>
    <col min="3" max="3" width="9.81640625" style="191" bestFit="1" customWidth="1"/>
    <col min="4" max="5" width="9.453125" style="191" bestFit="1" customWidth="1"/>
    <col min="6" max="6" width="7.1796875" style="191" bestFit="1" customWidth="1"/>
    <col min="7" max="7" width="6.6328125" style="191" bestFit="1" customWidth="1"/>
    <col min="8" max="8" width="4.1796875" style="191" bestFit="1" customWidth="1"/>
    <col min="9" max="9" width="8.54296875" style="191" bestFit="1" customWidth="1"/>
    <col min="10" max="10" width="3.36328125" style="191" customWidth="1"/>
    <col min="11" max="11" width="12.453125" style="191" bestFit="1" customWidth="1"/>
    <col min="12" max="12" width="6.6328125" style="191" bestFit="1" customWidth="1"/>
    <col min="13" max="13" width="4.1796875" style="191" bestFit="1" customWidth="1"/>
    <col min="14" max="14" width="8.54296875" style="191" bestFit="1" customWidth="1"/>
    <col min="15" max="15" width="6.6328125" style="191" bestFit="1" customWidth="1"/>
    <col min="16" max="16" width="4.1796875" style="191" bestFit="1" customWidth="1"/>
    <col min="17" max="17" width="8.54296875" style="191" bestFit="1" customWidth="1"/>
    <col min="18" max="16384" width="9" style="191"/>
  </cols>
  <sheetData>
    <row r="1" spans="2:20">
      <c r="B1" s="192" t="s">
        <v>174</v>
      </c>
    </row>
    <row r="2" spans="2:20">
      <c r="C2" s="191" t="s">
        <v>173</v>
      </c>
      <c r="D2" s="193">
        <v>44927</v>
      </c>
    </row>
    <row r="3" spans="2:20">
      <c r="C3" s="191" t="s">
        <v>172</v>
      </c>
      <c r="D3" s="193">
        <v>45017</v>
      </c>
      <c r="T3" s="1691"/>
    </row>
    <row r="4" spans="2:20" ht="13">
      <c r="F4" s="600" t="s">
        <v>420</v>
      </c>
      <c r="G4" s="599" t="s">
        <v>423</v>
      </c>
      <c r="H4" s="599"/>
      <c r="I4" s="2655"/>
      <c r="K4" s="600" t="s">
        <v>442</v>
      </c>
      <c r="L4" s="2656" t="s">
        <v>424</v>
      </c>
      <c r="M4" s="2657"/>
      <c r="N4" s="2658"/>
      <c r="O4" s="2656" t="s">
        <v>425</v>
      </c>
      <c r="P4" s="2657"/>
      <c r="Q4" s="2658"/>
    </row>
    <row r="5" spans="2:20">
      <c r="B5" s="192" t="s">
        <v>171</v>
      </c>
      <c r="F5" s="2659"/>
      <c r="G5" s="2660" t="s">
        <v>428</v>
      </c>
      <c r="H5" s="2660" t="s">
        <v>421</v>
      </c>
      <c r="I5" s="2661" t="s">
        <v>422</v>
      </c>
      <c r="K5" s="2659"/>
      <c r="L5" s="2662" t="s">
        <v>428</v>
      </c>
      <c r="M5" s="2660" t="s">
        <v>421</v>
      </c>
      <c r="N5" s="2661" t="s">
        <v>422</v>
      </c>
      <c r="O5" s="2662" t="s">
        <v>428</v>
      </c>
      <c r="P5" s="2660" t="s">
        <v>421</v>
      </c>
      <c r="Q5" s="2661" t="s">
        <v>422</v>
      </c>
    </row>
    <row r="6" spans="2:20" ht="13">
      <c r="C6" s="191" t="s">
        <v>84</v>
      </c>
      <c r="D6" s="191" t="s">
        <v>168</v>
      </c>
      <c r="F6" s="601" t="s">
        <v>430</v>
      </c>
      <c r="G6" s="2663" t="s">
        <v>426</v>
      </c>
      <c r="H6" s="2663" t="s">
        <v>536</v>
      </c>
      <c r="I6" s="2664" t="s">
        <v>532</v>
      </c>
      <c r="K6" s="601" t="s">
        <v>430</v>
      </c>
      <c r="L6" s="2665" t="str">
        <f>G6</f>
        <v>S</v>
      </c>
      <c r="M6" s="2663" t="str">
        <f t="shared" ref="M6:N6" si="0">H6</f>
        <v>X</v>
      </c>
      <c r="N6" s="2664" t="str">
        <f t="shared" si="0"/>
        <v>R</v>
      </c>
      <c r="O6" s="1552" t="str">
        <f>G6</f>
        <v>S</v>
      </c>
      <c r="P6" s="1552" t="str">
        <f>H6</f>
        <v>X</v>
      </c>
      <c r="Q6" s="603" t="str">
        <f>I6</f>
        <v>R</v>
      </c>
    </row>
    <row r="7" spans="2:20" ht="13">
      <c r="C7" s="191" t="s">
        <v>382</v>
      </c>
      <c r="D7" s="191" t="s">
        <v>168</v>
      </c>
      <c r="F7" s="601" t="s">
        <v>431</v>
      </c>
      <c r="G7" s="2663" t="s">
        <v>533</v>
      </c>
      <c r="H7" s="2663" t="s">
        <v>429</v>
      </c>
      <c r="I7" s="2664" t="s">
        <v>426</v>
      </c>
      <c r="K7" s="601" t="s">
        <v>431</v>
      </c>
      <c r="L7" s="606" t="str">
        <f>L6</f>
        <v>S</v>
      </c>
      <c r="M7" s="1552" t="str">
        <f t="shared" ref="M7:O17" si="1">M6</f>
        <v>X</v>
      </c>
      <c r="N7" s="603" t="str">
        <f t="shared" si="1"/>
        <v>R</v>
      </c>
      <c r="O7" s="1552" t="str">
        <f>O6</f>
        <v>S</v>
      </c>
      <c r="P7" s="1552" t="str">
        <f t="shared" ref="P7:Q17" si="2">P6</f>
        <v>X</v>
      </c>
      <c r="Q7" s="603" t="str">
        <f t="shared" si="2"/>
        <v>R</v>
      </c>
    </row>
    <row r="8" spans="2:20" ht="13">
      <c r="C8" s="191" t="s">
        <v>170</v>
      </c>
      <c r="D8" s="191" t="s">
        <v>168</v>
      </c>
      <c r="F8" s="601" t="s">
        <v>432</v>
      </c>
      <c r="G8" s="2663" t="s">
        <v>534</v>
      </c>
      <c r="H8" s="2663" t="s">
        <v>537</v>
      </c>
      <c r="I8" s="2664" t="s">
        <v>533</v>
      </c>
      <c r="K8" s="601" t="s">
        <v>432</v>
      </c>
      <c r="L8" s="606" t="str">
        <f>L7</f>
        <v>S</v>
      </c>
      <c r="M8" s="1552" t="str">
        <f t="shared" si="1"/>
        <v>X</v>
      </c>
      <c r="N8" s="603" t="str">
        <f t="shared" si="1"/>
        <v>R</v>
      </c>
      <c r="O8" s="1552" t="str">
        <f t="shared" si="1"/>
        <v>S</v>
      </c>
      <c r="P8" s="1552" t="str">
        <f t="shared" si="2"/>
        <v>X</v>
      </c>
      <c r="Q8" s="603" t="str">
        <f t="shared" si="2"/>
        <v>R</v>
      </c>
    </row>
    <row r="9" spans="2:20" ht="13">
      <c r="C9" s="191" t="s">
        <v>169</v>
      </c>
      <c r="D9" s="191" t="s">
        <v>168</v>
      </c>
      <c r="F9" s="601" t="s">
        <v>433</v>
      </c>
      <c r="G9" s="2663" t="s">
        <v>427</v>
      </c>
      <c r="H9" s="2663" t="s">
        <v>538</v>
      </c>
      <c r="I9" s="2664" t="s">
        <v>534</v>
      </c>
      <c r="K9" s="601" t="s">
        <v>433</v>
      </c>
      <c r="L9" s="2665" t="str">
        <f>G9</f>
        <v>V</v>
      </c>
      <c r="M9" s="2663" t="str">
        <f t="shared" ref="M9:N9" si="3">H9</f>
        <v>AA</v>
      </c>
      <c r="N9" s="2664" t="str">
        <f t="shared" si="3"/>
        <v>U</v>
      </c>
      <c r="O9" s="1552" t="str">
        <f t="shared" si="1"/>
        <v>S</v>
      </c>
      <c r="P9" s="1552" t="str">
        <f t="shared" si="2"/>
        <v>X</v>
      </c>
      <c r="Q9" s="603" t="str">
        <f t="shared" si="2"/>
        <v>R</v>
      </c>
    </row>
    <row r="10" spans="2:20" ht="13">
      <c r="C10" s="191" t="s">
        <v>67</v>
      </c>
      <c r="D10" s="191" t="s">
        <v>158</v>
      </c>
      <c r="F10" s="601" t="s">
        <v>434</v>
      </c>
      <c r="G10" s="2663" t="s">
        <v>535</v>
      </c>
      <c r="H10" s="2663" t="s">
        <v>564</v>
      </c>
      <c r="I10" s="2664" t="s">
        <v>427</v>
      </c>
      <c r="K10" s="601" t="s">
        <v>434</v>
      </c>
      <c r="L10" s="606" t="s">
        <v>534</v>
      </c>
      <c r="M10" s="1552" t="str">
        <f t="shared" ref="M10:N11" si="4">M9</f>
        <v>AA</v>
      </c>
      <c r="N10" s="603" t="str">
        <f t="shared" si="4"/>
        <v>U</v>
      </c>
      <c r="O10" s="1552" t="str">
        <f t="shared" si="1"/>
        <v>S</v>
      </c>
      <c r="P10" s="1552" t="str">
        <f t="shared" si="2"/>
        <v>X</v>
      </c>
      <c r="Q10" s="603" t="str">
        <f t="shared" si="2"/>
        <v>R</v>
      </c>
    </row>
    <row r="11" spans="2:20" ht="13">
      <c r="C11" s="191" t="s">
        <v>167</v>
      </c>
      <c r="D11" s="191" t="s">
        <v>158</v>
      </c>
      <c r="F11" s="601" t="s">
        <v>435</v>
      </c>
      <c r="G11" s="2663" t="s">
        <v>536</v>
      </c>
      <c r="H11" s="2663" t="s">
        <v>966</v>
      </c>
      <c r="I11" s="2664" t="s">
        <v>535</v>
      </c>
      <c r="K11" s="601" t="s">
        <v>435</v>
      </c>
      <c r="L11" s="606" t="s">
        <v>534</v>
      </c>
      <c r="M11" s="1552" t="str">
        <f t="shared" si="4"/>
        <v>AA</v>
      </c>
      <c r="N11" s="603" t="str">
        <f t="shared" si="4"/>
        <v>U</v>
      </c>
      <c r="O11" s="1552" t="str">
        <f t="shared" si="1"/>
        <v>S</v>
      </c>
      <c r="P11" s="1552" t="str">
        <f t="shared" si="2"/>
        <v>X</v>
      </c>
      <c r="Q11" s="603" t="str">
        <f t="shared" si="2"/>
        <v>R</v>
      </c>
    </row>
    <row r="12" spans="2:20" ht="13">
      <c r="C12" s="191" t="s">
        <v>166</v>
      </c>
      <c r="D12" s="191" t="s">
        <v>141</v>
      </c>
      <c r="F12" s="601" t="s">
        <v>436</v>
      </c>
      <c r="G12" s="2663" t="s">
        <v>429</v>
      </c>
      <c r="H12" s="2663" t="s">
        <v>967</v>
      </c>
      <c r="I12" s="2664" t="s">
        <v>536</v>
      </c>
      <c r="K12" s="601" t="s">
        <v>436</v>
      </c>
      <c r="L12" s="2665" t="str">
        <f>G12</f>
        <v>Y</v>
      </c>
      <c r="M12" s="2663" t="str">
        <f t="shared" ref="M12:N12" si="5">H12</f>
        <v>AD</v>
      </c>
      <c r="N12" s="2664" t="str">
        <f t="shared" si="5"/>
        <v>X</v>
      </c>
      <c r="O12" s="1552" t="str">
        <f t="shared" si="1"/>
        <v>S</v>
      </c>
      <c r="P12" s="1552" t="str">
        <f t="shared" si="2"/>
        <v>X</v>
      </c>
      <c r="Q12" s="603" t="str">
        <f t="shared" si="2"/>
        <v>R</v>
      </c>
    </row>
    <row r="13" spans="2:20" ht="13">
      <c r="C13" s="191" t="s">
        <v>165</v>
      </c>
      <c r="D13" s="191" t="s">
        <v>141</v>
      </c>
      <c r="F13" s="601" t="s">
        <v>437</v>
      </c>
      <c r="G13" s="2663" t="s">
        <v>537</v>
      </c>
      <c r="H13" s="2663" t="s">
        <v>968</v>
      </c>
      <c r="I13" s="2664" t="s">
        <v>429</v>
      </c>
      <c r="K13" s="601" t="s">
        <v>437</v>
      </c>
      <c r="L13" s="606" t="str">
        <f>L12</f>
        <v>Y</v>
      </c>
      <c r="M13" s="1552" t="str">
        <f t="shared" ref="M13:N14" si="6">M12</f>
        <v>AD</v>
      </c>
      <c r="N13" s="603" t="str">
        <f t="shared" si="6"/>
        <v>X</v>
      </c>
      <c r="O13" s="1552" t="str">
        <f t="shared" si="1"/>
        <v>S</v>
      </c>
      <c r="P13" s="1552" t="str">
        <f t="shared" si="2"/>
        <v>X</v>
      </c>
      <c r="Q13" s="603" t="str">
        <f t="shared" si="2"/>
        <v>R</v>
      </c>
    </row>
    <row r="14" spans="2:20" ht="13">
      <c r="C14" s="191" t="s">
        <v>261</v>
      </c>
      <c r="D14" s="191" t="s">
        <v>158</v>
      </c>
      <c r="F14" s="601" t="s">
        <v>438</v>
      </c>
      <c r="G14" s="2663" t="s">
        <v>538</v>
      </c>
      <c r="H14" s="2663" t="s">
        <v>969</v>
      </c>
      <c r="I14" s="2664" t="s">
        <v>537</v>
      </c>
      <c r="K14" s="601" t="s">
        <v>438</v>
      </c>
      <c r="L14" s="606" t="str">
        <f>L13</f>
        <v>Y</v>
      </c>
      <c r="M14" s="1552" t="str">
        <f t="shared" si="6"/>
        <v>AD</v>
      </c>
      <c r="N14" s="603" t="str">
        <f t="shared" si="6"/>
        <v>X</v>
      </c>
      <c r="O14" s="1552" t="str">
        <f t="shared" si="1"/>
        <v>S</v>
      </c>
      <c r="P14" s="1552" t="str">
        <f t="shared" si="2"/>
        <v>X</v>
      </c>
      <c r="Q14" s="603" t="str">
        <f t="shared" si="2"/>
        <v>R</v>
      </c>
    </row>
    <row r="15" spans="2:20" ht="13">
      <c r="C15" s="191" t="s">
        <v>164</v>
      </c>
      <c r="D15" s="191" t="s">
        <v>158</v>
      </c>
      <c r="F15" s="601" t="s">
        <v>439</v>
      </c>
      <c r="G15" s="2663" t="s">
        <v>564</v>
      </c>
      <c r="H15" s="2663" t="s">
        <v>970</v>
      </c>
      <c r="I15" s="2664" t="s">
        <v>538</v>
      </c>
      <c r="K15" s="601" t="s">
        <v>439</v>
      </c>
      <c r="L15" s="2665" t="str">
        <f>G15</f>
        <v>AB</v>
      </c>
      <c r="M15" s="2663" t="str">
        <f t="shared" ref="M15:N15" si="7">H15</f>
        <v>AG</v>
      </c>
      <c r="N15" s="2664" t="str">
        <f t="shared" si="7"/>
        <v>AA</v>
      </c>
      <c r="O15" s="1552" t="str">
        <f t="shared" si="1"/>
        <v>S</v>
      </c>
      <c r="P15" s="1552" t="str">
        <f t="shared" si="2"/>
        <v>X</v>
      </c>
      <c r="Q15" s="603" t="str">
        <f t="shared" si="2"/>
        <v>R</v>
      </c>
    </row>
    <row r="16" spans="2:20" ht="13">
      <c r="C16" s="191" t="s">
        <v>569</v>
      </c>
      <c r="D16" s="191" t="s">
        <v>840</v>
      </c>
      <c r="F16" s="601" t="s">
        <v>440</v>
      </c>
      <c r="G16" s="2663" t="s">
        <v>966</v>
      </c>
      <c r="H16" s="2663" t="s">
        <v>971</v>
      </c>
      <c r="I16" s="2664" t="s">
        <v>564</v>
      </c>
      <c r="K16" s="601" t="s">
        <v>440</v>
      </c>
      <c r="L16" s="606" t="str">
        <f>L15</f>
        <v>AB</v>
      </c>
      <c r="M16" s="1552" t="str">
        <f t="shared" ref="M16:N17" si="8">M15</f>
        <v>AG</v>
      </c>
      <c r="N16" s="603" t="str">
        <f t="shared" si="8"/>
        <v>AA</v>
      </c>
      <c r="O16" s="1552" t="str">
        <f t="shared" si="1"/>
        <v>S</v>
      </c>
      <c r="P16" s="1552" t="str">
        <f t="shared" si="2"/>
        <v>X</v>
      </c>
      <c r="Q16" s="603" t="str">
        <f t="shared" si="2"/>
        <v>R</v>
      </c>
    </row>
    <row r="17" spans="3:17" ht="13">
      <c r="C17" s="191" t="s">
        <v>163</v>
      </c>
      <c r="D17" s="191" t="s">
        <v>162</v>
      </c>
      <c r="F17" s="602" t="s">
        <v>441</v>
      </c>
      <c r="G17" s="2666" t="s">
        <v>972</v>
      </c>
      <c r="H17" s="2666" t="s">
        <v>973</v>
      </c>
      <c r="I17" s="2667" t="s">
        <v>966</v>
      </c>
      <c r="K17" s="602" t="s">
        <v>441</v>
      </c>
      <c r="L17" s="607" t="str">
        <f>L16</f>
        <v>AB</v>
      </c>
      <c r="M17" s="604" t="str">
        <f t="shared" si="8"/>
        <v>AG</v>
      </c>
      <c r="N17" s="605" t="str">
        <f t="shared" si="8"/>
        <v>AA</v>
      </c>
      <c r="O17" s="604" t="str">
        <f t="shared" si="1"/>
        <v>S</v>
      </c>
      <c r="P17" s="604" t="str">
        <f t="shared" si="2"/>
        <v>X</v>
      </c>
      <c r="Q17" s="605" t="str">
        <f t="shared" si="2"/>
        <v>R</v>
      </c>
    </row>
    <row r="18" spans="3:17">
      <c r="C18" s="191" t="s">
        <v>161</v>
      </c>
      <c r="D18" s="191" t="s">
        <v>160</v>
      </c>
      <c r="F18" s="191">
        <v>1</v>
      </c>
      <c r="G18" s="191">
        <v>2</v>
      </c>
      <c r="H18" s="191">
        <v>3</v>
      </c>
      <c r="I18" s="191">
        <v>4</v>
      </c>
      <c r="K18" s="191">
        <v>1</v>
      </c>
      <c r="L18" s="191">
        <v>2</v>
      </c>
      <c r="M18" s="191">
        <v>3</v>
      </c>
      <c r="N18" s="191">
        <v>4</v>
      </c>
      <c r="O18" s="191">
        <v>5</v>
      </c>
      <c r="P18" s="191">
        <v>6</v>
      </c>
      <c r="Q18" s="191">
        <v>7</v>
      </c>
    </row>
    <row r="19" spans="3:17">
      <c r="C19" s="191" t="s">
        <v>210</v>
      </c>
      <c r="D19" s="191" t="s">
        <v>211</v>
      </c>
    </row>
    <row r="20" spans="3:17" ht="13">
      <c r="C20" s="191" t="s">
        <v>159</v>
      </c>
      <c r="D20" s="191" t="s">
        <v>158</v>
      </c>
      <c r="K20" s="600" t="s">
        <v>443</v>
      </c>
      <c r="L20" s="2656" t="s">
        <v>424</v>
      </c>
      <c r="M20" s="2657"/>
      <c r="N20" s="2658"/>
      <c r="O20" s="2656" t="s">
        <v>425</v>
      </c>
      <c r="P20" s="2657"/>
      <c r="Q20" s="2658"/>
    </row>
    <row r="21" spans="3:17">
      <c r="C21" s="191" t="s">
        <v>157</v>
      </c>
      <c r="D21" s="191" t="s">
        <v>156</v>
      </c>
      <c r="K21" s="2659"/>
      <c r="L21" s="2662" t="s">
        <v>428</v>
      </c>
      <c r="M21" s="2660" t="s">
        <v>421</v>
      </c>
      <c r="N21" s="2661" t="s">
        <v>422</v>
      </c>
      <c r="O21" s="2662" t="s">
        <v>428</v>
      </c>
      <c r="P21" s="2660" t="s">
        <v>421</v>
      </c>
      <c r="Q21" s="2661" t="s">
        <v>422</v>
      </c>
    </row>
    <row r="22" spans="3:17">
      <c r="C22" s="191" t="s">
        <v>155</v>
      </c>
      <c r="D22" s="191" t="s">
        <v>142</v>
      </c>
      <c r="K22" s="601" t="s">
        <v>430</v>
      </c>
      <c r="L22" s="1552" t="str">
        <f>G6</f>
        <v>S</v>
      </c>
      <c r="M22" s="1552" t="str">
        <f t="shared" ref="M22:N22" si="9">H6</f>
        <v>X</v>
      </c>
      <c r="N22" s="603" t="str">
        <f t="shared" si="9"/>
        <v>R</v>
      </c>
      <c r="O22" s="1552" t="str">
        <f>G6</f>
        <v>S</v>
      </c>
      <c r="P22" s="1552" t="str">
        <f t="shared" ref="P22:Q22" si="10">H6</f>
        <v>X</v>
      </c>
      <c r="Q22" s="603" t="str">
        <f t="shared" si="10"/>
        <v>R</v>
      </c>
    </row>
    <row r="23" spans="3:17">
      <c r="C23" s="191" t="s">
        <v>154</v>
      </c>
      <c r="D23" s="191" t="s">
        <v>153</v>
      </c>
      <c r="K23" s="601" t="s">
        <v>431</v>
      </c>
      <c r="L23" s="1552" t="str">
        <f t="shared" ref="L23:N33" si="11">G7</f>
        <v>T</v>
      </c>
      <c r="M23" s="1552" t="str">
        <f t="shared" si="11"/>
        <v>Y</v>
      </c>
      <c r="N23" s="603" t="str">
        <f t="shared" si="11"/>
        <v>S</v>
      </c>
      <c r="O23" s="1552" t="str">
        <f t="shared" ref="O23:Q33" si="12">G7</f>
        <v>T</v>
      </c>
      <c r="P23" s="1552" t="str">
        <f t="shared" si="12"/>
        <v>Y</v>
      </c>
      <c r="Q23" s="603" t="str">
        <f t="shared" si="12"/>
        <v>S</v>
      </c>
    </row>
    <row r="24" spans="3:17">
      <c r="C24" s="191" t="s">
        <v>570</v>
      </c>
      <c r="D24" s="191" t="s">
        <v>145</v>
      </c>
      <c r="K24" s="601" t="s">
        <v>432</v>
      </c>
      <c r="L24" s="1552" t="str">
        <f t="shared" si="11"/>
        <v>U</v>
      </c>
      <c r="M24" s="1552" t="str">
        <f t="shared" si="11"/>
        <v>Z</v>
      </c>
      <c r="N24" s="603" t="str">
        <f t="shared" si="11"/>
        <v>T</v>
      </c>
      <c r="O24" s="1552" t="str">
        <f t="shared" si="12"/>
        <v>U</v>
      </c>
      <c r="P24" s="1552" t="str">
        <f t="shared" si="12"/>
        <v>Z</v>
      </c>
      <c r="Q24" s="603" t="str">
        <f t="shared" si="12"/>
        <v>T</v>
      </c>
    </row>
    <row r="25" spans="3:17">
      <c r="C25" s="191" t="s">
        <v>152</v>
      </c>
      <c r="D25" s="191" t="s">
        <v>145</v>
      </c>
      <c r="K25" s="601" t="s">
        <v>433</v>
      </c>
      <c r="L25" s="1552" t="str">
        <f t="shared" si="11"/>
        <v>V</v>
      </c>
      <c r="M25" s="1552" t="str">
        <f t="shared" si="11"/>
        <v>AA</v>
      </c>
      <c r="N25" s="603" t="str">
        <f t="shared" si="11"/>
        <v>U</v>
      </c>
      <c r="O25" s="1552" t="str">
        <f t="shared" si="12"/>
        <v>V</v>
      </c>
      <c r="P25" s="1552" t="str">
        <f t="shared" si="12"/>
        <v>AA</v>
      </c>
      <c r="Q25" s="603" t="str">
        <f t="shared" si="12"/>
        <v>U</v>
      </c>
    </row>
    <row r="26" spans="3:17">
      <c r="C26" s="191" t="s">
        <v>560</v>
      </c>
      <c r="D26" s="191" t="s">
        <v>561</v>
      </c>
      <c r="K26" s="601" t="s">
        <v>434</v>
      </c>
      <c r="L26" s="1552" t="str">
        <f t="shared" si="11"/>
        <v>W</v>
      </c>
      <c r="M26" s="1552" t="str">
        <f t="shared" si="11"/>
        <v>AB</v>
      </c>
      <c r="N26" s="603" t="str">
        <f t="shared" si="11"/>
        <v>V</v>
      </c>
      <c r="O26" s="1552" t="str">
        <f t="shared" si="12"/>
        <v>W</v>
      </c>
      <c r="P26" s="1552" t="str">
        <f t="shared" si="12"/>
        <v>AB</v>
      </c>
      <c r="Q26" s="603" t="str">
        <f t="shared" si="12"/>
        <v>V</v>
      </c>
    </row>
    <row r="27" spans="3:17">
      <c r="C27" s="191" t="s">
        <v>146</v>
      </c>
      <c r="D27" s="191" t="s">
        <v>145</v>
      </c>
      <c r="K27" s="601" t="s">
        <v>435</v>
      </c>
      <c r="L27" s="1552" t="str">
        <f t="shared" si="11"/>
        <v>X</v>
      </c>
      <c r="M27" s="1552" t="str">
        <f t="shared" si="11"/>
        <v>AC</v>
      </c>
      <c r="N27" s="603" t="str">
        <f t="shared" si="11"/>
        <v>W</v>
      </c>
      <c r="O27" s="1552" t="str">
        <f t="shared" si="12"/>
        <v>X</v>
      </c>
      <c r="P27" s="1552" t="str">
        <f t="shared" si="12"/>
        <v>AC</v>
      </c>
      <c r="Q27" s="603" t="str">
        <f t="shared" si="12"/>
        <v>W</v>
      </c>
    </row>
    <row r="28" spans="3:17">
      <c r="C28" s="191" t="s">
        <v>151</v>
      </c>
      <c r="D28" s="191" t="s">
        <v>150</v>
      </c>
      <c r="K28" s="601" t="s">
        <v>436</v>
      </c>
      <c r="L28" s="1552" t="str">
        <f t="shared" si="11"/>
        <v>Y</v>
      </c>
      <c r="M28" s="1552" t="str">
        <f t="shared" si="11"/>
        <v>AD</v>
      </c>
      <c r="N28" s="603" t="str">
        <f t="shared" si="11"/>
        <v>X</v>
      </c>
      <c r="O28" s="1552" t="str">
        <f t="shared" si="12"/>
        <v>Y</v>
      </c>
      <c r="P28" s="1552" t="str">
        <f t="shared" si="12"/>
        <v>AD</v>
      </c>
      <c r="Q28" s="603" t="str">
        <f t="shared" si="12"/>
        <v>X</v>
      </c>
    </row>
    <row r="29" spans="3:17">
      <c r="C29" s="191" t="s">
        <v>149</v>
      </c>
      <c r="D29" s="191" t="s">
        <v>147</v>
      </c>
      <c r="K29" s="601" t="s">
        <v>437</v>
      </c>
      <c r="L29" s="1552" t="str">
        <f t="shared" si="11"/>
        <v>Z</v>
      </c>
      <c r="M29" s="1552" t="str">
        <f t="shared" si="11"/>
        <v>AE</v>
      </c>
      <c r="N29" s="603" t="str">
        <f t="shared" si="11"/>
        <v>Y</v>
      </c>
      <c r="O29" s="1552" t="str">
        <f t="shared" si="12"/>
        <v>Z</v>
      </c>
      <c r="P29" s="1552" t="str">
        <f t="shared" si="12"/>
        <v>AE</v>
      </c>
      <c r="Q29" s="603" t="str">
        <f t="shared" si="12"/>
        <v>Y</v>
      </c>
    </row>
    <row r="30" spans="3:17">
      <c r="C30" s="191" t="s">
        <v>148</v>
      </c>
      <c r="D30" s="191" t="s">
        <v>147</v>
      </c>
      <c r="K30" s="601" t="s">
        <v>438</v>
      </c>
      <c r="L30" s="1552" t="str">
        <f t="shared" si="11"/>
        <v>AA</v>
      </c>
      <c r="M30" s="1552" t="str">
        <f t="shared" si="11"/>
        <v>AF</v>
      </c>
      <c r="N30" s="603" t="str">
        <f t="shared" si="11"/>
        <v>Z</v>
      </c>
      <c r="O30" s="1552" t="str">
        <f t="shared" si="12"/>
        <v>AA</v>
      </c>
      <c r="P30" s="1552" t="str">
        <f t="shared" si="12"/>
        <v>AF</v>
      </c>
      <c r="Q30" s="603" t="str">
        <f t="shared" si="12"/>
        <v>Z</v>
      </c>
    </row>
    <row r="31" spans="3:17">
      <c r="C31" s="191" t="s">
        <v>144</v>
      </c>
      <c r="D31" s="191" t="s">
        <v>143</v>
      </c>
      <c r="K31" s="601" t="s">
        <v>439</v>
      </c>
      <c r="L31" s="1552" t="str">
        <f t="shared" si="11"/>
        <v>AB</v>
      </c>
      <c r="M31" s="1552" t="str">
        <f t="shared" si="11"/>
        <v>AG</v>
      </c>
      <c r="N31" s="603" t="str">
        <f t="shared" si="11"/>
        <v>AA</v>
      </c>
      <c r="O31" s="1552" t="str">
        <f t="shared" si="12"/>
        <v>AB</v>
      </c>
      <c r="P31" s="1552" t="str">
        <f t="shared" si="12"/>
        <v>AG</v>
      </c>
      <c r="Q31" s="603" t="str">
        <f t="shared" si="12"/>
        <v>AA</v>
      </c>
    </row>
    <row r="32" spans="3:17">
      <c r="C32" s="191" t="s">
        <v>884</v>
      </c>
      <c r="D32" s="191" t="s">
        <v>885</v>
      </c>
      <c r="K32" s="601" t="s">
        <v>440</v>
      </c>
      <c r="L32" s="1552" t="str">
        <f t="shared" si="11"/>
        <v>AC</v>
      </c>
      <c r="M32" s="1552" t="str">
        <f t="shared" si="11"/>
        <v>AH</v>
      </c>
      <c r="N32" s="603" t="str">
        <f t="shared" si="11"/>
        <v>AB</v>
      </c>
      <c r="O32" s="1552" t="str">
        <f t="shared" si="12"/>
        <v>AC</v>
      </c>
      <c r="P32" s="1552" t="str">
        <f t="shared" si="12"/>
        <v>AH</v>
      </c>
      <c r="Q32" s="603" t="str">
        <f t="shared" si="12"/>
        <v>AB</v>
      </c>
    </row>
    <row r="33" spans="11:17">
      <c r="K33" s="602" t="s">
        <v>441</v>
      </c>
      <c r="L33" s="604" t="str">
        <f t="shared" si="11"/>
        <v>AD</v>
      </c>
      <c r="M33" s="604" t="str">
        <f t="shared" si="11"/>
        <v>AI</v>
      </c>
      <c r="N33" s="605" t="str">
        <f t="shared" si="11"/>
        <v>AC</v>
      </c>
      <c r="O33" s="604" t="str">
        <f t="shared" si="12"/>
        <v>AD</v>
      </c>
      <c r="P33" s="604" t="str">
        <f t="shared" si="12"/>
        <v>AI</v>
      </c>
      <c r="Q33" s="605" t="str">
        <f t="shared" si="12"/>
        <v>AC</v>
      </c>
    </row>
    <row r="34" spans="11:17">
      <c r="K34" s="191">
        <v>1</v>
      </c>
      <c r="L34" s="191">
        <v>2</v>
      </c>
      <c r="M34" s="191">
        <v>3</v>
      </c>
      <c r="N34" s="191">
        <v>4</v>
      </c>
      <c r="O34" s="191">
        <v>5</v>
      </c>
      <c r="P34" s="191">
        <v>6</v>
      </c>
      <c r="Q34" s="191">
        <v>7</v>
      </c>
    </row>
  </sheetData>
  <phoneticPr fontId="7"/>
  <pageMargins left="0.25" right="0.25" top="0.75" bottom="0.75" header="0.3" footer="0.3"/>
  <pageSetup paperSize="9" scale="8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문서" ma:contentTypeID="0x01010082D25F7B4243BF4885202DCB795F9C06" ma:contentTypeVersion="4" ma:contentTypeDescription="새 문서를 만듭니다." ma:contentTypeScope="" ma:versionID="35ae7430044495039677ce5f99e0f250">
  <xsd:schema xmlns:xsd="http://www.w3.org/2001/XMLSchema" xmlns:xs="http://www.w3.org/2001/XMLSchema" xmlns:p="http://schemas.microsoft.com/office/2006/metadata/properties" xmlns:ns2="4e2ac942-b266-4129-bff0-997fec905456" targetNamespace="http://schemas.microsoft.com/office/2006/metadata/properties" ma:root="true" ma:fieldsID="1eb681df082caea7368cef5085344b3b" ns2:_="">
    <xsd:import namespace="4e2ac942-b266-4129-bff0-997fec90545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ac942-b266-4129-bff0-997fec9054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D93F33-06CD-465D-8595-1BB0ACC91705}">
  <ds:schemaRefs>
    <ds:schemaRef ds:uri="http://schemas.microsoft.com/sharepoint/v3/contenttype/forms"/>
  </ds:schemaRefs>
</ds:datastoreItem>
</file>

<file path=customXml/itemProps2.xml><?xml version="1.0" encoding="utf-8"?>
<ds:datastoreItem xmlns:ds="http://schemas.openxmlformats.org/officeDocument/2006/customXml" ds:itemID="{8A44214B-4006-490C-B8BB-5C592C8A0A8F}">
  <ds:schemaRefs>
    <ds:schemaRef ds:uri="http://schemas.microsoft.com/office/2006/metadata/properties"/>
    <ds:schemaRef ds:uri="http://schemas.microsoft.com/office/infopath/2007/PartnerControls"/>
    <ds:schemaRef ds:uri="ad8b3be6-086d-4e7f-a334-c42361dcf075"/>
    <ds:schemaRef ds:uri="e2734a5a-0ff3-4a46-99f2-927a0be7c8d1"/>
  </ds:schemaRefs>
</ds:datastoreItem>
</file>

<file path=customXml/itemProps3.xml><?xml version="1.0" encoding="utf-8"?>
<ds:datastoreItem xmlns:ds="http://schemas.openxmlformats.org/officeDocument/2006/customXml" ds:itemID="{432BE775-C228-42E4-8957-EBC9B4D1CA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ac942-b266-4129-bff0-997fec9054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11</vt:i4>
      </vt:variant>
    </vt:vector>
  </HeadingPairs>
  <TitlesOfParts>
    <vt:vector size="18" baseType="lpstr">
      <vt:lpstr>Instruction</vt:lpstr>
      <vt:lpstr>Due date</vt:lpstr>
      <vt:lpstr>PL</vt:lpstr>
      <vt:lpstr>Definition</vt:lpstr>
      <vt:lpstr>OP</vt:lpstr>
      <vt:lpstr>Previous</vt:lpstr>
      <vt:lpstr>Work1</vt:lpstr>
      <vt:lpstr>PL!AnaplanColHeader_5b675c0e_2247_4546_9242_0565ac0e1287</vt:lpstr>
      <vt:lpstr>OP!AnaplanColHeader_c4cb70b2_6598_4c0e_aa8c_9c4deb501a87</vt:lpstr>
      <vt:lpstr>PL!AnaplanColHeader_c4cb70b2_6598_4c0e_aa8c_9c4deb501a87</vt:lpstr>
      <vt:lpstr>Previous!AnaplanColHeader_c4cb70b2_6598_4c0e_aa8c_9c4deb501a87</vt:lpstr>
      <vt:lpstr>PL!AnaplanDescription_5b675c0e_2247_4546_9242_0565ac0e1287</vt:lpstr>
      <vt:lpstr>OP!AnaplanDescription_c4cb70b2_6598_4c0e_aa8c_9c4deb501a87</vt:lpstr>
      <vt:lpstr>Previous!AnaplanDescription_c4cb70b2_6598_4c0e_aa8c_9c4deb501a87</vt:lpstr>
      <vt:lpstr>PL!AnaplanRowHeader_5b675c0e_2247_4546_9242_0565ac0e1287</vt:lpstr>
      <vt:lpstr>OP!AnaplanRowHeader_c4cb70b2_6598_4c0e_aa8c_9c4deb501a87</vt:lpstr>
      <vt:lpstr>PL!AnaplanRowHeader_c4cb70b2_6598_4c0e_aa8c_9c4deb501a87</vt:lpstr>
      <vt:lpstr>Previous!AnaplanRowHeader_c4cb70b2_6598_4c0e_aa8c_9c4deb501a87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 Kumar Singh (BP)</cp:lastModifiedBy>
  <cp:lastPrinted>2022-02-22T11:41:02Z</cp:lastPrinted>
  <dcterms:created xsi:type="dcterms:W3CDTF">2017-10-05T02:47:13Z</dcterms:created>
  <dcterms:modified xsi:type="dcterms:W3CDTF">2024-04-09T15:01:28Z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ContentTypeId">
    <vt:lpwstr>0x01010082D25F7B4243BF4885202DCB795F9C06</vt:lpwstr>
  </property>
  <property fmtid="{D5CDD505-2E9C-101B-9397-08002B2CF9AE}" pid="4" name="WorkbookVersion">
    <vt:lpwstr>"1.0.0.0"</vt:lpwstr>
  </property>
  <property fmtid="{D5CDD505-2E9C-101B-9397-08002B2CF9AE}" pid="5" name="AnaplanSettings">
    <vt:lpwstr>{"PreserveExcelFormulas":true,"PreserveExcelFormatting":true,"ApplyAnaplanStyling":false,"DisplayConnectionDetails":true,"InsertNewMembersOnRefresh":true}</vt:lpwstr>
  </property>
  <property fmtid="{D5CDD505-2E9C-101B-9397-08002B2CF9AE}" pid="6" name="MediaServiceImageTags">
    <vt:lpwstr/>
  </property>
</Properties>
</file>